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N:\NWRegulatory\Pricing - Annual\Dx\2022-23\2022-23_AER Final\"/>
    </mc:Choice>
  </mc:AlternateContent>
  <xr:revisionPtr revIDLastSave="0" documentId="8_{456C93F4-CD90-4F01-92CF-44E9EAD66FA0}" xr6:coauthVersionLast="47" xr6:coauthVersionMax="47" xr10:uidLastSave="{00000000-0000-0000-0000-000000000000}"/>
  <bookViews>
    <workbookView xWindow="28680" yWindow="-120" windowWidth="29040" windowHeight="15840" tabRatio="796" firstSheet="3" activeTab="14" xr2:uid="{00000000-000D-0000-FFFF-FFFF00000000}"/>
  </bookViews>
  <sheets>
    <sheet name="Pricing model" sheetId="49" r:id="rId1"/>
    <sheet name="Outputs&gt;&gt;" sheetId="24" r:id="rId2"/>
    <sheet name="Tariff schedule" sheetId="43" r:id="rId3"/>
    <sheet name="Compliance" sheetId="38" r:id="rId4"/>
    <sheet name="Price comparisons" sheetId="46" r:id="rId5"/>
    <sheet name="Tables" sheetId="45" r:id="rId6"/>
    <sheet name="Cost movements" sheetId="47" r:id="rId7"/>
    <sheet name="Charts" sheetId="50" r:id="rId8"/>
    <sheet name="Inputs&gt;&gt;" sheetId="23" r:id="rId9"/>
    <sheet name="General" sheetId="2" r:id="rId10"/>
    <sheet name="Financial" sheetId="4" r:id="rId11"/>
    <sheet name="Actuals" sheetId="11" r:id="rId12"/>
    <sheet name="Metering" sheetId="28" r:id="rId13"/>
    <sheet name="Tariffs" sheetId="9" r:id="rId14"/>
    <sheet name="Qty" sheetId="12" r:id="rId15"/>
    <sheet name="Prop. prices" sheetId="17" r:id="rId16"/>
    <sheet name="Hist. prices" sheetId="18" r:id="rId17"/>
    <sheet name="Indicative prices" sheetId="19" r:id="rId18"/>
    <sheet name="Trial tariffs" sheetId="21" r:id="rId19"/>
    <sheet name="Tariff costs" sheetId="22" r:id="rId20"/>
    <sheet name="License Fees" sheetId="53" r:id="rId21"/>
    <sheet name="Calculations&gt;&gt;" sheetId="25" r:id="rId22"/>
    <sheet name="TAR" sheetId="26" r:id="rId23"/>
    <sheet name="Accounts" sheetId="32" r:id="rId24"/>
    <sheet name="Rev. summary" sheetId="27" r:id="rId25"/>
    <sheet name="Prop. revenue" sheetId="29" r:id="rId26"/>
    <sheet name="Hist. revenue" sheetId="30" r:id="rId27"/>
    <sheet name="SC revenue" sheetId="34" r:id="rId28"/>
    <sheet name="Total qty" sheetId="31" r:id="rId29"/>
    <sheet name="Movements" sheetId="35" r:id="rId30"/>
    <sheet name="Lookups" sheetId="6" r:id="rId31"/>
    <sheet name="Model update log" sheetId="52" r:id="rId32"/>
  </sheets>
  <externalReferences>
    <externalReference r:id="rId33"/>
  </externalReferences>
  <definedNames>
    <definedName name="_xlnm._FilterDatabase" localSheetId="23" hidden="1">Accounts!#REF!</definedName>
    <definedName name="_xlnm._FilterDatabase" localSheetId="10" hidden="1">Financial!$C$16:$F$16</definedName>
    <definedName name="_xlnm._FilterDatabase" localSheetId="9" hidden="1">General!$F$7:$F$18</definedName>
    <definedName name="aggregatetrialthreshold">General!$F$22</definedName>
    <definedName name="anscount" hidden="1">1</definedName>
    <definedName name="cancelfutureyear1">Lookups!$I$85</definedName>
    <definedName name="cancelfutureyear2">Lookups!$I$86</definedName>
    <definedName name="cancelfutureyear3">Lookups!$I$87</definedName>
    <definedName name="cancelfutureyear4">Lookups!$I$88</definedName>
    <definedName name="cancelfutureyear5">Lookups!$I$89</definedName>
    <definedName name="cents">Lookups!$G$8</definedName>
    <definedName name="consmultiplier">General!$G$33</definedName>
    <definedName name="consoutputs">General!$F$33</definedName>
    <definedName name="consprofile">General!$F$36</definedName>
    <definedName name="consprofilemultiplier">General!$G$36</definedName>
    <definedName name="currentyear">General!$F$11</definedName>
    <definedName name="day">Lookups!$G$24</definedName>
    <definedName name="daysperhighsn">General!$F$24</definedName>
    <definedName name="daysperhighsn_currentyear">General!$J$24</definedName>
    <definedName name="daysperhighsn_previousyear">General!$K$24</definedName>
    <definedName name="daysperlowsn">General!$F$25</definedName>
    <definedName name="daysperlowsn_currentyear">General!$J$25</definedName>
    <definedName name="daysperlowsn_previousyear">General!$K$25</definedName>
    <definedName name="daysperossn">General!$F$27</definedName>
    <definedName name="daysperossn_currentyear">General!$J$27</definedName>
    <definedName name="daysperossn_previousyear">General!$K$27</definedName>
    <definedName name="daysperyear">General!$F$23</definedName>
    <definedName name="daysperyear_currentyear">General!$J$23</definedName>
    <definedName name="daysperyear_previousyear">General!$K$23</definedName>
    <definedName name="DNSP">General!$F$8</definedName>
    <definedName name="dollars">Lookups!$G$9</definedName>
    <definedName name="Forecastinflation">General!$F$19</definedName>
    <definedName name="forecastyear">General!$F$10</definedName>
    <definedName name="hardcode1">'Total qty'!$A$290:$U$329</definedName>
    <definedName name="hardcode2">'SC revenue'!$143:$154</definedName>
    <definedName name="hardcode3">'Hist. revenue'!$A$554:$AE$556</definedName>
    <definedName name="hardcode4">'Hist. revenue'!$A$871:$AE$873</definedName>
    <definedName name="hardcode5">'Prop. revenue'!$A$245:$AE$247</definedName>
    <definedName name="hardcode6">'Rev. summary'!$136:$147</definedName>
    <definedName name="hardcode7">'Rev. summary'!$H$22:$R$41</definedName>
    <definedName name="highsn">Lookups!$G$27</definedName>
    <definedName name="IndicativePricesICYr1">'Indicative prices'!$I$401:$AB$500</definedName>
    <definedName name="IndicativePricesICYr2">'Indicative prices'!$I$504:$AB$603</definedName>
    <definedName name="IndicativePricesICYr3">'Indicative prices'!$I$607:$AB$706</definedName>
    <definedName name="IndicativePricesICYr4">'Indicative prices'!$I$710:$AB$809</definedName>
    <definedName name="IndicativePricesICYr5">'Indicative prices'!$I$813:$AB$912</definedName>
    <definedName name="IndicativePricesSCSYr1">'Indicative prices'!$I$8:$AB$82</definedName>
    <definedName name="IndicativePricesSCSYr2">'Indicative prices'!$I$86:$AB$160</definedName>
    <definedName name="IndicativePricesSCSYr3">'Indicative prices'!$I$164:$AB$238</definedName>
    <definedName name="IndicativePricesSCSYr4">'Indicative prices'!$I$242:$AB$316</definedName>
    <definedName name="IndicativePricesSCSYr5">'Indicative prices'!$I$320:$AB$394</definedName>
    <definedName name="individualtrialthreshold">General!$F$21</definedName>
    <definedName name="lowsn">Lookups!$G$26</definedName>
    <definedName name="materialitythreshold">General!$F$20</definedName>
    <definedName name="millions">Lookups!$G$11</definedName>
    <definedName name="month">Lookups!$G$25</definedName>
    <definedName name="ossn">General!$F$26</definedName>
    <definedName name="outputsmultiplier">General!$G$31</definedName>
    <definedName name="outputtableunits">General!$F$31</definedName>
    <definedName name="previousyear">General!$F$12</definedName>
    <definedName name="QtyICCt">Qty!$M$248:$AF$347</definedName>
    <definedName name="QtyICCt_1">Qty!$M$352:$AF$451</definedName>
    <definedName name="QtyICCt_2">Qty!$M$456:$AF$555</definedName>
    <definedName name="QtySCSt">Qty!$M$8:$AF$82</definedName>
    <definedName name="QtySCSt_1">Qty!$M$87:$AF$161</definedName>
    <definedName name="QtySCSt_2">Qty!$M$166:$AF$240</definedName>
    <definedName name="RCP_firstyear">General!$F$14</definedName>
    <definedName name="RCP_fourthyear">Lookups!$G$88</definedName>
    <definedName name="RCP_lastyear">General!$F$15</definedName>
    <definedName name="RCP_secondyear">Lookups!$G$86</definedName>
    <definedName name="RCP_thirdyear">Lookups!$G$87</definedName>
    <definedName name="RCPminus1">Financial!$L$5</definedName>
    <definedName name="RCPminus2">Financial!$K$5</definedName>
    <definedName name="RCPminus3">Financial!$J$5</definedName>
    <definedName name="redact1">'Tariff schedule'!$334:$745</definedName>
    <definedName name="redact10">'Hist. prices'!$482:$790</definedName>
    <definedName name="redact11">'Hist. prices'!$A$794:$AD$1102</definedName>
    <definedName name="redact12">'Prop. prices'!$245:$553</definedName>
    <definedName name="redact13">Qty!$A$248:$AH$559</definedName>
    <definedName name="redact14">Tariffs!$A$125:$Z$225</definedName>
    <definedName name="redact2">'Price comparisons'!$A$88:$AD$189</definedName>
    <definedName name="redact3">'Rev. summary'!$A$149:$T$250</definedName>
    <definedName name="redact4">'Prop. revenue'!$250:$558</definedName>
    <definedName name="redact5">'Hist. revenue'!$559:$867</definedName>
    <definedName name="redact6">'Hist. revenue'!$876:$1184</definedName>
    <definedName name="redact7">'SC revenue'!$A$156:$AD$257</definedName>
    <definedName name="redact8">'Total qty'!$A$332:$U$640</definedName>
    <definedName name="redact9">'Indicative prices'!$401:$915</definedName>
    <definedName name="revenuemultiplier">General!$G$30</definedName>
    <definedName name="revenueunits">General!$F$30</definedName>
    <definedName name="saamultiplier">General!$G$32</definedName>
    <definedName name="saaunits">General!$F$32</definedName>
    <definedName name="sideconstraintmethod">General!$F$29</definedName>
    <definedName name="tariffid1">General!$F$44</definedName>
    <definedName name="tariffid2">General!$F$45</definedName>
    <definedName name="tariffid3">General!$F$46</definedName>
    <definedName name="TariffscheduleIC">'Tariff schedule'!$I$334:$AB$433</definedName>
    <definedName name="TariffscheduleSCS">'Tariff schedule'!$I$19:$AB$93</definedName>
    <definedName name="thousands">Lookups!$G$10</definedName>
    <definedName name="tminus3_year">General!$F$13</definedName>
    <definedName name="year">Lookups!$G$29</definedName>
    <definedName name="yearending">General!$F$9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56" i="19" l="1"/>
  <c r="Y86" i="12" l="1"/>
  <c r="X86" i="12"/>
  <c r="W86" i="12"/>
  <c r="V86" i="12"/>
  <c r="U86" i="12"/>
  <c r="T86" i="12"/>
  <c r="S86" i="12"/>
  <c r="R86" i="12"/>
  <c r="Q86" i="12"/>
  <c r="P86" i="12"/>
  <c r="O86" i="12"/>
  <c r="N86" i="12"/>
  <c r="B2" i="53" l="1"/>
  <c r="B3" i="53"/>
  <c r="L17" i="53" l="1"/>
  <c r="K17" i="53"/>
  <c r="J17" i="53"/>
  <c r="E17" i="53"/>
  <c r="E16" i="53"/>
  <c r="E15" i="53"/>
  <c r="E14" i="53"/>
  <c r="R12" i="53"/>
  <c r="M12" i="53"/>
  <c r="E12" i="53"/>
  <c r="L10" i="53"/>
  <c r="K10" i="53"/>
  <c r="J10" i="53"/>
  <c r="E10" i="53"/>
  <c r="E9" i="53"/>
  <c r="E8" i="53"/>
  <c r="E7" i="53"/>
  <c r="M5" i="53"/>
  <c r="G85" i="46" l="1"/>
  <c r="G5" i="46"/>
  <c r="F5" i="46"/>
  <c r="F85" i="46"/>
  <c r="G331" i="43"/>
  <c r="G16" i="43"/>
  <c r="F16" i="43"/>
  <c r="F331" i="43"/>
  <c r="G242" i="29" l="1"/>
  <c r="G5" i="29"/>
  <c r="F5" i="29"/>
  <c r="F242" i="29"/>
  <c r="G242" i="30"/>
  <c r="G5" i="30"/>
  <c r="F5" i="30"/>
  <c r="F242" i="30"/>
  <c r="F479" i="30"/>
  <c r="F482" i="30"/>
  <c r="F505" i="30" s="1"/>
  <c r="F483" i="30"/>
  <c r="F506" i="30" s="1"/>
  <c r="F484" i="30"/>
  <c r="F507" i="30" s="1"/>
  <c r="F485" i="30"/>
  <c r="F508" i="30" s="1"/>
  <c r="F486" i="30"/>
  <c r="F532" i="30" s="1"/>
  <c r="F487" i="30"/>
  <c r="F533" i="30" s="1"/>
  <c r="F488" i="30"/>
  <c r="F534" i="30" s="1"/>
  <c r="F489" i="30"/>
  <c r="F490" i="30"/>
  <c r="F513" i="30" s="1"/>
  <c r="F491" i="30"/>
  <c r="F514" i="30" s="1"/>
  <c r="F492" i="30"/>
  <c r="F515" i="30" s="1"/>
  <c r="F493" i="30"/>
  <c r="F516" i="30" s="1"/>
  <c r="F494" i="30"/>
  <c r="F517" i="30" s="1"/>
  <c r="F495" i="30"/>
  <c r="F541" i="30" s="1"/>
  <c r="F496" i="30"/>
  <c r="F519" i="30" s="1"/>
  <c r="F497" i="30"/>
  <c r="F498" i="30"/>
  <c r="F521" i="30" s="1"/>
  <c r="F499" i="30"/>
  <c r="F522" i="30" s="1"/>
  <c r="F500" i="30"/>
  <c r="F523" i="30" s="1"/>
  <c r="F501" i="30"/>
  <c r="F547" i="30" s="1"/>
  <c r="F551" i="30"/>
  <c r="F868" i="30"/>
  <c r="G287" i="31"/>
  <c r="G50" i="31"/>
  <c r="F50" i="31"/>
  <c r="F287" i="31"/>
  <c r="F510" i="30" l="1"/>
  <c r="F531" i="30"/>
  <c r="F511" i="30"/>
  <c r="F529" i="30"/>
  <c r="F542" i="30"/>
  <c r="F537" i="30"/>
  <c r="F545" i="30"/>
  <c r="F518" i="30"/>
  <c r="F540" i="30"/>
  <c r="F524" i="30"/>
  <c r="F539" i="30"/>
  <c r="F538" i="30"/>
  <c r="F546" i="30"/>
  <c r="F520" i="30"/>
  <c r="F543" i="30"/>
  <c r="F512" i="30"/>
  <c r="F535" i="30"/>
  <c r="F530" i="30"/>
  <c r="F509" i="30"/>
  <c r="F544" i="30"/>
  <c r="F536" i="30"/>
  <c r="F528" i="30"/>
  <c r="G398" i="19" l="1"/>
  <c r="G5" i="19"/>
  <c r="F5" i="19"/>
  <c r="F398" i="19"/>
  <c r="G791" i="18"/>
  <c r="G479" i="18"/>
  <c r="G242" i="18"/>
  <c r="G5" i="18"/>
  <c r="F5" i="18"/>
  <c r="F242" i="18"/>
  <c r="F479" i="18"/>
  <c r="F791" i="18"/>
  <c r="G242" i="17"/>
  <c r="F5" i="17"/>
  <c r="F242" i="17"/>
  <c r="G5" i="17"/>
  <c r="G245" i="12"/>
  <c r="F245" i="12"/>
  <c r="G5" i="12"/>
  <c r="F5" i="12"/>
  <c r="G44" i="9" l="1"/>
  <c r="G123" i="9" s="1"/>
  <c r="K56" i="2" l="1"/>
  <c r="K58" i="2"/>
  <c r="K60" i="2"/>
  <c r="K62" i="2"/>
  <c r="K64" i="2"/>
  <c r="K66" i="2"/>
  <c r="K68" i="2"/>
  <c r="K70" i="2"/>
  <c r="K72" i="2"/>
  <c r="K54" i="2"/>
  <c r="G28" i="6" l="1"/>
  <c r="E119" i="4"/>
  <c r="E104" i="4"/>
  <c r="E103" i="4"/>
  <c r="E102" i="4"/>
  <c r="I40" i="23"/>
  <c r="B2" i="52"/>
  <c r="B3" i="52"/>
  <c r="I71" i="23"/>
  <c r="C296" i="50"/>
  <c r="C282" i="50"/>
  <c r="C244" i="50"/>
  <c r="C234" i="50"/>
  <c r="C189" i="50"/>
  <c r="C175" i="50"/>
  <c r="C137" i="50"/>
  <c r="C127" i="50"/>
  <c r="X46" i="9"/>
  <c r="W46" i="9"/>
  <c r="X47" i="9" l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X58" i="9" s="1"/>
  <c r="X59" i="9" s="1"/>
  <c r="X60" i="9" s="1"/>
  <c r="X61" i="9" s="1"/>
  <c r="X81" i="9" s="1"/>
  <c r="X82" i="9" s="1"/>
  <c r="X83" i="9" s="1"/>
  <c r="X84" i="9" s="1"/>
  <c r="X85" i="9" s="1"/>
  <c r="X86" i="9" s="1"/>
  <c r="X87" i="9" s="1"/>
  <c r="X88" i="9" s="1"/>
  <c r="X89" i="9" s="1"/>
  <c r="X90" i="9" s="1"/>
  <c r="X91" i="9" s="1"/>
  <c r="X92" i="9" s="1"/>
  <c r="X93" i="9" s="1"/>
  <c r="X94" i="9" s="1"/>
  <c r="X95" i="9" s="1"/>
  <c r="X96" i="9" s="1"/>
  <c r="X97" i="9" s="1"/>
  <c r="X98" i="9" s="1"/>
  <c r="X99" i="9" s="1"/>
  <c r="X100" i="9" s="1"/>
  <c r="X101" i="9" s="1"/>
  <c r="X102" i="9" s="1"/>
  <c r="X103" i="9" s="1"/>
  <c r="X104" i="9" s="1"/>
  <c r="X105" i="9" s="1"/>
  <c r="X106" i="9" s="1"/>
  <c r="X107" i="9" s="1"/>
  <c r="X108" i="9" s="1"/>
  <c r="X109" i="9" s="1"/>
  <c r="X110" i="9" s="1"/>
  <c r="X111" i="9" s="1"/>
  <c r="X112" i="9" s="1"/>
  <c r="X113" i="9" s="1"/>
  <c r="X114" i="9" s="1"/>
  <c r="X115" i="9" s="1"/>
  <c r="X116" i="9" s="1"/>
  <c r="X117" i="9" s="1"/>
  <c r="X118" i="9" s="1"/>
  <c r="X119" i="9" s="1"/>
  <c r="X120" i="9" s="1"/>
  <c r="W47" i="9"/>
  <c r="W48" i="9" s="1"/>
  <c r="W49" i="9" s="1"/>
  <c r="W50" i="9" s="1"/>
  <c r="W51" i="9" s="1"/>
  <c r="W52" i="9" s="1"/>
  <c r="W53" i="9" s="1"/>
  <c r="W54" i="9" s="1"/>
  <c r="W55" i="9" s="1"/>
  <c r="W56" i="9" s="1"/>
  <c r="W57" i="9" s="1"/>
  <c r="W58" i="9" s="1"/>
  <c r="W59" i="9" s="1"/>
  <c r="W60" i="9" s="1"/>
  <c r="W61" i="9" s="1"/>
  <c r="W81" i="9" s="1"/>
  <c r="W82" i="9" s="1"/>
  <c r="W83" i="9" s="1"/>
  <c r="W84" i="9" s="1"/>
  <c r="W85" i="9" s="1"/>
  <c r="W86" i="9" s="1"/>
  <c r="W87" i="9" s="1"/>
  <c r="W88" i="9" s="1"/>
  <c r="W89" i="9" s="1"/>
  <c r="W90" i="9" s="1"/>
  <c r="W91" i="9" s="1"/>
  <c r="W92" i="9" s="1"/>
  <c r="W93" i="9" s="1"/>
  <c r="W94" i="9" s="1"/>
  <c r="W95" i="9" s="1"/>
  <c r="W96" i="9" s="1"/>
  <c r="W97" i="9" s="1"/>
  <c r="W98" i="9" s="1"/>
  <c r="W99" i="9" s="1"/>
  <c r="W100" i="9" s="1"/>
  <c r="W101" i="9" s="1"/>
  <c r="W102" i="9" s="1"/>
  <c r="W103" i="9" s="1"/>
  <c r="W104" i="9" s="1"/>
  <c r="W105" i="9" s="1"/>
  <c r="W106" i="9" s="1"/>
  <c r="W107" i="9" s="1"/>
  <c r="W108" i="9" s="1"/>
  <c r="W109" i="9" s="1"/>
  <c r="W110" i="9" s="1"/>
  <c r="W111" i="9" s="1"/>
  <c r="W112" i="9" s="1"/>
  <c r="W113" i="9" s="1"/>
  <c r="W114" i="9" s="1"/>
  <c r="W115" i="9" s="1"/>
  <c r="W116" i="9" s="1"/>
  <c r="W117" i="9" s="1"/>
  <c r="W118" i="9" s="1"/>
  <c r="W119" i="9" s="1"/>
  <c r="W120" i="9" s="1"/>
  <c r="C8" i="26"/>
  <c r="E46" i="4"/>
  <c r="B85" i="46"/>
  <c r="B5" i="46"/>
  <c r="C8" i="38"/>
  <c r="B331" i="43"/>
  <c r="E28" i="49"/>
  <c r="E25" i="49"/>
  <c r="G53" i="2"/>
  <c r="G54" i="2"/>
  <c r="G55" i="2"/>
  <c r="G56" i="2"/>
  <c r="C61" i="35" l="1"/>
  <c r="C70" i="35"/>
  <c r="C57" i="35"/>
  <c r="C11" i="35"/>
  <c r="C35" i="35"/>
  <c r="C31" i="35"/>
  <c r="C24" i="35"/>
  <c r="C27" i="35"/>
  <c r="C68" i="35"/>
  <c r="C47" i="35"/>
  <c r="C65" i="35"/>
  <c r="C46" i="35"/>
  <c r="C45" i="35"/>
  <c r="C28" i="35"/>
  <c r="C29" i="35"/>
  <c r="C26" i="35"/>
  <c r="C20" i="35"/>
  <c r="C19" i="35"/>
  <c r="C52" i="35"/>
  <c r="C44" i="35"/>
  <c r="C56" i="35"/>
  <c r="C71" i="35"/>
  <c r="C43" i="35"/>
  <c r="C23" i="35"/>
  <c r="C16" i="35"/>
  <c r="C14" i="35"/>
  <c r="C50" i="35"/>
  <c r="C42" i="35"/>
  <c r="C66" i="35"/>
  <c r="C69" i="35"/>
  <c r="C13" i="35"/>
  <c r="C37" i="35"/>
  <c r="C21" i="35"/>
  <c r="C18" i="35"/>
  <c r="C33" i="35"/>
  <c r="C38" i="35"/>
  <c r="C63" i="35"/>
  <c r="C67" i="35"/>
  <c r="C59" i="35"/>
  <c r="C58" i="35"/>
  <c r="C40" i="35"/>
  <c r="C62" i="35"/>
  <c r="C39" i="35"/>
  <c r="C12" i="35"/>
  <c r="C25" i="35"/>
  <c r="C30" i="35"/>
  <c r="C55" i="35"/>
  <c r="C64" i="35"/>
  <c r="C54" i="35"/>
  <c r="C53" i="35"/>
  <c r="C32" i="35"/>
  <c r="C34" i="35"/>
  <c r="C15" i="35"/>
  <c r="C36" i="35"/>
  <c r="C17" i="35"/>
  <c r="C22" i="35"/>
  <c r="C51" i="35"/>
  <c r="C60" i="35"/>
  <c r="C48" i="35"/>
  <c r="C49" i="35"/>
  <c r="C306" i="50"/>
  <c r="C305" i="50"/>
  <c r="C304" i="50"/>
  <c r="C303" i="50"/>
  <c r="C302" i="50"/>
  <c r="C301" i="50"/>
  <c r="C300" i="50"/>
  <c r="M296" i="50"/>
  <c r="E296" i="50"/>
  <c r="C299" i="50" s="1"/>
  <c r="C292" i="50"/>
  <c r="C291" i="50"/>
  <c r="C290" i="50"/>
  <c r="C289" i="50"/>
  <c r="C288" i="50"/>
  <c r="C287" i="50"/>
  <c r="C286" i="50"/>
  <c r="M282" i="50"/>
  <c r="E282" i="50"/>
  <c r="C285" i="50" s="1"/>
  <c r="J22" i="35" l="1"/>
  <c r="D22" i="35"/>
  <c r="E22" i="35"/>
  <c r="I22" i="35"/>
  <c r="K22" i="35"/>
  <c r="M22" i="35"/>
  <c r="J64" i="35"/>
  <c r="K64" i="35"/>
  <c r="M64" i="35"/>
  <c r="D64" i="35"/>
  <c r="E64" i="35"/>
  <c r="I64" i="35"/>
  <c r="D58" i="35"/>
  <c r="M58" i="35"/>
  <c r="K58" i="35"/>
  <c r="J58" i="35"/>
  <c r="I58" i="35"/>
  <c r="E58" i="35"/>
  <c r="D37" i="35"/>
  <c r="K37" i="35"/>
  <c r="J37" i="35"/>
  <c r="E37" i="35"/>
  <c r="I37" i="35"/>
  <c r="M37" i="35"/>
  <c r="I23" i="35"/>
  <c r="J23" i="35"/>
  <c r="K23" i="35"/>
  <c r="M23" i="35"/>
  <c r="D23" i="35"/>
  <c r="E23" i="35"/>
  <c r="E26" i="35"/>
  <c r="M26" i="35"/>
  <c r="D26" i="35"/>
  <c r="K26" i="35"/>
  <c r="J26" i="35"/>
  <c r="I26" i="35"/>
  <c r="D27" i="35"/>
  <c r="E27" i="35"/>
  <c r="M27" i="35"/>
  <c r="J27" i="35"/>
  <c r="K27" i="35"/>
  <c r="I27" i="35"/>
  <c r="K17" i="35"/>
  <c r="J17" i="35"/>
  <c r="I17" i="35"/>
  <c r="E17" i="35"/>
  <c r="D17" i="35"/>
  <c r="M17" i="35"/>
  <c r="K55" i="35"/>
  <c r="E55" i="35"/>
  <c r="I55" i="35"/>
  <c r="J55" i="35"/>
  <c r="D55" i="35"/>
  <c r="M55" i="35"/>
  <c r="E59" i="35"/>
  <c r="D59" i="35"/>
  <c r="M59" i="35"/>
  <c r="K59" i="35"/>
  <c r="J59" i="35"/>
  <c r="I59" i="35"/>
  <c r="D13" i="35"/>
  <c r="I13" i="35"/>
  <c r="J13" i="35"/>
  <c r="M13" i="35"/>
  <c r="K13" i="35"/>
  <c r="E13" i="35"/>
  <c r="D43" i="35"/>
  <c r="E43" i="35"/>
  <c r="M43" i="35"/>
  <c r="J43" i="35"/>
  <c r="K43" i="35"/>
  <c r="I43" i="35"/>
  <c r="D29" i="35"/>
  <c r="J29" i="35"/>
  <c r="E29" i="35"/>
  <c r="M29" i="35"/>
  <c r="K29" i="35"/>
  <c r="I29" i="35"/>
  <c r="J24" i="35"/>
  <c r="K24" i="35"/>
  <c r="M24" i="35"/>
  <c r="D24" i="35"/>
  <c r="E24" i="35"/>
  <c r="I24" i="35"/>
  <c r="E36" i="35"/>
  <c r="D36" i="35"/>
  <c r="I36" i="35"/>
  <c r="K36" i="35"/>
  <c r="J36" i="35"/>
  <c r="M36" i="35"/>
  <c r="J30" i="35"/>
  <c r="D30" i="35"/>
  <c r="E30" i="35"/>
  <c r="I30" i="35"/>
  <c r="K30" i="35"/>
  <c r="M30" i="35"/>
  <c r="E67" i="35"/>
  <c r="D67" i="35"/>
  <c r="M67" i="35"/>
  <c r="I67" i="35"/>
  <c r="J67" i="35"/>
  <c r="K67" i="35"/>
  <c r="E69" i="35"/>
  <c r="D69" i="35"/>
  <c r="I69" i="35"/>
  <c r="M69" i="35"/>
  <c r="J69" i="35"/>
  <c r="K69" i="35"/>
  <c r="M71" i="35"/>
  <c r="D71" i="35"/>
  <c r="E71" i="35"/>
  <c r="I71" i="35"/>
  <c r="J71" i="35"/>
  <c r="K71" i="35"/>
  <c r="E28" i="35"/>
  <c r="D28" i="35"/>
  <c r="I28" i="35"/>
  <c r="K28" i="35"/>
  <c r="M28" i="35"/>
  <c r="J28" i="35"/>
  <c r="I31" i="35"/>
  <c r="J31" i="35"/>
  <c r="K31" i="35"/>
  <c r="M31" i="35"/>
  <c r="D31" i="35"/>
  <c r="E31" i="35"/>
  <c r="K15" i="35"/>
  <c r="E15" i="35"/>
  <c r="I15" i="35"/>
  <c r="J15" i="35"/>
  <c r="M15" i="35"/>
  <c r="D15" i="35"/>
  <c r="K25" i="35"/>
  <c r="J25" i="35"/>
  <c r="E25" i="35"/>
  <c r="D25" i="35"/>
  <c r="I25" i="35"/>
  <c r="M25" i="35"/>
  <c r="M63" i="35"/>
  <c r="E63" i="35"/>
  <c r="I63" i="35"/>
  <c r="J63" i="35"/>
  <c r="K63" i="35"/>
  <c r="D63" i="35"/>
  <c r="D66" i="35"/>
  <c r="M66" i="35"/>
  <c r="J66" i="35"/>
  <c r="K66" i="35"/>
  <c r="E66" i="35"/>
  <c r="I66" i="35"/>
  <c r="M56" i="35"/>
  <c r="K56" i="35"/>
  <c r="D56" i="35"/>
  <c r="E56" i="35"/>
  <c r="I56" i="35"/>
  <c r="J56" i="35"/>
  <c r="I45" i="35"/>
  <c r="E45" i="35"/>
  <c r="D45" i="35"/>
  <c r="J45" i="35"/>
  <c r="M45" i="35"/>
  <c r="K45" i="35"/>
  <c r="D35" i="35"/>
  <c r="E35" i="35"/>
  <c r="M35" i="35"/>
  <c r="J35" i="35"/>
  <c r="I35" i="35"/>
  <c r="K35" i="35"/>
  <c r="D49" i="35"/>
  <c r="E49" i="35"/>
  <c r="I49" i="35"/>
  <c r="J49" i="35"/>
  <c r="K49" i="35"/>
  <c r="M49" i="35"/>
  <c r="E34" i="35"/>
  <c r="M34" i="35"/>
  <c r="D34" i="35"/>
  <c r="K34" i="35"/>
  <c r="I34" i="35"/>
  <c r="J34" i="35"/>
  <c r="E12" i="35"/>
  <c r="D12" i="35"/>
  <c r="I12" i="35"/>
  <c r="J12" i="35"/>
  <c r="M12" i="35"/>
  <c r="K12" i="35"/>
  <c r="M38" i="35"/>
  <c r="D38" i="35"/>
  <c r="E38" i="35"/>
  <c r="I38" i="35"/>
  <c r="J38" i="35"/>
  <c r="K38" i="35"/>
  <c r="J42" i="35"/>
  <c r="I42" i="35"/>
  <c r="E42" i="35"/>
  <c r="D42" i="35"/>
  <c r="M42" i="35"/>
  <c r="K42" i="35"/>
  <c r="D44" i="35"/>
  <c r="E44" i="35"/>
  <c r="I44" i="35"/>
  <c r="K44" i="35"/>
  <c r="M44" i="35"/>
  <c r="J44" i="35"/>
  <c r="J46" i="35"/>
  <c r="D46" i="35"/>
  <c r="E46" i="35"/>
  <c r="I46" i="35"/>
  <c r="K46" i="35"/>
  <c r="M46" i="35"/>
  <c r="D11" i="35"/>
  <c r="E11" i="35"/>
  <c r="M11" i="35"/>
  <c r="K11" i="35"/>
  <c r="J11" i="35"/>
  <c r="I11" i="35"/>
  <c r="M48" i="35"/>
  <c r="D48" i="35"/>
  <c r="E48" i="35"/>
  <c r="I48" i="35"/>
  <c r="J48" i="35"/>
  <c r="K48" i="35"/>
  <c r="J32" i="35"/>
  <c r="K32" i="35"/>
  <c r="M32" i="35"/>
  <c r="D32" i="35"/>
  <c r="E32" i="35"/>
  <c r="I32" i="35"/>
  <c r="E39" i="35"/>
  <c r="I39" i="35"/>
  <c r="J39" i="35"/>
  <c r="K39" i="35"/>
  <c r="M39" i="35"/>
  <c r="D39" i="35"/>
  <c r="K33" i="35"/>
  <c r="J33" i="35"/>
  <c r="M33" i="35"/>
  <c r="E33" i="35"/>
  <c r="D33" i="35"/>
  <c r="I33" i="35"/>
  <c r="D50" i="35"/>
  <c r="E50" i="35"/>
  <c r="I50" i="35"/>
  <c r="J50" i="35"/>
  <c r="K50" i="35"/>
  <c r="M50" i="35"/>
  <c r="D52" i="35"/>
  <c r="E52" i="35"/>
  <c r="K52" i="35"/>
  <c r="J52" i="35"/>
  <c r="M52" i="35"/>
  <c r="I52" i="35"/>
  <c r="K65" i="35"/>
  <c r="M65" i="35"/>
  <c r="D65" i="35"/>
  <c r="E65" i="35"/>
  <c r="I65" i="35"/>
  <c r="J65" i="35"/>
  <c r="D57" i="35"/>
  <c r="E57" i="35"/>
  <c r="I57" i="35"/>
  <c r="J57" i="35"/>
  <c r="K57" i="35"/>
  <c r="M57" i="35"/>
  <c r="D60" i="35"/>
  <c r="M60" i="35"/>
  <c r="I60" i="35"/>
  <c r="K60" i="35"/>
  <c r="J60" i="35"/>
  <c r="E60" i="35"/>
  <c r="E53" i="35"/>
  <c r="D53" i="35"/>
  <c r="M53" i="35"/>
  <c r="K53" i="35"/>
  <c r="J53" i="35"/>
  <c r="I53" i="35"/>
  <c r="K62" i="35"/>
  <c r="D62" i="35"/>
  <c r="E62" i="35"/>
  <c r="I62" i="35"/>
  <c r="J62" i="35"/>
  <c r="M62" i="35"/>
  <c r="E18" i="35"/>
  <c r="M18" i="35"/>
  <c r="D18" i="35"/>
  <c r="K18" i="35"/>
  <c r="J18" i="35"/>
  <c r="I18" i="35"/>
  <c r="J14" i="35"/>
  <c r="D14" i="35"/>
  <c r="E14" i="35"/>
  <c r="I14" i="35"/>
  <c r="K14" i="35"/>
  <c r="M14" i="35"/>
  <c r="D19" i="35"/>
  <c r="E19" i="35"/>
  <c r="M19" i="35"/>
  <c r="K19" i="35"/>
  <c r="J19" i="35"/>
  <c r="I19" i="35"/>
  <c r="K47" i="35"/>
  <c r="I47" i="35"/>
  <c r="J47" i="35"/>
  <c r="D47" i="35"/>
  <c r="E47" i="35"/>
  <c r="M47" i="35"/>
  <c r="K70" i="35"/>
  <c r="D70" i="35"/>
  <c r="E70" i="35"/>
  <c r="I70" i="35"/>
  <c r="J70" i="35"/>
  <c r="M70" i="35"/>
  <c r="D51" i="35"/>
  <c r="J51" i="35"/>
  <c r="I51" i="35"/>
  <c r="M51" i="35"/>
  <c r="K51" i="35"/>
  <c r="E51" i="35"/>
  <c r="J54" i="35"/>
  <c r="D54" i="35"/>
  <c r="E54" i="35"/>
  <c r="I54" i="35"/>
  <c r="M54" i="35"/>
  <c r="K54" i="35"/>
  <c r="I40" i="35"/>
  <c r="J40" i="35"/>
  <c r="K40" i="35"/>
  <c r="M40" i="35"/>
  <c r="D40" i="35"/>
  <c r="E40" i="35"/>
  <c r="D21" i="35"/>
  <c r="M21" i="35"/>
  <c r="K21" i="35"/>
  <c r="J21" i="35"/>
  <c r="E21" i="35"/>
  <c r="I21" i="35"/>
  <c r="J16" i="35"/>
  <c r="K16" i="35"/>
  <c r="M16" i="35"/>
  <c r="D16" i="35"/>
  <c r="E16" i="35"/>
  <c r="I16" i="35"/>
  <c r="E20" i="35"/>
  <c r="D20" i="35"/>
  <c r="I20" i="35"/>
  <c r="M20" i="35"/>
  <c r="K20" i="35"/>
  <c r="J20" i="35"/>
  <c r="D68" i="35"/>
  <c r="J68" i="35"/>
  <c r="K68" i="35"/>
  <c r="I68" i="35"/>
  <c r="E68" i="35"/>
  <c r="M68" i="35"/>
  <c r="J61" i="35"/>
  <c r="I61" i="35"/>
  <c r="D61" i="35"/>
  <c r="E61" i="35"/>
  <c r="M61" i="35"/>
  <c r="K61" i="35"/>
  <c r="C199" i="50"/>
  <c r="C198" i="50"/>
  <c r="C197" i="50"/>
  <c r="C196" i="50"/>
  <c r="C195" i="50"/>
  <c r="C194" i="50"/>
  <c r="C193" i="50"/>
  <c r="M189" i="50"/>
  <c r="E189" i="50"/>
  <c r="C192" i="50" s="1"/>
  <c r="C185" i="50"/>
  <c r="C184" i="50"/>
  <c r="C183" i="50"/>
  <c r="C182" i="50"/>
  <c r="C181" i="50"/>
  <c r="C180" i="50"/>
  <c r="C179" i="50"/>
  <c r="M175" i="50"/>
  <c r="E175" i="50"/>
  <c r="C178" i="50" s="1"/>
  <c r="K58" i="4" l="1"/>
  <c r="L58" i="4"/>
  <c r="M58" i="4"/>
  <c r="N58" i="4"/>
  <c r="O58" i="4"/>
  <c r="P58" i="4"/>
  <c r="Q58" i="4"/>
  <c r="J58" i="4"/>
  <c r="K49" i="4"/>
  <c r="L49" i="4"/>
  <c r="M49" i="4"/>
  <c r="N49" i="4"/>
  <c r="O49" i="4"/>
  <c r="P49" i="4"/>
  <c r="Q49" i="4"/>
  <c r="J49" i="4"/>
  <c r="R37" i="9" l="1"/>
  <c r="X244" i="30" s="1"/>
  <c r="R38" i="9"/>
  <c r="Y244" i="30" s="1"/>
  <c r="R39" i="9"/>
  <c r="Z244" i="30" s="1"/>
  <c r="R40" i="9"/>
  <c r="AA244" i="30" s="1"/>
  <c r="R41" i="9"/>
  <c r="AB244" i="30" s="1"/>
  <c r="Q37" i="9"/>
  <c r="X7" i="30" s="1"/>
  <c r="Q38" i="9"/>
  <c r="Y7" i="30" s="1"/>
  <c r="Q39" i="9"/>
  <c r="Z7" i="30" s="1"/>
  <c r="Q40" i="9"/>
  <c r="AA7" i="30" s="1"/>
  <c r="Q41" i="9"/>
  <c r="AB7" i="30" s="1"/>
  <c r="Y332" i="30" l="1"/>
  <c r="Y339" i="30"/>
  <c r="Y348" i="30"/>
  <c r="Y330" i="30"/>
  <c r="Y337" i="30"/>
  <c r="Y346" i="30"/>
  <c r="Y328" i="30"/>
  <c r="Y335" i="30"/>
  <c r="Y344" i="30"/>
  <c r="Y326" i="30"/>
  <c r="Y333" i="30"/>
  <c r="Y342" i="30"/>
  <c r="Y324" i="30"/>
  <c r="Y331" i="30"/>
  <c r="Y340" i="30"/>
  <c r="Y347" i="30"/>
  <c r="Y329" i="30"/>
  <c r="Y338" i="30"/>
  <c r="Y345" i="30"/>
  <c r="Y327" i="30"/>
  <c r="Y336" i="30"/>
  <c r="Y343" i="30"/>
  <c r="Y325" i="30"/>
  <c r="Y334" i="30"/>
  <c r="Y341" i="30"/>
  <c r="Y349" i="30"/>
  <c r="Y356" i="30"/>
  <c r="Y363" i="30"/>
  <c r="Y370" i="30"/>
  <c r="Y375" i="30"/>
  <c r="Y384" i="30"/>
  <c r="Y394" i="30"/>
  <c r="Y354" i="30"/>
  <c r="Y361" i="30"/>
  <c r="Y373" i="30"/>
  <c r="Y382" i="30"/>
  <c r="Y387" i="30"/>
  <c r="Y392" i="30"/>
  <c r="Y359" i="30"/>
  <c r="Y368" i="30"/>
  <c r="Y380" i="30"/>
  <c r="Y390" i="30"/>
  <c r="Y397" i="30"/>
  <c r="Y352" i="30"/>
  <c r="Y357" i="30"/>
  <c r="Y366" i="30"/>
  <c r="Y371" i="30"/>
  <c r="Y378" i="30"/>
  <c r="Y385" i="30"/>
  <c r="Y395" i="30"/>
  <c r="Y350" i="30"/>
  <c r="Y355" i="30"/>
  <c r="Y364" i="30"/>
  <c r="Y376" i="30"/>
  <c r="Y383" i="30"/>
  <c r="Y388" i="30"/>
  <c r="Y393" i="30"/>
  <c r="Y362" i="30"/>
  <c r="Y369" i="30"/>
  <c r="Y374" i="30"/>
  <c r="Y381" i="30"/>
  <c r="Y391" i="30"/>
  <c r="Y353" i="30"/>
  <c r="Y360" i="30"/>
  <c r="Y367" i="30"/>
  <c r="Y372" i="30"/>
  <c r="Y379" i="30"/>
  <c r="Y386" i="30"/>
  <c r="Y351" i="30"/>
  <c r="Y358" i="30"/>
  <c r="Y365" i="30"/>
  <c r="Y377" i="30"/>
  <c r="Y389" i="30"/>
  <c r="Y396" i="30"/>
  <c r="Y323" i="30"/>
  <c r="AB506" i="30"/>
  <c r="AB511" i="30"/>
  <c r="AB516" i="30"/>
  <c r="AB521" i="30"/>
  <c r="AB87" i="30"/>
  <c r="AB94" i="30"/>
  <c r="AB509" i="30"/>
  <c r="AB92" i="30"/>
  <c r="AB514" i="30"/>
  <c r="AB519" i="30"/>
  <c r="AB524" i="30"/>
  <c r="AB90" i="30"/>
  <c r="AB99" i="30"/>
  <c r="AB507" i="30"/>
  <c r="AB517" i="30"/>
  <c r="AB522" i="30"/>
  <c r="AB88" i="30"/>
  <c r="AB97" i="30"/>
  <c r="AB512" i="30"/>
  <c r="AB505" i="30"/>
  <c r="AB95" i="30"/>
  <c r="AB510" i="30"/>
  <c r="AB515" i="30"/>
  <c r="AB520" i="30"/>
  <c r="AB93" i="30"/>
  <c r="AB508" i="30"/>
  <c r="AB523" i="30"/>
  <c r="AB91" i="30"/>
  <c r="AB98" i="30"/>
  <c r="AB513" i="30"/>
  <c r="AB518" i="30"/>
  <c r="AB89" i="30"/>
  <c r="AB96" i="30"/>
  <c r="AB104" i="30"/>
  <c r="AB113" i="30"/>
  <c r="AB120" i="30"/>
  <c r="AB129" i="30"/>
  <c r="AB136" i="30"/>
  <c r="AB145" i="30"/>
  <c r="AB150" i="30"/>
  <c r="AB157" i="30"/>
  <c r="AB86" i="30"/>
  <c r="AB102" i="30"/>
  <c r="AB111" i="30"/>
  <c r="AB118" i="30"/>
  <c r="AB127" i="30"/>
  <c r="AB134" i="30"/>
  <c r="AB143" i="30"/>
  <c r="AB148" i="30"/>
  <c r="AB155" i="30"/>
  <c r="AB100" i="30"/>
  <c r="AB109" i="30"/>
  <c r="AB116" i="30"/>
  <c r="AB125" i="30"/>
  <c r="AB132" i="30"/>
  <c r="AB141" i="30"/>
  <c r="AB153" i="30"/>
  <c r="AB160" i="30"/>
  <c r="AB107" i="30"/>
  <c r="AB114" i="30"/>
  <c r="AB123" i="30"/>
  <c r="AB130" i="30"/>
  <c r="AB139" i="30"/>
  <c r="AB146" i="30"/>
  <c r="AB158" i="30"/>
  <c r="AB105" i="30"/>
  <c r="AB112" i="30"/>
  <c r="AB121" i="30"/>
  <c r="AB128" i="30"/>
  <c r="AB137" i="30"/>
  <c r="AB144" i="30"/>
  <c r="AB151" i="30"/>
  <c r="AB156" i="30"/>
  <c r="AB103" i="30"/>
  <c r="AB110" i="30"/>
  <c r="AB119" i="30"/>
  <c r="AB126" i="30"/>
  <c r="AB135" i="30"/>
  <c r="AB142" i="30"/>
  <c r="AB149" i="30"/>
  <c r="AB154" i="30"/>
  <c r="AB101" i="30"/>
  <c r="AB108" i="30"/>
  <c r="AB117" i="30"/>
  <c r="AB124" i="30"/>
  <c r="AB133" i="30"/>
  <c r="AB140" i="30"/>
  <c r="AB147" i="30"/>
  <c r="AB106" i="30"/>
  <c r="AB115" i="30"/>
  <c r="AB122" i="30"/>
  <c r="AB131" i="30"/>
  <c r="AB138" i="30"/>
  <c r="AB152" i="30"/>
  <c r="AB159" i="30"/>
  <c r="X330" i="30"/>
  <c r="X337" i="30"/>
  <c r="X346" i="30"/>
  <c r="X328" i="30"/>
  <c r="X335" i="30"/>
  <c r="X344" i="30"/>
  <c r="X326" i="30"/>
  <c r="X333" i="30"/>
  <c r="X342" i="30"/>
  <c r="X324" i="30"/>
  <c r="X331" i="30"/>
  <c r="X340" i="30"/>
  <c r="X347" i="30"/>
  <c r="X329" i="30"/>
  <c r="X338" i="30"/>
  <c r="X345" i="30"/>
  <c r="X327" i="30"/>
  <c r="X336" i="30"/>
  <c r="X343" i="30"/>
  <c r="X325" i="30"/>
  <c r="X334" i="30"/>
  <c r="X341" i="30"/>
  <c r="X332" i="30"/>
  <c r="X339" i="30"/>
  <c r="X348" i="30"/>
  <c r="X354" i="30"/>
  <c r="X361" i="30"/>
  <c r="X373" i="30"/>
  <c r="X382" i="30"/>
  <c r="X387" i="30"/>
  <c r="X392" i="30"/>
  <c r="X359" i="30"/>
  <c r="X368" i="30"/>
  <c r="X380" i="30"/>
  <c r="X390" i="30"/>
  <c r="X397" i="30"/>
  <c r="X352" i="30"/>
  <c r="X357" i="30"/>
  <c r="X366" i="30"/>
  <c r="X371" i="30"/>
  <c r="X378" i="30"/>
  <c r="X385" i="30"/>
  <c r="X395" i="30"/>
  <c r="X350" i="30"/>
  <c r="X355" i="30"/>
  <c r="X364" i="30"/>
  <c r="X376" i="30"/>
  <c r="X383" i="30"/>
  <c r="X388" i="30"/>
  <c r="X393" i="30"/>
  <c r="X362" i="30"/>
  <c r="X369" i="30"/>
  <c r="X374" i="30"/>
  <c r="X381" i="30"/>
  <c r="X391" i="30"/>
  <c r="X353" i="30"/>
  <c r="X360" i="30"/>
  <c r="X367" i="30"/>
  <c r="X372" i="30"/>
  <c r="X379" i="30"/>
  <c r="X386" i="30"/>
  <c r="X351" i="30"/>
  <c r="X358" i="30"/>
  <c r="X365" i="30"/>
  <c r="X377" i="30"/>
  <c r="X389" i="30"/>
  <c r="X396" i="30"/>
  <c r="X349" i="30"/>
  <c r="X356" i="30"/>
  <c r="X363" i="30"/>
  <c r="X370" i="30"/>
  <c r="X375" i="30"/>
  <c r="X384" i="30"/>
  <c r="X394" i="30"/>
  <c r="X323" i="30"/>
  <c r="AA509" i="30"/>
  <c r="AA92" i="30"/>
  <c r="AA514" i="30"/>
  <c r="AA519" i="30"/>
  <c r="AA524" i="30"/>
  <c r="AA90" i="30"/>
  <c r="AA507" i="30"/>
  <c r="AA517" i="30"/>
  <c r="AA522" i="30"/>
  <c r="AA88" i="30"/>
  <c r="AA97" i="30"/>
  <c r="AA512" i="30"/>
  <c r="AA505" i="30"/>
  <c r="AA95" i="30"/>
  <c r="AA510" i="30"/>
  <c r="AA515" i="30"/>
  <c r="AA520" i="30"/>
  <c r="AA93" i="30"/>
  <c r="AA508" i="30"/>
  <c r="AA523" i="30"/>
  <c r="AA91" i="30"/>
  <c r="AA98" i="30"/>
  <c r="AA513" i="30"/>
  <c r="AA518" i="30"/>
  <c r="AA89" i="30"/>
  <c r="AA96" i="30"/>
  <c r="AA506" i="30"/>
  <c r="AA511" i="30"/>
  <c r="AA516" i="30"/>
  <c r="AA521" i="30"/>
  <c r="AA87" i="30"/>
  <c r="AA94" i="30"/>
  <c r="AA99" i="30"/>
  <c r="AA102" i="30"/>
  <c r="AA111" i="30"/>
  <c r="AA118" i="30"/>
  <c r="AA127" i="30"/>
  <c r="AA134" i="30"/>
  <c r="AA143" i="30"/>
  <c r="AA148" i="30"/>
  <c r="AA155" i="30"/>
  <c r="AA100" i="30"/>
  <c r="AA109" i="30"/>
  <c r="AA116" i="30"/>
  <c r="AA125" i="30"/>
  <c r="AA132" i="30"/>
  <c r="AA141" i="30"/>
  <c r="AA153" i="30"/>
  <c r="AA160" i="30"/>
  <c r="AA107" i="30"/>
  <c r="AA114" i="30"/>
  <c r="AA123" i="30"/>
  <c r="AA130" i="30"/>
  <c r="AA139" i="30"/>
  <c r="AA146" i="30"/>
  <c r="AA158" i="30"/>
  <c r="AA105" i="30"/>
  <c r="AA112" i="30"/>
  <c r="AA121" i="30"/>
  <c r="AA128" i="30"/>
  <c r="AA137" i="30"/>
  <c r="AA144" i="30"/>
  <c r="AA151" i="30"/>
  <c r="AA156" i="30"/>
  <c r="AA103" i="30"/>
  <c r="AA110" i="30"/>
  <c r="AA119" i="30"/>
  <c r="AA126" i="30"/>
  <c r="AA135" i="30"/>
  <c r="AA142" i="30"/>
  <c r="AA149" i="30"/>
  <c r="AA154" i="30"/>
  <c r="AA101" i="30"/>
  <c r="AA108" i="30"/>
  <c r="AA117" i="30"/>
  <c r="AA124" i="30"/>
  <c r="AA133" i="30"/>
  <c r="AA140" i="30"/>
  <c r="AA147" i="30"/>
  <c r="AA106" i="30"/>
  <c r="AA115" i="30"/>
  <c r="AA122" i="30"/>
  <c r="AA131" i="30"/>
  <c r="AA138" i="30"/>
  <c r="AA152" i="30"/>
  <c r="AA159" i="30"/>
  <c r="AA104" i="30"/>
  <c r="AA113" i="30"/>
  <c r="AA120" i="30"/>
  <c r="AA129" i="30"/>
  <c r="AA136" i="30"/>
  <c r="AA145" i="30"/>
  <c r="AA150" i="30"/>
  <c r="AA157" i="30"/>
  <c r="AA86" i="30"/>
  <c r="Z514" i="30"/>
  <c r="Z519" i="30"/>
  <c r="Z524" i="30"/>
  <c r="Z90" i="30"/>
  <c r="Z99" i="30"/>
  <c r="Z507" i="30"/>
  <c r="Z517" i="30"/>
  <c r="Z522" i="30"/>
  <c r="Z88" i="30"/>
  <c r="Z97" i="30"/>
  <c r="Z512" i="30"/>
  <c r="Z505" i="30"/>
  <c r="Z95" i="30"/>
  <c r="Z510" i="30"/>
  <c r="Z515" i="30"/>
  <c r="Z520" i="30"/>
  <c r="Z93" i="30"/>
  <c r="Z508" i="30"/>
  <c r="Z523" i="30"/>
  <c r="Z91" i="30"/>
  <c r="Z98" i="30"/>
  <c r="Z513" i="30"/>
  <c r="Z518" i="30"/>
  <c r="Z89" i="30"/>
  <c r="Z96" i="30"/>
  <c r="Z506" i="30"/>
  <c r="Z511" i="30"/>
  <c r="Z516" i="30"/>
  <c r="Z521" i="30"/>
  <c r="Z87" i="30"/>
  <c r="Z94" i="30"/>
  <c r="Z509" i="30"/>
  <c r="Z92" i="30"/>
  <c r="Z100" i="30"/>
  <c r="Z109" i="30"/>
  <c r="Z116" i="30"/>
  <c r="Z125" i="30"/>
  <c r="Z132" i="30"/>
  <c r="Z141" i="30"/>
  <c r="Z153" i="30"/>
  <c r="Z160" i="30"/>
  <c r="Z107" i="30"/>
  <c r="Z114" i="30"/>
  <c r="Z123" i="30"/>
  <c r="Z130" i="30"/>
  <c r="Z139" i="30"/>
  <c r="Z146" i="30"/>
  <c r="Z158" i="30"/>
  <c r="Z105" i="30"/>
  <c r="Z112" i="30"/>
  <c r="Z121" i="30"/>
  <c r="Z128" i="30"/>
  <c r="Z137" i="30"/>
  <c r="Z144" i="30"/>
  <c r="Z151" i="30"/>
  <c r="Z156" i="30"/>
  <c r="Z103" i="30"/>
  <c r="Z110" i="30"/>
  <c r="Z119" i="30"/>
  <c r="Z126" i="30"/>
  <c r="Z135" i="30"/>
  <c r="Z142" i="30"/>
  <c r="Z149" i="30"/>
  <c r="Z154" i="30"/>
  <c r="Z101" i="30"/>
  <c r="Z108" i="30"/>
  <c r="Z117" i="30"/>
  <c r="Z124" i="30"/>
  <c r="Z133" i="30"/>
  <c r="Z140" i="30"/>
  <c r="Z147" i="30"/>
  <c r="Z106" i="30"/>
  <c r="Z115" i="30"/>
  <c r="Z122" i="30"/>
  <c r="Z131" i="30"/>
  <c r="Z138" i="30"/>
  <c r="Z152" i="30"/>
  <c r="Z159" i="30"/>
  <c r="Z104" i="30"/>
  <c r="Z113" i="30"/>
  <c r="Z120" i="30"/>
  <c r="Z129" i="30"/>
  <c r="Z136" i="30"/>
  <c r="Z145" i="30"/>
  <c r="Z150" i="30"/>
  <c r="Z157" i="30"/>
  <c r="Z86" i="30"/>
  <c r="Z102" i="30"/>
  <c r="Z111" i="30"/>
  <c r="Z118" i="30"/>
  <c r="Z127" i="30"/>
  <c r="Z134" i="30"/>
  <c r="Z143" i="30"/>
  <c r="Z148" i="30"/>
  <c r="Z155" i="30"/>
  <c r="Y507" i="30"/>
  <c r="Y517" i="30"/>
  <c r="Y522" i="30"/>
  <c r="Y88" i="30"/>
  <c r="Y97" i="30"/>
  <c r="Y512" i="30"/>
  <c r="Y505" i="30"/>
  <c r="Y95" i="30"/>
  <c r="Y510" i="30"/>
  <c r="Y515" i="30"/>
  <c r="Y520" i="30"/>
  <c r="Y93" i="30"/>
  <c r="Y508" i="30"/>
  <c r="Y523" i="30"/>
  <c r="Y91" i="30"/>
  <c r="Y98" i="30"/>
  <c r="Y513" i="30"/>
  <c r="Y518" i="30"/>
  <c r="Y89" i="30"/>
  <c r="Y96" i="30"/>
  <c r="Y506" i="30"/>
  <c r="Y511" i="30"/>
  <c r="Y516" i="30"/>
  <c r="Y521" i="30"/>
  <c r="Y87" i="30"/>
  <c r="Y94" i="30"/>
  <c r="Y509" i="30"/>
  <c r="Y92" i="30"/>
  <c r="Y514" i="30"/>
  <c r="Y519" i="30"/>
  <c r="Y524" i="30"/>
  <c r="Y90" i="30"/>
  <c r="Y99" i="30"/>
  <c r="Y107" i="30"/>
  <c r="Y114" i="30"/>
  <c r="Y123" i="30"/>
  <c r="Y130" i="30"/>
  <c r="Y139" i="30"/>
  <c r="Y146" i="30"/>
  <c r="Y158" i="30"/>
  <c r="Y105" i="30"/>
  <c r="Y112" i="30"/>
  <c r="Y121" i="30"/>
  <c r="Y128" i="30"/>
  <c r="Y137" i="30"/>
  <c r="Y144" i="30"/>
  <c r="Y151" i="30"/>
  <c r="Y156" i="30"/>
  <c r="Y103" i="30"/>
  <c r="Y110" i="30"/>
  <c r="Y119" i="30"/>
  <c r="Y126" i="30"/>
  <c r="Y135" i="30"/>
  <c r="Y142" i="30"/>
  <c r="Y149" i="30"/>
  <c r="Y154" i="30"/>
  <c r="Y101" i="30"/>
  <c r="Y108" i="30"/>
  <c r="Y117" i="30"/>
  <c r="Y124" i="30"/>
  <c r="Y133" i="30"/>
  <c r="Y140" i="30"/>
  <c r="Y147" i="30"/>
  <c r="Y106" i="30"/>
  <c r="Y115" i="30"/>
  <c r="Y122" i="30"/>
  <c r="Y131" i="30"/>
  <c r="Y138" i="30"/>
  <c r="Y152" i="30"/>
  <c r="Y159" i="30"/>
  <c r="Y104" i="30"/>
  <c r="Y113" i="30"/>
  <c r="Y120" i="30"/>
  <c r="Y129" i="30"/>
  <c r="Y136" i="30"/>
  <c r="Y145" i="30"/>
  <c r="Y150" i="30"/>
  <c r="Y157" i="30"/>
  <c r="Y86" i="30"/>
  <c r="Y102" i="30"/>
  <c r="Y111" i="30"/>
  <c r="Y118" i="30"/>
  <c r="Y127" i="30"/>
  <c r="Y134" i="30"/>
  <c r="Y143" i="30"/>
  <c r="Y148" i="30"/>
  <c r="Y155" i="30"/>
  <c r="Y100" i="30"/>
  <c r="Y109" i="30"/>
  <c r="Y116" i="30"/>
  <c r="Y125" i="30"/>
  <c r="Y132" i="30"/>
  <c r="Y141" i="30"/>
  <c r="Y153" i="30"/>
  <c r="Y160" i="30"/>
  <c r="X512" i="30"/>
  <c r="X505" i="30"/>
  <c r="X95" i="30"/>
  <c r="X510" i="30"/>
  <c r="X515" i="30"/>
  <c r="X520" i="30"/>
  <c r="X93" i="30"/>
  <c r="X508" i="30"/>
  <c r="X523" i="30"/>
  <c r="X91" i="30"/>
  <c r="X98" i="30"/>
  <c r="X513" i="30"/>
  <c r="X518" i="30"/>
  <c r="X89" i="30"/>
  <c r="X96" i="30"/>
  <c r="X506" i="30"/>
  <c r="X511" i="30"/>
  <c r="X516" i="30"/>
  <c r="X521" i="30"/>
  <c r="X87" i="30"/>
  <c r="X94" i="30"/>
  <c r="X509" i="30"/>
  <c r="X92" i="30"/>
  <c r="X514" i="30"/>
  <c r="X519" i="30"/>
  <c r="X524" i="30"/>
  <c r="X90" i="30"/>
  <c r="X99" i="30"/>
  <c r="X507" i="30"/>
  <c r="X517" i="30"/>
  <c r="X522" i="30"/>
  <c r="X88" i="30"/>
  <c r="X97" i="30"/>
  <c r="X105" i="30"/>
  <c r="X112" i="30"/>
  <c r="X121" i="30"/>
  <c r="X128" i="30"/>
  <c r="X137" i="30"/>
  <c r="X144" i="30"/>
  <c r="X151" i="30"/>
  <c r="X156" i="30"/>
  <c r="X103" i="30"/>
  <c r="X110" i="30"/>
  <c r="X119" i="30"/>
  <c r="X126" i="30"/>
  <c r="X135" i="30"/>
  <c r="X142" i="30"/>
  <c r="X149" i="30"/>
  <c r="X154" i="30"/>
  <c r="X101" i="30"/>
  <c r="X108" i="30"/>
  <c r="X117" i="30"/>
  <c r="X124" i="30"/>
  <c r="X133" i="30"/>
  <c r="X140" i="30"/>
  <c r="X147" i="30"/>
  <c r="X106" i="30"/>
  <c r="X115" i="30"/>
  <c r="X122" i="30"/>
  <c r="X131" i="30"/>
  <c r="X138" i="30"/>
  <c r="X152" i="30"/>
  <c r="X159" i="30"/>
  <c r="X104" i="30"/>
  <c r="X113" i="30"/>
  <c r="X120" i="30"/>
  <c r="X129" i="30"/>
  <c r="X136" i="30"/>
  <c r="X145" i="30"/>
  <c r="X150" i="30"/>
  <c r="X157" i="30"/>
  <c r="X86" i="30"/>
  <c r="X102" i="30"/>
  <c r="X111" i="30"/>
  <c r="X118" i="30"/>
  <c r="X127" i="30"/>
  <c r="X134" i="30"/>
  <c r="X143" i="30"/>
  <c r="X148" i="30"/>
  <c r="X155" i="30"/>
  <c r="X100" i="30"/>
  <c r="X109" i="30"/>
  <c r="X116" i="30"/>
  <c r="X125" i="30"/>
  <c r="X132" i="30"/>
  <c r="X141" i="30"/>
  <c r="X153" i="30"/>
  <c r="X160" i="30"/>
  <c r="X107" i="30"/>
  <c r="X114" i="30"/>
  <c r="X123" i="30"/>
  <c r="X130" i="30"/>
  <c r="X139" i="30"/>
  <c r="X146" i="30"/>
  <c r="X158" i="30"/>
  <c r="AB329" i="30"/>
  <c r="AB338" i="30"/>
  <c r="AB345" i="30"/>
  <c r="AB327" i="30"/>
  <c r="AB336" i="30"/>
  <c r="AB343" i="30"/>
  <c r="AB325" i="30"/>
  <c r="AB334" i="30"/>
  <c r="AB341" i="30"/>
  <c r="AB332" i="30"/>
  <c r="AB339" i="30"/>
  <c r="AB348" i="30"/>
  <c r="AB330" i="30"/>
  <c r="AB337" i="30"/>
  <c r="AB346" i="30"/>
  <c r="AB328" i="30"/>
  <c r="AB335" i="30"/>
  <c r="AB344" i="30"/>
  <c r="AB326" i="30"/>
  <c r="AB333" i="30"/>
  <c r="AB342" i="30"/>
  <c r="AB324" i="30"/>
  <c r="AB331" i="30"/>
  <c r="AB340" i="30"/>
  <c r="AB347" i="30"/>
  <c r="AB362" i="30"/>
  <c r="AB369" i="30"/>
  <c r="AB374" i="30"/>
  <c r="AB381" i="30"/>
  <c r="AB391" i="30"/>
  <c r="AB353" i="30"/>
  <c r="AB360" i="30"/>
  <c r="AB367" i="30"/>
  <c r="AB372" i="30"/>
  <c r="AB379" i="30"/>
  <c r="AB386" i="30"/>
  <c r="AB351" i="30"/>
  <c r="AB358" i="30"/>
  <c r="AB365" i="30"/>
  <c r="AB377" i="30"/>
  <c r="AB389" i="30"/>
  <c r="AB396" i="30"/>
  <c r="AB349" i="30"/>
  <c r="AB356" i="30"/>
  <c r="AB363" i="30"/>
  <c r="AB370" i="30"/>
  <c r="AB375" i="30"/>
  <c r="AB384" i="30"/>
  <c r="AB394" i="30"/>
  <c r="AB354" i="30"/>
  <c r="AB361" i="30"/>
  <c r="AB373" i="30"/>
  <c r="AB382" i="30"/>
  <c r="AB387" i="30"/>
  <c r="AB392" i="30"/>
  <c r="AB359" i="30"/>
  <c r="AB368" i="30"/>
  <c r="AB380" i="30"/>
  <c r="AB390" i="30"/>
  <c r="AB397" i="30"/>
  <c r="AB352" i="30"/>
  <c r="AB357" i="30"/>
  <c r="AB366" i="30"/>
  <c r="AB371" i="30"/>
  <c r="AB378" i="30"/>
  <c r="AB385" i="30"/>
  <c r="AB395" i="30"/>
  <c r="AB350" i="30"/>
  <c r="AB355" i="30"/>
  <c r="AB364" i="30"/>
  <c r="AB376" i="30"/>
  <c r="AB383" i="30"/>
  <c r="AB388" i="30"/>
  <c r="AB393" i="30"/>
  <c r="AB323" i="30"/>
  <c r="AA327" i="30"/>
  <c r="AA336" i="30"/>
  <c r="AA343" i="30"/>
  <c r="AA325" i="30"/>
  <c r="AA334" i="30"/>
  <c r="AA341" i="30"/>
  <c r="AA332" i="30"/>
  <c r="AA339" i="30"/>
  <c r="AA330" i="30"/>
  <c r="AA337" i="30"/>
  <c r="AA346" i="30"/>
  <c r="AA328" i="30"/>
  <c r="AA335" i="30"/>
  <c r="AA344" i="30"/>
  <c r="AA326" i="30"/>
  <c r="AA333" i="30"/>
  <c r="AA342" i="30"/>
  <c r="AA324" i="30"/>
  <c r="AA331" i="30"/>
  <c r="AA340" i="30"/>
  <c r="AA347" i="30"/>
  <c r="AA329" i="30"/>
  <c r="AA338" i="30"/>
  <c r="AA345" i="30"/>
  <c r="AA348" i="30"/>
  <c r="AA353" i="30"/>
  <c r="AA360" i="30"/>
  <c r="AA367" i="30"/>
  <c r="AA372" i="30"/>
  <c r="AA379" i="30"/>
  <c r="AA386" i="30"/>
  <c r="AA351" i="30"/>
  <c r="AA358" i="30"/>
  <c r="AA365" i="30"/>
  <c r="AA377" i="30"/>
  <c r="AA389" i="30"/>
  <c r="AA396" i="30"/>
  <c r="AA349" i="30"/>
  <c r="AA356" i="30"/>
  <c r="AA363" i="30"/>
  <c r="AA370" i="30"/>
  <c r="AA375" i="30"/>
  <c r="AA384" i="30"/>
  <c r="AA394" i="30"/>
  <c r="AA354" i="30"/>
  <c r="AA361" i="30"/>
  <c r="AA373" i="30"/>
  <c r="AA382" i="30"/>
  <c r="AA387" i="30"/>
  <c r="AA392" i="30"/>
  <c r="AA359" i="30"/>
  <c r="AA368" i="30"/>
  <c r="AA380" i="30"/>
  <c r="AA390" i="30"/>
  <c r="AA397" i="30"/>
  <c r="AA352" i="30"/>
  <c r="AA357" i="30"/>
  <c r="AA366" i="30"/>
  <c r="AA371" i="30"/>
  <c r="AA378" i="30"/>
  <c r="AA385" i="30"/>
  <c r="AA395" i="30"/>
  <c r="AA350" i="30"/>
  <c r="AA355" i="30"/>
  <c r="AA364" i="30"/>
  <c r="AA376" i="30"/>
  <c r="AA383" i="30"/>
  <c r="AA388" i="30"/>
  <c r="AA393" i="30"/>
  <c r="AA362" i="30"/>
  <c r="AA369" i="30"/>
  <c r="AA374" i="30"/>
  <c r="AA381" i="30"/>
  <c r="AA391" i="30"/>
  <c r="AA323" i="30"/>
  <c r="Z325" i="30"/>
  <c r="Z334" i="30"/>
  <c r="Z341" i="30"/>
  <c r="Z332" i="30"/>
  <c r="Z339" i="30"/>
  <c r="Z348" i="30"/>
  <c r="Z330" i="30"/>
  <c r="Z337" i="30"/>
  <c r="Z346" i="30"/>
  <c r="Z328" i="30"/>
  <c r="Z335" i="30"/>
  <c r="Z344" i="30"/>
  <c r="Z326" i="30"/>
  <c r="Z333" i="30"/>
  <c r="Z342" i="30"/>
  <c r="Z324" i="30"/>
  <c r="Z331" i="30"/>
  <c r="Z340" i="30"/>
  <c r="Z347" i="30"/>
  <c r="Z329" i="30"/>
  <c r="Z338" i="30"/>
  <c r="Z345" i="30"/>
  <c r="Z327" i="30"/>
  <c r="Z336" i="30"/>
  <c r="Z343" i="30"/>
  <c r="Z351" i="30"/>
  <c r="Z358" i="30"/>
  <c r="Z365" i="30"/>
  <c r="Z377" i="30"/>
  <c r="Z389" i="30"/>
  <c r="Z396" i="30"/>
  <c r="Z349" i="30"/>
  <c r="Z356" i="30"/>
  <c r="Z363" i="30"/>
  <c r="Z370" i="30"/>
  <c r="Z375" i="30"/>
  <c r="Z384" i="30"/>
  <c r="Z394" i="30"/>
  <c r="Z354" i="30"/>
  <c r="Z361" i="30"/>
  <c r="Z373" i="30"/>
  <c r="Z382" i="30"/>
  <c r="Z387" i="30"/>
  <c r="Z392" i="30"/>
  <c r="Z359" i="30"/>
  <c r="Z368" i="30"/>
  <c r="Z380" i="30"/>
  <c r="Z390" i="30"/>
  <c r="Z397" i="30"/>
  <c r="Z352" i="30"/>
  <c r="Z357" i="30"/>
  <c r="Z366" i="30"/>
  <c r="Z371" i="30"/>
  <c r="Z378" i="30"/>
  <c r="Z385" i="30"/>
  <c r="Z395" i="30"/>
  <c r="Z350" i="30"/>
  <c r="Z355" i="30"/>
  <c r="Z364" i="30"/>
  <c r="Z376" i="30"/>
  <c r="Z383" i="30"/>
  <c r="Z388" i="30"/>
  <c r="Z393" i="30"/>
  <c r="Z362" i="30"/>
  <c r="Z369" i="30"/>
  <c r="Z374" i="30"/>
  <c r="Z381" i="30"/>
  <c r="Z391" i="30"/>
  <c r="Z353" i="30"/>
  <c r="Z360" i="30"/>
  <c r="Z367" i="30"/>
  <c r="Z372" i="30"/>
  <c r="Z379" i="30"/>
  <c r="Z386" i="30"/>
  <c r="Z323" i="30"/>
  <c r="AB407" i="30"/>
  <c r="AB414" i="30"/>
  <c r="AB421" i="30"/>
  <c r="AB430" i="30"/>
  <c r="AB440" i="30"/>
  <c r="AB447" i="30"/>
  <c r="AB464" i="30"/>
  <c r="AB469" i="30"/>
  <c r="AB248" i="30"/>
  <c r="AB255" i="30"/>
  <c r="AB276" i="30"/>
  <c r="AB281" i="30"/>
  <c r="AB290" i="30"/>
  <c r="AB295" i="30"/>
  <c r="AB304" i="30"/>
  <c r="AB311" i="30"/>
  <c r="AB405" i="30"/>
  <c r="AB419" i="30"/>
  <c r="AB428" i="30"/>
  <c r="AB433" i="30"/>
  <c r="AB438" i="30"/>
  <c r="AB445" i="30"/>
  <c r="AB452" i="30"/>
  <c r="AB457" i="30"/>
  <c r="AB462" i="30"/>
  <c r="AB467" i="30"/>
  <c r="AB246" i="30"/>
  <c r="AB253" i="30"/>
  <c r="AB262" i="30"/>
  <c r="AB267" i="30"/>
  <c r="AB274" i="30"/>
  <c r="AB279" i="30"/>
  <c r="AB288" i="30"/>
  <c r="AB293" i="30"/>
  <c r="AB302" i="30"/>
  <c r="AB309" i="30"/>
  <c r="AB318" i="30"/>
  <c r="AB403" i="30"/>
  <c r="AB412" i="30"/>
  <c r="AB417" i="30"/>
  <c r="AB426" i="30"/>
  <c r="AB443" i="30"/>
  <c r="AB450" i="30"/>
  <c r="AB455" i="30"/>
  <c r="AB460" i="30"/>
  <c r="AB474" i="30"/>
  <c r="AB251" i="30"/>
  <c r="AB260" i="30"/>
  <c r="AB265" i="30"/>
  <c r="AB272" i="30"/>
  <c r="AB286" i="30"/>
  <c r="AB300" i="30"/>
  <c r="AB307" i="30"/>
  <c r="AB316" i="30"/>
  <c r="AB410" i="30"/>
  <c r="AB415" i="30"/>
  <c r="AB424" i="30"/>
  <c r="AB431" i="30"/>
  <c r="AB436" i="30"/>
  <c r="AB441" i="30"/>
  <c r="AB465" i="30"/>
  <c r="AB472" i="30"/>
  <c r="AB249" i="30"/>
  <c r="AB258" i="30"/>
  <c r="AB270" i="30"/>
  <c r="AB277" i="30"/>
  <c r="AB284" i="30"/>
  <c r="AB291" i="30"/>
  <c r="AB298" i="30"/>
  <c r="AB305" i="30"/>
  <c r="AB314" i="30"/>
  <c r="AB408" i="30"/>
  <c r="AB422" i="30"/>
  <c r="AB429" i="30"/>
  <c r="AB434" i="30"/>
  <c r="AB439" i="30"/>
  <c r="AB448" i="30"/>
  <c r="AB453" i="30"/>
  <c r="AB458" i="30"/>
  <c r="AB463" i="30"/>
  <c r="AB470" i="30"/>
  <c r="AB247" i="30"/>
  <c r="AB256" i="30"/>
  <c r="AB263" i="30"/>
  <c r="AB268" i="30"/>
  <c r="AB275" i="30"/>
  <c r="AB282" i="30"/>
  <c r="AB289" i="30"/>
  <c r="AB296" i="30"/>
  <c r="AB303" i="30"/>
  <c r="AB312" i="30"/>
  <c r="AB319" i="30"/>
  <c r="AB406" i="30"/>
  <c r="AB413" i="30"/>
  <c r="AB420" i="30"/>
  <c r="AB427" i="30"/>
  <c r="AB446" i="30"/>
  <c r="AB451" i="30"/>
  <c r="AB461" i="30"/>
  <c r="AB468" i="30"/>
  <c r="AB475" i="30"/>
  <c r="AB254" i="30"/>
  <c r="AB261" i="30"/>
  <c r="AB273" i="30"/>
  <c r="AB280" i="30"/>
  <c r="AB287" i="30"/>
  <c r="AB294" i="30"/>
  <c r="AB301" i="30"/>
  <c r="AB310" i="30"/>
  <c r="AB317" i="30"/>
  <c r="AB245" i="30"/>
  <c r="AB404" i="30"/>
  <c r="AB411" i="30"/>
  <c r="AB418" i="30"/>
  <c r="AB425" i="30"/>
  <c r="AB432" i="30"/>
  <c r="AB437" i="30"/>
  <c r="AB444" i="30"/>
  <c r="AB456" i="30"/>
  <c r="AB466" i="30"/>
  <c r="AB473" i="30"/>
  <c r="AB252" i="30"/>
  <c r="AB259" i="30"/>
  <c r="AB266" i="30"/>
  <c r="AB271" i="30"/>
  <c r="AB278" i="30"/>
  <c r="AB285" i="30"/>
  <c r="AB292" i="30"/>
  <c r="AB299" i="30"/>
  <c r="AB308" i="30"/>
  <c r="AB315" i="30"/>
  <c r="AB402" i="30"/>
  <c r="AB409" i="30"/>
  <c r="AB416" i="30"/>
  <c r="AB423" i="30"/>
  <c r="AB435" i="30"/>
  <c r="AB442" i="30"/>
  <c r="AB449" i="30"/>
  <c r="AB454" i="30"/>
  <c r="AB459" i="30"/>
  <c r="AB471" i="30"/>
  <c r="AB401" i="30"/>
  <c r="AB250" i="30"/>
  <c r="AB257" i="30"/>
  <c r="AB264" i="30"/>
  <c r="AB269" i="30"/>
  <c r="AB283" i="30"/>
  <c r="AB297" i="30"/>
  <c r="AB306" i="30"/>
  <c r="AB313" i="30"/>
  <c r="Y410" i="30"/>
  <c r="Y415" i="30"/>
  <c r="Y424" i="30"/>
  <c r="Y431" i="30"/>
  <c r="Y436" i="30"/>
  <c r="Y441" i="30"/>
  <c r="Y465" i="30"/>
  <c r="Y472" i="30"/>
  <c r="Y249" i="30"/>
  <c r="Y258" i="30"/>
  <c r="Y270" i="30"/>
  <c r="Y277" i="30"/>
  <c r="Y284" i="30"/>
  <c r="Y291" i="30"/>
  <c r="Y298" i="30"/>
  <c r="Y305" i="30"/>
  <c r="Y314" i="30"/>
  <c r="Y408" i="30"/>
  <c r="Y422" i="30"/>
  <c r="Y429" i="30"/>
  <c r="Y434" i="30"/>
  <c r="Y439" i="30"/>
  <c r="Y448" i="30"/>
  <c r="Y453" i="30"/>
  <c r="Y458" i="30"/>
  <c r="Y463" i="30"/>
  <c r="Y470" i="30"/>
  <c r="Y247" i="30"/>
  <c r="Y256" i="30"/>
  <c r="Y263" i="30"/>
  <c r="Y268" i="30"/>
  <c r="Y275" i="30"/>
  <c r="Y282" i="30"/>
  <c r="Y289" i="30"/>
  <c r="Y296" i="30"/>
  <c r="Y303" i="30"/>
  <c r="Y312" i="30"/>
  <c r="Y319" i="30"/>
  <c r="Y406" i="30"/>
  <c r="Y413" i="30"/>
  <c r="Y420" i="30"/>
  <c r="Y427" i="30"/>
  <c r="Y446" i="30"/>
  <c r="Y451" i="30"/>
  <c r="Y461" i="30"/>
  <c r="Y468" i="30"/>
  <c r="Y475" i="30"/>
  <c r="Y254" i="30"/>
  <c r="Y261" i="30"/>
  <c r="Y273" i="30"/>
  <c r="Y280" i="30"/>
  <c r="Y287" i="30"/>
  <c r="Y294" i="30"/>
  <c r="Y301" i="30"/>
  <c r="Y310" i="30"/>
  <c r="Y317" i="30"/>
  <c r="Y245" i="30"/>
  <c r="Y404" i="30"/>
  <c r="Y411" i="30"/>
  <c r="Y418" i="30"/>
  <c r="Y425" i="30"/>
  <c r="Y432" i="30"/>
  <c r="Y437" i="30"/>
  <c r="Y444" i="30"/>
  <c r="Y456" i="30"/>
  <c r="Y466" i="30"/>
  <c r="Y473" i="30"/>
  <c r="Y252" i="30"/>
  <c r="Y259" i="30"/>
  <c r="Y266" i="30"/>
  <c r="Y271" i="30"/>
  <c r="Y278" i="30"/>
  <c r="Y285" i="30"/>
  <c r="Y292" i="30"/>
  <c r="Y299" i="30"/>
  <c r="Y308" i="30"/>
  <c r="Y315" i="30"/>
  <c r="Y402" i="30"/>
  <c r="Y409" i="30"/>
  <c r="Y416" i="30"/>
  <c r="Y423" i="30"/>
  <c r="Y435" i="30"/>
  <c r="Y442" i="30"/>
  <c r="Y449" i="30"/>
  <c r="Y454" i="30"/>
  <c r="Y459" i="30"/>
  <c r="Y471" i="30"/>
  <c r="Y401" i="30"/>
  <c r="Y250" i="30"/>
  <c r="Y257" i="30"/>
  <c r="Y264" i="30"/>
  <c r="Y269" i="30"/>
  <c r="Y283" i="30"/>
  <c r="Y297" i="30"/>
  <c r="Y306" i="30"/>
  <c r="Y313" i="30"/>
  <c r="Y407" i="30"/>
  <c r="Y414" i="30"/>
  <c r="Y421" i="30"/>
  <c r="Y430" i="30"/>
  <c r="Y440" i="30"/>
  <c r="Y447" i="30"/>
  <c r="Y464" i="30"/>
  <c r="Y469" i="30"/>
  <c r="Y248" i="30"/>
  <c r="Y255" i="30"/>
  <c r="Y276" i="30"/>
  <c r="Y281" i="30"/>
  <c r="Y290" i="30"/>
  <c r="Y295" i="30"/>
  <c r="Y304" i="30"/>
  <c r="Y311" i="30"/>
  <c r="Y405" i="30"/>
  <c r="Y419" i="30"/>
  <c r="Y428" i="30"/>
  <c r="Y433" i="30"/>
  <c r="Y438" i="30"/>
  <c r="Y445" i="30"/>
  <c r="Y452" i="30"/>
  <c r="Y457" i="30"/>
  <c r="Y462" i="30"/>
  <c r="Y467" i="30"/>
  <c r="Y246" i="30"/>
  <c r="Y253" i="30"/>
  <c r="Y262" i="30"/>
  <c r="Y267" i="30"/>
  <c r="Y274" i="30"/>
  <c r="Y279" i="30"/>
  <c r="Y288" i="30"/>
  <c r="Y293" i="30"/>
  <c r="Y302" i="30"/>
  <c r="Y309" i="30"/>
  <c r="Y318" i="30"/>
  <c r="Y403" i="30"/>
  <c r="Y412" i="30"/>
  <c r="Y417" i="30"/>
  <c r="Y426" i="30"/>
  <c r="Y443" i="30"/>
  <c r="Y450" i="30"/>
  <c r="Y455" i="30"/>
  <c r="Y460" i="30"/>
  <c r="Y474" i="30"/>
  <c r="Y251" i="30"/>
  <c r="Y260" i="30"/>
  <c r="Y265" i="30"/>
  <c r="Y272" i="30"/>
  <c r="Y286" i="30"/>
  <c r="Y300" i="30"/>
  <c r="Y307" i="30"/>
  <c r="Y316" i="30"/>
  <c r="X408" i="30"/>
  <c r="X422" i="30"/>
  <c r="X429" i="30"/>
  <c r="X434" i="30"/>
  <c r="X439" i="30"/>
  <c r="X448" i="30"/>
  <c r="X453" i="30"/>
  <c r="X458" i="30"/>
  <c r="X463" i="30"/>
  <c r="X470" i="30"/>
  <c r="X247" i="30"/>
  <c r="X256" i="30"/>
  <c r="X263" i="30"/>
  <c r="X268" i="30"/>
  <c r="X275" i="30"/>
  <c r="X282" i="30"/>
  <c r="X289" i="30"/>
  <c r="X296" i="30"/>
  <c r="X303" i="30"/>
  <c r="X312" i="30"/>
  <c r="X319" i="30"/>
  <c r="X406" i="30"/>
  <c r="X413" i="30"/>
  <c r="X420" i="30"/>
  <c r="X427" i="30"/>
  <c r="X446" i="30"/>
  <c r="X451" i="30"/>
  <c r="X461" i="30"/>
  <c r="X468" i="30"/>
  <c r="X475" i="30"/>
  <c r="X254" i="30"/>
  <c r="X261" i="30"/>
  <c r="X273" i="30"/>
  <c r="X280" i="30"/>
  <c r="X287" i="30"/>
  <c r="X294" i="30"/>
  <c r="X301" i="30"/>
  <c r="X310" i="30"/>
  <c r="X317" i="30"/>
  <c r="X245" i="30"/>
  <c r="X404" i="30"/>
  <c r="X411" i="30"/>
  <c r="X418" i="30"/>
  <c r="X425" i="30"/>
  <c r="X432" i="30"/>
  <c r="X437" i="30"/>
  <c r="X444" i="30"/>
  <c r="X456" i="30"/>
  <c r="X466" i="30"/>
  <c r="X473" i="30"/>
  <c r="X252" i="30"/>
  <c r="X259" i="30"/>
  <c r="X266" i="30"/>
  <c r="X271" i="30"/>
  <c r="X278" i="30"/>
  <c r="X285" i="30"/>
  <c r="X292" i="30"/>
  <c r="X299" i="30"/>
  <c r="X308" i="30"/>
  <c r="X315" i="30"/>
  <c r="X402" i="30"/>
  <c r="X409" i="30"/>
  <c r="X416" i="30"/>
  <c r="X423" i="30"/>
  <c r="X435" i="30"/>
  <c r="X442" i="30"/>
  <c r="X449" i="30"/>
  <c r="X454" i="30"/>
  <c r="X459" i="30"/>
  <c r="X471" i="30"/>
  <c r="X401" i="30"/>
  <c r="X250" i="30"/>
  <c r="X257" i="30"/>
  <c r="X264" i="30"/>
  <c r="X269" i="30"/>
  <c r="X283" i="30"/>
  <c r="X297" i="30"/>
  <c r="X306" i="30"/>
  <c r="X313" i="30"/>
  <c r="X407" i="30"/>
  <c r="X414" i="30"/>
  <c r="X421" i="30"/>
  <c r="X430" i="30"/>
  <c r="X440" i="30"/>
  <c r="X447" i="30"/>
  <c r="X464" i="30"/>
  <c r="X469" i="30"/>
  <c r="X248" i="30"/>
  <c r="X255" i="30"/>
  <c r="X276" i="30"/>
  <c r="X281" i="30"/>
  <c r="X290" i="30"/>
  <c r="X295" i="30"/>
  <c r="X304" i="30"/>
  <c r="X311" i="30"/>
  <c r="X405" i="30"/>
  <c r="X419" i="30"/>
  <c r="X428" i="30"/>
  <c r="X433" i="30"/>
  <c r="X438" i="30"/>
  <c r="X445" i="30"/>
  <c r="X452" i="30"/>
  <c r="X457" i="30"/>
  <c r="X462" i="30"/>
  <c r="X467" i="30"/>
  <c r="X246" i="30"/>
  <c r="X253" i="30"/>
  <c r="X262" i="30"/>
  <c r="X267" i="30"/>
  <c r="X274" i="30"/>
  <c r="X279" i="30"/>
  <c r="X288" i="30"/>
  <c r="X293" i="30"/>
  <c r="X302" i="30"/>
  <c r="X309" i="30"/>
  <c r="X318" i="30"/>
  <c r="X403" i="30"/>
  <c r="X412" i="30"/>
  <c r="X417" i="30"/>
  <c r="X426" i="30"/>
  <c r="X443" i="30"/>
  <c r="X450" i="30"/>
  <c r="X455" i="30"/>
  <c r="X460" i="30"/>
  <c r="X474" i="30"/>
  <c r="X251" i="30"/>
  <c r="X260" i="30"/>
  <c r="X265" i="30"/>
  <c r="X272" i="30"/>
  <c r="X286" i="30"/>
  <c r="X300" i="30"/>
  <c r="X307" i="30"/>
  <c r="X316" i="30"/>
  <c r="X410" i="30"/>
  <c r="X415" i="30"/>
  <c r="X424" i="30"/>
  <c r="X431" i="30"/>
  <c r="X436" i="30"/>
  <c r="X441" i="30"/>
  <c r="X465" i="30"/>
  <c r="X472" i="30"/>
  <c r="X249" i="30"/>
  <c r="X258" i="30"/>
  <c r="X270" i="30"/>
  <c r="X277" i="30"/>
  <c r="X284" i="30"/>
  <c r="X291" i="30"/>
  <c r="X298" i="30"/>
  <c r="X305" i="30"/>
  <c r="X314" i="30"/>
  <c r="AA405" i="30"/>
  <c r="AA419" i="30"/>
  <c r="AA428" i="30"/>
  <c r="AA433" i="30"/>
  <c r="AA438" i="30"/>
  <c r="AA445" i="30"/>
  <c r="AA452" i="30"/>
  <c r="AA457" i="30"/>
  <c r="AA462" i="30"/>
  <c r="AA467" i="30"/>
  <c r="AA246" i="30"/>
  <c r="AA253" i="30"/>
  <c r="AA262" i="30"/>
  <c r="AA267" i="30"/>
  <c r="AA274" i="30"/>
  <c r="AA279" i="30"/>
  <c r="AA288" i="30"/>
  <c r="AA293" i="30"/>
  <c r="AA302" i="30"/>
  <c r="AA309" i="30"/>
  <c r="AA318" i="30"/>
  <c r="AA403" i="30"/>
  <c r="AA412" i="30"/>
  <c r="AA417" i="30"/>
  <c r="AA426" i="30"/>
  <c r="AA443" i="30"/>
  <c r="AA450" i="30"/>
  <c r="AA455" i="30"/>
  <c r="AA460" i="30"/>
  <c r="AA474" i="30"/>
  <c r="AA251" i="30"/>
  <c r="AA260" i="30"/>
  <c r="AA265" i="30"/>
  <c r="AA272" i="30"/>
  <c r="AA286" i="30"/>
  <c r="AA300" i="30"/>
  <c r="AA307" i="30"/>
  <c r="AA316" i="30"/>
  <c r="AA410" i="30"/>
  <c r="AA415" i="30"/>
  <c r="AA424" i="30"/>
  <c r="AA431" i="30"/>
  <c r="AA436" i="30"/>
  <c r="AA441" i="30"/>
  <c r="AA465" i="30"/>
  <c r="AA472" i="30"/>
  <c r="AA249" i="30"/>
  <c r="AA258" i="30"/>
  <c r="AA270" i="30"/>
  <c r="AA277" i="30"/>
  <c r="AA284" i="30"/>
  <c r="AA291" i="30"/>
  <c r="AA298" i="30"/>
  <c r="AA305" i="30"/>
  <c r="AA314" i="30"/>
  <c r="AA408" i="30"/>
  <c r="AA422" i="30"/>
  <c r="AA429" i="30"/>
  <c r="AA434" i="30"/>
  <c r="AA439" i="30"/>
  <c r="AA448" i="30"/>
  <c r="AA453" i="30"/>
  <c r="AA458" i="30"/>
  <c r="AA463" i="30"/>
  <c r="AA470" i="30"/>
  <c r="AA247" i="30"/>
  <c r="AA256" i="30"/>
  <c r="AA263" i="30"/>
  <c r="AA268" i="30"/>
  <c r="AA275" i="30"/>
  <c r="AA282" i="30"/>
  <c r="AA289" i="30"/>
  <c r="AA296" i="30"/>
  <c r="AA303" i="30"/>
  <c r="AA312" i="30"/>
  <c r="AA319" i="30"/>
  <c r="AA406" i="30"/>
  <c r="AA413" i="30"/>
  <c r="AA420" i="30"/>
  <c r="AA427" i="30"/>
  <c r="AA446" i="30"/>
  <c r="AA451" i="30"/>
  <c r="AA461" i="30"/>
  <c r="AA468" i="30"/>
  <c r="AA475" i="30"/>
  <c r="AA254" i="30"/>
  <c r="AA261" i="30"/>
  <c r="AA273" i="30"/>
  <c r="AA280" i="30"/>
  <c r="AA287" i="30"/>
  <c r="AA294" i="30"/>
  <c r="AA301" i="30"/>
  <c r="AA310" i="30"/>
  <c r="AA317" i="30"/>
  <c r="AA245" i="30"/>
  <c r="AA404" i="30"/>
  <c r="AA411" i="30"/>
  <c r="AA418" i="30"/>
  <c r="AA425" i="30"/>
  <c r="AA432" i="30"/>
  <c r="AA437" i="30"/>
  <c r="AA444" i="30"/>
  <c r="AA456" i="30"/>
  <c r="AA466" i="30"/>
  <c r="AA473" i="30"/>
  <c r="AA252" i="30"/>
  <c r="AA259" i="30"/>
  <c r="AA266" i="30"/>
  <c r="AA271" i="30"/>
  <c r="AA278" i="30"/>
  <c r="AA285" i="30"/>
  <c r="AA292" i="30"/>
  <c r="AA299" i="30"/>
  <c r="AA308" i="30"/>
  <c r="AA315" i="30"/>
  <c r="AA402" i="30"/>
  <c r="AA409" i="30"/>
  <c r="AA416" i="30"/>
  <c r="AA423" i="30"/>
  <c r="AA435" i="30"/>
  <c r="AA442" i="30"/>
  <c r="AA449" i="30"/>
  <c r="AA454" i="30"/>
  <c r="AA459" i="30"/>
  <c r="AA471" i="30"/>
  <c r="AA401" i="30"/>
  <c r="AA250" i="30"/>
  <c r="AA257" i="30"/>
  <c r="AA264" i="30"/>
  <c r="AA269" i="30"/>
  <c r="AA283" i="30"/>
  <c r="AA297" i="30"/>
  <c r="AA306" i="30"/>
  <c r="AA313" i="30"/>
  <c r="AA407" i="30"/>
  <c r="AA414" i="30"/>
  <c r="AA421" i="30"/>
  <c r="AA430" i="30"/>
  <c r="AA440" i="30"/>
  <c r="AA447" i="30"/>
  <c r="AA464" i="30"/>
  <c r="AA469" i="30"/>
  <c r="AA248" i="30"/>
  <c r="AA255" i="30"/>
  <c r="AA276" i="30"/>
  <c r="AA281" i="30"/>
  <c r="AA290" i="30"/>
  <c r="AA295" i="30"/>
  <c r="AA304" i="30"/>
  <c r="AA311" i="30"/>
  <c r="Z403" i="30"/>
  <c r="Z412" i="30"/>
  <c r="Z417" i="30"/>
  <c r="Z426" i="30"/>
  <c r="Z443" i="30"/>
  <c r="Z450" i="30"/>
  <c r="Z455" i="30"/>
  <c r="Z460" i="30"/>
  <c r="Z474" i="30"/>
  <c r="Z251" i="30"/>
  <c r="Z260" i="30"/>
  <c r="Z265" i="30"/>
  <c r="Z272" i="30"/>
  <c r="Z286" i="30"/>
  <c r="Z300" i="30"/>
  <c r="Z307" i="30"/>
  <c r="Z316" i="30"/>
  <c r="Z410" i="30"/>
  <c r="Z415" i="30"/>
  <c r="Z424" i="30"/>
  <c r="Z431" i="30"/>
  <c r="Z436" i="30"/>
  <c r="Z441" i="30"/>
  <c r="Z465" i="30"/>
  <c r="Z472" i="30"/>
  <c r="Z249" i="30"/>
  <c r="Z258" i="30"/>
  <c r="Z270" i="30"/>
  <c r="Z277" i="30"/>
  <c r="Z284" i="30"/>
  <c r="Z291" i="30"/>
  <c r="Z298" i="30"/>
  <c r="Z305" i="30"/>
  <c r="Z314" i="30"/>
  <c r="Z408" i="30"/>
  <c r="Z422" i="30"/>
  <c r="Z429" i="30"/>
  <c r="Z434" i="30"/>
  <c r="Z439" i="30"/>
  <c r="Z448" i="30"/>
  <c r="Z453" i="30"/>
  <c r="Z458" i="30"/>
  <c r="Z463" i="30"/>
  <c r="Z470" i="30"/>
  <c r="Z247" i="30"/>
  <c r="Z256" i="30"/>
  <c r="Z263" i="30"/>
  <c r="Z268" i="30"/>
  <c r="Z275" i="30"/>
  <c r="Z282" i="30"/>
  <c r="Z289" i="30"/>
  <c r="Z296" i="30"/>
  <c r="Z303" i="30"/>
  <c r="Z312" i="30"/>
  <c r="Z319" i="30"/>
  <c r="Z406" i="30"/>
  <c r="Z413" i="30"/>
  <c r="Z420" i="30"/>
  <c r="Z427" i="30"/>
  <c r="Z446" i="30"/>
  <c r="Z451" i="30"/>
  <c r="Z461" i="30"/>
  <c r="Z468" i="30"/>
  <c r="Z475" i="30"/>
  <c r="Z254" i="30"/>
  <c r="Z261" i="30"/>
  <c r="Z273" i="30"/>
  <c r="Z280" i="30"/>
  <c r="Z287" i="30"/>
  <c r="Z294" i="30"/>
  <c r="Z301" i="30"/>
  <c r="Z310" i="30"/>
  <c r="Z317" i="30"/>
  <c r="Z245" i="30"/>
  <c r="Z404" i="30"/>
  <c r="Z411" i="30"/>
  <c r="Z418" i="30"/>
  <c r="Z425" i="30"/>
  <c r="Z432" i="30"/>
  <c r="Z437" i="30"/>
  <c r="Z444" i="30"/>
  <c r="Z456" i="30"/>
  <c r="Z466" i="30"/>
  <c r="Z473" i="30"/>
  <c r="Z252" i="30"/>
  <c r="Z259" i="30"/>
  <c r="Z266" i="30"/>
  <c r="Z271" i="30"/>
  <c r="Z278" i="30"/>
  <c r="Z285" i="30"/>
  <c r="Z292" i="30"/>
  <c r="Z299" i="30"/>
  <c r="Z308" i="30"/>
  <c r="Z315" i="30"/>
  <c r="Z402" i="30"/>
  <c r="Z409" i="30"/>
  <c r="Z416" i="30"/>
  <c r="Z423" i="30"/>
  <c r="Z435" i="30"/>
  <c r="Z442" i="30"/>
  <c r="Z449" i="30"/>
  <c r="Z454" i="30"/>
  <c r="Z459" i="30"/>
  <c r="Z471" i="30"/>
  <c r="Z401" i="30"/>
  <c r="Z250" i="30"/>
  <c r="Z257" i="30"/>
  <c r="Z264" i="30"/>
  <c r="Z269" i="30"/>
  <c r="Z283" i="30"/>
  <c r="Z297" i="30"/>
  <c r="Z306" i="30"/>
  <c r="Z313" i="30"/>
  <c r="Z407" i="30"/>
  <c r="Z414" i="30"/>
  <c r="Z421" i="30"/>
  <c r="Z430" i="30"/>
  <c r="Z440" i="30"/>
  <c r="Z447" i="30"/>
  <c r="Z464" i="30"/>
  <c r="Z469" i="30"/>
  <c r="Z248" i="30"/>
  <c r="Z255" i="30"/>
  <c r="Z276" i="30"/>
  <c r="Z281" i="30"/>
  <c r="Z290" i="30"/>
  <c r="Z295" i="30"/>
  <c r="Z304" i="30"/>
  <c r="Z311" i="30"/>
  <c r="Z405" i="30"/>
  <c r="Z419" i="30"/>
  <c r="Z428" i="30"/>
  <c r="Z433" i="30"/>
  <c r="Z438" i="30"/>
  <c r="Z445" i="30"/>
  <c r="Z452" i="30"/>
  <c r="Z457" i="30"/>
  <c r="Z462" i="30"/>
  <c r="Z467" i="30"/>
  <c r="Z246" i="30"/>
  <c r="Z253" i="30"/>
  <c r="Z262" i="30"/>
  <c r="Z267" i="30"/>
  <c r="Z274" i="30"/>
  <c r="Z279" i="30"/>
  <c r="Z288" i="30"/>
  <c r="Z293" i="30"/>
  <c r="Z302" i="30"/>
  <c r="Z309" i="30"/>
  <c r="Z318" i="30"/>
  <c r="B5" i="21"/>
  <c r="C9" i="26" l="1"/>
  <c r="E29" i="32" l="1"/>
  <c r="C25" i="45"/>
  <c r="C37" i="45"/>
  <c r="C52" i="45"/>
  <c r="C65" i="45"/>
  <c r="B3" i="6" l="1"/>
  <c r="B2" i="6"/>
  <c r="I68" i="23" l="1"/>
  <c r="I83" i="23"/>
  <c r="I91" i="23"/>
  <c r="I92" i="23"/>
  <c r="J35" i="4"/>
  <c r="C16" i="38"/>
  <c r="E16" i="38" s="1"/>
  <c r="E72" i="32" l="1"/>
  <c r="E41" i="4"/>
  <c r="E40" i="4"/>
  <c r="E9" i="11"/>
  <c r="C47" i="31"/>
  <c r="C33" i="31"/>
  <c r="C38" i="45"/>
  <c r="C39" i="45"/>
  <c r="C40" i="45"/>
  <c r="C41" i="45"/>
  <c r="C53" i="45"/>
  <c r="C54" i="45"/>
  <c r="C55" i="45"/>
  <c r="C56" i="45"/>
  <c r="F83" i="38"/>
  <c r="E74" i="32"/>
  <c r="K59" i="32"/>
  <c r="L59" i="32"/>
  <c r="J59" i="32"/>
  <c r="E59" i="32"/>
  <c r="K45" i="32"/>
  <c r="L45" i="32"/>
  <c r="J45" i="32"/>
  <c r="E45" i="32"/>
  <c r="K31" i="32"/>
  <c r="L31" i="32"/>
  <c r="J31" i="32"/>
  <c r="E31" i="32"/>
  <c r="K15" i="32"/>
  <c r="L15" i="32"/>
  <c r="J15" i="32"/>
  <c r="E15" i="32"/>
  <c r="E80" i="32"/>
  <c r="E69" i="32"/>
  <c r="D69" i="32"/>
  <c r="B209" i="35"/>
  <c r="B74" i="35"/>
  <c r="E83" i="32"/>
  <c r="E82" i="32"/>
  <c r="D81" i="32"/>
  <c r="E81" i="32"/>
  <c r="E79" i="32"/>
  <c r="E78" i="32"/>
  <c r="E76" i="32"/>
  <c r="E75" i="32"/>
  <c r="E73" i="32"/>
  <c r="E71" i="32"/>
  <c r="M69" i="32"/>
  <c r="AB42" i="34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46" i="27"/>
  <c r="O23" i="9"/>
  <c r="O24" i="9"/>
  <c r="O25" i="9"/>
  <c r="O26" i="9"/>
  <c r="O27" i="9"/>
  <c r="O28" i="9"/>
  <c r="O29" i="9"/>
  <c r="O30" i="9"/>
  <c r="O31" i="9"/>
  <c r="O32" i="9"/>
  <c r="O33" i="9"/>
  <c r="O35" i="9"/>
  <c r="O36" i="9"/>
  <c r="O37" i="9"/>
  <c r="O38" i="9"/>
  <c r="O39" i="9"/>
  <c r="O40" i="9"/>
  <c r="O41" i="9"/>
  <c r="C28" i="6"/>
  <c r="J74" i="32" l="1"/>
  <c r="L74" i="32"/>
  <c r="K74" i="32"/>
  <c r="J75" i="4" l="1"/>
  <c r="K75" i="4"/>
  <c r="L75" i="4"/>
  <c r="J67" i="4"/>
  <c r="K67" i="4"/>
  <c r="L67" i="4"/>
  <c r="G30" i="2" l="1"/>
  <c r="G32" i="2" s="1"/>
  <c r="G33" i="2"/>
  <c r="G36" i="2" s="1"/>
  <c r="G31" i="2" l="1"/>
  <c r="E331" i="43"/>
  <c r="E16" i="43"/>
  <c r="E85" i="46"/>
  <c r="E5" i="46"/>
  <c r="E287" i="31"/>
  <c r="E50" i="31"/>
  <c r="F134" i="27"/>
  <c r="E134" i="27"/>
  <c r="F44" i="27"/>
  <c r="E44" i="27"/>
  <c r="G479" i="30"/>
  <c r="E479" i="30"/>
  <c r="G868" i="30"/>
  <c r="E868" i="30"/>
  <c r="G551" i="30"/>
  <c r="E551" i="30"/>
  <c r="E242" i="30"/>
  <c r="E5" i="30"/>
  <c r="E242" i="29"/>
  <c r="E5" i="29"/>
  <c r="F146" i="21"/>
  <c r="E146" i="21"/>
  <c r="F77" i="21"/>
  <c r="E77" i="21"/>
  <c r="F30" i="21"/>
  <c r="E30" i="21"/>
  <c r="E398" i="19"/>
  <c r="E5" i="19"/>
  <c r="E791" i="18"/>
  <c r="E479" i="18"/>
  <c r="E242" i="18"/>
  <c r="E5" i="18"/>
  <c r="E242" i="17"/>
  <c r="E5" i="17"/>
  <c r="E245" i="12"/>
  <c r="E5" i="12"/>
  <c r="F123" i="9"/>
  <c r="E123" i="9"/>
  <c r="F44" i="9"/>
  <c r="E44" i="9"/>
  <c r="E47" i="27"/>
  <c r="F47" i="27"/>
  <c r="E48" i="27"/>
  <c r="F48" i="27"/>
  <c r="E49" i="27"/>
  <c r="F49" i="27"/>
  <c r="E50" i="27"/>
  <c r="F50" i="27"/>
  <c r="E51" i="27"/>
  <c r="F51" i="27"/>
  <c r="E52" i="27"/>
  <c r="F52" i="27"/>
  <c r="E53" i="27"/>
  <c r="F53" i="27"/>
  <c r="E54" i="27"/>
  <c r="F54" i="27"/>
  <c r="E55" i="27"/>
  <c r="F55" i="27"/>
  <c r="E56" i="27"/>
  <c r="F56" i="27"/>
  <c r="E57" i="27"/>
  <c r="F57" i="27"/>
  <c r="E58" i="27"/>
  <c r="F58" i="27"/>
  <c r="E59" i="27"/>
  <c r="F59" i="27"/>
  <c r="E60" i="27"/>
  <c r="F60" i="27"/>
  <c r="E61" i="27"/>
  <c r="F61" i="27"/>
  <c r="E62" i="27"/>
  <c r="F62" i="27"/>
  <c r="E63" i="27"/>
  <c r="F63" i="27"/>
  <c r="E64" i="27"/>
  <c r="F64" i="27"/>
  <c r="E65" i="27"/>
  <c r="F65" i="27"/>
  <c r="E66" i="27"/>
  <c r="F66" i="27"/>
  <c r="E67" i="27"/>
  <c r="F67" i="27"/>
  <c r="E68" i="27"/>
  <c r="F68" i="27"/>
  <c r="E69" i="27"/>
  <c r="F69" i="27"/>
  <c r="E70" i="27"/>
  <c r="F70" i="27"/>
  <c r="E71" i="27"/>
  <c r="F71" i="27"/>
  <c r="E72" i="27"/>
  <c r="F72" i="27"/>
  <c r="E73" i="27"/>
  <c r="F73" i="27"/>
  <c r="E74" i="27"/>
  <c r="F74" i="27"/>
  <c r="E75" i="27"/>
  <c r="F75" i="27"/>
  <c r="E76" i="27"/>
  <c r="F76" i="27"/>
  <c r="E77" i="27"/>
  <c r="F77" i="27"/>
  <c r="E78" i="27"/>
  <c r="F78" i="27"/>
  <c r="E79" i="27"/>
  <c r="F79" i="27"/>
  <c r="E80" i="27"/>
  <c r="F80" i="27"/>
  <c r="E81" i="27"/>
  <c r="F81" i="27"/>
  <c r="E82" i="27"/>
  <c r="F82" i="27"/>
  <c r="E83" i="27"/>
  <c r="F83" i="27"/>
  <c r="E84" i="27"/>
  <c r="F84" i="27"/>
  <c r="E85" i="27"/>
  <c r="F85" i="27"/>
  <c r="E86" i="27"/>
  <c r="F86" i="27"/>
  <c r="E87" i="27"/>
  <c r="F87" i="27"/>
  <c r="E88" i="27"/>
  <c r="F88" i="27"/>
  <c r="E89" i="27"/>
  <c r="F89" i="27"/>
  <c r="E90" i="27"/>
  <c r="F90" i="27"/>
  <c r="E91" i="27"/>
  <c r="F91" i="27"/>
  <c r="E92" i="27"/>
  <c r="F92" i="27"/>
  <c r="E93" i="27"/>
  <c r="F93" i="27"/>
  <c r="E94" i="27"/>
  <c r="F94" i="27"/>
  <c r="E95" i="27"/>
  <c r="F95" i="27"/>
  <c r="E96" i="27"/>
  <c r="F96" i="27"/>
  <c r="E97" i="27"/>
  <c r="F97" i="27"/>
  <c r="E98" i="27"/>
  <c r="F98" i="27"/>
  <c r="E99" i="27"/>
  <c r="F99" i="27"/>
  <c r="E100" i="27"/>
  <c r="F100" i="27"/>
  <c r="E101" i="27"/>
  <c r="F101" i="27"/>
  <c r="E102" i="27"/>
  <c r="F102" i="27"/>
  <c r="E103" i="27"/>
  <c r="F103" i="27"/>
  <c r="E104" i="27"/>
  <c r="F104" i="27"/>
  <c r="E105" i="27"/>
  <c r="F105" i="27"/>
  <c r="E106" i="27"/>
  <c r="F106" i="27"/>
  <c r="E107" i="27"/>
  <c r="F107" i="27"/>
  <c r="E108" i="27"/>
  <c r="F108" i="27"/>
  <c r="E109" i="27"/>
  <c r="F109" i="27"/>
  <c r="E110" i="27"/>
  <c r="F110" i="27"/>
  <c r="E111" i="27"/>
  <c r="F111" i="27"/>
  <c r="E112" i="27"/>
  <c r="F112" i="27"/>
  <c r="E113" i="27"/>
  <c r="F113" i="27"/>
  <c r="E114" i="27"/>
  <c r="F114" i="27"/>
  <c r="E115" i="27"/>
  <c r="F115" i="27"/>
  <c r="E116" i="27"/>
  <c r="F116" i="27"/>
  <c r="E117" i="27"/>
  <c r="F117" i="27"/>
  <c r="E118" i="27"/>
  <c r="F118" i="27"/>
  <c r="E119" i="27"/>
  <c r="F119" i="27"/>
  <c r="E120" i="27"/>
  <c r="F120" i="27"/>
  <c r="E46" i="27"/>
  <c r="F46" i="27"/>
  <c r="E483" i="30"/>
  <c r="E529" i="30" s="1"/>
  <c r="G483" i="30"/>
  <c r="G529" i="30" s="1"/>
  <c r="E484" i="30"/>
  <c r="E530" i="30" s="1"/>
  <c r="G484" i="30"/>
  <c r="G530" i="30" s="1"/>
  <c r="E485" i="30"/>
  <c r="E531" i="30" s="1"/>
  <c r="G485" i="30"/>
  <c r="G531" i="30" s="1"/>
  <c r="E486" i="30"/>
  <c r="E532" i="30" s="1"/>
  <c r="G486" i="30"/>
  <c r="G532" i="30" s="1"/>
  <c r="E487" i="30"/>
  <c r="E533" i="30" s="1"/>
  <c r="G487" i="30"/>
  <c r="G533" i="30" s="1"/>
  <c r="E488" i="30"/>
  <c r="E534" i="30" s="1"/>
  <c r="G488" i="30"/>
  <c r="G534" i="30" s="1"/>
  <c r="E489" i="30"/>
  <c r="E535" i="30" s="1"/>
  <c r="G489" i="30"/>
  <c r="G535" i="30" s="1"/>
  <c r="E490" i="30"/>
  <c r="E536" i="30" s="1"/>
  <c r="G490" i="30"/>
  <c r="G536" i="30" s="1"/>
  <c r="E491" i="30"/>
  <c r="E537" i="30" s="1"/>
  <c r="G491" i="30"/>
  <c r="G537" i="30" s="1"/>
  <c r="E492" i="30"/>
  <c r="E538" i="30" s="1"/>
  <c r="G492" i="30"/>
  <c r="G538" i="30" s="1"/>
  <c r="E493" i="30"/>
  <c r="E539" i="30" s="1"/>
  <c r="G493" i="30"/>
  <c r="G539" i="30" s="1"/>
  <c r="E494" i="30"/>
  <c r="E540" i="30" s="1"/>
  <c r="G494" i="30"/>
  <c r="G540" i="30" s="1"/>
  <c r="E495" i="30"/>
  <c r="E541" i="30" s="1"/>
  <c r="G495" i="30"/>
  <c r="G541" i="30" s="1"/>
  <c r="E496" i="30"/>
  <c r="E542" i="30" s="1"/>
  <c r="G496" i="30"/>
  <c r="G542" i="30" s="1"/>
  <c r="E497" i="30"/>
  <c r="E543" i="30" s="1"/>
  <c r="G497" i="30"/>
  <c r="G543" i="30" s="1"/>
  <c r="E498" i="30"/>
  <c r="E544" i="30" s="1"/>
  <c r="G498" i="30"/>
  <c r="G544" i="30" s="1"/>
  <c r="E499" i="30"/>
  <c r="E545" i="30" s="1"/>
  <c r="G499" i="30"/>
  <c r="G545" i="30" s="1"/>
  <c r="E500" i="30"/>
  <c r="E546" i="30" s="1"/>
  <c r="G500" i="30"/>
  <c r="G546" i="30" s="1"/>
  <c r="E501" i="30"/>
  <c r="E547" i="30" s="1"/>
  <c r="G501" i="30"/>
  <c r="G547" i="30" s="1"/>
  <c r="E482" i="30"/>
  <c r="E528" i="30" s="1"/>
  <c r="G482" i="30"/>
  <c r="G528" i="30" s="1"/>
  <c r="E194" i="21"/>
  <c r="F194" i="21"/>
  <c r="E195" i="21"/>
  <c r="F195" i="21"/>
  <c r="E196" i="21"/>
  <c r="F196" i="21"/>
  <c r="E197" i="21"/>
  <c r="F197" i="21"/>
  <c r="E198" i="21"/>
  <c r="F198" i="21"/>
  <c r="E199" i="21"/>
  <c r="F199" i="21"/>
  <c r="E200" i="21"/>
  <c r="F200" i="21"/>
  <c r="E201" i="21"/>
  <c r="F201" i="21"/>
  <c r="E202" i="21"/>
  <c r="F202" i="21"/>
  <c r="E203" i="21"/>
  <c r="F203" i="21"/>
  <c r="E204" i="21"/>
  <c r="F204" i="21"/>
  <c r="E205" i="21"/>
  <c r="F205" i="21"/>
  <c r="E206" i="21"/>
  <c r="F206" i="21"/>
  <c r="E207" i="21"/>
  <c r="F207" i="21"/>
  <c r="E208" i="21"/>
  <c r="F208" i="21"/>
  <c r="E209" i="21"/>
  <c r="F209" i="21"/>
  <c r="E210" i="21"/>
  <c r="F210" i="21"/>
  <c r="E211" i="21"/>
  <c r="F211" i="21"/>
  <c r="E212" i="21"/>
  <c r="F212" i="21"/>
  <c r="F193" i="21"/>
  <c r="E193" i="21"/>
  <c r="E172" i="21"/>
  <c r="F172" i="21"/>
  <c r="E173" i="21"/>
  <c r="F173" i="21"/>
  <c r="E174" i="21"/>
  <c r="F174" i="21"/>
  <c r="E175" i="21"/>
  <c r="F175" i="21"/>
  <c r="E176" i="21"/>
  <c r="F176" i="21"/>
  <c r="E177" i="21"/>
  <c r="F177" i="21"/>
  <c r="E178" i="21"/>
  <c r="F178" i="21"/>
  <c r="E179" i="21"/>
  <c r="F179" i="21"/>
  <c r="E180" i="21"/>
  <c r="F180" i="21"/>
  <c r="E181" i="21"/>
  <c r="F181" i="21"/>
  <c r="E182" i="21"/>
  <c r="F182" i="21"/>
  <c r="E183" i="21"/>
  <c r="F183" i="21"/>
  <c r="E184" i="21"/>
  <c r="F184" i="21"/>
  <c r="E185" i="21"/>
  <c r="F185" i="21"/>
  <c r="E186" i="21"/>
  <c r="F186" i="21"/>
  <c r="E187" i="21"/>
  <c r="F187" i="21"/>
  <c r="E188" i="21"/>
  <c r="F188" i="21"/>
  <c r="E189" i="21"/>
  <c r="F189" i="21"/>
  <c r="E190" i="21"/>
  <c r="F190" i="21"/>
  <c r="F171" i="21"/>
  <c r="E171" i="21"/>
  <c r="E150" i="21"/>
  <c r="F150" i="21"/>
  <c r="E151" i="21"/>
  <c r="F151" i="21"/>
  <c r="E152" i="21"/>
  <c r="F152" i="21"/>
  <c r="E153" i="21"/>
  <c r="F153" i="21"/>
  <c r="E154" i="21"/>
  <c r="F154" i="21"/>
  <c r="E155" i="21"/>
  <c r="F155" i="21"/>
  <c r="E156" i="21"/>
  <c r="F156" i="21"/>
  <c r="E157" i="21"/>
  <c r="F157" i="21"/>
  <c r="E158" i="21"/>
  <c r="F158" i="21"/>
  <c r="E159" i="21"/>
  <c r="F159" i="21"/>
  <c r="E160" i="21"/>
  <c r="F160" i="21"/>
  <c r="E161" i="21"/>
  <c r="F161" i="21"/>
  <c r="E162" i="21"/>
  <c r="F162" i="21"/>
  <c r="E163" i="21"/>
  <c r="F163" i="21"/>
  <c r="E164" i="21"/>
  <c r="F164" i="21"/>
  <c r="E165" i="21"/>
  <c r="F165" i="21"/>
  <c r="E166" i="21"/>
  <c r="F166" i="21"/>
  <c r="E167" i="21"/>
  <c r="F167" i="21"/>
  <c r="E168" i="21"/>
  <c r="F168" i="21"/>
  <c r="F149" i="21"/>
  <c r="E149" i="21"/>
  <c r="E125" i="21"/>
  <c r="F125" i="21"/>
  <c r="E126" i="21"/>
  <c r="F126" i="21"/>
  <c r="E127" i="21"/>
  <c r="F127" i="21"/>
  <c r="E128" i="21"/>
  <c r="F128" i="21"/>
  <c r="E129" i="21"/>
  <c r="F129" i="21"/>
  <c r="E130" i="21"/>
  <c r="F130" i="21"/>
  <c r="E131" i="21"/>
  <c r="F131" i="21"/>
  <c r="E132" i="21"/>
  <c r="F132" i="21"/>
  <c r="E133" i="21"/>
  <c r="F133" i="21"/>
  <c r="E134" i="21"/>
  <c r="F134" i="21"/>
  <c r="E135" i="21"/>
  <c r="F135" i="21"/>
  <c r="E136" i="21"/>
  <c r="F136" i="21"/>
  <c r="E137" i="21"/>
  <c r="F137" i="21"/>
  <c r="E138" i="21"/>
  <c r="F138" i="21"/>
  <c r="E139" i="21"/>
  <c r="F139" i="21"/>
  <c r="E140" i="21"/>
  <c r="F140" i="21"/>
  <c r="E141" i="21"/>
  <c r="F141" i="21"/>
  <c r="E142" i="21"/>
  <c r="F142" i="21"/>
  <c r="E143" i="21"/>
  <c r="F143" i="21"/>
  <c r="F124" i="21"/>
  <c r="E124" i="21"/>
  <c r="E102" i="21"/>
  <c r="E103" i="21"/>
  <c r="F103" i="21"/>
  <c r="E104" i="21"/>
  <c r="F104" i="21"/>
  <c r="E105" i="21"/>
  <c r="F105" i="21"/>
  <c r="E106" i="21"/>
  <c r="F106" i="21"/>
  <c r="E107" i="21"/>
  <c r="F107" i="21"/>
  <c r="E108" i="21"/>
  <c r="F108" i="21"/>
  <c r="E109" i="21"/>
  <c r="F109" i="21"/>
  <c r="E110" i="21"/>
  <c r="F110" i="21"/>
  <c r="E111" i="21"/>
  <c r="F111" i="21"/>
  <c r="E112" i="21"/>
  <c r="F112" i="21"/>
  <c r="E113" i="21"/>
  <c r="F113" i="21"/>
  <c r="E114" i="21"/>
  <c r="F114" i="21"/>
  <c r="E115" i="21"/>
  <c r="F115" i="21"/>
  <c r="E116" i="21"/>
  <c r="F116" i="21"/>
  <c r="E117" i="21"/>
  <c r="F117" i="21"/>
  <c r="E118" i="21"/>
  <c r="F118" i="21"/>
  <c r="E119" i="21"/>
  <c r="F119" i="21"/>
  <c r="E120" i="21"/>
  <c r="F120" i="21"/>
  <c r="E121" i="21"/>
  <c r="F121" i="21"/>
  <c r="F102" i="21"/>
  <c r="E81" i="21"/>
  <c r="F81" i="21"/>
  <c r="E82" i="21"/>
  <c r="F82" i="21"/>
  <c r="E83" i="21"/>
  <c r="F83" i="21"/>
  <c r="E84" i="21"/>
  <c r="F84" i="21"/>
  <c r="E85" i="21"/>
  <c r="F85" i="21"/>
  <c r="E86" i="21"/>
  <c r="F86" i="21"/>
  <c r="E87" i="21"/>
  <c r="F87" i="21"/>
  <c r="E88" i="21"/>
  <c r="F88" i="21"/>
  <c r="E89" i="21"/>
  <c r="F89" i="21"/>
  <c r="E90" i="21"/>
  <c r="F90" i="21"/>
  <c r="E91" i="21"/>
  <c r="F91" i="21"/>
  <c r="E92" i="21"/>
  <c r="F92" i="21"/>
  <c r="E93" i="21"/>
  <c r="F93" i="21"/>
  <c r="E94" i="21"/>
  <c r="F94" i="21"/>
  <c r="E95" i="21"/>
  <c r="F95" i="21"/>
  <c r="E96" i="21"/>
  <c r="F96" i="21"/>
  <c r="E97" i="21"/>
  <c r="F97" i="21"/>
  <c r="E98" i="21"/>
  <c r="F98" i="21"/>
  <c r="E99" i="21"/>
  <c r="F99" i="21"/>
  <c r="F80" i="21"/>
  <c r="E80" i="21"/>
  <c r="E56" i="21"/>
  <c r="F56" i="21"/>
  <c r="E57" i="21"/>
  <c r="F57" i="21"/>
  <c r="E58" i="21"/>
  <c r="F58" i="21"/>
  <c r="E59" i="21"/>
  <c r="F59" i="21"/>
  <c r="E60" i="21"/>
  <c r="F60" i="21"/>
  <c r="E61" i="21"/>
  <c r="F61" i="21"/>
  <c r="E62" i="21"/>
  <c r="F62" i="21"/>
  <c r="E63" i="21"/>
  <c r="F63" i="21"/>
  <c r="E64" i="21"/>
  <c r="F64" i="21"/>
  <c r="E65" i="21"/>
  <c r="F65" i="21"/>
  <c r="E66" i="21"/>
  <c r="F66" i="21"/>
  <c r="E67" i="21"/>
  <c r="F67" i="21"/>
  <c r="E68" i="21"/>
  <c r="F68" i="21"/>
  <c r="E69" i="21"/>
  <c r="F69" i="21"/>
  <c r="E70" i="21"/>
  <c r="F70" i="21"/>
  <c r="E71" i="21"/>
  <c r="F71" i="21"/>
  <c r="E72" i="21"/>
  <c r="F72" i="21"/>
  <c r="E73" i="21"/>
  <c r="F73" i="21"/>
  <c r="E74" i="21"/>
  <c r="F74" i="21"/>
  <c r="F55" i="21"/>
  <c r="E55" i="21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00" i="6"/>
  <c r="C94" i="6"/>
  <c r="C95" i="6"/>
  <c r="C96" i="6"/>
  <c r="C97" i="6"/>
  <c r="C98" i="6"/>
  <c r="C99" i="6"/>
  <c r="C93" i="6"/>
  <c r="M5" i="12"/>
  <c r="M6" i="12" s="1"/>
  <c r="N5" i="12"/>
  <c r="N6" i="12" s="1"/>
  <c r="K31" i="21" s="1"/>
  <c r="O5" i="12"/>
  <c r="O6" i="12" s="1"/>
  <c r="L31" i="21" s="1"/>
  <c r="P5" i="12"/>
  <c r="P6" i="12" s="1"/>
  <c r="P246" i="12" s="1"/>
  <c r="Q5" i="12"/>
  <c r="Q6" i="12" s="1"/>
  <c r="N31" i="21" s="1"/>
  <c r="R5" i="12"/>
  <c r="R6" i="12" s="1"/>
  <c r="O31" i="21" s="1"/>
  <c r="S5" i="12"/>
  <c r="S6" i="12" s="1"/>
  <c r="P31" i="21" s="1"/>
  <c r="T5" i="12"/>
  <c r="T6" i="12" s="1"/>
  <c r="Q31" i="21" s="1"/>
  <c r="U5" i="12"/>
  <c r="U6" i="12" s="1"/>
  <c r="U246" i="12" s="1"/>
  <c r="V5" i="12"/>
  <c r="V6" i="12" s="1"/>
  <c r="V246" i="12" s="1"/>
  <c r="W5" i="12"/>
  <c r="W6" i="12" s="1"/>
  <c r="T31" i="21" s="1"/>
  <c r="X5" i="12"/>
  <c r="Y5" i="12"/>
  <c r="Y6" i="12" s="1"/>
  <c r="V31" i="21" s="1"/>
  <c r="Z5" i="12"/>
  <c r="Z6" i="12" s="1"/>
  <c r="W31" i="21" s="1"/>
  <c r="AA5" i="12"/>
  <c r="AA6" i="12" s="1"/>
  <c r="X31" i="21" s="1"/>
  <c r="AB5" i="12"/>
  <c r="AB6" i="12" s="1"/>
  <c r="Y31" i="21" s="1"/>
  <c r="AC5" i="12"/>
  <c r="AC6" i="12" s="1"/>
  <c r="Z31" i="21" s="1"/>
  <c r="AD5" i="12"/>
  <c r="AD6" i="12" s="1"/>
  <c r="AA31" i="21" s="1"/>
  <c r="AE5" i="12"/>
  <c r="AE6" i="12" s="1"/>
  <c r="AB31" i="21" s="1"/>
  <c r="AF5" i="12"/>
  <c r="AF6" i="12" s="1"/>
  <c r="AF246" i="12" s="1"/>
  <c r="AF241" i="12"/>
  <c r="AE241" i="12"/>
  <c r="AD241" i="12"/>
  <c r="AC241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AF162" i="12"/>
  <c r="AE162" i="12"/>
  <c r="AD162" i="12"/>
  <c r="AC162" i="12"/>
  <c r="AB162" i="12"/>
  <c r="AA162" i="12"/>
  <c r="Z162" i="12"/>
  <c r="Z83" i="12"/>
  <c r="AA83" i="12"/>
  <c r="AB83" i="12"/>
  <c r="AC83" i="12"/>
  <c r="AD83" i="12"/>
  <c r="AE83" i="12"/>
  <c r="AF83" i="12"/>
  <c r="M60" i="32"/>
  <c r="L60" i="32"/>
  <c r="K60" i="32"/>
  <c r="J60" i="32"/>
  <c r="C8" i="34"/>
  <c r="H82" i="45" s="1"/>
  <c r="C27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C28" i="34"/>
  <c r="C29" i="34"/>
  <c r="C30" i="34"/>
  <c r="C31" i="34"/>
  <c r="C32" i="34"/>
  <c r="C33" i="34"/>
  <c r="C34" i="34"/>
  <c r="C35" i="34"/>
  <c r="C36" i="34"/>
  <c r="C37" i="34"/>
  <c r="C7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112" i="27"/>
  <c r="D113" i="27"/>
  <c r="D114" i="27"/>
  <c r="D115" i="27"/>
  <c r="D116" i="27"/>
  <c r="D117" i="27"/>
  <c r="D118" i="27"/>
  <c r="D119" i="27"/>
  <c r="D120" i="27"/>
  <c r="C8" i="27"/>
  <c r="C9" i="27"/>
  <c r="C10" i="27"/>
  <c r="C11" i="27"/>
  <c r="C12" i="27"/>
  <c r="C13" i="27"/>
  <c r="C14" i="27"/>
  <c r="C15" i="27"/>
  <c r="C16" i="27"/>
  <c r="C17" i="27"/>
  <c r="C8" i="31"/>
  <c r="C9" i="31"/>
  <c r="C10" i="31"/>
  <c r="C24" i="31" s="1"/>
  <c r="C11" i="31"/>
  <c r="C12" i="31"/>
  <c r="C13" i="31"/>
  <c r="C14" i="31"/>
  <c r="C15" i="31"/>
  <c r="C16" i="31"/>
  <c r="C17" i="31"/>
  <c r="C18" i="31"/>
  <c r="I145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E118" i="4"/>
  <c r="M5" i="4"/>
  <c r="E99" i="4"/>
  <c r="E98" i="4"/>
  <c r="E97" i="4"/>
  <c r="M9" i="26"/>
  <c r="M15" i="26"/>
  <c r="J58" i="32"/>
  <c r="J63" i="32"/>
  <c r="K58" i="32"/>
  <c r="L58" i="32"/>
  <c r="M40" i="26"/>
  <c r="M41" i="26" s="1"/>
  <c r="J46" i="32"/>
  <c r="J49" i="32"/>
  <c r="K46" i="32"/>
  <c r="L46" i="32"/>
  <c r="J32" i="32"/>
  <c r="J35" i="32"/>
  <c r="K32" i="32"/>
  <c r="L32" i="32"/>
  <c r="M24" i="26"/>
  <c r="J14" i="32"/>
  <c r="J16" i="32"/>
  <c r="J19" i="32"/>
  <c r="J21" i="32"/>
  <c r="J80" i="32" s="1"/>
  <c r="K14" i="32"/>
  <c r="K16" i="32"/>
  <c r="K21" i="32"/>
  <c r="K80" i="32" s="1"/>
  <c r="L14" i="32"/>
  <c r="L16" i="32"/>
  <c r="L21" i="32"/>
  <c r="L80" i="32" s="1"/>
  <c r="J5" i="38"/>
  <c r="G3" i="49"/>
  <c r="B1" i="23" s="1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H60" i="6"/>
  <c r="K60" i="6" s="1"/>
  <c r="H59" i="6"/>
  <c r="K59" i="6" s="1"/>
  <c r="P37" i="9"/>
  <c r="X7" i="29" s="1"/>
  <c r="P38" i="9"/>
  <c r="Y7" i="29" s="1"/>
  <c r="P39" i="9"/>
  <c r="Z7" i="29" s="1"/>
  <c r="P40" i="9"/>
  <c r="AA7" i="29" s="1"/>
  <c r="P41" i="9"/>
  <c r="AB7" i="29" s="1"/>
  <c r="M41" i="32"/>
  <c r="H67" i="6"/>
  <c r="H56" i="6"/>
  <c r="H54" i="6"/>
  <c r="H55" i="6"/>
  <c r="H58" i="6"/>
  <c r="H57" i="6"/>
  <c r="H63" i="6"/>
  <c r="K63" i="6" s="1"/>
  <c r="H61" i="6"/>
  <c r="K61" i="6" s="1"/>
  <c r="H62" i="6"/>
  <c r="K62" i="6" s="1"/>
  <c r="H65" i="6"/>
  <c r="K65" i="6" s="1"/>
  <c r="H64" i="6"/>
  <c r="K64" i="6" s="1"/>
  <c r="H66" i="6"/>
  <c r="H74" i="6"/>
  <c r="K74" i="6" s="1"/>
  <c r="H70" i="6"/>
  <c r="K70" i="6" s="1"/>
  <c r="H68" i="6"/>
  <c r="K68" i="6" s="1"/>
  <c r="H69" i="6"/>
  <c r="K69" i="6" s="1"/>
  <c r="H72" i="6"/>
  <c r="K72" i="6" s="1"/>
  <c r="H71" i="6"/>
  <c r="K71" i="6" s="1"/>
  <c r="H73" i="6"/>
  <c r="H77" i="6"/>
  <c r="H75" i="6"/>
  <c r="K75" i="6" s="1"/>
  <c r="H76" i="6"/>
  <c r="K76" i="6" s="1"/>
  <c r="H79" i="6"/>
  <c r="K79" i="6" s="1"/>
  <c r="H78" i="6"/>
  <c r="K78" i="6" s="1"/>
  <c r="H80" i="6"/>
  <c r="K80" i="6" s="1"/>
  <c r="M5" i="26"/>
  <c r="M24" i="4"/>
  <c r="M29" i="4"/>
  <c r="M67" i="4"/>
  <c r="M30" i="26" s="1"/>
  <c r="M46" i="32"/>
  <c r="M21" i="32"/>
  <c r="M80" i="32" s="1"/>
  <c r="M16" i="32"/>
  <c r="N24" i="4"/>
  <c r="N29" i="4"/>
  <c r="M5" i="11"/>
  <c r="N67" i="4"/>
  <c r="O24" i="4"/>
  <c r="O29" i="4"/>
  <c r="O67" i="4"/>
  <c r="P24" i="4"/>
  <c r="P29" i="4"/>
  <c r="P67" i="4"/>
  <c r="Q24" i="4"/>
  <c r="Q29" i="4"/>
  <c r="Q67" i="4"/>
  <c r="N113" i="4"/>
  <c r="O113" i="4"/>
  <c r="P113" i="4"/>
  <c r="Q113" i="4"/>
  <c r="P123" i="27"/>
  <c r="N39" i="28"/>
  <c r="N25" i="34"/>
  <c r="N142" i="34" s="1"/>
  <c r="I212" i="31"/>
  <c r="I213" i="31"/>
  <c r="I214" i="31"/>
  <c r="I215" i="31"/>
  <c r="I216" i="31"/>
  <c r="I217" i="31"/>
  <c r="I218" i="31"/>
  <c r="I219" i="31"/>
  <c r="I221" i="31"/>
  <c r="I222" i="31"/>
  <c r="I223" i="31"/>
  <c r="I224" i="31"/>
  <c r="I209" i="31"/>
  <c r="I210" i="31"/>
  <c r="I211" i="31"/>
  <c r="I220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67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C289" i="31"/>
  <c r="C249" i="29"/>
  <c r="M113" i="4"/>
  <c r="M37" i="26" s="1"/>
  <c r="M32" i="32"/>
  <c r="M11" i="32"/>
  <c r="M26" i="32"/>
  <c r="M55" i="32"/>
  <c r="M106" i="4"/>
  <c r="M14" i="4"/>
  <c r="L24" i="4"/>
  <c r="L29" i="4"/>
  <c r="K29" i="4"/>
  <c r="J29" i="4"/>
  <c r="K24" i="4"/>
  <c r="J24" i="4"/>
  <c r="C82" i="50"/>
  <c r="C38" i="50"/>
  <c r="N5" i="28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58" i="43" s="1"/>
  <c r="C48" i="12"/>
  <c r="C59" i="43" s="1"/>
  <c r="C49" i="12"/>
  <c r="C60" i="43" s="1"/>
  <c r="C50" i="12"/>
  <c r="C61" i="43" s="1"/>
  <c r="C51" i="12"/>
  <c r="C62" i="43" s="1"/>
  <c r="C52" i="12"/>
  <c r="C63" i="43" s="1"/>
  <c r="C53" i="12"/>
  <c r="C64" i="43" s="1"/>
  <c r="C54" i="12"/>
  <c r="C65" i="43" s="1"/>
  <c r="C55" i="12"/>
  <c r="C66" i="43" s="1"/>
  <c r="C56" i="12"/>
  <c r="C67" i="43" s="1"/>
  <c r="C57" i="12"/>
  <c r="C68" i="43" s="1"/>
  <c r="C58" i="12"/>
  <c r="C69" i="43" s="1"/>
  <c r="C59" i="12"/>
  <c r="C70" i="43" s="1"/>
  <c r="C60" i="12"/>
  <c r="C71" i="43" s="1"/>
  <c r="C61" i="12"/>
  <c r="C72" i="43" s="1"/>
  <c r="C62" i="12"/>
  <c r="C73" i="43" s="1"/>
  <c r="C63" i="12"/>
  <c r="C74" i="43" s="1"/>
  <c r="C64" i="12"/>
  <c r="C75" i="43" s="1"/>
  <c r="C65" i="12"/>
  <c r="C76" i="43" s="1"/>
  <c r="C66" i="12"/>
  <c r="C77" i="43" s="1"/>
  <c r="C67" i="12"/>
  <c r="C78" i="43" s="1"/>
  <c r="C68" i="12"/>
  <c r="C79" i="43" s="1"/>
  <c r="C69" i="12"/>
  <c r="C80" i="43" s="1"/>
  <c r="C70" i="12"/>
  <c r="C81" i="43" s="1"/>
  <c r="C71" i="12"/>
  <c r="C82" i="43" s="1"/>
  <c r="C72" i="12"/>
  <c r="C83" i="43" s="1"/>
  <c r="C73" i="12"/>
  <c r="C84" i="43" s="1"/>
  <c r="C74" i="12"/>
  <c r="C85" i="43" s="1"/>
  <c r="C75" i="12"/>
  <c r="C86" i="43" s="1"/>
  <c r="C76" i="12"/>
  <c r="C87" i="43" s="1"/>
  <c r="C77" i="12"/>
  <c r="C88" i="43" s="1"/>
  <c r="C78" i="12"/>
  <c r="C89" i="43" s="1"/>
  <c r="C79" i="12"/>
  <c r="C90" i="43" s="1"/>
  <c r="C80" i="12"/>
  <c r="C91" i="43" s="1"/>
  <c r="C81" i="12"/>
  <c r="C92" i="43" s="1"/>
  <c r="C82" i="12"/>
  <c r="C93" i="43" s="1"/>
  <c r="Q75" i="47"/>
  <c r="M75" i="47"/>
  <c r="I75" i="47"/>
  <c r="E75" i="47"/>
  <c r="C252" i="50"/>
  <c r="C241" i="50"/>
  <c r="C251" i="50" s="1"/>
  <c r="C240" i="50"/>
  <c r="C250" i="50" s="1"/>
  <c r="C239" i="50"/>
  <c r="C249" i="50" s="1"/>
  <c r="C238" i="50"/>
  <c r="C248" i="50" s="1"/>
  <c r="C237" i="50"/>
  <c r="C247" i="50" s="1"/>
  <c r="C246" i="50"/>
  <c r="C245" i="50"/>
  <c r="J234" i="50"/>
  <c r="J244" i="50" s="1"/>
  <c r="I244" i="50"/>
  <c r="H244" i="50"/>
  <c r="G244" i="50"/>
  <c r="F244" i="50"/>
  <c r="E244" i="50"/>
  <c r="J127" i="50"/>
  <c r="J137" i="50" s="1"/>
  <c r="I137" i="50"/>
  <c r="H137" i="50"/>
  <c r="G137" i="50"/>
  <c r="F137" i="50"/>
  <c r="E137" i="50"/>
  <c r="C139" i="50"/>
  <c r="C138" i="50"/>
  <c r="C145" i="50"/>
  <c r="C134" i="50"/>
  <c r="C144" i="50" s="1"/>
  <c r="C133" i="50"/>
  <c r="C143" i="50" s="1"/>
  <c r="C132" i="50"/>
  <c r="C142" i="50" s="1"/>
  <c r="C131" i="50"/>
  <c r="C141" i="50" s="1"/>
  <c r="C130" i="50"/>
  <c r="C140" i="50" s="1"/>
  <c r="M82" i="50"/>
  <c r="C92" i="50"/>
  <c r="C91" i="50"/>
  <c r="C90" i="50"/>
  <c r="C89" i="50"/>
  <c r="C88" i="50"/>
  <c r="C87" i="50"/>
  <c r="C86" i="50"/>
  <c r="E82" i="50"/>
  <c r="C85" i="50" s="1"/>
  <c r="I37" i="50"/>
  <c r="B3" i="35"/>
  <c r="B3" i="34"/>
  <c r="B3" i="32"/>
  <c r="B3" i="31"/>
  <c r="B3" i="27"/>
  <c r="B3" i="30"/>
  <c r="B3" i="29"/>
  <c r="B3" i="26"/>
  <c r="B3" i="22"/>
  <c r="B3" i="21"/>
  <c r="B3" i="19"/>
  <c r="B3" i="18"/>
  <c r="B3" i="17"/>
  <c r="B3" i="12"/>
  <c r="B3" i="9"/>
  <c r="B3" i="28"/>
  <c r="B2" i="28"/>
  <c r="B3" i="11"/>
  <c r="B3" i="4"/>
  <c r="B3" i="2"/>
  <c r="B2" i="2"/>
  <c r="B3" i="47"/>
  <c r="B3" i="50"/>
  <c r="B2" i="50"/>
  <c r="C30" i="49"/>
  <c r="E30" i="49"/>
  <c r="B3" i="45"/>
  <c r="B3" i="43"/>
  <c r="B2" i="46"/>
  <c r="B3" i="46"/>
  <c r="B3" i="38"/>
  <c r="E44" i="49"/>
  <c r="E47" i="49"/>
  <c r="E48" i="49"/>
  <c r="E46" i="49"/>
  <c r="E50" i="49"/>
  <c r="E45" i="49"/>
  <c r="E49" i="49"/>
  <c r="E51" i="49"/>
  <c r="E32" i="49"/>
  <c r="E33" i="49"/>
  <c r="E34" i="49"/>
  <c r="E35" i="49"/>
  <c r="E36" i="49"/>
  <c r="E37" i="49"/>
  <c r="E38" i="49"/>
  <c r="E39" i="49"/>
  <c r="E40" i="49"/>
  <c r="E41" i="49"/>
  <c r="E42" i="49"/>
  <c r="K50" i="31"/>
  <c r="L50" i="31"/>
  <c r="M50" i="31"/>
  <c r="N50" i="31"/>
  <c r="Q50" i="31"/>
  <c r="M19" i="22"/>
  <c r="C97" i="38"/>
  <c r="S97" i="38" s="1"/>
  <c r="C7" i="22"/>
  <c r="C21" i="22" s="1"/>
  <c r="C8" i="22"/>
  <c r="C22" i="22" s="1"/>
  <c r="C9" i="22"/>
  <c r="C23" i="22" s="1"/>
  <c r="C10" i="22"/>
  <c r="C24" i="22" s="1"/>
  <c r="C11" i="22"/>
  <c r="C25" i="22" s="1"/>
  <c r="C12" i="22"/>
  <c r="C26" i="22" s="1"/>
  <c r="C13" i="22"/>
  <c r="C27" i="22" s="1"/>
  <c r="C14" i="22"/>
  <c r="C28" i="22" s="1"/>
  <c r="C15" i="22"/>
  <c r="C29" i="22" s="1"/>
  <c r="C16" i="22"/>
  <c r="C30" i="22" s="1"/>
  <c r="C17" i="22"/>
  <c r="C31" i="22" s="1"/>
  <c r="M5" i="22"/>
  <c r="C96" i="38"/>
  <c r="C95" i="38"/>
  <c r="E95" i="38" s="1"/>
  <c r="C94" i="38"/>
  <c r="E94" i="38" s="1"/>
  <c r="C93" i="38"/>
  <c r="C92" i="38"/>
  <c r="C91" i="38"/>
  <c r="C90" i="38"/>
  <c r="E90" i="38" s="1"/>
  <c r="C89" i="38"/>
  <c r="E89" i="38" s="1"/>
  <c r="C88" i="38"/>
  <c r="E88" i="38" s="1"/>
  <c r="C87" i="38"/>
  <c r="E87" i="38" s="1"/>
  <c r="H5" i="34"/>
  <c r="C9" i="34"/>
  <c r="C7" i="26"/>
  <c r="C7" i="34" s="1"/>
  <c r="M5" i="32"/>
  <c r="M34" i="26"/>
  <c r="C38" i="26"/>
  <c r="C71" i="45" s="1"/>
  <c r="C37" i="26"/>
  <c r="C70" i="45" s="1"/>
  <c r="C36" i="26"/>
  <c r="C68" i="45" s="1"/>
  <c r="M28" i="26"/>
  <c r="C31" i="26"/>
  <c r="C58" i="45" s="1"/>
  <c r="C30" i="26"/>
  <c r="C57" i="45" s="1"/>
  <c r="M60" i="4"/>
  <c r="M22" i="26"/>
  <c r="C25" i="26"/>
  <c r="C44" i="45" s="1"/>
  <c r="C24" i="26"/>
  <c r="C43" i="45" s="1"/>
  <c r="M37" i="4"/>
  <c r="D51" i="28"/>
  <c r="D52" i="28"/>
  <c r="D53" i="28"/>
  <c r="D54" i="28"/>
  <c r="D55" i="28"/>
  <c r="D56" i="28"/>
  <c r="D57" i="28"/>
  <c r="C34" i="49"/>
  <c r="C35" i="49"/>
  <c r="C36" i="49"/>
  <c r="C37" i="49"/>
  <c r="C38" i="49"/>
  <c r="C39" i="49"/>
  <c r="C40" i="49"/>
  <c r="C41" i="49"/>
  <c r="C42" i="49"/>
  <c r="C33" i="49"/>
  <c r="C32" i="49"/>
  <c r="C47" i="49"/>
  <c r="C48" i="49"/>
  <c r="C46" i="49"/>
  <c r="C50" i="49"/>
  <c r="C45" i="49"/>
  <c r="C49" i="49"/>
  <c r="C51" i="49"/>
  <c r="C44" i="49"/>
  <c r="C29" i="49"/>
  <c r="E29" i="49"/>
  <c r="C27" i="49"/>
  <c r="E27" i="49"/>
  <c r="C25" i="49"/>
  <c r="C28" i="49"/>
  <c r="E26" i="49"/>
  <c r="C26" i="49"/>
  <c r="B2" i="47"/>
  <c r="B2" i="45"/>
  <c r="N10" i="35"/>
  <c r="E10" i="35"/>
  <c r="D10" i="35"/>
  <c r="C7" i="47"/>
  <c r="C96" i="45"/>
  <c r="E8" i="47"/>
  <c r="G479" i="35"/>
  <c r="G344" i="35"/>
  <c r="G209" i="35"/>
  <c r="K10" i="35"/>
  <c r="J10" i="35"/>
  <c r="I10" i="35"/>
  <c r="D716" i="35"/>
  <c r="E716" i="35"/>
  <c r="D614" i="35"/>
  <c r="E614" i="35"/>
  <c r="D479" i="35"/>
  <c r="E479" i="35"/>
  <c r="D344" i="35"/>
  <c r="E344" i="35"/>
  <c r="D209" i="35"/>
  <c r="E209" i="35"/>
  <c r="U35" i="9"/>
  <c r="U36" i="9"/>
  <c r="U37" i="9"/>
  <c r="U38" i="9"/>
  <c r="U39" i="9"/>
  <c r="U40" i="9"/>
  <c r="U41" i="9"/>
  <c r="W21" i="9"/>
  <c r="Q716" i="35"/>
  <c r="P716" i="35"/>
  <c r="O716" i="35"/>
  <c r="G615" i="35"/>
  <c r="Q615" i="35" s="1"/>
  <c r="Q717" i="35" s="1"/>
  <c r="K246" i="12"/>
  <c r="K245" i="12"/>
  <c r="C7" i="19"/>
  <c r="C400" i="19" s="1"/>
  <c r="C87" i="46"/>
  <c r="B16" i="43"/>
  <c r="B5" i="43"/>
  <c r="H112" i="45"/>
  <c r="C112" i="45"/>
  <c r="R6" i="31"/>
  <c r="R288" i="31" s="1"/>
  <c r="Q6" i="31"/>
  <c r="Q51" i="31" s="1"/>
  <c r="O6" i="31"/>
  <c r="O51" i="31" s="1"/>
  <c r="N6" i="31"/>
  <c r="N288" i="31" s="1"/>
  <c r="M6" i="31"/>
  <c r="M51" i="31" s="1"/>
  <c r="L6" i="31"/>
  <c r="L288" i="31" s="1"/>
  <c r="K6" i="31"/>
  <c r="K288" i="31" s="1"/>
  <c r="C79" i="45"/>
  <c r="C7" i="45"/>
  <c r="E17" i="38"/>
  <c r="E18" i="38"/>
  <c r="E23" i="38"/>
  <c r="E24" i="38"/>
  <c r="E28" i="38"/>
  <c r="E34" i="38"/>
  <c r="E35" i="38"/>
  <c r="E36" i="38"/>
  <c r="E33" i="38"/>
  <c r="E27" i="38"/>
  <c r="E10" i="38"/>
  <c r="E11" i="38"/>
  <c r="C126" i="27"/>
  <c r="C131" i="34" s="1"/>
  <c r="C127" i="27"/>
  <c r="C132" i="34" s="1"/>
  <c r="C128" i="27"/>
  <c r="C133" i="34" s="1"/>
  <c r="C129" i="27"/>
  <c r="C134" i="34" s="1"/>
  <c r="C130" i="27"/>
  <c r="C135" i="34" s="1"/>
  <c r="C131" i="27"/>
  <c r="C136" i="34" s="1"/>
  <c r="E136" i="34" s="1"/>
  <c r="E137" i="34"/>
  <c r="C125" i="27"/>
  <c r="C130" i="34" s="1"/>
  <c r="D38" i="34"/>
  <c r="E14" i="32"/>
  <c r="E16" i="32"/>
  <c r="E17" i="32"/>
  <c r="E20" i="32"/>
  <c r="E21" i="32"/>
  <c r="E22" i="32"/>
  <c r="E23" i="32"/>
  <c r="E24" i="32"/>
  <c r="E30" i="32"/>
  <c r="E32" i="32"/>
  <c r="E33" i="32"/>
  <c r="E36" i="32"/>
  <c r="E37" i="32"/>
  <c r="E38" i="32"/>
  <c r="E39" i="32"/>
  <c r="E44" i="32"/>
  <c r="E46" i="32"/>
  <c r="E47" i="32"/>
  <c r="E50" i="32"/>
  <c r="E51" i="32"/>
  <c r="E52" i="32"/>
  <c r="E53" i="32"/>
  <c r="E58" i="32"/>
  <c r="E60" i="32"/>
  <c r="E61" i="32"/>
  <c r="E64" i="32"/>
  <c r="E65" i="32"/>
  <c r="E66" i="32"/>
  <c r="E67" i="32"/>
  <c r="E63" i="32"/>
  <c r="E57" i="32"/>
  <c r="E49" i="32"/>
  <c r="E43" i="32"/>
  <c r="E35" i="32"/>
  <c r="E28" i="32"/>
  <c r="E19" i="32"/>
  <c r="E8" i="11"/>
  <c r="E10" i="11"/>
  <c r="E11" i="11"/>
  <c r="E12" i="11"/>
  <c r="C17" i="11"/>
  <c r="E17" i="11" s="1"/>
  <c r="C18" i="11"/>
  <c r="E18" i="11" s="1"/>
  <c r="C19" i="11"/>
  <c r="E19" i="11" s="1"/>
  <c r="C20" i="11"/>
  <c r="E20" i="11" s="1"/>
  <c r="E21" i="11"/>
  <c r="C24" i="11"/>
  <c r="E24" i="11" s="1"/>
  <c r="C25" i="11"/>
  <c r="E25" i="11" s="1"/>
  <c r="C26" i="11"/>
  <c r="E26" i="11" s="1"/>
  <c r="E27" i="11"/>
  <c r="C23" i="11"/>
  <c r="E23" i="11" s="1"/>
  <c r="C16" i="11"/>
  <c r="E16" i="11" s="1"/>
  <c r="E7" i="11"/>
  <c r="E12" i="4"/>
  <c r="E19" i="4"/>
  <c r="E20" i="4"/>
  <c r="E21" i="4"/>
  <c r="E22" i="4"/>
  <c r="E23" i="4"/>
  <c r="E24" i="4"/>
  <c r="E27" i="4"/>
  <c r="E28" i="4"/>
  <c r="E29" i="4"/>
  <c r="E32" i="4"/>
  <c r="E33" i="4"/>
  <c r="E34" i="4"/>
  <c r="E35" i="4"/>
  <c r="E45" i="4"/>
  <c r="E47" i="4"/>
  <c r="E48" i="4"/>
  <c r="E49" i="4"/>
  <c r="E50" i="4"/>
  <c r="C54" i="4"/>
  <c r="E54" i="4" s="1"/>
  <c r="C55" i="4"/>
  <c r="E55" i="4" s="1"/>
  <c r="C56" i="4"/>
  <c r="E56" i="4" s="1"/>
  <c r="C57" i="4"/>
  <c r="E57" i="4" s="1"/>
  <c r="E58" i="4"/>
  <c r="E64" i="4"/>
  <c r="E65" i="4"/>
  <c r="E66" i="4"/>
  <c r="E67" i="4"/>
  <c r="E68" i="4"/>
  <c r="C72" i="4"/>
  <c r="E72" i="4" s="1"/>
  <c r="C73" i="4"/>
  <c r="E73" i="4" s="1"/>
  <c r="C74" i="4"/>
  <c r="E74" i="4" s="1"/>
  <c r="E75" i="4"/>
  <c r="E81" i="4"/>
  <c r="E82" i="4"/>
  <c r="E86" i="4"/>
  <c r="E87" i="4"/>
  <c r="E91" i="4"/>
  <c r="E92" i="4"/>
  <c r="E112" i="4"/>
  <c r="E113" i="4"/>
  <c r="E114" i="4"/>
  <c r="E115" i="4"/>
  <c r="E116" i="4"/>
  <c r="E117" i="4"/>
  <c r="E111" i="4"/>
  <c r="E109" i="4"/>
  <c r="E94" i="4"/>
  <c r="E90" i="4"/>
  <c r="E85" i="4"/>
  <c r="E80" i="4"/>
  <c r="C71" i="4"/>
  <c r="E71" i="4" s="1"/>
  <c r="E63" i="4"/>
  <c r="C53" i="4"/>
  <c r="E53" i="4" s="1"/>
  <c r="E44" i="4"/>
  <c r="E31" i="4"/>
  <c r="E26" i="4"/>
  <c r="E18" i="4"/>
  <c r="E11" i="4"/>
  <c r="E13" i="32"/>
  <c r="D132" i="27"/>
  <c r="D18" i="27"/>
  <c r="F238" i="21"/>
  <c r="F261" i="21"/>
  <c r="F284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7" i="21"/>
  <c r="B2" i="4"/>
  <c r="D30" i="26" s="1"/>
  <c r="E30" i="26" s="1"/>
  <c r="E16" i="26"/>
  <c r="E17" i="26"/>
  <c r="E20" i="26"/>
  <c r="E26" i="26"/>
  <c r="E32" i="26"/>
  <c r="E41" i="26"/>
  <c r="E42" i="26"/>
  <c r="E43" i="26"/>
  <c r="E19" i="26"/>
  <c r="E15" i="26"/>
  <c r="E22" i="22"/>
  <c r="E23" i="22"/>
  <c r="E24" i="22"/>
  <c r="E25" i="22"/>
  <c r="E26" i="22"/>
  <c r="E27" i="22"/>
  <c r="E28" i="22"/>
  <c r="E29" i="22"/>
  <c r="E30" i="22"/>
  <c r="E31" i="22"/>
  <c r="E21" i="22"/>
  <c r="E8" i="22"/>
  <c r="E9" i="22"/>
  <c r="E10" i="22"/>
  <c r="E11" i="22"/>
  <c r="E12" i="22"/>
  <c r="E13" i="22"/>
  <c r="E14" i="22"/>
  <c r="E15" i="22"/>
  <c r="E16" i="22"/>
  <c r="E17" i="22"/>
  <c r="E7" i="22"/>
  <c r="H115" i="45"/>
  <c r="H116" i="45"/>
  <c r="H117" i="45"/>
  <c r="H118" i="45"/>
  <c r="H119" i="45"/>
  <c r="H120" i="45"/>
  <c r="H121" i="45"/>
  <c r="H122" i="45"/>
  <c r="H123" i="45"/>
  <c r="H124" i="45"/>
  <c r="H114" i="45"/>
  <c r="C115" i="45"/>
  <c r="C116" i="45"/>
  <c r="C117" i="45"/>
  <c r="C118" i="45"/>
  <c r="C119" i="45"/>
  <c r="C120" i="45"/>
  <c r="C121" i="45"/>
  <c r="C122" i="45"/>
  <c r="C123" i="45"/>
  <c r="C124" i="45"/>
  <c r="C114" i="45"/>
  <c r="C99" i="45"/>
  <c r="C100" i="45"/>
  <c r="C101" i="45"/>
  <c r="C102" i="45"/>
  <c r="C103" i="45"/>
  <c r="C104" i="45"/>
  <c r="C105" i="45"/>
  <c r="C106" i="45"/>
  <c r="C107" i="45"/>
  <c r="C108" i="45"/>
  <c r="C98" i="45"/>
  <c r="E9" i="26"/>
  <c r="E9" i="34" s="1"/>
  <c r="E10" i="34" s="1"/>
  <c r="C82" i="45"/>
  <c r="C83" i="45"/>
  <c r="C84" i="45"/>
  <c r="C85" i="45"/>
  <c r="C86" i="45"/>
  <c r="C87" i="45"/>
  <c r="C88" i="45"/>
  <c r="C89" i="45"/>
  <c r="C90" i="45"/>
  <c r="C91" i="45"/>
  <c r="C81" i="45"/>
  <c r="C10" i="45"/>
  <c r="C11" i="45"/>
  <c r="C12" i="45"/>
  <c r="C13" i="45"/>
  <c r="C14" i="45"/>
  <c r="C15" i="45"/>
  <c r="C16" i="45"/>
  <c r="C17" i="45"/>
  <c r="C18" i="45"/>
  <c r="C19" i="45"/>
  <c r="C9" i="45"/>
  <c r="Q284" i="21"/>
  <c r="P284" i="21"/>
  <c r="O284" i="21"/>
  <c r="N284" i="21"/>
  <c r="M284" i="21"/>
  <c r="L284" i="21"/>
  <c r="K284" i="21"/>
  <c r="J284" i="21"/>
  <c r="J261" i="21"/>
  <c r="Q261" i="21"/>
  <c r="P261" i="21"/>
  <c r="O261" i="21"/>
  <c r="N261" i="21"/>
  <c r="M261" i="21"/>
  <c r="L261" i="21"/>
  <c r="K261" i="21"/>
  <c r="D261" i="21"/>
  <c r="K238" i="21"/>
  <c r="L238" i="21"/>
  <c r="M238" i="21"/>
  <c r="N238" i="21"/>
  <c r="O238" i="21"/>
  <c r="P238" i="21"/>
  <c r="Q238" i="21"/>
  <c r="J238" i="21"/>
  <c r="D238" i="21"/>
  <c r="K27" i="21"/>
  <c r="J15" i="38" s="1"/>
  <c r="L27" i="21"/>
  <c r="J22" i="38" s="1"/>
  <c r="J27" i="21"/>
  <c r="J9" i="38" s="1"/>
  <c r="C34" i="21"/>
  <c r="C483" i="30" s="1"/>
  <c r="D34" i="21"/>
  <c r="D483" i="30" s="1"/>
  <c r="D529" i="30" s="1"/>
  <c r="C35" i="21"/>
  <c r="C484" i="30" s="1"/>
  <c r="D35" i="21"/>
  <c r="D484" i="30" s="1"/>
  <c r="C36" i="21"/>
  <c r="C485" i="30" s="1"/>
  <c r="D36" i="21"/>
  <c r="D485" i="30" s="1"/>
  <c r="D531" i="30" s="1"/>
  <c r="C37" i="21"/>
  <c r="C486" i="30" s="1"/>
  <c r="D37" i="21"/>
  <c r="D486" i="30" s="1"/>
  <c r="C38" i="21"/>
  <c r="C487" i="30" s="1"/>
  <c r="D38" i="21"/>
  <c r="D487" i="30" s="1"/>
  <c r="D533" i="30" s="1"/>
  <c r="C39" i="21"/>
  <c r="C488" i="30" s="1"/>
  <c r="D39" i="21"/>
  <c r="D488" i="30" s="1"/>
  <c r="C40" i="21"/>
  <c r="C489" i="30" s="1"/>
  <c r="D40" i="21"/>
  <c r="D489" i="30" s="1"/>
  <c r="D535" i="30" s="1"/>
  <c r="C41" i="21"/>
  <c r="C490" i="30" s="1"/>
  <c r="C536" i="30" s="1"/>
  <c r="D41" i="21"/>
  <c r="D490" i="30" s="1"/>
  <c r="C42" i="21"/>
  <c r="C491" i="30" s="1"/>
  <c r="D42" i="21"/>
  <c r="D491" i="30" s="1"/>
  <c r="D537" i="30" s="1"/>
  <c r="C43" i="21"/>
  <c r="C492" i="30" s="1"/>
  <c r="D43" i="21"/>
  <c r="D492" i="30" s="1"/>
  <c r="C44" i="21"/>
  <c r="C493" i="30" s="1"/>
  <c r="D44" i="21"/>
  <c r="D493" i="30" s="1"/>
  <c r="D539" i="30" s="1"/>
  <c r="C45" i="21"/>
  <c r="C494" i="30" s="1"/>
  <c r="C540" i="30" s="1"/>
  <c r="D45" i="21"/>
  <c r="D494" i="30" s="1"/>
  <c r="C46" i="21"/>
  <c r="C495" i="30" s="1"/>
  <c r="D46" i="21"/>
  <c r="D495" i="30" s="1"/>
  <c r="D541" i="30" s="1"/>
  <c r="C47" i="21"/>
  <c r="C496" i="30" s="1"/>
  <c r="D47" i="21"/>
  <c r="D496" i="30" s="1"/>
  <c r="C48" i="21"/>
  <c r="C497" i="30" s="1"/>
  <c r="D48" i="21"/>
  <c r="D497" i="30" s="1"/>
  <c r="D543" i="30" s="1"/>
  <c r="C49" i="21"/>
  <c r="C498" i="30" s="1"/>
  <c r="C544" i="30" s="1"/>
  <c r="D49" i="21"/>
  <c r="D498" i="30" s="1"/>
  <c r="C50" i="21"/>
  <c r="C499" i="30" s="1"/>
  <c r="D50" i="21"/>
  <c r="D499" i="30" s="1"/>
  <c r="D545" i="30" s="1"/>
  <c r="C51" i="21"/>
  <c r="C500" i="30" s="1"/>
  <c r="D51" i="21"/>
  <c r="D500" i="30" s="1"/>
  <c r="C52" i="21"/>
  <c r="C501" i="30" s="1"/>
  <c r="D52" i="21"/>
  <c r="D501" i="30" s="1"/>
  <c r="D33" i="21"/>
  <c r="D482" i="30" s="1"/>
  <c r="D528" i="30" s="1"/>
  <c r="C33" i="21"/>
  <c r="C482" i="30" s="1"/>
  <c r="AC479" i="30"/>
  <c r="D479" i="30"/>
  <c r="C64" i="38"/>
  <c r="F64" i="38" s="1"/>
  <c r="C65" i="38"/>
  <c r="F65" i="38" s="1"/>
  <c r="C66" i="38"/>
  <c r="F66" i="38" s="1"/>
  <c r="C67" i="38"/>
  <c r="F67" i="38" s="1"/>
  <c r="C68" i="38"/>
  <c r="F68" i="38" s="1"/>
  <c r="C69" i="38"/>
  <c r="F69" i="38" s="1"/>
  <c r="C70" i="38"/>
  <c r="F70" i="38" s="1"/>
  <c r="C71" i="38"/>
  <c r="F71" i="38" s="1"/>
  <c r="C72" i="38"/>
  <c r="F72" i="38" s="1"/>
  <c r="C73" i="38"/>
  <c r="F73" i="38" s="1"/>
  <c r="C74" i="38"/>
  <c r="F74" i="38" s="1"/>
  <c r="C75" i="38"/>
  <c r="F75" i="38" s="1"/>
  <c r="C76" i="38"/>
  <c r="F76" i="38" s="1"/>
  <c r="C77" i="38"/>
  <c r="F77" i="38" s="1"/>
  <c r="C78" i="38"/>
  <c r="F78" i="38" s="1"/>
  <c r="C79" i="38"/>
  <c r="F79" i="38" s="1"/>
  <c r="C80" i="38"/>
  <c r="F80" i="38" s="1"/>
  <c r="C81" i="38"/>
  <c r="F81" i="38" s="1"/>
  <c r="C82" i="38"/>
  <c r="F82" i="38" s="1"/>
  <c r="C63" i="38"/>
  <c r="F63" i="38" s="1"/>
  <c r="K129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113" i="34"/>
  <c r="C114" i="34"/>
  <c r="C115" i="34"/>
  <c r="C116" i="34"/>
  <c r="C117" i="34"/>
  <c r="C43" i="34"/>
  <c r="D37" i="34"/>
  <c r="D122" i="34"/>
  <c r="D123" i="34" s="1"/>
  <c r="G139" i="34"/>
  <c r="G140" i="34"/>
  <c r="F139" i="34"/>
  <c r="F41" i="34"/>
  <c r="F140" i="34" s="1"/>
  <c r="K7" i="32"/>
  <c r="L7" i="32"/>
  <c r="M7" i="32"/>
  <c r="J7" i="32"/>
  <c r="J287" i="31"/>
  <c r="K287" i="31"/>
  <c r="L287" i="31"/>
  <c r="M287" i="31"/>
  <c r="N287" i="31"/>
  <c r="O287" i="31"/>
  <c r="P287" i="31"/>
  <c r="Q287" i="31"/>
  <c r="R287" i="31"/>
  <c r="J288" i="31"/>
  <c r="P288" i="31"/>
  <c r="I288" i="31"/>
  <c r="J50" i="31"/>
  <c r="O50" i="31"/>
  <c r="P50" i="31"/>
  <c r="R50" i="31"/>
  <c r="J51" i="31"/>
  <c r="P51" i="31"/>
  <c r="I51" i="31"/>
  <c r="I287" i="31"/>
  <c r="I50" i="31"/>
  <c r="F39" i="28"/>
  <c r="E39" i="28"/>
  <c r="AC243" i="30"/>
  <c r="AC552" i="30"/>
  <c r="AC869" i="30"/>
  <c r="AC6" i="30"/>
  <c r="AC480" i="30" s="1"/>
  <c r="AC242" i="29"/>
  <c r="AC6" i="29"/>
  <c r="AC243" i="29" s="1"/>
  <c r="C23" i="27"/>
  <c r="D23" i="27"/>
  <c r="C24" i="27"/>
  <c r="D24" i="27"/>
  <c r="C25" i="27"/>
  <c r="D25" i="27"/>
  <c r="C26" i="27"/>
  <c r="D26" i="27"/>
  <c r="C27" i="27"/>
  <c r="D27" i="27"/>
  <c r="C28" i="27"/>
  <c r="D28" i="27"/>
  <c r="C29" i="27"/>
  <c r="D29" i="27"/>
  <c r="C30" i="27"/>
  <c r="D30" i="27"/>
  <c r="C31" i="27"/>
  <c r="D31" i="27"/>
  <c r="C32" i="27"/>
  <c r="D32" i="27"/>
  <c r="C33" i="27"/>
  <c r="D33" i="27"/>
  <c r="C34" i="27"/>
  <c r="D34" i="27"/>
  <c r="C35" i="27"/>
  <c r="D35" i="27"/>
  <c r="C36" i="27"/>
  <c r="D36" i="27"/>
  <c r="C37" i="27"/>
  <c r="D37" i="27"/>
  <c r="C38" i="27"/>
  <c r="D38" i="27"/>
  <c r="C39" i="27"/>
  <c r="D39" i="27"/>
  <c r="C40" i="27"/>
  <c r="D40" i="27"/>
  <c r="C41" i="27"/>
  <c r="D41" i="27"/>
  <c r="D22" i="27"/>
  <c r="C22" i="27"/>
  <c r="M36" i="26"/>
  <c r="M215" i="21"/>
  <c r="D153" i="21"/>
  <c r="D175" i="21" s="1"/>
  <c r="D197" i="21" s="1"/>
  <c r="C8" i="43"/>
  <c r="C9" i="43"/>
  <c r="C10" i="43"/>
  <c r="C11" i="43"/>
  <c r="C12" i="43"/>
  <c r="C13" i="43"/>
  <c r="C7" i="43"/>
  <c r="I5" i="43"/>
  <c r="I245" i="12"/>
  <c r="Y245" i="12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22" i="9"/>
  <c r="N35" i="9"/>
  <c r="N36" i="9"/>
  <c r="N37" i="9"/>
  <c r="N38" i="9"/>
  <c r="N39" i="9"/>
  <c r="N40" i="9"/>
  <c r="N41" i="9"/>
  <c r="J30" i="21"/>
  <c r="J77" i="21" s="1"/>
  <c r="J146" i="21" s="1"/>
  <c r="M245" i="12"/>
  <c r="C52" i="28"/>
  <c r="C53" i="28"/>
  <c r="C54" i="28"/>
  <c r="C55" i="28"/>
  <c r="C56" i="28"/>
  <c r="C57" i="28"/>
  <c r="C51" i="28"/>
  <c r="K52" i="11"/>
  <c r="L52" i="11"/>
  <c r="M52" i="11"/>
  <c r="N52" i="11"/>
  <c r="O52" i="11"/>
  <c r="P52" i="11"/>
  <c r="Q52" i="11"/>
  <c r="J52" i="11"/>
  <c r="K44" i="11"/>
  <c r="L44" i="11"/>
  <c r="M44" i="11"/>
  <c r="N44" i="11"/>
  <c r="O44" i="11"/>
  <c r="P44" i="11"/>
  <c r="Q44" i="11"/>
  <c r="J44" i="11"/>
  <c r="K36" i="11"/>
  <c r="L36" i="11"/>
  <c r="M36" i="11"/>
  <c r="N36" i="11"/>
  <c r="O36" i="11"/>
  <c r="P36" i="11"/>
  <c r="Q36" i="11"/>
  <c r="J36" i="11"/>
  <c r="K27" i="11"/>
  <c r="K44" i="32" s="1"/>
  <c r="L27" i="11"/>
  <c r="L44" i="32" s="1"/>
  <c r="M27" i="11"/>
  <c r="N27" i="11"/>
  <c r="O27" i="11"/>
  <c r="P27" i="11"/>
  <c r="Q27" i="11"/>
  <c r="J27" i="11"/>
  <c r="J44" i="32" s="1"/>
  <c r="K21" i="11"/>
  <c r="L21" i="11"/>
  <c r="M21" i="11"/>
  <c r="N21" i="11"/>
  <c r="O21" i="11"/>
  <c r="P21" i="11"/>
  <c r="Q21" i="11"/>
  <c r="J21" i="11"/>
  <c r="N75" i="4"/>
  <c r="O75" i="4"/>
  <c r="P75" i="4"/>
  <c r="Q75" i="4"/>
  <c r="M75" i="4"/>
  <c r="L86" i="46"/>
  <c r="X86" i="46"/>
  <c r="T86" i="46"/>
  <c r="P86" i="46"/>
  <c r="AB86" i="46"/>
  <c r="O86" i="46"/>
  <c r="K86" i="46"/>
  <c r="S86" i="46"/>
  <c r="W86" i="46"/>
  <c r="AA86" i="46"/>
  <c r="R31" i="21"/>
  <c r="H128" i="45"/>
  <c r="H129" i="45"/>
  <c r="H127" i="45"/>
  <c r="N113" i="45"/>
  <c r="F113" i="45"/>
  <c r="S110" i="45"/>
  <c r="S94" i="45"/>
  <c r="V86" i="46"/>
  <c r="Z86" i="46"/>
  <c r="J86" i="46"/>
  <c r="R86" i="46"/>
  <c r="Q86" i="46"/>
  <c r="M86" i="46"/>
  <c r="N86" i="46"/>
  <c r="U86" i="46"/>
  <c r="I86" i="46"/>
  <c r="Y86" i="46"/>
  <c r="H88" i="45"/>
  <c r="E80" i="45"/>
  <c r="N64" i="45"/>
  <c r="N51" i="45"/>
  <c r="N37" i="45"/>
  <c r="N24" i="45"/>
  <c r="C72" i="45"/>
  <c r="C69" i="45"/>
  <c r="C59" i="45"/>
  <c r="C45" i="45"/>
  <c r="C42" i="45"/>
  <c r="C35" i="45"/>
  <c r="C33" i="45"/>
  <c r="C34" i="45"/>
  <c r="C32" i="45"/>
  <c r="C31" i="45"/>
  <c r="H8" i="45"/>
  <c r="B2" i="38"/>
  <c r="B2" i="43"/>
  <c r="E8" i="45"/>
  <c r="M61" i="38"/>
  <c r="H120" i="34"/>
  <c r="P134" i="27"/>
  <c r="P44" i="27"/>
  <c r="P20" i="27"/>
  <c r="M29" i="11"/>
  <c r="M14" i="11"/>
  <c r="M77" i="4"/>
  <c r="C333" i="43"/>
  <c r="D331" i="43"/>
  <c r="N38" i="38"/>
  <c r="L38" i="38"/>
  <c r="E38" i="38"/>
  <c r="F215" i="21"/>
  <c r="C22" i="38"/>
  <c r="E22" i="38" s="1"/>
  <c r="C21" i="38"/>
  <c r="E21" i="38" s="1"/>
  <c r="C15" i="38"/>
  <c r="E15" i="38" s="1"/>
  <c r="C14" i="38"/>
  <c r="E14" i="38" s="1"/>
  <c r="C9" i="38"/>
  <c r="E9" i="38" s="1"/>
  <c r="E8" i="38"/>
  <c r="E85" i="38"/>
  <c r="E61" i="38"/>
  <c r="S717" i="35"/>
  <c r="T717" i="35"/>
  <c r="U717" i="35"/>
  <c r="S716" i="35"/>
  <c r="T716" i="35"/>
  <c r="U716" i="35"/>
  <c r="M716" i="35"/>
  <c r="G716" i="35"/>
  <c r="K614" i="35"/>
  <c r="K716" i="35" s="1"/>
  <c r="J614" i="35"/>
  <c r="J716" i="35" s="1"/>
  <c r="I614" i="35"/>
  <c r="I716" i="35" s="1"/>
  <c r="C580" i="35"/>
  <c r="C547" i="35"/>
  <c r="C514" i="35"/>
  <c r="C481" i="35"/>
  <c r="C310" i="35"/>
  <c r="C244" i="35"/>
  <c r="C211" i="35"/>
  <c r="D65" i="32"/>
  <c r="D51" i="32"/>
  <c r="D37" i="32"/>
  <c r="D22" i="32"/>
  <c r="C21" i="34"/>
  <c r="C20" i="34"/>
  <c r="C19" i="34"/>
  <c r="C15" i="34"/>
  <c r="H86" i="45" s="1"/>
  <c r="C14" i="34"/>
  <c r="H85" i="45" s="1"/>
  <c r="C13" i="34"/>
  <c r="H84" i="45" s="1"/>
  <c r="B2" i="35"/>
  <c r="B2" i="34"/>
  <c r="B2" i="32"/>
  <c r="B2" i="31"/>
  <c r="B2" i="27"/>
  <c r="B2" i="30"/>
  <c r="B2" i="29"/>
  <c r="B2" i="26"/>
  <c r="B2" i="22"/>
  <c r="B2" i="21"/>
  <c r="B2" i="19"/>
  <c r="B2" i="18"/>
  <c r="B2" i="17"/>
  <c r="B2" i="12"/>
  <c r="B2" i="9"/>
  <c r="B2" i="11"/>
  <c r="D287" i="31"/>
  <c r="D139" i="34"/>
  <c r="E55" i="32"/>
  <c r="D55" i="32"/>
  <c r="E41" i="32"/>
  <c r="D41" i="32"/>
  <c r="E26" i="32"/>
  <c r="D26" i="32"/>
  <c r="E11" i="32"/>
  <c r="D11" i="32"/>
  <c r="C7" i="31"/>
  <c r="C331" i="31" s="1"/>
  <c r="C52" i="31"/>
  <c r="C649" i="35" s="1"/>
  <c r="C751" i="35" s="1"/>
  <c r="C718" i="35"/>
  <c r="D868" i="30"/>
  <c r="C558" i="30"/>
  <c r="D551" i="30"/>
  <c r="C400" i="30"/>
  <c r="C322" i="30"/>
  <c r="C244" i="30"/>
  <c r="D242" i="30"/>
  <c r="D242" i="29"/>
  <c r="R135" i="27"/>
  <c r="Q135" i="27"/>
  <c r="P135" i="27"/>
  <c r="N135" i="27"/>
  <c r="M135" i="27"/>
  <c r="L135" i="27"/>
  <c r="R45" i="27"/>
  <c r="Q45" i="27"/>
  <c r="P45" i="27"/>
  <c r="N45" i="27"/>
  <c r="M45" i="27"/>
  <c r="L45" i="27"/>
  <c r="R21" i="27"/>
  <c r="Q21" i="27"/>
  <c r="P21" i="27"/>
  <c r="N21" i="27"/>
  <c r="M21" i="27"/>
  <c r="L21" i="27"/>
  <c r="P5" i="27"/>
  <c r="Q6" i="27"/>
  <c r="R6" i="27"/>
  <c r="P6" i="27"/>
  <c r="M6" i="27"/>
  <c r="N6" i="27"/>
  <c r="L6" i="27"/>
  <c r="R22" i="26"/>
  <c r="R28" i="26"/>
  <c r="E36" i="26"/>
  <c r="E34" i="26"/>
  <c r="R34" i="26"/>
  <c r="D34" i="26"/>
  <c r="E28" i="26"/>
  <c r="D28" i="26"/>
  <c r="E8" i="26"/>
  <c r="E8" i="34" s="1"/>
  <c r="E7" i="26"/>
  <c r="E7" i="34" s="1"/>
  <c r="D134" i="27"/>
  <c r="E22" i="26"/>
  <c r="D22" i="26"/>
  <c r="C29" i="45"/>
  <c r="C28" i="45"/>
  <c r="R19" i="22"/>
  <c r="E19" i="22"/>
  <c r="D398" i="19"/>
  <c r="D791" i="18"/>
  <c r="D242" i="18"/>
  <c r="C400" i="18"/>
  <c r="C322" i="18"/>
  <c r="C244" i="18"/>
  <c r="C481" i="18"/>
  <c r="C793" i="18" s="1"/>
  <c r="D479" i="18"/>
  <c r="D242" i="17"/>
  <c r="C244" i="17"/>
  <c r="C7" i="12"/>
  <c r="C247" i="12" s="1"/>
  <c r="D245" i="12"/>
  <c r="J123" i="9"/>
  <c r="L123" i="9"/>
  <c r="M123" i="9"/>
  <c r="D123" i="9"/>
  <c r="E60" i="4"/>
  <c r="D60" i="4"/>
  <c r="E29" i="11"/>
  <c r="D29" i="11"/>
  <c r="E14" i="11"/>
  <c r="D14" i="11"/>
  <c r="E106" i="4"/>
  <c r="D106" i="4"/>
  <c r="E77" i="4"/>
  <c r="D77" i="4"/>
  <c r="I78" i="6"/>
  <c r="L78" i="6" s="1"/>
  <c r="I79" i="6"/>
  <c r="L79" i="6" s="1"/>
  <c r="I80" i="6"/>
  <c r="L80" i="6" s="1"/>
  <c r="K54" i="6"/>
  <c r="I54" i="6"/>
  <c r="L54" i="6"/>
  <c r="K55" i="6"/>
  <c r="K56" i="6"/>
  <c r="K57" i="6"/>
  <c r="I55" i="6"/>
  <c r="L55" i="6"/>
  <c r="I56" i="6"/>
  <c r="L56" i="6"/>
  <c r="E37" i="4"/>
  <c r="D37" i="4"/>
  <c r="D14" i="4"/>
  <c r="E14" i="4"/>
  <c r="L58" i="6"/>
  <c r="L57" i="6"/>
  <c r="K58" i="6"/>
  <c r="K66" i="6"/>
  <c r="K73" i="6"/>
  <c r="K77" i="6"/>
  <c r="I57" i="6"/>
  <c r="D17" i="2"/>
  <c r="I69" i="6"/>
  <c r="L69" i="6" s="1"/>
  <c r="I70" i="6"/>
  <c r="L70" i="6" s="1"/>
  <c r="I71" i="6"/>
  <c r="L71" i="6" s="1"/>
  <c r="I72" i="6"/>
  <c r="L72" i="6" s="1"/>
  <c r="I73" i="6"/>
  <c r="L73" i="6" s="1"/>
  <c r="I74" i="6"/>
  <c r="L74" i="6" s="1"/>
  <c r="I75" i="6"/>
  <c r="L75" i="6" s="1"/>
  <c r="I76" i="6"/>
  <c r="L76" i="6" s="1"/>
  <c r="I77" i="6"/>
  <c r="L77" i="6" s="1"/>
  <c r="G85" i="6"/>
  <c r="I85" i="6" s="1"/>
  <c r="D10" i="2"/>
  <c r="D18" i="2"/>
  <c r="D9" i="2"/>
  <c r="D14" i="2"/>
  <c r="C126" i="6"/>
  <c r="C84" i="6"/>
  <c r="I68" i="6"/>
  <c r="L68" i="6" s="1"/>
  <c r="I67" i="6"/>
  <c r="L67" i="6" s="1"/>
  <c r="I66" i="6"/>
  <c r="L66" i="6" s="1"/>
  <c r="I65" i="6"/>
  <c r="L65" i="6" s="1"/>
  <c r="I64" i="6"/>
  <c r="L64" i="6" s="1"/>
  <c r="I63" i="6"/>
  <c r="L63" i="6" s="1"/>
  <c r="I62" i="6"/>
  <c r="L62" i="6" s="1"/>
  <c r="I61" i="6"/>
  <c r="L61" i="6" s="1"/>
  <c r="I60" i="6"/>
  <c r="L60" i="6" s="1"/>
  <c r="I59" i="6"/>
  <c r="I58" i="6"/>
  <c r="C53" i="6"/>
  <c r="C37" i="6"/>
  <c r="C7" i="6"/>
  <c r="C277" i="35"/>
  <c r="K83" i="38"/>
  <c r="P83" i="38"/>
  <c r="O83" i="38"/>
  <c r="N83" i="38"/>
  <c r="Q83" i="38"/>
  <c r="M83" i="38"/>
  <c r="L83" i="38"/>
  <c r="AE246" i="12" l="1"/>
  <c r="AB30" i="21"/>
  <c r="AB77" i="21" s="1"/>
  <c r="AB146" i="21" s="1"/>
  <c r="AA5" i="29"/>
  <c r="Z40" i="34" s="1"/>
  <c r="Z139" i="34" s="1"/>
  <c r="K5" i="18"/>
  <c r="K791" i="18" s="1"/>
  <c r="N51" i="31"/>
  <c r="Y246" i="12"/>
  <c r="D62" i="21"/>
  <c r="C62" i="21"/>
  <c r="U5" i="18"/>
  <c r="U791" i="18" s="1"/>
  <c r="V30" i="21"/>
  <c r="V77" i="21" s="1"/>
  <c r="V146" i="21" s="1"/>
  <c r="C164" i="21"/>
  <c r="C186" i="21" s="1"/>
  <c r="C208" i="21" s="1"/>
  <c r="U5" i="29"/>
  <c r="U5" i="30" s="1"/>
  <c r="D65" i="21"/>
  <c r="D94" i="21"/>
  <c r="D116" i="21" s="1"/>
  <c r="D232" i="21" s="1"/>
  <c r="D255" i="21" s="1"/>
  <c r="D278" i="21" s="1"/>
  <c r="D159" i="21"/>
  <c r="D181" i="21" s="1"/>
  <c r="D203" i="21" s="1"/>
  <c r="U5" i="19"/>
  <c r="U398" i="19" s="1"/>
  <c r="Q245" i="12"/>
  <c r="C81" i="21"/>
  <c r="C103" i="21" s="1"/>
  <c r="C125" i="21" s="1"/>
  <c r="M5" i="19"/>
  <c r="M398" i="19" s="1"/>
  <c r="C72" i="21"/>
  <c r="D128" i="27"/>
  <c r="M5" i="18"/>
  <c r="G717" i="35"/>
  <c r="N30" i="21"/>
  <c r="N77" i="21" s="1"/>
  <c r="N146" i="21" s="1"/>
  <c r="J615" i="35"/>
  <c r="J717" i="35" s="1"/>
  <c r="M5" i="29"/>
  <c r="L40" i="34" s="1"/>
  <c r="L139" i="34" s="1"/>
  <c r="U5" i="17"/>
  <c r="U5" i="46" s="1"/>
  <c r="U85" i="46" s="1"/>
  <c r="I615" i="35"/>
  <c r="I717" i="35" s="1"/>
  <c r="Q246" i="12"/>
  <c r="M5" i="17"/>
  <c r="M242" i="17" s="1"/>
  <c r="D157" i="21"/>
  <c r="D179" i="21" s="1"/>
  <c r="D201" i="21" s="1"/>
  <c r="C98" i="21"/>
  <c r="C120" i="21" s="1"/>
  <c r="C236" i="21" s="1"/>
  <c r="F236" i="21" s="1"/>
  <c r="D59" i="21"/>
  <c r="C55" i="21"/>
  <c r="D90" i="21"/>
  <c r="D112" i="21" s="1"/>
  <c r="D134" i="21" s="1"/>
  <c r="D86" i="21"/>
  <c r="D108" i="21" s="1"/>
  <c r="D224" i="21" s="1"/>
  <c r="D247" i="21" s="1"/>
  <c r="D270" i="21" s="1"/>
  <c r="D61" i="21"/>
  <c r="D82" i="21"/>
  <c r="D104" i="21" s="1"/>
  <c r="D220" i="21" s="1"/>
  <c r="D243" i="21" s="1"/>
  <c r="D266" i="21" s="1"/>
  <c r="D155" i="21"/>
  <c r="D177" i="21" s="1"/>
  <c r="D199" i="21" s="1"/>
  <c r="D151" i="21"/>
  <c r="D173" i="21" s="1"/>
  <c r="D195" i="21" s="1"/>
  <c r="D73" i="21"/>
  <c r="D57" i="21"/>
  <c r="D167" i="21"/>
  <c r="D189" i="21" s="1"/>
  <c r="D211" i="21" s="1"/>
  <c r="O288" i="31"/>
  <c r="D98" i="21"/>
  <c r="D120" i="21" s="1"/>
  <c r="D69" i="21"/>
  <c r="D163" i="21"/>
  <c r="D185" i="21" s="1"/>
  <c r="D207" i="21" s="1"/>
  <c r="C67" i="45"/>
  <c r="C27" i="45"/>
  <c r="D12" i="27"/>
  <c r="V5" i="17"/>
  <c r="V5" i="46" s="1"/>
  <c r="V85" i="46" s="1"/>
  <c r="D85" i="21"/>
  <c r="D107" i="21" s="1"/>
  <c r="D129" i="21" s="1"/>
  <c r="C64" i="21"/>
  <c r="B1" i="11"/>
  <c r="B1" i="53"/>
  <c r="D131" i="27"/>
  <c r="D97" i="21"/>
  <c r="D119" i="21" s="1"/>
  <c r="D141" i="21" s="1"/>
  <c r="D81" i="21"/>
  <c r="D103" i="21" s="1"/>
  <c r="D125" i="21" s="1"/>
  <c r="D93" i="21"/>
  <c r="D115" i="21" s="1"/>
  <c r="D137" i="21" s="1"/>
  <c r="K51" i="31"/>
  <c r="C88" i="21"/>
  <c r="C110" i="21" s="1"/>
  <c r="D162" i="21"/>
  <c r="D184" i="21" s="1"/>
  <c r="D206" i="21" s="1"/>
  <c r="M615" i="35"/>
  <c r="M717" i="35" s="1"/>
  <c r="K615" i="35"/>
  <c r="K717" i="35" s="1"/>
  <c r="C69" i="21"/>
  <c r="C90" i="21"/>
  <c r="C112" i="21" s="1"/>
  <c r="C228" i="21" s="1"/>
  <c r="F228" i="21" s="1"/>
  <c r="C82" i="21"/>
  <c r="C104" i="21" s="1"/>
  <c r="C220" i="21" s="1"/>
  <c r="D35" i="34"/>
  <c r="C39" i="31"/>
  <c r="M30" i="32"/>
  <c r="D67" i="21"/>
  <c r="C61" i="21"/>
  <c r="D96" i="21"/>
  <c r="D118" i="21" s="1"/>
  <c r="D234" i="21" s="1"/>
  <c r="D257" i="21" s="1"/>
  <c r="D280" i="21" s="1"/>
  <c r="D88" i="21"/>
  <c r="D110" i="21" s="1"/>
  <c r="D132" i="21" s="1"/>
  <c r="C163" i="21"/>
  <c r="C185" i="21" s="1"/>
  <c r="C207" i="21" s="1"/>
  <c r="C155" i="21"/>
  <c r="C177" i="21" s="1"/>
  <c r="C199" i="21" s="1"/>
  <c r="C48" i="38"/>
  <c r="S69" i="38"/>
  <c r="D125" i="27"/>
  <c r="C65" i="21"/>
  <c r="C94" i="21"/>
  <c r="C116" i="21" s="1"/>
  <c r="C138" i="21" s="1"/>
  <c r="C149" i="21"/>
  <c r="C171" i="21" s="1"/>
  <c r="C193" i="21" s="1"/>
  <c r="C73" i="21"/>
  <c r="C57" i="21"/>
  <c r="C86" i="21"/>
  <c r="C108" i="21" s="1"/>
  <c r="C130" i="21" s="1"/>
  <c r="C160" i="21"/>
  <c r="C182" i="21" s="1"/>
  <c r="C204" i="21" s="1"/>
  <c r="C151" i="21"/>
  <c r="C173" i="21" s="1"/>
  <c r="C195" i="21" s="1"/>
  <c r="D130" i="27"/>
  <c r="D63" i="21"/>
  <c r="C80" i="21"/>
  <c r="C102" i="21" s="1"/>
  <c r="C124" i="21" s="1"/>
  <c r="D92" i="21"/>
  <c r="D114" i="21" s="1"/>
  <c r="C167" i="21"/>
  <c r="C189" i="21" s="1"/>
  <c r="C211" i="21" s="1"/>
  <c r="M288" i="31"/>
  <c r="D161" i="21"/>
  <c r="D183" i="21" s="1"/>
  <c r="D205" i="21" s="1"/>
  <c r="D71" i="21"/>
  <c r="D84" i="21"/>
  <c r="D106" i="21" s="1"/>
  <c r="D128" i="21" s="1"/>
  <c r="D165" i="21"/>
  <c r="D187" i="21" s="1"/>
  <c r="D209" i="21" s="1"/>
  <c r="C159" i="21"/>
  <c r="C181" i="21" s="1"/>
  <c r="C203" i="21" s="1"/>
  <c r="AA5" i="18"/>
  <c r="AA479" i="18" s="1"/>
  <c r="O30" i="21"/>
  <c r="O77" i="21" s="1"/>
  <c r="O146" i="21" s="1"/>
  <c r="C97" i="21"/>
  <c r="C119" i="21" s="1"/>
  <c r="C141" i="21" s="1"/>
  <c r="C158" i="21"/>
  <c r="C180" i="21" s="1"/>
  <c r="C202" i="21" s="1"/>
  <c r="R246" i="12"/>
  <c r="C56" i="21"/>
  <c r="C85" i="21"/>
  <c r="C107" i="21" s="1"/>
  <c r="C150" i="21"/>
  <c r="C172" i="21" s="1"/>
  <c r="C194" i="21" s="1"/>
  <c r="C89" i="21"/>
  <c r="C111" i="21" s="1"/>
  <c r="C133" i="21" s="1"/>
  <c r="C68" i="21"/>
  <c r="C93" i="21"/>
  <c r="C115" i="21" s="1"/>
  <c r="C137" i="21" s="1"/>
  <c r="C166" i="21"/>
  <c r="C188" i="21" s="1"/>
  <c r="C210" i="21" s="1"/>
  <c r="C162" i="21"/>
  <c r="C184" i="21" s="1"/>
  <c r="C206" i="21" s="1"/>
  <c r="D129" i="27"/>
  <c r="N5" i="19"/>
  <c r="N398" i="19" s="1"/>
  <c r="C60" i="21"/>
  <c r="C154" i="21"/>
  <c r="C176" i="21" s="1"/>
  <c r="C198" i="21" s="1"/>
  <c r="S70" i="38"/>
  <c r="N5" i="29"/>
  <c r="N5" i="30" s="1"/>
  <c r="N868" i="30" s="1"/>
  <c r="D66" i="21"/>
  <c r="N5" i="17"/>
  <c r="N6" i="17" s="1"/>
  <c r="N243" i="17" s="1"/>
  <c r="L30" i="32"/>
  <c r="L73" i="32" s="1"/>
  <c r="C66" i="21"/>
  <c r="C91" i="21"/>
  <c r="C113" i="21" s="1"/>
  <c r="C229" i="21" s="1"/>
  <c r="F229" i="21" s="1"/>
  <c r="C168" i="21"/>
  <c r="C190" i="21" s="1"/>
  <c r="C212" i="21" s="1"/>
  <c r="C152" i="21"/>
  <c r="C174" i="21" s="1"/>
  <c r="C196" i="21" s="1"/>
  <c r="E97" i="38"/>
  <c r="V5" i="18"/>
  <c r="X6" i="12"/>
  <c r="K113" i="12" s="1"/>
  <c r="T5" i="17"/>
  <c r="T16" i="43" s="1"/>
  <c r="T5" i="19"/>
  <c r="T398" i="19" s="1"/>
  <c r="Z246" i="12"/>
  <c r="K30" i="32"/>
  <c r="Z245" i="12"/>
  <c r="D70" i="21"/>
  <c r="D99" i="21"/>
  <c r="D121" i="21" s="1"/>
  <c r="C95" i="21"/>
  <c r="C117" i="21" s="1"/>
  <c r="C139" i="21" s="1"/>
  <c r="D87" i="21"/>
  <c r="D109" i="21" s="1"/>
  <c r="D131" i="21" s="1"/>
  <c r="C83" i="21"/>
  <c r="C105" i="21" s="1"/>
  <c r="C221" i="21" s="1"/>
  <c r="C244" i="21" s="1"/>
  <c r="M12" i="26"/>
  <c r="J30" i="32"/>
  <c r="V5" i="19"/>
  <c r="V398" i="19" s="1"/>
  <c r="R245" i="12"/>
  <c r="C70" i="21"/>
  <c r="C87" i="21"/>
  <c r="C109" i="21" s="1"/>
  <c r="C131" i="21" s="1"/>
  <c r="C156" i="21"/>
  <c r="C178" i="21" s="1"/>
  <c r="C200" i="21" s="1"/>
  <c r="N5" i="18"/>
  <c r="N242" i="18" s="1"/>
  <c r="M11" i="26"/>
  <c r="W30" i="21"/>
  <c r="W77" i="21" s="1"/>
  <c r="W146" i="21" s="1"/>
  <c r="D74" i="21"/>
  <c r="D58" i="21"/>
  <c r="C99" i="21"/>
  <c r="C121" i="21" s="1"/>
  <c r="C237" i="21" s="1"/>
  <c r="C260" i="21" s="1"/>
  <c r="V5" i="29"/>
  <c r="U40" i="34" s="1"/>
  <c r="U139" i="34" s="1"/>
  <c r="C74" i="21"/>
  <c r="C58" i="21"/>
  <c r="D7" i="27"/>
  <c r="D16" i="27"/>
  <c r="O5" i="19"/>
  <c r="O398" i="19" s="1"/>
  <c r="S246" i="12"/>
  <c r="O5" i="29"/>
  <c r="O6" i="29" s="1"/>
  <c r="N41" i="34" s="1"/>
  <c r="N140" i="34" s="1"/>
  <c r="P30" i="21"/>
  <c r="P77" i="21" s="1"/>
  <c r="P146" i="21" s="1"/>
  <c r="S245" i="12"/>
  <c r="AA246" i="12"/>
  <c r="AA245" i="12"/>
  <c r="W5" i="18"/>
  <c r="W5" i="17"/>
  <c r="W5" i="19"/>
  <c r="W398" i="19" s="1"/>
  <c r="W5" i="29"/>
  <c r="V40" i="34" s="1"/>
  <c r="V139" i="34" s="1"/>
  <c r="X30" i="21"/>
  <c r="X77" i="21" s="1"/>
  <c r="X146" i="21" s="1"/>
  <c r="J78" i="32"/>
  <c r="M16" i="26"/>
  <c r="K73" i="2"/>
  <c r="K57" i="2"/>
  <c r="K69" i="2"/>
  <c r="K61" i="2"/>
  <c r="K65" i="2"/>
  <c r="L51" i="31"/>
  <c r="C42" i="31"/>
  <c r="C44" i="38"/>
  <c r="D10" i="27"/>
  <c r="D152" i="21"/>
  <c r="D174" i="21" s="1"/>
  <c r="D196" i="21" s="1"/>
  <c r="D91" i="21"/>
  <c r="D113" i="21" s="1"/>
  <c r="D149" i="21"/>
  <c r="D171" i="21" s="1"/>
  <c r="D193" i="21" s="1"/>
  <c r="C165" i="21"/>
  <c r="C187" i="21" s="1"/>
  <c r="C209" i="21" s="1"/>
  <c r="D55" i="21"/>
  <c r="C71" i="21"/>
  <c r="C67" i="21"/>
  <c r="C63" i="21"/>
  <c r="C59" i="21"/>
  <c r="D80" i="21"/>
  <c r="D102" i="21" s="1"/>
  <c r="D168" i="21"/>
  <c r="D284" i="21" s="1"/>
  <c r="D164" i="21"/>
  <c r="D186" i="21" s="1"/>
  <c r="D208" i="21" s="1"/>
  <c r="D158" i="21"/>
  <c r="D180" i="21" s="1"/>
  <c r="D202" i="21" s="1"/>
  <c r="D154" i="21"/>
  <c r="D176" i="21" s="1"/>
  <c r="D198" i="21" s="1"/>
  <c r="C96" i="21"/>
  <c r="C118" i="21" s="1"/>
  <c r="C84" i="21"/>
  <c r="C106" i="21" s="1"/>
  <c r="C161" i="21"/>
  <c r="C183" i="21" s="1"/>
  <c r="C205" i="21" s="1"/>
  <c r="C157" i="21"/>
  <c r="C179" i="21" s="1"/>
  <c r="C201" i="21" s="1"/>
  <c r="D150" i="21"/>
  <c r="D172" i="21" s="1"/>
  <c r="D194" i="21" s="1"/>
  <c r="D95" i="21"/>
  <c r="D117" i="21" s="1"/>
  <c r="D139" i="21" s="1"/>
  <c r="D83" i="21"/>
  <c r="D105" i="21" s="1"/>
  <c r="D127" i="21" s="1"/>
  <c r="D166" i="21"/>
  <c r="D188" i="21" s="1"/>
  <c r="D210" i="21" s="1"/>
  <c r="D160" i="21"/>
  <c r="D182" i="21" s="1"/>
  <c r="D204" i="21" s="1"/>
  <c r="D156" i="21"/>
  <c r="D178" i="21" s="1"/>
  <c r="D200" i="21" s="1"/>
  <c r="D72" i="21"/>
  <c r="D68" i="21"/>
  <c r="D64" i="21"/>
  <c r="D60" i="21"/>
  <c r="D56" i="21"/>
  <c r="D89" i="21"/>
  <c r="D111" i="21" s="1"/>
  <c r="C153" i="21"/>
  <c r="C175" i="21" s="1"/>
  <c r="C197" i="21" s="1"/>
  <c r="C92" i="21"/>
  <c r="C114" i="21" s="1"/>
  <c r="Y7" i="12"/>
  <c r="Y247" i="12" s="1"/>
  <c r="O246" i="12"/>
  <c r="S5" i="19"/>
  <c r="S398" i="19" s="1"/>
  <c r="O245" i="12"/>
  <c r="T30" i="21"/>
  <c r="T77" i="21" s="1"/>
  <c r="T146" i="21" s="1"/>
  <c r="AA5" i="17"/>
  <c r="S5" i="17"/>
  <c r="S6" i="17" s="1"/>
  <c r="AA791" i="18"/>
  <c r="W245" i="12"/>
  <c r="S5" i="29"/>
  <c r="S6" i="29" s="1"/>
  <c r="S6" i="30" s="1"/>
  <c r="AE245" i="12"/>
  <c r="K5" i="19"/>
  <c r="K398" i="19" s="1"/>
  <c r="S5" i="18"/>
  <c r="S479" i="18" s="1"/>
  <c r="W246" i="12"/>
  <c r="K5" i="29"/>
  <c r="K5" i="30" s="1"/>
  <c r="K479" i="30" s="1"/>
  <c r="K5" i="17"/>
  <c r="K242" i="17" s="1"/>
  <c r="AA5" i="19"/>
  <c r="AA398" i="19" s="1"/>
  <c r="L30" i="21"/>
  <c r="L77" i="21" s="1"/>
  <c r="L146" i="21" s="1"/>
  <c r="M31" i="21"/>
  <c r="E93" i="38"/>
  <c r="K242" i="18"/>
  <c r="AC31" i="21"/>
  <c r="AB5" i="19"/>
  <c r="AB398" i="19" s="1"/>
  <c r="M30" i="21"/>
  <c r="M77" i="21" s="1"/>
  <c r="M146" i="21" s="1"/>
  <c r="E91" i="38"/>
  <c r="R5" i="29"/>
  <c r="R6" i="29" s="1"/>
  <c r="S31" i="21"/>
  <c r="D31" i="34"/>
  <c r="C45" i="31"/>
  <c r="J5" i="18"/>
  <c r="J791" i="18" s="1"/>
  <c r="C37" i="31"/>
  <c r="Y92" i="29"/>
  <c r="Y101" i="29"/>
  <c r="Y108" i="29"/>
  <c r="Y117" i="29"/>
  <c r="Y124" i="29"/>
  <c r="Y133" i="29"/>
  <c r="Y138" i="29"/>
  <c r="Y147" i="29"/>
  <c r="Y152" i="29"/>
  <c r="Y90" i="29"/>
  <c r="Y99" i="29"/>
  <c r="Y106" i="29"/>
  <c r="Y115" i="29"/>
  <c r="Y122" i="29"/>
  <c r="Y131" i="29"/>
  <c r="Y136" i="29"/>
  <c r="Y145" i="29"/>
  <c r="Y159" i="29"/>
  <c r="Y88" i="29"/>
  <c r="Y97" i="29"/>
  <c r="Y104" i="29"/>
  <c r="Y113" i="29"/>
  <c r="Y120" i="29"/>
  <c r="Y129" i="29"/>
  <c r="Y143" i="29"/>
  <c r="Y150" i="29"/>
  <c r="Y157" i="29"/>
  <c r="Y95" i="29"/>
  <c r="Y102" i="29"/>
  <c r="Y111" i="29"/>
  <c r="Y118" i="29"/>
  <c r="Y127" i="29"/>
  <c r="Y134" i="29"/>
  <c r="Y141" i="29"/>
  <c r="Y148" i="29"/>
  <c r="Y155" i="29"/>
  <c r="Y93" i="29"/>
  <c r="Y100" i="29"/>
  <c r="Y109" i="29"/>
  <c r="Y116" i="29"/>
  <c r="Y125" i="29"/>
  <c r="Y132" i="29"/>
  <c r="Y139" i="29"/>
  <c r="Y146" i="29"/>
  <c r="Y153" i="29"/>
  <c r="Y160" i="29"/>
  <c r="Y91" i="29"/>
  <c r="Y98" i="29"/>
  <c r="Y107" i="29"/>
  <c r="Y114" i="29"/>
  <c r="Y123" i="29"/>
  <c r="Y130" i="29"/>
  <c r="Y137" i="29"/>
  <c r="Y144" i="29"/>
  <c r="Y151" i="29"/>
  <c r="Y158" i="29"/>
  <c r="Y89" i="29"/>
  <c r="Y96" i="29"/>
  <c r="Y105" i="29"/>
  <c r="Y112" i="29"/>
  <c r="Y121" i="29"/>
  <c r="Y128" i="29"/>
  <c r="Y135" i="29"/>
  <c r="Y142" i="29"/>
  <c r="Y156" i="29"/>
  <c r="Y87" i="29"/>
  <c r="Y94" i="29"/>
  <c r="Y103" i="29"/>
  <c r="Y110" i="29"/>
  <c r="Y119" i="29"/>
  <c r="Y126" i="29"/>
  <c r="Y140" i="29"/>
  <c r="Y149" i="29"/>
  <c r="Y154" i="29"/>
  <c r="Y86" i="29"/>
  <c r="X90" i="29"/>
  <c r="X99" i="29"/>
  <c r="X106" i="29"/>
  <c r="X115" i="29"/>
  <c r="X122" i="29"/>
  <c r="X131" i="29"/>
  <c r="X136" i="29"/>
  <c r="X145" i="29"/>
  <c r="X159" i="29"/>
  <c r="X88" i="29"/>
  <c r="X97" i="29"/>
  <c r="X104" i="29"/>
  <c r="X113" i="29"/>
  <c r="X120" i="29"/>
  <c r="X129" i="29"/>
  <c r="X143" i="29"/>
  <c r="X150" i="29"/>
  <c r="X157" i="29"/>
  <c r="X95" i="29"/>
  <c r="X102" i="29"/>
  <c r="X111" i="29"/>
  <c r="X118" i="29"/>
  <c r="X127" i="29"/>
  <c r="X134" i="29"/>
  <c r="X141" i="29"/>
  <c r="X148" i="29"/>
  <c r="X155" i="29"/>
  <c r="X93" i="29"/>
  <c r="X100" i="29"/>
  <c r="X109" i="29"/>
  <c r="X116" i="29"/>
  <c r="X125" i="29"/>
  <c r="X132" i="29"/>
  <c r="X139" i="29"/>
  <c r="X146" i="29"/>
  <c r="X153" i="29"/>
  <c r="X160" i="29"/>
  <c r="X91" i="29"/>
  <c r="X98" i="29"/>
  <c r="X107" i="29"/>
  <c r="X114" i="29"/>
  <c r="X123" i="29"/>
  <c r="X130" i="29"/>
  <c r="X137" i="29"/>
  <c r="X144" i="29"/>
  <c r="X151" i="29"/>
  <c r="X158" i="29"/>
  <c r="X89" i="29"/>
  <c r="X96" i="29"/>
  <c r="X105" i="29"/>
  <c r="X112" i="29"/>
  <c r="X121" i="29"/>
  <c r="X128" i="29"/>
  <c r="X135" i="29"/>
  <c r="X142" i="29"/>
  <c r="X156" i="29"/>
  <c r="X87" i="29"/>
  <c r="X94" i="29"/>
  <c r="X103" i="29"/>
  <c r="X110" i="29"/>
  <c r="X119" i="29"/>
  <c r="X126" i="29"/>
  <c r="X140" i="29"/>
  <c r="X149" i="29"/>
  <c r="X154" i="29"/>
  <c r="X92" i="29"/>
  <c r="X101" i="29"/>
  <c r="X108" i="29"/>
  <c r="X117" i="29"/>
  <c r="X124" i="29"/>
  <c r="X133" i="29"/>
  <c r="X138" i="29"/>
  <c r="X147" i="29"/>
  <c r="X152" i="29"/>
  <c r="X86" i="29"/>
  <c r="AB91" i="29"/>
  <c r="AB98" i="29"/>
  <c r="AB107" i="29"/>
  <c r="AB114" i="29"/>
  <c r="AB123" i="29"/>
  <c r="AB130" i="29"/>
  <c r="AB137" i="29"/>
  <c r="AB144" i="29"/>
  <c r="AB151" i="29"/>
  <c r="AB158" i="29"/>
  <c r="AB89" i="29"/>
  <c r="AB96" i="29"/>
  <c r="AB105" i="29"/>
  <c r="AB112" i="29"/>
  <c r="AB121" i="29"/>
  <c r="AB128" i="29"/>
  <c r="AB135" i="29"/>
  <c r="AB142" i="29"/>
  <c r="AB156" i="29"/>
  <c r="AB87" i="29"/>
  <c r="AB94" i="29"/>
  <c r="AB103" i="29"/>
  <c r="AB110" i="29"/>
  <c r="AB119" i="29"/>
  <c r="AB126" i="29"/>
  <c r="AB140" i="29"/>
  <c r="AB149" i="29"/>
  <c r="AB154" i="29"/>
  <c r="AB92" i="29"/>
  <c r="AB101" i="29"/>
  <c r="AB108" i="29"/>
  <c r="AB117" i="29"/>
  <c r="AB124" i="29"/>
  <c r="AB133" i="29"/>
  <c r="AB138" i="29"/>
  <c r="AB147" i="29"/>
  <c r="AB152" i="29"/>
  <c r="AB90" i="29"/>
  <c r="AB99" i="29"/>
  <c r="AB106" i="29"/>
  <c r="AB115" i="29"/>
  <c r="AB122" i="29"/>
  <c r="AB131" i="29"/>
  <c r="AB136" i="29"/>
  <c r="AB145" i="29"/>
  <c r="AB159" i="29"/>
  <c r="AB88" i="29"/>
  <c r="AB97" i="29"/>
  <c r="AB104" i="29"/>
  <c r="AB113" i="29"/>
  <c r="AB120" i="29"/>
  <c r="AB129" i="29"/>
  <c r="AB143" i="29"/>
  <c r="AB150" i="29"/>
  <c r="AB157" i="29"/>
  <c r="AB95" i="29"/>
  <c r="AB102" i="29"/>
  <c r="AB111" i="29"/>
  <c r="AB118" i="29"/>
  <c r="AB127" i="29"/>
  <c r="AB134" i="29"/>
  <c r="AB141" i="29"/>
  <c r="AB148" i="29"/>
  <c r="AB155" i="29"/>
  <c r="AB93" i="29"/>
  <c r="AB100" i="29"/>
  <c r="AB109" i="29"/>
  <c r="AB116" i="29"/>
  <c r="AB125" i="29"/>
  <c r="AB132" i="29"/>
  <c r="AB139" i="29"/>
  <c r="AB146" i="29"/>
  <c r="AB153" i="29"/>
  <c r="AB160" i="29"/>
  <c r="AB86" i="29"/>
  <c r="AA89" i="29"/>
  <c r="AA96" i="29"/>
  <c r="AA105" i="29"/>
  <c r="AA112" i="29"/>
  <c r="AA121" i="29"/>
  <c r="AA128" i="29"/>
  <c r="AA135" i="29"/>
  <c r="AA142" i="29"/>
  <c r="AA156" i="29"/>
  <c r="AA87" i="29"/>
  <c r="AA94" i="29"/>
  <c r="AA103" i="29"/>
  <c r="AA110" i="29"/>
  <c r="AA119" i="29"/>
  <c r="AA126" i="29"/>
  <c r="AA140" i="29"/>
  <c r="AA149" i="29"/>
  <c r="AA154" i="29"/>
  <c r="AA92" i="29"/>
  <c r="AA101" i="29"/>
  <c r="AA108" i="29"/>
  <c r="AA117" i="29"/>
  <c r="AA124" i="29"/>
  <c r="AA133" i="29"/>
  <c r="AA138" i="29"/>
  <c r="AA147" i="29"/>
  <c r="AA152" i="29"/>
  <c r="AA90" i="29"/>
  <c r="AA99" i="29"/>
  <c r="AA106" i="29"/>
  <c r="AA115" i="29"/>
  <c r="AA122" i="29"/>
  <c r="AA131" i="29"/>
  <c r="AA136" i="29"/>
  <c r="AA145" i="29"/>
  <c r="AA159" i="29"/>
  <c r="AA88" i="29"/>
  <c r="AA97" i="29"/>
  <c r="AA104" i="29"/>
  <c r="AA113" i="29"/>
  <c r="AA120" i="29"/>
  <c r="AA129" i="29"/>
  <c r="AA143" i="29"/>
  <c r="AA150" i="29"/>
  <c r="AA157" i="29"/>
  <c r="AA95" i="29"/>
  <c r="AA102" i="29"/>
  <c r="AA111" i="29"/>
  <c r="AA118" i="29"/>
  <c r="AA127" i="29"/>
  <c r="AA134" i="29"/>
  <c r="AA141" i="29"/>
  <c r="AA148" i="29"/>
  <c r="AA155" i="29"/>
  <c r="AA93" i="29"/>
  <c r="AA100" i="29"/>
  <c r="AA109" i="29"/>
  <c r="AA116" i="29"/>
  <c r="AA125" i="29"/>
  <c r="AA132" i="29"/>
  <c r="AA139" i="29"/>
  <c r="AA146" i="29"/>
  <c r="AA153" i="29"/>
  <c r="AA160" i="29"/>
  <c r="AA91" i="29"/>
  <c r="AA98" i="29"/>
  <c r="AA107" i="29"/>
  <c r="AA114" i="29"/>
  <c r="AA123" i="29"/>
  <c r="AA130" i="29"/>
  <c r="AA137" i="29"/>
  <c r="AA144" i="29"/>
  <c r="AA151" i="29"/>
  <c r="AA158" i="29"/>
  <c r="AA86" i="29"/>
  <c r="Z87" i="29"/>
  <c r="Z94" i="29"/>
  <c r="Z103" i="29"/>
  <c r="Z110" i="29"/>
  <c r="Z119" i="29"/>
  <c r="Z126" i="29"/>
  <c r="Z140" i="29"/>
  <c r="Z149" i="29"/>
  <c r="Z154" i="29"/>
  <c r="Z92" i="29"/>
  <c r="Z101" i="29"/>
  <c r="Z108" i="29"/>
  <c r="Z117" i="29"/>
  <c r="Z124" i="29"/>
  <c r="Z133" i="29"/>
  <c r="Z138" i="29"/>
  <c r="Z147" i="29"/>
  <c r="Z152" i="29"/>
  <c r="Z90" i="29"/>
  <c r="Z99" i="29"/>
  <c r="Z106" i="29"/>
  <c r="Z115" i="29"/>
  <c r="Z122" i="29"/>
  <c r="Z131" i="29"/>
  <c r="Z136" i="29"/>
  <c r="Z145" i="29"/>
  <c r="Z159" i="29"/>
  <c r="Z88" i="29"/>
  <c r="Z97" i="29"/>
  <c r="Z104" i="29"/>
  <c r="Z113" i="29"/>
  <c r="Z120" i="29"/>
  <c r="Z129" i="29"/>
  <c r="Z143" i="29"/>
  <c r="Z150" i="29"/>
  <c r="Z157" i="29"/>
  <c r="Z95" i="29"/>
  <c r="Z102" i="29"/>
  <c r="Z111" i="29"/>
  <c r="Z118" i="29"/>
  <c r="Z127" i="29"/>
  <c r="Z134" i="29"/>
  <c r="Z141" i="29"/>
  <c r="Z148" i="29"/>
  <c r="Z155" i="29"/>
  <c r="Z93" i="29"/>
  <c r="Z100" i="29"/>
  <c r="Z109" i="29"/>
  <c r="Z116" i="29"/>
  <c r="Z125" i="29"/>
  <c r="Z132" i="29"/>
  <c r="Z139" i="29"/>
  <c r="Z146" i="29"/>
  <c r="Z153" i="29"/>
  <c r="Z160" i="29"/>
  <c r="Z91" i="29"/>
  <c r="Z98" i="29"/>
  <c r="Z107" i="29"/>
  <c r="Z114" i="29"/>
  <c r="Z123" i="29"/>
  <c r="Z130" i="29"/>
  <c r="Z137" i="29"/>
  <c r="Z144" i="29"/>
  <c r="Z151" i="29"/>
  <c r="Z158" i="29"/>
  <c r="Z89" i="29"/>
  <c r="Z96" i="29"/>
  <c r="Z105" i="29"/>
  <c r="Z112" i="29"/>
  <c r="Z121" i="29"/>
  <c r="Z128" i="29"/>
  <c r="Z135" i="29"/>
  <c r="Z142" i="29"/>
  <c r="Z156" i="29"/>
  <c r="Z86" i="29"/>
  <c r="D124" i="21"/>
  <c r="D218" i="21"/>
  <c r="D241" i="21" s="1"/>
  <c r="D264" i="21" s="1"/>
  <c r="C132" i="21"/>
  <c r="C226" i="21"/>
  <c r="C249" i="21" s="1"/>
  <c r="C272" i="21" s="1"/>
  <c r="F272" i="21" s="1"/>
  <c r="D236" i="21"/>
  <c r="D259" i="21" s="1"/>
  <c r="D282" i="21" s="1"/>
  <c r="D142" i="21"/>
  <c r="D136" i="21"/>
  <c r="D230" i="21"/>
  <c r="D253" i="21" s="1"/>
  <c r="D276" i="21" s="1"/>
  <c r="S71" i="38"/>
  <c r="C547" i="30"/>
  <c r="C524" i="30"/>
  <c r="C543" i="30"/>
  <c r="C520" i="30"/>
  <c r="C539" i="30"/>
  <c r="C516" i="30"/>
  <c r="C535" i="30"/>
  <c r="C512" i="30"/>
  <c r="C531" i="30"/>
  <c r="C508" i="30"/>
  <c r="D546" i="30"/>
  <c r="D523" i="30"/>
  <c r="D542" i="30"/>
  <c r="D519" i="30"/>
  <c r="D538" i="30"/>
  <c r="D515" i="30"/>
  <c r="D534" i="30"/>
  <c r="D511" i="30"/>
  <c r="D530" i="30"/>
  <c r="D507" i="30"/>
  <c r="C546" i="30"/>
  <c r="C523" i="30"/>
  <c r="C542" i="30"/>
  <c r="C519" i="30"/>
  <c r="C538" i="30"/>
  <c r="C515" i="30"/>
  <c r="C534" i="30"/>
  <c r="C511" i="30"/>
  <c r="C530" i="30"/>
  <c r="C507" i="30"/>
  <c r="F220" i="21"/>
  <c r="C243" i="21"/>
  <c r="C545" i="30"/>
  <c r="C522" i="30"/>
  <c r="C541" i="30"/>
  <c r="C518" i="30"/>
  <c r="C537" i="30"/>
  <c r="C514" i="30"/>
  <c r="C533" i="30"/>
  <c r="C510" i="30"/>
  <c r="C529" i="30"/>
  <c r="C506" i="30"/>
  <c r="D135" i="21"/>
  <c r="D229" i="21"/>
  <c r="D252" i="21" s="1"/>
  <c r="D275" i="21" s="1"/>
  <c r="C528" i="30"/>
  <c r="C505" i="30"/>
  <c r="D544" i="30"/>
  <c r="D521" i="30"/>
  <c r="D540" i="30"/>
  <c r="D517" i="30"/>
  <c r="D536" i="30"/>
  <c r="D513" i="30"/>
  <c r="D532" i="30"/>
  <c r="D509" i="30"/>
  <c r="C532" i="30"/>
  <c r="C509" i="30"/>
  <c r="D233" i="21"/>
  <c r="D256" i="21" s="1"/>
  <c r="D279" i="21" s="1"/>
  <c r="D547" i="30"/>
  <c r="D524" i="30"/>
  <c r="C224" i="21"/>
  <c r="C126" i="21"/>
  <c r="S72" i="38"/>
  <c r="D508" i="30"/>
  <c r="D512" i="30"/>
  <c r="D516" i="30"/>
  <c r="D520" i="30"/>
  <c r="Y9" i="29"/>
  <c r="Y16" i="29"/>
  <c r="Y25" i="29"/>
  <c r="Y14" i="29"/>
  <c r="Y23" i="29"/>
  <c r="Y12" i="29"/>
  <c r="Y21" i="29"/>
  <c r="Y10" i="29"/>
  <c r="Y19" i="29"/>
  <c r="Y26" i="29"/>
  <c r="Y17" i="29"/>
  <c r="Y24" i="29"/>
  <c r="Y15" i="29"/>
  <c r="Y22" i="29"/>
  <c r="Y29" i="29"/>
  <c r="Y36" i="29"/>
  <c r="Y34" i="29"/>
  <c r="Y13" i="29"/>
  <c r="Y35" i="29"/>
  <c r="Y33" i="29"/>
  <c r="Y44" i="29"/>
  <c r="Y28" i="29"/>
  <c r="Y49" i="29"/>
  <c r="Y20" i="29"/>
  <c r="Y30" i="29"/>
  <c r="Y41" i="29"/>
  <c r="Y43" i="29"/>
  <c r="Y27" i="29"/>
  <c r="Y32" i="29"/>
  <c r="Y42" i="29"/>
  <c r="Y54" i="29"/>
  <c r="Y46" i="29"/>
  <c r="Y52" i="29"/>
  <c r="Y11" i="29"/>
  <c r="Y50" i="29"/>
  <c r="Y31" i="29"/>
  <c r="Y45" i="29"/>
  <c r="Y58" i="29"/>
  <c r="Y51" i="29"/>
  <c r="Y56" i="29"/>
  <c r="Y47" i="29"/>
  <c r="Y18" i="29"/>
  <c r="Y37" i="29"/>
  <c r="Y38" i="29"/>
  <c r="Y48" i="29"/>
  <c r="Y53" i="29"/>
  <c r="Y57" i="29"/>
  <c r="Y40" i="29"/>
  <c r="Y71" i="29"/>
  <c r="Y64" i="29"/>
  <c r="Y69" i="29"/>
  <c r="Y74" i="29"/>
  <c r="Y55" i="29"/>
  <c r="Y67" i="29"/>
  <c r="Y81" i="29"/>
  <c r="Y59" i="29"/>
  <c r="Y62" i="29"/>
  <c r="Y65" i="29"/>
  <c r="Y72" i="29"/>
  <c r="Y79" i="29"/>
  <c r="Y61" i="29"/>
  <c r="Y70" i="29"/>
  <c r="Y63" i="29"/>
  <c r="Y68" i="29"/>
  <c r="Y75" i="29"/>
  <c r="Y76" i="29"/>
  <c r="Y80" i="29"/>
  <c r="Y60" i="29"/>
  <c r="Y73" i="29"/>
  <c r="Y82" i="29"/>
  <c r="Y66" i="29"/>
  <c r="Y39" i="29"/>
  <c r="Y78" i="29"/>
  <c r="Y77" i="29"/>
  <c r="X14" i="29"/>
  <c r="X23" i="29"/>
  <c r="X12" i="29"/>
  <c r="X21" i="29"/>
  <c r="X10" i="29"/>
  <c r="X19" i="29"/>
  <c r="X26" i="29"/>
  <c r="X17" i="29"/>
  <c r="X24" i="29"/>
  <c r="X15" i="29"/>
  <c r="X22" i="29"/>
  <c r="X13" i="29"/>
  <c r="X20" i="29"/>
  <c r="X29" i="29"/>
  <c r="X16" i="29"/>
  <c r="X25" i="29"/>
  <c r="X34" i="29"/>
  <c r="X41" i="29"/>
  <c r="X18" i="29"/>
  <c r="X27" i="29"/>
  <c r="X32" i="29"/>
  <c r="X11" i="29"/>
  <c r="X33" i="29"/>
  <c r="X40" i="29"/>
  <c r="X36" i="29"/>
  <c r="X39" i="29"/>
  <c r="X42" i="29"/>
  <c r="X47" i="29"/>
  <c r="X38" i="29"/>
  <c r="X9" i="29"/>
  <c r="X46" i="29"/>
  <c r="X49" i="29"/>
  <c r="X52" i="29"/>
  <c r="X50" i="29"/>
  <c r="X31" i="29"/>
  <c r="X45" i="29"/>
  <c r="X35" i="29"/>
  <c r="X30" i="29"/>
  <c r="X51" i="29"/>
  <c r="X56" i="29"/>
  <c r="X63" i="29"/>
  <c r="X43" i="29"/>
  <c r="X55" i="29"/>
  <c r="X61" i="29"/>
  <c r="X37" i="29"/>
  <c r="X44" i="29"/>
  <c r="X48" i="29"/>
  <c r="X53" i="29"/>
  <c r="X57" i="29"/>
  <c r="X64" i="29"/>
  <c r="X69" i="29"/>
  <c r="X54" i="29"/>
  <c r="X58" i="29"/>
  <c r="X67" i="29"/>
  <c r="X28" i="29"/>
  <c r="X59" i="29"/>
  <c r="X62" i="29"/>
  <c r="X65" i="29"/>
  <c r="X72" i="29"/>
  <c r="X79" i="29"/>
  <c r="X70" i="29"/>
  <c r="X77" i="29"/>
  <c r="X68" i="29"/>
  <c r="X66" i="29"/>
  <c r="X73" i="29"/>
  <c r="X60" i="29"/>
  <c r="X82" i="29"/>
  <c r="X74" i="29"/>
  <c r="X78" i="29"/>
  <c r="X75" i="29"/>
  <c r="X76" i="29"/>
  <c r="X80" i="29"/>
  <c r="X81" i="29"/>
  <c r="X71" i="29"/>
  <c r="AB15" i="29"/>
  <c r="AB22" i="29"/>
  <c r="AB13" i="29"/>
  <c r="AB20" i="29"/>
  <c r="AB11" i="29"/>
  <c r="AB18" i="29"/>
  <c r="AB27" i="29"/>
  <c r="AB9" i="29"/>
  <c r="AB16" i="29"/>
  <c r="AB25" i="29"/>
  <c r="AB14" i="29"/>
  <c r="AB23" i="29"/>
  <c r="AB12" i="29"/>
  <c r="AB21" i="29"/>
  <c r="AB28" i="29"/>
  <c r="AB24" i="29"/>
  <c r="AB35" i="29"/>
  <c r="AB26" i="29"/>
  <c r="AB33" i="29"/>
  <c r="AB10" i="29"/>
  <c r="AB32" i="29"/>
  <c r="AB17" i="29"/>
  <c r="AB34" i="29"/>
  <c r="AB38" i="29"/>
  <c r="AB41" i="29"/>
  <c r="AB43" i="29"/>
  <c r="AB46" i="29"/>
  <c r="AB29" i="29"/>
  <c r="AB31" i="29"/>
  <c r="AB40" i="29"/>
  <c r="AB19" i="29"/>
  <c r="AB48" i="29"/>
  <c r="AB53" i="29"/>
  <c r="AB51" i="29"/>
  <c r="AB42" i="29"/>
  <c r="AB52" i="29"/>
  <c r="AB57" i="29"/>
  <c r="AB64" i="29"/>
  <c r="AB45" i="29"/>
  <c r="AB62" i="29"/>
  <c r="AB30" i="29"/>
  <c r="AB60" i="29"/>
  <c r="AB50" i="29"/>
  <c r="AB54" i="29"/>
  <c r="AB36" i="29"/>
  <c r="AB56" i="29"/>
  <c r="AB63" i="29"/>
  <c r="AB68" i="29"/>
  <c r="AB66" i="29"/>
  <c r="AB73" i="29"/>
  <c r="AB80" i="29"/>
  <c r="AB37" i="29"/>
  <c r="AB44" i="29"/>
  <c r="AB58" i="29"/>
  <c r="AB78" i="29"/>
  <c r="AB55" i="29"/>
  <c r="AB71" i="29"/>
  <c r="AB76" i="29"/>
  <c r="AB47" i="29"/>
  <c r="AB49" i="29"/>
  <c r="AB69" i="29"/>
  <c r="AB59" i="29"/>
  <c r="AB67" i="29"/>
  <c r="AB72" i="29"/>
  <c r="AB77" i="29"/>
  <c r="AB81" i="29"/>
  <c r="AB65" i="29"/>
  <c r="AB74" i="29"/>
  <c r="AB79" i="29"/>
  <c r="AB82" i="29"/>
  <c r="AB39" i="29"/>
  <c r="AB61" i="29"/>
  <c r="AB75" i="29"/>
  <c r="AB70" i="29"/>
  <c r="AA13" i="29"/>
  <c r="AA20" i="29"/>
  <c r="AA11" i="29"/>
  <c r="AA18" i="29"/>
  <c r="AA27" i="29"/>
  <c r="AA9" i="29"/>
  <c r="AA16" i="29"/>
  <c r="AA25" i="29"/>
  <c r="AA14" i="29"/>
  <c r="AA23" i="29"/>
  <c r="AA12" i="29"/>
  <c r="AA21" i="29"/>
  <c r="AA10" i="29"/>
  <c r="AA19" i="29"/>
  <c r="AA26" i="29"/>
  <c r="AA24" i="29"/>
  <c r="AA15" i="29"/>
  <c r="AA33" i="29"/>
  <c r="AA40" i="29"/>
  <c r="AA17" i="29"/>
  <c r="AA31" i="29"/>
  <c r="AA30" i="29"/>
  <c r="AA39" i="29"/>
  <c r="AA35" i="29"/>
  <c r="AA48" i="29"/>
  <c r="AA36" i="29"/>
  <c r="AA44" i="29"/>
  <c r="AA37" i="29"/>
  <c r="AA41" i="29"/>
  <c r="AA43" i="29"/>
  <c r="AA51" i="29"/>
  <c r="AA22" i="29"/>
  <c r="AA32" i="29"/>
  <c r="AA42" i="29"/>
  <c r="AA29" i="29"/>
  <c r="AA46" i="29"/>
  <c r="AA49" i="29"/>
  <c r="AA54" i="29"/>
  <c r="AA45" i="29"/>
  <c r="AA62" i="29"/>
  <c r="AA60" i="29"/>
  <c r="AA58" i="29"/>
  <c r="AA50" i="29"/>
  <c r="AA56" i="29"/>
  <c r="AA34" i="29"/>
  <c r="AA47" i="29"/>
  <c r="AA55" i="29"/>
  <c r="AA66" i="29"/>
  <c r="AA78" i="29"/>
  <c r="AA71" i="29"/>
  <c r="AA76" i="29"/>
  <c r="AA28" i="29"/>
  <c r="AA53" i="29"/>
  <c r="AA64" i="29"/>
  <c r="AA69" i="29"/>
  <c r="AA74" i="29"/>
  <c r="AA38" i="29"/>
  <c r="AA57" i="29"/>
  <c r="AA59" i="29"/>
  <c r="AA67" i="29"/>
  <c r="AA52" i="29"/>
  <c r="AA65" i="29"/>
  <c r="AA72" i="29"/>
  <c r="AA81" i="29"/>
  <c r="AA80" i="29"/>
  <c r="AA63" i="29"/>
  <c r="AA73" i="29"/>
  <c r="AA79" i="29"/>
  <c r="AA82" i="29"/>
  <c r="AA68" i="29"/>
  <c r="AA61" i="29"/>
  <c r="AA70" i="29"/>
  <c r="AA75" i="29"/>
  <c r="AA77" i="29"/>
  <c r="Z11" i="29"/>
  <c r="Z18" i="29"/>
  <c r="Z27" i="29"/>
  <c r="Z9" i="29"/>
  <c r="Z16" i="29"/>
  <c r="Z25" i="29"/>
  <c r="Z14" i="29"/>
  <c r="Z23" i="29"/>
  <c r="Z12" i="29"/>
  <c r="Z21" i="29"/>
  <c r="Z10" i="29"/>
  <c r="Z19" i="29"/>
  <c r="Z26" i="29"/>
  <c r="Z17" i="29"/>
  <c r="Z24" i="29"/>
  <c r="Z15" i="29"/>
  <c r="Z31" i="29"/>
  <c r="Z38" i="29"/>
  <c r="Z29" i="29"/>
  <c r="Z22" i="29"/>
  <c r="Z28" i="29"/>
  <c r="Z37" i="29"/>
  <c r="Z46" i="29"/>
  <c r="Z32" i="29"/>
  <c r="Z39" i="29"/>
  <c r="Z42" i="29"/>
  <c r="Z45" i="29"/>
  <c r="Z13" i="29"/>
  <c r="Z49" i="29"/>
  <c r="Z54" i="29"/>
  <c r="Z52" i="29"/>
  <c r="Z20" i="29"/>
  <c r="Z60" i="29"/>
  <c r="Z30" i="29"/>
  <c r="Z58" i="29"/>
  <c r="Z50" i="29"/>
  <c r="Z51" i="29"/>
  <c r="Z43" i="29"/>
  <c r="Z34" i="29"/>
  <c r="Z35" i="29"/>
  <c r="Z36" i="29"/>
  <c r="Z47" i="29"/>
  <c r="Z55" i="29"/>
  <c r="Z44" i="29"/>
  <c r="Z59" i="29"/>
  <c r="Z48" i="29"/>
  <c r="Z40" i="29"/>
  <c r="Z71" i="29"/>
  <c r="Z76" i="29"/>
  <c r="Z53" i="29"/>
  <c r="Z64" i="29"/>
  <c r="Z69" i="29"/>
  <c r="Z74" i="29"/>
  <c r="Z33" i="29"/>
  <c r="Z41" i="29"/>
  <c r="Z57" i="29"/>
  <c r="Z67" i="29"/>
  <c r="Z81" i="29"/>
  <c r="Z62" i="29"/>
  <c r="Z65" i="29"/>
  <c r="Z72" i="29"/>
  <c r="Z61" i="29"/>
  <c r="Z70" i="29"/>
  <c r="Z56" i="29"/>
  <c r="Z80" i="29"/>
  <c r="Z63" i="29"/>
  <c r="Z73" i="29"/>
  <c r="Z79" i="29"/>
  <c r="Z82" i="29"/>
  <c r="Z66" i="29"/>
  <c r="Z68" i="29"/>
  <c r="Z75" i="29"/>
  <c r="Z78" i="29"/>
  <c r="Z77" i="29"/>
  <c r="D514" i="30"/>
  <c r="D518" i="30"/>
  <c r="D506" i="30"/>
  <c r="D522" i="30"/>
  <c r="C44" i="31"/>
  <c r="AC246" i="12"/>
  <c r="R30" i="21"/>
  <c r="R77" i="21" s="1"/>
  <c r="R146" i="21" s="1"/>
  <c r="Q5" i="29"/>
  <c r="Q242" i="29" s="1"/>
  <c r="Y5" i="18"/>
  <c r="Y791" i="18" s="1"/>
  <c r="Q5" i="18"/>
  <c r="Q479" i="18" s="1"/>
  <c r="I6" i="12"/>
  <c r="I246" i="12" s="1"/>
  <c r="I5" i="19"/>
  <c r="I398" i="19" s="1"/>
  <c r="Q5" i="17"/>
  <c r="Q5" i="46" s="1"/>
  <c r="Q85" i="46" s="1"/>
  <c r="U245" i="12"/>
  <c r="Y5" i="19"/>
  <c r="Y398" i="19" s="1"/>
  <c r="I5" i="29"/>
  <c r="M246" i="12"/>
  <c r="AC245" i="12"/>
  <c r="Z30" i="21"/>
  <c r="Z77" i="21" s="1"/>
  <c r="Z146" i="21" s="1"/>
  <c r="J31" i="21"/>
  <c r="Y5" i="29"/>
  <c r="X40" i="34" s="1"/>
  <c r="X139" i="34" s="1"/>
  <c r="Y5" i="17"/>
  <c r="Y242" i="17" s="1"/>
  <c r="I5" i="18"/>
  <c r="I479" i="18" s="1"/>
  <c r="I5" i="17"/>
  <c r="I16" i="43" s="1"/>
  <c r="U7" i="12"/>
  <c r="U247" i="12" s="1"/>
  <c r="Q5" i="19"/>
  <c r="Q398" i="19" s="1"/>
  <c r="M7" i="12"/>
  <c r="AD246" i="12"/>
  <c r="R5" i="19"/>
  <c r="R398" i="19" s="1"/>
  <c r="N245" i="12"/>
  <c r="S30" i="21"/>
  <c r="S77" i="21" s="1"/>
  <c r="S146" i="21" s="1"/>
  <c r="Z5" i="18"/>
  <c r="Z242" i="18" s="1"/>
  <c r="Z5" i="17"/>
  <c r="Z242" i="17" s="1"/>
  <c r="J5" i="19"/>
  <c r="J398" i="19" s="1"/>
  <c r="E96" i="38"/>
  <c r="N246" i="12"/>
  <c r="K30" i="21"/>
  <c r="K77" i="21" s="1"/>
  <c r="K146" i="21" s="1"/>
  <c r="V245" i="12"/>
  <c r="J5" i="17"/>
  <c r="J5" i="46" s="1"/>
  <c r="J85" i="46" s="1"/>
  <c r="Z5" i="19"/>
  <c r="Z398" i="19" s="1"/>
  <c r="J5" i="29"/>
  <c r="J6" i="29" s="1"/>
  <c r="R5" i="18"/>
  <c r="AA30" i="21"/>
  <c r="AA77" i="21" s="1"/>
  <c r="AA146" i="21" s="1"/>
  <c r="AD245" i="12"/>
  <c r="N7" i="12"/>
  <c r="Z5" i="29"/>
  <c r="Y40" i="34" s="1"/>
  <c r="Y139" i="34" s="1"/>
  <c r="R5" i="17"/>
  <c r="AB5" i="29"/>
  <c r="AA40" i="34" s="1"/>
  <c r="AA139" i="34" s="1"/>
  <c r="P245" i="12"/>
  <c r="AF245" i="12"/>
  <c r="D33" i="34"/>
  <c r="AC30" i="21"/>
  <c r="AC77" i="21" s="1"/>
  <c r="AC146" i="21" s="1"/>
  <c r="C46" i="38"/>
  <c r="W791" i="18"/>
  <c r="T5" i="29"/>
  <c r="U30" i="21"/>
  <c r="U77" i="21" s="1"/>
  <c r="U146" i="21" s="1"/>
  <c r="O7" i="12"/>
  <c r="O247" i="12" s="1"/>
  <c r="L5" i="19"/>
  <c r="L398" i="19" s="1"/>
  <c r="X245" i="12"/>
  <c r="L5" i="29"/>
  <c r="W22" i="9"/>
  <c r="W23" i="9" s="1"/>
  <c r="W24" i="9" s="1"/>
  <c r="C82" i="17"/>
  <c r="C160" i="17" s="1"/>
  <c r="G82" i="12"/>
  <c r="G93" i="43" s="1"/>
  <c r="F82" i="12"/>
  <c r="C74" i="17"/>
  <c r="C152" i="17" s="1"/>
  <c r="G74" i="12"/>
  <c r="F74" i="12"/>
  <c r="C66" i="17"/>
  <c r="C222" i="17" s="1"/>
  <c r="F66" i="12"/>
  <c r="G66" i="12"/>
  <c r="G77" i="43" s="1"/>
  <c r="C58" i="17"/>
  <c r="C136" i="17" s="1"/>
  <c r="G58" i="12"/>
  <c r="G69" i="43" s="1"/>
  <c r="F58" i="12"/>
  <c r="C50" i="17"/>
  <c r="C206" i="17" s="1"/>
  <c r="G50" i="12"/>
  <c r="F50" i="12"/>
  <c r="C42" i="17"/>
  <c r="C120" i="17" s="1"/>
  <c r="G42" i="12"/>
  <c r="F42" i="12"/>
  <c r="C34" i="17"/>
  <c r="C112" i="17" s="1"/>
  <c r="G34" i="12"/>
  <c r="F34" i="12"/>
  <c r="C26" i="17"/>
  <c r="G26" i="12"/>
  <c r="F26" i="12"/>
  <c r="C18" i="17"/>
  <c r="C174" i="17" s="1"/>
  <c r="G18" i="12"/>
  <c r="F18" i="12"/>
  <c r="C10" i="17"/>
  <c r="C88" i="17" s="1"/>
  <c r="G10" i="12"/>
  <c r="F10" i="12"/>
  <c r="C81" i="17"/>
  <c r="C159" i="17" s="1"/>
  <c r="F81" i="12"/>
  <c r="G81" i="12"/>
  <c r="G92" i="43" s="1"/>
  <c r="C73" i="17"/>
  <c r="C151" i="17" s="1"/>
  <c r="F73" i="12"/>
  <c r="G73" i="12"/>
  <c r="G84" i="43" s="1"/>
  <c r="C65" i="17"/>
  <c r="C143" i="17" s="1"/>
  <c r="F65" i="12"/>
  <c r="G65" i="12"/>
  <c r="G76" i="43" s="1"/>
  <c r="C57" i="17"/>
  <c r="C135" i="17" s="1"/>
  <c r="F57" i="12"/>
  <c r="G57" i="12"/>
  <c r="C49" i="17"/>
  <c r="F49" i="12"/>
  <c r="G49" i="12"/>
  <c r="G60" i="43" s="1"/>
  <c r="C41" i="17"/>
  <c r="F41" i="12"/>
  <c r="G41" i="12"/>
  <c r="C33" i="17"/>
  <c r="F33" i="12"/>
  <c r="G33" i="12"/>
  <c r="C25" i="17"/>
  <c r="G25" i="12"/>
  <c r="F25" i="12"/>
  <c r="C17" i="17"/>
  <c r="G17" i="12"/>
  <c r="F17" i="12"/>
  <c r="C9" i="17"/>
  <c r="G9" i="12"/>
  <c r="F9" i="12"/>
  <c r="C80" i="17"/>
  <c r="C236" i="17" s="1"/>
  <c r="F80" i="12"/>
  <c r="G80" i="12"/>
  <c r="G91" i="43" s="1"/>
  <c r="C72" i="17"/>
  <c r="C150" i="17" s="1"/>
  <c r="F72" i="12"/>
  <c r="G72" i="12"/>
  <c r="G83" i="43" s="1"/>
  <c r="C64" i="17"/>
  <c r="C142" i="17" s="1"/>
  <c r="F64" i="12"/>
  <c r="G64" i="12"/>
  <c r="C56" i="17"/>
  <c r="C134" i="17" s="1"/>
  <c r="F56" i="12"/>
  <c r="G56" i="12"/>
  <c r="G67" i="43" s="1"/>
  <c r="C48" i="17"/>
  <c r="C126" i="17" s="1"/>
  <c r="F48" i="12"/>
  <c r="G48" i="12"/>
  <c r="G59" i="43" s="1"/>
  <c r="C40" i="17"/>
  <c r="F40" i="12"/>
  <c r="G40" i="12"/>
  <c r="C32" i="17"/>
  <c r="F32" i="12"/>
  <c r="G32" i="12"/>
  <c r="C24" i="17"/>
  <c r="F24" i="12"/>
  <c r="G24" i="12"/>
  <c r="C16" i="17"/>
  <c r="F16" i="12"/>
  <c r="G16" i="12"/>
  <c r="G8" i="12"/>
  <c r="G8" i="17" s="1"/>
  <c r="F8" i="12"/>
  <c r="C79" i="17"/>
  <c r="C157" i="17" s="1"/>
  <c r="F79" i="12"/>
  <c r="G79" i="12"/>
  <c r="C71" i="17"/>
  <c r="C149" i="17" s="1"/>
  <c r="F71" i="12"/>
  <c r="G71" i="12"/>
  <c r="G82" i="43" s="1"/>
  <c r="C63" i="17"/>
  <c r="C141" i="17" s="1"/>
  <c r="F63" i="12"/>
  <c r="G63" i="12"/>
  <c r="G74" i="43" s="1"/>
  <c r="C55" i="17"/>
  <c r="C211" i="17" s="1"/>
  <c r="F55" i="12"/>
  <c r="G55" i="12"/>
  <c r="C47" i="17"/>
  <c r="F47" i="12"/>
  <c r="G47" i="12"/>
  <c r="G58" i="43" s="1"/>
  <c r="C39" i="17"/>
  <c r="G39" i="12"/>
  <c r="F39" i="12"/>
  <c r="C31" i="17"/>
  <c r="G31" i="12"/>
  <c r="F31" i="12"/>
  <c r="C23" i="17"/>
  <c r="G23" i="12"/>
  <c r="F23" i="12"/>
  <c r="C15" i="17"/>
  <c r="G15" i="12"/>
  <c r="F15" i="12"/>
  <c r="C78" i="17"/>
  <c r="C156" i="17" s="1"/>
  <c r="F78" i="12"/>
  <c r="G78" i="12"/>
  <c r="C70" i="17"/>
  <c r="C148" i="17" s="1"/>
  <c r="F70" i="12"/>
  <c r="G70" i="12"/>
  <c r="C62" i="17"/>
  <c r="G62" i="12"/>
  <c r="F62" i="12"/>
  <c r="C54" i="17"/>
  <c r="C210" i="17" s="1"/>
  <c r="G54" i="12"/>
  <c r="G65" i="43" s="1"/>
  <c r="F54" i="12"/>
  <c r="C46" i="17"/>
  <c r="C124" i="17" s="1"/>
  <c r="F46" i="12"/>
  <c r="G46" i="12"/>
  <c r="G46" i="17" s="1"/>
  <c r="C38" i="17"/>
  <c r="F38" i="12"/>
  <c r="G38" i="12"/>
  <c r="C30" i="17"/>
  <c r="G30" i="12"/>
  <c r="F30" i="12"/>
  <c r="C22" i="17"/>
  <c r="G22" i="12"/>
  <c r="F22" i="12"/>
  <c r="C14" i="17"/>
  <c r="G14" i="12"/>
  <c r="F14" i="12"/>
  <c r="C77" i="17"/>
  <c r="C155" i="17" s="1"/>
  <c r="F77" i="12"/>
  <c r="G77" i="12"/>
  <c r="C69" i="17"/>
  <c r="C225" i="17" s="1"/>
  <c r="F69" i="12"/>
  <c r="G69" i="12"/>
  <c r="G80" i="43" s="1"/>
  <c r="C61" i="17"/>
  <c r="C139" i="17" s="1"/>
  <c r="F61" i="12"/>
  <c r="G61" i="12"/>
  <c r="G72" i="43" s="1"/>
  <c r="C53" i="17"/>
  <c r="C131" i="17" s="1"/>
  <c r="F53" i="12"/>
  <c r="G53" i="12"/>
  <c r="C45" i="17"/>
  <c r="F45" i="12"/>
  <c r="G45" i="12"/>
  <c r="C37" i="17"/>
  <c r="F37" i="12"/>
  <c r="G37" i="12"/>
  <c r="C29" i="17"/>
  <c r="G29" i="12"/>
  <c r="F29" i="12"/>
  <c r="C21" i="17"/>
  <c r="G21" i="12"/>
  <c r="F21" i="12"/>
  <c r="C13" i="17"/>
  <c r="G13" i="12"/>
  <c r="F13" i="12"/>
  <c r="C76" i="17"/>
  <c r="F76" i="12"/>
  <c r="G76" i="12"/>
  <c r="G87" i="43" s="1"/>
  <c r="C68" i="17"/>
  <c r="C146" i="17" s="1"/>
  <c r="F68" i="12"/>
  <c r="G68" i="12"/>
  <c r="G79" i="43" s="1"/>
  <c r="C60" i="17"/>
  <c r="C138" i="17" s="1"/>
  <c r="F60" i="12"/>
  <c r="G60" i="12"/>
  <c r="G71" i="43" s="1"/>
  <c r="C52" i="17"/>
  <c r="C208" i="17" s="1"/>
  <c r="F52" i="12"/>
  <c r="G52" i="12"/>
  <c r="G63" i="43" s="1"/>
  <c r="C44" i="17"/>
  <c r="F44" i="12"/>
  <c r="G44" i="12"/>
  <c r="C36" i="17"/>
  <c r="F36" i="12"/>
  <c r="G36" i="12"/>
  <c r="C28" i="17"/>
  <c r="F28" i="12"/>
  <c r="G28" i="12"/>
  <c r="C20" i="17"/>
  <c r="F20" i="12"/>
  <c r="G20" i="12"/>
  <c r="C12" i="17"/>
  <c r="F12" i="12"/>
  <c r="G12" i="12"/>
  <c r="C75" i="17"/>
  <c r="C153" i="17" s="1"/>
  <c r="F75" i="12"/>
  <c r="G75" i="12"/>
  <c r="G86" i="43" s="1"/>
  <c r="C67" i="17"/>
  <c r="C145" i="17" s="1"/>
  <c r="F67" i="12"/>
  <c r="G67" i="12"/>
  <c r="G78" i="43" s="1"/>
  <c r="C59" i="17"/>
  <c r="F59" i="12"/>
  <c r="G59" i="12"/>
  <c r="G70" i="43" s="1"/>
  <c r="C51" i="17"/>
  <c r="C129" i="17" s="1"/>
  <c r="F51" i="12"/>
  <c r="G51" i="12"/>
  <c r="G62" i="43" s="1"/>
  <c r="C43" i="17"/>
  <c r="F43" i="12"/>
  <c r="G43" i="12"/>
  <c r="C35" i="17"/>
  <c r="F35" i="12"/>
  <c r="G35" i="12"/>
  <c r="C27" i="17"/>
  <c r="F27" i="12"/>
  <c r="G27" i="12"/>
  <c r="C19" i="17"/>
  <c r="F19" i="12"/>
  <c r="G19" i="12"/>
  <c r="C11" i="17"/>
  <c r="F11" i="12"/>
  <c r="G11" i="12"/>
  <c r="D14" i="27"/>
  <c r="D11" i="27"/>
  <c r="K479" i="18"/>
  <c r="C50" i="38"/>
  <c r="S50" i="38" s="1"/>
  <c r="C43" i="31"/>
  <c r="D9" i="27"/>
  <c r="D17" i="27"/>
  <c r="E92" i="38"/>
  <c r="Q7" i="12"/>
  <c r="AD7" i="12"/>
  <c r="AD247" i="12" s="1"/>
  <c r="AC7" i="12"/>
  <c r="AC247" i="12" s="1"/>
  <c r="R51" i="31"/>
  <c r="K67" i="6"/>
  <c r="K71" i="2"/>
  <c r="K63" i="2"/>
  <c r="K55" i="2"/>
  <c r="K67" i="2"/>
  <c r="K59" i="2"/>
  <c r="AE7" i="12"/>
  <c r="AE247" i="12" s="1"/>
  <c r="W7" i="12"/>
  <c r="W247" i="12" s="1"/>
  <c r="D8" i="27"/>
  <c r="C46" i="31"/>
  <c r="D15" i="27"/>
  <c r="Q30" i="21"/>
  <c r="Q77" i="21" s="1"/>
  <c r="Q146" i="21" s="1"/>
  <c r="D34" i="34"/>
  <c r="C47" i="38"/>
  <c r="C32" i="31"/>
  <c r="M44" i="32"/>
  <c r="M42" i="26"/>
  <c r="M58" i="32" s="1"/>
  <c r="B1" i="24"/>
  <c r="B1" i="38" s="1"/>
  <c r="B1" i="52"/>
  <c r="B1" i="6"/>
  <c r="B1" i="25"/>
  <c r="B1" i="26" s="1"/>
  <c r="D32" i="34"/>
  <c r="X5" i="18"/>
  <c r="C45" i="38"/>
  <c r="C41" i="31"/>
  <c r="D13" i="27"/>
  <c r="C40" i="31"/>
  <c r="X5" i="17"/>
  <c r="C8" i="19"/>
  <c r="C8" i="17"/>
  <c r="AB7" i="12"/>
  <c r="AB247" i="12" s="1"/>
  <c r="AA242" i="29"/>
  <c r="X5" i="19"/>
  <c r="X398" i="19" s="1"/>
  <c r="AB245" i="12"/>
  <c r="AB246" i="12"/>
  <c r="AA5" i="30"/>
  <c r="X5" i="29"/>
  <c r="AA6" i="29"/>
  <c r="Y30" i="21"/>
  <c r="Y77" i="21" s="1"/>
  <c r="Y146" i="21" s="1"/>
  <c r="P5" i="17"/>
  <c r="P6" i="17" s="1"/>
  <c r="Z7" i="12"/>
  <c r="Z247" i="12" s="1"/>
  <c r="R7" i="12"/>
  <c r="R247" i="12" s="1"/>
  <c r="T246" i="12"/>
  <c r="U6" i="29"/>
  <c r="T41" i="34" s="1"/>
  <c r="T140" i="34" s="1"/>
  <c r="U242" i="29"/>
  <c r="P5" i="18"/>
  <c r="T245" i="12"/>
  <c r="P5" i="19"/>
  <c r="P398" i="19" s="1"/>
  <c r="T7" i="12"/>
  <c r="T247" i="12" s="1"/>
  <c r="P5" i="29"/>
  <c r="P5" i="30" s="1"/>
  <c r="P242" i="30" s="1"/>
  <c r="D27" i="34"/>
  <c r="C40" i="38"/>
  <c r="D29" i="34"/>
  <c r="C36" i="31"/>
  <c r="C22" i="31"/>
  <c r="C42" i="38"/>
  <c r="F23" i="2"/>
  <c r="O22" i="9" s="1"/>
  <c r="P22" i="9" s="1"/>
  <c r="I7" i="29" s="1"/>
  <c r="I211" i="29" s="1"/>
  <c r="F13" i="2" a="1"/>
  <c r="F13" i="2" s="1"/>
  <c r="K37" i="45" s="1"/>
  <c r="P32" i="9"/>
  <c r="S7" i="29" s="1"/>
  <c r="S212" i="29" s="1"/>
  <c r="R32" i="9"/>
  <c r="S244" i="30" s="1"/>
  <c r="Q32" i="9"/>
  <c r="S7" i="30" s="1"/>
  <c r="P24" i="9"/>
  <c r="K7" i="29" s="1"/>
  <c r="J42" i="34" s="1"/>
  <c r="Q24" i="9"/>
  <c r="K7" i="30" s="1"/>
  <c r="R24" i="9"/>
  <c r="K244" i="30" s="1"/>
  <c r="P31" i="9"/>
  <c r="R7" i="29" s="1"/>
  <c r="R192" i="29" s="1"/>
  <c r="R31" i="9"/>
  <c r="R244" i="30" s="1"/>
  <c r="Q31" i="9"/>
  <c r="R7" i="30" s="1"/>
  <c r="R23" i="9"/>
  <c r="J244" i="30" s="1"/>
  <c r="Q23" i="9"/>
  <c r="J7" i="30" s="1"/>
  <c r="P30" i="9"/>
  <c r="Q7" i="29" s="1"/>
  <c r="R30" i="9"/>
  <c r="Q244" i="30" s="1"/>
  <c r="Q30" i="9"/>
  <c r="Q7" i="30" s="1"/>
  <c r="Q29" i="9"/>
  <c r="P7" i="30" s="1"/>
  <c r="R29" i="9"/>
  <c r="P244" i="30" s="1"/>
  <c r="P28" i="9"/>
  <c r="O7" i="29" s="1"/>
  <c r="R28" i="9"/>
  <c r="O244" i="30" s="1"/>
  <c r="Q28" i="9"/>
  <c r="O7" i="30" s="1"/>
  <c r="Q27" i="9"/>
  <c r="N7" i="30" s="1"/>
  <c r="R27" i="9"/>
  <c r="N244" i="30" s="1"/>
  <c r="P36" i="9"/>
  <c r="W7" i="29" s="1"/>
  <c r="W211" i="29" s="1"/>
  <c r="Q36" i="9"/>
  <c r="W7" i="30" s="1"/>
  <c r="R36" i="9"/>
  <c r="W244" i="30" s="1"/>
  <c r="R26" i="9"/>
  <c r="M244" i="30" s="1"/>
  <c r="Q26" i="9"/>
  <c r="M7" i="30" s="1"/>
  <c r="R35" i="9"/>
  <c r="V244" i="30" s="1"/>
  <c r="Q35" i="9"/>
  <c r="V7" i="30" s="1"/>
  <c r="Q33" i="9"/>
  <c r="T7" i="30" s="1"/>
  <c r="R33" i="9"/>
  <c r="T244" i="30" s="1"/>
  <c r="P25" i="9"/>
  <c r="L7" i="29" s="1"/>
  <c r="L164" i="29" s="1"/>
  <c r="Q25" i="9"/>
  <c r="L7" i="30" s="1"/>
  <c r="R25" i="9"/>
  <c r="L244" i="30" s="1"/>
  <c r="C23" i="31"/>
  <c r="C26" i="31"/>
  <c r="G89" i="6"/>
  <c r="H85" i="6"/>
  <c r="G86" i="6"/>
  <c r="F11" i="2" a="1"/>
  <c r="F11" i="2" s="1"/>
  <c r="G87" i="6"/>
  <c r="O5" i="11" s="1"/>
  <c r="F12" i="2" a="1"/>
  <c r="F12" i="2" s="1"/>
  <c r="G88" i="6"/>
  <c r="B1" i="18"/>
  <c r="B1" i="2"/>
  <c r="B1" i="9"/>
  <c r="B1" i="19"/>
  <c r="B1" i="12"/>
  <c r="B1" i="21"/>
  <c r="B1" i="28"/>
  <c r="B1" i="4"/>
  <c r="B1" i="17"/>
  <c r="B1" i="22"/>
  <c r="D505" i="30"/>
  <c r="C521" i="30"/>
  <c r="C517" i="30"/>
  <c r="C513" i="30"/>
  <c r="Q288" i="31"/>
  <c r="D510" i="30"/>
  <c r="D36" i="34"/>
  <c r="D30" i="34"/>
  <c r="C49" i="38"/>
  <c r="C43" i="38"/>
  <c r="D28" i="34"/>
  <c r="C41" i="38"/>
  <c r="G505" i="30"/>
  <c r="G521" i="30"/>
  <c r="G517" i="30"/>
  <c r="G513" i="30"/>
  <c r="G509" i="30"/>
  <c r="E505" i="30"/>
  <c r="E521" i="30"/>
  <c r="E517" i="30"/>
  <c r="E513" i="30"/>
  <c r="E509" i="30"/>
  <c r="G524" i="30"/>
  <c r="G520" i="30"/>
  <c r="G516" i="30"/>
  <c r="G512" i="30"/>
  <c r="G508" i="30"/>
  <c r="E524" i="30"/>
  <c r="E520" i="30"/>
  <c r="E516" i="30"/>
  <c r="E512" i="30"/>
  <c r="E508" i="30"/>
  <c r="G523" i="30"/>
  <c r="G519" i="30"/>
  <c r="G515" i="30"/>
  <c r="G511" i="30"/>
  <c r="G507" i="30"/>
  <c r="E523" i="30"/>
  <c r="E519" i="30"/>
  <c r="E515" i="30"/>
  <c r="E511" i="30"/>
  <c r="E507" i="30"/>
  <c r="G522" i="30"/>
  <c r="G518" i="30"/>
  <c r="G514" i="30"/>
  <c r="G510" i="30"/>
  <c r="G506" i="30"/>
  <c r="E522" i="30"/>
  <c r="E518" i="30"/>
  <c r="E514" i="30"/>
  <c r="E510" i="30"/>
  <c r="E506" i="30"/>
  <c r="C56" i="43"/>
  <c r="C290" i="43" s="1"/>
  <c r="C45" i="46"/>
  <c r="C90" i="31"/>
  <c r="C45" i="29"/>
  <c r="C45" i="19"/>
  <c r="D45" i="12"/>
  <c r="E45" i="12"/>
  <c r="C48" i="43"/>
  <c r="C282" i="43" s="1"/>
  <c r="C37" i="46"/>
  <c r="C82" i="31"/>
  <c r="C37" i="29"/>
  <c r="C37" i="19"/>
  <c r="D37" i="12"/>
  <c r="E37" i="12"/>
  <c r="C40" i="43"/>
  <c r="C274" i="43" s="1"/>
  <c r="C29" i="46"/>
  <c r="C74" i="31"/>
  <c r="C29" i="29"/>
  <c r="C29" i="19"/>
  <c r="D29" i="12"/>
  <c r="E29" i="12"/>
  <c r="C32" i="43"/>
  <c r="C266" i="43" s="1"/>
  <c r="C21" i="46"/>
  <c r="C66" i="31"/>
  <c r="C21" i="29"/>
  <c r="C21" i="19"/>
  <c r="D21" i="12"/>
  <c r="E21" i="12"/>
  <c r="C24" i="43"/>
  <c r="C258" i="43" s="1"/>
  <c r="C13" i="46"/>
  <c r="C58" i="31"/>
  <c r="C13" i="29"/>
  <c r="C13" i="19"/>
  <c r="D13" i="12"/>
  <c r="E13" i="12"/>
  <c r="C52" i="43"/>
  <c r="C286" i="43" s="1"/>
  <c r="C41" i="46"/>
  <c r="C86" i="31"/>
  <c r="C41" i="29"/>
  <c r="C41" i="19"/>
  <c r="E41" i="12"/>
  <c r="D41" i="12"/>
  <c r="C44" i="43"/>
  <c r="C278" i="43" s="1"/>
  <c r="C33" i="46"/>
  <c r="C78" i="31"/>
  <c r="C33" i="29"/>
  <c r="C33" i="19"/>
  <c r="E33" i="12"/>
  <c r="D33" i="12"/>
  <c r="C36" i="43"/>
  <c r="C270" i="43" s="1"/>
  <c r="C25" i="46"/>
  <c r="C70" i="31"/>
  <c r="C25" i="29"/>
  <c r="C25" i="19"/>
  <c r="E25" i="12"/>
  <c r="D25" i="12"/>
  <c r="C28" i="43"/>
  <c r="C262" i="43" s="1"/>
  <c r="C17" i="46"/>
  <c r="C62" i="31"/>
  <c r="C17" i="29"/>
  <c r="C17" i="19"/>
  <c r="E17" i="12"/>
  <c r="D17" i="12"/>
  <c r="C51" i="43"/>
  <c r="C285" i="43" s="1"/>
  <c r="C40" i="46"/>
  <c r="C85" i="31"/>
  <c r="C40" i="29"/>
  <c r="C40" i="19"/>
  <c r="D40" i="12"/>
  <c r="E40" i="12"/>
  <c r="C43" i="43"/>
  <c r="C277" i="43" s="1"/>
  <c r="C32" i="46"/>
  <c r="C77" i="31"/>
  <c r="C32" i="29"/>
  <c r="C32" i="19"/>
  <c r="D32" i="12"/>
  <c r="E32" i="12"/>
  <c r="C50" i="43"/>
  <c r="C284" i="43" s="1"/>
  <c r="C39" i="46"/>
  <c r="C84" i="31"/>
  <c r="C39" i="29"/>
  <c r="C39" i="19"/>
  <c r="D39" i="12"/>
  <c r="E39" i="12"/>
  <c r="C42" i="43"/>
  <c r="C276" i="43" s="1"/>
  <c r="C31" i="46"/>
  <c r="C76" i="31"/>
  <c r="C31" i="29"/>
  <c r="C31" i="19"/>
  <c r="D31" i="12"/>
  <c r="E31" i="12"/>
  <c r="C34" i="43"/>
  <c r="C268" i="43" s="1"/>
  <c r="C23" i="46"/>
  <c r="C68" i="31"/>
  <c r="C23" i="29"/>
  <c r="C23" i="19"/>
  <c r="D23" i="12"/>
  <c r="E23" i="12"/>
  <c r="C49" i="43"/>
  <c r="C283" i="43" s="1"/>
  <c r="C38" i="46"/>
  <c r="C83" i="31"/>
  <c r="C38" i="29"/>
  <c r="C38" i="19"/>
  <c r="E38" i="12"/>
  <c r="D38" i="12"/>
  <c r="C41" i="43"/>
  <c r="C275" i="43" s="1"/>
  <c r="C30" i="46"/>
  <c r="C75" i="31"/>
  <c r="C30" i="29"/>
  <c r="C30" i="19"/>
  <c r="E30" i="12"/>
  <c r="D30" i="12"/>
  <c r="C33" i="43"/>
  <c r="C267" i="43" s="1"/>
  <c r="C22" i="46"/>
  <c r="C67" i="31"/>
  <c r="C22" i="29"/>
  <c r="C22" i="19"/>
  <c r="E22" i="12"/>
  <c r="D22" i="12"/>
  <c r="C25" i="43"/>
  <c r="C259" i="43" s="1"/>
  <c r="C14" i="46"/>
  <c r="C59" i="31"/>
  <c r="C14" i="29"/>
  <c r="C14" i="19"/>
  <c r="E14" i="12"/>
  <c r="D14" i="12"/>
  <c r="C26" i="43"/>
  <c r="C260" i="43" s="1"/>
  <c r="C15" i="46"/>
  <c r="C60" i="31"/>
  <c r="C15" i="29"/>
  <c r="C15" i="19"/>
  <c r="D15" i="12"/>
  <c r="E15" i="12"/>
  <c r="C28" i="31"/>
  <c r="C55" i="43"/>
  <c r="C289" i="43" s="1"/>
  <c r="C44" i="46"/>
  <c r="C89" i="31"/>
  <c r="C44" i="29"/>
  <c r="C44" i="19"/>
  <c r="D44" i="12"/>
  <c r="E44" i="12"/>
  <c r="C47" i="43"/>
  <c r="C281" i="43" s="1"/>
  <c r="C36" i="46"/>
  <c r="C81" i="31"/>
  <c r="C36" i="29"/>
  <c r="C36" i="19"/>
  <c r="D36" i="12"/>
  <c r="E36" i="12"/>
  <c r="C39" i="43"/>
  <c r="C273" i="43" s="1"/>
  <c r="C28" i="46"/>
  <c r="C73" i="31"/>
  <c r="C28" i="29"/>
  <c r="C28" i="19"/>
  <c r="D28" i="12"/>
  <c r="E28" i="12"/>
  <c r="C31" i="43"/>
  <c r="C265" i="43" s="1"/>
  <c r="C20" i="46"/>
  <c r="C65" i="31"/>
  <c r="C20" i="29"/>
  <c r="C20" i="19"/>
  <c r="D20" i="12"/>
  <c r="E20" i="12"/>
  <c r="C23" i="43"/>
  <c r="C257" i="43" s="1"/>
  <c r="C12" i="46"/>
  <c r="C57" i="31"/>
  <c r="C12" i="29"/>
  <c r="C12" i="19"/>
  <c r="D12" i="12"/>
  <c r="E12" i="12"/>
  <c r="C54" i="43"/>
  <c r="C288" i="43" s="1"/>
  <c r="C43" i="46"/>
  <c r="C88" i="31"/>
  <c r="C43" i="29"/>
  <c r="C43" i="19"/>
  <c r="D43" i="12"/>
  <c r="E43" i="12"/>
  <c r="C46" i="43"/>
  <c r="C280" i="43" s="1"/>
  <c r="C35" i="46"/>
  <c r="C80" i="31"/>
  <c r="C35" i="29"/>
  <c r="C35" i="19"/>
  <c r="D35" i="12"/>
  <c r="E35" i="12"/>
  <c r="C38" i="43"/>
  <c r="C272" i="43" s="1"/>
  <c r="C27" i="46"/>
  <c r="C72" i="31"/>
  <c r="C27" i="29"/>
  <c r="C27" i="19"/>
  <c r="D27" i="12"/>
  <c r="E27" i="12"/>
  <c r="C30" i="43"/>
  <c r="C264" i="43" s="1"/>
  <c r="C19" i="46"/>
  <c r="C64" i="31"/>
  <c r="C19" i="29"/>
  <c r="C19" i="19"/>
  <c r="D19" i="12"/>
  <c r="E19" i="12"/>
  <c r="C22" i="43"/>
  <c r="C256" i="43" s="1"/>
  <c r="C11" i="46"/>
  <c r="C56" i="31"/>
  <c r="C11" i="29"/>
  <c r="C11" i="19"/>
  <c r="D11" i="12"/>
  <c r="E11" i="12"/>
  <c r="C53" i="43"/>
  <c r="C287" i="43" s="1"/>
  <c r="C42" i="46"/>
  <c r="C87" i="31"/>
  <c r="C42" i="29"/>
  <c r="C42" i="19"/>
  <c r="D42" i="12"/>
  <c r="E42" i="12"/>
  <c r="C45" i="43"/>
  <c r="C279" i="43" s="1"/>
  <c r="C34" i="46"/>
  <c r="C79" i="31"/>
  <c r="C34" i="29"/>
  <c r="C34" i="19"/>
  <c r="D34" i="12"/>
  <c r="E34" i="12"/>
  <c r="C37" i="43"/>
  <c r="C271" i="43" s="1"/>
  <c r="C26" i="46"/>
  <c r="C71" i="31"/>
  <c r="C26" i="29"/>
  <c r="C26" i="19"/>
  <c r="D26" i="12"/>
  <c r="E26" i="12"/>
  <c r="C29" i="43"/>
  <c r="C263" i="43" s="1"/>
  <c r="C18" i="46"/>
  <c r="C63" i="31"/>
  <c r="C18" i="29"/>
  <c r="C18" i="19"/>
  <c r="D18" i="12"/>
  <c r="E18" i="12"/>
  <c r="C21" i="43"/>
  <c r="C255" i="43" s="1"/>
  <c r="C10" i="46"/>
  <c r="C55" i="31"/>
  <c r="C10" i="29"/>
  <c r="C10" i="19"/>
  <c r="D10" i="12"/>
  <c r="E10" i="12"/>
  <c r="C30" i="31"/>
  <c r="C25" i="31"/>
  <c r="C20" i="43"/>
  <c r="C254" i="43" s="1"/>
  <c r="C9" i="46"/>
  <c r="C54" i="31"/>
  <c r="C9" i="29"/>
  <c r="C9" i="19"/>
  <c r="E9" i="12"/>
  <c r="D9" i="12"/>
  <c r="D20" i="43" s="1"/>
  <c r="D254" i="43" s="1"/>
  <c r="C35" i="43"/>
  <c r="C269" i="43" s="1"/>
  <c r="C24" i="46"/>
  <c r="C69" i="31"/>
  <c r="C24" i="29"/>
  <c r="C24" i="19"/>
  <c r="D24" i="12"/>
  <c r="E24" i="12"/>
  <c r="C27" i="43"/>
  <c r="C261" i="43" s="1"/>
  <c r="C16" i="46"/>
  <c r="C61" i="31"/>
  <c r="C16" i="29"/>
  <c r="C16" i="19"/>
  <c r="D16" i="12"/>
  <c r="E16" i="12"/>
  <c r="C19" i="43"/>
  <c r="C8" i="46"/>
  <c r="C53" i="31"/>
  <c r="C8" i="29"/>
  <c r="E8" i="12"/>
  <c r="D8" i="12"/>
  <c r="D19" i="43" s="1"/>
  <c r="C81" i="46"/>
  <c r="C326" i="43"/>
  <c r="C81" i="29"/>
  <c r="C81" i="19"/>
  <c r="C126" i="31"/>
  <c r="D81" i="12"/>
  <c r="E81" i="12"/>
  <c r="C73" i="46"/>
  <c r="C318" i="43"/>
  <c r="C73" i="29"/>
  <c r="C73" i="19"/>
  <c r="C118" i="31"/>
  <c r="D73" i="12"/>
  <c r="E73" i="12"/>
  <c r="C310" i="43"/>
  <c r="C65" i="46"/>
  <c r="C65" i="29"/>
  <c r="C65" i="19"/>
  <c r="C110" i="31"/>
  <c r="D65" i="12"/>
  <c r="E65" i="12"/>
  <c r="C57" i="46"/>
  <c r="C302" i="43"/>
  <c r="C57" i="29"/>
  <c r="C57" i="19"/>
  <c r="C102" i="31"/>
  <c r="D57" i="12"/>
  <c r="E57" i="12"/>
  <c r="C294" i="43"/>
  <c r="C49" i="46"/>
  <c r="C49" i="29"/>
  <c r="C49" i="19"/>
  <c r="C94" i="31"/>
  <c r="D49" i="12"/>
  <c r="E49" i="12"/>
  <c r="C325" i="43"/>
  <c r="C80" i="46"/>
  <c r="C125" i="31"/>
  <c r="D80" i="12"/>
  <c r="E80" i="12"/>
  <c r="C80" i="29"/>
  <c r="C80" i="19"/>
  <c r="C317" i="43"/>
  <c r="C72" i="46"/>
  <c r="C117" i="31"/>
  <c r="C72" i="29"/>
  <c r="D72" i="12"/>
  <c r="C72" i="19"/>
  <c r="E72" i="12"/>
  <c r="C309" i="43"/>
  <c r="C64" i="46"/>
  <c r="C109" i="31"/>
  <c r="D64" i="12"/>
  <c r="E64" i="12"/>
  <c r="C64" i="29"/>
  <c r="C64" i="19"/>
  <c r="C301" i="43"/>
  <c r="C56" i="46"/>
  <c r="C101" i="31"/>
  <c r="C56" i="29"/>
  <c r="D56" i="12"/>
  <c r="C56" i="19"/>
  <c r="E56" i="12"/>
  <c r="C293" i="43"/>
  <c r="C48" i="46"/>
  <c r="C93" i="31"/>
  <c r="D48" i="12"/>
  <c r="E48" i="12"/>
  <c r="C48" i="29"/>
  <c r="C48" i="19"/>
  <c r="E77" i="35"/>
  <c r="C324" i="43"/>
  <c r="C79" i="46"/>
  <c r="C79" i="29"/>
  <c r="C79" i="19"/>
  <c r="C124" i="31"/>
  <c r="D79" i="12"/>
  <c r="E79" i="12"/>
  <c r="C316" i="43"/>
  <c r="C71" i="46"/>
  <c r="C71" i="29"/>
  <c r="C71" i="19"/>
  <c r="C116" i="31"/>
  <c r="D71" i="12"/>
  <c r="E71" i="12"/>
  <c r="C308" i="43"/>
  <c r="C63" i="46"/>
  <c r="C63" i="29"/>
  <c r="C63" i="19"/>
  <c r="C108" i="31"/>
  <c r="D63" i="12"/>
  <c r="E63" i="12"/>
  <c r="C300" i="43"/>
  <c r="C55" i="46"/>
  <c r="C55" i="29"/>
  <c r="C55" i="19"/>
  <c r="C100" i="31"/>
  <c r="D55" i="12"/>
  <c r="E55" i="12"/>
  <c r="C292" i="43"/>
  <c r="C47" i="46"/>
  <c r="C47" i="29"/>
  <c r="C47" i="19"/>
  <c r="C92" i="31"/>
  <c r="D47" i="12"/>
  <c r="E47" i="12"/>
  <c r="C323" i="43"/>
  <c r="C78" i="46"/>
  <c r="C123" i="31"/>
  <c r="D78" i="12"/>
  <c r="C78" i="29"/>
  <c r="E78" i="12"/>
  <c r="C78" i="19"/>
  <c r="C315" i="43"/>
  <c r="C70" i="46"/>
  <c r="C115" i="31"/>
  <c r="C70" i="19"/>
  <c r="D70" i="12"/>
  <c r="E70" i="12"/>
  <c r="C70" i="29"/>
  <c r="C307" i="43"/>
  <c r="C62" i="46"/>
  <c r="C107" i="31"/>
  <c r="D62" i="12"/>
  <c r="C62" i="29"/>
  <c r="E62" i="12"/>
  <c r="C62" i="19"/>
  <c r="C299" i="43"/>
  <c r="C54" i="46"/>
  <c r="C99" i="31"/>
  <c r="C54" i="19"/>
  <c r="D54" i="12"/>
  <c r="E54" i="12"/>
  <c r="C54" i="29"/>
  <c r="C57" i="43"/>
  <c r="C291" i="43" s="1"/>
  <c r="C46" i="46"/>
  <c r="C91" i="31"/>
  <c r="D46" i="12"/>
  <c r="D46" i="17" s="1"/>
  <c r="C46" i="29"/>
  <c r="E46" i="12"/>
  <c r="E46" i="17" s="1"/>
  <c r="C46" i="19"/>
  <c r="C212" i="35"/>
  <c r="C77" i="46"/>
  <c r="C322" i="43"/>
  <c r="C77" i="29"/>
  <c r="C77" i="19"/>
  <c r="C122" i="31"/>
  <c r="E77" i="12"/>
  <c r="D77" i="12"/>
  <c r="C314" i="43"/>
  <c r="C69" i="46"/>
  <c r="C69" i="29"/>
  <c r="C69" i="19"/>
  <c r="C114" i="31"/>
  <c r="E69" i="12"/>
  <c r="D69" i="12"/>
  <c r="C306" i="43"/>
  <c r="C61" i="46"/>
  <c r="C61" i="29"/>
  <c r="C61" i="19"/>
  <c r="C106" i="31"/>
  <c r="E61" i="12"/>
  <c r="D61" i="12"/>
  <c r="C298" i="43"/>
  <c r="C53" i="46"/>
  <c r="C53" i="29"/>
  <c r="C53" i="19"/>
  <c r="C98" i="31"/>
  <c r="E53" i="12"/>
  <c r="D53" i="12"/>
  <c r="C321" i="43"/>
  <c r="C76" i="46"/>
  <c r="C121" i="31"/>
  <c r="C76" i="29"/>
  <c r="C76" i="19"/>
  <c r="D76" i="12"/>
  <c r="E76" i="12"/>
  <c r="C313" i="43"/>
  <c r="C68" i="46"/>
  <c r="C113" i="31"/>
  <c r="D68" i="12"/>
  <c r="E68" i="12"/>
  <c r="C68" i="29"/>
  <c r="C68" i="19"/>
  <c r="C305" i="43"/>
  <c r="C60" i="46"/>
  <c r="C105" i="31"/>
  <c r="C60" i="29"/>
  <c r="C60" i="19"/>
  <c r="D60" i="12"/>
  <c r="E60" i="12"/>
  <c r="C297" i="43"/>
  <c r="C52" i="46"/>
  <c r="C97" i="31"/>
  <c r="D52" i="12"/>
  <c r="E52" i="12"/>
  <c r="C52" i="29"/>
  <c r="C52" i="19"/>
  <c r="C320" i="43"/>
  <c r="C75" i="46"/>
  <c r="C75" i="29"/>
  <c r="C75" i="19"/>
  <c r="C120" i="31"/>
  <c r="D75" i="12"/>
  <c r="E75" i="12"/>
  <c r="C67" i="46"/>
  <c r="C312" i="43"/>
  <c r="C67" i="29"/>
  <c r="C67" i="19"/>
  <c r="C112" i="31"/>
  <c r="D67" i="12"/>
  <c r="E67" i="12"/>
  <c r="C59" i="46"/>
  <c r="C304" i="43"/>
  <c r="C59" i="29"/>
  <c r="C59" i="19"/>
  <c r="C104" i="31"/>
  <c r="D59" i="12"/>
  <c r="E59" i="12"/>
  <c r="C51" i="46"/>
  <c r="C296" i="43"/>
  <c r="C51" i="29"/>
  <c r="C51" i="19"/>
  <c r="C96" i="31"/>
  <c r="D51" i="12"/>
  <c r="E51" i="12"/>
  <c r="C327" i="43"/>
  <c r="C82" i="46"/>
  <c r="C127" i="31"/>
  <c r="C82" i="29"/>
  <c r="C82" i="19"/>
  <c r="D82" i="12"/>
  <c r="E82" i="12"/>
  <c r="C319" i="43"/>
  <c r="C74" i="46"/>
  <c r="C119" i="31"/>
  <c r="C74" i="29"/>
  <c r="C74" i="19"/>
  <c r="D74" i="12"/>
  <c r="E74" i="12"/>
  <c r="C311" i="43"/>
  <c r="C66" i="46"/>
  <c r="C111" i="31"/>
  <c r="C66" i="29"/>
  <c r="C66" i="19"/>
  <c r="D66" i="12"/>
  <c r="E66" i="12"/>
  <c r="C303" i="43"/>
  <c r="C58" i="46"/>
  <c r="C103" i="31"/>
  <c r="C58" i="29"/>
  <c r="C58" i="19"/>
  <c r="D58" i="12"/>
  <c r="E58" i="12"/>
  <c r="C295" i="43"/>
  <c r="C50" i="46"/>
  <c r="C95" i="31"/>
  <c r="C50" i="29"/>
  <c r="C50" i="19"/>
  <c r="D50" i="12"/>
  <c r="E50" i="12"/>
  <c r="S82" i="38"/>
  <c r="S78" i="38"/>
  <c r="S74" i="38"/>
  <c r="S81" i="38"/>
  <c r="S77" i="38"/>
  <c r="S73" i="38"/>
  <c r="S80" i="38"/>
  <c r="S76" i="38"/>
  <c r="S79" i="38"/>
  <c r="S75" i="38"/>
  <c r="J73" i="32"/>
  <c r="K73" i="32"/>
  <c r="D8" i="26"/>
  <c r="D7" i="26"/>
  <c r="D25" i="26"/>
  <c r="E25" i="26" s="1"/>
  <c r="D9" i="26"/>
  <c r="J75" i="32"/>
  <c r="D36" i="26"/>
  <c r="H81" i="45"/>
  <c r="C122" i="34"/>
  <c r="H83" i="45"/>
  <c r="C10" i="34"/>
  <c r="D38" i="26"/>
  <c r="E38" i="26" s="1"/>
  <c r="D11" i="26"/>
  <c r="E11" i="26" s="1"/>
  <c r="D37" i="26"/>
  <c r="E37" i="26" s="1"/>
  <c r="D40" i="26"/>
  <c r="E40" i="26" s="1"/>
  <c r="D31" i="26"/>
  <c r="E31" i="26" s="1"/>
  <c r="D13" i="26"/>
  <c r="E13" i="26" s="1"/>
  <c r="D24" i="26"/>
  <c r="E24" i="26" s="1"/>
  <c r="D12" i="26"/>
  <c r="E12" i="26" s="1"/>
  <c r="M75" i="32"/>
  <c r="L75" i="32"/>
  <c r="K75" i="32"/>
  <c r="V7" i="12"/>
  <c r="C31" i="31"/>
  <c r="C29" i="31"/>
  <c r="C27" i="31"/>
  <c r="C38" i="31"/>
  <c r="U479" i="30"/>
  <c r="U551" i="30"/>
  <c r="U868" i="30"/>
  <c r="U242" i="30"/>
  <c r="O5" i="18"/>
  <c r="T40" i="34"/>
  <c r="T139" i="34" s="1"/>
  <c r="S7" i="12"/>
  <c r="S247" i="12" s="1"/>
  <c r="O5" i="17"/>
  <c r="AA7" i="12"/>
  <c r="AB5" i="18"/>
  <c r="AB5" i="17"/>
  <c r="T5" i="18"/>
  <c r="L5" i="17"/>
  <c r="L5" i="18"/>
  <c r="AF7" i="12"/>
  <c r="AF247" i="12" s="1"/>
  <c r="X7" i="12"/>
  <c r="X247" i="12" s="1"/>
  <c r="P7" i="12"/>
  <c r="P247" i="12" s="1"/>
  <c r="M40" i="34"/>
  <c r="M139" i="34" s="1"/>
  <c r="Q40" i="34"/>
  <c r="O615" i="35"/>
  <c r="O717" i="35" s="1"/>
  <c r="P615" i="35"/>
  <c r="P717" i="35" s="1"/>
  <c r="P33" i="9"/>
  <c r="T7" i="29" s="1"/>
  <c r="P29" i="9"/>
  <c r="P7" i="29" s="1"/>
  <c r="P35" i="9"/>
  <c r="V7" i="29" s="1"/>
  <c r="V165" i="29" s="1"/>
  <c r="P5" i="11"/>
  <c r="P27" i="9"/>
  <c r="P26" i="9"/>
  <c r="P23" i="9"/>
  <c r="B1" i="46"/>
  <c r="P5" i="26"/>
  <c r="Z42" i="34"/>
  <c r="AA8" i="29"/>
  <c r="AA165" i="29"/>
  <c r="AA164" i="29"/>
  <c r="AA167" i="29"/>
  <c r="AA174" i="29"/>
  <c r="AA183" i="29"/>
  <c r="AA191" i="29"/>
  <c r="AA199" i="29"/>
  <c r="AA207" i="29"/>
  <c r="AA215" i="29"/>
  <c r="AA223" i="29"/>
  <c r="AA231" i="29"/>
  <c r="AA172" i="29"/>
  <c r="AA180" i="29"/>
  <c r="AA188" i="29"/>
  <c r="AA196" i="29"/>
  <c r="AA204" i="29"/>
  <c r="AA212" i="29"/>
  <c r="AA220" i="29"/>
  <c r="AA228" i="29"/>
  <c r="AA236" i="29"/>
  <c r="AA169" i="29"/>
  <c r="AA177" i="29"/>
  <c r="AA185" i="29"/>
  <c r="AA193" i="29"/>
  <c r="AA201" i="29"/>
  <c r="AA209" i="29"/>
  <c r="AA217" i="29"/>
  <c r="AA225" i="29"/>
  <c r="AA233" i="29"/>
  <c r="AA175" i="29"/>
  <c r="AA182" i="29"/>
  <c r="AA190" i="29"/>
  <c r="AA198" i="29"/>
  <c r="AA206" i="29"/>
  <c r="AA214" i="29"/>
  <c r="AA222" i="29"/>
  <c r="AA230" i="29"/>
  <c r="AA238" i="29"/>
  <c r="AA171" i="29"/>
  <c r="AA179" i="29"/>
  <c r="AA187" i="29"/>
  <c r="AA195" i="29"/>
  <c r="AA203" i="29"/>
  <c r="AA211" i="29"/>
  <c r="AA219" i="29"/>
  <c r="AA227" i="29"/>
  <c r="AA235" i="29"/>
  <c r="AA168" i="29"/>
  <c r="AA176" i="29"/>
  <c r="AA184" i="29"/>
  <c r="AA192" i="29"/>
  <c r="AA200" i="29"/>
  <c r="AA208" i="29"/>
  <c r="AA216" i="29"/>
  <c r="AA224" i="29"/>
  <c r="AA232" i="29"/>
  <c r="AA166" i="29"/>
  <c r="AA173" i="29"/>
  <c r="AA181" i="29"/>
  <c r="AA189" i="29"/>
  <c r="AA197" i="29"/>
  <c r="AA205" i="29"/>
  <c r="AA213" i="29"/>
  <c r="AA221" i="29"/>
  <c r="AA229" i="29"/>
  <c r="AA237" i="29"/>
  <c r="AA170" i="29"/>
  <c r="AA178" i="29"/>
  <c r="AA186" i="29"/>
  <c r="AA194" i="29"/>
  <c r="AA202" i="29"/>
  <c r="AA210" i="29"/>
  <c r="AA218" i="29"/>
  <c r="AA226" i="29"/>
  <c r="AA234" i="29"/>
  <c r="P5" i="4"/>
  <c r="Y42" i="34"/>
  <c r="Z8" i="29"/>
  <c r="Z165" i="29"/>
  <c r="Z164" i="29"/>
  <c r="Z166" i="29"/>
  <c r="Z172" i="29"/>
  <c r="Z180" i="29"/>
  <c r="Z188" i="29"/>
  <c r="Z196" i="29"/>
  <c r="Z204" i="29"/>
  <c r="Z212" i="29"/>
  <c r="Z220" i="29"/>
  <c r="Z228" i="29"/>
  <c r="Z236" i="29"/>
  <c r="Z169" i="29"/>
  <c r="Z177" i="29"/>
  <c r="Z185" i="29"/>
  <c r="Z193" i="29"/>
  <c r="Z201" i="29"/>
  <c r="Z209" i="29"/>
  <c r="Z217" i="29"/>
  <c r="Z225" i="29"/>
  <c r="Z233" i="29"/>
  <c r="Z175" i="29"/>
  <c r="Z182" i="29"/>
  <c r="Z190" i="29"/>
  <c r="Z198" i="29"/>
  <c r="Z206" i="29"/>
  <c r="Z214" i="29"/>
  <c r="Z222" i="29"/>
  <c r="Z230" i="29"/>
  <c r="Z238" i="29"/>
  <c r="Z171" i="29"/>
  <c r="Z179" i="29"/>
  <c r="Z187" i="29"/>
  <c r="Z195" i="29"/>
  <c r="Z203" i="29"/>
  <c r="Z211" i="29"/>
  <c r="Z219" i="29"/>
  <c r="Z227" i="29"/>
  <c r="Z235" i="29"/>
  <c r="Z168" i="29"/>
  <c r="Z176" i="29"/>
  <c r="Z184" i="29"/>
  <c r="Z192" i="29"/>
  <c r="Z200" i="29"/>
  <c r="Z208" i="29"/>
  <c r="Z216" i="29"/>
  <c r="Z224" i="29"/>
  <c r="Z232" i="29"/>
  <c r="Z173" i="29"/>
  <c r="Z181" i="29"/>
  <c r="Z189" i="29"/>
  <c r="Z197" i="29"/>
  <c r="Z205" i="29"/>
  <c r="Z213" i="29"/>
  <c r="Z221" i="29"/>
  <c r="Z229" i="29"/>
  <c r="Z237" i="29"/>
  <c r="Z170" i="29"/>
  <c r="Z178" i="29"/>
  <c r="Z186" i="29"/>
  <c r="Z194" i="29"/>
  <c r="Z202" i="29"/>
  <c r="Z210" i="29"/>
  <c r="Z218" i="29"/>
  <c r="Z226" i="29"/>
  <c r="Z234" i="29"/>
  <c r="Z167" i="29"/>
  <c r="Z174" i="29"/>
  <c r="Z183" i="29"/>
  <c r="Z191" i="29"/>
  <c r="Z199" i="29"/>
  <c r="Z207" i="29"/>
  <c r="Z215" i="29"/>
  <c r="Z223" i="29"/>
  <c r="Z231" i="29"/>
  <c r="X42" i="34"/>
  <c r="Y8" i="29"/>
  <c r="Y165" i="29"/>
  <c r="Y164" i="29"/>
  <c r="Y169" i="29"/>
  <c r="Y177" i="29"/>
  <c r="Y185" i="29"/>
  <c r="Y193" i="29"/>
  <c r="Y201" i="29"/>
  <c r="Y209" i="29"/>
  <c r="Y217" i="29"/>
  <c r="Y225" i="29"/>
  <c r="Y233" i="29"/>
  <c r="Y175" i="29"/>
  <c r="Y182" i="29"/>
  <c r="Y190" i="29"/>
  <c r="Y198" i="29"/>
  <c r="Y206" i="29"/>
  <c r="Y214" i="29"/>
  <c r="Y222" i="29"/>
  <c r="Y230" i="29"/>
  <c r="Y238" i="29"/>
  <c r="Y171" i="29"/>
  <c r="Y179" i="29"/>
  <c r="Y187" i="29"/>
  <c r="Y195" i="29"/>
  <c r="Y203" i="29"/>
  <c r="Y211" i="29"/>
  <c r="Y219" i="29"/>
  <c r="Y227" i="29"/>
  <c r="Y235" i="29"/>
  <c r="Y168" i="29"/>
  <c r="Y176" i="29"/>
  <c r="Y184" i="29"/>
  <c r="Y192" i="29"/>
  <c r="Y200" i="29"/>
  <c r="Y208" i="29"/>
  <c r="Y216" i="29"/>
  <c r="Y224" i="29"/>
  <c r="Y232" i="29"/>
  <c r="Y173" i="29"/>
  <c r="Y181" i="29"/>
  <c r="Y189" i="29"/>
  <c r="Y197" i="29"/>
  <c r="Y205" i="29"/>
  <c r="Y213" i="29"/>
  <c r="Y221" i="29"/>
  <c r="Y229" i="29"/>
  <c r="Y237" i="29"/>
  <c r="Y166" i="29"/>
  <c r="Y170" i="29"/>
  <c r="Y178" i="29"/>
  <c r="Y186" i="29"/>
  <c r="Y194" i="29"/>
  <c r="Y202" i="29"/>
  <c r="Y210" i="29"/>
  <c r="Y218" i="29"/>
  <c r="Y226" i="29"/>
  <c r="Y234" i="29"/>
  <c r="Y167" i="29"/>
  <c r="Y174" i="29"/>
  <c r="Y183" i="29"/>
  <c r="Y191" i="29"/>
  <c r="Y199" i="29"/>
  <c r="Y207" i="29"/>
  <c r="Y215" i="29"/>
  <c r="Y223" i="29"/>
  <c r="Y231" i="29"/>
  <c r="Y172" i="29"/>
  <c r="Y180" i="29"/>
  <c r="Y188" i="29"/>
  <c r="Y196" i="29"/>
  <c r="Y204" i="29"/>
  <c r="Y212" i="29"/>
  <c r="Y220" i="29"/>
  <c r="Y228" i="29"/>
  <c r="Y236" i="29"/>
  <c r="W42" i="34"/>
  <c r="X8" i="29"/>
  <c r="X164" i="29"/>
  <c r="X165" i="29"/>
  <c r="X175" i="29"/>
  <c r="X182" i="29"/>
  <c r="X190" i="29"/>
  <c r="X198" i="29"/>
  <c r="X206" i="29"/>
  <c r="X214" i="29"/>
  <c r="X222" i="29"/>
  <c r="X230" i="29"/>
  <c r="X238" i="29"/>
  <c r="X171" i="29"/>
  <c r="X179" i="29"/>
  <c r="X187" i="29"/>
  <c r="X195" i="29"/>
  <c r="X203" i="29"/>
  <c r="X211" i="29"/>
  <c r="X219" i="29"/>
  <c r="X227" i="29"/>
  <c r="X235" i="29"/>
  <c r="X168" i="29"/>
  <c r="X176" i="29"/>
  <c r="X184" i="29"/>
  <c r="X192" i="29"/>
  <c r="X200" i="29"/>
  <c r="X208" i="29"/>
  <c r="X216" i="29"/>
  <c r="X224" i="29"/>
  <c r="X232" i="29"/>
  <c r="X173" i="29"/>
  <c r="X181" i="29"/>
  <c r="X189" i="29"/>
  <c r="X197" i="29"/>
  <c r="X205" i="29"/>
  <c r="X213" i="29"/>
  <c r="X221" i="29"/>
  <c r="X229" i="29"/>
  <c r="X237" i="29"/>
  <c r="X166" i="29"/>
  <c r="X170" i="29"/>
  <c r="X178" i="29"/>
  <c r="X186" i="29"/>
  <c r="X194" i="29"/>
  <c r="X202" i="29"/>
  <c r="X210" i="29"/>
  <c r="X218" i="29"/>
  <c r="X226" i="29"/>
  <c r="X234" i="29"/>
  <c r="X167" i="29"/>
  <c r="X174" i="29"/>
  <c r="X183" i="29"/>
  <c r="X191" i="29"/>
  <c r="X199" i="29"/>
  <c r="X207" i="29"/>
  <c r="X215" i="29"/>
  <c r="X223" i="29"/>
  <c r="X231" i="29"/>
  <c r="X172" i="29"/>
  <c r="X180" i="29"/>
  <c r="X188" i="29"/>
  <c r="X196" i="29"/>
  <c r="X204" i="29"/>
  <c r="X212" i="29"/>
  <c r="X220" i="29"/>
  <c r="X228" i="29"/>
  <c r="X236" i="29"/>
  <c r="X169" i="29"/>
  <c r="X177" i="29"/>
  <c r="X185" i="29"/>
  <c r="X193" i="29"/>
  <c r="X201" i="29"/>
  <c r="X209" i="29"/>
  <c r="X217" i="29"/>
  <c r="X225" i="29"/>
  <c r="X233" i="29"/>
  <c r="K79" i="2"/>
  <c r="K87" i="2"/>
  <c r="K80" i="2"/>
  <c r="K88" i="2"/>
  <c r="K74" i="2"/>
  <c r="K82" i="2"/>
  <c r="K90" i="2"/>
  <c r="K75" i="2"/>
  <c r="K83" i="2"/>
  <c r="K91" i="2"/>
  <c r="K76" i="2"/>
  <c r="K84" i="2"/>
  <c r="K92" i="2"/>
  <c r="K77" i="2"/>
  <c r="K85" i="2"/>
  <c r="K93" i="2"/>
  <c r="K78" i="2"/>
  <c r="K81" i="2"/>
  <c r="K86" i="2"/>
  <c r="K89" i="2"/>
  <c r="K94" i="2"/>
  <c r="AA42" i="34"/>
  <c r="AB9" i="30"/>
  <c r="AB8" i="29"/>
  <c r="AB165" i="29"/>
  <c r="AB164" i="29"/>
  <c r="AB170" i="29"/>
  <c r="AB178" i="29"/>
  <c r="AB186" i="29"/>
  <c r="AB194" i="29"/>
  <c r="AB202" i="29"/>
  <c r="AB210" i="29"/>
  <c r="AB218" i="29"/>
  <c r="AB226" i="29"/>
  <c r="AB234" i="29"/>
  <c r="AB167" i="29"/>
  <c r="AB174" i="29"/>
  <c r="AB183" i="29"/>
  <c r="AB191" i="29"/>
  <c r="AB199" i="29"/>
  <c r="AB207" i="29"/>
  <c r="AB215" i="29"/>
  <c r="AB223" i="29"/>
  <c r="AB231" i="29"/>
  <c r="AB172" i="29"/>
  <c r="AB180" i="29"/>
  <c r="AB188" i="29"/>
  <c r="AB196" i="29"/>
  <c r="AB204" i="29"/>
  <c r="AB212" i="29"/>
  <c r="AB220" i="29"/>
  <c r="AB228" i="29"/>
  <c r="AB236" i="29"/>
  <c r="AB169" i="29"/>
  <c r="AB177" i="29"/>
  <c r="AB185" i="29"/>
  <c r="AB193" i="29"/>
  <c r="AB201" i="29"/>
  <c r="AB209" i="29"/>
  <c r="AB217" i="29"/>
  <c r="AB225" i="29"/>
  <c r="AB233" i="29"/>
  <c r="AB175" i="29"/>
  <c r="AB182" i="29"/>
  <c r="AB190" i="29"/>
  <c r="AB198" i="29"/>
  <c r="AB206" i="29"/>
  <c r="AB214" i="29"/>
  <c r="AB222" i="29"/>
  <c r="AB230" i="29"/>
  <c r="AB238" i="29"/>
  <c r="AB171" i="29"/>
  <c r="AB179" i="29"/>
  <c r="AB187" i="29"/>
  <c r="AB195" i="29"/>
  <c r="AB203" i="29"/>
  <c r="AB211" i="29"/>
  <c r="AB219" i="29"/>
  <c r="AB227" i="29"/>
  <c r="AB235" i="29"/>
  <c r="AB168" i="29"/>
  <c r="AB176" i="29"/>
  <c r="AB184" i="29"/>
  <c r="AB192" i="29"/>
  <c r="AB200" i="29"/>
  <c r="AB208" i="29"/>
  <c r="AB216" i="29"/>
  <c r="AB224" i="29"/>
  <c r="AB232" i="29"/>
  <c r="AB166" i="29"/>
  <c r="AB173" i="29"/>
  <c r="AB181" i="29"/>
  <c r="AB189" i="29"/>
  <c r="AB197" i="29"/>
  <c r="AB205" i="29"/>
  <c r="AB213" i="29"/>
  <c r="AB221" i="29"/>
  <c r="AB229" i="29"/>
  <c r="AB237" i="29"/>
  <c r="J5" i="4" a="1"/>
  <c r="J5" i="4" s="1"/>
  <c r="L5" i="4" a="1"/>
  <c r="L5" i="4" s="1"/>
  <c r="K5" i="4" a="1"/>
  <c r="K5" i="4" s="1"/>
  <c r="C58" i="38"/>
  <c r="S58" i="38" s="1"/>
  <c r="E135" i="34"/>
  <c r="E134" i="34"/>
  <c r="C57" i="38"/>
  <c r="S57" i="38" s="1"/>
  <c r="C56" i="38"/>
  <c r="S56" i="38" s="1"/>
  <c r="E133" i="34"/>
  <c r="E132" i="34"/>
  <c r="C55" i="38"/>
  <c r="S55" i="38" s="1"/>
  <c r="C53" i="38"/>
  <c r="E130" i="34"/>
  <c r="E131" i="34"/>
  <c r="C54" i="38"/>
  <c r="S54" i="38" s="1"/>
  <c r="C59" i="38"/>
  <c r="S59" i="38" s="1"/>
  <c r="D127" i="27"/>
  <c r="D126" i="27"/>
  <c r="C875" i="30"/>
  <c r="Y10" i="30"/>
  <c r="Y8" i="30"/>
  <c r="Y19" i="30"/>
  <c r="X19" i="30"/>
  <c r="X9" i="30"/>
  <c r="X8" i="30"/>
  <c r="B1" i="50" l="1"/>
  <c r="B1" i="43"/>
  <c r="B1" i="45"/>
  <c r="B1" i="47"/>
  <c r="C233" i="21"/>
  <c r="G73" i="17"/>
  <c r="K71" i="12"/>
  <c r="K551" i="30"/>
  <c r="C142" i="21"/>
  <c r="C259" i="21"/>
  <c r="K242" i="30"/>
  <c r="S221" i="29"/>
  <c r="S204" i="29"/>
  <c r="S224" i="29"/>
  <c r="S207" i="29"/>
  <c r="S235" i="29"/>
  <c r="F221" i="21"/>
  <c r="S232" i="29"/>
  <c r="S218" i="29"/>
  <c r="S201" i="29"/>
  <c r="S215" i="29"/>
  <c r="S210" i="29"/>
  <c r="S193" i="29"/>
  <c r="S190" i="29"/>
  <c r="S229" i="29"/>
  <c r="M6" i="29"/>
  <c r="S791" i="18"/>
  <c r="C218" i="21"/>
  <c r="C241" i="21" s="1"/>
  <c r="M5" i="30"/>
  <c r="U242" i="18"/>
  <c r="V242" i="29"/>
  <c r="U479" i="18"/>
  <c r="C219" i="21"/>
  <c r="K111" i="12"/>
  <c r="K181" i="12"/>
  <c r="M242" i="29"/>
  <c r="C134" i="21"/>
  <c r="K126" i="12"/>
  <c r="K189" i="12"/>
  <c r="K63" i="12"/>
  <c r="U242" i="17"/>
  <c r="K40" i="12"/>
  <c r="K187" i="12"/>
  <c r="K121" i="12"/>
  <c r="V5" i="30"/>
  <c r="K64" i="12"/>
  <c r="K218" i="12"/>
  <c r="K33" i="12"/>
  <c r="K130" i="12"/>
  <c r="K204" i="12"/>
  <c r="V6" i="29"/>
  <c r="K125" i="12"/>
  <c r="K42" i="12"/>
  <c r="K138" i="12"/>
  <c r="K116" i="12"/>
  <c r="K176" i="12"/>
  <c r="K231" i="12"/>
  <c r="K62" i="12"/>
  <c r="K194" i="12"/>
  <c r="K175" i="12"/>
  <c r="K226" i="12"/>
  <c r="D228" i="21"/>
  <c r="D251" i="21" s="1"/>
  <c r="D274" i="21" s="1"/>
  <c r="G66" i="17"/>
  <c r="G222" i="17" s="1"/>
  <c r="G67" i="17"/>
  <c r="G145" i="17" s="1"/>
  <c r="D223" i="21"/>
  <c r="D246" i="21" s="1"/>
  <c r="D269" i="21" s="1"/>
  <c r="AA242" i="18"/>
  <c r="D140" i="21"/>
  <c r="D138" i="21"/>
  <c r="N551" i="30"/>
  <c r="D130" i="21"/>
  <c r="V6" i="17"/>
  <c r="V17" i="43" s="1"/>
  <c r="V332" i="43" s="1"/>
  <c r="N242" i="30"/>
  <c r="C232" i="21"/>
  <c r="F232" i="21" s="1"/>
  <c r="N479" i="30"/>
  <c r="D231" i="21"/>
  <c r="D254" i="21" s="1"/>
  <c r="D277" i="21" s="1"/>
  <c r="C251" i="21"/>
  <c r="F251" i="21" s="1"/>
  <c r="V242" i="17"/>
  <c r="N6" i="29"/>
  <c r="G76" i="17"/>
  <c r="G154" i="17" s="1"/>
  <c r="U16" i="43"/>
  <c r="U331" i="43" s="1"/>
  <c r="U6" i="17"/>
  <c r="U243" i="17" s="1"/>
  <c r="D226" i="21"/>
  <c r="D249" i="21" s="1"/>
  <c r="D272" i="21" s="1"/>
  <c r="V16" i="43"/>
  <c r="V331" i="43" s="1"/>
  <c r="N242" i="29"/>
  <c r="F237" i="21"/>
  <c r="M5" i="46"/>
  <c r="M85" i="46" s="1"/>
  <c r="W170" i="29"/>
  <c r="G48" i="17"/>
  <c r="G204" i="17" s="1"/>
  <c r="M6" i="17"/>
  <c r="M17" i="43" s="1"/>
  <c r="M332" i="43" s="1"/>
  <c r="M479" i="18"/>
  <c r="M242" i="18"/>
  <c r="M16" i="43"/>
  <c r="M331" i="43" s="1"/>
  <c r="M791" i="18"/>
  <c r="D190" i="21"/>
  <c r="D212" i="21" s="1"/>
  <c r="J242" i="18"/>
  <c r="J479" i="18"/>
  <c r="D126" i="21"/>
  <c r="T242" i="17"/>
  <c r="W192" i="29"/>
  <c r="W165" i="29"/>
  <c r="W222" i="29"/>
  <c r="W169" i="29"/>
  <c r="W188" i="29"/>
  <c r="S243" i="29"/>
  <c r="D219" i="21"/>
  <c r="D242" i="21" s="1"/>
  <c r="D265" i="21" s="1"/>
  <c r="W167" i="29"/>
  <c r="C143" i="21"/>
  <c r="C225" i="21"/>
  <c r="F225" i="21" s="1"/>
  <c r="D235" i="21"/>
  <c r="D258" i="21" s="1"/>
  <c r="D281" i="21" s="1"/>
  <c r="C135" i="21"/>
  <c r="C127" i="21"/>
  <c r="C252" i="21"/>
  <c r="C275" i="21" s="1"/>
  <c r="F275" i="21" s="1"/>
  <c r="R5" i="30"/>
  <c r="R242" i="29"/>
  <c r="Q791" i="18"/>
  <c r="I71" i="31"/>
  <c r="S182" i="29"/>
  <c r="Q182" i="29"/>
  <c r="I65" i="31"/>
  <c r="L179" i="29"/>
  <c r="S179" i="29"/>
  <c r="D222" i="21"/>
  <c r="D245" i="21" s="1"/>
  <c r="D268" i="21" s="1"/>
  <c r="L174" i="29"/>
  <c r="I63" i="31"/>
  <c r="S174" i="29"/>
  <c r="C190" i="17"/>
  <c r="I57" i="31"/>
  <c r="S168" i="29"/>
  <c r="K180" i="29"/>
  <c r="I69" i="31"/>
  <c r="S180" i="29"/>
  <c r="Q83" i="12"/>
  <c r="P83" i="12"/>
  <c r="O83" i="12"/>
  <c r="S165" i="29"/>
  <c r="Q165" i="29"/>
  <c r="K166" i="29"/>
  <c r="I55" i="31"/>
  <c r="R166" i="29"/>
  <c r="T172" i="29"/>
  <c r="I61" i="31"/>
  <c r="I72" i="31"/>
  <c r="I62" i="31"/>
  <c r="O173" i="29"/>
  <c r="R180" i="29"/>
  <c r="G58" i="17"/>
  <c r="I60" i="31"/>
  <c r="S171" i="29"/>
  <c r="T171" i="29"/>
  <c r="T170" i="29"/>
  <c r="I59" i="31"/>
  <c r="I66" i="31"/>
  <c r="E8" i="17"/>
  <c r="N83" i="12"/>
  <c r="X83" i="12"/>
  <c r="R83" i="12"/>
  <c r="T83" i="12"/>
  <c r="V83" i="12"/>
  <c r="Y83" i="12"/>
  <c r="U83" i="12"/>
  <c r="S83" i="12"/>
  <c r="T167" i="29"/>
  <c r="I56" i="31"/>
  <c r="O167" i="29"/>
  <c r="S186" i="29"/>
  <c r="S197" i="29"/>
  <c r="S200" i="29"/>
  <c r="S211" i="29"/>
  <c r="S222" i="29"/>
  <c r="S233" i="29"/>
  <c r="S169" i="29"/>
  <c r="S183" i="29"/>
  <c r="R42" i="34"/>
  <c r="S178" i="29"/>
  <c r="S189" i="29"/>
  <c r="S192" i="29"/>
  <c r="S203" i="29"/>
  <c r="S214" i="29"/>
  <c r="S225" i="29"/>
  <c r="S236" i="29"/>
  <c r="S172" i="29"/>
  <c r="S234" i="29"/>
  <c r="S170" i="29"/>
  <c r="S181" i="29"/>
  <c r="S184" i="29"/>
  <c r="S195" i="29"/>
  <c r="S206" i="29"/>
  <c r="S217" i="29"/>
  <c r="S228" i="29"/>
  <c r="S231" i="29"/>
  <c r="S167" i="29"/>
  <c r="S226" i="29"/>
  <c r="S237" i="29"/>
  <c r="S173" i="29"/>
  <c r="S176" i="29"/>
  <c r="S187" i="29"/>
  <c r="S198" i="29"/>
  <c r="S209" i="29"/>
  <c r="S220" i="29"/>
  <c r="S223" i="29"/>
  <c r="S166" i="29"/>
  <c r="C198" i="17"/>
  <c r="S202" i="29"/>
  <c r="S213" i="29"/>
  <c r="S216" i="29"/>
  <c r="S227" i="29"/>
  <c r="S238" i="29"/>
  <c r="S185" i="29"/>
  <c r="S196" i="29"/>
  <c r="S199" i="29"/>
  <c r="S194" i="29"/>
  <c r="S205" i="29"/>
  <c r="S208" i="29"/>
  <c r="S219" i="29"/>
  <c r="S230" i="29"/>
  <c r="S175" i="29"/>
  <c r="S177" i="29"/>
  <c r="S188" i="29"/>
  <c r="S191" i="29"/>
  <c r="K165" i="29"/>
  <c r="K868" i="30"/>
  <c r="Z6" i="29"/>
  <c r="Y41" i="34" s="1"/>
  <c r="Y140" i="34" s="1"/>
  <c r="K6" i="29"/>
  <c r="J41" i="34" s="1"/>
  <c r="J140" i="34" s="1"/>
  <c r="J40" i="34"/>
  <c r="J139" i="34" s="1"/>
  <c r="K242" i="29"/>
  <c r="R479" i="18"/>
  <c r="O6" i="17"/>
  <c r="W214" i="29"/>
  <c r="W236" i="29"/>
  <c r="W234" i="29"/>
  <c r="W168" i="29"/>
  <c r="R231" i="29"/>
  <c r="W182" i="29"/>
  <c r="W196" i="29"/>
  <c r="W178" i="29"/>
  <c r="W203" i="29"/>
  <c r="R174" i="29"/>
  <c r="W233" i="29"/>
  <c r="W172" i="29"/>
  <c r="W213" i="29"/>
  <c r="R211" i="29"/>
  <c r="W225" i="29"/>
  <c r="W231" i="29"/>
  <c r="W205" i="29"/>
  <c r="W8" i="29"/>
  <c r="R172" i="29"/>
  <c r="T211" i="29"/>
  <c r="W193" i="29"/>
  <c r="W191" i="29"/>
  <c r="W216" i="29"/>
  <c r="I205" i="29"/>
  <c r="W238" i="29"/>
  <c r="W185" i="29"/>
  <c r="W183" i="29"/>
  <c r="W208" i="29"/>
  <c r="C231" i="21"/>
  <c r="D225" i="21"/>
  <c r="D248" i="21" s="1"/>
  <c r="D271" i="21" s="1"/>
  <c r="C235" i="21"/>
  <c r="C227" i="21"/>
  <c r="F227" i="21" s="1"/>
  <c r="T184" i="29"/>
  <c r="C129" i="21"/>
  <c r="C223" i="21"/>
  <c r="T230" i="29"/>
  <c r="T175" i="29"/>
  <c r="T193" i="29"/>
  <c r="T212" i="29"/>
  <c r="N479" i="18"/>
  <c r="T194" i="29"/>
  <c r="N791" i="18"/>
  <c r="D143" i="21"/>
  <c r="D237" i="21"/>
  <c r="D260" i="21" s="1"/>
  <c r="D283" i="21" s="1"/>
  <c r="V232" i="29"/>
  <c r="T231" i="29"/>
  <c r="W206" i="29"/>
  <c r="W217" i="29"/>
  <c r="W228" i="29"/>
  <c r="W223" i="29"/>
  <c r="W210" i="29"/>
  <c r="W197" i="29"/>
  <c r="W227" i="29"/>
  <c r="R203" i="29"/>
  <c r="K133" i="12"/>
  <c r="K21" i="12"/>
  <c r="K180" i="12"/>
  <c r="K167" i="12"/>
  <c r="K185" i="12"/>
  <c r="K236" i="12"/>
  <c r="V791" i="18"/>
  <c r="V242" i="18"/>
  <c r="V479" i="18"/>
  <c r="N242" i="17"/>
  <c r="N16" i="43"/>
  <c r="N331" i="43" s="1"/>
  <c r="N5" i="46"/>
  <c r="N85" i="46" s="1"/>
  <c r="U31" i="21"/>
  <c r="K237" i="12"/>
  <c r="K192" i="12"/>
  <c r="K224" i="12"/>
  <c r="K137" i="12"/>
  <c r="K53" i="12"/>
  <c r="K47" i="12"/>
  <c r="K123" i="12"/>
  <c r="K202" i="12"/>
  <c r="K17" i="12"/>
  <c r="K114" i="12"/>
  <c r="K186" i="12"/>
  <c r="K211" i="12"/>
  <c r="K222" i="12"/>
  <c r="K191" i="12"/>
  <c r="K68" i="12"/>
  <c r="K152" i="12"/>
  <c r="K67" i="12"/>
  <c r="K151" i="12"/>
  <c r="K74" i="12"/>
  <c r="K31" i="12"/>
  <c r="K81" i="12"/>
  <c r="K38" i="12"/>
  <c r="K109" i="12"/>
  <c r="K172" i="12"/>
  <c r="K11" i="12"/>
  <c r="K80" i="12"/>
  <c r="K56" i="12"/>
  <c r="K234" i="12"/>
  <c r="K145" i="12"/>
  <c r="K61" i="12"/>
  <c r="K18" i="12"/>
  <c r="K115" i="12"/>
  <c r="K188" i="12"/>
  <c r="K166" i="12"/>
  <c r="K230" i="12"/>
  <c r="K199" i="12"/>
  <c r="K60" i="12"/>
  <c r="K144" i="12"/>
  <c r="K233" i="12"/>
  <c r="K59" i="12"/>
  <c r="K143" i="12"/>
  <c r="K232" i="12"/>
  <c r="K66" i="12"/>
  <c r="K158" i="12"/>
  <c r="K73" i="12"/>
  <c r="K30" i="12"/>
  <c r="K101" i="12"/>
  <c r="X246" i="12"/>
  <c r="K37" i="12"/>
  <c r="K72" i="12"/>
  <c r="K132" i="12"/>
  <c r="K153" i="12"/>
  <c r="K69" i="12"/>
  <c r="K10" i="12"/>
  <c r="K107" i="12"/>
  <c r="K168" i="12"/>
  <c r="K35" i="12"/>
  <c r="K174" i="12"/>
  <c r="K238" i="12"/>
  <c r="K207" i="12"/>
  <c r="K52" i="12"/>
  <c r="K136" i="12"/>
  <c r="K221" i="12"/>
  <c r="K51" i="12"/>
  <c r="K135" i="12"/>
  <c r="K220" i="12"/>
  <c r="K58" i="12"/>
  <c r="K150" i="12"/>
  <c r="K229" i="12"/>
  <c r="K65" i="12"/>
  <c r="K157" i="12"/>
  <c r="K124" i="12"/>
  <c r="K227" i="12"/>
  <c r="K156" i="12"/>
  <c r="K41" i="12"/>
  <c r="K170" i="12"/>
  <c r="K161" i="12"/>
  <c r="K77" i="12"/>
  <c r="K36" i="12"/>
  <c r="K78" i="12"/>
  <c r="K154" i="12"/>
  <c r="K169" i="12"/>
  <c r="K171" i="12"/>
  <c r="K182" i="12"/>
  <c r="K215" i="12"/>
  <c r="K44" i="12"/>
  <c r="K128" i="12"/>
  <c r="K210" i="12"/>
  <c r="K43" i="12"/>
  <c r="K127" i="12"/>
  <c r="K209" i="12"/>
  <c r="K50" i="12"/>
  <c r="K142" i="12"/>
  <c r="K219" i="12"/>
  <c r="K57" i="12"/>
  <c r="K149" i="12"/>
  <c r="K240" i="12"/>
  <c r="K24" i="12"/>
  <c r="K148" i="12"/>
  <c r="K34" i="12"/>
  <c r="K79" i="12"/>
  <c r="K155" i="12"/>
  <c r="K70" i="12"/>
  <c r="K146" i="12"/>
  <c r="K235" i="12"/>
  <c r="K177" i="12"/>
  <c r="K179" i="12"/>
  <c r="K173" i="12"/>
  <c r="K190" i="12"/>
  <c r="K223" i="12"/>
  <c r="K15" i="12"/>
  <c r="K120" i="12"/>
  <c r="K197" i="12"/>
  <c r="K14" i="12"/>
  <c r="K119" i="12"/>
  <c r="K196" i="12"/>
  <c r="K29" i="12"/>
  <c r="K134" i="12"/>
  <c r="K208" i="12"/>
  <c r="K49" i="12"/>
  <c r="K141" i="12"/>
  <c r="K228" i="12"/>
  <c r="K48" i="12"/>
  <c r="K108" i="12"/>
  <c r="K140" i="12"/>
  <c r="K212" i="12"/>
  <c r="K129" i="12"/>
  <c r="K45" i="12"/>
  <c r="K55" i="12"/>
  <c r="K131" i="12"/>
  <c r="K216" i="12"/>
  <c r="K46" i="12"/>
  <c r="K122" i="12"/>
  <c r="K201" i="12"/>
  <c r="K203" i="12"/>
  <c r="K214" i="12"/>
  <c r="K183" i="12"/>
  <c r="K76" i="12"/>
  <c r="K160" i="12"/>
  <c r="K75" i="12"/>
  <c r="K159" i="12"/>
  <c r="K82" i="12"/>
  <c r="K39" i="12"/>
  <c r="K110" i="12"/>
  <c r="K12" i="12"/>
  <c r="K117" i="12"/>
  <c r="K193" i="12"/>
  <c r="T229" i="29"/>
  <c r="W198" i="29"/>
  <c r="W209" i="29"/>
  <c r="W220" i="29"/>
  <c r="W207" i="29"/>
  <c r="W194" i="29"/>
  <c r="W189" i="29"/>
  <c r="W219" i="29"/>
  <c r="R236" i="29"/>
  <c r="K20" i="12"/>
  <c r="K206" i="12"/>
  <c r="K213" i="12"/>
  <c r="K139" i="12"/>
  <c r="K200" i="12"/>
  <c r="K217" i="12"/>
  <c r="W190" i="29"/>
  <c r="W201" i="29"/>
  <c r="W204" i="29"/>
  <c r="W199" i="29"/>
  <c r="W186" i="29"/>
  <c r="W232" i="29"/>
  <c r="K28" i="12"/>
  <c r="K178" i="12"/>
  <c r="K112" i="12"/>
  <c r="K198" i="12"/>
  <c r="K225" i="12"/>
  <c r="K147" i="12"/>
  <c r="K184" i="12"/>
  <c r="W242" i="17"/>
  <c r="W16" i="43"/>
  <c r="W331" i="43" s="1"/>
  <c r="W6" i="17"/>
  <c r="X78" i="21" s="1"/>
  <c r="X147" i="21" s="1"/>
  <c r="W5" i="46"/>
  <c r="W85" i="46" s="1"/>
  <c r="K26" i="12"/>
  <c r="W171" i="29"/>
  <c r="W235" i="29"/>
  <c r="W224" i="29"/>
  <c r="W221" i="29"/>
  <c r="W202" i="29"/>
  <c r="W179" i="29"/>
  <c r="W187" i="29"/>
  <c r="W176" i="29"/>
  <c r="W173" i="29"/>
  <c r="W237" i="29"/>
  <c r="W218" i="29"/>
  <c r="V42" i="34"/>
  <c r="W195" i="29"/>
  <c r="W184" i="29"/>
  <c r="W181" i="29"/>
  <c r="W166" i="29"/>
  <c r="W226" i="29"/>
  <c r="W215" i="29"/>
  <c r="W212" i="29"/>
  <c r="I206" i="29"/>
  <c r="I229" i="29"/>
  <c r="I174" i="29"/>
  <c r="I199" i="29"/>
  <c r="I233" i="29"/>
  <c r="I228" i="29"/>
  <c r="I182" i="29"/>
  <c r="I236" i="29"/>
  <c r="Q42" i="34"/>
  <c r="R169" i="29"/>
  <c r="R200" i="29"/>
  <c r="R225" i="29"/>
  <c r="R189" i="29"/>
  <c r="R233" i="29"/>
  <c r="R197" i="29"/>
  <c r="R214" i="29"/>
  <c r="R178" i="29"/>
  <c r="R222" i="29"/>
  <c r="R186" i="29"/>
  <c r="D133" i="21"/>
  <c r="D227" i="21"/>
  <c r="D250" i="21" s="1"/>
  <c r="D273" i="21" s="1"/>
  <c r="W479" i="18"/>
  <c r="W242" i="18"/>
  <c r="K22" i="12"/>
  <c r="M479" i="30"/>
  <c r="M868" i="30"/>
  <c r="W230" i="29"/>
  <c r="W175" i="29"/>
  <c r="W177" i="29"/>
  <c r="W180" i="29"/>
  <c r="W174" i="29"/>
  <c r="W229" i="29"/>
  <c r="W200" i="29"/>
  <c r="W164" i="29"/>
  <c r="R167" i="29"/>
  <c r="I235" i="29"/>
  <c r="K205" i="12"/>
  <c r="K118" i="12"/>
  <c r="K32" i="12"/>
  <c r="K239" i="12"/>
  <c r="K195" i="12"/>
  <c r="K54" i="12"/>
  <c r="K16" i="12"/>
  <c r="Q242" i="18"/>
  <c r="L193" i="29"/>
  <c r="O242" i="29"/>
  <c r="O5" i="30"/>
  <c r="O243" i="29"/>
  <c r="N40" i="34"/>
  <c r="N139" i="34" s="1"/>
  <c r="O6" i="30"/>
  <c r="O480" i="30" s="1"/>
  <c r="W242" i="29"/>
  <c r="W6" i="29"/>
  <c r="V41" i="34" s="1"/>
  <c r="V140" i="34" s="1"/>
  <c r="W5" i="30"/>
  <c r="W479" i="30" s="1"/>
  <c r="G69" i="17"/>
  <c r="G147" i="17" s="1"/>
  <c r="G60" i="17"/>
  <c r="G216" i="17" s="1"/>
  <c r="G80" i="17"/>
  <c r="G158" i="17" s="1"/>
  <c r="G71" i="17"/>
  <c r="G149" i="17" s="1"/>
  <c r="L182" i="29"/>
  <c r="L204" i="29"/>
  <c r="L207" i="29"/>
  <c r="L221" i="29"/>
  <c r="L218" i="29"/>
  <c r="L224" i="29"/>
  <c r="L165" i="29"/>
  <c r="L235" i="29"/>
  <c r="L171" i="29"/>
  <c r="B1" i="27"/>
  <c r="N12" i="53"/>
  <c r="N5" i="53"/>
  <c r="B1" i="34"/>
  <c r="K12" i="53"/>
  <c r="K5" i="53"/>
  <c r="C482" i="35"/>
  <c r="L12" i="53"/>
  <c r="L5" i="53"/>
  <c r="I87" i="6"/>
  <c r="O8" i="26" s="1"/>
  <c r="J8" i="34" s="1"/>
  <c r="O5" i="53"/>
  <c r="O12" i="53"/>
  <c r="J12" i="53"/>
  <c r="J5" i="53"/>
  <c r="P12" i="53"/>
  <c r="P5" i="53"/>
  <c r="O5" i="26"/>
  <c r="O5" i="32"/>
  <c r="G51" i="17"/>
  <c r="G129" i="17" s="1"/>
  <c r="R223" i="29"/>
  <c r="R234" i="29"/>
  <c r="R170" i="29"/>
  <c r="R181" i="29"/>
  <c r="R184" i="29"/>
  <c r="R195" i="29"/>
  <c r="R206" i="29"/>
  <c r="R217" i="29"/>
  <c r="R228" i="29"/>
  <c r="I204" i="29"/>
  <c r="I234" i="29"/>
  <c r="I203" i="29"/>
  <c r="I225" i="29"/>
  <c r="S242" i="29"/>
  <c r="R41" i="34"/>
  <c r="R140" i="34" s="1"/>
  <c r="K16" i="43"/>
  <c r="K331" i="43" s="1"/>
  <c r="R215" i="29"/>
  <c r="R226" i="29"/>
  <c r="R237" i="29"/>
  <c r="R173" i="29"/>
  <c r="R176" i="29"/>
  <c r="R187" i="29"/>
  <c r="R198" i="29"/>
  <c r="R209" i="29"/>
  <c r="R220" i="29"/>
  <c r="R164" i="29"/>
  <c r="I196" i="29"/>
  <c r="I226" i="29"/>
  <c r="I173" i="29"/>
  <c r="I195" i="29"/>
  <c r="I177" i="29"/>
  <c r="R40" i="34"/>
  <c r="R139" i="34" s="1"/>
  <c r="K5" i="46"/>
  <c r="K85" i="46" s="1"/>
  <c r="M242" i="30"/>
  <c r="R207" i="29"/>
  <c r="R218" i="29"/>
  <c r="R229" i="29"/>
  <c r="R232" i="29"/>
  <c r="R168" i="29"/>
  <c r="R179" i="29"/>
  <c r="R190" i="29"/>
  <c r="R201" i="29"/>
  <c r="R212" i="29"/>
  <c r="R165" i="29"/>
  <c r="I180" i="29"/>
  <c r="I218" i="29"/>
  <c r="I216" i="29"/>
  <c r="I171" i="29"/>
  <c r="I169" i="29"/>
  <c r="M551" i="30"/>
  <c r="R199" i="29"/>
  <c r="R210" i="29"/>
  <c r="R221" i="29"/>
  <c r="R224" i="29"/>
  <c r="R235" i="29"/>
  <c r="R171" i="29"/>
  <c r="R182" i="29"/>
  <c r="R193" i="29"/>
  <c r="R204" i="29"/>
  <c r="I172" i="29"/>
  <c r="I194" i="29"/>
  <c r="I192" i="29"/>
  <c r="I222" i="29"/>
  <c r="I166" i="29"/>
  <c r="R191" i="29"/>
  <c r="R202" i="29"/>
  <c r="R213" i="29"/>
  <c r="R216" i="29"/>
  <c r="R227" i="29"/>
  <c r="R238" i="29"/>
  <c r="R185" i="29"/>
  <c r="R196" i="29"/>
  <c r="I215" i="29"/>
  <c r="I170" i="29"/>
  <c r="I184" i="29"/>
  <c r="I214" i="29"/>
  <c r="R183" i="29"/>
  <c r="R194" i="29"/>
  <c r="R205" i="29"/>
  <c r="R208" i="29"/>
  <c r="R219" i="29"/>
  <c r="R230" i="29"/>
  <c r="R175" i="29"/>
  <c r="R177" i="29"/>
  <c r="R188" i="29"/>
  <c r="I207" i="29"/>
  <c r="I237" i="29"/>
  <c r="I176" i="29"/>
  <c r="S5" i="30"/>
  <c r="S242" i="30" s="1"/>
  <c r="K6" i="17"/>
  <c r="K243" i="17" s="1"/>
  <c r="S242" i="18"/>
  <c r="L213" i="29"/>
  <c r="L216" i="29"/>
  <c r="L227" i="29"/>
  <c r="L238" i="29"/>
  <c r="L185" i="29"/>
  <c r="L196" i="29"/>
  <c r="L199" i="29"/>
  <c r="L210" i="29"/>
  <c r="L166" i="29"/>
  <c r="L205" i="29"/>
  <c r="L208" i="29"/>
  <c r="L219" i="29"/>
  <c r="L230" i="29"/>
  <c r="L175" i="29"/>
  <c r="L177" i="29"/>
  <c r="L188" i="29"/>
  <c r="L191" i="29"/>
  <c r="L202" i="29"/>
  <c r="L197" i="29"/>
  <c r="L200" i="29"/>
  <c r="L211" i="29"/>
  <c r="L222" i="29"/>
  <c r="L233" i="29"/>
  <c r="L169" i="29"/>
  <c r="L180" i="29"/>
  <c r="L183" i="29"/>
  <c r="L194" i="29"/>
  <c r="L189" i="29"/>
  <c r="L192" i="29"/>
  <c r="L203" i="29"/>
  <c r="L214" i="29"/>
  <c r="L225" i="29"/>
  <c r="L236" i="29"/>
  <c r="L172" i="29"/>
  <c r="L186" i="29"/>
  <c r="K42" i="34"/>
  <c r="L181" i="29"/>
  <c r="L184" i="29"/>
  <c r="L195" i="29"/>
  <c r="L206" i="29"/>
  <c r="L217" i="29"/>
  <c r="L228" i="29"/>
  <c r="L231" i="29"/>
  <c r="L167" i="29"/>
  <c r="L178" i="29"/>
  <c r="L237" i="29"/>
  <c r="L173" i="29"/>
  <c r="L176" i="29"/>
  <c r="L187" i="29"/>
  <c r="L198" i="29"/>
  <c r="L209" i="29"/>
  <c r="L220" i="29"/>
  <c r="L223" i="29"/>
  <c r="L234" i="29"/>
  <c r="L170" i="29"/>
  <c r="L229" i="29"/>
  <c r="L232" i="29"/>
  <c r="L168" i="29"/>
  <c r="L190" i="29"/>
  <c r="L201" i="29"/>
  <c r="L212" i="29"/>
  <c r="L215" i="29"/>
  <c r="L226" i="29"/>
  <c r="V166" i="29"/>
  <c r="V230" i="29"/>
  <c r="V231" i="29"/>
  <c r="O202" i="29"/>
  <c r="Q192" i="29"/>
  <c r="K224" i="29"/>
  <c r="D221" i="21"/>
  <c r="D244" i="21" s="1"/>
  <c r="D267" i="21" s="1"/>
  <c r="C136" i="21"/>
  <c r="C230" i="21"/>
  <c r="C128" i="21"/>
  <c r="C222" i="21"/>
  <c r="C140" i="21"/>
  <c r="C234" i="21"/>
  <c r="Y479" i="18"/>
  <c r="I242" i="17"/>
  <c r="Z16" i="43"/>
  <c r="C133" i="17"/>
  <c r="I6" i="17"/>
  <c r="J78" i="21" s="1"/>
  <c r="J147" i="21" s="1"/>
  <c r="C238" i="17"/>
  <c r="C158" i="17"/>
  <c r="C128" i="17"/>
  <c r="Z6" i="17"/>
  <c r="Z17" i="43" s="1"/>
  <c r="Z332" i="43" s="1"/>
  <c r="T78" i="21"/>
  <c r="T147" i="21" s="1"/>
  <c r="S17" i="43"/>
  <c r="S332" i="43" s="1"/>
  <c r="S6" i="18"/>
  <c r="S243" i="17"/>
  <c r="S6" i="19"/>
  <c r="S399" i="19" s="1"/>
  <c r="N6" i="18"/>
  <c r="N792" i="18" s="1"/>
  <c r="G54" i="17"/>
  <c r="G210" i="17" s="1"/>
  <c r="Y16" i="43"/>
  <c r="Y331" i="43" s="1"/>
  <c r="Y242" i="29"/>
  <c r="C144" i="17"/>
  <c r="G63" i="17"/>
  <c r="G141" i="17" s="1"/>
  <c r="Z5" i="46"/>
  <c r="Z85" i="46" s="1"/>
  <c r="Z5" i="30"/>
  <c r="Z868" i="30" s="1"/>
  <c r="Z242" i="29"/>
  <c r="C147" i="17"/>
  <c r="S242" i="17"/>
  <c r="S5" i="46"/>
  <c r="S85" i="46" s="1"/>
  <c r="S16" i="43"/>
  <c r="S331" i="43" s="1"/>
  <c r="C234" i="17"/>
  <c r="AA16" i="43"/>
  <c r="AA331" i="43" s="1"/>
  <c r="AA5" i="46"/>
  <c r="AA85" i="46" s="1"/>
  <c r="AA6" i="17"/>
  <c r="AA242" i="17"/>
  <c r="C229" i="17"/>
  <c r="V211" i="29"/>
  <c r="V225" i="29"/>
  <c r="V215" i="29"/>
  <c r="V213" i="29"/>
  <c r="V8" i="29"/>
  <c r="T221" i="29"/>
  <c r="T176" i="29"/>
  <c r="T203" i="29"/>
  <c r="T222" i="29"/>
  <c r="T185" i="29"/>
  <c r="T204" i="29"/>
  <c r="T223" i="29"/>
  <c r="T186" i="29"/>
  <c r="S42" i="34"/>
  <c r="V195" i="29"/>
  <c r="V193" i="29"/>
  <c r="V199" i="29"/>
  <c r="V197" i="29"/>
  <c r="T213" i="29"/>
  <c r="T232" i="29"/>
  <c r="T168" i="29"/>
  <c r="T195" i="29"/>
  <c r="T214" i="29"/>
  <c r="T177" i="29"/>
  <c r="T196" i="29"/>
  <c r="T215" i="29"/>
  <c r="T178" i="29"/>
  <c r="V179" i="29"/>
  <c r="V177" i="29"/>
  <c r="V167" i="29"/>
  <c r="V181" i="29"/>
  <c r="T205" i="29"/>
  <c r="T224" i="29"/>
  <c r="T187" i="29"/>
  <c r="T206" i="29"/>
  <c r="T233" i="29"/>
  <c r="T169" i="29"/>
  <c r="T188" i="29"/>
  <c r="T207" i="29"/>
  <c r="T234" i="29"/>
  <c r="T197" i="29"/>
  <c r="T179" i="29"/>
  <c r="T226" i="29"/>
  <c r="V214" i="29"/>
  <c r="V212" i="29"/>
  <c r="V226" i="29"/>
  <c r="V216" i="29"/>
  <c r="T189" i="29"/>
  <c r="T208" i="29"/>
  <c r="T235" i="29"/>
  <c r="T190" i="29"/>
  <c r="T217" i="29"/>
  <c r="T236" i="29"/>
  <c r="T191" i="29"/>
  <c r="T218" i="29"/>
  <c r="T165" i="29"/>
  <c r="T216" i="29"/>
  <c r="T198" i="29"/>
  <c r="T180" i="29"/>
  <c r="T164" i="29"/>
  <c r="V198" i="29"/>
  <c r="V196" i="29"/>
  <c r="V194" i="29"/>
  <c r="V200" i="29"/>
  <c r="T181" i="29"/>
  <c r="T200" i="29"/>
  <c r="T227" i="29"/>
  <c r="T182" i="29"/>
  <c r="T209" i="29"/>
  <c r="T228" i="29"/>
  <c r="T183" i="29"/>
  <c r="T210" i="29"/>
  <c r="T166" i="29"/>
  <c r="T225" i="29"/>
  <c r="T199" i="29"/>
  <c r="V175" i="29"/>
  <c r="V180" i="29"/>
  <c r="V178" i="29"/>
  <c r="V168" i="29"/>
  <c r="T237" i="29"/>
  <c r="T173" i="29"/>
  <c r="T192" i="29"/>
  <c r="T219" i="29"/>
  <c r="T238" i="29"/>
  <c r="T201" i="29"/>
  <c r="T220" i="29"/>
  <c r="T174" i="29"/>
  <c r="T202" i="29"/>
  <c r="G81" i="17"/>
  <c r="G159" i="17" s="1"/>
  <c r="Q201" i="29"/>
  <c r="O201" i="29"/>
  <c r="K169" i="29"/>
  <c r="Q218" i="29"/>
  <c r="O220" i="29"/>
  <c r="N17" i="43"/>
  <c r="N332" i="43" s="1"/>
  <c r="R791" i="18"/>
  <c r="C221" i="17"/>
  <c r="C231" i="17"/>
  <c r="C132" i="17"/>
  <c r="K233" i="29"/>
  <c r="C224" i="17"/>
  <c r="Q191" i="29"/>
  <c r="O211" i="29"/>
  <c r="K186" i="29"/>
  <c r="K188" i="29"/>
  <c r="Q237" i="29"/>
  <c r="G49" i="17"/>
  <c r="G205" i="17" s="1"/>
  <c r="K205" i="29"/>
  <c r="K207" i="29"/>
  <c r="Q173" i="29"/>
  <c r="O174" i="29"/>
  <c r="I791" i="18"/>
  <c r="Q219" i="29"/>
  <c r="O221" i="29"/>
  <c r="O78" i="21"/>
  <c r="O147" i="21" s="1"/>
  <c r="R242" i="18"/>
  <c r="J242" i="17"/>
  <c r="C217" i="17"/>
  <c r="C219" i="17"/>
  <c r="Q238" i="29"/>
  <c r="K187" i="29"/>
  <c r="Q236" i="29"/>
  <c r="O238" i="29"/>
  <c r="C166" i="17"/>
  <c r="J6" i="17"/>
  <c r="J6" i="19" s="1"/>
  <c r="J399" i="19" s="1"/>
  <c r="K206" i="29"/>
  <c r="Q172" i="29"/>
  <c r="O176" i="29"/>
  <c r="N6" i="19"/>
  <c r="N399" i="19" s="1"/>
  <c r="M6" i="19"/>
  <c r="M399" i="19" s="1"/>
  <c r="I242" i="18"/>
  <c r="J16" i="43"/>
  <c r="J331" i="43" s="1"/>
  <c r="I5" i="46"/>
  <c r="I85" i="46" s="1"/>
  <c r="K173" i="29"/>
  <c r="K238" i="29"/>
  <c r="Q223" i="29"/>
  <c r="Q205" i="29"/>
  <c r="Q233" i="29"/>
  <c r="O169" i="29"/>
  <c r="O170" i="29"/>
  <c r="O179" i="29"/>
  <c r="E73" i="17"/>
  <c r="E151" i="17" s="1"/>
  <c r="E84" i="43"/>
  <c r="F16" i="46"/>
  <c r="F27" i="43"/>
  <c r="G50" i="17"/>
  <c r="G206" i="17" s="1"/>
  <c r="G61" i="43"/>
  <c r="G295" i="43" s="1"/>
  <c r="K210" i="29"/>
  <c r="K229" i="29"/>
  <c r="K184" i="29"/>
  <c r="K211" i="29"/>
  <c r="K230" i="29"/>
  <c r="K175" i="29"/>
  <c r="K193" i="29"/>
  <c r="K212" i="29"/>
  <c r="K231" i="29"/>
  <c r="K167" i="29"/>
  <c r="V235" i="29"/>
  <c r="V171" i="29"/>
  <c r="V190" i="29"/>
  <c r="V217" i="29"/>
  <c r="V236" i="29"/>
  <c r="V172" i="29"/>
  <c r="V191" i="29"/>
  <c r="V218" i="29"/>
  <c r="V237" i="29"/>
  <c r="V173" i="29"/>
  <c r="V192" i="29"/>
  <c r="Q196" i="29"/>
  <c r="Q215" i="29"/>
  <c r="Q178" i="29"/>
  <c r="Q197" i="29"/>
  <c r="Q216" i="29"/>
  <c r="Q179" i="29"/>
  <c r="Q198" i="29"/>
  <c r="Q225" i="29"/>
  <c r="Q166" i="29"/>
  <c r="O198" i="29"/>
  <c r="O225" i="29"/>
  <c r="O180" i="29"/>
  <c r="O199" i="29"/>
  <c r="O226" i="29"/>
  <c r="O181" i="29"/>
  <c r="O200" i="29"/>
  <c r="O235" i="29"/>
  <c r="O171" i="29"/>
  <c r="E50" i="17"/>
  <c r="E128" i="17" s="1"/>
  <c r="E61" i="43"/>
  <c r="D58" i="17"/>
  <c r="D136" i="17" s="1"/>
  <c r="D69" i="43"/>
  <c r="D303" i="43" s="1"/>
  <c r="D66" i="17"/>
  <c r="D144" i="17" s="1"/>
  <c r="D77" i="43"/>
  <c r="D311" i="43" s="1"/>
  <c r="D74" i="17"/>
  <c r="D85" i="43"/>
  <c r="D319" i="43" s="1"/>
  <c r="D51" i="17"/>
  <c r="D129" i="17" s="1"/>
  <c r="D62" i="43"/>
  <c r="D296" i="43" s="1"/>
  <c r="D59" i="17"/>
  <c r="D137" i="17" s="1"/>
  <c r="D70" i="43"/>
  <c r="D304" i="43" s="1"/>
  <c r="D67" i="17"/>
  <c r="D223" i="17" s="1"/>
  <c r="D78" i="43"/>
  <c r="D75" i="17"/>
  <c r="D153" i="17" s="1"/>
  <c r="D86" i="43"/>
  <c r="D320" i="43" s="1"/>
  <c r="E52" i="17"/>
  <c r="E130" i="17" s="1"/>
  <c r="E63" i="43"/>
  <c r="E68" i="17"/>
  <c r="E146" i="17" s="1"/>
  <c r="E79" i="43"/>
  <c r="E313" i="43" s="1"/>
  <c r="E70" i="17"/>
  <c r="E148" i="17" s="1"/>
  <c r="E81" i="43"/>
  <c r="G72" i="17"/>
  <c r="E49" i="17"/>
  <c r="E127" i="17" s="1"/>
  <c r="E60" i="43"/>
  <c r="E294" i="43" s="1"/>
  <c r="D57" i="17"/>
  <c r="D135" i="17" s="1"/>
  <c r="D68" i="43"/>
  <c r="D302" i="43" s="1"/>
  <c r="D65" i="17"/>
  <c r="D143" i="17" s="1"/>
  <c r="D76" i="43"/>
  <c r="D310" i="43" s="1"/>
  <c r="D73" i="17"/>
  <c r="D229" i="17" s="1"/>
  <c r="D84" i="43"/>
  <c r="D318" i="43" s="1"/>
  <c r="D81" i="17"/>
  <c r="D159" i="17" s="1"/>
  <c r="D92" i="43"/>
  <c r="D326" i="43" s="1"/>
  <c r="V326" i="30"/>
  <c r="V333" i="30"/>
  <c r="V342" i="30"/>
  <c r="V324" i="30"/>
  <c r="V331" i="30"/>
  <c r="V340" i="30"/>
  <c r="V347" i="30"/>
  <c r="V329" i="30"/>
  <c r="V338" i="30"/>
  <c r="V345" i="30"/>
  <c r="V327" i="30"/>
  <c r="V336" i="30"/>
  <c r="V343" i="30"/>
  <c r="V325" i="30"/>
  <c r="V334" i="30"/>
  <c r="V341" i="30"/>
  <c r="V332" i="30"/>
  <c r="V339" i="30"/>
  <c r="V348" i="30"/>
  <c r="V330" i="30"/>
  <c r="V337" i="30"/>
  <c r="V346" i="30"/>
  <c r="V328" i="30"/>
  <c r="V335" i="30"/>
  <c r="V344" i="30"/>
  <c r="V352" i="30"/>
  <c r="V357" i="30"/>
  <c r="V366" i="30"/>
  <c r="V371" i="30"/>
  <c r="V378" i="30"/>
  <c r="V385" i="30"/>
  <c r="V395" i="30"/>
  <c r="V350" i="30"/>
  <c r="V355" i="30"/>
  <c r="V364" i="30"/>
  <c r="V376" i="30"/>
  <c r="V383" i="30"/>
  <c r="V388" i="30"/>
  <c r="V393" i="30"/>
  <c r="V362" i="30"/>
  <c r="V369" i="30"/>
  <c r="V374" i="30"/>
  <c r="V381" i="30"/>
  <c r="V391" i="30"/>
  <c r="V353" i="30"/>
  <c r="V360" i="30"/>
  <c r="V367" i="30"/>
  <c r="V372" i="30"/>
  <c r="V379" i="30"/>
  <c r="V386" i="30"/>
  <c r="V351" i="30"/>
  <c r="V358" i="30"/>
  <c r="V365" i="30"/>
  <c r="V377" i="30"/>
  <c r="V389" i="30"/>
  <c r="V396" i="30"/>
  <c r="V349" i="30"/>
  <c r="V356" i="30"/>
  <c r="V363" i="30"/>
  <c r="V370" i="30"/>
  <c r="V375" i="30"/>
  <c r="V384" i="30"/>
  <c r="V394" i="30"/>
  <c r="V354" i="30"/>
  <c r="V361" i="30"/>
  <c r="V373" i="30"/>
  <c r="V382" i="30"/>
  <c r="V387" i="30"/>
  <c r="V392" i="30"/>
  <c r="V359" i="30"/>
  <c r="V368" i="30"/>
  <c r="V380" i="30"/>
  <c r="V390" i="30"/>
  <c r="V397" i="30"/>
  <c r="V323" i="30"/>
  <c r="N508" i="30"/>
  <c r="N523" i="30"/>
  <c r="N513" i="30"/>
  <c r="N518" i="30"/>
  <c r="N506" i="30"/>
  <c r="N511" i="30"/>
  <c r="N516" i="30"/>
  <c r="N521" i="30"/>
  <c r="N509" i="30"/>
  <c r="N514" i="30"/>
  <c r="N519" i="30"/>
  <c r="N524" i="30"/>
  <c r="N507" i="30"/>
  <c r="N517" i="30"/>
  <c r="N522" i="30"/>
  <c r="N512" i="30"/>
  <c r="N505" i="30"/>
  <c r="N510" i="30"/>
  <c r="N515" i="30"/>
  <c r="N520" i="30"/>
  <c r="N108" i="30"/>
  <c r="N117" i="30"/>
  <c r="N124" i="30"/>
  <c r="N133" i="30"/>
  <c r="N140" i="30"/>
  <c r="N147" i="30"/>
  <c r="N106" i="30"/>
  <c r="N115" i="30"/>
  <c r="N122" i="30"/>
  <c r="N131" i="30"/>
  <c r="N138" i="30"/>
  <c r="N152" i="30"/>
  <c r="N159" i="30"/>
  <c r="N113" i="30"/>
  <c r="N120" i="30"/>
  <c r="N129" i="30"/>
  <c r="N136" i="30"/>
  <c r="N145" i="30"/>
  <c r="N150" i="30"/>
  <c r="N157" i="30"/>
  <c r="N111" i="30"/>
  <c r="N118" i="30"/>
  <c r="N127" i="30"/>
  <c r="N134" i="30"/>
  <c r="N143" i="30"/>
  <c r="N148" i="30"/>
  <c r="N155" i="30"/>
  <c r="N100" i="30"/>
  <c r="N109" i="30"/>
  <c r="N116" i="30"/>
  <c r="N125" i="30"/>
  <c r="N132" i="30"/>
  <c r="N141" i="30"/>
  <c r="N153" i="30"/>
  <c r="N160" i="30"/>
  <c r="N107" i="30"/>
  <c r="N114" i="30"/>
  <c r="N123" i="30"/>
  <c r="N130" i="30"/>
  <c r="N139" i="30"/>
  <c r="N146" i="30"/>
  <c r="N158" i="30"/>
  <c r="N112" i="30"/>
  <c r="N121" i="30"/>
  <c r="N128" i="30"/>
  <c r="N137" i="30"/>
  <c r="N144" i="30"/>
  <c r="N151" i="30"/>
  <c r="N156" i="30"/>
  <c r="N110" i="30"/>
  <c r="N119" i="30"/>
  <c r="N126" i="30"/>
  <c r="N135" i="30"/>
  <c r="N142" i="30"/>
  <c r="N149" i="30"/>
  <c r="N154" i="30"/>
  <c r="I108" i="29"/>
  <c r="I117" i="29"/>
  <c r="I124" i="29"/>
  <c r="I133" i="29"/>
  <c r="I138" i="29"/>
  <c r="I147" i="29"/>
  <c r="I152" i="29"/>
  <c r="I106" i="29"/>
  <c r="I115" i="29"/>
  <c r="I122" i="29"/>
  <c r="I131" i="29"/>
  <c r="I136" i="29"/>
  <c r="I145" i="29"/>
  <c r="I159" i="29"/>
  <c r="I113" i="29"/>
  <c r="I120" i="29"/>
  <c r="I129" i="29"/>
  <c r="I143" i="29"/>
  <c r="I150" i="29"/>
  <c r="I157" i="29"/>
  <c r="I111" i="29"/>
  <c r="I118" i="29"/>
  <c r="I127" i="29"/>
  <c r="I134" i="29"/>
  <c r="I141" i="29"/>
  <c r="I148" i="29"/>
  <c r="I155" i="29"/>
  <c r="I109" i="29"/>
  <c r="I116" i="29"/>
  <c r="I125" i="29"/>
  <c r="I132" i="29"/>
  <c r="I139" i="29"/>
  <c r="I146" i="29"/>
  <c r="I153" i="29"/>
  <c r="I160" i="29"/>
  <c r="I107" i="29"/>
  <c r="I114" i="29"/>
  <c r="I123" i="29"/>
  <c r="I130" i="29"/>
  <c r="I137" i="29"/>
  <c r="I144" i="29"/>
  <c r="I151" i="29"/>
  <c r="I158" i="29"/>
  <c r="I112" i="29"/>
  <c r="I121" i="29"/>
  <c r="I128" i="29"/>
  <c r="I135" i="29"/>
  <c r="I142" i="29"/>
  <c r="I156" i="29"/>
  <c r="I110" i="29"/>
  <c r="I119" i="29"/>
  <c r="I126" i="29"/>
  <c r="I140" i="29"/>
  <c r="I149" i="29"/>
  <c r="I154" i="29"/>
  <c r="R110" i="29"/>
  <c r="R119" i="29"/>
  <c r="R126" i="29"/>
  <c r="R140" i="29"/>
  <c r="R149" i="29"/>
  <c r="R154" i="29"/>
  <c r="R108" i="29"/>
  <c r="R117" i="29"/>
  <c r="R124" i="29"/>
  <c r="R133" i="29"/>
  <c r="R138" i="29"/>
  <c r="R147" i="29"/>
  <c r="R152" i="29"/>
  <c r="R106" i="29"/>
  <c r="R115" i="29"/>
  <c r="R122" i="29"/>
  <c r="R131" i="29"/>
  <c r="R136" i="29"/>
  <c r="R145" i="29"/>
  <c r="R159" i="29"/>
  <c r="R113" i="29"/>
  <c r="R120" i="29"/>
  <c r="R129" i="29"/>
  <c r="R143" i="29"/>
  <c r="R150" i="29"/>
  <c r="R157" i="29"/>
  <c r="R111" i="29"/>
  <c r="R118" i="29"/>
  <c r="R127" i="29"/>
  <c r="R134" i="29"/>
  <c r="R141" i="29"/>
  <c r="R148" i="29"/>
  <c r="R155" i="29"/>
  <c r="R109" i="29"/>
  <c r="R116" i="29"/>
  <c r="R125" i="29"/>
  <c r="R132" i="29"/>
  <c r="R139" i="29"/>
  <c r="R146" i="29"/>
  <c r="R153" i="29"/>
  <c r="R160" i="29"/>
  <c r="R107" i="29"/>
  <c r="R114" i="29"/>
  <c r="R123" i="29"/>
  <c r="R130" i="29"/>
  <c r="R137" i="29"/>
  <c r="R144" i="29"/>
  <c r="R151" i="29"/>
  <c r="R158" i="29"/>
  <c r="R112" i="29"/>
  <c r="R121" i="29"/>
  <c r="R128" i="29"/>
  <c r="R135" i="29"/>
  <c r="R142" i="29"/>
  <c r="R156" i="29"/>
  <c r="C228" i="17"/>
  <c r="C237" i="17"/>
  <c r="C233" i="17"/>
  <c r="F43" i="46"/>
  <c r="F54" i="43"/>
  <c r="F36" i="46"/>
  <c r="F47" i="43"/>
  <c r="G53" i="17"/>
  <c r="G64" i="43"/>
  <c r="G298" i="43" s="1"/>
  <c r="G55" i="17"/>
  <c r="G133" i="17" s="1"/>
  <c r="G66" i="43"/>
  <c r="G300" i="43" s="1"/>
  <c r="F40" i="46"/>
  <c r="F51" i="43"/>
  <c r="G64" i="17"/>
  <c r="G142" i="17" s="1"/>
  <c r="G75" i="43"/>
  <c r="G309" i="43" s="1"/>
  <c r="F33" i="46"/>
  <c r="F44" i="43"/>
  <c r="G57" i="17"/>
  <c r="G213" i="17" s="1"/>
  <c r="G68" i="43"/>
  <c r="G302" i="43" s="1"/>
  <c r="F34" i="46"/>
  <c r="F45" i="43"/>
  <c r="G74" i="17"/>
  <c r="G85" i="43"/>
  <c r="G319" i="43" s="1"/>
  <c r="P106" i="29"/>
  <c r="P115" i="29"/>
  <c r="P122" i="29"/>
  <c r="P131" i="29"/>
  <c r="P136" i="29"/>
  <c r="P145" i="29"/>
  <c r="P159" i="29"/>
  <c r="P113" i="29"/>
  <c r="P120" i="29"/>
  <c r="P129" i="29"/>
  <c r="P143" i="29"/>
  <c r="P150" i="29"/>
  <c r="P157" i="29"/>
  <c r="P111" i="29"/>
  <c r="P118" i="29"/>
  <c r="P127" i="29"/>
  <c r="P134" i="29"/>
  <c r="P141" i="29"/>
  <c r="P148" i="29"/>
  <c r="P155" i="29"/>
  <c r="P109" i="29"/>
  <c r="P116" i="29"/>
  <c r="P125" i="29"/>
  <c r="P132" i="29"/>
  <c r="P139" i="29"/>
  <c r="P146" i="29"/>
  <c r="P153" i="29"/>
  <c r="P160" i="29"/>
  <c r="P107" i="29"/>
  <c r="P114" i="29"/>
  <c r="P123" i="29"/>
  <c r="P130" i="29"/>
  <c r="P137" i="29"/>
  <c r="P144" i="29"/>
  <c r="P151" i="29"/>
  <c r="P158" i="29"/>
  <c r="P112" i="29"/>
  <c r="P121" i="29"/>
  <c r="P128" i="29"/>
  <c r="P135" i="29"/>
  <c r="P142" i="29"/>
  <c r="P156" i="29"/>
  <c r="P110" i="29"/>
  <c r="P119" i="29"/>
  <c r="P126" i="29"/>
  <c r="P140" i="29"/>
  <c r="P149" i="29"/>
  <c r="P154" i="29"/>
  <c r="P108" i="29"/>
  <c r="P117" i="29"/>
  <c r="P124" i="29"/>
  <c r="P133" i="29"/>
  <c r="P138" i="29"/>
  <c r="P147" i="29"/>
  <c r="P152" i="29"/>
  <c r="K237" i="29"/>
  <c r="K219" i="29"/>
  <c r="K220" i="29"/>
  <c r="Q206" i="29"/>
  <c r="O206" i="29"/>
  <c r="O207" i="29"/>
  <c r="O208" i="29"/>
  <c r="E74" i="17"/>
  <c r="E85" i="43"/>
  <c r="E319" i="43" s="1"/>
  <c r="E51" i="17"/>
  <c r="E207" i="17" s="1"/>
  <c r="E62" i="43"/>
  <c r="E75" i="17"/>
  <c r="E153" i="17" s="1"/>
  <c r="E86" i="43"/>
  <c r="E320" i="43" s="1"/>
  <c r="D60" i="17"/>
  <c r="D138" i="17" s="1"/>
  <c r="D71" i="43"/>
  <c r="D305" i="43" s="1"/>
  <c r="E78" i="17"/>
  <c r="E89" i="43"/>
  <c r="E323" i="43" s="1"/>
  <c r="E65" i="17"/>
  <c r="E221" i="17" s="1"/>
  <c r="E76" i="43"/>
  <c r="N326" i="30"/>
  <c r="N333" i="30"/>
  <c r="N342" i="30"/>
  <c r="N324" i="30"/>
  <c r="N331" i="30"/>
  <c r="N340" i="30"/>
  <c r="N347" i="30"/>
  <c r="N329" i="30"/>
  <c r="N338" i="30"/>
  <c r="N345" i="30"/>
  <c r="N327" i="30"/>
  <c r="N336" i="30"/>
  <c r="N343" i="30"/>
  <c r="N325" i="30"/>
  <c r="N334" i="30"/>
  <c r="N341" i="30"/>
  <c r="N332" i="30"/>
  <c r="N339" i="30"/>
  <c r="N348" i="30"/>
  <c r="N330" i="30"/>
  <c r="N337" i="30"/>
  <c r="N346" i="30"/>
  <c r="N328" i="30"/>
  <c r="N335" i="30"/>
  <c r="N344" i="30"/>
  <c r="N352" i="30"/>
  <c r="N357" i="30"/>
  <c r="N366" i="30"/>
  <c r="N371" i="30"/>
  <c r="N378" i="30"/>
  <c r="N385" i="30"/>
  <c r="N395" i="30"/>
  <c r="N350" i="30"/>
  <c r="N355" i="30"/>
  <c r="N364" i="30"/>
  <c r="N376" i="30"/>
  <c r="N383" i="30"/>
  <c r="N388" i="30"/>
  <c r="N393" i="30"/>
  <c r="N362" i="30"/>
  <c r="N369" i="30"/>
  <c r="N374" i="30"/>
  <c r="N381" i="30"/>
  <c r="N391" i="30"/>
  <c r="N353" i="30"/>
  <c r="N360" i="30"/>
  <c r="N367" i="30"/>
  <c r="N372" i="30"/>
  <c r="N379" i="30"/>
  <c r="N386" i="30"/>
  <c r="N351" i="30"/>
  <c r="N358" i="30"/>
  <c r="N365" i="30"/>
  <c r="N377" i="30"/>
  <c r="N389" i="30"/>
  <c r="N396" i="30"/>
  <c r="N349" i="30"/>
  <c r="N356" i="30"/>
  <c r="N363" i="30"/>
  <c r="N370" i="30"/>
  <c r="N375" i="30"/>
  <c r="N384" i="30"/>
  <c r="N394" i="30"/>
  <c r="N354" i="30"/>
  <c r="N361" i="30"/>
  <c r="N373" i="30"/>
  <c r="N382" i="30"/>
  <c r="N387" i="30"/>
  <c r="N392" i="30"/>
  <c r="N359" i="30"/>
  <c r="N368" i="30"/>
  <c r="N380" i="30"/>
  <c r="N390" i="30"/>
  <c r="N397" i="30"/>
  <c r="N323" i="30"/>
  <c r="F19" i="46"/>
  <c r="F30" i="43"/>
  <c r="F69" i="46"/>
  <c r="F80" i="43"/>
  <c r="F22" i="46"/>
  <c r="F33" i="43"/>
  <c r="F80" i="46"/>
  <c r="F91" i="43"/>
  <c r="K202" i="29"/>
  <c r="K221" i="29"/>
  <c r="K176" i="29"/>
  <c r="K203" i="29"/>
  <c r="K222" i="29"/>
  <c r="K185" i="29"/>
  <c r="K204" i="29"/>
  <c r="K223" i="29"/>
  <c r="V227" i="29"/>
  <c r="V182" i="29"/>
  <c r="V209" i="29"/>
  <c r="V228" i="29"/>
  <c r="V183" i="29"/>
  <c r="V210" i="29"/>
  <c r="V229" i="29"/>
  <c r="V184" i="29"/>
  <c r="U42" i="34"/>
  <c r="Q188" i="29"/>
  <c r="Q207" i="29"/>
  <c r="Q234" i="29"/>
  <c r="Q170" i="29"/>
  <c r="Q189" i="29"/>
  <c r="Q208" i="29"/>
  <c r="Q235" i="29"/>
  <c r="Q171" i="29"/>
  <c r="Q190" i="29"/>
  <c r="Q217" i="29"/>
  <c r="Q164" i="29"/>
  <c r="O190" i="29"/>
  <c r="O217" i="29"/>
  <c r="O236" i="29"/>
  <c r="O172" i="29"/>
  <c r="O191" i="29"/>
  <c r="O218" i="29"/>
  <c r="O237" i="29"/>
  <c r="O192" i="29"/>
  <c r="O227" i="29"/>
  <c r="O165" i="29"/>
  <c r="D50" i="17"/>
  <c r="D206" i="17" s="1"/>
  <c r="D61" i="43"/>
  <c r="D295" i="43" s="1"/>
  <c r="D52" i="17"/>
  <c r="D130" i="17" s="1"/>
  <c r="D63" i="43"/>
  <c r="D297" i="43" s="1"/>
  <c r="D68" i="17"/>
  <c r="D146" i="17" s="1"/>
  <c r="D79" i="43"/>
  <c r="D313" i="43" s="1"/>
  <c r="E62" i="17"/>
  <c r="E218" i="17" s="1"/>
  <c r="E73" i="43"/>
  <c r="E307" i="43" s="1"/>
  <c r="D70" i="17"/>
  <c r="D81" i="43"/>
  <c r="D315" i="43" s="1"/>
  <c r="D78" i="17"/>
  <c r="D156" i="17" s="1"/>
  <c r="D89" i="43"/>
  <c r="G56" i="17"/>
  <c r="G134" i="17" s="1"/>
  <c r="E72" i="17"/>
  <c r="E228" i="17" s="1"/>
  <c r="E83" i="43"/>
  <c r="E317" i="43" s="1"/>
  <c r="D49" i="17"/>
  <c r="D205" i="17" s="1"/>
  <c r="D60" i="43"/>
  <c r="O510" i="30"/>
  <c r="O515" i="30"/>
  <c r="O520" i="30"/>
  <c r="O508" i="30"/>
  <c r="O523" i="30"/>
  <c r="O513" i="30"/>
  <c r="O518" i="30"/>
  <c r="O506" i="30"/>
  <c r="O511" i="30"/>
  <c r="O516" i="30"/>
  <c r="O521" i="30"/>
  <c r="O509" i="30"/>
  <c r="O514" i="30"/>
  <c r="O519" i="30"/>
  <c r="O524" i="30"/>
  <c r="O507" i="30"/>
  <c r="O517" i="30"/>
  <c r="O522" i="30"/>
  <c r="O512" i="30"/>
  <c r="O505" i="30"/>
  <c r="O110" i="30"/>
  <c r="O119" i="30"/>
  <c r="O126" i="30"/>
  <c r="O135" i="30"/>
  <c r="O142" i="30"/>
  <c r="O149" i="30"/>
  <c r="O154" i="30"/>
  <c r="O108" i="30"/>
  <c r="O117" i="30"/>
  <c r="O124" i="30"/>
  <c r="O133" i="30"/>
  <c r="O140" i="30"/>
  <c r="O147" i="30"/>
  <c r="O106" i="30"/>
  <c r="O115" i="30"/>
  <c r="O122" i="30"/>
  <c r="O131" i="30"/>
  <c r="O138" i="30"/>
  <c r="O152" i="30"/>
  <c r="O159" i="30"/>
  <c r="O113" i="30"/>
  <c r="O120" i="30"/>
  <c r="O129" i="30"/>
  <c r="O136" i="30"/>
  <c r="O145" i="30"/>
  <c r="O150" i="30"/>
  <c r="O157" i="30"/>
  <c r="O111" i="30"/>
  <c r="O118" i="30"/>
  <c r="O127" i="30"/>
  <c r="O134" i="30"/>
  <c r="O143" i="30"/>
  <c r="O148" i="30"/>
  <c r="O155" i="30"/>
  <c r="O100" i="30"/>
  <c r="O109" i="30"/>
  <c r="O116" i="30"/>
  <c r="O125" i="30"/>
  <c r="O132" i="30"/>
  <c r="O141" i="30"/>
  <c r="O153" i="30"/>
  <c r="O160" i="30"/>
  <c r="O107" i="30"/>
  <c r="O114" i="30"/>
  <c r="O123" i="30"/>
  <c r="O130" i="30"/>
  <c r="O139" i="30"/>
  <c r="O146" i="30"/>
  <c r="O158" i="30"/>
  <c r="O112" i="30"/>
  <c r="O121" i="30"/>
  <c r="O128" i="30"/>
  <c r="O137" i="30"/>
  <c r="O144" i="30"/>
  <c r="O151" i="30"/>
  <c r="O156" i="30"/>
  <c r="Q507" i="30"/>
  <c r="Q517" i="30"/>
  <c r="Q522" i="30"/>
  <c r="Q512" i="30"/>
  <c r="Q505" i="30"/>
  <c r="Q510" i="30"/>
  <c r="Q515" i="30"/>
  <c r="Q520" i="30"/>
  <c r="Q508" i="30"/>
  <c r="Q523" i="30"/>
  <c r="Q513" i="30"/>
  <c r="Q518" i="30"/>
  <c r="Q506" i="30"/>
  <c r="Q511" i="30"/>
  <c r="Q516" i="30"/>
  <c r="Q521" i="30"/>
  <c r="Q509" i="30"/>
  <c r="Q514" i="30"/>
  <c r="Q519" i="30"/>
  <c r="Q524" i="30"/>
  <c r="Q107" i="30"/>
  <c r="Q114" i="30"/>
  <c r="Q123" i="30"/>
  <c r="Q130" i="30"/>
  <c r="Q139" i="30"/>
  <c r="Q146" i="30"/>
  <c r="Q158" i="30"/>
  <c r="Q112" i="30"/>
  <c r="Q121" i="30"/>
  <c r="Q128" i="30"/>
  <c r="Q137" i="30"/>
  <c r="Q144" i="30"/>
  <c r="Q151" i="30"/>
  <c r="Q156" i="30"/>
  <c r="Q110" i="30"/>
  <c r="Q119" i="30"/>
  <c r="Q126" i="30"/>
  <c r="Q135" i="30"/>
  <c r="Q142" i="30"/>
  <c r="Q149" i="30"/>
  <c r="Q154" i="30"/>
  <c r="Q108" i="30"/>
  <c r="Q117" i="30"/>
  <c r="Q124" i="30"/>
  <c r="Q133" i="30"/>
  <c r="Q140" i="30"/>
  <c r="Q147" i="30"/>
  <c r="Q106" i="30"/>
  <c r="Q115" i="30"/>
  <c r="Q122" i="30"/>
  <c r="Q131" i="30"/>
  <c r="Q138" i="30"/>
  <c r="Q152" i="30"/>
  <c r="Q159" i="30"/>
  <c r="Q113" i="30"/>
  <c r="Q120" i="30"/>
  <c r="Q129" i="30"/>
  <c r="Q136" i="30"/>
  <c r="Q145" i="30"/>
  <c r="Q150" i="30"/>
  <c r="Q157" i="30"/>
  <c r="Q111" i="30"/>
  <c r="Q118" i="30"/>
  <c r="Q127" i="30"/>
  <c r="Q134" i="30"/>
  <c r="Q143" i="30"/>
  <c r="Q148" i="30"/>
  <c r="Q155" i="30"/>
  <c r="Q100" i="30"/>
  <c r="Q109" i="30"/>
  <c r="Q116" i="30"/>
  <c r="Q125" i="30"/>
  <c r="Q132" i="30"/>
  <c r="Q141" i="30"/>
  <c r="Q153" i="30"/>
  <c r="Q160" i="30"/>
  <c r="K327" i="30"/>
  <c r="K336" i="30"/>
  <c r="K343" i="30"/>
  <c r="K325" i="30"/>
  <c r="K334" i="30"/>
  <c r="K341" i="30"/>
  <c r="K332" i="30"/>
  <c r="K339" i="30"/>
  <c r="K348" i="30"/>
  <c r="K330" i="30"/>
  <c r="K337" i="30"/>
  <c r="K346" i="30"/>
  <c r="K328" i="30"/>
  <c r="K335" i="30"/>
  <c r="K344" i="30"/>
  <c r="K326" i="30"/>
  <c r="K333" i="30"/>
  <c r="K342" i="30"/>
  <c r="K324" i="30"/>
  <c r="K331" i="30"/>
  <c r="K340" i="30"/>
  <c r="K347" i="30"/>
  <c r="K329" i="30"/>
  <c r="K338" i="30"/>
  <c r="K345" i="30"/>
  <c r="K353" i="30"/>
  <c r="K360" i="30"/>
  <c r="K367" i="30"/>
  <c r="K372" i="30"/>
  <c r="K379" i="30"/>
  <c r="K386" i="30"/>
  <c r="K351" i="30"/>
  <c r="K358" i="30"/>
  <c r="K365" i="30"/>
  <c r="K377" i="30"/>
  <c r="K389" i="30"/>
  <c r="K396" i="30"/>
  <c r="K349" i="30"/>
  <c r="K356" i="30"/>
  <c r="K363" i="30"/>
  <c r="K370" i="30"/>
  <c r="K375" i="30"/>
  <c r="K384" i="30"/>
  <c r="K394" i="30"/>
  <c r="K354" i="30"/>
  <c r="K361" i="30"/>
  <c r="K373" i="30"/>
  <c r="K382" i="30"/>
  <c r="K387" i="30"/>
  <c r="K392" i="30"/>
  <c r="K359" i="30"/>
  <c r="K368" i="30"/>
  <c r="K380" i="30"/>
  <c r="K390" i="30"/>
  <c r="K397" i="30"/>
  <c r="K352" i="30"/>
  <c r="K357" i="30"/>
  <c r="K366" i="30"/>
  <c r="K371" i="30"/>
  <c r="K378" i="30"/>
  <c r="K385" i="30"/>
  <c r="K395" i="30"/>
  <c r="K350" i="30"/>
  <c r="K355" i="30"/>
  <c r="K364" i="30"/>
  <c r="K376" i="30"/>
  <c r="K383" i="30"/>
  <c r="K388" i="30"/>
  <c r="K393" i="30"/>
  <c r="K362" i="30"/>
  <c r="K369" i="30"/>
  <c r="K374" i="30"/>
  <c r="K381" i="30"/>
  <c r="K391" i="30"/>
  <c r="K323" i="30"/>
  <c r="F67" i="46"/>
  <c r="F78" i="43"/>
  <c r="F60" i="46"/>
  <c r="F71" i="43"/>
  <c r="F13" i="46"/>
  <c r="F24" i="43"/>
  <c r="F53" i="46"/>
  <c r="F64" i="43"/>
  <c r="G77" i="17"/>
  <c r="G155" i="17" s="1"/>
  <c r="G88" i="43"/>
  <c r="G322" i="43" s="1"/>
  <c r="F46" i="46"/>
  <c r="F57" i="43"/>
  <c r="G70" i="17"/>
  <c r="G148" i="17" s="1"/>
  <c r="G81" i="43"/>
  <c r="G315" i="43" s="1"/>
  <c r="F15" i="46"/>
  <c r="F26" i="43"/>
  <c r="F55" i="46"/>
  <c r="F66" i="43"/>
  <c r="G79" i="17"/>
  <c r="G90" i="43"/>
  <c r="G324" i="43" s="1"/>
  <c r="F64" i="46"/>
  <c r="F75" i="43"/>
  <c r="F17" i="46"/>
  <c r="F28" i="43"/>
  <c r="F57" i="46"/>
  <c r="F68" i="43"/>
  <c r="F58" i="46"/>
  <c r="F69" i="43"/>
  <c r="K218" i="29"/>
  <c r="Q204" i="29"/>
  <c r="Q224" i="29"/>
  <c r="Q169" i="29"/>
  <c r="O233" i="29"/>
  <c r="O234" i="29"/>
  <c r="E66" i="17"/>
  <c r="E77" i="43"/>
  <c r="E311" i="43" s="1"/>
  <c r="E59" i="17"/>
  <c r="E137" i="17" s="1"/>
  <c r="E70" i="43"/>
  <c r="E304" i="43" s="1"/>
  <c r="E57" i="17"/>
  <c r="E135" i="17" s="1"/>
  <c r="E68" i="43"/>
  <c r="E302" i="43" s="1"/>
  <c r="E81" i="17"/>
  <c r="E159" i="17" s="1"/>
  <c r="E92" i="43"/>
  <c r="V508" i="30"/>
  <c r="V523" i="30"/>
  <c r="V91" i="30"/>
  <c r="V98" i="30"/>
  <c r="V513" i="30"/>
  <c r="V518" i="30"/>
  <c r="V89" i="30"/>
  <c r="V96" i="30"/>
  <c r="V506" i="30"/>
  <c r="V511" i="30"/>
  <c r="V516" i="30"/>
  <c r="V521" i="30"/>
  <c r="V87" i="30"/>
  <c r="V94" i="30"/>
  <c r="V509" i="30"/>
  <c r="V92" i="30"/>
  <c r="V514" i="30"/>
  <c r="V519" i="30"/>
  <c r="V524" i="30"/>
  <c r="V90" i="30"/>
  <c r="V99" i="30"/>
  <c r="V507" i="30"/>
  <c r="V517" i="30"/>
  <c r="V522" i="30"/>
  <c r="V88" i="30"/>
  <c r="V97" i="30"/>
  <c r="V512" i="30"/>
  <c r="V505" i="30"/>
  <c r="V95" i="30"/>
  <c r="V510" i="30"/>
  <c r="V515" i="30"/>
  <c r="V520" i="30"/>
  <c r="V93" i="30"/>
  <c r="V101" i="30"/>
  <c r="V108" i="30"/>
  <c r="V117" i="30"/>
  <c r="V124" i="30"/>
  <c r="V133" i="30"/>
  <c r="V140" i="30"/>
  <c r="V147" i="30"/>
  <c r="V106" i="30"/>
  <c r="V115" i="30"/>
  <c r="V122" i="30"/>
  <c r="V131" i="30"/>
  <c r="V138" i="30"/>
  <c r="V152" i="30"/>
  <c r="V159" i="30"/>
  <c r="V104" i="30"/>
  <c r="V113" i="30"/>
  <c r="V120" i="30"/>
  <c r="V129" i="30"/>
  <c r="V136" i="30"/>
  <c r="V145" i="30"/>
  <c r="V150" i="30"/>
  <c r="V157" i="30"/>
  <c r="V86" i="30"/>
  <c r="V102" i="30"/>
  <c r="V111" i="30"/>
  <c r="V118" i="30"/>
  <c r="V127" i="30"/>
  <c r="V134" i="30"/>
  <c r="V143" i="30"/>
  <c r="V148" i="30"/>
  <c r="V155" i="30"/>
  <c r="V100" i="30"/>
  <c r="V109" i="30"/>
  <c r="V116" i="30"/>
  <c r="V125" i="30"/>
  <c r="V132" i="30"/>
  <c r="V141" i="30"/>
  <c r="V153" i="30"/>
  <c r="V160" i="30"/>
  <c r="V107" i="30"/>
  <c r="V114" i="30"/>
  <c r="V123" i="30"/>
  <c r="V130" i="30"/>
  <c r="V139" i="30"/>
  <c r="V146" i="30"/>
  <c r="V158" i="30"/>
  <c r="V105" i="30"/>
  <c r="V112" i="30"/>
  <c r="V121" i="30"/>
  <c r="V128" i="30"/>
  <c r="V137" i="30"/>
  <c r="V144" i="30"/>
  <c r="V151" i="30"/>
  <c r="V156" i="30"/>
  <c r="V103" i="30"/>
  <c r="V110" i="30"/>
  <c r="V119" i="30"/>
  <c r="V126" i="30"/>
  <c r="V135" i="30"/>
  <c r="V142" i="30"/>
  <c r="V149" i="30"/>
  <c r="V154" i="30"/>
  <c r="F29" i="46"/>
  <c r="F40" i="43"/>
  <c r="G62" i="17"/>
  <c r="G218" i="17" s="1"/>
  <c r="G73" i="43"/>
  <c r="G307" i="43" s="1"/>
  <c r="F31" i="46"/>
  <c r="F42" i="43"/>
  <c r="F74" i="46"/>
  <c r="F85" i="43"/>
  <c r="K194" i="29"/>
  <c r="K213" i="29"/>
  <c r="K232" i="29"/>
  <c r="K168" i="29"/>
  <c r="K195" i="29"/>
  <c r="K214" i="29"/>
  <c r="K177" i="29"/>
  <c r="K196" i="29"/>
  <c r="K215" i="29"/>
  <c r="K164" i="29"/>
  <c r="V219" i="29"/>
  <c r="V238" i="29"/>
  <c r="V201" i="29"/>
  <c r="V220" i="29"/>
  <c r="V174" i="29"/>
  <c r="V202" i="29"/>
  <c r="V221" i="29"/>
  <c r="V176" i="29"/>
  <c r="Q180" i="29"/>
  <c r="Q199" i="29"/>
  <c r="Q226" i="29"/>
  <c r="Q181" i="29"/>
  <c r="Q200" i="29"/>
  <c r="Q227" i="29"/>
  <c r="Q209" i="29"/>
  <c r="O182" i="29"/>
  <c r="O209" i="29"/>
  <c r="O228" i="29"/>
  <c r="O183" i="29"/>
  <c r="O210" i="29"/>
  <c r="O229" i="29"/>
  <c r="O184" i="29"/>
  <c r="O219" i="29"/>
  <c r="O164" i="29"/>
  <c r="G82" i="17"/>
  <c r="G160" i="17" s="1"/>
  <c r="E54" i="17"/>
  <c r="E65" i="43"/>
  <c r="E299" i="43" s="1"/>
  <c r="E56" i="17"/>
  <c r="E212" i="17" s="1"/>
  <c r="E67" i="43"/>
  <c r="E301" i="43" s="1"/>
  <c r="L329" i="30"/>
  <c r="L338" i="30"/>
  <c r="L345" i="30"/>
  <c r="L327" i="30"/>
  <c r="L336" i="30"/>
  <c r="L343" i="30"/>
  <c r="L325" i="30"/>
  <c r="L334" i="30"/>
  <c r="L341" i="30"/>
  <c r="L332" i="30"/>
  <c r="L339" i="30"/>
  <c r="L348" i="30"/>
  <c r="L330" i="30"/>
  <c r="L337" i="30"/>
  <c r="L346" i="30"/>
  <c r="L328" i="30"/>
  <c r="L335" i="30"/>
  <c r="L344" i="30"/>
  <c r="L326" i="30"/>
  <c r="L333" i="30"/>
  <c r="L342" i="30"/>
  <c r="L324" i="30"/>
  <c r="L331" i="30"/>
  <c r="L340" i="30"/>
  <c r="L347" i="30"/>
  <c r="L362" i="30"/>
  <c r="L369" i="30"/>
  <c r="L374" i="30"/>
  <c r="L381" i="30"/>
  <c r="L391" i="30"/>
  <c r="L353" i="30"/>
  <c r="L360" i="30"/>
  <c r="L367" i="30"/>
  <c r="L372" i="30"/>
  <c r="L379" i="30"/>
  <c r="L386" i="30"/>
  <c r="L351" i="30"/>
  <c r="L358" i="30"/>
  <c r="L365" i="30"/>
  <c r="L377" i="30"/>
  <c r="L389" i="30"/>
  <c r="L396" i="30"/>
  <c r="L349" i="30"/>
  <c r="L356" i="30"/>
  <c r="L363" i="30"/>
  <c r="L370" i="30"/>
  <c r="L375" i="30"/>
  <c r="L384" i="30"/>
  <c r="L394" i="30"/>
  <c r="L354" i="30"/>
  <c r="L361" i="30"/>
  <c r="L373" i="30"/>
  <c r="L382" i="30"/>
  <c r="L387" i="30"/>
  <c r="L392" i="30"/>
  <c r="L359" i="30"/>
  <c r="L368" i="30"/>
  <c r="L380" i="30"/>
  <c r="L390" i="30"/>
  <c r="L397" i="30"/>
  <c r="L352" i="30"/>
  <c r="L357" i="30"/>
  <c r="L366" i="30"/>
  <c r="L371" i="30"/>
  <c r="L378" i="30"/>
  <c r="L385" i="30"/>
  <c r="L395" i="30"/>
  <c r="L350" i="30"/>
  <c r="L355" i="30"/>
  <c r="L364" i="30"/>
  <c r="L376" i="30"/>
  <c r="L383" i="30"/>
  <c r="L388" i="30"/>
  <c r="L393" i="30"/>
  <c r="L323" i="30"/>
  <c r="M513" i="30"/>
  <c r="M518" i="30"/>
  <c r="M506" i="30"/>
  <c r="M511" i="30"/>
  <c r="M516" i="30"/>
  <c r="M521" i="30"/>
  <c r="M509" i="30"/>
  <c r="M514" i="30"/>
  <c r="M519" i="30"/>
  <c r="M524" i="30"/>
  <c r="M507" i="30"/>
  <c r="M517" i="30"/>
  <c r="M522" i="30"/>
  <c r="M512" i="30"/>
  <c r="M505" i="30"/>
  <c r="M510" i="30"/>
  <c r="M515" i="30"/>
  <c r="M520" i="30"/>
  <c r="M508" i="30"/>
  <c r="M523" i="30"/>
  <c r="M106" i="30"/>
  <c r="M115" i="30"/>
  <c r="M122" i="30"/>
  <c r="M131" i="30"/>
  <c r="M138" i="30"/>
  <c r="M152" i="30"/>
  <c r="M159" i="30"/>
  <c r="M113" i="30"/>
  <c r="M120" i="30"/>
  <c r="M129" i="30"/>
  <c r="M136" i="30"/>
  <c r="M145" i="30"/>
  <c r="M150" i="30"/>
  <c r="M157" i="30"/>
  <c r="M111" i="30"/>
  <c r="M118" i="30"/>
  <c r="M127" i="30"/>
  <c r="M134" i="30"/>
  <c r="M143" i="30"/>
  <c r="M148" i="30"/>
  <c r="M155" i="30"/>
  <c r="M100" i="30"/>
  <c r="M109" i="30"/>
  <c r="M116" i="30"/>
  <c r="M125" i="30"/>
  <c r="M132" i="30"/>
  <c r="M141" i="30"/>
  <c r="M153" i="30"/>
  <c r="M160" i="30"/>
  <c r="M107" i="30"/>
  <c r="M114" i="30"/>
  <c r="M123" i="30"/>
  <c r="M130" i="30"/>
  <c r="M139" i="30"/>
  <c r="M146" i="30"/>
  <c r="M158" i="30"/>
  <c r="M112" i="30"/>
  <c r="M121" i="30"/>
  <c r="M128" i="30"/>
  <c r="M137" i="30"/>
  <c r="M144" i="30"/>
  <c r="M151" i="30"/>
  <c r="M156" i="30"/>
  <c r="M110" i="30"/>
  <c r="M119" i="30"/>
  <c r="M126" i="30"/>
  <c r="M135" i="30"/>
  <c r="M142" i="30"/>
  <c r="M149" i="30"/>
  <c r="M154" i="30"/>
  <c r="M108" i="30"/>
  <c r="M117" i="30"/>
  <c r="M124" i="30"/>
  <c r="M133" i="30"/>
  <c r="M140" i="30"/>
  <c r="M147" i="30"/>
  <c r="O328" i="30"/>
  <c r="O335" i="30"/>
  <c r="O344" i="30"/>
  <c r="O326" i="30"/>
  <c r="O333" i="30"/>
  <c r="O342" i="30"/>
  <c r="O324" i="30"/>
  <c r="O331" i="30"/>
  <c r="O340" i="30"/>
  <c r="O347" i="30"/>
  <c r="O329" i="30"/>
  <c r="O338" i="30"/>
  <c r="O345" i="30"/>
  <c r="O327" i="30"/>
  <c r="O336" i="30"/>
  <c r="O343" i="30"/>
  <c r="O325" i="30"/>
  <c r="O334" i="30"/>
  <c r="O341" i="30"/>
  <c r="O332" i="30"/>
  <c r="O339" i="30"/>
  <c r="O348" i="30"/>
  <c r="O330" i="30"/>
  <c r="O337" i="30"/>
  <c r="O346" i="30"/>
  <c r="O359" i="30"/>
  <c r="O368" i="30"/>
  <c r="O380" i="30"/>
  <c r="O390" i="30"/>
  <c r="O397" i="30"/>
  <c r="O352" i="30"/>
  <c r="O357" i="30"/>
  <c r="O366" i="30"/>
  <c r="O371" i="30"/>
  <c r="O378" i="30"/>
  <c r="O385" i="30"/>
  <c r="O395" i="30"/>
  <c r="O350" i="30"/>
  <c r="O355" i="30"/>
  <c r="O364" i="30"/>
  <c r="O376" i="30"/>
  <c r="O383" i="30"/>
  <c r="O388" i="30"/>
  <c r="O393" i="30"/>
  <c r="O362" i="30"/>
  <c r="O369" i="30"/>
  <c r="O374" i="30"/>
  <c r="O381" i="30"/>
  <c r="O391" i="30"/>
  <c r="O353" i="30"/>
  <c r="O360" i="30"/>
  <c r="O367" i="30"/>
  <c r="O372" i="30"/>
  <c r="O379" i="30"/>
  <c r="O386" i="30"/>
  <c r="O351" i="30"/>
  <c r="O358" i="30"/>
  <c r="O365" i="30"/>
  <c r="O377" i="30"/>
  <c r="O389" i="30"/>
  <c r="O396" i="30"/>
  <c r="O349" i="30"/>
  <c r="O356" i="30"/>
  <c r="O363" i="30"/>
  <c r="O370" i="30"/>
  <c r="O375" i="30"/>
  <c r="O384" i="30"/>
  <c r="O394" i="30"/>
  <c r="O354" i="30"/>
  <c r="O361" i="30"/>
  <c r="O373" i="30"/>
  <c r="O382" i="30"/>
  <c r="O387" i="30"/>
  <c r="O392" i="30"/>
  <c r="O323" i="30"/>
  <c r="Q332" i="30"/>
  <c r="Q339" i="30"/>
  <c r="Q348" i="30"/>
  <c r="Q330" i="30"/>
  <c r="Q337" i="30"/>
  <c r="Q346" i="30"/>
  <c r="Q328" i="30"/>
  <c r="Q335" i="30"/>
  <c r="Q344" i="30"/>
  <c r="Q326" i="30"/>
  <c r="Q333" i="30"/>
  <c r="Q342" i="30"/>
  <c r="Q324" i="30"/>
  <c r="Q331" i="30"/>
  <c r="Q340" i="30"/>
  <c r="Q347" i="30"/>
  <c r="Q329" i="30"/>
  <c r="Q338" i="30"/>
  <c r="Q345" i="30"/>
  <c r="Q327" i="30"/>
  <c r="Q336" i="30"/>
  <c r="Q343" i="30"/>
  <c r="Q325" i="30"/>
  <c r="Q334" i="30"/>
  <c r="Q341" i="30"/>
  <c r="Q349" i="30"/>
  <c r="Q356" i="30"/>
  <c r="Q363" i="30"/>
  <c r="Q370" i="30"/>
  <c r="Q375" i="30"/>
  <c r="Q384" i="30"/>
  <c r="Q394" i="30"/>
  <c r="Q354" i="30"/>
  <c r="Q361" i="30"/>
  <c r="Q373" i="30"/>
  <c r="Q382" i="30"/>
  <c r="Q387" i="30"/>
  <c r="Q392" i="30"/>
  <c r="Q359" i="30"/>
  <c r="Q368" i="30"/>
  <c r="Q380" i="30"/>
  <c r="Q390" i="30"/>
  <c r="Q397" i="30"/>
  <c r="Q352" i="30"/>
  <c r="Q357" i="30"/>
  <c r="Q366" i="30"/>
  <c r="Q371" i="30"/>
  <c r="Q378" i="30"/>
  <c r="Q385" i="30"/>
  <c r="Q395" i="30"/>
  <c r="Q350" i="30"/>
  <c r="Q355" i="30"/>
  <c r="Q364" i="30"/>
  <c r="Q376" i="30"/>
  <c r="Q383" i="30"/>
  <c r="Q388" i="30"/>
  <c r="Q393" i="30"/>
  <c r="Q362" i="30"/>
  <c r="Q369" i="30"/>
  <c r="Q374" i="30"/>
  <c r="Q381" i="30"/>
  <c r="Q391" i="30"/>
  <c r="Q353" i="30"/>
  <c r="Q360" i="30"/>
  <c r="Q367" i="30"/>
  <c r="Q372" i="30"/>
  <c r="Q379" i="30"/>
  <c r="Q386" i="30"/>
  <c r="Q351" i="30"/>
  <c r="Q358" i="30"/>
  <c r="Q365" i="30"/>
  <c r="Q377" i="30"/>
  <c r="Q389" i="30"/>
  <c r="Q396" i="30"/>
  <c r="Q323" i="30"/>
  <c r="K509" i="30"/>
  <c r="K514" i="30"/>
  <c r="K519" i="30"/>
  <c r="K524" i="30"/>
  <c r="K507" i="30"/>
  <c r="K517" i="30"/>
  <c r="K522" i="30"/>
  <c r="K512" i="30"/>
  <c r="K505" i="30"/>
  <c r="K510" i="30"/>
  <c r="K515" i="30"/>
  <c r="K520" i="30"/>
  <c r="K508" i="30"/>
  <c r="K523" i="30"/>
  <c r="K513" i="30"/>
  <c r="K518" i="30"/>
  <c r="K506" i="30"/>
  <c r="K511" i="30"/>
  <c r="K516" i="30"/>
  <c r="K521" i="30"/>
  <c r="K111" i="30"/>
  <c r="K118" i="30"/>
  <c r="K127" i="30"/>
  <c r="K134" i="30"/>
  <c r="K143" i="30"/>
  <c r="K148" i="30"/>
  <c r="K155" i="30"/>
  <c r="K100" i="30"/>
  <c r="K109" i="30"/>
  <c r="K116" i="30"/>
  <c r="K125" i="30"/>
  <c r="K132" i="30"/>
  <c r="K141" i="30"/>
  <c r="K153" i="30"/>
  <c r="K160" i="30"/>
  <c r="K107" i="30"/>
  <c r="K114" i="30"/>
  <c r="K123" i="30"/>
  <c r="K130" i="30"/>
  <c r="K139" i="30"/>
  <c r="K146" i="30"/>
  <c r="K158" i="30"/>
  <c r="K112" i="30"/>
  <c r="K121" i="30"/>
  <c r="K128" i="30"/>
  <c r="K137" i="30"/>
  <c r="K144" i="30"/>
  <c r="K151" i="30"/>
  <c r="K156" i="30"/>
  <c r="K110" i="30"/>
  <c r="K119" i="30"/>
  <c r="K126" i="30"/>
  <c r="K135" i="30"/>
  <c r="K142" i="30"/>
  <c r="K149" i="30"/>
  <c r="K154" i="30"/>
  <c r="K108" i="30"/>
  <c r="K117" i="30"/>
  <c r="K124" i="30"/>
  <c r="K133" i="30"/>
  <c r="K140" i="30"/>
  <c r="K147" i="30"/>
  <c r="K106" i="30"/>
  <c r="K115" i="30"/>
  <c r="K122" i="30"/>
  <c r="K131" i="30"/>
  <c r="K138" i="30"/>
  <c r="K152" i="30"/>
  <c r="K159" i="30"/>
  <c r="K113" i="30"/>
  <c r="K120" i="30"/>
  <c r="K129" i="30"/>
  <c r="K136" i="30"/>
  <c r="K145" i="30"/>
  <c r="K150" i="30"/>
  <c r="K157" i="30"/>
  <c r="F27" i="46"/>
  <c r="F38" i="43"/>
  <c r="F20" i="46"/>
  <c r="F31" i="43"/>
  <c r="F77" i="46"/>
  <c r="F88" i="43"/>
  <c r="F30" i="46"/>
  <c r="F41" i="43"/>
  <c r="F70" i="46"/>
  <c r="F81" i="43"/>
  <c r="F39" i="46"/>
  <c r="F50" i="43"/>
  <c r="F79" i="46"/>
  <c r="F90" i="43"/>
  <c r="F24" i="46"/>
  <c r="F35" i="43"/>
  <c r="F81" i="46"/>
  <c r="F92" i="43"/>
  <c r="F18" i="46"/>
  <c r="F29" i="43"/>
  <c r="F82" i="46"/>
  <c r="F93" i="43"/>
  <c r="D77" i="17"/>
  <c r="D155" i="17" s="1"/>
  <c r="D88" i="43"/>
  <c r="D322" i="43" s="1"/>
  <c r="D62" i="17"/>
  <c r="D218" i="17" s="1"/>
  <c r="D73" i="43"/>
  <c r="D307" i="43" s="1"/>
  <c r="E79" i="17"/>
  <c r="E157" i="17" s="1"/>
  <c r="E90" i="43"/>
  <c r="E324" i="43" s="1"/>
  <c r="E64" i="17"/>
  <c r="E142" i="17" s="1"/>
  <c r="E75" i="43"/>
  <c r="E309" i="43" s="1"/>
  <c r="M324" i="30"/>
  <c r="M331" i="30"/>
  <c r="M340" i="30"/>
  <c r="M347" i="30"/>
  <c r="M329" i="30"/>
  <c r="M338" i="30"/>
  <c r="M345" i="30"/>
  <c r="M327" i="30"/>
  <c r="M336" i="30"/>
  <c r="M343" i="30"/>
  <c r="M325" i="30"/>
  <c r="M334" i="30"/>
  <c r="M341" i="30"/>
  <c r="M332" i="30"/>
  <c r="M339" i="30"/>
  <c r="M348" i="30"/>
  <c r="M330" i="30"/>
  <c r="M337" i="30"/>
  <c r="M346" i="30"/>
  <c r="M328" i="30"/>
  <c r="M335" i="30"/>
  <c r="M344" i="30"/>
  <c r="M326" i="30"/>
  <c r="M333" i="30"/>
  <c r="M342" i="30"/>
  <c r="M350" i="30"/>
  <c r="M355" i="30"/>
  <c r="M364" i="30"/>
  <c r="M376" i="30"/>
  <c r="M383" i="30"/>
  <c r="M388" i="30"/>
  <c r="M393" i="30"/>
  <c r="M362" i="30"/>
  <c r="M369" i="30"/>
  <c r="M374" i="30"/>
  <c r="M381" i="30"/>
  <c r="M391" i="30"/>
  <c r="M353" i="30"/>
  <c r="M360" i="30"/>
  <c r="M367" i="30"/>
  <c r="M372" i="30"/>
  <c r="M379" i="30"/>
  <c r="M386" i="30"/>
  <c r="M351" i="30"/>
  <c r="M358" i="30"/>
  <c r="M365" i="30"/>
  <c r="M377" i="30"/>
  <c r="M389" i="30"/>
  <c r="M396" i="30"/>
  <c r="M349" i="30"/>
  <c r="M356" i="30"/>
  <c r="M363" i="30"/>
  <c r="M370" i="30"/>
  <c r="M375" i="30"/>
  <c r="M384" i="30"/>
  <c r="M394" i="30"/>
  <c r="M354" i="30"/>
  <c r="M361" i="30"/>
  <c r="M373" i="30"/>
  <c r="M382" i="30"/>
  <c r="M387" i="30"/>
  <c r="M392" i="30"/>
  <c r="M359" i="30"/>
  <c r="M368" i="30"/>
  <c r="M380" i="30"/>
  <c r="M390" i="30"/>
  <c r="M397" i="30"/>
  <c r="M352" i="30"/>
  <c r="M357" i="30"/>
  <c r="M366" i="30"/>
  <c r="M371" i="30"/>
  <c r="M378" i="30"/>
  <c r="M385" i="30"/>
  <c r="M395" i="30"/>
  <c r="M323" i="30"/>
  <c r="Q108" i="29"/>
  <c r="Q117" i="29"/>
  <c r="Q124" i="29"/>
  <c r="Q133" i="29"/>
  <c r="Q138" i="29"/>
  <c r="Q147" i="29"/>
  <c r="Q152" i="29"/>
  <c r="Q106" i="29"/>
  <c r="Q115" i="29"/>
  <c r="Q122" i="29"/>
  <c r="Q131" i="29"/>
  <c r="Q136" i="29"/>
  <c r="Q145" i="29"/>
  <c r="Q159" i="29"/>
  <c r="Q113" i="29"/>
  <c r="Q120" i="29"/>
  <c r="Q129" i="29"/>
  <c r="Q143" i="29"/>
  <c r="Q150" i="29"/>
  <c r="Q157" i="29"/>
  <c r="Q111" i="29"/>
  <c r="Q118" i="29"/>
  <c r="Q127" i="29"/>
  <c r="Q134" i="29"/>
  <c r="Q141" i="29"/>
  <c r="Q148" i="29"/>
  <c r="Q155" i="29"/>
  <c r="Q109" i="29"/>
  <c r="Q116" i="29"/>
  <c r="Q125" i="29"/>
  <c r="Q132" i="29"/>
  <c r="Q139" i="29"/>
  <c r="Q146" i="29"/>
  <c r="Q153" i="29"/>
  <c r="Q160" i="29"/>
  <c r="Q107" i="29"/>
  <c r="Q114" i="29"/>
  <c r="Q123" i="29"/>
  <c r="Q130" i="29"/>
  <c r="Q137" i="29"/>
  <c r="Q144" i="29"/>
  <c r="Q151" i="29"/>
  <c r="Q158" i="29"/>
  <c r="Q112" i="29"/>
  <c r="Q121" i="29"/>
  <c r="Q128" i="29"/>
  <c r="Q135" i="29"/>
  <c r="Q142" i="29"/>
  <c r="Q156" i="29"/>
  <c r="Q110" i="29"/>
  <c r="Q119" i="29"/>
  <c r="Q126" i="29"/>
  <c r="Q140" i="29"/>
  <c r="Q149" i="29"/>
  <c r="Q154" i="29"/>
  <c r="F44" i="46"/>
  <c r="F55" i="43"/>
  <c r="F48" i="46"/>
  <c r="F59" i="43"/>
  <c r="F41" i="46"/>
  <c r="F52" i="43"/>
  <c r="F53" i="43"/>
  <c r="F42" i="46"/>
  <c r="K178" i="29"/>
  <c r="K197" i="29"/>
  <c r="K216" i="29"/>
  <c r="K179" i="29"/>
  <c r="K198" i="29"/>
  <c r="K225" i="29"/>
  <c r="K199" i="29"/>
  <c r="V203" i="29"/>
  <c r="V222" i="29"/>
  <c r="V185" i="29"/>
  <c r="V204" i="29"/>
  <c r="V223" i="29"/>
  <c r="V186" i="29"/>
  <c r="V205" i="29"/>
  <c r="V224" i="29"/>
  <c r="Q228" i="29"/>
  <c r="Q183" i="29"/>
  <c r="Q210" i="29"/>
  <c r="Q229" i="29"/>
  <c r="Q184" i="29"/>
  <c r="Q211" i="29"/>
  <c r="Q230" i="29"/>
  <c r="Q175" i="29"/>
  <c r="Q193" i="29"/>
  <c r="O230" i="29"/>
  <c r="O175" i="29"/>
  <c r="O193" i="29"/>
  <c r="O212" i="29"/>
  <c r="O231" i="29"/>
  <c r="O194" i="29"/>
  <c r="O213" i="29"/>
  <c r="O232" i="29"/>
  <c r="O168" i="29"/>
  <c r="O203" i="29"/>
  <c r="T107" i="29"/>
  <c r="T114" i="29"/>
  <c r="T123" i="29"/>
  <c r="T130" i="29"/>
  <c r="T137" i="29"/>
  <c r="T144" i="29"/>
  <c r="T151" i="29"/>
  <c r="T158" i="29"/>
  <c r="T112" i="29"/>
  <c r="T121" i="29"/>
  <c r="T128" i="29"/>
  <c r="T135" i="29"/>
  <c r="T142" i="29"/>
  <c r="T156" i="29"/>
  <c r="T110" i="29"/>
  <c r="T119" i="29"/>
  <c r="T126" i="29"/>
  <c r="T140" i="29"/>
  <c r="T149" i="29"/>
  <c r="T154" i="29"/>
  <c r="T108" i="29"/>
  <c r="T117" i="29"/>
  <c r="T124" i="29"/>
  <c r="T133" i="29"/>
  <c r="T138" i="29"/>
  <c r="T147" i="29"/>
  <c r="T152" i="29"/>
  <c r="T106" i="29"/>
  <c r="T115" i="29"/>
  <c r="T122" i="29"/>
  <c r="T131" i="29"/>
  <c r="T136" i="29"/>
  <c r="T145" i="29"/>
  <c r="T159" i="29"/>
  <c r="T113" i="29"/>
  <c r="T120" i="29"/>
  <c r="T129" i="29"/>
  <c r="T143" i="29"/>
  <c r="T150" i="29"/>
  <c r="T157" i="29"/>
  <c r="T111" i="29"/>
  <c r="T118" i="29"/>
  <c r="T127" i="29"/>
  <c r="T134" i="29"/>
  <c r="T141" i="29"/>
  <c r="T148" i="29"/>
  <c r="T155" i="29"/>
  <c r="T109" i="29"/>
  <c r="T116" i="29"/>
  <c r="T125" i="29"/>
  <c r="T132" i="29"/>
  <c r="T139" i="29"/>
  <c r="T146" i="29"/>
  <c r="T153" i="29"/>
  <c r="T160" i="29"/>
  <c r="D53" i="17"/>
  <c r="D131" i="17" s="1"/>
  <c r="D64" i="43"/>
  <c r="D298" i="43" s="1"/>
  <c r="G61" i="17"/>
  <c r="G139" i="17" s="1"/>
  <c r="E77" i="17"/>
  <c r="E155" i="17" s="1"/>
  <c r="E88" i="43"/>
  <c r="G47" i="17"/>
  <c r="E55" i="17"/>
  <c r="E133" i="17" s="1"/>
  <c r="E66" i="43"/>
  <c r="E300" i="43" s="1"/>
  <c r="E63" i="17"/>
  <c r="E141" i="17" s="1"/>
  <c r="E74" i="43"/>
  <c r="E308" i="43" s="1"/>
  <c r="E71" i="17"/>
  <c r="E149" i="17" s="1"/>
  <c r="E82" i="43"/>
  <c r="E316" i="43" s="1"/>
  <c r="D79" i="17"/>
  <c r="D90" i="43"/>
  <c r="E48" i="17"/>
  <c r="E126" i="17" s="1"/>
  <c r="E59" i="43"/>
  <c r="E293" i="43" s="1"/>
  <c r="D56" i="17"/>
  <c r="D134" i="17" s="1"/>
  <c r="D67" i="43"/>
  <c r="D301" i="43" s="1"/>
  <c r="D64" i="17"/>
  <c r="D142" i="17" s="1"/>
  <c r="D75" i="43"/>
  <c r="D309" i="43" s="1"/>
  <c r="D80" i="17"/>
  <c r="D91" i="43"/>
  <c r="L107" i="29"/>
  <c r="L114" i="29"/>
  <c r="L123" i="29"/>
  <c r="L130" i="29"/>
  <c r="L137" i="29"/>
  <c r="L144" i="29"/>
  <c r="L151" i="29"/>
  <c r="L158" i="29"/>
  <c r="L112" i="29"/>
  <c r="L121" i="29"/>
  <c r="L128" i="29"/>
  <c r="L135" i="29"/>
  <c r="L142" i="29"/>
  <c r="L156" i="29"/>
  <c r="L110" i="29"/>
  <c r="L119" i="29"/>
  <c r="L126" i="29"/>
  <c r="L140" i="29"/>
  <c r="L149" i="29"/>
  <c r="L154" i="29"/>
  <c r="L108" i="29"/>
  <c r="L117" i="29"/>
  <c r="L124" i="29"/>
  <c r="L133" i="29"/>
  <c r="L138" i="29"/>
  <c r="L147" i="29"/>
  <c r="L152" i="29"/>
  <c r="L106" i="29"/>
  <c r="L115" i="29"/>
  <c r="L122" i="29"/>
  <c r="L131" i="29"/>
  <c r="L136" i="29"/>
  <c r="L145" i="29"/>
  <c r="L159" i="29"/>
  <c r="L113" i="29"/>
  <c r="L120" i="29"/>
  <c r="L129" i="29"/>
  <c r="L143" i="29"/>
  <c r="L150" i="29"/>
  <c r="L157" i="29"/>
  <c r="L111" i="29"/>
  <c r="L118" i="29"/>
  <c r="L127" i="29"/>
  <c r="L134" i="29"/>
  <c r="L141" i="29"/>
  <c r="L148" i="29"/>
  <c r="L155" i="29"/>
  <c r="L109" i="29"/>
  <c r="L116" i="29"/>
  <c r="L125" i="29"/>
  <c r="L132" i="29"/>
  <c r="L139" i="29"/>
  <c r="L146" i="29"/>
  <c r="L153" i="29"/>
  <c r="L160" i="29"/>
  <c r="W328" i="30"/>
  <c r="W335" i="30"/>
  <c r="W344" i="30"/>
  <c r="W326" i="30"/>
  <c r="W333" i="30"/>
  <c r="W342" i="30"/>
  <c r="W324" i="30"/>
  <c r="W331" i="30"/>
  <c r="W340" i="30"/>
  <c r="W347" i="30"/>
  <c r="W329" i="30"/>
  <c r="W338" i="30"/>
  <c r="W345" i="30"/>
  <c r="W327" i="30"/>
  <c r="W336" i="30"/>
  <c r="W343" i="30"/>
  <c r="W325" i="30"/>
  <c r="W334" i="30"/>
  <c r="W341" i="30"/>
  <c r="W332" i="30"/>
  <c r="W339" i="30"/>
  <c r="W348" i="30"/>
  <c r="W330" i="30"/>
  <c r="W337" i="30"/>
  <c r="W346" i="30"/>
  <c r="W359" i="30"/>
  <c r="W368" i="30"/>
  <c r="W380" i="30"/>
  <c r="W390" i="30"/>
  <c r="W397" i="30"/>
  <c r="W352" i="30"/>
  <c r="W357" i="30"/>
  <c r="W366" i="30"/>
  <c r="W371" i="30"/>
  <c r="W378" i="30"/>
  <c r="W385" i="30"/>
  <c r="W395" i="30"/>
  <c r="W350" i="30"/>
  <c r="W355" i="30"/>
  <c r="W364" i="30"/>
  <c r="W376" i="30"/>
  <c r="W383" i="30"/>
  <c r="W388" i="30"/>
  <c r="W393" i="30"/>
  <c r="W362" i="30"/>
  <c r="W369" i="30"/>
  <c r="W374" i="30"/>
  <c r="W381" i="30"/>
  <c r="W391" i="30"/>
  <c r="W353" i="30"/>
  <c r="W360" i="30"/>
  <c r="W367" i="30"/>
  <c r="W372" i="30"/>
  <c r="W379" i="30"/>
  <c r="W386" i="30"/>
  <c r="W351" i="30"/>
  <c r="W358" i="30"/>
  <c r="W365" i="30"/>
  <c r="W377" i="30"/>
  <c r="W389" i="30"/>
  <c r="W396" i="30"/>
  <c r="W349" i="30"/>
  <c r="W356" i="30"/>
  <c r="W363" i="30"/>
  <c r="W370" i="30"/>
  <c r="W375" i="30"/>
  <c r="W384" i="30"/>
  <c r="W394" i="30"/>
  <c r="W354" i="30"/>
  <c r="W361" i="30"/>
  <c r="W373" i="30"/>
  <c r="W382" i="30"/>
  <c r="W387" i="30"/>
  <c r="W392" i="30"/>
  <c r="W323" i="30"/>
  <c r="P330" i="30"/>
  <c r="P337" i="30"/>
  <c r="P346" i="30"/>
  <c r="P328" i="30"/>
  <c r="P335" i="30"/>
  <c r="P344" i="30"/>
  <c r="P326" i="30"/>
  <c r="P333" i="30"/>
  <c r="P342" i="30"/>
  <c r="P324" i="30"/>
  <c r="P331" i="30"/>
  <c r="P340" i="30"/>
  <c r="P347" i="30"/>
  <c r="P329" i="30"/>
  <c r="P338" i="30"/>
  <c r="P345" i="30"/>
  <c r="P327" i="30"/>
  <c r="P336" i="30"/>
  <c r="P343" i="30"/>
  <c r="P325" i="30"/>
  <c r="P334" i="30"/>
  <c r="P341" i="30"/>
  <c r="P332" i="30"/>
  <c r="P339" i="30"/>
  <c r="P348" i="30"/>
  <c r="P354" i="30"/>
  <c r="P361" i="30"/>
  <c r="P373" i="30"/>
  <c r="P382" i="30"/>
  <c r="P387" i="30"/>
  <c r="P392" i="30"/>
  <c r="P359" i="30"/>
  <c r="P368" i="30"/>
  <c r="P380" i="30"/>
  <c r="P390" i="30"/>
  <c r="P397" i="30"/>
  <c r="P352" i="30"/>
  <c r="P357" i="30"/>
  <c r="P366" i="30"/>
  <c r="P371" i="30"/>
  <c r="P378" i="30"/>
  <c r="P385" i="30"/>
  <c r="P395" i="30"/>
  <c r="P350" i="30"/>
  <c r="P355" i="30"/>
  <c r="P364" i="30"/>
  <c r="P376" i="30"/>
  <c r="P383" i="30"/>
  <c r="P388" i="30"/>
  <c r="P393" i="30"/>
  <c r="P362" i="30"/>
  <c r="P369" i="30"/>
  <c r="P374" i="30"/>
  <c r="P381" i="30"/>
  <c r="P391" i="30"/>
  <c r="P353" i="30"/>
  <c r="P360" i="30"/>
  <c r="P367" i="30"/>
  <c r="P372" i="30"/>
  <c r="P379" i="30"/>
  <c r="P386" i="30"/>
  <c r="P351" i="30"/>
  <c r="P358" i="30"/>
  <c r="P365" i="30"/>
  <c r="P377" i="30"/>
  <c r="P389" i="30"/>
  <c r="P396" i="30"/>
  <c r="P349" i="30"/>
  <c r="P356" i="30"/>
  <c r="P363" i="30"/>
  <c r="P370" i="30"/>
  <c r="P375" i="30"/>
  <c r="P384" i="30"/>
  <c r="P394" i="30"/>
  <c r="P323" i="30"/>
  <c r="J514" i="30"/>
  <c r="J519" i="30"/>
  <c r="J524" i="30"/>
  <c r="J507" i="30"/>
  <c r="J517" i="30"/>
  <c r="J522" i="30"/>
  <c r="J512" i="30"/>
  <c r="J505" i="30"/>
  <c r="J510" i="30"/>
  <c r="J515" i="30"/>
  <c r="J520" i="30"/>
  <c r="J508" i="30"/>
  <c r="J523" i="30"/>
  <c r="J513" i="30"/>
  <c r="J518" i="30"/>
  <c r="J506" i="30"/>
  <c r="J511" i="30"/>
  <c r="J516" i="30"/>
  <c r="J521" i="30"/>
  <c r="J509" i="30"/>
  <c r="J100" i="30"/>
  <c r="J109" i="30"/>
  <c r="J116" i="30"/>
  <c r="J125" i="30"/>
  <c r="J132" i="30"/>
  <c r="J141" i="30"/>
  <c r="J153" i="30"/>
  <c r="J160" i="30"/>
  <c r="J107" i="30"/>
  <c r="J114" i="30"/>
  <c r="J123" i="30"/>
  <c r="J130" i="30"/>
  <c r="J139" i="30"/>
  <c r="J146" i="30"/>
  <c r="J158" i="30"/>
  <c r="J112" i="30"/>
  <c r="J121" i="30"/>
  <c r="J128" i="30"/>
  <c r="J137" i="30"/>
  <c r="J144" i="30"/>
  <c r="J151" i="30"/>
  <c r="J156" i="30"/>
  <c r="J110" i="30"/>
  <c r="J119" i="30"/>
  <c r="J126" i="30"/>
  <c r="J135" i="30"/>
  <c r="J142" i="30"/>
  <c r="J149" i="30"/>
  <c r="J154" i="30"/>
  <c r="J108" i="30"/>
  <c r="J117" i="30"/>
  <c r="J124" i="30"/>
  <c r="J133" i="30"/>
  <c r="J140" i="30"/>
  <c r="J147" i="30"/>
  <c r="J106" i="30"/>
  <c r="J115" i="30"/>
  <c r="J122" i="30"/>
  <c r="J131" i="30"/>
  <c r="J138" i="30"/>
  <c r="J152" i="30"/>
  <c r="J159" i="30"/>
  <c r="J113" i="30"/>
  <c r="J120" i="30"/>
  <c r="J129" i="30"/>
  <c r="J136" i="30"/>
  <c r="J145" i="30"/>
  <c r="J150" i="30"/>
  <c r="J157" i="30"/>
  <c r="J111" i="30"/>
  <c r="J118" i="30"/>
  <c r="J127" i="30"/>
  <c r="J134" i="30"/>
  <c r="J143" i="30"/>
  <c r="J148" i="30"/>
  <c r="J155" i="30"/>
  <c r="S509" i="30"/>
  <c r="S514" i="30"/>
  <c r="S519" i="30"/>
  <c r="S524" i="30"/>
  <c r="S507" i="30"/>
  <c r="S517" i="30"/>
  <c r="S522" i="30"/>
  <c r="S512" i="30"/>
  <c r="S505" i="30"/>
  <c r="S510" i="30"/>
  <c r="S515" i="30"/>
  <c r="S520" i="30"/>
  <c r="S508" i="30"/>
  <c r="S523" i="30"/>
  <c r="S513" i="30"/>
  <c r="S518" i="30"/>
  <c r="S506" i="30"/>
  <c r="S511" i="30"/>
  <c r="S516" i="30"/>
  <c r="S521" i="30"/>
  <c r="S111" i="30"/>
  <c r="S118" i="30"/>
  <c r="S127" i="30"/>
  <c r="S134" i="30"/>
  <c r="S143" i="30"/>
  <c r="S148" i="30"/>
  <c r="S155" i="30"/>
  <c r="S100" i="30"/>
  <c r="S109" i="30"/>
  <c r="S116" i="30"/>
  <c r="S125" i="30"/>
  <c r="S132" i="30"/>
  <c r="S141" i="30"/>
  <c r="S153" i="30"/>
  <c r="S160" i="30"/>
  <c r="S107" i="30"/>
  <c r="S114" i="30"/>
  <c r="S123" i="30"/>
  <c r="S130" i="30"/>
  <c r="S139" i="30"/>
  <c r="S146" i="30"/>
  <c r="S158" i="30"/>
  <c r="S112" i="30"/>
  <c r="S121" i="30"/>
  <c r="S128" i="30"/>
  <c r="S137" i="30"/>
  <c r="S144" i="30"/>
  <c r="S151" i="30"/>
  <c r="S156" i="30"/>
  <c r="S110" i="30"/>
  <c r="S119" i="30"/>
  <c r="S126" i="30"/>
  <c r="S135" i="30"/>
  <c r="S142" i="30"/>
  <c r="S149" i="30"/>
  <c r="S154" i="30"/>
  <c r="S108" i="30"/>
  <c r="S117" i="30"/>
  <c r="S124" i="30"/>
  <c r="S133" i="30"/>
  <c r="S140" i="30"/>
  <c r="S147" i="30"/>
  <c r="S106" i="30"/>
  <c r="S115" i="30"/>
  <c r="S122" i="30"/>
  <c r="S131" i="30"/>
  <c r="S138" i="30"/>
  <c r="S152" i="30"/>
  <c r="S159" i="30"/>
  <c r="S113" i="30"/>
  <c r="S120" i="30"/>
  <c r="S129" i="30"/>
  <c r="S136" i="30"/>
  <c r="S145" i="30"/>
  <c r="S150" i="30"/>
  <c r="S157" i="30"/>
  <c r="F11" i="46"/>
  <c r="F22" i="43"/>
  <c r="F75" i="46"/>
  <c r="F86" i="43"/>
  <c r="F68" i="46"/>
  <c r="F79" i="43"/>
  <c r="F21" i="46"/>
  <c r="F32" i="43"/>
  <c r="F61" i="46"/>
  <c r="F72" i="43"/>
  <c r="F14" i="46"/>
  <c r="F25" i="43"/>
  <c r="G78" i="17"/>
  <c r="G156" i="17" s="1"/>
  <c r="G89" i="43"/>
  <c r="G323" i="43" s="1"/>
  <c r="F23" i="46"/>
  <c r="F34" i="43"/>
  <c r="F63" i="46"/>
  <c r="F74" i="43"/>
  <c r="F8" i="46"/>
  <c r="F19" i="43"/>
  <c r="F72" i="46"/>
  <c r="F83" i="43"/>
  <c r="F25" i="46"/>
  <c r="F36" i="43"/>
  <c r="F65" i="46"/>
  <c r="F76" i="43"/>
  <c r="Y242" i="18"/>
  <c r="D69" i="17"/>
  <c r="D225" i="17" s="1"/>
  <c r="D80" i="43"/>
  <c r="D314" i="43" s="1"/>
  <c r="D54" i="17"/>
  <c r="D132" i="17" s="1"/>
  <c r="D65" i="43"/>
  <c r="D299" i="43" s="1"/>
  <c r="E80" i="17"/>
  <c r="E158" i="17" s="1"/>
  <c r="E91" i="43"/>
  <c r="E325" i="43" s="1"/>
  <c r="O113" i="29"/>
  <c r="O120" i="29"/>
  <c r="O129" i="29"/>
  <c r="O143" i="29"/>
  <c r="O150" i="29"/>
  <c r="O157" i="29"/>
  <c r="O111" i="29"/>
  <c r="O118" i="29"/>
  <c r="O127" i="29"/>
  <c r="O134" i="29"/>
  <c r="O141" i="29"/>
  <c r="O148" i="29"/>
  <c r="O155" i="29"/>
  <c r="O109" i="29"/>
  <c r="O116" i="29"/>
  <c r="O125" i="29"/>
  <c r="O132" i="29"/>
  <c r="O139" i="29"/>
  <c r="O146" i="29"/>
  <c r="O153" i="29"/>
  <c r="O160" i="29"/>
  <c r="O107" i="29"/>
  <c r="O114" i="29"/>
  <c r="O123" i="29"/>
  <c r="O130" i="29"/>
  <c r="O137" i="29"/>
  <c r="O144" i="29"/>
  <c r="O151" i="29"/>
  <c r="O158" i="29"/>
  <c r="O112" i="29"/>
  <c r="O121" i="29"/>
  <c r="O128" i="29"/>
  <c r="O135" i="29"/>
  <c r="O142" i="29"/>
  <c r="O156" i="29"/>
  <c r="O110" i="29"/>
  <c r="O119" i="29"/>
  <c r="O126" i="29"/>
  <c r="O140" i="29"/>
  <c r="O149" i="29"/>
  <c r="O154" i="29"/>
  <c r="O108" i="29"/>
  <c r="O117" i="29"/>
  <c r="O124" i="29"/>
  <c r="O133" i="29"/>
  <c r="O138" i="29"/>
  <c r="O147" i="29"/>
  <c r="O152" i="29"/>
  <c r="O106" i="29"/>
  <c r="O115" i="29"/>
  <c r="O122" i="29"/>
  <c r="O131" i="29"/>
  <c r="O136" i="29"/>
  <c r="O145" i="29"/>
  <c r="O159" i="29"/>
  <c r="F51" i="46"/>
  <c r="F62" i="43"/>
  <c r="F37" i="46"/>
  <c r="F48" i="43"/>
  <c r="K234" i="29"/>
  <c r="K208" i="29"/>
  <c r="K190" i="29"/>
  <c r="K172" i="29"/>
  <c r="Q202" i="29"/>
  <c r="Q203" i="29"/>
  <c r="Q185" i="29"/>
  <c r="O222" i="29"/>
  <c r="O185" i="29"/>
  <c r="O223" i="29"/>
  <c r="O205" i="29"/>
  <c r="O166" i="29"/>
  <c r="E53" i="17"/>
  <c r="E131" i="17" s="1"/>
  <c r="E64" i="43"/>
  <c r="E298" i="43" s="1"/>
  <c r="E61" i="17"/>
  <c r="E139" i="17" s="1"/>
  <c r="E72" i="43"/>
  <c r="E306" i="43" s="1"/>
  <c r="E69" i="17"/>
  <c r="E225" i="17" s="1"/>
  <c r="E80" i="43"/>
  <c r="E314" i="43" s="1"/>
  <c r="E47" i="17"/>
  <c r="E125" i="17" s="1"/>
  <c r="E58" i="43"/>
  <c r="E292" i="43" s="1"/>
  <c r="D55" i="17"/>
  <c r="D133" i="17" s="1"/>
  <c r="D66" i="43"/>
  <c r="D300" i="43" s="1"/>
  <c r="D63" i="17"/>
  <c r="D141" i="17" s="1"/>
  <c r="D74" i="43"/>
  <c r="D308" i="43" s="1"/>
  <c r="D71" i="17"/>
  <c r="D227" i="17" s="1"/>
  <c r="D82" i="43"/>
  <c r="D48" i="17"/>
  <c r="D126" i="17" s="1"/>
  <c r="D59" i="43"/>
  <c r="D293" i="43" s="1"/>
  <c r="T329" i="30"/>
  <c r="T338" i="30"/>
  <c r="T345" i="30"/>
  <c r="T327" i="30"/>
  <c r="T336" i="30"/>
  <c r="T343" i="30"/>
  <c r="T325" i="30"/>
  <c r="T334" i="30"/>
  <c r="T341" i="30"/>
  <c r="T332" i="30"/>
  <c r="T339" i="30"/>
  <c r="T348" i="30"/>
  <c r="T330" i="30"/>
  <c r="T337" i="30"/>
  <c r="T346" i="30"/>
  <c r="T328" i="30"/>
  <c r="T335" i="30"/>
  <c r="T344" i="30"/>
  <c r="T326" i="30"/>
  <c r="T333" i="30"/>
  <c r="T342" i="30"/>
  <c r="T324" i="30"/>
  <c r="T331" i="30"/>
  <c r="T340" i="30"/>
  <c r="T347" i="30"/>
  <c r="T362" i="30"/>
  <c r="T369" i="30"/>
  <c r="T374" i="30"/>
  <c r="T381" i="30"/>
  <c r="T391" i="30"/>
  <c r="T353" i="30"/>
  <c r="T360" i="30"/>
  <c r="T367" i="30"/>
  <c r="T372" i="30"/>
  <c r="T379" i="30"/>
  <c r="T386" i="30"/>
  <c r="T351" i="30"/>
  <c r="T358" i="30"/>
  <c r="T365" i="30"/>
  <c r="T377" i="30"/>
  <c r="T389" i="30"/>
  <c r="T396" i="30"/>
  <c r="T349" i="30"/>
  <c r="T356" i="30"/>
  <c r="T363" i="30"/>
  <c r="T370" i="30"/>
  <c r="T375" i="30"/>
  <c r="T384" i="30"/>
  <c r="T394" i="30"/>
  <c r="T354" i="30"/>
  <c r="T361" i="30"/>
  <c r="T373" i="30"/>
  <c r="T382" i="30"/>
  <c r="T387" i="30"/>
  <c r="T392" i="30"/>
  <c r="T359" i="30"/>
  <c r="T368" i="30"/>
  <c r="T380" i="30"/>
  <c r="T390" i="30"/>
  <c r="T397" i="30"/>
  <c r="T352" i="30"/>
  <c r="T357" i="30"/>
  <c r="T366" i="30"/>
  <c r="T371" i="30"/>
  <c r="T378" i="30"/>
  <c r="T385" i="30"/>
  <c r="T395" i="30"/>
  <c r="T350" i="30"/>
  <c r="T355" i="30"/>
  <c r="T364" i="30"/>
  <c r="T376" i="30"/>
  <c r="T383" i="30"/>
  <c r="T388" i="30"/>
  <c r="T393" i="30"/>
  <c r="T323" i="30"/>
  <c r="W510" i="30"/>
  <c r="W515" i="30"/>
  <c r="W520" i="30"/>
  <c r="W93" i="30"/>
  <c r="W508" i="30"/>
  <c r="W523" i="30"/>
  <c r="W91" i="30"/>
  <c r="W98" i="30"/>
  <c r="W513" i="30"/>
  <c r="W518" i="30"/>
  <c r="W89" i="30"/>
  <c r="W96" i="30"/>
  <c r="W506" i="30"/>
  <c r="W511" i="30"/>
  <c r="W516" i="30"/>
  <c r="W521" i="30"/>
  <c r="W87" i="30"/>
  <c r="W94" i="30"/>
  <c r="W509" i="30"/>
  <c r="W92" i="30"/>
  <c r="W514" i="30"/>
  <c r="W519" i="30"/>
  <c r="W524" i="30"/>
  <c r="W90" i="30"/>
  <c r="W99" i="30"/>
  <c r="W507" i="30"/>
  <c r="W517" i="30"/>
  <c r="W522" i="30"/>
  <c r="W88" i="30"/>
  <c r="W97" i="30"/>
  <c r="W512" i="30"/>
  <c r="W505" i="30"/>
  <c r="W95" i="30"/>
  <c r="W103" i="30"/>
  <c r="W110" i="30"/>
  <c r="W119" i="30"/>
  <c r="W126" i="30"/>
  <c r="W135" i="30"/>
  <c r="W142" i="30"/>
  <c r="W149" i="30"/>
  <c r="W154" i="30"/>
  <c r="W101" i="30"/>
  <c r="W108" i="30"/>
  <c r="W117" i="30"/>
  <c r="W124" i="30"/>
  <c r="W133" i="30"/>
  <c r="W140" i="30"/>
  <c r="W147" i="30"/>
  <c r="W106" i="30"/>
  <c r="W115" i="30"/>
  <c r="W122" i="30"/>
  <c r="W131" i="30"/>
  <c r="W138" i="30"/>
  <c r="W152" i="30"/>
  <c r="W159" i="30"/>
  <c r="W104" i="30"/>
  <c r="W113" i="30"/>
  <c r="W120" i="30"/>
  <c r="W129" i="30"/>
  <c r="W136" i="30"/>
  <c r="W145" i="30"/>
  <c r="W150" i="30"/>
  <c r="W157" i="30"/>
  <c r="W86" i="30"/>
  <c r="W102" i="30"/>
  <c r="W111" i="30"/>
  <c r="W118" i="30"/>
  <c r="W127" i="30"/>
  <c r="W134" i="30"/>
  <c r="W143" i="30"/>
  <c r="W148" i="30"/>
  <c r="W155" i="30"/>
  <c r="W100" i="30"/>
  <c r="W109" i="30"/>
  <c r="W116" i="30"/>
  <c r="W125" i="30"/>
  <c r="W132" i="30"/>
  <c r="W141" i="30"/>
  <c r="W153" i="30"/>
  <c r="W160" i="30"/>
  <c r="W107" i="30"/>
  <c r="W114" i="30"/>
  <c r="W123" i="30"/>
  <c r="W130" i="30"/>
  <c r="W139" i="30"/>
  <c r="W146" i="30"/>
  <c r="W158" i="30"/>
  <c r="W105" i="30"/>
  <c r="W112" i="30"/>
  <c r="W121" i="30"/>
  <c r="W128" i="30"/>
  <c r="W137" i="30"/>
  <c r="W144" i="30"/>
  <c r="W151" i="30"/>
  <c r="W156" i="30"/>
  <c r="P512" i="30"/>
  <c r="P505" i="30"/>
  <c r="P510" i="30"/>
  <c r="P515" i="30"/>
  <c r="P520" i="30"/>
  <c r="P508" i="30"/>
  <c r="P523" i="30"/>
  <c r="P513" i="30"/>
  <c r="P518" i="30"/>
  <c r="P506" i="30"/>
  <c r="P511" i="30"/>
  <c r="P516" i="30"/>
  <c r="P521" i="30"/>
  <c r="P509" i="30"/>
  <c r="P514" i="30"/>
  <c r="P519" i="30"/>
  <c r="P524" i="30"/>
  <c r="P507" i="30"/>
  <c r="P517" i="30"/>
  <c r="P522" i="30"/>
  <c r="P112" i="30"/>
  <c r="P121" i="30"/>
  <c r="P128" i="30"/>
  <c r="P137" i="30"/>
  <c r="P144" i="30"/>
  <c r="P151" i="30"/>
  <c r="P156" i="30"/>
  <c r="P110" i="30"/>
  <c r="P119" i="30"/>
  <c r="P126" i="30"/>
  <c r="P135" i="30"/>
  <c r="P142" i="30"/>
  <c r="P149" i="30"/>
  <c r="P154" i="30"/>
  <c r="P108" i="30"/>
  <c r="P117" i="30"/>
  <c r="P124" i="30"/>
  <c r="P133" i="30"/>
  <c r="P140" i="30"/>
  <c r="P147" i="30"/>
  <c r="P106" i="30"/>
  <c r="P115" i="30"/>
  <c r="P122" i="30"/>
  <c r="P131" i="30"/>
  <c r="P138" i="30"/>
  <c r="P152" i="30"/>
  <c r="P159" i="30"/>
  <c r="P113" i="30"/>
  <c r="P120" i="30"/>
  <c r="P129" i="30"/>
  <c r="P136" i="30"/>
  <c r="P145" i="30"/>
  <c r="P150" i="30"/>
  <c r="P157" i="30"/>
  <c r="P111" i="30"/>
  <c r="P118" i="30"/>
  <c r="P127" i="30"/>
  <c r="P134" i="30"/>
  <c r="P143" i="30"/>
  <c r="P148" i="30"/>
  <c r="P155" i="30"/>
  <c r="P100" i="30"/>
  <c r="P109" i="30"/>
  <c r="P116" i="30"/>
  <c r="P125" i="30"/>
  <c r="P132" i="30"/>
  <c r="P141" i="30"/>
  <c r="P153" i="30"/>
  <c r="P160" i="30"/>
  <c r="P107" i="30"/>
  <c r="P114" i="30"/>
  <c r="P123" i="30"/>
  <c r="P130" i="30"/>
  <c r="P139" i="30"/>
  <c r="P146" i="30"/>
  <c r="P158" i="30"/>
  <c r="J325" i="30"/>
  <c r="J334" i="30"/>
  <c r="J341" i="30"/>
  <c r="J332" i="30"/>
  <c r="J339" i="30"/>
  <c r="J348" i="30"/>
  <c r="J330" i="30"/>
  <c r="J337" i="30"/>
  <c r="J346" i="30"/>
  <c r="J328" i="30"/>
  <c r="J335" i="30"/>
  <c r="J344" i="30"/>
  <c r="J326" i="30"/>
  <c r="J333" i="30"/>
  <c r="J342" i="30"/>
  <c r="J324" i="30"/>
  <c r="J331" i="30"/>
  <c r="J340" i="30"/>
  <c r="J347" i="30"/>
  <c r="J329" i="30"/>
  <c r="J338" i="30"/>
  <c r="J345" i="30"/>
  <c r="J327" i="30"/>
  <c r="J336" i="30"/>
  <c r="J343" i="30"/>
  <c r="J351" i="30"/>
  <c r="J358" i="30"/>
  <c r="J365" i="30"/>
  <c r="J377" i="30"/>
  <c r="J389" i="30"/>
  <c r="J396" i="30"/>
  <c r="J349" i="30"/>
  <c r="J356" i="30"/>
  <c r="J363" i="30"/>
  <c r="J370" i="30"/>
  <c r="J375" i="30"/>
  <c r="J384" i="30"/>
  <c r="J394" i="30"/>
  <c r="J354" i="30"/>
  <c r="J361" i="30"/>
  <c r="J373" i="30"/>
  <c r="J382" i="30"/>
  <c r="J387" i="30"/>
  <c r="J392" i="30"/>
  <c r="J359" i="30"/>
  <c r="J368" i="30"/>
  <c r="J380" i="30"/>
  <c r="J390" i="30"/>
  <c r="J397" i="30"/>
  <c r="J352" i="30"/>
  <c r="J357" i="30"/>
  <c r="J366" i="30"/>
  <c r="J371" i="30"/>
  <c r="J378" i="30"/>
  <c r="J385" i="30"/>
  <c r="J395" i="30"/>
  <c r="J350" i="30"/>
  <c r="J355" i="30"/>
  <c r="J364" i="30"/>
  <c r="J376" i="30"/>
  <c r="J383" i="30"/>
  <c r="J388" i="30"/>
  <c r="J393" i="30"/>
  <c r="J362" i="30"/>
  <c r="J369" i="30"/>
  <c r="J374" i="30"/>
  <c r="J381" i="30"/>
  <c r="J391" i="30"/>
  <c r="J353" i="30"/>
  <c r="J360" i="30"/>
  <c r="J367" i="30"/>
  <c r="J372" i="30"/>
  <c r="J379" i="30"/>
  <c r="J386" i="30"/>
  <c r="J323" i="30"/>
  <c r="S327" i="30"/>
  <c r="S336" i="30"/>
  <c r="S343" i="30"/>
  <c r="S325" i="30"/>
  <c r="S334" i="30"/>
  <c r="S341" i="30"/>
  <c r="S332" i="30"/>
  <c r="S339" i="30"/>
  <c r="S348" i="30"/>
  <c r="S330" i="30"/>
  <c r="S337" i="30"/>
  <c r="S346" i="30"/>
  <c r="S328" i="30"/>
  <c r="S335" i="30"/>
  <c r="S344" i="30"/>
  <c r="S326" i="30"/>
  <c r="S333" i="30"/>
  <c r="S342" i="30"/>
  <c r="S324" i="30"/>
  <c r="S331" i="30"/>
  <c r="S340" i="30"/>
  <c r="S347" i="30"/>
  <c r="S329" i="30"/>
  <c r="S338" i="30"/>
  <c r="S345" i="30"/>
  <c r="S353" i="30"/>
  <c r="S360" i="30"/>
  <c r="S367" i="30"/>
  <c r="S372" i="30"/>
  <c r="S379" i="30"/>
  <c r="S386" i="30"/>
  <c r="S351" i="30"/>
  <c r="S358" i="30"/>
  <c r="S365" i="30"/>
  <c r="S377" i="30"/>
  <c r="S389" i="30"/>
  <c r="S396" i="30"/>
  <c r="S349" i="30"/>
  <c r="S356" i="30"/>
  <c r="S363" i="30"/>
  <c r="S370" i="30"/>
  <c r="S375" i="30"/>
  <c r="S384" i="30"/>
  <c r="S394" i="30"/>
  <c r="S354" i="30"/>
  <c r="S361" i="30"/>
  <c r="S373" i="30"/>
  <c r="S382" i="30"/>
  <c r="S387" i="30"/>
  <c r="S392" i="30"/>
  <c r="S359" i="30"/>
  <c r="S368" i="30"/>
  <c r="S380" i="30"/>
  <c r="S390" i="30"/>
  <c r="S397" i="30"/>
  <c r="S352" i="30"/>
  <c r="S357" i="30"/>
  <c r="S366" i="30"/>
  <c r="S371" i="30"/>
  <c r="S378" i="30"/>
  <c r="S385" i="30"/>
  <c r="S395" i="30"/>
  <c r="S350" i="30"/>
  <c r="S355" i="30"/>
  <c r="S364" i="30"/>
  <c r="S376" i="30"/>
  <c r="S383" i="30"/>
  <c r="S388" i="30"/>
  <c r="S393" i="30"/>
  <c r="S362" i="30"/>
  <c r="S369" i="30"/>
  <c r="S374" i="30"/>
  <c r="S381" i="30"/>
  <c r="S391" i="30"/>
  <c r="S323" i="30"/>
  <c r="C214" i="17"/>
  <c r="C235" i="17"/>
  <c r="F35" i="46"/>
  <c r="F46" i="43"/>
  <c r="F28" i="46"/>
  <c r="F39" i="43"/>
  <c r="F78" i="46"/>
  <c r="F89" i="43"/>
  <c r="F32" i="46"/>
  <c r="F43" i="43"/>
  <c r="F26" i="46"/>
  <c r="F37" i="43"/>
  <c r="F66" i="46"/>
  <c r="F77" i="43"/>
  <c r="D61" i="17"/>
  <c r="D72" i="43"/>
  <c r="D306" i="43" s="1"/>
  <c r="D72" i="17"/>
  <c r="D150" i="17" s="1"/>
  <c r="D83" i="43"/>
  <c r="D317" i="43" s="1"/>
  <c r="L506" i="30"/>
  <c r="L511" i="30"/>
  <c r="L516" i="30"/>
  <c r="L521" i="30"/>
  <c r="L509" i="30"/>
  <c r="L514" i="30"/>
  <c r="L519" i="30"/>
  <c r="L524" i="30"/>
  <c r="L507" i="30"/>
  <c r="L517" i="30"/>
  <c r="L522" i="30"/>
  <c r="L512" i="30"/>
  <c r="L505" i="30"/>
  <c r="L510" i="30"/>
  <c r="L515" i="30"/>
  <c r="L520" i="30"/>
  <c r="L508" i="30"/>
  <c r="L523" i="30"/>
  <c r="L513" i="30"/>
  <c r="L518" i="30"/>
  <c r="L113" i="30"/>
  <c r="L120" i="30"/>
  <c r="L129" i="30"/>
  <c r="L136" i="30"/>
  <c r="L145" i="30"/>
  <c r="L150" i="30"/>
  <c r="L157" i="30"/>
  <c r="L111" i="30"/>
  <c r="L118" i="30"/>
  <c r="L127" i="30"/>
  <c r="L134" i="30"/>
  <c r="L143" i="30"/>
  <c r="L148" i="30"/>
  <c r="L155" i="30"/>
  <c r="L100" i="30"/>
  <c r="L109" i="30"/>
  <c r="L116" i="30"/>
  <c r="L125" i="30"/>
  <c r="L132" i="30"/>
  <c r="L141" i="30"/>
  <c r="L153" i="30"/>
  <c r="L160" i="30"/>
  <c r="L107" i="30"/>
  <c r="L114" i="30"/>
  <c r="L123" i="30"/>
  <c r="L130" i="30"/>
  <c r="L139" i="30"/>
  <c r="L146" i="30"/>
  <c r="L158" i="30"/>
  <c r="L112" i="30"/>
  <c r="L121" i="30"/>
  <c r="L128" i="30"/>
  <c r="L137" i="30"/>
  <c r="L144" i="30"/>
  <c r="L151" i="30"/>
  <c r="L156" i="30"/>
  <c r="L110" i="30"/>
  <c r="L119" i="30"/>
  <c r="L126" i="30"/>
  <c r="L135" i="30"/>
  <c r="L142" i="30"/>
  <c r="L149" i="30"/>
  <c r="L154" i="30"/>
  <c r="L108" i="30"/>
  <c r="L117" i="30"/>
  <c r="L124" i="30"/>
  <c r="L133" i="30"/>
  <c r="L140" i="30"/>
  <c r="L147" i="30"/>
  <c r="L106" i="30"/>
  <c r="L115" i="30"/>
  <c r="L122" i="30"/>
  <c r="L131" i="30"/>
  <c r="L138" i="30"/>
  <c r="L152" i="30"/>
  <c r="L159" i="30"/>
  <c r="K112" i="29"/>
  <c r="K121" i="29"/>
  <c r="K128" i="29"/>
  <c r="K135" i="29"/>
  <c r="K142" i="29"/>
  <c r="K156" i="29"/>
  <c r="K110" i="29"/>
  <c r="K119" i="29"/>
  <c r="K126" i="29"/>
  <c r="K140" i="29"/>
  <c r="K149" i="29"/>
  <c r="K154" i="29"/>
  <c r="K108" i="29"/>
  <c r="K117" i="29"/>
  <c r="K124" i="29"/>
  <c r="K133" i="29"/>
  <c r="K138" i="29"/>
  <c r="K147" i="29"/>
  <c r="K152" i="29"/>
  <c r="K106" i="29"/>
  <c r="K115" i="29"/>
  <c r="K122" i="29"/>
  <c r="K131" i="29"/>
  <c r="K136" i="29"/>
  <c r="K145" i="29"/>
  <c r="K159" i="29"/>
  <c r="K113" i="29"/>
  <c r="K120" i="29"/>
  <c r="K129" i="29"/>
  <c r="K143" i="29"/>
  <c r="K150" i="29"/>
  <c r="K157" i="29"/>
  <c r="K111" i="29"/>
  <c r="K118" i="29"/>
  <c r="K127" i="29"/>
  <c r="K134" i="29"/>
  <c r="K141" i="29"/>
  <c r="K148" i="29"/>
  <c r="K155" i="29"/>
  <c r="K109" i="29"/>
  <c r="K116" i="29"/>
  <c r="K125" i="29"/>
  <c r="K132" i="29"/>
  <c r="K139" i="29"/>
  <c r="K146" i="29"/>
  <c r="K153" i="29"/>
  <c r="K160" i="29"/>
  <c r="K107" i="29"/>
  <c r="K114" i="29"/>
  <c r="K123" i="29"/>
  <c r="K130" i="29"/>
  <c r="K137" i="29"/>
  <c r="K144" i="29"/>
  <c r="K151" i="29"/>
  <c r="K158" i="29"/>
  <c r="F54" i="46"/>
  <c r="F65" i="43"/>
  <c r="K170" i="29"/>
  <c r="K189" i="29"/>
  <c r="K235" i="29"/>
  <c r="K171" i="29"/>
  <c r="K217" i="29"/>
  <c r="K236" i="29"/>
  <c r="K191" i="29"/>
  <c r="Q220" i="29"/>
  <c r="Q174" i="29"/>
  <c r="Q221" i="29"/>
  <c r="Q176" i="29"/>
  <c r="Q222" i="29"/>
  <c r="P42" i="34"/>
  <c r="O204" i="29"/>
  <c r="O186" i="29"/>
  <c r="O224" i="29"/>
  <c r="O195" i="29"/>
  <c r="N42" i="34"/>
  <c r="V95" i="29"/>
  <c r="V102" i="29"/>
  <c r="V111" i="29"/>
  <c r="V118" i="29"/>
  <c r="V127" i="29"/>
  <c r="V134" i="29"/>
  <c r="V141" i="29"/>
  <c r="V148" i="29"/>
  <c r="V155" i="29"/>
  <c r="V93" i="29"/>
  <c r="V100" i="29"/>
  <c r="V109" i="29"/>
  <c r="V116" i="29"/>
  <c r="V125" i="29"/>
  <c r="V132" i="29"/>
  <c r="V139" i="29"/>
  <c r="V146" i="29"/>
  <c r="V153" i="29"/>
  <c r="V160" i="29"/>
  <c r="V91" i="29"/>
  <c r="V98" i="29"/>
  <c r="V107" i="29"/>
  <c r="V114" i="29"/>
  <c r="V123" i="29"/>
  <c r="V130" i="29"/>
  <c r="V137" i="29"/>
  <c r="V144" i="29"/>
  <c r="V151" i="29"/>
  <c r="V158" i="29"/>
  <c r="V89" i="29"/>
  <c r="V96" i="29"/>
  <c r="V105" i="29"/>
  <c r="V112" i="29"/>
  <c r="V121" i="29"/>
  <c r="V128" i="29"/>
  <c r="V135" i="29"/>
  <c r="V142" i="29"/>
  <c r="V156" i="29"/>
  <c r="V87" i="29"/>
  <c r="V94" i="29"/>
  <c r="V103" i="29"/>
  <c r="V110" i="29"/>
  <c r="V119" i="29"/>
  <c r="V126" i="29"/>
  <c r="V140" i="29"/>
  <c r="V149" i="29"/>
  <c r="V154" i="29"/>
  <c r="V92" i="29"/>
  <c r="V101" i="29"/>
  <c r="V108" i="29"/>
  <c r="V117" i="29"/>
  <c r="V124" i="29"/>
  <c r="V133" i="29"/>
  <c r="V138" i="29"/>
  <c r="V147" i="29"/>
  <c r="V152" i="29"/>
  <c r="V90" i="29"/>
  <c r="V99" i="29"/>
  <c r="V106" i="29"/>
  <c r="V115" i="29"/>
  <c r="V122" i="29"/>
  <c r="V131" i="29"/>
  <c r="V136" i="29"/>
  <c r="V145" i="29"/>
  <c r="V159" i="29"/>
  <c r="V88" i="29"/>
  <c r="V97" i="29"/>
  <c r="V104" i="29"/>
  <c r="V113" i="29"/>
  <c r="V120" i="29"/>
  <c r="V129" i="29"/>
  <c r="V143" i="29"/>
  <c r="V150" i="29"/>
  <c r="V157" i="29"/>
  <c r="V86" i="29"/>
  <c r="K226" i="29"/>
  <c r="K181" i="29"/>
  <c r="K200" i="29"/>
  <c r="K227" i="29"/>
  <c r="K182" i="29"/>
  <c r="K209" i="29"/>
  <c r="K228" i="29"/>
  <c r="K183" i="29"/>
  <c r="V187" i="29"/>
  <c r="V206" i="29"/>
  <c r="V233" i="29"/>
  <c r="V169" i="29"/>
  <c r="V188" i="29"/>
  <c r="V207" i="29"/>
  <c r="V234" i="29"/>
  <c r="V170" i="29"/>
  <c r="V189" i="29"/>
  <c r="V208" i="29"/>
  <c r="V164" i="29"/>
  <c r="Q212" i="29"/>
  <c r="Q231" i="29"/>
  <c r="Q167" i="29"/>
  <c r="Q194" i="29"/>
  <c r="Q213" i="29"/>
  <c r="Q232" i="29"/>
  <c r="Q168" i="29"/>
  <c r="Q195" i="29"/>
  <c r="Q214" i="29"/>
  <c r="Q177" i="29"/>
  <c r="O214" i="29"/>
  <c r="O177" i="29"/>
  <c r="O196" i="29"/>
  <c r="O215" i="29"/>
  <c r="O178" i="29"/>
  <c r="O197" i="29"/>
  <c r="O216" i="29"/>
  <c r="O187" i="29"/>
  <c r="P479" i="30"/>
  <c r="E82" i="17"/>
  <c r="E160" i="17" s="1"/>
  <c r="E93" i="43"/>
  <c r="E327" i="43" s="1"/>
  <c r="G59" i="17"/>
  <c r="G215" i="17" s="1"/>
  <c r="G75" i="17"/>
  <c r="G153" i="17" s="1"/>
  <c r="G52" i="17"/>
  <c r="E60" i="17"/>
  <c r="E71" i="43"/>
  <c r="E305" i="43" s="1"/>
  <c r="G68" i="17"/>
  <c r="G146" i="17" s="1"/>
  <c r="E76" i="17"/>
  <c r="E232" i="17" s="1"/>
  <c r="E87" i="43"/>
  <c r="E321" i="43" s="1"/>
  <c r="D47" i="17"/>
  <c r="D125" i="17" s="1"/>
  <c r="D58" i="43"/>
  <c r="D292" i="43" s="1"/>
  <c r="G65" i="17"/>
  <c r="G143" i="17" s="1"/>
  <c r="T506" i="30"/>
  <c r="T511" i="30"/>
  <c r="T516" i="30"/>
  <c r="T521" i="30"/>
  <c r="T509" i="30"/>
  <c r="T514" i="30"/>
  <c r="T519" i="30"/>
  <c r="T524" i="30"/>
  <c r="T507" i="30"/>
  <c r="T517" i="30"/>
  <c r="T522" i="30"/>
  <c r="T512" i="30"/>
  <c r="T505" i="30"/>
  <c r="T510" i="30"/>
  <c r="T515" i="30"/>
  <c r="T520" i="30"/>
  <c r="T508" i="30"/>
  <c r="T523" i="30"/>
  <c r="T513" i="30"/>
  <c r="T518" i="30"/>
  <c r="T113" i="30"/>
  <c r="T120" i="30"/>
  <c r="T129" i="30"/>
  <c r="T136" i="30"/>
  <c r="T145" i="30"/>
  <c r="T150" i="30"/>
  <c r="T157" i="30"/>
  <c r="T111" i="30"/>
  <c r="T118" i="30"/>
  <c r="T127" i="30"/>
  <c r="T134" i="30"/>
  <c r="T143" i="30"/>
  <c r="T148" i="30"/>
  <c r="T155" i="30"/>
  <c r="T100" i="30"/>
  <c r="T109" i="30"/>
  <c r="T116" i="30"/>
  <c r="T125" i="30"/>
  <c r="T132" i="30"/>
  <c r="T141" i="30"/>
  <c r="T153" i="30"/>
  <c r="T160" i="30"/>
  <c r="T107" i="30"/>
  <c r="T114" i="30"/>
  <c r="T123" i="30"/>
  <c r="T130" i="30"/>
  <c r="T139" i="30"/>
  <c r="T146" i="30"/>
  <c r="T158" i="30"/>
  <c r="T112" i="30"/>
  <c r="T121" i="30"/>
  <c r="T128" i="30"/>
  <c r="T137" i="30"/>
  <c r="T144" i="30"/>
  <c r="T151" i="30"/>
  <c r="T156" i="30"/>
  <c r="T110" i="30"/>
  <c r="T119" i="30"/>
  <c r="T126" i="30"/>
  <c r="T135" i="30"/>
  <c r="T142" i="30"/>
  <c r="T149" i="30"/>
  <c r="T154" i="30"/>
  <c r="T108" i="30"/>
  <c r="T117" i="30"/>
  <c r="T124" i="30"/>
  <c r="T133" i="30"/>
  <c r="T140" i="30"/>
  <c r="T147" i="30"/>
  <c r="T106" i="30"/>
  <c r="T115" i="30"/>
  <c r="T122" i="30"/>
  <c r="T131" i="30"/>
  <c r="T138" i="30"/>
  <c r="T152" i="30"/>
  <c r="T159" i="30"/>
  <c r="W88" i="29"/>
  <c r="W97" i="29"/>
  <c r="W104" i="29"/>
  <c r="W113" i="29"/>
  <c r="W120" i="29"/>
  <c r="W129" i="29"/>
  <c r="W143" i="29"/>
  <c r="W150" i="29"/>
  <c r="W157" i="29"/>
  <c r="W95" i="29"/>
  <c r="W102" i="29"/>
  <c r="W111" i="29"/>
  <c r="W118" i="29"/>
  <c r="W127" i="29"/>
  <c r="W134" i="29"/>
  <c r="W141" i="29"/>
  <c r="W148" i="29"/>
  <c r="W155" i="29"/>
  <c r="W93" i="29"/>
  <c r="W100" i="29"/>
  <c r="W109" i="29"/>
  <c r="W116" i="29"/>
  <c r="W125" i="29"/>
  <c r="W132" i="29"/>
  <c r="W139" i="29"/>
  <c r="W146" i="29"/>
  <c r="W153" i="29"/>
  <c r="W160" i="29"/>
  <c r="W91" i="29"/>
  <c r="W98" i="29"/>
  <c r="W107" i="29"/>
  <c r="W114" i="29"/>
  <c r="W123" i="29"/>
  <c r="W130" i="29"/>
  <c r="W137" i="29"/>
  <c r="W144" i="29"/>
  <c r="W151" i="29"/>
  <c r="W158" i="29"/>
  <c r="W89" i="29"/>
  <c r="W96" i="29"/>
  <c r="W105" i="29"/>
  <c r="W112" i="29"/>
  <c r="W121" i="29"/>
  <c r="W128" i="29"/>
  <c r="W135" i="29"/>
  <c r="W142" i="29"/>
  <c r="W156" i="29"/>
  <c r="W87" i="29"/>
  <c r="W94" i="29"/>
  <c r="W103" i="29"/>
  <c r="W110" i="29"/>
  <c r="W119" i="29"/>
  <c r="W126" i="29"/>
  <c r="W140" i="29"/>
  <c r="W149" i="29"/>
  <c r="W154" i="29"/>
  <c r="W92" i="29"/>
  <c r="W101" i="29"/>
  <c r="W108" i="29"/>
  <c r="W117" i="29"/>
  <c r="W124" i="29"/>
  <c r="W133" i="29"/>
  <c r="W138" i="29"/>
  <c r="W147" i="29"/>
  <c r="W152" i="29"/>
  <c r="W90" i="29"/>
  <c r="W99" i="29"/>
  <c r="W106" i="29"/>
  <c r="W115" i="29"/>
  <c r="W122" i="29"/>
  <c r="W131" i="29"/>
  <c r="W136" i="29"/>
  <c r="W145" i="29"/>
  <c r="W159" i="29"/>
  <c r="W86" i="29"/>
  <c r="R514" i="30"/>
  <c r="R519" i="30"/>
  <c r="R524" i="30"/>
  <c r="R507" i="30"/>
  <c r="R517" i="30"/>
  <c r="R522" i="30"/>
  <c r="R512" i="30"/>
  <c r="R505" i="30"/>
  <c r="R510" i="30"/>
  <c r="R515" i="30"/>
  <c r="R520" i="30"/>
  <c r="R508" i="30"/>
  <c r="R523" i="30"/>
  <c r="R513" i="30"/>
  <c r="R518" i="30"/>
  <c r="R506" i="30"/>
  <c r="R511" i="30"/>
  <c r="R516" i="30"/>
  <c r="R521" i="30"/>
  <c r="R509" i="30"/>
  <c r="R100" i="30"/>
  <c r="R109" i="30"/>
  <c r="R116" i="30"/>
  <c r="R125" i="30"/>
  <c r="R132" i="30"/>
  <c r="R141" i="30"/>
  <c r="R153" i="30"/>
  <c r="R160" i="30"/>
  <c r="R107" i="30"/>
  <c r="R114" i="30"/>
  <c r="R123" i="30"/>
  <c r="R130" i="30"/>
  <c r="R139" i="30"/>
  <c r="R146" i="30"/>
  <c r="R158" i="30"/>
  <c r="R112" i="30"/>
  <c r="R121" i="30"/>
  <c r="R128" i="30"/>
  <c r="R137" i="30"/>
  <c r="R144" i="30"/>
  <c r="R151" i="30"/>
  <c r="R156" i="30"/>
  <c r="R110" i="30"/>
  <c r="R119" i="30"/>
  <c r="R126" i="30"/>
  <c r="R135" i="30"/>
  <c r="R142" i="30"/>
  <c r="R149" i="30"/>
  <c r="R154" i="30"/>
  <c r="R108" i="30"/>
  <c r="R117" i="30"/>
  <c r="R124" i="30"/>
  <c r="R133" i="30"/>
  <c r="R140" i="30"/>
  <c r="R147" i="30"/>
  <c r="R106" i="30"/>
  <c r="R115" i="30"/>
  <c r="R122" i="30"/>
  <c r="R131" i="30"/>
  <c r="R138" i="30"/>
  <c r="R152" i="30"/>
  <c r="R159" i="30"/>
  <c r="R113" i="30"/>
  <c r="R120" i="30"/>
  <c r="R129" i="30"/>
  <c r="R136" i="30"/>
  <c r="R145" i="30"/>
  <c r="R150" i="30"/>
  <c r="R157" i="30"/>
  <c r="R111" i="30"/>
  <c r="R118" i="30"/>
  <c r="R127" i="30"/>
  <c r="R134" i="30"/>
  <c r="R143" i="30"/>
  <c r="R148" i="30"/>
  <c r="R155" i="30"/>
  <c r="S112" i="29"/>
  <c r="S121" i="29"/>
  <c r="S128" i="29"/>
  <c r="S135" i="29"/>
  <c r="S142" i="29"/>
  <c r="S156" i="29"/>
  <c r="S110" i="29"/>
  <c r="S119" i="29"/>
  <c r="S126" i="29"/>
  <c r="S140" i="29"/>
  <c r="S149" i="29"/>
  <c r="S154" i="29"/>
  <c r="S108" i="29"/>
  <c r="S117" i="29"/>
  <c r="S124" i="29"/>
  <c r="S133" i="29"/>
  <c r="S138" i="29"/>
  <c r="S147" i="29"/>
  <c r="S152" i="29"/>
  <c r="S106" i="29"/>
  <c r="S115" i="29"/>
  <c r="S122" i="29"/>
  <c r="S131" i="29"/>
  <c r="S136" i="29"/>
  <c r="S145" i="29"/>
  <c r="S159" i="29"/>
  <c r="S113" i="29"/>
  <c r="S120" i="29"/>
  <c r="S129" i="29"/>
  <c r="S143" i="29"/>
  <c r="S150" i="29"/>
  <c r="S157" i="29"/>
  <c r="S111" i="29"/>
  <c r="S118" i="29"/>
  <c r="S127" i="29"/>
  <c r="S134" i="29"/>
  <c r="S141" i="29"/>
  <c r="S148" i="29"/>
  <c r="S155" i="29"/>
  <c r="S109" i="29"/>
  <c r="S116" i="29"/>
  <c r="S125" i="29"/>
  <c r="S132" i="29"/>
  <c r="S139" i="29"/>
  <c r="S146" i="29"/>
  <c r="S153" i="29"/>
  <c r="S160" i="29"/>
  <c r="S107" i="29"/>
  <c r="S114" i="29"/>
  <c r="S123" i="29"/>
  <c r="S130" i="29"/>
  <c r="S137" i="29"/>
  <c r="S144" i="29"/>
  <c r="S151" i="29"/>
  <c r="S158" i="29"/>
  <c r="C226" i="17"/>
  <c r="F59" i="46"/>
  <c r="F70" i="43"/>
  <c r="F52" i="46"/>
  <c r="F63" i="43"/>
  <c r="F45" i="46"/>
  <c r="F56" i="43"/>
  <c r="F38" i="46"/>
  <c r="F49" i="43"/>
  <c r="F62" i="46"/>
  <c r="F73" i="43"/>
  <c r="F47" i="46"/>
  <c r="F58" i="43"/>
  <c r="F56" i="46"/>
  <c r="F67" i="43"/>
  <c r="F9" i="46"/>
  <c r="F20" i="43"/>
  <c r="F49" i="46"/>
  <c r="F60" i="43"/>
  <c r="F50" i="46"/>
  <c r="F61" i="43"/>
  <c r="K192" i="29"/>
  <c r="K201" i="29"/>
  <c r="K174" i="29"/>
  <c r="Q186" i="29"/>
  <c r="Q187" i="29"/>
  <c r="O188" i="29"/>
  <c r="O189" i="29"/>
  <c r="E58" i="17"/>
  <c r="E136" i="17" s="1"/>
  <c r="E69" i="43"/>
  <c r="E303" i="43" s="1"/>
  <c r="D82" i="17"/>
  <c r="D238" i="17" s="1"/>
  <c r="D93" i="43"/>
  <c r="D327" i="43" s="1"/>
  <c r="E67" i="17"/>
  <c r="E145" i="17" s="1"/>
  <c r="E78" i="43"/>
  <c r="E312" i="43" s="1"/>
  <c r="D76" i="17"/>
  <c r="D232" i="17" s="1"/>
  <c r="D87" i="43"/>
  <c r="D321" i="43" s="1"/>
  <c r="R325" i="30"/>
  <c r="R334" i="30"/>
  <c r="R341" i="30"/>
  <c r="R332" i="30"/>
  <c r="R339" i="30"/>
  <c r="R348" i="30"/>
  <c r="R330" i="30"/>
  <c r="R337" i="30"/>
  <c r="R346" i="30"/>
  <c r="R328" i="30"/>
  <c r="R335" i="30"/>
  <c r="R344" i="30"/>
  <c r="R326" i="30"/>
  <c r="R333" i="30"/>
  <c r="R342" i="30"/>
  <c r="R324" i="30"/>
  <c r="R331" i="30"/>
  <c r="R340" i="30"/>
  <c r="R347" i="30"/>
  <c r="R329" i="30"/>
  <c r="R338" i="30"/>
  <c r="R345" i="30"/>
  <c r="R327" i="30"/>
  <c r="R336" i="30"/>
  <c r="R343" i="30"/>
  <c r="R351" i="30"/>
  <c r="R358" i="30"/>
  <c r="R365" i="30"/>
  <c r="R377" i="30"/>
  <c r="R389" i="30"/>
  <c r="R396" i="30"/>
  <c r="R349" i="30"/>
  <c r="R356" i="30"/>
  <c r="R363" i="30"/>
  <c r="R370" i="30"/>
  <c r="R375" i="30"/>
  <c r="R384" i="30"/>
  <c r="R394" i="30"/>
  <c r="R354" i="30"/>
  <c r="R361" i="30"/>
  <c r="R373" i="30"/>
  <c r="R382" i="30"/>
  <c r="R387" i="30"/>
  <c r="R392" i="30"/>
  <c r="R359" i="30"/>
  <c r="R368" i="30"/>
  <c r="R380" i="30"/>
  <c r="R390" i="30"/>
  <c r="R397" i="30"/>
  <c r="R352" i="30"/>
  <c r="R357" i="30"/>
  <c r="R366" i="30"/>
  <c r="R371" i="30"/>
  <c r="R378" i="30"/>
  <c r="R385" i="30"/>
  <c r="R395" i="30"/>
  <c r="R350" i="30"/>
  <c r="R355" i="30"/>
  <c r="R364" i="30"/>
  <c r="R376" i="30"/>
  <c r="R383" i="30"/>
  <c r="R388" i="30"/>
  <c r="R393" i="30"/>
  <c r="R362" i="30"/>
  <c r="R369" i="30"/>
  <c r="R374" i="30"/>
  <c r="R381" i="30"/>
  <c r="R391" i="30"/>
  <c r="R353" i="30"/>
  <c r="R360" i="30"/>
  <c r="R367" i="30"/>
  <c r="R372" i="30"/>
  <c r="R379" i="30"/>
  <c r="R386" i="30"/>
  <c r="R323" i="30"/>
  <c r="F12" i="46"/>
  <c r="F23" i="43"/>
  <c r="F76" i="46"/>
  <c r="F87" i="43"/>
  <c r="F71" i="46"/>
  <c r="F82" i="43"/>
  <c r="F73" i="46"/>
  <c r="F84" i="43"/>
  <c r="F10" i="46"/>
  <c r="F21" i="43"/>
  <c r="I331" i="43"/>
  <c r="F226" i="21"/>
  <c r="F249" i="21"/>
  <c r="F233" i="21"/>
  <c r="C256" i="21"/>
  <c r="C266" i="21"/>
  <c r="F266" i="21" s="1"/>
  <c r="F243" i="21"/>
  <c r="C283" i="21"/>
  <c r="F283" i="21" s="1"/>
  <c r="F260" i="21"/>
  <c r="F224" i="21"/>
  <c r="C247" i="21"/>
  <c r="C282" i="21"/>
  <c r="F282" i="21" s="1"/>
  <c r="F259" i="21"/>
  <c r="C267" i="21"/>
  <c r="F267" i="21" s="1"/>
  <c r="F244" i="21"/>
  <c r="F75" i="29"/>
  <c r="F120" i="31"/>
  <c r="F21" i="29"/>
  <c r="F66" i="31"/>
  <c r="F14" i="29"/>
  <c r="F59" i="31"/>
  <c r="F25" i="29"/>
  <c r="F70" i="31"/>
  <c r="F72" i="29"/>
  <c r="F117" i="31"/>
  <c r="N247" i="12"/>
  <c r="F35" i="29"/>
  <c r="F80" i="31"/>
  <c r="F28" i="29"/>
  <c r="F73" i="31"/>
  <c r="F78" i="29"/>
  <c r="F123" i="31"/>
  <c r="F32" i="29"/>
  <c r="F77" i="31"/>
  <c r="F26" i="29"/>
  <c r="F71" i="31"/>
  <c r="F66" i="29"/>
  <c r="F111" i="31"/>
  <c r="F61" i="29"/>
  <c r="F106" i="31"/>
  <c r="Q6" i="29"/>
  <c r="P41" i="34" s="1"/>
  <c r="P140" i="34" s="1"/>
  <c r="T5" i="46"/>
  <c r="T85" i="46" s="1"/>
  <c r="F59" i="29"/>
  <c r="F104" i="31"/>
  <c r="F52" i="29"/>
  <c r="F97" i="31"/>
  <c r="F45" i="29"/>
  <c r="F90" i="31"/>
  <c r="F38" i="29"/>
  <c r="F83" i="31"/>
  <c r="F62" i="29"/>
  <c r="F107" i="31"/>
  <c r="F47" i="29"/>
  <c r="F92" i="31"/>
  <c r="F56" i="29"/>
  <c r="F101" i="31"/>
  <c r="F9" i="29"/>
  <c r="F54" i="31"/>
  <c r="F49" i="29"/>
  <c r="F94" i="31"/>
  <c r="F50" i="29"/>
  <c r="F95" i="31"/>
  <c r="F63" i="29"/>
  <c r="F108" i="31"/>
  <c r="C96" i="17"/>
  <c r="C207" i="17"/>
  <c r="F19" i="29"/>
  <c r="F64" i="31"/>
  <c r="F12" i="29"/>
  <c r="F57" i="31"/>
  <c r="F76" i="29"/>
  <c r="F121" i="31"/>
  <c r="F29" i="29"/>
  <c r="F74" i="31"/>
  <c r="F69" i="29"/>
  <c r="F114" i="31"/>
  <c r="F22" i="29"/>
  <c r="F67" i="31"/>
  <c r="F31" i="29"/>
  <c r="F76" i="31"/>
  <c r="F71" i="29"/>
  <c r="F116" i="31"/>
  <c r="F16" i="29"/>
  <c r="F61" i="31"/>
  <c r="F80" i="29"/>
  <c r="F125" i="31"/>
  <c r="F73" i="29"/>
  <c r="F118" i="31"/>
  <c r="F10" i="29"/>
  <c r="F55" i="31"/>
  <c r="F74" i="29"/>
  <c r="F119" i="31"/>
  <c r="F23" i="29"/>
  <c r="F68" i="31"/>
  <c r="F65" i="29"/>
  <c r="F110" i="31"/>
  <c r="F43" i="29"/>
  <c r="F88" i="31"/>
  <c r="F36" i="29"/>
  <c r="F81" i="31"/>
  <c r="F40" i="29"/>
  <c r="F85" i="31"/>
  <c r="F33" i="29"/>
  <c r="F78" i="31"/>
  <c r="F34" i="29"/>
  <c r="F79" i="31"/>
  <c r="F8" i="29"/>
  <c r="F53" i="31"/>
  <c r="C204" i="17"/>
  <c r="F67" i="29"/>
  <c r="F112" i="31"/>
  <c r="F60" i="29"/>
  <c r="F105" i="31"/>
  <c r="F13" i="29"/>
  <c r="F58" i="31"/>
  <c r="F53" i="29"/>
  <c r="F98" i="31"/>
  <c r="F46" i="29"/>
  <c r="F91" i="31"/>
  <c r="F15" i="29"/>
  <c r="F60" i="31"/>
  <c r="F55" i="29"/>
  <c r="F100" i="31"/>
  <c r="F64" i="29"/>
  <c r="F109" i="31"/>
  <c r="F17" i="29"/>
  <c r="F62" i="31"/>
  <c r="F57" i="29"/>
  <c r="F102" i="31"/>
  <c r="F58" i="29"/>
  <c r="F103" i="31"/>
  <c r="P40" i="34"/>
  <c r="P139" i="34" s="1"/>
  <c r="AB5" i="30"/>
  <c r="AB479" i="30" s="1"/>
  <c r="AB6" i="29"/>
  <c r="AA41" i="34" s="1"/>
  <c r="AA140" i="34" s="1"/>
  <c r="T6" i="17"/>
  <c r="F27" i="29"/>
  <c r="F72" i="31"/>
  <c r="F20" i="29"/>
  <c r="F65" i="31"/>
  <c r="F77" i="29"/>
  <c r="F122" i="31"/>
  <c r="F30" i="29"/>
  <c r="F75" i="31"/>
  <c r="F70" i="29"/>
  <c r="F115" i="31"/>
  <c r="F39" i="29"/>
  <c r="F84" i="31"/>
  <c r="F79" i="29"/>
  <c r="F124" i="31"/>
  <c r="F24" i="29"/>
  <c r="F69" i="31"/>
  <c r="F81" i="29"/>
  <c r="F126" i="31"/>
  <c r="F18" i="29"/>
  <c r="F63" i="31"/>
  <c r="F82" i="29"/>
  <c r="F127" i="31"/>
  <c r="M247" i="12"/>
  <c r="F11" i="29"/>
  <c r="F56" i="31"/>
  <c r="F68" i="29"/>
  <c r="F113" i="31"/>
  <c r="Q5" i="30"/>
  <c r="Q868" i="30" s="1"/>
  <c r="AB242" i="29"/>
  <c r="F51" i="29"/>
  <c r="F96" i="31"/>
  <c r="F44" i="29"/>
  <c r="F89" i="31"/>
  <c r="F37" i="29"/>
  <c r="F82" i="31"/>
  <c r="F54" i="29"/>
  <c r="F99" i="31"/>
  <c r="F48" i="29"/>
  <c r="F93" i="31"/>
  <c r="F41" i="29"/>
  <c r="F86" i="31"/>
  <c r="F42" i="29"/>
  <c r="F87" i="31"/>
  <c r="I185" i="29"/>
  <c r="I175" i="29"/>
  <c r="I230" i="29"/>
  <c r="I219" i="29"/>
  <c r="I200" i="29"/>
  <c r="I189" i="29"/>
  <c r="I178" i="29"/>
  <c r="I223" i="29"/>
  <c r="I188" i="29"/>
  <c r="I193" i="29"/>
  <c r="I238" i="29"/>
  <c r="I227" i="29"/>
  <c r="I208" i="29"/>
  <c r="I197" i="29"/>
  <c r="I186" i="29"/>
  <c r="I167" i="29"/>
  <c r="I231" i="29"/>
  <c r="I201" i="29"/>
  <c r="I165" i="29"/>
  <c r="I209" i="29"/>
  <c r="I190" i="29"/>
  <c r="I179" i="29"/>
  <c r="I224" i="29"/>
  <c r="I213" i="29"/>
  <c r="I202" i="29"/>
  <c r="I183" i="29"/>
  <c r="I212" i="29"/>
  <c r="H42" i="34"/>
  <c r="I164" i="29"/>
  <c r="I217" i="29"/>
  <c r="I198" i="29"/>
  <c r="I187" i="29"/>
  <c r="I168" i="29"/>
  <c r="I232" i="29"/>
  <c r="I221" i="29"/>
  <c r="I210" i="29"/>
  <c r="I191" i="29"/>
  <c r="I220" i="29"/>
  <c r="T28" i="29"/>
  <c r="T35" i="29"/>
  <c r="T33" i="29"/>
  <c r="T32" i="29"/>
  <c r="T31" i="29"/>
  <c r="T37" i="29"/>
  <c r="T43" i="29"/>
  <c r="T38" i="29"/>
  <c r="T41" i="29"/>
  <c r="T46" i="29"/>
  <c r="T36" i="29"/>
  <c r="T39" i="29"/>
  <c r="T29" i="29"/>
  <c r="T45" i="29"/>
  <c r="T47" i="29"/>
  <c r="T53" i="29"/>
  <c r="T44" i="29"/>
  <c r="T51" i="29"/>
  <c r="T34" i="29"/>
  <c r="T48" i="29"/>
  <c r="T56" i="29"/>
  <c r="T30" i="29"/>
  <c r="T57" i="29"/>
  <c r="T64" i="29"/>
  <c r="T62" i="29"/>
  <c r="T60" i="29"/>
  <c r="T49" i="29"/>
  <c r="T52" i="29"/>
  <c r="T40" i="29"/>
  <c r="T42" i="29"/>
  <c r="T54" i="29"/>
  <c r="T68" i="29"/>
  <c r="T50" i="29"/>
  <c r="T55" i="29"/>
  <c r="T59" i="29"/>
  <c r="T66" i="29"/>
  <c r="T73" i="29"/>
  <c r="T80" i="29"/>
  <c r="T61" i="29"/>
  <c r="T63" i="29"/>
  <c r="T78" i="29"/>
  <c r="T71" i="29"/>
  <c r="T76" i="29"/>
  <c r="T69" i="29"/>
  <c r="T67" i="29"/>
  <c r="T65" i="29"/>
  <c r="T74" i="29"/>
  <c r="T75" i="29"/>
  <c r="T77" i="29"/>
  <c r="T81" i="29"/>
  <c r="T70" i="29"/>
  <c r="T72" i="29"/>
  <c r="T79" i="29"/>
  <c r="T82" i="29"/>
  <c r="T58" i="29"/>
  <c r="O32" i="29"/>
  <c r="O30" i="29"/>
  <c r="O31" i="29"/>
  <c r="O38" i="29"/>
  <c r="O34" i="29"/>
  <c r="O42" i="29"/>
  <c r="O49" i="29"/>
  <c r="O33" i="29"/>
  <c r="O45" i="29"/>
  <c r="O46" i="29"/>
  <c r="O37" i="29"/>
  <c r="O43" i="29"/>
  <c r="O50" i="29"/>
  <c r="O39" i="29"/>
  <c r="O40" i="29"/>
  <c r="O41" i="29"/>
  <c r="O55" i="29"/>
  <c r="O28" i="29"/>
  <c r="O48" i="29"/>
  <c r="O63" i="29"/>
  <c r="O52" i="29"/>
  <c r="O56" i="29"/>
  <c r="O61" i="29"/>
  <c r="O44" i="29"/>
  <c r="O51" i="29"/>
  <c r="O59" i="29"/>
  <c r="O29" i="29"/>
  <c r="O35" i="29"/>
  <c r="O36" i="29"/>
  <c r="O54" i="29"/>
  <c r="O53" i="29"/>
  <c r="O60" i="29"/>
  <c r="O64" i="29"/>
  <c r="O67" i="29"/>
  <c r="O65" i="29"/>
  <c r="O72" i="29"/>
  <c r="O79" i="29"/>
  <c r="O70" i="29"/>
  <c r="O77" i="29"/>
  <c r="O47" i="29"/>
  <c r="O68" i="29"/>
  <c r="O75" i="29"/>
  <c r="O82" i="29"/>
  <c r="O58" i="29"/>
  <c r="O62" i="29"/>
  <c r="O66" i="29"/>
  <c r="O73" i="29"/>
  <c r="O76" i="29"/>
  <c r="O80" i="29"/>
  <c r="O81" i="29"/>
  <c r="O57" i="29"/>
  <c r="O69" i="29"/>
  <c r="O71" i="29"/>
  <c r="O78" i="29"/>
  <c r="O74" i="29"/>
  <c r="Q29" i="29"/>
  <c r="Q36" i="29"/>
  <c r="Q34" i="29"/>
  <c r="Q35" i="29"/>
  <c r="Q38" i="29"/>
  <c r="Q44" i="29"/>
  <c r="Q42" i="29"/>
  <c r="Q49" i="29"/>
  <c r="Q40" i="29"/>
  <c r="Q43" i="29"/>
  <c r="Q31" i="29"/>
  <c r="Q48" i="29"/>
  <c r="Q54" i="29"/>
  <c r="Q37" i="29"/>
  <c r="Q52" i="29"/>
  <c r="Q30" i="29"/>
  <c r="Q39" i="29"/>
  <c r="Q50" i="29"/>
  <c r="Q33" i="29"/>
  <c r="Q41" i="29"/>
  <c r="Q46" i="29"/>
  <c r="Q47" i="29"/>
  <c r="Q53" i="29"/>
  <c r="Q58" i="29"/>
  <c r="Q28" i="29"/>
  <c r="Q51" i="29"/>
  <c r="Q55" i="29"/>
  <c r="Q32" i="29"/>
  <c r="Q57" i="29"/>
  <c r="Q71" i="29"/>
  <c r="Q69" i="29"/>
  <c r="Q74" i="29"/>
  <c r="Q60" i="29"/>
  <c r="Q64" i="29"/>
  <c r="Q67" i="29"/>
  <c r="Q81" i="29"/>
  <c r="Q56" i="29"/>
  <c r="Q65" i="29"/>
  <c r="Q72" i="29"/>
  <c r="Q79" i="29"/>
  <c r="Q45" i="29"/>
  <c r="Q70" i="29"/>
  <c r="Q68" i="29"/>
  <c r="Q75" i="29"/>
  <c r="Q66" i="29"/>
  <c r="Q77" i="29"/>
  <c r="Q63" i="29"/>
  <c r="Q62" i="29"/>
  <c r="Q59" i="29"/>
  <c r="Q76" i="29"/>
  <c r="Q80" i="29"/>
  <c r="Q82" i="29"/>
  <c r="Q61" i="29"/>
  <c r="Q73" i="29"/>
  <c r="Q78" i="29"/>
  <c r="K33" i="29"/>
  <c r="K40" i="29"/>
  <c r="K31" i="29"/>
  <c r="K30" i="29"/>
  <c r="K39" i="29"/>
  <c r="K48" i="29"/>
  <c r="K44" i="29"/>
  <c r="K34" i="29"/>
  <c r="K42" i="29"/>
  <c r="K41" i="29"/>
  <c r="K46" i="29"/>
  <c r="K51" i="29"/>
  <c r="K47" i="29"/>
  <c r="K28" i="29"/>
  <c r="K45" i="29"/>
  <c r="K54" i="29"/>
  <c r="K32" i="29"/>
  <c r="K62" i="29"/>
  <c r="K29" i="29"/>
  <c r="K35" i="29"/>
  <c r="K36" i="29"/>
  <c r="K50" i="29"/>
  <c r="K55" i="29"/>
  <c r="K60" i="29"/>
  <c r="K37" i="29"/>
  <c r="K38" i="29"/>
  <c r="K58" i="29"/>
  <c r="K52" i="29"/>
  <c r="K53" i="29"/>
  <c r="K66" i="29"/>
  <c r="K73" i="29"/>
  <c r="K56" i="29"/>
  <c r="K78" i="29"/>
  <c r="K71" i="29"/>
  <c r="K76" i="29"/>
  <c r="K49" i="29"/>
  <c r="K63" i="29"/>
  <c r="K69" i="29"/>
  <c r="K74" i="29"/>
  <c r="K59" i="29"/>
  <c r="K61" i="29"/>
  <c r="K67" i="29"/>
  <c r="K65" i="29"/>
  <c r="K72" i="29"/>
  <c r="K80" i="29"/>
  <c r="K68" i="29"/>
  <c r="K79" i="29"/>
  <c r="K57" i="29"/>
  <c r="K70" i="29"/>
  <c r="K77" i="29"/>
  <c r="K81" i="29"/>
  <c r="K43" i="29"/>
  <c r="K82" i="29"/>
  <c r="K75" i="29"/>
  <c r="K64" i="29"/>
  <c r="L28" i="29"/>
  <c r="L35" i="29"/>
  <c r="L33" i="29"/>
  <c r="L32" i="29"/>
  <c r="L43" i="29"/>
  <c r="L37" i="29"/>
  <c r="L46" i="29"/>
  <c r="L29" i="29"/>
  <c r="L39" i="29"/>
  <c r="L40" i="29"/>
  <c r="L53" i="29"/>
  <c r="L30" i="29"/>
  <c r="L41" i="29"/>
  <c r="L42" i="29"/>
  <c r="L51" i="29"/>
  <c r="L47" i="29"/>
  <c r="L56" i="29"/>
  <c r="L45" i="29"/>
  <c r="L44" i="29"/>
  <c r="L49" i="29"/>
  <c r="L57" i="29"/>
  <c r="L64" i="29"/>
  <c r="L62" i="29"/>
  <c r="L36" i="29"/>
  <c r="L50" i="29"/>
  <c r="L54" i="29"/>
  <c r="L55" i="29"/>
  <c r="L60" i="29"/>
  <c r="L34" i="29"/>
  <c r="L38" i="29"/>
  <c r="L31" i="29"/>
  <c r="L68" i="29"/>
  <c r="L66" i="29"/>
  <c r="L73" i="29"/>
  <c r="L80" i="29"/>
  <c r="L52" i="29"/>
  <c r="L78" i="29"/>
  <c r="L58" i="29"/>
  <c r="L71" i="29"/>
  <c r="L76" i="29"/>
  <c r="L63" i="29"/>
  <c r="L69" i="29"/>
  <c r="L59" i="29"/>
  <c r="L61" i="29"/>
  <c r="L67" i="29"/>
  <c r="L82" i="29"/>
  <c r="L48" i="29"/>
  <c r="L79" i="29"/>
  <c r="L70" i="29"/>
  <c r="L72" i="29"/>
  <c r="L74" i="29"/>
  <c r="L65" i="29"/>
  <c r="L81" i="29"/>
  <c r="L75" i="29"/>
  <c r="L77" i="29"/>
  <c r="W12" i="29"/>
  <c r="W21" i="29"/>
  <c r="W10" i="29"/>
  <c r="W19" i="29"/>
  <c r="W26" i="29"/>
  <c r="W17" i="29"/>
  <c r="W24" i="29"/>
  <c r="W15" i="29"/>
  <c r="W22" i="29"/>
  <c r="W13" i="29"/>
  <c r="W20" i="29"/>
  <c r="W11" i="29"/>
  <c r="W18" i="29"/>
  <c r="W27" i="29"/>
  <c r="W16" i="29"/>
  <c r="W25" i="29"/>
  <c r="W32" i="29"/>
  <c r="W9" i="29"/>
  <c r="W30" i="29"/>
  <c r="W31" i="29"/>
  <c r="W38" i="29"/>
  <c r="W28" i="29"/>
  <c r="W49" i="29"/>
  <c r="W37" i="29"/>
  <c r="W40" i="29"/>
  <c r="W45" i="29"/>
  <c r="W34" i="29"/>
  <c r="W35" i="29"/>
  <c r="W46" i="29"/>
  <c r="W50" i="29"/>
  <c r="W29" i="29"/>
  <c r="W14" i="29"/>
  <c r="W47" i="29"/>
  <c r="W55" i="29"/>
  <c r="W23" i="29"/>
  <c r="W36" i="29"/>
  <c r="W44" i="29"/>
  <c r="W56" i="29"/>
  <c r="W63" i="29"/>
  <c r="W43" i="29"/>
  <c r="W61" i="29"/>
  <c r="W54" i="29"/>
  <c r="W59" i="29"/>
  <c r="W48" i="29"/>
  <c r="W53" i="29"/>
  <c r="W39" i="29"/>
  <c r="W58" i="29"/>
  <c r="W67" i="29"/>
  <c r="W62" i="29"/>
  <c r="W65" i="29"/>
  <c r="W72" i="29"/>
  <c r="W79" i="29"/>
  <c r="W33" i="29"/>
  <c r="W41" i="29"/>
  <c r="W57" i="29"/>
  <c r="W70" i="29"/>
  <c r="W77" i="29"/>
  <c r="W68" i="29"/>
  <c r="W75" i="29"/>
  <c r="W82" i="29"/>
  <c r="W52" i="29"/>
  <c r="W66" i="29"/>
  <c r="W42" i="29"/>
  <c r="W60" i="29"/>
  <c r="W73" i="29"/>
  <c r="W64" i="29"/>
  <c r="W74" i="29"/>
  <c r="W78" i="29"/>
  <c r="W69" i="29"/>
  <c r="W76" i="29"/>
  <c r="W51" i="29"/>
  <c r="W81" i="29"/>
  <c r="W71" i="29"/>
  <c r="W80" i="29"/>
  <c r="S33" i="29"/>
  <c r="S40" i="29"/>
  <c r="S31" i="29"/>
  <c r="S30" i="29"/>
  <c r="S39" i="29"/>
  <c r="S29" i="29"/>
  <c r="S48" i="29"/>
  <c r="S34" i="29"/>
  <c r="S35" i="29"/>
  <c r="S44" i="29"/>
  <c r="S51" i="29"/>
  <c r="S36" i="29"/>
  <c r="S37" i="29"/>
  <c r="S38" i="29"/>
  <c r="S54" i="29"/>
  <c r="S43" i="29"/>
  <c r="S62" i="29"/>
  <c r="S46" i="29"/>
  <c r="S60" i="29"/>
  <c r="S47" i="29"/>
  <c r="S49" i="29"/>
  <c r="S52" i="29"/>
  <c r="S53" i="29"/>
  <c r="S58" i="29"/>
  <c r="S41" i="29"/>
  <c r="S42" i="29"/>
  <c r="S28" i="29"/>
  <c r="S56" i="29"/>
  <c r="S32" i="29"/>
  <c r="S50" i="29"/>
  <c r="S55" i="29"/>
  <c r="S59" i="29"/>
  <c r="S66" i="29"/>
  <c r="S73" i="29"/>
  <c r="S57" i="29"/>
  <c r="S61" i="29"/>
  <c r="S63" i="29"/>
  <c r="S78" i="29"/>
  <c r="S71" i="29"/>
  <c r="S76" i="29"/>
  <c r="S69" i="29"/>
  <c r="S74" i="29"/>
  <c r="S64" i="29"/>
  <c r="S67" i="29"/>
  <c r="S45" i="29"/>
  <c r="S65" i="29"/>
  <c r="S72" i="29"/>
  <c r="S75" i="29"/>
  <c r="S77" i="29"/>
  <c r="S81" i="29"/>
  <c r="S68" i="29"/>
  <c r="S70" i="29"/>
  <c r="S80" i="29"/>
  <c r="S82" i="29"/>
  <c r="S79" i="29"/>
  <c r="I28" i="29"/>
  <c r="I29" i="29"/>
  <c r="I36" i="29"/>
  <c r="I34" i="29"/>
  <c r="I35" i="29"/>
  <c r="I37" i="29"/>
  <c r="I44" i="29"/>
  <c r="I31" i="29"/>
  <c r="I38" i="29"/>
  <c r="I49" i="29"/>
  <c r="I30" i="29"/>
  <c r="I39" i="29"/>
  <c r="I43" i="29"/>
  <c r="I33" i="29"/>
  <c r="I42" i="29"/>
  <c r="I54" i="29"/>
  <c r="I45" i="29"/>
  <c r="I52" i="29"/>
  <c r="I32" i="29"/>
  <c r="I48" i="29"/>
  <c r="I50" i="29"/>
  <c r="I58" i="29"/>
  <c r="I40" i="29"/>
  <c r="I41" i="29"/>
  <c r="I53" i="29"/>
  <c r="I56" i="29"/>
  <c r="I47" i="29"/>
  <c r="I57" i="29"/>
  <c r="I71" i="29"/>
  <c r="I62" i="29"/>
  <c r="I63" i="29"/>
  <c r="I69" i="29"/>
  <c r="I74" i="29"/>
  <c r="I61" i="29"/>
  <c r="I67" i="29"/>
  <c r="I81" i="29"/>
  <c r="I59" i="29"/>
  <c r="I65" i="29"/>
  <c r="I72" i="29"/>
  <c r="I79" i="29"/>
  <c r="I64" i="29"/>
  <c r="I70" i="29"/>
  <c r="I51" i="29"/>
  <c r="I60" i="29"/>
  <c r="I68" i="29"/>
  <c r="I75" i="29"/>
  <c r="I46" i="29"/>
  <c r="I78" i="29"/>
  <c r="I77" i="29"/>
  <c r="I55" i="29"/>
  <c r="I73" i="29"/>
  <c r="I82" i="29"/>
  <c r="I66" i="29"/>
  <c r="I80" i="29"/>
  <c r="I76" i="29"/>
  <c r="R31" i="29"/>
  <c r="R38" i="29"/>
  <c r="R29" i="29"/>
  <c r="R28" i="29"/>
  <c r="R37" i="29"/>
  <c r="R42" i="29"/>
  <c r="R41" i="29"/>
  <c r="R46" i="29"/>
  <c r="R30" i="29"/>
  <c r="R32" i="29"/>
  <c r="R45" i="29"/>
  <c r="R35" i="29"/>
  <c r="R36" i="29"/>
  <c r="R44" i="29"/>
  <c r="R34" i="29"/>
  <c r="R48" i="29"/>
  <c r="R54" i="29"/>
  <c r="R43" i="29"/>
  <c r="R52" i="29"/>
  <c r="R39" i="29"/>
  <c r="R40" i="29"/>
  <c r="R60" i="29"/>
  <c r="R47" i="29"/>
  <c r="R49" i="29"/>
  <c r="R53" i="29"/>
  <c r="R58" i="29"/>
  <c r="R33" i="29"/>
  <c r="R56" i="29"/>
  <c r="R50" i="29"/>
  <c r="R51" i="29"/>
  <c r="R55" i="29"/>
  <c r="R59" i="29"/>
  <c r="R57" i="29"/>
  <c r="R61" i="29"/>
  <c r="R63" i="29"/>
  <c r="R71" i="29"/>
  <c r="R76" i="29"/>
  <c r="R69" i="29"/>
  <c r="R74" i="29"/>
  <c r="R64" i="29"/>
  <c r="R67" i="29"/>
  <c r="R81" i="29"/>
  <c r="R65" i="29"/>
  <c r="R72" i="29"/>
  <c r="R70" i="29"/>
  <c r="R78" i="29"/>
  <c r="R66" i="29"/>
  <c r="R75" i="29"/>
  <c r="R77" i="29"/>
  <c r="R68" i="29"/>
  <c r="R62" i="29"/>
  <c r="R80" i="29"/>
  <c r="R82" i="29"/>
  <c r="R79" i="29"/>
  <c r="R73" i="29"/>
  <c r="V10" i="29"/>
  <c r="V19" i="29"/>
  <c r="V26" i="29"/>
  <c r="V17" i="29"/>
  <c r="V24" i="29"/>
  <c r="V15" i="29"/>
  <c r="V22" i="29"/>
  <c r="V13" i="29"/>
  <c r="V20" i="29"/>
  <c r="V11" i="29"/>
  <c r="V18" i="29"/>
  <c r="V27" i="29"/>
  <c r="V9" i="29"/>
  <c r="V16" i="29"/>
  <c r="V25" i="29"/>
  <c r="V30" i="29"/>
  <c r="V39" i="29"/>
  <c r="V28" i="29"/>
  <c r="V14" i="29"/>
  <c r="V23" i="29"/>
  <c r="V29" i="29"/>
  <c r="V36" i="29"/>
  <c r="V32" i="29"/>
  <c r="V47" i="29"/>
  <c r="V12" i="29"/>
  <c r="V21" i="29"/>
  <c r="V31" i="29"/>
  <c r="V43" i="29"/>
  <c r="V44" i="29"/>
  <c r="V45" i="29"/>
  <c r="V35" i="29"/>
  <c r="V53" i="29"/>
  <c r="V34" i="29"/>
  <c r="V37" i="29"/>
  <c r="V61" i="29"/>
  <c r="V50" i="29"/>
  <c r="V54" i="29"/>
  <c r="V55" i="29"/>
  <c r="V59" i="29"/>
  <c r="V48" i="29"/>
  <c r="V57" i="29"/>
  <c r="V46" i="29"/>
  <c r="V38" i="29"/>
  <c r="V33" i="29"/>
  <c r="V40" i="29"/>
  <c r="V41" i="29"/>
  <c r="V49" i="29"/>
  <c r="V52" i="29"/>
  <c r="V58" i="29"/>
  <c r="V62" i="29"/>
  <c r="V65" i="29"/>
  <c r="V72" i="29"/>
  <c r="V70" i="29"/>
  <c r="V77" i="29"/>
  <c r="V68" i="29"/>
  <c r="V75" i="29"/>
  <c r="V82" i="29"/>
  <c r="V66" i="29"/>
  <c r="V73" i="29"/>
  <c r="V80" i="29"/>
  <c r="V42" i="29"/>
  <c r="V60" i="29"/>
  <c r="V63" i="29"/>
  <c r="V56" i="29"/>
  <c r="V71" i="29"/>
  <c r="V64" i="29"/>
  <c r="V74" i="29"/>
  <c r="V78" i="29"/>
  <c r="V79" i="29"/>
  <c r="V67" i="29"/>
  <c r="V69" i="29"/>
  <c r="V76" i="29"/>
  <c r="V81" i="29"/>
  <c r="V51" i="29"/>
  <c r="P29" i="29"/>
  <c r="P34" i="29"/>
  <c r="P41" i="29"/>
  <c r="P32" i="29"/>
  <c r="P33" i="29"/>
  <c r="P40" i="29"/>
  <c r="P30" i="29"/>
  <c r="P35" i="29"/>
  <c r="P36" i="29"/>
  <c r="P39" i="29"/>
  <c r="P47" i="29"/>
  <c r="P28" i="29"/>
  <c r="P37" i="29"/>
  <c r="P52" i="29"/>
  <c r="P38" i="29"/>
  <c r="P43" i="29"/>
  <c r="P50" i="29"/>
  <c r="P49" i="29"/>
  <c r="P42" i="29"/>
  <c r="P46" i="29"/>
  <c r="P48" i="29"/>
  <c r="P63" i="29"/>
  <c r="P56" i="29"/>
  <c r="P61" i="29"/>
  <c r="P44" i="29"/>
  <c r="P51" i="29"/>
  <c r="P57" i="29"/>
  <c r="P45" i="29"/>
  <c r="P69" i="29"/>
  <c r="P53" i="29"/>
  <c r="P60" i="29"/>
  <c r="P64" i="29"/>
  <c r="P67" i="29"/>
  <c r="P81" i="29"/>
  <c r="P65" i="29"/>
  <c r="P72" i="29"/>
  <c r="P79" i="29"/>
  <c r="P70" i="29"/>
  <c r="P77" i="29"/>
  <c r="P68" i="29"/>
  <c r="P58" i="29"/>
  <c r="P62" i="29"/>
  <c r="P66" i="29"/>
  <c r="P73" i="29"/>
  <c r="P75" i="29"/>
  <c r="P31" i="29"/>
  <c r="P59" i="29"/>
  <c r="P76" i="29"/>
  <c r="P80" i="29"/>
  <c r="P82" i="29"/>
  <c r="P54" i="29"/>
  <c r="P55" i="29"/>
  <c r="P71" i="29"/>
  <c r="P78" i="29"/>
  <c r="P74" i="29"/>
  <c r="C213" i="17"/>
  <c r="C220" i="17"/>
  <c r="C216" i="17"/>
  <c r="C209" i="17"/>
  <c r="C202" i="17"/>
  <c r="C223" i="17"/>
  <c r="I41" i="34"/>
  <c r="I140" i="34" s="1"/>
  <c r="J6" i="30"/>
  <c r="J480" i="30" s="1"/>
  <c r="J243" i="29"/>
  <c r="I6" i="29"/>
  <c r="H40" i="34"/>
  <c r="H139" i="34" s="1"/>
  <c r="I242" i="29"/>
  <c r="I5" i="30"/>
  <c r="P242" i="29"/>
  <c r="Y6" i="29"/>
  <c r="X41" i="34" s="1"/>
  <c r="X140" i="34" s="1"/>
  <c r="I40" i="34"/>
  <c r="I139" i="34" s="1"/>
  <c r="L122" i="31"/>
  <c r="O40" i="34"/>
  <c r="O139" i="34" s="1"/>
  <c r="P6" i="29"/>
  <c r="Q16" i="43"/>
  <c r="C230" i="17"/>
  <c r="Y5" i="30"/>
  <c r="Y242" i="30" s="1"/>
  <c r="Q242" i="17"/>
  <c r="P551" i="30"/>
  <c r="P868" i="30"/>
  <c r="Q6" i="17"/>
  <c r="Y5" i="46"/>
  <c r="Y85" i="46" s="1"/>
  <c r="Y6" i="17"/>
  <c r="R5" i="46"/>
  <c r="R85" i="46" s="1"/>
  <c r="R16" i="43"/>
  <c r="R242" i="17"/>
  <c r="R6" i="17"/>
  <c r="Z791" i="18"/>
  <c r="Z479" i="18"/>
  <c r="J5" i="30"/>
  <c r="J242" i="29"/>
  <c r="C137" i="17"/>
  <c r="C215" i="17"/>
  <c r="C125" i="17"/>
  <c r="C203" i="17"/>
  <c r="C127" i="17"/>
  <c r="C205" i="17"/>
  <c r="C104" i="17"/>
  <c r="C182" i="17"/>
  <c r="S40" i="34"/>
  <c r="S139" i="34" s="1"/>
  <c r="T5" i="30"/>
  <c r="T242" i="29"/>
  <c r="C130" i="17"/>
  <c r="C154" i="17"/>
  <c r="C232" i="17"/>
  <c r="C140" i="17"/>
  <c r="C218" i="17"/>
  <c r="T6" i="29"/>
  <c r="S41" i="34" s="1"/>
  <c r="S140" i="34" s="1"/>
  <c r="Q247" i="12"/>
  <c r="L265" i="31"/>
  <c r="L81" i="31"/>
  <c r="L266" i="31"/>
  <c r="Q121" i="31"/>
  <c r="C212" i="17"/>
  <c r="C227" i="17"/>
  <c r="K40" i="34"/>
  <c r="K139" i="34" s="1"/>
  <c r="L6" i="29"/>
  <c r="L242" i="29"/>
  <c r="L5" i="30"/>
  <c r="F27" i="19"/>
  <c r="F27" i="17"/>
  <c r="F20" i="19"/>
  <c r="F20" i="17"/>
  <c r="F77" i="19"/>
  <c r="F77" i="17"/>
  <c r="F30" i="19"/>
  <c r="F30" i="17"/>
  <c r="F70" i="19"/>
  <c r="F70" i="17"/>
  <c r="F39" i="19"/>
  <c r="F39" i="17"/>
  <c r="F79" i="19"/>
  <c r="F79" i="17"/>
  <c r="F24" i="19"/>
  <c r="F24" i="17"/>
  <c r="F81" i="19"/>
  <c r="F81" i="17"/>
  <c r="F18" i="19"/>
  <c r="F18" i="17"/>
  <c r="F82" i="19"/>
  <c r="F82" i="17"/>
  <c r="F51" i="19"/>
  <c r="F51" i="17"/>
  <c r="F44" i="19"/>
  <c r="F44" i="17"/>
  <c r="F37" i="19"/>
  <c r="F37" i="17"/>
  <c r="F54" i="19"/>
  <c r="F54" i="17"/>
  <c r="F48" i="19"/>
  <c r="F48" i="17"/>
  <c r="F41" i="19"/>
  <c r="F41" i="17"/>
  <c r="F42" i="19"/>
  <c r="F42" i="17"/>
  <c r="F11" i="19"/>
  <c r="F11" i="17"/>
  <c r="F75" i="19"/>
  <c r="F75" i="17"/>
  <c r="F68" i="19"/>
  <c r="F68" i="17"/>
  <c r="F21" i="19"/>
  <c r="F21" i="17"/>
  <c r="F61" i="19"/>
  <c r="F61" i="17"/>
  <c r="F14" i="19"/>
  <c r="F14" i="17"/>
  <c r="F23" i="19"/>
  <c r="F23" i="17"/>
  <c r="F63" i="19"/>
  <c r="F63" i="17"/>
  <c r="F8" i="19"/>
  <c r="F8" i="17"/>
  <c r="F72" i="19"/>
  <c r="F72" i="17"/>
  <c r="F25" i="19"/>
  <c r="F25" i="17"/>
  <c r="F65" i="19"/>
  <c r="F65" i="17"/>
  <c r="F35" i="19"/>
  <c r="F35" i="17"/>
  <c r="F28" i="19"/>
  <c r="F28" i="17"/>
  <c r="F78" i="19"/>
  <c r="F78" i="17"/>
  <c r="F32" i="19"/>
  <c r="F32" i="17"/>
  <c r="F26" i="19"/>
  <c r="F26" i="17"/>
  <c r="F66" i="19"/>
  <c r="F66" i="17"/>
  <c r="F59" i="19"/>
  <c r="F59" i="17"/>
  <c r="F52" i="19"/>
  <c r="F52" i="17"/>
  <c r="F45" i="19"/>
  <c r="F45" i="17"/>
  <c r="F38" i="19"/>
  <c r="F38" i="17"/>
  <c r="F62" i="19"/>
  <c r="F62" i="17"/>
  <c r="F47" i="19"/>
  <c r="F47" i="17"/>
  <c r="F56" i="19"/>
  <c r="F56" i="17"/>
  <c r="F9" i="19"/>
  <c r="F9" i="17"/>
  <c r="F49" i="19"/>
  <c r="F49" i="17"/>
  <c r="F50" i="19"/>
  <c r="F50" i="17"/>
  <c r="F19" i="19"/>
  <c r="F19" i="17"/>
  <c r="F12" i="19"/>
  <c r="F12" i="17"/>
  <c r="F76" i="19"/>
  <c r="F76" i="17"/>
  <c r="F29" i="19"/>
  <c r="F29" i="17"/>
  <c r="F69" i="19"/>
  <c r="F69" i="17"/>
  <c r="F22" i="19"/>
  <c r="F22" i="17"/>
  <c r="F31" i="19"/>
  <c r="F31" i="17"/>
  <c r="F71" i="19"/>
  <c r="F71" i="17"/>
  <c r="F16" i="19"/>
  <c r="F16" i="17"/>
  <c r="F80" i="19"/>
  <c r="F80" i="17"/>
  <c r="F73" i="19"/>
  <c r="F73" i="17"/>
  <c r="F10" i="19"/>
  <c r="F10" i="17"/>
  <c r="F74" i="19"/>
  <c r="F74" i="17"/>
  <c r="F43" i="19"/>
  <c r="F43" i="17"/>
  <c r="F36" i="19"/>
  <c r="F36" i="17"/>
  <c r="F40" i="19"/>
  <c r="F40" i="17"/>
  <c r="F33" i="19"/>
  <c r="F33" i="17"/>
  <c r="F34" i="19"/>
  <c r="F34" i="17"/>
  <c r="F67" i="19"/>
  <c r="F67" i="17"/>
  <c r="F60" i="19"/>
  <c r="F60" i="17"/>
  <c r="F13" i="19"/>
  <c r="F13" i="17"/>
  <c r="F53" i="19"/>
  <c r="F53" i="17"/>
  <c r="F46" i="19"/>
  <c r="F46" i="17"/>
  <c r="F15" i="19"/>
  <c r="F15" i="17"/>
  <c r="F55" i="19"/>
  <c r="F55" i="17"/>
  <c r="F64" i="19"/>
  <c r="F64" i="17"/>
  <c r="F17" i="19"/>
  <c r="F17" i="17"/>
  <c r="F57" i="19"/>
  <c r="F57" i="17"/>
  <c r="F58" i="19"/>
  <c r="F58" i="17"/>
  <c r="G136" i="17"/>
  <c r="G214" i="17"/>
  <c r="E124" i="17"/>
  <c r="E202" i="17"/>
  <c r="D148" i="17"/>
  <c r="D226" i="17"/>
  <c r="G127" i="17"/>
  <c r="G151" i="17"/>
  <c r="G229" i="17"/>
  <c r="D124" i="17"/>
  <c r="D202" i="17"/>
  <c r="E144" i="17"/>
  <c r="E222" i="17"/>
  <c r="D128" i="17"/>
  <c r="D160" i="17"/>
  <c r="D233" i="17"/>
  <c r="E138" i="17"/>
  <c r="E216" i="17"/>
  <c r="G225" i="17"/>
  <c r="G124" i="17"/>
  <c r="G202" i="17"/>
  <c r="G125" i="17"/>
  <c r="G203" i="17"/>
  <c r="G211" i="17"/>
  <c r="G157" i="17"/>
  <c r="G235" i="17"/>
  <c r="G132" i="17"/>
  <c r="U6" i="18"/>
  <c r="U480" i="18" s="1"/>
  <c r="N116" i="31"/>
  <c r="L106" i="31"/>
  <c r="Q113" i="31"/>
  <c r="N246" i="31"/>
  <c r="M219" i="31"/>
  <c r="K96" i="31"/>
  <c r="M215" i="31"/>
  <c r="Q71" i="31"/>
  <c r="M120" i="31"/>
  <c r="K58" i="31"/>
  <c r="N108" i="31"/>
  <c r="L54" i="31"/>
  <c r="Q97" i="31"/>
  <c r="N238" i="31"/>
  <c r="N218" i="31"/>
  <c r="L57" i="31"/>
  <c r="K247" i="31"/>
  <c r="Q254" i="31"/>
  <c r="M61" i="31"/>
  <c r="N221" i="31"/>
  <c r="N92" i="31"/>
  <c r="N210" i="31"/>
  <c r="K264" i="31"/>
  <c r="Q80" i="31"/>
  <c r="N106" i="31"/>
  <c r="N276" i="31"/>
  <c r="N251" i="31"/>
  <c r="M123" i="31"/>
  <c r="K121" i="31"/>
  <c r="M260" i="31"/>
  <c r="K256" i="31"/>
  <c r="Q263" i="31"/>
  <c r="M121" i="31"/>
  <c r="K253" i="31"/>
  <c r="N219" i="31"/>
  <c r="M115" i="31"/>
  <c r="K81" i="31"/>
  <c r="Q272" i="31"/>
  <c r="M252" i="31"/>
  <c r="N123" i="31"/>
  <c r="M226" i="31"/>
  <c r="L94" i="31"/>
  <c r="Q63" i="31"/>
  <c r="M99" i="31"/>
  <c r="K73" i="31"/>
  <c r="Q232" i="31"/>
  <c r="M236" i="31"/>
  <c r="N229" i="31"/>
  <c r="L72" i="31"/>
  <c r="L248" i="31"/>
  <c r="Q276" i="31"/>
  <c r="M163" i="31"/>
  <c r="K62" i="31"/>
  <c r="Q220" i="31"/>
  <c r="L274" i="31"/>
  <c r="M54" i="31"/>
  <c r="M243" i="31"/>
  <c r="K87" i="31"/>
  <c r="L270" i="31"/>
  <c r="P16" i="43"/>
  <c r="P175" i="29"/>
  <c r="P230" i="29"/>
  <c r="P219" i="29"/>
  <c r="P192" i="29"/>
  <c r="P181" i="29"/>
  <c r="P170" i="29"/>
  <c r="P234" i="29"/>
  <c r="P223" i="29"/>
  <c r="P238" i="29"/>
  <c r="P227" i="29"/>
  <c r="P200" i="29"/>
  <c r="P189" i="29"/>
  <c r="P178" i="29"/>
  <c r="P167" i="29"/>
  <c r="P231" i="29"/>
  <c r="P182" i="29"/>
  <c r="P171" i="29"/>
  <c r="P235" i="29"/>
  <c r="P208" i="29"/>
  <c r="P197" i="29"/>
  <c r="P186" i="29"/>
  <c r="P174" i="29"/>
  <c r="P190" i="29"/>
  <c r="P179" i="29"/>
  <c r="P216" i="29"/>
  <c r="P205" i="29"/>
  <c r="P194" i="29"/>
  <c r="P183" i="29"/>
  <c r="P206" i="29"/>
  <c r="P195" i="29"/>
  <c r="P168" i="29"/>
  <c r="P232" i="29"/>
  <c r="P221" i="29"/>
  <c r="P210" i="29"/>
  <c r="P199" i="29"/>
  <c r="P164" i="29"/>
  <c r="P214" i="29"/>
  <c r="P203" i="29"/>
  <c r="P176" i="29"/>
  <c r="P229" i="29"/>
  <c r="P218" i="29"/>
  <c r="P207" i="29"/>
  <c r="P166" i="29"/>
  <c r="P191" i="29"/>
  <c r="P196" i="29"/>
  <c r="P217" i="29"/>
  <c r="P184" i="29"/>
  <c r="P215" i="29"/>
  <c r="P204" i="29"/>
  <c r="P225" i="29"/>
  <c r="P224" i="29"/>
  <c r="P212" i="29"/>
  <c r="P169" i="29"/>
  <c r="P233" i="29"/>
  <c r="P165" i="29"/>
  <c r="P173" i="29"/>
  <c r="P220" i="29"/>
  <c r="P177" i="29"/>
  <c r="P198" i="29"/>
  <c r="P213" i="29"/>
  <c r="P228" i="29"/>
  <c r="P185" i="29"/>
  <c r="P222" i="29"/>
  <c r="P237" i="29"/>
  <c r="P172" i="29"/>
  <c r="P236" i="29"/>
  <c r="P193" i="29"/>
  <c r="P187" i="29"/>
  <c r="P202" i="29"/>
  <c r="P180" i="29"/>
  <c r="P201" i="29"/>
  <c r="P226" i="29"/>
  <c r="P188" i="29"/>
  <c r="P211" i="29"/>
  <c r="P209" i="29"/>
  <c r="P17" i="43"/>
  <c r="P332" i="43" s="1"/>
  <c r="Q78" i="21"/>
  <c r="Q147" i="21" s="1"/>
  <c r="P243" i="17"/>
  <c r="P6" i="19"/>
  <c r="P399" i="19" s="1"/>
  <c r="U6" i="30"/>
  <c r="U480" i="30" s="1"/>
  <c r="U243" i="29"/>
  <c r="C9" i="47"/>
  <c r="C76" i="47" s="1"/>
  <c r="C77" i="35"/>
  <c r="C821" i="35" s="1"/>
  <c r="J25" i="34"/>
  <c r="J142" i="34" s="1"/>
  <c r="O10" i="35"/>
  <c r="I43" i="23"/>
  <c r="D234" i="50"/>
  <c r="D244" i="50" s="1"/>
  <c r="L123" i="27"/>
  <c r="D37" i="50"/>
  <c r="D75" i="47"/>
  <c r="I42" i="23"/>
  <c r="D82" i="50"/>
  <c r="D127" i="50"/>
  <c r="D137" i="50" s="1"/>
  <c r="H75" i="47"/>
  <c r="P75" i="47"/>
  <c r="O42" i="34"/>
  <c r="O61" i="34" s="1"/>
  <c r="C116" i="12"/>
  <c r="E116" i="12" s="1"/>
  <c r="B1" i="29"/>
  <c r="O869" i="30"/>
  <c r="M192" i="31"/>
  <c r="B1" i="32"/>
  <c r="B1" i="31"/>
  <c r="B1" i="35"/>
  <c r="B1" i="30"/>
  <c r="N115" i="31"/>
  <c r="M122" i="31"/>
  <c r="L73" i="31"/>
  <c r="K88" i="31"/>
  <c r="Q72" i="31"/>
  <c r="Q255" i="31"/>
  <c r="N209" i="31"/>
  <c r="M235" i="31"/>
  <c r="L257" i="31"/>
  <c r="M213" i="31"/>
  <c r="K239" i="31"/>
  <c r="N98" i="31"/>
  <c r="M113" i="31"/>
  <c r="L68" i="31"/>
  <c r="K79" i="31"/>
  <c r="Q127" i="31"/>
  <c r="Q67" i="31"/>
  <c r="Q246" i="31"/>
  <c r="N268" i="31"/>
  <c r="M282" i="31"/>
  <c r="M222" i="31"/>
  <c r="L240" i="31"/>
  <c r="K278" i="31"/>
  <c r="N113" i="31"/>
  <c r="M96" i="31"/>
  <c r="Q118" i="31"/>
  <c r="K214" i="31"/>
  <c r="K125" i="31"/>
  <c r="Q228" i="31"/>
  <c r="L210" i="31"/>
  <c r="M86" i="31"/>
  <c r="Q92" i="31"/>
  <c r="M239" i="31"/>
  <c r="K55" i="31"/>
  <c r="K266" i="31"/>
  <c r="Q241" i="31"/>
  <c r="W25" i="9"/>
  <c r="W26" i="9" s="1"/>
  <c r="W27" i="9" s="1"/>
  <c r="W28" i="9" s="1"/>
  <c r="W29" i="9" s="1"/>
  <c r="W30" i="9" s="1"/>
  <c r="W31" i="9" s="1"/>
  <c r="W32" i="9" s="1"/>
  <c r="N100" i="31"/>
  <c r="M107" i="31"/>
  <c r="L114" i="31"/>
  <c r="K68" i="31"/>
  <c r="Q105" i="31"/>
  <c r="Q280" i="31"/>
  <c r="N230" i="31"/>
  <c r="M244" i="31"/>
  <c r="L258" i="31"/>
  <c r="M216" i="31"/>
  <c r="K248" i="31"/>
  <c r="N107" i="31"/>
  <c r="M114" i="31"/>
  <c r="L53" i="31"/>
  <c r="K80" i="31"/>
  <c r="Q68" i="31"/>
  <c r="Q247" i="31"/>
  <c r="N277" i="31"/>
  <c r="M227" i="31"/>
  <c r="L249" i="31"/>
  <c r="K231" i="31"/>
  <c r="N90" i="31"/>
  <c r="M105" i="31"/>
  <c r="L120" i="31"/>
  <c r="K71" i="31"/>
  <c r="Q119" i="31"/>
  <c r="Q57" i="31"/>
  <c r="Q238" i="31"/>
  <c r="N260" i="31"/>
  <c r="M274" i="31"/>
  <c r="L232" i="31"/>
  <c r="K262" i="31"/>
  <c r="N105" i="31"/>
  <c r="M80" i="31"/>
  <c r="Q102" i="31"/>
  <c r="M273" i="31"/>
  <c r="K109" i="31"/>
  <c r="Q218" i="31"/>
  <c r="N214" i="31"/>
  <c r="M70" i="31"/>
  <c r="Q76" i="31"/>
  <c r="L253" i="31"/>
  <c r="Q107" i="31"/>
  <c r="N125" i="31"/>
  <c r="N271" i="31"/>
  <c r="L250" i="31"/>
  <c r="M214" i="31"/>
  <c r="K240" i="31"/>
  <c r="N99" i="31"/>
  <c r="M106" i="31"/>
  <c r="L121" i="31"/>
  <c r="K72" i="31"/>
  <c r="Q120" i="31"/>
  <c r="Q58" i="31"/>
  <c r="Q239" i="31"/>
  <c r="N269" i="31"/>
  <c r="M283" i="31"/>
  <c r="M223" i="31"/>
  <c r="L241" i="31"/>
  <c r="K223" i="31"/>
  <c r="N82" i="31"/>
  <c r="M97" i="31"/>
  <c r="L112" i="31"/>
  <c r="K127" i="31"/>
  <c r="K66" i="31"/>
  <c r="Q111" i="31"/>
  <c r="Q230" i="31"/>
  <c r="N252" i="31"/>
  <c r="M266" i="31"/>
  <c r="L220" i="31"/>
  <c r="K246" i="31"/>
  <c r="N97" i="31"/>
  <c r="L111" i="31"/>
  <c r="Q62" i="31"/>
  <c r="M225" i="31"/>
  <c r="N80" i="31"/>
  <c r="L63" i="31"/>
  <c r="N250" i="31"/>
  <c r="K260" i="31"/>
  <c r="L101" i="31"/>
  <c r="Q267" i="31"/>
  <c r="Q282" i="31"/>
  <c r="N65" i="31"/>
  <c r="M203" i="31"/>
  <c r="N84" i="31"/>
  <c r="M91" i="31"/>
  <c r="L98" i="31"/>
  <c r="K113" i="31"/>
  <c r="N56" i="31"/>
  <c r="Q89" i="31"/>
  <c r="Q264" i="31"/>
  <c r="N278" i="31"/>
  <c r="M228" i="31"/>
  <c r="L242" i="31"/>
  <c r="K232" i="31"/>
  <c r="N91" i="31"/>
  <c r="M98" i="31"/>
  <c r="L113" i="31"/>
  <c r="K67" i="31"/>
  <c r="Q112" i="31"/>
  <c r="Q231" i="31"/>
  <c r="N261" i="31"/>
  <c r="M275" i="31"/>
  <c r="L233" i="31"/>
  <c r="K279" i="31"/>
  <c r="K215" i="31"/>
  <c r="N74" i="31"/>
  <c r="M89" i="31"/>
  <c r="L104" i="31"/>
  <c r="K119" i="31"/>
  <c r="M62" i="31"/>
  <c r="Q103" i="31"/>
  <c r="Q210" i="31"/>
  <c r="N244" i="31"/>
  <c r="M258" i="31"/>
  <c r="L280" i="31"/>
  <c r="L219" i="31"/>
  <c r="K238" i="31"/>
  <c r="N89" i="31"/>
  <c r="L95" i="31"/>
  <c r="N68" i="31"/>
  <c r="M60" i="31"/>
  <c r="N234" i="31"/>
  <c r="K244" i="31"/>
  <c r="L85" i="31"/>
  <c r="Q251" i="31"/>
  <c r="K227" i="31"/>
  <c r="Q222" i="31"/>
  <c r="M76" i="31"/>
  <c r="M209" i="31"/>
  <c r="N76" i="31"/>
  <c r="M83" i="31"/>
  <c r="L90" i="31"/>
  <c r="K105" i="31"/>
  <c r="L58" i="31"/>
  <c r="Q81" i="31"/>
  <c r="Q256" i="31"/>
  <c r="N270" i="31"/>
  <c r="M224" i="31"/>
  <c r="L234" i="31"/>
  <c r="K224" i="31"/>
  <c r="N83" i="31"/>
  <c r="M90" i="31"/>
  <c r="L105" i="31"/>
  <c r="K120" i="31"/>
  <c r="M63" i="31"/>
  <c r="Q104" i="31"/>
  <c r="Q211" i="31"/>
  <c r="N253" i="31"/>
  <c r="M267" i="31"/>
  <c r="L225" i="31"/>
  <c r="K271" i="31"/>
  <c r="N54" i="31"/>
  <c r="M81" i="31"/>
  <c r="L96" i="31"/>
  <c r="K111" i="31"/>
  <c r="L61" i="31"/>
  <c r="Q95" i="31"/>
  <c r="Q278" i="31"/>
  <c r="Q213" i="31"/>
  <c r="N236" i="31"/>
  <c r="M250" i="31"/>
  <c r="L272" i="31"/>
  <c r="N216" i="31"/>
  <c r="K230" i="31"/>
  <c r="N81" i="31"/>
  <c r="K126" i="31"/>
  <c r="Q245" i="31"/>
  <c r="L247" i="31"/>
  <c r="M95" i="31"/>
  <c r="Q109" i="31"/>
  <c r="M272" i="31"/>
  <c r="K116" i="31"/>
  <c r="N94" i="31"/>
  <c r="N248" i="31"/>
  <c r="L83" i="31"/>
  <c r="L235" i="31"/>
  <c r="K185" i="31"/>
  <c r="N64" i="31"/>
  <c r="M75" i="31"/>
  <c r="L82" i="31"/>
  <c r="K97" i="31"/>
  <c r="Q73" i="31"/>
  <c r="Q248" i="31"/>
  <c r="N262" i="31"/>
  <c r="M276" i="31"/>
  <c r="L226" i="31"/>
  <c r="K280" i="31"/>
  <c r="K216" i="31"/>
  <c r="N75" i="31"/>
  <c r="M82" i="31"/>
  <c r="L97" i="31"/>
  <c r="K112" i="31"/>
  <c r="L62" i="31"/>
  <c r="Q96" i="31"/>
  <c r="Q279" i="31"/>
  <c r="Q219" i="31"/>
  <c r="N245" i="31"/>
  <c r="M259" i="31"/>
  <c r="L281" i="31"/>
  <c r="L221" i="31"/>
  <c r="K263" i="31"/>
  <c r="N122" i="31"/>
  <c r="M73" i="31"/>
  <c r="L88" i="31"/>
  <c r="K103" i="31"/>
  <c r="K60" i="31"/>
  <c r="Q87" i="31"/>
  <c r="Q270" i="31"/>
  <c r="N228" i="31"/>
  <c r="M242" i="31"/>
  <c r="L264" i="31"/>
  <c r="M212" i="31"/>
  <c r="K222" i="31"/>
  <c r="N53" i="31"/>
  <c r="K110" i="31"/>
  <c r="Q229" i="31"/>
  <c r="L231" i="31"/>
  <c r="M79" i="31"/>
  <c r="Q93" i="31"/>
  <c r="M256" i="31"/>
  <c r="N119" i="31"/>
  <c r="K100" i="31"/>
  <c r="N281" i="31"/>
  <c r="M109" i="31"/>
  <c r="M262" i="31"/>
  <c r="K90" i="31"/>
  <c r="K273" i="31"/>
  <c r="N124" i="31"/>
  <c r="M55" i="31"/>
  <c r="L74" i="31"/>
  <c r="K89" i="31"/>
  <c r="Q53" i="31"/>
  <c r="Q240" i="31"/>
  <c r="N254" i="31"/>
  <c r="M268" i="31"/>
  <c r="L282" i="31"/>
  <c r="L222" i="31"/>
  <c r="K272" i="31"/>
  <c r="N55" i="31"/>
  <c r="M74" i="31"/>
  <c r="L89" i="31"/>
  <c r="K104" i="31"/>
  <c r="K61" i="31"/>
  <c r="Q88" i="31"/>
  <c r="Q271" i="31"/>
  <c r="Q214" i="31"/>
  <c r="N237" i="31"/>
  <c r="M251" i="31"/>
  <c r="L273" i="31"/>
  <c r="N217" i="31"/>
  <c r="K255" i="31"/>
  <c r="N114" i="31"/>
  <c r="M53" i="31"/>
  <c r="L80" i="31"/>
  <c r="K95" i="31"/>
  <c r="L56" i="31"/>
  <c r="Q79" i="31"/>
  <c r="Q262" i="31"/>
  <c r="N224" i="31"/>
  <c r="M234" i="31"/>
  <c r="L256" i="31"/>
  <c r="K211" i="31"/>
  <c r="K65" i="31"/>
  <c r="N267" i="31"/>
  <c r="K269" i="31"/>
  <c r="L110" i="31"/>
  <c r="N71" i="31"/>
  <c r="M59" i="31"/>
  <c r="N233" i="31"/>
  <c r="L124" i="31"/>
  <c r="L276" i="31"/>
  <c r="Q122" i="31"/>
  <c r="V247" i="12"/>
  <c r="K204" i="31"/>
  <c r="L157" i="31"/>
  <c r="L182" i="31"/>
  <c r="L190" i="31"/>
  <c r="M155" i="31"/>
  <c r="N168" i="31"/>
  <c r="K217" i="31"/>
  <c r="K281" i="31"/>
  <c r="L243" i="31"/>
  <c r="M229" i="31"/>
  <c r="N279" i="31"/>
  <c r="Q249" i="31"/>
  <c r="Q54" i="31"/>
  <c r="K98" i="31"/>
  <c r="L91" i="31"/>
  <c r="M84" i="31"/>
  <c r="N69" i="31"/>
  <c r="K274" i="31"/>
  <c r="L224" i="31"/>
  <c r="M270" i="31"/>
  <c r="N256" i="31"/>
  <c r="Q226" i="31"/>
  <c r="Q115" i="31"/>
  <c r="K75" i="31"/>
  <c r="L64" i="31"/>
  <c r="M117" i="31"/>
  <c r="N102" i="31"/>
  <c r="K235" i="31"/>
  <c r="L213" i="31"/>
  <c r="L261" i="31"/>
  <c r="M247" i="31"/>
  <c r="N225" i="31"/>
  <c r="Q259" i="31"/>
  <c r="Q84" i="31"/>
  <c r="M56" i="31"/>
  <c r="K108" i="31"/>
  <c r="L93" i="31"/>
  <c r="M78" i="31"/>
  <c r="N67" i="31"/>
  <c r="N127" i="31"/>
  <c r="K252" i="31"/>
  <c r="L218" i="31"/>
  <c r="L278" i="31"/>
  <c r="M264" i="31"/>
  <c r="N242" i="31"/>
  <c r="Q224" i="31"/>
  <c r="Q101" i="31"/>
  <c r="N61" i="31"/>
  <c r="K117" i="31"/>
  <c r="L102" i="31"/>
  <c r="M87" i="31"/>
  <c r="N72" i="31"/>
  <c r="K261" i="31"/>
  <c r="L239" i="31"/>
  <c r="M221" i="31"/>
  <c r="M281" i="31"/>
  <c r="N259" i="31"/>
  <c r="Q237" i="31"/>
  <c r="Q56" i="31"/>
  <c r="Q110" i="31"/>
  <c r="N62" i="31"/>
  <c r="K118" i="31"/>
  <c r="L103" i="31"/>
  <c r="M88" i="31"/>
  <c r="N73" i="31"/>
  <c r="K270" i="31"/>
  <c r="K157" i="31"/>
  <c r="Q170" i="31"/>
  <c r="M178" i="31"/>
  <c r="M187" i="31"/>
  <c r="M195" i="31"/>
  <c r="N152" i="31"/>
  <c r="Q173" i="31"/>
  <c r="K225" i="31"/>
  <c r="L251" i="31"/>
  <c r="M237" i="31"/>
  <c r="N211" i="31"/>
  <c r="Q257" i="31"/>
  <c r="Q74" i="31"/>
  <c r="K56" i="31"/>
  <c r="K106" i="31"/>
  <c r="L99" i="31"/>
  <c r="M92" i="31"/>
  <c r="N77" i="31"/>
  <c r="K218" i="31"/>
  <c r="K282" i="31"/>
  <c r="L228" i="31"/>
  <c r="M278" i="31"/>
  <c r="N264" i="31"/>
  <c r="Q234" i="31"/>
  <c r="Q59" i="31"/>
  <c r="Q123" i="31"/>
  <c r="K83" i="31"/>
  <c r="L76" i="31"/>
  <c r="M65" i="31"/>
  <c r="M125" i="31"/>
  <c r="N110" i="31"/>
  <c r="K243" i="31"/>
  <c r="N213" i="31"/>
  <c r="L269" i="31"/>
  <c r="M255" i="31"/>
  <c r="L164" i="31"/>
  <c r="N191" i="31"/>
  <c r="N192" i="31"/>
  <c r="N200" i="31"/>
  <c r="Q149" i="31"/>
  <c r="N160" i="31"/>
  <c r="M179" i="31"/>
  <c r="K233" i="31"/>
  <c r="L259" i="31"/>
  <c r="M245" i="31"/>
  <c r="N231" i="31"/>
  <c r="Q265" i="31"/>
  <c r="Q82" i="31"/>
  <c r="N57" i="31"/>
  <c r="K114" i="31"/>
  <c r="L107" i="31"/>
  <c r="M100" i="31"/>
  <c r="N85" i="31"/>
  <c r="K226" i="31"/>
  <c r="L236" i="31"/>
  <c r="M210" i="31"/>
  <c r="N272" i="31"/>
  <c r="Q242" i="31"/>
  <c r="Q55" i="31"/>
  <c r="K91" i="31"/>
  <c r="L84" i="31"/>
  <c r="M69" i="31"/>
  <c r="N118" i="31"/>
  <c r="K251" i="31"/>
  <c r="L217" i="31"/>
  <c r="L277" i="31"/>
  <c r="M263" i="31"/>
  <c r="N241" i="31"/>
  <c r="Q217" i="31"/>
  <c r="Q275" i="31"/>
  <c r="Q100" i="31"/>
  <c r="N60" i="31"/>
  <c r="K124" i="31"/>
  <c r="L109" i="31"/>
  <c r="M94" i="31"/>
  <c r="N79" i="31"/>
  <c r="K213" i="31"/>
  <c r="K268" i="31"/>
  <c r="L230" i="31"/>
  <c r="M280" i="31"/>
  <c r="N258" i="31"/>
  <c r="Q236" i="31"/>
  <c r="Q61" i="31"/>
  <c r="Q117" i="31"/>
  <c r="K69" i="31"/>
  <c r="L118" i="31"/>
  <c r="M103" i="31"/>
  <c r="N88" i="31"/>
  <c r="K210" i="31"/>
  <c r="K277" i="31"/>
  <c r="L255" i="31"/>
  <c r="M233" i="31"/>
  <c r="N275" i="31"/>
  <c r="Q253" i="31"/>
  <c r="Q66" i="31"/>
  <c r="Q126" i="31"/>
  <c r="K70" i="31"/>
  <c r="L119" i="31"/>
  <c r="M104" i="31"/>
  <c r="N193" i="31"/>
  <c r="N196" i="31"/>
  <c r="M193" i="31"/>
  <c r="Q148" i="31"/>
  <c r="Q197" i="31"/>
  <c r="Q205" i="31"/>
  <c r="Q157" i="31"/>
  <c r="Q165" i="31"/>
  <c r="Q189" i="31"/>
  <c r="K241" i="31"/>
  <c r="L215" i="31"/>
  <c r="L267" i="31"/>
  <c r="M253" i="31"/>
  <c r="N239" i="31"/>
  <c r="Q215" i="31"/>
  <c r="Q273" i="31"/>
  <c r="Q90" i="31"/>
  <c r="K63" i="31"/>
  <c r="K122" i="31"/>
  <c r="L115" i="31"/>
  <c r="M108" i="31"/>
  <c r="N93" i="31"/>
  <c r="K234" i="31"/>
  <c r="L212" i="31"/>
  <c r="L244" i="31"/>
  <c r="M230" i="31"/>
  <c r="N280" i="31"/>
  <c r="Q250" i="31"/>
  <c r="Q75" i="31"/>
  <c r="K57" i="31"/>
  <c r="K99" i="31"/>
  <c r="L92" i="31"/>
  <c r="M77" i="31"/>
  <c r="N66" i="31"/>
  <c r="N126" i="31"/>
  <c r="K259" i="31"/>
  <c r="L209" i="31"/>
  <c r="M271" i="31"/>
  <c r="N249" i="31"/>
  <c r="Q223" i="31"/>
  <c r="Q283" i="31"/>
  <c r="Q108" i="31"/>
  <c r="K64" i="31"/>
  <c r="L117" i="31"/>
  <c r="M102" i="31"/>
  <c r="N87" i="31"/>
  <c r="K209" i="31"/>
  <c r="K276" i="31"/>
  <c r="L238" i="31"/>
  <c r="M220" i="31"/>
  <c r="N266" i="31"/>
  <c r="Q244" i="31"/>
  <c r="Q65" i="31"/>
  <c r="Q125" i="31"/>
  <c r="K77" i="31"/>
  <c r="L66" i="31"/>
  <c r="L126" i="31"/>
  <c r="M111" i="31"/>
  <c r="N96" i="31"/>
  <c r="K221" i="31"/>
  <c r="L263" i="31"/>
  <c r="M241" i="31"/>
  <c r="N223" i="31"/>
  <c r="N283" i="31"/>
  <c r="Q261" i="31"/>
  <c r="Q70" i="31"/>
  <c r="K78" i="31"/>
  <c r="L67" i="31"/>
  <c r="L127" i="31"/>
  <c r="M112" i="31"/>
  <c r="Q182" i="31"/>
  <c r="K198" i="31"/>
  <c r="N158" i="31"/>
  <c r="K193" i="31"/>
  <c r="K145" i="31"/>
  <c r="K153" i="31"/>
  <c r="K161" i="31"/>
  <c r="K177" i="31"/>
  <c r="K249" i="31"/>
  <c r="M217" i="31"/>
  <c r="L275" i="31"/>
  <c r="M261" i="31"/>
  <c r="N247" i="31"/>
  <c r="Q221" i="31"/>
  <c r="Q281" i="31"/>
  <c r="Q98" i="31"/>
  <c r="K54" i="31"/>
  <c r="L123" i="31"/>
  <c r="M116" i="31"/>
  <c r="N101" i="31"/>
  <c r="K242" i="31"/>
  <c r="N212" i="31"/>
  <c r="L252" i="31"/>
  <c r="M238" i="31"/>
  <c r="N220" i="31"/>
  <c r="Q258" i="31"/>
  <c r="Q83" i="31"/>
  <c r="N58" i="31"/>
  <c r="K107" i="31"/>
  <c r="L100" i="31"/>
  <c r="M85" i="31"/>
  <c r="N70" i="31"/>
  <c r="K267" i="31"/>
  <c r="L229" i="31"/>
  <c r="M279" i="31"/>
  <c r="N257" i="31"/>
  <c r="Q227" i="31"/>
  <c r="Q116" i="31"/>
  <c r="K76" i="31"/>
  <c r="L65" i="31"/>
  <c r="L125" i="31"/>
  <c r="M110" i="31"/>
  <c r="N95" i="31"/>
  <c r="K220" i="31"/>
  <c r="L246" i="31"/>
  <c r="M232" i="31"/>
  <c r="N274" i="31"/>
  <c r="Q252" i="31"/>
  <c r="Q69" i="31"/>
  <c r="K85" i="31"/>
  <c r="L70" i="31"/>
  <c r="M119" i="31"/>
  <c r="N104" i="31"/>
  <c r="K229" i="31"/>
  <c r="L271" i="31"/>
  <c r="M249" i="31"/>
  <c r="N227" i="31"/>
  <c r="Q269" i="31"/>
  <c r="Q78" i="31"/>
  <c r="M58" i="31"/>
  <c r="K86" i="31"/>
  <c r="L71" i="31"/>
  <c r="K155" i="31"/>
  <c r="Q179" i="31"/>
  <c r="L166" i="31"/>
  <c r="Q132" i="31"/>
  <c r="K201" i="31"/>
  <c r="Q141" i="31"/>
  <c r="L174" i="31"/>
  <c r="K257" i="31"/>
  <c r="L223" i="31"/>
  <c r="L283" i="31"/>
  <c r="M269" i="31"/>
  <c r="N255" i="31"/>
  <c r="Q225" i="31"/>
  <c r="Q106" i="31"/>
  <c r="K74" i="31"/>
  <c r="L55" i="31"/>
  <c r="M124" i="31"/>
  <c r="N109" i="31"/>
  <c r="K250" i="31"/>
  <c r="L216" i="31"/>
  <c r="L260" i="31"/>
  <c r="M246" i="31"/>
  <c r="N232" i="31"/>
  <c r="Q266" i="31"/>
  <c r="Q91" i="31"/>
  <c r="N59" i="31"/>
  <c r="K115" i="31"/>
  <c r="L108" i="31"/>
  <c r="M93" i="31"/>
  <c r="N78" i="31"/>
  <c r="K212" i="31"/>
  <c r="K275" i="31"/>
  <c r="L237" i="31"/>
  <c r="M211" i="31"/>
  <c r="N265" i="31"/>
  <c r="Q235" i="31"/>
  <c r="Q60" i="31"/>
  <c r="Q124" i="31"/>
  <c r="K84" i="31"/>
  <c r="L69" i="31"/>
  <c r="M118" i="31"/>
  <c r="N103" i="31"/>
  <c r="K228" i="31"/>
  <c r="L254" i="31"/>
  <c r="M240" i="31"/>
  <c r="N222" i="31"/>
  <c r="N282" i="31"/>
  <c r="Q260" i="31"/>
  <c r="Q77" i="31"/>
  <c r="M57" i="31"/>
  <c r="K93" i="31"/>
  <c r="L78" i="31"/>
  <c r="M67" i="31"/>
  <c r="M127" i="31"/>
  <c r="N112" i="31"/>
  <c r="K237" i="31"/>
  <c r="N215" i="31"/>
  <c r="L279" i="31"/>
  <c r="M257" i="31"/>
  <c r="N235" i="31"/>
  <c r="Q212" i="31"/>
  <c r="Q277" i="31"/>
  <c r="Q86" i="31"/>
  <c r="K59" i="31"/>
  <c r="K94" i="31"/>
  <c r="L79" i="31"/>
  <c r="M68" i="31"/>
  <c r="Q167" i="31"/>
  <c r="L179" i="31"/>
  <c r="K152" i="31"/>
  <c r="N176" i="31"/>
  <c r="L198" i="31"/>
  <c r="L158" i="31"/>
  <c r="N184" i="31"/>
  <c r="K265" i="31"/>
  <c r="L227" i="31"/>
  <c r="M277" i="31"/>
  <c r="N263" i="31"/>
  <c r="Q233" i="31"/>
  <c r="Q114" i="31"/>
  <c r="K82" i="31"/>
  <c r="L75" i="31"/>
  <c r="M64" i="31"/>
  <c r="N117" i="31"/>
  <c r="K258" i="31"/>
  <c r="M218" i="31"/>
  <c r="L268" i="31"/>
  <c r="M254" i="31"/>
  <c r="N240" i="31"/>
  <c r="Q216" i="31"/>
  <c r="Q274" i="31"/>
  <c r="Q99" i="31"/>
  <c r="N63" i="31"/>
  <c r="K123" i="31"/>
  <c r="L116" i="31"/>
  <c r="M101" i="31"/>
  <c r="N86" i="31"/>
  <c r="K219" i="31"/>
  <c r="K283" i="31"/>
  <c r="L245" i="31"/>
  <c r="M231" i="31"/>
  <c r="N273" i="31"/>
  <c r="Q243" i="31"/>
  <c r="Q64" i="31"/>
  <c r="K92" i="31"/>
  <c r="L77" i="31"/>
  <c r="M66" i="31"/>
  <c r="M126" i="31"/>
  <c r="N111" i="31"/>
  <c r="K236" i="31"/>
  <c r="L214" i="31"/>
  <c r="L262" i="31"/>
  <c r="M248" i="31"/>
  <c r="N226" i="31"/>
  <c r="Q268" i="31"/>
  <c r="Q85" i="31"/>
  <c r="L59" i="31"/>
  <c r="K101" i="31"/>
  <c r="L86" i="31"/>
  <c r="M71" i="31"/>
  <c r="N120" i="31"/>
  <c r="K245" i="31"/>
  <c r="L211" i="31"/>
  <c r="M265" i="31"/>
  <c r="N243" i="31"/>
  <c r="Q209" i="31"/>
  <c r="Q94" i="31"/>
  <c r="L60" i="31"/>
  <c r="K102" i="31"/>
  <c r="L87" i="31"/>
  <c r="M72" i="31"/>
  <c r="N121" i="31"/>
  <c r="K254" i="31"/>
  <c r="I49" i="23"/>
  <c r="I48" i="23"/>
  <c r="I47" i="23"/>
  <c r="I72" i="23"/>
  <c r="I51" i="23"/>
  <c r="I73" i="23"/>
  <c r="I52" i="23"/>
  <c r="I50" i="23"/>
  <c r="P5" i="46"/>
  <c r="P85" i="46" s="1"/>
  <c r="P242" i="17"/>
  <c r="W40" i="34"/>
  <c r="W139" i="34" s="1"/>
  <c r="X5" i="30"/>
  <c r="X6" i="29"/>
  <c r="X242" i="29"/>
  <c r="AA479" i="30"/>
  <c r="AA551" i="30"/>
  <c r="AA242" i="30"/>
  <c r="AA868" i="30"/>
  <c r="X242" i="17"/>
  <c r="X5" i="46"/>
  <c r="X85" i="46" s="1"/>
  <c r="X16" i="43"/>
  <c r="X6" i="17"/>
  <c r="X242" i="18"/>
  <c r="X479" i="18"/>
  <c r="X791" i="18"/>
  <c r="Z41" i="34"/>
  <c r="Z140" i="34" s="1"/>
  <c r="AA6" i="30"/>
  <c r="AA243" i="29"/>
  <c r="P6" i="18"/>
  <c r="L41" i="34"/>
  <c r="L140" i="34" s="1"/>
  <c r="M243" i="29"/>
  <c r="M6" i="30"/>
  <c r="P791" i="18"/>
  <c r="P242" i="18"/>
  <c r="P479" i="18"/>
  <c r="K24" i="45"/>
  <c r="K51" i="45"/>
  <c r="K64" i="45"/>
  <c r="V425" i="30"/>
  <c r="V292" i="30"/>
  <c r="V409" i="30"/>
  <c r="V471" i="30"/>
  <c r="V432" i="30"/>
  <c r="V299" i="30"/>
  <c r="V416" i="30"/>
  <c r="V437" i="30"/>
  <c r="V252" i="30"/>
  <c r="V308" i="30"/>
  <c r="V423" i="30"/>
  <c r="V401" i="30"/>
  <c r="V456" i="30"/>
  <c r="V266" i="30"/>
  <c r="V442" i="30"/>
  <c r="V404" i="30"/>
  <c r="V466" i="30"/>
  <c r="V271" i="30"/>
  <c r="V449" i="30"/>
  <c r="V411" i="30"/>
  <c r="V473" i="30"/>
  <c r="V278" i="30"/>
  <c r="V454" i="30"/>
  <c r="V285" i="30"/>
  <c r="V283" i="30"/>
  <c r="V407" i="30"/>
  <c r="V276" i="30"/>
  <c r="V405" i="30"/>
  <c r="V462" i="30"/>
  <c r="V262" i="30"/>
  <c r="V318" i="30"/>
  <c r="V443" i="30"/>
  <c r="V307" i="30"/>
  <c r="V424" i="30"/>
  <c r="V298" i="30"/>
  <c r="V429" i="30"/>
  <c r="V268" i="30"/>
  <c r="V451" i="30"/>
  <c r="V294" i="30"/>
  <c r="V315" i="30"/>
  <c r="V297" i="30"/>
  <c r="V414" i="30"/>
  <c r="V281" i="30"/>
  <c r="V419" i="30"/>
  <c r="V467" i="30"/>
  <c r="V267" i="30"/>
  <c r="V450" i="30"/>
  <c r="V316" i="30"/>
  <c r="V431" i="30"/>
  <c r="V305" i="30"/>
  <c r="V434" i="30"/>
  <c r="V275" i="30"/>
  <c r="V461" i="30"/>
  <c r="V301" i="30"/>
  <c r="V418" i="30"/>
  <c r="V402" i="30"/>
  <c r="V306" i="30"/>
  <c r="V421" i="30"/>
  <c r="V290" i="30"/>
  <c r="V428" i="30"/>
  <c r="V274" i="30"/>
  <c r="V455" i="30"/>
  <c r="V251" i="30"/>
  <c r="V436" i="30"/>
  <c r="V249" i="30"/>
  <c r="V314" i="30"/>
  <c r="V439" i="30"/>
  <c r="V282" i="30"/>
  <c r="V468" i="30"/>
  <c r="V310" i="30"/>
  <c r="V444" i="30"/>
  <c r="V435" i="30"/>
  <c r="V313" i="30"/>
  <c r="V430" i="30"/>
  <c r="V295" i="30"/>
  <c r="V433" i="30"/>
  <c r="V279" i="30"/>
  <c r="V460" i="30"/>
  <c r="V260" i="30"/>
  <c r="V441" i="30"/>
  <c r="V258" i="30"/>
  <c r="V448" i="30"/>
  <c r="V289" i="30"/>
  <c r="V406" i="30"/>
  <c r="V475" i="30"/>
  <c r="V254" i="30"/>
  <c r="V317" i="30"/>
  <c r="V459" i="30"/>
  <c r="V250" i="30"/>
  <c r="V440" i="30"/>
  <c r="V304" i="30"/>
  <c r="V438" i="30"/>
  <c r="V288" i="30"/>
  <c r="V403" i="30"/>
  <c r="V474" i="30"/>
  <c r="V265" i="30"/>
  <c r="V465" i="30"/>
  <c r="V270" i="30"/>
  <c r="V453" i="30"/>
  <c r="V296" i="30"/>
  <c r="V413" i="30"/>
  <c r="V261" i="30"/>
  <c r="V245" i="30"/>
  <c r="V257" i="30"/>
  <c r="V447" i="30"/>
  <c r="V311" i="30"/>
  <c r="V445" i="30"/>
  <c r="V293" i="30"/>
  <c r="V412" i="30"/>
  <c r="V272" i="30"/>
  <c r="V472" i="30"/>
  <c r="V277" i="30"/>
  <c r="V458" i="30"/>
  <c r="V247" i="30"/>
  <c r="V303" i="30"/>
  <c r="V420" i="30"/>
  <c r="V273" i="30"/>
  <c r="V264" i="30"/>
  <c r="V464" i="30"/>
  <c r="V248" i="30"/>
  <c r="V452" i="30"/>
  <c r="V246" i="30"/>
  <c r="V302" i="30"/>
  <c r="V417" i="30"/>
  <c r="V286" i="30"/>
  <c r="V410" i="30"/>
  <c r="V284" i="30"/>
  <c r="V408" i="30"/>
  <c r="V463" i="30"/>
  <c r="V256" i="30"/>
  <c r="V312" i="30"/>
  <c r="V427" i="30"/>
  <c r="V280" i="30"/>
  <c r="V309" i="30"/>
  <c r="V291" i="30"/>
  <c r="V469" i="30"/>
  <c r="V426" i="30"/>
  <c r="V422" i="30"/>
  <c r="V287" i="30"/>
  <c r="V470" i="30"/>
  <c r="V255" i="30"/>
  <c r="V300" i="30"/>
  <c r="V263" i="30"/>
  <c r="V259" i="30"/>
  <c r="V457" i="30"/>
  <c r="V415" i="30"/>
  <c r="V319" i="30"/>
  <c r="V446" i="30"/>
  <c r="V269" i="30"/>
  <c r="V253" i="30"/>
  <c r="P439" i="30"/>
  <c r="P282" i="30"/>
  <c r="P468" i="30"/>
  <c r="P310" i="30"/>
  <c r="P432" i="30"/>
  <c r="P448" i="30"/>
  <c r="P289" i="30"/>
  <c r="P406" i="30"/>
  <c r="P475" i="30"/>
  <c r="P254" i="30"/>
  <c r="P317" i="30"/>
  <c r="P437" i="30"/>
  <c r="P453" i="30"/>
  <c r="P296" i="30"/>
  <c r="P413" i="30"/>
  <c r="P261" i="30"/>
  <c r="P245" i="30"/>
  <c r="P444" i="30"/>
  <c r="P458" i="30"/>
  <c r="P247" i="30"/>
  <c r="P303" i="30"/>
  <c r="P420" i="30"/>
  <c r="P273" i="30"/>
  <c r="P456" i="30"/>
  <c r="P408" i="30"/>
  <c r="P463" i="30"/>
  <c r="P256" i="30"/>
  <c r="P312" i="30"/>
  <c r="P427" i="30"/>
  <c r="P280" i="30"/>
  <c r="P404" i="30"/>
  <c r="P466" i="30"/>
  <c r="P422" i="30"/>
  <c r="P470" i="30"/>
  <c r="P263" i="30"/>
  <c r="P319" i="30"/>
  <c r="P446" i="30"/>
  <c r="P287" i="30"/>
  <c r="P411" i="30"/>
  <c r="P473" i="30"/>
  <c r="P429" i="30"/>
  <c r="P268" i="30"/>
  <c r="P451" i="30"/>
  <c r="P294" i="30"/>
  <c r="P418" i="30"/>
  <c r="P292" i="30"/>
  <c r="P409" i="30"/>
  <c r="P471" i="30"/>
  <c r="P257" i="30"/>
  <c r="P447" i="30"/>
  <c r="P311" i="30"/>
  <c r="P445" i="30"/>
  <c r="P293" i="30"/>
  <c r="P412" i="30"/>
  <c r="P272" i="30"/>
  <c r="P472" i="30"/>
  <c r="P277" i="30"/>
  <c r="P299" i="30"/>
  <c r="P416" i="30"/>
  <c r="P264" i="30"/>
  <c r="P464" i="30"/>
  <c r="P248" i="30"/>
  <c r="P452" i="30"/>
  <c r="P246" i="30"/>
  <c r="P302" i="30"/>
  <c r="P417" i="30"/>
  <c r="P286" i="30"/>
  <c r="P410" i="30"/>
  <c r="P284" i="30"/>
  <c r="P434" i="30"/>
  <c r="P301" i="30"/>
  <c r="P252" i="30"/>
  <c r="P308" i="30"/>
  <c r="P423" i="30"/>
  <c r="P401" i="30"/>
  <c r="P269" i="30"/>
  <c r="P469" i="30"/>
  <c r="P255" i="30"/>
  <c r="P457" i="30"/>
  <c r="P253" i="30"/>
  <c r="P309" i="30"/>
  <c r="P426" i="30"/>
  <c r="P300" i="30"/>
  <c r="P415" i="30"/>
  <c r="P291" i="30"/>
  <c r="P425" i="30"/>
  <c r="P259" i="30"/>
  <c r="P315" i="30"/>
  <c r="P435" i="30"/>
  <c r="P283" i="30"/>
  <c r="P407" i="30"/>
  <c r="P276" i="30"/>
  <c r="P405" i="30"/>
  <c r="P462" i="30"/>
  <c r="P262" i="30"/>
  <c r="P318" i="30"/>
  <c r="P443" i="30"/>
  <c r="P307" i="30"/>
  <c r="P424" i="30"/>
  <c r="P298" i="30"/>
  <c r="P266" i="30"/>
  <c r="P442" i="30"/>
  <c r="P297" i="30"/>
  <c r="P414" i="30"/>
  <c r="P281" i="30"/>
  <c r="P419" i="30"/>
  <c r="P467" i="30"/>
  <c r="P267" i="30"/>
  <c r="P450" i="30"/>
  <c r="P316" i="30"/>
  <c r="P431" i="30"/>
  <c r="P305" i="30"/>
  <c r="P275" i="30"/>
  <c r="P271" i="30"/>
  <c r="P449" i="30"/>
  <c r="P306" i="30"/>
  <c r="P421" i="30"/>
  <c r="P290" i="30"/>
  <c r="P428" i="30"/>
  <c r="P274" i="30"/>
  <c r="P455" i="30"/>
  <c r="P251" i="30"/>
  <c r="P436" i="30"/>
  <c r="P249" i="30"/>
  <c r="P314" i="30"/>
  <c r="P278" i="30"/>
  <c r="P454" i="30"/>
  <c r="P313" i="30"/>
  <c r="P430" i="30"/>
  <c r="P295" i="30"/>
  <c r="P433" i="30"/>
  <c r="P279" i="30"/>
  <c r="P460" i="30"/>
  <c r="P260" i="30"/>
  <c r="P441" i="30"/>
  <c r="P258" i="30"/>
  <c r="P461" i="30"/>
  <c r="P285" i="30"/>
  <c r="P402" i="30"/>
  <c r="P459" i="30"/>
  <c r="P250" i="30"/>
  <c r="P440" i="30"/>
  <c r="P304" i="30"/>
  <c r="P438" i="30"/>
  <c r="P288" i="30"/>
  <c r="P403" i="30"/>
  <c r="P474" i="30"/>
  <c r="P265" i="30"/>
  <c r="P465" i="30"/>
  <c r="P270" i="30"/>
  <c r="Q441" i="30"/>
  <c r="Q258" i="30"/>
  <c r="Q448" i="30"/>
  <c r="Q289" i="30"/>
  <c r="Q406" i="30"/>
  <c r="Q475" i="30"/>
  <c r="Q254" i="30"/>
  <c r="Q317" i="30"/>
  <c r="Q437" i="30"/>
  <c r="Q252" i="30"/>
  <c r="Q308" i="30"/>
  <c r="Q423" i="30"/>
  <c r="Q401" i="30"/>
  <c r="Q269" i="30"/>
  <c r="Q469" i="30"/>
  <c r="Q255" i="30"/>
  <c r="Q457" i="30"/>
  <c r="Q253" i="30"/>
  <c r="Q309" i="30"/>
  <c r="Q426" i="30"/>
  <c r="Q300" i="30"/>
  <c r="Q465" i="30"/>
  <c r="Q270" i="30"/>
  <c r="Q453" i="30"/>
  <c r="Q296" i="30"/>
  <c r="Q413" i="30"/>
  <c r="Q261" i="30"/>
  <c r="Q245" i="30"/>
  <c r="Q444" i="30"/>
  <c r="Q259" i="30"/>
  <c r="Q315" i="30"/>
  <c r="Q435" i="30"/>
  <c r="Q283" i="30"/>
  <c r="Q407" i="30"/>
  <c r="Q276" i="30"/>
  <c r="Q405" i="30"/>
  <c r="Q462" i="30"/>
  <c r="Q262" i="30"/>
  <c r="Q318" i="30"/>
  <c r="Q443" i="30"/>
  <c r="Q307" i="30"/>
  <c r="Q472" i="30"/>
  <c r="Q277" i="30"/>
  <c r="Q458" i="30"/>
  <c r="Q247" i="30"/>
  <c r="Q303" i="30"/>
  <c r="Q420" i="30"/>
  <c r="Q273" i="30"/>
  <c r="Q456" i="30"/>
  <c r="Q266" i="30"/>
  <c r="Q442" i="30"/>
  <c r="Q297" i="30"/>
  <c r="Q414" i="30"/>
  <c r="Q281" i="30"/>
  <c r="Q419" i="30"/>
  <c r="Q467" i="30"/>
  <c r="Q267" i="30"/>
  <c r="Q450" i="30"/>
  <c r="Q316" i="30"/>
  <c r="Q410" i="30"/>
  <c r="Q284" i="30"/>
  <c r="Q408" i="30"/>
  <c r="Q463" i="30"/>
  <c r="Q256" i="30"/>
  <c r="Q312" i="30"/>
  <c r="Q427" i="30"/>
  <c r="Q280" i="30"/>
  <c r="Q404" i="30"/>
  <c r="Q466" i="30"/>
  <c r="Q271" i="30"/>
  <c r="Q449" i="30"/>
  <c r="Q306" i="30"/>
  <c r="Q421" i="30"/>
  <c r="Q290" i="30"/>
  <c r="Q428" i="30"/>
  <c r="Q274" i="30"/>
  <c r="Q455" i="30"/>
  <c r="Q251" i="30"/>
  <c r="Q415" i="30"/>
  <c r="Q291" i="30"/>
  <c r="Q422" i="30"/>
  <c r="Q470" i="30"/>
  <c r="Q263" i="30"/>
  <c r="Q319" i="30"/>
  <c r="Q446" i="30"/>
  <c r="Q287" i="30"/>
  <c r="Q411" i="30"/>
  <c r="Q473" i="30"/>
  <c r="Q278" i="30"/>
  <c r="Q454" i="30"/>
  <c r="Q313" i="30"/>
  <c r="Q430" i="30"/>
  <c r="Q295" i="30"/>
  <c r="Q433" i="30"/>
  <c r="Q279" i="30"/>
  <c r="Q460" i="30"/>
  <c r="Q260" i="30"/>
  <c r="Q424" i="30"/>
  <c r="Q298" i="30"/>
  <c r="Q429" i="30"/>
  <c r="Q268" i="30"/>
  <c r="Q451" i="30"/>
  <c r="Q294" i="30"/>
  <c r="Q418" i="30"/>
  <c r="Q285" i="30"/>
  <c r="Q402" i="30"/>
  <c r="Q459" i="30"/>
  <c r="Q250" i="30"/>
  <c r="Q440" i="30"/>
  <c r="Q304" i="30"/>
  <c r="Q438" i="30"/>
  <c r="Q288" i="30"/>
  <c r="Q403" i="30"/>
  <c r="Q474" i="30"/>
  <c r="Q265" i="30"/>
  <c r="Q431" i="30"/>
  <c r="Q305" i="30"/>
  <c r="Q434" i="30"/>
  <c r="Q275" i="30"/>
  <c r="Q461" i="30"/>
  <c r="Q301" i="30"/>
  <c r="Q425" i="30"/>
  <c r="Q292" i="30"/>
  <c r="Q409" i="30"/>
  <c r="Q471" i="30"/>
  <c r="Q257" i="30"/>
  <c r="Q447" i="30"/>
  <c r="Q311" i="30"/>
  <c r="Q445" i="30"/>
  <c r="Q293" i="30"/>
  <c r="Q412" i="30"/>
  <c r="Q272" i="30"/>
  <c r="Q436" i="30"/>
  <c r="Q249" i="30"/>
  <c r="Q314" i="30"/>
  <c r="Q439" i="30"/>
  <c r="Q282" i="30"/>
  <c r="Q468" i="30"/>
  <c r="Q310" i="30"/>
  <c r="Q432" i="30"/>
  <c r="Q299" i="30"/>
  <c r="Q416" i="30"/>
  <c r="Q264" i="30"/>
  <c r="Q464" i="30"/>
  <c r="Q248" i="30"/>
  <c r="Q452" i="30"/>
  <c r="Q246" i="30"/>
  <c r="Q302" i="30"/>
  <c r="Q417" i="30"/>
  <c r="Q286" i="30"/>
  <c r="K405" i="30"/>
  <c r="K462" i="30"/>
  <c r="K262" i="30"/>
  <c r="K318" i="30"/>
  <c r="K443" i="30"/>
  <c r="K307" i="30"/>
  <c r="K424" i="30"/>
  <c r="K298" i="30"/>
  <c r="K429" i="30"/>
  <c r="K268" i="30"/>
  <c r="K451" i="30"/>
  <c r="K294" i="30"/>
  <c r="K418" i="30"/>
  <c r="K285" i="30"/>
  <c r="K402" i="30"/>
  <c r="K459" i="30"/>
  <c r="K250" i="30"/>
  <c r="K440" i="30"/>
  <c r="K304" i="30"/>
  <c r="K419" i="30"/>
  <c r="K467" i="30"/>
  <c r="K267" i="30"/>
  <c r="K450" i="30"/>
  <c r="K316" i="30"/>
  <c r="K431" i="30"/>
  <c r="K305" i="30"/>
  <c r="K434" i="30"/>
  <c r="K275" i="30"/>
  <c r="K461" i="30"/>
  <c r="K301" i="30"/>
  <c r="K425" i="30"/>
  <c r="K292" i="30"/>
  <c r="K409" i="30"/>
  <c r="K471" i="30"/>
  <c r="K257" i="30"/>
  <c r="K447" i="30"/>
  <c r="K311" i="30"/>
  <c r="K428" i="30"/>
  <c r="K274" i="30"/>
  <c r="K455" i="30"/>
  <c r="K251" i="30"/>
  <c r="K436" i="30"/>
  <c r="K249" i="30"/>
  <c r="K314" i="30"/>
  <c r="K439" i="30"/>
  <c r="K282" i="30"/>
  <c r="K468" i="30"/>
  <c r="K310" i="30"/>
  <c r="K432" i="30"/>
  <c r="K299" i="30"/>
  <c r="K416" i="30"/>
  <c r="K264" i="30"/>
  <c r="K464" i="30"/>
  <c r="K248" i="30"/>
  <c r="K433" i="30"/>
  <c r="K279" i="30"/>
  <c r="K460" i="30"/>
  <c r="K260" i="30"/>
  <c r="K441" i="30"/>
  <c r="K258" i="30"/>
  <c r="K448" i="30"/>
  <c r="K289" i="30"/>
  <c r="K406" i="30"/>
  <c r="K475" i="30"/>
  <c r="K254" i="30"/>
  <c r="K317" i="30"/>
  <c r="K437" i="30"/>
  <c r="K252" i="30"/>
  <c r="K308" i="30"/>
  <c r="K423" i="30"/>
  <c r="K401" i="30"/>
  <c r="K269" i="30"/>
  <c r="K469" i="30"/>
  <c r="K255" i="30"/>
  <c r="K438" i="30"/>
  <c r="K288" i="30"/>
  <c r="K403" i="30"/>
  <c r="K474" i="30"/>
  <c r="K265" i="30"/>
  <c r="K465" i="30"/>
  <c r="K270" i="30"/>
  <c r="K453" i="30"/>
  <c r="K296" i="30"/>
  <c r="K413" i="30"/>
  <c r="K261" i="30"/>
  <c r="K245" i="30"/>
  <c r="K444" i="30"/>
  <c r="K259" i="30"/>
  <c r="K315" i="30"/>
  <c r="K435" i="30"/>
  <c r="K283" i="30"/>
  <c r="K407" i="30"/>
  <c r="K276" i="30"/>
  <c r="K445" i="30"/>
  <c r="K293" i="30"/>
  <c r="K412" i="30"/>
  <c r="K272" i="30"/>
  <c r="K472" i="30"/>
  <c r="K277" i="30"/>
  <c r="K458" i="30"/>
  <c r="K247" i="30"/>
  <c r="K303" i="30"/>
  <c r="K420" i="30"/>
  <c r="K273" i="30"/>
  <c r="K456" i="30"/>
  <c r="K266" i="30"/>
  <c r="K442" i="30"/>
  <c r="K297" i="30"/>
  <c r="K414" i="30"/>
  <c r="K281" i="30"/>
  <c r="K452" i="30"/>
  <c r="K246" i="30"/>
  <c r="K302" i="30"/>
  <c r="K417" i="30"/>
  <c r="K286" i="30"/>
  <c r="K410" i="30"/>
  <c r="K284" i="30"/>
  <c r="K408" i="30"/>
  <c r="K463" i="30"/>
  <c r="K256" i="30"/>
  <c r="K312" i="30"/>
  <c r="K427" i="30"/>
  <c r="K280" i="30"/>
  <c r="K404" i="30"/>
  <c r="K466" i="30"/>
  <c r="K271" i="30"/>
  <c r="K449" i="30"/>
  <c r="K306" i="30"/>
  <c r="K421" i="30"/>
  <c r="K290" i="30"/>
  <c r="K457" i="30"/>
  <c r="K253" i="30"/>
  <c r="K309" i="30"/>
  <c r="K426" i="30"/>
  <c r="K300" i="30"/>
  <c r="K415" i="30"/>
  <c r="K291" i="30"/>
  <c r="K422" i="30"/>
  <c r="K470" i="30"/>
  <c r="K263" i="30"/>
  <c r="K319" i="30"/>
  <c r="K446" i="30"/>
  <c r="K287" i="30"/>
  <c r="K411" i="30"/>
  <c r="K473" i="30"/>
  <c r="K278" i="30"/>
  <c r="K454" i="30"/>
  <c r="K313" i="30"/>
  <c r="K430" i="30"/>
  <c r="K295" i="30"/>
  <c r="N444" i="30"/>
  <c r="N259" i="30"/>
  <c r="N315" i="30"/>
  <c r="N435" i="30"/>
  <c r="N283" i="30"/>
  <c r="N407" i="30"/>
  <c r="N276" i="30"/>
  <c r="N405" i="30"/>
  <c r="N462" i="30"/>
  <c r="N262" i="30"/>
  <c r="N318" i="30"/>
  <c r="N443" i="30"/>
  <c r="N307" i="30"/>
  <c r="N424" i="30"/>
  <c r="N298" i="30"/>
  <c r="N429" i="30"/>
  <c r="N268" i="30"/>
  <c r="N451" i="30"/>
  <c r="N294" i="30"/>
  <c r="N456" i="30"/>
  <c r="N266" i="30"/>
  <c r="N442" i="30"/>
  <c r="N297" i="30"/>
  <c r="N414" i="30"/>
  <c r="N281" i="30"/>
  <c r="N419" i="30"/>
  <c r="N467" i="30"/>
  <c r="N267" i="30"/>
  <c r="N450" i="30"/>
  <c r="N316" i="30"/>
  <c r="N431" i="30"/>
  <c r="N305" i="30"/>
  <c r="N434" i="30"/>
  <c r="N275" i="30"/>
  <c r="N461" i="30"/>
  <c r="N301" i="30"/>
  <c r="N404" i="30"/>
  <c r="N466" i="30"/>
  <c r="N271" i="30"/>
  <c r="N449" i="30"/>
  <c r="N306" i="30"/>
  <c r="N421" i="30"/>
  <c r="N290" i="30"/>
  <c r="N428" i="30"/>
  <c r="N274" i="30"/>
  <c r="N455" i="30"/>
  <c r="N251" i="30"/>
  <c r="N436" i="30"/>
  <c r="N249" i="30"/>
  <c r="N314" i="30"/>
  <c r="N439" i="30"/>
  <c r="N282" i="30"/>
  <c r="N468" i="30"/>
  <c r="N310" i="30"/>
  <c r="N411" i="30"/>
  <c r="N473" i="30"/>
  <c r="N278" i="30"/>
  <c r="N454" i="30"/>
  <c r="N313" i="30"/>
  <c r="N430" i="30"/>
  <c r="N295" i="30"/>
  <c r="N433" i="30"/>
  <c r="N279" i="30"/>
  <c r="N460" i="30"/>
  <c r="N260" i="30"/>
  <c r="N441" i="30"/>
  <c r="N258" i="30"/>
  <c r="N448" i="30"/>
  <c r="N289" i="30"/>
  <c r="N406" i="30"/>
  <c r="N475" i="30"/>
  <c r="N254" i="30"/>
  <c r="N317" i="30"/>
  <c r="N418" i="30"/>
  <c r="N285" i="30"/>
  <c r="N402" i="30"/>
  <c r="N459" i="30"/>
  <c r="N250" i="30"/>
  <c r="N440" i="30"/>
  <c r="N304" i="30"/>
  <c r="N438" i="30"/>
  <c r="N288" i="30"/>
  <c r="N403" i="30"/>
  <c r="N474" i="30"/>
  <c r="N265" i="30"/>
  <c r="N465" i="30"/>
  <c r="N270" i="30"/>
  <c r="N453" i="30"/>
  <c r="N296" i="30"/>
  <c r="N413" i="30"/>
  <c r="N261" i="30"/>
  <c r="N245" i="30"/>
  <c r="N425" i="30"/>
  <c r="N292" i="30"/>
  <c r="N409" i="30"/>
  <c r="N471" i="30"/>
  <c r="N257" i="30"/>
  <c r="N447" i="30"/>
  <c r="N311" i="30"/>
  <c r="N445" i="30"/>
  <c r="N293" i="30"/>
  <c r="N412" i="30"/>
  <c r="N272" i="30"/>
  <c r="N472" i="30"/>
  <c r="N277" i="30"/>
  <c r="N458" i="30"/>
  <c r="N247" i="30"/>
  <c r="N303" i="30"/>
  <c r="N420" i="30"/>
  <c r="N273" i="30"/>
  <c r="N432" i="30"/>
  <c r="N299" i="30"/>
  <c r="N416" i="30"/>
  <c r="N264" i="30"/>
  <c r="N464" i="30"/>
  <c r="N248" i="30"/>
  <c r="N452" i="30"/>
  <c r="N246" i="30"/>
  <c r="N302" i="30"/>
  <c r="N417" i="30"/>
  <c r="N286" i="30"/>
  <c r="N410" i="30"/>
  <c r="N284" i="30"/>
  <c r="N408" i="30"/>
  <c r="N463" i="30"/>
  <c r="N256" i="30"/>
  <c r="N312" i="30"/>
  <c r="N427" i="30"/>
  <c r="N280" i="30"/>
  <c r="N437" i="30"/>
  <c r="N252" i="30"/>
  <c r="N308" i="30"/>
  <c r="N423" i="30"/>
  <c r="N401" i="30"/>
  <c r="N269" i="30"/>
  <c r="N469" i="30"/>
  <c r="N255" i="30"/>
  <c r="N457" i="30"/>
  <c r="N253" i="30"/>
  <c r="N309" i="30"/>
  <c r="N426" i="30"/>
  <c r="N300" i="30"/>
  <c r="N415" i="30"/>
  <c r="N291" i="30"/>
  <c r="N422" i="30"/>
  <c r="N470" i="30"/>
  <c r="N263" i="30"/>
  <c r="N319" i="30"/>
  <c r="N446" i="30"/>
  <c r="N287" i="30"/>
  <c r="L414" i="30"/>
  <c r="L281" i="30"/>
  <c r="L419" i="30"/>
  <c r="L467" i="30"/>
  <c r="L267" i="30"/>
  <c r="L450" i="30"/>
  <c r="L316" i="30"/>
  <c r="L431" i="30"/>
  <c r="L305" i="30"/>
  <c r="L434" i="30"/>
  <c r="L275" i="30"/>
  <c r="L461" i="30"/>
  <c r="L301" i="30"/>
  <c r="L425" i="30"/>
  <c r="L292" i="30"/>
  <c r="L409" i="30"/>
  <c r="L471" i="30"/>
  <c r="L257" i="30"/>
  <c r="L421" i="30"/>
  <c r="L290" i="30"/>
  <c r="L428" i="30"/>
  <c r="L274" i="30"/>
  <c r="L455" i="30"/>
  <c r="L251" i="30"/>
  <c r="L436" i="30"/>
  <c r="L249" i="30"/>
  <c r="L314" i="30"/>
  <c r="L439" i="30"/>
  <c r="L282" i="30"/>
  <c r="L468" i="30"/>
  <c r="L310" i="30"/>
  <c r="L432" i="30"/>
  <c r="L299" i="30"/>
  <c r="L416" i="30"/>
  <c r="L264" i="30"/>
  <c r="L430" i="30"/>
  <c r="L295" i="30"/>
  <c r="L433" i="30"/>
  <c r="L279" i="30"/>
  <c r="L460" i="30"/>
  <c r="L260" i="30"/>
  <c r="L441" i="30"/>
  <c r="L258" i="30"/>
  <c r="L448" i="30"/>
  <c r="L289" i="30"/>
  <c r="L406" i="30"/>
  <c r="L475" i="30"/>
  <c r="L254" i="30"/>
  <c r="L317" i="30"/>
  <c r="L437" i="30"/>
  <c r="L252" i="30"/>
  <c r="L308" i="30"/>
  <c r="L423" i="30"/>
  <c r="L401" i="30"/>
  <c r="L269" i="30"/>
  <c r="L440" i="30"/>
  <c r="L304" i="30"/>
  <c r="L438" i="30"/>
  <c r="L288" i="30"/>
  <c r="L403" i="30"/>
  <c r="L474" i="30"/>
  <c r="L265" i="30"/>
  <c r="L465" i="30"/>
  <c r="L270" i="30"/>
  <c r="L453" i="30"/>
  <c r="L296" i="30"/>
  <c r="L413" i="30"/>
  <c r="L261" i="30"/>
  <c r="L245" i="30"/>
  <c r="L444" i="30"/>
  <c r="L259" i="30"/>
  <c r="L315" i="30"/>
  <c r="L435" i="30"/>
  <c r="L283" i="30"/>
  <c r="L447" i="30"/>
  <c r="L311" i="30"/>
  <c r="L445" i="30"/>
  <c r="L293" i="30"/>
  <c r="L412" i="30"/>
  <c r="L272" i="30"/>
  <c r="L472" i="30"/>
  <c r="L277" i="30"/>
  <c r="L458" i="30"/>
  <c r="L247" i="30"/>
  <c r="L303" i="30"/>
  <c r="L420" i="30"/>
  <c r="L273" i="30"/>
  <c r="L456" i="30"/>
  <c r="L266" i="30"/>
  <c r="L442" i="30"/>
  <c r="L297" i="30"/>
  <c r="L464" i="30"/>
  <c r="L248" i="30"/>
  <c r="L452" i="30"/>
  <c r="L246" i="30"/>
  <c r="L302" i="30"/>
  <c r="L417" i="30"/>
  <c r="L286" i="30"/>
  <c r="L410" i="30"/>
  <c r="L284" i="30"/>
  <c r="L408" i="30"/>
  <c r="L463" i="30"/>
  <c r="L256" i="30"/>
  <c r="L312" i="30"/>
  <c r="L427" i="30"/>
  <c r="L280" i="30"/>
  <c r="L404" i="30"/>
  <c r="L466" i="30"/>
  <c r="L271" i="30"/>
  <c r="L449" i="30"/>
  <c r="L306" i="30"/>
  <c r="L469" i="30"/>
  <c r="L255" i="30"/>
  <c r="L457" i="30"/>
  <c r="L253" i="30"/>
  <c r="L309" i="30"/>
  <c r="L426" i="30"/>
  <c r="L300" i="30"/>
  <c r="L415" i="30"/>
  <c r="L291" i="30"/>
  <c r="L422" i="30"/>
  <c r="L470" i="30"/>
  <c r="L263" i="30"/>
  <c r="L319" i="30"/>
  <c r="L446" i="30"/>
  <c r="L287" i="30"/>
  <c r="L411" i="30"/>
  <c r="L473" i="30"/>
  <c r="L278" i="30"/>
  <c r="L454" i="30"/>
  <c r="L313" i="30"/>
  <c r="L443" i="30"/>
  <c r="L429" i="30"/>
  <c r="L294" i="30"/>
  <c r="L250" i="30"/>
  <c r="L418" i="30"/>
  <c r="L276" i="30"/>
  <c r="L405" i="30"/>
  <c r="L307" i="30"/>
  <c r="L268" i="30"/>
  <c r="L462" i="30"/>
  <c r="L424" i="30"/>
  <c r="L285" i="30"/>
  <c r="L451" i="30"/>
  <c r="L402" i="30"/>
  <c r="L262" i="30"/>
  <c r="L459" i="30"/>
  <c r="L407" i="30"/>
  <c r="L318" i="30"/>
  <c r="L298" i="30"/>
  <c r="J460" i="30"/>
  <c r="J260" i="30"/>
  <c r="J441" i="30"/>
  <c r="J258" i="30"/>
  <c r="J448" i="30"/>
  <c r="J403" i="30"/>
  <c r="J474" i="30"/>
  <c r="J265" i="30"/>
  <c r="J465" i="30"/>
  <c r="J270" i="30"/>
  <c r="J417" i="30"/>
  <c r="J286" i="30"/>
  <c r="J410" i="30"/>
  <c r="J284" i="30"/>
  <c r="J408" i="30"/>
  <c r="J426" i="30"/>
  <c r="J300" i="30"/>
  <c r="J415" i="30"/>
  <c r="J291" i="30"/>
  <c r="J422" i="30"/>
  <c r="J443" i="30"/>
  <c r="J307" i="30"/>
  <c r="J424" i="30"/>
  <c r="J298" i="30"/>
  <c r="J429" i="30"/>
  <c r="J450" i="30"/>
  <c r="J316" i="30"/>
  <c r="J431" i="30"/>
  <c r="J305" i="30"/>
  <c r="J434" i="30"/>
  <c r="J272" i="30"/>
  <c r="J277" i="30"/>
  <c r="J268" i="30"/>
  <c r="J451" i="30"/>
  <c r="J294" i="30"/>
  <c r="J418" i="30"/>
  <c r="J285" i="30"/>
  <c r="J402" i="30"/>
  <c r="J459" i="30"/>
  <c r="J250" i="30"/>
  <c r="J440" i="30"/>
  <c r="J304" i="30"/>
  <c r="J438" i="30"/>
  <c r="J288" i="30"/>
  <c r="J314" i="30"/>
  <c r="J275" i="30"/>
  <c r="J461" i="30"/>
  <c r="J301" i="30"/>
  <c r="J425" i="30"/>
  <c r="J292" i="30"/>
  <c r="J409" i="30"/>
  <c r="J471" i="30"/>
  <c r="J257" i="30"/>
  <c r="J447" i="30"/>
  <c r="J311" i="30"/>
  <c r="J445" i="30"/>
  <c r="J293" i="30"/>
  <c r="J412" i="30"/>
  <c r="J282" i="30"/>
  <c r="J468" i="30"/>
  <c r="J310" i="30"/>
  <c r="J432" i="30"/>
  <c r="J299" i="30"/>
  <c r="J416" i="30"/>
  <c r="J264" i="30"/>
  <c r="J464" i="30"/>
  <c r="J248" i="30"/>
  <c r="J452" i="30"/>
  <c r="J246" i="30"/>
  <c r="J302" i="30"/>
  <c r="J455" i="30"/>
  <c r="J436" i="30"/>
  <c r="J439" i="30"/>
  <c r="J289" i="30"/>
  <c r="J406" i="30"/>
  <c r="J475" i="30"/>
  <c r="J254" i="30"/>
  <c r="J317" i="30"/>
  <c r="J437" i="30"/>
  <c r="J252" i="30"/>
  <c r="J308" i="30"/>
  <c r="J423" i="30"/>
  <c r="J401" i="30"/>
  <c r="J269" i="30"/>
  <c r="J469" i="30"/>
  <c r="J255" i="30"/>
  <c r="J457" i="30"/>
  <c r="J253" i="30"/>
  <c r="J309" i="30"/>
  <c r="J472" i="30"/>
  <c r="J453" i="30"/>
  <c r="J296" i="30"/>
  <c r="J413" i="30"/>
  <c r="J261" i="30"/>
  <c r="J245" i="30"/>
  <c r="J444" i="30"/>
  <c r="J259" i="30"/>
  <c r="J315" i="30"/>
  <c r="J435" i="30"/>
  <c r="J283" i="30"/>
  <c r="J407" i="30"/>
  <c r="J276" i="30"/>
  <c r="J405" i="30"/>
  <c r="J462" i="30"/>
  <c r="J262" i="30"/>
  <c r="J318" i="30"/>
  <c r="J458" i="30"/>
  <c r="J247" i="30"/>
  <c r="J303" i="30"/>
  <c r="J420" i="30"/>
  <c r="J273" i="30"/>
  <c r="J456" i="30"/>
  <c r="J266" i="30"/>
  <c r="J442" i="30"/>
  <c r="J297" i="30"/>
  <c r="J414" i="30"/>
  <c r="J281" i="30"/>
  <c r="J419" i="30"/>
  <c r="J467" i="30"/>
  <c r="J267" i="30"/>
  <c r="J463" i="30"/>
  <c r="J256" i="30"/>
  <c r="J312" i="30"/>
  <c r="J427" i="30"/>
  <c r="J280" i="30"/>
  <c r="J404" i="30"/>
  <c r="J466" i="30"/>
  <c r="J271" i="30"/>
  <c r="J449" i="30"/>
  <c r="J306" i="30"/>
  <c r="J421" i="30"/>
  <c r="J290" i="30"/>
  <c r="J428" i="30"/>
  <c r="J274" i="30"/>
  <c r="J251" i="30"/>
  <c r="J249" i="30"/>
  <c r="J470" i="30"/>
  <c r="J263" i="30"/>
  <c r="J319" i="30"/>
  <c r="J446" i="30"/>
  <c r="J287" i="30"/>
  <c r="J411" i="30"/>
  <c r="J473" i="30"/>
  <c r="J278" i="30"/>
  <c r="J454" i="30"/>
  <c r="J313" i="30"/>
  <c r="J430" i="30"/>
  <c r="J295" i="30"/>
  <c r="J433" i="30"/>
  <c r="J279" i="30"/>
  <c r="M409" i="30"/>
  <c r="M471" i="30"/>
  <c r="M257" i="30"/>
  <c r="M447" i="30"/>
  <c r="M311" i="30"/>
  <c r="M416" i="30"/>
  <c r="M264" i="30"/>
  <c r="M464" i="30"/>
  <c r="M248" i="30"/>
  <c r="M452" i="30"/>
  <c r="M246" i="30"/>
  <c r="M302" i="30"/>
  <c r="M417" i="30"/>
  <c r="M286" i="30"/>
  <c r="M410" i="30"/>
  <c r="M284" i="30"/>
  <c r="M408" i="30"/>
  <c r="M463" i="30"/>
  <c r="M256" i="30"/>
  <c r="M312" i="30"/>
  <c r="M427" i="30"/>
  <c r="M280" i="30"/>
  <c r="M404" i="30"/>
  <c r="M466" i="30"/>
  <c r="M271" i="30"/>
  <c r="M423" i="30"/>
  <c r="M401" i="30"/>
  <c r="M269" i="30"/>
  <c r="M469" i="30"/>
  <c r="M255" i="30"/>
  <c r="M457" i="30"/>
  <c r="M253" i="30"/>
  <c r="M309" i="30"/>
  <c r="M426" i="30"/>
  <c r="M300" i="30"/>
  <c r="M415" i="30"/>
  <c r="M291" i="30"/>
  <c r="M422" i="30"/>
  <c r="M470" i="30"/>
  <c r="M263" i="30"/>
  <c r="M319" i="30"/>
  <c r="M446" i="30"/>
  <c r="M287" i="30"/>
  <c r="M411" i="30"/>
  <c r="M473" i="30"/>
  <c r="M278" i="30"/>
  <c r="M435" i="30"/>
  <c r="M283" i="30"/>
  <c r="M407" i="30"/>
  <c r="M276" i="30"/>
  <c r="M405" i="30"/>
  <c r="M462" i="30"/>
  <c r="M262" i="30"/>
  <c r="M318" i="30"/>
  <c r="M443" i="30"/>
  <c r="M307" i="30"/>
  <c r="M424" i="30"/>
  <c r="M298" i="30"/>
  <c r="M429" i="30"/>
  <c r="M268" i="30"/>
  <c r="M451" i="30"/>
  <c r="M294" i="30"/>
  <c r="M418" i="30"/>
  <c r="M285" i="30"/>
  <c r="M442" i="30"/>
  <c r="M297" i="30"/>
  <c r="M414" i="30"/>
  <c r="M281" i="30"/>
  <c r="M419" i="30"/>
  <c r="M467" i="30"/>
  <c r="M267" i="30"/>
  <c r="M450" i="30"/>
  <c r="M316" i="30"/>
  <c r="M431" i="30"/>
  <c r="M305" i="30"/>
  <c r="M434" i="30"/>
  <c r="M275" i="30"/>
  <c r="M461" i="30"/>
  <c r="M301" i="30"/>
  <c r="M425" i="30"/>
  <c r="M292" i="30"/>
  <c r="M454" i="30"/>
  <c r="M313" i="30"/>
  <c r="M430" i="30"/>
  <c r="M295" i="30"/>
  <c r="M433" i="30"/>
  <c r="M279" i="30"/>
  <c r="M460" i="30"/>
  <c r="M260" i="30"/>
  <c r="M441" i="30"/>
  <c r="M258" i="30"/>
  <c r="M448" i="30"/>
  <c r="M289" i="30"/>
  <c r="M406" i="30"/>
  <c r="M475" i="30"/>
  <c r="M254" i="30"/>
  <c r="M317" i="30"/>
  <c r="M437" i="30"/>
  <c r="M252" i="30"/>
  <c r="M308" i="30"/>
  <c r="M250" i="30"/>
  <c r="M403" i="30"/>
  <c r="M251" i="30"/>
  <c r="M472" i="30"/>
  <c r="M420" i="30"/>
  <c r="M261" i="30"/>
  <c r="M306" i="30"/>
  <c r="M290" i="30"/>
  <c r="M412" i="30"/>
  <c r="M265" i="30"/>
  <c r="M468" i="30"/>
  <c r="M273" i="30"/>
  <c r="M402" i="30"/>
  <c r="M304" i="30"/>
  <c r="M455" i="30"/>
  <c r="M272" i="30"/>
  <c r="M439" i="30"/>
  <c r="M247" i="30"/>
  <c r="M310" i="30"/>
  <c r="M449" i="30"/>
  <c r="M421" i="30"/>
  <c r="M428" i="30"/>
  <c r="M474" i="30"/>
  <c r="M453" i="30"/>
  <c r="M282" i="30"/>
  <c r="M245" i="30"/>
  <c r="M459" i="30"/>
  <c r="M440" i="30"/>
  <c r="M438" i="30"/>
  <c r="M274" i="30"/>
  <c r="M249" i="30"/>
  <c r="M458" i="30"/>
  <c r="M296" i="30"/>
  <c r="M259" i="30"/>
  <c r="M445" i="30"/>
  <c r="M288" i="30"/>
  <c r="M270" i="30"/>
  <c r="M303" i="30"/>
  <c r="M432" i="30"/>
  <c r="M266" i="30"/>
  <c r="M293" i="30"/>
  <c r="M436" i="30"/>
  <c r="M277" i="30"/>
  <c r="M444" i="30"/>
  <c r="M299" i="30"/>
  <c r="M465" i="30"/>
  <c r="M314" i="30"/>
  <c r="M413" i="30"/>
  <c r="M456" i="30"/>
  <c r="M315" i="30"/>
  <c r="S433" i="30"/>
  <c r="S279" i="30"/>
  <c r="S460" i="30"/>
  <c r="S438" i="30"/>
  <c r="S288" i="30"/>
  <c r="S403" i="30"/>
  <c r="S474" i="30"/>
  <c r="S445" i="30"/>
  <c r="S293" i="30"/>
  <c r="S412" i="30"/>
  <c r="S428" i="30"/>
  <c r="S302" i="30"/>
  <c r="S450" i="30"/>
  <c r="S272" i="30"/>
  <c r="S472" i="30"/>
  <c r="S277" i="30"/>
  <c r="S458" i="30"/>
  <c r="S247" i="30"/>
  <c r="S303" i="30"/>
  <c r="S420" i="30"/>
  <c r="S273" i="30"/>
  <c r="S456" i="30"/>
  <c r="S266" i="30"/>
  <c r="S442" i="30"/>
  <c r="S297" i="30"/>
  <c r="S414" i="30"/>
  <c r="S281" i="30"/>
  <c r="S452" i="30"/>
  <c r="S309" i="30"/>
  <c r="S455" i="30"/>
  <c r="S286" i="30"/>
  <c r="S410" i="30"/>
  <c r="S284" i="30"/>
  <c r="S408" i="30"/>
  <c r="S463" i="30"/>
  <c r="S256" i="30"/>
  <c r="S312" i="30"/>
  <c r="S427" i="30"/>
  <c r="S280" i="30"/>
  <c r="S404" i="30"/>
  <c r="S466" i="30"/>
  <c r="S271" i="30"/>
  <c r="S449" i="30"/>
  <c r="S306" i="30"/>
  <c r="S421" i="30"/>
  <c r="S290" i="30"/>
  <c r="S457" i="30"/>
  <c r="S318" i="30"/>
  <c r="S300" i="30"/>
  <c r="S415" i="30"/>
  <c r="S291" i="30"/>
  <c r="S422" i="30"/>
  <c r="S470" i="30"/>
  <c r="S263" i="30"/>
  <c r="S319" i="30"/>
  <c r="S446" i="30"/>
  <c r="S287" i="30"/>
  <c r="S411" i="30"/>
  <c r="S473" i="30"/>
  <c r="S278" i="30"/>
  <c r="S454" i="30"/>
  <c r="S313" i="30"/>
  <c r="S430" i="30"/>
  <c r="S295" i="30"/>
  <c r="S462" i="30"/>
  <c r="S246" i="30"/>
  <c r="S307" i="30"/>
  <c r="S424" i="30"/>
  <c r="S298" i="30"/>
  <c r="S429" i="30"/>
  <c r="S268" i="30"/>
  <c r="S451" i="30"/>
  <c r="S294" i="30"/>
  <c r="S418" i="30"/>
  <c r="S285" i="30"/>
  <c r="S402" i="30"/>
  <c r="S459" i="30"/>
  <c r="S250" i="30"/>
  <c r="S440" i="30"/>
  <c r="S304" i="30"/>
  <c r="S467" i="30"/>
  <c r="S431" i="30"/>
  <c r="S434" i="30"/>
  <c r="S425" i="30"/>
  <c r="S292" i="30"/>
  <c r="S471" i="30"/>
  <c r="S257" i="30"/>
  <c r="S447" i="30"/>
  <c r="S249" i="30"/>
  <c r="S282" i="30"/>
  <c r="S432" i="30"/>
  <c r="S416" i="30"/>
  <c r="S253" i="30"/>
  <c r="S316" i="30"/>
  <c r="S305" i="30"/>
  <c r="S275" i="30"/>
  <c r="S461" i="30"/>
  <c r="S301" i="30"/>
  <c r="S409" i="30"/>
  <c r="S311" i="30"/>
  <c r="S262" i="30"/>
  <c r="S251" i="30"/>
  <c r="S436" i="30"/>
  <c r="S314" i="30"/>
  <c r="S468" i="30"/>
  <c r="S310" i="30"/>
  <c r="S264" i="30"/>
  <c r="S464" i="30"/>
  <c r="S248" i="30"/>
  <c r="S417" i="30"/>
  <c r="S439" i="30"/>
  <c r="S299" i="30"/>
  <c r="S405" i="30"/>
  <c r="S267" i="30"/>
  <c r="S426" i="30"/>
  <c r="S260" i="30"/>
  <c r="S441" i="30"/>
  <c r="S258" i="30"/>
  <c r="S448" i="30"/>
  <c r="S289" i="30"/>
  <c r="S406" i="30"/>
  <c r="S475" i="30"/>
  <c r="S254" i="30"/>
  <c r="S317" i="30"/>
  <c r="S437" i="30"/>
  <c r="S252" i="30"/>
  <c r="S308" i="30"/>
  <c r="S423" i="30"/>
  <c r="S401" i="30"/>
  <c r="S269" i="30"/>
  <c r="S469" i="30"/>
  <c r="S255" i="30"/>
  <c r="S419" i="30"/>
  <c r="S274" i="30"/>
  <c r="S443" i="30"/>
  <c r="S265" i="30"/>
  <c r="S465" i="30"/>
  <c r="S270" i="30"/>
  <c r="S453" i="30"/>
  <c r="S296" i="30"/>
  <c r="S413" i="30"/>
  <c r="S261" i="30"/>
  <c r="S245" i="30"/>
  <c r="S444" i="30"/>
  <c r="S259" i="30"/>
  <c r="S315" i="30"/>
  <c r="S435" i="30"/>
  <c r="S283" i="30"/>
  <c r="S407" i="30"/>
  <c r="S276" i="30"/>
  <c r="T440" i="30"/>
  <c r="T304" i="30"/>
  <c r="T438" i="30"/>
  <c r="T288" i="30"/>
  <c r="T403" i="30"/>
  <c r="T474" i="30"/>
  <c r="T265" i="30"/>
  <c r="T465" i="30"/>
  <c r="T270" i="30"/>
  <c r="T453" i="30"/>
  <c r="T296" i="30"/>
  <c r="T413" i="30"/>
  <c r="T261" i="30"/>
  <c r="T245" i="30"/>
  <c r="T444" i="30"/>
  <c r="T259" i="30"/>
  <c r="T315" i="30"/>
  <c r="T447" i="30"/>
  <c r="T311" i="30"/>
  <c r="T445" i="30"/>
  <c r="T293" i="30"/>
  <c r="T412" i="30"/>
  <c r="T272" i="30"/>
  <c r="T472" i="30"/>
  <c r="T277" i="30"/>
  <c r="T458" i="30"/>
  <c r="T247" i="30"/>
  <c r="T303" i="30"/>
  <c r="T420" i="30"/>
  <c r="T273" i="30"/>
  <c r="T456" i="30"/>
  <c r="T266" i="30"/>
  <c r="T469" i="30"/>
  <c r="T255" i="30"/>
  <c r="T457" i="30"/>
  <c r="T253" i="30"/>
  <c r="T309" i="30"/>
  <c r="T426" i="30"/>
  <c r="T300" i="30"/>
  <c r="T415" i="30"/>
  <c r="T291" i="30"/>
  <c r="T422" i="30"/>
  <c r="T470" i="30"/>
  <c r="T263" i="30"/>
  <c r="T319" i="30"/>
  <c r="T446" i="30"/>
  <c r="T287" i="30"/>
  <c r="T411" i="30"/>
  <c r="T473" i="30"/>
  <c r="T278" i="30"/>
  <c r="T454" i="30"/>
  <c r="T313" i="30"/>
  <c r="T430" i="30"/>
  <c r="T295" i="30"/>
  <c r="T433" i="30"/>
  <c r="T279" i="30"/>
  <c r="T460" i="30"/>
  <c r="T260" i="30"/>
  <c r="T441" i="30"/>
  <c r="T258" i="30"/>
  <c r="T448" i="30"/>
  <c r="T289" i="30"/>
  <c r="T406" i="30"/>
  <c r="T475" i="30"/>
  <c r="T254" i="30"/>
  <c r="T317" i="30"/>
  <c r="T437" i="30"/>
  <c r="T252" i="30"/>
  <c r="T308" i="30"/>
  <c r="T423" i="30"/>
  <c r="T401" i="30"/>
  <c r="T269" i="30"/>
  <c r="T281" i="30"/>
  <c r="T467" i="30"/>
  <c r="T267" i="30"/>
  <c r="T450" i="30"/>
  <c r="T431" i="30"/>
  <c r="T434" i="30"/>
  <c r="T301" i="30"/>
  <c r="T292" i="30"/>
  <c r="T449" i="30"/>
  <c r="T283" i="30"/>
  <c r="T290" i="30"/>
  <c r="T274" i="30"/>
  <c r="T455" i="30"/>
  <c r="T251" i="30"/>
  <c r="T436" i="30"/>
  <c r="T249" i="30"/>
  <c r="T439" i="30"/>
  <c r="T310" i="30"/>
  <c r="T299" i="30"/>
  <c r="T459" i="30"/>
  <c r="T297" i="30"/>
  <c r="T302" i="30"/>
  <c r="T286" i="30"/>
  <c r="T284" i="30"/>
  <c r="T463" i="30"/>
  <c r="T256" i="30"/>
  <c r="T427" i="30"/>
  <c r="T404" i="30"/>
  <c r="T471" i="30"/>
  <c r="T306" i="30"/>
  <c r="T407" i="30"/>
  <c r="T405" i="30"/>
  <c r="T318" i="30"/>
  <c r="T307" i="30"/>
  <c r="T298" i="30"/>
  <c r="T268" i="30"/>
  <c r="T451" i="30"/>
  <c r="T418" i="30"/>
  <c r="T402" i="30"/>
  <c r="T414" i="30"/>
  <c r="T419" i="30"/>
  <c r="T316" i="30"/>
  <c r="T305" i="30"/>
  <c r="T275" i="30"/>
  <c r="T461" i="30"/>
  <c r="T425" i="30"/>
  <c r="T409" i="30"/>
  <c r="T421" i="30"/>
  <c r="T428" i="30"/>
  <c r="T314" i="30"/>
  <c r="T282" i="30"/>
  <c r="T468" i="30"/>
  <c r="T432" i="30"/>
  <c r="T416" i="30"/>
  <c r="T250" i="30"/>
  <c r="T464" i="30"/>
  <c r="T248" i="30"/>
  <c r="T452" i="30"/>
  <c r="T246" i="30"/>
  <c r="T417" i="30"/>
  <c r="T410" i="30"/>
  <c r="T408" i="30"/>
  <c r="T312" i="30"/>
  <c r="T280" i="30"/>
  <c r="T466" i="30"/>
  <c r="T271" i="30"/>
  <c r="T435" i="30"/>
  <c r="T257" i="30"/>
  <c r="T276" i="30"/>
  <c r="T462" i="30"/>
  <c r="T262" i="30"/>
  <c r="T443" i="30"/>
  <c r="T424" i="30"/>
  <c r="T429" i="30"/>
  <c r="T294" i="30"/>
  <c r="T285" i="30"/>
  <c r="T442" i="30"/>
  <c r="T264" i="30"/>
  <c r="W451" i="30"/>
  <c r="W420" i="30"/>
  <c r="W287" i="30"/>
  <c r="W411" i="30"/>
  <c r="W473" i="30"/>
  <c r="W278" i="30"/>
  <c r="W454" i="30"/>
  <c r="W313" i="30"/>
  <c r="W430" i="30"/>
  <c r="W295" i="30"/>
  <c r="W433" i="30"/>
  <c r="W279" i="30"/>
  <c r="W460" i="30"/>
  <c r="W260" i="30"/>
  <c r="W441" i="30"/>
  <c r="W258" i="30"/>
  <c r="W448" i="30"/>
  <c r="W289" i="30"/>
  <c r="W446" i="30"/>
  <c r="W301" i="30"/>
  <c r="W425" i="30"/>
  <c r="W292" i="30"/>
  <c r="W409" i="30"/>
  <c r="W471" i="30"/>
  <c r="W257" i="30"/>
  <c r="W447" i="30"/>
  <c r="W311" i="30"/>
  <c r="W445" i="30"/>
  <c r="W293" i="30"/>
  <c r="W412" i="30"/>
  <c r="W272" i="30"/>
  <c r="W472" i="30"/>
  <c r="W277" i="30"/>
  <c r="W458" i="30"/>
  <c r="W247" i="30"/>
  <c r="W303" i="30"/>
  <c r="W461" i="30"/>
  <c r="W310" i="30"/>
  <c r="W432" i="30"/>
  <c r="W299" i="30"/>
  <c r="W416" i="30"/>
  <c r="W264" i="30"/>
  <c r="W464" i="30"/>
  <c r="W248" i="30"/>
  <c r="W452" i="30"/>
  <c r="W246" i="30"/>
  <c r="W302" i="30"/>
  <c r="W417" i="30"/>
  <c r="W286" i="30"/>
  <c r="W410" i="30"/>
  <c r="W284" i="30"/>
  <c r="W408" i="30"/>
  <c r="W463" i="30"/>
  <c r="W256" i="30"/>
  <c r="W312" i="30"/>
  <c r="W468" i="30"/>
  <c r="W254" i="30"/>
  <c r="W317" i="30"/>
  <c r="W437" i="30"/>
  <c r="W252" i="30"/>
  <c r="W308" i="30"/>
  <c r="W423" i="30"/>
  <c r="W401" i="30"/>
  <c r="W269" i="30"/>
  <c r="W469" i="30"/>
  <c r="W255" i="30"/>
  <c r="W457" i="30"/>
  <c r="W253" i="30"/>
  <c r="W309" i="30"/>
  <c r="W426" i="30"/>
  <c r="W300" i="30"/>
  <c r="W415" i="30"/>
  <c r="W291" i="30"/>
  <c r="W422" i="30"/>
  <c r="W470" i="30"/>
  <c r="W263" i="30"/>
  <c r="W319" i="30"/>
  <c r="W475" i="30"/>
  <c r="W261" i="30"/>
  <c r="W444" i="30"/>
  <c r="W259" i="30"/>
  <c r="W435" i="30"/>
  <c r="W407" i="30"/>
  <c r="W405" i="30"/>
  <c r="W273" i="30"/>
  <c r="W456" i="30"/>
  <c r="W266" i="30"/>
  <c r="W442" i="30"/>
  <c r="W414" i="30"/>
  <c r="W419" i="30"/>
  <c r="W316" i="30"/>
  <c r="W305" i="30"/>
  <c r="W275" i="30"/>
  <c r="W280" i="30"/>
  <c r="W466" i="30"/>
  <c r="W271" i="30"/>
  <c r="W449" i="30"/>
  <c r="W421" i="30"/>
  <c r="W428" i="30"/>
  <c r="W314" i="30"/>
  <c r="W282" i="30"/>
  <c r="W245" i="30"/>
  <c r="W315" i="30"/>
  <c r="W283" i="30"/>
  <c r="W276" i="30"/>
  <c r="W462" i="30"/>
  <c r="W262" i="30"/>
  <c r="W443" i="30"/>
  <c r="W424" i="30"/>
  <c r="W429" i="30"/>
  <c r="W406" i="30"/>
  <c r="W297" i="30"/>
  <c r="W281" i="30"/>
  <c r="W467" i="30"/>
  <c r="W267" i="30"/>
  <c r="W450" i="30"/>
  <c r="W431" i="30"/>
  <c r="W434" i="30"/>
  <c r="W413" i="30"/>
  <c r="W404" i="30"/>
  <c r="W306" i="30"/>
  <c r="W290" i="30"/>
  <c r="W274" i="30"/>
  <c r="W455" i="30"/>
  <c r="W251" i="30"/>
  <c r="W436" i="30"/>
  <c r="W249" i="30"/>
  <c r="W439" i="30"/>
  <c r="W427" i="30"/>
  <c r="W418" i="30"/>
  <c r="W402" i="30"/>
  <c r="W304" i="30"/>
  <c r="W288" i="30"/>
  <c r="W474" i="30"/>
  <c r="W265" i="30"/>
  <c r="W465" i="30"/>
  <c r="W270" i="30"/>
  <c r="W453" i="30"/>
  <c r="W318" i="30"/>
  <c r="W298" i="30"/>
  <c r="W285" i="30"/>
  <c r="W403" i="30"/>
  <c r="W459" i="30"/>
  <c r="W250" i="30"/>
  <c r="W296" i="30"/>
  <c r="W438" i="30"/>
  <c r="W294" i="30"/>
  <c r="W440" i="30"/>
  <c r="W307" i="30"/>
  <c r="W268" i="30"/>
  <c r="R460" i="30"/>
  <c r="R260" i="30"/>
  <c r="R441" i="30"/>
  <c r="R258" i="30"/>
  <c r="R448" i="30"/>
  <c r="R289" i="30"/>
  <c r="R406" i="30"/>
  <c r="R475" i="30"/>
  <c r="R254" i="30"/>
  <c r="R317" i="30"/>
  <c r="R437" i="30"/>
  <c r="R252" i="30"/>
  <c r="R308" i="30"/>
  <c r="R423" i="30"/>
  <c r="R401" i="30"/>
  <c r="R269" i="30"/>
  <c r="R469" i="30"/>
  <c r="R255" i="30"/>
  <c r="R457" i="30"/>
  <c r="R253" i="30"/>
  <c r="R309" i="30"/>
  <c r="R403" i="30"/>
  <c r="R474" i="30"/>
  <c r="R265" i="30"/>
  <c r="R465" i="30"/>
  <c r="R270" i="30"/>
  <c r="R453" i="30"/>
  <c r="R296" i="30"/>
  <c r="R413" i="30"/>
  <c r="R261" i="30"/>
  <c r="R245" i="30"/>
  <c r="R444" i="30"/>
  <c r="R259" i="30"/>
  <c r="R315" i="30"/>
  <c r="R435" i="30"/>
  <c r="R283" i="30"/>
  <c r="R407" i="30"/>
  <c r="R276" i="30"/>
  <c r="R405" i="30"/>
  <c r="R462" i="30"/>
  <c r="R262" i="30"/>
  <c r="R318" i="30"/>
  <c r="R412" i="30"/>
  <c r="R272" i="30"/>
  <c r="R472" i="30"/>
  <c r="R277" i="30"/>
  <c r="R458" i="30"/>
  <c r="R247" i="30"/>
  <c r="R303" i="30"/>
  <c r="R420" i="30"/>
  <c r="R273" i="30"/>
  <c r="R456" i="30"/>
  <c r="R266" i="30"/>
  <c r="R442" i="30"/>
  <c r="R297" i="30"/>
  <c r="R414" i="30"/>
  <c r="R281" i="30"/>
  <c r="R419" i="30"/>
  <c r="R467" i="30"/>
  <c r="R267" i="30"/>
  <c r="R417" i="30"/>
  <c r="R286" i="30"/>
  <c r="R410" i="30"/>
  <c r="R284" i="30"/>
  <c r="R408" i="30"/>
  <c r="R463" i="30"/>
  <c r="R256" i="30"/>
  <c r="R312" i="30"/>
  <c r="R427" i="30"/>
  <c r="R280" i="30"/>
  <c r="R404" i="30"/>
  <c r="R466" i="30"/>
  <c r="R271" i="30"/>
  <c r="R449" i="30"/>
  <c r="R306" i="30"/>
  <c r="R421" i="30"/>
  <c r="R290" i="30"/>
  <c r="R428" i="30"/>
  <c r="R274" i="30"/>
  <c r="R426" i="30"/>
  <c r="R300" i="30"/>
  <c r="R415" i="30"/>
  <c r="R291" i="30"/>
  <c r="R422" i="30"/>
  <c r="R470" i="30"/>
  <c r="R263" i="30"/>
  <c r="R319" i="30"/>
  <c r="R446" i="30"/>
  <c r="R287" i="30"/>
  <c r="R411" i="30"/>
  <c r="R473" i="30"/>
  <c r="R278" i="30"/>
  <c r="R454" i="30"/>
  <c r="R313" i="30"/>
  <c r="R430" i="30"/>
  <c r="R295" i="30"/>
  <c r="R433" i="30"/>
  <c r="R279" i="30"/>
  <c r="R443" i="30"/>
  <c r="R307" i="30"/>
  <c r="R424" i="30"/>
  <c r="R298" i="30"/>
  <c r="R429" i="30"/>
  <c r="R268" i="30"/>
  <c r="R451" i="30"/>
  <c r="R294" i="30"/>
  <c r="R418" i="30"/>
  <c r="R285" i="30"/>
  <c r="R402" i="30"/>
  <c r="R459" i="30"/>
  <c r="R250" i="30"/>
  <c r="R440" i="30"/>
  <c r="R304" i="30"/>
  <c r="R438" i="30"/>
  <c r="R288" i="30"/>
  <c r="R450" i="30"/>
  <c r="R316" i="30"/>
  <c r="R431" i="30"/>
  <c r="R305" i="30"/>
  <c r="R434" i="30"/>
  <c r="R275" i="30"/>
  <c r="R461" i="30"/>
  <c r="R301" i="30"/>
  <c r="R425" i="30"/>
  <c r="R292" i="30"/>
  <c r="R409" i="30"/>
  <c r="R471" i="30"/>
  <c r="R257" i="30"/>
  <c r="R447" i="30"/>
  <c r="R311" i="30"/>
  <c r="R445" i="30"/>
  <c r="R293" i="30"/>
  <c r="R455" i="30"/>
  <c r="R251" i="30"/>
  <c r="R436" i="30"/>
  <c r="R249" i="30"/>
  <c r="R314" i="30"/>
  <c r="R439" i="30"/>
  <c r="R282" i="30"/>
  <c r="R468" i="30"/>
  <c r="R310" i="30"/>
  <c r="R432" i="30"/>
  <c r="R299" i="30"/>
  <c r="R416" i="30"/>
  <c r="R264" i="30"/>
  <c r="R464" i="30"/>
  <c r="R248" i="30"/>
  <c r="R452" i="30"/>
  <c r="R246" i="30"/>
  <c r="R302" i="30"/>
  <c r="O315" i="30"/>
  <c r="O420" i="30"/>
  <c r="O273" i="30"/>
  <c r="O456" i="30"/>
  <c r="O266" i="30"/>
  <c r="O442" i="30"/>
  <c r="O297" i="30"/>
  <c r="O414" i="30"/>
  <c r="O281" i="30"/>
  <c r="O419" i="30"/>
  <c r="O467" i="30"/>
  <c r="O267" i="30"/>
  <c r="O450" i="30"/>
  <c r="O316" i="30"/>
  <c r="O305" i="30"/>
  <c r="O439" i="30"/>
  <c r="O427" i="30"/>
  <c r="O280" i="30"/>
  <c r="O404" i="30"/>
  <c r="O466" i="30"/>
  <c r="O271" i="30"/>
  <c r="O449" i="30"/>
  <c r="O306" i="30"/>
  <c r="O421" i="30"/>
  <c r="O290" i="30"/>
  <c r="O428" i="30"/>
  <c r="O274" i="30"/>
  <c r="O455" i="30"/>
  <c r="O436" i="30"/>
  <c r="O282" i="30"/>
  <c r="O446" i="30"/>
  <c r="O287" i="30"/>
  <c r="O411" i="30"/>
  <c r="O473" i="30"/>
  <c r="O278" i="30"/>
  <c r="O454" i="30"/>
  <c r="O313" i="30"/>
  <c r="O430" i="30"/>
  <c r="O295" i="30"/>
  <c r="O433" i="30"/>
  <c r="O279" i="30"/>
  <c r="O460" i="30"/>
  <c r="O260" i="30"/>
  <c r="O441" i="30"/>
  <c r="O258" i="30"/>
  <c r="O448" i="30"/>
  <c r="O451" i="30"/>
  <c r="O294" i="30"/>
  <c r="O418" i="30"/>
  <c r="O285" i="30"/>
  <c r="O402" i="30"/>
  <c r="O459" i="30"/>
  <c r="O250" i="30"/>
  <c r="O440" i="30"/>
  <c r="O304" i="30"/>
  <c r="O438" i="30"/>
  <c r="O288" i="30"/>
  <c r="O403" i="30"/>
  <c r="O474" i="30"/>
  <c r="O265" i="30"/>
  <c r="O465" i="30"/>
  <c r="O270" i="30"/>
  <c r="O453" i="30"/>
  <c r="O296" i="30"/>
  <c r="O461" i="30"/>
  <c r="O301" i="30"/>
  <c r="O425" i="30"/>
  <c r="O292" i="30"/>
  <c r="O409" i="30"/>
  <c r="O471" i="30"/>
  <c r="O257" i="30"/>
  <c r="O447" i="30"/>
  <c r="O311" i="30"/>
  <c r="O445" i="30"/>
  <c r="O293" i="30"/>
  <c r="O412" i="30"/>
  <c r="O272" i="30"/>
  <c r="O472" i="30"/>
  <c r="O277" i="30"/>
  <c r="O458" i="30"/>
  <c r="O247" i="30"/>
  <c r="O303" i="30"/>
  <c r="O475" i="30"/>
  <c r="O317" i="30"/>
  <c r="O308" i="30"/>
  <c r="O469" i="30"/>
  <c r="O309" i="30"/>
  <c r="O415" i="30"/>
  <c r="O422" i="30"/>
  <c r="O319" i="30"/>
  <c r="O245" i="30"/>
  <c r="O259" i="30"/>
  <c r="O407" i="30"/>
  <c r="O276" i="30"/>
  <c r="O318" i="30"/>
  <c r="O429" i="30"/>
  <c r="O251" i="30"/>
  <c r="O249" i="30"/>
  <c r="O468" i="30"/>
  <c r="O310" i="30"/>
  <c r="O432" i="30"/>
  <c r="O299" i="30"/>
  <c r="O416" i="30"/>
  <c r="O264" i="30"/>
  <c r="O464" i="30"/>
  <c r="O248" i="30"/>
  <c r="O452" i="30"/>
  <c r="O246" i="30"/>
  <c r="O302" i="30"/>
  <c r="O417" i="30"/>
  <c r="O286" i="30"/>
  <c r="O410" i="30"/>
  <c r="O284" i="30"/>
  <c r="O408" i="30"/>
  <c r="O463" i="30"/>
  <c r="O256" i="30"/>
  <c r="O312" i="30"/>
  <c r="O406" i="30"/>
  <c r="O254" i="30"/>
  <c r="O437" i="30"/>
  <c r="O252" i="30"/>
  <c r="O401" i="30"/>
  <c r="O269" i="30"/>
  <c r="O457" i="30"/>
  <c r="O253" i="30"/>
  <c r="O426" i="30"/>
  <c r="O291" i="30"/>
  <c r="O470" i="30"/>
  <c r="O263" i="30"/>
  <c r="O413" i="30"/>
  <c r="O261" i="30"/>
  <c r="O444" i="30"/>
  <c r="O435" i="30"/>
  <c r="O283" i="30"/>
  <c r="O405" i="30"/>
  <c r="O262" i="30"/>
  <c r="O424" i="30"/>
  <c r="O423" i="30"/>
  <c r="O255" i="30"/>
  <c r="O300" i="30"/>
  <c r="O462" i="30"/>
  <c r="O443" i="30"/>
  <c r="O307" i="30"/>
  <c r="O298" i="30"/>
  <c r="O268" i="30"/>
  <c r="O431" i="30"/>
  <c r="O434" i="30"/>
  <c r="O275" i="30"/>
  <c r="O314" i="30"/>
  <c r="O289" i="30"/>
  <c r="K194" i="31"/>
  <c r="Q153" i="31"/>
  <c r="L154" i="31"/>
  <c r="L145" i="31"/>
  <c r="AA247" i="12"/>
  <c r="K162" i="31"/>
  <c r="L183" i="31"/>
  <c r="M172" i="31"/>
  <c r="N161" i="31"/>
  <c r="Q150" i="31"/>
  <c r="K187" i="31"/>
  <c r="L176" i="31"/>
  <c r="M165" i="31"/>
  <c r="N154" i="31"/>
  <c r="Q199" i="31"/>
  <c r="K172" i="31"/>
  <c r="L177" i="31"/>
  <c r="M166" i="31"/>
  <c r="N155" i="31"/>
  <c r="Q200" i="31"/>
  <c r="K189" i="31"/>
  <c r="L186" i="31"/>
  <c r="N164" i="31"/>
  <c r="Q185" i="31"/>
  <c r="K166" i="31"/>
  <c r="M160" i="31"/>
  <c r="N181" i="31"/>
  <c r="Q202" i="31"/>
  <c r="K183" i="31"/>
  <c r="L196" i="31"/>
  <c r="M161" i="31"/>
  <c r="N190" i="31"/>
  <c r="Q147" i="31"/>
  <c r="K184" i="31"/>
  <c r="L189" i="31"/>
  <c r="N159" i="31"/>
  <c r="Q180" i="31"/>
  <c r="K169" i="31"/>
  <c r="K170" i="31"/>
  <c r="Q133" i="31"/>
  <c r="L191" i="31"/>
  <c r="M180" i="31"/>
  <c r="N169" i="31"/>
  <c r="Q158" i="31"/>
  <c r="K195" i="31"/>
  <c r="Q134" i="31"/>
  <c r="L184" i="31"/>
  <c r="M173" i="31"/>
  <c r="N162" i="31"/>
  <c r="Q143" i="31"/>
  <c r="K180" i="31"/>
  <c r="Q135" i="31"/>
  <c r="L185" i="31"/>
  <c r="M174" i="31"/>
  <c r="N163" i="31"/>
  <c r="Q144" i="31"/>
  <c r="K197" i="31"/>
  <c r="L194" i="31"/>
  <c r="M151" i="31"/>
  <c r="N172" i="31"/>
  <c r="Q193" i="31"/>
  <c r="K174" i="31"/>
  <c r="L155" i="31"/>
  <c r="M168" i="31"/>
  <c r="N189" i="31"/>
  <c r="Q146" i="31"/>
  <c r="K191" i="31"/>
  <c r="L204" i="31"/>
  <c r="M169" i="31"/>
  <c r="N198" i="31"/>
  <c r="Q155" i="31"/>
  <c r="K192" i="31"/>
  <c r="L197" i="31"/>
  <c r="M154" i="31"/>
  <c r="N167" i="31"/>
  <c r="Q188" i="31"/>
  <c r="K178" i="31"/>
  <c r="L199" i="31"/>
  <c r="M188" i="31"/>
  <c r="N177" i="31"/>
  <c r="Q166" i="31"/>
  <c r="K203" i="31"/>
  <c r="Q137" i="31"/>
  <c r="L192" i="31"/>
  <c r="M181" i="31"/>
  <c r="N170" i="31"/>
  <c r="Q151" i="31"/>
  <c r="K188" i="31"/>
  <c r="L193" i="31"/>
  <c r="M182" i="31"/>
  <c r="N171" i="31"/>
  <c r="Q152" i="31"/>
  <c r="K205" i="31"/>
  <c r="Q139" i="31"/>
  <c r="L202" i="31"/>
  <c r="M159" i="31"/>
  <c r="N180" i="31"/>
  <c r="Q201" i="31"/>
  <c r="K182" i="31"/>
  <c r="L163" i="31"/>
  <c r="M176" i="31"/>
  <c r="N197" i="31"/>
  <c r="Q154" i="31"/>
  <c r="K199" i="31"/>
  <c r="M177" i="31"/>
  <c r="Q163" i="31"/>
  <c r="K200" i="31"/>
  <c r="L205" i="31"/>
  <c r="M162" i="31"/>
  <c r="N175" i="31"/>
  <c r="Q196" i="31"/>
  <c r="K53" i="31"/>
  <c r="K186" i="31"/>
  <c r="M196" i="31"/>
  <c r="N185" i="31"/>
  <c r="Q174" i="31"/>
  <c r="L200" i="31"/>
  <c r="M189" i="31"/>
  <c r="N178" i="31"/>
  <c r="Q159" i="31"/>
  <c r="K196" i="31"/>
  <c r="Q138" i="31"/>
  <c r="L201" i="31"/>
  <c r="M190" i="31"/>
  <c r="N179" i="31"/>
  <c r="Q160" i="31"/>
  <c r="M167" i="31"/>
  <c r="N188" i="31"/>
  <c r="Q145" i="31"/>
  <c r="K190" i="31"/>
  <c r="L171" i="31"/>
  <c r="M184" i="31"/>
  <c r="N205" i="31"/>
  <c r="Q162" i="31"/>
  <c r="L156" i="31"/>
  <c r="M185" i="31"/>
  <c r="Q171" i="31"/>
  <c r="M170" i="31"/>
  <c r="N183" i="31"/>
  <c r="Q204" i="31"/>
  <c r="K202" i="31"/>
  <c r="L159" i="31"/>
  <c r="N201" i="31"/>
  <c r="Q190" i="31"/>
  <c r="K163" i="31"/>
  <c r="L152" i="31"/>
  <c r="M205" i="31"/>
  <c r="N194" i="31"/>
  <c r="Q175" i="31"/>
  <c r="L153" i="31"/>
  <c r="N195" i="31"/>
  <c r="Q176" i="31"/>
  <c r="K165" i="31"/>
  <c r="L162" i="31"/>
  <c r="M183" i="31"/>
  <c r="N204" i="31"/>
  <c r="Q161" i="31"/>
  <c r="L187" i="31"/>
  <c r="M200" i="31"/>
  <c r="N157" i="31"/>
  <c r="Q178" i="31"/>
  <c r="K159" i="31"/>
  <c r="L172" i="31"/>
  <c r="M201" i="31"/>
  <c r="N166" i="31"/>
  <c r="Q187" i="31"/>
  <c r="K160" i="31"/>
  <c r="L165" i="31"/>
  <c r="M186" i="31"/>
  <c r="N199" i="31"/>
  <c r="Q156" i="31"/>
  <c r="M171" i="31"/>
  <c r="L167" i="31"/>
  <c r="M156" i="31"/>
  <c r="N145" i="31"/>
  <c r="Q198" i="31"/>
  <c r="K171" i="31"/>
  <c r="L160" i="31"/>
  <c r="N202" i="31"/>
  <c r="Q183" i="31"/>
  <c r="K156" i="31"/>
  <c r="L161" i="31"/>
  <c r="N203" i="31"/>
  <c r="Q184" i="31"/>
  <c r="K173" i="31"/>
  <c r="L170" i="31"/>
  <c r="M191" i="31"/>
  <c r="Q169" i="31"/>
  <c r="Q140" i="31"/>
  <c r="L195" i="31"/>
  <c r="N165" i="31"/>
  <c r="Q186" i="31"/>
  <c r="K167" i="31"/>
  <c r="L180" i="31"/>
  <c r="M145" i="31"/>
  <c r="N174" i="31"/>
  <c r="Q195" i="31"/>
  <c r="K168" i="31"/>
  <c r="Q131" i="31"/>
  <c r="L173" i="31"/>
  <c r="M194" i="31"/>
  <c r="Q164" i="31"/>
  <c r="Q181" i="31"/>
  <c r="K154" i="31"/>
  <c r="L175" i="31"/>
  <c r="M164" i="31"/>
  <c r="N153" i="31"/>
  <c r="K179" i="31"/>
  <c r="Q142" i="31"/>
  <c r="L168" i="31"/>
  <c r="M157" i="31"/>
  <c r="Q191" i="31"/>
  <c r="K164" i="31"/>
  <c r="L169" i="31"/>
  <c r="M158" i="31"/>
  <c r="Q192" i="31"/>
  <c r="K181" i="31"/>
  <c r="Q136" i="31"/>
  <c r="L178" i="31"/>
  <c r="M199" i="31"/>
  <c r="N156" i="31"/>
  <c r="Q177" i="31"/>
  <c r="K158" i="31"/>
  <c r="L203" i="31"/>
  <c r="M152" i="31"/>
  <c r="N173" i="31"/>
  <c r="Q194" i="31"/>
  <c r="K175" i="31"/>
  <c r="L188" i="31"/>
  <c r="M153" i="31"/>
  <c r="N182" i="31"/>
  <c r="Q203" i="31"/>
  <c r="K176" i="31"/>
  <c r="L181" i="31"/>
  <c r="M202" i="31"/>
  <c r="N151" i="31"/>
  <c r="Q172" i="31"/>
  <c r="Q168" i="31"/>
  <c r="N186" i="31"/>
  <c r="M204" i="31"/>
  <c r="K151" i="31"/>
  <c r="M175" i="31"/>
  <c r="N187" i="31"/>
  <c r="M197" i="31"/>
  <c r="M198" i="31"/>
  <c r="L151" i="31"/>
  <c r="O69" i="32"/>
  <c r="N5" i="4"/>
  <c r="I86" i="6"/>
  <c r="N7" i="32" s="1"/>
  <c r="O5" i="4"/>
  <c r="N5" i="26"/>
  <c r="N5" i="11"/>
  <c r="F15" i="2"/>
  <c r="I89" i="6"/>
  <c r="H88" i="6"/>
  <c r="G57" i="2" s="1"/>
  <c r="I88" i="6"/>
  <c r="B5" i="30"/>
  <c r="B479" i="18"/>
  <c r="B551" i="30"/>
  <c r="B5" i="18"/>
  <c r="B791" i="18"/>
  <c r="B242" i="18"/>
  <c r="B242" i="30"/>
  <c r="B868" i="30"/>
  <c r="J69" i="32"/>
  <c r="D296" i="50"/>
  <c r="D282" i="50"/>
  <c r="D189" i="50"/>
  <c r="D175" i="50"/>
  <c r="B479" i="30"/>
  <c r="J23" i="2"/>
  <c r="Q22" i="9" s="1"/>
  <c r="I7" i="30" s="1"/>
  <c r="I48" i="30" s="1"/>
  <c r="J22" i="2"/>
  <c r="N69" i="32"/>
  <c r="C208" i="31"/>
  <c r="C682" i="35" s="1"/>
  <c r="C784" i="35" s="1"/>
  <c r="K23" i="2"/>
  <c r="R22" i="9" s="1"/>
  <c r="I244" i="30" s="1"/>
  <c r="K22" i="2"/>
  <c r="C40" i="47"/>
  <c r="C107" i="47" s="1"/>
  <c r="E212" i="35"/>
  <c r="D212" i="35"/>
  <c r="D77" i="35"/>
  <c r="I86" i="23"/>
  <c r="I70" i="23"/>
  <c r="L51" i="45"/>
  <c r="I129" i="34"/>
  <c r="D113" i="45"/>
  <c r="C35" i="31"/>
  <c r="I87" i="23"/>
  <c r="H5" i="27"/>
  <c r="B146" i="21"/>
  <c r="B77" i="21"/>
  <c r="C66" i="45"/>
  <c r="C26" i="45"/>
  <c r="H134" i="27"/>
  <c r="M29" i="32"/>
  <c r="M72" i="32" s="1"/>
  <c r="L75" i="47"/>
  <c r="P69" i="32"/>
  <c r="D8" i="45"/>
  <c r="H89" i="6"/>
  <c r="G8" i="45"/>
  <c r="L44" i="27"/>
  <c r="C32" i="21"/>
  <c r="M64" i="45"/>
  <c r="B344" i="35"/>
  <c r="L5" i="27"/>
  <c r="B479" i="35"/>
  <c r="I69" i="23"/>
  <c r="I89" i="23"/>
  <c r="D80" i="45"/>
  <c r="H123" i="27"/>
  <c r="H44" i="27"/>
  <c r="H20" i="27"/>
  <c r="I45" i="23"/>
  <c r="L113" i="45"/>
  <c r="I44" i="23"/>
  <c r="L37" i="45"/>
  <c r="L64" i="45"/>
  <c r="C165" i="12"/>
  <c r="C54" i="21"/>
  <c r="P5" i="28"/>
  <c r="O19" i="22"/>
  <c r="O77" i="4"/>
  <c r="H87" i="6"/>
  <c r="P39" i="28"/>
  <c r="O14" i="11"/>
  <c r="O29" i="11"/>
  <c r="O60" i="4"/>
  <c r="O5" i="22"/>
  <c r="O61" i="38"/>
  <c r="O28" i="26"/>
  <c r="O215" i="21"/>
  <c r="O14" i="4"/>
  <c r="O37" i="4"/>
  <c r="O55" i="32"/>
  <c r="O11" i="32"/>
  <c r="J120" i="34"/>
  <c r="O106" i="4"/>
  <c r="C163" i="19"/>
  <c r="O22" i="26"/>
  <c r="J5" i="34"/>
  <c r="O41" i="32"/>
  <c r="O26" i="32"/>
  <c r="O34" i="26"/>
  <c r="P215" i="21"/>
  <c r="Q39" i="28"/>
  <c r="P41" i="32"/>
  <c r="Q5" i="28"/>
  <c r="P61" i="38"/>
  <c r="C241" i="19"/>
  <c r="P77" i="4"/>
  <c r="P11" i="32"/>
  <c r="P106" i="4"/>
  <c r="P5" i="22"/>
  <c r="P5" i="32"/>
  <c r="P37" i="4"/>
  <c r="P29" i="11"/>
  <c r="P28" i="26"/>
  <c r="P34" i="26"/>
  <c r="P26" i="32"/>
  <c r="K5" i="34"/>
  <c r="P14" i="11"/>
  <c r="P60" i="4"/>
  <c r="K120" i="34"/>
  <c r="P22" i="26"/>
  <c r="P14" i="4"/>
  <c r="P55" i="32"/>
  <c r="I41" i="23"/>
  <c r="M37" i="45"/>
  <c r="M24" i="45"/>
  <c r="M51" i="45"/>
  <c r="D8" i="47"/>
  <c r="C130" i="31"/>
  <c r="C21" i="31"/>
  <c r="C86" i="12"/>
  <c r="L20" i="27"/>
  <c r="N11" i="32"/>
  <c r="N61" i="38"/>
  <c r="N19" i="22"/>
  <c r="C85" i="19"/>
  <c r="N14" i="11"/>
  <c r="N34" i="26"/>
  <c r="O39" i="28"/>
  <c r="N5" i="22"/>
  <c r="I5" i="34"/>
  <c r="N41" i="32"/>
  <c r="N5" i="32"/>
  <c r="N215" i="21"/>
  <c r="N37" i="4"/>
  <c r="I120" i="34"/>
  <c r="N77" i="4"/>
  <c r="N55" i="32"/>
  <c r="O5" i="28"/>
  <c r="N14" i="4"/>
  <c r="N22" i="26"/>
  <c r="N29" i="11"/>
  <c r="N28" i="26"/>
  <c r="N106" i="4"/>
  <c r="N26" i="32"/>
  <c r="N60" i="4"/>
  <c r="H86" i="6"/>
  <c r="M113" i="45"/>
  <c r="I88" i="23"/>
  <c r="L134" i="27"/>
  <c r="E113" i="45"/>
  <c r="L24" i="45"/>
  <c r="I46" i="23"/>
  <c r="J6" i="18"/>
  <c r="C180" i="29"/>
  <c r="C102" i="29"/>
  <c r="C87" i="19"/>
  <c r="C165" i="19"/>
  <c r="C321" i="19"/>
  <c r="C243" i="19"/>
  <c r="E21" i="43"/>
  <c r="E255" i="43" s="1"/>
  <c r="E10" i="46"/>
  <c r="E55" i="31"/>
  <c r="E10" i="29"/>
  <c r="E10" i="19"/>
  <c r="E10" i="17"/>
  <c r="G29" i="43"/>
  <c r="G263" i="43" s="1"/>
  <c r="G18" i="46"/>
  <c r="G63" i="31"/>
  <c r="G18" i="29"/>
  <c r="G18" i="19"/>
  <c r="G18" i="17"/>
  <c r="C185" i="43"/>
  <c r="C107" i="43"/>
  <c r="C198" i="29"/>
  <c r="C120" i="29"/>
  <c r="C245" i="19"/>
  <c r="C167" i="19"/>
  <c r="C89" i="19"/>
  <c r="C323" i="19"/>
  <c r="C175" i="17"/>
  <c r="C97" i="17"/>
  <c r="D38" i="43"/>
  <c r="D272" i="43" s="1"/>
  <c r="D27" i="46"/>
  <c r="D72" i="31"/>
  <c r="D27" i="29"/>
  <c r="D27" i="19"/>
  <c r="D27" i="17"/>
  <c r="D46" i="43"/>
  <c r="D280" i="43" s="1"/>
  <c r="D35" i="46"/>
  <c r="D80" i="31"/>
  <c r="D35" i="29"/>
  <c r="D35" i="19"/>
  <c r="D35" i="17"/>
  <c r="G54" i="43"/>
  <c r="G288" i="43" s="1"/>
  <c r="G43" i="46"/>
  <c r="G88" i="31"/>
  <c r="G43" i="29"/>
  <c r="G43" i="19"/>
  <c r="G43" i="17"/>
  <c r="C210" i="43"/>
  <c r="C132" i="43"/>
  <c r="C184" i="29"/>
  <c r="C106" i="29"/>
  <c r="C192" i="19"/>
  <c r="C114" i="19"/>
  <c r="C270" i="19"/>
  <c r="C348" i="19"/>
  <c r="C200" i="17"/>
  <c r="C122" i="17"/>
  <c r="G26" i="43"/>
  <c r="G260" i="43" s="1"/>
  <c r="G15" i="46"/>
  <c r="G60" i="31"/>
  <c r="G15" i="29"/>
  <c r="G15" i="19"/>
  <c r="G15" i="17"/>
  <c r="C104" i="43"/>
  <c r="C182" i="43"/>
  <c r="C186" i="29"/>
  <c r="C108" i="29"/>
  <c r="C350" i="19"/>
  <c r="C272" i="19"/>
  <c r="C116" i="19"/>
  <c r="C194" i="19"/>
  <c r="C179" i="17"/>
  <c r="C101" i="17"/>
  <c r="D42" i="43"/>
  <c r="D276" i="43" s="1"/>
  <c r="D31" i="46"/>
  <c r="D76" i="31"/>
  <c r="D31" i="29"/>
  <c r="D31" i="19"/>
  <c r="D31" i="17"/>
  <c r="E50" i="43"/>
  <c r="E284" i="43" s="1"/>
  <c r="E39" i="46"/>
  <c r="E84" i="31"/>
  <c r="E39" i="29"/>
  <c r="E39" i="19"/>
  <c r="E39" i="17"/>
  <c r="G43" i="43"/>
  <c r="G277" i="43" s="1"/>
  <c r="G32" i="46"/>
  <c r="G77" i="31"/>
  <c r="G32" i="29"/>
  <c r="G32" i="19"/>
  <c r="G32" i="17"/>
  <c r="C199" i="43"/>
  <c r="C121" i="43"/>
  <c r="C173" i="29"/>
  <c r="C95" i="29"/>
  <c r="C181" i="19"/>
  <c r="C259" i="19"/>
  <c r="C103" i="19"/>
  <c r="C337" i="19"/>
  <c r="C189" i="17"/>
  <c r="C111" i="17"/>
  <c r="E41" i="46"/>
  <c r="E52" i="43"/>
  <c r="E286" i="43" s="1"/>
  <c r="E86" i="31"/>
  <c r="E41" i="29"/>
  <c r="E41" i="19"/>
  <c r="E41" i="17"/>
  <c r="C91" i="29"/>
  <c r="C169" i="29"/>
  <c r="C333" i="19"/>
  <c r="C177" i="19"/>
  <c r="C255" i="19"/>
  <c r="C99" i="19"/>
  <c r="C107" i="17"/>
  <c r="C185" i="17"/>
  <c r="D48" i="43"/>
  <c r="D282" i="43" s="1"/>
  <c r="D37" i="46"/>
  <c r="D82" i="31"/>
  <c r="D37" i="29"/>
  <c r="D37" i="19"/>
  <c r="D37" i="17"/>
  <c r="E56" i="43"/>
  <c r="E290" i="43" s="1"/>
  <c r="E45" i="46"/>
  <c r="E90" i="31"/>
  <c r="E45" i="29"/>
  <c r="E45" i="19"/>
  <c r="E45" i="17"/>
  <c r="D8" i="46"/>
  <c r="D53" i="31"/>
  <c r="D8" i="29"/>
  <c r="D8" i="19"/>
  <c r="D8" i="17"/>
  <c r="C97" i="43"/>
  <c r="C253" i="43"/>
  <c r="C175" i="43"/>
  <c r="C87" i="29"/>
  <c r="C165" i="29"/>
  <c r="D21" i="43"/>
  <c r="D255" i="43" s="1"/>
  <c r="D10" i="46"/>
  <c r="D55" i="31"/>
  <c r="D10" i="29"/>
  <c r="D10" i="19"/>
  <c r="D10" i="17"/>
  <c r="E29" i="43"/>
  <c r="E263" i="43" s="1"/>
  <c r="E18" i="46"/>
  <c r="E63" i="31"/>
  <c r="E18" i="29"/>
  <c r="E18" i="19"/>
  <c r="E18" i="17"/>
  <c r="G37" i="43"/>
  <c r="G271" i="43" s="1"/>
  <c r="G26" i="46"/>
  <c r="G71" i="31"/>
  <c r="G26" i="29"/>
  <c r="G26" i="19"/>
  <c r="G26" i="17"/>
  <c r="C115" i="43"/>
  <c r="C193" i="43"/>
  <c r="C167" i="29"/>
  <c r="C89" i="29"/>
  <c r="C97" i="19"/>
  <c r="C253" i="19"/>
  <c r="C175" i="19"/>
  <c r="C331" i="19"/>
  <c r="C183" i="17"/>
  <c r="C105" i="17"/>
  <c r="G46" i="43"/>
  <c r="G280" i="43" s="1"/>
  <c r="G35" i="46"/>
  <c r="G80" i="31"/>
  <c r="G35" i="29"/>
  <c r="G35" i="19"/>
  <c r="G35" i="17"/>
  <c r="E54" i="43"/>
  <c r="E288" i="43" s="1"/>
  <c r="E43" i="46"/>
  <c r="E88" i="31"/>
  <c r="E43" i="29"/>
  <c r="E43" i="19"/>
  <c r="E43" i="17"/>
  <c r="G23" i="43"/>
  <c r="G257" i="43" s="1"/>
  <c r="G12" i="46"/>
  <c r="G57" i="31"/>
  <c r="G12" i="29"/>
  <c r="G12" i="19"/>
  <c r="G12" i="17"/>
  <c r="C179" i="43"/>
  <c r="C101" i="43"/>
  <c r="V101" i="43" s="1"/>
  <c r="C192" i="29"/>
  <c r="C114" i="29"/>
  <c r="C200" i="19"/>
  <c r="C122" i="19"/>
  <c r="C278" i="19"/>
  <c r="C356" i="19"/>
  <c r="E26" i="43"/>
  <c r="E260" i="43" s="1"/>
  <c r="E15" i="46"/>
  <c r="E60" i="31"/>
  <c r="E15" i="29"/>
  <c r="E15" i="19"/>
  <c r="E15" i="17"/>
  <c r="D25" i="43"/>
  <c r="D259" i="43" s="1"/>
  <c r="D14" i="46"/>
  <c r="D59" i="31"/>
  <c r="D14" i="29"/>
  <c r="D14" i="19"/>
  <c r="D14" i="17"/>
  <c r="C181" i="43"/>
  <c r="C103" i="43"/>
  <c r="C194" i="29"/>
  <c r="C116" i="29"/>
  <c r="C257" i="19"/>
  <c r="C179" i="19"/>
  <c r="C335" i="19"/>
  <c r="C101" i="19"/>
  <c r="C187" i="17"/>
  <c r="C109" i="17"/>
  <c r="D50" i="43"/>
  <c r="D284" i="43" s="1"/>
  <c r="D39" i="46"/>
  <c r="D84" i="31"/>
  <c r="D39" i="29"/>
  <c r="D39" i="19"/>
  <c r="D39" i="17"/>
  <c r="E43" i="43"/>
  <c r="E277" i="43" s="1"/>
  <c r="E32" i="46"/>
  <c r="E77" i="31"/>
  <c r="E32" i="29"/>
  <c r="E32" i="19"/>
  <c r="E32" i="17"/>
  <c r="G51" i="43"/>
  <c r="G285" i="43" s="1"/>
  <c r="G40" i="46"/>
  <c r="G85" i="31"/>
  <c r="G40" i="29"/>
  <c r="G40" i="19"/>
  <c r="G40" i="17"/>
  <c r="C207" i="43"/>
  <c r="C129" i="43"/>
  <c r="C103" i="29"/>
  <c r="C181" i="29"/>
  <c r="C345" i="19"/>
  <c r="C189" i="19"/>
  <c r="C267" i="19"/>
  <c r="C111" i="19"/>
  <c r="C197" i="17"/>
  <c r="C119" i="17"/>
  <c r="C99" i="29"/>
  <c r="C177" i="29"/>
  <c r="C263" i="19"/>
  <c r="C107" i="19"/>
  <c r="C341" i="19"/>
  <c r="C185" i="19"/>
  <c r="C115" i="17"/>
  <c r="C193" i="17"/>
  <c r="D56" i="43"/>
  <c r="D290" i="43" s="1"/>
  <c r="D45" i="46"/>
  <c r="D90" i="31"/>
  <c r="D45" i="29"/>
  <c r="D45" i="19"/>
  <c r="D45" i="17"/>
  <c r="G19" i="43"/>
  <c r="G8" i="46"/>
  <c r="G53" i="31"/>
  <c r="G8" i="29"/>
  <c r="G8" i="19"/>
  <c r="G27" i="43"/>
  <c r="G261" i="43" s="1"/>
  <c r="G16" i="46"/>
  <c r="G61" i="31"/>
  <c r="G16" i="29"/>
  <c r="G16" i="19"/>
  <c r="G16" i="17"/>
  <c r="C183" i="43"/>
  <c r="C105" i="43"/>
  <c r="D29" i="43"/>
  <c r="D263" i="43" s="1"/>
  <c r="D18" i="46"/>
  <c r="D63" i="31"/>
  <c r="D18" i="29"/>
  <c r="D18" i="19"/>
  <c r="D18" i="17"/>
  <c r="E37" i="43"/>
  <c r="E271" i="43" s="1"/>
  <c r="E26" i="46"/>
  <c r="E71" i="31"/>
  <c r="E26" i="29"/>
  <c r="E26" i="19"/>
  <c r="E26" i="17"/>
  <c r="G45" i="43"/>
  <c r="G279" i="43" s="1"/>
  <c r="G34" i="46"/>
  <c r="G79" i="31"/>
  <c r="G34" i="29"/>
  <c r="G34" i="19"/>
  <c r="G34" i="17"/>
  <c r="C123" i="43"/>
  <c r="C201" i="43"/>
  <c r="C97" i="29"/>
  <c r="C175" i="29"/>
  <c r="C105" i="19"/>
  <c r="C261" i="19"/>
  <c r="C183" i="19"/>
  <c r="C339" i="19"/>
  <c r="C191" i="17"/>
  <c r="C113" i="17"/>
  <c r="D54" i="43"/>
  <c r="D288" i="43" s="1"/>
  <c r="D43" i="46"/>
  <c r="D88" i="31"/>
  <c r="D43" i="29"/>
  <c r="D43" i="19"/>
  <c r="D43" i="17"/>
  <c r="E23" i="43"/>
  <c r="E257" i="43" s="1"/>
  <c r="E12" i="46"/>
  <c r="E57" i="31"/>
  <c r="E12" i="19"/>
  <c r="E12" i="29"/>
  <c r="E12" i="17"/>
  <c r="G31" i="43"/>
  <c r="G265" i="43" s="1"/>
  <c r="G20" i="46"/>
  <c r="G65" i="31"/>
  <c r="G20" i="29"/>
  <c r="G20" i="19"/>
  <c r="G20" i="17"/>
  <c r="C109" i="43"/>
  <c r="C187" i="43"/>
  <c r="C200" i="29"/>
  <c r="C122" i="29"/>
  <c r="D26" i="43"/>
  <c r="D260" i="43" s="1"/>
  <c r="D15" i="46"/>
  <c r="D60" i="31"/>
  <c r="D15" i="29"/>
  <c r="D15" i="19"/>
  <c r="D15" i="17"/>
  <c r="E25" i="43"/>
  <c r="E259" i="43" s="1"/>
  <c r="E14" i="46"/>
  <c r="E59" i="31"/>
  <c r="E14" i="29"/>
  <c r="E14" i="19"/>
  <c r="E14" i="17"/>
  <c r="D33" i="43"/>
  <c r="D267" i="43" s="1"/>
  <c r="D22" i="46"/>
  <c r="D67" i="31"/>
  <c r="D22" i="29"/>
  <c r="D22" i="19"/>
  <c r="D22" i="17"/>
  <c r="C189" i="43"/>
  <c r="C111" i="43"/>
  <c r="C101" i="29"/>
  <c r="C179" i="29"/>
  <c r="C187" i="19"/>
  <c r="C265" i="19"/>
  <c r="C109" i="19"/>
  <c r="C343" i="19"/>
  <c r="C195" i="17"/>
  <c r="C117" i="17"/>
  <c r="D43" i="43"/>
  <c r="D277" i="43" s="1"/>
  <c r="D32" i="46"/>
  <c r="D77" i="31"/>
  <c r="D32" i="29"/>
  <c r="D32" i="19"/>
  <c r="D32" i="17"/>
  <c r="E51" i="43"/>
  <c r="E285" i="43" s="1"/>
  <c r="E40" i="46"/>
  <c r="E85" i="31"/>
  <c r="E40" i="29"/>
  <c r="E40" i="19"/>
  <c r="E40" i="17"/>
  <c r="C189" i="29"/>
  <c r="C111" i="29"/>
  <c r="C119" i="19"/>
  <c r="C353" i="19"/>
  <c r="C197" i="19"/>
  <c r="C275" i="19"/>
  <c r="C107" i="29"/>
  <c r="C185" i="29"/>
  <c r="C349" i="19"/>
  <c r="C193" i="19"/>
  <c r="C271" i="19"/>
  <c r="C115" i="19"/>
  <c r="C201" i="17"/>
  <c r="C123" i="17"/>
  <c r="E19" i="43"/>
  <c r="E8" i="46"/>
  <c r="E53" i="31"/>
  <c r="E8" i="29"/>
  <c r="E8" i="19"/>
  <c r="E27" i="43"/>
  <c r="E261" i="43" s="1"/>
  <c r="E16" i="46"/>
  <c r="E61" i="31"/>
  <c r="E16" i="29"/>
  <c r="E16" i="19"/>
  <c r="E16" i="17"/>
  <c r="G35" i="43"/>
  <c r="G269" i="43" s="1"/>
  <c r="G24" i="46"/>
  <c r="G69" i="31"/>
  <c r="G24" i="29"/>
  <c r="G24" i="19"/>
  <c r="G24" i="17"/>
  <c r="C191" i="43"/>
  <c r="C113" i="43"/>
  <c r="C322" i="19"/>
  <c r="C244" i="19"/>
  <c r="C88" i="19"/>
  <c r="C166" i="19"/>
  <c r="D37" i="43"/>
  <c r="D271" i="43" s="1"/>
  <c r="D26" i="46"/>
  <c r="D71" i="31"/>
  <c r="D26" i="29"/>
  <c r="D26" i="19"/>
  <c r="D26" i="17"/>
  <c r="E45" i="43"/>
  <c r="E279" i="43" s="1"/>
  <c r="E34" i="46"/>
  <c r="E79" i="31"/>
  <c r="E34" i="29"/>
  <c r="E34" i="19"/>
  <c r="E34" i="17"/>
  <c r="G53" i="43"/>
  <c r="G287" i="43" s="1"/>
  <c r="G42" i="46"/>
  <c r="G87" i="31"/>
  <c r="G42" i="29"/>
  <c r="G42" i="19"/>
  <c r="G42" i="17"/>
  <c r="C209" i="43"/>
  <c r="C131" i="43"/>
  <c r="U131" i="43" s="1"/>
  <c r="C183" i="29"/>
  <c r="C105" i="29"/>
  <c r="C191" i="19"/>
  <c r="C269" i="19"/>
  <c r="C347" i="19"/>
  <c r="C113" i="19"/>
  <c r="C199" i="17"/>
  <c r="C121" i="17"/>
  <c r="D23" i="43"/>
  <c r="D257" i="43" s="1"/>
  <c r="D12" i="46"/>
  <c r="D57" i="31"/>
  <c r="D12" i="29"/>
  <c r="D12" i="19"/>
  <c r="D12" i="17"/>
  <c r="E31" i="43"/>
  <c r="E265" i="43" s="1"/>
  <c r="E20" i="46"/>
  <c r="E65" i="31"/>
  <c r="E20" i="29"/>
  <c r="E20" i="19"/>
  <c r="E20" i="17"/>
  <c r="G39" i="43"/>
  <c r="G273" i="43" s="1"/>
  <c r="G28" i="46"/>
  <c r="G73" i="31"/>
  <c r="G28" i="29"/>
  <c r="G28" i="19"/>
  <c r="G28" i="17"/>
  <c r="C195" i="43"/>
  <c r="C117" i="43"/>
  <c r="C171" i="17"/>
  <c r="C93" i="17"/>
  <c r="G25" i="43"/>
  <c r="G259" i="43" s="1"/>
  <c r="G14" i="46"/>
  <c r="G59" i="31"/>
  <c r="G14" i="29"/>
  <c r="G14" i="19"/>
  <c r="G14" i="17"/>
  <c r="E33" i="43"/>
  <c r="E267" i="43" s="1"/>
  <c r="E22" i="46"/>
  <c r="E67" i="31"/>
  <c r="E22" i="29"/>
  <c r="E22" i="19"/>
  <c r="E22" i="17"/>
  <c r="D41" i="43"/>
  <c r="D275" i="43" s="1"/>
  <c r="D30" i="46"/>
  <c r="D75" i="31"/>
  <c r="D30" i="29"/>
  <c r="D30" i="19"/>
  <c r="D30" i="17"/>
  <c r="C119" i="43"/>
  <c r="C197" i="43"/>
  <c r="C109" i="29"/>
  <c r="C187" i="29"/>
  <c r="C117" i="19"/>
  <c r="C273" i="19"/>
  <c r="C195" i="19"/>
  <c r="C351" i="19"/>
  <c r="C188" i="17"/>
  <c r="C110" i="17"/>
  <c r="D51" i="43"/>
  <c r="D285" i="43" s="1"/>
  <c r="D40" i="46"/>
  <c r="D85" i="31"/>
  <c r="D40" i="29"/>
  <c r="D40" i="19"/>
  <c r="D40" i="17"/>
  <c r="D28" i="43"/>
  <c r="D262" i="43" s="1"/>
  <c r="D17" i="46"/>
  <c r="D62" i="31"/>
  <c r="D17" i="29"/>
  <c r="D17" i="19"/>
  <c r="D17" i="17"/>
  <c r="C106" i="43"/>
  <c r="C184" i="43"/>
  <c r="C119" i="29"/>
  <c r="C197" i="29"/>
  <c r="G24" i="43"/>
  <c r="G258" i="43" s="1"/>
  <c r="G13" i="46"/>
  <c r="G58" i="31"/>
  <c r="G13" i="29"/>
  <c r="G13" i="19"/>
  <c r="G13" i="17"/>
  <c r="C102" i="43"/>
  <c r="C180" i="43"/>
  <c r="C115" i="29"/>
  <c r="C193" i="29"/>
  <c r="C357" i="19"/>
  <c r="C201" i="19"/>
  <c r="C279" i="19"/>
  <c r="C123" i="19"/>
  <c r="C164" i="17"/>
  <c r="C86" i="17"/>
  <c r="D27" i="43"/>
  <c r="D261" i="43" s="1"/>
  <c r="D16" i="46"/>
  <c r="D61" i="31"/>
  <c r="D16" i="29"/>
  <c r="D16" i="19"/>
  <c r="D16" i="17"/>
  <c r="E35" i="43"/>
  <c r="E269" i="43" s="1"/>
  <c r="E24" i="46"/>
  <c r="E69" i="31"/>
  <c r="E24" i="29"/>
  <c r="E24" i="19"/>
  <c r="E24" i="17"/>
  <c r="D9" i="46"/>
  <c r="D54" i="31"/>
  <c r="D9" i="29"/>
  <c r="D9" i="19"/>
  <c r="D9" i="17"/>
  <c r="C98" i="43"/>
  <c r="C176" i="43"/>
  <c r="C166" i="29"/>
  <c r="C88" i="29"/>
  <c r="C96" i="19"/>
  <c r="C330" i="19"/>
  <c r="C252" i="19"/>
  <c r="C174" i="19"/>
  <c r="D45" i="43"/>
  <c r="D279" i="43" s="1"/>
  <c r="D34" i="46"/>
  <c r="D79" i="31"/>
  <c r="D34" i="29"/>
  <c r="D34" i="19"/>
  <c r="D34" i="17"/>
  <c r="E53" i="43"/>
  <c r="E287" i="43" s="1"/>
  <c r="E42" i="46"/>
  <c r="E87" i="31"/>
  <c r="E42" i="29"/>
  <c r="E42" i="19"/>
  <c r="E42" i="17"/>
  <c r="G22" i="43"/>
  <c r="G256" i="43" s="1"/>
  <c r="G11" i="46"/>
  <c r="G56" i="31"/>
  <c r="G11" i="29"/>
  <c r="G11" i="19"/>
  <c r="G11" i="17"/>
  <c r="C178" i="43"/>
  <c r="C100" i="43"/>
  <c r="C113" i="29"/>
  <c r="C191" i="29"/>
  <c r="C199" i="19"/>
  <c r="C121" i="19"/>
  <c r="C277" i="19"/>
  <c r="C355" i="19"/>
  <c r="C168" i="17"/>
  <c r="C90" i="17"/>
  <c r="D31" i="43"/>
  <c r="D265" i="43" s="1"/>
  <c r="D20" i="46"/>
  <c r="D65" i="31"/>
  <c r="D20" i="29"/>
  <c r="D20" i="19"/>
  <c r="D20" i="17"/>
  <c r="E39" i="43"/>
  <c r="E273" i="43" s="1"/>
  <c r="E28" i="46"/>
  <c r="E73" i="31"/>
  <c r="E28" i="19"/>
  <c r="E28" i="29"/>
  <c r="E28" i="17"/>
  <c r="G47" i="43"/>
  <c r="G281" i="43" s="1"/>
  <c r="G36" i="46"/>
  <c r="G81" i="31"/>
  <c r="G36" i="29"/>
  <c r="G36" i="19"/>
  <c r="G36" i="17"/>
  <c r="C203" i="43"/>
  <c r="C125" i="43"/>
  <c r="C171" i="19"/>
  <c r="C93" i="19"/>
  <c r="C249" i="19"/>
  <c r="C327" i="19"/>
  <c r="C170" i="17"/>
  <c r="C92" i="17"/>
  <c r="G33" i="43"/>
  <c r="G267" i="43" s="1"/>
  <c r="G22" i="46"/>
  <c r="G67" i="31"/>
  <c r="G22" i="29"/>
  <c r="G22" i="19"/>
  <c r="G22" i="17"/>
  <c r="E41" i="43"/>
  <c r="E275" i="43" s="1"/>
  <c r="E30" i="46"/>
  <c r="E75" i="31"/>
  <c r="E30" i="29"/>
  <c r="E30" i="19"/>
  <c r="E30" i="17"/>
  <c r="D49" i="43"/>
  <c r="D283" i="43" s="1"/>
  <c r="D38" i="46"/>
  <c r="D83" i="31"/>
  <c r="D38" i="29"/>
  <c r="D38" i="19"/>
  <c r="D38" i="17"/>
  <c r="C205" i="43"/>
  <c r="C127" i="43"/>
  <c r="C117" i="29"/>
  <c r="C195" i="29"/>
  <c r="C188" i="19"/>
  <c r="C344" i="19"/>
  <c r="C110" i="19"/>
  <c r="C266" i="19"/>
  <c r="C196" i="17"/>
  <c r="C118" i="17"/>
  <c r="G28" i="43"/>
  <c r="G262" i="43" s="1"/>
  <c r="G17" i="46"/>
  <c r="G62" i="31"/>
  <c r="G17" i="29"/>
  <c r="G17" i="19"/>
  <c r="G17" i="17"/>
  <c r="G36" i="43"/>
  <c r="G270" i="43" s="1"/>
  <c r="G25" i="46"/>
  <c r="G70" i="31"/>
  <c r="G25" i="29"/>
  <c r="G25" i="19"/>
  <c r="G25" i="17"/>
  <c r="C192" i="43"/>
  <c r="C114" i="43"/>
  <c r="E24" i="43"/>
  <c r="E258" i="43" s="1"/>
  <c r="E13" i="46"/>
  <c r="E58" i="31"/>
  <c r="E13" i="29"/>
  <c r="E13" i="19"/>
  <c r="E13" i="17"/>
  <c r="G32" i="43"/>
  <c r="G266" i="43" s="1"/>
  <c r="G21" i="46"/>
  <c r="G66" i="31"/>
  <c r="G21" i="29"/>
  <c r="G21" i="19"/>
  <c r="G21" i="17"/>
  <c r="C188" i="43"/>
  <c r="C110" i="43"/>
  <c r="C123" i="29"/>
  <c r="C201" i="29"/>
  <c r="C242" i="19"/>
  <c r="C320" i="19"/>
  <c r="C164" i="19"/>
  <c r="C86" i="19"/>
  <c r="C172" i="17"/>
  <c r="C94" i="17"/>
  <c r="D35" i="43"/>
  <c r="D269" i="43" s="1"/>
  <c r="D24" i="46"/>
  <c r="D69" i="31"/>
  <c r="D24" i="29"/>
  <c r="D24" i="19"/>
  <c r="D24" i="17"/>
  <c r="G20" i="43"/>
  <c r="G254" i="43" s="1"/>
  <c r="G9" i="46"/>
  <c r="G54" i="31"/>
  <c r="G9" i="29"/>
  <c r="G9" i="19"/>
  <c r="G9" i="17"/>
  <c r="C174" i="29"/>
  <c r="C96" i="29"/>
  <c r="C338" i="19"/>
  <c r="C260" i="19"/>
  <c r="C182" i="19"/>
  <c r="C104" i="19"/>
  <c r="D53" i="43"/>
  <c r="D287" i="43" s="1"/>
  <c r="D42" i="46"/>
  <c r="D87" i="31"/>
  <c r="D42" i="29"/>
  <c r="D42" i="19"/>
  <c r="D42" i="17"/>
  <c r="E22" i="43"/>
  <c r="E256" i="43" s="1"/>
  <c r="E11" i="46"/>
  <c r="E56" i="31"/>
  <c r="E11" i="29"/>
  <c r="E11" i="19"/>
  <c r="E11" i="17"/>
  <c r="E30" i="43"/>
  <c r="E264" i="43" s="1"/>
  <c r="E19" i="46"/>
  <c r="E64" i="31"/>
  <c r="E19" i="29"/>
  <c r="E19" i="19"/>
  <c r="E19" i="17"/>
  <c r="C108" i="43"/>
  <c r="C186" i="43"/>
  <c r="C199" i="29"/>
  <c r="C121" i="29"/>
  <c r="C168" i="19"/>
  <c r="C90" i="19"/>
  <c r="C246" i="19"/>
  <c r="C324" i="19"/>
  <c r="C98" i="17"/>
  <c r="C176" i="17"/>
  <c r="D39" i="43"/>
  <c r="D273" i="43" s="1"/>
  <c r="D28" i="46"/>
  <c r="D73" i="31"/>
  <c r="D28" i="29"/>
  <c r="D28" i="19"/>
  <c r="D28" i="17"/>
  <c r="E47" i="43"/>
  <c r="E281" i="43" s="1"/>
  <c r="E36" i="46"/>
  <c r="E81" i="31"/>
  <c r="E36" i="29"/>
  <c r="E36" i="19"/>
  <c r="E36" i="17"/>
  <c r="G55" i="43"/>
  <c r="G289" i="43" s="1"/>
  <c r="G44" i="46"/>
  <c r="G89" i="31"/>
  <c r="G44" i="29"/>
  <c r="G44" i="19"/>
  <c r="G44" i="17"/>
  <c r="C211" i="43"/>
  <c r="C133" i="43"/>
  <c r="C93" i="29"/>
  <c r="C171" i="29"/>
  <c r="C92" i="19"/>
  <c r="C326" i="19"/>
  <c r="C248" i="19"/>
  <c r="C170" i="19"/>
  <c r="C178" i="17"/>
  <c r="C100" i="17"/>
  <c r="G41" i="43"/>
  <c r="G275" i="43" s="1"/>
  <c r="G30" i="46"/>
  <c r="G75" i="31"/>
  <c r="G30" i="29"/>
  <c r="G30" i="19"/>
  <c r="G30" i="17"/>
  <c r="E49" i="43"/>
  <c r="E283" i="43" s="1"/>
  <c r="E38" i="46"/>
  <c r="E83" i="31"/>
  <c r="E38" i="29"/>
  <c r="E38" i="19"/>
  <c r="E38" i="17"/>
  <c r="G34" i="43"/>
  <c r="G268" i="43" s="1"/>
  <c r="G23" i="46"/>
  <c r="G68" i="31"/>
  <c r="G23" i="29"/>
  <c r="G23" i="19"/>
  <c r="G23" i="17"/>
  <c r="C112" i="43"/>
  <c r="C190" i="43"/>
  <c r="C188" i="29"/>
  <c r="C110" i="29"/>
  <c r="C196" i="19"/>
  <c r="C118" i="19"/>
  <c r="C274" i="19"/>
  <c r="C352" i="19"/>
  <c r="E28" i="43"/>
  <c r="E262" i="43" s="1"/>
  <c r="E17" i="46"/>
  <c r="E62" i="31"/>
  <c r="E17" i="29"/>
  <c r="E17" i="19"/>
  <c r="E17" i="17"/>
  <c r="D36" i="43"/>
  <c r="D270" i="43" s="1"/>
  <c r="D25" i="46"/>
  <c r="D70" i="31"/>
  <c r="D25" i="29"/>
  <c r="D25" i="19"/>
  <c r="D25" i="17"/>
  <c r="D44" i="43"/>
  <c r="D278" i="43" s="1"/>
  <c r="D33" i="46"/>
  <c r="D78" i="31"/>
  <c r="D33" i="29"/>
  <c r="D33" i="19"/>
  <c r="D33" i="17"/>
  <c r="C122" i="43"/>
  <c r="T122" i="43" s="1"/>
  <c r="C200" i="43"/>
  <c r="D24" i="43"/>
  <c r="D258" i="43" s="1"/>
  <c r="D13" i="46"/>
  <c r="D58" i="31"/>
  <c r="D13" i="29"/>
  <c r="D13" i="19"/>
  <c r="D13" i="17"/>
  <c r="E32" i="43"/>
  <c r="E266" i="43" s="1"/>
  <c r="E21" i="46"/>
  <c r="E66" i="31"/>
  <c r="E21" i="29"/>
  <c r="E21" i="19"/>
  <c r="E21" i="17"/>
  <c r="G40" i="43"/>
  <c r="G274" i="43" s="1"/>
  <c r="G29" i="46"/>
  <c r="G74" i="31"/>
  <c r="G29" i="29"/>
  <c r="G29" i="19"/>
  <c r="G29" i="17"/>
  <c r="C196" i="43"/>
  <c r="C118" i="43"/>
  <c r="C86" i="29"/>
  <c r="C164" i="29"/>
  <c r="C172" i="19"/>
  <c r="C94" i="19"/>
  <c r="C250" i="19"/>
  <c r="C328" i="19"/>
  <c r="C180" i="17"/>
  <c r="C102" i="17"/>
  <c r="E9" i="46"/>
  <c r="E20" i="43"/>
  <c r="E254" i="43" s="1"/>
  <c r="E54" i="31"/>
  <c r="E9" i="29"/>
  <c r="E9" i="19"/>
  <c r="E9" i="17"/>
  <c r="C182" i="29"/>
  <c r="C104" i="29"/>
  <c r="C112" i="19"/>
  <c r="C268" i="19"/>
  <c r="C346" i="19"/>
  <c r="C190" i="19"/>
  <c r="D22" i="43"/>
  <c r="D256" i="43" s="1"/>
  <c r="D11" i="46"/>
  <c r="D56" i="31"/>
  <c r="D11" i="29"/>
  <c r="D11" i="19"/>
  <c r="D11" i="17"/>
  <c r="G30" i="43"/>
  <c r="G264" i="43" s="1"/>
  <c r="G19" i="46"/>
  <c r="G64" i="31"/>
  <c r="G19" i="29"/>
  <c r="G19" i="19"/>
  <c r="G19" i="17"/>
  <c r="G38" i="43"/>
  <c r="G272" i="43" s="1"/>
  <c r="G27" i="46"/>
  <c r="G72" i="31"/>
  <c r="G27" i="29"/>
  <c r="G27" i="19"/>
  <c r="G27" i="17"/>
  <c r="C116" i="43"/>
  <c r="C194" i="43"/>
  <c r="C168" i="29"/>
  <c r="C90" i="29"/>
  <c r="C176" i="19"/>
  <c r="C98" i="19"/>
  <c r="C254" i="19"/>
  <c r="C332" i="19"/>
  <c r="C106" i="17"/>
  <c r="C184" i="17"/>
  <c r="D47" i="43"/>
  <c r="D281" i="43" s="1"/>
  <c r="D36" i="46"/>
  <c r="D81" i="31"/>
  <c r="D36" i="29"/>
  <c r="D36" i="19"/>
  <c r="D36" i="17"/>
  <c r="E55" i="43"/>
  <c r="E289" i="43" s="1"/>
  <c r="E44" i="46"/>
  <c r="E89" i="31"/>
  <c r="E44" i="19"/>
  <c r="E44" i="29"/>
  <c r="E44" i="17"/>
  <c r="C170" i="29"/>
  <c r="C92" i="29"/>
  <c r="C334" i="19"/>
  <c r="C256" i="19"/>
  <c r="C100" i="19"/>
  <c r="C178" i="19"/>
  <c r="C186" i="17"/>
  <c r="C108" i="17"/>
  <c r="G49" i="43"/>
  <c r="G283" i="43" s="1"/>
  <c r="G38" i="46"/>
  <c r="G83" i="31"/>
  <c r="G38" i="29"/>
  <c r="G38" i="19"/>
  <c r="G38" i="17"/>
  <c r="E34" i="43"/>
  <c r="E268" i="43" s="1"/>
  <c r="E23" i="46"/>
  <c r="E68" i="31"/>
  <c r="E23" i="29"/>
  <c r="E23" i="19"/>
  <c r="E23" i="17"/>
  <c r="G42" i="43"/>
  <c r="G276" i="43" s="1"/>
  <c r="G31" i="46"/>
  <c r="G76" i="31"/>
  <c r="G31" i="29"/>
  <c r="G31" i="19"/>
  <c r="G31" i="17"/>
  <c r="C120" i="43"/>
  <c r="C198" i="43"/>
  <c r="C196" i="29"/>
  <c r="C118" i="29"/>
  <c r="C173" i="17"/>
  <c r="C95" i="17"/>
  <c r="E36" i="43"/>
  <c r="E270" i="43" s="1"/>
  <c r="E25" i="46"/>
  <c r="E70" i="31"/>
  <c r="E25" i="29"/>
  <c r="E25" i="19"/>
  <c r="E25" i="17"/>
  <c r="G44" i="43"/>
  <c r="G278" i="43" s="1"/>
  <c r="G33" i="46"/>
  <c r="G78" i="31"/>
  <c r="G33" i="29"/>
  <c r="G33" i="19"/>
  <c r="G33" i="17"/>
  <c r="D52" i="43"/>
  <c r="D286" i="43" s="1"/>
  <c r="D41" i="46"/>
  <c r="D86" i="31"/>
  <c r="D41" i="29"/>
  <c r="D41" i="19"/>
  <c r="D41" i="17"/>
  <c r="C130" i="43"/>
  <c r="C208" i="43"/>
  <c r="C169" i="17"/>
  <c r="C91" i="17"/>
  <c r="D32" i="43"/>
  <c r="D266" i="43" s="1"/>
  <c r="D21" i="46"/>
  <c r="D66" i="31"/>
  <c r="D21" i="29"/>
  <c r="D21" i="19"/>
  <c r="D21" i="17"/>
  <c r="E40" i="43"/>
  <c r="E274" i="43" s="1"/>
  <c r="E29" i="46"/>
  <c r="E74" i="31"/>
  <c r="E29" i="29"/>
  <c r="E29" i="19"/>
  <c r="E29" i="17"/>
  <c r="G48" i="43"/>
  <c r="G282" i="43" s="1"/>
  <c r="G37" i="46"/>
  <c r="G82" i="31"/>
  <c r="G37" i="29"/>
  <c r="G37" i="19"/>
  <c r="G37" i="17"/>
  <c r="C126" i="43"/>
  <c r="C204" i="43"/>
  <c r="C172" i="29"/>
  <c r="C94" i="29"/>
  <c r="C180" i="19"/>
  <c r="C258" i="19"/>
  <c r="C336" i="19"/>
  <c r="C102" i="19"/>
  <c r="C165" i="17"/>
  <c r="C87" i="17"/>
  <c r="G21" i="43"/>
  <c r="G255" i="43" s="1"/>
  <c r="G10" i="46"/>
  <c r="G55" i="31"/>
  <c r="G10" i="29"/>
  <c r="G10" i="19"/>
  <c r="G10" i="17"/>
  <c r="C177" i="43"/>
  <c r="C99" i="43"/>
  <c r="C190" i="29"/>
  <c r="C112" i="29"/>
  <c r="C354" i="19"/>
  <c r="C276" i="19"/>
  <c r="C120" i="19"/>
  <c r="C198" i="19"/>
  <c r="C167" i="17"/>
  <c r="C89" i="17"/>
  <c r="D30" i="43"/>
  <c r="D264" i="43" s="1"/>
  <c r="D19" i="46"/>
  <c r="D64" i="31"/>
  <c r="D19" i="29"/>
  <c r="D19" i="19"/>
  <c r="D19" i="17"/>
  <c r="E38" i="43"/>
  <c r="E272" i="43" s="1"/>
  <c r="E27" i="46"/>
  <c r="E72" i="31"/>
  <c r="E27" i="29"/>
  <c r="E27" i="19"/>
  <c r="E27" i="17"/>
  <c r="E46" i="43"/>
  <c r="E280" i="43" s="1"/>
  <c r="E35" i="46"/>
  <c r="E80" i="31"/>
  <c r="E35" i="29"/>
  <c r="E35" i="19"/>
  <c r="E35" i="17"/>
  <c r="C124" i="43"/>
  <c r="C202" i="43"/>
  <c r="C176" i="29"/>
  <c r="C98" i="29"/>
  <c r="C184" i="19"/>
  <c r="C340" i="19"/>
  <c r="C106" i="19"/>
  <c r="C262" i="19"/>
  <c r="C192" i="17"/>
  <c r="C114" i="17"/>
  <c r="D55" i="43"/>
  <c r="D289" i="43" s="1"/>
  <c r="D44" i="46"/>
  <c r="D89" i="31"/>
  <c r="D44" i="29"/>
  <c r="D44" i="19"/>
  <c r="D44" i="17"/>
  <c r="C178" i="29"/>
  <c r="C100" i="29"/>
  <c r="C108" i="19"/>
  <c r="C342" i="19"/>
  <c r="C264" i="19"/>
  <c r="C186" i="19"/>
  <c r="C194" i="17"/>
  <c r="C116" i="17"/>
  <c r="D34" i="43"/>
  <c r="D268" i="43" s="1"/>
  <c r="D23" i="46"/>
  <c r="D68" i="31"/>
  <c r="D23" i="29"/>
  <c r="D23" i="19"/>
  <c r="D23" i="17"/>
  <c r="E42" i="43"/>
  <c r="E276" i="43" s="1"/>
  <c r="E31" i="46"/>
  <c r="E76" i="31"/>
  <c r="E31" i="29"/>
  <c r="E31" i="19"/>
  <c r="E31" i="17"/>
  <c r="G50" i="43"/>
  <c r="G284" i="43" s="1"/>
  <c r="G39" i="46"/>
  <c r="G84" i="31"/>
  <c r="G39" i="29"/>
  <c r="G39" i="19"/>
  <c r="G39" i="17"/>
  <c r="C128" i="43"/>
  <c r="C206" i="43"/>
  <c r="C329" i="19"/>
  <c r="C173" i="19"/>
  <c r="C251" i="19"/>
  <c r="C95" i="19"/>
  <c r="C181" i="17"/>
  <c r="C103" i="17"/>
  <c r="E33" i="46"/>
  <c r="E44" i="43"/>
  <c r="E278" i="43" s="1"/>
  <c r="E78" i="31"/>
  <c r="E33" i="29"/>
  <c r="E33" i="19"/>
  <c r="E33" i="17"/>
  <c r="G52" i="43"/>
  <c r="G286" i="43" s="1"/>
  <c r="G41" i="46"/>
  <c r="G86" i="31"/>
  <c r="G41" i="29"/>
  <c r="G41" i="19"/>
  <c r="G41" i="17"/>
  <c r="C169" i="19"/>
  <c r="C325" i="19"/>
  <c r="C247" i="19"/>
  <c r="C91" i="19"/>
  <c r="C99" i="17"/>
  <c r="C177" i="17"/>
  <c r="D40" i="43"/>
  <c r="D274" i="43" s="1"/>
  <c r="D29" i="46"/>
  <c r="D74" i="31"/>
  <c r="D29" i="29"/>
  <c r="D29" i="19"/>
  <c r="D29" i="17"/>
  <c r="E48" i="43"/>
  <c r="E282" i="43" s="1"/>
  <c r="E37" i="46"/>
  <c r="E82" i="31"/>
  <c r="E37" i="29"/>
  <c r="E37" i="19"/>
  <c r="E37" i="17"/>
  <c r="G56" i="43"/>
  <c r="G290" i="43" s="1"/>
  <c r="G45" i="46"/>
  <c r="G90" i="31"/>
  <c r="G45" i="29"/>
  <c r="G45" i="19"/>
  <c r="G45" i="17"/>
  <c r="C134" i="43"/>
  <c r="C212" i="43"/>
  <c r="G50" i="46"/>
  <c r="G50" i="29"/>
  <c r="G50" i="19"/>
  <c r="G95" i="31"/>
  <c r="C214" i="29"/>
  <c r="C136" i="29"/>
  <c r="C222" i="29"/>
  <c r="C144" i="29"/>
  <c r="D82" i="46"/>
  <c r="D82" i="29"/>
  <c r="D82" i="19"/>
  <c r="D127" i="31"/>
  <c r="C285" i="19"/>
  <c r="C363" i="19"/>
  <c r="C207" i="19"/>
  <c r="C129" i="19"/>
  <c r="D75" i="46"/>
  <c r="D75" i="29"/>
  <c r="D75" i="19"/>
  <c r="D120" i="31"/>
  <c r="C388" i="19"/>
  <c r="C232" i="19"/>
  <c r="C154" i="19"/>
  <c r="C310" i="19"/>
  <c r="G53" i="46"/>
  <c r="G98" i="31"/>
  <c r="G53" i="29"/>
  <c r="G53" i="19"/>
  <c r="D61" i="46"/>
  <c r="D61" i="29"/>
  <c r="D61" i="19"/>
  <c r="D106" i="31"/>
  <c r="C150" i="43"/>
  <c r="C228" i="43"/>
  <c r="C233" i="29"/>
  <c r="C155" i="29"/>
  <c r="G57" i="43"/>
  <c r="G291" i="43" s="1"/>
  <c r="G46" i="46"/>
  <c r="G46" i="29"/>
  <c r="G46" i="19"/>
  <c r="G91" i="31"/>
  <c r="C135" i="43"/>
  <c r="C213" i="43"/>
  <c r="C148" i="19"/>
  <c r="C382" i="19"/>
  <c r="C304" i="19"/>
  <c r="C226" i="19"/>
  <c r="C156" i="29"/>
  <c r="C234" i="29"/>
  <c r="E47" i="46"/>
  <c r="E92" i="31"/>
  <c r="E47" i="29"/>
  <c r="E47" i="19"/>
  <c r="G55" i="46"/>
  <c r="G100" i="31"/>
  <c r="G55" i="29"/>
  <c r="G55" i="19"/>
  <c r="C222" i="43"/>
  <c r="C144" i="43"/>
  <c r="Y144" i="43" s="1"/>
  <c r="C227" i="29"/>
  <c r="C149" i="29"/>
  <c r="C313" i="19"/>
  <c r="C157" i="19"/>
  <c r="C391" i="19"/>
  <c r="C235" i="19"/>
  <c r="C204" i="19"/>
  <c r="C360" i="19"/>
  <c r="C126" i="19"/>
  <c r="C282" i="19"/>
  <c r="C137" i="43"/>
  <c r="C215" i="43"/>
  <c r="C150" i="29"/>
  <c r="C228" i="29"/>
  <c r="E80" i="46"/>
  <c r="E80" i="29"/>
  <c r="E80" i="19"/>
  <c r="E125" i="31"/>
  <c r="E49" i="46"/>
  <c r="E94" i="31"/>
  <c r="E49" i="29"/>
  <c r="E49" i="19"/>
  <c r="G57" i="46"/>
  <c r="G102" i="31"/>
  <c r="G57" i="29"/>
  <c r="G57" i="19"/>
  <c r="C229" i="29"/>
  <c r="C151" i="29"/>
  <c r="C393" i="19"/>
  <c r="C237" i="19"/>
  <c r="C315" i="19"/>
  <c r="C159" i="19"/>
  <c r="C49" i="47"/>
  <c r="C116" i="47" s="1"/>
  <c r="E221" i="35"/>
  <c r="C221" i="35"/>
  <c r="C491" i="35" s="1"/>
  <c r="D221" i="35"/>
  <c r="C57" i="47"/>
  <c r="C124" i="47" s="1"/>
  <c r="C229" i="35"/>
  <c r="C499" i="35" s="1"/>
  <c r="E229" i="35"/>
  <c r="D229" i="35"/>
  <c r="C46" i="47"/>
  <c r="C113" i="47" s="1"/>
  <c r="E218" i="35"/>
  <c r="D218" i="35"/>
  <c r="C218" i="35"/>
  <c r="C488" i="35" s="1"/>
  <c r="C44" i="47"/>
  <c r="C111" i="47" s="1"/>
  <c r="E216" i="35"/>
  <c r="D216" i="35"/>
  <c r="C216" i="35"/>
  <c r="C486" i="35" s="1"/>
  <c r="C23" i="47"/>
  <c r="C90" i="47" s="1"/>
  <c r="D91" i="35"/>
  <c r="C91" i="35"/>
  <c r="C361" i="35" s="1"/>
  <c r="E91" i="35"/>
  <c r="C17" i="47"/>
  <c r="C84" i="47" s="1"/>
  <c r="E85" i="35"/>
  <c r="D85" i="35"/>
  <c r="C85" i="35"/>
  <c r="C355" i="35" s="1"/>
  <c r="C24" i="47"/>
  <c r="C91" i="47" s="1"/>
  <c r="D92" i="35"/>
  <c r="C92" i="35"/>
  <c r="C362" i="35" s="1"/>
  <c r="E92" i="35"/>
  <c r="G303" i="43"/>
  <c r="G58" i="46"/>
  <c r="G58" i="29"/>
  <c r="G58" i="19"/>
  <c r="G103" i="31"/>
  <c r="C386" i="19"/>
  <c r="C308" i="19"/>
  <c r="C152" i="19"/>
  <c r="C230" i="19"/>
  <c r="C316" i="19"/>
  <c r="C160" i="19"/>
  <c r="C238" i="19"/>
  <c r="C394" i="19"/>
  <c r="C207" i="29"/>
  <c r="C129" i="29"/>
  <c r="C137" i="19"/>
  <c r="C293" i="19"/>
  <c r="C215" i="19"/>
  <c r="C371" i="19"/>
  <c r="C130" i="19"/>
  <c r="C286" i="19"/>
  <c r="C208" i="19"/>
  <c r="C364" i="19"/>
  <c r="C141" i="43"/>
  <c r="V141" i="43" s="1"/>
  <c r="C219" i="43"/>
  <c r="C232" i="29"/>
  <c r="C154" i="29"/>
  <c r="E53" i="46"/>
  <c r="E98" i="31"/>
  <c r="E53" i="29"/>
  <c r="E53" i="19"/>
  <c r="G306" i="43"/>
  <c r="G61" i="46"/>
  <c r="G106" i="31"/>
  <c r="G61" i="29"/>
  <c r="G61" i="19"/>
  <c r="D69" i="46"/>
  <c r="D69" i="29"/>
  <c r="D69" i="19"/>
  <c r="D114" i="31"/>
  <c r="C158" i="43"/>
  <c r="C236" i="43"/>
  <c r="C166" i="43"/>
  <c r="C244" i="43"/>
  <c r="C210" i="29"/>
  <c r="C132" i="29"/>
  <c r="C143" i="43"/>
  <c r="C221" i="43"/>
  <c r="D323" i="43"/>
  <c r="D78" i="46"/>
  <c r="D78" i="29"/>
  <c r="D78" i="19"/>
  <c r="D123" i="31"/>
  <c r="D47" i="46"/>
  <c r="D47" i="29"/>
  <c r="D47" i="19"/>
  <c r="D92" i="31"/>
  <c r="E55" i="46"/>
  <c r="E100" i="31"/>
  <c r="E55" i="29"/>
  <c r="E55" i="19"/>
  <c r="G308" i="43"/>
  <c r="G63" i="46"/>
  <c r="G108" i="31"/>
  <c r="G63" i="29"/>
  <c r="G63" i="19"/>
  <c r="C230" i="43"/>
  <c r="C152" i="43"/>
  <c r="C235" i="29"/>
  <c r="C157" i="29"/>
  <c r="C145" i="43"/>
  <c r="C223" i="43"/>
  <c r="D325" i="43"/>
  <c r="D80" i="46"/>
  <c r="D80" i="29"/>
  <c r="D80" i="19"/>
  <c r="D125" i="31"/>
  <c r="D294" i="43"/>
  <c r="D49" i="46"/>
  <c r="D49" i="29"/>
  <c r="D49" i="19"/>
  <c r="D94" i="31"/>
  <c r="E57" i="46"/>
  <c r="E102" i="31"/>
  <c r="E57" i="29"/>
  <c r="E57" i="19"/>
  <c r="G310" i="43"/>
  <c r="G65" i="46"/>
  <c r="G110" i="31"/>
  <c r="G65" i="29"/>
  <c r="G65" i="19"/>
  <c r="C154" i="43"/>
  <c r="C232" i="43"/>
  <c r="C162" i="43"/>
  <c r="V162" i="43" s="1"/>
  <c r="C240" i="43"/>
  <c r="C237" i="29"/>
  <c r="C159" i="29"/>
  <c r="C68" i="47"/>
  <c r="C135" i="47" s="1"/>
  <c r="D240" i="35"/>
  <c r="E240" i="35"/>
  <c r="C240" i="35"/>
  <c r="C510" i="35" s="1"/>
  <c r="C52" i="47"/>
  <c r="C119" i="47" s="1"/>
  <c r="C224" i="35"/>
  <c r="C494" i="35" s="1"/>
  <c r="D224" i="35"/>
  <c r="E224" i="35"/>
  <c r="C66" i="47"/>
  <c r="C133" i="47" s="1"/>
  <c r="D238" i="35"/>
  <c r="C238" i="35"/>
  <c r="C508" i="35" s="1"/>
  <c r="E238" i="35"/>
  <c r="C214" i="35"/>
  <c r="C484" i="35" s="1"/>
  <c r="C42" i="47"/>
  <c r="C109" i="47" s="1"/>
  <c r="D214" i="35"/>
  <c r="E214" i="35"/>
  <c r="C12" i="47"/>
  <c r="C79" i="47" s="1"/>
  <c r="C80" i="35"/>
  <c r="C350" i="35" s="1"/>
  <c r="E80" i="35"/>
  <c r="D80" i="35"/>
  <c r="C36" i="47"/>
  <c r="C103" i="47" s="1"/>
  <c r="C104" i="35"/>
  <c r="C374" i="35" s="1"/>
  <c r="E104" i="35"/>
  <c r="D104" i="35"/>
  <c r="C15" i="47"/>
  <c r="C82" i="47" s="1"/>
  <c r="C83" i="35"/>
  <c r="C353" i="35" s="1"/>
  <c r="D83" i="35"/>
  <c r="E83" i="35"/>
  <c r="G311" i="43"/>
  <c r="G66" i="46"/>
  <c r="G66" i="29"/>
  <c r="G66" i="19"/>
  <c r="G111" i="31"/>
  <c r="C152" i="29"/>
  <c r="C230" i="29"/>
  <c r="C160" i="29"/>
  <c r="C238" i="29"/>
  <c r="C218" i="43"/>
  <c r="C140" i="43"/>
  <c r="C137" i="29"/>
  <c r="C215" i="29"/>
  <c r="C223" i="19"/>
  <c r="C379" i="19"/>
  <c r="C145" i="19"/>
  <c r="C301" i="19"/>
  <c r="G297" i="43"/>
  <c r="G52" i="46"/>
  <c r="G52" i="29"/>
  <c r="G52" i="19"/>
  <c r="G97" i="31"/>
  <c r="G305" i="43"/>
  <c r="G60" i="46"/>
  <c r="G60" i="29"/>
  <c r="G60" i="19"/>
  <c r="G105" i="31"/>
  <c r="C149" i="43"/>
  <c r="C227" i="43"/>
  <c r="E61" i="46"/>
  <c r="E106" i="31"/>
  <c r="E61" i="29"/>
  <c r="E61" i="19"/>
  <c r="G314" i="43"/>
  <c r="G69" i="46"/>
  <c r="G114" i="31"/>
  <c r="G69" i="29"/>
  <c r="G69" i="19"/>
  <c r="D77" i="46"/>
  <c r="D77" i="29"/>
  <c r="D77" i="19"/>
  <c r="D122" i="31"/>
  <c r="C358" i="19"/>
  <c r="C280" i="19"/>
  <c r="C202" i="19"/>
  <c r="C124" i="19"/>
  <c r="G299" i="43"/>
  <c r="G54" i="46"/>
  <c r="G54" i="29"/>
  <c r="G54" i="19"/>
  <c r="G99" i="31"/>
  <c r="G62" i="46"/>
  <c r="G62" i="29"/>
  <c r="G62" i="19"/>
  <c r="G107" i="31"/>
  <c r="C229" i="43"/>
  <c r="C151" i="43"/>
  <c r="D55" i="46"/>
  <c r="D55" i="29"/>
  <c r="D55" i="19"/>
  <c r="D100" i="31"/>
  <c r="E63" i="46"/>
  <c r="E108" i="31"/>
  <c r="E63" i="29"/>
  <c r="E63" i="19"/>
  <c r="G316" i="43"/>
  <c r="G71" i="46"/>
  <c r="G116" i="31"/>
  <c r="G71" i="29"/>
  <c r="G71" i="19"/>
  <c r="C238" i="43"/>
  <c r="C160" i="43"/>
  <c r="C204" i="29"/>
  <c r="C126" i="29"/>
  <c r="G301" i="43"/>
  <c r="G56" i="46"/>
  <c r="G56" i="29"/>
  <c r="G56" i="19"/>
  <c r="G101" i="31"/>
  <c r="C220" i="19"/>
  <c r="C298" i="19"/>
  <c r="C376" i="19"/>
  <c r="C142" i="19"/>
  <c r="C153" i="43"/>
  <c r="C231" i="43"/>
  <c r="D57" i="46"/>
  <c r="D57" i="29"/>
  <c r="D57" i="19"/>
  <c r="D102" i="31"/>
  <c r="E310" i="43"/>
  <c r="E65" i="46"/>
  <c r="E110" i="31"/>
  <c r="E65" i="29"/>
  <c r="E65" i="19"/>
  <c r="G318" i="43"/>
  <c r="G73" i="46"/>
  <c r="G118" i="31"/>
  <c r="G73" i="29"/>
  <c r="G73" i="19"/>
  <c r="C170" i="43"/>
  <c r="V170" i="43" s="1"/>
  <c r="C248" i="43"/>
  <c r="C54" i="47"/>
  <c r="C121" i="47" s="1"/>
  <c r="E226" i="35"/>
  <c r="D226" i="35"/>
  <c r="C226" i="35"/>
  <c r="C496" i="35" s="1"/>
  <c r="C48" i="47"/>
  <c r="C115" i="47" s="1"/>
  <c r="E220" i="35"/>
  <c r="C220" i="35"/>
  <c r="C490" i="35" s="1"/>
  <c r="D220" i="35"/>
  <c r="C60" i="47"/>
  <c r="C127" i="47" s="1"/>
  <c r="C232" i="35"/>
  <c r="C502" i="35" s="1"/>
  <c r="E232" i="35"/>
  <c r="D232" i="35"/>
  <c r="C34" i="47"/>
  <c r="C101" i="47" s="1"/>
  <c r="D102" i="35"/>
  <c r="C102" i="35"/>
  <c r="C372" i="35" s="1"/>
  <c r="E102" i="35"/>
  <c r="C37" i="47"/>
  <c r="C104" i="47" s="1"/>
  <c r="E105" i="35"/>
  <c r="D105" i="35"/>
  <c r="C105" i="35"/>
  <c r="C375" i="35" s="1"/>
  <c r="C26" i="47"/>
  <c r="C93" i="47" s="1"/>
  <c r="C94" i="35"/>
  <c r="C364" i="35" s="1"/>
  <c r="E94" i="35"/>
  <c r="D94" i="35"/>
  <c r="C79" i="35"/>
  <c r="C349" i="35" s="1"/>
  <c r="E79" i="35"/>
  <c r="D79" i="35"/>
  <c r="C11" i="47"/>
  <c r="C78" i="47" s="1"/>
  <c r="E295" i="43"/>
  <c r="E50" i="46"/>
  <c r="E50" i="29"/>
  <c r="E50" i="19"/>
  <c r="E95" i="31"/>
  <c r="C139" i="43"/>
  <c r="C217" i="43"/>
  <c r="G74" i="46"/>
  <c r="G74" i="29"/>
  <c r="G74" i="19"/>
  <c r="G119" i="31"/>
  <c r="G296" i="43"/>
  <c r="G51" i="46"/>
  <c r="G96" i="31"/>
  <c r="G51" i="29"/>
  <c r="G51" i="19"/>
  <c r="C226" i="43"/>
  <c r="C148" i="43"/>
  <c r="C223" i="29"/>
  <c r="C145" i="29"/>
  <c r="C309" i="19"/>
  <c r="C387" i="19"/>
  <c r="C231" i="19"/>
  <c r="C153" i="19"/>
  <c r="C208" i="29"/>
  <c r="C130" i="29"/>
  <c r="E60" i="46"/>
  <c r="E60" i="29"/>
  <c r="E60" i="19"/>
  <c r="E105" i="31"/>
  <c r="C302" i="19"/>
  <c r="C380" i="19"/>
  <c r="C146" i="19"/>
  <c r="C224" i="19"/>
  <c r="C157" i="43"/>
  <c r="C235" i="43"/>
  <c r="E69" i="46"/>
  <c r="E114" i="31"/>
  <c r="E69" i="29"/>
  <c r="E69" i="19"/>
  <c r="G77" i="46"/>
  <c r="G122" i="31"/>
  <c r="G77" i="29"/>
  <c r="G77" i="19"/>
  <c r="E57" i="43"/>
  <c r="E291" i="43" s="1"/>
  <c r="E46" i="46"/>
  <c r="E46" i="29"/>
  <c r="E46" i="19"/>
  <c r="E91" i="31"/>
  <c r="C226" i="29"/>
  <c r="C148" i="29"/>
  <c r="C237" i="43"/>
  <c r="C159" i="43"/>
  <c r="U159" i="43" s="1"/>
  <c r="D63" i="46"/>
  <c r="D63" i="29"/>
  <c r="D63" i="19"/>
  <c r="D108" i="31"/>
  <c r="E71" i="46"/>
  <c r="E116" i="31"/>
  <c r="E71" i="29"/>
  <c r="E71" i="19"/>
  <c r="G79" i="46"/>
  <c r="G124" i="31"/>
  <c r="G79" i="29"/>
  <c r="G79" i="19"/>
  <c r="C246" i="43"/>
  <c r="C168" i="43"/>
  <c r="G293" i="43"/>
  <c r="G48" i="46"/>
  <c r="G48" i="29"/>
  <c r="G48" i="19"/>
  <c r="G93" i="31"/>
  <c r="E56" i="46"/>
  <c r="E56" i="29"/>
  <c r="E56" i="19"/>
  <c r="E101" i="31"/>
  <c r="C161" i="43"/>
  <c r="C239" i="43"/>
  <c r="D65" i="46"/>
  <c r="D65" i="29"/>
  <c r="D65" i="19"/>
  <c r="D110" i="31"/>
  <c r="E318" i="43"/>
  <c r="E73" i="46"/>
  <c r="E118" i="31"/>
  <c r="E73" i="29"/>
  <c r="E73" i="19"/>
  <c r="G326" i="43"/>
  <c r="G81" i="46"/>
  <c r="G126" i="31"/>
  <c r="G81" i="29"/>
  <c r="G81" i="19"/>
  <c r="C64" i="47"/>
  <c r="C131" i="47" s="1"/>
  <c r="D236" i="35"/>
  <c r="C236" i="35"/>
  <c r="C506" i="35" s="1"/>
  <c r="E236" i="35"/>
  <c r="C67" i="47"/>
  <c r="C134" i="47" s="1"/>
  <c r="E239" i="35"/>
  <c r="C239" i="35"/>
  <c r="C509" i="35" s="1"/>
  <c r="D239" i="35"/>
  <c r="C56" i="47"/>
  <c r="C123" i="47" s="1"/>
  <c r="D228" i="35"/>
  <c r="C228" i="35"/>
  <c r="C498" i="35" s="1"/>
  <c r="E228" i="35"/>
  <c r="C28" i="47"/>
  <c r="C95" i="47" s="1"/>
  <c r="D96" i="35"/>
  <c r="C96" i="35"/>
  <c r="C366" i="35" s="1"/>
  <c r="E96" i="35"/>
  <c r="C32" i="47"/>
  <c r="C99" i="47" s="1"/>
  <c r="C100" i="35"/>
  <c r="C370" i="35" s="1"/>
  <c r="E100" i="35"/>
  <c r="D100" i="35"/>
  <c r="C16" i="47"/>
  <c r="C83" i="47" s="1"/>
  <c r="D84" i="35"/>
  <c r="E84" i="35"/>
  <c r="C84" i="35"/>
  <c r="C354" i="35" s="1"/>
  <c r="C35" i="47"/>
  <c r="C102" i="47" s="1"/>
  <c r="E103" i="35"/>
  <c r="D103" i="35"/>
  <c r="C103" i="35"/>
  <c r="C373" i="35" s="1"/>
  <c r="D50" i="46"/>
  <c r="D50" i="29"/>
  <c r="D50" i="19"/>
  <c r="D95" i="31"/>
  <c r="E58" i="46"/>
  <c r="E58" i="29"/>
  <c r="E58" i="19"/>
  <c r="E103" i="31"/>
  <c r="C225" i="43"/>
  <c r="C147" i="43"/>
  <c r="G327" i="43"/>
  <c r="G82" i="46"/>
  <c r="G82" i="29"/>
  <c r="G82" i="19"/>
  <c r="G127" i="31"/>
  <c r="E296" i="43"/>
  <c r="E51" i="46"/>
  <c r="E96" i="31"/>
  <c r="E51" i="29"/>
  <c r="E51" i="19"/>
  <c r="G59" i="46"/>
  <c r="G304" i="43"/>
  <c r="G104" i="31"/>
  <c r="G59" i="29"/>
  <c r="G59" i="19"/>
  <c r="C234" i="43"/>
  <c r="C156" i="43"/>
  <c r="C153" i="29"/>
  <c r="C231" i="29"/>
  <c r="E297" i="43"/>
  <c r="E52" i="46"/>
  <c r="E52" i="29"/>
  <c r="E52" i="19"/>
  <c r="E97" i="31"/>
  <c r="D60" i="46"/>
  <c r="D60" i="29"/>
  <c r="D60" i="19"/>
  <c r="D105" i="31"/>
  <c r="G313" i="43"/>
  <c r="G68" i="46"/>
  <c r="G68" i="29"/>
  <c r="G68" i="19"/>
  <c r="G113" i="31"/>
  <c r="G321" i="43"/>
  <c r="G76" i="46"/>
  <c r="G76" i="29"/>
  <c r="G76" i="19"/>
  <c r="G121" i="31"/>
  <c r="C165" i="43"/>
  <c r="C243" i="43"/>
  <c r="C287" i="19"/>
  <c r="C365" i="19"/>
  <c r="C131" i="19"/>
  <c r="C209" i="19"/>
  <c r="E322" i="43"/>
  <c r="E77" i="46"/>
  <c r="E122" i="31"/>
  <c r="E77" i="29"/>
  <c r="E77" i="19"/>
  <c r="C202" i="29"/>
  <c r="C124" i="29"/>
  <c r="E54" i="46"/>
  <c r="E54" i="29"/>
  <c r="E54" i="19"/>
  <c r="E99" i="31"/>
  <c r="C218" i="19"/>
  <c r="C296" i="19"/>
  <c r="C140" i="19"/>
  <c r="C374" i="19"/>
  <c r="G70" i="46"/>
  <c r="G70" i="29"/>
  <c r="G70" i="19"/>
  <c r="G115" i="31"/>
  <c r="G78" i="46"/>
  <c r="G78" i="29"/>
  <c r="G78" i="19"/>
  <c r="G123" i="31"/>
  <c r="C167" i="43"/>
  <c r="C245" i="43"/>
  <c r="C359" i="19"/>
  <c r="C281" i="19"/>
  <c r="C125" i="19"/>
  <c r="C203" i="19"/>
  <c r="D316" i="43"/>
  <c r="D71" i="46"/>
  <c r="D71" i="29"/>
  <c r="D71" i="19"/>
  <c r="D116" i="31"/>
  <c r="E79" i="46"/>
  <c r="E124" i="31"/>
  <c r="E79" i="29"/>
  <c r="E79" i="19"/>
  <c r="E48" i="46"/>
  <c r="E48" i="29"/>
  <c r="E48" i="19"/>
  <c r="E93" i="31"/>
  <c r="C290" i="19"/>
  <c r="C212" i="19"/>
  <c r="C368" i="19"/>
  <c r="C134" i="19"/>
  <c r="C220" i="29"/>
  <c r="C142" i="29"/>
  <c r="G317" i="43"/>
  <c r="G72" i="46"/>
  <c r="G72" i="29"/>
  <c r="G72" i="19"/>
  <c r="G117" i="31"/>
  <c r="C236" i="19"/>
  <c r="C392" i="19"/>
  <c r="C158" i="19"/>
  <c r="C314" i="19"/>
  <c r="C169" i="43"/>
  <c r="C247" i="43"/>
  <c r="C361" i="19"/>
  <c r="C205" i="19"/>
  <c r="C283" i="19"/>
  <c r="C127" i="19"/>
  <c r="D73" i="46"/>
  <c r="D73" i="29"/>
  <c r="D73" i="19"/>
  <c r="D118" i="31"/>
  <c r="E326" i="43"/>
  <c r="E81" i="46"/>
  <c r="E126" i="31"/>
  <c r="E81" i="29"/>
  <c r="E81" i="19"/>
  <c r="C58" i="47"/>
  <c r="C125" i="47" s="1"/>
  <c r="C230" i="35"/>
  <c r="C500" i="35" s="1"/>
  <c r="D230" i="35"/>
  <c r="E230" i="35"/>
  <c r="C62" i="47"/>
  <c r="C129" i="47" s="1"/>
  <c r="C234" i="35"/>
  <c r="C504" i="35" s="1"/>
  <c r="E234" i="35"/>
  <c r="D234" i="35"/>
  <c r="C45" i="47"/>
  <c r="C112" i="47" s="1"/>
  <c r="C217" i="35"/>
  <c r="C487" i="35" s="1"/>
  <c r="E217" i="35"/>
  <c r="D217" i="35"/>
  <c r="C19" i="47"/>
  <c r="C86" i="47" s="1"/>
  <c r="C87" i="35"/>
  <c r="C357" i="35" s="1"/>
  <c r="E87" i="35"/>
  <c r="D87" i="35"/>
  <c r="C22" i="47"/>
  <c r="C89" i="47" s="1"/>
  <c r="D90" i="35"/>
  <c r="E90" i="35"/>
  <c r="C90" i="35"/>
  <c r="C360" i="35" s="1"/>
  <c r="C31" i="47"/>
  <c r="C98" i="47" s="1"/>
  <c r="E99" i="35"/>
  <c r="D99" i="35"/>
  <c r="C99" i="35"/>
  <c r="C369" i="35" s="1"/>
  <c r="C29" i="47"/>
  <c r="C96" i="47" s="1"/>
  <c r="C97" i="35"/>
  <c r="C367" i="35" s="1"/>
  <c r="E97" i="35"/>
  <c r="D97" i="35"/>
  <c r="C362" i="19"/>
  <c r="C284" i="19"/>
  <c r="C206" i="19"/>
  <c r="C128" i="19"/>
  <c r="D58" i="46"/>
  <c r="D58" i="29"/>
  <c r="D58" i="19"/>
  <c r="D103" i="31"/>
  <c r="E66" i="46"/>
  <c r="E66" i="29"/>
  <c r="E66" i="19"/>
  <c r="E111" i="31"/>
  <c r="C233" i="43"/>
  <c r="C155" i="43"/>
  <c r="D51" i="46"/>
  <c r="D51" i="29"/>
  <c r="D51" i="19"/>
  <c r="D96" i="31"/>
  <c r="E59" i="46"/>
  <c r="E104" i="31"/>
  <c r="E59" i="29"/>
  <c r="E59" i="19"/>
  <c r="G312" i="43"/>
  <c r="G67" i="46"/>
  <c r="G112" i="31"/>
  <c r="G67" i="29"/>
  <c r="G67" i="19"/>
  <c r="D52" i="46"/>
  <c r="D52" i="29"/>
  <c r="D52" i="19"/>
  <c r="D97" i="31"/>
  <c r="C146" i="29"/>
  <c r="C224" i="29"/>
  <c r="E76" i="46"/>
  <c r="E76" i="29"/>
  <c r="E76" i="19"/>
  <c r="E121" i="31"/>
  <c r="C131" i="29"/>
  <c r="C209" i="29"/>
  <c r="C217" i="19"/>
  <c r="C295" i="19"/>
  <c r="C139" i="19"/>
  <c r="C373" i="19"/>
  <c r="C923" i="35"/>
  <c r="C245" i="35"/>
  <c r="C752" i="35" s="1"/>
  <c r="C719" i="35"/>
  <c r="C278" i="35"/>
  <c r="C311" i="35"/>
  <c r="D57" i="43"/>
  <c r="D291" i="43" s="1"/>
  <c r="D46" i="46"/>
  <c r="D46" i="29"/>
  <c r="D46" i="19"/>
  <c r="D91" i="31"/>
  <c r="D54" i="46"/>
  <c r="D54" i="29"/>
  <c r="D54" i="19"/>
  <c r="D99" i="31"/>
  <c r="E62" i="46"/>
  <c r="E62" i="29"/>
  <c r="E62" i="19"/>
  <c r="E107" i="31"/>
  <c r="C125" i="29"/>
  <c r="C203" i="29"/>
  <c r="C289" i="19"/>
  <c r="C211" i="19"/>
  <c r="C133" i="19"/>
  <c r="C367" i="19"/>
  <c r="D324" i="43"/>
  <c r="D79" i="46"/>
  <c r="D79" i="29"/>
  <c r="D79" i="19"/>
  <c r="D124" i="31"/>
  <c r="D48" i="46"/>
  <c r="D48" i="29"/>
  <c r="D48" i="19"/>
  <c r="D93" i="31"/>
  <c r="D56" i="46"/>
  <c r="D56" i="29"/>
  <c r="D56" i="19"/>
  <c r="D101" i="31"/>
  <c r="G64" i="46"/>
  <c r="G64" i="29"/>
  <c r="G64" i="19"/>
  <c r="G109" i="31"/>
  <c r="E72" i="46"/>
  <c r="E72" i="29"/>
  <c r="E72" i="19"/>
  <c r="E117" i="31"/>
  <c r="C127" i="29"/>
  <c r="C205" i="29"/>
  <c r="C369" i="19"/>
  <c r="C213" i="19"/>
  <c r="C291" i="19"/>
  <c r="C135" i="19"/>
  <c r="D81" i="46"/>
  <c r="D81" i="29"/>
  <c r="D81" i="19"/>
  <c r="D126" i="31"/>
  <c r="C53" i="47"/>
  <c r="C120" i="47" s="1"/>
  <c r="E225" i="35"/>
  <c r="C225" i="35"/>
  <c r="C495" i="35" s="1"/>
  <c r="D225" i="35"/>
  <c r="C47" i="47"/>
  <c r="C114" i="47" s="1"/>
  <c r="C219" i="35"/>
  <c r="C489" i="35" s="1"/>
  <c r="E219" i="35"/>
  <c r="D219" i="35"/>
  <c r="C65" i="47"/>
  <c r="C132" i="47" s="1"/>
  <c r="C237" i="35"/>
  <c r="C507" i="35" s="1"/>
  <c r="E237" i="35"/>
  <c r="D237" i="35"/>
  <c r="C13" i="47"/>
  <c r="C80" i="47" s="1"/>
  <c r="E81" i="35"/>
  <c r="C81" i="35"/>
  <c r="C351" i="35" s="1"/>
  <c r="D81" i="35"/>
  <c r="C18" i="47"/>
  <c r="C85" i="47" s="1"/>
  <c r="C86" i="35"/>
  <c r="C356" i="35" s="1"/>
  <c r="E86" i="35"/>
  <c r="D86" i="35"/>
  <c r="C25" i="47"/>
  <c r="C92" i="47" s="1"/>
  <c r="E93" i="35"/>
  <c r="D93" i="35"/>
  <c r="C93" i="35"/>
  <c r="C363" i="35" s="1"/>
  <c r="C14" i="47"/>
  <c r="C81" i="47" s="1"/>
  <c r="D82" i="35"/>
  <c r="E82" i="35"/>
  <c r="C82" i="35"/>
  <c r="C352" i="35" s="1"/>
  <c r="C206" i="29"/>
  <c r="C128" i="29"/>
  <c r="D66" i="46"/>
  <c r="D66" i="29"/>
  <c r="D66" i="19"/>
  <c r="D111" i="31"/>
  <c r="E74" i="46"/>
  <c r="E74" i="29"/>
  <c r="E74" i="19"/>
  <c r="E119" i="31"/>
  <c r="C241" i="43"/>
  <c r="C163" i="43"/>
  <c r="V163" i="43" s="1"/>
  <c r="D59" i="46"/>
  <c r="D59" i="29"/>
  <c r="D59" i="19"/>
  <c r="D104" i="31"/>
  <c r="E67" i="46"/>
  <c r="E112" i="31"/>
  <c r="E67" i="29"/>
  <c r="E67" i="19"/>
  <c r="G320" i="43"/>
  <c r="G75" i="46"/>
  <c r="G120" i="31"/>
  <c r="G75" i="29"/>
  <c r="G75" i="19"/>
  <c r="C242" i="43"/>
  <c r="C164" i="43"/>
  <c r="C216" i="19"/>
  <c r="C294" i="19"/>
  <c r="C372" i="19"/>
  <c r="C138" i="19"/>
  <c r="E68" i="46"/>
  <c r="E68" i="29"/>
  <c r="E68" i="19"/>
  <c r="E113" i="31"/>
  <c r="D76" i="46"/>
  <c r="D76" i="29"/>
  <c r="D76" i="19"/>
  <c r="D121" i="31"/>
  <c r="C139" i="29"/>
  <c r="C217" i="29"/>
  <c r="C381" i="19"/>
  <c r="C225" i="19"/>
  <c r="C303" i="19"/>
  <c r="C147" i="19"/>
  <c r="C132" i="19"/>
  <c r="C366" i="19"/>
  <c r="C210" i="19"/>
  <c r="C288" i="19"/>
  <c r="C218" i="29"/>
  <c r="C140" i="29"/>
  <c r="E315" i="43"/>
  <c r="E70" i="46"/>
  <c r="E70" i="29"/>
  <c r="E70" i="19"/>
  <c r="E115" i="31"/>
  <c r="C312" i="19"/>
  <c r="C234" i="19"/>
  <c r="C390" i="19"/>
  <c r="C156" i="19"/>
  <c r="C133" i="29"/>
  <c r="C211" i="29"/>
  <c r="C297" i="19"/>
  <c r="C141" i="19"/>
  <c r="C375" i="19"/>
  <c r="C219" i="19"/>
  <c r="C212" i="29"/>
  <c r="C134" i="29"/>
  <c r="E64" i="46"/>
  <c r="E64" i="29"/>
  <c r="E64" i="19"/>
  <c r="E109" i="31"/>
  <c r="C384" i="19"/>
  <c r="C150" i="19"/>
  <c r="C228" i="19"/>
  <c r="C306" i="19"/>
  <c r="C236" i="29"/>
  <c r="C158" i="29"/>
  <c r="C135" i="29"/>
  <c r="C213" i="29"/>
  <c r="C143" i="19"/>
  <c r="C377" i="19"/>
  <c r="C221" i="19"/>
  <c r="C299" i="19"/>
  <c r="C69" i="47"/>
  <c r="C136" i="47" s="1"/>
  <c r="E241" i="35"/>
  <c r="D241" i="35"/>
  <c r="C241" i="35"/>
  <c r="C511" i="35" s="1"/>
  <c r="C43" i="47"/>
  <c r="C110" i="47" s="1"/>
  <c r="C215" i="35"/>
  <c r="C485" i="35" s="1"/>
  <c r="E215" i="35"/>
  <c r="D215" i="35"/>
  <c r="C61" i="47"/>
  <c r="C128" i="47" s="1"/>
  <c r="D233" i="35"/>
  <c r="C233" i="35"/>
  <c r="C503" i="35" s="1"/>
  <c r="E233" i="35"/>
  <c r="C55" i="47"/>
  <c r="C122" i="47" s="1"/>
  <c r="E227" i="35"/>
  <c r="C227" i="35"/>
  <c r="C497" i="35" s="1"/>
  <c r="D227" i="35"/>
  <c r="C38" i="47"/>
  <c r="C105" i="47" s="1"/>
  <c r="E106" i="35"/>
  <c r="C106" i="35"/>
  <c r="C376" i="35" s="1"/>
  <c r="D106" i="35"/>
  <c r="C27" i="47"/>
  <c r="C94" i="47" s="1"/>
  <c r="D95" i="35"/>
  <c r="C95" i="35"/>
  <c r="C365" i="35" s="1"/>
  <c r="E95" i="35"/>
  <c r="C20" i="47"/>
  <c r="C87" i="47" s="1"/>
  <c r="E88" i="35"/>
  <c r="D88" i="35"/>
  <c r="C88" i="35"/>
  <c r="C358" i="35" s="1"/>
  <c r="C292" i="19"/>
  <c r="C214" i="19"/>
  <c r="C136" i="19"/>
  <c r="C370" i="19"/>
  <c r="C378" i="19"/>
  <c r="C144" i="19"/>
  <c r="C300" i="19"/>
  <c r="C222" i="19"/>
  <c r="D74" i="46"/>
  <c r="D74" i="29"/>
  <c r="D74" i="19"/>
  <c r="D119" i="31"/>
  <c r="E82" i="46"/>
  <c r="E82" i="29"/>
  <c r="E82" i="19"/>
  <c r="E127" i="31"/>
  <c r="C171" i="43"/>
  <c r="C249" i="43"/>
  <c r="D312" i="43"/>
  <c r="D67" i="46"/>
  <c r="D67" i="29"/>
  <c r="D67" i="19"/>
  <c r="D112" i="31"/>
  <c r="E75" i="46"/>
  <c r="E120" i="31"/>
  <c r="E75" i="29"/>
  <c r="E75" i="19"/>
  <c r="C216" i="29"/>
  <c r="C138" i="29"/>
  <c r="D68" i="46"/>
  <c r="D68" i="29"/>
  <c r="D68" i="19"/>
  <c r="D113" i="31"/>
  <c r="D53" i="46"/>
  <c r="D53" i="29"/>
  <c r="D53" i="19"/>
  <c r="D98" i="31"/>
  <c r="C220" i="43"/>
  <c r="C142" i="43"/>
  <c r="C225" i="29"/>
  <c r="C147" i="29"/>
  <c r="C389" i="19"/>
  <c r="C233" i="19"/>
  <c r="C311" i="19"/>
  <c r="C155" i="19"/>
  <c r="D62" i="46"/>
  <c r="D62" i="29"/>
  <c r="D62" i="19"/>
  <c r="D107" i="31"/>
  <c r="D70" i="46"/>
  <c r="D70" i="29"/>
  <c r="D70" i="19"/>
  <c r="D115" i="31"/>
  <c r="E78" i="46"/>
  <c r="E78" i="29"/>
  <c r="E78" i="19"/>
  <c r="E123" i="31"/>
  <c r="G292" i="43"/>
  <c r="G47" i="46"/>
  <c r="G92" i="31"/>
  <c r="G47" i="29"/>
  <c r="G47" i="19"/>
  <c r="C214" i="43"/>
  <c r="C136" i="43"/>
  <c r="C141" i="29"/>
  <c r="C219" i="29"/>
  <c r="C383" i="19"/>
  <c r="C149" i="19"/>
  <c r="C305" i="19"/>
  <c r="C227" i="19"/>
  <c r="E617" i="35"/>
  <c r="E683" i="35" s="1"/>
  <c r="F683" i="35" s="1"/>
  <c r="E143" i="35"/>
  <c r="E176" i="35"/>
  <c r="E110" i="35"/>
  <c r="E650" i="35" s="1"/>
  <c r="F650" i="35" s="1"/>
  <c r="D1025" i="35"/>
  <c r="D821" i="35"/>
  <c r="E347" i="35"/>
  <c r="D64" i="46"/>
  <c r="D64" i="29"/>
  <c r="D64" i="19"/>
  <c r="D109" i="31"/>
  <c r="D72" i="46"/>
  <c r="D72" i="29"/>
  <c r="D72" i="19"/>
  <c r="D117" i="31"/>
  <c r="G325" i="43"/>
  <c r="G80" i="46"/>
  <c r="G80" i="29"/>
  <c r="G80" i="19"/>
  <c r="G125" i="31"/>
  <c r="G294" i="43"/>
  <c r="G49" i="46"/>
  <c r="G94" i="31"/>
  <c r="G49" i="29"/>
  <c r="G49" i="19"/>
  <c r="C138" i="43"/>
  <c r="C216" i="43"/>
  <c r="C224" i="43"/>
  <c r="C146" i="43"/>
  <c r="C143" i="29"/>
  <c r="C221" i="29"/>
  <c r="C229" i="19"/>
  <c r="C307" i="19"/>
  <c r="C385" i="19"/>
  <c r="C151" i="19"/>
  <c r="C59" i="47"/>
  <c r="C126" i="47" s="1"/>
  <c r="C231" i="35"/>
  <c r="C501" i="35" s="1"/>
  <c r="D231" i="35"/>
  <c r="E231" i="35"/>
  <c r="C63" i="47"/>
  <c r="C130" i="47" s="1"/>
  <c r="C235" i="35"/>
  <c r="C505" i="35" s="1"/>
  <c r="E235" i="35"/>
  <c r="D235" i="35"/>
  <c r="C51" i="47"/>
  <c r="C118" i="47" s="1"/>
  <c r="D223" i="35"/>
  <c r="E223" i="35"/>
  <c r="C223" i="35"/>
  <c r="C493" i="35" s="1"/>
  <c r="C50" i="47"/>
  <c r="C117" i="47" s="1"/>
  <c r="C222" i="35"/>
  <c r="C492" i="35" s="1"/>
  <c r="D222" i="35"/>
  <c r="E222" i="35"/>
  <c r="C33" i="47"/>
  <c r="C100" i="47" s="1"/>
  <c r="E101" i="35"/>
  <c r="D101" i="35"/>
  <c r="C101" i="35"/>
  <c r="C371" i="35" s="1"/>
  <c r="C21" i="47"/>
  <c r="C88" i="47" s="1"/>
  <c r="D89" i="35"/>
  <c r="C89" i="35"/>
  <c r="C359" i="35" s="1"/>
  <c r="E89" i="35"/>
  <c r="C30" i="47"/>
  <c r="C97" i="47" s="1"/>
  <c r="E98" i="35"/>
  <c r="C98" i="35"/>
  <c r="C368" i="35" s="1"/>
  <c r="D98" i="35"/>
  <c r="C118" i="12"/>
  <c r="C162" i="31" s="1"/>
  <c r="C130" i="12"/>
  <c r="C113" i="12"/>
  <c r="C94" i="12"/>
  <c r="C154" i="12"/>
  <c r="C75" i="18" s="1"/>
  <c r="C121" i="12"/>
  <c r="C136" i="12"/>
  <c r="C103" i="12"/>
  <c r="C24" i="30" s="1"/>
  <c r="C125" i="12"/>
  <c r="C148" i="12"/>
  <c r="C190" i="12"/>
  <c r="C221" i="12"/>
  <c r="C227" i="12"/>
  <c r="C233" i="12"/>
  <c r="C175" i="12"/>
  <c r="C225" i="12"/>
  <c r="C169" i="12"/>
  <c r="C199" i="12"/>
  <c r="C211" i="12"/>
  <c r="C254" i="31" s="1"/>
  <c r="C236" i="12"/>
  <c r="C167" i="12"/>
  <c r="C114" i="12"/>
  <c r="C97" i="12"/>
  <c r="C138" i="12"/>
  <c r="C105" i="12"/>
  <c r="D105" i="12" s="1"/>
  <c r="C128" i="12"/>
  <c r="C159" i="12"/>
  <c r="C203" i="31" s="1"/>
  <c r="C95" i="12"/>
  <c r="C117" i="12"/>
  <c r="C38" i="30" s="1"/>
  <c r="C140" i="12"/>
  <c r="C235" i="12"/>
  <c r="C184" i="12"/>
  <c r="C215" i="12"/>
  <c r="E215" i="12" s="1"/>
  <c r="C207" i="12"/>
  <c r="C226" i="12"/>
  <c r="C170" i="12"/>
  <c r="C219" i="12"/>
  <c r="E219" i="12" s="1"/>
  <c r="C166" i="12"/>
  <c r="C192" i="12"/>
  <c r="C191" i="12"/>
  <c r="C230" i="12"/>
  <c r="C147" i="12"/>
  <c r="C98" i="12"/>
  <c r="C134" i="12"/>
  <c r="C155" i="12"/>
  <c r="C122" i="12"/>
  <c r="D122" i="12" s="1"/>
  <c r="C89" i="12"/>
  <c r="C120" i="12"/>
  <c r="C151" i="12"/>
  <c r="C133" i="12"/>
  <c r="C109" i="12"/>
  <c r="C132" i="12"/>
  <c r="C229" i="12"/>
  <c r="C177" i="12"/>
  <c r="D177" i="12" s="1"/>
  <c r="C208" i="12"/>
  <c r="C176" i="12"/>
  <c r="E176" i="12" s="1"/>
  <c r="C220" i="12"/>
  <c r="C213" i="12"/>
  <c r="C180" i="12"/>
  <c r="C186" i="12"/>
  <c r="D186" i="12" s="1"/>
  <c r="C217" i="12"/>
  <c r="C131" i="12"/>
  <c r="C150" i="12"/>
  <c r="C139" i="12"/>
  <c r="E139" i="12" s="1"/>
  <c r="C106" i="12"/>
  <c r="C87" i="12"/>
  <c r="C112" i="12"/>
  <c r="C143" i="12"/>
  <c r="E143" i="12" s="1"/>
  <c r="C101" i="12"/>
  <c r="C124" i="12"/>
  <c r="C222" i="12"/>
  <c r="C265" i="31" s="1"/>
  <c r="C172" i="12"/>
  <c r="C196" i="12"/>
  <c r="C214" i="12"/>
  <c r="C257" i="31" s="1"/>
  <c r="C202" i="12"/>
  <c r="C206" i="12"/>
  <c r="C237" i="12"/>
  <c r="C174" i="12"/>
  <c r="C217" i="31" s="1"/>
  <c r="C179" i="12"/>
  <c r="C210" i="12"/>
  <c r="C253" i="31" s="1"/>
  <c r="K69" i="32"/>
  <c r="C115" i="12"/>
  <c r="C102" i="12"/>
  <c r="C158" i="12"/>
  <c r="C202" i="31" s="1"/>
  <c r="C123" i="12"/>
  <c r="C90" i="12"/>
  <c r="C104" i="12"/>
  <c r="E104" i="12" s="1"/>
  <c r="C135" i="12"/>
  <c r="C93" i="12"/>
  <c r="C216" i="12"/>
  <c r="C189" i="12"/>
  <c r="D189" i="12" s="1"/>
  <c r="C234" i="12"/>
  <c r="C201" i="12"/>
  <c r="C200" i="12"/>
  <c r="C231" i="12"/>
  <c r="C173" i="12"/>
  <c r="C204" i="12"/>
  <c r="L69" i="32"/>
  <c r="C99" i="12"/>
  <c r="C161" i="12"/>
  <c r="C142" i="12"/>
  <c r="C107" i="12"/>
  <c r="C151" i="31" s="1"/>
  <c r="C160" i="12"/>
  <c r="C96" i="12"/>
  <c r="C127" i="12"/>
  <c r="C48" i="18" s="1"/>
  <c r="C157" i="12"/>
  <c r="C108" i="12"/>
  <c r="C209" i="12"/>
  <c r="D209" i="12" s="1"/>
  <c r="C183" i="12"/>
  <c r="C195" i="12"/>
  <c r="C194" i="12"/>
  <c r="C273" i="30" s="1"/>
  <c r="C193" i="12"/>
  <c r="C224" i="12"/>
  <c r="C168" i="12"/>
  <c r="C198" i="12"/>
  <c r="C145" i="12"/>
  <c r="C66" i="18" s="1"/>
  <c r="C126" i="12"/>
  <c r="C91" i="12"/>
  <c r="C153" i="12"/>
  <c r="C152" i="12"/>
  <c r="C88" i="12"/>
  <c r="C119" i="12"/>
  <c r="D119" i="12" s="1"/>
  <c r="C149" i="12"/>
  <c r="C100" i="12"/>
  <c r="C203" i="12"/>
  <c r="C240" i="12"/>
  <c r="C171" i="12"/>
  <c r="C250" i="30" s="1"/>
  <c r="C188" i="12"/>
  <c r="D188" i="12" s="1"/>
  <c r="C238" i="12"/>
  <c r="C187" i="12"/>
  <c r="C212" i="12"/>
  <c r="C223" i="12"/>
  <c r="C185" i="12"/>
  <c r="C146" i="12"/>
  <c r="C129" i="12"/>
  <c r="C110" i="12"/>
  <c r="C137" i="12"/>
  <c r="C58" i="18" s="1"/>
  <c r="C144" i="12"/>
  <c r="C111" i="12"/>
  <c r="C141" i="12"/>
  <c r="C156" i="12"/>
  <c r="C92" i="12"/>
  <c r="C13" i="30" s="1"/>
  <c r="C197" i="12"/>
  <c r="C228" i="12"/>
  <c r="C307" i="30" s="1"/>
  <c r="C239" i="12"/>
  <c r="C182" i="12"/>
  <c r="C225" i="31" s="1"/>
  <c r="C232" i="12"/>
  <c r="C181" i="12"/>
  <c r="C205" i="12"/>
  <c r="C218" i="12"/>
  <c r="C178" i="12"/>
  <c r="AA46" i="34"/>
  <c r="AA54" i="34"/>
  <c r="AA62" i="34"/>
  <c r="AA70" i="34"/>
  <c r="AA49" i="34"/>
  <c r="AA57" i="34"/>
  <c r="AA65" i="34"/>
  <c r="AA73" i="34"/>
  <c r="AA44" i="34"/>
  <c r="AA52" i="34"/>
  <c r="AA60" i="34"/>
  <c r="AA68" i="34"/>
  <c r="AA76" i="34"/>
  <c r="AA47" i="34"/>
  <c r="AA55" i="34"/>
  <c r="AA63" i="34"/>
  <c r="AA71" i="34"/>
  <c r="AA50" i="34"/>
  <c r="AA58" i="34"/>
  <c r="AA66" i="34"/>
  <c r="AA74" i="34"/>
  <c r="AA45" i="34"/>
  <c r="AA53" i="34"/>
  <c r="AA61" i="34"/>
  <c r="AA69" i="34"/>
  <c r="AA77" i="34"/>
  <c r="AA48" i="34"/>
  <c r="AA56" i="34"/>
  <c r="AA64" i="34"/>
  <c r="AA72" i="34"/>
  <c r="AA80" i="34"/>
  <c r="AA88" i="34"/>
  <c r="AA96" i="34"/>
  <c r="AA104" i="34"/>
  <c r="AA112" i="34"/>
  <c r="AA83" i="34"/>
  <c r="AA91" i="34"/>
  <c r="AA99" i="34"/>
  <c r="AA107" i="34"/>
  <c r="AA115" i="34"/>
  <c r="AA67" i="34"/>
  <c r="AA79" i="34"/>
  <c r="AA86" i="34"/>
  <c r="AA94" i="34"/>
  <c r="AA102" i="34"/>
  <c r="AA110" i="34"/>
  <c r="AA78" i="34"/>
  <c r="AA81" i="34"/>
  <c r="AA89" i="34"/>
  <c r="AA97" i="34"/>
  <c r="AA105" i="34"/>
  <c r="AA113" i="34"/>
  <c r="AA43" i="34"/>
  <c r="AA51" i="34"/>
  <c r="AA84" i="34"/>
  <c r="AA92" i="34"/>
  <c r="AA100" i="34"/>
  <c r="AA108" i="34"/>
  <c r="AA116" i="34"/>
  <c r="AA75" i="34"/>
  <c r="AA87" i="34"/>
  <c r="AA95" i="34"/>
  <c r="AA103" i="34"/>
  <c r="AA111" i="34"/>
  <c r="AA82" i="34"/>
  <c r="AA90" i="34"/>
  <c r="AA98" i="34"/>
  <c r="AA106" i="34"/>
  <c r="AA114" i="34"/>
  <c r="AA93" i="34"/>
  <c r="AA117" i="34"/>
  <c r="AA101" i="34"/>
  <c r="AA59" i="34"/>
  <c r="AA85" i="34"/>
  <c r="AA109" i="34"/>
  <c r="V45" i="34"/>
  <c r="V77" i="34"/>
  <c r="V48" i="34"/>
  <c r="V64" i="34"/>
  <c r="V67" i="34"/>
  <c r="V46" i="34"/>
  <c r="V62" i="34"/>
  <c r="V57" i="34"/>
  <c r="V73" i="34"/>
  <c r="V52" i="34"/>
  <c r="V47" i="34"/>
  <c r="V63" i="34"/>
  <c r="V74" i="34"/>
  <c r="V111" i="34"/>
  <c r="V90" i="34"/>
  <c r="V106" i="34"/>
  <c r="V93" i="34"/>
  <c r="V109" i="34"/>
  <c r="V88" i="34"/>
  <c r="V80" i="34"/>
  <c r="V91" i="34"/>
  <c r="V107" i="34"/>
  <c r="V86" i="34"/>
  <c r="V102" i="34"/>
  <c r="V81" i="34"/>
  <c r="V113" i="34"/>
  <c r="V108" i="34"/>
  <c r="V92" i="34"/>
  <c r="X47" i="34"/>
  <c r="X55" i="34"/>
  <c r="X63" i="34"/>
  <c r="X71" i="34"/>
  <c r="X50" i="34"/>
  <c r="X58" i="34"/>
  <c r="X66" i="34"/>
  <c r="X74" i="34"/>
  <c r="X45" i="34"/>
  <c r="X53" i="34"/>
  <c r="X61" i="34"/>
  <c r="X69" i="34"/>
  <c r="X77" i="34"/>
  <c r="X48" i="34"/>
  <c r="X56" i="34"/>
  <c r="X64" i="34"/>
  <c r="X72" i="34"/>
  <c r="X51" i="34"/>
  <c r="X59" i="34"/>
  <c r="X67" i="34"/>
  <c r="X75" i="34"/>
  <c r="X46" i="34"/>
  <c r="X54" i="34"/>
  <c r="X62" i="34"/>
  <c r="X70" i="34"/>
  <c r="X49" i="34"/>
  <c r="X57" i="34"/>
  <c r="X65" i="34"/>
  <c r="X73" i="34"/>
  <c r="X52" i="34"/>
  <c r="X78" i="34"/>
  <c r="X81" i="34"/>
  <c r="X89" i="34"/>
  <c r="X97" i="34"/>
  <c r="X105" i="34"/>
  <c r="X113" i="34"/>
  <c r="X43" i="34"/>
  <c r="X76" i="34"/>
  <c r="X84" i="34"/>
  <c r="X92" i="34"/>
  <c r="X100" i="34"/>
  <c r="X108" i="34"/>
  <c r="X116" i="34"/>
  <c r="X87" i="34"/>
  <c r="X95" i="34"/>
  <c r="X103" i="34"/>
  <c r="X111" i="34"/>
  <c r="X60" i="34"/>
  <c r="X82" i="34"/>
  <c r="X90" i="34"/>
  <c r="X98" i="34"/>
  <c r="X106" i="34"/>
  <c r="X114" i="34"/>
  <c r="X85" i="34"/>
  <c r="X93" i="34"/>
  <c r="X101" i="34"/>
  <c r="X109" i="34"/>
  <c r="X117" i="34"/>
  <c r="X44" i="34"/>
  <c r="X88" i="34"/>
  <c r="X96" i="34"/>
  <c r="X104" i="34"/>
  <c r="X112" i="34"/>
  <c r="X68" i="34"/>
  <c r="X80" i="34"/>
  <c r="X83" i="34"/>
  <c r="X91" i="34"/>
  <c r="X99" i="34"/>
  <c r="X107" i="34"/>
  <c r="X115" i="34"/>
  <c r="X86" i="34"/>
  <c r="X110" i="34"/>
  <c r="X79" i="34"/>
  <c r="X94" i="34"/>
  <c r="X102" i="34"/>
  <c r="J49" i="34"/>
  <c r="J57" i="34"/>
  <c r="J65" i="34"/>
  <c r="J73" i="34"/>
  <c r="J44" i="34"/>
  <c r="J52" i="34"/>
  <c r="J60" i="34"/>
  <c r="J68" i="34"/>
  <c r="J76" i="34"/>
  <c r="J47" i="34"/>
  <c r="J55" i="34"/>
  <c r="J63" i="34"/>
  <c r="J71" i="34"/>
  <c r="J50" i="34"/>
  <c r="J58" i="34"/>
  <c r="J66" i="34"/>
  <c r="J74" i="34"/>
  <c r="J45" i="34"/>
  <c r="J53" i="34"/>
  <c r="J61" i="34"/>
  <c r="J69" i="34"/>
  <c r="J77" i="34"/>
  <c r="J48" i="34"/>
  <c r="J56" i="34"/>
  <c r="J64" i="34"/>
  <c r="J72" i="34"/>
  <c r="J51" i="34"/>
  <c r="J59" i="34"/>
  <c r="J67" i="34"/>
  <c r="J75" i="34"/>
  <c r="J78" i="34"/>
  <c r="J83" i="34"/>
  <c r="J91" i="34"/>
  <c r="J99" i="34"/>
  <c r="J107" i="34"/>
  <c r="J115" i="34"/>
  <c r="J80" i="34"/>
  <c r="J86" i="34"/>
  <c r="J94" i="34"/>
  <c r="J102" i="34"/>
  <c r="J110" i="34"/>
  <c r="J62" i="34"/>
  <c r="J81" i="34"/>
  <c r="J89" i="34"/>
  <c r="J97" i="34"/>
  <c r="J105" i="34"/>
  <c r="J113" i="34"/>
  <c r="J43" i="34"/>
  <c r="J79" i="34"/>
  <c r="J84" i="34"/>
  <c r="J92" i="34"/>
  <c r="J100" i="34"/>
  <c r="J108" i="34"/>
  <c r="J116" i="34"/>
  <c r="J46" i="34"/>
  <c r="J87" i="34"/>
  <c r="J95" i="34"/>
  <c r="J103" i="34"/>
  <c r="J111" i="34"/>
  <c r="J70" i="34"/>
  <c r="J82" i="34"/>
  <c r="J90" i="34"/>
  <c r="J98" i="34"/>
  <c r="J106" i="34"/>
  <c r="J114" i="34"/>
  <c r="J85" i="34"/>
  <c r="J93" i="34"/>
  <c r="J101" i="34"/>
  <c r="J109" i="34"/>
  <c r="J117" i="34"/>
  <c r="J88" i="34"/>
  <c r="J54" i="34"/>
  <c r="J112" i="34"/>
  <c r="J96" i="34"/>
  <c r="J104" i="34"/>
  <c r="R43" i="34"/>
  <c r="R87" i="34"/>
  <c r="S46" i="34"/>
  <c r="S54" i="34"/>
  <c r="S62" i="34"/>
  <c r="S70" i="34"/>
  <c r="S49" i="34"/>
  <c r="S57" i="34"/>
  <c r="S65" i="34"/>
  <c r="S73" i="34"/>
  <c r="S44" i="34"/>
  <c r="S52" i="34"/>
  <c r="S60" i="34"/>
  <c r="S68" i="34"/>
  <c r="S76" i="34"/>
  <c r="S47" i="34"/>
  <c r="S55" i="34"/>
  <c r="S63" i="34"/>
  <c r="S71" i="34"/>
  <c r="S50" i="34"/>
  <c r="S58" i="34"/>
  <c r="S66" i="34"/>
  <c r="S74" i="34"/>
  <c r="S45" i="34"/>
  <c r="S53" i="34"/>
  <c r="S61" i="34"/>
  <c r="S69" i="34"/>
  <c r="S77" i="34"/>
  <c r="S48" i="34"/>
  <c r="S56" i="34"/>
  <c r="S64" i="34"/>
  <c r="S72" i="34"/>
  <c r="S88" i="34"/>
  <c r="S96" i="34"/>
  <c r="S104" i="34"/>
  <c r="S112" i="34"/>
  <c r="S67" i="34"/>
  <c r="S80" i="34"/>
  <c r="S83" i="34"/>
  <c r="S91" i="34"/>
  <c r="S99" i="34"/>
  <c r="S107" i="34"/>
  <c r="S115" i="34"/>
  <c r="S86" i="34"/>
  <c r="S94" i="34"/>
  <c r="S102" i="34"/>
  <c r="S110" i="34"/>
  <c r="S51" i="34"/>
  <c r="S79" i="34"/>
  <c r="S81" i="34"/>
  <c r="S89" i="34"/>
  <c r="S97" i="34"/>
  <c r="S105" i="34"/>
  <c r="S113" i="34"/>
  <c r="S43" i="34"/>
  <c r="S75" i="34"/>
  <c r="S84" i="34"/>
  <c r="S92" i="34"/>
  <c r="S100" i="34"/>
  <c r="S108" i="34"/>
  <c r="S116" i="34"/>
  <c r="S78" i="34"/>
  <c r="S87" i="34"/>
  <c r="S95" i="34"/>
  <c r="S103" i="34"/>
  <c r="S111" i="34"/>
  <c r="S59" i="34"/>
  <c r="S82" i="34"/>
  <c r="S90" i="34"/>
  <c r="S98" i="34"/>
  <c r="S106" i="34"/>
  <c r="S114" i="34"/>
  <c r="S117" i="34"/>
  <c r="S101" i="34"/>
  <c r="S85" i="34"/>
  <c r="S109" i="34"/>
  <c r="S93" i="34"/>
  <c r="W50" i="34"/>
  <c r="W58" i="34"/>
  <c r="W66" i="34"/>
  <c r="W74" i="34"/>
  <c r="W45" i="34"/>
  <c r="W53" i="34"/>
  <c r="W61" i="34"/>
  <c r="W69" i="34"/>
  <c r="W77" i="34"/>
  <c r="W48" i="34"/>
  <c r="W56" i="34"/>
  <c r="W64" i="34"/>
  <c r="W72" i="34"/>
  <c r="W51" i="34"/>
  <c r="W59" i="34"/>
  <c r="W67" i="34"/>
  <c r="W75" i="34"/>
  <c r="W46" i="34"/>
  <c r="W54" i="34"/>
  <c r="W62" i="34"/>
  <c r="W70" i="34"/>
  <c r="W78" i="34"/>
  <c r="W49" i="34"/>
  <c r="W57" i="34"/>
  <c r="W65" i="34"/>
  <c r="W73" i="34"/>
  <c r="W44" i="34"/>
  <c r="W52" i="34"/>
  <c r="W60" i="34"/>
  <c r="W68" i="34"/>
  <c r="W76" i="34"/>
  <c r="W63" i="34"/>
  <c r="W84" i="34"/>
  <c r="W92" i="34"/>
  <c r="W100" i="34"/>
  <c r="W108" i="34"/>
  <c r="W116" i="34"/>
  <c r="W87" i="34"/>
  <c r="W95" i="34"/>
  <c r="W103" i="34"/>
  <c r="W111" i="34"/>
  <c r="W47" i="34"/>
  <c r="W82" i="34"/>
  <c r="W90" i="34"/>
  <c r="W98" i="34"/>
  <c r="W106" i="34"/>
  <c r="W114" i="34"/>
  <c r="W71" i="34"/>
  <c r="W85" i="34"/>
  <c r="W93" i="34"/>
  <c r="W101" i="34"/>
  <c r="W109" i="34"/>
  <c r="W117" i="34"/>
  <c r="W88" i="34"/>
  <c r="W96" i="34"/>
  <c r="W104" i="34"/>
  <c r="W112" i="34"/>
  <c r="W55" i="34"/>
  <c r="W80" i="34"/>
  <c r="W83" i="34"/>
  <c r="W91" i="34"/>
  <c r="W99" i="34"/>
  <c r="W107" i="34"/>
  <c r="W115" i="34"/>
  <c r="W79" i="34"/>
  <c r="W86" i="34"/>
  <c r="W94" i="34"/>
  <c r="W102" i="34"/>
  <c r="W110" i="34"/>
  <c r="W97" i="34"/>
  <c r="W81" i="34"/>
  <c r="W43" i="34"/>
  <c r="W105" i="34"/>
  <c r="W89" i="34"/>
  <c r="W113" i="34"/>
  <c r="K62" i="34"/>
  <c r="K49" i="34"/>
  <c r="K52" i="34"/>
  <c r="K76" i="34"/>
  <c r="K50" i="34"/>
  <c r="K74" i="34"/>
  <c r="K77" i="34"/>
  <c r="K56" i="34"/>
  <c r="K96" i="34"/>
  <c r="K83" i="34"/>
  <c r="K51" i="34"/>
  <c r="K94" i="34"/>
  <c r="K89" i="34"/>
  <c r="K113" i="34"/>
  <c r="K100" i="34"/>
  <c r="K59" i="34"/>
  <c r="K82" i="34"/>
  <c r="K106" i="34"/>
  <c r="K93" i="34"/>
  <c r="Y44" i="34"/>
  <c r="Y52" i="34"/>
  <c r="Y60" i="34"/>
  <c r="Y68" i="34"/>
  <c r="Y76" i="34"/>
  <c r="Y47" i="34"/>
  <c r="Y55" i="34"/>
  <c r="Y63" i="34"/>
  <c r="Y71" i="34"/>
  <c r="Y50" i="34"/>
  <c r="Y58" i="34"/>
  <c r="Y66" i="34"/>
  <c r="Y74" i="34"/>
  <c r="Y45" i="34"/>
  <c r="Y53" i="34"/>
  <c r="Y61" i="34"/>
  <c r="Y69" i="34"/>
  <c r="Y77" i="34"/>
  <c r="Y48" i="34"/>
  <c r="Y56" i="34"/>
  <c r="Y64" i="34"/>
  <c r="Y72" i="34"/>
  <c r="Y80" i="34"/>
  <c r="Y51" i="34"/>
  <c r="Y59" i="34"/>
  <c r="Y67" i="34"/>
  <c r="Y75" i="34"/>
  <c r="Y46" i="34"/>
  <c r="Y54" i="34"/>
  <c r="Y62" i="34"/>
  <c r="Y70" i="34"/>
  <c r="Y79" i="34"/>
  <c r="Y86" i="34"/>
  <c r="Y94" i="34"/>
  <c r="Y102" i="34"/>
  <c r="Y110" i="34"/>
  <c r="Y65" i="34"/>
  <c r="Y78" i="34"/>
  <c r="Y81" i="34"/>
  <c r="Y89" i="34"/>
  <c r="Y97" i="34"/>
  <c r="Y105" i="34"/>
  <c r="Y113" i="34"/>
  <c r="Y43" i="34"/>
  <c r="Y84" i="34"/>
  <c r="Y92" i="34"/>
  <c r="Y100" i="34"/>
  <c r="Y108" i="34"/>
  <c r="Y116" i="34"/>
  <c r="Y49" i="34"/>
  <c r="Y87" i="34"/>
  <c r="Y95" i="34"/>
  <c r="Y103" i="34"/>
  <c r="Y111" i="34"/>
  <c r="Y73" i="34"/>
  <c r="Y82" i="34"/>
  <c r="Y90" i="34"/>
  <c r="Y98" i="34"/>
  <c r="Y106" i="34"/>
  <c r="Y114" i="34"/>
  <c r="Y85" i="34"/>
  <c r="Y93" i="34"/>
  <c r="Y101" i="34"/>
  <c r="Y109" i="34"/>
  <c r="Y117" i="34"/>
  <c r="Y57" i="34"/>
  <c r="Y88" i="34"/>
  <c r="Y96" i="34"/>
  <c r="Y104" i="34"/>
  <c r="Y112" i="34"/>
  <c r="Y115" i="34"/>
  <c r="Y99" i="34"/>
  <c r="Y83" i="34"/>
  <c r="Y107" i="34"/>
  <c r="Y91" i="34"/>
  <c r="C37" i="30"/>
  <c r="D116" i="12"/>
  <c r="P47" i="34"/>
  <c r="P55" i="34"/>
  <c r="P63" i="34"/>
  <c r="P71" i="34"/>
  <c r="P50" i="34"/>
  <c r="P58" i="34"/>
  <c r="P66" i="34"/>
  <c r="P74" i="34"/>
  <c r="P45" i="34"/>
  <c r="P53" i="34"/>
  <c r="P61" i="34"/>
  <c r="P69" i="34"/>
  <c r="P77" i="34"/>
  <c r="P48" i="34"/>
  <c r="P56" i="34"/>
  <c r="P64" i="34"/>
  <c r="P72" i="34"/>
  <c r="P51" i="34"/>
  <c r="P59" i="34"/>
  <c r="P67" i="34"/>
  <c r="P75" i="34"/>
  <c r="P46" i="34"/>
  <c r="P54" i="34"/>
  <c r="P62" i="34"/>
  <c r="P70" i="34"/>
  <c r="P49" i="34"/>
  <c r="P57" i="34"/>
  <c r="P65" i="34"/>
  <c r="P73" i="34"/>
  <c r="P76" i="34"/>
  <c r="P79" i="34"/>
  <c r="P81" i="34"/>
  <c r="P89" i="34"/>
  <c r="P97" i="34"/>
  <c r="P105" i="34"/>
  <c r="P113" i="34"/>
  <c r="P43" i="34"/>
  <c r="P84" i="34"/>
  <c r="P92" i="34"/>
  <c r="P100" i="34"/>
  <c r="P108" i="34"/>
  <c r="P116" i="34"/>
  <c r="P60" i="34"/>
  <c r="P78" i="34"/>
  <c r="P87" i="34"/>
  <c r="P95" i="34"/>
  <c r="P103" i="34"/>
  <c r="P111" i="34"/>
  <c r="P82" i="34"/>
  <c r="P90" i="34"/>
  <c r="P98" i="34"/>
  <c r="P106" i="34"/>
  <c r="P114" i="34"/>
  <c r="P44" i="34"/>
  <c r="P85" i="34"/>
  <c r="P93" i="34"/>
  <c r="P101" i="34"/>
  <c r="P109" i="34"/>
  <c r="P117" i="34"/>
  <c r="P68" i="34"/>
  <c r="P88" i="34"/>
  <c r="P96" i="34"/>
  <c r="P104" i="34"/>
  <c r="P112" i="34"/>
  <c r="P83" i="34"/>
  <c r="P91" i="34"/>
  <c r="P99" i="34"/>
  <c r="P107" i="34"/>
  <c r="P115" i="34"/>
  <c r="P52" i="34"/>
  <c r="P86" i="34"/>
  <c r="P110" i="34"/>
  <c r="P94" i="34"/>
  <c r="P80" i="34"/>
  <c r="P102" i="34"/>
  <c r="Z49" i="34"/>
  <c r="Z57" i="34"/>
  <c r="Z65" i="34"/>
  <c r="Z73" i="34"/>
  <c r="Z44" i="34"/>
  <c r="Z52" i="34"/>
  <c r="Z60" i="34"/>
  <c r="Z68" i="34"/>
  <c r="Z76" i="34"/>
  <c r="Z47" i="34"/>
  <c r="Z55" i="34"/>
  <c r="Z63" i="34"/>
  <c r="Z71" i="34"/>
  <c r="Z50" i="34"/>
  <c r="Z58" i="34"/>
  <c r="Z66" i="34"/>
  <c r="Z74" i="34"/>
  <c r="Z45" i="34"/>
  <c r="Z53" i="34"/>
  <c r="Z61" i="34"/>
  <c r="Z69" i="34"/>
  <c r="Z77" i="34"/>
  <c r="Z48" i="34"/>
  <c r="Z56" i="34"/>
  <c r="Z64" i="34"/>
  <c r="Z72" i="34"/>
  <c r="Z51" i="34"/>
  <c r="Z59" i="34"/>
  <c r="Z67" i="34"/>
  <c r="Z75" i="34"/>
  <c r="Z83" i="34"/>
  <c r="Z91" i="34"/>
  <c r="Z99" i="34"/>
  <c r="Z107" i="34"/>
  <c r="Z115" i="34"/>
  <c r="Z54" i="34"/>
  <c r="Z79" i="34"/>
  <c r="Z86" i="34"/>
  <c r="Z94" i="34"/>
  <c r="Z102" i="34"/>
  <c r="Z110" i="34"/>
  <c r="Z78" i="34"/>
  <c r="Z81" i="34"/>
  <c r="Z89" i="34"/>
  <c r="Z97" i="34"/>
  <c r="Z105" i="34"/>
  <c r="Z113" i="34"/>
  <c r="Z43" i="34"/>
  <c r="Z84" i="34"/>
  <c r="Z92" i="34"/>
  <c r="Z100" i="34"/>
  <c r="Z108" i="34"/>
  <c r="Z116" i="34"/>
  <c r="Z62" i="34"/>
  <c r="Z87" i="34"/>
  <c r="Z95" i="34"/>
  <c r="Z103" i="34"/>
  <c r="Z111" i="34"/>
  <c r="Z82" i="34"/>
  <c r="Z90" i="34"/>
  <c r="Z98" i="34"/>
  <c r="Z106" i="34"/>
  <c r="Z114" i="34"/>
  <c r="Z46" i="34"/>
  <c r="Z85" i="34"/>
  <c r="Z93" i="34"/>
  <c r="Z101" i="34"/>
  <c r="Z109" i="34"/>
  <c r="Z117" i="34"/>
  <c r="Z104" i="34"/>
  <c r="Z70" i="34"/>
  <c r="Z88" i="34"/>
  <c r="Z112" i="34"/>
  <c r="Z96" i="34"/>
  <c r="Z80" i="34"/>
  <c r="Q68" i="34"/>
  <c r="Q47" i="34"/>
  <c r="Q63" i="34"/>
  <c r="Q66" i="34"/>
  <c r="Q45" i="34"/>
  <c r="Q61" i="34"/>
  <c r="Q48" i="34"/>
  <c r="Q64" i="34"/>
  <c r="Q80" i="34"/>
  <c r="Q75" i="34"/>
  <c r="Q54" i="34"/>
  <c r="Q70" i="34"/>
  <c r="Q102" i="34"/>
  <c r="Q79" i="34"/>
  <c r="Q89" i="34"/>
  <c r="Q43" i="34"/>
  <c r="Q84" i="34"/>
  <c r="Q100" i="34"/>
  <c r="Q78" i="34"/>
  <c r="Q95" i="34"/>
  <c r="Q111" i="34"/>
  <c r="Q106" i="34"/>
  <c r="Q57" i="34"/>
  <c r="Q93" i="34"/>
  <c r="Q88" i="34"/>
  <c r="Q104" i="34"/>
  <c r="Q99" i="34"/>
  <c r="Q115" i="34"/>
  <c r="P78" i="21"/>
  <c r="P147" i="21" s="1"/>
  <c r="O6" i="18"/>
  <c r="O480" i="18" s="1"/>
  <c r="O243" i="17"/>
  <c r="O6" i="19"/>
  <c r="O399" i="19" s="1"/>
  <c r="O17" i="43"/>
  <c r="O332" i="43" s="1"/>
  <c r="U41" i="34"/>
  <c r="U140" i="34" s="1"/>
  <c r="V243" i="29"/>
  <c r="V6" i="30"/>
  <c r="O479" i="18"/>
  <c r="O242" i="18"/>
  <c r="O791" i="18"/>
  <c r="S480" i="30"/>
  <c r="S869" i="30"/>
  <c r="S552" i="30"/>
  <c r="S243" i="30"/>
  <c r="V479" i="30"/>
  <c r="V868" i="30"/>
  <c r="V551" i="30"/>
  <c r="V242" i="30"/>
  <c r="O16" i="43"/>
  <c r="O242" i="17"/>
  <c r="O5" i="46"/>
  <c r="AB6" i="17"/>
  <c r="AB242" i="17"/>
  <c r="AB16" i="43"/>
  <c r="AB5" i="46"/>
  <c r="AB85" i="46" s="1"/>
  <c r="AB479" i="18"/>
  <c r="AB242" i="18"/>
  <c r="AB791" i="18"/>
  <c r="L479" i="18"/>
  <c r="L791" i="18"/>
  <c r="L242" i="18"/>
  <c r="L242" i="17"/>
  <c r="L6" i="17"/>
  <c r="L5" i="46"/>
  <c r="L16" i="43"/>
  <c r="T242" i="18"/>
  <c r="T479" i="18"/>
  <c r="T791" i="18"/>
  <c r="M41" i="34"/>
  <c r="M140" i="34" s="1"/>
  <c r="N243" i="29"/>
  <c r="N6" i="30"/>
  <c r="R868" i="30"/>
  <c r="R551" i="30"/>
  <c r="R242" i="30"/>
  <c r="R479" i="30"/>
  <c r="Q41" i="34"/>
  <c r="Q140" i="34" s="1"/>
  <c r="R243" i="29"/>
  <c r="R6" i="30"/>
  <c r="Q139" i="34"/>
  <c r="O34" i="9"/>
  <c r="P34" i="9" s="1"/>
  <c r="AB8" i="30"/>
  <c r="J7" i="29"/>
  <c r="N7" i="29"/>
  <c r="M7" i="29"/>
  <c r="S243" i="18"/>
  <c r="S480" i="18"/>
  <c r="S792" i="18"/>
  <c r="K11" i="32"/>
  <c r="K77" i="4"/>
  <c r="K5" i="11"/>
  <c r="L39" i="28"/>
  <c r="K106" i="4"/>
  <c r="K41" i="32"/>
  <c r="K55" i="32"/>
  <c r="K26" i="32"/>
  <c r="L5" i="28"/>
  <c r="K14" i="4"/>
  <c r="K5" i="26"/>
  <c r="K5" i="32"/>
  <c r="K215" i="21"/>
  <c r="K60" i="4"/>
  <c r="K22" i="26"/>
  <c r="K37" i="4"/>
  <c r="K28" i="26"/>
  <c r="K29" i="11"/>
  <c r="K14" i="11"/>
  <c r="K61" i="38"/>
  <c r="K34" i="26"/>
  <c r="Z161" i="29"/>
  <c r="L11" i="32"/>
  <c r="L77" i="4"/>
  <c r="L5" i="11"/>
  <c r="M39" i="28"/>
  <c r="L55" i="32"/>
  <c r="L106" i="4"/>
  <c r="L41" i="32"/>
  <c r="L26" i="32"/>
  <c r="L5" i="22"/>
  <c r="M5" i="28"/>
  <c r="L14" i="4"/>
  <c r="L19" i="22"/>
  <c r="L5" i="26"/>
  <c r="L5" i="32"/>
  <c r="L61" i="38"/>
  <c r="L60" i="4"/>
  <c r="L34" i="26"/>
  <c r="L28" i="26"/>
  <c r="L14" i="11"/>
  <c r="L22" i="26"/>
  <c r="L29" i="11"/>
  <c r="L215" i="21"/>
  <c r="L37" i="4"/>
  <c r="X83" i="29"/>
  <c r="Q31" i="30"/>
  <c r="Q44" i="30"/>
  <c r="Q49" i="30"/>
  <c r="Q29" i="30"/>
  <c r="Q34" i="30"/>
  <c r="Q39" i="30"/>
  <c r="Q37" i="30"/>
  <c r="Q42" i="30"/>
  <c r="Q47" i="30"/>
  <c r="Q22" i="30"/>
  <c r="Q32" i="30"/>
  <c r="Q45" i="30"/>
  <c r="Q30" i="30"/>
  <c r="Q35" i="30"/>
  <c r="Q40" i="30"/>
  <c r="Q38" i="30"/>
  <c r="Q43" i="30"/>
  <c r="Q48" i="30"/>
  <c r="Q28" i="30"/>
  <c r="Q33" i="30"/>
  <c r="Q46" i="30"/>
  <c r="Q36" i="30"/>
  <c r="Q61" i="30"/>
  <c r="Q66" i="30"/>
  <c r="Q71" i="30"/>
  <c r="Q51" i="30"/>
  <c r="Q56" i="30"/>
  <c r="Q69" i="30"/>
  <c r="Q74" i="30"/>
  <c r="Q79" i="30"/>
  <c r="Q54" i="30"/>
  <c r="Q59" i="30"/>
  <c r="Q64" i="30"/>
  <c r="Q77" i="30"/>
  <c r="Q82" i="30"/>
  <c r="Q62" i="30"/>
  <c r="Q67" i="30"/>
  <c r="Q72" i="30"/>
  <c r="Q52" i="30"/>
  <c r="Q57" i="30"/>
  <c r="Q70" i="30"/>
  <c r="Q75" i="30"/>
  <c r="Q80" i="30"/>
  <c r="Q60" i="30"/>
  <c r="Q65" i="30"/>
  <c r="Q78" i="30"/>
  <c r="Q41" i="30"/>
  <c r="Q55" i="30"/>
  <c r="Q68" i="30"/>
  <c r="Q73" i="30"/>
  <c r="Q63" i="30"/>
  <c r="Q76" i="30"/>
  <c r="Q58" i="30"/>
  <c r="Q53" i="30"/>
  <c r="Q81" i="30"/>
  <c r="Q50" i="30"/>
  <c r="Q185" i="30"/>
  <c r="Q198" i="30"/>
  <c r="Q203" i="30"/>
  <c r="Q208" i="30"/>
  <c r="Q221" i="30"/>
  <c r="Q226" i="30"/>
  <c r="Q188" i="30"/>
  <c r="Q193" i="30"/>
  <c r="Q206" i="30"/>
  <c r="Q211" i="30"/>
  <c r="Q216" i="30"/>
  <c r="Q229" i="30"/>
  <c r="Q234" i="30"/>
  <c r="Q178" i="30"/>
  <c r="Q191" i="30"/>
  <c r="Q196" i="30"/>
  <c r="Q201" i="30"/>
  <c r="Q214" i="30"/>
  <c r="Q219" i="30"/>
  <c r="Q224" i="30"/>
  <c r="Q237" i="30"/>
  <c r="Q186" i="30"/>
  <c r="Q199" i="30"/>
  <c r="Q204" i="30"/>
  <c r="Q209" i="30"/>
  <c r="Q222" i="30"/>
  <c r="Q227" i="30"/>
  <c r="Q232" i="30"/>
  <c r="Q189" i="30"/>
  <c r="Q194" i="30"/>
  <c r="Q207" i="30"/>
  <c r="Q212" i="30"/>
  <c r="Q217" i="30"/>
  <c r="Q230" i="30"/>
  <c r="Q235" i="30"/>
  <c r="Q184" i="30"/>
  <c r="Q197" i="30"/>
  <c r="Q202" i="30"/>
  <c r="Q215" i="30"/>
  <c r="Q220" i="30"/>
  <c r="Q225" i="30"/>
  <c r="Q238" i="30"/>
  <c r="Q187" i="30"/>
  <c r="Q192" i="30"/>
  <c r="Q205" i="30"/>
  <c r="Q210" i="30"/>
  <c r="Q223" i="30"/>
  <c r="Q228" i="30"/>
  <c r="Q233" i="30"/>
  <c r="Q200" i="30"/>
  <c r="Q231" i="30"/>
  <c r="Q195" i="30"/>
  <c r="Q190" i="30"/>
  <c r="Q236" i="30"/>
  <c r="Q218" i="30"/>
  <c r="Q213" i="30"/>
  <c r="Q487" i="30"/>
  <c r="Q496" i="30"/>
  <c r="Q485" i="30"/>
  <c r="Q494" i="30"/>
  <c r="Q501" i="30"/>
  <c r="Q483" i="30"/>
  <c r="Q492" i="30"/>
  <c r="Q499" i="30"/>
  <c r="Q490" i="30"/>
  <c r="Q497" i="30"/>
  <c r="Q488" i="30"/>
  <c r="Q495" i="30"/>
  <c r="Q486" i="30"/>
  <c r="Q493" i="30"/>
  <c r="Q484" i="30"/>
  <c r="Q491" i="30"/>
  <c r="Q500" i="30"/>
  <c r="Q482" i="30"/>
  <c r="Q489" i="30"/>
  <c r="Q498" i="30"/>
  <c r="Q530" i="30"/>
  <c r="Q542" i="30"/>
  <c r="Q541" i="30"/>
  <c r="Q538" i="30"/>
  <c r="Q529" i="30"/>
  <c r="Q535" i="30"/>
  <c r="Q536" i="30"/>
  <c r="Q537" i="30"/>
  <c r="Q546" i="30"/>
  <c r="Q544" i="30"/>
  <c r="Q545" i="30"/>
  <c r="Q533" i="30"/>
  <c r="Q531" i="30"/>
  <c r="Q540" i="30"/>
  <c r="Q539" i="30"/>
  <c r="Q528" i="30"/>
  <c r="Q547" i="30"/>
  <c r="Q532" i="30"/>
  <c r="Q534" i="30"/>
  <c r="Q543" i="30"/>
  <c r="J11" i="32"/>
  <c r="J5" i="11"/>
  <c r="J77" i="4"/>
  <c r="K39" i="28"/>
  <c r="J106" i="4"/>
  <c r="J55" i="32"/>
  <c r="J41" i="32"/>
  <c r="J26" i="32"/>
  <c r="K5" i="28"/>
  <c r="J14" i="4"/>
  <c r="J5" i="26"/>
  <c r="J5" i="32"/>
  <c r="J28" i="26"/>
  <c r="J22" i="26"/>
  <c r="J60" i="4"/>
  <c r="J37" i="4"/>
  <c r="J14" i="11"/>
  <c r="J34" i="26"/>
  <c r="J29" i="11"/>
  <c r="J61" i="38"/>
  <c r="J215" i="21"/>
  <c r="AB19" i="30"/>
  <c r="AB10" i="30"/>
  <c r="AB14" i="30"/>
  <c r="AB20" i="30"/>
  <c r="AB25" i="30"/>
  <c r="AB38" i="30"/>
  <c r="AB43" i="30"/>
  <c r="AB48" i="30"/>
  <c r="AB28" i="30"/>
  <c r="AB33" i="30"/>
  <c r="AB46" i="30"/>
  <c r="AB12" i="30"/>
  <c r="AB17" i="30"/>
  <c r="AB23" i="30"/>
  <c r="AB36" i="30"/>
  <c r="AB41" i="30"/>
  <c r="AB15" i="30"/>
  <c r="AB21" i="30"/>
  <c r="AB26" i="30"/>
  <c r="AB31" i="30"/>
  <c r="AB44" i="30"/>
  <c r="AB49" i="30"/>
  <c r="AB29" i="30"/>
  <c r="AB34" i="30"/>
  <c r="AB39" i="30"/>
  <c r="AB13" i="30"/>
  <c r="AB18" i="30"/>
  <c r="AB24" i="30"/>
  <c r="AB37" i="30"/>
  <c r="AB42" i="30"/>
  <c r="AB47" i="30"/>
  <c r="AB22" i="30"/>
  <c r="AB27" i="30"/>
  <c r="AB32" i="30"/>
  <c r="AB45" i="30"/>
  <c r="AB11" i="30"/>
  <c r="AB60" i="30"/>
  <c r="AB65" i="30"/>
  <c r="AB78" i="30"/>
  <c r="AB50" i="30"/>
  <c r="AB55" i="30"/>
  <c r="AB68" i="30"/>
  <c r="AB73" i="30"/>
  <c r="AB53" i="30"/>
  <c r="AB58" i="30"/>
  <c r="AB63" i="30"/>
  <c r="AB76" i="30"/>
  <c r="AB81" i="30"/>
  <c r="AB40" i="30"/>
  <c r="AB61" i="30"/>
  <c r="AB66" i="30"/>
  <c r="AB71" i="30"/>
  <c r="AB51" i="30"/>
  <c r="AB56" i="30"/>
  <c r="AB69" i="30"/>
  <c r="AB74" i="30"/>
  <c r="AB79" i="30"/>
  <c r="AB35" i="30"/>
  <c r="AB54" i="30"/>
  <c r="AB59" i="30"/>
  <c r="AB64" i="30"/>
  <c r="AB77" i="30"/>
  <c r="AB82" i="30"/>
  <c r="AB16" i="30"/>
  <c r="AB62" i="30"/>
  <c r="AB67" i="30"/>
  <c r="AB72" i="30"/>
  <c r="AB70" i="30"/>
  <c r="AB30" i="30"/>
  <c r="AB52" i="30"/>
  <c r="AB80" i="30"/>
  <c r="AB75" i="30"/>
  <c r="AB57" i="30"/>
  <c r="AB171" i="30"/>
  <c r="AB179" i="30"/>
  <c r="AB184" i="30"/>
  <c r="AB197" i="30"/>
  <c r="AB202" i="30"/>
  <c r="AB215" i="30"/>
  <c r="AB220" i="30"/>
  <c r="AB225" i="30"/>
  <c r="AB238" i="30"/>
  <c r="AB175" i="30"/>
  <c r="AB182" i="30"/>
  <c r="AB187" i="30"/>
  <c r="AB192" i="30"/>
  <c r="AB205" i="30"/>
  <c r="AB210" i="30"/>
  <c r="AB223" i="30"/>
  <c r="AB228" i="30"/>
  <c r="AB233" i="30"/>
  <c r="AB165" i="30"/>
  <c r="AB169" i="30"/>
  <c r="AB177" i="30"/>
  <c r="AB190" i="30"/>
  <c r="AB195" i="30"/>
  <c r="AB200" i="30"/>
  <c r="AB213" i="30"/>
  <c r="AB218" i="30"/>
  <c r="AB231" i="30"/>
  <c r="AB236" i="30"/>
  <c r="AB172" i="30"/>
  <c r="AB180" i="30"/>
  <c r="AB185" i="30"/>
  <c r="AB198" i="30"/>
  <c r="AB203" i="30"/>
  <c r="AB208" i="30"/>
  <c r="AB221" i="30"/>
  <c r="AB226" i="30"/>
  <c r="AB167" i="30"/>
  <c r="AB174" i="30"/>
  <c r="AB183" i="30"/>
  <c r="AB188" i="30"/>
  <c r="AB193" i="30"/>
  <c r="AB206" i="30"/>
  <c r="AB211" i="30"/>
  <c r="AB216" i="30"/>
  <c r="AB229" i="30"/>
  <c r="AB234" i="30"/>
  <c r="AB170" i="30"/>
  <c r="AB178" i="30"/>
  <c r="AB191" i="30"/>
  <c r="AB196" i="30"/>
  <c r="AB201" i="30"/>
  <c r="AB214" i="30"/>
  <c r="AB219" i="30"/>
  <c r="AB224" i="30"/>
  <c r="AB237" i="30"/>
  <c r="AB166" i="30"/>
  <c r="AB173" i="30"/>
  <c r="AB181" i="30"/>
  <c r="AB186" i="30"/>
  <c r="AB199" i="30"/>
  <c r="AB204" i="30"/>
  <c r="AB209" i="30"/>
  <c r="AB222" i="30"/>
  <c r="AB227" i="30"/>
  <c r="AB232" i="30"/>
  <c r="AB176" i="30"/>
  <c r="AB207" i="30"/>
  <c r="AB235" i="30"/>
  <c r="AB217" i="30"/>
  <c r="AB168" i="30"/>
  <c r="AB230" i="30"/>
  <c r="AB212" i="30"/>
  <c r="AB164" i="30"/>
  <c r="AB194" i="30"/>
  <c r="AB189" i="30"/>
  <c r="AB486" i="30"/>
  <c r="AB493" i="30"/>
  <c r="AB484" i="30"/>
  <c r="AB491" i="30"/>
  <c r="AB500" i="30"/>
  <c r="AB482" i="30"/>
  <c r="AB489" i="30"/>
  <c r="AB498" i="30"/>
  <c r="AB487" i="30"/>
  <c r="AB496" i="30"/>
  <c r="AB485" i="30"/>
  <c r="AB494" i="30"/>
  <c r="AB501" i="30"/>
  <c r="AB483" i="30"/>
  <c r="AB492" i="30"/>
  <c r="AB499" i="30"/>
  <c r="AB490" i="30"/>
  <c r="AB497" i="30"/>
  <c r="AB488" i="30"/>
  <c r="AB495" i="30"/>
  <c r="AB532" i="30"/>
  <c r="AB536" i="30"/>
  <c r="AB547" i="30"/>
  <c r="AB535" i="30"/>
  <c r="AB544" i="30"/>
  <c r="AB540" i="30"/>
  <c r="AB543" i="30"/>
  <c r="AB531" i="30"/>
  <c r="AB530" i="30"/>
  <c r="AB545" i="30"/>
  <c r="AB538" i="30"/>
  <c r="AB528" i="30"/>
  <c r="AB546" i="30"/>
  <c r="AB542" i="30"/>
  <c r="AB529" i="30"/>
  <c r="AB533" i="30"/>
  <c r="AB534" i="30"/>
  <c r="AB537" i="30"/>
  <c r="AB541" i="30"/>
  <c r="AB539" i="30"/>
  <c r="V9" i="30"/>
  <c r="V19" i="30"/>
  <c r="V8" i="30"/>
  <c r="V10" i="30"/>
  <c r="V22" i="30"/>
  <c r="V27" i="30"/>
  <c r="V32" i="30"/>
  <c r="V45" i="30"/>
  <c r="V11" i="30"/>
  <c r="V16" i="30"/>
  <c r="V30" i="30"/>
  <c r="V35" i="30"/>
  <c r="V40" i="30"/>
  <c r="V14" i="30"/>
  <c r="V20" i="30"/>
  <c r="V25" i="30"/>
  <c r="V38" i="30"/>
  <c r="V43" i="30"/>
  <c r="V48" i="30"/>
  <c r="V28" i="30"/>
  <c r="V33" i="30"/>
  <c r="V46" i="30"/>
  <c r="V12" i="30"/>
  <c r="V17" i="30"/>
  <c r="V23" i="30"/>
  <c r="V36" i="30"/>
  <c r="V41" i="30"/>
  <c r="V15" i="30"/>
  <c r="V21" i="30"/>
  <c r="V26" i="30"/>
  <c r="V31" i="30"/>
  <c r="V44" i="30"/>
  <c r="V49" i="30"/>
  <c r="V29" i="30"/>
  <c r="V34" i="30"/>
  <c r="V39" i="30"/>
  <c r="V13" i="30"/>
  <c r="V62" i="30"/>
  <c r="V67" i="30"/>
  <c r="V72" i="30"/>
  <c r="V52" i="30"/>
  <c r="V57" i="30"/>
  <c r="V70" i="30"/>
  <c r="V75" i="30"/>
  <c r="V80" i="30"/>
  <c r="V60" i="30"/>
  <c r="V65" i="30"/>
  <c r="V78" i="30"/>
  <c r="V42" i="30"/>
  <c r="V47" i="30"/>
  <c r="V50" i="30"/>
  <c r="V55" i="30"/>
  <c r="V68" i="30"/>
  <c r="V73" i="30"/>
  <c r="V24" i="30"/>
  <c r="V53" i="30"/>
  <c r="V58" i="30"/>
  <c r="V63" i="30"/>
  <c r="V76" i="30"/>
  <c r="V81" i="30"/>
  <c r="V37" i="30"/>
  <c r="V61" i="30"/>
  <c r="V66" i="30"/>
  <c r="V71" i="30"/>
  <c r="V18" i="30"/>
  <c r="V51" i="30"/>
  <c r="V56" i="30"/>
  <c r="V69" i="30"/>
  <c r="V74" i="30"/>
  <c r="V79" i="30"/>
  <c r="V54" i="30"/>
  <c r="V82" i="30"/>
  <c r="V64" i="30"/>
  <c r="V77" i="30"/>
  <c r="V59" i="30"/>
  <c r="V166" i="30"/>
  <c r="V173" i="30"/>
  <c r="V181" i="30"/>
  <c r="V186" i="30"/>
  <c r="V199" i="30"/>
  <c r="V204" i="30"/>
  <c r="V209" i="30"/>
  <c r="V222" i="30"/>
  <c r="V227" i="30"/>
  <c r="V232" i="30"/>
  <c r="V164" i="30"/>
  <c r="V168" i="30"/>
  <c r="V176" i="30"/>
  <c r="V189" i="30"/>
  <c r="V194" i="30"/>
  <c r="V207" i="30"/>
  <c r="V212" i="30"/>
  <c r="V217" i="30"/>
  <c r="V230" i="30"/>
  <c r="V235" i="30"/>
  <c r="V171" i="30"/>
  <c r="V179" i="30"/>
  <c r="V184" i="30"/>
  <c r="V197" i="30"/>
  <c r="V202" i="30"/>
  <c r="V215" i="30"/>
  <c r="V220" i="30"/>
  <c r="V225" i="30"/>
  <c r="V238" i="30"/>
  <c r="V175" i="30"/>
  <c r="V182" i="30"/>
  <c r="V187" i="30"/>
  <c r="V192" i="30"/>
  <c r="V205" i="30"/>
  <c r="V210" i="30"/>
  <c r="V223" i="30"/>
  <c r="V228" i="30"/>
  <c r="V233" i="30"/>
  <c r="V165" i="30"/>
  <c r="V169" i="30"/>
  <c r="V177" i="30"/>
  <c r="V190" i="30"/>
  <c r="V195" i="30"/>
  <c r="V200" i="30"/>
  <c r="V213" i="30"/>
  <c r="V218" i="30"/>
  <c r="V231" i="30"/>
  <c r="V236" i="30"/>
  <c r="V172" i="30"/>
  <c r="V180" i="30"/>
  <c r="V185" i="30"/>
  <c r="V198" i="30"/>
  <c r="V203" i="30"/>
  <c r="V208" i="30"/>
  <c r="V221" i="30"/>
  <c r="V226" i="30"/>
  <c r="V167" i="30"/>
  <c r="V174" i="30"/>
  <c r="V183" i="30"/>
  <c r="V188" i="30"/>
  <c r="V193" i="30"/>
  <c r="V206" i="30"/>
  <c r="V211" i="30"/>
  <c r="V216" i="30"/>
  <c r="V229" i="30"/>
  <c r="V234" i="30"/>
  <c r="V178" i="30"/>
  <c r="V224" i="30"/>
  <c r="V237" i="30"/>
  <c r="V219" i="30"/>
  <c r="V170" i="30"/>
  <c r="V201" i="30"/>
  <c r="V214" i="30"/>
  <c r="V196" i="30"/>
  <c r="V191" i="30"/>
  <c r="V490" i="30"/>
  <c r="V497" i="30"/>
  <c r="V488" i="30"/>
  <c r="V495" i="30"/>
  <c r="V486" i="30"/>
  <c r="V493" i="30"/>
  <c r="V484" i="30"/>
  <c r="V491" i="30"/>
  <c r="V500" i="30"/>
  <c r="V482" i="30"/>
  <c r="V489" i="30"/>
  <c r="V498" i="30"/>
  <c r="V487" i="30"/>
  <c r="V496" i="30"/>
  <c r="V485" i="30"/>
  <c r="V494" i="30"/>
  <c r="V501" i="30"/>
  <c r="V483" i="30"/>
  <c r="V492" i="30"/>
  <c r="V499" i="30"/>
  <c r="V545" i="30"/>
  <c r="V547" i="30"/>
  <c r="V532" i="30"/>
  <c r="V536" i="30"/>
  <c r="V540" i="30"/>
  <c r="V544" i="30"/>
  <c r="V535" i="30"/>
  <c r="V541" i="30"/>
  <c r="V531" i="30"/>
  <c r="V543" i="30"/>
  <c r="V534" i="30"/>
  <c r="V539" i="30"/>
  <c r="V530" i="30"/>
  <c r="V533" i="30"/>
  <c r="V529" i="30"/>
  <c r="V538" i="30"/>
  <c r="V542" i="30"/>
  <c r="V537" i="30"/>
  <c r="V546" i="30"/>
  <c r="V528" i="30"/>
  <c r="W10" i="30"/>
  <c r="W8" i="30"/>
  <c r="W9" i="30"/>
  <c r="W19" i="30"/>
  <c r="W13" i="30"/>
  <c r="W18" i="30"/>
  <c r="W24" i="30"/>
  <c r="W37" i="30"/>
  <c r="W42" i="30"/>
  <c r="W47" i="30"/>
  <c r="W22" i="30"/>
  <c r="W27" i="30"/>
  <c r="W32" i="30"/>
  <c r="W45" i="30"/>
  <c r="W11" i="30"/>
  <c r="W16" i="30"/>
  <c r="W30" i="30"/>
  <c r="W35" i="30"/>
  <c r="W40" i="30"/>
  <c r="W14" i="30"/>
  <c r="W20" i="30"/>
  <c r="W25" i="30"/>
  <c r="W38" i="30"/>
  <c r="W43" i="30"/>
  <c r="W48" i="30"/>
  <c r="W28" i="30"/>
  <c r="W33" i="30"/>
  <c r="W12" i="30"/>
  <c r="W17" i="30"/>
  <c r="W23" i="30"/>
  <c r="W36" i="30"/>
  <c r="W41" i="30"/>
  <c r="W15" i="30"/>
  <c r="W21" i="30"/>
  <c r="W26" i="30"/>
  <c r="W31" i="30"/>
  <c r="W44" i="30"/>
  <c r="W49" i="30"/>
  <c r="W34" i="30"/>
  <c r="W54" i="30"/>
  <c r="W59" i="30"/>
  <c r="W64" i="30"/>
  <c r="W77" i="30"/>
  <c r="W82" i="30"/>
  <c r="W62" i="30"/>
  <c r="W67" i="30"/>
  <c r="W72" i="30"/>
  <c r="W29" i="30"/>
  <c r="W46" i="30"/>
  <c r="W52" i="30"/>
  <c r="W57" i="30"/>
  <c r="W70" i="30"/>
  <c r="W75" i="30"/>
  <c r="W80" i="30"/>
  <c r="W60" i="30"/>
  <c r="W65" i="30"/>
  <c r="W78" i="30"/>
  <c r="W50" i="30"/>
  <c r="W55" i="30"/>
  <c r="W68" i="30"/>
  <c r="W73" i="30"/>
  <c r="W53" i="30"/>
  <c r="W58" i="30"/>
  <c r="W63" i="30"/>
  <c r="W76" i="30"/>
  <c r="W81" i="30"/>
  <c r="W39" i="30"/>
  <c r="W61" i="30"/>
  <c r="W66" i="30"/>
  <c r="W71" i="30"/>
  <c r="W74" i="30"/>
  <c r="W56" i="30"/>
  <c r="W69" i="30"/>
  <c r="W51" i="30"/>
  <c r="W79" i="30"/>
  <c r="W170" i="30"/>
  <c r="W178" i="30"/>
  <c r="W191" i="30"/>
  <c r="W196" i="30"/>
  <c r="W201" i="30"/>
  <c r="W214" i="30"/>
  <c r="W219" i="30"/>
  <c r="W224" i="30"/>
  <c r="W237" i="30"/>
  <c r="W166" i="30"/>
  <c r="W173" i="30"/>
  <c r="W181" i="30"/>
  <c r="W186" i="30"/>
  <c r="W199" i="30"/>
  <c r="W204" i="30"/>
  <c r="W209" i="30"/>
  <c r="W222" i="30"/>
  <c r="W227" i="30"/>
  <c r="W232" i="30"/>
  <c r="W164" i="30"/>
  <c r="W168" i="30"/>
  <c r="W176" i="30"/>
  <c r="W189" i="30"/>
  <c r="W194" i="30"/>
  <c r="W207" i="30"/>
  <c r="W212" i="30"/>
  <c r="W217" i="30"/>
  <c r="W230" i="30"/>
  <c r="W235" i="30"/>
  <c r="W171" i="30"/>
  <c r="W179" i="30"/>
  <c r="W184" i="30"/>
  <c r="W197" i="30"/>
  <c r="W202" i="30"/>
  <c r="W215" i="30"/>
  <c r="W220" i="30"/>
  <c r="W225" i="30"/>
  <c r="W238" i="30"/>
  <c r="W175" i="30"/>
  <c r="W182" i="30"/>
  <c r="W187" i="30"/>
  <c r="W192" i="30"/>
  <c r="W205" i="30"/>
  <c r="W210" i="30"/>
  <c r="W223" i="30"/>
  <c r="W228" i="30"/>
  <c r="W233" i="30"/>
  <c r="W165" i="30"/>
  <c r="W169" i="30"/>
  <c r="W177" i="30"/>
  <c r="W190" i="30"/>
  <c r="W195" i="30"/>
  <c r="W200" i="30"/>
  <c r="W213" i="30"/>
  <c r="W218" i="30"/>
  <c r="W231" i="30"/>
  <c r="W236" i="30"/>
  <c r="W172" i="30"/>
  <c r="W180" i="30"/>
  <c r="W185" i="30"/>
  <c r="W198" i="30"/>
  <c r="W203" i="30"/>
  <c r="W208" i="30"/>
  <c r="W221" i="30"/>
  <c r="W226" i="30"/>
  <c r="W167" i="30"/>
  <c r="W229" i="30"/>
  <c r="W193" i="30"/>
  <c r="W174" i="30"/>
  <c r="W206" i="30"/>
  <c r="W188" i="30"/>
  <c r="W183" i="30"/>
  <c r="W234" i="30"/>
  <c r="W216" i="30"/>
  <c r="W211" i="30"/>
  <c r="W483" i="30"/>
  <c r="W492" i="30"/>
  <c r="W499" i="30"/>
  <c r="W490" i="30"/>
  <c r="W497" i="30"/>
  <c r="W488" i="30"/>
  <c r="W495" i="30"/>
  <c r="W486" i="30"/>
  <c r="W493" i="30"/>
  <c r="W484" i="30"/>
  <c r="W491" i="30"/>
  <c r="W500" i="30"/>
  <c r="W482" i="30"/>
  <c r="W489" i="30"/>
  <c r="W498" i="30"/>
  <c r="W487" i="30"/>
  <c r="W496" i="30"/>
  <c r="W485" i="30"/>
  <c r="W494" i="30"/>
  <c r="W501" i="30"/>
  <c r="W536" i="30"/>
  <c r="W540" i="30"/>
  <c r="W544" i="30"/>
  <c r="W531" i="30"/>
  <c r="W535" i="30"/>
  <c r="W547" i="30"/>
  <c r="W534" i="30"/>
  <c r="W543" i="30"/>
  <c r="W539" i="30"/>
  <c r="W542" i="30"/>
  <c r="W538" i="30"/>
  <c r="W533" i="30"/>
  <c r="W529" i="30"/>
  <c r="W541" i="30"/>
  <c r="W537" i="30"/>
  <c r="W530" i="30"/>
  <c r="W545" i="30"/>
  <c r="W546" i="30"/>
  <c r="W532" i="30"/>
  <c r="W528" i="30"/>
  <c r="X161" i="29"/>
  <c r="Y9" i="30"/>
  <c r="Y15" i="30"/>
  <c r="Y21" i="30"/>
  <c r="Y26" i="30"/>
  <c r="Y31" i="30"/>
  <c r="Y44" i="30"/>
  <c r="Y49" i="30"/>
  <c r="Y29" i="30"/>
  <c r="Y34" i="30"/>
  <c r="Y39" i="30"/>
  <c r="Y13" i="30"/>
  <c r="Y18" i="30"/>
  <c r="Y24" i="30"/>
  <c r="Y37" i="30"/>
  <c r="Y42" i="30"/>
  <c r="Y47" i="30"/>
  <c r="Y22" i="30"/>
  <c r="Y27" i="30"/>
  <c r="Y32" i="30"/>
  <c r="Y45" i="30"/>
  <c r="Y11" i="30"/>
  <c r="Y16" i="30"/>
  <c r="Y30" i="30"/>
  <c r="Y35" i="30"/>
  <c r="Y40" i="30"/>
  <c r="Y14" i="30"/>
  <c r="Y20" i="30"/>
  <c r="Y25" i="30"/>
  <c r="Y38" i="30"/>
  <c r="Y43" i="30"/>
  <c r="Y48" i="30"/>
  <c r="Y28" i="30"/>
  <c r="Y33" i="30"/>
  <c r="Y46" i="30"/>
  <c r="Y23" i="30"/>
  <c r="Y61" i="30"/>
  <c r="Y66" i="30"/>
  <c r="Y71" i="30"/>
  <c r="Y36" i="30"/>
  <c r="Y51" i="30"/>
  <c r="Y56" i="30"/>
  <c r="Y69" i="30"/>
  <c r="Y74" i="30"/>
  <c r="Y79" i="30"/>
  <c r="Y17" i="30"/>
  <c r="Y54" i="30"/>
  <c r="Y59" i="30"/>
  <c r="Y64" i="30"/>
  <c r="Y77" i="30"/>
  <c r="Y82" i="30"/>
  <c r="Y62" i="30"/>
  <c r="Y67" i="30"/>
  <c r="Y72" i="30"/>
  <c r="Y12" i="30"/>
  <c r="Y52" i="30"/>
  <c r="Y57" i="30"/>
  <c r="Y70" i="30"/>
  <c r="Y75" i="30"/>
  <c r="Y80" i="30"/>
  <c r="Y60" i="30"/>
  <c r="Y65" i="30"/>
  <c r="Y78" i="30"/>
  <c r="Y50" i="30"/>
  <c r="Y55" i="30"/>
  <c r="Y68" i="30"/>
  <c r="Y73" i="30"/>
  <c r="Y81" i="30"/>
  <c r="Y63" i="30"/>
  <c r="Y76" i="30"/>
  <c r="Y58" i="30"/>
  <c r="Y53" i="30"/>
  <c r="Y41" i="30"/>
  <c r="Y172" i="30"/>
  <c r="Y180" i="30"/>
  <c r="Y185" i="30"/>
  <c r="Y198" i="30"/>
  <c r="Y203" i="30"/>
  <c r="Y208" i="30"/>
  <c r="Y221" i="30"/>
  <c r="Y226" i="30"/>
  <c r="Y167" i="30"/>
  <c r="Y174" i="30"/>
  <c r="Y183" i="30"/>
  <c r="Y188" i="30"/>
  <c r="Y193" i="30"/>
  <c r="Y206" i="30"/>
  <c r="Y211" i="30"/>
  <c r="Y216" i="30"/>
  <c r="Y229" i="30"/>
  <c r="Y234" i="30"/>
  <c r="Y170" i="30"/>
  <c r="Y178" i="30"/>
  <c r="Y191" i="30"/>
  <c r="Y196" i="30"/>
  <c r="Y201" i="30"/>
  <c r="Y214" i="30"/>
  <c r="Y219" i="30"/>
  <c r="Y224" i="30"/>
  <c r="Y237" i="30"/>
  <c r="Y166" i="30"/>
  <c r="Y173" i="30"/>
  <c r="Y181" i="30"/>
  <c r="Y186" i="30"/>
  <c r="Y199" i="30"/>
  <c r="Y204" i="30"/>
  <c r="Y209" i="30"/>
  <c r="Y222" i="30"/>
  <c r="Y227" i="30"/>
  <c r="Y232" i="30"/>
  <c r="Y164" i="30"/>
  <c r="Y168" i="30"/>
  <c r="Y176" i="30"/>
  <c r="Y189" i="30"/>
  <c r="Y194" i="30"/>
  <c r="Y207" i="30"/>
  <c r="Y212" i="30"/>
  <c r="Y217" i="30"/>
  <c r="Y230" i="30"/>
  <c r="Y235" i="30"/>
  <c r="Y171" i="30"/>
  <c r="Y179" i="30"/>
  <c r="Y184" i="30"/>
  <c r="Y197" i="30"/>
  <c r="Y202" i="30"/>
  <c r="Y215" i="30"/>
  <c r="Y220" i="30"/>
  <c r="Y225" i="30"/>
  <c r="Y238" i="30"/>
  <c r="Y175" i="30"/>
  <c r="Y182" i="30"/>
  <c r="Y187" i="30"/>
  <c r="Y192" i="30"/>
  <c r="Y205" i="30"/>
  <c r="Y210" i="30"/>
  <c r="Y223" i="30"/>
  <c r="Y228" i="30"/>
  <c r="Y233" i="30"/>
  <c r="Y218" i="30"/>
  <c r="Y213" i="30"/>
  <c r="Y165" i="30"/>
  <c r="Y195" i="30"/>
  <c r="Y177" i="30"/>
  <c r="Y190" i="30"/>
  <c r="Y236" i="30"/>
  <c r="Y200" i="30"/>
  <c r="Y231" i="30"/>
  <c r="Y169" i="30"/>
  <c r="Y487" i="30"/>
  <c r="Y496" i="30"/>
  <c r="Y485" i="30"/>
  <c r="Y494" i="30"/>
  <c r="Y501" i="30"/>
  <c r="Y483" i="30"/>
  <c r="Y492" i="30"/>
  <c r="Y499" i="30"/>
  <c r="Y490" i="30"/>
  <c r="Y497" i="30"/>
  <c r="Y488" i="30"/>
  <c r="Y495" i="30"/>
  <c r="Y486" i="30"/>
  <c r="Y493" i="30"/>
  <c r="Y484" i="30"/>
  <c r="Y491" i="30"/>
  <c r="Y500" i="30"/>
  <c r="Y482" i="30"/>
  <c r="Y489" i="30"/>
  <c r="Y498" i="30"/>
  <c r="Y531" i="30"/>
  <c r="Y533" i="30"/>
  <c r="Y539" i="30"/>
  <c r="Y528" i="30"/>
  <c r="Y547" i="30"/>
  <c r="Y541" i="30"/>
  <c r="Y534" i="30"/>
  <c r="Y535" i="30"/>
  <c r="Y530" i="30"/>
  <c r="Y542" i="30"/>
  <c r="Y532" i="30"/>
  <c r="Y538" i="30"/>
  <c r="Y529" i="30"/>
  <c r="Y540" i="30"/>
  <c r="Y536" i="30"/>
  <c r="Y537" i="30"/>
  <c r="Y546" i="30"/>
  <c r="Y544" i="30"/>
  <c r="Y545" i="30"/>
  <c r="Y543" i="30"/>
  <c r="AA19" i="30"/>
  <c r="AA10" i="30"/>
  <c r="AA8" i="30"/>
  <c r="AA9" i="30"/>
  <c r="AA28" i="30"/>
  <c r="AA33" i="30"/>
  <c r="AA46" i="30"/>
  <c r="AA12" i="30"/>
  <c r="AA17" i="30"/>
  <c r="AA23" i="30"/>
  <c r="AA36" i="30"/>
  <c r="AA41" i="30"/>
  <c r="AA15" i="30"/>
  <c r="AA21" i="30"/>
  <c r="AA26" i="30"/>
  <c r="AA31" i="30"/>
  <c r="AA44" i="30"/>
  <c r="AA49" i="30"/>
  <c r="AA29" i="30"/>
  <c r="AA34" i="30"/>
  <c r="AA39" i="30"/>
  <c r="AA13" i="30"/>
  <c r="AA18" i="30"/>
  <c r="AA24" i="30"/>
  <c r="AA37" i="30"/>
  <c r="AA42" i="30"/>
  <c r="AA22" i="30"/>
  <c r="AA27" i="30"/>
  <c r="AA32" i="30"/>
  <c r="AA45" i="30"/>
  <c r="AA11" i="30"/>
  <c r="AA16" i="30"/>
  <c r="AA30" i="30"/>
  <c r="AA35" i="30"/>
  <c r="AA40" i="30"/>
  <c r="AA43" i="30"/>
  <c r="AA50" i="30"/>
  <c r="AA55" i="30"/>
  <c r="AA68" i="30"/>
  <c r="AA73" i="30"/>
  <c r="AA25" i="30"/>
  <c r="AA53" i="30"/>
  <c r="AA58" i="30"/>
  <c r="AA63" i="30"/>
  <c r="AA76" i="30"/>
  <c r="AA81" i="30"/>
  <c r="AA38" i="30"/>
  <c r="AA61" i="30"/>
  <c r="AA66" i="30"/>
  <c r="AA71" i="30"/>
  <c r="AA20" i="30"/>
  <c r="AA51" i="30"/>
  <c r="AA56" i="30"/>
  <c r="AA69" i="30"/>
  <c r="AA74" i="30"/>
  <c r="AA79" i="30"/>
  <c r="AA47" i="30"/>
  <c r="AA54" i="30"/>
  <c r="AA59" i="30"/>
  <c r="AA64" i="30"/>
  <c r="AA77" i="30"/>
  <c r="AA82" i="30"/>
  <c r="AA14" i="30"/>
  <c r="AA48" i="30"/>
  <c r="AA62" i="30"/>
  <c r="AA67" i="30"/>
  <c r="AA72" i="30"/>
  <c r="AA52" i="30"/>
  <c r="AA57" i="30"/>
  <c r="AA70" i="30"/>
  <c r="AA75" i="30"/>
  <c r="AA80" i="30"/>
  <c r="AA65" i="30"/>
  <c r="AA78" i="30"/>
  <c r="AA60" i="30"/>
  <c r="AA175" i="30"/>
  <c r="AA182" i="30"/>
  <c r="AA187" i="30"/>
  <c r="AA192" i="30"/>
  <c r="AA205" i="30"/>
  <c r="AA210" i="30"/>
  <c r="AA223" i="30"/>
  <c r="AA228" i="30"/>
  <c r="AA233" i="30"/>
  <c r="AA165" i="30"/>
  <c r="AA169" i="30"/>
  <c r="AA177" i="30"/>
  <c r="AA190" i="30"/>
  <c r="AA195" i="30"/>
  <c r="AA200" i="30"/>
  <c r="AA213" i="30"/>
  <c r="AA218" i="30"/>
  <c r="AA231" i="30"/>
  <c r="AA236" i="30"/>
  <c r="AA172" i="30"/>
  <c r="AA180" i="30"/>
  <c r="AA185" i="30"/>
  <c r="AA198" i="30"/>
  <c r="AA203" i="30"/>
  <c r="AA208" i="30"/>
  <c r="AA221" i="30"/>
  <c r="AA226" i="30"/>
  <c r="AA167" i="30"/>
  <c r="AA174" i="30"/>
  <c r="AA183" i="30"/>
  <c r="AA188" i="30"/>
  <c r="AA193" i="30"/>
  <c r="AA206" i="30"/>
  <c r="AA211" i="30"/>
  <c r="AA216" i="30"/>
  <c r="AA229" i="30"/>
  <c r="AA234" i="30"/>
  <c r="AA170" i="30"/>
  <c r="AA178" i="30"/>
  <c r="AA191" i="30"/>
  <c r="AA196" i="30"/>
  <c r="AA201" i="30"/>
  <c r="AA214" i="30"/>
  <c r="AA219" i="30"/>
  <c r="AA224" i="30"/>
  <c r="AA237" i="30"/>
  <c r="AA166" i="30"/>
  <c r="AA173" i="30"/>
  <c r="AA181" i="30"/>
  <c r="AA186" i="30"/>
  <c r="AA199" i="30"/>
  <c r="AA204" i="30"/>
  <c r="AA209" i="30"/>
  <c r="AA222" i="30"/>
  <c r="AA227" i="30"/>
  <c r="AA232" i="30"/>
  <c r="AA164" i="30"/>
  <c r="AA168" i="30"/>
  <c r="AA176" i="30"/>
  <c r="AA189" i="30"/>
  <c r="AA194" i="30"/>
  <c r="AA207" i="30"/>
  <c r="AA212" i="30"/>
  <c r="AA217" i="30"/>
  <c r="AA230" i="30"/>
  <c r="AA235" i="30"/>
  <c r="AA238" i="30"/>
  <c r="AA171" i="30"/>
  <c r="AA202" i="30"/>
  <c r="AA184" i="30"/>
  <c r="AA215" i="30"/>
  <c r="AA197" i="30"/>
  <c r="AA179" i="30"/>
  <c r="AA225" i="30"/>
  <c r="AA220" i="30"/>
  <c r="AA484" i="30"/>
  <c r="AA491" i="30"/>
  <c r="AA500" i="30"/>
  <c r="AA482" i="30"/>
  <c r="AA489" i="30"/>
  <c r="AA498" i="30"/>
  <c r="AA487" i="30"/>
  <c r="AA496" i="30"/>
  <c r="AA485" i="30"/>
  <c r="AA494" i="30"/>
  <c r="AA501" i="30"/>
  <c r="AA483" i="30"/>
  <c r="AA492" i="30"/>
  <c r="AA499" i="30"/>
  <c r="AA490" i="30"/>
  <c r="AA497" i="30"/>
  <c r="AA488" i="30"/>
  <c r="AA495" i="30"/>
  <c r="AA486" i="30"/>
  <c r="AA493" i="30"/>
  <c r="AA533" i="30"/>
  <c r="AA529" i="30"/>
  <c r="AA541" i="30"/>
  <c r="AA545" i="30"/>
  <c r="AA536" i="30"/>
  <c r="AA528" i="30"/>
  <c r="AA532" i="30"/>
  <c r="AA544" i="30"/>
  <c r="AA535" i="30"/>
  <c r="AA540" i="30"/>
  <c r="AA531" i="30"/>
  <c r="AA542" i="30"/>
  <c r="AA530" i="30"/>
  <c r="AA539" i="30"/>
  <c r="AA534" i="30"/>
  <c r="AA538" i="30"/>
  <c r="AA547" i="30"/>
  <c r="AA537" i="30"/>
  <c r="AA546" i="30"/>
  <c r="AA543" i="30"/>
  <c r="AB239" i="29"/>
  <c r="Y239" i="29"/>
  <c r="AA239" i="29"/>
  <c r="S28" i="30"/>
  <c r="S33" i="30"/>
  <c r="S46" i="30"/>
  <c r="S36" i="30"/>
  <c r="S41" i="30"/>
  <c r="S31" i="30"/>
  <c r="S44" i="30"/>
  <c r="S49" i="30"/>
  <c r="S29" i="30"/>
  <c r="S34" i="30"/>
  <c r="S39" i="30"/>
  <c r="S37" i="30"/>
  <c r="S42" i="30"/>
  <c r="S22" i="30"/>
  <c r="S32" i="30"/>
  <c r="S45" i="30"/>
  <c r="S50" i="30"/>
  <c r="S30" i="30"/>
  <c r="S35" i="30"/>
  <c r="S40" i="30"/>
  <c r="S55" i="30"/>
  <c r="S68" i="30"/>
  <c r="S73" i="30"/>
  <c r="S38" i="30"/>
  <c r="S53" i="30"/>
  <c r="S58" i="30"/>
  <c r="S63" i="30"/>
  <c r="S76" i="30"/>
  <c r="S81" i="30"/>
  <c r="S47" i="30"/>
  <c r="S61" i="30"/>
  <c r="S66" i="30"/>
  <c r="S71" i="30"/>
  <c r="S48" i="30"/>
  <c r="S51" i="30"/>
  <c r="S56" i="30"/>
  <c r="S69" i="30"/>
  <c r="S74" i="30"/>
  <c r="S79" i="30"/>
  <c r="S54" i="30"/>
  <c r="S59" i="30"/>
  <c r="S64" i="30"/>
  <c r="S77" i="30"/>
  <c r="S82" i="30"/>
  <c r="S62" i="30"/>
  <c r="S67" i="30"/>
  <c r="S72" i="30"/>
  <c r="S52" i="30"/>
  <c r="S57" i="30"/>
  <c r="S70" i="30"/>
  <c r="S75" i="30"/>
  <c r="S80" i="30"/>
  <c r="S43" i="30"/>
  <c r="S65" i="30"/>
  <c r="S78" i="30"/>
  <c r="S60" i="30"/>
  <c r="S187" i="30"/>
  <c r="S192" i="30"/>
  <c r="S205" i="30"/>
  <c r="S210" i="30"/>
  <c r="S223" i="30"/>
  <c r="S228" i="30"/>
  <c r="S233" i="30"/>
  <c r="S190" i="30"/>
  <c r="S195" i="30"/>
  <c r="S200" i="30"/>
  <c r="S213" i="30"/>
  <c r="S218" i="30"/>
  <c r="S231" i="30"/>
  <c r="S236" i="30"/>
  <c r="S185" i="30"/>
  <c r="S198" i="30"/>
  <c r="S203" i="30"/>
  <c r="S208" i="30"/>
  <c r="S221" i="30"/>
  <c r="S226" i="30"/>
  <c r="S188" i="30"/>
  <c r="S193" i="30"/>
  <c r="S206" i="30"/>
  <c r="S211" i="30"/>
  <c r="S216" i="30"/>
  <c r="S229" i="30"/>
  <c r="S234" i="30"/>
  <c r="S178" i="30"/>
  <c r="S191" i="30"/>
  <c r="S196" i="30"/>
  <c r="S201" i="30"/>
  <c r="S214" i="30"/>
  <c r="S219" i="30"/>
  <c r="S224" i="30"/>
  <c r="S237" i="30"/>
  <c r="S186" i="30"/>
  <c r="S199" i="30"/>
  <c r="S204" i="30"/>
  <c r="S209" i="30"/>
  <c r="S222" i="30"/>
  <c r="S227" i="30"/>
  <c r="S232" i="30"/>
  <c r="S189" i="30"/>
  <c r="S194" i="30"/>
  <c r="S207" i="30"/>
  <c r="S212" i="30"/>
  <c r="S217" i="30"/>
  <c r="S230" i="30"/>
  <c r="S235" i="30"/>
  <c r="S220" i="30"/>
  <c r="S184" i="30"/>
  <c r="S215" i="30"/>
  <c r="S197" i="30"/>
  <c r="S225" i="30"/>
  <c r="S238" i="30"/>
  <c r="S202" i="30"/>
  <c r="S484" i="30"/>
  <c r="S491" i="30"/>
  <c r="S500" i="30"/>
  <c r="S482" i="30"/>
  <c r="S489" i="30"/>
  <c r="S498" i="30"/>
  <c r="S487" i="30"/>
  <c r="S496" i="30"/>
  <c r="S485" i="30"/>
  <c r="S494" i="30"/>
  <c r="S501" i="30"/>
  <c r="S483" i="30"/>
  <c r="S492" i="30"/>
  <c r="S499" i="30"/>
  <c r="S490" i="30"/>
  <c r="S497" i="30"/>
  <c r="S488" i="30"/>
  <c r="S495" i="30"/>
  <c r="S486" i="30"/>
  <c r="S493" i="30"/>
  <c r="S532" i="30"/>
  <c r="S544" i="30"/>
  <c r="S528" i="30"/>
  <c r="S540" i="30"/>
  <c r="S531" i="30"/>
  <c r="S542" i="30"/>
  <c r="S530" i="30"/>
  <c r="S539" i="30"/>
  <c r="S545" i="30"/>
  <c r="S538" i="30"/>
  <c r="S547" i="30"/>
  <c r="S543" i="30"/>
  <c r="S546" i="30"/>
  <c r="S529" i="30"/>
  <c r="S533" i="30"/>
  <c r="S535" i="30"/>
  <c r="S541" i="30"/>
  <c r="S534" i="30"/>
  <c r="S536" i="30"/>
  <c r="S537" i="30"/>
  <c r="T38" i="30"/>
  <c r="T43" i="30"/>
  <c r="T48" i="30"/>
  <c r="T28" i="30"/>
  <c r="T33" i="30"/>
  <c r="T46" i="30"/>
  <c r="T36" i="30"/>
  <c r="T41" i="30"/>
  <c r="T31" i="30"/>
  <c r="T44" i="30"/>
  <c r="T49" i="30"/>
  <c r="T29" i="30"/>
  <c r="T34" i="30"/>
  <c r="T39" i="30"/>
  <c r="T37" i="30"/>
  <c r="T42" i="30"/>
  <c r="T47" i="30"/>
  <c r="T22" i="30"/>
  <c r="T32" i="30"/>
  <c r="T45" i="30"/>
  <c r="T60" i="30"/>
  <c r="T65" i="30"/>
  <c r="T78" i="30"/>
  <c r="T50" i="30"/>
  <c r="T55" i="30"/>
  <c r="T68" i="30"/>
  <c r="T73" i="30"/>
  <c r="T40" i="30"/>
  <c r="T53" i="30"/>
  <c r="T58" i="30"/>
  <c r="T63" i="30"/>
  <c r="T76" i="30"/>
  <c r="T81" i="30"/>
  <c r="T61" i="30"/>
  <c r="T66" i="30"/>
  <c r="T71" i="30"/>
  <c r="T35" i="30"/>
  <c r="T51" i="30"/>
  <c r="T56" i="30"/>
  <c r="T69" i="30"/>
  <c r="T74" i="30"/>
  <c r="T79" i="30"/>
  <c r="T54" i="30"/>
  <c r="T59" i="30"/>
  <c r="T64" i="30"/>
  <c r="T77" i="30"/>
  <c r="T82" i="30"/>
  <c r="T30" i="30"/>
  <c r="T62" i="30"/>
  <c r="T67" i="30"/>
  <c r="T72" i="30"/>
  <c r="T52" i="30"/>
  <c r="T80" i="30"/>
  <c r="T75" i="30"/>
  <c r="T57" i="30"/>
  <c r="T70" i="30"/>
  <c r="T184" i="30"/>
  <c r="T197" i="30"/>
  <c r="T202" i="30"/>
  <c r="T215" i="30"/>
  <c r="T220" i="30"/>
  <c r="T225" i="30"/>
  <c r="T238" i="30"/>
  <c r="T187" i="30"/>
  <c r="T192" i="30"/>
  <c r="T205" i="30"/>
  <c r="T210" i="30"/>
  <c r="T223" i="30"/>
  <c r="T228" i="30"/>
  <c r="T233" i="30"/>
  <c r="T190" i="30"/>
  <c r="T195" i="30"/>
  <c r="T200" i="30"/>
  <c r="T213" i="30"/>
  <c r="T218" i="30"/>
  <c r="T231" i="30"/>
  <c r="T236" i="30"/>
  <c r="T185" i="30"/>
  <c r="T198" i="30"/>
  <c r="T203" i="30"/>
  <c r="T208" i="30"/>
  <c r="T221" i="30"/>
  <c r="T226" i="30"/>
  <c r="T188" i="30"/>
  <c r="T193" i="30"/>
  <c r="T206" i="30"/>
  <c r="T211" i="30"/>
  <c r="T216" i="30"/>
  <c r="T229" i="30"/>
  <c r="T234" i="30"/>
  <c r="T178" i="30"/>
  <c r="T191" i="30"/>
  <c r="T196" i="30"/>
  <c r="T201" i="30"/>
  <c r="T214" i="30"/>
  <c r="T219" i="30"/>
  <c r="T224" i="30"/>
  <c r="T237" i="30"/>
  <c r="T186" i="30"/>
  <c r="T199" i="30"/>
  <c r="T204" i="30"/>
  <c r="T209" i="30"/>
  <c r="T222" i="30"/>
  <c r="T227" i="30"/>
  <c r="T232" i="30"/>
  <c r="T189" i="30"/>
  <c r="T235" i="30"/>
  <c r="T217" i="30"/>
  <c r="T230" i="30"/>
  <c r="T212" i="30"/>
  <c r="T194" i="30"/>
  <c r="T207" i="30"/>
  <c r="T486" i="30"/>
  <c r="T493" i="30"/>
  <c r="T484" i="30"/>
  <c r="T491" i="30"/>
  <c r="T500" i="30"/>
  <c r="T482" i="30"/>
  <c r="T489" i="30"/>
  <c r="T498" i="30"/>
  <c r="T487" i="30"/>
  <c r="T496" i="30"/>
  <c r="T485" i="30"/>
  <c r="T494" i="30"/>
  <c r="T501" i="30"/>
  <c r="T483" i="30"/>
  <c r="T492" i="30"/>
  <c r="T499" i="30"/>
  <c r="T490" i="30"/>
  <c r="T497" i="30"/>
  <c r="T488" i="30"/>
  <c r="T495" i="30"/>
  <c r="T537" i="30"/>
  <c r="T541" i="30"/>
  <c r="T545" i="30"/>
  <c r="T532" i="30"/>
  <c r="T536" i="30"/>
  <c r="T539" i="30"/>
  <c r="T535" i="30"/>
  <c r="T544" i="30"/>
  <c r="T542" i="30"/>
  <c r="T543" i="30"/>
  <c r="T531" i="30"/>
  <c r="T530" i="30"/>
  <c r="T547" i="30"/>
  <c r="T538" i="30"/>
  <c r="T540" i="30"/>
  <c r="T546" i="30"/>
  <c r="T534" i="30"/>
  <c r="T529" i="30"/>
  <c r="T533" i="30"/>
  <c r="T528" i="30"/>
  <c r="Y161" i="29"/>
  <c r="Y83" i="29"/>
  <c r="P29" i="30"/>
  <c r="P34" i="30"/>
  <c r="P39" i="30"/>
  <c r="P37" i="30"/>
  <c r="P42" i="30"/>
  <c r="P47" i="30"/>
  <c r="P22" i="30"/>
  <c r="P32" i="30"/>
  <c r="P45" i="30"/>
  <c r="P30" i="30"/>
  <c r="P35" i="30"/>
  <c r="P40" i="30"/>
  <c r="P38" i="30"/>
  <c r="P43" i="30"/>
  <c r="P28" i="30"/>
  <c r="P33" i="30"/>
  <c r="P46" i="30"/>
  <c r="P36" i="30"/>
  <c r="P41" i="30"/>
  <c r="P51" i="30"/>
  <c r="P56" i="30"/>
  <c r="P69" i="30"/>
  <c r="P74" i="30"/>
  <c r="P79" i="30"/>
  <c r="P54" i="30"/>
  <c r="P59" i="30"/>
  <c r="P64" i="30"/>
  <c r="P77" i="30"/>
  <c r="P82" i="30"/>
  <c r="P31" i="30"/>
  <c r="P48" i="30"/>
  <c r="P62" i="30"/>
  <c r="P67" i="30"/>
  <c r="P72" i="30"/>
  <c r="P44" i="30"/>
  <c r="P49" i="30"/>
  <c r="P52" i="30"/>
  <c r="P57" i="30"/>
  <c r="P70" i="30"/>
  <c r="P75" i="30"/>
  <c r="P80" i="30"/>
  <c r="P60" i="30"/>
  <c r="P65" i="30"/>
  <c r="P78" i="30"/>
  <c r="P55" i="30"/>
  <c r="P68" i="30"/>
  <c r="P73" i="30"/>
  <c r="P50" i="30"/>
  <c r="P53" i="30"/>
  <c r="P58" i="30"/>
  <c r="P63" i="30"/>
  <c r="P76" i="30"/>
  <c r="P81" i="30"/>
  <c r="P71" i="30"/>
  <c r="P66" i="30"/>
  <c r="P61" i="30"/>
  <c r="P188" i="30"/>
  <c r="P193" i="30"/>
  <c r="P206" i="30"/>
  <c r="P211" i="30"/>
  <c r="P216" i="30"/>
  <c r="P229" i="30"/>
  <c r="P234" i="30"/>
  <c r="P178" i="30"/>
  <c r="P191" i="30"/>
  <c r="P196" i="30"/>
  <c r="P201" i="30"/>
  <c r="P214" i="30"/>
  <c r="P219" i="30"/>
  <c r="P224" i="30"/>
  <c r="P237" i="30"/>
  <c r="P186" i="30"/>
  <c r="P199" i="30"/>
  <c r="P204" i="30"/>
  <c r="P209" i="30"/>
  <c r="P222" i="30"/>
  <c r="P227" i="30"/>
  <c r="P232" i="30"/>
  <c r="P189" i="30"/>
  <c r="P194" i="30"/>
  <c r="P207" i="30"/>
  <c r="P212" i="30"/>
  <c r="P217" i="30"/>
  <c r="P230" i="30"/>
  <c r="P235" i="30"/>
  <c r="P184" i="30"/>
  <c r="P197" i="30"/>
  <c r="P202" i="30"/>
  <c r="P215" i="30"/>
  <c r="P220" i="30"/>
  <c r="P225" i="30"/>
  <c r="P238" i="30"/>
  <c r="P187" i="30"/>
  <c r="P192" i="30"/>
  <c r="P205" i="30"/>
  <c r="P210" i="30"/>
  <c r="P223" i="30"/>
  <c r="P228" i="30"/>
  <c r="P233" i="30"/>
  <c r="P190" i="30"/>
  <c r="P195" i="30"/>
  <c r="P200" i="30"/>
  <c r="P213" i="30"/>
  <c r="P218" i="30"/>
  <c r="P231" i="30"/>
  <c r="P236" i="30"/>
  <c r="P226" i="30"/>
  <c r="P208" i="30"/>
  <c r="P221" i="30"/>
  <c r="P203" i="30"/>
  <c r="P185" i="30"/>
  <c r="P198" i="30"/>
  <c r="P485" i="30"/>
  <c r="P494" i="30"/>
  <c r="P501" i="30"/>
  <c r="P483" i="30"/>
  <c r="P492" i="30"/>
  <c r="P499" i="30"/>
  <c r="P490" i="30"/>
  <c r="P497" i="30"/>
  <c r="P488" i="30"/>
  <c r="P495" i="30"/>
  <c r="P486" i="30"/>
  <c r="P493" i="30"/>
  <c r="P484" i="30"/>
  <c r="P491" i="30"/>
  <c r="P500" i="30"/>
  <c r="P482" i="30"/>
  <c r="P489" i="30"/>
  <c r="P498" i="30"/>
  <c r="P487" i="30"/>
  <c r="P496" i="30"/>
  <c r="P534" i="30"/>
  <c r="P543" i="30"/>
  <c r="P542" i="30"/>
  <c r="P535" i="30"/>
  <c r="P529" i="30"/>
  <c r="P546" i="30"/>
  <c r="P533" i="30"/>
  <c r="P537" i="30"/>
  <c r="P538" i="30"/>
  <c r="P541" i="30"/>
  <c r="P545" i="30"/>
  <c r="P528" i="30"/>
  <c r="P531" i="30"/>
  <c r="P532" i="30"/>
  <c r="P536" i="30"/>
  <c r="P539" i="30"/>
  <c r="P540" i="30"/>
  <c r="P544" i="30"/>
  <c r="P547" i="30"/>
  <c r="P530" i="30"/>
  <c r="R36" i="30"/>
  <c r="R41" i="30"/>
  <c r="R31" i="30"/>
  <c r="R44" i="30"/>
  <c r="R49" i="30"/>
  <c r="R29" i="30"/>
  <c r="R34" i="30"/>
  <c r="R39" i="30"/>
  <c r="R37" i="30"/>
  <c r="R42" i="30"/>
  <c r="R47" i="30"/>
  <c r="R22" i="30"/>
  <c r="R32" i="30"/>
  <c r="R30" i="30"/>
  <c r="R35" i="30"/>
  <c r="R40" i="30"/>
  <c r="R38" i="30"/>
  <c r="R43" i="30"/>
  <c r="R48" i="30"/>
  <c r="R45" i="30"/>
  <c r="R50" i="30"/>
  <c r="R53" i="30"/>
  <c r="R58" i="30"/>
  <c r="R63" i="30"/>
  <c r="R76" i="30"/>
  <c r="R81" i="30"/>
  <c r="R46" i="30"/>
  <c r="R61" i="30"/>
  <c r="R66" i="30"/>
  <c r="R71" i="30"/>
  <c r="R51" i="30"/>
  <c r="R56" i="30"/>
  <c r="R69" i="30"/>
  <c r="R74" i="30"/>
  <c r="R79" i="30"/>
  <c r="R33" i="30"/>
  <c r="R54" i="30"/>
  <c r="R59" i="30"/>
  <c r="R64" i="30"/>
  <c r="R77" i="30"/>
  <c r="R82" i="30"/>
  <c r="R62" i="30"/>
  <c r="R67" i="30"/>
  <c r="R72" i="30"/>
  <c r="R28" i="30"/>
  <c r="R52" i="30"/>
  <c r="R57" i="30"/>
  <c r="R70" i="30"/>
  <c r="R75" i="30"/>
  <c r="R80" i="30"/>
  <c r="R60" i="30"/>
  <c r="R65" i="30"/>
  <c r="R78" i="30"/>
  <c r="R73" i="30"/>
  <c r="R55" i="30"/>
  <c r="R68" i="30"/>
  <c r="R190" i="30"/>
  <c r="R195" i="30"/>
  <c r="R200" i="30"/>
  <c r="R213" i="30"/>
  <c r="R218" i="30"/>
  <c r="R231" i="30"/>
  <c r="R236" i="30"/>
  <c r="R185" i="30"/>
  <c r="R198" i="30"/>
  <c r="R203" i="30"/>
  <c r="R208" i="30"/>
  <c r="R221" i="30"/>
  <c r="R226" i="30"/>
  <c r="R188" i="30"/>
  <c r="R193" i="30"/>
  <c r="R206" i="30"/>
  <c r="R211" i="30"/>
  <c r="R216" i="30"/>
  <c r="R229" i="30"/>
  <c r="R234" i="30"/>
  <c r="R178" i="30"/>
  <c r="R191" i="30"/>
  <c r="R196" i="30"/>
  <c r="R201" i="30"/>
  <c r="R214" i="30"/>
  <c r="R219" i="30"/>
  <c r="R224" i="30"/>
  <c r="R237" i="30"/>
  <c r="R186" i="30"/>
  <c r="R199" i="30"/>
  <c r="R204" i="30"/>
  <c r="R209" i="30"/>
  <c r="R222" i="30"/>
  <c r="R227" i="30"/>
  <c r="R232" i="30"/>
  <c r="R189" i="30"/>
  <c r="R194" i="30"/>
  <c r="R207" i="30"/>
  <c r="R212" i="30"/>
  <c r="R217" i="30"/>
  <c r="R230" i="30"/>
  <c r="R235" i="30"/>
  <c r="R184" i="30"/>
  <c r="R197" i="30"/>
  <c r="R202" i="30"/>
  <c r="R215" i="30"/>
  <c r="R220" i="30"/>
  <c r="R225" i="30"/>
  <c r="R238" i="30"/>
  <c r="R228" i="30"/>
  <c r="R210" i="30"/>
  <c r="R192" i="30"/>
  <c r="R223" i="30"/>
  <c r="R205" i="30"/>
  <c r="R187" i="30"/>
  <c r="R233" i="30"/>
  <c r="R482" i="30"/>
  <c r="R489" i="30"/>
  <c r="R498" i="30"/>
  <c r="R487" i="30"/>
  <c r="R496" i="30"/>
  <c r="R485" i="30"/>
  <c r="R494" i="30"/>
  <c r="R501" i="30"/>
  <c r="R483" i="30"/>
  <c r="R492" i="30"/>
  <c r="R499" i="30"/>
  <c r="R490" i="30"/>
  <c r="R497" i="30"/>
  <c r="R488" i="30"/>
  <c r="R495" i="30"/>
  <c r="R486" i="30"/>
  <c r="R493" i="30"/>
  <c r="R484" i="30"/>
  <c r="R491" i="30"/>
  <c r="R500" i="30"/>
  <c r="R536" i="30"/>
  <c r="R537" i="30"/>
  <c r="R544" i="30"/>
  <c r="R540" i="30"/>
  <c r="R531" i="30"/>
  <c r="R528" i="30"/>
  <c r="R539" i="30"/>
  <c r="R532" i="30"/>
  <c r="R535" i="30"/>
  <c r="R547" i="30"/>
  <c r="R543" i="30"/>
  <c r="R530" i="30"/>
  <c r="R534" i="30"/>
  <c r="R529" i="30"/>
  <c r="R533" i="30"/>
  <c r="R542" i="30"/>
  <c r="R538" i="30"/>
  <c r="R541" i="30"/>
  <c r="R546" i="30"/>
  <c r="R545" i="30"/>
  <c r="K28" i="30"/>
  <c r="K33" i="30"/>
  <c r="K46" i="30"/>
  <c r="K36" i="30"/>
  <c r="K41" i="30"/>
  <c r="K31" i="30"/>
  <c r="K44" i="30"/>
  <c r="K49" i="30"/>
  <c r="K29" i="30"/>
  <c r="K34" i="30"/>
  <c r="K39" i="30"/>
  <c r="K37" i="30"/>
  <c r="K42" i="30"/>
  <c r="K22" i="30"/>
  <c r="K32" i="30"/>
  <c r="K45" i="30"/>
  <c r="K50" i="30"/>
  <c r="K30" i="30"/>
  <c r="K35" i="30"/>
  <c r="K40" i="30"/>
  <c r="K38" i="30"/>
  <c r="K47" i="30"/>
  <c r="K55" i="30"/>
  <c r="K68" i="30"/>
  <c r="K73" i="30"/>
  <c r="K48" i="30"/>
  <c r="K53" i="30"/>
  <c r="K58" i="30"/>
  <c r="K63" i="30"/>
  <c r="K76" i="30"/>
  <c r="K81" i="30"/>
  <c r="K61" i="30"/>
  <c r="K66" i="30"/>
  <c r="K71" i="30"/>
  <c r="K51" i="30"/>
  <c r="K56" i="30"/>
  <c r="K69" i="30"/>
  <c r="K74" i="30"/>
  <c r="K79" i="30"/>
  <c r="K54" i="30"/>
  <c r="K59" i="30"/>
  <c r="K64" i="30"/>
  <c r="K77" i="30"/>
  <c r="K82" i="30"/>
  <c r="K62" i="30"/>
  <c r="K67" i="30"/>
  <c r="K72" i="30"/>
  <c r="K43" i="30"/>
  <c r="K52" i="30"/>
  <c r="K57" i="30"/>
  <c r="K70" i="30"/>
  <c r="K75" i="30"/>
  <c r="K80" i="30"/>
  <c r="K65" i="30"/>
  <c r="K78" i="30"/>
  <c r="K60" i="30"/>
  <c r="K187" i="30"/>
  <c r="K192" i="30"/>
  <c r="K205" i="30"/>
  <c r="K210" i="30"/>
  <c r="K223" i="30"/>
  <c r="K228" i="30"/>
  <c r="K233" i="30"/>
  <c r="K190" i="30"/>
  <c r="K195" i="30"/>
  <c r="K200" i="30"/>
  <c r="K213" i="30"/>
  <c r="K218" i="30"/>
  <c r="K231" i="30"/>
  <c r="K236" i="30"/>
  <c r="K185" i="30"/>
  <c r="K198" i="30"/>
  <c r="K203" i="30"/>
  <c r="K208" i="30"/>
  <c r="K221" i="30"/>
  <c r="K226" i="30"/>
  <c r="K188" i="30"/>
  <c r="K193" i="30"/>
  <c r="K206" i="30"/>
  <c r="K211" i="30"/>
  <c r="K216" i="30"/>
  <c r="K229" i="30"/>
  <c r="K234" i="30"/>
  <c r="K178" i="30"/>
  <c r="K191" i="30"/>
  <c r="K196" i="30"/>
  <c r="K201" i="30"/>
  <c r="K214" i="30"/>
  <c r="K219" i="30"/>
  <c r="K224" i="30"/>
  <c r="K237" i="30"/>
  <c r="K186" i="30"/>
  <c r="K199" i="30"/>
  <c r="K204" i="30"/>
  <c r="K209" i="30"/>
  <c r="K222" i="30"/>
  <c r="K227" i="30"/>
  <c r="K232" i="30"/>
  <c r="K189" i="30"/>
  <c r="K194" i="30"/>
  <c r="K207" i="30"/>
  <c r="K212" i="30"/>
  <c r="K217" i="30"/>
  <c r="K230" i="30"/>
  <c r="K235" i="30"/>
  <c r="K202" i="30"/>
  <c r="K197" i="30"/>
  <c r="K225" i="30"/>
  <c r="K238" i="30"/>
  <c r="K220" i="30"/>
  <c r="K215" i="30"/>
  <c r="K184" i="30"/>
  <c r="K484" i="30"/>
  <c r="K491" i="30"/>
  <c r="K500" i="30"/>
  <c r="K482" i="30"/>
  <c r="K489" i="30"/>
  <c r="K498" i="30"/>
  <c r="K487" i="30"/>
  <c r="K496" i="30"/>
  <c r="K485" i="30"/>
  <c r="K494" i="30"/>
  <c r="K501" i="30"/>
  <c r="K483" i="30"/>
  <c r="K492" i="30"/>
  <c r="K499" i="30"/>
  <c r="K490" i="30"/>
  <c r="K497" i="30"/>
  <c r="K488" i="30"/>
  <c r="K495" i="30"/>
  <c r="K486" i="30"/>
  <c r="K493" i="30"/>
  <c r="K536" i="30"/>
  <c r="K528" i="30"/>
  <c r="K532" i="30"/>
  <c r="K544" i="30"/>
  <c r="K529" i="30"/>
  <c r="K540" i="30"/>
  <c r="K531" i="30"/>
  <c r="K534" i="30"/>
  <c r="K530" i="30"/>
  <c r="K539" i="30"/>
  <c r="K537" i="30"/>
  <c r="K538" i="30"/>
  <c r="K547" i="30"/>
  <c r="K535" i="30"/>
  <c r="K546" i="30"/>
  <c r="K542" i="30"/>
  <c r="K533" i="30"/>
  <c r="K543" i="30"/>
  <c r="K541" i="30"/>
  <c r="K545" i="30"/>
  <c r="AB161" i="29"/>
  <c r="AB83" i="29"/>
  <c r="X10" i="30"/>
  <c r="X29" i="30"/>
  <c r="X34" i="30"/>
  <c r="X39" i="30"/>
  <c r="X13" i="30"/>
  <c r="X18" i="30"/>
  <c r="X24" i="30"/>
  <c r="X37" i="30"/>
  <c r="X42" i="30"/>
  <c r="X47" i="30"/>
  <c r="X22" i="30"/>
  <c r="X27" i="30"/>
  <c r="X32" i="30"/>
  <c r="X45" i="30"/>
  <c r="X11" i="30"/>
  <c r="X16" i="30"/>
  <c r="X30" i="30"/>
  <c r="X35" i="30"/>
  <c r="X40" i="30"/>
  <c r="X14" i="30"/>
  <c r="X20" i="30"/>
  <c r="X25" i="30"/>
  <c r="X38" i="30"/>
  <c r="X43" i="30"/>
  <c r="X28" i="30"/>
  <c r="X33" i="30"/>
  <c r="X46" i="30"/>
  <c r="X12" i="30"/>
  <c r="X17" i="30"/>
  <c r="X23" i="30"/>
  <c r="X36" i="30"/>
  <c r="X41" i="30"/>
  <c r="X51" i="30"/>
  <c r="X56" i="30"/>
  <c r="X69" i="30"/>
  <c r="X74" i="30"/>
  <c r="X79" i="30"/>
  <c r="X15" i="30"/>
  <c r="X54" i="30"/>
  <c r="X59" i="30"/>
  <c r="X64" i="30"/>
  <c r="X77" i="30"/>
  <c r="X82" i="30"/>
  <c r="X62" i="30"/>
  <c r="X67" i="30"/>
  <c r="X72" i="30"/>
  <c r="X31" i="30"/>
  <c r="X52" i="30"/>
  <c r="X57" i="30"/>
  <c r="X70" i="30"/>
  <c r="X75" i="30"/>
  <c r="X80" i="30"/>
  <c r="X44" i="30"/>
  <c r="X48" i="30"/>
  <c r="X60" i="30"/>
  <c r="X65" i="30"/>
  <c r="X78" i="30"/>
  <c r="X26" i="30"/>
  <c r="X49" i="30"/>
  <c r="X50" i="30"/>
  <c r="X55" i="30"/>
  <c r="X68" i="30"/>
  <c r="X73" i="30"/>
  <c r="X53" i="30"/>
  <c r="X58" i="30"/>
  <c r="X63" i="30"/>
  <c r="X76" i="30"/>
  <c r="X81" i="30"/>
  <c r="X61" i="30"/>
  <c r="X21" i="30"/>
  <c r="X71" i="30"/>
  <c r="X66" i="30"/>
  <c r="X167" i="30"/>
  <c r="X174" i="30"/>
  <c r="X183" i="30"/>
  <c r="X188" i="30"/>
  <c r="X193" i="30"/>
  <c r="X206" i="30"/>
  <c r="X211" i="30"/>
  <c r="X216" i="30"/>
  <c r="X229" i="30"/>
  <c r="X234" i="30"/>
  <c r="X170" i="30"/>
  <c r="X178" i="30"/>
  <c r="X191" i="30"/>
  <c r="X196" i="30"/>
  <c r="X201" i="30"/>
  <c r="X214" i="30"/>
  <c r="X219" i="30"/>
  <c r="X224" i="30"/>
  <c r="X237" i="30"/>
  <c r="X166" i="30"/>
  <c r="X173" i="30"/>
  <c r="X181" i="30"/>
  <c r="X186" i="30"/>
  <c r="X199" i="30"/>
  <c r="X204" i="30"/>
  <c r="X209" i="30"/>
  <c r="X222" i="30"/>
  <c r="X227" i="30"/>
  <c r="X232" i="30"/>
  <c r="X164" i="30"/>
  <c r="X168" i="30"/>
  <c r="X176" i="30"/>
  <c r="X189" i="30"/>
  <c r="X194" i="30"/>
  <c r="X207" i="30"/>
  <c r="X212" i="30"/>
  <c r="X217" i="30"/>
  <c r="X230" i="30"/>
  <c r="X235" i="30"/>
  <c r="X171" i="30"/>
  <c r="X179" i="30"/>
  <c r="X184" i="30"/>
  <c r="X197" i="30"/>
  <c r="X202" i="30"/>
  <c r="X215" i="30"/>
  <c r="X220" i="30"/>
  <c r="X225" i="30"/>
  <c r="X238" i="30"/>
  <c r="X175" i="30"/>
  <c r="X182" i="30"/>
  <c r="X187" i="30"/>
  <c r="X192" i="30"/>
  <c r="X205" i="30"/>
  <c r="X210" i="30"/>
  <c r="X223" i="30"/>
  <c r="X228" i="30"/>
  <c r="X233" i="30"/>
  <c r="X165" i="30"/>
  <c r="X169" i="30"/>
  <c r="X177" i="30"/>
  <c r="X190" i="30"/>
  <c r="X195" i="30"/>
  <c r="X200" i="30"/>
  <c r="X213" i="30"/>
  <c r="X218" i="30"/>
  <c r="X231" i="30"/>
  <c r="X236" i="30"/>
  <c r="X198" i="30"/>
  <c r="X226" i="30"/>
  <c r="X208" i="30"/>
  <c r="X221" i="30"/>
  <c r="X172" i="30"/>
  <c r="X203" i="30"/>
  <c r="X185" i="30"/>
  <c r="X180" i="30"/>
  <c r="X485" i="30"/>
  <c r="X494" i="30"/>
  <c r="X501" i="30"/>
  <c r="X483" i="30"/>
  <c r="X492" i="30"/>
  <c r="X499" i="30"/>
  <c r="X490" i="30"/>
  <c r="X497" i="30"/>
  <c r="X488" i="30"/>
  <c r="X495" i="30"/>
  <c r="X486" i="30"/>
  <c r="X493" i="30"/>
  <c r="X484" i="30"/>
  <c r="X491" i="30"/>
  <c r="X500" i="30"/>
  <c r="X482" i="30"/>
  <c r="X489" i="30"/>
  <c r="X498" i="30"/>
  <c r="X487" i="30"/>
  <c r="X496" i="30"/>
  <c r="X533" i="30"/>
  <c r="X537" i="30"/>
  <c r="X546" i="30"/>
  <c r="X541" i="30"/>
  <c r="X545" i="30"/>
  <c r="X536" i="30"/>
  <c r="X531" i="30"/>
  <c r="X532" i="30"/>
  <c r="X528" i="30"/>
  <c r="X539" i="30"/>
  <c r="X540" i="30"/>
  <c r="X543" i="30"/>
  <c r="X547" i="30"/>
  <c r="X544" i="30"/>
  <c r="X534" i="30"/>
  <c r="X535" i="30"/>
  <c r="X542" i="30"/>
  <c r="X538" i="30"/>
  <c r="X529" i="30"/>
  <c r="X530" i="30"/>
  <c r="O37" i="30"/>
  <c r="O42" i="30"/>
  <c r="O47" i="30"/>
  <c r="O22" i="30"/>
  <c r="O32" i="30"/>
  <c r="O45" i="30"/>
  <c r="O30" i="30"/>
  <c r="O35" i="30"/>
  <c r="O40" i="30"/>
  <c r="O38" i="30"/>
  <c r="O43" i="30"/>
  <c r="O48" i="30"/>
  <c r="O28" i="30"/>
  <c r="O33" i="30"/>
  <c r="O36" i="30"/>
  <c r="O41" i="30"/>
  <c r="O31" i="30"/>
  <c r="O44" i="30"/>
  <c r="O49" i="30"/>
  <c r="O46" i="30"/>
  <c r="O54" i="30"/>
  <c r="O59" i="30"/>
  <c r="O64" i="30"/>
  <c r="O77" i="30"/>
  <c r="O82" i="30"/>
  <c r="O29" i="30"/>
  <c r="O62" i="30"/>
  <c r="O67" i="30"/>
  <c r="O72" i="30"/>
  <c r="O52" i="30"/>
  <c r="O57" i="30"/>
  <c r="O70" i="30"/>
  <c r="O75" i="30"/>
  <c r="O80" i="30"/>
  <c r="O60" i="30"/>
  <c r="O65" i="30"/>
  <c r="O78" i="30"/>
  <c r="O55" i="30"/>
  <c r="O68" i="30"/>
  <c r="O73" i="30"/>
  <c r="O39" i="30"/>
  <c r="O50" i="30"/>
  <c r="O53" i="30"/>
  <c r="O58" i="30"/>
  <c r="O63" i="30"/>
  <c r="O76" i="30"/>
  <c r="O81" i="30"/>
  <c r="O61" i="30"/>
  <c r="O66" i="30"/>
  <c r="O71" i="30"/>
  <c r="O74" i="30"/>
  <c r="O56" i="30"/>
  <c r="O69" i="30"/>
  <c r="O34" i="30"/>
  <c r="O51" i="30"/>
  <c r="O79" i="30"/>
  <c r="O178" i="30"/>
  <c r="O191" i="30"/>
  <c r="O196" i="30"/>
  <c r="O201" i="30"/>
  <c r="O214" i="30"/>
  <c r="O219" i="30"/>
  <c r="O224" i="30"/>
  <c r="O237" i="30"/>
  <c r="O186" i="30"/>
  <c r="O199" i="30"/>
  <c r="O204" i="30"/>
  <c r="O209" i="30"/>
  <c r="O222" i="30"/>
  <c r="O227" i="30"/>
  <c r="O232" i="30"/>
  <c r="O189" i="30"/>
  <c r="O194" i="30"/>
  <c r="O207" i="30"/>
  <c r="O212" i="30"/>
  <c r="O217" i="30"/>
  <c r="O230" i="30"/>
  <c r="O235" i="30"/>
  <c r="O184" i="30"/>
  <c r="O197" i="30"/>
  <c r="O202" i="30"/>
  <c r="O215" i="30"/>
  <c r="O220" i="30"/>
  <c r="O225" i="30"/>
  <c r="O238" i="30"/>
  <c r="O187" i="30"/>
  <c r="O192" i="30"/>
  <c r="O205" i="30"/>
  <c r="O210" i="30"/>
  <c r="O223" i="30"/>
  <c r="O228" i="30"/>
  <c r="O233" i="30"/>
  <c r="O190" i="30"/>
  <c r="O195" i="30"/>
  <c r="O200" i="30"/>
  <c r="O213" i="30"/>
  <c r="O218" i="30"/>
  <c r="O231" i="30"/>
  <c r="O236" i="30"/>
  <c r="O185" i="30"/>
  <c r="O198" i="30"/>
  <c r="O203" i="30"/>
  <c r="O208" i="30"/>
  <c r="O221" i="30"/>
  <c r="O226" i="30"/>
  <c r="O211" i="30"/>
  <c r="O206" i="30"/>
  <c r="O188" i="30"/>
  <c r="O234" i="30"/>
  <c r="O216" i="30"/>
  <c r="O229" i="30"/>
  <c r="O193" i="30"/>
  <c r="O483" i="30"/>
  <c r="O492" i="30"/>
  <c r="O499" i="30"/>
  <c r="O490" i="30"/>
  <c r="O497" i="30"/>
  <c r="O488" i="30"/>
  <c r="O495" i="30"/>
  <c r="O486" i="30"/>
  <c r="O493" i="30"/>
  <c r="O484" i="30"/>
  <c r="O491" i="30"/>
  <c r="O500" i="30"/>
  <c r="O482" i="30"/>
  <c r="O489" i="30"/>
  <c r="O498" i="30"/>
  <c r="O487" i="30"/>
  <c r="O496" i="30"/>
  <c r="O485" i="30"/>
  <c r="O494" i="30"/>
  <c r="O501" i="30"/>
  <c r="O545" i="30"/>
  <c r="O533" i="30"/>
  <c r="O532" i="30"/>
  <c r="O528" i="30"/>
  <c r="O536" i="30"/>
  <c r="O540" i="30"/>
  <c r="O530" i="30"/>
  <c r="O531" i="30"/>
  <c r="O535" i="30"/>
  <c r="O546" i="30"/>
  <c r="O534" i="30"/>
  <c r="O543" i="30"/>
  <c r="O538" i="30"/>
  <c r="O542" i="30"/>
  <c r="O547" i="30"/>
  <c r="O541" i="30"/>
  <c r="O529" i="30"/>
  <c r="O539" i="30"/>
  <c r="O537" i="30"/>
  <c r="O544" i="30"/>
  <c r="L38" i="30"/>
  <c r="L43" i="30"/>
  <c r="L48" i="30"/>
  <c r="L28" i="30"/>
  <c r="L33" i="30"/>
  <c r="L46" i="30"/>
  <c r="L36" i="30"/>
  <c r="L41" i="30"/>
  <c r="L31" i="30"/>
  <c r="L44" i="30"/>
  <c r="L49" i="30"/>
  <c r="L29" i="30"/>
  <c r="L34" i="30"/>
  <c r="L39" i="30"/>
  <c r="L37" i="30"/>
  <c r="L42" i="30"/>
  <c r="L47" i="30"/>
  <c r="L22" i="30"/>
  <c r="L32" i="30"/>
  <c r="L45" i="30"/>
  <c r="L50" i="30"/>
  <c r="L60" i="30"/>
  <c r="L65" i="30"/>
  <c r="L78" i="30"/>
  <c r="L40" i="30"/>
  <c r="L55" i="30"/>
  <c r="L68" i="30"/>
  <c r="L73" i="30"/>
  <c r="L53" i="30"/>
  <c r="L58" i="30"/>
  <c r="L63" i="30"/>
  <c r="L76" i="30"/>
  <c r="L81" i="30"/>
  <c r="L35" i="30"/>
  <c r="L61" i="30"/>
  <c r="L66" i="30"/>
  <c r="L71" i="30"/>
  <c r="L51" i="30"/>
  <c r="L56" i="30"/>
  <c r="L69" i="30"/>
  <c r="L74" i="30"/>
  <c r="L79" i="30"/>
  <c r="L30" i="30"/>
  <c r="L54" i="30"/>
  <c r="L59" i="30"/>
  <c r="L64" i="30"/>
  <c r="L77" i="30"/>
  <c r="L82" i="30"/>
  <c r="L62" i="30"/>
  <c r="L67" i="30"/>
  <c r="L72" i="30"/>
  <c r="L80" i="30"/>
  <c r="L75" i="30"/>
  <c r="L57" i="30"/>
  <c r="L70" i="30"/>
  <c r="L52" i="30"/>
  <c r="L184" i="30"/>
  <c r="L197" i="30"/>
  <c r="L202" i="30"/>
  <c r="L215" i="30"/>
  <c r="L220" i="30"/>
  <c r="L225" i="30"/>
  <c r="L238" i="30"/>
  <c r="L187" i="30"/>
  <c r="L192" i="30"/>
  <c r="L205" i="30"/>
  <c r="L210" i="30"/>
  <c r="L223" i="30"/>
  <c r="L228" i="30"/>
  <c r="L233" i="30"/>
  <c r="L190" i="30"/>
  <c r="L195" i="30"/>
  <c r="L200" i="30"/>
  <c r="L213" i="30"/>
  <c r="L218" i="30"/>
  <c r="L231" i="30"/>
  <c r="L236" i="30"/>
  <c r="L185" i="30"/>
  <c r="L198" i="30"/>
  <c r="L203" i="30"/>
  <c r="L208" i="30"/>
  <c r="L221" i="30"/>
  <c r="L226" i="30"/>
  <c r="L188" i="30"/>
  <c r="L193" i="30"/>
  <c r="L206" i="30"/>
  <c r="L211" i="30"/>
  <c r="L216" i="30"/>
  <c r="L229" i="30"/>
  <c r="L234" i="30"/>
  <c r="L178" i="30"/>
  <c r="L191" i="30"/>
  <c r="L196" i="30"/>
  <c r="L201" i="30"/>
  <c r="L214" i="30"/>
  <c r="L219" i="30"/>
  <c r="L224" i="30"/>
  <c r="L237" i="30"/>
  <c r="L186" i="30"/>
  <c r="L199" i="30"/>
  <c r="L204" i="30"/>
  <c r="L209" i="30"/>
  <c r="L222" i="30"/>
  <c r="L227" i="30"/>
  <c r="L232" i="30"/>
  <c r="L217" i="30"/>
  <c r="L230" i="30"/>
  <c r="L212" i="30"/>
  <c r="L194" i="30"/>
  <c r="L207" i="30"/>
  <c r="L189" i="30"/>
  <c r="L235" i="30"/>
  <c r="L486" i="30"/>
  <c r="L493" i="30"/>
  <c r="L484" i="30"/>
  <c r="L491" i="30"/>
  <c r="L500" i="30"/>
  <c r="L482" i="30"/>
  <c r="L489" i="30"/>
  <c r="L498" i="30"/>
  <c r="L487" i="30"/>
  <c r="L496" i="30"/>
  <c r="L485" i="30"/>
  <c r="L494" i="30"/>
  <c r="L501" i="30"/>
  <c r="L483" i="30"/>
  <c r="L492" i="30"/>
  <c r="L499" i="30"/>
  <c r="L490" i="30"/>
  <c r="L497" i="30"/>
  <c r="L488" i="30"/>
  <c r="L495" i="30"/>
  <c r="L543" i="30"/>
  <c r="L534" i="30"/>
  <c r="L530" i="30"/>
  <c r="L539" i="30"/>
  <c r="L538" i="30"/>
  <c r="L542" i="30"/>
  <c r="L546" i="30"/>
  <c r="L545" i="30"/>
  <c r="L529" i="30"/>
  <c r="L533" i="30"/>
  <c r="L528" i="30"/>
  <c r="L537" i="30"/>
  <c r="L541" i="30"/>
  <c r="L531" i="30"/>
  <c r="L532" i="30"/>
  <c r="L536" i="30"/>
  <c r="L540" i="30"/>
  <c r="L535" i="30"/>
  <c r="L544" i="30"/>
  <c r="L547" i="30"/>
  <c r="Z83" i="29"/>
  <c r="Z8" i="30"/>
  <c r="Z19" i="30"/>
  <c r="Z10" i="30"/>
  <c r="Z9" i="30"/>
  <c r="Z12" i="30"/>
  <c r="Z17" i="30"/>
  <c r="Z23" i="30"/>
  <c r="Z36" i="30"/>
  <c r="Z41" i="30"/>
  <c r="Z15" i="30"/>
  <c r="Z21" i="30"/>
  <c r="Z26" i="30"/>
  <c r="Z31" i="30"/>
  <c r="Z44" i="30"/>
  <c r="Z49" i="30"/>
  <c r="Z29" i="30"/>
  <c r="Z34" i="30"/>
  <c r="Z39" i="30"/>
  <c r="Z13" i="30"/>
  <c r="Z18" i="30"/>
  <c r="Z24" i="30"/>
  <c r="Z37" i="30"/>
  <c r="Z42" i="30"/>
  <c r="Z47" i="30"/>
  <c r="Z22" i="30"/>
  <c r="Z27" i="30"/>
  <c r="Z32" i="30"/>
  <c r="Z11" i="30"/>
  <c r="Z16" i="30"/>
  <c r="Z30" i="30"/>
  <c r="Z35" i="30"/>
  <c r="Z40" i="30"/>
  <c r="Z14" i="30"/>
  <c r="Z20" i="30"/>
  <c r="Z25" i="30"/>
  <c r="Z38" i="30"/>
  <c r="Z43" i="30"/>
  <c r="Z48" i="30"/>
  <c r="Z53" i="30"/>
  <c r="Z58" i="30"/>
  <c r="Z63" i="30"/>
  <c r="Z76" i="30"/>
  <c r="Z81" i="30"/>
  <c r="Z61" i="30"/>
  <c r="Z66" i="30"/>
  <c r="Z71" i="30"/>
  <c r="Z45" i="30"/>
  <c r="Z51" i="30"/>
  <c r="Z56" i="30"/>
  <c r="Z69" i="30"/>
  <c r="Z74" i="30"/>
  <c r="Z79" i="30"/>
  <c r="Z46" i="30"/>
  <c r="Z54" i="30"/>
  <c r="Z59" i="30"/>
  <c r="Z64" i="30"/>
  <c r="Z77" i="30"/>
  <c r="Z82" i="30"/>
  <c r="Z33" i="30"/>
  <c r="Z62" i="30"/>
  <c r="Z67" i="30"/>
  <c r="Z72" i="30"/>
  <c r="Z52" i="30"/>
  <c r="Z57" i="30"/>
  <c r="Z70" i="30"/>
  <c r="Z75" i="30"/>
  <c r="Z80" i="30"/>
  <c r="Z28" i="30"/>
  <c r="Z60" i="30"/>
  <c r="Z65" i="30"/>
  <c r="Z78" i="30"/>
  <c r="Z50" i="30"/>
  <c r="Z73" i="30"/>
  <c r="Z55" i="30"/>
  <c r="Z68" i="30"/>
  <c r="Z165" i="30"/>
  <c r="Z169" i="30"/>
  <c r="Z177" i="30"/>
  <c r="Z190" i="30"/>
  <c r="Z195" i="30"/>
  <c r="Z200" i="30"/>
  <c r="Z213" i="30"/>
  <c r="Z218" i="30"/>
  <c r="Z231" i="30"/>
  <c r="Z236" i="30"/>
  <c r="Z172" i="30"/>
  <c r="Z180" i="30"/>
  <c r="Z185" i="30"/>
  <c r="Z198" i="30"/>
  <c r="Z203" i="30"/>
  <c r="Z208" i="30"/>
  <c r="Z221" i="30"/>
  <c r="Z226" i="30"/>
  <c r="Z167" i="30"/>
  <c r="Z174" i="30"/>
  <c r="Z183" i="30"/>
  <c r="Z188" i="30"/>
  <c r="Z193" i="30"/>
  <c r="Z206" i="30"/>
  <c r="Z211" i="30"/>
  <c r="Z216" i="30"/>
  <c r="Z229" i="30"/>
  <c r="Z234" i="30"/>
  <c r="Z170" i="30"/>
  <c r="Z178" i="30"/>
  <c r="Z191" i="30"/>
  <c r="Z196" i="30"/>
  <c r="Z201" i="30"/>
  <c r="Z214" i="30"/>
  <c r="Z219" i="30"/>
  <c r="Z224" i="30"/>
  <c r="Z237" i="30"/>
  <c r="Z166" i="30"/>
  <c r="Z173" i="30"/>
  <c r="Z181" i="30"/>
  <c r="Z186" i="30"/>
  <c r="Z199" i="30"/>
  <c r="Z204" i="30"/>
  <c r="Z209" i="30"/>
  <c r="Z222" i="30"/>
  <c r="Z227" i="30"/>
  <c r="Z232" i="30"/>
  <c r="Z164" i="30"/>
  <c r="Z168" i="30"/>
  <c r="Z176" i="30"/>
  <c r="Z189" i="30"/>
  <c r="Z194" i="30"/>
  <c r="Z207" i="30"/>
  <c r="Z212" i="30"/>
  <c r="Z217" i="30"/>
  <c r="Z230" i="30"/>
  <c r="Z235" i="30"/>
  <c r="Z171" i="30"/>
  <c r="Z179" i="30"/>
  <c r="Z184" i="30"/>
  <c r="Z197" i="30"/>
  <c r="Z202" i="30"/>
  <c r="Z215" i="30"/>
  <c r="Z220" i="30"/>
  <c r="Z225" i="30"/>
  <c r="Z238" i="30"/>
  <c r="Z187" i="30"/>
  <c r="Z182" i="30"/>
  <c r="Z233" i="30"/>
  <c r="Z175" i="30"/>
  <c r="Z228" i="30"/>
  <c r="Z210" i="30"/>
  <c r="Z192" i="30"/>
  <c r="Z223" i="30"/>
  <c r="Z205" i="30"/>
  <c r="Z482" i="30"/>
  <c r="Z489" i="30"/>
  <c r="Z498" i="30"/>
  <c r="Z487" i="30"/>
  <c r="Z496" i="30"/>
  <c r="Z485" i="30"/>
  <c r="Z494" i="30"/>
  <c r="Z501" i="30"/>
  <c r="Z483" i="30"/>
  <c r="Z492" i="30"/>
  <c r="Z499" i="30"/>
  <c r="Z490" i="30"/>
  <c r="Z497" i="30"/>
  <c r="Z488" i="30"/>
  <c r="Z495" i="30"/>
  <c r="Z486" i="30"/>
  <c r="Z493" i="30"/>
  <c r="Z484" i="30"/>
  <c r="Z491" i="30"/>
  <c r="Z500" i="30"/>
  <c r="Z535" i="30"/>
  <c r="Z547" i="30"/>
  <c r="Z540" i="30"/>
  <c r="Z530" i="30"/>
  <c r="Z534" i="30"/>
  <c r="Z546" i="30"/>
  <c r="Z533" i="30"/>
  <c r="Z542" i="30"/>
  <c r="Z532" i="30"/>
  <c r="Z541" i="30"/>
  <c r="Z529" i="30"/>
  <c r="Z537" i="30"/>
  <c r="Z536" i="30"/>
  <c r="Z545" i="30"/>
  <c r="Z544" i="30"/>
  <c r="Z528" i="30"/>
  <c r="Z531" i="30"/>
  <c r="Z538" i="30"/>
  <c r="Z539" i="30"/>
  <c r="Z543" i="30"/>
  <c r="X239" i="29"/>
  <c r="Z239" i="29"/>
  <c r="AA161" i="29"/>
  <c r="AA83" i="29"/>
  <c r="AA165" i="43" l="1"/>
  <c r="E154" i="17"/>
  <c r="AA129" i="43"/>
  <c r="D209" i="17"/>
  <c r="V6" i="18"/>
  <c r="G144" i="17"/>
  <c r="V6" i="19"/>
  <c r="V399" i="19" s="1"/>
  <c r="R102" i="34"/>
  <c r="V243" i="17"/>
  <c r="R80" i="34"/>
  <c r="Y156" i="43"/>
  <c r="W78" i="21"/>
  <c r="W147" i="21" s="1"/>
  <c r="R56" i="34"/>
  <c r="Y136" i="43"/>
  <c r="Z6" i="18"/>
  <c r="Z792" i="18" s="1"/>
  <c r="G126" i="17"/>
  <c r="E226" i="17"/>
  <c r="R74" i="34"/>
  <c r="G232" i="17"/>
  <c r="S868" i="30"/>
  <c r="R88" i="34"/>
  <c r="R76" i="34"/>
  <c r="Y145" i="43"/>
  <c r="R106" i="34"/>
  <c r="R49" i="34"/>
  <c r="G138" i="17"/>
  <c r="K6" i="30"/>
  <c r="K869" i="30" s="1"/>
  <c r="N243" i="18"/>
  <c r="I222" i="30"/>
  <c r="N480" i="18"/>
  <c r="F218" i="21"/>
  <c r="C248" i="21"/>
  <c r="U6" i="19"/>
  <c r="U399" i="19" s="1"/>
  <c r="C255" i="21"/>
  <c r="M243" i="17"/>
  <c r="V78" i="21"/>
  <c r="V147" i="21" s="1"/>
  <c r="O72" i="34"/>
  <c r="U66" i="34"/>
  <c r="G227" i="17"/>
  <c r="U17" i="43"/>
  <c r="U332" i="43" s="1"/>
  <c r="Z6" i="30"/>
  <c r="Z480" i="30" s="1"/>
  <c r="N78" i="21"/>
  <c r="N147" i="21" s="1"/>
  <c r="M6" i="18"/>
  <c r="M792" i="18" s="1"/>
  <c r="F219" i="21"/>
  <c r="C242" i="21"/>
  <c r="J552" i="30"/>
  <c r="D145" i="17"/>
  <c r="G128" i="17"/>
  <c r="G223" i="17"/>
  <c r="E236" i="17"/>
  <c r="E140" i="17"/>
  <c r="E229" i="17"/>
  <c r="D222" i="17"/>
  <c r="G220" i="17"/>
  <c r="U85" i="34"/>
  <c r="C274" i="21"/>
  <c r="F274" i="21" s="1"/>
  <c r="U68" i="34"/>
  <c r="U70" i="34"/>
  <c r="H80" i="34"/>
  <c r="U108" i="34"/>
  <c r="U72" i="34"/>
  <c r="G135" i="17"/>
  <c r="H64" i="34"/>
  <c r="U89" i="34"/>
  <c r="U53" i="34"/>
  <c r="S149" i="43"/>
  <c r="U104" i="34"/>
  <c r="O60" i="34"/>
  <c r="U116" i="34"/>
  <c r="U97" i="34"/>
  <c r="U79" i="34"/>
  <c r="U112" i="34"/>
  <c r="U93" i="34"/>
  <c r="U74" i="34"/>
  <c r="U76" i="34"/>
  <c r="U49" i="34"/>
  <c r="U51" i="34"/>
  <c r="U78" i="34"/>
  <c r="U100" i="34"/>
  <c r="U81" i="34"/>
  <c r="U115" i="34"/>
  <c r="U96" i="34"/>
  <c r="U45" i="34"/>
  <c r="U58" i="34"/>
  <c r="U60" i="34"/>
  <c r="U62" i="34"/>
  <c r="U64" i="34"/>
  <c r="M155" i="43"/>
  <c r="W105" i="43"/>
  <c r="E206" i="17"/>
  <c r="E208" i="17"/>
  <c r="S129" i="43"/>
  <c r="U111" i="34"/>
  <c r="U92" i="34"/>
  <c r="U77" i="34"/>
  <c r="U107" i="34"/>
  <c r="U88" i="34"/>
  <c r="U114" i="34"/>
  <c r="U50" i="34"/>
  <c r="U52" i="34"/>
  <c r="U54" i="34"/>
  <c r="U56" i="34"/>
  <c r="W108" i="43"/>
  <c r="U87" i="34"/>
  <c r="U84" i="34"/>
  <c r="U110" i="34"/>
  <c r="U99" i="34"/>
  <c r="U69" i="34"/>
  <c r="U106" i="34"/>
  <c r="U71" i="34"/>
  <c r="U44" i="34"/>
  <c r="U46" i="34"/>
  <c r="U48" i="34"/>
  <c r="W137" i="43"/>
  <c r="S118" i="43"/>
  <c r="S125" i="43"/>
  <c r="U61" i="34"/>
  <c r="U43" i="34"/>
  <c r="U102" i="34"/>
  <c r="U91" i="34"/>
  <c r="U117" i="34"/>
  <c r="U98" i="34"/>
  <c r="U63" i="34"/>
  <c r="U73" i="34"/>
  <c r="U75" i="34"/>
  <c r="S120" i="43"/>
  <c r="W97" i="43"/>
  <c r="D207" i="17"/>
  <c r="U103" i="34"/>
  <c r="U113" i="34"/>
  <c r="U94" i="34"/>
  <c r="U83" i="34"/>
  <c r="U109" i="34"/>
  <c r="U90" i="34"/>
  <c r="U55" i="34"/>
  <c r="U65" i="34"/>
  <c r="U67" i="34"/>
  <c r="E220" i="17"/>
  <c r="U95" i="34"/>
  <c r="U105" i="34"/>
  <c r="U86" i="34"/>
  <c r="U80" i="34"/>
  <c r="U101" i="34"/>
  <c r="U82" i="34"/>
  <c r="U47" i="34"/>
  <c r="U57" i="34"/>
  <c r="U59" i="34"/>
  <c r="R112" i="34"/>
  <c r="R114" i="34"/>
  <c r="R95" i="34"/>
  <c r="R62" i="34"/>
  <c r="R110" i="34"/>
  <c r="R83" i="34"/>
  <c r="R64" i="34"/>
  <c r="R45" i="34"/>
  <c r="R47" i="34"/>
  <c r="R57" i="34"/>
  <c r="R117" i="34"/>
  <c r="R98" i="34"/>
  <c r="R78" i="34"/>
  <c r="R113" i="34"/>
  <c r="R94" i="34"/>
  <c r="R54" i="34"/>
  <c r="R48" i="34"/>
  <c r="R66" i="34"/>
  <c r="R68" i="34"/>
  <c r="E150" i="17"/>
  <c r="R109" i="34"/>
  <c r="R90" i="34"/>
  <c r="R116" i="34"/>
  <c r="R105" i="34"/>
  <c r="R86" i="34"/>
  <c r="R75" i="34"/>
  <c r="R58" i="34"/>
  <c r="R60" i="34"/>
  <c r="O9" i="26"/>
  <c r="R101" i="34"/>
  <c r="R82" i="34"/>
  <c r="R108" i="34"/>
  <c r="R97" i="34"/>
  <c r="R115" i="34"/>
  <c r="R67" i="34"/>
  <c r="R77" i="34"/>
  <c r="R50" i="34"/>
  <c r="R52" i="34"/>
  <c r="R93" i="34"/>
  <c r="R46" i="34"/>
  <c r="R100" i="34"/>
  <c r="R89" i="34"/>
  <c r="R107" i="34"/>
  <c r="R59" i="34"/>
  <c r="R69" i="34"/>
  <c r="R71" i="34"/>
  <c r="R44" i="34"/>
  <c r="R104" i="34"/>
  <c r="R85" i="34"/>
  <c r="R111" i="34"/>
  <c r="R92" i="34"/>
  <c r="R81" i="34"/>
  <c r="R99" i="34"/>
  <c r="R51" i="34"/>
  <c r="R61" i="34"/>
  <c r="R63" i="34"/>
  <c r="R73" i="34"/>
  <c r="R96" i="34"/>
  <c r="R70" i="34"/>
  <c r="R103" i="34"/>
  <c r="R84" i="34"/>
  <c r="R79" i="34"/>
  <c r="R91" i="34"/>
  <c r="R72" i="34"/>
  <c r="R53" i="34"/>
  <c r="R55" i="34"/>
  <c r="R65" i="34"/>
  <c r="K78" i="21"/>
  <c r="K147" i="21" s="1"/>
  <c r="O243" i="30"/>
  <c r="D213" i="17"/>
  <c r="J17" i="43"/>
  <c r="J332" i="43" s="1"/>
  <c r="J243" i="17"/>
  <c r="D216" i="17"/>
  <c r="E238" i="17"/>
  <c r="E134" i="17"/>
  <c r="O552" i="30"/>
  <c r="I205" i="30"/>
  <c r="I47" i="30"/>
  <c r="H62" i="34"/>
  <c r="O32" i="32"/>
  <c r="Z479" i="30"/>
  <c r="H110" i="34"/>
  <c r="H74" i="34"/>
  <c r="C301" i="18"/>
  <c r="C379" i="18" s="1"/>
  <c r="I528" i="30"/>
  <c r="H104" i="34"/>
  <c r="I538" i="30"/>
  <c r="I221" i="30"/>
  <c r="H68" i="34"/>
  <c r="I499" i="30"/>
  <c r="I59" i="30"/>
  <c r="H111" i="34"/>
  <c r="Z242" i="30"/>
  <c r="E211" i="17"/>
  <c r="D221" i="17"/>
  <c r="I213" i="30"/>
  <c r="H84" i="34"/>
  <c r="N752" i="35"/>
  <c r="M752" i="35"/>
  <c r="Z551" i="30"/>
  <c r="C37" i="18"/>
  <c r="K117" i="34"/>
  <c r="K90" i="34"/>
  <c r="K108" i="34"/>
  <c r="K97" i="34"/>
  <c r="K80" i="34"/>
  <c r="K104" i="34"/>
  <c r="K58" i="34"/>
  <c r="K60" i="34"/>
  <c r="K70" i="34"/>
  <c r="N121" i="43"/>
  <c r="Z243" i="29"/>
  <c r="E147" i="17"/>
  <c r="D149" i="17"/>
  <c r="F252" i="21"/>
  <c r="C160" i="31"/>
  <c r="K109" i="34"/>
  <c r="K111" i="34"/>
  <c r="K92" i="34"/>
  <c r="K81" i="34"/>
  <c r="K115" i="34"/>
  <c r="K88" i="34"/>
  <c r="K69" i="34"/>
  <c r="K71" i="34"/>
  <c r="K44" i="34"/>
  <c r="K54" i="34"/>
  <c r="K85" i="34"/>
  <c r="K103" i="34"/>
  <c r="K84" i="34"/>
  <c r="K75" i="34"/>
  <c r="K107" i="34"/>
  <c r="K67" i="34"/>
  <c r="K61" i="34"/>
  <c r="K63" i="34"/>
  <c r="K73" i="34"/>
  <c r="K46" i="34"/>
  <c r="N124" i="43"/>
  <c r="E219" i="17"/>
  <c r="D212" i="17"/>
  <c r="K101" i="34"/>
  <c r="K95" i="34"/>
  <c r="K79" i="34"/>
  <c r="K110" i="34"/>
  <c r="K99" i="34"/>
  <c r="K72" i="34"/>
  <c r="K53" i="34"/>
  <c r="K55" i="34"/>
  <c r="K65" i="34"/>
  <c r="K114" i="34"/>
  <c r="K87" i="34"/>
  <c r="K43" i="34"/>
  <c r="K102" i="34"/>
  <c r="K91" i="34"/>
  <c r="K64" i="34"/>
  <c r="K45" i="34"/>
  <c r="K47" i="34"/>
  <c r="K57" i="34"/>
  <c r="K98" i="34"/>
  <c r="K116" i="34"/>
  <c r="K105" i="34"/>
  <c r="K86" i="34"/>
  <c r="K112" i="34"/>
  <c r="K48" i="34"/>
  <c r="K66" i="34"/>
  <c r="K68" i="34"/>
  <c r="K78" i="34"/>
  <c r="N161" i="43"/>
  <c r="E129" i="17"/>
  <c r="E143" i="17"/>
  <c r="AB243" i="29"/>
  <c r="O41" i="34"/>
  <c r="O140" i="34" s="1"/>
  <c r="P6" i="30"/>
  <c r="P480" i="30" s="1"/>
  <c r="P25" i="29"/>
  <c r="O25" i="29"/>
  <c r="S25" i="29"/>
  <c r="Q25" i="29"/>
  <c r="L25" i="29"/>
  <c r="K25" i="29"/>
  <c r="R25" i="29"/>
  <c r="T25" i="29"/>
  <c r="I25" i="29"/>
  <c r="O11" i="29"/>
  <c r="P11" i="29"/>
  <c r="L11" i="29"/>
  <c r="K11" i="29"/>
  <c r="S11" i="29"/>
  <c r="R11" i="29"/>
  <c r="Q11" i="29"/>
  <c r="I11" i="29"/>
  <c r="S22" i="29"/>
  <c r="K22" i="29"/>
  <c r="R22" i="29"/>
  <c r="Q22" i="29"/>
  <c r="L22" i="29"/>
  <c r="T22" i="29"/>
  <c r="P22" i="29"/>
  <c r="O22" i="29"/>
  <c r="I22" i="29"/>
  <c r="K12" i="29"/>
  <c r="R12" i="29"/>
  <c r="Q12" i="29"/>
  <c r="O12" i="29"/>
  <c r="M101" i="43"/>
  <c r="L12" i="29"/>
  <c r="U101" i="43"/>
  <c r="T12" i="29"/>
  <c r="N101" i="43"/>
  <c r="I12" i="29"/>
  <c r="P23" i="29"/>
  <c r="O23" i="29"/>
  <c r="U112" i="43"/>
  <c r="K23" i="29"/>
  <c r="R23" i="29"/>
  <c r="T23" i="29"/>
  <c r="S23" i="29"/>
  <c r="L23" i="29"/>
  <c r="I23" i="29"/>
  <c r="O21" i="29"/>
  <c r="P21" i="29"/>
  <c r="L21" i="29"/>
  <c r="T21" i="29"/>
  <c r="R21" i="29"/>
  <c r="Q21" i="29"/>
  <c r="K21" i="29"/>
  <c r="I21" i="29"/>
  <c r="O19" i="29"/>
  <c r="T19" i="29"/>
  <c r="R19" i="29"/>
  <c r="L19" i="29"/>
  <c r="K19" i="29"/>
  <c r="S19" i="29"/>
  <c r="Q19" i="29"/>
  <c r="P19" i="29"/>
  <c r="I19" i="29"/>
  <c r="S16" i="29"/>
  <c r="K16" i="29"/>
  <c r="R16" i="29"/>
  <c r="Q16" i="29"/>
  <c r="T16" i="29"/>
  <c r="O16" i="29"/>
  <c r="P16" i="29"/>
  <c r="L16" i="29"/>
  <c r="I16" i="29"/>
  <c r="S14" i="29"/>
  <c r="K14" i="29"/>
  <c r="R14" i="29"/>
  <c r="Q14" i="29"/>
  <c r="P14" i="29"/>
  <c r="L14" i="29"/>
  <c r="O14" i="29"/>
  <c r="I14" i="29"/>
  <c r="N103" i="30"/>
  <c r="O15" i="29"/>
  <c r="R15" i="29"/>
  <c r="S15" i="29"/>
  <c r="Q15" i="29"/>
  <c r="P15" i="29"/>
  <c r="L15" i="29"/>
  <c r="K15" i="29"/>
  <c r="T15" i="29"/>
  <c r="I15" i="29"/>
  <c r="S18" i="29"/>
  <c r="K18" i="29"/>
  <c r="R18" i="29"/>
  <c r="Q18" i="29"/>
  <c r="U107" i="43"/>
  <c r="O18" i="29"/>
  <c r="T18" i="29"/>
  <c r="P18" i="29"/>
  <c r="L18" i="29"/>
  <c r="I18" i="29"/>
  <c r="S10" i="29"/>
  <c r="K10" i="29"/>
  <c r="R10" i="29"/>
  <c r="P10" i="29"/>
  <c r="L10" i="29"/>
  <c r="Q10" i="29"/>
  <c r="O10" i="29"/>
  <c r="T10" i="29"/>
  <c r="I10" i="29"/>
  <c r="O9" i="29"/>
  <c r="N98" i="43"/>
  <c r="R9" i="29"/>
  <c r="L9" i="29"/>
  <c r="K9" i="29"/>
  <c r="T9" i="29"/>
  <c r="Q9" i="29"/>
  <c r="P9" i="29"/>
  <c r="U98" i="43"/>
  <c r="S9" i="29"/>
  <c r="I9" i="29"/>
  <c r="O17" i="29"/>
  <c r="K17" i="29"/>
  <c r="T17" i="29"/>
  <c r="R17" i="29"/>
  <c r="Q17" i="29"/>
  <c r="P17" i="29"/>
  <c r="L17" i="29"/>
  <c r="I17" i="29"/>
  <c r="U110" i="43"/>
  <c r="O13" i="29"/>
  <c r="Q13" i="29"/>
  <c r="R13" i="29"/>
  <c r="P13" i="29"/>
  <c r="L13" i="29"/>
  <c r="K13" i="29"/>
  <c r="T13" i="29"/>
  <c r="S13" i="29"/>
  <c r="I13" i="29"/>
  <c r="T26" i="29"/>
  <c r="L26" i="29"/>
  <c r="K26" i="29"/>
  <c r="R26" i="29"/>
  <c r="Q26" i="29"/>
  <c r="O26" i="29"/>
  <c r="I26" i="29"/>
  <c r="P27" i="29"/>
  <c r="O27" i="29"/>
  <c r="U116" i="43"/>
  <c r="T27" i="29"/>
  <c r="S27" i="29"/>
  <c r="R27" i="29"/>
  <c r="Q27" i="29"/>
  <c r="L27" i="29"/>
  <c r="K27" i="29"/>
  <c r="I27" i="29"/>
  <c r="U100" i="43"/>
  <c r="S20" i="29"/>
  <c r="K20" i="29"/>
  <c r="R20" i="29"/>
  <c r="Q20" i="29"/>
  <c r="P20" i="29"/>
  <c r="O20" i="29"/>
  <c r="L20" i="29"/>
  <c r="T20" i="29"/>
  <c r="I20" i="29"/>
  <c r="T24" i="29"/>
  <c r="L24" i="29"/>
  <c r="K24" i="29"/>
  <c r="R24" i="29"/>
  <c r="Q24" i="29"/>
  <c r="O24" i="29"/>
  <c r="P24" i="29"/>
  <c r="N113" i="43"/>
  <c r="I24" i="29"/>
  <c r="I68" i="31"/>
  <c r="K23" i="12"/>
  <c r="I54" i="31"/>
  <c r="K9" i="12"/>
  <c r="I70" i="31"/>
  <c r="I181" i="29"/>
  <c r="K25" i="12"/>
  <c r="I64" i="31"/>
  <c r="K19" i="12"/>
  <c r="I53" i="31"/>
  <c r="M83" i="12"/>
  <c r="K8" i="12"/>
  <c r="I58" i="31"/>
  <c r="K13" i="12"/>
  <c r="W83" i="12"/>
  <c r="S164" i="29"/>
  <c r="S239" i="29" s="1"/>
  <c r="K8" i="29"/>
  <c r="R8" i="29"/>
  <c r="T8" i="29"/>
  <c r="P8" i="29"/>
  <c r="O8" i="29"/>
  <c r="L8" i="29"/>
  <c r="I8" i="29"/>
  <c r="Q76" i="34"/>
  <c r="Q74" i="34"/>
  <c r="Q56" i="34"/>
  <c r="Q46" i="34"/>
  <c r="Q110" i="34"/>
  <c r="Q49" i="34"/>
  <c r="Q87" i="34"/>
  <c r="Q114" i="34"/>
  <c r="Q96" i="34"/>
  <c r="Q55" i="34"/>
  <c r="Q53" i="34"/>
  <c r="Q72" i="34"/>
  <c r="Q62" i="34"/>
  <c r="Q81" i="34"/>
  <c r="Q92" i="34"/>
  <c r="Q103" i="34"/>
  <c r="Q85" i="34"/>
  <c r="Q112" i="34"/>
  <c r="Q44" i="34"/>
  <c r="Q71" i="34"/>
  <c r="Q69" i="34"/>
  <c r="Q51" i="34"/>
  <c r="Q65" i="34"/>
  <c r="Q97" i="34"/>
  <c r="Q108" i="34"/>
  <c r="Q82" i="34"/>
  <c r="Q101" i="34"/>
  <c r="Q83" i="34"/>
  <c r="Q52" i="34"/>
  <c r="Q50" i="34"/>
  <c r="Q77" i="34"/>
  <c r="Q59" i="34"/>
  <c r="Q86" i="34"/>
  <c r="Q105" i="34"/>
  <c r="Q116" i="34"/>
  <c r="Q90" i="34"/>
  <c r="Q109" i="34"/>
  <c r="Q107" i="34"/>
  <c r="Q60" i="34"/>
  <c r="Q58" i="34"/>
  <c r="Q67" i="34"/>
  <c r="Q94" i="34"/>
  <c r="Q113" i="34"/>
  <c r="Q73" i="34"/>
  <c r="Q98" i="34"/>
  <c r="Q117" i="34"/>
  <c r="Q91" i="34"/>
  <c r="V75" i="34"/>
  <c r="V65" i="34"/>
  <c r="V55" i="34"/>
  <c r="V82" i="34"/>
  <c r="V101" i="34"/>
  <c r="V83" i="34"/>
  <c r="V94" i="34"/>
  <c r="V84" i="34"/>
  <c r="V56" i="34"/>
  <c r="V54" i="34"/>
  <c r="V44" i="34"/>
  <c r="V71" i="34"/>
  <c r="V98" i="34"/>
  <c r="V117" i="34"/>
  <c r="V99" i="34"/>
  <c r="V110" i="34"/>
  <c r="V43" i="34"/>
  <c r="V53" i="34"/>
  <c r="V72" i="34"/>
  <c r="V70" i="34"/>
  <c r="V60" i="34"/>
  <c r="V87" i="34"/>
  <c r="V114" i="34"/>
  <c r="V96" i="34"/>
  <c r="V115" i="34"/>
  <c r="V89" i="34"/>
  <c r="V116" i="34"/>
  <c r="V61" i="34"/>
  <c r="V51" i="34"/>
  <c r="V78" i="34"/>
  <c r="V68" i="34"/>
  <c r="V95" i="34"/>
  <c r="V58" i="34"/>
  <c r="V104" i="34"/>
  <c r="V66" i="34"/>
  <c r="V97" i="34"/>
  <c r="V100" i="34"/>
  <c r="V69" i="34"/>
  <c r="V59" i="34"/>
  <c r="V49" i="34"/>
  <c r="V76" i="34"/>
  <c r="V103" i="34"/>
  <c r="V85" i="34"/>
  <c r="V112" i="34"/>
  <c r="V79" i="34"/>
  <c r="V105" i="34"/>
  <c r="V50" i="34"/>
  <c r="I534" i="30"/>
  <c r="I543" i="30"/>
  <c r="I492" i="30"/>
  <c r="I209" i="30"/>
  <c r="I208" i="30"/>
  <c r="I78" i="30"/>
  <c r="I54" i="30"/>
  <c r="I43" i="30"/>
  <c r="I42" i="30"/>
  <c r="G130" i="17"/>
  <c r="G208" i="17"/>
  <c r="D139" i="17"/>
  <c r="D217" i="17"/>
  <c r="D158" i="17"/>
  <c r="D236" i="17"/>
  <c r="D157" i="17"/>
  <c r="D235" i="17"/>
  <c r="E132" i="17"/>
  <c r="E210" i="17"/>
  <c r="E156" i="17"/>
  <c r="E234" i="17"/>
  <c r="E152" i="17"/>
  <c r="E230" i="17"/>
  <c r="G152" i="17"/>
  <c r="G230" i="17"/>
  <c r="G131" i="17"/>
  <c r="G209" i="17"/>
  <c r="G150" i="17"/>
  <c r="G228" i="17"/>
  <c r="D230" i="17"/>
  <c r="D152" i="17"/>
  <c r="I187" i="30"/>
  <c r="I483" i="30"/>
  <c r="I65" i="30"/>
  <c r="I37" i="30"/>
  <c r="I541" i="30"/>
  <c r="I498" i="30"/>
  <c r="I494" i="30"/>
  <c r="I236" i="30"/>
  <c r="I220" i="30"/>
  <c r="I186" i="30"/>
  <c r="I185" i="30"/>
  <c r="I41" i="30"/>
  <c r="I74" i="30"/>
  <c r="G221" i="17"/>
  <c r="I192" i="30"/>
  <c r="I546" i="30"/>
  <c r="I542" i="30"/>
  <c r="I218" i="30"/>
  <c r="I238" i="30"/>
  <c r="I204" i="30"/>
  <c r="I203" i="30"/>
  <c r="I38" i="30"/>
  <c r="I540" i="30"/>
  <c r="I491" i="30"/>
  <c r="I184" i="30"/>
  <c r="I235" i="30"/>
  <c r="I214" i="30"/>
  <c r="I81" i="30"/>
  <c r="I57" i="30"/>
  <c r="I71" i="30"/>
  <c r="I30" i="30"/>
  <c r="I29" i="30"/>
  <c r="D147" i="17"/>
  <c r="I545" i="30"/>
  <c r="I484" i="30"/>
  <c r="I195" i="30"/>
  <c r="I230" i="30"/>
  <c r="I201" i="30"/>
  <c r="I234" i="30"/>
  <c r="I36" i="30"/>
  <c r="I52" i="30"/>
  <c r="I66" i="30"/>
  <c r="I44" i="30"/>
  <c r="I50" i="30"/>
  <c r="I25" i="30"/>
  <c r="I79" i="30"/>
  <c r="I67" i="30"/>
  <c r="I60" i="30"/>
  <c r="I58" i="30"/>
  <c r="I198" i="30"/>
  <c r="I216" i="30"/>
  <c r="I191" i="30"/>
  <c r="I199" i="30"/>
  <c r="I212" i="30"/>
  <c r="I225" i="30"/>
  <c r="I501" i="30"/>
  <c r="I486" i="30"/>
  <c r="I530" i="30"/>
  <c r="I532" i="30"/>
  <c r="I547" i="30"/>
  <c r="I34" i="30"/>
  <c r="I22" i="30"/>
  <c r="I35" i="30"/>
  <c r="I51" i="30"/>
  <c r="I64" i="30"/>
  <c r="I70" i="30"/>
  <c r="I55" i="30"/>
  <c r="I63" i="30"/>
  <c r="I226" i="30"/>
  <c r="I188" i="30"/>
  <c r="I219" i="30"/>
  <c r="I227" i="30"/>
  <c r="I197" i="30"/>
  <c r="I210" i="30"/>
  <c r="I200" i="30"/>
  <c r="I487" i="30"/>
  <c r="I490" i="30"/>
  <c r="I500" i="30"/>
  <c r="I529" i="30"/>
  <c r="I531" i="30"/>
  <c r="I39" i="30"/>
  <c r="I40" i="30"/>
  <c r="I28" i="30"/>
  <c r="I56" i="30"/>
  <c r="I77" i="30"/>
  <c r="I75" i="30"/>
  <c r="I68" i="30"/>
  <c r="I193" i="30"/>
  <c r="I224" i="30"/>
  <c r="I232" i="30"/>
  <c r="I189" i="30"/>
  <c r="I202" i="30"/>
  <c r="I223" i="30"/>
  <c r="I231" i="30"/>
  <c r="I496" i="30"/>
  <c r="I497" i="30"/>
  <c r="I482" i="30"/>
  <c r="I535" i="30"/>
  <c r="I533" i="30"/>
  <c r="I32" i="30"/>
  <c r="I33" i="30"/>
  <c r="I69" i="30"/>
  <c r="I82" i="30"/>
  <c r="I80" i="30"/>
  <c r="I73" i="30"/>
  <c r="I206" i="30"/>
  <c r="I237" i="30"/>
  <c r="I194" i="30"/>
  <c r="I215" i="30"/>
  <c r="I228" i="30"/>
  <c r="I485" i="30"/>
  <c r="I488" i="30"/>
  <c r="I489" i="30"/>
  <c r="I536" i="30"/>
  <c r="I539" i="30"/>
  <c r="I544" i="30"/>
  <c r="I493" i="30"/>
  <c r="I190" i="30"/>
  <c r="I196" i="30"/>
  <c r="I229" i="30"/>
  <c r="I53" i="30"/>
  <c r="I72" i="30"/>
  <c r="I61" i="30"/>
  <c r="I49" i="30"/>
  <c r="I217" i="30"/>
  <c r="I537" i="30"/>
  <c r="I495" i="30"/>
  <c r="I233" i="30"/>
  <c r="I207" i="30"/>
  <c r="I178" i="30"/>
  <c r="I211" i="30"/>
  <c r="I76" i="30"/>
  <c r="I62" i="30"/>
  <c r="I46" i="30"/>
  <c r="I45" i="30"/>
  <c r="I31" i="30"/>
  <c r="N255" i="43"/>
  <c r="W17" i="43"/>
  <c r="W332" i="43" s="1"/>
  <c r="O117" i="34"/>
  <c r="K243" i="29"/>
  <c r="K243" i="30"/>
  <c r="E204" i="17"/>
  <c r="D210" i="17"/>
  <c r="T256" i="43"/>
  <c r="M118" i="43"/>
  <c r="G233" i="17"/>
  <c r="M125" i="43"/>
  <c r="D228" i="17"/>
  <c r="U125" i="43"/>
  <c r="Y106" i="43"/>
  <c r="D204" i="17"/>
  <c r="O102" i="34"/>
  <c r="W6" i="19"/>
  <c r="W399" i="19" s="1"/>
  <c r="W6" i="18"/>
  <c r="W792" i="18" s="1"/>
  <c r="O58" i="31"/>
  <c r="R58" i="31" s="1"/>
  <c r="W243" i="17"/>
  <c r="F617" i="35"/>
  <c r="AA106" i="43"/>
  <c r="M106" i="43"/>
  <c r="W106" i="43"/>
  <c r="N106" i="43"/>
  <c r="V106" i="43"/>
  <c r="C250" i="21"/>
  <c r="U106" i="43"/>
  <c r="AA254" i="43"/>
  <c r="W239" i="29"/>
  <c r="U255" i="43"/>
  <c r="V255" i="43"/>
  <c r="M256" i="43"/>
  <c r="S254" i="43"/>
  <c r="S551" i="30"/>
  <c r="O15" i="26"/>
  <c r="O30" i="26"/>
  <c r="O44" i="32" s="1"/>
  <c r="M54" i="45" s="1"/>
  <c r="D127" i="17"/>
  <c r="T254" i="43"/>
  <c r="N257" i="43"/>
  <c r="M254" i="43"/>
  <c r="W256" i="43"/>
  <c r="S479" i="30"/>
  <c r="O46" i="32"/>
  <c r="O36" i="26"/>
  <c r="J123" i="34" s="1"/>
  <c r="E231" i="17"/>
  <c r="V256" i="43"/>
  <c r="O11" i="26"/>
  <c r="O60" i="32"/>
  <c r="M69" i="45" s="1"/>
  <c r="U256" i="43"/>
  <c r="N256" i="43"/>
  <c r="W255" i="43"/>
  <c r="AA257" i="43"/>
  <c r="O37" i="26"/>
  <c r="O21" i="32"/>
  <c r="O80" i="32" s="1"/>
  <c r="E203" i="17"/>
  <c r="G224" i="17"/>
  <c r="E223" i="17"/>
  <c r="D214" i="17"/>
  <c r="E224" i="17"/>
  <c r="M255" i="43"/>
  <c r="Y255" i="43"/>
  <c r="W254" i="43"/>
  <c r="AA256" i="43"/>
  <c r="O12" i="26"/>
  <c r="O24" i="26"/>
  <c r="F235" i="21"/>
  <c r="C258" i="21"/>
  <c r="U254" i="43"/>
  <c r="N254" i="43"/>
  <c r="Y256" i="43"/>
  <c r="S256" i="43"/>
  <c r="AA255" i="43"/>
  <c r="V265" i="43"/>
  <c r="O40" i="26"/>
  <c r="O7" i="32"/>
  <c r="O73" i="31"/>
  <c r="R73" i="31" s="1"/>
  <c r="D215" i="17"/>
  <c r="E215" i="17"/>
  <c r="V254" i="43"/>
  <c r="Y254" i="43"/>
  <c r="S255" i="43"/>
  <c r="O16" i="32"/>
  <c r="C254" i="21"/>
  <c r="F231" i="21"/>
  <c r="N268" i="43"/>
  <c r="W177" i="43"/>
  <c r="N85" i="34"/>
  <c r="O110" i="34"/>
  <c r="O55" i="34"/>
  <c r="O92" i="34"/>
  <c r="O75" i="34"/>
  <c r="O58" i="34"/>
  <c r="Z6" i="19"/>
  <c r="Z399" i="19" s="1"/>
  <c r="V177" i="43"/>
  <c r="Y192" i="43"/>
  <c r="O86" i="34"/>
  <c r="O85" i="34"/>
  <c r="O52" i="34"/>
  <c r="O64" i="34"/>
  <c r="D151" i="17"/>
  <c r="O107" i="34"/>
  <c r="O106" i="34"/>
  <c r="O44" i="34"/>
  <c r="O56" i="34"/>
  <c r="G226" i="17"/>
  <c r="O99" i="34"/>
  <c r="O71" i="34"/>
  <c r="O65" i="34"/>
  <c r="Z243" i="17"/>
  <c r="K241" i="12"/>
  <c r="O89" i="34"/>
  <c r="O91" i="34"/>
  <c r="O103" i="34"/>
  <c r="O70" i="34"/>
  <c r="O53" i="34"/>
  <c r="D41" i="50"/>
  <c r="O215" i="31"/>
  <c r="R215" i="31" s="1"/>
  <c r="G137" i="17"/>
  <c r="AA78" i="21"/>
  <c r="AA147" i="21" s="1"/>
  <c r="C246" i="21"/>
  <c r="F223" i="21"/>
  <c r="Y177" i="43"/>
  <c r="O105" i="34"/>
  <c r="O96" i="34"/>
  <c r="O116" i="34"/>
  <c r="O62" i="34"/>
  <c r="O45" i="34"/>
  <c r="G236" i="17"/>
  <c r="W868" i="30"/>
  <c r="O79" i="34"/>
  <c r="O88" i="34"/>
  <c r="O108" i="34"/>
  <c r="O54" i="34"/>
  <c r="O74" i="34"/>
  <c r="U318" i="43"/>
  <c r="M259" i="43"/>
  <c r="Y101" i="43"/>
  <c r="G219" i="17"/>
  <c r="G207" i="17"/>
  <c r="V277" i="43"/>
  <c r="M257" i="43"/>
  <c r="W257" i="43"/>
  <c r="E235" i="17"/>
  <c r="E217" i="17"/>
  <c r="W551" i="30"/>
  <c r="U265" i="43"/>
  <c r="V257" i="43"/>
  <c r="M258" i="43"/>
  <c r="Y257" i="43"/>
  <c r="W101" i="43"/>
  <c r="G231" i="17"/>
  <c r="D219" i="17"/>
  <c r="N258" i="43"/>
  <c r="V129" i="43"/>
  <c r="V258" i="43"/>
  <c r="AA101" i="43"/>
  <c r="AB551" i="30"/>
  <c r="D154" i="17"/>
  <c r="U268" i="43"/>
  <c r="S257" i="43"/>
  <c r="AB242" i="30"/>
  <c r="E214" i="17"/>
  <c r="D203" i="17"/>
  <c r="W6" i="30"/>
  <c r="U257" i="43"/>
  <c r="AB868" i="30"/>
  <c r="E233" i="17"/>
  <c r="W243" i="29"/>
  <c r="U258" i="43"/>
  <c r="N284" i="43"/>
  <c r="N265" i="43"/>
  <c r="Q229" i="43"/>
  <c r="G140" i="17"/>
  <c r="W242" i="30"/>
  <c r="V120" i="43"/>
  <c r="O30" i="32"/>
  <c r="M41" i="45" s="1"/>
  <c r="N103" i="34"/>
  <c r="I17" i="43"/>
  <c r="I332" i="43" s="1"/>
  <c r="N68" i="34"/>
  <c r="I243" i="17"/>
  <c r="I6" i="18"/>
  <c r="I792" i="18" s="1"/>
  <c r="N78" i="34"/>
  <c r="N100" i="34"/>
  <c r="N51" i="34"/>
  <c r="I6" i="19"/>
  <c r="I399" i="19" s="1"/>
  <c r="N97" i="34"/>
  <c r="N61" i="34"/>
  <c r="N86" i="34"/>
  <c r="N112" i="34"/>
  <c r="W277" i="43"/>
  <c r="T300" i="43"/>
  <c r="N292" i="43"/>
  <c r="V320" i="43"/>
  <c r="V303" i="43"/>
  <c r="U297" i="43"/>
  <c r="N303" i="43"/>
  <c r="N312" i="43"/>
  <c r="X291" i="43"/>
  <c r="M321" i="43"/>
  <c r="Y314" i="43"/>
  <c r="V315" i="43"/>
  <c r="V273" i="43"/>
  <c r="Q301" i="43"/>
  <c r="U300" i="43"/>
  <c r="N304" i="43"/>
  <c r="M290" i="43"/>
  <c r="U288" i="43"/>
  <c r="U320" i="43"/>
  <c r="N324" i="43"/>
  <c r="V326" i="43"/>
  <c r="W301" i="43"/>
  <c r="U323" i="43"/>
  <c r="V325" i="43"/>
  <c r="V324" i="43"/>
  <c r="M325" i="43"/>
  <c r="Y290" i="43"/>
  <c r="AA209" i="43"/>
  <c r="AA327" i="43"/>
  <c r="Q323" i="43"/>
  <c r="T286" i="43"/>
  <c r="U267" i="43"/>
  <c r="U286" i="43"/>
  <c r="U276" i="43"/>
  <c r="U295" i="43"/>
  <c r="U322" i="43"/>
  <c r="U299" i="43"/>
  <c r="U305" i="43"/>
  <c r="U308" i="43"/>
  <c r="U263" i="43"/>
  <c r="U319" i="43"/>
  <c r="N311" i="43"/>
  <c r="N295" i="43"/>
  <c r="N287" i="43"/>
  <c r="N322" i="43"/>
  <c r="N291" i="43"/>
  <c r="N283" i="43"/>
  <c r="N297" i="43"/>
  <c r="V308" i="43"/>
  <c r="V304" i="43"/>
  <c r="X317" i="43"/>
  <c r="V319" i="43"/>
  <c r="V288" i="43"/>
  <c r="X281" i="43"/>
  <c r="V286" i="43"/>
  <c r="N313" i="43"/>
  <c r="V287" i="43"/>
  <c r="V299" i="43"/>
  <c r="V316" i="43"/>
  <c r="M269" i="43"/>
  <c r="M288" i="43"/>
  <c r="M323" i="43"/>
  <c r="M265" i="43"/>
  <c r="M268" i="43"/>
  <c r="M322" i="43"/>
  <c r="M300" i="43"/>
  <c r="Y270" i="43"/>
  <c r="Y304" i="43"/>
  <c r="S261" i="43"/>
  <c r="S266" i="43"/>
  <c r="S284" i="43"/>
  <c r="AA281" i="43"/>
  <c r="AA278" i="43"/>
  <c r="AA314" i="43"/>
  <c r="Y236" i="43"/>
  <c r="D140" i="17"/>
  <c r="Q324" i="43"/>
  <c r="U325" i="43"/>
  <c r="U259" i="43"/>
  <c r="U321" i="43"/>
  <c r="U287" i="43"/>
  <c r="U310" i="43"/>
  <c r="U289" i="43"/>
  <c r="U292" i="43"/>
  <c r="N302" i="43"/>
  <c r="N294" i="43"/>
  <c r="N276" i="43"/>
  <c r="N260" i="43"/>
  <c r="N279" i="43"/>
  <c r="N285" i="43"/>
  <c r="N277" i="43"/>
  <c r="V262" i="43"/>
  <c r="X261" i="43"/>
  <c r="V306" i="43"/>
  <c r="N281" i="43"/>
  <c r="V292" i="43"/>
  <c r="V261" i="43"/>
  <c r="V294" i="43"/>
  <c r="V276" i="43"/>
  <c r="V272" i="43"/>
  <c r="V278" i="43"/>
  <c r="V260" i="43"/>
  <c r="X312" i="43"/>
  <c r="M319" i="43"/>
  <c r="M261" i="43"/>
  <c r="M280" i="43"/>
  <c r="M278" i="43"/>
  <c r="M287" i="43"/>
  <c r="Y279" i="43"/>
  <c r="Y322" i="43"/>
  <c r="S318" i="43"/>
  <c r="Y220" i="43"/>
  <c r="Y233" i="43"/>
  <c r="Y247" i="43"/>
  <c r="Q248" i="43"/>
  <c r="K221" i="43"/>
  <c r="Q288" i="43"/>
  <c r="U261" i="43"/>
  <c r="U280" i="43"/>
  <c r="U278" i="43"/>
  <c r="U324" i="43"/>
  <c r="U293" i="43"/>
  <c r="U291" i="43"/>
  <c r="U283" i="43"/>
  <c r="U302" i="43"/>
  <c r="N310" i="43"/>
  <c r="N267" i="43"/>
  <c r="N323" i="43"/>
  <c r="N286" i="43"/>
  <c r="N278" i="43"/>
  <c r="N270" i="43"/>
  <c r="N314" i="43"/>
  <c r="N306" i="43"/>
  <c r="V291" i="43"/>
  <c r="X326" i="43"/>
  <c r="V327" i="43"/>
  <c r="V310" i="43"/>
  <c r="V313" i="43"/>
  <c r="V290" i="43"/>
  <c r="V323" i="43"/>
  <c r="V297" i="43"/>
  <c r="V309" i="43"/>
  <c r="V307" i="43"/>
  <c r="V281" i="43"/>
  <c r="V293" i="43"/>
  <c r="X300" i="43"/>
  <c r="M282" i="43"/>
  <c r="M317" i="43"/>
  <c r="M315" i="43"/>
  <c r="M270" i="43"/>
  <c r="M324" i="43"/>
  <c r="M312" i="43"/>
  <c r="Y260" i="43"/>
  <c r="S280" i="43"/>
  <c r="AA277" i="43"/>
  <c r="U219" i="43"/>
  <c r="D208" i="17"/>
  <c r="P314" i="43"/>
  <c r="U282" i="43"/>
  <c r="U317" i="43"/>
  <c r="U315" i="43"/>
  <c r="U270" i="43"/>
  <c r="U260" i="43"/>
  <c r="U314" i="43"/>
  <c r="U312" i="43"/>
  <c r="U304" i="43"/>
  <c r="U275" i="43"/>
  <c r="N275" i="43"/>
  <c r="N288" i="43"/>
  <c r="N259" i="43"/>
  <c r="N315" i="43"/>
  <c r="N307" i="43"/>
  <c r="N299" i="43"/>
  <c r="N316" i="43"/>
  <c r="N271" i="43"/>
  <c r="N327" i="43"/>
  <c r="V312" i="43"/>
  <c r="N289" i="43"/>
  <c r="V263" i="43"/>
  <c r="N273" i="43"/>
  <c r="V311" i="43"/>
  <c r="V259" i="43"/>
  <c r="X293" i="43"/>
  <c r="V274" i="43"/>
  <c r="V264" i="43"/>
  <c r="X320" i="43"/>
  <c r="V322" i="43"/>
  <c r="M289" i="43"/>
  <c r="M292" i="43"/>
  <c r="M311" i="43"/>
  <c r="M274" i="43"/>
  <c r="M272" i="43"/>
  <c r="M307" i="43"/>
  <c r="M260" i="43"/>
  <c r="M271" i="43"/>
  <c r="Y323" i="43"/>
  <c r="Y305" i="43"/>
  <c r="W315" i="43"/>
  <c r="S293" i="43"/>
  <c r="W323" i="43"/>
  <c r="AA307" i="43"/>
  <c r="G234" i="17"/>
  <c r="T289" i="43"/>
  <c r="T315" i="43"/>
  <c r="U311" i="43"/>
  <c r="U274" i="43"/>
  <c r="U272" i="43"/>
  <c r="U307" i="43"/>
  <c r="U313" i="43"/>
  <c r="U279" i="43"/>
  <c r="U285" i="43"/>
  <c r="U277" i="43"/>
  <c r="U296" i="43"/>
  <c r="N296" i="43"/>
  <c r="N325" i="43"/>
  <c r="N280" i="43"/>
  <c r="N272" i="43"/>
  <c r="N264" i="43"/>
  <c r="N320" i="43"/>
  <c r="N308" i="43"/>
  <c r="N263" i="43"/>
  <c r="V285" i="43"/>
  <c r="V318" i="43"/>
  <c r="V300" i="43"/>
  <c r="V275" i="43"/>
  <c r="V284" i="43"/>
  <c r="V280" i="43"/>
  <c r="X260" i="43"/>
  <c r="V295" i="43"/>
  <c r="V301" i="43"/>
  <c r="X321" i="43"/>
  <c r="M302" i="43"/>
  <c r="M281" i="43"/>
  <c r="M284" i="43"/>
  <c r="M309" i="43"/>
  <c r="M264" i="43"/>
  <c r="M313" i="43"/>
  <c r="M297" i="43"/>
  <c r="Y265" i="43"/>
  <c r="S303" i="43"/>
  <c r="S309" i="43"/>
  <c r="W317" i="43"/>
  <c r="W316" i="43"/>
  <c r="O310" i="43"/>
  <c r="Y224" i="43"/>
  <c r="N226" i="43"/>
  <c r="E213" i="17"/>
  <c r="D234" i="17"/>
  <c r="Q319" i="43"/>
  <c r="Q317" i="43"/>
  <c r="U281" i="43"/>
  <c r="U284" i="43"/>
  <c r="U309" i="43"/>
  <c r="U264" i="43"/>
  <c r="U326" i="43"/>
  <c r="U306" i="43"/>
  <c r="U269" i="43"/>
  <c r="N269" i="43"/>
  <c r="N261" i="43"/>
  <c r="N317" i="43"/>
  <c r="N309" i="43"/>
  <c r="N301" i="43"/>
  <c r="N326" i="43"/>
  <c r="N318" i="43"/>
  <c r="N199" i="43"/>
  <c r="V314" i="43"/>
  <c r="V321" i="43"/>
  <c r="V296" i="43"/>
  <c r="V302" i="43"/>
  <c r="V305" i="43"/>
  <c r="V317" i="43"/>
  <c r="N321" i="43"/>
  <c r="V268" i="43"/>
  <c r="N305" i="43"/>
  <c r="V279" i="43"/>
  <c r="M275" i="43"/>
  <c r="M294" i="43"/>
  <c r="M273" i="43"/>
  <c r="M303" i="43"/>
  <c r="M266" i="43"/>
  <c r="M262" i="43"/>
  <c r="Y317" i="43"/>
  <c r="W319" i="43"/>
  <c r="S271" i="43"/>
  <c r="W310" i="43"/>
  <c r="AA265" i="43"/>
  <c r="W292" i="43"/>
  <c r="U249" i="43"/>
  <c r="O84" i="31"/>
  <c r="R84" i="31" s="1"/>
  <c r="Q320" i="43"/>
  <c r="T288" i="43"/>
  <c r="U294" i="43"/>
  <c r="U273" i="43"/>
  <c r="U303" i="43"/>
  <c r="U266" i="43"/>
  <c r="U301" i="43"/>
  <c r="U262" i="43"/>
  <c r="U316" i="43"/>
  <c r="U271" i="43"/>
  <c r="U327" i="43"/>
  <c r="U290" i="43"/>
  <c r="N319" i="43"/>
  <c r="N290" i="43"/>
  <c r="N282" i="43"/>
  <c r="N274" i="43"/>
  <c r="N266" i="43"/>
  <c r="N293" i="43"/>
  <c r="N262" i="43"/>
  <c r="N300" i="43"/>
  <c r="V271" i="43"/>
  <c r="V283" i="43"/>
  <c r="V269" i="43"/>
  <c r="V267" i="43"/>
  <c r="X301" i="43"/>
  <c r="V282" i="43"/>
  <c r="V289" i="43"/>
  <c r="V266" i="43"/>
  <c r="V270" i="43"/>
  <c r="M296" i="43"/>
  <c r="M267" i="43"/>
  <c r="M286" i="43"/>
  <c r="M276" i="43"/>
  <c r="M295" i="43"/>
  <c r="M301" i="43"/>
  <c r="M263" i="43"/>
  <c r="U242" i="43"/>
  <c r="M246" i="43"/>
  <c r="O479" i="30"/>
  <c r="O551" i="30"/>
  <c r="O868" i="30"/>
  <c r="O242" i="30"/>
  <c r="O163" i="31"/>
  <c r="R163" i="31" s="1"/>
  <c r="M212" i="43"/>
  <c r="O53" i="31"/>
  <c r="O232" i="31"/>
  <c r="R232" i="31" s="1"/>
  <c r="R231" i="43"/>
  <c r="R132" i="43"/>
  <c r="R148" i="43"/>
  <c r="R152" i="43"/>
  <c r="R239" i="29"/>
  <c r="W243" i="18"/>
  <c r="R277" i="43"/>
  <c r="O172" i="31"/>
  <c r="Q206" i="43"/>
  <c r="I308" i="30"/>
  <c r="I265" i="30"/>
  <c r="I301" i="30"/>
  <c r="I257" i="30"/>
  <c r="I316" i="30"/>
  <c r="I408" i="30"/>
  <c r="I271" i="30"/>
  <c r="I296" i="30"/>
  <c r="I276" i="30"/>
  <c r="I437" i="30"/>
  <c r="I293" i="30"/>
  <c r="I268" i="30"/>
  <c r="I402" i="30"/>
  <c r="I274" i="30"/>
  <c r="I410" i="30"/>
  <c r="I404" i="30"/>
  <c r="I443" i="30"/>
  <c r="I270" i="30"/>
  <c r="I435" i="30"/>
  <c r="I317" i="30"/>
  <c r="I445" i="30"/>
  <c r="I429" i="30"/>
  <c r="I285" i="30"/>
  <c r="I428" i="30"/>
  <c r="I280" i="30"/>
  <c r="I318" i="30"/>
  <c r="I465" i="30"/>
  <c r="I259" i="30"/>
  <c r="I401" i="30"/>
  <c r="I282" i="30"/>
  <c r="I269" i="30"/>
  <c r="I403" i="30"/>
  <c r="I446" i="30"/>
  <c r="I250" i="30"/>
  <c r="I247" i="30"/>
  <c r="I405" i="30"/>
  <c r="I475" i="30"/>
  <c r="I302" i="30"/>
  <c r="I314" i="30"/>
  <c r="I299" i="30"/>
  <c r="I438" i="30"/>
  <c r="I263" i="30"/>
  <c r="I278" i="30"/>
  <c r="I450" i="30"/>
  <c r="I277" i="30"/>
  <c r="I421" i="30"/>
  <c r="I448" i="30"/>
  <c r="I452" i="30"/>
  <c r="I436" i="30"/>
  <c r="I310" i="30"/>
  <c r="I464" i="30"/>
  <c r="I251" i="30"/>
  <c r="I422" i="30"/>
  <c r="I411" i="30"/>
  <c r="I467" i="30"/>
  <c r="I442" i="30"/>
  <c r="I245" i="30"/>
  <c r="I461" i="30"/>
  <c r="I264" i="30"/>
  <c r="I460" i="30"/>
  <c r="I291" i="30"/>
  <c r="I287" i="30"/>
  <c r="I419" i="30"/>
  <c r="I266" i="30"/>
  <c r="I286" i="30"/>
  <c r="I283" i="30"/>
  <c r="I305" i="30"/>
  <c r="I292" i="30"/>
  <c r="I304" i="30"/>
  <c r="I256" i="30"/>
  <c r="I313" i="30"/>
  <c r="I273" i="30"/>
  <c r="I253" i="30"/>
  <c r="I146" i="30"/>
  <c r="I332" i="30"/>
  <c r="I344" i="30"/>
  <c r="I329" i="30"/>
  <c r="I341" i="30"/>
  <c r="I354" i="30"/>
  <c r="I380" i="30"/>
  <c r="I385" i="30"/>
  <c r="I393" i="30"/>
  <c r="I367" i="30"/>
  <c r="I389" i="30"/>
  <c r="I258" i="30"/>
  <c r="I315" i="30"/>
  <c r="I339" i="30"/>
  <c r="I326" i="30"/>
  <c r="I338" i="30"/>
  <c r="I349" i="30"/>
  <c r="I361" i="30"/>
  <c r="I390" i="30"/>
  <c r="I395" i="30"/>
  <c r="I362" i="30"/>
  <c r="I372" i="30"/>
  <c r="I396" i="30"/>
  <c r="I348" i="30"/>
  <c r="I333" i="30"/>
  <c r="I345" i="30"/>
  <c r="I356" i="30"/>
  <c r="I373" i="30"/>
  <c r="I397" i="30"/>
  <c r="I350" i="30"/>
  <c r="I369" i="30"/>
  <c r="I379" i="30"/>
  <c r="I289" i="30"/>
  <c r="I297" i="30"/>
  <c r="I330" i="30"/>
  <c r="I342" i="30"/>
  <c r="I327" i="30"/>
  <c r="I363" i="30"/>
  <c r="I382" i="30"/>
  <c r="I352" i="30"/>
  <c r="I355" i="30"/>
  <c r="I374" i="30"/>
  <c r="I386" i="30"/>
  <c r="I337" i="30"/>
  <c r="I324" i="30"/>
  <c r="I336" i="30"/>
  <c r="I370" i="30"/>
  <c r="I387" i="30"/>
  <c r="I357" i="30"/>
  <c r="I364" i="30"/>
  <c r="I381" i="30"/>
  <c r="I351" i="30"/>
  <c r="I346" i="30"/>
  <c r="I331" i="30"/>
  <c r="I343" i="30"/>
  <c r="I375" i="30"/>
  <c r="I392" i="30"/>
  <c r="I366" i="30"/>
  <c r="I376" i="30"/>
  <c r="I391" i="30"/>
  <c r="I358" i="30"/>
  <c r="I328" i="30"/>
  <c r="I340" i="30"/>
  <c r="I325" i="30"/>
  <c r="I384" i="30"/>
  <c r="I359" i="30"/>
  <c r="I371" i="30"/>
  <c r="I383" i="30"/>
  <c r="I353" i="30"/>
  <c r="I365" i="30"/>
  <c r="I335" i="30"/>
  <c r="I347" i="30"/>
  <c r="I334" i="30"/>
  <c r="I394" i="30"/>
  <c r="I368" i="30"/>
  <c r="I378" i="30"/>
  <c r="I388" i="30"/>
  <c r="I360" i="30"/>
  <c r="I377" i="30"/>
  <c r="I323" i="30"/>
  <c r="I255" i="30"/>
  <c r="I254" i="30"/>
  <c r="I248" i="30"/>
  <c r="I275" i="30"/>
  <c r="I260" i="30"/>
  <c r="I471" i="30"/>
  <c r="I298" i="30"/>
  <c r="I279" i="30"/>
  <c r="I418" i="30"/>
  <c r="I415" i="30"/>
  <c r="I295" i="30"/>
  <c r="I427" i="30"/>
  <c r="I290" i="30"/>
  <c r="I420" i="30"/>
  <c r="I262" i="30"/>
  <c r="I456" i="30"/>
  <c r="I426" i="30"/>
  <c r="I444" i="30"/>
  <c r="I160" i="30"/>
  <c r="I524" i="30"/>
  <c r="I272" i="30"/>
  <c r="I407" i="30"/>
  <c r="I468" i="30"/>
  <c r="I469" i="30"/>
  <c r="I434" i="30"/>
  <c r="I474" i="30"/>
  <c r="I409" i="30"/>
  <c r="I424" i="30"/>
  <c r="I433" i="30"/>
  <c r="I294" i="30"/>
  <c r="I440" i="30"/>
  <c r="I312" i="30"/>
  <c r="I430" i="30"/>
  <c r="I303" i="30"/>
  <c r="I462" i="30"/>
  <c r="I309" i="30"/>
  <c r="I261" i="30"/>
  <c r="I155" i="30"/>
  <c r="I516" i="30"/>
  <c r="I157" i="30"/>
  <c r="D107" i="12"/>
  <c r="I417" i="30"/>
  <c r="I423" i="30"/>
  <c r="I439" i="30"/>
  <c r="I416" i="30"/>
  <c r="I431" i="30"/>
  <c r="I288" i="30"/>
  <c r="I425" i="30"/>
  <c r="I447" i="30"/>
  <c r="I319" i="30"/>
  <c r="I454" i="30"/>
  <c r="I463" i="30"/>
  <c r="I307" i="30"/>
  <c r="I449" i="30"/>
  <c r="I458" i="30"/>
  <c r="I281" i="30"/>
  <c r="I413" i="30"/>
  <c r="I457" i="30"/>
  <c r="I406" i="30"/>
  <c r="I159" i="30"/>
  <c r="I510" i="30"/>
  <c r="I507" i="30"/>
  <c r="I515" i="30"/>
  <c r="I513" i="30"/>
  <c r="I521" i="30"/>
  <c r="I158" i="30"/>
  <c r="I151" i="30"/>
  <c r="I149" i="30"/>
  <c r="I147" i="30"/>
  <c r="I100" i="30"/>
  <c r="I517" i="30"/>
  <c r="I520" i="30"/>
  <c r="I518" i="30"/>
  <c r="I156" i="30"/>
  <c r="I154" i="30"/>
  <c r="I106" i="30"/>
  <c r="I113" i="30"/>
  <c r="I111" i="30"/>
  <c r="I109" i="30"/>
  <c r="I522" i="30"/>
  <c r="I505" i="30"/>
  <c r="I107" i="30"/>
  <c r="I103" i="30"/>
  <c r="I115" i="30"/>
  <c r="I120" i="30"/>
  <c r="I118" i="30"/>
  <c r="I116" i="30"/>
  <c r="I508" i="30"/>
  <c r="I509" i="30"/>
  <c r="I114" i="30"/>
  <c r="I112" i="30"/>
  <c r="I110" i="30"/>
  <c r="I108" i="30"/>
  <c r="I122" i="30"/>
  <c r="I129" i="30"/>
  <c r="I127" i="30"/>
  <c r="I125" i="30"/>
  <c r="I523" i="30"/>
  <c r="I123" i="30"/>
  <c r="I121" i="30"/>
  <c r="I119" i="30"/>
  <c r="I117" i="30"/>
  <c r="I131" i="30"/>
  <c r="I136" i="30"/>
  <c r="I134" i="30"/>
  <c r="I132" i="30"/>
  <c r="I512" i="30"/>
  <c r="I506" i="30"/>
  <c r="I514" i="30"/>
  <c r="I130" i="30"/>
  <c r="I128" i="30"/>
  <c r="I126" i="30"/>
  <c r="I124" i="30"/>
  <c r="I138" i="30"/>
  <c r="I145" i="30"/>
  <c r="I143" i="30"/>
  <c r="I141" i="30"/>
  <c r="I511" i="30"/>
  <c r="I519" i="30"/>
  <c r="I139" i="30"/>
  <c r="I137" i="30"/>
  <c r="I135" i="30"/>
  <c r="I133" i="30"/>
  <c r="I152" i="30"/>
  <c r="I150" i="30"/>
  <c r="I148" i="30"/>
  <c r="I153" i="30"/>
  <c r="I140" i="30"/>
  <c r="I246" i="30"/>
  <c r="I252" i="30"/>
  <c r="I249" i="30"/>
  <c r="I412" i="30"/>
  <c r="I432" i="30"/>
  <c r="I311" i="30"/>
  <c r="I451" i="30"/>
  <c r="I459" i="30"/>
  <c r="I470" i="30"/>
  <c r="I455" i="30"/>
  <c r="I473" i="30"/>
  <c r="I284" i="30"/>
  <c r="I267" i="30"/>
  <c r="I466" i="30"/>
  <c r="I472" i="30"/>
  <c r="I300" i="30"/>
  <c r="I306" i="30"/>
  <c r="I453" i="30"/>
  <c r="I414" i="30"/>
  <c r="I441" i="30"/>
  <c r="I142" i="30"/>
  <c r="Q5" i="11"/>
  <c r="Q12" i="53"/>
  <c r="Q5" i="53"/>
  <c r="I144" i="30"/>
  <c r="O80" i="31"/>
  <c r="R80" i="31" s="1"/>
  <c r="L239" i="29"/>
  <c r="V298" i="43"/>
  <c r="O200" i="31"/>
  <c r="R200" i="31" s="1"/>
  <c r="O239" i="29"/>
  <c r="T239" i="29"/>
  <c r="U298" i="43"/>
  <c r="V161" i="43"/>
  <c r="E227" i="17"/>
  <c r="D237" i="17"/>
  <c r="N298" i="43"/>
  <c r="AA298" i="43"/>
  <c r="G217" i="17"/>
  <c r="G237" i="17"/>
  <c r="G212" i="17"/>
  <c r="D211" i="17"/>
  <c r="Q298" i="43"/>
  <c r="E209" i="17"/>
  <c r="D220" i="17"/>
  <c r="S298" i="43"/>
  <c r="E205" i="17"/>
  <c r="D224" i="17"/>
  <c r="E237" i="17"/>
  <c r="Y200" i="43"/>
  <c r="R256" i="43"/>
  <c r="T278" i="43"/>
  <c r="M197" i="43"/>
  <c r="Z298" i="43"/>
  <c r="V205" i="43"/>
  <c r="X263" i="43"/>
  <c r="M198" i="43"/>
  <c r="V194" i="43"/>
  <c r="M253" i="43"/>
  <c r="M196" i="43"/>
  <c r="M203" i="43"/>
  <c r="V209" i="43"/>
  <c r="Y189" i="43"/>
  <c r="N204" i="43"/>
  <c r="M201" i="43"/>
  <c r="P277" i="43"/>
  <c r="Q267" i="43"/>
  <c r="W480" i="18"/>
  <c r="O190" i="31"/>
  <c r="O86" i="31"/>
  <c r="R86" i="31" s="1"/>
  <c r="O235" i="31"/>
  <c r="R235" i="31" s="1"/>
  <c r="O217" i="31"/>
  <c r="R217" i="31" s="1"/>
  <c r="O122" i="31"/>
  <c r="R122" i="31" s="1"/>
  <c r="K6" i="18"/>
  <c r="K6" i="19"/>
  <c r="K399" i="19" s="1"/>
  <c r="L78" i="21"/>
  <c r="L147" i="21" s="1"/>
  <c r="K17" i="43"/>
  <c r="K332" i="43" s="1"/>
  <c r="R190" i="31"/>
  <c r="O111" i="31"/>
  <c r="O64" i="31"/>
  <c r="R64" i="31" s="1"/>
  <c r="O280" i="31"/>
  <c r="R280" i="31" s="1"/>
  <c r="O125" i="31"/>
  <c r="R125" i="31" s="1"/>
  <c r="O68" i="31"/>
  <c r="O123" i="31"/>
  <c r="R123" i="31" s="1"/>
  <c r="R34" i="9"/>
  <c r="U244" i="30" s="1"/>
  <c r="U329" i="30" s="1"/>
  <c r="Q34" i="9"/>
  <c r="U7" i="30" s="1"/>
  <c r="T290" i="43"/>
  <c r="T313" i="43"/>
  <c r="T277" i="43"/>
  <c r="T291" i="43"/>
  <c r="T268" i="43"/>
  <c r="T311" i="43"/>
  <c r="T309" i="43"/>
  <c r="T323" i="43"/>
  <c r="T272" i="43"/>
  <c r="N74" i="34"/>
  <c r="N89" i="34"/>
  <c r="N80" i="34"/>
  <c r="N104" i="34"/>
  <c r="N114" i="34"/>
  <c r="N95" i="34"/>
  <c r="N60" i="34"/>
  <c r="N70" i="34"/>
  <c r="N72" i="34"/>
  <c r="N53" i="34"/>
  <c r="T170" i="43"/>
  <c r="T222" i="43"/>
  <c r="T276" i="43"/>
  <c r="T270" i="43"/>
  <c r="T292" i="43"/>
  <c r="T306" i="43"/>
  <c r="T312" i="43"/>
  <c r="T281" i="43"/>
  <c r="T274" i="43"/>
  <c r="T259" i="43"/>
  <c r="T293" i="43"/>
  <c r="N116" i="34"/>
  <c r="N81" i="34"/>
  <c r="N115" i="34"/>
  <c r="N96" i="34"/>
  <c r="N106" i="34"/>
  <c r="N87" i="34"/>
  <c r="N52" i="34"/>
  <c r="N62" i="34"/>
  <c r="N64" i="34"/>
  <c r="N45" i="34"/>
  <c r="T99" i="43"/>
  <c r="T325" i="43"/>
  <c r="T304" i="43"/>
  <c r="T307" i="43"/>
  <c r="T305" i="43"/>
  <c r="T271" i="43"/>
  <c r="T269" i="43"/>
  <c r="T302" i="43"/>
  <c r="T324" i="43"/>
  <c r="T101" i="43"/>
  <c r="T280" i="43"/>
  <c r="T308" i="43"/>
  <c r="T322" i="43"/>
  <c r="N92" i="34"/>
  <c r="N79" i="34"/>
  <c r="N107" i="34"/>
  <c r="N88" i="34"/>
  <c r="N98" i="34"/>
  <c r="N71" i="34"/>
  <c r="N44" i="34"/>
  <c r="N54" i="34"/>
  <c r="N56" i="34"/>
  <c r="T150" i="43"/>
  <c r="T319" i="43"/>
  <c r="T264" i="43"/>
  <c r="T326" i="43"/>
  <c r="T298" i="43"/>
  <c r="T275" i="43"/>
  <c r="T260" i="43"/>
  <c r="T303" i="43"/>
  <c r="T301" i="43"/>
  <c r="T321" i="43"/>
  <c r="T258" i="43"/>
  <c r="N43" i="34"/>
  <c r="N50" i="34"/>
  <c r="N99" i="34"/>
  <c r="N117" i="34"/>
  <c r="N90" i="34"/>
  <c r="N63" i="34"/>
  <c r="N73" i="34"/>
  <c r="N46" i="34"/>
  <c r="N48" i="34"/>
  <c r="T261" i="43"/>
  <c r="T310" i="43"/>
  <c r="T285" i="43"/>
  <c r="T262" i="43"/>
  <c r="T284" i="43"/>
  <c r="T327" i="43"/>
  <c r="T296" i="43"/>
  <c r="T273" i="43"/>
  <c r="T106" i="43"/>
  <c r="T266" i="43"/>
  <c r="T257" i="43"/>
  <c r="T287" i="43"/>
  <c r="N108" i="34"/>
  <c r="N110" i="34"/>
  <c r="N91" i="34"/>
  <c r="N109" i="34"/>
  <c r="N82" i="34"/>
  <c r="N55" i="34"/>
  <c r="N65" i="34"/>
  <c r="N75" i="34"/>
  <c r="T255" i="43"/>
  <c r="T314" i="43"/>
  <c r="T299" i="43"/>
  <c r="T297" i="43"/>
  <c r="T263" i="43"/>
  <c r="T317" i="43"/>
  <c r="T294" i="43"/>
  <c r="T316" i="43"/>
  <c r="T295" i="43"/>
  <c r="N113" i="34"/>
  <c r="N102" i="34"/>
  <c r="N83" i="34"/>
  <c r="N101" i="34"/>
  <c r="N58" i="34"/>
  <c r="N47" i="34"/>
  <c r="N57" i="34"/>
  <c r="N67" i="34"/>
  <c r="N77" i="34"/>
  <c r="T126" i="43"/>
  <c r="T123" i="43"/>
  <c r="T283" i="43"/>
  <c r="T199" i="43"/>
  <c r="T279" i="43"/>
  <c r="T320" i="43"/>
  <c r="T318" i="43"/>
  <c r="T282" i="43"/>
  <c r="T267" i="43"/>
  <c r="T265" i="43"/>
  <c r="N84" i="34"/>
  <c r="N105" i="34"/>
  <c r="N94" i="34"/>
  <c r="N66" i="34"/>
  <c r="N93" i="34"/>
  <c r="N111" i="34"/>
  <c r="N76" i="34"/>
  <c r="N49" i="34"/>
  <c r="N59" i="34"/>
  <c r="N69" i="34"/>
  <c r="E228" i="12"/>
  <c r="O171" i="31"/>
  <c r="R171" i="31" s="1"/>
  <c r="O166" i="31"/>
  <c r="R166" i="31" s="1"/>
  <c r="AB6" i="30"/>
  <c r="O78" i="31"/>
  <c r="R78" i="31" s="1"/>
  <c r="O209" i="31"/>
  <c r="R209" i="31" s="1"/>
  <c r="O273" i="31"/>
  <c r="R273" i="31" s="1"/>
  <c r="O254" i="31"/>
  <c r="R254" i="31" s="1"/>
  <c r="O223" i="31"/>
  <c r="R223" i="31" s="1"/>
  <c r="C617" i="35"/>
  <c r="Q243" i="29"/>
  <c r="J13" i="32"/>
  <c r="J17" i="32" s="1"/>
  <c r="J22" i="32" s="1"/>
  <c r="J28" i="32"/>
  <c r="J43" i="32"/>
  <c r="J57" i="32"/>
  <c r="J61" i="32" s="1"/>
  <c r="J65" i="32" s="1"/>
  <c r="Q6" i="30"/>
  <c r="W161" i="29"/>
  <c r="Q239" i="29"/>
  <c r="V239" i="29"/>
  <c r="V161" i="29"/>
  <c r="K239" i="29"/>
  <c r="N57" i="32"/>
  <c r="Q37" i="4"/>
  <c r="Q19" i="22"/>
  <c r="Q77" i="4"/>
  <c r="Q5" i="4"/>
  <c r="Q5" i="32"/>
  <c r="L5" i="34"/>
  <c r="C319" i="19"/>
  <c r="Y188" i="43"/>
  <c r="T231" i="43"/>
  <c r="T197" i="43"/>
  <c r="N206" i="43"/>
  <c r="AA177" i="43"/>
  <c r="T156" i="43"/>
  <c r="V200" i="43"/>
  <c r="S197" i="43"/>
  <c r="M206" i="43"/>
  <c r="Y194" i="43"/>
  <c r="P278" i="43"/>
  <c r="P309" i="43"/>
  <c r="Y190" i="43"/>
  <c r="P111" i="43"/>
  <c r="U121" i="43"/>
  <c r="P269" i="43"/>
  <c r="P319" i="43"/>
  <c r="T121" i="43"/>
  <c r="Q201" i="43"/>
  <c r="P313" i="43"/>
  <c r="P324" i="43"/>
  <c r="P282" i="43"/>
  <c r="P301" i="43"/>
  <c r="M242" i="43"/>
  <c r="P302" i="43"/>
  <c r="W190" i="43"/>
  <c r="Q150" i="43"/>
  <c r="U198" i="43"/>
  <c r="N197" i="43"/>
  <c r="Y206" i="43"/>
  <c r="T227" i="43"/>
  <c r="P106" i="43"/>
  <c r="V186" i="43"/>
  <c r="Y197" i="43"/>
  <c r="S161" i="43"/>
  <c r="Z317" i="43"/>
  <c r="V190" i="43"/>
  <c r="Y125" i="43"/>
  <c r="I197" i="43"/>
  <c r="T225" i="43"/>
  <c r="T162" i="43"/>
  <c r="T161" i="43"/>
  <c r="U113" i="43"/>
  <c r="Y186" i="43"/>
  <c r="T202" i="43"/>
  <c r="T125" i="43"/>
  <c r="U197" i="43"/>
  <c r="N125" i="43"/>
  <c r="V197" i="43"/>
  <c r="T207" i="43"/>
  <c r="T210" i="43"/>
  <c r="V125" i="43"/>
  <c r="W125" i="43"/>
  <c r="P318" i="43"/>
  <c r="P207" i="43"/>
  <c r="P125" i="43"/>
  <c r="P145" i="43"/>
  <c r="P303" i="43"/>
  <c r="P275" i="43"/>
  <c r="P293" i="43"/>
  <c r="P294" i="43"/>
  <c r="P316" i="43"/>
  <c r="U202" i="43"/>
  <c r="U118" i="43"/>
  <c r="S116" i="43"/>
  <c r="P152" i="43"/>
  <c r="P97" i="43"/>
  <c r="P271" i="43"/>
  <c r="P273" i="43"/>
  <c r="P161" i="43"/>
  <c r="P317" i="43"/>
  <c r="P118" i="43"/>
  <c r="P308" i="43"/>
  <c r="P327" i="43"/>
  <c r="T118" i="43"/>
  <c r="P304" i="43"/>
  <c r="P326" i="43"/>
  <c r="P276" i="43"/>
  <c r="P295" i="43"/>
  <c r="P322" i="43"/>
  <c r="P121" i="43"/>
  <c r="P265" i="43"/>
  <c r="U120" i="43"/>
  <c r="U207" i="43"/>
  <c r="N118" i="43"/>
  <c r="V179" i="43"/>
  <c r="V23" i="43" s="1"/>
  <c r="Y163" i="43"/>
  <c r="Y118" i="43"/>
  <c r="P156" i="43"/>
  <c r="T116" i="43"/>
  <c r="P230" i="43"/>
  <c r="P305" i="43"/>
  <c r="P107" i="43"/>
  <c r="P311" i="43"/>
  <c r="P320" i="43"/>
  <c r="P321" i="43"/>
  <c r="T111" i="43"/>
  <c r="P263" i="43"/>
  <c r="P325" i="43"/>
  <c r="P262" i="43"/>
  <c r="P289" i="43"/>
  <c r="P231" i="43"/>
  <c r="P258" i="43"/>
  <c r="P267" i="43"/>
  <c r="P264" i="43"/>
  <c r="P286" i="43"/>
  <c r="V118" i="43"/>
  <c r="Y120" i="43"/>
  <c r="W118" i="43"/>
  <c r="AA125" i="43"/>
  <c r="P307" i="43"/>
  <c r="P292" i="43"/>
  <c r="P266" i="43"/>
  <c r="P272" i="43"/>
  <c r="P291" i="43"/>
  <c r="P116" i="43"/>
  <c r="P254" i="43"/>
  <c r="P256" i="43"/>
  <c r="P257" i="43"/>
  <c r="P312" i="43"/>
  <c r="P300" i="43"/>
  <c r="P261" i="43"/>
  <c r="P288" i="43"/>
  <c r="P310" i="43"/>
  <c r="P280" i="43"/>
  <c r="P268" i="43"/>
  <c r="P323" i="43"/>
  <c r="Y242" i="43"/>
  <c r="P206" i="43"/>
  <c r="P232" i="43"/>
  <c r="P224" i="43"/>
  <c r="P290" i="43"/>
  <c r="P299" i="43"/>
  <c r="P200" i="43"/>
  <c r="P283" i="43"/>
  <c r="T107" i="43"/>
  <c r="P281" i="43"/>
  <c r="P287" i="43"/>
  <c r="P285" i="43"/>
  <c r="P259" i="43"/>
  <c r="Y116" i="43"/>
  <c r="W120" i="43"/>
  <c r="P296" i="43"/>
  <c r="P297" i="43"/>
  <c r="P284" i="43"/>
  <c r="P306" i="43"/>
  <c r="P315" i="43"/>
  <c r="P197" i="43"/>
  <c r="P270" i="43"/>
  <c r="P255" i="43"/>
  <c r="P274" i="43"/>
  <c r="P120" i="43"/>
  <c r="P129" i="43"/>
  <c r="P260" i="43"/>
  <c r="P279" i="43"/>
  <c r="AA118" i="43"/>
  <c r="P160" i="43"/>
  <c r="P298" i="43"/>
  <c r="P238" i="43"/>
  <c r="Z186" i="43"/>
  <c r="Q110" i="43"/>
  <c r="Z267" i="43"/>
  <c r="W163" i="43"/>
  <c r="Z305" i="43"/>
  <c r="Z321" i="43"/>
  <c r="M163" i="43"/>
  <c r="S163" i="43"/>
  <c r="T163" i="43"/>
  <c r="P204" i="43"/>
  <c r="Z303" i="43"/>
  <c r="Z275" i="43"/>
  <c r="N163" i="43"/>
  <c r="M165" i="43"/>
  <c r="Z304" i="43"/>
  <c r="Z249" i="43"/>
  <c r="M204" i="43"/>
  <c r="P99" i="43"/>
  <c r="T120" i="43"/>
  <c r="Z296" i="43"/>
  <c r="U165" i="43"/>
  <c r="Z314" i="43"/>
  <c r="Z300" i="43"/>
  <c r="N120" i="43"/>
  <c r="N112" i="43"/>
  <c r="V116" i="43"/>
  <c r="V38" i="43" s="1"/>
  <c r="V112" i="43"/>
  <c r="M108" i="43"/>
  <c r="W113" i="43"/>
  <c r="S112" i="43"/>
  <c r="W116" i="43"/>
  <c r="AA163" i="43"/>
  <c r="W112" i="43"/>
  <c r="T113" i="43"/>
  <c r="N108" i="43"/>
  <c r="Y108" i="43"/>
  <c r="S108" i="43"/>
  <c r="N229" i="43"/>
  <c r="T242" i="43"/>
  <c r="P212" i="43"/>
  <c r="P108" i="43"/>
  <c r="P249" i="43"/>
  <c r="T220" i="43"/>
  <c r="Z326" i="43"/>
  <c r="Z277" i="43"/>
  <c r="U220" i="43"/>
  <c r="Z286" i="43"/>
  <c r="Z192" i="43"/>
  <c r="Z319" i="43"/>
  <c r="M120" i="43"/>
  <c r="Y249" i="43"/>
  <c r="Y203" i="43"/>
  <c r="Y112" i="43"/>
  <c r="AA108" i="43"/>
  <c r="AA192" i="43"/>
  <c r="AA112" i="43"/>
  <c r="AA116" i="43"/>
  <c r="R120" i="43"/>
  <c r="T112" i="43"/>
  <c r="Z285" i="43"/>
  <c r="U163" i="43"/>
  <c r="Z301" i="43"/>
  <c r="Z270" i="43"/>
  <c r="N242" i="43"/>
  <c r="N116" i="43"/>
  <c r="V108" i="43"/>
  <c r="V189" i="43"/>
  <c r="V192" i="43"/>
  <c r="V242" i="43"/>
  <c r="M229" i="43"/>
  <c r="M112" i="43"/>
  <c r="M116" i="43"/>
  <c r="Y113" i="43"/>
  <c r="Y221" i="43"/>
  <c r="AA120" i="43"/>
  <c r="W123" i="43"/>
  <c r="Z211" i="43"/>
  <c r="R229" i="43"/>
  <c r="T108" i="43"/>
  <c r="T165" i="43"/>
  <c r="P163" i="43"/>
  <c r="P242" i="43"/>
  <c r="P113" i="43"/>
  <c r="T221" i="43"/>
  <c r="Z112" i="43"/>
  <c r="Z190" i="43"/>
  <c r="V220" i="43"/>
  <c r="AA113" i="43"/>
  <c r="AA203" i="43"/>
  <c r="P112" i="43"/>
  <c r="U108" i="43"/>
  <c r="M113" i="43"/>
  <c r="Z322" i="43"/>
  <c r="Y205" i="43"/>
  <c r="P220" i="43"/>
  <c r="T152" i="43"/>
  <c r="P165" i="43"/>
  <c r="P221" i="43"/>
  <c r="Z268" i="43"/>
  <c r="Z273" i="43"/>
  <c r="V113" i="43"/>
  <c r="Q279" i="43"/>
  <c r="Q271" i="43"/>
  <c r="R129" i="43"/>
  <c r="P126" i="43"/>
  <c r="X189" i="43"/>
  <c r="X262" i="43"/>
  <c r="X282" i="43"/>
  <c r="X288" i="43"/>
  <c r="X276" i="43"/>
  <c r="X120" i="43"/>
  <c r="X201" i="43"/>
  <c r="X112" i="43"/>
  <c r="X264" i="43"/>
  <c r="X265" i="43"/>
  <c r="X256" i="43"/>
  <c r="X257" i="43"/>
  <c r="Y201" i="43"/>
  <c r="R284" i="43"/>
  <c r="Q312" i="43"/>
  <c r="Q123" i="43"/>
  <c r="Q224" i="43"/>
  <c r="Q156" i="43"/>
  <c r="Q106" i="43"/>
  <c r="R103" i="43"/>
  <c r="Q207" i="43"/>
  <c r="Q327" i="43"/>
  <c r="Q307" i="43"/>
  <c r="Q305" i="43"/>
  <c r="P253" i="43"/>
  <c r="Q108" i="43"/>
  <c r="Q161" i="43"/>
  <c r="Q295" i="43"/>
  <c r="Q230" i="43"/>
  <c r="R300" i="43"/>
  <c r="Q221" i="43"/>
  <c r="Q281" i="43"/>
  <c r="R298" i="43"/>
  <c r="Z262" i="43"/>
  <c r="Z276" i="43"/>
  <c r="Z188" i="43"/>
  <c r="Z224" i="43"/>
  <c r="Z287" i="43"/>
  <c r="Z288" i="43"/>
  <c r="Z258" i="43"/>
  <c r="Z294" i="43"/>
  <c r="Z315" i="43"/>
  <c r="Z257" i="43"/>
  <c r="Z255" i="43"/>
  <c r="Z299" i="43"/>
  <c r="N201" i="43"/>
  <c r="X290" i="43"/>
  <c r="X190" i="43"/>
  <c r="V253" i="43"/>
  <c r="X311" i="43"/>
  <c r="X200" i="43"/>
  <c r="X188" i="43"/>
  <c r="V201" i="43"/>
  <c r="X229" i="43"/>
  <c r="X302" i="43"/>
  <c r="X322" i="43"/>
  <c r="X273" i="43"/>
  <c r="X285" i="43"/>
  <c r="X286" i="43"/>
  <c r="X277" i="43"/>
  <c r="X177" i="43"/>
  <c r="X269" i="43"/>
  <c r="Q270" i="43"/>
  <c r="Q260" i="43"/>
  <c r="Q111" i="43"/>
  <c r="Q299" i="43"/>
  <c r="Q313" i="43"/>
  <c r="Q152" i="43"/>
  <c r="Q316" i="43"/>
  <c r="Q280" i="43"/>
  <c r="R312" i="43"/>
  <c r="Q308" i="43"/>
  <c r="Q272" i="43"/>
  <c r="Q263" i="43"/>
  <c r="Q126" i="43"/>
  <c r="R269" i="43"/>
  <c r="Q116" i="43"/>
  <c r="P148" i="43"/>
  <c r="Q274" i="43"/>
  <c r="Q310" i="43"/>
  <c r="Q99" i="43"/>
  <c r="Q231" i="43"/>
  <c r="R119" i="43"/>
  <c r="Q322" i="43"/>
  <c r="R319" i="43"/>
  <c r="Z163" i="43"/>
  <c r="Z182" i="43"/>
  <c r="Z297" i="43"/>
  <c r="Z289" i="43"/>
  <c r="Z324" i="43"/>
  <c r="Z325" i="43"/>
  <c r="Z242" i="43"/>
  <c r="Z113" i="43"/>
  <c r="Z271" i="43"/>
  <c r="Z205" i="43"/>
  <c r="Z177" i="43"/>
  <c r="Z118" i="43"/>
  <c r="X319" i="43"/>
  <c r="X299" i="43"/>
  <c r="X284" i="43"/>
  <c r="X309" i="43"/>
  <c r="X289" i="43"/>
  <c r="X258" i="43"/>
  <c r="X314" i="43"/>
  <c r="X113" i="43"/>
  <c r="X306" i="43"/>
  <c r="X278" i="43"/>
  <c r="X197" i="43"/>
  <c r="X270" i="43"/>
  <c r="M132" i="43"/>
  <c r="Q315" i="43"/>
  <c r="Q302" i="43"/>
  <c r="Q290" i="43"/>
  <c r="Q118" i="43"/>
  <c r="Q293" i="43"/>
  <c r="Q160" i="43"/>
  <c r="Q300" i="43"/>
  <c r="Q325" i="43"/>
  <c r="Q318" i="43"/>
  <c r="R112" i="43"/>
  <c r="Q101" i="43"/>
  <c r="Q238" i="43"/>
  <c r="R286" i="43"/>
  <c r="Q200" i="43"/>
  <c r="Q275" i="43"/>
  <c r="Q258" i="43"/>
  <c r="Q294" i="43"/>
  <c r="R313" i="43"/>
  <c r="Z189" i="43"/>
  <c r="Z291" i="43"/>
  <c r="Z116" i="43"/>
  <c r="Z128" i="43"/>
  <c r="Z108" i="43"/>
  <c r="Z269" i="43"/>
  <c r="Z120" i="43"/>
  <c r="Z260" i="43"/>
  <c r="Z261" i="43"/>
  <c r="Z279" i="43"/>
  <c r="Z323" i="43"/>
  <c r="Z207" i="43"/>
  <c r="Z272" i="43"/>
  <c r="Z306" i="43"/>
  <c r="Z278" i="43"/>
  <c r="Z292" i="43"/>
  <c r="Z320" i="43"/>
  <c r="X163" i="43"/>
  <c r="X255" i="43"/>
  <c r="X297" i="43"/>
  <c r="X108" i="43"/>
  <c r="X266" i="43"/>
  <c r="X275" i="43"/>
  <c r="X294" i="43"/>
  <c r="X242" i="43"/>
  <c r="X323" i="43"/>
  <c r="X105" i="43"/>
  <c r="X298" i="43"/>
  <c r="X307" i="43"/>
  <c r="Q297" i="43"/>
  <c r="Q162" i="43"/>
  <c r="R154" i="43"/>
  <c r="U201" i="43"/>
  <c r="Q262" i="43"/>
  <c r="Q292" i="43"/>
  <c r="Q163" i="43"/>
  <c r="Q326" i="43"/>
  <c r="Q104" i="43"/>
  <c r="Q273" i="43"/>
  <c r="P150" i="43"/>
  <c r="T148" i="43"/>
  <c r="Q148" i="43"/>
  <c r="Q265" i="43"/>
  <c r="Q232" i="43"/>
  <c r="Q220" i="43"/>
  <c r="Q264" i="43"/>
  <c r="Q261" i="43"/>
  <c r="Q254" i="43"/>
  <c r="R316" i="43"/>
  <c r="T201" i="43"/>
  <c r="Q303" i="43"/>
  <c r="Q283" i="43"/>
  <c r="P201" i="43"/>
  <c r="R315" i="43"/>
  <c r="Q309" i="43"/>
  <c r="Q268" i="43"/>
  <c r="Q296" i="43"/>
  <c r="R264" i="43"/>
  <c r="Q121" i="43"/>
  <c r="Z290" i="43"/>
  <c r="Z141" i="43"/>
  <c r="Z318" i="43"/>
  <c r="Z310" i="43"/>
  <c r="Z229" i="43"/>
  <c r="Z281" i="43"/>
  <c r="Z106" i="43"/>
  <c r="Z259" i="43"/>
  <c r="Z308" i="43"/>
  <c r="Z309" i="43"/>
  <c r="Z125" i="43"/>
  <c r="Z307" i="43"/>
  <c r="Z111" i="43"/>
  <c r="Z256" i="43"/>
  <c r="X203" i="43"/>
  <c r="X191" i="43"/>
  <c r="X116" i="43"/>
  <c r="X274" i="43"/>
  <c r="X310" i="43"/>
  <c r="X295" i="43"/>
  <c r="X186" i="43"/>
  <c r="V188" i="43"/>
  <c r="X279" i="43"/>
  <c r="X259" i="43"/>
  <c r="X271" i="43"/>
  <c r="X315" i="43"/>
  <c r="X125" i="43"/>
  <c r="Y229" i="43"/>
  <c r="Q125" i="43"/>
  <c r="Q266" i="43"/>
  <c r="Q269" i="43"/>
  <c r="Q256" i="43"/>
  <c r="Q314" i="43"/>
  <c r="Q286" i="43"/>
  <c r="Q285" i="43"/>
  <c r="R297" i="43"/>
  <c r="Q277" i="43"/>
  <c r="Q321" i="43"/>
  <c r="R163" i="43"/>
  <c r="Q282" i="43"/>
  <c r="Q304" i="43"/>
  <c r="Q120" i="43"/>
  <c r="R320" i="43"/>
  <c r="Z311" i="43"/>
  <c r="Z312" i="43"/>
  <c r="Z282" i="43"/>
  <c r="Z254" i="43"/>
  <c r="Z274" i="43"/>
  <c r="Z129" i="43"/>
  <c r="U229" i="43"/>
  <c r="Z201" i="43"/>
  <c r="Z316" i="43"/>
  <c r="Z179" i="43"/>
  <c r="Z327" i="43"/>
  <c r="Z313" i="43"/>
  <c r="Z293" i="43"/>
  <c r="X304" i="43"/>
  <c r="X292" i="43"/>
  <c r="X318" i="43"/>
  <c r="X101" i="43"/>
  <c r="X283" i="43"/>
  <c r="X280" i="43"/>
  <c r="X287" i="43"/>
  <c r="X267" i="43"/>
  <c r="X106" i="43"/>
  <c r="X308" i="43"/>
  <c r="X327" i="43"/>
  <c r="Z139" i="43"/>
  <c r="Q259" i="43"/>
  <c r="Q284" i="43"/>
  <c r="Q237" i="43"/>
  <c r="X313" i="43"/>
  <c r="R324" i="43"/>
  <c r="Q255" i="43"/>
  <c r="Q242" i="43"/>
  <c r="Q113" i="43"/>
  <c r="Q306" i="43"/>
  <c r="Q278" i="43"/>
  <c r="R116" i="43"/>
  <c r="Q197" i="43"/>
  <c r="Q257" i="43"/>
  <c r="Q311" i="43"/>
  <c r="Q291" i="43"/>
  <c r="R259" i="43"/>
  <c r="Q107" i="43"/>
  <c r="Q276" i="43"/>
  <c r="Q289" i="43"/>
  <c r="Q287" i="43"/>
  <c r="Z284" i="43"/>
  <c r="Z176" i="43"/>
  <c r="Z101" i="43"/>
  <c r="Z283" i="43"/>
  <c r="Z295" i="43"/>
  <c r="Z266" i="43"/>
  <c r="Z302" i="43"/>
  <c r="Z280" i="43"/>
  <c r="Z265" i="43"/>
  <c r="Z263" i="43"/>
  <c r="Z264" i="43"/>
  <c r="Z197" i="43"/>
  <c r="X325" i="43"/>
  <c r="X305" i="43"/>
  <c r="X296" i="43"/>
  <c r="X254" i="43"/>
  <c r="X303" i="43"/>
  <c r="X192" i="43"/>
  <c r="X268" i="43"/>
  <c r="X272" i="43"/>
  <c r="X324" i="43"/>
  <c r="X161" i="43"/>
  <c r="X316" i="43"/>
  <c r="X118" i="43"/>
  <c r="X119" i="43"/>
  <c r="R143" i="43"/>
  <c r="Z110" i="43"/>
  <c r="M139" i="43"/>
  <c r="R139" i="43"/>
  <c r="AA138" i="43"/>
  <c r="T138" i="43"/>
  <c r="Y169" i="43"/>
  <c r="AA169" i="43"/>
  <c r="Y161" i="43"/>
  <c r="W161" i="43"/>
  <c r="U161" i="43"/>
  <c r="AA161" i="43"/>
  <c r="M161" i="43"/>
  <c r="Z161" i="43"/>
  <c r="T237" i="43"/>
  <c r="P237" i="43"/>
  <c r="T232" i="43"/>
  <c r="R232" i="43"/>
  <c r="Z232" i="43"/>
  <c r="M158" i="43"/>
  <c r="N158" i="43"/>
  <c r="X224" i="43"/>
  <c r="U224" i="43"/>
  <c r="M224" i="43"/>
  <c r="V224" i="43"/>
  <c r="N224" i="43"/>
  <c r="T224" i="43"/>
  <c r="W165" i="43"/>
  <c r="X165" i="43"/>
  <c r="S165" i="43"/>
  <c r="Z165" i="43"/>
  <c r="Q165" i="43"/>
  <c r="Y165" i="43"/>
  <c r="N165" i="43"/>
  <c r="V165" i="43"/>
  <c r="R234" i="43"/>
  <c r="T234" i="43"/>
  <c r="Q234" i="43"/>
  <c r="P234" i="43"/>
  <c r="R230" i="43"/>
  <c r="U230" i="43"/>
  <c r="X230" i="43"/>
  <c r="W141" i="43"/>
  <c r="S141" i="43"/>
  <c r="Y141" i="43"/>
  <c r="T141" i="43"/>
  <c r="Q141" i="43"/>
  <c r="M141" i="43"/>
  <c r="U141" i="43"/>
  <c r="AA141" i="43"/>
  <c r="X141" i="43"/>
  <c r="P141" i="43"/>
  <c r="N141" i="43"/>
  <c r="Z200" i="43"/>
  <c r="N200" i="43"/>
  <c r="T200" i="43"/>
  <c r="U200" i="43"/>
  <c r="M200" i="43"/>
  <c r="X123" i="43"/>
  <c r="P123" i="43"/>
  <c r="S103" i="43"/>
  <c r="Q103" i="43"/>
  <c r="W104" i="43"/>
  <c r="M104" i="43"/>
  <c r="T104" i="43"/>
  <c r="S104" i="43"/>
  <c r="AA145" i="43"/>
  <c r="Z331" i="43"/>
  <c r="T145" i="43"/>
  <c r="N249" i="43"/>
  <c r="T209" i="43"/>
  <c r="Q249" i="43"/>
  <c r="Q204" i="43"/>
  <c r="Q209" i="43"/>
  <c r="Z204" i="43"/>
  <c r="Z209" i="43"/>
  <c r="Z169" i="43"/>
  <c r="Z191" i="43"/>
  <c r="N145" i="43"/>
  <c r="V110" i="43"/>
  <c r="V238" i="43"/>
  <c r="Y204" i="43"/>
  <c r="AA110" i="43"/>
  <c r="X249" i="43"/>
  <c r="T238" i="43"/>
  <c r="T143" i="43"/>
  <c r="T203" i="43"/>
  <c r="P162" i="43"/>
  <c r="U204" i="43"/>
  <c r="N209" i="43"/>
  <c r="N203" i="43"/>
  <c r="V145" i="43"/>
  <c r="M249" i="43"/>
  <c r="Y209" i="43"/>
  <c r="S209" i="43"/>
  <c r="W145" i="43"/>
  <c r="S145" i="43"/>
  <c r="Q233" i="43"/>
  <c r="P209" i="43"/>
  <c r="Q169" i="43"/>
  <c r="T249" i="43"/>
  <c r="Z145" i="43"/>
  <c r="U209" i="43"/>
  <c r="V203" i="43"/>
  <c r="V191" i="43"/>
  <c r="V249" i="43"/>
  <c r="X145" i="43"/>
  <c r="W249" i="43"/>
  <c r="Q145" i="43"/>
  <c r="T212" i="43"/>
  <c r="P233" i="43"/>
  <c r="P203" i="43"/>
  <c r="Q203" i="43"/>
  <c r="P169" i="43"/>
  <c r="N110" i="43"/>
  <c r="X204" i="43"/>
  <c r="X209" i="43"/>
  <c r="N212" i="43"/>
  <c r="M145" i="43"/>
  <c r="M209" i="43"/>
  <c r="Y191" i="43"/>
  <c r="Y110" i="43"/>
  <c r="Q212" i="43"/>
  <c r="P110" i="43"/>
  <c r="T204" i="43"/>
  <c r="U145" i="43"/>
  <c r="V212" i="43"/>
  <c r="X110" i="43"/>
  <c r="M110" i="43"/>
  <c r="W110" i="43"/>
  <c r="T233" i="43"/>
  <c r="T110" i="43"/>
  <c r="Z203" i="43"/>
  <c r="U203" i="43"/>
  <c r="V204" i="43"/>
  <c r="M236" i="43"/>
  <c r="C176" i="35"/>
  <c r="C110" i="35"/>
  <c r="C650" i="35" s="1"/>
  <c r="N650" i="35" s="1"/>
  <c r="O74" i="31"/>
  <c r="R74" i="31" s="1"/>
  <c r="O72" i="31"/>
  <c r="R72" i="31" s="1"/>
  <c r="O245" i="31"/>
  <c r="O70" i="31"/>
  <c r="R70" i="31" s="1"/>
  <c r="O56" i="31"/>
  <c r="O176" i="31"/>
  <c r="R176" i="31" s="1"/>
  <c r="O164" i="31"/>
  <c r="R164" i="31" s="1"/>
  <c r="O181" i="31"/>
  <c r="R181" i="31" s="1"/>
  <c r="O242" i="31"/>
  <c r="R242" i="31" s="1"/>
  <c r="O168" i="31"/>
  <c r="R168" i="31" s="1"/>
  <c r="O282" i="31"/>
  <c r="R282" i="31" s="1"/>
  <c r="O100" i="31"/>
  <c r="R100" i="31" s="1"/>
  <c r="O219" i="31"/>
  <c r="R219" i="31" s="1"/>
  <c r="O214" i="31"/>
  <c r="R214" i="31" s="1"/>
  <c r="O105" i="31"/>
  <c r="R105" i="31" s="1"/>
  <c r="O71" i="31"/>
  <c r="R71" i="31" s="1"/>
  <c r="O239" i="31"/>
  <c r="R239" i="31" s="1"/>
  <c r="O121" i="31"/>
  <c r="R121" i="31" s="1"/>
  <c r="O210" i="31"/>
  <c r="R210" i="31" s="1"/>
  <c r="O79" i="31"/>
  <c r="R79" i="31" s="1"/>
  <c r="O269" i="31"/>
  <c r="R269" i="31" s="1"/>
  <c r="O218" i="31"/>
  <c r="R218" i="31" s="1"/>
  <c r="O212" i="31"/>
  <c r="O227" i="31"/>
  <c r="R227" i="31" s="1"/>
  <c r="O267" i="31"/>
  <c r="R267" i="31" s="1"/>
  <c r="O191" i="31"/>
  <c r="R191" i="31" s="1"/>
  <c r="O257" i="31"/>
  <c r="R257" i="31" s="1"/>
  <c r="O81" i="31"/>
  <c r="R81" i="31" s="1"/>
  <c r="O170" i="31"/>
  <c r="R170" i="31" s="1"/>
  <c r="O179" i="31"/>
  <c r="R179" i="31" s="1"/>
  <c r="O186" i="31"/>
  <c r="R186" i="31" s="1"/>
  <c r="O198" i="31"/>
  <c r="R198" i="31" s="1"/>
  <c r="O76" i="31"/>
  <c r="R76" i="31" s="1"/>
  <c r="O93" i="31"/>
  <c r="R93" i="31" s="1"/>
  <c r="O167" i="31"/>
  <c r="R167" i="31" s="1"/>
  <c r="O243" i="31"/>
  <c r="R243" i="31" s="1"/>
  <c r="O225" i="31"/>
  <c r="R225" i="31" s="1"/>
  <c r="O197" i="31"/>
  <c r="R197" i="31" s="1"/>
  <c r="O202" i="31"/>
  <c r="R202" i="31" s="1"/>
  <c r="O66" i="31"/>
  <c r="R66" i="31" s="1"/>
  <c r="O231" i="31"/>
  <c r="R231" i="31" s="1"/>
  <c r="O195" i="31"/>
  <c r="R195" i="31" s="1"/>
  <c r="O88" i="31"/>
  <c r="R88" i="31" s="1"/>
  <c r="O102" i="31"/>
  <c r="R102" i="31" s="1"/>
  <c r="O159" i="31"/>
  <c r="R159" i="31" s="1"/>
  <c r="O174" i="31"/>
  <c r="R174" i="31" s="1"/>
  <c r="O213" i="31"/>
  <c r="R213" i="31" s="1"/>
  <c r="O211" i="31"/>
  <c r="R211" i="31" s="1"/>
  <c r="O226" i="31"/>
  <c r="R226" i="31" s="1"/>
  <c r="O77" i="31"/>
  <c r="R77" i="31" s="1"/>
  <c r="O161" i="31"/>
  <c r="R161" i="31" s="1"/>
  <c r="O119" i="31"/>
  <c r="R119" i="31" s="1"/>
  <c r="O229" i="31"/>
  <c r="R229" i="31" s="1"/>
  <c r="O244" i="31"/>
  <c r="R244" i="31" s="1"/>
  <c r="O126" i="31"/>
  <c r="R126" i="31" s="1"/>
  <c r="O63" i="31"/>
  <c r="R63" i="31" s="1"/>
  <c r="O224" i="31"/>
  <c r="R224" i="31" s="1"/>
  <c r="O83" i="31"/>
  <c r="R83" i="31" s="1"/>
  <c r="O89" i="31"/>
  <c r="R89" i="31" s="1"/>
  <c r="O113" i="31"/>
  <c r="R113" i="31" s="1"/>
  <c r="O278" i="31"/>
  <c r="R278" i="31" s="1"/>
  <c r="O203" i="31"/>
  <c r="R203" i="31" s="1"/>
  <c r="O106" i="31"/>
  <c r="R106" i="31" s="1"/>
  <c r="O260" i="31"/>
  <c r="R260" i="31" s="1"/>
  <c r="O216" i="31"/>
  <c r="R216" i="31" s="1"/>
  <c r="R68" i="31"/>
  <c r="H115" i="34"/>
  <c r="H96" i="34"/>
  <c r="H43" i="34"/>
  <c r="H103" i="34"/>
  <c r="H79" i="34"/>
  <c r="H73" i="34"/>
  <c r="H54" i="34"/>
  <c r="H56" i="34"/>
  <c r="H66" i="34"/>
  <c r="H107" i="34"/>
  <c r="H88" i="34"/>
  <c r="H114" i="34"/>
  <c r="H95" i="34"/>
  <c r="H60" i="34"/>
  <c r="H65" i="34"/>
  <c r="H46" i="34"/>
  <c r="H48" i="34"/>
  <c r="H58" i="34"/>
  <c r="H99" i="34"/>
  <c r="H117" i="34"/>
  <c r="H106" i="34"/>
  <c r="H87" i="34"/>
  <c r="H113" i="34"/>
  <c r="H57" i="34"/>
  <c r="H75" i="34"/>
  <c r="H77" i="34"/>
  <c r="H50" i="34"/>
  <c r="H86" i="34"/>
  <c r="H91" i="34"/>
  <c r="H109" i="34"/>
  <c r="H98" i="34"/>
  <c r="H116" i="34"/>
  <c r="H105" i="34"/>
  <c r="H49" i="34"/>
  <c r="H67" i="34"/>
  <c r="H69" i="34"/>
  <c r="H71" i="34"/>
  <c r="H102" i="34"/>
  <c r="H83" i="34"/>
  <c r="H101" i="34"/>
  <c r="H90" i="34"/>
  <c r="H108" i="34"/>
  <c r="H97" i="34"/>
  <c r="H59" i="34"/>
  <c r="H61" i="34"/>
  <c r="H63" i="34"/>
  <c r="H76" i="34"/>
  <c r="H52" i="34"/>
  <c r="H93" i="34"/>
  <c r="H82" i="34"/>
  <c r="H100" i="34"/>
  <c r="H89" i="34"/>
  <c r="H78" i="34"/>
  <c r="H51" i="34"/>
  <c r="H53" i="34"/>
  <c r="H55" i="34"/>
  <c r="H94" i="34"/>
  <c r="H112" i="34"/>
  <c r="H85" i="34"/>
  <c r="H44" i="34"/>
  <c r="H92" i="34"/>
  <c r="H81" i="34"/>
  <c r="H70" i="34"/>
  <c r="H72" i="34"/>
  <c r="H45" i="34"/>
  <c r="H47" i="34"/>
  <c r="P243" i="29"/>
  <c r="O81" i="34"/>
  <c r="O94" i="34"/>
  <c r="O83" i="34"/>
  <c r="O114" i="34"/>
  <c r="O111" i="34"/>
  <c r="O100" i="34"/>
  <c r="O73" i="34"/>
  <c r="O46" i="34"/>
  <c r="O48" i="34"/>
  <c r="O66" i="34"/>
  <c r="O43" i="34"/>
  <c r="O80" i="34"/>
  <c r="O109" i="34"/>
  <c r="O98" i="34"/>
  <c r="O95" i="34"/>
  <c r="O84" i="34"/>
  <c r="O57" i="34"/>
  <c r="O67" i="34"/>
  <c r="O77" i="34"/>
  <c r="O50" i="34"/>
  <c r="O113" i="34"/>
  <c r="O112" i="34"/>
  <c r="O101" i="34"/>
  <c r="O90" i="34"/>
  <c r="O87" i="34"/>
  <c r="O76" i="34"/>
  <c r="O49" i="34"/>
  <c r="O59" i="34"/>
  <c r="O69" i="34"/>
  <c r="O63" i="34"/>
  <c r="O97" i="34"/>
  <c r="O115" i="34"/>
  <c r="O104" i="34"/>
  <c r="O93" i="34"/>
  <c r="O82" i="34"/>
  <c r="O47" i="34"/>
  <c r="O68" i="34"/>
  <c r="O78" i="34"/>
  <c r="O51" i="34"/>
  <c r="C257" i="21"/>
  <c r="F234" i="21"/>
  <c r="F222" i="21"/>
  <c r="C245" i="21"/>
  <c r="F230" i="21"/>
  <c r="C253" i="21"/>
  <c r="R325" i="43"/>
  <c r="R290" i="43"/>
  <c r="R291" i="43"/>
  <c r="R276" i="43"/>
  <c r="R203" i="43"/>
  <c r="R274" i="43"/>
  <c r="R209" i="43"/>
  <c r="R123" i="43"/>
  <c r="R279" i="43"/>
  <c r="R113" i="43"/>
  <c r="R104" i="43"/>
  <c r="R265" i="43"/>
  <c r="R309" i="43"/>
  <c r="R327" i="43"/>
  <c r="R307" i="43"/>
  <c r="R141" i="43"/>
  <c r="R111" i="43"/>
  <c r="R299" i="43"/>
  <c r="R311" i="43"/>
  <c r="R110" i="43"/>
  <c r="R304" i="43"/>
  <c r="R295" i="43"/>
  <c r="R310" i="43"/>
  <c r="R224" i="43"/>
  <c r="R165" i="43"/>
  <c r="R106" i="43"/>
  <c r="R323" i="43"/>
  <c r="R314" i="43"/>
  <c r="R249" i="43"/>
  <c r="R263" i="43"/>
  <c r="R126" i="43"/>
  <c r="R197" i="43"/>
  <c r="R212" i="43"/>
  <c r="R118" i="43"/>
  <c r="R201" i="43"/>
  <c r="R302" i="43"/>
  <c r="R121" i="43"/>
  <c r="R267" i="43"/>
  <c r="R97" i="43"/>
  <c r="R204" i="43"/>
  <c r="R285" i="43"/>
  <c r="R282" i="43"/>
  <c r="R318" i="43"/>
  <c r="R268" i="43"/>
  <c r="R221" i="43"/>
  <c r="R273" i="43"/>
  <c r="R280" i="43"/>
  <c r="R271" i="43"/>
  <c r="R161" i="43"/>
  <c r="R321" i="43"/>
  <c r="R255" i="43"/>
  <c r="R233" i="43"/>
  <c r="R293" i="43"/>
  <c r="R288" i="43"/>
  <c r="R266" i="43"/>
  <c r="R287" i="43"/>
  <c r="R156" i="43"/>
  <c r="R305" i="43"/>
  <c r="R101" i="43"/>
  <c r="R254" i="43"/>
  <c r="R275" i="43"/>
  <c r="R322" i="43"/>
  <c r="R107" i="43"/>
  <c r="R207" i="43"/>
  <c r="R272" i="43"/>
  <c r="R150" i="43"/>
  <c r="R257" i="43"/>
  <c r="R301" i="43"/>
  <c r="R260" i="43"/>
  <c r="R261" i="43"/>
  <c r="R145" i="43"/>
  <c r="R326" i="43"/>
  <c r="R303" i="43"/>
  <c r="R238" i="43"/>
  <c r="R237" i="43"/>
  <c r="R289" i="43"/>
  <c r="R258" i="43"/>
  <c r="R317" i="43"/>
  <c r="R162" i="43"/>
  <c r="R308" i="43"/>
  <c r="R99" i="43"/>
  <c r="R306" i="43"/>
  <c r="R270" i="43"/>
  <c r="R222" i="43"/>
  <c r="R281" i="43"/>
  <c r="R262" i="43"/>
  <c r="R283" i="43"/>
  <c r="R108" i="43"/>
  <c r="R296" i="43"/>
  <c r="R242" i="43"/>
  <c r="R294" i="43"/>
  <c r="R169" i="43"/>
  <c r="R200" i="43"/>
  <c r="R125" i="43"/>
  <c r="R278" i="43"/>
  <c r="R292" i="43"/>
  <c r="R239" i="43"/>
  <c r="P202" i="43"/>
  <c r="Q202" i="43"/>
  <c r="Z246" i="43"/>
  <c r="Z202" i="43"/>
  <c r="Z185" i="43"/>
  <c r="N246" i="43"/>
  <c r="Y175" i="43"/>
  <c r="U117" i="43"/>
  <c r="V199" i="43"/>
  <c r="X185" i="43"/>
  <c r="O248" i="31"/>
  <c r="R248" i="31" s="1"/>
  <c r="O60" i="31"/>
  <c r="R60" i="31" s="1"/>
  <c r="R133" i="43"/>
  <c r="Q133" i="43"/>
  <c r="Z199" i="43"/>
  <c r="X199" i="43"/>
  <c r="M199" i="43"/>
  <c r="S136" i="43"/>
  <c r="Q215" i="43"/>
  <c r="Q199" i="43"/>
  <c r="R199" i="43"/>
  <c r="P215" i="43"/>
  <c r="X100" i="43"/>
  <c r="C60" i="18"/>
  <c r="C216" i="18" s="1"/>
  <c r="Z480" i="18"/>
  <c r="P133" i="43"/>
  <c r="V185" i="43"/>
  <c r="Y185" i="43"/>
  <c r="P167" i="43"/>
  <c r="T117" i="43"/>
  <c r="P199" i="43"/>
  <c r="U147" i="43"/>
  <c r="U199" i="43"/>
  <c r="Y199" i="43"/>
  <c r="AA147" i="43"/>
  <c r="M147" i="43"/>
  <c r="U171" i="43"/>
  <c r="N171" i="43"/>
  <c r="W171" i="43"/>
  <c r="V171" i="43"/>
  <c r="P241" i="43"/>
  <c r="N241" i="43"/>
  <c r="R248" i="43"/>
  <c r="V248" i="43"/>
  <c r="T248" i="43"/>
  <c r="S134" i="43"/>
  <c r="N134" i="43"/>
  <c r="M134" i="43"/>
  <c r="N208" i="43"/>
  <c r="Y208" i="43"/>
  <c r="V208" i="43"/>
  <c r="X208" i="43"/>
  <c r="Z208" i="43"/>
  <c r="U208" i="43"/>
  <c r="Q208" i="43"/>
  <c r="M208" i="43"/>
  <c r="T208" i="43"/>
  <c r="P208" i="43"/>
  <c r="R208" i="43"/>
  <c r="V198" i="43"/>
  <c r="N198" i="43"/>
  <c r="T198" i="43"/>
  <c r="R198" i="43"/>
  <c r="Y198" i="43"/>
  <c r="Z198" i="43"/>
  <c r="X198" i="43"/>
  <c r="Q198" i="43"/>
  <c r="P198" i="43"/>
  <c r="X194" i="43"/>
  <c r="Z194" i="43"/>
  <c r="S122" i="43"/>
  <c r="X122" i="43"/>
  <c r="N122" i="43"/>
  <c r="Z122" i="43"/>
  <c r="M122" i="43"/>
  <c r="R122" i="43"/>
  <c r="U122" i="43"/>
  <c r="Q122" i="43"/>
  <c r="AA122" i="43"/>
  <c r="V122" i="43"/>
  <c r="P122" i="43"/>
  <c r="W122" i="43"/>
  <c r="Y122" i="43"/>
  <c r="T114" i="43"/>
  <c r="I205" i="43"/>
  <c r="U205" i="43"/>
  <c r="Q205" i="43"/>
  <c r="K205" i="43"/>
  <c r="X205" i="43"/>
  <c r="T205" i="43"/>
  <c r="M205" i="43"/>
  <c r="N205" i="43"/>
  <c r="R205" i="43"/>
  <c r="P205" i="43"/>
  <c r="Z98" i="43"/>
  <c r="P98" i="43"/>
  <c r="W98" i="43"/>
  <c r="X98" i="43"/>
  <c r="V98" i="43"/>
  <c r="T98" i="43"/>
  <c r="R98" i="43"/>
  <c r="M98" i="43"/>
  <c r="AA98" i="43"/>
  <c r="Y98" i="43"/>
  <c r="S98" i="43"/>
  <c r="Q98" i="43"/>
  <c r="Y184" i="43"/>
  <c r="V184" i="43"/>
  <c r="X184" i="43"/>
  <c r="Z184" i="43"/>
  <c r="Y119" i="43"/>
  <c r="V119" i="43"/>
  <c r="Z119" i="43"/>
  <c r="W119" i="43"/>
  <c r="S119" i="43"/>
  <c r="AA119" i="43"/>
  <c r="M119" i="43"/>
  <c r="Q119" i="43"/>
  <c r="U119" i="43"/>
  <c r="U41" i="43" s="1"/>
  <c r="P119" i="43"/>
  <c r="N119" i="43"/>
  <c r="T119" i="43"/>
  <c r="Y109" i="43"/>
  <c r="V109" i="43"/>
  <c r="Z109" i="43"/>
  <c r="AA109" i="43"/>
  <c r="Q109" i="43"/>
  <c r="M109" i="43"/>
  <c r="U109" i="43"/>
  <c r="N109" i="43"/>
  <c r="P109" i="43"/>
  <c r="X109" i="43"/>
  <c r="R109" i="43"/>
  <c r="W183" i="43"/>
  <c r="X183" i="43"/>
  <c r="V183" i="43"/>
  <c r="Z183" i="43"/>
  <c r="V181" i="43"/>
  <c r="X181" i="43"/>
  <c r="AA181" i="43"/>
  <c r="Y181" i="43"/>
  <c r="Z181" i="43"/>
  <c r="W181" i="43"/>
  <c r="M115" i="43"/>
  <c r="U115" i="43"/>
  <c r="R115" i="43"/>
  <c r="Y115" i="43"/>
  <c r="X115" i="43"/>
  <c r="N115" i="43"/>
  <c r="V115" i="43"/>
  <c r="Z115" i="43"/>
  <c r="Q115" i="43"/>
  <c r="T115" i="43"/>
  <c r="V182" i="43"/>
  <c r="W182" i="43"/>
  <c r="Y182" i="43"/>
  <c r="AA182" i="43"/>
  <c r="X182" i="43"/>
  <c r="X132" i="43"/>
  <c r="N132" i="43"/>
  <c r="P132" i="43"/>
  <c r="Y132" i="43"/>
  <c r="Q132" i="43"/>
  <c r="W132" i="43"/>
  <c r="S132" i="43"/>
  <c r="V132" i="43"/>
  <c r="U132" i="43"/>
  <c r="AA132" i="43"/>
  <c r="T132" i="43"/>
  <c r="Z132" i="43"/>
  <c r="Y243" i="29"/>
  <c r="Y6" i="30"/>
  <c r="X236" i="43"/>
  <c r="Y124" i="43"/>
  <c r="Q137" i="43"/>
  <c r="Q149" i="43"/>
  <c r="Z214" i="43"/>
  <c r="Q225" i="43"/>
  <c r="V149" i="43"/>
  <c r="X149" i="43"/>
  <c r="AA149" i="43"/>
  <c r="U149" i="43"/>
  <c r="R149" i="43"/>
  <c r="P149" i="43"/>
  <c r="M149" i="43"/>
  <c r="N149" i="43"/>
  <c r="Z149" i="43"/>
  <c r="T149" i="43"/>
  <c r="W149" i="43"/>
  <c r="Y149" i="43"/>
  <c r="Y223" i="43"/>
  <c r="N223" i="43"/>
  <c r="T223" i="43"/>
  <c r="AA223" i="43"/>
  <c r="W223" i="43"/>
  <c r="V223" i="43"/>
  <c r="P223" i="43"/>
  <c r="M223" i="43"/>
  <c r="U223" i="43"/>
  <c r="Z223" i="43"/>
  <c r="Q223" i="43"/>
  <c r="X223" i="43"/>
  <c r="R223" i="43"/>
  <c r="N236" i="43"/>
  <c r="P236" i="43"/>
  <c r="V236" i="43"/>
  <c r="U236" i="43"/>
  <c r="T236" i="43"/>
  <c r="Z236" i="43"/>
  <c r="R236" i="43"/>
  <c r="Q236" i="43"/>
  <c r="Y219" i="43"/>
  <c r="V219" i="43"/>
  <c r="W219" i="43"/>
  <c r="M219" i="43"/>
  <c r="Z219" i="43"/>
  <c r="R219" i="43"/>
  <c r="X219" i="43"/>
  <c r="N219" i="43"/>
  <c r="P219" i="43"/>
  <c r="Q219" i="43"/>
  <c r="T219" i="43"/>
  <c r="R137" i="43"/>
  <c r="T137" i="43"/>
  <c r="P137" i="43"/>
  <c r="X137" i="43"/>
  <c r="X124" i="43"/>
  <c r="AA124" i="43"/>
  <c r="P124" i="43"/>
  <c r="U124" i="43"/>
  <c r="W124" i="43"/>
  <c r="S124" i="43"/>
  <c r="Z124" i="43"/>
  <c r="T124" i="43"/>
  <c r="M124" i="43"/>
  <c r="R124" i="43"/>
  <c r="Q124" i="43"/>
  <c r="V124" i="43"/>
  <c r="R211" i="43"/>
  <c r="Y211" i="43"/>
  <c r="V211" i="43"/>
  <c r="P211" i="43"/>
  <c r="X211" i="43"/>
  <c r="N211" i="43"/>
  <c r="U211" i="43"/>
  <c r="T211" i="43"/>
  <c r="Q211" i="43"/>
  <c r="AA178" i="43"/>
  <c r="X178" i="43"/>
  <c r="W178" i="43"/>
  <c r="Z178" i="43"/>
  <c r="Y178" i="43"/>
  <c r="V178" i="43"/>
  <c r="AA180" i="43"/>
  <c r="X180" i="43"/>
  <c r="V180" i="43"/>
  <c r="Z180" i="43"/>
  <c r="Y180" i="43"/>
  <c r="W180" i="43"/>
  <c r="Z195" i="43"/>
  <c r="N253" i="43"/>
  <c r="W253" i="43"/>
  <c r="S253" i="43"/>
  <c r="Y253" i="43"/>
  <c r="Q253" i="43"/>
  <c r="AA253" i="43"/>
  <c r="U253" i="43"/>
  <c r="R253" i="43"/>
  <c r="X253" i="43"/>
  <c r="Z253" i="43"/>
  <c r="T253" i="43"/>
  <c r="M211" i="43"/>
  <c r="X121" i="43"/>
  <c r="O271" i="31"/>
  <c r="R271" i="31" s="1"/>
  <c r="O268" i="31"/>
  <c r="R268" i="31" s="1"/>
  <c r="O274" i="31"/>
  <c r="R274" i="31" s="1"/>
  <c r="O256" i="31"/>
  <c r="R256" i="31" s="1"/>
  <c r="O259" i="31"/>
  <c r="R259" i="31" s="1"/>
  <c r="O253" i="31"/>
  <c r="R253" i="31" s="1"/>
  <c r="O258" i="31"/>
  <c r="R258" i="31" s="1"/>
  <c r="O250" i="31"/>
  <c r="R250" i="31" s="1"/>
  <c r="O262" i="31"/>
  <c r="R262" i="31" s="1"/>
  <c r="AA17" i="43"/>
  <c r="AA332" i="43" s="1"/>
  <c r="AA243" i="17"/>
  <c r="AA6" i="18"/>
  <c r="AA6" i="19"/>
  <c r="AA399" i="19" s="1"/>
  <c r="AB78" i="21"/>
  <c r="AB147" i="21" s="1"/>
  <c r="O108" i="31"/>
  <c r="R108" i="31" s="1"/>
  <c r="O283" i="31"/>
  <c r="R283" i="31" s="1"/>
  <c r="O208" i="43"/>
  <c r="O262" i="43"/>
  <c r="O163" i="43"/>
  <c r="O258" i="43"/>
  <c r="E187" i="12"/>
  <c r="E230" i="31" s="1"/>
  <c r="C230" i="31"/>
  <c r="C266" i="30"/>
  <c r="C344" i="30" s="1"/>
  <c r="Z245" i="43"/>
  <c r="R245" i="43"/>
  <c r="P245" i="43"/>
  <c r="V168" i="43"/>
  <c r="AA168" i="43"/>
  <c r="N168" i="43"/>
  <c r="Q168" i="43"/>
  <c r="W168" i="43"/>
  <c r="P168" i="43"/>
  <c r="Z226" i="43"/>
  <c r="T226" i="43"/>
  <c r="P226" i="43"/>
  <c r="Q226" i="43"/>
  <c r="P139" i="43"/>
  <c r="U139" i="43"/>
  <c r="Q139" i="43"/>
  <c r="Z153" i="43"/>
  <c r="Q153" i="43"/>
  <c r="W153" i="43"/>
  <c r="S153" i="43"/>
  <c r="U153" i="43"/>
  <c r="P153" i="43"/>
  <c r="X153" i="43"/>
  <c r="N153" i="43"/>
  <c r="AA153" i="43"/>
  <c r="M140" i="43"/>
  <c r="S140" i="43"/>
  <c r="V140" i="43"/>
  <c r="M154" i="43"/>
  <c r="U244" i="43"/>
  <c r="M244" i="43"/>
  <c r="Z213" i="43"/>
  <c r="V128" i="43"/>
  <c r="Y128" i="43"/>
  <c r="R128" i="43"/>
  <c r="U128" i="43"/>
  <c r="Q128" i="43"/>
  <c r="W128" i="43"/>
  <c r="X128" i="43"/>
  <c r="N128" i="43"/>
  <c r="S128" i="43"/>
  <c r="M128" i="43"/>
  <c r="P128" i="43"/>
  <c r="AA128" i="43"/>
  <c r="T128" i="43"/>
  <c r="U123" i="43"/>
  <c r="X207" i="43"/>
  <c r="M123" i="43"/>
  <c r="V207" i="43"/>
  <c r="X179" i="43"/>
  <c r="Y207" i="43"/>
  <c r="Y123" i="43"/>
  <c r="N123" i="43"/>
  <c r="N207" i="43"/>
  <c r="V123" i="43"/>
  <c r="U196" i="43"/>
  <c r="W179" i="43"/>
  <c r="AA123" i="43"/>
  <c r="S123" i="43"/>
  <c r="Z123" i="43"/>
  <c r="M207" i="43"/>
  <c r="AA179" i="43"/>
  <c r="Y179" i="43"/>
  <c r="O246" i="31"/>
  <c r="R246" i="31" s="1"/>
  <c r="O275" i="31"/>
  <c r="R275" i="31" s="1"/>
  <c r="O276" i="31"/>
  <c r="R276" i="31" s="1"/>
  <c r="O261" i="31"/>
  <c r="R261" i="31" s="1"/>
  <c r="O240" i="31"/>
  <c r="R240" i="31" s="1"/>
  <c r="R210" i="43"/>
  <c r="O124" i="31"/>
  <c r="R124" i="31" s="1"/>
  <c r="O92" i="31"/>
  <c r="R92" i="31" s="1"/>
  <c r="O116" i="31"/>
  <c r="R116" i="31" s="1"/>
  <c r="O120" i="31"/>
  <c r="R120" i="31" s="1"/>
  <c r="O112" i="31"/>
  <c r="R112" i="31" s="1"/>
  <c r="O114" i="31"/>
  <c r="R114" i="31" s="1"/>
  <c r="P239" i="29"/>
  <c r="V83" i="29"/>
  <c r="W83" i="29"/>
  <c r="I239" i="29"/>
  <c r="P138" i="43"/>
  <c r="R138" i="43"/>
  <c r="R240" i="43"/>
  <c r="Q240" i="43"/>
  <c r="T247" i="43"/>
  <c r="R151" i="43"/>
  <c r="X131" i="43"/>
  <c r="R247" i="43"/>
  <c r="R170" i="43"/>
  <c r="Z157" i="43"/>
  <c r="S157" i="43"/>
  <c r="T240" i="43"/>
  <c r="R131" i="43"/>
  <c r="Q144" i="43"/>
  <c r="Q210" i="43"/>
  <c r="R228" i="43"/>
  <c r="Z247" i="43"/>
  <c r="M170" i="43"/>
  <c r="S130" i="43"/>
  <c r="AA130" i="43"/>
  <c r="Q151" i="43"/>
  <c r="P247" i="43"/>
  <c r="R144" i="43"/>
  <c r="T142" i="43"/>
  <c r="Q170" i="43"/>
  <c r="Q142" i="43"/>
  <c r="P228" i="43"/>
  <c r="U210" i="43"/>
  <c r="N157" i="43"/>
  <c r="V142" i="43"/>
  <c r="V130" i="43"/>
  <c r="Y151" i="43"/>
  <c r="P210" i="43"/>
  <c r="T157" i="43"/>
  <c r="Q228" i="43"/>
  <c r="R130" i="43"/>
  <c r="T144" i="43"/>
  <c r="Q131" i="43"/>
  <c r="Q138" i="43"/>
  <c r="P130" i="43"/>
  <c r="T228" i="43"/>
  <c r="Z142" i="43"/>
  <c r="V131" i="43"/>
  <c r="T130" i="43"/>
  <c r="Q157" i="43"/>
  <c r="P157" i="43"/>
  <c r="T151" i="43"/>
  <c r="Q247" i="43"/>
  <c r="U130" i="43"/>
  <c r="U52" i="43" s="1"/>
  <c r="AA151" i="43"/>
  <c r="P142" i="43"/>
  <c r="T131" i="43"/>
  <c r="P151" i="43"/>
  <c r="R157" i="43"/>
  <c r="Z151" i="43"/>
  <c r="Z228" i="43"/>
  <c r="T241" i="43"/>
  <c r="N151" i="43"/>
  <c r="N240" i="43"/>
  <c r="N228" i="43"/>
  <c r="M138" i="43"/>
  <c r="M151" i="43"/>
  <c r="Y142" i="43"/>
  <c r="Y228" i="43"/>
  <c r="S171" i="43"/>
  <c r="S138" i="43"/>
  <c r="C181" i="31"/>
  <c r="P170" i="43"/>
  <c r="R241" i="43"/>
  <c r="R142" i="43"/>
  <c r="Z170" i="43"/>
  <c r="U157" i="43"/>
  <c r="V240" i="43"/>
  <c r="V84" i="43" s="1"/>
  <c r="V228" i="43"/>
  <c r="V144" i="43"/>
  <c r="V235" i="43"/>
  <c r="X142" i="43"/>
  <c r="V157" i="43"/>
  <c r="M171" i="43"/>
  <c r="AA241" i="43"/>
  <c r="K247" i="43"/>
  <c r="E127" i="12"/>
  <c r="E48" i="18" s="1"/>
  <c r="Q216" i="43"/>
  <c r="Z241" i="43"/>
  <c r="N138" i="43"/>
  <c r="N142" i="43"/>
  <c r="X157" i="43"/>
  <c r="V241" i="43"/>
  <c r="X241" i="43"/>
  <c r="Y157" i="43"/>
  <c r="M157" i="43"/>
  <c r="Y240" i="43"/>
  <c r="Y241" i="43"/>
  <c r="W142" i="43"/>
  <c r="W138" i="43"/>
  <c r="S170" i="43"/>
  <c r="AA142" i="43"/>
  <c r="R171" i="43"/>
  <c r="P171" i="43"/>
  <c r="U142" i="43"/>
  <c r="N170" i="43"/>
  <c r="V151" i="43"/>
  <c r="Y170" i="43"/>
  <c r="S151" i="43"/>
  <c r="T171" i="43"/>
  <c r="Q171" i="43"/>
  <c r="P248" i="43"/>
  <c r="U138" i="43"/>
  <c r="U170" i="43"/>
  <c r="U241" i="43"/>
  <c r="X151" i="43"/>
  <c r="V138" i="43"/>
  <c r="Y138" i="43"/>
  <c r="Q241" i="43"/>
  <c r="P240" i="43"/>
  <c r="Z171" i="43"/>
  <c r="Z138" i="43"/>
  <c r="U247" i="43"/>
  <c r="U151" i="43"/>
  <c r="X138" i="43"/>
  <c r="X170" i="43"/>
  <c r="X171" i="43"/>
  <c r="M142" i="43"/>
  <c r="M241" i="43"/>
  <c r="Y171" i="43"/>
  <c r="S142" i="43"/>
  <c r="D145" i="12"/>
  <c r="D189" i="31" s="1"/>
  <c r="AA171" i="43"/>
  <c r="W33" i="9"/>
  <c r="S146" i="43"/>
  <c r="R146" i="43"/>
  <c r="V214" i="43"/>
  <c r="AA164" i="43"/>
  <c r="M164" i="43"/>
  <c r="R164" i="43"/>
  <c r="T164" i="43"/>
  <c r="N164" i="43"/>
  <c r="Q164" i="43"/>
  <c r="M243" i="43"/>
  <c r="T243" i="43"/>
  <c r="R243" i="43"/>
  <c r="X240" i="43"/>
  <c r="M240" i="43"/>
  <c r="U240" i="43"/>
  <c r="Z240" i="43"/>
  <c r="N144" i="43"/>
  <c r="S144" i="43"/>
  <c r="X144" i="43"/>
  <c r="U144" i="43"/>
  <c r="W144" i="43"/>
  <c r="P144" i="43"/>
  <c r="AA144" i="43"/>
  <c r="M144" i="43"/>
  <c r="Z144" i="43"/>
  <c r="X228" i="43"/>
  <c r="S228" i="43"/>
  <c r="M228" i="43"/>
  <c r="U228" i="43"/>
  <c r="Y130" i="43"/>
  <c r="X130" i="43"/>
  <c r="M130" i="43"/>
  <c r="Q130" i="43"/>
  <c r="W130" i="43"/>
  <c r="Z130" i="43"/>
  <c r="N130" i="43"/>
  <c r="Z131" i="43"/>
  <c r="W131" i="43"/>
  <c r="S131" i="43"/>
  <c r="P131" i="43"/>
  <c r="Y131" i="43"/>
  <c r="N131" i="43"/>
  <c r="AA131" i="43"/>
  <c r="M131" i="43"/>
  <c r="C307" i="18"/>
  <c r="C463" i="18" s="1"/>
  <c r="D228" i="12"/>
  <c r="D271" i="31" s="1"/>
  <c r="C271" i="31"/>
  <c r="M220" i="43"/>
  <c r="R220" i="43"/>
  <c r="X220" i="43"/>
  <c r="N220" i="43"/>
  <c r="J220" i="43"/>
  <c r="Z220" i="43"/>
  <c r="AA155" i="43"/>
  <c r="W169" i="43"/>
  <c r="X169" i="43"/>
  <c r="M169" i="43"/>
  <c r="N169" i="43"/>
  <c r="U169" i="43"/>
  <c r="T169" i="43"/>
  <c r="V169" i="43"/>
  <c r="S169" i="43"/>
  <c r="M156" i="43"/>
  <c r="N156" i="43"/>
  <c r="X156" i="43"/>
  <c r="AA156" i="43"/>
  <c r="W156" i="43"/>
  <c r="S156" i="43"/>
  <c r="V156" i="43"/>
  <c r="U156" i="43"/>
  <c r="Z156" i="43"/>
  <c r="Z160" i="43"/>
  <c r="T160" i="43"/>
  <c r="R160" i="43"/>
  <c r="V229" i="43"/>
  <c r="T229" i="43"/>
  <c r="J229" i="43"/>
  <c r="P229" i="43"/>
  <c r="V232" i="43"/>
  <c r="U232" i="43"/>
  <c r="Y232" i="43"/>
  <c r="N232" i="43"/>
  <c r="M232" i="43"/>
  <c r="X232" i="43"/>
  <c r="Y230" i="43"/>
  <c r="M230" i="43"/>
  <c r="T230" i="43"/>
  <c r="N230" i="43"/>
  <c r="V230" i="43"/>
  <c r="Z230" i="43"/>
  <c r="S143" i="43"/>
  <c r="U143" i="43"/>
  <c r="P143" i="43"/>
  <c r="Q143" i="43"/>
  <c r="U206" i="43"/>
  <c r="X206" i="43"/>
  <c r="V206" i="43"/>
  <c r="Z206" i="43"/>
  <c r="Z50" i="43" s="1"/>
  <c r="T206" i="43"/>
  <c r="R206" i="43"/>
  <c r="W129" i="43"/>
  <c r="Q129" i="43"/>
  <c r="X129" i="43"/>
  <c r="Y129" i="43"/>
  <c r="M129" i="43"/>
  <c r="T129" i="43"/>
  <c r="N129" i="43"/>
  <c r="U129" i="43"/>
  <c r="C247" i="31"/>
  <c r="D204" i="12"/>
  <c r="D247" i="31" s="1"/>
  <c r="Y245" i="43"/>
  <c r="T245" i="43"/>
  <c r="N245" i="43"/>
  <c r="U245" i="43"/>
  <c r="AA245" i="43"/>
  <c r="M245" i="43"/>
  <c r="V245" i="43"/>
  <c r="X245" i="43"/>
  <c r="Q245" i="43"/>
  <c r="Y168" i="43"/>
  <c r="R168" i="43"/>
  <c r="M168" i="43"/>
  <c r="Z168" i="43"/>
  <c r="T168" i="43"/>
  <c r="X168" i="43"/>
  <c r="S168" i="43"/>
  <c r="U168" i="43"/>
  <c r="V226" i="43"/>
  <c r="U226" i="43"/>
  <c r="X226" i="43"/>
  <c r="R226" i="43"/>
  <c r="Y139" i="43"/>
  <c r="N139" i="43"/>
  <c r="V139" i="43"/>
  <c r="T139" i="43"/>
  <c r="X139" i="43"/>
  <c r="Y153" i="43"/>
  <c r="T153" i="43"/>
  <c r="M153" i="43"/>
  <c r="R153" i="43"/>
  <c r="V153" i="43"/>
  <c r="Z227" i="43"/>
  <c r="V227" i="43"/>
  <c r="M166" i="43"/>
  <c r="P166" i="43"/>
  <c r="V166" i="43"/>
  <c r="V215" i="43"/>
  <c r="X215" i="43"/>
  <c r="Z135" i="43"/>
  <c r="D231" i="17"/>
  <c r="G238" i="17"/>
  <c r="O201" i="31"/>
  <c r="R201" i="31" s="1"/>
  <c r="M480" i="18"/>
  <c r="M243" i="18"/>
  <c r="O314" i="43"/>
  <c r="O212" i="43"/>
  <c r="O164" i="43"/>
  <c r="O311" i="43"/>
  <c r="J869" i="30"/>
  <c r="J243" i="30"/>
  <c r="O144" i="43"/>
  <c r="O228" i="43"/>
  <c r="E185" i="12"/>
  <c r="C264" i="18"/>
  <c r="C420" i="18" s="1"/>
  <c r="C196" i="31"/>
  <c r="C73" i="18"/>
  <c r="C229" i="18" s="1"/>
  <c r="O320" i="43"/>
  <c r="O128" i="43"/>
  <c r="O227" i="43"/>
  <c r="O236" i="43"/>
  <c r="O260" i="43"/>
  <c r="O211" i="43"/>
  <c r="O277" i="43"/>
  <c r="O125" i="43"/>
  <c r="C218" i="31"/>
  <c r="C254" i="18"/>
  <c r="C332" i="18" s="1"/>
  <c r="K216" i="43"/>
  <c r="M235" i="43"/>
  <c r="N239" i="43"/>
  <c r="C272" i="18"/>
  <c r="C350" i="18" s="1"/>
  <c r="E193" i="12"/>
  <c r="E236" i="31" s="1"/>
  <c r="C82" i="30"/>
  <c r="C160" i="30" s="1"/>
  <c r="D161" i="12"/>
  <c r="D82" i="30" s="1"/>
  <c r="AA146" i="43"/>
  <c r="V146" i="43"/>
  <c r="N146" i="43"/>
  <c r="U146" i="43"/>
  <c r="W146" i="43"/>
  <c r="M146" i="43"/>
  <c r="Y146" i="43"/>
  <c r="X146" i="43"/>
  <c r="T146" i="43"/>
  <c r="Z146" i="43"/>
  <c r="Q146" i="43"/>
  <c r="P146" i="43"/>
  <c r="X214" i="43"/>
  <c r="U214" i="43"/>
  <c r="N214" i="43"/>
  <c r="R214" i="43"/>
  <c r="K214" i="43"/>
  <c r="T214" i="43"/>
  <c r="O214" i="43"/>
  <c r="Q214" i="43"/>
  <c r="AA214" i="43"/>
  <c r="P214" i="43"/>
  <c r="X164" i="43"/>
  <c r="W164" i="43"/>
  <c r="S164" i="43"/>
  <c r="Y164" i="43"/>
  <c r="V164" i="43"/>
  <c r="U164" i="43"/>
  <c r="Z164" i="43"/>
  <c r="P164" i="43"/>
  <c r="Y243" i="43"/>
  <c r="U243" i="43"/>
  <c r="W243" i="43"/>
  <c r="X243" i="43"/>
  <c r="N243" i="43"/>
  <c r="Q243" i="43"/>
  <c r="V243" i="43"/>
  <c r="P243" i="43"/>
  <c r="I243" i="43"/>
  <c r="Z243" i="43"/>
  <c r="Y225" i="43"/>
  <c r="M225" i="43"/>
  <c r="X225" i="43"/>
  <c r="U225" i="43"/>
  <c r="Z225" i="43"/>
  <c r="P225" i="43"/>
  <c r="R225" i="43"/>
  <c r="V225" i="43"/>
  <c r="N225" i="43"/>
  <c r="X227" i="43"/>
  <c r="J227" i="43"/>
  <c r="S227" i="43"/>
  <c r="M227" i="43"/>
  <c r="U227" i="43"/>
  <c r="P227" i="43"/>
  <c r="Y227" i="43"/>
  <c r="N227" i="43"/>
  <c r="R227" i="43"/>
  <c r="Q227" i="43"/>
  <c r="X218" i="43"/>
  <c r="U218" i="43"/>
  <c r="Z218" i="43"/>
  <c r="V218" i="43"/>
  <c r="J218" i="43"/>
  <c r="R218" i="43"/>
  <c r="Q218" i="43"/>
  <c r="N218" i="43"/>
  <c r="T218" i="43"/>
  <c r="M218" i="43"/>
  <c r="P218" i="43"/>
  <c r="W166" i="43"/>
  <c r="S166" i="43"/>
  <c r="Y166" i="43"/>
  <c r="X166" i="43"/>
  <c r="Z166" i="43"/>
  <c r="AA166" i="43"/>
  <c r="U166" i="43"/>
  <c r="N166" i="43"/>
  <c r="Q166" i="43"/>
  <c r="R166" i="43"/>
  <c r="T166" i="43"/>
  <c r="M215" i="43"/>
  <c r="Y215" i="43"/>
  <c r="U215" i="43"/>
  <c r="Z215" i="43"/>
  <c r="N215" i="43"/>
  <c r="T215" i="43"/>
  <c r="R215" i="43"/>
  <c r="X135" i="43"/>
  <c r="N135" i="43"/>
  <c r="AA135" i="43"/>
  <c r="W135" i="43"/>
  <c r="S135" i="43"/>
  <c r="M135" i="43"/>
  <c r="U135" i="43"/>
  <c r="Y135" i="43"/>
  <c r="V135" i="43"/>
  <c r="T135" i="43"/>
  <c r="R135" i="43"/>
  <c r="P135" i="43"/>
  <c r="Q135" i="43"/>
  <c r="V202" i="43"/>
  <c r="R202" i="43"/>
  <c r="T133" i="43"/>
  <c r="S100" i="43"/>
  <c r="N100" i="43"/>
  <c r="V100" i="43"/>
  <c r="Q100" i="43"/>
  <c r="P100" i="43"/>
  <c r="R100" i="43"/>
  <c r="Y100" i="43"/>
  <c r="M100" i="43"/>
  <c r="Z100" i="43"/>
  <c r="S117" i="43"/>
  <c r="Y117" i="43"/>
  <c r="V117" i="43"/>
  <c r="Q117" i="43"/>
  <c r="R117" i="43"/>
  <c r="X117" i="43"/>
  <c r="N117" i="43"/>
  <c r="M117" i="43"/>
  <c r="P117" i="43"/>
  <c r="AA117" i="43"/>
  <c r="W117" i="43"/>
  <c r="Z117" i="43"/>
  <c r="O318" i="43"/>
  <c r="D187" i="12"/>
  <c r="C66" i="30"/>
  <c r="C144" i="30" s="1"/>
  <c r="Q243" i="17"/>
  <c r="Q6" i="18"/>
  <c r="Q6" i="19"/>
  <c r="Q399" i="19" s="1"/>
  <c r="R78" i="21"/>
  <c r="R147" i="21" s="1"/>
  <c r="C266" i="18"/>
  <c r="C344" i="18" s="1"/>
  <c r="C189" i="31"/>
  <c r="C295" i="30"/>
  <c r="C373" i="30" s="1"/>
  <c r="C295" i="18"/>
  <c r="C451" i="18" s="1"/>
  <c r="D171" i="12"/>
  <c r="D250" i="18" s="1"/>
  <c r="E145" i="12"/>
  <c r="E189" i="31" s="1"/>
  <c r="T6" i="30"/>
  <c r="T869" i="30" s="1"/>
  <c r="Q17" i="43"/>
  <c r="Q332" i="43" s="1"/>
  <c r="O193" i="31"/>
  <c r="R193" i="31" s="1"/>
  <c r="O54" i="31"/>
  <c r="O266" i="31"/>
  <c r="R266" i="31" s="1"/>
  <c r="F160" i="43"/>
  <c r="F238" i="43"/>
  <c r="F316" i="43"/>
  <c r="F317" i="43"/>
  <c r="F161" i="43"/>
  <c r="F239" i="43"/>
  <c r="F137" i="43"/>
  <c r="F215" i="43"/>
  <c r="F293" i="43"/>
  <c r="F262" i="43"/>
  <c r="F106" i="43"/>
  <c r="F184" i="43"/>
  <c r="F213" i="43"/>
  <c r="F291" i="43"/>
  <c r="F135" i="43"/>
  <c r="F180" i="43"/>
  <c r="F258" i="43"/>
  <c r="F102" i="43"/>
  <c r="F234" i="43"/>
  <c r="F312" i="43"/>
  <c r="F156" i="43"/>
  <c r="F189" i="43"/>
  <c r="F267" i="43"/>
  <c r="F111" i="43"/>
  <c r="F123" i="43"/>
  <c r="F201" i="43"/>
  <c r="F279" i="43"/>
  <c r="F129" i="43"/>
  <c r="F207" i="43"/>
  <c r="F285" i="43"/>
  <c r="F139" i="43"/>
  <c r="F217" i="43"/>
  <c r="F295" i="43"/>
  <c r="F301" i="43"/>
  <c r="F145" i="43"/>
  <c r="F223" i="43"/>
  <c r="F136" i="43"/>
  <c r="F292" i="43"/>
  <c r="F214" i="43"/>
  <c r="F219" i="43"/>
  <c r="F141" i="43"/>
  <c r="F297" i="43"/>
  <c r="F226" i="43"/>
  <c r="F148" i="43"/>
  <c r="F304" i="43"/>
  <c r="F299" i="43"/>
  <c r="F221" i="43"/>
  <c r="F143" i="43"/>
  <c r="F245" i="43"/>
  <c r="F323" i="43"/>
  <c r="F167" i="43"/>
  <c r="F273" i="43"/>
  <c r="F195" i="43"/>
  <c r="F117" i="43"/>
  <c r="F126" i="43"/>
  <c r="F204" i="43"/>
  <c r="F282" i="43"/>
  <c r="F168" i="43"/>
  <c r="F324" i="43"/>
  <c r="F246" i="43"/>
  <c r="F197" i="43"/>
  <c r="F119" i="43"/>
  <c r="F275" i="43"/>
  <c r="F194" i="43"/>
  <c r="F272" i="43"/>
  <c r="F116" i="43"/>
  <c r="F118" i="43"/>
  <c r="F274" i="43"/>
  <c r="F196" i="43"/>
  <c r="F255" i="43"/>
  <c r="F99" i="43"/>
  <c r="F177" i="43"/>
  <c r="F243" i="43"/>
  <c r="F165" i="43"/>
  <c r="F321" i="43"/>
  <c r="F253" i="43"/>
  <c r="F97" i="43"/>
  <c r="F175" i="43"/>
  <c r="F181" i="43"/>
  <c r="F103" i="43"/>
  <c r="F259" i="43"/>
  <c r="F157" i="43"/>
  <c r="F313" i="43"/>
  <c r="F235" i="43"/>
  <c r="F130" i="43"/>
  <c r="F208" i="43"/>
  <c r="F286" i="43"/>
  <c r="F211" i="43"/>
  <c r="F133" i="43"/>
  <c r="F289" i="43"/>
  <c r="F144" i="43"/>
  <c r="F222" i="43"/>
  <c r="F300" i="43"/>
  <c r="F227" i="43"/>
  <c r="F149" i="43"/>
  <c r="F305" i="43"/>
  <c r="F169" i="43"/>
  <c r="F247" i="43"/>
  <c r="F325" i="43"/>
  <c r="F158" i="43"/>
  <c r="F236" i="43"/>
  <c r="F314" i="43"/>
  <c r="F203" i="43"/>
  <c r="F125" i="43"/>
  <c r="F281" i="43"/>
  <c r="F210" i="43"/>
  <c r="F288" i="43"/>
  <c r="F132" i="43"/>
  <c r="M109" i="29"/>
  <c r="M116" i="29"/>
  <c r="M125" i="29"/>
  <c r="M132" i="29"/>
  <c r="M139" i="29"/>
  <c r="M146" i="29"/>
  <c r="M153" i="29"/>
  <c r="M160" i="29"/>
  <c r="M107" i="29"/>
  <c r="M114" i="29"/>
  <c r="M123" i="29"/>
  <c r="M130" i="29"/>
  <c r="M137" i="29"/>
  <c r="M144" i="29"/>
  <c r="M151" i="29"/>
  <c r="M158" i="29"/>
  <c r="M112" i="29"/>
  <c r="M121" i="29"/>
  <c r="M128" i="29"/>
  <c r="M135" i="29"/>
  <c r="M142" i="29"/>
  <c r="M156" i="29"/>
  <c r="M110" i="29"/>
  <c r="M119" i="29"/>
  <c r="M126" i="29"/>
  <c r="M140" i="29"/>
  <c r="M149" i="29"/>
  <c r="M154" i="29"/>
  <c r="M108" i="29"/>
  <c r="M117" i="29"/>
  <c r="M124" i="29"/>
  <c r="M133" i="29"/>
  <c r="M138" i="29"/>
  <c r="M147" i="29"/>
  <c r="M152" i="29"/>
  <c r="M106" i="29"/>
  <c r="M115" i="29"/>
  <c r="M122" i="29"/>
  <c r="M131" i="29"/>
  <c r="M136" i="29"/>
  <c r="M145" i="29"/>
  <c r="M159" i="29"/>
  <c r="M113" i="29"/>
  <c r="M120" i="29"/>
  <c r="M129" i="29"/>
  <c r="M143" i="29"/>
  <c r="M150" i="29"/>
  <c r="M157" i="29"/>
  <c r="M111" i="29"/>
  <c r="M118" i="29"/>
  <c r="M127" i="29"/>
  <c r="M134" i="29"/>
  <c r="M141" i="29"/>
  <c r="M148" i="29"/>
  <c r="M155" i="29"/>
  <c r="F121" i="43"/>
  <c r="F199" i="43"/>
  <c r="F277" i="43"/>
  <c r="F140" i="43"/>
  <c r="F296" i="43"/>
  <c r="F218" i="43"/>
  <c r="F326" i="43"/>
  <c r="F248" i="43"/>
  <c r="F170" i="43"/>
  <c r="F128" i="43"/>
  <c r="F206" i="43"/>
  <c r="F284" i="43"/>
  <c r="F244" i="43"/>
  <c r="F322" i="43"/>
  <c r="F166" i="43"/>
  <c r="U125" i="30"/>
  <c r="F240" i="43"/>
  <c r="F162" i="43"/>
  <c r="F318" i="43"/>
  <c r="F179" i="43"/>
  <c r="F101" i="43"/>
  <c r="F257" i="43"/>
  <c r="F310" i="43"/>
  <c r="F154" i="43"/>
  <c r="F232" i="43"/>
  <c r="F152" i="43"/>
  <c r="F308" i="43"/>
  <c r="F230" i="43"/>
  <c r="F150" i="43"/>
  <c r="F306" i="43"/>
  <c r="F228" i="43"/>
  <c r="F242" i="43"/>
  <c r="F320" i="43"/>
  <c r="F164" i="43"/>
  <c r="F231" i="43"/>
  <c r="F153" i="43"/>
  <c r="F309" i="43"/>
  <c r="F104" i="43"/>
  <c r="F260" i="43"/>
  <c r="F182" i="43"/>
  <c r="F264" i="43"/>
  <c r="F108" i="43"/>
  <c r="F186" i="43"/>
  <c r="F278" i="43"/>
  <c r="F122" i="43"/>
  <c r="F200" i="43"/>
  <c r="N111" i="29"/>
  <c r="N118" i="29"/>
  <c r="N127" i="29"/>
  <c r="N134" i="29"/>
  <c r="N141" i="29"/>
  <c r="N148" i="29"/>
  <c r="N155" i="29"/>
  <c r="N109" i="29"/>
  <c r="N116" i="29"/>
  <c r="N125" i="29"/>
  <c r="N132" i="29"/>
  <c r="N139" i="29"/>
  <c r="N146" i="29"/>
  <c r="N153" i="29"/>
  <c r="N160" i="29"/>
  <c r="N107" i="29"/>
  <c r="N114" i="29"/>
  <c r="N123" i="29"/>
  <c r="N130" i="29"/>
  <c r="N137" i="29"/>
  <c r="N144" i="29"/>
  <c r="N151" i="29"/>
  <c r="N158" i="29"/>
  <c r="N112" i="29"/>
  <c r="N121" i="29"/>
  <c r="N128" i="29"/>
  <c r="N135" i="29"/>
  <c r="N142" i="29"/>
  <c r="N156" i="29"/>
  <c r="N110" i="29"/>
  <c r="N119" i="29"/>
  <c r="N126" i="29"/>
  <c r="N140" i="29"/>
  <c r="N149" i="29"/>
  <c r="N154" i="29"/>
  <c r="N108" i="29"/>
  <c r="N117" i="29"/>
  <c r="N124" i="29"/>
  <c r="N133" i="29"/>
  <c r="N138" i="29"/>
  <c r="N147" i="29"/>
  <c r="N152" i="29"/>
  <c r="N106" i="29"/>
  <c r="N115" i="29"/>
  <c r="N122" i="29"/>
  <c r="N131" i="29"/>
  <c r="N136" i="29"/>
  <c r="N145" i="29"/>
  <c r="N159" i="29"/>
  <c r="N113" i="29"/>
  <c r="N120" i="29"/>
  <c r="N129" i="29"/>
  <c r="N143" i="29"/>
  <c r="N150" i="29"/>
  <c r="N157" i="29"/>
  <c r="F216" i="43"/>
  <c r="F294" i="43"/>
  <c r="F138" i="43"/>
  <c r="F151" i="43"/>
  <c r="F229" i="43"/>
  <c r="F307" i="43"/>
  <c r="F233" i="43"/>
  <c r="F311" i="43"/>
  <c r="F155" i="43"/>
  <c r="F280" i="43"/>
  <c r="F124" i="43"/>
  <c r="F202" i="43"/>
  <c r="F249" i="43"/>
  <c r="F171" i="43"/>
  <c r="F327" i="43"/>
  <c r="F319" i="43"/>
  <c r="F163" i="43"/>
  <c r="F241" i="43"/>
  <c r="F120" i="43"/>
  <c r="F198" i="43"/>
  <c r="F276" i="43"/>
  <c r="F105" i="43"/>
  <c r="F183" i="43"/>
  <c r="F261" i="43"/>
  <c r="J110" i="29"/>
  <c r="J119" i="29"/>
  <c r="J126" i="29"/>
  <c r="J140" i="29"/>
  <c r="J149" i="29"/>
  <c r="J154" i="29"/>
  <c r="J108" i="29"/>
  <c r="J117" i="29"/>
  <c r="J124" i="29"/>
  <c r="J133" i="29"/>
  <c r="J138" i="29"/>
  <c r="J147" i="29"/>
  <c r="J152" i="29"/>
  <c r="J106" i="29"/>
  <c r="J115" i="29"/>
  <c r="J122" i="29"/>
  <c r="J131" i="29"/>
  <c r="J136" i="29"/>
  <c r="J145" i="29"/>
  <c r="J159" i="29"/>
  <c r="J113" i="29"/>
  <c r="J120" i="29"/>
  <c r="J129" i="29"/>
  <c r="J143" i="29"/>
  <c r="J150" i="29"/>
  <c r="J157" i="29"/>
  <c r="J111" i="29"/>
  <c r="J118" i="29"/>
  <c r="J127" i="29"/>
  <c r="J134" i="29"/>
  <c r="J141" i="29"/>
  <c r="J148" i="29"/>
  <c r="J155" i="29"/>
  <c r="J109" i="29"/>
  <c r="J116" i="29"/>
  <c r="J125" i="29"/>
  <c r="J132" i="29"/>
  <c r="J139" i="29"/>
  <c r="J146" i="29"/>
  <c r="J153" i="29"/>
  <c r="J160" i="29"/>
  <c r="J107" i="29"/>
  <c r="J114" i="29"/>
  <c r="J123" i="29"/>
  <c r="J130" i="29"/>
  <c r="J137" i="29"/>
  <c r="J144" i="29"/>
  <c r="J151" i="29"/>
  <c r="J158" i="29"/>
  <c r="J112" i="29"/>
  <c r="J121" i="29"/>
  <c r="J128" i="29"/>
  <c r="J135" i="29"/>
  <c r="J142" i="29"/>
  <c r="J156" i="29"/>
  <c r="F192" i="43"/>
  <c r="F270" i="43"/>
  <c r="F114" i="43"/>
  <c r="F112" i="43"/>
  <c r="F190" i="43"/>
  <c r="F268" i="43"/>
  <c r="F188" i="43"/>
  <c r="F266" i="43"/>
  <c r="F110" i="43"/>
  <c r="F178" i="43"/>
  <c r="F256" i="43"/>
  <c r="F100" i="43"/>
  <c r="F147" i="43"/>
  <c r="F225" i="43"/>
  <c r="F303" i="43"/>
  <c r="F224" i="43"/>
  <c r="F302" i="43"/>
  <c r="F146" i="43"/>
  <c r="F142" i="43"/>
  <c r="F220" i="43"/>
  <c r="F298" i="43"/>
  <c r="F176" i="43"/>
  <c r="F98" i="43"/>
  <c r="F254" i="43"/>
  <c r="F283" i="43"/>
  <c r="F127" i="43"/>
  <c r="F205" i="43"/>
  <c r="F290" i="43"/>
  <c r="F134" i="43"/>
  <c r="F212" i="43"/>
  <c r="F115" i="43"/>
  <c r="F271" i="43"/>
  <c r="F193" i="43"/>
  <c r="F131" i="43"/>
  <c r="F287" i="43"/>
  <c r="F209" i="43"/>
  <c r="F185" i="43"/>
  <c r="F107" i="43"/>
  <c r="F263" i="43"/>
  <c r="F113" i="43"/>
  <c r="F269" i="43"/>
  <c r="F191" i="43"/>
  <c r="F315" i="43"/>
  <c r="F159" i="43"/>
  <c r="F237" i="43"/>
  <c r="F187" i="43"/>
  <c r="F109" i="43"/>
  <c r="F265" i="43"/>
  <c r="T213" i="43"/>
  <c r="Q246" i="43"/>
  <c r="Q196" i="43"/>
  <c r="R105" i="43"/>
  <c r="Q195" i="43"/>
  <c r="Q114" i="43"/>
  <c r="U97" i="43"/>
  <c r="U105" i="43"/>
  <c r="Z114" i="43"/>
  <c r="Z105" i="43"/>
  <c r="U167" i="43"/>
  <c r="N195" i="43"/>
  <c r="N103" i="43"/>
  <c r="V213" i="43"/>
  <c r="X246" i="43"/>
  <c r="X187" i="43"/>
  <c r="V187" i="43"/>
  <c r="V193" i="43"/>
  <c r="X114" i="43"/>
  <c r="X36" i="43" s="1"/>
  <c r="X193" i="43"/>
  <c r="V154" i="43"/>
  <c r="X167" i="43"/>
  <c r="Y147" i="43"/>
  <c r="M114" i="43"/>
  <c r="Y104" i="43"/>
  <c r="Y134" i="43"/>
  <c r="Y103" i="43"/>
  <c r="Y244" i="43"/>
  <c r="S154" i="43"/>
  <c r="AA167" i="43"/>
  <c r="K213" i="43"/>
  <c r="P195" i="43"/>
  <c r="P105" i="43"/>
  <c r="Q134" i="43"/>
  <c r="R136" i="43"/>
  <c r="R195" i="43"/>
  <c r="T195" i="43"/>
  <c r="Q102" i="43"/>
  <c r="P244" i="43"/>
  <c r="R213" i="43"/>
  <c r="R127" i="43"/>
  <c r="T97" i="43"/>
  <c r="T127" i="43"/>
  <c r="P147" i="43"/>
  <c r="T105" i="43"/>
  <c r="Z136" i="43"/>
  <c r="U127" i="43"/>
  <c r="U114" i="43"/>
  <c r="Z104" i="43"/>
  <c r="Z127" i="43"/>
  <c r="U246" i="43"/>
  <c r="U102" i="43"/>
  <c r="N97" i="43"/>
  <c r="N114" i="43"/>
  <c r="N147" i="43"/>
  <c r="X136" i="43"/>
  <c r="V210" i="43"/>
  <c r="V114" i="43"/>
  <c r="Y213" i="43"/>
  <c r="Y102" i="43"/>
  <c r="AA154" i="43"/>
  <c r="AA103" i="43"/>
  <c r="J246" i="43"/>
  <c r="P136" i="43"/>
  <c r="Q167" i="43"/>
  <c r="T140" i="43"/>
  <c r="T246" i="43"/>
  <c r="R134" i="43"/>
  <c r="P114" i="43"/>
  <c r="Q154" i="43"/>
  <c r="Z147" i="43"/>
  <c r="Z103" i="43"/>
  <c r="Z196" i="43"/>
  <c r="U134" i="43"/>
  <c r="Z134" i="43"/>
  <c r="U103" i="43"/>
  <c r="N210" i="43"/>
  <c r="N154" i="43"/>
  <c r="N104" i="43"/>
  <c r="X196" i="43"/>
  <c r="X147" i="43"/>
  <c r="V136" i="43"/>
  <c r="X97" i="43"/>
  <c r="X104" i="43"/>
  <c r="V147" i="43"/>
  <c r="Y167" i="43"/>
  <c r="M136" i="43"/>
  <c r="M213" i="43"/>
  <c r="M103" i="43"/>
  <c r="Y193" i="43"/>
  <c r="S147" i="43"/>
  <c r="W134" i="43"/>
  <c r="S213" i="43"/>
  <c r="W147" i="43"/>
  <c r="AA105" i="43"/>
  <c r="AA97" i="43"/>
  <c r="W103" i="43"/>
  <c r="P196" i="43"/>
  <c r="R167" i="43"/>
  <c r="P246" i="43"/>
  <c r="Q136" i="43"/>
  <c r="R246" i="43"/>
  <c r="P102" i="43"/>
  <c r="P103" i="43"/>
  <c r="P154" i="43"/>
  <c r="Q244" i="43"/>
  <c r="P104" i="43"/>
  <c r="T134" i="43"/>
  <c r="U140" i="43"/>
  <c r="Z244" i="43"/>
  <c r="Z193" i="43"/>
  <c r="N213" i="43"/>
  <c r="N167" i="43"/>
  <c r="N196" i="43"/>
  <c r="V105" i="43"/>
  <c r="X213" i="43"/>
  <c r="X127" i="43"/>
  <c r="M210" i="43"/>
  <c r="Y154" i="43"/>
  <c r="Y97" i="43"/>
  <c r="S244" i="43"/>
  <c r="S167" i="43"/>
  <c r="AA134" i="43"/>
  <c r="AA104" i="43"/>
  <c r="R114" i="43"/>
  <c r="T147" i="43"/>
  <c r="R196" i="43"/>
  <c r="R102" i="43"/>
  <c r="Q147" i="43"/>
  <c r="P213" i="43"/>
  <c r="P127" i="43"/>
  <c r="Z97" i="43"/>
  <c r="Z210" i="43"/>
  <c r="Z187" i="43"/>
  <c r="N244" i="43"/>
  <c r="X103" i="43"/>
  <c r="V167" i="43"/>
  <c r="X154" i="43"/>
  <c r="X244" i="43"/>
  <c r="X134" i="43"/>
  <c r="V244" i="43"/>
  <c r="M167" i="43"/>
  <c r="Y210" i="43"/>
  <c r="Y246" i="43"/>
  <c r="Y196" i="43"/>
  <c r="Y187" i="43"/>
  <c r="W136" i="43"/>
  <c r="R244" i="43"/>
  <c r="Q213" i="43"/>
  <c r="Q105" i="43"/>
  <c r="T154" i="43"/>
  <c r="T196" i="43"/>
  <c r="R147" i="43"/>
  <c r="T244" i="43"/>
  <c r="T136" i="43"/>
  <c r="P134" i="43"/>
  <c r="O147" i="43"/>
  <c r="U136" i="43"/>
  <c r="U104" i="43"/>
  <c r="Z154" i="43"/>
  <c r="V246" i="43"/>
  <c r="X210" i="43"/>
  <c r="X140" i="43"/>
  <c r="V103" i="43"/>
  <c r="V196" i="43"/>
  <c r="Y105" i="43"/>
  <c r="W176" i="43"/>
  <c r="W167" i="43"/>
  <c r="W154" i="43"/>
  <c r="AA136" i="43"/>
  <c r="T102" i="43"/>
  <c r="T167" i="43"/>
  <c r="Q127" i="43"/>
  <c r="Z167" i="43"/>
  <c r="U154" i="43"/>
  <c r="U213" i="43"/>
  <c r="N136" i="43"/>
  <c r="N105" i="43"/>
  <c r="V104" i="43"/>
  <c r="V134" i="43"/>
  <c r="V97" i="43"/>
  <c r="M105" i="43"/>
  <c r="M97" i="43"/>
  <c r="S105" i="43"/>
  <c r="O209" i="43"/>
  <c r="R331" i="43"/>
  <c r="Q331" i="43"/>
  <c r="X331" i="43"/>
  <c r="P331" i="43"/>
  <c r="T331" i="43"/>
  <c r="X233" i="43"/>
  <c r="U233" i="43"/>
  <c r="N233" i="43"/>
  <c r="V233" i="43"/>
  <c r="Z233" i="43"/>
  <c r="M233" i="43"/>
  <c r="V234" i="43"/>
  <c r="W234" i="43"/>
  <c r="M234" i="43"/>
  <c r="Z234" i="43"/>
  <c r="I234" i="43"/>
  <c r="X234" i="43"/>
  <c r="U234" i="43"/>
  <c r="K234" i="43"/>
  <c r="Y234" i="43"/>
  <c r="N234" i="43"/>
  <c r="Y237" i="43"/>
  <c r="N237" i="43"/>
  <c r="V237" i="43"/>
  <c r="M237" i="43"/>
  <c r="U237" i="43"/>
  <c r="Z237" i="43"/>
  <c r="X237" i="43"/>
  <c r="Y148" i="43"/>
  <c r="Z148" i="43"/>
  <c r="U148" i="43"/>
  <c r="V148" i="43"/>
  <c r="AA148" i="43"/>
  <c r="W148" i="43"/>
  <c r="S148" i="43"/>
  <c r="M148" i="43"/>
  <c r="X148" i="43"/>
  <c r="N148" i="43"/>
  <c r="T217" i="43"/>
  <c r="W217" i="43"/>
  <c r="Z217" i="43"/>
  <c r="U231" i="43"/>
  <c r="O231" i="43"/>
  <c r="Z231" i="43"/>
  <c r="M238" i="43"/>
  <c r="S238" i="43"/>
  <c r="Y238" i="43"/>
  <c r="U238" i="43"/>
  <c r="J238" i="43"/>
  <c r="N238" i="43"/>
  <c r="W238" i="43"/>
  <c r="Z238" i="43"/>
  <c r="AA238" i="43"/>
  <c r="X238" i="43"/>
  <c r="Y162" i="43"/>
  <c r="U162" i="43"/>
  <c r="N152" i="43"/>
  <c r="S152" i="43"/>
  <c r="Y152" i="43"/>
  <c r="Z152" i="43"/>
  <c r="W152" i="43"/>
  <c r="V152" i="43"/>
  <c r="AA152" i="43"/>
  <c r="M152" i="43"/>
  <c r="X152" i="43"/>
  <c r="U152" i="43"/>
  <c r="M221" i="43"/>
  <c r="X221" i="43"/>
  <c r="Z221" i="43"/>
  <c r="U221" i="43"/>
  <c r="N221" i="43"/>
  <c r="V221" i="43"/>
  <c r="N222" i="43"/>
  <c r="Z150" i="43"/>
  <c r="W150" i="43"/>
  <c r="V150" i="43"/>
  <c r="X150" i="43"/>
  <c r="N150" i="43"/>
  <c r="U150" i="43"/>
  <c r="X99" i="43"/>
  <c r="W99" i="43"/>
  <c r="M99" i="43"/>
  <c r="N99" i="43"/>
  <c r="V99" i="43"/>
  <c r="Z99" i="43"/>
  <c r="U99" i="43"/>
  <c r="V126" i="43"/>
  <c r="X126" i="43"/>
  <c r="N126" i="43"/>
  <c r="Z126" i="43"/>
  <c r="U126" i="43"/>
  <c r="Y126" i="43"/>
  <c r="S133" i="43"/>
  <c r="AA133" i="43"/>
  <c r="N133" i="43"/>
  <c r="W133" i="43"/>
  <c r="M133" i="43"/>
  <c r="V133" i="43"/>
  <c r="Z133" i="43"/>
  <c r="X133" i="43"/>
  <c r="U133" i="43"/>
  <c r="Y133" i="43"/>
  <c r="N102" i="43"/>
  <c r="X102" i="43"/>
  <c r="Z102" i="43"/>
  <c r="AA102" i="43"/>
  <c r="V102" i="43"/>
  <c r="W102" i="43"/>
  <c r="S102" i="43"/>
  <c r="M102" i="43"/>
  <c r="U195" i="43"/>
  <c r="X195" i="43"/>
  <c r="V195" i="43"/>
  <c r="O195" i="43"/>
  <c r="S111" i="43"/>
  <c r="N111" i="43"/>
  <c r="W111" i="43"/>
  <c r="X111" i="43"/>
  <c r="U111" i="43"/>
  <c r="V111" i="43"/>
  <c r="V175" i="43"/>
  <c r="X175" i="43"/>
  <c r="Z175" i="43"/>
  <c r="N107" i="43"/>
  <c r="M107" i="43"/>
  <c r="S121" i="43"/>
  <c r="AA121" i="43"/>
  <c r="V107" i="43"/>
  <c r="Z121" i="43"/>
  <c r="Z107" i="43"/>
  <c r="X107" i="43"/>
  <c r="V121" i="43"/>
  <c r="C270" i="21"/>
  <c r="F270" i="21" s="1"/>
  <c r="F247" i="21"/>
  <c r="C278" i="21"/>
  <c r="F278" i="21" s="1"/>
  <c r="F255" i="21"/>
  <c r="C271" i="21"/>
  <c r="F271" i="21" s="1"/>
  <c r="F248" i="21"/>
  <c r="C279" i="21"/>
  <c r="F279" i="21" s="1"/>
  <c r="F256" i="21"/>
  <c r="C264" i="21"/>
  <c r="F264" i="21" s="1"/>
  <c r="F241" i="21"/>
  <c r="F210" i="29"/>
  <c r="F132" i="29"/>
  <c r="F220" i="29"/>
  <c r="F142" i="29"/>
  <c r="F124" i="29"/>
  <c r="F202" i="29"/>
  <c r="F216" i="29"/>
  <c r="F138" i="29"/>
  <c r="F164" i="29"/>
  <c r="F86" i="29"/>
  <c r="F236" i="29"/>
  <c r="F158" i="29"/>
  <c r="F187" i="29"/>
  <c r="F109" i="29"/>
  <c r="F90" i="29"/>
  <c r="F168" i="29"/>
  <c r="F206" i="29"/>
  <c r="F128" i="29"/>
  <c r="F212" i="29"/>
  <c r="F134" i="29"/>
  <c r="F203" i="29"/>
  <c r="F125" i="29"/>
  <c r="F130" i="29"/>
  <c r="F208" i="29"/>
  <c r="F215" i="29"/>
  <c r="F137" i="29"/>
  <c r="F156" i="29"/>
  <c r="F234" i="29"/>
  <c r="F184" i="29"/>
  <c r="F106" i="29"/>
  <c r="F224" i="29"/>
  <c r="F146" i="29"/>
  <c r="F96" i="29"/>
  <c r="F174" i="29"/>
  <c r="F180" i="29"/>
  <c r="F102" i="29"/>
  <c r="F226" i="29"/>
  <c r="F148" i="29"/>
  <c r="F98" i="29"/>
  <c r="F176" i="29"/>
  <c r="F179" i="29"/>
  <c r="F101" i="29"/>
  <c r="F92" i="29"/>
  <c r="F170" i="29"/>
  <c r="F198" i="29"/>
  <c r="F120" i="29"/>
  <c r="F197" i="29"/>
  <c r="F119" i="29"/>
  <c r="F207" i="29"/>
  <c r="F129" i="29"/>
  <c r="F152" i="29"/>
  <c r="F230" i="29"/>
  <c r="F172" i="29"/>
  <c r="F94" i="29"/>
  <c r="F225" i="29"/>
  <c r="F147" i="29"/>
  <c r="F188" i="29"/>
  <c r="F110" i="29"/>
  <c r="O177" i="31"/>
  <c r="R177" i="31" s="1"/>
  <c r="F89" i="29"/>
  <c r="F167" i="29"/>
  <c r="F235" i="29"/>
  <c r="F157" i="29"/>
  <c r="F186" i="29"/>
  <c r="F108" i="29"/>
  <c r="F183" i="29"/>
  <c r="F105" i="29"/>
  <c r="F112" i="29"/>
  <c r="F190" i="29"/>
  <c r="F192" i="29"/>
  <c r="F114" i="29"/>
  <c r="F121" i="29"/>
  <c r="F199" i="29"/>
  <c r="F103" i="29"/>
  <c r="F181" i="29"/>
  <c r="F99" i="29"/>
  <c r="F177" i="29"/>
  <c r="F204" i="29"/>
  <c r="F126" i="29"/>
  <c r="F193" i="29"/>
  <c r="F115" i="29"/>
  <c r="F214" i="29"/>
  <c r="F136" i="29"/>
  <c r="F135" i="29"/>
  <c r="F213" i="29"/>
  <c r="F133" i="29"/>
  <c r="F211" i="29"/>
  <c r="F131" i="29"/>
  <c r="F209" i="29"/>
  <c r="F145" i="29"/>
  <c r="F223" i="29"/>
  <c r="F88" i="29"/>
  <c r="F166" i="29"/>
  <c r="F185" i="29"/>
  <c r="F107" i="29"/>
  <c r="F205" i="29"/>
  <c r="F127" i="29"/>
  <c r="F218" i="29"/>
  <c r="F140" i="29"/>
  <c r="F144" i="29"/>
  <c r="F222" i="29"/>
  <c r="F113" i="29"/>
  <c r="F191" i="29"/>
  <c r="Q242" i="30"/>
  <c r="Q479" i="30"/>
  <c r="Q551" i="30"/>
  <c r="F159" i="29"/>
  <c r="F237" i="29"/>
  <c r="F195" i="29"/>
  <c r="F117" i="29"/>
  <c r="F155" i="29"/>
  <c r="F233" i="29"/>
  <c r="F189" i="29"/>
  <c r="F111" i="29"/>
  <c r="F141" i="29"/>
  <c r="F219" i="29"/>
  <c r="F228" i="29"/>
  <c r="F150" i="29"/>
  <c r="F153" i="29"/>
  <c r="F231" i="29"/>
  <c r="F122" i="29"/>
  <c r="F200" i="29"/>
  <c r="T6" i="19"/>
  <c r="T399" i="19" s="1"/>
  <c r="T17" i="43"/>
  <c r="T332" i="43" s="1"/>
  <c r="T6" i="18"/>
  <c r="T243" i="17"/>
  <c r="U78" i="21"/>
  <c r="U147" i="21" s="1"/>
  <c r="F95" i="29"/>
  <c r="F173" i="29"/>
  <c r="F171" i="29"/>
  <c r="F93" i="29"/>
  <c r="F169" i="29"/>
  <c r="F91" i="29"/>
  <c r="F151" i="29"/>
  <c r="F229" i="29"/>
  <c r="F149" i="29"/>
  <c r="F227" i="29"/>
  <c r="F178" i="29"/>
  <c r="F100" i="29"/>
  <c r="F154" i="29"/>
  <c r="F232" i="29"/>
  <c r="F97" i="29"/>
  <c r="F175" i="29"/>
  <c r="F87" i="29"/>
  <c r="F165" i="29"/>
  <c r="F194" i="29"/>
  <c r="F116" i="29"/>
  <c r="F123" i="29"/>
  <c r="F201" i="29"/>
  <c r="F182" i="29"/>
  <c r="F104" i="29"/>
  <c r="F160" i="29"/>
  <c r="F238" i="29"/>
  <c r="F196" i="29"/>
  <c r="F118" i="29"/>
  <c r="F143" i="29"/>
  <c r="F221" i="29"/>
  <c r="F139" i="29"/>
  <c r="F217" i="29"/>
  <c r="T243" i="29"/>
  <c r="N10" i="29"/>
  <c r="N19" i="29"/>
  <c r="N26" i="29"/>
  <c r="N17" i="29"/>
  <c r="N24" i="29"/>
  <c r="N15" i="29"/>
  <c r="N22" i="29"/>
  <c r="N13" i="29"/>
  <c r="N20" i="29"/>
  <c r="N11" i="29"/>
  <c r="N18" i="29"/>
  <c r="N27" i="29"/>
  <c r="N9" i="29"/>
  <c r="N16" i="29"/>
  <c r="N25" i="29"/>
  <c r="N30" i="29"/>
  <c r="N39" i="29"/>
  <c r="N28" i="29"/>
  <c r="N29" i="29"/>
  <c r="N36" i="29"/>
  <c r="N12" i="29"/>
  <c r="N21" i="29"/>
  <c r="N47" i="29"/>
  <c r="N43" i="29"/>
  <c r="N31" i="29"/>
  <c r="N41" i="29"/>
  <c r="N44" i="29"/>
  <c r="N34" i="29"/>
  <c r="N38" i="29"/>
  <c r="N14" i="29"/>
  <c r="N40" i="29"/>
  <c r="N49" i="29"/>
  <c r="N55" i="29"/>
  <c r="N23" i="29"/>
  <c r="N33" i="29"/>
  <c r="N42" i="29"/>
  <c r="N46" i="29"/>
  <c r="N53" i="29"/>
  <c r="N52" i="29"/>
  <c r="N56" i="29"/>
  <c r="N61" i="29"/>
  <c r="N51" i="29"/>
  <c r="N59" i="29"/>
  <c r="N35" i="29"/>
  <c r="N57" i="29"/>
  <c r="N37" i="29"/>
  <c r="N32" i="29"/>
  <c r="N45" i="29"/>
  <c r="N50" i="29"/>
  <c r="N54" i="29"/>
  <c r="N58" i="29"/>
  <c r="N65" i="29"/>
  <c r="N72" i="29"/>
  <c r="N70" i="29"/>
  <c r="N77" i="29"/>
  <c r="N68" i="29"/>
  <c r="N75" i="29"/>
  <c r="N82" i="29"/>
  <c r="N62" i="29"/>
  <c r="N66" i="29"/>
  <c r="N73" i="29"/>
  <c r="N80" i="29"/>
  <c r="N71" i="29"/>
  <c r="N76" i="29"/>
  <c r="N63" i="29"/>
  <c r="N81" i="29"/>
  <c r="N67" i="29"/>
  <c r="N69" i="29"/>
  <c r="N48" i="29"/>
  <c r="N78" i="29"/>
  <c r="N79" i="29"/>
  <c r="N74" i="29"/>
  <c r="N60" i="29"/>
  <c r="N64" i="29"/>
  <c r="J11" i="29"/>
  <c r="J18" i="29"/>
  <c r="J27" i="29"/>
  <c r="J9" i="29"/>
  <c r="J16" i="29"/>
  <c r="J25" i="29"/>
  <c r="J14" i="29"/>
  <c r="J23" i="29"/>
  <c r="J12" i="29"/>
  <c r="J21" i="29"/>
  <c r="J10" i="29"/>
  <c r="J19" i="29"/>
  <c r="J26" i="29"/>
  <c r="J17" i="29"/>
  <c r="J24" i="29"/>
  <c r="J20" i="29"/>
  <c r="J31" i="29"/>
  <c r="J38" i="29"/>
  <c r="J22" i="29"/>
  <c r="J29" i="29"/>
  <c r="J28" i="29"/>
  <c r="J37" i="29"/>
  <c r="J42" i="29"/>
  <c r="J32" i="29"/>
  <c r="J40" i="29"/>
  <c r="J46" i="29"/>
  <c r="J41" i="29"/>
  <c r="J15" i="29"/>
  <c r="J36" i="29"/>
  <c r="J45" i="29"/>
  <c r="J13" i="29"/>
  <c r="J30" i="29"/>
  <c r="J47" i="29"/>
  <c r="J33" i="29"/>
  <c r="J54" i="29"/>
  <c r="J52" i="29"/>
  <c r="J44" i="29"/>
  <c r="J35" i="29"/>
  <c r="J50" i="29"/>
  <c r="J51" i="29"/>
  <c r="J55" i="29"/>
  <c r="J60" i="29"/>
  <c r="J58" i="29"/>
  <c r="J34" i="29"/>
  <c r="J39" i="29"/>
  <c r="J53" i="29"/>
  <c r="J43" i="29"/>
  <c r="J48" i="29"/>
  <c r="J56" i="29"/>
  <c r="J59" i="29"/>
  <c r="J71" i="29"/>
  <c r="J76" i="29"/>
  <c r="J49" i="29"/>
  <c r="J62" i="29"/>
  <c r="J63" i="29"/>
  <c r="J69" i="29"/>
  <c r="J74" i="29"/>
  <c r="J61" i="29"/>
  <c r="J67" i="29"/>
  <c r="J81" i="29"/>
  <c r="J65" i="29"/>
  <c r="J72" i="29"/>
  <c r="J57" i="29"/>
  <c r="J64" i="29"/>
  <c r="J70" i="29"/>
  <c r="J68" i="29"/>
  <c r="J79" i="29"/>
  <c r="J78" i="29"/>
  <c r="J77" i="29"/>
  <c r="J73" i="29"/>
  <c r="J75" i="29"/>
  <c r="J82" i="29"/>
  <c r="J66" i="29"/>
  <c r="J80" i="29"/>
  <c r="M17" i="29"/>
  <c r="M24" i="29"/>
  <c r="M15" i="29"/>
  <c r="M22" i="29"/>
  <c r="M13" i="29"/>
  <c r="M20" i="29"/>
  <c r="M11" i="29"/>
  <c r="M18" i="29"/>
  <c r="M27" i="29"/>
  <c r="M9" i="29"/>
  <c r="M16" i="29"/>
  <c r="M25" i="29"/>
  <c r="M14" i="29"/>
  <c r="M23" i="29"/>
  <c r="M30" i="29"/>
  <c r="M10" i="29"/>
  <c r="M19" i="29"/>
  <c r="M28" i="29"/>
  <c r="M37" i="29"/>
  <c r="M42" i="29"/>
  <c r="M12" i="29"/>
  <c r="M21" i="29"/>
  <c r="M34" i="29"/>
  <c r="M41" i="29"/>
  <c r="M33" i="29"/>
  <c r="M36" i="29"/>
  <c r="M39" i="29"/>
  <c r="M45" i="29"/>
  <c r="M32" i="29"/>
  <c r="M40" i="29"/>
  <c r="M48" i="29"/>
  <c r="M35" i="29"/>
  <c r="M38" i="29"/>
  <c r="M49" i="29"/>
  <c r="M55" i="29"/>
  <c r="M46" i="29"/>
  <c r="M53" i="29"/>
  <c r="M51" i="29"/>
  <c r="M26" i="29"/>
  <c r="M59" i="29"/>
  <c r="M44" i="29"/>
  <c r="M57" i="29"/>
  <c r="M64" i="29"/>
  <c r="M29" i="29"/>
  <c r="M62" i="29"/>
  <c r="M50" i="29"/>
  <c r="M58" i="29"/>
  <c r="M70" i="29"/>
  <c r="M68" i="29"/>
  <c r="M75" i="29"/>
  <c r="M47" i="29"/>
  <c r="M56" i="29"/>
  <c r="M66" i="29"/>
  <c r="M73" i="29"/>
  <c r="M80" i="29"/>
  <c r="M52" i="29"/>
  <c r="M78" i="29"/>
  <c r="M71" i="29"/>
  <c r="M63" i="29"/>
  <c r="M69" i="29"/>
  <c r="M74" i="29"/>
  <c r="M31" i="29"/>
  <c r="M67" i="29"/>
  <c r="M76" i="29"/>
  <c r="M82" i="29"/>
  <c r="M54" i="29"/>
  <c r="M79" i="29"/>
  <c r="M61" i="29"/>
  <c r="M72" i="29"/>
  <c r="M60" i="29"/>
  <c r="M43" i="29"/>
  <c r="M65" i="29"/>
  <c r="M81" i="29"/>
  <c r="M77" i="29"/>
  <c r="Y868" i="30"/>
  <c r="U792" i="18"/>
  <c r="U243" i="18"/>
  <c r="O152" i="43"/>
  <c r="O266" i="43"/>
  <c r="O244" i="43"/>
  <c r="O154" i="43"/>
  <c r="O256" i="43"/>
  <c r="O165" i="43"/>
  <c r="O312" i="43"/>
  <c r="O242" i="43"/>
  <c r="O161" i="43"/>
  <c r="O291" i="43"/>
  <c r="O199" i="43"/>
  <c r="O278" i="43"/>
  <c r="O149" i="43"/>
  <c r="O296" i="43"/>
  <c r="O226" i="43"/>
  <c r="O313" i="43"/>
  <c r="O145" i="43"/>
  <c r="O275" i="43"/>
  <c r="O284" i="43"/>
  <c r="O121" i="43"/>
  <c r="O317" i="43"/>
  <c r="O130" i="43"/>
  <c r="O254" i="43"/>
  <c r="O148" i="43"/>
  <c r="O323" i="43"/>
  <c r="O237" i="43"/>
  <c r="O162" i="43"/>
  <c r="O264" i="43"/>
  <c r="O151" i="43"/>
  <c r="O248" i="43"/>
  <c r="O273" i="43"/>
  <c r="O146" i="43"/>
  <c r="O139" i="43"/>
  <c r="O265" i="43"/>
  <c r="O150" i="43"/>
  <c r="O102" i="43"/>
  <c r="O205" i="43"/>
  <c r="O300" i="43"/>
  <c r="O97" i="43"/>
  <c r="O123" i="43"/>
  <c r="O327" i="43"/>
  <c r="O132" i="43"/>
  <c r="O134" i="43"/>
  <c r="O290" i="43"/>
  <c r="O103" i="43"/>
  <c r="O136" i="43"/>
  <c r="O259" i="43"/>
  <c r="O268" i="43"/>
  <c r="O159" i="43"/>
  <c r="O281" i="43"/>
  <c r="O287" i="43"/>
  <c r="O143" i="43"/>
  <c r="O240" i="43"/>
  <c r="O279" i="43"/>
  <c r="O249" i="43"/>
  <c r="O203" i="43"/>
  <c r="O306" i="43"/>
  <c r="O119" i="43"/>
  <c r="O137" i="43"/>
  <c r="O224" i="43"/>
  <c r="O263" i="43"/>
  <c r="O233" i="43"/>
  <c r="O117" i="43"/>
  <c r="O204" i="43"/>
  <c r="O156" i="43"/>
  <c r="O267" i="43"/>
  <c r="O245" i="43"/>
  <c r="O276" i="43"/>
  <c r="O171" i="43"/>
  <c r="O274" i="43"/>
  <c r="O105" i="43"/>
  <c r="O295" i="43"/>
  <c r="O100" i="43"/>
  <c r="O198" i="43"/>
  <c r="O293" i="43"/>
  <c r="O106" i="43"/>
  <c r="O98" i="43"/>
  <c r="O157" i="43"/>
  <c r="O304" i="43"/>
  <c r="O133" i="43"/>
  <c r="O220" i="43"/>
  <c r="O238" i="43"/>
  <c r="O141" i="43"/>
  <c r="O288" i="43"/>
  <c r="O218" i="43"/>
  <c r="O305" i="43"/>
  <c r="O243" i="43"/>
  <c r="O160" i="43"/>
  <c r="O272" i="43"/>
  <c r="O101" i="43"/>
  <c r="O206" i="43"/>
  <c r="O301" i="43"/>
  <c r="O114" i="43"/>
  <c r="O201" i="43"/>
  <c r="O307" i="43"/>
  <c r="O112" i="43"/>
  <c r="O215" i="43"/>
  <c r="O294" i="43"/>
  <c r="O285" i="43"/>
  <c r="O207" i="43"/>
  <c r="O286" i="43"/>
  <c r="O131" i="43"/>
  <c r="O234" i="43"/>
  <c r="O321" i="43"/>
  <c r="O253" i="43"/>
  <c r="O269" i="43"/>
  <c r="O270" i="43"/>
  <c r="O115" i="43"/>
  <c r="O319" i="43"/>
  <c r="O124" i="43"/>
  <c r="O282" i="43"/>
  <c r="O196" i="43"/>
  <c r="O170" i="43"/>
  <c r="O99" i="43"/>
  <c r="O202" i="43"/>
  <c r="O289" i="43"/>
  <c r="O315" i="43"/>
  <c r="O120" i="43"/>
  <c r="O223" i="43"/>
  <c r="O302" i="43"/>
  <c r="O118" i="43"/>
  <c r="O221" i="43"/>
  <c r="O316" i="43"/>
  <c r="O299" i="43"/>
  <c r="O104" i="43"/>
  <c r="O308" i="43"/>
  <c r="O138" i="43"/>
  <c r="O232" i="43"/>
  <c r="O257" i="43"/>
  <c r="O153" i="43"/>
  <c r="O283" i="43"/>
  <c r="O197" i="43"/>
  <c r="O292" i="43"/>
  <c r="O129" i="43"/>
  <c r="O325" i="43"/>
  <c r="O255" i="43"/>
  <c r="O225" i="43"/>
  <c r="O168" i="43"/>
  <c r="O280" i="43"/>
  <c r="O109" i="43"/>
  <c r="O297" i="43"/>
  <c r="O167" i="43"/>
  <c r="O200" i="43"/>
  <c r="O303" i="43"/>
  <c r="O108" i="43"/>
  <c r="O126" i="43"/>
  <c r="O229" i="43"/>
  <c r="O324" i="43"/>
  <c r="O166" i="43"/>
  <c r="O219" i="43"/>
  <c r="O322" i="43"/>
  <c r="O135" i="43"/>
  <c r="O169" i="43"/>
  <c r="O110" i="43"/>
  <c r="O213" i="43"/>
  <c r="O127" i="43"/>
  <c r="O246" i="43"/>
  <c r="O271" i="43"/>
  <c r="O241" i="43"/>
  <c r="O142" i="43"/>
  <c r="O298" i="43"/>
  <c r="O111" i="43"/>
  <c r="O230" i="43"/>
  <c r="O261" i="43"/>
  <c r="O247" i="43"/>
  <c r="O326" i="43"/>
  <c r="O107" i="43"/>
  <c r="O210" i="43"/>
  <c r="O116" i="43"/>
  <c r="O113" i="43"/>
  <c r="O309" i="43"/>
  <c r="O122" i="43"/>
  <c r="C31" i="18"/>
  <c r="C187" i="18" s="1"/>
  <c r="D110" i="12"/>
  <c r="E110" i="12"/>
  <c r="E154" i="31" s="1"/>
  <c r="C154" i="31"/>
  <c r="C31" i="30"/>
  <c r="C228" i="31"/>
  <c r="C264" i="30"/>
  <c r="C342" i="30" s="1"/>
  <c r="D185" i="12"/>
  <c r="D264" i="30" s="1"/>
  <c r="C214" i="31"/>
  <c r="C250" i="18"/>
  <c r="E171" i="12"/>
  <c r="E214" i="31" s="1"/>
  <c r="C73" i="30"/>
  <c r="C229" i="30" s="1"/>
  <c r="D152" i="12"/>
  <c r="D196" i="31" s="1"/>
  <c r="E152" i="12"/>
  <c r="E196" i="31" s="1"/>
  <c r="E194" i="12"/>
  <c r="E237" i="31" s="1"/>
  <c r="C237" i="31"/>
  <c r="C273" i="18"/>
  <c r="C351" i="18" s="1"/>
  <c r="D194" i="12"/>
  <c r="C171" i="31"/>
  <c r="C48" i="30"/>
  <c r="C126" i="30" s="1"/>
  <c r="D127" i="12"/>
  <c r="D171" i="31" s="1"/>
  <c r="AA157" i="43"/>
  <c r="W157" i="43"/>
  <c r="AA170" i="43"/>
  <c r="W170" i="43"/>
  <c r="W151" i="43"/>
  <c r="W100" i="43"/>
  <c r="AA100" i="43"/>
  <c r="J201" i="43"/>
  <c r="AA115" i="43"/>
  <c r="W115" i="43"/>
  <c r="C58" i="30"/>
  <c r="C136" i="30" s="1"/>
  <c r="D137" i="12"/>
  <c r="D181" i="31" s="1"/>
  <c r="E137" i="12"/>
  <c r="E181" i="31" s="1"/>
  <c r="C267" i="30"/>
  <c r="C423" i="30" s="1"/>
  <c r="C267" i="18"/>
  <c r="C423" i="18" s="1"/>
  <c r="E188" i="12"/>
  <c r="E267" i="18" s="1"/>
  <c r="C231" i="31"/>
  <c r="C163" i="31"/>
  <c r="C40" i="30"/>
  <c r="C118" i="30" s="1"/>
  <c r="C40" i="18"/>
  <c r="C118" i="18" s="1"/>
  <c r="E119" i="12"/>
  <c r="E163" i="31" s="1"/>
  <c r="C236" i="31"/>
  <c r="C272" i="30"/>
  <c r="C350" i="30" s="1"/>
  <c r="D193" i="12"/>
  <c r="C205" i="31"/>
  <c r="C82" i="18"/>
  <c r="C160" i="18" s="1"/>
  <c r="E161" i="12"/>
  <c r="E205" i="31" s="1"/>
  <c r="O173" i="31"/>
  <c r="R173" i="31" s="1"/>
  <c r="Y479" i="30"/>
  <c r="Y551" i="30"/>
  <c r="I479" i="30"/>
  <c r="I242" i="30"/>
  <c r="I551" i="30"/>
  <c r="I868" i="30"/>
  <c r="I6" i="30"/>
  <c r="H41" i="34"/>
  <c r="H140" i="34" s="1"/>
  <c r="I243" i="29"/>
  <c r="Y6" i="18"/>
  <c r="Y243" i="17"/>
  <c r="Z78" i="21"/>
  <c r="Z147" i="21" s="1"/>
  <c r="Y17" i="43"/>
  <c r="Y332" i="43" s="1"/>
  <c r="Y6" i="19"/>
  <c r="Y399" i="19" s="1"/>
  <c r="J551" i="30"/>
  <c r="J479" i="30"/>
  <c r="J868" i="30"/>
  <c r="J242" i="30"/>
  <c r="R6" i="18"/>
  <c r="R17" i="43"/>
  <c r="R332" i="43" s="1"/>
  <c r="R243" i="17"/>
  <c r="S78" i="21"/>
  <c r="S147" i="21" s="1"/>
  <c r="R6" i="19"/>
  <c r="R399" i="19" s="1"/>
  <c r="L479" i="30"/>
  <c r="L242" i="30"/>
  <c r="L868" i="30"/>
  <c r="L551" i="30"/>
  <c r="T479" i="30"/>
  <c r="T868" i="30"/>
  <c r="T242" i="30"/>
  <c r="T551" i="30"/>
  <c r="K41" i="34"/>
  <c r="K140" i="34" s="1"/>
  <c r="L243" i="29"/>
  <c r="L6" i="30"/>
  <c r="E218" i="12"/>
  <c r="E297" i="30" s="1"/>
  <c r="F218" i="12"/>
  <c r="G218" i="12"/>
  <c r="F197" i="12"/>
  <c r="G197" i="12"/>
  <c r="G110" i="12"/>
  <c r="G154" i="31" s="1"/>
  <c r="F110" i="12"/>
  <c r="F185" i="12"/>
  <c r="G185" i="12"/>
  <c r="G228" i="31" s="1"/>
  <c r="F171" i="12"/>
  <c r="G171" i="12"/>
  <c r="G214" i="31" s="1"/>
  <c r="G152" i="12"/>
  <c r="G196" i="31" s="1"/>
  <c r="F152" i="12"/>
  <c r="F194" i="12"/>
  <c r="G194" i="12"/>
  <c r="G237" i="31" s="1"/>
  <c r="F127" i="12"/>
  <c r="G127" i="12"/>
  <c r="G171" i="31" s="1"/>
  <c r="G104" i="12"/>
  <c r="G25" i="30" s="1"/>
  <c r="F104" i="12"/>
  <c r="C293" i="30"/>
  <c r="C449" i="30" s="1"/>
  <c r="F214" i="12"/>
  <c r="G214" i="12"/>
  <c r="G293" i="30" s="1"/>
  <c r="F143" i="12"/>
  <c r="G143" i="12"/>
  <c r="C177" i="31"/>
  <c r="F133" i="12"/>
  <c r="G133" i="12"/>
  <c r="G177" i="31" s="1"/>
  <c r="C191" i="31"/>
  <c r="F147" i="12"/>
  <c r="G147" i="12"/>
  <c r="G68" i="18" s="1"/>
  <c r="F219" i="12"/>
  <c r="G219" i="12"/>
  <c r="G262" i="31" s="1"/>
  <c r="C38" i="18"/>
  <c r="C194" i="18" s="1"/>
  <c r="F117" i="12"/>
  <c r="G117" i="12"/>
  <c r="G161" i="31" s="1"/>
  <c r="C158" i="31"/>
  <c r="G114" i="12"/>
  <c r="G35" i="30" s="1"/>
  <c r="F114" i="12"/>
  <c r="C290" i="30"/>
  <c r="F211" i="12"/>
  <c r="G211" i="12"/>
  <c r="G254" i="31" s="1"/>
  <c r="C233" i="31"/>
  <c r="F190" i="12"/>
  <c r="G190" i="12"/>
  <c r="G233" i="31" s="1"/>
  <c r="D154" i="12"/>
  <c r="D75" i="30" s="1"/>
  <c r="G154" i="12"/>
  <c r="G198" i="31" s="1"/>
  <c r="F154" i="12"/>
  <c r="F118" i="17"/>
  <c r="F196" i="17"/>
  <c r="F88" i="17"/>
  <c r="F166" i="17"/>
  <c r="F107" i="17"/>
  <c r="F185" i="17"/>
  <c r="F205" i="17"/>
  <c r="F127" i="17"/>
  <c r="F140" i="17"/>
  <c r="F218" i="17"/>
  <c r="F222" i="17"/>
  <c r="F144" i="17"/>
  <c r="F191" i="17"/>
  <c r="F113" i="17"/>
  <c r="F150" i="17"/>
  <c r="F228" i="17"/>
  <c r="F177" i="17"/>
  <c r="F99" i="17"/>
  <c r="F120" i="17"/>
  <c r="F198" i="17"/>
  <c r="F197" i="17"/>
  <c r="F119" i="17"/>
  <c r="F207" i="17"/>
  <c r="F129" i="17"/>
  <c r="F159" i="17"/>
  <c r="F237" i="17"/>
  <c r="F195" i="17"/>
  <c r="F117" i="17"/>
  <c r="F233" i="17"/>
  <c r="F155" i="17"/>
  <c r="F205" i="12"/>
  <c r="G205" i="12"/>
  <c r="G248" i="31" s="1"/>
  <c r="G92" i="12"/>
  <c r="F92" i="12"/>
  <c r="F129" i="12"/>
  <c r="G129" i="12"/>
  <c r="G173" i="31" s="1"/>
  <c r="E240" i="12"/>
  <c r="E283" i="31" s="1"/>
  <c r="F240" i="12"/>
  <c r="G240" i="12"/>
  <c r="F153" i="12"/>
  <c r="G153" i="12"/>
  <c r="F195" i="12"/>
  <c r="G195" i="12"/>
  <c r="G96" i="12"/>
  <c r="G140" i="31" s="1"/>
  <c r="F96" i="12"/>
  <c r="D201" i="12"/>
  <c r="D244" i="31" s="1"/>
  <c r="F201" i="12"/>
  <c r="G201" i="12"/>
  <c r="G244" i="31" s="1"/>
  <c r="E112" i="12"/>
  <c r="E156" i="31" s="1"/>
  <c r="G112" i="12"/>
  <c r="F112" i="12"/>
  <c r="C299" i="30"/>
  <c r="C455" i="30" s="1"/>
  <c r="F220" i="12"/>
  <c r="G220" i="12"/>
  <c r="D151" i="12"/>
  <c r="D195" i="31" s="1"/>
  <c r="F151" i="12"/>
  <c r="G151" i="12"/>
  <c r="G195" i="31" s="1"/>
  <c r="F170" i="12"/>
  <c r="G170" i="12"/>
  <c r="G213" i="31" s="1"/>
  <c r="F95" i="12"/>
  <c r="G95" i="12"/>
  <c r="F199" i="12"/>
  <c r="G199" i="12"/>
  <c r="G278" i="30" s="1"/>
  <c r="D94" i="12"/>
  <c r="G94" i="12"/>
  <c r="G138" i="31" s="1"/>
  <c r="F94" i="12"/>
  <c r="F118" i="19"/>
  <c r="F274" i="19"/>
  <c r="F352" i="19"/>
  <c r="F196" i="19"/>
  <c r="F88" i="19"/>
  <c r="F166" i="19"/>
  <c r="F322" i="19"/>
  <c r="F244" i="19"/>
  <c r="F107" i="19"/>
  <c r="F185" i="19"/>
  <c r="F263" i="19"/>
  <c r="F341" i="19"/>
  <c r="F127" i="19"/>
  <c r="F283" i="19"/>
  <c r="F205" i="19"/>
  <c r="F361" i="19"/>
  <c r="F218" i="19"/>
  <c r="F140" i="19"/>
  <c r="F374" i="19"/>
  <c r="F296" i="19"/>
  <c r="F144" i="19"/>
  <c r="F222" i="19"/>
  <c r="F300" i="19"/>
  <c r="F378" i="19"/>
  <c r="F269" i="19"/>
  <c r="F113" i="19"/>
  <c r="F347" i="19"/>
  <c r="F191" i="19"/>
  <c r="F306" i="19"/>
  <c r="F150" i="19"/>
  <c r="F384" i="19"/>
  <c r="F228" i="19"/>
  <c r="F99" i="19"/>
  <c r="F255" i="19"/>
  <c r="F333" i="19"/>
  <c r="F177" i="19"/>
  <c r="F120" i="19"/>
  <c r="F198" i="19"/>
  <c r="F276" i="19"/>
  <c r="F354" i="19"/>
  <c r="F353" i="19"/>
  <c r="F197" i="19"/>
  <c r="F275" i="19"/>
  <c r="F119" i="19"/>
  <c r="F129" i="19"/>
  <c r="F207" i="19"/>
  <c r="F285" i="19"/>
  <c r="F363" i="19"/>
  <c r="F159" i="19"/>
  <c r="F315" i="19"/>
  <c r="F237" i="19"/>
  <c r="F393" i="19"/>
  <c r="F117" i="19"/>
  <c r="F195" i="19"/>
  <c r="F273" i="19"/>
  <c r="F351" i="19"/>
  <c r="F389" i="19"/>
  <c r="F233" i="19"/>
  <c r="F311" i="19"/>
  <c r="F155" i="19"/>
  <c r="C224" i="31"/>
  <c r="F181" i="12"/>
  <c r="G181" i="12"/>
  <c r="C77" i="18"/>
  <c r="C155" i="18" s="1"/>
  <c r="G156" i="12"/>
  <c r="G77" i="18" s="1"/>
  <c r="F156" i="12"/>
  <c r="C190" i="31"/>
  <c r="G146" i="12"/>
  <c r="G190" i="31" s="1"/>
  <c r="F146" i="12"/>
  <c r="F223" i="12"/>
  <c r="G223" i="12"/>
  <c r="F203" i="12"/>
  <c r="G203" i="12"/>
  <c r="G246" i="31" s="1"/>
  <c r="F91" i="12"/>
  <c r="G91" i="12"/>
  <c r="G12" i="30" s="1"/>
  <c r="F198" i="12"/>
  <c r="G198" i="12"/>
  <c r="F183" i="12"/>
  <c r="G183" i="12"/>
  <c r="G160" i="12"/>
  <c r="F160" i="12"/>
  <c r="C313" i="18"/>
  <c r="C391" i="18" s="1"/>
  <c r="F234" i="12"/>
  <c r="G234" i="12"/>
  <c r="C11" i="18"/>
  <c r="C89" i="18" s="1"/>
  <c r="F90" i="12"/>
  <c r="G90" i="12"/>
  <c r="G11" i="18" s="1"/>
  <c r="D210" i="12"/>
  <c r="F210" i="12"/>
  <c r="G210" i="12"/>
  <c r="G253" i="31" s="1"/>
  <c r="C275" i="30"/>
  <c r="C431" i="30" s="1"/>
  <c r="F196" i="12"/>
  <c r="G196" i="12"/>
  <c r="C131" i="31"/>
  <c r="G87" i="12"/>
  <c r="G131" i="31" s="1"/>
  <c r="F87" i="12"/>
  <c r="C219" i="31"/>
  <c r="F176" i="12"/>
  <c r="G176" i="12"/>
  <c r="G219" i="31" s="1"/>
  <c r="C41" i="30"/>
  <c r="C119" i="30" s="1"/>
  <c r="G120" i="12"/>
  <c r="G41" i="18" s="1"/>
  <c r="F120" i="12"/>
  <c r="C305" i="18"/>
  <c r="C461" i="18" s="1"/>
  <c r="F226" i="12"/>
  <c r="G226" i="12"/>
  <c r="G269" i="31" s="1"/>
  <c r="E159" i="12"/>
  <c r="E203" i="31" s="1"/>
  <c r="F159" i="12"/>
  <c r="G159" i="12"/>
  <c r="G203" i="31" s="1"/>
  <c r="F169" i="12"/>
  <c r="G169" i="12"/>
  <c r="G248" i="18" s="1"/>
  <c r="E148" i="12"/>
  <c r="E69" i="18" s="1"/>
  <c r="G148" i="12"/>
  <c r="F148" i="12"/>
  <c r="F113" i="12"/>
  <c r="G113" i="12"/>
  <c r="G157" i="31" s="1"/>
  <c r="F214" i="17"/>
  <c r="F136" i="17"/>
  <c r="F213" i="17"/>
  <c r="F135" i="17"/>
  <c r="F211" i="17"/>
  <c r="F133" i="17"/>
  <c r="F209" i="17"/>
  <c r="F131" i="17"/>
  <c r="F145" i="17"/>
  <c r="F223" i="17"/>
  <c r="F229" i="17"/>
  <c r="F151" i="17"/>
  <c r="F227" i="17"/>
  <c r="F149" i="17"/>
  <c r="F178" i="17"/>
  <c r="F100" i="17"/>
  <c r="F154" i="17"/>
  <c r="F232" i="17"/>
  <c r="F97" i="17"/>
  <c r="F175" i="17"/>
  <c r="F165" i="17"/>
  <c r="F87" i="17"/>
  <c r="F194" i="17"/>
  <c r="F116" i="17"/>
  <c r="F201" i="17"/>
  <c r="F123" i="17"/>
  <c r="F182" i="17"/>
  <c r="F104" i="17"/>
  <c r="F86" i="17"/>
  <c r="F164" i="17"/>
  <c r="F219" i="17"/>
  <c r="F141" i="17"/>
  <c r="F146" i="17"/>
  <c r="F224" i="17"/>
  <c r="F204" i="17"/>
  <c r="F126" i="17"/>
  <c r="F193" i="17"/>
  <c r="F115" i="17"/>
  <c r="F160" i="17"/>
  <c r="F238" i="17"/>
  <c r="C275" i="31"/>
  <c r="F232" i="12"/>
  <c r="G232" i="12"/>
  <c r="G311" i="18" s="1"/>
  <c r="C185" i="31"/>
  <c r="F141" i="12"/>
  <c r="G141" i="12"/>
  <c r="G185" i="31" s="1"/>
  <c r="E212" i="12"/>
  <c r="E255" i="31" s="1"/>
  <c r="F212" i="12"/>
  <c r="G212" i="12"/>
  <c r="C144" i="31"/>
  <c r="G100" i="12"/>
  <c r="F100" i="12"/>
  <c r="E126" i="12"/>
  <c r="E170" i="31" s="1"/>
  <c r="G126" i="12"/>
  <c r="G170" i="31" s="1"/>
  <c r="F126" i="12"/>
  <c r="C247" i="30"/>
  <c r="C403" i="30" s="1"/>
  <c r="F168" i="12"/>
  <c r="G168" i="12"/>
  <c r="G211" i="31" s="1"/>
  <c r="F204" i="12"/>
  <c r="G204" i="12"/>
  <c r="C268" i="18"/>
  <c r="C346" i="18" s="1"/>
  <c r="F189" i="12"/>
  <c r="G189" i="12"/>
  <c r="G268" i="30" s="1"/>
  <c r="F123" i="12"/>
  <c r="G123" i="12"/>
  <c r="E179" i="12"/>
  <c r="F179" i="12"/>
  <c r="G179" i="12"/>
  <c r="F172" i="12"/>
  <c r="G172" i="12"/>
  <c r="G251" i="18" s="1"/>
  <c r="G106" i="12"/>
  <c r="G150" i="31" s="1"/>
  <c r="F106" i="12"/>
  <c r="F217" i="12"/>
  <c r="G217" i="12"/>
  <c r="E208" i="12"/>
  <c r="E251" i="31" s="1"/>
  <c r="F208" i="12"/>
  <c r="G208" i="12"/>
  <c r="E89" i="12"/>
  <c r="F89" i="12"/>
  <c r="G89" i="12"/>
  <c r="D207" i="12"/>
  <c r="D286" i="30" s="1"/>
  <c r="F207" i="12"/>
  <c r="G207" i="12"/>
  <c r="G250" i="31" s="1"/>
  <c r="D128" i="12"/>
  <c r="D172" i="31" s="1"/>
  <c r="G128" i="12"/>
  <c r="F128" i="12"/>
  <c r="F225" i="12"/>
  <c r="G225" i="12"/>
  <c r="G268" i="31" s="1"/>
  <c r="E125" i="12"/>
  <c r="E169" i="31" s="1"/>
  <c r="F125" i="12"/>
  <c r="G125" i="12"/>
  <c r="G169" i="31" s="1"/>
  <c r="G130" i="12"/>
  <c r="G174" i="31" s="1"/>
  <c r="F130" i="12"/>
  <c r="F136" i="19"/>
  <c r="F292" i="19"/>
  <c r="F370" i="19"/>
  <c r="F214" i="19"/>
  <c r="F135" i="19"/>
  <c r="F213" i="19"/>
  <c r="F291" i="19"/>
  <c r="F369" i="19"/>
  <c r="F133" i="19"/>
  <c r="F211" i="19"/>
  <c r="F289" i="19"/>
  <c r="F367" i="19"/>
  <c r="F131" i="19"/>
  <c r="F287" i="19"/>
  <c r="F209" i="19"/>
  <c r="F365" i="19"/>
  <c r="F145" i="19"/>
  <c r="F301" i="19"/>
  <c r="F379" i="19"/>
  <c r="F223" i="19"/>
  <c r="F151" i="19"/>
  <c r="F229" i="19"/>
  <c r="F307" i="19"/>
  <c r="F385" i="19"/>
  <c r="F305" i="19"/>
  <c r="F149" i="19"/>
  <c r="F227" i="19"/>
  <c r="F383" i="19"/>
  <c r="F256" i="19"/>
  <c r="F178" i="19"/>
  <c r="F100" i="19"/>
  <c r="F334" i="19"/>
  <c r="F154" i="19"/>
  <c r="F310" i="19"/>
  <c r="F388" i="19"/>
  <c r="F232" i="19"/>
  <c r="F97" i="19"/>
  <c r="F175" i="19"/>
  <c r="F331" i="19"/>
  <c r="F253" i="19"/>
  <c r="F87" i="19"/>
  <c r="F165" i="19"/>
  <c r="F243" i="19"/>
  <c r="F321" i="19"/>
  <c r="F272" i="19"/>
  <c r="F350" i="19"/>
  <c r="F194" i="19"/>
  <c r="F116" i="19"/>
  <c r="F123" i="19"/>
  <c r="F201" i="19"/>
  <c r="F279" i="19"/>
  <c r="F357" i="19"/>
  <c r="F260" i="19"/>
  <c r="F104" i="19"/>
  <c r="F182" i="19"/>
  <c r="F338" i="19"/>
  <c r="F86" i="19"/>
  <c r="F242" i="19"/>
  <c r="F164" i="19"/>
  <c r="F320" i="19"/>
  <c r="F297" i="19"/>
  <c r="F219" i="19"/>
  <c r="F375" i="19"/>
  <c r="F141" i="19"/>
  <c r="F380" i="19"/>
  <c r="F146" i="19"/>
  <c r="F224" i="19"/>
  <c r="F302" i="19"/>
  <c r="F126" i="19"/>
  <c r="F204" i="19"/>
  <c r="F282" i="19"/>
  <c r="F360" i="19"/>
  <c r="F115" i="19"/>
  <c r="F193" i="19"/>
  <c r="F271" i="19"/>
  <c r="F349" i="19"/>
  <c r="F160" i="19"/>
  <c r="F238" i="19"/>
  <c r="F316" i="19"/>
  <c r="F394" i="19"/>
  <c r="C261" i="30"/>
  <c r="C417" i="30" s="1"/>
  <c r="F182" i="12"/>
  <c r="G182" i="12"/>
  <c r="G225" i="31" s="1"/>
  <c r="C155" i="31"/>
  <c r="F111" i="12"/>
  <c r="G111" i="12"/>
  <c r="G155" i="31" s="1"/>
  <c r="F187" i="12"/>
  <c r="G187" i="12"/>
  <c r="G230" i="31" s="1"/>
  <c r="F145" i="12"/>
  <c r="G145" i="12"/>
  <c r="G189" i="31" s="1"/>
  <c r="F209" i="12"/>
  <c r="G209" i="12"/>
  <c r="G252" i="31" s="1"/>
  <c r="F107" i="12"/>
  <c r="G107" i="12"/>
  <c r="F173" i="12"/>
  <c r="G173" i="12"/>
  <c r="F216" i="12"/>
  <c r="G216" i="12"/>
  <c r="G259" i="31" s="1"/>
  <c r="G158" i="12"/>
  <c r="G79" i="18" s="1"/>
  <c r="F158" i="12"/>
  <c r="C253" i="30"/>
  <c r="C409" i="30" s="1"/>
  <c r="F174" i="12"/>
  <c r="G174" i="12"/>
  <c r="D222" i="12"/>
  <c r="F222" i="12"/>
  <c r="G222" i="12"/>
  <c r="G265" i="31" s="1"/>
  <c r="F139" i="12"/>
  <c r="G139" i="12"/>
  <c r="G183" i="31" s="1"/>
  <c r="C229" i="31"/>
  <c r="F186" i="12"/>
  <c r="G186" i="12"/>
  <c r="C220" i="31"/>
  <c r="F177" i="12"/>
  <c r="G177" i="12"/>
  <c r="G220" i="31" s="1"/>
  <c r="C166" i="31"/>
  <c r="G122" i="12"/>
  <c r="G166" i="31" s="1"/>
  <c r="F122" i="12"/>
  <c r="C273" i="31"/>
  <c r="F230" i="12"/>
  <c r="G230" i="12"/>
  <c r="C258" i="31"/>
  <c r="F215" i="12"/>
  <c r="G215" i="12"/>
  <c r="G294" i="18" s="1"/>
  <c r="C149" i="31"/>
  <c r="F105" i="12"/>
  <c r="G105" i="12"/>
  <c r="G26" i="30" s="1"/>
  <c r="D175" i="12"/>
  <c r="F175" i="12"/>
  <c r="G175" i="12"/>
  <c r="G218" i="31" s="1"/>
  <c r="C24" i="18"/>
  <c r="C102" i="18" s="1"/>
  <c r="F103" i="12"/>
  <c r="G103" i="12"/>
  <c r="G24" i="30" s="1"/>
  <c r="C39" i="30"/>
  <c r="C195" i="30" s="1"/>
  <c r="G118" i="12"/>
  <c r="G162" i="31" s="1"/>
  <c r="F118" i="12"/>
  <c r="O272" i="31"/>
  <c r="R272" i="31" s="1"/>
  <c r="F95" i="17"/>
  <c r="F173" i="17"/>
  <c r="F171" i="17"/>
  <c r="F93" i="17"/>
  <c r="F169" i="17"/>
  <c r="F91" i="17"/>
  <c r="F190" i="17"/>
  <c r="F112" i="17"/>
  <c r="F114" i="17"/>
  <c r="F192" i="17"/>
  <c r="F121" i="17"/>
  <c r="F199" i="17"/>
  <c r="F236" i="17"/>
  <c r="F158" i="17"/>
  <c r="F187" i="17"/>
  <c r="F109" i="17"/>
  <c r="F90" i="17"/>
  <c r="F168" i="17"/>
  <c r="F128" i="17"/>
  <c r="F206" i="17"/>
  <c r="F134" i="17"/>
  <c r="F212" i="17"/>
  <c r="F203" i="17"/>
  <c r="F125" i="17"/>
  <c r="F130" i="17"/>
  <c r="F208" i="17"/>
  <c r="F215" i="17"/>
  <c r="F137" i="17"/>
  <c r="F234" i="17"/>
  <c r="F156" i="17"/>
  <c r="F106" i="17"/>
  <c r="F184" i="17"/>
  <c r="F143" i="17"/>
  <c r="F221" i="17"/>
  <c r="F179" i="17"/>
  <c r="F101" i="17"/>
  <c r="F153" i="17"/>
  <c r="F231" i="17"/>
  <c r="F122" i="17"/>
  <c r="F200" i="17"/>
  <c r="F96" i="17"/>
  <c r="F174" i="17"/>
  <c r="F102" i="17"/>
  <c r="F180" i="17"/>
  <c r="F226" i="17"/>
  <c r="F148" i="17"/>
  <c r="F98" i="17"/>
  <c r="F176" i="17"/>
  <c r="D144" i="12"/>
  <c r="D188" i="31" s="1"/>
  <c r="G144" i="12"/>
  <c r="G65" i="30" s="1"/>
  <c r="F144" i="12"/>
  <c r="C317" i="30"/>
  <c r="F238" i="12"/>
  <c r="G238" i="12"/>
  <c r="G317" i="30" s="1"/>
  <c r="C70" i="18"/>
  <c r="C226" i="18" s="1"/>
  <c r="F149" i="12"/>
  <c r="G149" i="12"/>
  <c r="E224" i="12"/>
  <c r="E267" i="31" s="1"/>
  <c r="F224" i="12"/>
  <c r="G224" i="12"/>
  <c r="D108" i="12"/>
  <c r="D29" i="18" s="1"/>
  <c r="G108" i="12"/>
  <c r="F108" i="12"/>
  <c r="C186" i="31"/>
  <c r="G142" i="12"/>
  <c r="F142" i="12"/>
  <c r="F93" i="12"/>
  <c r="G93" i="12"/>
  <c r="G137" i="31" s="1"/>
  <c r="G102" i="12"/>
  <c r="G146" i="31" s="1"/>
  <c r="F102" i="12"/>
  <c r="F237" i="12"/>
  <c r="G237" i="12"/>
  <c r="G124" i="12"/>
  <c r="G45" i="18" s="1"/>
  <c r="F124" i="12"/>
  <c r="F180" i="12"/>
  <c r="G180" i="12"/>
  <c r="F229" i="12"/>
  <c r="G229" i="12"/>
  <c r="G272" i="31" s="1"/>
  <c r="F155" i="12"/>
  <c r="G155" i="12"/>
  <c r="F191" i="12"/>
  <c r="G191" i="12"/>
  <c r="G234" i="31" s="1"/>
  <c r="F184" i="12"/>
  <c r="G184" i="12"/>
  <c r="G227" i="31" s="1"/>
  <c r="G138" i="12"/>
  <c r="F138" i="12"/>
  <c r="F233" i="12"/>
  <c r="G233" i="12"/>
  <c r="C143" i="35"/>
  <c r="C347" i="35"/>
  <c r="C413" i="35" s="1"/>
  <c r="F251" i="19"/>
  <c r="F95" i="19"/>
  <c r="F173" i="19"/>
  <c r="F329" i="19"/>
  <c r="F93" i="19"/>
  <c r="F171" i="19"/>
  <c r="F249" i="19"/>
  <c r="F327" i="19"/>
  <c r="F325" i="19"/>
  <c r="F91" i="19"/>
  <c r="F169" i="19"/>
  <c r="F247" i="19"/>
  <c r="F268" i="19"/>
  <c r="F112" i="19"/>
  <c r="F190" i="19"/>
  <c r="F346" i="19"/>
  <c r="F114" i="19"/>
  <c r="F192" i="19"/>
  <c r="F270" i="19"/>
  <c r="F348" i="19"/>
  <c r="F277" i="19"/>
  <c r="F121" i="19"/>
  <c r="F199" i="19"/>
  <c r="F355" i="19"/>
  <c r="F158" i="19"/>
  <c r="F314" i="19"/>
  <c r="F236" i="19"/>
  <c r="F392" i="19"/>
  <c r="F109" i="19"/>
  <c r="F265" i="19"/>
  <c r="F343" i="19"/>
  <c r="F187" i="19"/>
  <c r="F90" i="19"/>
  <c r="F246" i="19"/>
  <c r="F168" i="19"/>
  <c r="F324" i="19"/>
  <c r="F362" i="19"/>
  <c r="F206" i="19"/>
  <c r="F128" i="19"/>
  <c r="F284" i="19"/>
  <c r="F134" i="19"/>
  <c r="F212" i="19"/>
  <c r="F368" i="19"/>
  <c r="F290" i="19"/>
  <c r="F125" i="19"/>
  <c r="F203" i="19"/>
  <c r="F359" i="19"/>
  <c r="F281" i="19"/>
  <c r="F286" i="19"/>
  <c r="F208" i="19"/>
  <c r="F130" i="19"/>
  <c r="F364" i="19"/>
  <c r="F371" i="19"/>
  <c r="F137" i="19"/>
  <c r="F215" i="19"/>
  <c r="F293" i="19"/>
  <c r="F390" i="19"/>
  <c r="F312" i="19"/>
  <c r="F234" i="19"/>
  <c r="F156" i="19"/>
  <c r="F106" i="19"/>
  <c r="F184" i="19"/>
  <c r="F340" i="19"/>
  <c r="F262" i="19"/>
  <c r="F143" i="19"/>
  <c r="F221" i="19"/>
  <c r="F377" i="19"/>
  <c r="F299" i="19"/>
  <c r="F335" i="19"/>
  <c r="F179" i="19"/>
  <c r="F101" i="19"/>
  <c r="F257" i="19"/>
  <c r="F153" i="19"/>
  <c r="F231" i="19"/>
  <c r="F309" i="19"/>
  <c r="F387" i="19"/>
  <c r="F278" i="19"/>
  <c r="F122" i="19"/>
  <c r="F200" i="19"/>
  <c r="F356" i="19"/>
  <c r="F96" i="19"/>
  <c r="F174" i="19"/>
  <c r="F252" i="19"/>
  <c r="F330" i="19"/>
  <c r="F102" i="19"/>
  <c r="F180" i="19"/>
  <c r="F336" i="19"/>
  <c r="F258" i="19"/>
  <c r="F382" i="19"/>
  <c r="F226" i="19"/>
  <c r="F148" i="19"/>
  <c r="F304" i="19"/>
  <c r="F98" i="19"/>
  <c r="F176" i="19"/>
  <c r="F254" i="19"/>
  <c r="F332" i="19"/>
  <c r="D178" i="12"/>
  <c r="D221" i="31" s="1"/>
  <c r="F178" i="12"/>
  <c r="G178" i="12"/>
  <c r="C282" i="31"/>
  <c r="F239" i="12"/>
  <c r="G239" i="12"/>
  <c r="F137" i="12"/>
  <c r="G137" i="12"/>
  <c r="G181" i="31" s="1"/>
  <c r="F188" i="12"/>
  <c r="G188" i="12"/>
  <c r="G231" i="31" s="1"/>
  <c r="F119" i="12"/>
  <c r="G119" i="12"/>
  <c r="G163" i="31" s="1"/>
  <c r="F193" i="12"/>
  <c r="G193" i="12"/>
  <c r="G236" i="31" s="1"/>
  <c r="F161" i="12"/>
  <c r="G161" i="12"/>
  <c r="G205" i="31" s="1"/>
  <c r="F231" i="12"/>
  <c r="G231" i="12"/>
  <c r="F115" i="12"/>
  <c r="G115" i="12"/>
  <c r="G159" i="31" s="1"/>
  <c r="F206" i="12"/>
  <c r="G206" i="12"/>
  <c r="G285" i="18" s="1"/>
  <c r="F101" i="12"/>
  <c r="G101" i="12"/>
  <c r="G150" i="12"/>
  <c r="G194" i="31" s="1"/>
  <c r="F150" i="12"/>
  <c r="G132" i="12"/>
  <c r="F132" i="12"/>
  <c r="G134" i="12"/>
  <c r="F134" i="12"/>
  <c r="F192" i="12"/>
  <c r="G192" i="12"/>
  <c r="G235" i="31" s="1"/>
  <c r="F235" i="12"/>
  <c r="G235" i="12"/>
  <c r="G278" i="31" s="1"/>
  <c r="F167" i="12"/>
  <c r="G167" i="12"/>
  <c r="F227" i="12"/>
  <c r="G227" i="12"/>
  <c r="G270" i="31" s="1"/>
  <c r="G136" i="12"/>
  <c r="G180" i="31" s="1"/>
  <c r="F136" i="12"/>
  <c r="F142" i="17"/>
  <c r="F220" i="17"/>
  <c r="F202" i="17"/>
  <c r="F124" i="17"/>
  <c r="F138" i="17"/>
  <c r="F216" i="17"/>
  <c r="F111" i="17"/>
  <c r="F189" i="17"/>
  <c r="F152" i="17"/>
  <c r="F230" i="17"/>
  <c r="F172" i="17"/>
  <c r="F94" i="17"/>
  <c r="F147" i="17"/>
  <c r="F225" i="17"/>
  <c r="F110" i="17"/>
  <c r="F188" i="17"/>
  <c r="F181" i="17"/>
  <c r="F103" i="17"/>
  <c r="F170" i="17"/>
  <c r="F92" i="17"/>
  <c r="F139" i="17"/>
  <c r="F217" i="17"/>
  <c r="F89" i="17"/>
  <c r="F167" i="17"/>
  <c r="F210" i="17"/>
  <c r="F132" i="17"/>
  <c r="F235" i="17"/>
  <c r="F157" i="17"/>
  <c r="F108" i="17"/>
  <c r="F186" i="17"/>
  <c r="F183" i="17"/>
  <c r="F105" i="17"/>
  <c r="F228" i="12"/>
  <c r="G228" i="12"/>
  <c r="G271" i="31" s="1"/>
  <c r="C9" i="30"/>
  <c r="G88" i="12"/>
  <c r="F88" i="12"/>
  <c r="C78" i="18"/>
  <c r="C234" i="18" s="1"/>
  <c r="F157" i="12"/>
  <c r="G157" i="12"/>
  <c r="G78" i="30" s="1"/>
  <c r="C20" i="30"/>
  <c r="C176" i="30" s="1"/>
  <c r="F99" i="12"/>
  <c r="G99" i="12"/>
  <c r="F200" i="12"/>
  <c r="G200" i="12"/>
  <c r="C56" i="18"/>
  <c r="F135" i="12"/>
  <c r="G135" i="12"/>
  <c r="G179" i="31" s="1"/>
  <c r="F202" i="12"/>
  <c r="G202" i="12"/>
  <c r="C52" i="30"/>
  <c r="F131" i="12"/>
  <c r="G131" i="12"/>
  <c r="G52" i="18" s="1"/>
  <c r="F213" i="12"/>
  <c r="G213" i="12"/>
  <c r="D109" i="12"/>
  <c r="D153" i="31" s="1"/>
  <c r="F109" i="12"/>
  <c r="G109" i="12"/>
  <c r="C142" i="31"/>
  <c r="G98" i="12"/>
  <c r="F98" i="12"/>
  <c r="E166" i="12"/>
  <c r="E209" i="31" s="1"/>
  <c r="G166" i="12"/>
  <c r="G209" i="31" s="1"/>
  <c r="F166" i="12"/>
  <c r="C184" i="31"/>
  <c r="G140" i="12"/>
  <c r="F140" i="12"/>
  <c r="D97" i="12"/>
  <c r="F97" i="12"/>
  <c r="G97" i="12"/>
  <c r="G141" i="31" s="1"/>
  <c r="D236" i="12"/>
  <c r="D315" i="30" s="1"/>
  <c r="F236" i="12"/>
  <c r="G236" i="12"/>
  <c r="G279" i="31" s="1"/>
  <c r="C300" i="30"/>
  <c r="F221" i="12"/>
  <c r="G221" i="12"/>
  <c r="F121" i="12"/>
  <c r="G121" i="12"/>
  <c r="G116" i="12"/>
  <c r="G160" i="31" s="1"/>
  <c r="F116" i="12"/>
  <c r="F142" i="19"/>
  <c r="F220" i="19"/>
  <c r="F298" i="19"/>
  <c r="F376" i="19"/>
  <c r="F202" i="19"/>
  <c r="F124" i="19"/>
  <c r="F358" i="19"/>
  <c r="F280" i="19"/>
  <c r="F138" i="19"/>
  <c r="F216" i="19"/>
  <c r="F372" i="19"/>
  <c r="F294" i="19"/>
  <c r="F111" i="19"/>
  <c r="F189" i="19"/>
  <c r="F267" i="19"/>
  <c r="F345" i="19"/>
  <c r="F152" i="19"/>
  <c r="F230" i="19"/>
  <c r="F308" i="19"/>
  <c r="F386" i="19"/>
  <c r="F250" i="19"/>
  <c r="F172" i="19"/>
  <c r="F94" i="19"/>
  <c r="F328" i="19"/>
  <c r="F147" i="19"/>
  <c r="F225" i="19"/>
  <c r="F303" i="19"/>
  <c r="F381" i="19"/>
  <c r="F110" i="19"/>
  <c r="F344" i="19"/>
  <c r="F188" i="19"/>
  <c r="F266" i="19"/>
  <c r="F259" i="19"/>
  <c r="F103" i="19"/>
  <c r="F181" i="19"/>
  <c r="F337" i="19"/>
  <c r="F326" i="19"/>
  <c r="F248" i="19"/>
  <c r="F170" i="19"/>
  <c r="F92" i="19"/>
  <c r="F295" i="19"/>
  <c r="F139" i="19"/>
  <c r="F217" i="19"/>
  <c r="F373" i="19"/>
  <c r="F89" i="19"/>
  <c r="F167" i="19"/>
  <c r="F245" i="19"/>
  <c r="F323" i="19"/>
  <c r="F366" i="19"/>
  <c r="F132" i="19"/>
  <c r="F288" i="19"/>
  <c r="F210" i="19"/>
  <c r="F157" i="19"/>
  <c r="F235" i="19"/>
  <c r="F313" i="19"/>
  <c r="F391" i="19"/>
  <c r="F342" i="19"/>
  <c r="F264" i="19"/>
  <c r="F186" i="19"/>
  <c r="F108" i="19"/>
  <c r="F105" i="19"/>
  <c r="F183" i="19"/>
  <c r="F261" i="19"/>
  <c r="F339" i="19"/>
  <c r="C284" i="30"/>
  <c r="C362" i="30" s="1"/>
  <c r="C284" i="18"/>
  <c r="C440" i="18" s="1"/>
  <c r="D205" i="12"/>
  <c r="E205" i="12"/>
  <c r="E248" i="31" s="1"/>
  <c r="C248" i="31"/>
  <c r="D92" i="12"/>
  <c r="D13" i="30" s="1"/>
  <c r="C136" i="31"/>
  <c r="C13" i="18"/>
  <c r="C91" i="18" s="1"/>
  <c r="E92" i="12"/>
  <c r="C50" i="18"/>
  <c r="Y214" i="43"/>
  <c r="M214" i="43"/>
  <c r="Y226" i="43"/>
  <c r="M226" i="43"/>
  <c r="AA139" i="43"/>
  <c r="S139" i="43"/>
  <c r="W139" i="43"/>
  <c r="Y218" i="43"/>
  <c r="W244" i="43"/>
  <c r="I244" i="43"/>
  <c r="S150" i="43"/>
  <c r="AA150" i="43"/>
  <c r="M150" i="43"/>
  <c r="Y150" i="43"/>
  <c r="Y99" i="43"/>
  <c r="S99" i="43"/>
  <c r="AA99" i="43"/>
  <c r="M126" i="43"/>
  <c r="W126" i="43"/>
  <c r="AA126" i="43"/>
  <c r="S126" i="43"/>
  <c r="I10" i="31"/>
  <c r="W114" i="43"/>
  <c r="S114" i="43"/>
  <c r="AA114" i="43"/>
  <c r="Y114" i="43"/>
  <c r="S109" i="43"/>
  <c r="W109" i="43"/>
  <c r="Y183" i="43"/>
  <c r="AA183" i="43"/>
  <c r="W175" i="43"/>
  <c r="AA175" i="43"/>
  <c r="M121" i="43"/>
  <c r="Y121" i="43"/>
  <c r="W121" i="43"/>
  <c r="W107" i="43"/>
  <c r="AA107" i="43"/>
  <c r="S107" i="43"/>
  <c r="Y107" i="43"/>
  <c r="O87" i="31"/>
  <c r="R87" i="31" s="1"/>
  <c r="O236" i="31"/>
  <c r="R236" i="31" s="1"/>
  <c r="O82" i="31"/>
  <c r="R82" i="31" s="1"/>
  <c r="O96" i="31"/>
  <c r="R96" i="31" s="1"/>
  <c r="O234" i="31"/>
  <c r="R234" i="31" s="1"/>
  <c r="O59" i="31"/>
  <c r="R59" i="31" s="1"/>
  <c r="O264" i="31"/>
  <c r="R264" i="31" s="1"/>
  <c r="O178" i="31"/>
  <c r="R178" i="31" s="1"/>
  <c r="O196" i="31"/>
  <c r="R196" i="31" s="1"/>
  <c r="Q140" i="43"/>
  <c r="P155" i="43"/>
  <c r="P158" i="43"/>
  <c r="P80" i="43" s="1"/>
  <c r="O216" i="43"/>
  <c r="U222" i="43"/>
  <c r="U239" i="43"/>
  <c r="Z159" i="43"/>
  <c r="Z158" i="43"/>
  <c r="U158" i="43"/>
  <c r="V159" i="43"/>
  <c r="M216" i="43"/>
  <c r="Y239" i="43"/>
  <c r="C77" i="30"/>
  <c r="P217" i="43"/>
  <c r="Q235" i="43"/>
  <c r="Q222" i="43"/>
  <c r="Z140" i="43"/>
  <c r="U235" i="43"/>
  <c r="Z216" i="43"/>
  <c r="X239" i="43"/>
  <c r="V216" i="43"/>
  <c r="X158" i="43"/>
  <c r="X222" i="43"/>
  <c r="V155" i="43"/>
  <c r="M222" i="43"/>
  <c r="M217" i="43"/>
  <c r="Y222" i="43"/>
  <c r="K239" i="43"/>
  <c r="R216" i="43"/>
  <c r="R217" i="43"/>
  <c r="T159" i="43"/>
  <c r="R140" i="43"/>
  <c r="P159" i="43"/>
  <c r="P81" i="43" s="1"/>
  <c r="P239" i="43"/>
  <c r="R159" i="43"/>
  <c r="R235" i="43"/>
  <c r="Z155" i="43"/>
  <c r="Z222" i="43"/>
  <c r="N216" i="43"/>
  <c r="N217" i="43"/>
  <c r="V217" i="43"/>
  <c r="V222" i="43"/>
  <c r="X235" i="43"/>
  <c r="M239" i="43"/>
  <c r="Y217" i="43"/>
  <c r="S159" i="43"/>
  <c r="T239" i="43"/>
  <c r="Q217" i="43"/>
  <c r="P140" i="43"/>
  <c r="O155" i="43"/>
  <c r="Z239" i="43"/>
  <c r="U155" i="43"/>
  <c r="Z235" i="43"/>
  <c r="U217" i="43"/>
  <c r="N159" i="43"/>
  <c r="N155" i="43"/>
  <c r="X216" i="43"/>
  <c r="Y155" i="43"/>
  <c r="Y158" i="43"/>
  <c r="W140" i="43"/>
  <c r="W155" i="43"/>
  <c r="AA159" i="43"/>
  <c r="AA140" i="43"/>
  <c r="AA158" i="43"/>
  <c r="T158" i="43"/>
  <c r="Q155" i="43"/>
  <c r="Q158" i="43"/>
  <c r="R158" i="43"/>
  <c r="P235" i="43"/>
  <c r="P222" i="43"/>
  <c r="V239" i="43"/>
  <c r="M159" i="43"/>
  <c r="Y140" i="43"/>
  <c r="W158" i="43"/>
  <c r="R155" i="43"/>
  <c r="T155" i="43"/>
  <c r="Q239" i="43"/>
  <c r="O140" i="43"/>
  <c r="O222" i="43"/>
  <c r="O217" i="43"/>
  <c r="O235" i="43"/>
  <c r="X159" i="43"/>
  <c r="X155" i="43"/>
  <c r="X217" i="43"/>
  <c r="V158" i="43"/>
  <c r="Y159" i="43"/>
  <c r="Y235" i="43"/>
  <c r="Y216" i="43"/>
  <c r="S158" i="43"/>
  <c r="W159" i="43"/>
  <c r="T216" i="43"/>
  <c r="Q159" i="43"/>
  <c r="P216" i="43"/>
  <c r="T235" i="43"/>
  <c r="O158" i="43"/>
  <c r="O239" i="43"/>
  <c r="U216" i="43"/>
  <c r="N140" i="43"/>
  <c r="N235" i="43"/>
  <c r="W216" i="43"/>
  <c r="S155" i="43"/>
  <c r="U869" i="30"/>
  <c r="O127" i="31"/>
  <c r="R127" i="31" s="1"/>
  <c r="U552" i="30"/>
  <c r="U243" i="30"/>
  <c r="D216" i="12"/>
  <c r="D259" i="31" s="1"/>
  <c r="E216" i="12"/>
  <c r="E259" i="31" s="1"/>
  <c r="C259" i="31"/>
  <c r="C79" i="30"/>
  <c r="C157" i="30" s="1"/>
  <c r="C79" i="18"/>
  <c r="C157" i="18" s="1"/>
  <c r="D158" i="12"/>
  <c r="D202" i="31" s="1"/>
  <c r="E158" i="12"/>
  <c r="E202" i="31" s="1"/>
  <c r="C301" i="30"/>
  <c r="C379" i="30" s="1"/>
  <c r="D139" i="12"/>
  <c r="D183" i="31" s="1"/>
  <c r="E186" i="12"/>
  <c r="E229" i="31" s="1"/>
  <c r="E177" i="12"/>
  <c r="E220" i="31" s="1"/>
  <c r="E122" i="12"/>
  <c r="E166" i="31" s="1"/>
  <c r="E105" i="12"/>
  <c r="C254" i="30"/>
  <c r="C410" i="30" s="1"/>
  <c r="C147" i="31"/>
  <c r="D196" i="12"/>
  <c r="D275" i="30" s="1"/>
  <c r="C60" i="30"/>
  <c r="C138" i="30" s="1"/>
  <c r="C265" i="18"/>
  <c r="C343" i="18" s="1"/>
  <c r="C43" i="18"/>
  <c r="C121" i="18" s="1"/>
  <c r="E230" i="12"/>
  <c r="E273" i="31" s="1"/>
  <c r="D215" i="12"/>
  <c r="D258" i="31" s="1"/>
  <c r="O85" i="31"/>
  <c r="R85" i="31" s="1"/>
  <c r="E174" i="12"/>
  <c r="E253" i="18" s="1"/>
  <c r="C183" i="31"/>
  <c r="C265" i="30"/>
  <c r="C343" i="30" s="1"/>
  <c r="C256" i="18"/>
  <c r="C334" i="18" s="1"/>
  <c r="C43" i="30"/>
  <c r="C199" i="30" s="1"/>
  <c r="D230" i="12"/>
  <c r="D309" i="30" s="1"/>
  <c r="C294" i="18"/>
  <c r="C372" i="18" s="1"/>
  <c r="C26" i="18"/>
  <c r="C104" i="18" s="1"/>
  <c r="E118" i="12"/>
  <c r="D174" i="12"/>
  <c r="E87" i="12"/>
  <c r="C256" i="30"/>
  <c r="C334" i="30" s="1"/>
  <c r="C309" i="18"/>
  <c r="C387" i="18" s="1"/>
  <c r="C294" i="30"/>
  <c r="C372" i="30" s="1"/>
  <c r="C26" i="30"/>
  <c r="C104" i="30" s="1"/>
  <c r="E103" i="12"/>
  <c r="E147" i="31" s="1"/>
  <c r="D118" i="12"/>
  <c r="D162" i="31" s="1"/>
  <c r="C253" i="18"/>
  <c r="C409" i="18" s="1"/>
  <c r="E222" i="12"/>
  <c r="E265" i="31" s="1"/>
  <c r="C309" i="30"/>
  <c r="C465" i="30" s="1"/>
  <c r="E175" i="12"/>
  <c r="E218" i="31" s="1"/>
  <c r="D103" i="12"/>
  <c r="D147" i="31" s="1"/>
  <c r="C39" i="18"/>
  <c r="C117" i="18" s="1"/>
  <c r="O154" i="31"/>
  <c r="R154" i="31" s="1"/>
  <c r="O238" i="31"/>
  <c r="R238" i="31" s="1"/>
  <c r="O98" i="31"/>
  <c r="R98" i="31" s="1"/>
  <c r="O151" i="31"/>
  <c r="R151" i="31" s="1"/>
  <c r="O182" i="31"/>
  <c r="R182" i="31" s="1"/>
  <c r="O199" i="31"/>
  <c r="R199" i="31" s="1"/>
  <c r="O194" i="31"/>
  <c r="R194" i="31" s="1"/>
  <c r="O180" i="31"/>
  <c r="R180" i="31" s="1"/>
  <c r="O160" i="31"/>
  <c r="R160" i="31" s="1"/>
  <c r="O189" i="31"/>
  <c r="R189" i="31" s="1"/>
  <c r="O265" i="31"/>
  <c r="R265" i="31" s="1"/>
  <c r="O237" i="31"/>
  <c r="R237" i="31" s="1"/>
  <c r="O249" i="31"/>
  <c r="R249" i="31" s="1"/>
  <c r="O230" i="31"/>
  <c r="R230" i="31" s="1"/>
  <c r="O270" i="31"/>
  <c r="R270" i="31" s="1"/>
  <c r="O156" i="31"/>
  <c r="R156" i="31" s="1"/>
  <c r="O153" i="31"/>
  <c r="R153" i="31" s="1"/>
  <c r="O162" i="31"/>
  <c r="R162" i="31" s="1"/>
  <c r="O205" i="31"/>
  <c r="R205" i="31" s="1"/>
  <c r="O188" i="31"/>
  <c r="R188" i="31" s="1"/>
  <c r="O184" i="31"/>
  <c r="R184" i="31" s="1"/>
  <c r="O155" i="31"/>
  <c r="R155" i="31" s="1"/>
  <c r="O165" i="31"/>
  <c r="R165" i="31" s="1"/>
  <c r="O183" i="31"/>
  <c r="R183" i="31" s="1"/>
  <c r="O152" i="31"/>
  <c r="R152" i="31" s="1"/>
  <c r="O69" i="31"/>
  <c r="R69" i="31" s="1"/>
  <c r="O220" i="31"/>
  <c r="R220" i="31" s="1"/>
  <c r="O117" i="31"/>
  <c r="R117" i="31" s="1"/>
  <c r="O57" i="31"/>
  <c r="O104" i="31"/>
  <c r="R104" i="31" s="1"/>
  <c r="O118" i="31"/>
  <c r="R118" i="31" s="1"/>
  <c r="O107" i="31"/>
  <c r="R107" i="31" s="1"/>
  <c r="O99" i="31"/>
  <c r="R99" i="31" s="1"/>
  <c r="O251" i="31"/>
  <c r="R251" i="31" s="1"/>
  <c r="O187" i="31"/>
  <c r="R187" i="31" s="1"/>
  <c r="O103" i="31"/>
  <c r="R103" i="31" s="1"/>
  <c r="O221" i="31"/>
  <c r="R221" i="31" s="1"/>
  <c r="O252" i="31"/>
  <c r="R252" i="31" s="1"/>
  <c r="O281" i="31"/>
  <c r="R281" i="31" s="1"/>
  <c r="O157" i="31"/>
  <c r="R157" i="31" s="1"/>
  <c r="O233" i="31"/>
  <c r="R233" i="31" s="1"/>
  <c r="O65" i="31"/>
  <c r="R65" i="31" s="1"/>
  <c r="O255" i="31"/>
  <c r="R255" i="31" s="1"/>
  <c r="O61" i="31"/>
  <c r="R61" i="31" s="1"/>
  <c r="O55" i="31"/>
  <c r="O110" i="31"/>
  <c r="R110" i="31" s="1"/>
  <c r="O263" i="31"/>
  <c r="R263" i="31" s="1"/>
  <c r="O62" i="31"/>
  <c r="R62" i="31" s="1"/>
  <c r="O75" i="31"/>
  <c r="R75" i="31" s="1"/>
  <c r="O94" i="31"/>
  <c r="R94" i="31" s="1"/>
  <c r="O90" i="31"/>
  <c r="R90" i="31" s="1"/>
  <c r="O95" i="31"/>
  <c r="R95" i="31" s="1"/>
  <c r="O279" i="31"/>
  <c r="R279" i="31" s="1"/>
  <c r="O67" i="31"/>
  <c r="R67" i="31" s="1"/>
  <c r="O228" i="31"/>
  <c r="R228" i="31" s="1"/>
  <c r="O91" i="31"/>
  <c r="R91" i="31" s="1"/>
  <c r="O101" i="31"/>
  <c r="R101" i="31" s="1"/>
  <c r="O97" i="31"/>
  <c r="R97" i="31" s="1"/>
  <c r="O241" i="31"/>
  <c r="R241" i="31" s="1"/>
  <c r="O109" i="31"/>
  <c r="R109" i="31" s="1"/>
  <c r="O277" i="31"/>
  <c r="R277" i="31" s="1"/>
  <c r="O222" i="31"/>
  <c r="R222" i="31" s="1"/>
  <c r="O115" i="31"/>
  <c r="R115" i="31" s="1"/>
  <c r="K13" i="32"/>
  <c r="R39" i="28"/>
  <c r="R5" i="28"/>
  <c r="Q41" i="32"/>
  <c r="G78" i="2"/>
  <c r="K29" i="32"/>
  <c r="K72" i="32" s="1"/>
  <c r="K28" i="32"/>
  <c r="C70" i="30"/>
  <c r="C148" i="30" s="1"/>
  <c r="D224" i="12"/>
  <c r="D267" i="31" s="1"/>
  <c r="P57" i="32"/>
  <c r="G77" i="2"/>
  <c r="R172" i="31"/>
  <c r="K57" i="32"/>
  <c r="R111" i="31"/>
  <c r="C318" i="18"/>
  <c r="C396" i="18" s="1"/>
  <c r="Q55" i="32"/>
  <c r="Q29" i="11"/>
  <c r="Q106" i="4"/>
  <c r="G66" i="2"/>
  <c r="K43" i="32"/>
  <c r="Q5" i="22"/>
  <c r="Q22" i="26"/>
  <c r="L120" i="34"/>
  <c r="O29" i="32"/>
  <c r="O72" i="32" s="1"/>
  <c r="G82" i="2"/>
  <c r="R245" i="31"/>
  <c r="Q14" i="11"/>
  <c r="Q28" i="26"/>
  <c r="Q61" i="38"/>
  <c r="Q67" i="38" s="1"/>
  <c r="O192" i="31"/>
  <c r="R192" i="31" s="1"/>
  <c r="Q60" i="4"/>
  <c r="Q215" i="21"/>
  <c r="Q69" i="32"/>
  <c r="Q5" i="26"/>
  <c r="L29" i="32"/>
  <c r="L72" i="32" s="1"/>
  <c r="C257" i="18"/>
  <c r="C335" i="18" s="1"/>
  <c r="C65" i="18"/>
  <c r="C143" i="18" s="1"/>
  <c r="C281" i="31"/>
  <c r="Q14" i="4"/>
  <c r="Q11" i="32"/>
  <c r="Q34" i="26"/>
  <c r="O247" i="31"/>
  <c r="R247" i="31" s="1"/>
  <c r="O158" i="31"/>
  <c r="R158" i="31" s="1"/>
  <c r="Y195" i="43"/>
  <c r="C200" i="31"/>
  <c r="C50" i="30"/>
  <c r="C173" i="31"/>
  <c r="E181" i="12"/>
  <c r="E224" i="31" s="1"/>
  <c r="D181" i="12"/>
  <c r="D224" i="31" s="1"/>
  <c r="D156" i="12"/>
  <c r="D77" i="30" s="1"/>
  <c r="I41" i="50"/>
  <c r="C260" i="18"/>
  <c r="C416" i="18" s="1"/>
  <c r="E129" i="12"/>
  <c r="E50" i="18" s="1"/>
  <c r="C260" i="30"/>
  <c r="E156" i="12"/>
  <c r="E77" i="18" s="1"/>
  <c r="D129" i="12"/>
  <c r="D50" i="18" s="1"/>
  <c r="M247" i="43"/>
  <c r="X247" i="43"/>
  <c r="V247" i="43"/>
  <c r="W247" i="43"/>
  <c r="N247" i="43"/>
  <c r="Y248" i="43"/>
  <c r="M248" i="43"/>
  <c r="N248" i="43"/>
  <c r="Z248" i="43"/>
  <c r="X248" i="43"/>
  <c r="U248" i="43"/>
  <c r="V231" i="43"/>
  <c r="X231" i="43"/>
  <c r="N231" i="43"/>
  <c r="Y231" i="43"/>
  <c r="M231" i="43"/>
  <c r="I231" i="43"/>
  <c r="S231" i="43"/>
  <c r="S160" i="43"/>
  <c r="V160" i="43"/>
  <c r="N160" i="43"/>
  <c r="M160" i="43"/>
  <c r="AA160" i="43"/>
  <c r="U160" i="43"/>
  <c r="W160" i="43"/>
  <c r="Y160" i="43"/>
  <c r="X160" i="43"/>
  <c r="S162" i="43"/>
  <c r="Z162" i="43"/>
  <c r="X162" i="43"/>
  <c r="AA162" i="43"/>
  <c r="W162" i="43"/>
  <c r="N162" i="43"/>
  <c r="M162" i="43"/>
  <c r="N143" i="43"/>
  <c r="AA143" i="43"/>
  <c r="Y143" i="43"/>
  <c r="V143" i="43"/>
  <c r="W143" i="43"/>
  <c r="M143" i="43"/>
  <c r="X143" i="43"/>
  <c r="Z143" i="43"/>
  <c r="M137" i="43"/>
  <c r="Z137" i="43"/>
  <c r="Y137" i="43"/>
  <c r="S137" i="43"/>
  <c r="U137" i="43"/>
  <c r="V137" i="43"/>
  <c r="N137" i="43"/>
  <c r="AA137" i="43"/>
  <c r="X212" i="43"/>
  <c r="Z212" i="43"/>
  <c r="U212" i="43"/>
  <c r="Y212" i="43"/>
  <c r="Y202" i="43"/>
  <c r="X202" i="43"/>
  <c r="S202" i="43"/>
  <c r="N202" i="43"/>
  <c r="I202" i="43"/>
  <c r="M202" i="43"/>
  <c r="M127" i="43"/>
  <c r="Y111" i="43"/>
  <c r="M111" i="43"/>
  <c r="AA111" i="43"/>
  <c r="AA176" i="43"/>
  <c r="Y176" i="43"/>
  <c r="Y127" i="43"/>
  <c r="V176" i="43"/>
  <c r="S127" i="43"/>
  <c r="M195" i="43"/>
  <c r="AA127" i="43"/>
  <c r="W127" i="43"/>
  <c r="N127" i="43"/>
  <c r="V127" i="43"/>
  <c r="X176" i="43"/>
  <c r="O185" i="31"/>
  <c r="R185" i="31" s="1"/>
  <c r="O175" i="31"/>
  <c r="R175" i="31" s="1"/>
  <c r="O204" i="31"/>
  <c r="R204" i="31" s="1"/>
  <c r="C291" i="18"/>
  <c r="C447" i="18" s="1"/>
  <c r="D126" i="12"/>
  <c r="D47" i="18" s="1"/>
  <c r="E111" i="12"/>
  <c r="E155" i="31" s="1"/>
  <c r="E182" i="12"/>
  <c r="E225" i="31" s="1"/>
  <c r="D111" i="12"/>
  <c r="I130" i="34"/>
  <c r="D182" i="12"/>
  <c r="D225" i="31" s="1"/>
  <c r="C32" i="18"/>
  <c r="C110" i="18" s="1"/>
  <c r="C261" i="18"/>
  <c r="C339" i="18" s="1"/>
  <c r="C32" i="30"/>
  <c r="C211" i="31"/>
  <c r="X17" i="43"/>
  <c r="X332" i="43" s="1"/>
  <c r="X243" i="17"/>
  <c r="Y78" i="21"/>
  <c r="Y147" i="21" s="1"/>
  <c r="X6" i="18"/>
  <c r="X6" i="19"/>
  <c r="X399" i="19" s="1"/>
  <c r="AA480" i="30"/>
  <c r="AA869" i="30"/>
  <c r="AA243" i="30"/>
  <c r="AA552" i="30"/>
  <c r="AB480" i="30"/>
  <c r="AB243" i="30"/>
  <c r="AB552" i="30"/>
  <c r="AB869" i="30"/>
  <c r="W41" i="34"/>
  <c r="W140" i="34" s="1"/>
  <c r="X6" i="30"/>
  <c r="X243" i="29"/>
  <c r="X479" i="30"/>
  <c r="X242" i="30"/>
  <c r="X551" i="30"/>
  <c r="X868" i="30"/>
  <c r="O169" i="31"/>
  <c r="R169" i="31" s="1"/>
  <c r="P480" i="18"/>
  <c r="P792" i="18"/>
  <c r="P243" i="18"/>
  <c r="M480" i="30"/>
  <c r="M552" i="30"/>
  <c r="M869" i="30"/>
  <c r="M243" i="30"/>
  <c r="E209" i="12"/>
  <c r="E252" i="31" s="1"/>
  <c r="C252" i="31"/>
  <c r="C288" i="30"/>
  <c r="C444" i="30" s="1"/>
  <c r="C288" i="18"/>
  <c r="C366" i="18" s="1"/>
  <c r="C28" i="30"/>
  <c r="C28" i="18"/>
  <c r="C184" i="18" s="1"/>
  <c r="E107" i="12"/>
  <c r="E151" i="31" s="1"/>
  <c r="C283" i="30"/>
  <c r="C439" i="30" s="1"/>
  <c r="C283" i="18"/>
  <c r="C439" i="18" s="1"/>
  <c r="E204" i="12"/>
  <c r="E247" i="31" s="1"/>
  <c r="E189" i="12"/>
  <c r="C232" i="31"/>
  <c r="C268" i="30"/>
  <c r="C424" i="30" s="1"/>
  <c r="C134" i="31"/>
  <c r="C11" i="30"/>
  <c r="C89" i="30" s="1"/>
  <c r="D90" i="12"/>
  <c r="D11" i="30" s="1"/>
  <c r="E90" i="12"/>
  <c r="E134" i="31" s="1"/>
  <c r="C289" i="30"/>
  <c r="C289" i="18"/>
  <c r="C367" i="18" s="1"/>
  <c r="E210" i="12"/>
  <c r="E253" i="31" s="1"/>
  <c r="C239" i="31"/>
  <c r="C275" i="18"/>
  <c r="C353" i="18" s="1"/>
  <c r="E196" i="12"/>
  <c r="E275" i="18" s="1"/>
  <c r="C8" i="30"/>
  <c r="C164" i="30" s="1"/>
  <c r="C8" i="18"/>
  <c r="C164" i="18" s="1"/>
  <c r="D87" i="12"/>
  <c r="D120" i="12"/>
  <c r="D41" i="30" s="1"/>
  <c r="C164" i="31"/>
  <c r="C212" i="31"/>
  <c r="E169" i="12"/>
  <c r="E212" i="31" s="1"/>
  <c r="C157" i="31"/>
  <c r="C34" i="18"/>
  <c r="C112" i="18" s="1"/>
  <c r="O145" i="31"/>
  <c r="R145" i="31" s="1"/>
  <c r="G92" i="2"/>
  <c r="G62" i="2"/>
  <c r="C280" i="18"/>
  <c r="C358" i="18" s="1"/>
  <c r="D104" i="12"/>
  <c r="D148" i="31" s="1"/>
  <c r="D143" i="12"/>
  <c r="D187" i="31" s="1"/>
  <c r="D219" i="12"/>
  <c r="D298" i="18" s="1"/>
  <c r="C161" i="31"/>
  <c r="E190" i="12"/>
  <c r="E233" i="31" s="1"/>
  <c r="C75" i="30"/>
  <c r="C231" i="30" s="1"/>
  <c r="C280" i="30"/>
  <c r="C358" i="30" s="1"/>
  <c r="C25" i="18"/>
  <c r="C181" i="18" s="1"/>
  <c r="C64" i="18"/>
  <c r="C220" i="18" s="1"/>
  <c r="E147" i="12"/>
  <c r="C298" i="18"/>
  <c r="C376" i="18" s="1"/>
  <c r="E114" i="12"/>
  <c r="E158" i="31" s="1"/>
  <c r="D190" i="12"/>
  <c r="C198" i="31"/>
  <c r="C244" i="31"/>
  <c r="C25" i="30"/>
  <c r="C181" i="30" s="1"/>
  <c r="C64" i="30"/>
  <c r="C220" i="30" s="1"/>
  <c r="E133" i="12"/>
  <c r="E54" i="30" s="1"/>
  <c r="D147" i="12"/>
  <c r="D191" i="31" s="1"/>
  <c r="C298" i="30"/>
  <c r="C454" i="30" s="1"/>
  <c r="D114" i="12"/>
  <c r="D158" i="31" s="1"/>
  <c r="C269" i="18"/>
  <c r="C425" i="18" s="1"/>
  <c r="C148" i="31"/>
  <c r="E214" i="12"/>
  <c r="E257" i="31" s="1"/>
  <c r="C187" i="31"/>
  <c r="D133" i="12"/>
  <c r="C68" i="18"/>
  <c r="C146" i="18" s="1"/>
  <c r="C262" i="31"/>
  <c r="C35" i="18"/>
  <c r="E211" i="12"/>
  <c r="E290" i="18" s="1"/>
  <c r="C269" i="30"/>
  <c r="C425" i="30" s="1"/>
  <c r="D214" i="12"/>
  <c r="D257" i="31" s="1"/>
  <c r="C54" i="18"/>
  <c r="C132" i="18" s="1"/>
  <c r="C68" i="30"/>
  <c r="E117" i="12"/>
  <c r="E161" i="31" s="1"/>
  <c r="C35" i="30"/>
  <c r="C191" i="30" s="1"/>
  <c r="D211" i="12"/>
  <c r="E201" i="12"/>
  <c r="E280" i="30" s="1"/>
  <c r="C293" i="18"/>
  <c r="C54" i="30"/>
  <c r="C132" i="30" s="1"/>
  <c r="D117" i="12"/>
  <c r="D161" i="31" s="1"/>
  <c r="C290" i="18"/>
  <c r="C368" i="18" s="1"/>
  <c r="E154" i="12"/>
  <c r="E198" i="31" s="1"/>
  <c r="I7" i="46"/>
  <c r="Q26" i="32"/>
  <c r="I42" i="50"/>
  <c r="C257" i="30"/>
  <c r="C65" i="30"/>
  <c r="C221" i="30" s="1"/>
  <c r="C193" i="31"/>
  <c r="C303" i="18"/>
  <c r="E108" i="12"/>
  <c r="E29" i="30" s="1"/>
  <c r="E142" i="12"/>
  <c r="E186" i="31" s="1"/>
  <c r="C221" i="31"/>
  <c r="E239" i="12"/>
  <c r="C188" i="31"/>
  <c r="C303" i="30"/>
  <c r="C381" i="30" s="1"/>
  <c r="C29" i="18"/>
  <c r="C185" i="18" s="1"/>
  <c r="D142" i="12"/>
  <c r="D186" i="31" s="1"/>
  <c r="D239" i="12"/>
  <c r="C267" i="31"/>
  <c r="C29" i="30"/>
  <c r="C107" i="30" s="1"/>
  <c r="C63" i="18"/>
  <c r="E238" i="12"/>
  <c r="C152" i="31"/>
  <c r="C63" i="30"/>
  <c r="C219" i="30" s="1"/>
  <c r="C318" i="30"/>
  <c r="C474" i="30" s="1"/>
  <c r="D238" i="12"/>
  <c r="D281" i="31" s="1"/>
  <c r="E149" i="12"/>
  <c r="E178" i="12"/>
  <c r="E144" i="12"/>
  <c r="E188" i="31" s="1"/>
  <c r="C317" i="18"/>
  <c r="C395" i="18" s="1"/>
  <c r="D149" i="12"/>
  <c r="D70" i="18" s="1"/>
  <c r="C41" i="18"/>
  <c r="C305" i="30"/>
  <c r="D159" i="12"/>
  <c r="D203" i="31" s="1"/>
  <c r="C69" i="18"/>
  <c r="C147" i="18" s="1"/>
  <c r="E113" i="12"/>
  <c r="E34" i="30" s="1"/>
  <c r="C269" i="31"/>
  <c r="C80" i="18"/>
  <c r="C158" i="18" s="1"/>
  <c r="C69" i="30"/>
  <c r="C147" i="30" s="1"/>
  <c r="D113" i="12"/>
  <c r="D157" i="31" s="1"/>
  <c r="C80" i="30"/>
  <c r="C236" i="30" s="1"/>
  <c r="C192" i="31"/>
  <c r="D176" i="12"/>
  <c r="D219" i="31" s="1"/>
  <c r="D169" i="12"/>
  <c r="D212" i="31" s="1"/>
  <c r="C34" i="30"/>
  <c r="C112" i="30" s="1"/>
  <c r="C255" i="18"/>
  <c r="C411" i="18" s="1"/>
  <c r="E226" i="12"/>
  <c r="E269" i="31" s="1"/>
  <c r="C248" i="18"/>
  <c r="C404" i="18" s="1"/>
  <c r="D148" i="12"/>
  <c r="D192" i="31" s="1"/>
  <c r="C255" i="30"/>
  <c r="C411" i="30" s="1"/>
  <c r="E120" i="12"/>
  <c r="E41" i="30" s="1"/>
  <c r="D226" i="12"/>
  <c r="C248" i="30"/>
  <c r="C326" i="30" s="1"/>
  <c r="C854" i="35"/>
  <c r="C887" i="35"/>
  <c r="P29" i="32"/>
  <c r="P72" i="32" s="1"/>
  <c r="N60" i="32"/>
  <c r="N46" i="32"/>
  <c r="L56" i="45" s="1"/>
  <c r="N32" i="32"/>
  <c r="N30" i="26"/>
  <c r="N44" i="32" s="1"/>
  <c r="L54" i="45" s="1"/>
  <c r="N8" i="26"/>
  <c r="I8" i="34" s="1"/>
  <c r="N24" i="26"/>
  <c r="N29" i="32"/>
  <c r="N72" i="32" s="1"/>
  <c r="N16" i="32"/>
  <c r="N15" i="26"/>
  <c r="N40" i="26"/>
  <c r="N12" i="26"/>
  <c r="N37" i="26"/>
  <c r="N11" i="26"/>
  <c r="N21" i="32"/>
  <c r="N80" i="32" s="1"/>
  <c r="N36" i="26"/>
  <c r="I123" i="34" s="1"/>
  <c r="N9" i="26"/>
  <c r="P37" i="26"/>
  <c r="P11" i="26"/>
  <c r="D32" i="45" s="1"/>
  <c r="P36" i="26"/>
  <c r="K123" i="34" s="1"/>
  <c r="P9" i="26"/>
  <c r="P7" i="32"/>
  <c r="P30" i="26"/>
  <c r="P44" i="32" s="1"/>
  <c r="P8" i="26"/>
  <c r="P60" i="32"/>
  <c r="N69" i="45" s="1"/>
  <c r="P46" i="32"/>
  <c r="P21" i="32"/>
  <c r="P80" i="32" s="1"/>
  <c r="P24" i="26"/>
  <c r="P32" i="32"/>
  <c r="N43" i="45" s="1"/>
  <c r="P16" i="32"/>
  <c r="N29" i="45" s="1"/>
  <c r="P15" i="26"/>
  <c r="P40" i="26"/>
  <c r="P12" i="26"/>
  <c r="Q16" i="32"/>
  <c r="Q40" i="26"/>
  <c r="Q12" i="26"/>
  <c r="Q37" i="26"/>
  <c r="Q11" i="26"/>
  <c r="Q36" i="26"/>
  <c r="L123" i="34" s="1"/>
  <c r="Q9" i="26"/>
  <c r="D30" i="45" s="1"/>
  <c r="Q30" i="26"/>
  <c r="Q44" i="32" s="1"/>
  <c r="Q8" i="26"/>
  <c r="L8" i="34" s="1"/>
  <c r="Q7" i="32"/>
  <c r="Q24" i="26"/>
  <c r="Q30" i="32" s="1"/>
  <c r="Q60" i="32"/>
  <c r="Q46" i="32"/>
  <c r="Q32" i="32"/>
  <c r="Q21" i="32"/>
  <c r="Q80" i="32" s="1"/>
  <c r="Q15" i="26"/>
  <c r="J9" i="34"/>
  <c r="G73" i="2"/>
  <c r="G68" i="2"/>
  <c r="G67" i="2"/>
  <c r="G76" i="2"/>
  <c r="G89" i="2"/>
  <c r="G94" i="2"/>
  <c r="G91" i="2"/>
  <c r="G64" i="2"/>
  <c r="G69" i="2"/>
  <c r="G58" i="2"/>
  <c r="G63" i="2"/>
  <c r="G61" i="2"/>
  <c r="G84" i="2"/>
  <c r="G88" i="2"/>
  <c r="G85" i="2"/>
  <c r="G90" i="2"/>
  <c r="G70" i="2"/>
  <c r="G86" i="2"/>
  <c r="G60" i="2"/>
  <c r="G59" i="2"/>
  <c r="G72" i="2"/>
  <c r="G79" i="2"/>
  <c r="D53" i="45"/>
  <c r="D56" i="45"/>
  <c r="D54" i="45"/>
  <c r="D55" i="45"/>
  <c r="I12" i="43"/>
  <c r="I11" i="43"/>
  <c r="I13" i="43"/>
  <c r="I10" i="43"/>
  <c r="I8" i="43"/>
  <c r="I7" i="43"/>
  <c r="I9" i="43"/>
  <c r="G83" i="2"/>
  <c r="G74" i="2"/>
  <c r="G80" i="2"/>
  <c r="I87" i="46"/>
  <c r="D40" i="45"/>
  <c r="D38" i="45"/>
  <c r="D39" i="45"/>
  <c r="D42" i="45"/>
  <c r="D41" i="45"/>
  <c r="J16" i="38"/>
  <c r="G93" i="2"/>
  <c r="G75" i="2"/>
  <c r="G65" i="2"/>
  <c r="G71" i="2"/>
  <c r="G81" i="2"/>
  <c r="G87" i="2"/>
  <c r="K227" i="43"/>
  <c r="I235" i="43"/>
  <c r="J199" i="43"/>
  <c r="I214" i="43"/>
  <c r="J228" i="43"/>
  <c r="K243" i="43"/>
  <c r="I213" i="43"/>
  <c r="J236" i="43"/>
  <c r="I215" i="43"/>
  <c r="J230" i="43"/>
  <c r="K197" i="43"/>
  <c r="I223" i="43"/>
  <c r="J217" i="43"/>
  <c r="K232" i="43"/>
  <c r="K210" i="43"/>
  <c r="J225" i="43"/>
  <c r="K240" i="43"/>
  <c r="K218" i="43"/>
  <c r="J233" i="43"/>
  <c r="I247" i="43"/>
  <c r="J198" i="43"/>
  <c r="J197" i="43"/>
  <c r="AA239" i="43"/>
  <c r="AA211" i="43"/>
  <c r="W191" i="43"/>
  <c r="W195" i="43"/>
  <c r="AA221" i="43"/>
  <c r="AA198" i="43"/>
  <c r="AA234" i="43"/>
  <c r="AA186" i="43"/>
  <c r="W186" i="43"/>
  <c r="AA193" i="43"/>
  <c r="AA230" i="43"/>
  <c r="W202" i="43"/>
  <c r="W213" i="43"/>
  <c r="S203" i="43"/>
  <c r="S196" i="43"/>
  <c r="S225" i="43"/>
  <c r="S218" i="43"/>
  <c r="W198" i="43"/>
  <c r="S221" i="43"/>
  <c r="S198" i="43"/>
  <c r="S226" i="43"/>
  <c r="AA195" i="43"/>
  <c r="W187" i="43"/>
  <c r="S199" i="43"/>
  <c r="W242" i="43"/>
  <c r="S200" i="43"/>
  <c r="S208" i="43"/>
  <c r="W239" i="43"/>
  <c r="S201" i="43"/>
  <c r="K206" i="43"/>
  <c r="I206" i="43"/>
  <c r="I240" i="43"/>
  <c r="K249" i="43"/>
  <c r="I248" i="43"/>
  <c r="J207" i="43"/>
  <c r="K222" i="43"/>
  <c r="J215" i="43"/>
  <c r="I195" i="43"/>
  <c r="J209" i="43"/>
  <c r="K231" i="43"/>
  <c r="K203" i="43"/>
  <c r="I211" i="43"/>
  <c r="J196" i="43"/>
  <c r="K211" i="43"/>
  <c r="I219" i="43"/>
  <c r="I245" i="43"/>
  <c r="J204" i="43"/>
  <c r="K248" i="43"/>
  <c r="K226" i="43"/>
  <c r="I210" i="43"/>
  <c r="AA247" i="43"/>
  <c r="W241" i="43"/>
  <c r="W85" i="43" s="1"/>
  <c r="W205" i="43"/>
  <c r="AA227" i="43"/>
  <c r="AA220" i="43"/>
  <c r="W228" i="43"/>
  <c r="AA185" i="43"/>
  <c r="W193" i="43"/>
  <c r="AA208" i="43"/>
  <c r="AA202" i="43"/>
  <c r="W240" i="43"/>
  <c r="W206" i="43"/>
  <c r="S206" i="43"/>
  <c r="S207" i="43"/>
  <c r="S236" i="43"/>
  <c r="S216" i="43"/>
  <c r="I233" i="43"/>
  <c r="J200" i="43"/>
  <c r="J226" i="43"/>
  <c r="K228" i="43"/>
  <c r="I241" i="43"/>
  <c r="J208" i="43"/>
  <c r="J234" i="43"/>
  <c r="I222" i="43"/>
  <c r="K230" i="43"/>
  <c r="I242" i="43"/>
  <c r="K224" i="43"/>
  <c r="K202" i="43"/>
  <c r="I237" i="43"/>
  <c r="I224" i="43"/>
  <c r="K219" i="43"/>
  <c r="I227" i="43"/>
  <c r="AA205" i="43"/>
  <c r="AA246" i="43"/>
  <c r="AA218" i="43"/>
  <c r="W225" i="43"/>
  <c r="AA190" i="43"/>
  <c r="W226" i="43"/>
  <c r="AA184" i="43"/>
  <c r="AA233" i="43"/>
  <c r="AA237" i="43"/>
  <c r="AA249" i="43"/>
  <c r="W221" i="43"/>
  <c r="AA236" i="43"/>
  <c r="AA189" i="43"/>
  <c r="AA201" i="43"/>
  <c r="W209" i="43"/>
  <c r="W237" i="43"/>
  <c r="AA224" i="43"/>
  <c r="S239" i="43"/>
  <c r="W194" i="43"/>
  <c r="S240" i="43"/>
  <c r="S204" i="43"/>
  <c r="S233" i="43"/>
  <c r="S229" i="43"/>
  <c r="AA197" i="43"/>
  <c r="S235" i="43"/>
  <c r="W192" i="43"/>
  <c r="K241" i="43"/>
  <c r="I220" i="43"/>
  <c r="J235" i="43"/>
  <c r="J205" i="43"/>
  <c r="K207" i="43"/>
  <c r="I228" i="43"/>
  <c r="J213" i="43"/>
  <c r="J216" i="43"/>
  <c r="J242" i="43"/>
  <c r="K201" i="43"/>
  <c r="I230" i="43"/>
  <c r="I221" i="43"/>
  <c r="J244" i="43"/>
  <c r="K195" i="43"/>
  <c r="I203" i="43"/>
  <c r="I229" i="43"/>
  <c r="J231" i="43"/>
  <c r="K246" i="43"/>
  <c r="I246" i="43"/>
  <c r="I216" i="43"/>
  <c r="J239" i="43"/>
  <c r="J247" i="43"/>
  <c r="K198" i="43"/>
  <c r="I198" i="43"/>
  <c r="J241" i="43"/>
  <c r="AA213" i="43"/>
  <c r="AA226" i="43"/>
  <c r="W233" i="43"/>
  <c r="AA248" i="43"/>
  <c r="W220" i="43"/>
  <c r="AA206" i="43"/>
  <c r="AA199" i="43"/>
  <c r="W207" i="43"/>
  <c r="W236" i="43"/>
  <c r="S246" i="43"/>
  <c r="W229" i="43"/>
  <c r="W210" i="43"/>
  <c r="S234" i="43"/>
  <c r="S214" i="43"/>
  <c r="AA188" i="43"/>
  <c r="W227" i="43"/>
  <c r="S215" i="43"/>
  <c r="K220" i="43"/>
  <c r="J206" i="43"/>
  <c r="K237" i="43"/>
  <c r="I199" i="43"/>
  <c r="J243" i="43"/>
  <c r="K236" i="43"/>
  <c r="I249" i="43"/>
  <c r="J221" i="43"/>
  <c r="I200" i="43"/>
  <c r="J223" i="43"/>
  <c r="I238" i="43"/>
  <c r="I208" i="43"/>
  <c r="K217" i="43"/>
  <c r="I209" i="43"/>
  <c r="J240" i="43"/>
  <c r="J202" i="43"/>
  <c r="K225" i="43"/>
  <c r="I217" i="43"/>
  <c r="J248" i="43"/>
  <c r="J210" i="43"/>
  <c r="I232" i="43"/>
  <c r="J212" i="43"/>
  <c r="AA217" i="43"/>
  <c r="W204" i="43"/>
  <c r="AA225" i="43"/>
  <c r="W197" i="43"/>
  <c r="AA212" i="43"/>
  <c r="W232" i="43"/>
  <c r="AA200" i="43"/>
  <c r="AA228" i="43"/>
  <c r="W184" i="43"/>
  <c r="AA243" i="43"/>
  <c r="AA215" i="43"/>
  <c r="AA216" i="43"/>
  <c r="W188" i="43"/>
  <c r="W200" i="43"/>
  <c r="W246" i="43"/>
  <c r="S205" i="43"/>
  <c r="S210" i="43"/>
  <c r="S211" i="43"/>
  <c r="W245" i="43"/>
  <c r="S248" i="43"/>
  <c r="S212" i="43"/>
  <c r="S241" i="43"/>
  <c r="AA210" i="43"/>
  <c r="W211" i="43"/>
  <c r="S242" i="43"/>
  <c r="S243" i="43"/>
  <c r="W208" i="43"/>
  <c r="S223" i="43"/>
  <c r="S224" i="43"/>
  <c r="K229" i="43"/>
  <c r="K199" i="43"/>
  <c r="K200" i="43"/>
  <c r="K242" i="43"/>
  <c r="J214" i="43"/>
  <c r="K245" i="43"/>
  <c r="K215" i="43"/>
  <c r="I236" i="43"/>
  <c r="K244" i="43"/>
  <c r="J224" i="43"/>
  <c r="K238" i="43"/>
  <c r="I201" i="43"/>
  <c r="J232" i="43"/>
  <c r="K196" i="43"/>
  <c r="I196" i="43"/>
  <c r="J211" i="43"/>
  <c r="K204" i="43"/>
  <c r="I204" i="43"/>
  <c r="J219" i="43"/>
  <c r="K233" i="43"/>
  <c r="I225" i="43"/>
  <c r="AA232" i="43"/>
  <c r="W212" i="43"/>
  <c r="AA219" i="43"/>
  <c r="W199" i="43"/>
  <c r="AA229" i="43"/>
  <c r="W248" i="43"/>
  <c r="W218" i="43"/>
  <c r="W214" i="43"/>
  <c r="S237" i="43"/>
  <c r="W222" i="43"/>
  <c r="S222" i="43"/>
  <c r="I218" i="43"/>
  <c r="J249" i="43"/>
  <c r="K235" i="43"/>
  <c r="I226" i="43"/>
  <c r="K208" i="43"/>
  <c r="I207" i="43"/>
  <c r="J222" i="43"/>
  <c r="K223" i="43"/>
  <c r="J195" i="43"/>
  <c r="K209" i="43"/>
  <c r="J203" i="43"/>
  <c r="J237" i="43"/>
  <c r="J245" i="43"/>
  <c r="I239" i="43"/>
  <c r="K212" i="43"/>
  <c r="I212" i="43"/>
  <c r="AA196" i="43"/>
  <c r="AA240" i="43"/>
  <c r="AA204" i="43"/>
  <c r="W224" i="43"/>
  <c r="AA191" i="43"/>
  <c r="W203" i="43"/>
  <c r="AA242" i="43"/>
  <c r="W185" i="43"/>
  <c r="AA235" i="43"/>
  <c r="AA207" i="43"/>
  <c r="W215" i="43"/>
  <c r="AA222" i="43"/>
  <c r="AA194" i="43"/>
  <c r="AA187" i="43"/>
  <c r="AA244" i="43"/>
  <c r="W231" i="43"/>
  <c r="W235" i="43"/>
  <c r="S232" i="43"/>
  <c r="S217" i="43"/>
  <c r="AA231" i="43"/>
  <c r="S247" i="43"/>
  <c r="S219" i="43"/>
  <c r="S220" i="43"/>
  <c r="S249" i="43"/>
  <c r="W196" i="43"/>
  <c r="S245" i="43"/>
  <c r="W201" i="43"/>
  <c r="W230" i="43"/>
  <c r="S230" i="43"/>
  <c r="W189" i="43"/>
  <c r="S195" i="43"/>
  <c r="D42" i="50"/>
  <c r="J84" i="50"/>
  <c r="J90" i="50" s="1"/>
  <c r="J29" i="32"/>
  <c r="J72" i="32" s="1"/>
  <c r="D213" i="35"/>
  <c r="E213" i="35"/>
  <c r="C213" i="35"/>
  <c r="C483" i="35" s="1"/>
  <c r="C41" i="47"/>
  <c r="C108" i="47" s="1"/>
  <c r="D78" i="35"/>
  <c r="O12" i="35"/>
  <c r="E78" i="35"/>
  <c r="C78" i="35"/>
  <c r="C348" i="35" s="1"/>
  <c r="C10" i="47"/>
  <c r="C77" i="47" s="1"/>
  <c r="D617" i="35"/>
  <c r="D683" i="35" s="1"/>
  <c r="D347" i="35"/>
  <c r="D110" i="35"/>
  <c r="D650" i="35" s="1"/>
  <c r="D143" i="35"/>
  <c r="D176" i="35"/>
  <c r="D719" i="35"/>
  <c r="D785" i="35" s="1"/>
  <c r="D482" i="35"/>
  <c r="D245" i="35"/>
  <c r="D752" i="35" s="1"/>
  <c r="P752" i="35" s="1" a="1"/>
  <c r="P752" i="35" s="1"/>
  <c r="D278" i="35"/>
  <c r="D311" i="35"/>
  <c r="D1127" i="35"/>
  <c r="E311" i="35"/>
  <c r="E245" i="35"/>
  <c r="E752" i="35" s="1"/>
  <c r="F752" i="35" s="1"/>
  <c r="E719" i="35"/>
  <c r="E785" i="35" s="1"/>
  <c r="F785" i="35" s="1"/>
  <c r="E482" i="35"/>
  <c r="E278" i="35"/>
  <c r="D923" i="35"/>
  <c r="C261" i="31"/>
  <c r="C297" i="30"/>
  <c r="C453" i="30" s="1"/>
  <c r="C297" i="18"/>
  <c r="C453" i="18" s="1"/>
  <c r="D218" i="12"/>
  <c r="D297" i="30" s="1"/>
  <c r="C276" i="18"/>
  <c r="C432" i="18" s="1"/>
  <c r="D197" i="12"/>
  <c r="D276" i="30" s="1"/>
  <c r="E197" i="12"/>
  <c r="E276" i="30" s="1"/>
  <c r="C240" i="31"/>
  <c r="C276" i="30"/>
  <c r="C354" i="30" s="1"/>
  <c r="C132" i="31"/>
  <c r="C9" i="18"/>
  <c r="C87" i="18" s="1"/>
  <c r="D88" i="12"/>
  <c r="D132" i="31" s="1"/>
  <c r="E88" i="12"/>
  <c r="C201" i="31"/>
  <c r="C78" i="30"/>
  <c r="C156" i="30" s="1"/>
  <c r="D157" i="12"/>
  <c r="D201" i="31" s="1"/>
  <c r="E157" i="12"/>
  <c r="E201" i="31" s="1"/>
  <c r="C143" i="31"/>
  <c r="C20" i="18"/>
  <c r="C98" i="18" s="1"/>
  <c r="D99" i="12"/>
  <c r="D143" i="31" s="1"/>
  <c r="E99" i="12"/>
  <c r="E20" i="30" s="1"/>
  <c r="C252" i="30"/>
  <c r="C330" i="30" s="1"/>
  <c r="C44" i="30"/>
  <c r="C200" i="30" s="1"/>
  <c r="C216" i="31"/>
  <c r="C252" i="18"/>
  <c r="D173" i="12"/>
  <c r="E173" i="12"/>
  <c r="E216" i="31" s="1"/>
  <c r="C167" i="31"/>
  <c r="C44" i="18"/>
  <c r="C122" i="18" s="1"/>
  <c r="D123" i="12"/>
  <c r="D167" i="31" s="1"/>
  <c r="E123" i="12"/>
  <c r="E44" i="30" s="1"/>
  <c r="C222" i="31"/>
  <c r="C258" i="30"/>
  <c r="C336" i="30" s="1"/>
  <c r="C258" i="18"/>
  <c r="D179" i="12"/>
  <c r="D258" i="30" s="1"/>
  <c r="C251" i="30"/>
  <c r="C407" i="30" s="1"/>
  <c r="D172" i="12"/>
  <c r="C251" i="18"/>
  <c r="E172" i="12"/>
  <c r="E251" i="18" s="1"/>
  <c r="C215" i="31"/>
  <c r="C27" i="18"/>
  <c r="C105" i="18" s="1"/>
  <c r="D106" i="12"/>
  <c r="E106" i="12"/>
  <c r="E150" i="31" s="1"/>
  <c r="C150" i="31"/>
  <c r="C27" i="30"/>
  <c r="C260" i="31"/>
  <c r="C296" i="30"/>
  <c r="C374" i="30" s="1"/>
  <c r="C296" i="18"/>
  <c r="C374" i="18" s="1"/>
  <c r="D217" i="12"/>
  <c r="D260" i="31" s="1"/>
  <c r="E217" i="12"/>
  <c r="C251" i="31"/>
  <c r="C287" i="30"/>
  <c r="C443" i="30" s="1"/>
  <c r="C287" i="18"/>
  <c r="C443" i="18" s="1"/>
  <c r="D208" i="12"/>
  <c r="D251" i="31" s="1"/>
  <c r="C10" i="30"/>
  <c r="C88" i="30" s="1"/>
  <c r="C10" i="18"/>
  <c r="C166" i="18" s="1"/>
  <c r="D89" i="12"/>
  <c r="C133" i="31"/>
  <c r="C250" i="31"/>
  <c r="C286" i="30"/>
  <c r="C442" i="30" s="1"/>
  <c r="C286" i="18"/>
  <c r="C364" i="18" s="1"/>
  <c r="E207" i="12"/>
  <c r="E250" i="31" s="1"/>
  <c r="C172" i="31"/>
  <c r="C49" i="30"/>
  <c r="C49" i="18"/>
  <c r="C205" i="18" s="1"/>
  <c r="E128" i="12"/>
  <c r="E49" i="18" s="1"/>
  <c r="C268" i="31"/>
  <c r="C304" i="30"/>
  <c r="C382" i="30" s="1"/>
  <c r="C304" i="18"/>
  <c r="C460" i="18" s="1"/>
  <c r="D225" i="12"/>
  <c r="D268" i="31" s="1"/>
  <c r="E225" i="12"/>
  <c r="E304" i="30" s="1"/>
  <c r="C169" i="31"/>
  <c r="C46" i="30"/>
  <c r="C202" i="30" s="1"/>
  <c r="C46" i="18"/>
  <c r="C202" i="18" s="1"/>
  <c r="D125" i="12"/>
  <c r="D169" i="31" s="1"/>
  <c r="C51" i="30"/>
  <c r="C207" i="30" s="1"/>
  <c r="C51" i="18"/>
  <c r="C207" i="18" s="1"/>
  <c r="D130" i="12"/>
  <c r="D51" i="30" s="1"/>
  <c r="E130" i="12"/>
  <c r="C174" i="31"/>
  <c r="C291" i="30"/>
  <c r="C47" i="18"/>
  <c r="C203" i="18" s="1"/>
  <c r="C255" i="31"/>
  <c r="D100" i="12"/>
  <c r="D21" i="30" s="1"/>
  <c r="C47" i="30"/>
  <c r="C170" i="31"/>
  <c r="E100" i="12"/>
  <c r="E168" i="12"/>
  <c r="E247" i="30" s="1"/>
  <c r="D212" i="12"/>
  <c r="D291" i="30" s="1"/>
  <c r="C21" i="18"/>
  <c r="D168" i="12"/>
  <c r="D211" i="31" s="1"/>
  <c r="C21" i="30"/>
  <c r="C99" i="30" s="1"/>
  <c r="C247" i="18"/>
  <c r="C325" i="18" s="1"/>
  <c r="C266" i="31"/>
  <c r="C302" i="30"/>
  <c r="C458" i="30" s="1"/>
  <c r="C302" i="18"/>
  <c r="D223" i="12"/>
  <c r="E223" i="12"/>
  <c r="E302" i="30" s="1"/>
  <c r="C282" i="30"/>
  <c r="C438" i="30" s="1"/>
  <c r="C282" i="18"/>
  <c r="C360" i="18" s="1"/>
  <c r="D203" i="12"/>
  <c r="D282" i="18" s="1"/>
  <c r="E203" i="12"/>
  <c r="E282" i="30" s="1"/>
  <c r="D91" i="12"/>
  <c r="E91" i="12"/>
  <c r="C135" i="31"/>
  <c r="C12" i="30"/>
  <c r="C90" i="30" s="1"/>
  <c r="C277" i="18"/>
  <c r="D198" i="12"/>
  <c r="E198" i="12"/>
  <c r="C241" i="31"/>
  <c r="E183" i="12"/>
  <c r="E226" i="31" s="1"/>
  <c r="C226" i="31"/>
  <c r="C262" i="30"/>
  <c r="C262" i="18"/>
  <c r="C204" i="31"/>
  <c r="C81" i="30"/>
  <c r="C237" i="30" s="1"/>
  <c r="C81" i="18"/>
  <c r="D160" i="12"/>
  <c r="D81" i="30" s="1"/>
  <c r="E160" i="12"/>
  <c r="E81" i="30" s="1"/>
  <c r="D200" i="12"/>
  <c r="D279" i="30" s="1"/>
  <c r="E200" i="12"/>
  <c r="E279" i="30" s="1"/>
  <c r="C243" i="31"/>
  <c r="C279" i="30"/>
  <c r="C435" i="30" s="1"/>
  <c r="C159" i="31"/>
  <c r="C36" i="30"/>
  <c r="C114" i="30" s="1"/>
  <c r="C36" i="18"/>
  <c r="C114" i="18" s="1"/>
  <c r="D115" i="12"/>
  <c r="E115" i="12"/>
  <c r="C285" i="30"/>
  <c r="C441" i="30" s="1"/>
  <c r="C285" i="18"/>
  <c r="C441" i="18" s="1"/>
  <c r="D206" i="12"/>
  <c r="D249" i="31" s="1"/>
  <c r="E206" i="12"/>
  <c r="E249" i="31" s="1"/>
  <c r="C249" i="31"/>
  <c r="C145" i="31"/>
  <c r="C22" i="30"/>
  <c r="C100" i="30" s="1"/>
  <c r="C22" i="18"/>
  <c r="C100" i="18" s="1"/>
  <c r="D101" i="12"/>
  <c r="D145" i="31" s="1"/>
  <c r="E101" i="12"/>
  <c r="E145" i="31" s="1"/>
  <c r="C194" i="31"/>
  <c r="C71" i="30"/>
  <c r="C71" i="18"/>
  <c r="C227" i="18" s="1"/>
  <c r="D150" i="12"/>
  <c r="D194" i="31" s="1"/>
  <c r="E150" i="12"/>
  <c r="E71" i="30" s="1"/>
  <c r="D132" i="12"/>
  <c r="D53" i="30" s="1"/>
  <c r="C176" i="31"/>
  <c r="C53" i="30"/>
  <c r="C53" i="18"/>
  <c r="C131" i="18" s="1"/>
  <c r="E132" i="12"/>
  <c r="E176" i="31" s="1"/>
  <c r="E134" i="12"/>
  <c r="E55" i="30" s="1"/>
  <c r="C178" i="31"/>
  <c r="C55" i="30"/>
  <c r="C211" i="30" s="1"/>
  <c r="C55" i="18"/>
  <c r="D134" i="12"/>
  <c r="C235" i="31"/>
  <c r="C271" i="30"/>
  <c r="C427" i="30" s="1"/>
  <c r="C271" i="18"/>
  <c r="D192" i="12"/>
  <c r="E192" i="12"/>
  <c r="E235" i="31" s="1"/>
  <c r="C278" i="31"/>
  <c r="C314" i="30"/>
  <c r="C314" i="18"/>
  <c r="C392" i="18" s="1"/>
  <c r="D235" i="12"/>
  <c r="D278" i="31" s="1"/>
  <c r="E235" i="12"/>
  <c r="E278" i="31" s="1"/>
  <c r="C246" i="30"/>
  <c r="C324" i="30" s="1"/>
  <c r="C246" i="18"/>
  <c r="C324" i="18" s="1"/>
  <c r="D167" i="12"/>
  <c r="D210" i="31" s="1"/>
  <c r="E167" i="12"/>
  <c r="E246" i="18" s="1"/>
  <c r="C210" i="31"/>
  <c r="C270" i="31"/>
  <c r="C306" i="30"/>
  <c r="C462" i="30" s="1"/>
  <c r="C306" i="18"/>
  <c r="C384" i="18" s="1"/>
  <c r="D227" i="12"/>
  <c r="D270" i="31" s="1"/>
  <c r="E227" i="12"/>
  <c r="E270" i="31" s="1"/>
  <c r="C180" i="31"/>
  <c r="C57" i="30"/>
  <c r="C213" i="30" s="1"/>
  <c r="C57" i="18"/>
  <c r="C135" i="18" s="1"/>
  <c r="D136" i="12"/>
  <c r="D180" i="31" s="1"/>
  <c r="E136" i="12"/>
  <c r="E180" i="31" s="1"/>
  <c r="C246" i="31"/>
  <c r="D183" i="12"/>
  <c r="D226" i="31" s="1"/>
  <c r="C279" i="18"/>
  <c r="C277" i="30"/>
  <c r="C433" i="30" s="1"/>
  <c r="C12" i="18"/>
  <c r="C168" i="18" s="1"/>
  <c r="D135" i="12"/>
  <c r="D179" i="31" s="1"/>
  <c r="E135" i="12"/>
  <c r="E56" i="18" s="1"/>
  <c r="C179" i="31"/>
  <c r="C56" i="30"/>
  <c r="C134" i="30" s="1"/>
  <c r="D202" i="12"/>
  <c r="E202" i="12"/>
  <c r="E281" i="18" s="1"/>
  <c r="C245" i="31"/>
  <c r="C281" i="30"/>
  <c r="C281" i="18"/>
  <c r="C437" i="18" s="1"/>
  <c r="C175" i="31"/>
  <c r="C52" i="18"/>
  <c r="D131" i="12"/>
  <c r="D52" i="30" s="1"/>
  <c r="E131" i="12"/>
  <c r="E175" i="31" s="1"/>
  <c r="C292" i="18"/>
  <c r="C370" i="18" s="1"/>
  <c r="D213" i="12"/>
  <c r="D256" i="31" s="1"/>
  <c r="E213" i="12"/>
  <c r="C256" i="31"/>
  <c r="C292" i="30"/>
  <c r="C153" i="31"/>
  <c r="C30" i="30"/>
  <c r="C108" i="30" s="1"/>
  <c r="C30" i="18"/>
  <c r="C108" i="18" s="1"/>
  <c r="E109" i="12"/>
  <c r="E153" i="31" s="1"/>
  <c r="E98" i="12"/>
  <c r="C19" i="30"/>
  <c r="C175" i="30" s="1"/>
  <c r="C19" i="18"/>
  <c r="C97" i="18" s="1"/>
  <c r="D98" i="12"/>
  <c r="D142" i="31" s="1"/>
  <c r="C209" i="31"/>
  <c r="C245" i="30"/>
  <c r="C401" i="30" s="1"/>
  <c r="C245" i="18"/>
  <c r="C323" i="18" s="1"/>
  <c r="D166" i="12"/>
  <c r="D209" i="31" s="1"/>
  <c r="D140" i="12"/>
  <c r="D184" i="31" s="1"/>
  <c r="C61" i="30"/>
  <c r="C139" i="30" s="1"/>
  <c r="C61" i="18"/>
  <c r="C217" i="18" s="1"/>
  <c r="E140" i="12"/>
  <c r="E184" i="31" s="1"/>
  <c r="C141" i="31"/>
  <c r="C18" i="30"/>
  <c r="C174" i="30" s="1"/>
  <c r="C18" i="18"/>
  <c r="C96" i="18" s="1"/>
  <c r="E97" i="12"/>
  <c r="C315" i="30"/>
  <c r="C471" i="30" s="1"/>
  <c r="C315" i="18"/>
  <c r="C471" i="18" s="1"/>
  <c r="E236" i="12"/>
  <c r="E279" i="31" s="1"/>
  <c r="C279" i="31"/>
  <c r="C264" i="31"/>
  <c r="C300" i="18"/>
  <c r="C456" i="18" s="1"/>
  <c r="D221" i="12"/>
  <c r="D300" i="18" s="1"/>
  <c r="E221" i="12"/>
  <c r="E300" i="18" s="1"/>
  <c r="C42" i="18"/>
  <c r="C120" i="18" s="1"/>
  <c r="D121" i="12"/>
  <c r="D165" i="31" s="1"/>
  <c r="E121" i="12"/>
  <c r="E42" i="30" s="1"/>
  <c r="C165" i="31"/>
  <c r="C42" i="30"/>
  <c r="AA318" i="43"/>
  <c r="AA285" i="43"/>
  <c r="W263" i="43"/>
  <c r="AA270" i="43"/>
  <c r="W321" i="43"/>
  <c r="W308" i="43"/>
  <c r="AA309" i="43"/>
  <c r="W287" i="43"/>
  <c r="AA294" i="43"/>
  <c r="AA325" i="43"/>
  <c r="AA260" i="43"/>
  <c r="W289" i="43"/>
  <c r="S297" i="43"/>
  <c r="W276" i="43"/>
  <c r="S312" i="43"/>
  <c r="W324" i="43"/>
  <c r="W267" i="43"/>
  <c r="AA311" i="43"/>
  <c r="S315" i="43"/>
  <c r="W299" i="43"/>
  <c r="S272" i="43"/>
  <c r="S267" i="43"/>
  <c r="S302" i="43"/>
  <c r="AA268" i="43"/>
  <c r="W261" i="43"/>
  <c r="S269" i="43"/>
  <c r="Y288" i="43"/>
  <c r="Y301" i="43"/>
  <c r="Y295" i="43"/>
  <c r="Y283" i="43"/>
  <c r="Y284" i="43"/>
  <c r="Y326" i="43"/>
  <c r="Y269" i="43"/>
  <c r="Y327" i="43"/>
  <c r="Y306" i="43"/>
  <c r="Y286" i="43"/>
  <c r="Y293" i="43"/>
  <c r="M304" i="43"/>
  <c r="M291" i="43"/>
  <c r="M320" i="43"/>
  <c r="AA304" i="43"/>
  <c r="AA284" i="43"/>
  <c r="W327" i="43"/>
  <c r="W304" i="43"/>
  <c r="AA321" i="43"/>
  <c r="W286" i="43"/>
  <c r="AA308" i="43"/>
  <c r="W273" i="43"/>
  <c r="AA280" i="43"/>
  <c r="AA324" i="43"/>
  <c r="W272" i="43"/>
  <c r="S291" i="43"/>
  <c r="S314" i="43"/>
  <c r="S319" i="43"/>
  <c r="S258" i="43"/>
  <c r="S320" i="43"/>
  <c r="S263" i="43"/>
  <c r="W325" i="43"/>
  <c r="S301" i="43"/>
  <c r="W279" i="43"/>
  <c r="S274" i="43"/>
  <c r="S279" i="43"/>
  <c r="S288" i="43"/>
  <c r="S268" i="43"/>
  <c r="Y287" i="43"/>
  <c r="Y289" i="43"/>
  <c r="Y274" i="43"/>
  <c r="Y320" i="43"/>
  <c r="Y321" i="43"/>
  <c r="Y308" i="43"/>
  <c r="Y280" i="43"/>
  <c r="M298" i="43"/>
  <c r="M285" i="43"/>
  <c r="M314" i="43"/>
  <c r="AA306" i="43"/>
  <c r="AA319" i="43"/>
  <c r="W284" i="43"/>
  <c r="AA262" i="43"/>
  <c r="W313" i="43"/>
  <c r="AA258" i="43"/>
  <c r="AA320" i="43"/>
  <c r="AA271" i="43"/>
  <c r="W306" i="43"/>
  <c r="AA315" i="43"/>
  <c r="AA286" i="43"/>
  <c r="AA282" i="43"/>
  <c r="AA295" i="43"/>
  <c r="AA302" i="43"/>
  <c r="W274" i="43"/>
  <c r="W285" i="43"/>
  <c r="S277" i="43"/>
  <c r="S305" i="43"/>
  <c r="S322" i="43"/>
  <c r="S327" i="43"/>
  <c r="S300" i="43"/>
  <c r="S265" i="43"/>
  <c r="S317" i="43"/>
  <c r="W311" i="43"/>
  <c r="S290" i="43"/>
  <c r="S295" i="43"/>
  <c r="W288" i="43"/>
  <c r="Y281" i="43"/>
  <c r="Y275" i="43"/>
  <c r="Y276" i="43"/>
  <c r="Y318" i="43"/>
  <c r="Y261" i="43"/>
  <c r="Y319" i="43"/>
  <c r="Y307" i="43"/>
  <c r="Y278" i="43"/>
  <c r="AA297" i="43"/>
  <c r="W262" i="43"/>
  <c r="AA326" i="43"/>
  <c r="W296" i="43"/>
  <c r="AA322" i="43"/>
  <c r="W300" i="43"/>
  <c r="AA301" i="43"/>
  <c r="AA272" i="43"/>
  <c r="W258" i="43"/>
  <c r="W320" i="43"/>
  <c r="AA273" i="43"/>
  <c r="AA288" i="43"/>
  <c r="W268" i="43"/>
  <c r="S276" i="43"/>
  <c r="W266" i="43"/>
  <c r="S299" i="43"/>
  <c r="AA296" i="43"/>
  <c r="W282" i="43"/>
  <c r="S313" i="43"/>
  <c r="W297" i="43"/>
  <c r="S278" i="43"/>
  <c r="AA289" i="43"/>
  <c r="W314" i="43"/>
  <c r="S259" i="43"/>
  <c r="W318" i="43"/>
  <c r="W264" i="43"/>
  <c r="S316" i="43"/>
  <c r="AA269" i="43"/>
  <c r="S281" i="43"/>
  <c r="S310" i="43"/>
  <c r="Y267" i="43"/>
  <c r="Y266" i="43"/>
  <c r="Y312" i="43"/>
  <c r="Y325" i="43"/>
  <c r="Y313" i="43"/>
  <c r="Y298" i="43"/>
  <c r="Y272" i="43"/>
  <c r="Y285" i="43"/>
  <c r="Y273" i="43"/>
  <c r="M283" i="43"/>
  <c r="M316" i="43"/>
  <c r="M299" i="43"/>
  <c r="AA291" i="43"/>
  <c r="W326" i="43"/>
  <c r="AA312" i="43"/>
  <c r="AA263" i="43"/>
  <c r="W298" i="43"/>
  <c r="AA313" i="43"/>
  <c r="W278" i="43"/>
  <c r="W291" i="43"/>
  <c r="AA300" i="43"/>
  <c r="W265" i="43"/>
  <c r="AA274" i="43"/>
  <c r="AA287" i="43"/>
  <c r="W322" i="43"/>
  <c r="AA267" i="43"/>
  <c r="AA290" i="43"/>
  <c r="AA303" i="43"/>
  <c r="W259" i="43"/>
  <c r="W312" i="43"/>
  <c r="AA310" i="43"/>
  <c r="S285" i="43"/>
  <c r="S307" i="43"/>
  <c r="W275" i="43"/>
  <c r="S264" i="43"/>
  <c r="S323" i="43"/>
  <c r="S294" i="43"/>
  <c r="S275" i="43"/>
  <c r="S296" i="43"/>
  <c r="Y258" i="43"/>
  <c r="Y268" i="43"/>
  <c r="Y310" i="43"/>
  <c r="Y311" i="43"/>
  <c r="Y299" i="43"/>
  <c r="Y300" i="43"/>
  <c r="Y271" i="43"/>
  <c r="Y259" i="43"/>
  <c r="M277" i="43"/>
  <c r="M318" i="43"/>
  <c r="M293" i="43"/>
  <c r="AA276" i="43"/>
  <c r="AA305" i="43"/>
  <c r="W270" i="43"/>
  <c r="W283" i="43"/>
  <c r="AA293" i="43"/>
  <c r="W271" i="43"/>
  <c r="AA264" i="43"/>
  <c r="AA259" i="43"/>
  <c r="W294" i="43"/>
  <c r="W307" i="43"/>
  <c r="AA317" i="43"/>
  <c r="AA275" i="43"/>
  <c r="W309" i="43"/>
  <c r="W260" i="43"/>
  <c r="S304" i="43"/>
  <c r="S262" i="43"/>
  <c r="S292" i="43"/>
  <c r="W302" i="43"/>
  <c r="S308" i="43"/>
  <c r="W295" i="43"/>
  <c r="S282" i="43"/>
  <c r="S287" i="43"/>
  <c r="S325" i="43"/>
  <c r="S260" i="43"/>
  <c r="S289" i="43"/>
  <c r="Y324" i="43"/>
  <c r="Y302" i="43"/>
  <c r="Y303" i="43"/>
  <c r="Y291" i="43"/>
  <c r="Y292" i="43"/>
  <c r="Y264" i="43"/>
  <c r="Y277" i="43"/>
  <c r="M327" i="43"/>
  <c r="M306" i="43"/>
  <c r="M279" i="43"/>
  <c r="W305" i="43"/>
  <c r="AA299" i="43"/>
  <c r="W269" i="43"/>
  <c r="AA292" i="43"/>
  <c r="AA266" i="43"/>
  <c r="AA279" i="43"/>
  <c r="AA323" i="43"/>
  <c r="W293" i="43"/>
  <c r="AA316" i="43"/>
  <c r="AA261" i="43"/>
  <c r="W303" i="43"/>
  <c r="S306" i="43"/>
  <c r="S311" i="43"/>
  <c r="S326" i="43"/>
  <c r="W281" i="43"/>
  <c r="S270" i="43"/>
  <c r="W290" i="43"/>
  <c r="S321" i="43"/>
  <c r="S286" i="43"/>
  <c r="AA283" i="43"/>
  <c r="S273" i="43"/>
  <c r="W280" i="43"/>
  <c r="S324" i="43"/>
  <c r="S283" i="43"/>
  <c r="Y294" i="43"/>
  <c r="Y296" i="43"/>
  <c r="Y309" i="43"/>
  <c r="Y297" i="43"/>
  <c r="Y282" i="43"/>
  <c r="Y262" i="43"/>
  <c r="Y263" i="43"/>
  <c r="Y315" i="43"/>
  <c r="Y316" i="43"/>
  <c r="M310" i="43"/>
  <c r="M308" i="43"/>
  <c r="M305" i="43"/>
  <c r="M326" i="43"/>
  <c r="O792" i="18"/>
  <c r="P65" i="38"/>
  <c r="P74" i="38"/>
  <c r="P73" i="38"/>
  <c r="P76" i="38"/>
  <c r="P75" i="38"/>
  <c r="P66" i="38"/>
  <c r="P68" i="38"/>
  <c r="P67" i="38"/>
  <c r="P80" i="38"/>
  <c r="P79" i="38"/>
  <c r="P72" i="38"/>
  <c r="P71" i="38"/>
  <c r="P70" i="38"/>
  <c r="P63" i="38"/>
  <c r="P64" i="38"/>
  <c r="P77" i="38"/>
  <c r="P69" i="38"/>
  <c r="P78" i="38"/>
  <c r="P82" i="38"/>
  <c r="P81" i="38"/>
  <c r="D234" i="12"/>
  <c r="D277" i="31" s="1"/>
  <c r="E234" i="12"/>
  <c r="E277" i="31" s="1"/>
  <c r="C277" i="31"/>
  <c r="C313" i="30"/>
  <c r="C156" i="31"/>
  <c r="C33" i="30"/>
  <c r="C189" i="30" s="1"/>
  <c r="C33" i="18"/>
  <c r="C189" i="18" s="1"/>
  <c r="D112" i="12"/>
  <c r="C299" i="18"/>
  <c r="E220" i="12"/>
  <c r="E263" i="31" s="1"/>
  <c r="D220" i="12"/>
  <c r="D263" i="31" s="1"/>
  <c r="C263" i="31"/>
  <c r="E151" i="12"/>
  <c r="E72" i="30" s="1"/>
  <c r="C195" i="31"/>
  <c r="C72" i="30"/>
  <c r="C228" i="30" s="1"/>
  <c r="C72" i="18"/>
  <c r="C228" i="18" s="1"/>
  <c r="C213" i="31"/>
  <c r="C249" i="30"/>
  <c r="C405" i="30" s="1"/>
  <c r="D170" i="12"/>
  <c r="C249" i="18"/>
  <c r="C405" i="18" s="1"/>
  <c r="E170" i="12"/>
  <c r="E213" i="31" s="1"/>
  <c r="C139" i="31"/>
  <c r="C16" i="30"/>
  <c r="C94" i="30" s="1"/>
  <c r="C16" i="18"/>
  <c r="C94" i="18" s="1"/>
  <c r="D95" i="12"/>
  <c r="E95" i="12"/>
  <c r="C242" i="31"/>
  <c r="C278" i="30"/>
  <c r="C434" i="30" s="1"/>
  <c r="C278" i="18"/>
  <c r="C356" i="18" s="1"/>
  <c r="D199" i="12"/>
  <c r="D278" i="18" s="1"/>
  <c r="E199" i="12"/>
  <c r="E242" i="31" s="1"/>
  <c r="E94" i="12"/>
  <c r="C138" i="31"/>
  <c r="C15" i="30"/>
  <c r="C15" i="18"/>
  <c r="C93" i="18" s="1"/>
  <c r="O243" i="18"/>
  <c r="K40" i="45"/>
  <c r="J792" i="18"/>
  <c r="J480" i="18"/>
  <c r="J243" i="18"/>
  <c r="M40" i="45"/>
  <c r="G201" i="17"/>
  <c r="G123" i="17"/>
  <c r="E115" i="29"/>
  <c r="E193" i="29"/>
  <c r="G197" i="17"/>
  <c r="G119" i="17"/>
  <c r="E111" i="29"/>
  <c r="E189" i="29"/>
  <c r="G273" i="19"/>
  <c r="G351" i="19"/>
  <c r="G195" i="19"/>
  <c r="G117" i="19"/>
  <c r="D112" i="43"/>
  <c r="D190" i="43"/>
  <c r="I280" i="43"/>
  <c r="K280" i="43"/>
  <c r="J280" i="43"/>
  <c r="E105" i="17"/>
  <c r="E183" i="17"/>
  <c r="D175" i="29"/>
  <c r="D97" i="29"/>
  <c r="G166" i="19"/>
  <c r="G244" i="19"/>
  <c r="G88" i="19"/>
  <c r="G322" i="19"/>
  <c r="G115" i="19"/>
  <c r="G193" i="19"/>
  <c r="G349" i="19"/>
  <c r="G271" i="19"/>
  <c r="D110" i="43"/>
  <c r="D188" i="43"/>
  <c r="D119" i="29"/>
  <c r="D197" i="29"/>
  <c r="J276" i="43"/>
  <c r="I276" i="43"/>
  <c r="K276" i="43"/>
  <c r="G198" i="43"/>
  <c r="G120" i="43"/>
  <c r="G194" i="19"/>
  <c r="G272" i="19"/>
  <c r="G116" i="19"/>
  <c r="G350" i="19"/>
  <c r="D203" i="43"/>
  <c r="D125" i="43"/>
  <c r="D89" i="17"/>
  <c r="D167" i="17"/>
  <c r="E98" i="43"/>
  <c r="E176" i="43"/>
  <c r="E188" i="43"/>
  <c r="E110" i="43"/>
  <c r="K122" i="43"/>
  <c r="I122" i="43"/>
  <c r="J122" i="43"/>
  <c r="D103" i="17"/>
  <c r="D181" i="17"/>
  <c r="E95" i="29"/>
  <c r="E173" i="29"/>
  <c r="G257" i="19"/>
  <c r="G335" i="19"/>
  <c r="G179" i="19"/>
  <c r="G101" i="19"/>
  <c r="G197" i="43"/>
  <c r="G119" i="43"/>
  <c r="D184" i="17"/>
  <c r="D106" i="17"/>
  <c r="K264" i="43"/>
  <c r="J264" i="43"/>
  <c r="I264" i="43"/>
  <c r="E167" i="19"/>
  <c r="E323" i="19"/>
  <c r="E245" i="19"/>
  <c r="E89" i="19"/>
  <c r="D180" i="19"/>
  <c r="D258" i="19"/>
  <c r="D102" i="19"/>
  <c r="D336" i="19"/>
  <c r="I110" i="43"/>
  <c r="K110" i="43"/>
  <c r="J110" i="43"/>
  <c r="G110" i="43"/>
  <c r="G188" i="43"/>
  <c r="K270" i="43"/>
  <c r="I270" i="43"/>
  <c r="J270" i="43"/>
  <c r="G173" i="17"/>
  <c r="G95" i="17"/>
  <c r="D272" i="19"/>
  <c r="D194" i="19"/>
  <c r="D116" i="19"/>
  <c r="D350" i="19"/>
  <c r="G189" i="43"/>
  <c r="G111" i="43"/>
  <c r="E106" i="17"/>
  <c r="E184" i="17"/>
  <c r="D98" i="29"/>
  <c r="D176" i="29"/>
  <c r="G245" i="19"/>
  <c r="G323" i="19"/>
  <c r="G167" i="19"/>
  <c r="G89" i="19"/>
  <c r="D201" i="43"/>
  <c r="D123" i="43"/>
  <c r="K254" i="43"/>
  <c r="I254" i="43"/>
  <c r="J254" i="43"/>
  <c r="E180" i="17"/>
  <c r="E102" i="17"/>
  <c r="D172" i="29"/>
  <c r="D94" i="29"/>
  <c r="G91" i="19"/>
  <c r="G169" i="19"/>
  <c r="G325" i="19"/>
  <c r="G247" i="19"/>
  <c r="K262" i="43"/>
  <c r="I262" i="43"/>
  <c r="J262" i="43"/>
  <c r="D196" i="29"/>
  <c r="D118" i="29"/>
  <c r="D264" i="19"/>
  <c r="D342" i="19"/>
  <c r="D186" i="19"/>
  <c r="D108" i="19"/>
  <c r="G181" i="43"/>
  <c r="G103" i="43"/>
  <c r="G184" i="29"/>
  <c r="G106" i="29"/>
  <c r="K287" i="43"/>
  <c r="I287" i="43"/>
  <c r="J287" i="43"/>
  <c r="G209" i="43"/>
  <c r="G131" i="43"/>
  <c r="D260" i="19"/>
  <c r="D338" i="19"/>
  <c r="D182" i="19"/>
  <c r="D104" i="19"/>
  <c r="E86" i="17"/>
  <c r="E164" i="17"/>
  <c r="I9" i="31"/>
  <c r="I11" i="31"/>
  <c r="I18" i="31"/>
  <c r="I15" i="31"/>
  <c r="I12" i="31"/>
  <c r="I16" i="31"/>
  <c r="I13" i="31"/>
  <c r="D121" i="43"/>
  <c r="D199" i="43"/>
  <c r="D171" i="17"/>
  <c r="D93" i="17"/>
  <c r="G109" i="43"/>
  <c r="G187" i="43"/>
  <c r="D199" i="19"/>
  <c r="D277" i="19"/>
  <c r="D121" i="19"/>
  <c r="D355" i="19"/>
  <c r="G190" i="17"/>
  <c r="G112" i="17"/>
  <c r="E182" i="29"/>
  <c r="E104" i="29"/>
  <c r="G253" i="43"/>
  <c r="G97" i="43"/>
  <c r="G175" i="43"/>
  <c r="G196" i="29"/>
  <c r="G118" i="29"/>
  <c r="K259" i="43"/>
  <c r="I259" i="43"/>
  <c r="J259" i="43"/>
  <c r="D181" i="43"/>
  <c r="D103" i="43"/>
  <c r="G90" i="17"/>
  <c r="G168" i="17"/>
  <c r="E199" i="29"/>
  <c r="E121" i="29"/>
  <c r="E107" i="43"/>
  <c r="E185" i="43"/>
  <c r="E123" i="17"/>
  <c r="E201" i="17"/>
  <c r="D193" i="29"/>
  <c r="D115" i="29"/>
  <c r="E130" i="43"/>
  <c r="E208" i="43"/>
  <c r="E128" i="43"/>
  <c r="E206" i="43"/>
  <c r="K104" i="43"/>
  <c r="J104" i="43"/>
  <c r="I104" i="43"/>
  <c r="K132" i="43"/>
  <c r="I132" i="43"/>
  <c r="J132" i="43"/>
  <c r="G210" i="43"/>
  <c r="G132" i="43"/>
  <c r="D183" i="19"/>
  <c r="D261" i="19"/>
  <c r="D105" i="19"/>
  <c r="D339" i="19"/>
  <c r="G174" i="17"/>
  <c r="G96" i="17"/>
  <c r="E166" i="29"/>
  <c r="E88" i="29"/>
  <c r="G123" i="19"/>
  <c r="G201" i="19"/>
  <c r="G357" i="19"/>
  <c r="G279" i="19"/>
  <c r="D196" i="43"/>
  <c r="D118" i="43"/>
  <c r="G119" i="19"/>
  <c r="G197" i="19"/>
  <c r="G353" i="19"/>
  <c r="G275" i="19"/>
  <c r="G117" i="29"/>
  <c r="G195" i="29"/>
  <c r="D200" i="17"/>
  <c r="D122" i="17"/>
  <c r="K124" i="43"/>
  <c r="I124" i="43"/>
  <c r="J124" i="43"/>
  <c r="E183" i="19"/>
  <c r="E261" i="19"/>
  <c r="E339" i="19"/>
  <c r="E105" i="19"/>
  <c r="G166" i="29"/>
  <c r="G88" i="29"/>
  <c r="G115" i="29"/>
  <c r="G193" i="29"/>
  <c r="G122" i="43"/>
  <c r="G200" i="43"/>
  <c r="E179" i="17"/>
  <c r="E101" i="17"/>
  <c r="G194" i="29"/>
  <c r="G116" i="29"/>
  <c r="G116" i="43"/>
  <c r="G194" i="43"/>
  <c r="D167" i="19"/>
  <c r="D245" i="19"/>
  <c r="D89" i="19"/>
  <c r="D323" i="19"/>
  <c r="D169" i="17"/>
  <c r="D91" i="17"/>
  <c r="K278" i="43"/>
  <c r="I278" i="43"/>
  <c r="J278" i="43"/>
  <c r="D337" i="19"/>
  <c r="D181" i="19"/>
  <c r="D259" i="19"/>
  <c r="D103" i="19"/>
  <c r="G101" i="29"/>
  <c r="G179" i="29"/>
  <c r="J133" i="43"/>
  <c r="K133" i="43"/>
  <c r="I133" i="43"/>
  <c r="G133" i="43"/>
  <c r="G211" i="43"/>
  <c r="D184" i="19"/>
  <c r="D262" i="19"/>
  <c r="D106" i="19"/>
  <c r="D340" i="19"/>
  <c r="E175" i="17"/>
  <c r="E97" i="17"/>
  <c r="E167" i="29"/>
  <c r="E89" i="29"/>
  <c r="G165" i="17"/>
  <c r="G87" i="17"/>
  <c r="D180" i="29"/>
  <c r="D102" i="29"/>
  <c r="I266" i="43"/>
  <c r="J266" i="43"/>
  <c r="K266" i="43"/>
  <c r="E91" i="17"/>
  <c r="E169" i="17"/>
  <c r="G95" i="19"/>
  <c r="G173" i="19"/>
  <c r="G251" i="19"/>
  <c r="G329" i="19"/>
  <c r="D116" i="29"/>
  <c r="D194" i="29"/>
  <c r="J281" i="43"/>
  <c r="I281" i="43"/>
  <c r="K281" i="43"/>
  <c r="E184" i="29"/>
  <c r="E106" i="29"/>
  <c r="G89" i="29"/>
  <c r="G167" i="29"/>
  <c r="K98" i="43"/>
  <c r="I98" i="43"/>
  <c r="J98" i="43"/>
  <c r="E180" i="19"/>
  <c r="E102" i="19"/>
  <c r="E336" i="19"/>
  <c r="E258" i="19"/>
  <c r="G91" i="29"/>
  <c r="G169" i="29"/>
  <c r="K106" i="43"/>
  <c r="I106" i="43"/>
  <c r="J106" i="43"/>
  <c r="D108" i="29"/>
  <c r="D186" i="29"/>
  <c r="E109" i="43"/>
  <c r="E187" i="43"/>
  <c r="J131" i="43"/>
  <c r="I131" i="43"/>
  <c r="K131" i="43"/>
  <c r="E190" i="17"/>
  <c r="E112" i="17"/>
  <c r="D104" i="29"/>
  <c r="D182" i="29"/>
  <c r="J113" i="43"/>
  <c r="K113" i="43"/>
  <c r="I113" i="43"/>
  <c r="G113" i="43"/>
  <c r="G191" i="43"/>
  <c r="E86" i="19"/>
  <c r="E164" i="19"/>
  <c r="E242" i="19"/>
  <c r="E320" i="19"/>
  <c r="I111" i="43"/>
  <c r="K111" i="43"/>
  <c r="J111" i="43"/>
  <c r="D189" i="43"/>
  <c r="D111" i="43"/>
  <c r="D93" i="19"/>
  <c r="D327" i="19"/>
  <c r="D171" i="19"/>
  <c r="D249" i="19"/>
  <c r="I265" i="43"/>
  <c r="K265" i="43"/>
  <c r="J265" i="43"/>
  <c r="E90" i="17"/>
  <c r="E168" i="17"/>
  <c r="D199" i="29"/>
  <c r="D121" i="29"/>
  <c r="G190" i="19"/>
  <c r="G268" i="19"/>
  <c r="G112" i="19"/>
  <c r="G346" i="19"/>
  <c r="D185" i="43"/>
  <c r="D107" i="43"/>
  <c r="E121" i="43"/>
  <c r="E199" i="43"/>
  <c r="K103" i="43"/>
  <c r="J103" i="43"/>
  <c r="I103" i="43"/>
  <c r="E93" i="17"/>
  <c r="E171" i="17"/>
  <c r="G324" i="19"/>
  <c r="G90" i="19"/>
  <c r="G168" i="19"/>
  <c r="G246" i="19"/>
  <c r="G202" i="43"/>
  <c r="G124" i="43"/>
  <c r="D88" i="17"/>
  <c r="D166" i="17"/>
  <c r="D175" i="43"/>
  <c r="D97" i="43"/>
  <c r="D253" i="43"/>
  <c r="E123" i="19"/>
  <c r="E357" i="19"/>
  <c r="E201" i="19"/>
  <c r="E279" i="19"/>
  <c r="D187" i="17"/>
  <c r="D109" i="17"/>
  <c r="I260" i="43"/>
  <c r="K260" i="43"/>
  <c r="J260" i="43"/>
  <c r="D113" i="17"/>
  <c r="D191" i="17"/>
  <c r="D183" i="29"/>
  <c r="D105" i="29"/>
  <c r="G174" i="19"/>
  <c r="G252" i="19"/>
  <c r="G96" i="19"/>
  <c r="G330" i="19"/>
  <c r="G123" i="29"/>
  <c r="G201" i="29"/>
  <c r="G119" i="29"/>
  <c r="G197" i="29"/>
  <c r="E122" i="43"/>
  <c r="E200" i="43"/>
  <c r="E198" i="43"/>
  <c r="E120" i="43"/>
  <c r="D200" i="19"/>
  <c r="D122" i="19"/>
  <c r="D278" i="19"/>
  <c r="D356" i="19"/>
  <c r="E191" i="17"/>
  <c r="E113" i="17"/>
  <c r="E183" i="29"/>
  <c r="E105" i="29"/>
  <c r="E118" i="43"/>
  <c r="E196" i="43"/>
  <c r="E181" i="17"/>
  <c r="E103" i="17"/>
  <c r="K120" i="43"/>
  <c r="J120" i="43"/>
  <c r="I120" i="43"/>
  <c r="E179" i="19"/>
  <c r="E257" i="19"/>
  <c r="E335" i="19"/>
  <c r="E101" i="19"/>
  <c r="E133" i="43"/>
  <c r="E211" i="43"/>
  <c r="K116" i="43"/>
  <c r="I116" i="43"/>
  <c r="J116" i="43"/>
  <c r="G175" i="17"/>
  <c r="G97" i="17"/>
  <c r="D167" i="29"/>
  <c r="D89" i="29"/>
  <c r="J118" i="43"/>
  <c r="I118" i="43"/>
  <c r="K118" i="43"/>
  <c r="G118" i="43"/>
  <c r="G196" i="43"/>
  <c r="D325" i="19"/>
  <c r="D169" i="19"/>
  <c r="D91" i="19"/>
  <c r="D247" i="19"/>
  <c r="D111" i="17"/>
  <c r="D189" i="17"/>
  <c r="D181" i="29"/>
  <c r="D103" i="29"/>
  <c r="E205" i="43"/>
  <c r="E127" i="43"/>
  <c r="E192" i="17"/>
  <c r="E114" i="17"/>
  <c r="D106" i="29"/>
  <c r="D184" i="29"/>
  <c r="E175" i="19"/>
  <c r="E253" i="19"/>
  <c r="E97" i="19"/>
  <c r="E331" i="19"/>
  <c r="D209" i="43"/>
  <c r="D131" i="43"/>
  <c r="G87" i="19"/>
  <c r="G165" i="19"/>
  <c r="G321" i="19"/>
  <c r="G243" i="19"/>
  <c r="E91" i="19"/>
  <c r="E325" i="19"/>
  <c r="E169" i="19"/>
  <c r="E247" i="19"/>
  <c r="G181" i="17"/>
  <c r="G103" i="17"/>
  <c r="G95" i="29"/>
  <c r="G173" i="29"/>
  <c r="E197" i="43"/>
  <c r="E119" i="43"/>
  <c r="G114" i="17"/>
  <c r="G192" i="17"/>
  <c r="E340" i="19"/>
  <c r="E262" i="19"/>
  <c r="E184" i="19"/>
  <c r="E106" i="19"/>
  <c r="E209" i="43"/>
  <c r="E131" i="43"/>
  <c r="D165" i="17"/>
  <c r="D87" i="17"/>
  <c r="E180" i="29"/>
  <c r="E102" i="29"/>
  <c r="D95" i="17"/>
  <c r="D173" i="17"/>
  <c r="E111" i="43"/>
  <c r="E189" i="43"/>
  <c r="D90" i="17"/>
  <c r="D168" i="17"/>
  <c r="E112" i="19"/>
  <c r="E268" i="19"/>
  <c r="E190" i="19"/>
  <c r="E346" i="19"/>
  <c r="E94" i="17"/>
  <c r="E172" i="17"/>
  <c r="E86" i="29"/>
  <c r="E164" i="29"/>
  <c r="E129" i="43"/>
  <c r="E207" i="43"/>
  <c r="K267" i="43"/>
  <c r="I267" i="43"/>
  <c r="J267" i="43"/>
  <c r="E92" i="17"/>
  <c r="E170" i="17"/>
  <c r="D171" i="29"/>
  <c r="D93" i="29"/>
  <c r="K109" i="43"/>
  <c r="I109" i="43"/>
  <c r="J109" i="43"/>
  <c r="E168" i="29"/>
  <c r="E90" i="29"/>
  <c r="G112" i="29"/>
  <c r="G190" i="29"/>
  <c r="J105" i="43"/>
  <c r="K105" i="43"/>
  <c r="I105" i="43"/>
  <c r="G105" i="43"/>
  <c r="G183" i="43"/>
  <c r="D134" i="43"/>
  <c r="D212" i="43"/>
  <c r="D195" i="17"/>
  <c r="D117" i="17"/>
  <c r="E171" i="19"/>
  <c r="E327" i="19"/>
  <c r="E249" i="19"/>
  <c r="E93" i="19"/>
  <c r="G168" i="29"/>
  <c r="G90" i="29"/>
  <c r="G193" i="43"/>
  <c r="G115" i="43"/>
  <c r="D244" i="19"/>
  <c r="D166" i="19"/>
  <c r="D88" i="19"/>
  <c r="D322" i="19"/>
  <c r="K253" i="43"/>
  <c r="I253" i="43"/>
  <c r="J253" i="43"/>
  <c r="E123" i="29"/>
  <c r="E201" i="29"/>
  <c r="J121" i="43"/>
  <c r="K121" i="43"/>
  <c r="I121" i="43"/>
  <c r="G199" i="43"/>
  <c r="G121" i="43"/>
  <c r="D109" i="19"/>
  <c r="D343" i="19"/>
  <c r="D187" i="19"/>
  <c r="D265" i="19"/>
  <c r="G171" i="17"/>
  <c r="G93" i="17"/>
  <c r="I288" i="43"/>
  <c r="K288" i="43"/>
  <c r="J288" i="43"/>
  <c r="D191" i="19"/>
  <c r="D269" i="19"/>
  <c r="D113" i="19"/>
  <c r="D347" i="19"/>
  <c r="G174" i="29"/>
  <c r="G96" i="29"/>
  <c r="E126" i="43"/>
  <c r="E204" i="43"/>
  <c r="D179" i="17"/>
  <c r="D101" i="17"/>
  <c r="D200" i="29"/>
  <c r="D122" i="29"/>
  <c r="E191" i="19"/>
  <c r="E269" i="19"/>
  <c r="E347" i="19"/>
  <c r="E113" i="19"/>
  <c r="D108" i="43"/>
  <c r="D186" i="43"/>
  <c r="D99" i="17"/>
  <c r="D177" i="17"/>
  <c r="D208" i="43"/>
  <c r="D130" i="43"/>
  <c r="E337" i="19"/>
  <c r="E103" i="19"/>
  <c r="E181" i="19"/>
  <c r="E259" i="19"/>
  <c r="G187" i="17"/>
  <c r="G109" i="17"/>
  <c r="E179" i="29"/>
  <c r="E101" i="29"/>
  <c r="D192" i="17"/>
  <c r="D114" i="17"/>
  <c r="K272" i="43"/>
  <c r="J272" i="43"/>
  <c r="I272" i="43"/>
  <c r="G253" i="19"/>
  <c r="G331" i="19"/>
  <c r="G175" i="19"/>
  <c r="G97" i="19"/>
  <c r="I274" i="43"/>
  <c r="J274" i="43"/>
  <c r="K274" i="43"/>
  <c r="E99" i="17"/>
  <c r="E177" i="17"/>
  <c r="D91" i="29"/>
  <c r="D169" i="29"/>
  <c r="D345" i="19"/>
  <c r="D189" i="19"/>
  <c r="D111" i="19"/>
  <c r="D267" i="19"/>
  <c r="E184" i="43"/>
  <c r="E106" i="43"/>
  <c r="G186" i="17"/>
  <c r="G108" i="17"/>
  <c r="J289" i="43"/>
  <c r="I289" i="43"/>
  <c r="K289" i="43"/>
  <c r="E348" i="19"/>
  <c r="E114" i="19"/>
  <c r="E270" i="19"/>
  <c r="E192" i="19"/>
  <c r="E175" i="29"/>
  <c r="E97" i="29"/>
  <c r="G87" i="29"/>
  <c r="G165" i="29"/>
  <c r="G177" i="17"/>
  <c r="G99" i="17"/>
  <c r="E91" i="29"/>
  <c r="E169" i="29"/>
  <c r="G103" i="19"/>
  <c r="G181" i="19"/>
  <c r="G337" i="19"/>
  <c r="G259" i="19"/>
  <c r="G178" i="17"/>
  <c r="G100" i="17"/>
  <c r="G348" i="19"/>
  <c r="G114" i="19"/>
  <c r="G270" i="19"/>
  <c r="G192" i="19"/>
  <c r="D109" i="43"/>
  <c r="D187" i="43"/>
  <c r="D112" i="17"/>
  <c r="D190" i="17"/>
  <c r="D321" i="19"/>
  <c r="D165" i="19"/>
  <c r="D87" i="19"/>
  <c r="D243" i="19"/>
  <c r="D183" i="43"/>
  <c r="D105" i="43"/>
  <c r="D329" i="19"/>
  <c r="D173" i="19"/>
  <c r="D251" i="19"/>
  <c r="D95" i="19"/>
  <c r="D207" i="43"/>
  <c r="D129" i="43"/>
  <c r="G170" i="17"/>
  <c r="G92" i="17"/>
  <c r="K117" i="43"/>
  <c r="I117" i="43"/>
  <c r="J117" i="43"/>
  <c r="G195" i="43"/>
  <c r="G117" i="43"/>
  <c r="D168" i="19"/>
  <c r="D90" i="19"/>
  <c r="D246" i="19"/>
  <c r="D324" i="19"/>
  <c r="G198" i="17"/>
  <c r="G120" i="17"/>
  <c r="E190" i="29"/>
  <c r="E112" i="29"/>
  <c r="I269" i="43"/>
  <c r="K269" i="43"/>
  <c r="J269" i="43"/>
  <c r="E328" i="19"/>
  <c r="E250" i="19"/>
  <c r="E172" i="19"/>
  <c r="E94" i="19"/>
  <c r="D110" i="17"/>
  <c r="D188" i="17"/>
  <c r="E92" i="19"/>
  <c r="E170" i="19"/>
  <c r="E248" i="19"/>
  <c r="E326" i="19"/>
  <c r="G98" i="17"/>
  <c r="G176" i="17"/>
  <c r="E324" i="19"/>
  <c r="E246" i="19"/>
  <c r="E168" i="19"/>
  <c r="E90" i="19"/>
  <c r="E115" i="43"/>
  <c r="E193" i="43"/>
  <c r="I261" i="43"/>
  <c r="K261" i="43"/>
  <c r="J261" i="43"/>
  <c r="G164" i="17"/>
  <c r="G86" i="17"/>
  <c r="K129" i="43"/>
  <c r="I129" i="43"/>
  <c r="J129" i="43"/>
  <c r="G129" i="43"/>
  <c r="G207" i="43"/>
  <c r="D273" i="19"/>
  <c r="D117" i="19"/>
  <c r="D351" i="19"/>
  <c r="D195" i="19"/>
  <c r="D170" i="17"/>
  <c r="D92" i="17"/>
  <c r="E171" i="29"/>
  <c r="E93" i="29"/>
  <c r="E210" i="43"/>
  <c r="E132" i="43"/>
  <c r="I115" i="43"/>
  <c r="K115" i="43"/>
  <c r="J115" i="43"/>
  <c r="E174" i="17"/>
  <c r="E96" i="17"/>
  <c r="D88" i="29"/>
  <c r="D166" i="29"/>
  <c r="K97" i="43"/>
  <c r="I97" i="43"/>
  <c r="J97" i="43"/>
  <c r="D204" i="43"/>
  <c r="D126" i="43"/>
  <c r="E195" i="17"/>
  <c r="E117" i="17"/>
  <c r="D187" i="29"/>
  <c r="D109" i="29"/>
  <c r="G249" i="19"/>
  <c r="G327" i="19"/>
  <c r="G171" i="19"/>
  <c r="G93" i="19"/>
  <c r="G199" i="17"/>
  <c r="G121" i="17"/>
  <c r="D191" i="29"/>
  <c r="D113" i="29"/>
  <c r="E177" i="43"/>
  <c r="E99" i="43"/>
  <c r="D107" i="17"/>
  <c r="D185" i="17"/>
  <c r="G206" i="43"/>
  <c r="G128" i="43"/>
  <c r="D101" i="19"/>
  <c r="D335" i="19"/>
  <c r="D179" i="19"/>
  <c r="D257" i="19"/>
  <c r="E191" i="29"/>
  <c r="E113" i="29"/>
  <c r="J255" i="43"/>
  <c r="K255" i="43"/>
  <c r="I255" i="43"/>
  <c r="G177" i="43"/>
  <c r="G99" i="43"/>
  <c r="G126" i="43"/>
  <c r="G204" i="43"/>
  <c r="D333" i="19"/>
  <c r="D177" i="19"/>
  <c r="D255" i="19"/>
  <c r="D99" i="19"/>
  <c r="J286" i="43"/>
  <c r="K286" i="43"/>
  <c r="I286" i="43"/>
  <c r="G189" i="17"/>
  <c r="G111" i="17"/>
  <c r="E103" i="29"/>
  <c r="E181" i="29"/>
  <c r="G265" i="19"/>
  <c r="G343" i="19"/>
  <c r="G109" i="19"/>
  <c r="G187" i="19"/>
  <c r="G205" i="43"/>
  <c r="G127" i="43"/>
  <c r="D192" i="19"/>
  <c r="D114" i="19"/>
  <c r="D270" i="19"/>
  <c r="D348" i="19"/>
  <c r="G183" i="17"/>
  <c r="G105" i="17"/>
  <c r="G97" i="29"/>
  <c r="G175" i="29"/>
  <c r="E165" i="17"/>
  <c r="E87" i="17"/>
  <c r="E333" i="19"/>
  <c r="E99" i="19"/>
  <c r="E177" i="19"/>
  <c r="E255" i="19"/>
  <c r="D111" i="29"/>
  <c r="D189" i="29"/>
  <c r="G190" i="43"/>
  <c r="G112" i="43"/>
  <c r="G186" i="19"/>
  <c r="G264" i="19"/>
  <c r="G108" i="19"/>
  <c r="G342" i="19"/>
  <c r="G122" i="17"/>
  <c r="G200" i="17"/>
  <c r="E192" i="29"/>
  <c r="E114" i="29"/>
  <c r="E178" i="43"/>
  <c r="E100" i="43"/>
  <c r="D113" i="43"/>
  <c r="D191" i="43"/>
  <c r="G99" i="19"/>
  <c r="G177" i="19"/>
  <c r="G255" i="19"/>
  <c r="G333" i="19"/>
  <c r="G103" i="29"/>
  <c r="G181" i="29"/>
  <c r="K283" i="43"/>
  <c r="I283" i="43"/>
  <c r="J283" i="43"/>
  <c r="D205" i="43"/>
  <c r="D127" i="43"/>
  <c r="G178" i="19"/>
  <c r="G256" i="19"/>
  <c r="G100" i="19"/>
  <c r="G334" i="19"/>
  <c r="G192" i="29"/>
  <c r="G114" i="29"/>
  <c r="J100" i="43"/>
  <c r="K100" i="43"/>
  <c r="I100" i="43"/>
  <c r="G178" i="43"/>
  <c r="G100" i="43"/>
  <c r="D268" i="19"/>
  <c r="D190" i="19"/>
  <c r="D112" i="19"/>
  <c r="D346" i="19"/>
  <c r="D87" i="29"/>
  <c r="D165" i="29"/>
  <c r="G102" i="43"/>
  <c r="G180" i="43"/>
  <c r="D95" i="29"/>
  <c r="D173" i="29"/>
  <c r="D197" i="43"/>
  <c r="D119" i="43"/>
  <c r="G170" i="19"/>
  <c r="G248" i="19"/>
  <c r="G92" i="19"/>
  <c r="G326" i="19"/>
  <c r="E176" i="17"/>
  <c r="E98" i="17"/>
  <c r="D90" i="29"/>
  <c r="D168" i="29"/>
  <c r="G198" i="19"/>
  <c r="G276" i="19"/>
  <c r="G120" i="19"/>
  <c r="G354" i="19"/>
  <c r="D193" i="43"/>
  <c r="D115" i="43"/>
  <c r="G180" i="17"/>
  <c r="G102" i="17"/>
  <c r="E172" i="29"/>
  <c r="E94" i="29"/>
  <c r="D188" i="19"/>
  <c r="D266" i="19"/>
  <c r="D110" i="19"/>
  <c r="D344" i="19"/>
  <c r="D178" i="17"/>
  <c r="D100" i="17"/>
  <c r="E170" i="29"/>
  <c r="E92" i="29"/>
  <c r="G332" i="19"/>
  <c r="G98" i="19"/>
  <c r="G254" i="19"/>
  <c r="G176" i="19"/>
  <c r="D132" i="43"/>
  <c r="D210" i="43"/>
  <c r="D96" i="17"/>
  <c r="D174" i="17"/>
  <c r="G320" i="19"/>
  <c r="G86" i="19"/>
  <c r="G164" i="19"/>
  <c r="G242" i="19"/>
  <c r="E110" i="17"/>
  <c r="E188" i="17"/>
  <c r="D195" i="29"/>
  <c r="D117" i="29"/>
  <c r="D248" i="19"/>
  <c r="D170" i="19"/>
  <c r="D92" i="19"/>
  <c r="D326" i="19"/>
  <c r="G191" i="17"/>
  <c r="G113" i="17"/>
  <c r="J271" i="43"/>
  <c r="K271" i="43"/>
  <c r="I271" i="43"/>
  <c r="E96" i="19"/>
  <c r="E174" i="19"/>
  <c r="E252" i="19"/>
  <c r="E330" i="19"/>
  <c r="D164" i="17"/>
  <c r="D86" i="17"/>
  <c r="E197" i="17"/>
  <c r="E119" i="17"/>
  <c r="J277" i="43"/>
  <c r="I277" i="43"/>
  <c r="K277" i="43"/>
  <c r="E195" i="19"/>
  <c r="E273" i="19"/>
  <c r="E351" i="19"/>
  <c r="E117" i="19"/>
  <c r="G93" i="29"/>
  <c r="G171" i="29"/>
  <c r="G277" i="19"/>
  <c r="G355" i="19"/>
  <c r="G199" i="19"/>
  <c r="G121" i="19"/>
  <c r="D116" i="43"/>
  <c r="D194" i="43"/>
  <c r="G134" i="43"/>
  <c r="G212" i="43"/>
  <c r="D341" i="19"/>
  <c r="D185" i="19"/>
  <c r="D107" i="19"/>
  <c r="D263" i="19"/>
  <c r="G130" i="43"/>
  <c r="G208" i="43"/>
  <c r="J284" i="43"/>
  <c r="I284" i="43"/>
  <c r="K284" i="43"/>
  <c r="E187" i="17"/>
  <c r="E109" i="17"/>
  <c r="D179" i="29"/>
  <c r="D101" i="29"/>
  <c r="E194" i="43"/>
  <c r="E116" i="43"/>
  <c r="K99" i="43"/>
  <c r="J99" i="43"/>
  <c r="I99" i="43"/>
  <c r="J126" i="43"/>
  <c r="I126" i="43"/>
  <c r="K126" i="43"/>
  <c r="E107" i="17"/>
  <c r="E185" i="17"/>
  <c r="D99" i="29"/>
  <c r="D177" i="29"/>
  <c r="K130" i="43"/>
  <c r="I130" i="43"/>
  <c r="J130" i="43"/>
  <c r="G111" i="19"/>
  <c r="G189" i="19"/>
  <c r="G345" i="19"/>
  <c r="G267" i="19"/>
  <c r="G109" i="29"/>
  <c r="G187" i="29"/>
  <c r="E122" i="17"/>
  <c r="E200" i="17"/>
  <c r="D192" i="29"/>
  <c r="D114" i="29"/>
  <c r="G261" i="19"/>
  <c r="G339" i="19"/>
  <c r="G183" i="19"/>
  <c r="G105" i="19"/>
  <c r="D100" i="43"/>
  <c r="D178" i="43"/>
  <c r="E321" i="19"/>
  <c r="E87" i="19"/>
  <c r="E165" i="19"/>
  <c r="E243" i="19"/>
  <c r="G185" i="17"/>
  <c r="G107" i="17"/>
  <c r="E99" i="29"/>
  <c r="E177" i="29"/>
  <c r="D114" i="43"/>
  <c r="D192" i="43"/>
  <c r="K112" i="43"/>
  <c r="J112" i="43"/>
  <c r="I112" i="43"/>
  <c r="E116" i="17"/>
  <c r="E194" i="17"/>
  <c r="G186" i="29"/>
  <c r="G108" i="29"/>
  <c r="G356" i="19"/>
  <c r="G122" i="19"/>
  <c r="G200" i="19"/>
  <c r="G278" i="19"/>
  <c r="D117" i="43"/>
  <c r="D195" i="43"/>
  <c r="D198" i="17"/>
  <c r="D120" i="17"/>
  <c r="G99" i="29"/>
  <c r="G177" i="29"/>
  <c r="G106" i="43"/>
  <c r="G184" i="43"/>
  <c r="I127" i="43"/>
  <c r="K127" i="43"/>
  <c r="J127" i="43"/>
  <c r="E108" i="17"/>
  <c r="E186" i="17"/>
  <c r="G178" i="29"/>
  <c r="G100" i="29"/>
  <c r="E117" i="43"/>
  <c r="E195" i="43"/>
  <c r="E198" i="17"/>
  <c r="E120" i="17"/>
  <c r="D112" i="29"/>
  <c r="D190" i="29"/>
  <c r="E113" i="43"/>
  <c r="E191" i="43"/>
  <c r="J258" i="43"/>
  <c r="I258" i="43"/>
  <c r="K258" i="43"/>
  <c r="I119" i="43"/>
  <c r="K119" i="43"/>
  <c r="J119" i="43"/>
  <c r="E100" i="17"/>
  <c r="E178" i="17"/>
  <c r="G170" i="29"/>
  <c r="G92" i="29"/>
  <c r="J273" i="43"/>
  <c r="I273" i="43"/>
  <c r="K273" i="43"/>
  <c r="E254" i="19"/>
  <c r="E176" i="19"/>
  <c r="E98" i="19"/>
  <c r="E332" i="19"/>
  <c r="G198" i="29"/>
  <c r="G120" i="29"/>
  <c r="G336" i="19"/>
  <c r="G102" i="19"/>
  <c r="G258" i="19"/>
  <c r="G180" i="19"/>
  <c r="E253" i="43"/>
  <c r="E175" i="43"/>
  <c r="E97" i="43"/>
  <c r="E196" i="17"/>
  <c r="E118" i="17"/>
  <c r="D188" i="29"/>
  <c r="D110" i="29"/>
  <c r="D256" i="19"/>
  <c r="D334" i="19"/>
  <c r="D178" i="19"/>
  <c r="D100" i="19"/>
  <c r="D104" i="43"/>
  <c r="D182" i="43"/>
  <c r="G176" i="29"/>
  <c r="G98" i="29"/>
  <c r="G201" i="43"/>
  <c r="G123" i="43"/>
  <c r="D252" i="19"/>
  <c r="D174" i="19"/>
  <c r="D96" i="19"/>
  <c r="D330" i="19"/>
  <c r="G172" i="17"/>
  <c r="G94" i="17"/>
  <c r="G86" i="29"/>
  <c r="G164" i="29"/>
  <c r="D201" i="17"/>
  <c r="D123" i="17"/>
  <c r="J285" i="43"/>
  <c r="I285" i="43"/>
  <c r="K285" i="43"/>
  <c r="E266" i="19"/>
  <c r="E188" i="19"/>
  <c r="E110" i="19"/>
  <c r="E344" i="19"/>
  <c r="D92" i="29"/>
  <c r="D170" i="29"/>
  <c r="K101" i="43"/>
  <c r="I101" i="43"/>
  <c r="J101" i="43"/>
  <c r="G101" i="43"/>
  <c r="G179" i="43"/>
  <c r="G269" i="19"/>
  <c r="G347" i="19"/>
  <c r="G113" i="19"/>
  <c r="G191" i="19"/>
  <c r="G182" i="17"/>
  <c r="G104" i="17"/>
  <c r="E174" i="29"/>
  <c r="E96" i="29"/>
  <c r="D320" i="19"/>
  <c r="D164" i="19"/>
  <c r="D86" i="19"/>
  <c r="D242" i="19"/>
  <c r="E212" i="43"/>
  <c r="E134" i="43"/>
  <c r="E353" i="19"/>
  <c r="E119" i="19"/>
  <c r="E275" i="19"/>
  <c r="E197" i="19"/>
  <c r="G188" i="17"/>
  <c r="G110" i="17"/>
  <c r="E195" i="29"/>
  <c r="E117" i="29"/>
  <c r="G121" i="29"/>
  <c r="G199" i="29"/>
  <c r="K107" i="43"/>
  <c r="J107" i="43"/>
  <c r="I107" i="43"/>
  <c r="G185" i="43"/>
  <c r="G107" i="43"/>
  <c r="I290" i="43"/>
  <c r="J290" i="43"/>
  <c r="K290" i="43"/>
  <c r="E115" i="17"/>
  <c r="E193" i="17"/>
  <c r="D185" i="29"/>
  <c r="D107" i="29"/>
  <c r="E189" i="17"/>
  <c r="E111" i="17"/>
  <c r="K128" i="43"/>
  <c r="J128" i="43"/>
  <c r="I128" i="43"/>
  <c r="E265" i="19"/>
  <c r="E187" i="19"/>
  <c r="E343" i="19"/>
  <c r="E109" i="19"/>
  <c r="D211" i="43"/>
  <c r="D133" i="43"/>
  <c r="D175" i="17"/>
  <c r="D97" i="17"/>
  <c r="I282" i="43"/>
  <c r="J282" i="43"/>
  <c r="K282" i="43"/>
  <c r="E341" i="19"/>
  <c r="E107" i="19"/>
  <c r="E185" i="19"/>
  <c r="E263" i="19"/>
  <c r="D119" i="17"/>
  <c r="D197" i="17"/>
  <c r="G111" i="29"/>
  <c r="G189" i="29"/>
  <c r="E190" i="43"/>
  <c r="E112" i="43"/>
  <c r="E200" i="29"/>
  <c r="E122" i="29"/>
  <c r="G105" i="29"/>
  <c r="G183" i="29"/>
  <c r="E87" i="29"/>
  <c r="E165" i="29"/>
  <c r="G107" i="19"/>
  <c r="G185" i="19"/>
  <c r="G341" i="19"/>
  <c r="G263" i="19"/>
  <c r="D102" i="43"/>
  <c r="D180" i="43"/>
  <c r="E173" i="17"/>
  <c r="E95" i="17"/>
  <c r="J268" i="43"/>
  <c r="I268" i="43"/>
  <c r="K268" i="43"/>
  <c r="E116" i="19"/>
  <c r="E194" i="19"/>
  <c r="E272" i="19"/>
  <c r="E350" i="19"/>
  <c r="G200" i="29"/>
  <c r="G122" i="29"/>
  <c r="E186" i="43"/>
  <c r="E108" i="43"/>
  <c r="D276" i="19"/>
  <c r="D198" i="19"/>
  <c r="D120" i="19"/>
  <c r="D354" i="19"/>
  <c r="G98" i="43"/>
  <c r="G176" i="43"/>
  <c r="E180" i="43"/>
  <c r="E102" i="43"/>
  <c r="E108" i="19"/>
  <c r="E186" i="19"/>
  <c r="E264" i="19"/>
  <c r="E342" i="19"/>
  <c r="D98" i="17"/>
  <c r="D176" i="17"/>
  <c r="J256" i="43"/>
  <c r="I256" i="43"/>
  <c r="K256" i="43"/>
  <c r="E120" i="19"/>
  <c r="E276" i="19"/>
  <c r="E198" i="19"/>
  <c r="E354" i="19"/>
  <c r="D172" i="17"/>
  <c r="D94" i="17"/>
  <c r="I102" i="43"/>
  <c r="K102" i="43"/>
  <c r="J102" i="43"/>
  <c r="D196" i="17"/>
  <c r="D118" i="17"/>
  <c r="K275" i="43"/>
  <c r="I275" i="43"/>
  <c r="J275" i="43"/>
  <c r="E100" i="19"/>
  <c r="E178" i="19"/>
  <c r="E256" i="19"/>
  <c r="E334" i="19"/>
  <c r="G106" i="17"/>
  <c r="G184" i="17"/>
  <c r="E176" i="29"/>
  <c r="E98" i="29"/>
  <c r="E201" i="43"/>
  <c r="E123" i="43"/>
  <c r="G180" i="29"/>
  <c r="G102" i="29"/>
  <c r="E274" i="19"/>
  <c r="E352" i="19"/>
  <c r="E196" i="19"/>
  <c r="E118" i="19"/>
  <c r="D100" i="29"/>
  <c r="D178" i="29"/>
  <c r="E101" i="43"/>
  <c r="E179" i="43"/>
  <c r="I123" i="43"/>
  <c r="K123" i="43"/>
  <c r="J123" i="43"/>
  <c r="E182" i="17"/>
  <c r="E104" i="17"/>
  <c r="D174" i="29"/>
  <c r="D96" i="29"/>
  <c r="G328" i="19"/>
  <c r="G94" i="19"/>
  <c r="G250" i="19"/>
  <c r="G172" i="19"/>
  <c r="D357" i="19"/>
  <c r="D201" i="19"/>
  <c r="D123" i="19"/>
  <c r="D279" i="19"/>
  <c r="G196" i="17"/>
  <c r="G118" i="17"/>
  <c r="E188" i="29"/>
  <c r="E110" i="29"/>
  <c r="E182" i="43"/>
  <c r="E104" i="43"/>
  <c r="E121" i="17"/>
  <c r="E199" i="17"/>
  <c r="G113" i="29"/>
  <c r="G191" i="29"/>
  <c r="G182" i="19"/>
  <c r="G260" i="19"/>
  <c r="G338" i="19"/>
  <c r="G104" i="19"/>
  <c r="D177" i="43"/>
  <c r="D99" i="43"/>
  <c r="D86" i="29"/>
  <c r="D164" i="29"/>
  <c r="D193" i="17"/>
  <c r="D115" i="17"/>
  <c r="E119" i="29"/>
  <c r="E197" i="29"/>
  <c r="G344" i="19"/>
  <c r="G110" i="19"/>
  <c r="G266" i="19"/>
  <c r="G188" i="19"/>
  <c r="D120" i="43"/>
  <c r="D198" i="43"/>
  <c r="D124" i="43"/>
  <c r="D202" i="43"/>
  <c r="J263" i="43"/>
  <c r="K263" i="43"/>
  <c r="I263" i="43"/>
  <c r="E166" i="17"/>
  <c r="E88" i="17"/>
  <c r="K134" i="43"/>
  <c r="J134" i="43"/>
  <c r="I134" i="43"/>
  <c r="E349" i="19"/>
  <c r="E193" i="19"/>
  <c r="E115" i="19"/>
  <c r="E271" i="19"/>
  <c r="E345" i="19"/>
  <c r="E111" i="19"/>
  <c r="E189" i="19"/>
  <c r="E267" i="19"/>
  <c r="G195" i="17"/>
  <c r="G117" i="17"/>
  <c r="E187" i="29"/>
  <c r="E109" i="29"/>
  <c r="E124" i="43"/>
  <c r="E202" i="43"/>
  <c r="D175" i="19"/>
  <c r="D253" i="19"/>
  <c r="D97" i="19"/>
  <c r="D331" i="19"/>
  <c r="G166" i="17"/>
  <c r="G88" i="17"/>
  <c r="G193" i="17"/>
  <c r="G115" i="17"/>
  <c r="E107" i="29"/>
  <c r="E185" i="29"/>
  <c r="D353" i="19"/>
  <c r="D197" i="19"/>
  <c r="D119" i="19"/>
  <c r="D275" i="19"/>
  <c r="E114" i="43"/>
  <c r="E192" i="43"/>
  <c r="G194" i="17"/>
  <c r="G116" i="17"/>
  <c r="E356" i="19"/>
  <c r="E278" i="19"/>
  <c r="E200" i="19"/>
  <c r="E122" i="19"/>
  <c r="G186" i="43"/>
  <c r="G108" i="43"/>
  <c r="G107" i="29"/>
  <c r="G185" i="29"/>
  <c r="D200" i="43"/>
  <c r="D122" i="43"/>
  <c r="E329" i="19"/>
  <c r="E95" i="19"/>
  <c r="E173" i="19"/>
  <c r="E251" i="19"/>
  <c r="G179" i="17"/>
  <c r="G101" i="17"/>
  <c r="E194" i="29"/>
  <c r="E116" i="29"/>
  <c r="E125" i="43"/>
  <c r="E203" i="43"/>
  <c r="J108" i="43"/>
  <c r="K108" i="43"/>
  <c r="I108" i="43"/>
  <c r="E89" i="17"/>
  <c r="E167" i="17"/>
  <c r="D120" i="29"/>
  <c r="D198" i="29"/>
  <c r="D180" i="17"/>
  <c r="D102" i="17"/>
  <c r="K114" i="43"/>
  <c r="I114" i="43"/>
  <c r="J114" i="43"/>
  <c r="G114" i="43"/>
  <c r="G192" i="43"/>
  <c r="D194" i="17"/>
  <c r="D116" i="17"/>
  <c r="E186" i="29"/>
  <c r="E108" i="29"/>
  <c r="J125" i="43"/>
  <c r="K125" i="43"/>
  <c r="I125" i="43"/>
  <c r="G203" i="43"/>
  <c r="G125" i="43"/>
  <c r="D176" i="19"/>
  <c r="D98" i="19"/>
  <c r="D254" i="19"/>
  <c r="D332" i="19"/>
  <c r="G167" i="17"/>
  <c r="G89" i="17"/>
  <c r="E198" i="29"/>
  <c r="E120" i="29"/>
  <c r="D176" i="43"/>
  <c r="D98" i="43"/>
  <c r="D94" i="19"/>
  <c r="D172" i="19"/>
  <c r="D250" i="19"/>
  <c r="D328" i="19"/>
  <c r="G169" i="17"/>
  <c r="G91" i="17"/>
  <c r="D106" i="43"/>
  <c r="D184" i="43"/>
  <c r="D196" i="19"/>
  <c r="D118" i="19"/>
  <c r="D274" i="19"/>
  <c r="D352" i="19"/>
  <c r="D186" i="17"/>
  <c r="D108" i="17"/>
  <c r="E178" i="29"/>
  <c r="E100" i="29"/>
  <c r="G340" i="19"/>
  <c r="G106" i="19"/>
  <c r="G262" i="19"/>
  <c r="G184" i="19"/>
  <c r="D179" i="43"/>
  <c r="D101" i="43"/>
  <c r="D104" i="17"/>
  <c r="D182" i="17"/>
  <c r="E183" i="43"/>
  <c r="E105" i="43"/>
  <c r="E196" i="29"/>
  <c r="E118" i="29"/>
  <c r="E181" i="43"/>
  <c r="E103" i="43"/>
  <c r="D121" i="17"/>
  <c r="D199" i="17"/>
  <c r="K279" i="43"/>
  <c r="I279" i="43"/>
  <c r="J279" i="43"/>
  <c r="E104" i="19"/>
  <c r="E182" i="19"/>
  <c r="E260" i="19"/>
  <c r="E338" i="19"/>
  <c r="G172" i="29"/>
  <c r="G94" i="29"/>
  <c r="D123" i="29"/>
  <c r="D201" i="29"/>
  <c r="G352" i="19"/>
  <c r="G118" i="19"/>
  <c r="G196" i="19"/>
  <c r="G274" i="19"/>
  <c r="D128" i="43"/>
  <c r="D206" i="43"/>
  <c r="I257" i="43"/>
  <c r="K257" i="43"/>
  <c r="J257" i="43"/>
  <c r="E199" i="19"/>
  <c r="E277" i="19"/>
  <c r="E355" i="19"/>
  <c r="E121" i="19"/>
  <c r="G182" i="29"/>
  <c r="G104" i="29"/>
  <c r="D349" i="19"/>
  <c r="D193" i="19"/>
  <c r="D115" i="19"/>
  <c r="D271" i="19"/>
  <c r="G188" i="29"/>
  <c r="G110" i="29"/>
  <c r="G182" i="43"/>
  <c r="G104" i="43"/>
  <c r="D105" i="17"/>
  <c r="D183" i="17"/>
  <c r="E88" i="19"/>
  <c r="E244" i="19"/>
  <c r="E166" i="19"/>
  <c r="E322" i="19"/>
  <c r="C164" i="35"/>
  <c r="C197" i="35"/>
  <c r="C131" i="35"/>
  <c r="C671" i="35" s="1"/>
  <c r="N671" i="35" s="1"/>
  <c r="C842" i="35"/>
  <c r="C638" i="35"/>
  <c r="D321" i="35"/>
  <c r="D729" i="35"/>
  <c r="D795" i="35" s="1"/>
  <c r="D288" i="35"/>
  <c r="D492" i="35"/>
  <c r="D255" i="35"/>
  <c r="D762" i="35" s="1"/>
  <c r="D934" i="35"/>
  <c r="E256" i="35"/>
  <c r="E763" i="35" s="1"/>
  <c r="F763" i="35" s="1"/>
  <c r="E289" i="35"/>
  <c r="E322" i="35"/>
  <c r="D1138" i="35"/>
  <c r="E730" i="35"/>
  <c r="E796" i="35" s="1"/>
  <c r="F796" i="35" s="1"/>
  <c r="E493" i="35"/>
  <c r="I294" i="43"/>
  <c r="K294" i="43"/>
  <c r="J294" i="43"/>
  <c r="G138" i="43"/>
  <c r="G216" i="43"/>
  <c r="D228" i="29"/>
  <c r="D150" i="29"/>
  <c r="D153" i="43"/>
  <c r="D231" i="43"/>
  <c r="K292" i="43"/>
  <c r="J292" i="43"/>
  <c r="I292" i="43"/>
  <c r="E167" i="43"/>
  <c r="E245" i="43"/>
  <c r="K171" i="43"/>
  <c r="J171" i="43"/>
  <c r="I171" i="43"/>
  <c r="D1054" i="35"/>
  <c r="E646" i="35"/>
  <c r="E712" i="35" s="1"/>
  <c r="F712" i="35" s="1"/>
  <c r="D850" i="35"/>
  <c r="E172" i="35"/>
  <c r="E376" i="35"/>
  <c r="E205" i="35"/>
  <c r="E139" i="35"/>
  <c r="E679" i="35" s="1"/>
  <c r="F679" i="35" s="1"/>
  <c r="D260" i="35"/>
  <c r="D767" i="35" s="1"/>
  <c r="D293" i="35"/>
  <c r="D326" i="35"/>
  <c r="D734" i="35"/>
  <c r="D800" i="35" s="1"/>
  <c r="D497" i="35"/>
  <c r="E380" i="19"/>
  <c r="E302" i="19"/>
  <c r="E224" i="19"/>
  <c r="E146" i="19"/>
  <c r="G309" i="19"/>
  <c r="G231" i="19"/>
  <c r="G387" i="19"/>
  <c r="G153" i="19"/>
  <c r="D148" i="43"/>
  <c r="D226" i="43"/>
  <c r="E152" i="19"/>
  <c r="E386" i="19"/>
  <c r="E308" i="19"/>
  <c r="E230" i="19"/>
  <c r="D622" i="35"/>
  <c r="D688" i="35" s="1"/>
  <c r="D352" i="35"/>
  <c r="D181" i="35"/>
  <c r="D115" i="35"/>
  <c r="D655" i="35" s="1"/>
  <c r="D148" i="35"/>
  <c r="C837" i="35"/>
  <c r="C159" i="35"/>
  <c r="C633" i="35"/>
  <c r="C126" i="35"/>
  <c r="C666" i="35" s="1"/>
  <c r="N666" i="35" s="1"/>
  <c r="C192" i="35"/>
  <c r="C830" i="35"/>
  <c r="C185" i="35"/>
  <c r="C626" i="35"/>
  <c r="C152" i="35"/>
  <c r="C119" i="35"/>
  <c r="C659" i="35" s="1"/>
  <c r="N659" i="35" s="1"/>
  <c r="C621" i="35"/>
  <c r="C180" i="35"/>
  <c r="C114" i="35"/>
  <c r="C654" i="35" s="1"/>
  <c r="N654" i="35" s="1"/>
  <c r="C825" i="35"/>
  <c r="C147" i="35"/>
  <c r="C318" i="35"/>
  <c r="C285" i="35"/>
  <c r="C726" i="35"/>
  <c r="C930" i="35"/>
  <c r="C252" i="35"/>
  <c r="C759" i="35" s="1"/>
  <c r="G220" i="29"/>
  <c r="G142" i="29"/>
  <c r="D145" i="43"/>
  <c r="D223" i="43"/>
  <c r="D157" i="19"/>
  <c r="D391" i="19"/>
  <c r="D235" i="19"/>
  <c r="D313" i="19"/>
  <c r="E218" i="29"/>
  <c r="E140" i="29"/>
  <c r="D221" i="43"/>
  <c r="D143" i="43"/>
  <c r="E226" i="43"/>
  <c r="E148" i="43"/>
  <c r="D292" i="19"/>
  <c r="D214" i="19"/>
  <c r="D370" i="19"/>
  <c r="D136" i="19"/>
  <c r="C165" i="35"/>
  <c r="C132" i="35"/>
  <c r="C672" i="35" s="1"/>
  <c r="N672" i="35" s="1"/>
  <c r="C198" i="35"/>
  <c r="C843" i="35"/>
  <c r="C639" i="35"/>
  <c r="D724" i="35"/>
  <c r="D790" i="35" s="1"/>
  <c r="D487" i="35"/>
  <c r="D283" i="35"/>
  <c r="D316" i="35"/>
  <c r="D250" i="35"/>
  <c r="D757" i="35" s="1"/>
  <c r="D504" i="35"/>
  <c r="D267" i="35"/>
  <c r="D774" i="35" s="1"/>
  <c r="D300" i="35"/>
  <c r="D333" i="35"/>
  <c r="D741" i="35"/>
  <c r="D807" i="35" s="1"/>
  <c r="E159" i="29"/>
  <c r="E237" i="29"/>
  <c r="E137" i="43"/>
  <c r="E215" i="43"/>
  <c r="G226" i="29"/>
  <c r="G148" i="29"/>
  <c r="E244" i="43"/>
  <c r="E166" i="43"/>
  <c r="I165" i="43"/>
  <c r="J165" i="43"/>
  <c r="K165" i="43"/>
  <c r="D216" i="19"/>
  <c r="D294" i="19"/>
  <c r="D138" i="19"/>
  <c r="D372" i="19"/>
  <c r="J156" i="43"/>
  <c r="K156" i="43"/>
  <c r="I156" i="43"/>
  <c r="I147" i="43"/>
  <c r="K147" i="43"/>
  <c r="J147" i="43"/>
  <c r="D643" i="35"/>
  <c r="D709" i="35" s="1"/>
  <c r="D373" i="35"/>
  <c r="D202" i="35"/>
  <c r="D136" i="35"/>
  <c r="D676" i="35" s="1"/>
  <c r="D169" i="35"/>
  <c r="D828" i="35"/>
  <c r="E624" i="35"/>
  <c r="E690" i="35" s="1"/>
  <c r="F690" i="35" s="1"/>
  <c r="E183" i="35"/>
  <c r="E117" i="35"/>
  <c r="E657" i="35" s="1"/>
  <c r="F657" i="35" s="1"/>
  <c r="E354" i="35"/>
  <c r="E150" i="35"/>
  <c r="D1032" i="35"/>
  <c r="D746" i="35"/>
  <c r="D812" i="35" s="1"/>
  <c r="D509" i="35"/>
  <c r="D272" i="35"/>
  <c r="D779" i="35" s="1"/>
  <c r="D338" i="35"/>
  <c r="D305" i="35"/>
  <c r="E385" i="19"/>
  <c r="E151" i="19"/>
  <c r="E307" i="19"/>
  <c r="E229" i="19"/>
  <c r="D221" i="29"/>
  <c r="D143" i="29"/>
  <c r="E160" i="43"/>
  <c r="E238" i="43"/>
  <c r="I315" i="43"/>
  <c r="K315" i="43"/>
  <c r="J315" i="43"/>
  <c r="G230" i="19"/>
  <c r="G386" i="19"/>
  <c r="G152" i="19"/>
  <c r="G308" i="19"/>
  <c r="E160" i="35"/>
  <c r="E193" i="35"/>
  <c r="E127" i="35"/>
  <c r="E667" i="35" s="1"/>
  <c r="F667" i="35" s="1"/>
  <c r="E364" i="35"/>
  <c r="D1042" i="35"/>
  <c r="D838" i="35"/>
  <c r="E634" i="35"/>
  <c r="E700" i="35" s="1"/>
  <c r="F700" i="35" s="1"/>
  <c r="D1147" i="35"/>
  <c r="E739" i="35"/>
  <c r="E805" i="35" s="1"/>
  <c r="F805" i="35" s="1"/>
  <c r="E502" i="35"/>
  <c r="E298" i="35"/>
  <c r="D943" i="35"/>
  <c r="E331" i="35"/>
  <c r="E265" i="35"/>
  <c r="E772" i="35" s="1"/>
  <c r="F772" i="35" s="1"/>
  <c r="D291" i="19"/>
  <c r="D369" i="19"/>
  <c r="D213" i="19"/>
  <c r="D135" i="19"/>
  <c r="D244" i="43"/>
  <c r="D166" i="43"/>
  <c r="E373" i="19"/>
  <c r="E217" i="19"/>
  <c r="E139" i="19"/>
  <c r="E295" i="19"/>
  <c r="G364" i="19"/>
  <c r="G130" i="19"/>
  <c r="G208" i="19"/>
  <c r="G286" i="19"/>
  <c r="E313" i="35"/>
  <c r="E247" i="35"/>
  <c r="E754" i="35" s="1"/>
  <c r="F754" i="35" s="1"/>
  <c r="E721" i="35"/>
  <c r="E787" i="35" s="1"/>
  <c r="F787" i="35" s="1"/>
  <c r="E484" i="35"/>
  <c r="E280" i="35"/>
  <c r="D1129" i="35"/>
  <c r="D925" i="35"/>
  <c r="G154" i="43"/>
  <c r="G232" i="43"/>
  <c r="D169" i="43"/>
  <c r="D247" i="43"/>
  <c r="E222" i="43"/>
  <c r="E144" i="43"/>
  <c r="D245" i="43"/>
  <c r="D167" i="43"/>
  <c r="I166" i="43"/>
  <c r="K166" i="43"/>
  <c r="J166" i="43"/>
  <c r="D1039" i="35"/>
  <c r="D835" i="35"/>
  <c r="E631" i="35"/>
  <c r="E697" i="35" s="1"/>
  <c r="F697" i="35" s="1"/>
  <c r="E361" i="35"/>
  <c r="E157" i="35"/>
  <c r="E190" i="35"/>
  <c r="E124" i="35"/>
  <c r="E664" i="35" s="1"/>
  <c r="F664" i="35" s="1"/>
  <c r="C723" i="35"/>
  <c r="C315" i="35"/>
  <c r="C282" i="35"/>
  <c r="C249" i="35"/>
  <c r="C756" i="35" s="1"/>
  <c r="C927" i="35"/>
  <c r="D736" i="35"/>
  <c r="D802" i="35" s="1"/>
  <c r="D499" i="35"/>
  <c r="D262" i="35"/>
  <c r="D769" i="35" s="1"/>
  <c r="D328" i="35"/>
  <c r="D295" i="35"/>
  <c r="E216" i="43"/>
  <c r="E138" i="43"/>
  <c r="E236" i="29"/>
  <c r="E158" i="29"/>
  <c r="G289" i="19"/>
  <c r="G367" i="19"/>
  <c r="G133" i="19"/>
  <c r="G211" i="19"/>
  <c r="G202" i="19"/>
  <c r="G358" i="19"/>
  <c r="G124" i="19"/>
  <c r="G280" i="19"/>
  <c r="D139" i="29"/>
  <c r="D217" i="29"/>
  <c r="G142" i="43"/>
  <c r="G220" i="43"/>
  <c r="E638" i="35"/>
  <c r="E704" i="35" s="1"/>
  <c r="F704" i="35" s="1"/>
  <c r="E164" i="35"/>
  <c r="E368" i="35"/>
  <c r="E197" i="35"/>
  <c r="E131" i="35"/>
  <c r="E671" i="35" s="1"/>
  <c r="F671" i="35" s="1"/>
  <c r="D1046" i="35"/>
  <c r="D842" i="35"/>
  <c r="C833" i="35"/>
  <c r="C122" i="35"/>
  <c r="C662" i="35" s="1"/>
  <c r="N662" i="35" s="1"/>
  <c r="C629" i="35"/>
  <c r="C188" i="35"/>
  <c r="C155" i="35"/>
  <c r="C321" i="35"/>
  <c r="C288" i="35"/>
  <c r="C933" i="35"/>
  <c r="C255" i="35"/>
  <c r="C762" i="35" s="1"/>
  <c r="C729" i="35"/>
  <c r="D505" i="35"/>
  <c r="D268" i="35"/>
  <c r="D775" i="35" s="1"/>
  <c r="D301" i="35"/>
  <c r="D334" i="35"/>
  <c r="D742" i="35"/>
  <c r="D808" i="35" s="1"/>
  <c r="D297" i="35"/>
  <c r="D738" i="35"/>
  <c r="D804" i="35" s="1"/>
  <c r="D501" i="35"/>
  <c r="D264" i="35"/>
  <c r="D771" i="35" s="1"/>
  <c r="D330" i="35"/>
  <c r="G392" i="19"/>
  <c r="G158" i="19"/>
  <c r="G236" i="19"/>
  <c r="G314" i="19"/>
  <c r="E380" i="35"/>
  <c r="E413" i="35"/>
  <c r="E446" i="35"/>
  <c r="D218" i="19"/>
  <c r="D296" i="19"/>
  <c r="D374" i="19"/>
  <c r="D140" i="19"/>
  <c r="D223" i="19"/>
  <c r="D301" i="19"/>
  <c r="D145" i="19"/>
  <c r="D379" i="19"/>
  <c r="J327" i="43"/>
  <c r="I327" i="43"/>
  <c r="K327" i="43"/>
  <c r="D121" i="35"/>
  <c r="D661" i="35" s="1"/>
  <c r="D154" i="35"/>
  <c r="D628" i="35"/>
  <c r="D694" i="35" s="1"/>
  <c r="D358" i="35"/>
  <c r="D187" i="35"/>
  <c r="C734" i="35"/>
  <c r="C938" i="35"/>
  <c r="C260" i="35"/>
  <c r="C767" i="35" s="1"/>
  <c r="C326" i="35"/>
  <c r="C293" i="35"/>
  <c r="C740" i="35"/>
  <c r="C299" i="35"/>
  <c r="C266" i="35"/>
  <c r="C773" i="35" s="1"/>
  <c r="C944" i="35"/>
  <c r="C332" i="35"/>
  <c r="E148" i="19"/>
  <c r="E382" i="19"/>
  <c r="E304" i="19"/>
  <c r="E226" i="19"/>
  <c r="E224" i="29"/>
  <c r="E146" i="29"/>
  <c r="G153" i="29"/>
  <c r="G231" i="29"/>
  <c r="E230" i="29"/>
  <c r="E152" i="29"/>
  <c r="D233" i="43"/>
  <c r="D155" i="43"/>
  <c r="D633" i="35"/>
  <c r="D699" i="35" s="1"/>
  <c r="D363" i="35"/>
  <c r="D192" i="35"/>
  <c r="D126" i="35"/>
  <c r="D666" i="35" s="1"/>
  <c r="D159" i="35"/>
  <c r="E114" i="35"/>
  <c r="E654" i="35" s="1"/>
  <c r="F654" i="35" s="1"/>
  <c r="D825" i="35"/>
  <c r="E621" i="35"/>
  <c r="E687" i="35" s="1"/>
  <c r="F687" i="35" s="1"/>
  <c r="E351" i="35"/>
  <c r="E147" i="35"/>
  <c r="E180" i="35"/>
  <c r="D1029" i="35"/>
  <c r="E270" i="35"/>
  <c r="E777" i="35" s="1"/>
  <c r="F777" i="35" s="1"/>
  <c r="E303" i="35"/>
  <c r="E336" i="35"/>
  <c r="D1152" i="35"/>
  <c r="D948" i="35"/>
  <c r="E744" i="35"/>
  <c r="E810" i="35" s="1"/>
  <c r="F810" i="35" s="1"/>
  <c r="E507" i="35"/>
  <c r="E306" i="19"/>
  <c r="E384" i="19"/>
  <c r="E228" i="19"/>
  <c r="E150" i="19"/>
  <c r="D157" i="29"/>
  <c r="D235" i="29"/>
  <c r="E388" i="19"/>
  <c r="E310" i="19"/>
  <c r="E232" i="19"/>
  <c r="E154" i="19"/>
  <c r="D136" i="29"/>
  <c r="D214" i="29"/>
  <c r="D163" i="35"/>
  <c r="D367" i="35"/>
  <c r="D196" i="35"/>
  <c r="D130" i="35"/>
  <c r="D670" i="35" s="1"/>
  <c r="D637" i="35"/>
  <c r="D703" i="35" s="1"/>
  <c r="C189" i="35"/>
  <c r="C630" i="35"/>
  <c r="C156" i="35"/>
  <c r="C123" i="35"/>
  <c r="C663" i="35" s="1"/>
  <c r="N663" i="35" s="1"/>
  <c r="C834" i="35"/>
  <c r="E504" i="35"/>
  <c r="E741" i="35"/>
  <c r="E807" i="35" s="1"/>
  <c r="F807" i="35" s="1"/>
  <c r="E300" i="35"/>
  <c r="D1149" i="35"/>
  <c r="D945" i="35"/>
  <c r="E333" i="35"/>
  <c r="E267" i="35"/>
  <c r="E774" i="35" s="1"/>
  <c r="F774" i="35" s="1"/>
  <c r="E263" i="35"/>
  <c r="E770" i="35" s="1"/>
  <c r="F770" i="35" s="1"/>
  <c r="E737" i="35"/>
  <c r="E803" i="35" s="1"/>
  <c r="F803" i="35" s="1"/>
  <c r="E500" i="35"/>
  <c r="D1145" i="35"/>
  <c r="D941" i="35"/>
  <c r="E329" i="35"/>
  <c r="E296" i="35"/>
  <c r="D240" i="43"/>
  <c r="D162" i="43"/>
  <c r="I169" i="43"/>
  <c r="K169" i="43"/>
  <c r="J169" i="43"/>
  <c r="G384" i="19"/>
  <c r="G306" i="19"/>
  <c r="G150" i="19"/>
  <c r="G228" i="19"/>
  <c r="G234" i="19"/>
  <c r="G390" i="19"/>
  <c r="G156" i="19"/>
  <c r="G312" i="19"/>
  <c r="E132" i="19"/>
  <c r="E288" i="19"/>
  <c r="E210" i="19"/>
  <c r="E366" i="19"/>
  <c r="J321" i="43"/>
  <c r="I321" i="43"/>
  <c r="K321" i="43"/>
  <c r="D138" i="29"/>
  <c r="D216" i="29"/>
  <c r="E141" i="43"/>
  <c r="E219" i="43"/>
  <c r="C199" i="35"/>
  <c r="C166" i="35"/>
  <c r="C844" i="35"/>
  <c r="C640" i="35"/>
  <c r="C133" i="35"/>
  <c r="C673" i="35" s="1"/>
  <c r="N673" i="35" s="1"/>
  <c r="E151" i="29"/>
  <c r="E229" i="29"/>
  <c r="E145" i="43"/>
  <c r="E223" i="43"/>
  <c r="E381" i="19"/>
  <c r="E147" i="19"/>
  <c r="E303" i="19"/>
  <c r="E225" i="19"/>
  <c r="J148" i="43"/>
  <c r="K148" i="43"/>
  <c r="I148" i="43"/>
  <c r="G140" i="43"/>
  <c r="G218" i="43"/>
  <c r="G230" i="29"/>
  <c r="G152" i="29"/>
  <c r="E128" i="19"/>
  <c r="E362" i="19"/>
  <c r="E284" i="19"/>
  <c r="E206" i="19"/>
  <c r="E171" i="35"/>
  <c r="D1053" i="35"/>
  <c r="D849" i="35"/>
  <c r="E645" i="35"/>
  <c r="E711" i="35" s="1"/>
  <c r="F711" i="35" s="1"/>
  <c r="E375" i="35"/>
  <c r="E204" i="35"/>
  <c r="E138" i="35"/>
  <c r="E678" i="35" s="1"/>
  <c r="F678" i="35" s="1"/>
  <c r="C331" i="35"/>
  <c r="C265" i="35"/>
  <c r="C772" i="35" s="1"/>
  <c r="C739" i="35"/>
  <c r="C298" i="35"/>
  <c r="C943" i="35"/>
  <c r="D931" i="35"/>
  <c r="E319" i="35"/>
  <c r="E253" i="35"/>
  <c r="E760" i="35" s="1"/>
  <c r="F760" i="35" s="1"/>
  <c r="D1135" i="35"/>
  <c r="E727" i="35"/>
  <c r="E793" i="35" s="1"/>
  <c r="F793" i="35" s="1"/>
  <c r="E490" i="35"/>
  <c r="E286" i="35"/>
  <c r="I170" i="43"/>
  <c r="J170" i="43"/>
  <c r="K170" i="43"/>
  <c r="E377" i="19"/>
  <c r="E143" i="19"/>
  <c r="E299" i="19"/>
  <c r="E221" i="19"/>
  <c r="D135" i="29"/>
  <c r="D213" i="29"/>
  <c r="K309" i="43"/>
  <c r="I309" i="43"/>
  <c r="J309" i="43"/>
  <c r="G368" i="19"/>
  <c r="G212" i="19"/>
  <c r="G290" i="19"/>
  <c r="G134" i="19"/>
  <c r="J160" i="43"/>
  <c r="K160" i="43"/>
  <c r="I160" i="43"/>
  <c r="G160" i="43"/>
  <c r="G238" i="43"/>
  <c r="G210" i="19"/>
  <c r="G132" i="19"/>
  <c r="G288" i="19"/>
  <c r="G366" i="19"/>
  <c r="E139" i="29"/>
  <c r="E217" i="29"/>
  <c r="G208" i="29"/>
  <c r="G130" i="29"/>
  <c r="D484" i="35"/>
  <c r="D280" i="35"/>
  <c r="D313" i="35"/>
  <c r="D721" i="35"/>
  <c r="D787" i="35" s="1"/>
  <c r="D247" i="35"/>
  <c r="D754" i="35" s="1"/>
  <c r="E510" i="35"/>
  <c r="E306" i="35"/>
  <c r="D951" i="35"/>
  <c r="E339" i="35"/>
  <c r="E273" i="35"/>
  <c r="E780" i="35" s="1"/>
  <c r="F780" i="35" s="1"/>
  <c r="D1155" i="35"/>
  <c r="E747" i="35"/>
  <c r="E813" i="35" s="1"/>
  <c r="F813" i="35" s="1"/>
  <c r="I154" i="43"/>
  <c r="J154" i="43"/>
  <c r="K154" i="43"/>
  <c r="D205" i="19"/>
  <c r="D127" i="19"/>
  <c r="D361" i="19"/>
  <c r="D283" i="19"/>
  <c r="K299" i="43"/>
  <c r="J299" i="43"/>
  <c r="I299" i="43"/>
  <c r="D236" i="43"/>
  <c r="D158" i="43"/>
  <c r="E365" i="19"/>
  <c r="E287" i="19"/>
  <c r="E209" i="19"/>
  <c r="E131" i="19"/>
  <c r="K141" i="43"/>
  <c r="I141" i="43"/>
  <c r="J141" i="43"/>
  <c r="C125" i="35"/>
  <c r="C665" i="35" s="1"/>
  <c r="N665" i="35" s="1"/>
  <c r="C632" i="35"/>
  <c r="C191" i="35"/>
  <c r="C158" i="35"/>
  <c r="C836" i="35"/>
  <c r="D249" i="35"/>
  <c r="D756" i="35" s="1"/>
  <c r="D723" i="35"/>
  <c r="D789" i="35" s="1"/>
  <c r="D486" i="35"/>
  <c r="D282" i="35"/>
  <c r="D315" i="35"/>
  <c r="D488" i="35"/>
  <c r="D251" i="35"/>
  <c r="D758" i="35" s="1"/>
  <c r="D284" i="35"/>
  <c r="D317" i="35"/>
  <c r="D725" i="35"/>
  <c r="D791" i="35" s="1"/>
  <c r="G133" i="29"/>
  <c r="G211" i="29"/>
  <c r="G202" i="29"/>
  <c r="G124" i="29"/>
  <c r="D316" i="19"/>
  <c r="D238" i="19"/>
  <c r="D394" i="19"/>
  <c r="D160" i="19"/>
  <c r="D371" i="35"/>
  <c r="D200" i="35"/>
  <c r="D167" i="35"/>
  <c r="D134" i="35"/>
  <c r="D674" i="35" s="1"/>
  <c r="D641" i="35"/>
  <c r="D707" i="35" s="1"/>
  <c r="D730" i="35"/>
  <c r="D796" i="35" s="1"/>
  <c r="D493" i="35"/>
  <c r="D256" i="35"/>
  <c r="D763" i="35" s="1"/>
  <c r="D322" i="35"/>
  <c r="D289" i="35"/>
  <c r="E505" i="35"/>
  <c r="D946" i="35"/>
  <c r="E301" i="35"/>
  <c r="E334" i="35"/>
  <c r="E268" i="35"/>
  <c r="E775" i="35" s="1"/>
  <c r="F775" i="35" s="1"/>
  <c r="D1150" i="35"/>
  <c r="E742" i="35"/>
  <c r="E808" i="35" s="1"/>
  <c r="F808" i="35" s="1"/>
  <c r="J138" i="43"/>
  <c r="I138" i="43"/>
  <c r="K138" i="43"/>
  <c r="G236" i="29"/>
  <c r="G158" i="29"/>
  <c r="D161" i="43"/>
  <c r="D239" i="43"/>
  <c r="D854" i="35"/>
  <c r="D887" i="35"/>
  <c r="G281" i="19"/>
  <c r="G203" i="19"/>
  <c r="G359" i="19"/>
  <c r="G125" i="19"/>
  <c r="D140" i="29"/>
  <c r="D218" i="29"/>
  <c r="D131" i="19"/>
  <c r="D287" i="19"/>
  <c r="D365" i="19"/>
  <c r="D209" i="19"/>
  <c r="D224" i="19"/>
  <c r="D146" i="19"/>
  <c r="D380" i="19"/>
  <c r="D302" i="19"/>
  <c r="E231" i="19"/>
  <c r="E387" i="19"/>
  <c r="E153" i="19"/>
  <c r="E309" i="19"/>
  <c r="D145" i="29"/>
  <c r="D223" i="29"/>
  <c r="D308" i="19"/>
  <c r="D230" i="19"/>
  <c r="D386" i="19"/>
  <c r="D152" i="19"/>
  <c r="D832" i="35"/>
  <c r="E628" i="35"/>
  <c r="E694" i="35" s="1"/>
  <c r="F694" i="35" s="1"/>
  <c r="E358" i="35"/>
  <c r="E187" i="35"/>
  <c r="E121" i="35"/>
  <c r="E661" i="35" s="1"/>
  <c r="F661" i="35" s="1"/>
  <c r="E154" i="35"/>
  <c r="D1036" i="35"/>
  <c r="D1043" i="35"/>
  <c r="D839" i="35"/>
  <c r="E365" i="35"/>
  <c r="E635" i="35"/>
  <c r="E701" i="35" s="1"/>
  <c r="F701" i="35" s="1"/>
  <c r="E161" i="35"/>
  <c r="E194" i="35"/>
  <c r="E128" i="35"/>
  <c r="E668" i="35" s="1"/>
  <c r="F668" i="35" s="1"/>
  <c r="D485" i="35"/>
  <c r="D248" i="35"/>
  <c r="D755" i="35" s="1"/>
  <c r="D314" i="35"/>
  <c r="D281" i="35"/>
  <c r="D722" i="35"/>
  <c r="D788" i="35" s="1"/>
  <c r="E340" i="35"/>
  <c r="E274" i="35"/>
  <c r="E781" i="35" s="1"/>
  <c r="F781" i="35" s="1"/>
  <c r="E307" i="35"/>
  <c r="D1156" i="35"/>
  <c r="E748" i="35"/>
  <c r="E814" i="35" s="1"/>
  <c r="F814" i="35" s="1"/>
  <c r="D952" i="35"/>
  <c r="E511" i="35"/>
  <c r="E142" i="19"/>
  <c r="E376" i="19"/>
  <c r="E298" i="19"/>
  <c r="E220" i="19"/>
  <c r="E226" i="29"/>
  <c r="E148" i="29"/>
  <c r="D154" i="19"/>
  <c r="D310" i="19"/>
  <c r="D388" i="19"/>
  <c r="D232" i="19"/>
  <c r="E234" i="43"/>
  <c r="E156" i="43"/>
  <c r="D1041" i="35"/>
  <c r="E192" i="35"/>
  <c r="E126" i="35"/>
  <c r="E666" i="35" s="1"/>
  <c r="F666" i="35" s="1"/>
  <c r="E159" i="35"/>
  <c r="D837" i="35"/>
  <c r="E633" i="35"/>
  <c r="E699" i="35" s="1"/>
  <c r="F699" i="35" s="1"/>
  <c r="E363" i="35"/>
  <c r="C270" i="35"/>
  <c r="C777" i="35" s="1"/>
  <c r="C336" i="35"/>
  <c r="C303" i="35"/>
  <c r="C948" i="35"/>
  <c r="C744" i="35"/>
  <c r="E228" i="29"/>
  <c r="E150" i="29"/>
  <c r="G153" i="43"/>
  <c r="G231" i="43"/>
  <c r="E229" i="43"/>
  <c r="E151" i="43"/>
  <c r="E232" i="29"/>
  <c r="E154" i="29"/>
  <c r="G234" i="43"/>
  <c r="G156" i="43"/>
  <c r="E144" i="19"/>
  <c r="E378" i="19"/>
  <c r="E300" i="19"/>
  <c r="E222" i="19"/>
  <c r="E637" i="35"/>
  <c r="E703" i="35" s="1"/>
  <c r="F703" i="35" s="1"/>
  <c r="E367" i="35"/>
  <c r="E130" i="35"/>
  <c r="E670" i="35" s="1"/>
  <c r="F670" i="35" s="1"/>
  <c r="E196" i="35"/>
  <c r="D1045" i="35"/>
  <c r="E163" i="35"/>
  <c r="D841" i="35"/>
  <c r="D357" i="35"/>
  <c r="D186" i="35"/>
  <c r="D120" i="35"/>
  <c r="D660" i="35" s="1"/>
  <c r="D153" i="35"/>
  <c r="D627" i="35"/>
  <c r="D693" i="35" s="1"/>
  <c r="K325" i="43"/>
  <c r="I325" i="43"/>
  <c r="J325" i="43"/>
  <c r="G228" i="29"/>
  <c r="G150" i="29"/>
  <c r="D149" i="19"/>
  <c r="D383" i="19"/>
  <c r="D227" i="19"/>
  <c r="D305" i="19"/>
  <c r="G234" i="29"/>
  <c r="G156" i="29"/>
  <c r="G159" i="43"/>
  <c r="G237" i="43"/>
  <c r="E210" i="29"/>
  <c r="E132" i="29"/>
  <c r="G380" i="19"/>
  <c r="G302" i="19"/>
  <c r="G146" i="19"/>
  <c r="G224" i="19"/>
  <c r="I312" i="43"/>
  <c r="K312" i="43"/>
  <c r="J312" i="43"/>
  <c r="E207" i="19"/>
  <c r="E285" i="19"/>
  <c r="E129" i="19"/>
  <c r="E363" i="19"/>
  <c r="D284" i="19"/>
  <c r="D206" i="19"/>
  <c r="D362" i="19"/>
  <c r="D128" i="19"/>
  <c r="D847" i="35"/>
  <c r="E643" i="35"/>
  <c r="E709" i="35" s="1"/>
  <c r="F709" i="35" s="1"/>
  <c r="E373" i="35"/>
  <c r="E169" i="35"/>
  <c r="E202" i="35"/>
  <c r="E136" i="35"/>
  <c r="E676" i="35" s="1"/>
  <c r="F676" i="35" s="1"/>
  <c r="D1051" i="35"/>
  <c r="C636" i="35"/>
  <c r="C195" i="35"/>
  <c r="C129" i="35"/>
  <c r="C669" i="35" s="1"/>
  <c r="N669" i="35" s="1"/>
  <c r="C840" i="35"/>
  <c r="C162" i="35"/>
  <c r="C939" i="35"/>
  <c r="C327" i="35"/>
  <c r="C261" i="35"/>
  <c r="C768" i="35" s="1"/>
  <c r="C735" i="35"/>
  <c r="C294" i="35"/>
  <c r="C338" i="35"/>
  <c r="C950" i="35"/>
  <c r="C305" i="35"/>
  <c r="C746" i="35"/>
  <c r="C272" i="35"/>
  <c r="C779" i="35" s="1"/>
  <c r="E743" i="35"/>
  <c r="E809" i="35" s="1"/>
  <c r="F809" i="35" s="1"/>
  <c r="E506" i="35"/>
  <c r="E302" i="35"/>
  <c r="D947" i="35"/>
  <c r="E335" i="35"/>
  <c r="E269" i="35"/>
  <c r="E776" i="35" s="1"/>
  <c r="F776" i="35" s="1"/>
  <c r="D1151" i="35"/>
  <c r="G159" i="19"/>
  <c r="G315" i="19"/>
  <c r="G393" i="19"/>
  <c r="G237" i="19"/>
  <c r="D154" i="43"/>
  <c r="D232" i="43"/>
  <c r="J168" i="43"/>
  <c r="K168" i="43"/>
  <c r="I168" i="43"/>
  <c r="G168" i="43"/>
  <c r="G246" i="43"/>
  <c r="E124" i="19"/>
  <c r="E202" i="19"/>
  <c r="E358" i="19"/>
  <c r="E280" i="19"/>
  <c r="E147" i="29"/>
  <c r="E225" i="29"/>
  <c r="E206" i="29"/>
  <c r="E128" i="29"/>
  <c r="D145" i="35"/>
  <c r="D619" i="35"/>
  <c r="D685" i="35" s="1"/>
  <c r="D349" i="35"/>
  <c r="D178" i="35"/>
  <c r="D112" i="35"/>
  <c r="D652" i="35" s="1"/>
  <c r="C160" i="35"/>
  <c r="C193" i="35"/>
  <c r="C634" i="35"/>
  <c r="C127" i="35"/>
  <c r="C667" i="35" s="1"/>
  <c r="N667" i="35" s="1"/>
  <c r="C838" i="35"/>
  <c r="D292" i="35"/>
  <c r="D325" i="35"/>
  <c r="D733" i="35"/>
  <c r="D799" i="35" s="1"/>
  <c r="D496" i="35"/>
  <c r="D259" i="35"/>
  <c r="D766" i="35" s="1"/>
  <c r="E143" i="29"/>
  <c r="E221" i="29"/>
  <c r="K153" i="43"/>
  <c r="J153" i="43"/>
  <c r="I153" i="43"/>
  <c r="G212" i="29"/>
  <c r="G134" i="29"/>
  <c r="J316" i="43"/>
  <c r="I316" i="43"/>
  <c r="K316" i="43"/>
  <c r="D133" i="19"/>
  <c r="D367" i="19"/>
  <c r="D211" i="19"/>
  <c r="D289" i="19"/>
  <c r="G210" i="29"/>
  <c r="G132" i="29"/>
  <c r="G147" i="19"/>
  <c r="G381" i="19"/>
  <c r="G225" i="19"/>
  <c r="G303" i="19"/>
  <c r="G372" i="19"/>
  <c r="G216" i="19"/>
  <c r="G294" i="19"/>
  <c r="G138" i="19"/>
  <c r="J140" i="43"/>
  <c r="I140" i="43"/>
  <c r="K140" i="43"/>
  <c r="D1031" i="35"/>
  <c r="D827" i="35"/>
  <c r="E353" i="35"/>
  <c r="E623" i="35"/>
  <c r="E689" i="35" s="1"/>
  <c r="F689" i="35" s="1"/>
  <c r="E149" i="35"/>
  <c r="E182" i="35"/>
  <c r="E116" i="35"/>
  <c r="E656" i="35" s="1"/>
  <c r="F656" i="35" s="1"/>
  <c r="D170" i="35"/>
  <c r="D644" i="35"/>
  <c r="D710" i="35" s="1"/>
  <c r="D374" i="35"/>
  <c r="D203" i="35"/>
  <c r="D137" i="35"/>
  <c r="D677" i="35" s="1"/>
  <c r="D350" i="35"/>
  <c r="D179" i="35"/>
  <c r="D113" i="35"/>
  <c r="D653" i="35" s="1"/>
  <c r="D146" i="35"/>
  <c r="D620" i="35"/>
  <c r="D686" i="35" s="1"/>
  <c r="D935" i="35"/>
  <c r="E323" i="35"/>
  <c r="E257" i="35"/>
  <c r="E764" i="35" s="1"/>
  <c r="F764" i="35" s="1"/>
  <c r="D1139" i="35"/>
  <c r="E731" i="35"/>
  <c r="E797" i="35" s="1"/>
  <c r="F797" i="35" s="1"/>
  <c r="E494" i="35"/>
  <c r="E290" i="35"/>
  <c r="I310" i="43"/>
  <c r="K310" i="43"/>
  <c r="J310" i="43"/>
  <c r="E369" i="19"/>
  <c r="E291" i="19"/>
  <c r="E213" i="19"/>
  <c r="E135" i="19"/>
  <c r="D127" i="29"/>
  <c r="D205" i="29"/>
  <c r="K145" i="43"/>
  <c r="J145" i="43"/>
  <c r="I145" i="43"/>
  <c r="J152" i="43"/>
  <c r="K152" i="43"/>
  <c r="I152" i="43"/>
  <c r="G230" i="43"/>
  <c r="G152" i="43"/>
  <c r="I158" i="43"/>
  <c r="K158" i="43"/>
  <c r="J158" i="43"/>
  <c r="E131" i="29"/>
  <c r="E209" i="29"/>
  <c r="K297" i="43"/>
  <c r="J297" i="43"/>
  <c r="I297" i="43"/>
  <c r="D125" i="35"/>
  <c r="D665" i="35" s="1"/>
  <c r="D191" i="35"/>
  <c r="D362" i="35"/>
  <c r="D158" i="35"/>
  <c r="D632" i="35"/>
  <c r="D698" i="35" s="1"/>
  <c r="D320" i="35"/>
  <c r="D287" i="35"/>
  <c r="D728" i="35"/>
  <c r="D794" i="35" s="1"/>
  <c r="D491" i="35"/>
  <c r="D254" i="35"/>
  <c r="D761" i="35" s="1"/>
  <c r="G224" i="43"/>
  <c r="G146" i="43"/>
  <c r="E169" i="43"/>
  <c r="E247" i="43"/>
  <c r="E214" i="43"/>
  <c r="E136" i="43"/>
  <c r="D150" i="43"/>
  <c r="D228" i="43"/>
  <c r="D238" i="29"/>
  <c r="D160" i="29"/>
  <c r="D629" i="35"/>
  <c r="D695" i="35" s="1"/>
  <c r="D188" i="35"/>
  <c r="D359" i="35"/>
  <c r="D122" i="35"/>
  <c r="D662" i="35" s="1"/>
  <c r="D155" i="35"/>
  <c r="E200" i="35"/>
  <c r="E134" i="35"/>
  <c r="E674" i="35" s="1"/>
  <c r="F674" i="35" s="1"/>
  <c r="E167" i="35"/>
  <c r="E641" i="35"/>
  <c r="E707" i="35" s="1"/>
  <c r="F707" i="35" s="1"/>
  <c r="D845" i="35"/>
  <c r="E371" i="35"/>
  <c r="D1049" i="35"/>
  <c r="C301" i="35"/>
  <c r="C334" i="35"/>
  <c r="C742" i="35"/>
  <c r="C268" i="35"/>
  <c r="C775" i="35" s="1"/>
  <c r="C946" i="35"/>
  <c r="C942" i="35"/>
  <c r="C330" i="35"/>
  <c r="C297" i="35"/>
  <c r="C738" i="35"/>
  <c r="C264" i="35"/>
  <c r="C771" i="35" s="1"/>
  <c r="D1058" i="35"/>
  <c r="D1091" i="35"/>
  <c r="G125" i="29"/>
  <c r="G203" i="29"/>
  <c r="D226" i="19"/>
  <c r="D304" i="19"/>
  <c r="D148" i="19"/>
  <c r="D382" i="19"/>
  <c r="D209" i="29"/>
  <c r="D131" i="29"/>
  <c r="D146" i="29"/>
  <c r="D224" i="29"/>
  <c r="E231" i="29"/>
  <c r="E153" i="29"/>
  <c r="D230" i="29"/>
  <c r="D152" i="29"/>
  <c r="C194" i="35"/>
  <c r="C635" i="35"/>
  <c r="C128" i="35"/>
  <c r="C668" i="35" s="1"/>
  <c r="N668" i="35" s="1"/>
  <c r="C161" i="35"/>
  <c r="C839" i="35"/>
  <c r="E326" i="35"/>
  <c r="E260" i="35"/>
  <c r="E767" i="35" s="1"/>
  <c r="F767" i="35" s="1"/>
  <c r="D1142" i="35"/>
  <c r="E734" i="35"/>
  <c r="E800" i="35" s="1"/>
  <c r="F800" i="35" s="1"/>
  <c r="E497" i="35"/>
  <c r="D938" i="35"/>
  <c r="E293" i="35"/>
  <c r="D1130" i="35"/>
  <c r="E314" i="35"/>
  <c r="D926" i="35"/>
  <c r="E485" i="35"/>
  <c r="E281" i="35"/>
  <c r="E248" i="35"/>
  <c r="E755" i="35" s="1"/>
  <c r="F755" i="35" s="1"/>
  <c r="E722" i="35"/>
  <c r="E788" i="35" s="1"/>
  <c r="F788" i="35" s="1"/>
  <c r="E220" i="29"/>
  <c r="E142" i="29"/>
  <c r="D154" i="29"/>
  <c r="D232" i="29"/>
  <c r="E157" i="43"/>
  <c r="E235" i="43"/>
  <c r="I163" i="43"/>
  <c r="K163" i="43"/>
  <c r="J163" i="43"/>
  <c r="E163" i="43"/>
  <c r="E241" i="43"/>
  <c r="D204" i="19"/>
  <c r="D126" i="19"/>
  <c r="D282" i="19"/>
  <c r="D360" i="19"/>
  <c r="D168" i="43"/>
  <c r="D246" i="43"/>
  <c r="D202" i="19"/>
  <c r="D280" i="19"/>
  <c r="D358" i="19"/>
  <c r="D124" i="19"/>
  <c r="C956" i="35"/>
  <c r="C989" i="35"/>
  <c r="D208" i="19"/>
  <c r="D364" i="19"/>
  <c r="D286" i="19"/>
  <c r="D130" i="19"/>
  <c r="D207" i="19"/>
  <c r="D285" i="19"/>
  <c r="D129" i="19"/>
  <c r="D363" i="19"/>
  <c r="E222" i="29"/>
  <c r="E144" i="29"/>
  <c r="D225" i="43"/>
  <c r="D147" i="43"/>
  <c r="D132" i="35"/>
  <c r="D672" i="35" s="1"/>
  <c r="D198" i="35"/>
  <c r="D165" i="35"/>
  <c r="D369" i="35"/>
  <c r="D639" i="35"/>
  <c r="D705" i="35" s="1"/>
  <c r="D737" i="35"/>
  <c r="D803" i="35" s="1"/>
  <c r="D500" i="35"/>
  <c r="D296" i="35"/>
  <c r="D263" i="35"/>
  <c r="D770" i="35" s="1"/>
  <c r="D329" i="35"/>
  <c r="E248" i="43"/>
  <c r="E170" i="43"/>
  <c r="E235" i="19"/>
  <c r="E391" i="19"/>
  <c r="E313" i="19"/>
  <c r="E157" i="19"/>
  <c r="D149" i="29"/>
  <c r="D227" i="29"/>
  <c r="G224" i="29"/>
  <c r="G146" i="29"/>
  <c r="D149" i="43"/>
  <c r="D227" i="43"/>
  <c r="E207" i="29"/>
  <c r="E129" i="29"/>
  <c r="G238" i="19"/>
  <c r="G394" i="19"/>
  <c r="G160" i="19"/>
  <c r="G316" i="19"/>
  <c r="D128" i="29"/>
  <c r="D206" i="29"/>
  <c r="D117" i="35"/>
  <c r="D657" i="35" s="1"/>
  <c r="D354" i="35"/>
  <c r="D183" i="35"/>
  <c r="D150" i="35"/>
  <c r="D624" i="35"/>
  <c r="D690" i="35" s="1"/>
  <c r="D162" i="35"/>
  <c r="D636" i="35"/>
  <c r="D702" i="35" s="1"/>
  <c r="D366" i="35"/>
  <c r="D195" i="35"/>
  <c r="D129" i="35"/>
  <c r="D669" i="35" s="1"/>
  <c r="D294" i="35"/>
  <c r="D735" i="35"/>
  <c r="D801" i="35" s="1"/>
  <c r="D498" i="35"/>
  <c r="D261" i="35"/>
  <c r="D768" i="35" s="1"/>
  <c r="D327" i="35"/>
  <c r="E509" i="35"/>
  <c r="D950" i="35"/>
  <c r="E272" i="35"/>
  <c r="E779" i="35" s="1"/>
  <c r="F779" i="35" s="1"/>
  <c r="E305" i="35"/>
  <c r="E338" i="35"/>
  <c r="D1154" i="35"/>
  <c r="E746" i="35"/>
  <c r="E812" i="35" s="1"/>
  <c r="F812" i="35" s="1"/>
  <c r="C743" i="35"/>
  <c r="C302" i="35"/>
  <c r="C947" i="35"/>
  <c r="C335" i="35"/>
  <c r="C269" i="35"/>
  <c r="C776" i="35" s="1"/>
  <c r="G159" i="29"/>
  <c r="G237" i="29"/>
  <c r="D141" i="19"/>
  <c r="D375" i="19"/>
  <c r="D219" i="19"/>
  <c r="D297" i="19"/>
  <c r="E202" i="29"/>
  <c r="E124" i="29"/>
  <c r="G155" i="19"/>
  <c r="G233" i="19"/>
  <c r="G311" i="19"/>
  <c r="G389" i="19"/>
  <c r="J157" i="43"/>
  <c r="K157" i="43"/>
  <c r="I157" i="43"/>
  <c r="E372" i="19"/>
  <c r="E294" i="19"/>
  <c r="E216" i="19"/>
  <c r="E138" i="19"/>
  <c r="K304" i="43"/>
  <c r="J304" i="43"/>
  <c r="I304" i="43"/>
  <c r="G241" i="43"/>
  <c r="G163" i="43"/>
  <c r="E619" i="35"/>
  <c r="E685" i="35" s="1"/>
  <c r="F685" i="35" s="1"/>
  <c r="D1027" i="35"/>
  <c r="D823" i="35"/>
  <c r="E349" i="35"/>
  <c r="E145" i="35"/>
  <c r="E178" i="35"/>
  <c r="E112" i="35"/>
  <c r="E652" i="35" s="1"/>
  <c r="F652" i="35" s="1"/>
  <c r="D642" i="35"/>
  <c r="D708" i="35" s="1"/>
  <c r="D372" i="35"/>
  <c r="D201" i="35"/>
  <c r="D168" i="35"/>
  <c r="D135" i="35"/>
  <c r="D675" i="35" s="1"/>
  <c r="E733" i="35"/>
  <c r="E799" i="35" s="1"/>
  <c r="F799" i="35" s="1"/>
  <c r="E496" i="35"/>
  <c r="E292" i="35"/>
  <c r="D1141" i="35"/>
  <c r="D937" i="35"/>
  <c r="E325" i="35"/>
  <c r="E259" i="35"/>
  <c r="E766" i="35" s="1"/>
  <c r="F766" i="35" s="1"/>
  <c r="G151" i="19"/>
  <c r="G229" i="19"/>
  <c r="G307" i="19"/>
  <c r="G385" i="19"/>
  <c r="D146" i="43"/>
  <c r="D224" i="43"/>
  <c r="E219" i="19"/>
  <c r="E297" i="19"/>
  <c r="E141" i="19"/>
  <c r="E375" i="19"/>
  <c r="D211" i="29"/>
  <c r="D133" i="29"/>
  <c r="G218" i="19"/>
  <c r="G296" i="19"/>
  <c r="G374" i="19"/>
  <c r="G140" i="19"/>
  <c r="G147" i="29"/>
  <c r="G225" i="29"/>
  <c r="G216" i="29"/>
  <c r="G138" i="29"/>
  <c r="G141" i="43"/>
  <c r="G219" i="43"/>
  <c r="G222" i="19"/>
  <c r="G300" i="19"/>
  <c r="G378" i="19"/>
  <c r="G144" i="19"/>
  <c r="D353" i="35"/>
  <c r="D623" i="35"/>
  <c r="D689" i="35" s="1"/>
  <c r="D116" i="35"/>
  <c r="D656" i="35" s="1"/>
  <c r="D149" i="35"/>
  <c r="D182" i="35"/>
  <c r="D731" i="35"/>
  <c r="D797" i="35" s="1"/>
  <c r="D494" i="35"/>
  <c r="D290" i="35"/>
  <c r="D323" i="35"/>
  <c r="D257" i="35"/>
  <c r="D764" i="35" s="1"/>
  <c r="E135" i="29"/>
  <c r="E213" i="29"/>
  <c r="K301" i="43"/>
  <c r="I301" i="43"/>
  <c r="J301" i="43"/>
  <c r="D125" i="19"/>
  <c r="D359" i="19"/>
  <c r="D203" i="19"/>
  <c r="D281" i="19"/>
  <c r="J143" i="43"/>
  <c r="K143" i="43"/>
  <c r="I143" i="43"/>
  <c r="J314" i="43"/>
  <c r="I314" i="43"/>
  <c r="K314" i="43"/>
  <c r="G139" i="19"/>
  <c r="G373" i="19"/>
  <c r="G217" i="19"/>
  <c r="G295" i="19"/>
  <c r="G214" i="19"/>
  <c r="G136" i="19"/>
  <c r="G292" i="19"/>
  <c r="G370" i="19"/>
  <c r="C157" i="35"/>
  <c r="C124" i="35"/>
  <c r="C664" i="35" s="1"/>
  <c r="N664" i="35" s="1"/>
  <c r="C835" i="35"/>
  <c r="C190" i="35"/>
  <c r="C631" i="35"/>
  <c r="E295" i="35"/>
  <c r="E328" i="35"/>
  <c r="D1144" i="35"/>
  <c r="D940" i="35"/>
  <c r="E736" i="35"/>
  <c r="E802" i="35" s="1"/>
  <c r="F802" i="35" s="1"/>
  <c r="E499" i="35"/>
  <c r="E262" i="35"/>
  <c r="E769" i="35" s="1"/>
  <c r="F769" i="35" s="1"/>
  <c r="K291" i="43"/>
  <c r="J291" i="43"/>
  <c r="I291" i="43"/>
  <c r="G135" i="43"/>
  <c r="G213" i="43"/>
  <c r="I150" i="43"/>
  <c r="K150" i="43"/>
  <c r="J150" i="43"/>
  <c r="G206" i="19"/>
  <c r="G362" i="19"/>
  <c r="G128" i="19"/>
  <c r="G284" i="19"/>
  <c r="G127" i="19"/>
  <c r="G283" i="19"/>
  <c r="G361" i="19"/>
  <c r="G205" i="19"/>
  <c r="G247" i="43"/>
  <c r="G169" i="43"/>
  <c r="D148" i="29"/>
  <c r="D226" i="29"/>
  <c r="D229" i="43"/>
  <c r="D151" i="43"/>
  <c r="D234" i="43"/>
  <c r="D156" i="43"/>
  <c r="E160" i="19"/>
  <c r="E394" i="19"/>
  <c r="E316" i="19"/>
  <c r="E238" i="19"/>
  <c r="D635" i="35"/>
  <c r="D701" i="35" s="1"/>
  <c r="D365" i="35"/>
  <c r="D194" i="35"/>
  <c r="D128" i="35"/>
  <c r="D668" i="35" s="1"/>
  <c r="D161" i="35"/>
  <c r="D740" i="35"/>
  <c r="D806" i="35" s="1"/>
  <c r="D503" i="35"/>
  <c r="D299" i="35"/>
  <c r="D332" i="35"/>
  <c r="D266" i="35"/>
  <c r="D773" i="35" s="1"/>
  <c r="C281" i="35"/>
  <c r="C722" i="35"/>
  <c r="C926" i="35"/>
  <c r="C248" i="35"/>
  <c r="C755" i="35" s="1"/>
  <c r="C314" i="35"/>
  <c r="E159" i="43"/>
  <c r="E237" i="43"/>
  <c r="K164" i="43"/>
  <c r="I164" i="43"/>
  <c r="J164" i="43"/>
  <c r="G164" i="43"/>
  <c r="G242" i="43"/>
  <c r="J319" i="43"/>
  <c r="I319" i="43"/>
  <c r="K319" i="43"/>
  <c r="D119" i="35"/>
  <c r="D659" i="35" s="1"/>
  <c r="D626" i="35"/>
  <c r="D692" i="35" s="1"/>
  <c r="D356" i="35"/>
  <c r="D185" i="35"/>
  <c r="D152" i="35"/>
  <c r="D318" i="35"/>
  <c r="D726" i="35"/>
  <c r="D792" i="35" s="1"/>
  <c r="D489" i="35"/>
  <c r="D252" i="35"/>
  <c r="D759" i="35" s="1"/>
  <c r="D285" i="35"/>
  <c r="D732" i="35"/>
  <c r="D798" i="35" s="1"/>
  <c r="D495" i="35"/>
  <c r="D291" i="35"/>
  <c r="D324" i="35"/>
  <c r="D258" i="35"/>
  <c r="D765" i="35" s="1"/>
  <c r="D237" i="19"/>
  <c r="D159" i="19"/>
  <c r="D393" i="19"/>
  <c r="D315" i="19"/>
  <c r="E161" i="43"/>
  <c r="E239" i="43"/>
  <c r="D204" i="29"/>
  <c r="D126" i="29"/>
  <c r="D124" i="29"/>
  <c r="D202" i="29"/>
  <c r="E165" i="43"/>
  <c r="E243" i="43"/>
  <c r="D208" i="29"/>
  <c r="D130" i="29"/>
  <c r="E215" i="19"/>
  <c r="E137" i="19"/>
  <c r="E293" i="19"/>
  <c r="E371" i="19"/>
  <c r="D129" i="29"/>
  <c r="D207" i="29"/>
  <c r="C130" i="35"/>
  <c r="C670" i="35" s="1"/>
  <c r="N670" i="35" s="1"/>
  <c r="C841" i="35"/>
  <c r="C637" i="35"/>
  <c r="C196" i="35"/>
  <c r="C163" i="35"/>
  <c r="E639" i="35"/>
  <c r="E705" i="35" s="1"/>
  <c r="F705" i="35" s="1"/>
  <c r="E369" i="35"/>
  <c r="E165" i="35"/>
  <c r="E198" i="35"/>
  <c r="D1047" i="35"/>
  <c r="D843" i="35"/>
  <c r="E132" i="35"/>
  <c r="E672" i="35" s="1"/>
  <c r="F672" i="35" s="1"/>
  <c r="E189" i="35"/>
  <c r="E123" i="35"/>
  <c r="E663" i="35" s="1"/>
  <c r="F663" i="35" s="1"/>
  <c r="D1038" i="35"/>
  <c r="D834" i="35"/>
  <c r="E630" i="35"/>
  <c r="E696" i="35" s="1"/>
  <c r="F696" i="35" s="1"/>
  <c r="E156" i="35"/>
  <c r="E360" i="35"/>
  <c r="D1132" i="35"/>
  <c r="E283" i="35"/>
  <c r="D928" i="35"/>
  <c r="E724" i="35"/>
  <c r="E790" i="35" s="1"/>
  <c r="F790" i="35" s="1"/>
  <c r="E487" i="35"/>
  <c r="E316" i="35"/>
  <c r="E250" i="35"/>
  <c r="E757" i="35" s="1"/>
  <c r="F757" i="35" s="1"/>
  <c r="G239" i="43"/>
  <c r="G161" i="43"/>
  <c r="E235" i="29"/>
  <c r="E157" i="29"/>
  <c r="G167" i="43"/>
  <c r="G245" i="43"/>
  <c r="E221" i="43"/>
  <c r="E143" i="43"/>
  <c r="E155" i="19"/>
  <c r="E389" i="19"/>
  <c r="E311" i="19"/>
  <c r="E233" i="19"/>
  <c r="G388" i="19"/>
  <c r="G310" i="19"/>
  <c r="G154" i="19"/>
  <c r="G232" i="19"/>
  <c r="G293" i="19"/>
  <c r="G371" i="19"/>
  <c r="G137" i="19"/>
  <c r="G215" i="19"/>
  <c r="G238" i="29"/>
  <c r="G160" i="29"/>
  <c r="E136" i="19"/>
  <c r="E214" i="19"/>
  <c r="E370" i="19"/>
  <c r="E292" i="19"/>
  <c r="D743" i="35"/>
  <c r="D809" i="35" s="1"/>
  <c r="D506" i="35"/>
  <c r="D269" i="35"/>
  <c r="D776" i="35" s="1"/>
  <c r="D335" i="35"/>
  <c r="D302" i="35"/>
  <c r="E162" i="43"/>
  <c r="E240" i="43"/>
  <c r="G360" i="19"/>
  <c r="G126" i="19"/>
  <c r="G204" i="19"/>
  <c r="G282" i="19"/>
  <c r="J324" i="43"/>
  <c r="I324" i="43"/>
  <c r="K324" i="43"/>
  <c r="E227" i="19"/>
  <c r="E383" i="19"/>
  <c r="E305" i="19"/>
  <c r="E149" i="19"/>
  <c r="D219" i="29"/>
  <c r="D141" i="29"/>
  <c r="G155" i="29"/>
  <c r="G233" i="29"/>
  <c r="J313" i="43"/>
  <c r="I313" i="43"/>
  <c r="K313" i="43"/>
  <c r="E216" i="29"/>
  <c r="E138" i="29"/>
  <c r="E139" i="43"/>
  <c r="E217" i="43"/>
  <c r="C619" i="35"/>
  <c r="C823" i="35"/>
  <c r="C145" i="35"/>
  <c r="C178" i="35"/>
  <c r="C112" i="35"/>
  <c r="C652" i="35" s="1"/>
  <c r="N652" i="35" s="1"/>
  <c r="G151" i="29"/>
  <c r="G229" i="29"/>
  <c r="G145" i="43"/>
  <c r="G223" i="43"/>
  <c r="E219" i="29"/>
  <c r="E141" i="29"/>
  <c r="G218" i="29"/>
  <c r="G140" i="29"/>
  <c r="G221" i="43"/>
  <c r="G143" i="43"/>
  <c r="E150" i="43"/>
  <c r="E228" i="43"/>
  <c r="K296" i="43"/>
  <c r="J296" i="43"/>
  <c r="I296" i="43"/>
  <c r="G144" i="29"/>
  <c r="G222" i="29"/>
  <c r="E170" i="35"/>
  <c r="D1052" i="35"/>
  <c r="D848" i="35"/>
  <c r="E644" i="35"/>
  <c r="E710" i="35" s="1"/>
  <c r="F710" i="35" s="1"/>
  <c r="E374" i="35"/>
  <c r="E203" i="35"/>
  <c r="E137" i="35"/>
  <c r="E677" i="35" s="1"/>
  <c r="F677" i="35" s="1"/>
  <c r="E146" i="35"/>
  <c r="D1028" i="35"/>
  <c r="D824" i="35"/>
  <c r="E620" i="35"/>
  <c r="E686" i="35" s="1"/>
  <c r="F686" i="35" s="1"/>
  <c r="E350" i="35"/>
  <c r="E179" i="35"/>
  <c r="E113" i="35"/>
  <c r="E653" i="35" s="1"/>
  <c r="F653" i="35" s="1"/>
  <c r="C745" i="35"/>
  <c r="C304" i="35"/>
  <c r="C949" i="35"/>
  <c r="C337" i="35"/>
  <c r="C271" i="35"/>
  <c r="C778" i="35" s="1"/>
  <c r="D306" i="35"/>
  <c r="D339" i="35"/>
  <c r="D273" i="35"/>
  <c r="D780" i="35" s="1"/>
  <c r="D747" i="35"/>
  <c r="D813" i="35" s="1"/>
  <c r="D510" i="35"/>
  <c r="G143" i="19"/>
  <c r="G377" i="19"/>
  <c r="G221" i="19"/>
  <c r="G299" i="19"/>
  <c r="D216" i="43"/>
  <c r="D138" i="43"/>
  <c r="I308" i="43"/>
  <c r="K308" i="43"/>
  <c r="J308" i="43"/>
  <c r="E211" i="19"/>
  <c r="E289" i="19"/>
  <c r="E133" i="19"/>
  <c r="E367" i="19"/>
  <c r="D203" i="29"/>
  <c r="D125" i="29"/>
  <c r="G139" i="29"/>
  <c r="G217" i="29"/>
  <c r="G214" i="29"/>
  <c r="G136" i="29"/>
  <c r="D118" i="35"/>
  <c r="D658" i="35" s="1"/>
  <c r="D625" i="35"/>
  <c r="D691" i="35" s="1"/>
  <c r="D355" i="35"/>
  <c r="D184" i="35"/>
  <c r="D151" i="35"/>
  <c r="D1131" i="35"/>
  <c r="E723" i="35"/>
  <c r="E789" i="35" s="1"/>
  <c r="F789" i="35" s="1"/>
  <c r="E486" i="35"/>
  <c r="E282" i="35"/>
  <c r="D927" i="35"/>
  <c r="E249" i="35"/>
  <c r="E756" i="35" s="1"/>
  <c r="F756" i="35" s="1"/>
  <c r="E315" i="35"/>
  <c r="D1133" i="35"/>
  <c r="D929" i="35"/>
  <c r="E284" i="35"/>
  <c r="E488" i="35"/>
  <c r="E251" i="35"/>
  <c r="E758" i="35" s="1"/>
  <c r="F758" i="35" s="1"/>
  <c r="E725" i="35"/>
  <c r="E791" i="35" s="1"/>
  <c r="F791" i="35" s="1"/>
  <c r="E317" i="35"/>
  <c r="C287" i="35"/>
  <c r="C932" i="35"/>
  <c r="C728" i="35"/>
  <c r="C320" i="35"/>
  <c r="C254" i="35"/>
  <c r="C761" i="35" s="1"/>
  <c r="E361" i="19"/>
  <c r="E283" i="19"/>
  <c r="E205" i="19"/>
  <c r="E127" i="19"/>
  <c r="K144" i="43"/>
  <c r="I144" i="43"/>
  <c r="J144" i="43"/>
  <c r="G144" i="43"/>
  <c r="G222" i="43"/>
  <c r="J306" i="43"/>
  <c r="I306" i="43"/>
  <c r="K306" i="43"/>
  <c r="G131" i="19"/>
  <c r="G287" i="19"/>
  <c r="G365" i="19"/>
  <c r="G209" i="19"/>
  <c r="D231" i="19"/>
  <c r="D309" i="19"/>
  <c r="D153" i="19"/>
  <c r="D387" i="19"/>
  <c r="D249" i="43"/>
  <c r="D171" i="43"/>
  <c r="G206" i="29"/>
  <c r="G128" i="29"/>
  <c r="D942" i="35"/>
  <c r="E264" i="35"/>
  <c r="E771" i="35" s="1"/>
  <c r="F771" i="35" s="1"/>
  <c r="E297" i="35"/>
  <c r="E330" i="35"/>
  <c r="D1146" i="35"/>
  <c r="E738" i="35"/>
  <c r="E804" i="35" s="1"/>
  <c r="F804" i="35" s="1"/>
  <c r="E501" i="35"/>
  <c r="J146" i="43"/>
  <c r="K146" i="43"/>
  <c r="I146" i="43"/>
  <c r="G127" i="29"/>
  <c r="G205" i="29"/>
  <c r="D142" i="19"/>
  <c r="D220" i="19"/>
  <c r="D298" i="19"/>
  <c r="D376" i="19"/>
  <c r="E156" i="19"/>
  <c r="E234" i="19"/>
  <c r="E390" i="19"/>
  <c r="E312" i="19"/>
  <c r="I142" i="43"/>
  <c r="K142" i="43"/>
  <c r="J142" i="43"/>
  <c r="D142" i="43"/>
  <c r="D220" i="43"/>
  <c r="D157" i="43"/>
  <c r="D235" i="43"/>
  <c r="E238" i="29"/>
  <c r="E160" i="29"/>
  <c r="D241" i="43"/>
  <c r="D163" i="43"/>
  <c r="E153" i="43"/>
  <c r="E231" i="43"/>
  <c r="D165" i="43"/>
  <c r="D243" i="43"/>
  <c r="D215" i="19"/>
  <c r="D293" i="19"/>
  <c r="D137" i="19"/>
  <c r="D371" i="19"/>
  <c r="D114" i="35"/>
  <c r="D654" i="35" s="1"/>
  <c r="D621" i="35"/>
  <c r="D687" i="35" s="1"/>
  <c r="D147" i="35"/>
  <c r="D180" i="35"/>
  <c r="D351" i="35"/>
  <c r="D303" i="35"/>
  <c r="D744" i="35"/>
  <c r="D810" i="35" s="1"/>
  <c r="D507" i="35"/>
  <c r="D270" i="35"/>
  <c r="D777" i="35" s="1"/>
  <c r="D336" i="35"/>
  <c r="E252" i="35"/>
  <c r="E759" i="35" s="1"/>
  <c r="F759" i="35" s="1"/>
  <c r="D1134" i="35"/>
  <c r="E318" i="35"/>
  <c r="D930" i="35"/>
  <c r="E285" i="35"/>
  <c r="E489" i="35"/>
  <c r="E726" i="35"/>
  <c r="E792" i="35" s="1"/>
  <c r="F792" i="35" s="1"/>
  <c r="D159" i="29"/>
  <c r="D237" i="29"/>
  <c r="D134" i="19"/>
  <c r="D212" i="19"/>
  <c r="D290" i="19"/>
  <c r="D368" i="19"/>
  <c r="D288" i="19"/>
  <c r="D210" i="19"/>
  <c r="D366" i="19"/>
  <c r="D132" i="19"/>
  <c r="E215" i="29"/>
  <c r="E137" i="29"/>
  <c r="I155" i="43"/>
  <c r="K155" i="43"/>
  <c r="J155" i="43"/>
  <c r="E233" i="43"/>
  <c r="E155" i="43"/>
  <c r="E153" i="35"/>
  <c r="E186" i="35"/>
  <c r="E120" i="35"/>
  <c r="E660" i="35" s="1"/>
  <c r="F660" i="35" s="1"/>
  <c r="D1035" i="35"/>
  <c r="D831" i="35"/>
  <c r="E627" i="35"/>
  <c r="E693" i="35" s="1"/>
  <c r="F693" i="35" s="1"/>
  <c r="E357" i="35"/>
  <c r="C724" i="35"/>
  <c r="C250" i="35"/>
  <c r="C757" i="35" s="1"/>
  <c r="C283" i="35"/>
  <c r="C316" i="35"/>
  <c r="C928" i="35"/>
  <c r="C941" i="35"/>
  <c r="C329" i="35"/>
  <c r="C263" i="35"/>
  <c r="C770" i="35" s="1"/>
  <c r="C737" i="35"/>
  <c r="C296" i="35"/>
  <c r="E360" i="19"/>
  <c r="E282" i="19"/>
  <c r="E204" i="19"/>
  <c r="E126" i="19"/>
  <c r="D238" i="43"/>
  <c r="D160" i="43"/>
  <c r="I167" i="43"/>
  <c r="J167" i="43"/>
  <c r="K167" i="43"/>
  <c r="E155" i="29"/>
  <c r="E233" i="29"/>
  <c r="G232" i="29"/>
  <c r="G154" i="29"/>
  <c r="G157" i="43"/>
  <c r="G235" i="43"/>
  <c r="G215" i="29"/>
  <c r="G137" i="29"/>
  <c r="E214" i="29"/>
  <c r="E136" i="29"/>
  <c r="D217" i="43"/>
  <c r="D139" i="43"/>
  <c r="G204" i="29"/>
  <c r="G126" i="29"/>
  <c r="E227" i="29"/>
  <c r="E149" i="29"/>
  <c r="E135" i="43"/>
  <c r="E213" i="43"/>
  <c r="E158" i="43"/>
  <c r="E236" i="43"/>
  <c r="G285" i="19"/>
  <c r="G207" i="19"/>
  <c r="G363" i="19"/>
  <c r="G129" i="19"/>
  <c r="K139" i="43"/>
  <c r="I139" i="43"/>
  <c r="J139" i="43"/>
  <c r="C849" i="35"/>
  <c r="C645" i="35"/>
  <c r="C204" i="35"/>
  <c r="C171" i="35"/>
  <c r="C138" i="35"/>
  <c r="C678" i="35" s="1"/>
  <c r="N678" i="35" s="1"/>
  <c r="E642" i="35"/>
  <c r="E708" i="35" s="1"/>
  <c r="F708" i="35" s="1"/>
  <c r="E168" i="35"/>
  <c r="E201" i="35"/>
  <c r="E135" i="35"/>
  <c r="E675" i="35" s="1"/>
  <c r="F675" i="35" s="1"/>
  <c r="E372" i="35"/>
  <c r="D1050" i="35"/>
  <c r="D846" i="35"/>
  <c r="C733" i="35"/>
  <c r="C292" i="35"/>
  <c r="C937" i="35"/>
  <c r="C325" i="35"/>
  <c r="C259" i="35"/>
  <c r="C766" i="35" s="1"/>
  <c r="E154" i="43"/>
  <c r="E232" i="43"/>
  <c r="G305" i="19"/>
  <c r="G149" i="19"/>
  <c r="G227" i="19"/>
  <c r="G383" i="19"/>
  <c r="D144" i="43"/>
  <c r="D222" i="43"/>
  <c r="D233" i="19"/>
  <c r="D155" i="19"/>
  <c r="D389" i="19"/>
  <c r="D311" i="19"/>
  <c r="G149" i="43"/>
  <c r="G227" i="43"/>
  <c r="C182" i="35"/>
  <c r="C149" i="35"/>
  <c r="C827" i="35"/>
  <c r="C623" i="35"/>
  <c r="C116" i="35"/>
  <c r="C656" i="35" s="1"/>
  <c r="N656" i="35" s="1"/>
  <c r="C170" i="35"/>
  <c r="C644" i="35"/>
  <c r="C137" i="35"/>
  <c r="C677" i="35" s="1"/>
  <c r="N677" i="35" s="1"/>
  <c r="C203" i="35"/>
  <c r="C848" i="35"/>
  <c r="C146" i="35"/>
  <c r="C179" i="35"/>
  <c r="C824" i="35"/>
  <c r="C113" i="35"/>
  <c r="C653" i="35" s="1"/>
  <c r="N653" i="35" s="1"/>
  <c r="C620" i="35"/>
  <c r="D337" i="35"/>
  <c r="D745" i="35"/>
  <c r="D811" i="35" s="1"/>
  <c r="D271" i="35"/>
  <c r="D778" i="35" s="1"/>
  <c r="D508" i="35"/>
  <c r="D304" i="35"/>
  <c r="C323" i="35"/>
  <c r="C257" i="35"/>
  <c r="C764" i="35" s="1"/>
  <c r="C731" i="35"/>
  <c r="C290" i="35"/>
  <c r="C935" i="35"/>
  <c r="G143" i="29"/>
  <c r="G221" i="29"/>
  <c r="D236" i="19"/>
  <c r="D314" i="19"/>
  <c r="D392" i="19"/>
  <c r="D158" i="19"/>
  <c r="E211" i="29"/>
  <c r="E133" i="29"/>
  <c r="D234" i="19"/>
  <c r="D312" i="19"/>
  <c r="D390" i="19"/>
  <c r="D156" i="19"/>
  <c r="E220" i="43"/>
  <c r="E142" i="43"/>
  <c r="D829" i="35"/>
  <c r="E625" i="35"/>
  <c r="E691" i="35" s="1"/>
  <c r="F691" i="35" s="1"/>
  <c r="E355" i="35"/>
  <c r="D1033" i="35"/>
  <c r="E184" i="35"/>
  <c r="E118" i="35"/>
  <c r="E658" i="35" s="1"/>
  <c r="F658" i="35" s="1"/>
  <c r="E151" i="35"/>
  <c r="D361" i="35"/>
  <c r="D631" i="35"/>
  <c r="D697" i="35" s="1"/>
  <c r="D124" i="35"/>
  <c r="D664" i="35" s="1"/>
  <c r="D190" i="35"/>
  <c r="D157" i="35"/>
  <c r="C328" i="35"/>
  <c r="C262" i="35"/>
  <c r="C769" i="35" s="1"/>
  <c r="C940" i="35"/>
  <c r="C736" i="35"/>
  <c r="C295" i="35"/>
  <c r="D932" i="35"/>
  <c r="E728" i="35"/>
  <c r="E794" i="35" s="1"/>
  <c r="F794" i="35" s="1"/>
  <c r="E491" i="35"/>
  <c r="E254" i="35"/>
  <c r="E761" i="35" s="1"/>
  <c r="F761" i="35" s="1"/>
  <c r="E287" i="35"/>
  <c r="E320" i="35"/>
  <c r="D1136" i="35"/>
  <c r="E127" i="29"/>
  <c r="E205" i="29"/>
  <c r="J135" i="43"/>
  <c r="I135" i="43"/>
  <c r="K135" i="43"/>
  <c r="G131" i="29"/>
  <c r="G209" i="29"/>
  <c r="D231" i="29"/>
  <c r="D153" i="29"/>
  <c r="D131" i="35"/>
  <c r="D671" i="35" s="1"/>
  <c r="D164" i="35"/>
  <c r="D638" i="35"/>
  <c r="D704" i="35" s="1"/>
  <c r="D368" i="35"/>
  <c r="D197" i="35"/>
  <c r="D833" i="35"/>
  <c r="E629" i="35"/>
  <c r="E695" i="35" s="1"/>
  <c r="F695" i="35" s="1"/>
  <c r="E359" i="35"/>
  <c r="E188" i="35"/>
  <c r="E122" i="35"/>
  <c r="E662" i="35" s="1"/>
  <c r="F662" i="35" s="1"/>
  <c r="E155" i="35"/>
  <c r="D1037" i="35"/>
  <c r="C167" i="35"/>
  <c r="C641" i="35"/>
  <c r="C134" i="35"/>
  <c r="C674" i="35" s="1"/>
  <c r="N674" i="35" s="1"/>
  <c r="C200" i="35"/>
  <c r="C845" i="35"/>
  <c r="C256" i="35"/>
  <c r="C763" i="35" s="1"/>
  <c r="U763" i="35" s="1"/>
  <c r="C730" i="35"/>
  <c r="C289" i="35"/>
  <c r="C934" i="35"/>
  <c r="C322" i="35"/>
  <c r="I302" i="43"/>
  <c r="K302" i="43"/>
  <c r="J302" i="43"/>
  <c r="D220" i="29"/>
  <c r="D142" i="29"/>
  <c r="K136" i="43"/>
  <c r="J136" i="43"/>
  <c r="I136" i="43"/>
  <c r="G136" i="43"/>
  <c r="G214" i="43"/>
  <c r="E234" i="29"/>
  <c r="E156" i="29"/>
  <c r="D237" i="43"/>
  <c r="D159" i="43"/>
  <c r="K298" i="43"/>
  <c r="I298" i="43"/>
  <c r="J298" i="43"/>
  <c r="E242" i="43"/>
  <c r="E164" i="43"/>
  <c r="C187" i="35"/>
  <c r="C121" i="35"/>
  <c r="C661" i="35" s="1"/>
  <c r="N661" i="35" s="1"/>
  <c r="C832" i="35"/>
  <c r="C628" i="35"/>
  <c r="C154" i="35"/>
  <c r="D172" i="35"/>
  <c r="D646" i="35"/>
  <c r="D712" i="35" s="1"/>
  <c r="D376" i="35"/>
  <c r="D205" i="35"/>
  <c r="D139" i="35"/>
  <c r="D679" i="35" s="1"/>
  <c r="E332" i="35"/>
  <c r="E266" i="35"/>
  <c r="E773" i="35" s="1"/>
  <c r="F773" i="35" s="1"/>
  <c r="E299" i="35"/>
  <c r="D1148" i="35"/>
  <c r="D944" i="35"/>
  <c r="E740" i="35"/>
  <c r="E806" i="35" s="1"/>
  <c r="F806" i="35" s="1"/>
  <c r="E503" i="35"/>
  <c r="C748" i="35"/>
  <c r="C307" i="35"/>
  <c r="C952" i="35"/>
  <c r="C274" i="35"/>
  <c r="C781" i="35" s="1"/>
  <c r="C340" i="35"/>
  <c r="J320" i="43"/>
  <c r="I320" i="43"/>
  <c r="K320" i="43"/>
  <c r="E223" i="19"/>
  <c r="E301" i="19"/>
  <c r="E379" i="19"/>
  <c r="E145" i="19"/>
  <c r="D137" i="29"/>
  <c r="D215" i="29"/>
  <c r="D222" i="19"/>
  <c r="D300" i="19"/>
  <c r="D378" i="19"/>
  <c r="D144" i="19"/>
  <c r="C115" i="35"/>
  <c r="C655" i="35" s="1"/>
  <c r="N655" i="35" s="1"/>
  <c r="C826" i="35"/>
  <c r="C622" i="35"/>
  <c r="C181" i="35"/>
  <c r="C148" i="35"/>
  <c r="D830" i="35"/>
  <c r="E626" i="35"/>
  <c r="E692" i="35" s="1"/>
  <c r="F692" i="35" s="1"/>
  <c r="E152" i="35"/>
  <c r="E185" i="35"/>
  <c r="E119" i="35"/>
  <c r="E659" i="35" s="1"/>
  <c r="F659" i="35" s="1"/>
  <c r="E356" i="35"/>
  <c r="D1034" i="35"/>
  <c r="C291" i="35"/>
  <c r="C324" i="35"/>
  <c r="C936" i="35"/>
  <c r="C258" i="35"/>
  <c r="C765" i="35" s="1"/>
  <c r="C732" i="35"/>
  <c r="D212" i="29"/>
  <c r="D134" i="29"/>
  <c r="D137" i="43"/>
  <c r="D215" i="43"/>
  <c r="D132" i="29"/>
  <c r="D210" i="29"/>
  <c r="D213" i="43"/>
  <c r="D135" i="43"/>
  <c r="D141" i="43"/>
  <c r="D219" i="43"/>
  <c r="G301" i="19"/>
  <c r="G145" i="19"/>
  <c r="G223" i="19"/>
  <c r="G379" i="19"/>
  <c r="D140" i="43"/>
  <c r="D218" i="43"/>
  <c r="J311" i="43"/>
  <c r="I311" i="43"/>
  <c r="K311" i="43"/>
  <c r="D360" i="35"/>
  <c r="D189" i="35"/>
  <c r="D630" i="35"/>
  <c r="D696" i="35" s="1"/>
  <c r="D123" i="35"/>
  <c r="D663" i="35" s="1"/>
  <c r="D156" i="35"/>
  <c r="C153" i="35"/>
  <c r="C120" i="35"/>
  <c r="C660" i="35" s="1"/>
  <c r="N660" i="35" s="1"/>
  <c r="C186" i="35"/>
  <c r="C831" i="35"/>
  <c r="C627" i="35"/>
  <c r="C333" i="35"/>
  <c r="C267" i="35"/>
  <c r="C774" i="35" s="1"/>
  <c r="C741" i="35"/>
  <c r="C300" i="35"/>
  <c r="C945" i="35"/>
  <c r="D151" i="19"/>
  <c r="D307" i="19"/>
  <c r="D385" i="19"/>
  <c r="D229" i="19"/>
  <c r="E204" i="29"/>
  <c r="E126" i="29"/>
  <c r="J323" i="43"/>
  <c r="I323" i="43"/>
  <c r="K323" i="43"/>
  <c r="E208" i="19"/>
  <c r="E130" i="19"/>
  <c r="E364" i="19"/>
  <c r="E286" i="19"/>
  <c r="E218" i="43"/>
  <c r="E140" i="43"/>
  <c r="G171" i="43"/>
  <c r="G249" i="43"/>
  <c r="C202" i="35"/>
  <c r="C136" i="35"/>
  <c r="C676" i="35" s="1"/>
  <c r="N676" i="35" s="1"/>
  <c r="C847" i="35"/>
  <c r="C643" i="35"/>
  <c r="C169" i="35"/>
  <c r="C183" i="35"/>
  <c r="C828" i="35"/>
  <c r="C117" i="35"/>
  <c r="C657" i="35" s="1"/>
  <c r="N657" i="35" s="1"/>
  <c r="C150" i="35"/>
  <c r="C624" i="35"/>
  <c r="D133" i="35"/>
  <c r="D673" i="35" s="1"/>
  <c r="D370" i="35"/>
  <c r="D199" i="35"/>
  <c r="D166" i="35"/>
  <c r="D640" i="35"/>
  <c r="D706" i="35" s="1"/>
  <c r="G170" i="43"/>
  <c r="G248" i="43"/>
  <c r="K161" i="43"/>
  <c r="J161" i="43"/>
  <c r="I161" i="43"/>
  <c r="E290" i="19"/>
  <c r="E212" i="19"/>
  <c r="E368" i="19"/>
  <c r="E134" i="19"/>
  <c r="G313" i="19"/>
  <c r="G235" i="19"/>
  <c r="G391" i="19"/>
  <c r="G157" i="19"/>
  <c r="D230" i="43"/>
  <c r="D152" i="43"/>
  <c r="E149" i="43"/>
  <c r="E227" i="43"/>
  <c r="G129" i="29"/>
  <c r="G207" i="29"/>
  <c r="I295" i="43"/>
  <c r="K295" i="43"/>
  <c r="J295" i="43"/>
  <c r="D127" i="35"/>
  <c r="D667" i="35" s="1"/>
  <c r="D634" i="35"/>
  <c r="D700" i="35" s="1"/>
  <c r="D364" i="35"/>
  <c r="D193" i="35"/>
  <c r="D160" i="35"/>
  <c r="D204" i="35"/>
  <c r="D138" i="35"/>
  <c r="D678" i="35" s="1"/>
  <c r="D171" i="35"/>
  <c r="D645" i="35"/>
  <c r="D711" i="35" s="1"/>
  <c r="D375" i="35"/>
  <c r="C135" i="35"/>
  <c r="C675" i="35" s="1"/>
  <c r="N675" i="35" s="1"/>
  <c r="C846" i="35"/>
  <c r="C642" i="35"/>
  <c r="C201" i="35"/>
  <c r="C168" i="35"/>
  <c r="D739" i="35"/>
  <c r="D805" i="35" s="1"/>
  <c r="D502" i="35"/>
  <c r="D298" i="35"/>
  <c r="D331" i="35"/>
  <c r="D265" i="35"/>
  <c r="D772" i="35" s="1"/>
  <c r="D490" i="35"/>
  <c r="D253" i="35"/>
  <c r="D760" i="35" s="1"/>
  <c r="D286" i="35"/>
  <c r="D319" i="35"/>
  <c r="D727" i="35"/>
  <c r="D793" i="35" s="1"/>
  <c r="G149" i="29"/>
  <c r="G227" i="29"/>
  <c r="I307" i="43"/>
  <c r="K307" i="43"/>
  <c r="J307" i="43"/>
  <c r="G229" i="43"/>
  <c r="G151" i="43"/>
  <c r="D155" i="29"/>
  <c r="D233" i="29"/>
  <c r="G158" i="43"/>
  <c r="G236" i="43"/>
  <c r="J149" i="43"/>
  <c r="K149" i="43"/>
  <c r="I149" i="43"/>
  <c r="G233" i="43"/>
  <c r="G155" i="43"/>
  <c r="C247" i="35"/>
  <c r="C754" i="35" s="1"/>
  <c r="C313" i="35"/>
  <c r="C721" i="35"/>
  <c r="C925" i="35"/>
  <c r="C280" i="35"/>
  <c r="J318" i="43"/>
  <c r="I318" i="43"/>
  <c r="K318" i="43"/>
  <c r="E224" i="43"/>
  <c r="E146" i="43"/>
  <c r="D236" i="29"/>
  <c r="D158" i="29"/>
  <c r="G297" i="19"/>
  <c r="G375" i="19"/>
  <c r="G141" i="19"/>
  <c r="G219" i="19"/>
  <c r="D136" i="43"/>
  <c r="D214" i="43"/>
  <c r="D156" i="29"/>
  <c r="D234" i="29"/>
  <c r="D381" i="19"/>
  <c r="D225" i="19"/>
  <c r="D147" i="19"/>
  <c r="D303" i="19"/>
  <c r="G147" i="43"/>
  <c r="G225" i="43"/>
  <c r="G135" i="19"/>
  <c r="G291" i="19"/>
  <c r="G369" i="19"/>
  <c r="G213" i="19"/>
  <c r="I137" i="43"/>
  <c r="K137" i="43"/>
  <c r="J137" i="43"/>
  <c r="K300" i="43"/>
  <c r="J300" i="43"/>
  <c r="I300" i="43"/>
  <c r="E203" i="19"/>
  <c r="E359" i="19"/>
  <c r="E281" i="19"/>
  <c r="E125" i="19"/>
  <c r="G139" i="43"/>
  <c r="G217" i="43"/>
  <c r="E492" i="35"/>
  <c r="E255" i="35"/>
  <c r="E762" i="35" s="1"/>
  <c r="F762" i="35" s="1"/>
  <c r="E729" i="35"/>
  <c r="E795" i="35" s="1"/>
  <c r="F795" i="35" s="1"/>
  <c r="E321" i="35"/>
  <c r="D1137" i="35"/>
  <c r="D933" i="35"/>
  <c r="E288" i="35"/>
  <c r="D150" i="19"/>
  <c r="D384" i="19"/>
  <c r="D306" i="19"/>
  <c r="D228" i="19"/>
  <c r="E171" i="43"/>
  <c r="E249" i="43"/>
  <c r="C646" i="35"/>
  <c r="C172" i="35"/>
  <c r="C205" i="35"/>
  <c r="C139" i="35"/>
  <c r="C679" i="35" s="1"/>
  <c r="N679" i="35" s="1"/>
  <c r="C850" i="35"/>
  <c r="D748" i="35"/>
  <c r="D814" i="35" s="1"/>
  <c r="D511" i="35"/>
  <c r="D307" i="35"/>
  <c r="D340" i="35"/>
  <c r="D274" i="35"/>
  <c r="D781" i="35" s="1"/>
  <c r="E223" i="29"/>
  <c r="E145" i="29"/>
  <c r="D144" i="29"/>
  <c r="D222" i="29"/>
  <c r="D826" i="35"/>
  <c r="E622" i="35"/>
  <c r="E688" i="35" s="1"/>
  <c r="F688" i="35" s="1"/>
  <c r="E148" i="35"/>
  <c r="E352" i="35"/>
  <c r="E181" i="35"/>
  <c r="E115" i="35"/>
  <c r="E655" i="35" s="1"/>
  <c r="F655" i="35" s="1"/>
  <c r="D1030" i="35"/>
  <c r="E258" i="35"/>
  <c r="E765" i="35" s="1"/>
  <c r="F765" i="35" s="1"/>
  <c r="E291" i="35"/>
  <c r="D1140" i="35"/>
  <c r="D936" i="35"/>
  <c r="E732" i="35"/>
  <c r="E798" i="35" s="1"/>
  <c r="F798" i="35" s="1"/>
  <c r="E495" i="35"/>
  <c r="E324" i="35"/>
  <c r="D248" i="43"/>
  <c r="D170" i="43"/>
  <c r="G376" i="19"/>
  <c r="G220" i="19"/>
  <c r="G298" i="19"/>
  <c r="G142" i="19"/>
  <c r="E140" i="19"/>
  <c r="E218" i="19"/>
  <c r="E374" i="19"/>
  <c r="E296" i="19"/>
  <c r="G145" i="29"/>
  <c r="G223" i="29"/>
  <c r="E393" i="19"/>
  <c r="E315" i="19"/>
  <c r="E159" i="19"/>
  <c r="E237" i="19"/>
  <c r="D229" i="29"/>
  <c r="D151" i="29"/>
  <c r="E246" i="43"/>
  <c r="E168" i="43"/>
  <c r="G226" i="19"/>
  <c r="G304" i="19"/>
  <c r="G382" i="19"/>
  <c r="G148" i="19"/>
  <c r="G243" i="43"/>
  <c r="G165" i="43"/>
  <c r="E208" i="29"/>
  <c r="E130" i="29"/>
  <c r="G226" i="43"/>
  <c r="G148" i="43"/>
  <c r="J303" i="43"/>
  <c r="I303" i="43"/>
  <c r="K303" i="43"/>
  <c r="E225" i="43"/>
  <c r="E147" i="43"/>
  <c r="E133" i="35"/>
  <c r="E673" i="35" s="1"/>
  <c r="F673" i="35" s="1"/>
  <c r="E370" i="35"/>
  <c r="E166" i="35"/>
  <c r="D1048" i="35"/>
  <c r="D844" i="35"/>
  <c r="E640" i="35"/>
  <c r="E706" i="35" s="1"/>
  <c r="F706" i="35" s="1"/>
  <c r="E199" i="35"/>
  <c r="E636" i="35"/>
  <c r="E702" i="35" s="1"/>
  <c r="F702" i="35" s="1"/>
  <c r="D840" i="35"/>
  <c r="E366" i="35"/>
  <c r="E195" i="35"/>
  <c r="E129" i="35"/>
  <c r="E669" i="35" s="1"/>
  <c r="F669" i="35" s="1"/>
  <c r="E162" i="35"/>
  <c r="D1044" i="35"/>
  <c r="D1143" i="35"/>
  <c r="E735" i="35"/>
  <c r="E801" i="35" s="1"/>
  <c r="F801" i="35" s="1"/>
  <c r="E498" i="35"/>
  <c r="E294" i="35"/>
  <c r="D939" i="35"/>
  <c r="E327" i="35"/>
  <c r="E261" i="35"/>
  <c r="E768" i="35" s="1"/>
  <c r="F768" i="35" s="1"/>
  <c r="D299" i="19"/>
  <c r="D377" i="19"/>
  <c r="D143" i="19"/>
  <c r="D221" i="19"/>
  <c r="K317" i="43"/>
  <c r="I317" i="43"/>
  <c r="J317" i="43"/>
  <c r="E212" i="29"/>
  <c r="E134" i="29"/>
  <c r="G215" i="43"/>
  <c r="G137" i="43"/>
  <c r="G157" i="29"/>
  <c r="G235" i="29"/>
  <c r="J159" i="43"/>
  <c r="K159" i="43"/>
  <c r="I159" i="43"/>
  <c r="G166" i="43"/>
  <c r="G244" i="43"/>
  <c r="C253" i="35"/>
  <c r="C760" i="35" s="1"/>
  <c r="C727" i="35"/>
  <c r="C286" i="35"/>
  <c r="C931" i="35"/>
  <c r="C319" i="35"/>
  <c r="J326" i="43"/>
  <c r="I326" i="43"/>
  <c r="K326" i="43"/>
  <c r="G162" i="43"/>
  <c r="G240" i="43"/>
  <c r="E230" i="43"/>
  <c r="E152" i="43"/>
  <c r="J151" i="43"/>
  <c r="K151" i="43"/>
  <c r="I151" i="43"/>
  <c r="I305" i="43"/>
  <c r="K305" i="43"/>
  <c r="J305" i="43"/>
  <c r="E745" i="35"/>
  <c r="E811" i="35" s="1"/>
  <c r="F811" i="35" s="1"/>
  <c r="E508" i="35"/>
  <c r="E304" i="35"/>
  <c r="D1153" i="35"/>
  <c r="D949" i="35"/>
  <c r="E271" i="35"/>
  <c r="E778" i="35" s="1"/>
  <c r="F778" i="35" s="1"/>
  <c r="E337" i="35"/>
  <c r="C339" i="35"/>
  <c r="C273" i="35"/>
  <c r="C780" i="35" s="1"/>
  <c r="C747" i="35"/>
  <c r="C306" i="35"/>
  <c r="C951" i="35"/>
  <c r="I162" i="43"/>
  <c r="J162" i="43"/>
  <c r="K162" i="43"/>
  <c r="G141" i="29"/>
  <c r="G219" i="29"/>
  <c r="K322" i="43"/>
  <c r="J322" i="43"/>
  <c r="I322" i="43"/>
  <c r="D147" i="29"/>
  <c r="D225" i="29"/>
  <c r="G150" i="43"/>
  <c r="G228" i="43"/>
  <c r="E158" i="35"/>
  <c r="E362" i="35"/>
  <c r="D1040" i="35"/>
  <c r="D836" i="35"/>
  <c r="E125" i="35"/>
  <c r="E665" i="35" s="1"/>
  <c r="F665" i="35" s="1"/>
  <c r="E632" i="35"/>
  <c r="E698" i="35" s="1"/>
  <c r="F698" i="35" s="1"/>
  <c r="E191" i="35"/>
  <c r="C184" i="35"/>
  <c r="C829" i="35"/>
  <c r="C151" i="35"/>
  <c r="C625" i="35"/>
  <c r="C118" i="35"/>
  <c r="C658" i="35" s="1"/>
  <c r="N658" i="35" s="1"/>
  <c r="C251" i="35"/>
  <c r="C758" i="35" s="1"/>
  <c r="C725" i="35"/>
  <c r="C317" i="35"/>
  <c r="C284" i="35"/>
  <c r="C929" i="35"/>
  <c r="G135" i="29"/>
  <c r="G213" i="29"/>
  <c r="E314" i="19"/>
  <c r="E236" i="19"/>
  <c r="E158" i="19"/>
  <c r="E392" i="19"/>
  <c r="J293" i="43"/>
  <c r="K293" i="43"/>
  <c r="I293" i="43"/>
  <c r="E203" i="29"/>
  <c r="E125" i="29"/>
  <c r="D295" i="19"/>
  <c r="D217" i="19"/>
  <c r="D373" i="19"/>
  <c r="D139" i="19"/>
  <c r="D164" i="43"/>
  <c r="D242" i="43"/>
  <c r="G283" i="31"/>
  <c r="C283" i="31"/>
  <c r="C319" i="30"/>
  <c r="C475" i="30" s="1"/>
  <c r="C319" i="18"/>
  <c r="C475" i="18" s="1"/>
  <c r="D240" i="12"/>
  <c r="D283" i="31" s="1"/>
  <c r="E153" i="12"/>
  <c r="E74" i="18" s="1"/>
  <c r="C197" i="31"/>
  <c r="C74" i="30"/>
  <c r="C230" i="30" s="1"/>
  <c r="C74" i="18"/>
  <c r="C152" i="18" s="1"/>
  <c r="C274" i="30"/>
  <c r="C352" i="30" s="1"/>
  <c r="C274" i="18"/>
  <c r="C352" i="18" s="1"/>
  <c r="D195" i="12"/>
  <c r="E195" i="12"/>
  <c r="E238" i="31" s="1"/>
  <c r="G238" i="31"/>
  <c r="C17" i="30"/>
  <c r="C95" i="30" s="1"/>
  <c r="C17" i="18"/>
  <c r="C173" i="18" s="1"/>
  <c r="D96" i="12"/>
  <c r="D17" i="18" s="1"/>
  <c r="E96" i="12"/>
  <c r="D231" i="12"/>
  <c r="E231" i="12"/>
  <c r="E274" i="31" s="1"/>
  <c r="G274" i="31"/>
  <c r="C274" i="31"/>
  <c r="C310" i="30"/>
  <c r="C466" i="30" s="1"/>
  <c r="C14" i="30"/>
  <c r="C92" i="30" s="1"/>
  <c r="C14" i="18"/>
  <c r="C170" i="18" s="1"/>
  <c r="D93" i="12"/>
  <c r="D14" i="30" s="1"/>
  <c r="E93" i="12"/>
  <c r="C23" i="30"/>
  <c r="C179" i="30" s="1"/>
  <c r="C23" i="18"/>
  <c r="C101" i="18" s="1"/>
  <c r="D102" i="12"/>
  <c r="D146" i="31" s="1"/>
  <c r="E102" i="12"/>
  <c r="C316" i="30"/>
  <c r="C394" i="30" s="1"/>
  <c r="C316" i="18"/>
  <c r="C394" i="18" s="1"/>
  <c r="D237" i="12"/>
  <c r="D280" i="31" s="1"/>
  <c r="E237" i="12"/>
  <c r="E316" i="18" s="1"/>
  <c r="C280" i="31"/>
  <c r="G280" i="31"/>
  <c r="C45" i="30"/>
  <c r="C201" i="30" s="1"/>
  <c r="C45" i="18"/>
  <c r="C123" i="18" s="1"/>
  <c r="E124" i="12"/>
  <c r="C168" i="31"/>
  <c r="D124" i="12"/>
  <c r="D45" i="30" s="1"/>
  <c r="E180" i="12"/>
  <c r="D180" i="12"/>
  <c r="D259" i="18" s="1"/>
  <c r="C223" i="31"/>
  <c r="C259" i="30"/>
  <c r="C415" i="30" s="1"/>
  <c r="C259" i="18"/>
  <c r="C415" i="18" s="1"/>
  <c r="D229" i="12"/>
  <c r="D308" i="30" s="1"/>
  <c r="E229" i="12"/>
  <c r="E272" i="31" s="1"/>
  <c r="C272" i="31"/>
  <c r="C308" i="30"/>
  <c r="C386" i="30" s="1"/>
  <c r="D155" i="12"/>
  <c r="D199" i="31" s="1"/>
  <c r="E155" i="12"/>
  <c r="E76" i="30" s="1"/>
  <c r="G76" i="30"/>
  <c r="C199" i="31"/>
  <c r="C76" i="30"/>
  <c r="C154" i="30" s="1"/>
  <c r="C76" i="18"/>
  <c r="C232" i="18" s="1"/>
  <c r="D191" i="12"/>
  <c r="D234" i="31" s="1"/>
  <c r="E191" i="12"/>
  <c r="E234" i="31" s="1"/>
  <c r="C234" i="31"/>
  <c r="C270" i="30"/>
  <c r="C426" i="30" s="1"/>
  <c r="C270" i="18"/>
  <c r="C348" i="18" s="1"/>
  <c r="D184" i="12"/>
  <c r="D227" i="31" s="1"/>
  <c r="E184" i="12"/>
  <c r="C227" i="31"/>
  <c r="C263" i="30"/>
  <c r="C419" i="30" s="1"/>
  <c r="C263" i="18"/>
  <c r="C341" i="18" s="1"/>
  <c r="D138" i="12"/>
  <c r="D182" i="31" s="1"/>
  <c r="E138" i="12"/>
  <c r="G182" i="31"/>
  <c r="C182" i="31"/>
  <c r="C59" i="30"/>
  <c r="C137" i="30" s="1"/>
  <c r="C59" i="18"/>
  <c r="C137" i="18" s="1"/>
  <c r="C276" i="31"/>
  <c r="C312" i="30"/>
  <c r="C468" i="30" s="1"/>
  <c r="C312" i="18"/>
  <c r="C468" i="18" s="1"/>
  <c r="G312" i="30"/>
  <c r="D233" i="12"/>
  <c r="D276" i="31" s="1"/>
  <c r="E233" i="12"/>
  <c r="E312" i="18" s="1"/>
  <c r="E232" i="12"/>
  <c r="E275" i="31" s="1"/>
  <c r="E141" i="12"/>
  <c r="E185" i="31" s="1"/>
  <c r="E146" i="12"/>
  <c r="E190" i="31" s="1"/>
  <c r="C238" i="31"/>
  <c r="C146" i="31"/>
  <c r="C308" i="18"/>
  <c r="C386" i="18" s="1"/>
  <c r="D232" i="12"/>
  <c r="D311" i="18" s="1"/>
  <c r="D141" i="12"/>
  <c r="D62" i="30" s="1"/>
  <c r="D146" i="12"/>
  <c r="D67" i="18" s="1"/>
  <c r="D153" i="12"/>
  <c r="D197" i="31" s="1"/>
  <c r="C311" i="18"/>
  <c r="C467" i="18" s="1"/>
  <c r="C62" i="18"/>
  <c r="C67" i="18"/>
  <c r="C223" i="18" s="1"/>
  <c r="I133" i="34"/>
  <c r="I134" i="34"/>
  <c r="I135" i="34"/>
  <c r="I136" i="34"/>
  <c r="I131" i="34"/>
  <c r="I132" i="34"/>
  <c r="C311" i="30"/>
  <c r="C467" i="30" s="1"/>
  <c r="C62" i="30"/>
  <c r="C140" i="30" s="1"/>
  <c r="C67" i="30"/>
  <c r="C223" i="30" s="1"/>
  <c r="C140" i="31"/>
  <c r="C310" i="18"/>
  <c r="C388" i="18" s="1"/>
  <c r="C137" i="31"/>
  <c r="C785" i="35"/>
  <c r="C581" i="35"/>
  <c r="C515" i="35"/>
  <c r="C548" i="35"/>
  <c r="C413" i="18"/>
  <c r="G136" i="31"/>
  <c r="G13" i="30"/>
  <c r="G13" i="18"/>
  <c r="D255" i="31"/>
  <c r="D230" i="31"/>
  <c r="D266" i="30"/>
  <c r="D266" i="18"/>
  <c r="C429" i="30"/>
  <c r="C351" i="30"/>
  <c r="G226" i="31"/>
  <c r="G262" i="30"/>
  <c r="G262" i="18"/>
  <c r="G204" i="31"/>
  <c r="G81" i="30"/>
  <c r="G81" i="18"/>
  <c r="G252" i="30"/>
  <c r="G280" i="18"/>
  <c r="C193" i="30"/>
  <c r="C115" i="30"/>
  <c r="C103" i="30"/>
  <c r="G222" i="31"/>
  <c r="G258" i="30"/>
  <c r="G258" i="18"/>
  <c r="D265" i="31"/>
  <c r="D301" i="30"/>
  <c r="D301" i="18"/>
  <c r="G27" i="18"/>
  <c r="G175" i="31"/>
  <c r="G52" i="30"/>
  <c r="D269" i="31"/>
  <c r="D305" i="30"/>
  <c r="D305" i="18"/>
  <c r="D254" i="31"/>
  <c r="D290" i="30"/>
  <c r="D290" i="18"/>
  <c r="G264" i="31"/>
  <c r="G300" i="30"/>
  <c r="G300" i="18"/>
  <c r="D233" i="31"/>
  <c r="D269" i="30"/>
  <c r="D269" i="18"/>
  <c r="D39" i="18"/>
  <c r="C413" i="30"/>
  <c r="C335" i="30"/>
  <c r="D248" i="31"/>
  <c r="D284" i="30"/>
  <c r="D284" i="18"/>
  <c r="C338" i="30"/>
  <c r="C416" i="30"/>
  <c r="G240" i="31"/>
  <c r="D154" i="31"/>
  <c r="D31" i="30"/>
  <c r="D31" i="18"/>
  <c r="C342" i="18"/>
  <c r="G255" i="31"/>
  <c r="G291" i="30"/>
  <c r="G291" i="18"/>
  <c r="C328" i="18"/>
  <c r="C406" i="18"/>
  <c r="C151" i="18"/>
  <c r="C144" i="18"/>
  <c r="C222" i="18"/>
  <c r="D236" i="31"/>
  <c r="D272" i="30"/>
  <c r="D272" i="18"/>
  <c r="D205" i="31"/>
  <c r="C134" i="18"/>
  <c r="C212" i="18"/>
  <c r="E222" i="31"/>
  <c r="E258" i="30"/>
  <c r="E258" i="18"/>
  <c r="C449" i="18"/>
  <c r="C371" i="18"/>
  <c r="E215" i="31"/>
  <c r="E251" i="30"/>
  <c r="C138" i="18"/>
  <c r="C153" i="18"/>
  <c r="C231" i="18"/>
  <c r="Y83" i="30"/>
  <c r="D231" i="31"/>
  <c r="D267" i="30"/>
  <c r="D267" i="18"/>
  <c r="C328" i="30"/>
  <c r="C406" i="30"/>
  <c r="G267" i="31"/>
  <c r="G303" i="30"/>
  <c r="G303" i="18"/>
  <c r="G274" i="18"/>
  <c r="C98" i="30"/>
  <c r="D283" i="30"/>
  <c r="C451" i="30"/>
  <c r="D134" i="31"/>
  <c r="D11" i="18"/>
  <c r="G289" i="30"/>
  <c r="G289" i="18"/>
  <c r="C331" i="30"/>
  <c r="G285" i="30"/>
  <c r="E256" i="18"/>
  <c r="C197" i="30"/>
  <c r="G273" i="31"/>
  <c r="G309" i="30"/>
  <c r="G309" i="18"/>
  <c r="C461" i="30"/>
  <c r="C383" i="30"/>
  <c r="C158" i="30"/>
  <c r="E315" i="30"/>
  <c r="C446" i="30"/>
  <c r="C368" i="30"/>
  <c r="C102" i="30"/>
  <c r="C180" i="30"/>
  <c r="G57" i="30"/>
  <c r="X83" i="30"/>
  <c r="C169" i="30"/>
  <c r="C91" i="30"/>
  <c r="D155" i="31"/>
  <c r="D32" i="30"/>
  <c r="D32" i="18"/>
  <c r="E40" i="30"/>
  <c r="C428" i="18"/>
  <c r="G152" i="31"/>
  <c r="G29" i="30"/>
  <c r="G29" i="18"/>
  <c r="G247" i="31"/>
  <c r="G283" i="30"/>
  <c r="G283" i="18"/>
  <c r="E232" i="31"/>
  <c r="E268" i="30"/>
  <c r="E268" i="18"/>
  <c r="C192" i="18"/>
  <c r="D220" i="31"/>
  <c r="D256" i="30"/>
  <c r="D256" i="18"/>
  <c r="E177" i="31"/>
  <c r="E191" i="31"/>
  <c r="E68" i="30"/>
  <c r="E68" i="18"/>
  <c r="E262" i="31"/>
  <c r="E298" i="30"/>
  <c r="E298" i="18"/>
  <c r="E258" i="31"/>
  <c r="E294" i="30"/>
  <c r="E294" i="18"/>
  <c r="D149" i="31"/>
  <c r="D26" i="30"/>
  <c r="D26" i="18"/>
  <c r="G192" i="31"/>
  <c r="G69" i="30"/>
  <c r="G69" i="18"/>
  <c r="D163" i="31"/>
  <c r="D40" i="30"/>
  <c r="D40" i="18"/>
  <c r="C87" i="30"/>
  <c r="C165" i="30"/>
  <c r="G273" i="30"/>
  <c r="G151" i="31"/>
  <c r="G28" i="30"/>
  <c r="G28" i="18"/>
  <c r="D243" i="31"/>
  <c r="G277" i="31"/>
  <c r="G313" i="30"/>
  <c r="G313" i="18"/>
  <c r="D232" i="31"/>
  <c r="D268" i="30"/>
  <c r="D268" i="18"/>
  <c r="D160" i="31"/>
  <c r="D37" i="30"/>
  <c r="D37" i="18"/>
  <c r="C167" i="30"/>
  <c r="D253" i="31"/>
  <c r="D289" i="30"/>
  <c r="D289" i="18"/>
  <c r="E275" i="30"/>
  <c r="G156" i="31"/>
  <c r="G33" i="30"/>
  <c r="G33" i="18"/>
  <c r="D131" i="31"/>
  <c r="D8" i="30"/>
  <c r="D8" i="18"/>
  <c r="D71" i="30"/>
  <c r="C130" i="30"/>
  <c r="C208" i="30"/>
  <c r="D229" i="31"/>
  <c r="D265" i="30"/>
  <c r="D265" i="18"/>
  <c r="G251" i="31"/>
  <c r="G287" i="30"/>
  <c r="G287" i="18"/>
  <c r="G153" i="31"/>
  <c r="D177" i="31"/>
  <c r="D54" i="30"/>
  <c r="D54" i="18"/>
  <c r="D166" i="31"/>
  <c r="D43" i="30"/>
  <c r="D43" i="18"/>
  <c r="G142" i="31"/>
  <c r="G19" i="30"/>
  <c r="G19" i="18"/>
  <c r="G286" i="18"/>
  <c r="G172" i="31"/>
  <c r="G49" i="30"/>
  <c r="G49" i="18"/>
  <c r="G149" i="31"/>
  <c r="D246" i="30"/>
  <c r="C378" i="30"/>
  <c r="C456" i="30"/>
  <c r="G224" i="31"/>
  <c r="G260" i="30"/>
  <c r="G260" i="18"/>
  <c r="G282" i="31"/>
  <c r="G318" i="30"/>
  <c r="G318" i="18"/>
  <c r="E271" i="31"/>
  <c r="E307" i="30"/>
  <c r="E307" i="18"/>
  <c r="C110" i="30"/>
  <c r="C188" i="30"/>
  <c r="E50" i="30"/>
  <c r="E281" i="31"/>
  <c r="E317" i="30"/>
  <c r="E317" i="18"/>
  <c r="E193" i="31"/>
  <c r="E70" i="30"/>
  <c r="E70" i="18"/>
  <c r="C459" i="18"/>
  <c r="C381" i="18"/>
  <c r="D252" i="31"/>
  <c r="D288" i="30"/>
  <c r="D288" i="18"/>
  <c r="E28" i="30"/>
  <c r="E148" i="31"/>
  <c r="E25" i="30"/>
  <c r="E25" i="18"/>
  <c r="C86" i="18"/>
  <c r="C421" i="18"/>
  <c r="C412" i="18"/>
  <c r="G184" i="31"/>
  <c r="G61" i="30"/>
  <c r="G61" i="18"/>
  <c r="D141" i="31"/>
  <c r="D18" i="30"/>
  <c r="D18" i="18"/>
  <c r="C113" i="18"/>
  <c r="C191" i="18"/>
  <c r="C225" i="18"/>
  <c r="E138" i="31"/>
  <c r="E15" i="30"/>
  <c r="E15" i="18"/>
  <c r="E221" i="31"/>
  <c r="E257" i="30"/>
  <c r="E257" i="18"/>
  <c r="E282" i="31"/>
  <c r="E318" i="30"/>
  <c r="E318" i="18"/>
  <c r="C136" i="18"/>
  <c r="C214" i="18"/>
  <c r="D50" i="30"/>
  <c r="E228" i="31"/>
  <c r="E264" i="30"/>
  <c r="E264" i="18"/>
  <c r="E250" i="18"/>
  <c r="G197" i="31"/>
  <c r="G74" i="30"/>
  <c r="G74" i="18"/>
  <c r="E66" i="18"/>
  <c r="D237" i="31"/>
  <c r="D273" i="30"/>
  <c r="D273" i="18"/>
  <c r="C185" i="30"/>
  <c r="D151" i="31"/>
  <c r="D28" i="30"/>
  <c r="D28" i="18"/>
  <c r="G295" i="30"/>
  <c r="G295" i="18"/>
  <c r="E160" i="31"/>
  <c r="E37" i="30"/>
  <c r="E37" i="18"/>
  <c r="G167" i="31"/>
  <c r="G44" i="30"/>
  <c r="G44" i="18"/>
  <c r="C445" i="30"/>
  <c r="C367" i="30"/>
  <c r="G217" i="31"/>
  <c r="G253" i="30"/>
  <c r="G253" i="18"/>
  <c r="G187" i="31"/>
  <c r="G64" i="30"/>
  <c r="G64" i="18"/>
  <c r="D156" i="31"/>
  <c r="D33" i="30"/>
  <c r="D33" i="18"/>
  <c r="G260" i="31"/>
  <c r="G296" i="30"/>
  <c r="G296" i="18"/>
  <c r="C421" i="30"/>
  <c r="C412" i="30"/>
  <c r="D53" i="18"/>
  <c r="D30" i="30"/>
  <c r="D30" i="18"/>
  <c r="G178" i="31"/>
  <c r="G55" i="30"/>
  <c r="G55" i="18"/>
  <c r="C146" i="30"/>
  <c r="C224" i="30"/>
  <c r="G271" i="30"/>
  <c r="G271" i="18"/>
  <c r="E245" i="30"/>
  <c r="C116" i="30"/>
  <c r="C194" i="30"/>
  <c r="D49" i="30"/>
  <c r="C225" i="30"/>
  <c r="D138" i="31"/>
  <c r="D15" i="30"/>
  <c r="D15" i="18"/>
  <c r="C190" i="30"/>
  <c r="D257" i="18"/>
  <c r="D282" i="31"/>
  <c r="D318" i="30"/>
  <c r="D318" i="18"/>
  <c r="C463" i="30"/>
  <c r="C385" i="30"/>
  <c r="D136" i="31"/>
  <c r="E200" i="31"/>
  <c r="E77" i="30"/>
  <c r="D65" i="18"/>
  <c r="D228" i="31"/>
  <c r="E211" i="31"/>
  <c r="C444" i="18"/>
  <c r="C126" i="18"/>
  <c r="C204" i="18"/>
  <c r="C115" i="18"/>
  <c r="C193" i="18"/>
  <c r="E217" i="31"/>
  <c r="E253" i="30"/>
  <c r="E187" i="31"/>
  <c r="E64" i="30"/>
  <c r="E64" i="18"/>
  <c r="E183" i="31"/>
  <c r="E60" i="30"/>
  <c r="E60" i="18"/>
  <c r="E219" i="31"/>
  <c r="E255" i="30"/>
  <c r="E255" i="18"/>
  <c r="G176" i="31"/>
  <c r="G53" i="30"/>
  <c r="G53" i="18"/>
  <c r="E271" i="30"/>
  <c r="C401" i="18"/>
  <c r="C174" i="18"/>
  <c r="E254" i="30"/>
  <c r="E162" i="31"/>
  <c r="E39" i="30"/>
  <c r="E39" i="18"/>
  <c r="V480" i="30"/>
  <c r="V869" i="30"/>
  <c r="V243" i="30"/>
  <c r="V552" i="30"/>
  <c r="O85" i="46"/>
  <c r="Y480" i="30"/>
  <c r="Y552" i="30"/>
  <c r="Y243" i="30"/>
  <c r="Y869" i="30"/>
  <c r="Z31" i="43"/>
  <c r="Z20" i="46" s="1" a="1"/>
  <c r="Z20" i="46" s="1"/>
  <c r="O331" i="43"/>
  <c r="AB6" i="18"/>
  <c r="AB17" i="43"/>
  <c r="AB332" i="43" s="1"/>
  <c r="AB6" i="19"/>
  <c r="AB399" i="19" s="1"/>
  <c r="AB243" i="17"/>
  <c r="AC78" i="21"/>
  <c r="AC147" i="21" s="1"/>
  <c r="L271" i="43"/>
  <c r="L234" i="43"/>
  <c r="L133" i="43"/>
  <c r="L306" i="43"/>
  <c r="L205" i="43"/>
  <c r="L277" i="43"/>
  <c r="L232" i="43"/>
  <c r="L256" i="43"/>
  <c r="L320" i="43"/>
  <c r="L219" i="43"/>
  <c r="L118" i="43"/>
  <c r="L299" i="43"/>
  <c r="L262" i="43"/>
  <c r="L326" i="43"/>
  <c r="L225" i="43"/>
  <c r="L124" i="43"/>
  <c r="L305" i="43"/>
  <c r="L204" i="43"/>
  <c r="L103" i="43"/>
  <c r="L292" i="43"/>
  <c r="L139" i="43"/>
  <c r="L147" i="43"/>
  <c r="L158" i="43"/>
  <c r="L148" i="43"/>
  <c r="L143" i="43"/>
  <c r="L154" i="43"/>
  <c r="L279" i="43"/>
  <c r="L242" i="43"/>
  <c r="L331" i="43"/>
  <c r="L314" i="43"/>
  <c r="L213" i="43"/>
  <c r="L104" i="43"/>
  <c r="L285" i="43"/>
  <c r="L240" i="43"/>
  <c r="L264" i="43"/>
  <c r="L227" i="43"/>
  <c r="L126" i="43"/>
  <c r="L307" i="43"/>
  <c r="L198" i="43"/>
  <c r="L270" i="43"/>
  <c r="L233" i="43"/>
  <c r="L132" i="43"/>
  <c r="L313" i="43"/>
  <c r="L212" i="43"/>
  <c r="L111" i="43"/>
  <c r="L300" i="43"/>
  <c r="L199" i="43"/>
  <c r="L144" i="43"/>
  <c r="L155" i="43"/>
  <c r="L145" i="43"/>
  <c r="L156" i="43"/>
  <c r="L151" i="43"/>
  <c r="L162" i="43"/>
  <c r="L287" i="43"/>
  <c r="L258" i="43"/>
  <c r="L322" i="43"/>
  <c r="L221" i="43"/>
  <c r="L112" i="43"/>
  <c r="L293" i="43"/>
  <c r="L248" i="43"/>
  <c r="L272" i="43"/>
  <c r="L235" i="43"/>
  <c r="L134" i="43"/>
  <c r="L315" i="43"/>
  <c r="L206" i="43"/>
  <c r="L105" i="43"/>
  <c r="L278" i="43"/>
  <c r="L241" i="43"/>
  <c r="L257" i="43"/>
  <c r="L321" i="43"/>
  <c r="L220" i="43"/>
  <c r="L119" i="43"/>
  <c r="L308" i="43"/>
  <c r="L207" i="43"/>
  <c r="L98" i="43"/>
  <c r="L152" i="43"/>
  <c r="L163" i="43"/>
  <c r="L153" i="43"/>
  <c r="L164" i="43"/>
  <c r="L159" i="43"/>
  <c r="L170" i="43"/>
  <c r="L295" i="43"/>
  <c r="L266" i="43"/>
  <c r="L229" i="43"/>
  <c r="L120" i="43"/>
  <c r="L301" i="43"/>
  <c r="L280" i="43"/>
  <c r="L243" i="43"/>
  <c r="L259" i="43"/>
  <c r="L323" i="43"/>
  <c r="L214" i="43"/>
  <c r="L113" i="43"/>
  <c r="L286" i="43"/>
  <c r="L249" i="43"/>
  <c r="L265" i="43"/>
  <c r="L228" i="43"/>
  <c r="L127" i="43"/>
  <c r="L316" i="43"/>
  <c r="L215" i="43"/>
  <c r="L106" i="43"/>
  <c r="L160" i="43"/>
  <c r="L171" i="43"/>
  <c r="L161" i="43"/>
  <c r="L167" i="43"/>
  <c r="L303" i="43"/>
  <c r="L202" i="43"/>
  <c r="L101" i="43"/>
  <c r="L274" i="43"/>
  <c r="L237" i="43"/>
  <c r="L128" i="43"/>
  <c r="L309" i="43"/>
  <c r="L200" i="43"/>
  <c r="L99" i="43"/>
  <c r="L288" i="43"/>
  <c r="L267" i="43"/>
  <c r="L311" i="43"/>
  <c r="L210" i="43"/>
  <c r="L109" i="43"/>
  <c r="L282" i="43"/>
  <c r="L245" i="43"/>
  <c r="L136" i="43"/>
  <c r="L317" i="43"/>
  <c r="L208" i="43"/>
  <c r="L107" i="43"/>
  <c r="L296" i="43"/>
  <c r="L195" i="43"/>
  <c r="L275" i="43"/>
  <c r="L230" i="43"/>
  <c r="L129" i="43"/>
  <c r="L302" i="43"/>
  <c r="L201" i="43"/>
  <c r="L100" i="43"/>
  <c r="L281" i="43"/>
  <c r="L244" i="43"/>
  <c r="L268" i="43"/>
  <c r="L231" i="43"/>
  <c r="L122" i="43"/>
  <c r="L131" i="43"/>
  <c r="L166" i="43"/>
  <c r="L149" i="43"/>
  <c r="L255" i="43"/>
  <c r="L319" i="43"/>
  <c r="L218" i="43"/>
  <c r="L117" i="43"/>
  <c r="L290" i="43"/>
  <c r="L261" i="43"/>
  <c r="L325" i="43"/>
  <c r="L216" i="43"/>
  <c r="L115" i="43"/>
  <c r="L304" i="43"/>
  <c r="L203" i="43"/>
  <c r="L102" i="43"/>
  <c r="L283" i="43"/>
  <c r="L253" i="43"/>
  <c r="L238" i="43"/>
  <c r="L137" i="43"/>
  <c r="L310" i="43"/>
  <c r="L209" i="43"/>
  <c r="L108" i="43"/>
  <c r="L289" i="43"/>
  <c r="L276" i="43"/>
  <c r="L239" i="43"/>
  <c r="L130" i="43"/>
  <c r="L142" i="43"/>
  <c r="L97" i="43"/>
  <c r="L157" i="43"/>
  <c r="L226" i="43"/>
  <c r="L123" i="43"/>
  <c r="L246" i="43"/>
  <c r="L116" i="43"/>
  <c r="L284" i="43"/>
  <c r="L146" i="43"/>
  <c r="L125" i="43"/>
  <c r="L312" i="43"/>
  <c r="L121" i="43"/>
  <c r="L273" i="43"/>
  <c r="L324" i="43"/>
  <c r="L141" i="43"/>
  <c r="L298" i="43"/>
  <c r="L211" i="43"/>
  <c r="L254" i="43"/>
  <c r="L297" i="43"/>
  <c r="L150" i="43"/>
  <c r="L165" i="43"/>
  <c r="L197" i="43"/>
  <c r="L110" i="43"/>
  <c r="L294" i="43"/>
  <c r="L223" i="43"/>
  <c r="L169" i="43"/>
  <c r="L291" i="43"/>
  <c r="L318" i="43"/>
  <c r="L196" i="43"/>
  <c r="L247" i="43"/>
  <c r="L140" i="43"/>
  <c r="L269" i="43"/>
  <c r="L236" i="43"/>
  <c r="L114" i="43"/>
  <c r="L263" i="43"/>
  <c r="L217" i="43"/>
  <c r="L138" i="43"/>
  <c r="L135" i="43"/>
  <c r="L260" i="43"/>
  <c r="L168" i="43"/>
  <c r="L327" i="43"/>
  <c r="L224" i="43"/>
  <c r="L222" i="43"/>
  <c r="L85" i="46"/>
  <c r="M40" i="43"/>
  <c r="Z41" i="43"/>
  <c r="AB279" i="43"/>
  <c r="AB178" i="43"/>
  <c r="AB242" i="43"/>
  <c r="AB331" i="43"/>
  <c r="AB314" i="43"/>
  <c r="AB213" i="43"/>
  <c r="AB104" i="43"/>
  <c r="AB285" i="43"/>
  <c r="AB176" i="43"/>
  <c r="AB287" i="43"/>
  <c r="AB186" i="43"/>
  <c r="AB258" i="43"/>
  <c r="AB322" i="43"/>
  <c r="AB221" i="43"/>
  <c r="AB112" i="43"/>
  <c r="AB293" i="43"/>
  <c r="AB184" i="43"/>
  <c r="AB295" i="43"/>
  <c r="AB194" i="43"/>
  <c r="AB266" i="43"/>
  <c r="AB229" i="43"/>
  <c r="AB120" i="43"/>
  <c r="AB301" i="43"/>
  <c r="AB192" i="43"/>
  <c r="AB280" i="43"/>
  <c r="AB303" i="43"/>
  <c r="AB202" i="43"/>
  <c r="AB101" i="43"/>
  <c r="AB274" i="43"/>
  <c r="AB237" i="43"/>
  <c r="AB128" i="43"/>
  <c r="AB309" i="43"/>
  <c r="AB200" i="43"/>
  <c r="AB99" i="43"/>
  <c r="AB288" i="43"/>
  <c r="AB187" i="43"/>
  <c r="AB311" i="43"/>
  <c r="AB210" i="43"/>
  <c r="AB109" i="43"/>
  <c r="AB282" i="43"/>
  <c r="AB181" i="43"/>
  <c r="AB245" i="43"/>
  <c r="AB136" i="43"/>
  <c r="AB317" i="43"/>
  <c r="AB208" i="43"/>
  <c r="AB107" i="43"/>
  <c r="AB255" i="43"/>
  <c r="AB319" i="43"/>
  <c r="AB218" i="43"/>
  <c r="AB117" i="43"/>
  <c r="AB290" i="43"/>
  <c r="AB189" i="43"/>
  <c r="AB261" i="43"/>
  <c r="AB325" i="43"/>
  <c r="AB263" i="43"/>
  <c r="AB327" i="43"/>
  <c r="AB226" i="43"/>
  <c r="AB125" i="43"/>
  <c r="AB298" i="43"/>
  <c r="AB197" i="43"/>
  <c r="AB269" i="43"/>
  <c r="AB224" i="43"/>
  <c r="AB123" i="43"/>
  <c r="AB312" i="43"/>
  <c r="AB211" i="43"/>
  <c r="AB271" i="43"/>
  <c r="AB234" i="43"/>
  <c r="AB133" i="43"/>
  <c r="AB306" i="43"/>
  <c r="AB205" i="43"/>
  <c r="AB175" i="43"/>
  <c r="AB277" i="43"/>
  <c r="AB232" i="43"/>
  <c r="AB256" i="43"/>
  <c r="AB320" i="43"/>
  <c r="AB219" i="43"/>
  <c r="AB304" i="43"/>
  <c r="AB243" i="43"/>
  <c r="AB259" i="43"/>
  <c r="AB323" i="43"/>
  <c r="AB214" i="43"/>
  <c r="AB113" i="43"/>
  <c r="AB286" i="43"/>
  <c r="AB185" i="43"/>
  <c r="AB249" i="43"/>
  <c r="AB265" i="43"/>
  <c r="AB228" i="43"/>
  <c r="AB127" i="43"/>
  <c r="AB316" i="43"/>
  <c r="AB215" i="43"/>
  <c r="AB106" i="43"/>
  <c r="AB168" i="43"/>
  <c r="AB97" i="43"/>
  <c r="AB216" i="43"/>
  <c r="AB267" i="43"/>
  <c r="AB222" i="43"/>
  <c r="AB121" i="43"/>
  <c r="AB294" i="43"/>
  <c r="AB193" i="43"/>
  <c r="AB273" i="43"/>
  <c r="AB236" i="43"/>
  <c r="AB260" i="43"/>
  <c r="AB324" i="43"/>
  <c r="AB223" i="43"/>
  <c r="AB114" i="43"/>
  <c r="AB142" i="43"/>
  <c r="AB141" i="43"/>
  <c r="AB240" i="43"/>
  <c r="AB275" i="43"/>
  <c r="AB230" i="43"/>
  <c r="AB129" i="43"/>
  <c r="AB302" i="43"/>
  <c r="AB201" i="43"/>
  <c r="AB100" i="43"/>
  <c r="AB281" i="43"/>
  <c r="AB180" i="43"/>
  <c r="AB244" i="43"/>
  <c r="AB268" i="43"/>
  <c r="AB231" i="43"/>
  <c r="AB122" i="43"/>
  <c r="AB150" i="43"/>
  <c r="AB166" i="43"/>
  <c r="AB143" i="43"/>
  <c r="AB131" i="43"/>
  <c r="AB149" i="43"/>
  <c r="AB248" i="43"/>
  <c r="AB179" i="43"/>
  <c r="AB102" i="43"/>
  <c r="AB283" i="43"/>
  <c r="AB253" i="43"/>
  <c r="AB238" i="43"/>
  <c r="AB137" i="43"/>
  <c r="AB310" i="43"/>
  <c r="AB209" i="43"/>
  <c r="AB108" i="43"/>
  <c r="AB289" i="43"/>
  <c r="AB188" i="43"/>
  <c r="AB276" i="43"/>
  <c r="AB239" i="43"/>
  <c r="AB130" i="43"/>
  <c r="AB135" i="43"/>
  <c r="AB158" i="43"/>
  <c r="AB139" i="43"/>
  <c r="AB151" i="43"/>
  <c r="AB146" i="43"/>
  <c r="AB157" i="43"/>
  <c r="AB115" i="43"/>
  <c r="AB195" i="43"/>
  <c r="AB110" i="43"/>
  <c r="AB291" i="43"/>
  <c r="AB182" i="43"/>
  <c r="AB246" i="43"/>
  <c r="AB254" i="43"/>
  <c r="AB318" i="43"/>
  <c r="AB217" i="43"/>
  <c r="AB116" i="43"/>
  <c r="AB297" i="43"/>
  <c r="AB196" i="43"/>
  <c r="AB284" i="43"/>
  <c r="AB183" i="43"/>
  <c r="AB247" i="43"/>
  <c r="AB138" i="43"/>
  <c r="AB147" i="43"/>
  <c r="AB145" i="43"/>
  <c r="AB140" i="43"/>
  <c r="AB159" i="43"/>
  <c r="AB154" i="43"/>
  <c r="AB165" i="43"/>
  <c r="AB264" i="43"/>
  <c r="AB203" i="43"/>
  <c r="AB118" i="43"/>
  <c r="AB299" i="43"/>
  <c r="AB190" i="43"/>
  <c r="AB262" i="43"/>
  <c r="AB326" i="43"/>
  <c r="AB225" i="43"/>
  <c r="AB124" i="43"/>
  <c r="AB305" i="43"/>
  <c r="AB204" i="43"/>
  <c r="AB103" i="43"/>
  <c r="AB292" i="43"/>
  <c r="AB191" i="43"/>
  <c r="AB144" i="43"/>
  <c r="AB155" i="43"/>
  <c r="AB153" i="43"/>
  <c r="AB148" i="43"/>
  <c r="AB167" i="43"/>
  <c r="AB162" i="43"/>
  <c r="AB272" i="43"/>
  <c r="AB227" i="43"/>
  <c r="AB126" i="43"/>
  <c r="AB307" i="43"/>
  <c r="AB198" i="43"/>
  <c r="AB270" i="43"/>
  <c r="AB233" i="43"/>
  <c r="AB132" i="43"/>
  <c r="AB313" i="43"/>
  <c r="AB212" i="43"/>
  <c r="AB111" i="43"/>
  <c r="AB300" i="43"/>
  <c r="AB199" i="43"/>
  <c r="AB152" i="43"/>
  <c r="AB163" i="43"/>
  <c r="AB161" i="43"/>
  <c r="AB156" i="43"/>
  <c r="AB170" i="43"/>
  <c r="AB296" i="43"/>
  <c r="AB235" i="43"/>
  <c r="AB134" i="43"/>
  <c r="AB315" i="43"/>
  <c r="AB206" i="43"/>
  <c r="AB105" i="43"/>
  <c r="AB278" i="43"/>
  <c r="AB177" i="43"/>
  <c r="AB241" i="43"/>
  <c r="AB257" i="43"/>
  <c r="AB321" i="43"/>
  <c r="AB220" i="43"/>
  <c r="AB119" i="43"/>
  <c r="AB308" i="43"/>
  <c r="AB207" i="43"/>
  <c r="AB98" i="43"/>
  <c r="AB160" i="43"/>
  <c r="AB171" i="43"/>
  <c r="AB169" i="43"/>
  <c r="AB164" i="43"/>
  <c r="V28" i="43"/>
  <c r="L6" i="18"/>
  <c r="M78" i="21"/>
  <c r="M147" i="21" s="1"/>
  <c r="L243" i="17"/>
  <c r="L17" i="43"/>
  <c r="L332" i="43" s="1"/>
  <c r="L6" i="19"/>
  <c r="L399" i="19" s="1"/>
  <c r="R480" i="30"/>
  <c r="R243" i="30"/>
  <c r="R869" i="30"/>
  <c r="R552" i="30"/>
  <c r="N480" i="30"/>
  <c r="N552" i="30"/>
  <c r="N243" i="30"/>
  <c r="N869" i="30"/>
  <c r="U7" i="29"/>
  <c r="L502" i="30"/>
  <c r="M42" i="34"/>
  <c r="N168" i="29"/>
  <c r="N232" i="29"/>
  <c r="N221" i="29"/>
  <c r="N210" i="29"/>
  <c r="N191" i="29"/>
  <c r="N180" i="29"/>
  <c r="N169" i="29"/>
  <c r="N233" i="29"/>
  <c r="N214" i="29"/>
  <c r="N171" i="29"/>
  <c r="N235" i="29"/>
  <c r="N176" i="29"/>
  <c r="N229" i="29"/>
  <c r="N218" i="29"/>
  <c r="N199" i="29"/>
  <c r="N188" i="29"/>
  <c r="N177" i="29"/>
  <c r="N222" i="29"/>
  <c r="N179" i="29"/>
  <c r="N8" i="29"/>
  <c r="N166" i="29"/>
  <c r="N216" i="29"/>
  <c r="N205" i="29"/>
  <c r="N194" i="29"/>
  <c r="N174" i="29"/>
  <c r="N228" i="29"/>
  <c r="N217" i="29"/>
  <c r="N198" i="29"/>
  <c r="N200" i="29"/>
  <c r="N237" i="29"/>
  <c r="N167" i="29"/>
  <c r="N204" i="29"/>
  <c r="N225" i="29"/>
  <c r="N187" i="29"/>
  <c r="N208" i="29"/>
  <c r="N170" i="29"/>
  <c r="N183" i="29"/>
  <c r="N212" i="29"/>
  <c r="N175" i="29"/>
  <c r="N195" i="29"/>
  <c r="N224" i="29"/>
  <c r="N178" i="29"/>
  <c r="N207" i="29"/>
  <c r="N220" i="29"/>
  <c r="N203" i="29"/>
  <c r="N173" i="29"/>
  <c r="N186" i="29"/>
  <c r="N215" i="29"/>
  <c r="N236" i="29"/>
  <c r="N182" i="29"/>
  <c r="N211" i="29"/>
  <c r="N164" i="29"/>
  <c r="N181" i="29"/>
  <c r="N202" i="29"/>
  <c r="N223" i="29"/>
  <c r="N185" i="29"/>
  <c r="N190" i="29"/>
  <c r="N219" i="29"/>
  <c r="N165" i="29"/>
  <c r="N189" i="29"/>
  <c r="N226" i="29"/>
  <c r="N231" i="29"/>
  <c r="N193" i="29"/>
  <c r="N206" i="29"/>
  <c r="N227" i="29"/>
  <c r="N209" i="29"/>
  <c r="N197" i="29"/>
  <c r="N213" i="29"/>
  <c r="N172" i="29"/>
  <c r="N230" i="29"/>
  <c r="N196" i="29"/>
  <c r="N238" i="29"/>
  <c r="N184" i="29"/>
  <c r="N234" i="29"/>
  <c r="N192" i="29"/>
  <c r="N201" i="29"/>
  <c r="L42" i="34"/>
  <c r="M8" i="29"/>
  <c r="M165" i="29"/>
  <c r="M221" i="29"/>
  <c r="M210" i="29"/>
  <c r="M164" i="29"/>
  <c r="M229" i="29"/>
  <c r="M173" i="29"/>
  <c r="M237" i="29"/>
  <c r="M181" i="29"/>
  <c r="M170" i="29"/>
  <c r="M234" i="29"/>
  <c r="M189" i="29"/>
  <c r="M178" i="29"/>
  <c r="M197" i="29"/>
  <c r="M186" i="29"/>
  <c r="M205" i="29"/>
  <c r="M194" i="29"/>
  <c r="M166" i="29"/>
  <c r="M213" i="29"/>
  <c r="M202" i="29"/>
  <c r="M215" i="29"/>
  <c r="M204" i="29"/>
  <c r="M193" i="29"/>
  <c r="M182" i="29"/>
  <c r="M171" i="29"/>
  <c r="M235" i="29"/>
  <c r="M192" i="29"/>
  <c r="M218" i="29"/>
  <c r="M223" i="29"/>
  <c r="M212" i="29"/>
  <c r="M201" i="29"/>
  <c r="M190" i="29"/>
  <c r="M179" i="29"/>
  <c r="M200" i="29"/>
  <c r="M226" i="29"/>
  <c r="M167" i="29"/>
  <c r="M231" i="29"/>
  <c r="M220" i="29"/>
  <c r="M209" i="29"/>
  <c r="M198" i="29"/>
  <c r="M187" i="29"/>
  <c r="M208" i="29"/>
  <c r="M174" i="29"/>
  <c r="M228" i="29"/>
  <c r="M217" i="29"/>
  <c r="M206" i="29"/>
  <c r="M195" i="29"/>
  <c r="M216" i="29"/>
  <c r="M183" i="29"/>
  <c r="M172" i="29"/>
  <c r="M236" i="29"/>
  <c r="M225" i="29"/>
  <c r="M214" i="29"/>
  <c r="M203" i="29"/>
  <c r="M224" i="29"/>
  <c r="M191" i="29"/>
  <c r="M180" i="29"/>
  <c r="M169" i="29"/>
  <c r="M233" i="29"/>
  <c r="M222" i="29"/>
  <c r="M211" i="29"/>
  <c r="M168" i="29"/>
  <c r="M232" i="29"/>
  <c r="M199" i="29"/>
  <c r="M188" i="29"/>
  <c r="M177" i="29"/>
  <c r="M175" i="29"/>
  <c r="M230" i="29"/>
  <c r="M219" i="29"/>
  <c r="M176" i="29"/>
  <c r="M207" i="29"/>
  <c r="M196" i="29"/>
  <c r="M185" i="29"/>
  <c r="M238" i="29"/>
  <c r="M227" i="29"/>
  <c r="M184" i="29"/>
  <c r="J8" i="29"/>
  <c r="I42" i="34"/>
  <c r="J196" i="29"/>
  <c r="J185" i="29"/>
  <c r="J204" i="29"/>
  <c r="J193" i="29"/>
  <c r="J164" i="29"/>
  <c r="J220" i="29"/>
  <c r="J209" i="29"/>
  <c r="J166" i="29"/>
  <c r="J228" i="29"/>
  <c r="J217" i="29"/>
  <c r="J172" i="29"/>
  <c r="J225" i="29"/>
  <c r="J206" i="29"/>
  <c r="J195" i="29"/>
  <c r="J176" i="29"/>
  <c r="J173" i="29"/>
  <c r="J237" i="29"/>
  <c r="J226" i="29"/>
  <c r="J183" i="29"/>
  <c r="J180" i="29"/>
  <c r="J233" i="29"/>
  <c r="J214" i="29"/>
  <c r="J203" i="29"/>
  <c r="J212" i="29"/>
  <c r="J175" i="29"/>
  <c r="J230" i="29"/>
  <c r="J219" i="29"/>
  <c r="J200" i="29"/>
  <c r="J197" i="29"/>
  <c r="J186" i="29"/>
  <c r="J207" i="29"/>
  <c r="J236" i="29"/>
  <c r="J238" i="29"/>
  <c r="J227" i="29"/>
  <c r="J208" i="29"/>
  <c r="J205" i="29"/>
  <c r="J194" i="29"/>
  <c r="J215" i="29"/>
  <c r="J169" i="29"/>
  <c r="J182" i="29"/>
  <c r="J171" i="29"/>
  <c r="J235" i="29"/>
  <c r="J177" i="29"/>
  <c r="J165" i="29"/>
  <c r="J201" i="29"/>
  <c r="J198" i="29"/>
  <c r="J187" i="29"/>
  <c r="J168" i="29"/>
  <c r="J232" i="29"/>
  <c r="J229" i="29"/>
  <c r="J218" i="29"/>
  <c r="J174" i="29"/>
  <c r="J190" i="29"/>
  <c r="J184" i="29"/>
  <c r="J170" i="29"/>
  <c r="J222" i="29"/>
  <c r="J192" i="29"/>
  <c r="J178" i="29"/>
  <c r="J179" i="29"/>
  <c r="J216" i="29"/>
  <c r="J202" i="29"/>
  <c r="J211" i="29"/>
  <c r="J224" i="29"/>
  <c r="J210" i="29"/>
  <c r="J167" i="29"/>
  <c r="J181" i="29"/>
  <c r="J234" i="29"/>
  <c r="J191" i="29"/>
  <c r="J189" i="29"/>
  <c r="J199" i="29"/>
  <c r="J213" i="29"/>
  <c r="J223" i="29"/>
  <c r="J188" i="29"/>
  <c r="J221" i="29"/>
  <c r="J231" i="29"/>
  <c r="AB83" i="30"/>
  <c r="Q548" i="30"/>
  <c r="T548" i="30"/>
  <c r="S502" i="30"/>
  <c r="V548" i="30"/>
  <c r="AB502" i="30"/>
  <c r="AB239" i="30"/>
  <c r="R56" i="31"/>
  <c r="Z161" i="30"/>
  <c r="Z83" i="30"/>
  <c r="O525" i="30"/>
  <c r="X548" i="30"/>
  <c r="X502" i="30"/>
  <c r="X161" i="30"/>
  <c r="K476" i="30"/>
  <c r="R548" i="30"/>
  <c r="R398" i="30"/>
  <c r="T320" i="30"/>
  <c r="W161" i="30"/>
  <c r="V476" i="30"/>
  <c r="AB398" i="30"/>
  <c r="Q398" i="30"/>
  <c r="N92" i="38"/>
  <c r="F103" i="45" s="1"/>
  <c r="N89" i="38"/>
  <c r="F100" i="45" s="1"/>
  <c r="N94" i="38"/>
  <c r="F105" i="45" s="1"/>
  <c r="N91" i="38"/>
  <c r="F102" i="45" s="1"/>
  <c r="N96" i="38"/>
  <c r="F107" i="45" s="1"/>
  <c r="N88" i="38"/>
  <c r="F99" i="45" s="1"/>
  <c r="N97" i="38"/>
  <c r="F108" i="45" s="1"/>
  <c r="N93" i="38"/>
  <c r="F104" i="45" s="1"/>
  <c r="N90" i="38"/>
  <c r="F101" i="45" s="1"/>
  <c r="N95" i="38"/>
  <c r="F106" i="45" s="1"/>
  <c r="N87" i="38"/>
  <c r="F98" i="45" s="1"/>
  <c r="Z502" i="30"/>
  <c r="L398" i="30"/>
  <c r="O548" i="30"/>
  <c r="X320" i="30"/>
  <c r="R320" i="30"/>
  <c r="P502" i="30"/>
  <c r="S398" i="30"/>
  <c r="AA548" i="30"/>
  <c r="Y525" i="30"/>
  <c r="Y548" i="30"/>
  <c r="Y476" i="30"/>
  <c r="V83" i="30"/>
  <c r="K41" i="45"/>
  <c r="K43" i="45"/>
  <c r="M43" i="45"/>
  <c r="N56" i="45"/>
  <c r="K29" i="45"/>
  <c r="M56" i="45"/>
  <c r="N54" i="45"/>
  <c r="M29" i="45"/>
  <c r="K56" i="45"/>
  <c r="L69" i="45"/>
  <c r="K69" i="45"/>
  <c r="K54" i="45"/>
  <c r="Q502" i="30"/>
  <c r="S763" i="35"/>
  <c r="P320" i="30"/>
  <c r="S525" i="30"/>
  <c r="S548" i="30"/>
  <c r="W239" i="30"/>
  <c r="V398" i="30"/>
  <c r="T772" i="35"/>
  <c r="Q320" i="30"/>
  <c r="R53" i="31"/>
  <c r="Z398" i="30"/>
  <c r="L525" i="30"/>
  <c r="L320" i="30"/>
  <c r="U775" i="35"/>
  <c r="S777" i="35"/>
  <c r="R476" i="30"/>
  <c r="T476" i="30"/>
  <c r="S320" i="30"/>
  <c r="AA239" i="30"/>
  <c r="AB320" i="30"/>
  <c r="M125" i="27"/>
  <c r="M128" i="27"/>
  <c r="M129" i="27"/>
  <c r="M130" i="27"/>
  <c r="M131" i="27"/>
  <c r="I128" i="27"/>
  <c r="I127" i="27"/>
  <c r="I125" i="27"/>
  <c r="I131" i="27"/>
  <c r="I130" i="27"/>
  <c r="I129" i="27"/>
  <c r="I126" i="27"/>
  <c r="Q128" i="27"/>
  <c r="K133" i="34" s="1"/>
  <c r="Q131" i="27"/>
  <c r="K136" i="34" s="1"/>
  <c r="Q129" i="27"/>
  <c r="K134" i="34" s="1"/>
  <c r="M126" i="27"/>
  <c r="Q126" i="27"/>
  <c r="K131" i="34" s="1"/>
  <c r="Q125" i="27"/>
  <c r="K130" i="34" s="1"/>
  <c r="M127" i="27"/>
  <c r="Q127" i="27"/>
  <c r="K132" i="34" s="1"/>
  <c r="J55" i="38" s="1"/>
  <c r="Q130" i="27"/>
  <c r="K135" i="34" s="1"/>
  <c r="L95" i="38"/>
  <c r="D106" i="45" s="1"/>
  <c r="L87" i="38"/>
  <c r="D98" i="45" s="1"/>
  <c r="L92" i="38"/>
  <c r="D103" i="45" s="1"/>
  <c r="L97" i="38"/>
  <c r="D108" i="45" s="1"/>
  <c r="L89" i="38"/>
  <c r="D100" i="45" s="1"/>
  <c r="L94" i="38"/>
  <c r="D105" i="45" s="1"/>
  <c r="L91" i="38"/>
  <c r="D102" i="45" s="1"/>
  <c r="L96" i="38"/>
  <c r="D107" i="45" s="1"/>
  <c r="L88" i="38"/>
  <c r="D99" i="45" s="1"/>
  <c r="L93" i="38"/>
  <c r="D104" i="45" s="1"/>
  <c r="L90" i="38"/>
  <c r="D101" i="45" s="1"/>
  <c r="Z320" i="30"/>
  <c r="O502" i="30"/>
  <c r="K525" i="30"/>
  <c r="R525" i="30"/>
  <c r="AA476" i="30"/>
  <c r="AA398" i="30"/>
  <c r="Y398" i="30"/>
  <c r="W476" i="30"/>
  <c r="W502" i="30"/>
  <c r="AB548" i="30"/>
  <c r="AB161" i="30"/>
  <c r="T777" i="35"/>
  <c r="Q525" i="30"/>
  <c r="T752" i="35"/>
  <c r="Z548" i="30"/>
  <c r="Z525" i="30"/>
  <c r="Z239" i="30"/>
  <c r="L548" i="30"/>
  <c r="O476" i="30"/>
  <c r="O398" i="30"/>
  <c r="O320" i="30"/>
  <c r="X525" i="30"/>
  <c r="X398" i="30"/>
  <c r="K398" i="30"/>
  <c r="P476" i="30"/>
  <c r="R54" i="31"/>
  <c r="AA525" i="30"/>
  <c r="AA502" i="30"/>
  <c r="Y161" i="30"/>
  <c r="W398" i="30"/>
  <c r="W320" i="30"/>
  <c r="Q476" i="30"/>
  <c r="K502" i="30"/>
  <c r="P525" i="30"/>
  <c r="P398" i="30"/>
  <c r="T525" i="30"/>
  <c r="T398" i="30"/>
  <c r="AA320" i="30"/>
  <c r="AA161" i="30"/>
  <c r="AA83" i="30"/>
  <c r="Y502" i="30"/>
  <c r="W548" i="30"/>
  <c r="W525" i="30"/>
  <c r="V525" i="30"/>
  <c r="V502" i="30"/>
  <c r="AB476" i="30"/>
  <c r="N11" i="35"/>
  <c r="Q76" i="47" s="1"/>
  <c r="N15" i="35"/>
  <c r="N40" i="35"/>
  <c r="N50" i="35"/>
  <c r="N14" i="35"/>
  <c r="N29" i="35"/>
  <c r="N35" i="35"/>
  <c r="N34" i="35"/>
  <c r="O50" i="35"/>
  <c r="O32" i="35"/>
  <c r="O22" i="35"/>
  <c r="O52" i="35"/>
  <c r="N58" i="35"/>
  <c r="N70" i="35"/>
  <c r="O44" i="35"/>
  <c r="O19" i="35"/>
  <c r="O56" i="35"/>
  <c r="O67" i="35"/>
  <c r="N24" i="35"/>
  <c r="N32" i="35"/>
  <c r="N21" i="35"/>
  <c r="N27" i="35"/>
  <c r="N26" i="35"/>
  <c r="O33" i="35"/>
  <c r="O24" i="35"/>
  <c r="O14" i="35"/>
  <c r="O53" i="35"/>
  <c r="O35" i="35"/>
  <c r="N65" i="35"/>
  <c r="N62" i="35"/>
  <c r="N16" i="35"/>
  <c r="N45" i="35"/>
  <c r="O69" i="35"/>
  <c r="N19" i="35"/>
  <c r="N18" i="35"/>
  <c r="O25" i="35"/>
  <c r="O16" i="35"/>
  <c r="O45" i="35"/>
  <c r="O27" i="35"/>
  <c r="N57" i="35"/>
  <c r="N54" i="35"/>
  <c r="N44" i="35"/>
  <c r="O13" i="35"/>
  <c r="O23" i="35"/>
  <c r="O62" i="35"/>
  <c r="O70" i="35"/>
  <c r="N25" i="35"/>
  <c r="N33" i="35"/>
  <c r="O68" i="35"/>
  <c r="O17" i="35"/>
  <c r="O54" i="35"/>
  <c r="O36" i="35"/>
  <c r="N68" i="35"/>
  <c r="N64" i="35"/>
  <c r="N69" i="35"/>
  <c r="N42" i="35"/>
  <c r="Q107" i="47" s="1"/>
  <c r="O42" i="35"/>
  <c r="N17" i="35"/>
  <c r="N48" i="35"/>
  <c r="N47" i="35"/>
  <c r="O61" i="35"/>
  <c r="O66" i="35"/>
  <c r="O65" i="35"/>
  <c r="O55" i="35"/>
  <c r="O46" i="35"/>
  <c r="O28" i="35"/>
  <c r="N60" i="35"/>
  <c r="N56" i="35"/>
  <c r="N61" i="35"/>
  <c r="N13" i="35"/>
  <c r="O34" i="35"/>
  <c r="O63" i="35"/>
  <c r="O71" i="35"/>
  <c r="N28" i="35"/>
  <c r="N36" i="35"/>
  <c r="N38" i="35"/>
  <c r="O31" i="35"/>
  <c r="O59" i="35"/>
  <c r="O51" i="35"/>
  <c r="O48" i="35"/>
  <c r="O57" i="35"/>
  <c r="O47" i="35"/>
  <c r="O37" i="35"/>
  <c r="O20" i="35"/>
  <c r="N67" i="35"/>
  <c r="N71" i="35"/>
  <c r="N53" i="35"/>
  <c r="N43" i="35"/>
  <c r="O11" i="35"/>
  <c r="N20" i="35"/>
  <c r="N39" i="35"/>
  <c r="N49" i="35"/>
  <c r="N30" i="35"/>
  <c r="N46" i="35"/>
  <c r="O26" i="35"/>
  <c r="O18" i="35"/>
  <c r="O49" i="35"/>
  <c r="O38" i="35"/>
  <c r="O29" i="35"/>
  <c r="N59" i="35"/>
  <c r="N63" i="35"/>
  <c r="O43" i="35"/>
  <c r="O15" i="35"/>
  <c r="O39" i="35"/>
  <c r="O64" i="35"/>
  <c r="N23" i="35"/>
  <c r="N31" i="35"/>
  <c r="N22" i="35"/>
  <c r="N37" i="35"/>
  <c r="N52" i="35"/>
  <c r="N51" i="35"/>
  <c r="O58" i="35"/>
  <c r="O40" i="35"/>
  <c r="O30" i="35"/>
  <c r="O21" i="35"/>
  <c r="O60" i="35"/>
  <c r="N66" i="35"/>
  <c r="N55" i="35"/>
  <c r="Z476" i="30"/>
  <c r="L476" i="30"/>
  <c r="U767" i="35"/>
  <c r="U777" i="35"/>
  <c r="X476" i="30"/>
  <c r="X239" i="30"/>
  <c r="K548" i="30"/>
  <c r="K320" i="30"/>
  <c r="R502" i="30"/>
  <c r="P548" i="30"/>
  <c r="T502" i="30"/>
  <c r="S476" i="30"/>
  <c r="Y320" i="30"/>
  <c r="Y239" i="30"/>
  <c r="W83" i="30"/>
  <c r="V320" i="30"/>
  <c r="V161" i="30"/>
  <c r="V239" i="30"/>
  <c r="AB525" i="30"/>
  <c r="T766" i="35"/>
  <c r="C365" i="18" l="1"/>
  <c r="C402" i="18"/>
  <c r="G269" i="18"/>
  <c r="D257" i="30"/>
  <c r="W21" i="43"/>
  <c r="P243" i="30"/>
  <c r="C457" i="18"/>
  <c r="P552" i="30"/>
  <c r="G34" i="18"/>
  <c r="C422" i="30"/>
  <c r="P869" i="30"/>
  <c r="C420" i="30"/>
  <c r="Z243" i="18"/>
  <c r="G135" i="31"/>
  <c r="D79" i="30"/>
  <c r="E273" i="18"/>
  <c r="E351" i="18" s="1"/>
  <c r="E314" i="18"/>
  <c r="G50" i="18"/>
  <c r="C346" i="30"/>
  <c r="D294" i="18"/>
  <c r="G304" i="18"/>
  <c r="G294" i="30"/>
  <c r="C195" i="18"/>
  <c r="C373" i="18"/>
  <c r="E305" i="30"/>
  <c r="E293" i="18"/>
  <c r="G50" i="30"/>
  <c r="G255" i="18"/>
  <c r="C141" i="30"/>
  <c r="C450" i="18"/>
  <c r="D294" i="30"/>
  <c r="C377" i="30"/>
  <c r="G304" i="30"/>
  <c r="G258" i="31"/>
  <c r="C371" i="30"/>
  <c r="C325" i="30"/>
  <c r="D247" i="18"/>
  <c r="AA44" i="43"/>
  <c r="E293" i="30"/>
  <c r="G255" i="30"/>
  <c r="G411" i="30" s="1"/>
  <c r="G12" i="18"/>
  <c r="D82" i="18"/>
  <c r="D247" i="30"/>
  <c r="D200" i="31"/>
  <c r="D214" i="31"/>
  <c r="G269" i="30"/>
  <c r="C353" i="30"/>
  <c r="E273" i="30"/>
  <c r="E429" i="30" s="1"/>
  <c r="G34" i="30"/>
  <c r="E266" i="31"/>
  <c r="V480" i="18"/>
  <c r="V792" i="18"/>
  <c r="V243" i="18"/>
  <c r="C326" i="18"/>
  <c r="D38" i="18"/>
  <c r="V26" i="43"/>
  <c r="V15" i="46" s="1" a="1"/>
  <c r="V15" i="46" s="1"/>
  <c r="K552" i="30"/>
  <c r="C176" i="18"/>
  <c r="I17" i="31"/>
  <c r="E295" i="18"/>
  <c r="L40" i="45"/>
  <c r="Q80" i="38"/>
  <c r="K480" i="30"/>
  <c r="E164" i="31"/>
  <c r="D306" i="30"/>
  <c r="G284" i="30"/>
  <c r="D283" i="18"/>
  <c r="Q63" i="38"/>
  <c r="T77" i="43"/>
  <c r="Q28" i="32"/>
  <c r="Z552" i="30"/>
  <c r="C182" i="18"/>
  <c r="D307" i="18"/>
  <c r="Z869" i="30"/>
  <c r="Q43" i="32"/>
  <c r="M54" i="43"/>
  <c r="X35" i="43"/>
  <c r="N45" i="43"/>
  <c r="Z52" i="43"/>
  <c r="X26" i="43"/>
  <c r="X15" i="46" s="1" a="1"/>
  <c r="X15" i="46" s="1"/>
  <c r="C357" i="30"/>
  <c r="G267" i="18"/>
  <c r="D307" i="30"/>
  <c r="E261" i="31"/>
  <c r="Z243" i="30"/>
  <c r="G147" i="31"/>
  <c r="Y21" i="43"/>
  <c r="E33" i="18"/>
  <c r="E111" i="18" s="1"/>
  <c r="AA31" i="43"/>
  <c r="Q13" i="32"/>
  <c r="X80" i="43"/>
  <c r="C127" i="18"/>
  <c r="E266" i="30"/>
  <c r="Q57" i="32"/>
  <c r="U56" i="43"/>
  <c r="S752" i="35"/>
  <c r="I752" i="35" s="1"/>
  <c r="E66" i="30"/>
  <c r="D296" i="30"/>
  <c r="D298" i="30"/>
  <c r="Q75" i="38"/>
  <c r="Q68" i="38"/>
  <c r="X27" i="43"/>
  <c r="O75" i="32"/>
  <c r="G79" i="30"/>
  <c r="G157" i="30" s="1"/>
  <c r="C183" i="18"/>
  <c r="E291" i="18"/>
  <c r="C333" i="18"/>
  <c r="D198" i="31"/>
  <c r="Q71" i="38"/>
  <c r="Q76" i="38"/>
  <c r="F242" i="21"/>
  <c r="C265" i="21"/>
  <c r="F265" i="21" s="1"/>
  <c r="G288" i="18"/>
  <c r="Q69" i="38"/>
  <c r="Q65" i="38"/>
  <c r="C124" i="30"/>
  <c r="D240" i="31"/>
  <c r="G250" i="18"/>
  <c r="Q73" i="38"/>
  <c r="Q70" i="38"/>
  <c r="Q72" i="38"/>
  <c r="P650" i="35" a="1"/>
  <c r="P650" i="35" s="1"/>
  <c r="U752" i="35"/>
  <c r="E210" i="31"/>
  <c r="G248" i="30"/>
  <c r="E264" i="31"/>
  <c r="Q81" i="38"/>
  <c r="Q64" i="38"/>
  <c r="Q77" i="38"/>
  <c r="G188" i="31"/>
  <c r="G158" i="31"/>
  <c r="G232" i="31"/>
  <c r="Q66" i="38"/>
  <c r="Q79" i="38"/>
  <c r="Q74" i="38"/>
  <c r="N46" i="43"/>
  <c r="N35" i="46" s="1" a="1"/>
  <c r="N35" i="46" s="1"/>
  <c r="G305" i="18"/>
  <c r="D35" i="30"/>
  <c r="D164" i="31"/>
  <c r="I8" i="31"/>
  <c r="Q82" i="38"/>
  <c r="Q78" i="38"/>
  <c r="U137" i="30"/>
  <c r="G656" i="35"/>
  <c r="S54" i="43"/>
  <c r="S43" i="46" s="1" a="1"/>
  <c r="S43" i="46" s="1"/>
  <c r="K83" i="29"/>
  <c r="I502" i="30"/>
  <c r="I548" i="30"/>
  <c r="Z20" i="43"/>
  <c r="Z9" i="46" s="1" a="1"/>
  <c r="Z9" i="46" s="1"/>
  <c r="X28" i="43"/>
  <c r="T40" i="43"/>
  <c r="T50" i="43"/>
  <c r="T39" i="46" s="1" a="1"/>
  <c r="T39" i="46" s="1"/>
  <c r="E254" i="18"/>
  <c r="D250" i="30"/>
  <c r="E152" i="31"/>
  <c r="E40" i="18"/>
  <c r="G298" i="30"/>
  <c r="U53" i="43"/>
  <c r="D38" i="30"/>
  <c r="D303" i="18"/>
  <c r="D459" i="18" s="1"/>
  <c r="E303" i="30"/>
  <c r="T56" i="43"/>
  <c r="T45" i="46" s="1" a="1"/>
  <c r="T45" i="46" s="1"/>
  <c r="C469" i="18"/>
  <c r="E65" i="18"/>
  <c r="C454" i="18"/>
  <c r="G148" i="31"/>
  <c r="D303" i="30"/>
  <c r="D34" i="18"/>
  <c r="D190" i="18" s="1"/>
  <c r="G71" i="30"/>
  <c r="E272" i="18"/>
  <c r="Z43" i="43"/>
  <c r="Z32" i="46" s="1" a="1"/>
  <c r="Z32" i="46" s="1"/>
  <c r="Z24" i="43"/>
  <c r="G254" i="18"/>
  <c r="G80" i="18"/>
  <c r="G257" i="31"/>
  <c r="D25" i="18"/>
  <c r="D103" i="18" s="1"/>
  <c r="E65" i="30"/>
  <c r="D34" i="30"/>
  <c r="G282" i="30"/>
  <c r="E272" i="30"/>
  <c r="G80" i="30"/>
  <c r="G236" i="30" s="1"/>
  <c r="C121" i="30"/>
  <c r="D25" i="30"/>
  <c r="E172" i="31"/>
  <c r="C465" i="18"/>
  <c r="E43" i="18"/>
  <c r="E199" i="18" s="1"/>
  <c r="E58" i="18"/>
  <c r="G215" i="31"/>
  <c r="Y23" i="43"/>
  <c r="J53" i="38"/>
  <c r="G77" i="30"/>
  <c r="C199" i="18"/>
  <c r="E29" i="18"/>
  <c r="E43" i="30"/>
  <c r="E58" i="30"/>
  <c r="E262" i="18"/>
  <c r="E340" i="18" s="1"/>
  <c r="I14" i="31"/>
  <c r="R77" i="43"/>
  <c r="G200" i="31"/>
  <c r="G298" i="18"/>
  <c r="G376" i="18" s="1"/>
  <c r="V47" i="43"/>
  <c r="E314" i="30"/>
  <c r="C442" i="18"/>
  <c r="D19" i="18"/>
  <c r="C111" i="18"/>
  <c r="D19" i="30"/>
  <c r="D175" i="30" s="1"/>
  <c r="N770" i="35"/>
  <c r="G770" i="35"/>
  <c r="M770" i="35"/>
  <c r="N761" i="35"/>
  <c r="M761" i="35"/>
  <c r="G761" i="35"/>
  <c r="N778" i="35"/>
  <c r="M778" i="35"/>
  <c r="G778" i="35"/>
  <c r="N755" i="35"/>
  <c r="O755" i="35" s="1" a="1"/>
  <c r="O755" i="35" s="1"/>
  <c r="G755" i="35"/>
  <c r="M755" i="35"/>
  <c r="N758" i="35"/>
  <c r="M758" i="35"/>
  <c r="G758" i="35"/>
  <c r="N763" i="35"/>
  <c r="G763" i="35"/>
  <c r="M763" i="35"/>
  <c r="N766" i="35"/>
  <c r="M766" i="35"/>
  <c r="G766" i="35"/>
  <c r="N775" i="35"/>
  <c r="O775" i="35" s="1" a="1"/>
  <c r="O775" i="35" s="1"/>
  <c r="G775" i="35"/>
  <c r="M775" i="35"/>
  <c r="N768" i="35"/>
  <c r="M768" i="35"/>
  <c r="G768" i="35"/>
  <c r="N772" i="35"/>
  <c r="G772" i="35"/>
  <c r="M772" i="35"/>
  <c r="N762" i="35"/>
  <c r="G762" i="35"/>
  <c r="M762" i="35"/>
  <c r="M785" i="35"/>
  <c r="N779" i="35"/>
  <c r="G779" i="35"/>
  <c r="M779" i="35"/>
  <c r="N771" i="35"/>
  <c r="O771" i="35" s="1" a="1"/>
  <c r="O771" i="35" s="1"/>
  <c r="G771" i="35"/>
  <c r="M771" i="35"/>
  <c r="N754" i="35"/>
  <c r="M754" i="35"/>
  <c r="G754" i="35"/>
  <c r="N776" i="35"/>
  <c r="M776" i="35"/>
  <c r="G776" i="35"/>
  <c r="N777" i="35"/>
  <c r="M777" i="35"/>
  <c r="G777" i="35"/>
  <c r="N767" i="35"/>
  <c r="O767" i="35" s="1" a="1"/>
  <c r="O767" i="35" s="1"/>
  <c r="M767" i="35"/>
  <c r="G767" i="35"/>
  <c r="G752" i="35"/>
  <c r="N780" i="35"/>
  <c r="O780" i="35" s="1" a="1"/>
  <c r="O780" i="35" s="1"/>
  <c r="G780" i="35"/>
  <c r="M780" i="35"/>
  <c r="N781" i="35"/>
  <c r="M781" i="35"/>
  <c r="G781" i="35"/>
  <c r="N764" i="35"/>
  <c r="G764" i="35"/>
  <c r="M764" i="35"/>
  <c r="N769" i="35"/>
  <c r="M769" i="35"/>
  <c r="G769" i="35"/>
  <c r="N757" i="35"/>
  <c r="P757" i="35" s="1" a="1"/>
  <c r="P757" i="35" s="1"/>
  <c r="M757" i="35"/>
  <c r="G757" i="35"/>
  <c r="N759" i="35"/>
  <c r="M759" i="35"/>
  <c r="G759" i="35"/>
  <c r="N760" i="35"/>
  <c r="G760" i="35"/>
  <c r="M760" i="35"/>
  <c r="N774" i="35"/>
  <c r="M774" i="35"/>
  <c r="G774" i="35"/>
  <c r="N765" i="35"/>
  <c r="O765" i="35" s="1" a="1"/>
  <c r="O765" i="35" s="1"/>
  <c r="M765" i="35"/>
  <c r="G765" i="35"/>
  <c r="N773" i="35"/>
  <c r="G773" i="35"/>
  <c r="M773" i="35"/>
  <c r="N756" i="35"/>
  <c r="G756" i="35"/>
  <c r="M756" i="35"/>
  <c r="K83" i="12"/>
  <c r="I83" i="29"/>
  <c r="L83" i="29"/>
  <c r="R83" i="29"/>
  <c r="C431" i="18"/>
  <c r="E249" i="30"/>
  <c r="E269" i="18"/>
  <c r="D260" i="18"/>
  <c r="D260" i="30"/>
  <c r="D273" i="31"/>
  <c r="C417" i="18"/>
  <c r="E248" i="18"/>
  <c r="E404" i="18" s="1"/>
  <c r="D78" i="18"/>
  <c r="E248" i="30"/>
  <c r="C180" i="18"/>
  <c r="C90" i="18"/>
  <c r="D81" i="18"/>
  <c r="J57" i="38"/>
  <c r="D204" i="31"/>
  <c r="X48" i="43"/>
  <c r="X37" i="46" s="1" a="1"/>
  <c r="X37" i="46" s="1"/>
  <c r="Q44" i="43"/>
  <c r="Q56" i="43"/>
  <c r="M55" i="43"/>
  <c r="N48" i="43"/>
  <c r="P93" i="43"/>
  <c r="Z40" i="43"/>
  <c r="Z29" i="46" s="1" a="1"/>
  <c r="Z29" i="46" s="1"/>
  <c r="N62" i="43"/>
  <c r="N54" i="43"/>
  <c r="N43" i="46" s="1" a="1"/>
  <c r="N43" i="46" s="1"/>
  <c r="E75" i="18"/>
  <c r="D176" i="31"/>
  <c r="E315" i="18"/>
  <c r="N70" i="43"/>
  <c r="V37" i="43"/>
  <c r="U130" i="30"/>
  <c r="U127" i="30"/>
  <c r="AC127" i="30" s="1"/>
  <c r="C175" i="18"/>
  <c r="C430" i="30"/>
  <c r="C327" i="18"/>
  <c r="D39" i="30"/>
  <c r="M650" i="35"/>
  <c r="M77" i="43"/>
  <c r="V25" i="43"/>
  <c r="U136" i="30"/>
  <c r="AC136" i="30" s="1"/>
  <c r="E22" i="18"/>
  <c r="E100" i="18" s="1"/>
  <c r="C169" i="18"/>
  <c r="U131" i="30"/>
  <c r="AC131" i="30" s="1"/>
  <c r="E41" i="18"/>
  <c r="D292" i="30"/>
  <c r="D448" i="30" s="1"/>
  <c r="C168" i="30"/>
  <c r="E22" i="30"/>
  <c r="E178" i="30" s="1"/>
  <c r="E302" i="18"/>
  <c r="E52" i="30"/>
  <c r="E208" i="30" s="1"/>
  <c r="F725" i="35"/>
  <c r="U133" i="30"/>
  <c r="AC133" i="30" s="1"/>
  <c r="U519" i="30"/>
  <c r="E42" i="18"/>
  <c r="E120" i="18" s="1"/>
  <c r="D314" i="18"/>
  <c r="U135" i="30"/>
  <c r="AC135" i="30" s="1"/>
  <c r="U511" i="30"/>
  <c r="AC511" i="30" s="1"/>
  <c r="M56" i="43"/>
  <c r="M45" i="46" s="1" a="1"/>
  <c r="M45" i="46" s="1"/>
  <c r="P48" i="43"/>
  <c r="P37" i="46" s="1" a="1"/>
  <c r="P37" i="46" s="1"/>
  <c r="O83" i="29"/>
  <c r="U55" i="43"/>
  <c r="U193" i="43"/>
  <c r="U181" i="43"/>
  <c r="E131" i="31"/>
  <c r="Y162" i="12"/>
  <c r="E136" i="31"/>
  <c r="N91" i="30"/>
  <c r="E133" i="31"/>
  <c r="N88" i="30"/>
  <c r="N92" i="30"/>
  <c r="E140" i="31"/>
  <c r="N95" i="30"/>
  <c r="U177" i="43"/>
  <c r="U21" i="43" s="1"/>
  <c r="U189" i="43"/>
  <c r="U33" i="43" s="1"/>
  <c r="U180" i="43"/>
  <c r="U24" i="43" s="1"/>
  <c r="U186" i="43"/>
  <c r="P26" i="29"/>
  <c r="P115" i="43"/>
  <c r="S26" i="29"/>
  <c r="S115" i="43"/>
  <c r="S17" i="29"/>
  <c r="S106" i="43"/>
  <c r="U179" i="43"/>
  <c r="U23" i="43" s="1"/>
  <c r="AP324" i="19" s="1"/>
  <c r="U191" i="43"/>
  <c r="U35" i="43" s="1"/>
  <c r="E27" i="18"/>
  <c r="N105" i="30"/>
  <c r="U182" i="43"/>
  <c r="U190" i="43"/>
  <c r="U34" i="43" s="1"/>
  <c r="AP335" i="19" s="1"/>
  <c r="E142" i="31"/>
  <c r="N97" i="30"/>
  <c r="U97" i="30"/>
  <c r="E12" i="18"/>
  <c r="E90" i="18" s="1"/>
  <c r="N90" i="30"/>
  <c r="E24" i="30"/>
  <c r="N102" i="30"/>
  <c r="U184" i="43"/>
  <c r="E139" i="31"/>
  <c r="N94" i="30"/>
  <c r="E141" i="31"/>
  <c r="N96" i="30"/>
  <c r="P12" i="29"/>
  <c r="P101" i="43"/>
  <c r="T11" i="29"/>
  <c r="T100" i="43"/>
  <c r="E146" i="31"/>
  <c r="N101" i="30"/>
  <c r="U176" i="43"/>
  <c r="U185" i="43"/>
  <c r="U29" i="43" s="1"/>
  <c r="AP330" i="19" s="1"/>
  <c r="U183" i="43"/>
  <c r="U27" i="43" s="1"/>
  <c r="U175" i="43"/>
  <c r="U19" i="43" s="1"/>
  <c r="U194" i="43"/>
  <c r="U38" i="43" s="1"/>
  <c r="AP339" i="19" s="1"/>
  <c r="E20" i="18"/>
  <c r="N98" i="30"/>
  <c r="E9" i="30"/>
  <c r="E87" i="30" s="1"/>
  <c r="N87" i="30"/>
  <c r="E11" i="30"/>
  <c r="N89" i="30"/>
  <c r="E149" i="31"/>
  <c r="N104" i="30"/>
  <c r="S24" i="29"/>
  <c r="S113" i="43"/>
  <c r="U187" i="43"/>
  <c r="U31" i="43" s="1"/>
  <c r="U188" i="43"/>
  <c r="U32" i="43" s="1"/>
  <c r="AP333" i="19" s="1"/>
  <c r="N93" i="30"/>
  <c r="U93" i="30"/>
  <c r="S21" i="29"/>
  <c r="S110" i="43"/>
  <c r="Q23" i="29"/>
  <c r="Q112" i="43"/>
  <c r="U178" i="43"/>
  <c r="U22" i="43" s="1"/>
  <c r="AP323" i="19" s="1"/>
  <c r="U192" i="43"/>
  <c r="U36" i="43" s="1"/>
  <c r="N99" i="30"/>
  <c r="Q8" i="29"/>
  <c r="Q97" i="43"/>
  <c r="S8" i="29"/>
  <c r="S97" i="43"/>
  <c r="I148" i="31"/>
  <c r="K104" i="12"/>
  <c r="I181" i="30"/>
  <c r="T14" i="29"/>
  <c r="T103" i="43"/>
  <c r="P103" i="30"/>
  <c r="P25" i="30"/>
  <c r="P181" i="30"/>
  <c r="W23" i="43"/>
  <c r="W12" i="46" s="1" a="1"/>
  <c r="W12" i="46" s="1"/>
  <c r="N43" i="43"/>
  <c r="N32" i="46" s="1" a="1"/>
  <c r="N32" i="46" s="1"/>
  <c r="O103" i="30"/>
  <c r="O25" i="30"/>
  <c r="O181" i="30"/>
  <c r="T103" i="30"/>
  <c r="T25" i="30"/>
  <c r="T181" i="30"/>
  <c r="T109" i="43"/>
  <c r="R103" i="30"/>
  <c r="R25" i="30"/>
  <c r="R181" i="30"/>
  <c r="J103" i="30"/>
  <c r="K148" i="31"/>
  <c r="S101" i="43"/>
  <c r="S12" i="29"/>
  <c r="V85" i="43"/>
  <c r="V74" i="46" s="1" a="1"/>
  <c r="V74" i="46" s="1"/>
  <c r="S103" i="30"/>
  <c r="S25" i="30"/>
  <c r="S181" i="30"/>
  <c r="K103" i="30"/>
  <c r="L148" i="31"/>
  <c r="K25" i="30"/>
  <c r="K181" i="30"/>
  <c r="N53" i="43"/>
  <c r="V51" i="43"/>
  <c r="V40" i="46" s="1" a="1"/>
  <c r="V40" i="46" s="1"/>
  <c r="L103" i="30"/>
  <c r="L25" i="30"/>
  <c r="M148" i="31"/>
  <c r="L181" i="30"/>
  <c r="Q103" i="30"/>
  <c r="Q25" i="30"/>
  <c r="Q181" i="30"/>
  <c r="M103" i="30"/>
  <c r="N148" i="31"/>
  <c r="Y22" i="43"/>
  <c r="Y11" i="46" s="1" a="1"/>
  <c r="Y11" i="46" s="1"/>
  <c r="V24" i="43"/>
  <c r="U45" i="43"/>
  <c r="D292" i="18"/>
  <c r="D370" i="18" s="1"/>
  <c r="E49" i="30"/>
  <c r="E271" i="18"/>
  <c r="E427" i="18" s="1"/>
  <c r="D71" i="18"/>
  <c r="D227" i="18" s="1"/>
  <c r="M60" i="43"/>
  <c r="U49" i="43"/>
  <c r="C124" i="18"/>
  <c r="G652" i="35"/>
  <c r="V27" i="43"/>
  <c r="C88" i="18"/>
  <c r="D246" i="18"/>
  <c r="E240" i="31"/>
  <c r="Y19" i="43"/>
  <c r="R57" i="31"/>
  <c r="C103" i="18"/>
  <c r="D250" i="31"/>
  <c r="D287" i="18"/>
  <c r="D443" i="18" s="1"/>
  <c r="G201" i="31"/>
  <c r="C190" i="18"/>
  <c r="C172" i="30"/>
  <c r="E267" i="30"/>
  <c r="D261" i="31"/>
  <c r="E26" i="18"/>
  <c r="C142" i="30"/>
  <c r="D29" i="30"/>
  <c r="E46" i="18"/>
  <c r="E202" i="18" s="1"/>
  <c r="G263" i="30"/>
  <c r="G419" i="30" s="1"/>
  <c r="E53" i="18"/>
  <c r="E131" i="18" s="1"/>
  <c r="X44" i="43"/>
  <c r="R39" i="43"/>
  <c r="R28" i="46" s="1" a="1"/>
  <c r="R28" i="46" s="1"/>
  <c r="Z44" i="43"/>
  <c r="Q41" i="43"/>
  <c r="Q30" i="46" s="1" a="1"/>
  <c r="Q30" i="46" s="1"/>
  <c r="V36" i="43"/>
  <c r="P56" i="43"/>
  <c r="P45" i="46" s="1" a="1"/>
  <c r="P45" i="46" s="1"/>
  <c r="N42" i="43"/>
  <c r="Y50" i="43"/>
  <c r="Y39" i="46" s="1" a="1"/>
  <c r="Y39" i="46" s="1"/>
  <c r="M50" i="43"/>
  <c r="Q8" i="4"/>
  <c r="T43" i="43"/>
  <c r="G24" i="18"/>
  <c r="G180" i="18" s="1"/>
  <c r="D287" i="30"/>
  <c r="D309" i="18"/>
  <c r="D279" i="18"/>
  <c r="E231" i="31"/>
  <c r="E26" i="30"/>
  <c r="D152" i="31"/>
  <c r="E297" i="18"/>
  <c r="E46" i="30"/>
  <c r="E202" i="30" s="1"/>
  <c r="E11" i="18"/>
  <c r="E53" i="30"/>
  <c r="X49" i="43"/>
  <c r="G284" i="18"/>
  <c r="G440" i="18" s="1"/>
  <c r="C402" i="30"/>
  <c r="D306" i="18"/>
  <c r="E269" i="30"/>
  <c r="C450" i="30"/>
  <c r="E286" i="18"/>
  <c r="E33" i="30"/>
  <c r="C361" i="18"/>
  <c r="G15" i="18"/>
  <c r="G93" i="18" s="1"/>
  <c r="E35" i="18"/>
  <c r="G267" i="30"/>
  <c r="G345" i="30" s="1"/>
  <c r="G68" i="30"/>
  <c r="G8" i="18"/>
  <c r="G23" i="18"/>
  <c r="D304" i="30"/>
  <c r="C383" i="18"/>
  <c r="G280" i="30"/>
  <c r="G436" i="30" s="1"/>
  <c r="D20" i="30"/>
  <c r="F627" i="35"/>
  <c r="F630" i="35"/>
  <c r="T53" i="43"/>
  <c r="C218" i="30"/>
  <c r="D48" i="18"/>
  <c r="D126" i="18" s="1"/>
  <c r="E286" i="30"/>
  <c r="G15" i="30"/>
  <c r="G93" i="30" s="1"/>
  <c r="E35" i="30"/>
  <c r="D261" i="18"/>
  <c r="G38" i="18"/>
  <c r="G194" i="18" s="1"/>
  <c r="G43" i="18"/>
  <c r="G8" i="30"/>
  <c r="G23" i="30"/>
  <c r="G101" i="30" s="1"/>
  <c r="G315" i="18"/>
  <c r="D24" i="18"/>
  <c r="D102" i="18" s="1"/>
  <c r="G264" i="18"/>
  <c r="Y45" i="43"/>
  <c r="Y34" i="46" s="1" a="1"/>
  <c r="Y34" i="46" s="1"/>
  <c r="D286" i="18"/>
  <c r="D48" i="30"/>
  <c r="D126" i="30" s="1"/>
  <c r="E285" i="18"/>
  <c r="E441" i="18" s="1"/>
  <c r="C167" i="18"/>
  <c r="D297" i="18"/>
  <c r="E157" i="31"/>
  <c r="G38" i="30"/>
  <c r="G43" i="30"/>
  <c r="G315" i="30"/>
  <c r="D24" i="30"/>
  <c r="G264" i="30"/>
  <c r="E284" i="18"/>
  <c r="E362" i="18" s="1"/>
  <c r="C403" i="18"/>
  <c r="S773" i="35"/>
  <c r="T763" i="35"/>
  <c r="S758" i="35"/>
  <c r="U772" i="35"/>
  <c r="K772" i="35" s="1"/>
  <c r="E295" i="30"/>
  <c r="E451" i="30" s="1"/>
  <c r="G305" i="30"/>
  <c r="G266" i="18"/>
  <c r="D173" i="31"/>
  <c r="E278" i="18"/>
  <c r="E356" i="18" s="1"/>
  <c r="E287" i="18"/>
  <c r="D262" i="31"/>
  <c r="E239" i="31"/>
  <c r="G202" i="31"/>
  <c r="C393" i="18"/>
  <c r="G306" i="18"/>
  <c r="G462" i="18" s="1"/>
  <c r="G212" i="31"/>
  <c r="E256" i="30"/>
  <c r="E412" i="30" s="1"/>
  <c r="G249" i="31"/>
  <c r="E291" i="30"/>
  <c r="E447" i="30" s="1"/>
  <c r="D42" i="18"/>
  <c r="C410" i="18"/>
  <c r="G250" i="30"/>
  <c r="F645" i="35"/>
  <c r="K8" i="4"/>
  <c r="K7" i="26" s="1"/>
  <c r="U37" i="43"/>
  <c r="AP338" i="19" s="1"/>
  <c r="T757" i="35"/>
  <c r="J757" i="35" s="1"/>
  <c r="S772" i="35"/>
  <c r="D13" i="18"/>
  <c r="C363" i="30"/>
  <c r="E278" i="30"/>
  <c r="E287" i="30"/>
  <c r="D22" i="18"/>
  <c r="D178" i="18" s="1"/>
  <c r="D276" i="18"/>
  <c r="D354" i="18" s="1"/>
  <c r="G306" i="30"/>
  <c r="G35" i="18"/>
  <c r="G191" i="18" s="1"/>
  <c r="G268" i="18"/>
  <c r="D42" i="30"/>
  <c r="C366" i="30"/>
  <c r="J56" i="38"/>
  <c r="S774" i="35"/>
  <c r="T775" i="35"/>
  <c r="J775" i="35" s="1"/>
  <c r="E266" i="18"/>
  <c r="D79" i="18"/>
  <c r="D35" i="18"/>
  <c r="D22" i="30"/>
  <c r="D100" i="30" s="1"/>
  <c r="C355" i="30"/>
  <c r="D304" i="18"/>
  <c r="D20" i="18"/>
  <c r="E57" i="45"/>
  <c r="U20" i="43"/>
  <c r="AP321" i="19" s="1"/>
  <c r="C171" i="18"/>
  <c r="S775" i="35"/>
  <c r="T758" i="35"/>
  <c r="T765" i="35"/>
  <c r="U672" i="35"/>
  <c r="D66" i="18"/>
  <c r="G288" i="30"/>
  <c r="G444" i="30" s="1"/>
  <c r="E28" i="18"/>
  <c r="G286" i="30"/>
  <c r="C329" i="30"/>
  <c r="D137" i="31"/>
  <c r="G307" i="18"/>
  <c r="E32" i="18"/>
  <c r="E188" i="18" s="1"/>
  <c r="G32" i="30"/>
  <c r="G46" i="18"/>
  <c r="G124" i="18" s="1"/>
  <c r="G249" i="30"/>
  <c r="G11" i="30"/>
  <c r="G167" i="30" s="1"/>
  <c r="V53" i="43"/>
  <c r="U40" i="43"/>
  <c r="U29" i="46" s="1" a="1"/>
  <c r="U29" i="46" s="1"/>
  <c r="T54" i="43"/>
  <c r="T43" i="46" s="1" a="1"/>
  <c r="T43" i="46" s="1"/>
  <c r="T41" i="43"/>
  <c r="G32" i="18"/>
  <c r="G110" i="18" s="1"/>
  <c r="G249" i="18"/>
  <c r="G405" i="18" s="1"/>
  <c r="E24" i="18"/>
  <c r="D264" i="18"/>
  <c r="G65" i="18"/>
  <c r="G221" i="18" s="1"/>
  <c r="C129" i="30"/>
  <c r="G26" i="18"/>
  <c r="C238" i="30"/>
  <c r="G307" i="30"/>
  <c r="E32" i="30"/>
  <c r="E188" i="30" s="1"/>
  <c r="D75" i="18"/>
  <c r="G46" i="30"/>
  <c r="C97" i="30"/>
  <c r="D291" i="18"/>
  <c r="G84" i="50"/>
  <c r="D66" i="30"/>
  <c r="U760" i="35"/>
  <c r="K760" i="35" s="1"/>
  <c r="U671" i="35"/>
  <c r="U757" i="35"/>
  <c r="G669" i="35"/>
  <c r="U758" i="35"/>
  <c r="G290" i="18"/>
  <c r="G446" i="18" s="1"/>
  <c r="C196" i="30"/>
  <c r="C428" i="30"/>
  <c r="S50" i="43"/>
  <c r="V63" i="43"/>
  <c r="V52" i="46" s="1" a="1"/>
  <c r="V52" i="46" s="1"/>
  <c r="P45" i="43"/>
  <c r="P34" i="46" s="1" a="1"/>
  <c r="P34" i="46" s="1"/>
  <c r="T52" i="43"/>
  <c r="Z23" i="43"/>
  <c r="Z60" i="43"/>
  <c r="P76" i="43"/>
  <c r="S667" i="35"/>
  <c r="T650" i="35"/>
  <c r="F633" i="35"/>
  <c r="V57" i="43"/>
  <c r="R51" i="43"/>
  <c r="R40" i="46" s="1" a="1"/>
  <c r="R40" i="46" s="1"/>
  <c r="X34" i="43"/>
  <c r="T48" i="43"/>
  <c r="T37" i="46" s="1" a="1"/>
  <c r="T37" i="46" s="1"/>
  <c r="Z36" i="43"/>
  <c r="Z25" i="46" s="1" a="1"/>
  <c r="Z25" i="46" s="1"/>
  <c r="Z55" i="43"/>
  <c r="R53" i="43"/>
  <c r="R42" i="46" s="1" a="1"/>
  <c r="R42" i="46" s="1"/>
  <c r="Q43" i="43"/>
  <c r="Q32" i="46" s="1" a="1"/>
  <c r="Q32" i="46" s="1"/>
  <c r="S650" i="35"/>
  <c r="U650" i="35"/>
  <c r="G650" i="35"/>
  <c r="V49" i="43"/>
  <c r="N49" i="43"/>
  <c r="N38" i="46" s="1" a="1"/>
  <c r="N38" i="46" s="1"/>
  <c r="M46" i="43"/>
  <c r="M35" i="46" s="1" a="1"/>
  <c r="M35" i="46" s="1"/>
  <c r="Y80" i="43"/>
  <c r="Y69" i="46" s="1" a="1"/>
  <c r="Y69" i="46" s="1"/>
  <c r="U79" i="43"/>
  <c r="U68" i="46" s="1" a="1"/>
  <c r="U68" i="46" s="1"/>
  <c r="Y36" i="43"/>
  <c r="Y25" i="46" s="1" a="1"/>
  <c r="Y25" i="46" s="1"/>
  <c r="V41" i="43"/>
  <c r="V30" i="46" s="1" a="1"/>
  <c r="V30" i="46" s="1"/>
  <c r="AA21" i="43"/>
  <c r="R42" i="43"/>
  <c r="R31" i="46" s="1" a="1"/>
  <c r="R31" i="46" s="1"/>
  <c r="V21" i="43"/>
  <c r="Y26" i="43"/>
  <c r="Y15" i="46" s="1" a="1"/>
  <c r="Y15" i="46" s="1"/>
  <c r="U86" i="43"/>
  <c r="U75" i="46" s="1" a="1"/>
  <c r="U75" i="46" s="1"/>
  <c r="M47" i="43"/>
  <c r="W54" i="43"/>
  <c r="W43" i="46" s="1" a="1"/>
  <c r="W43" i="46" s="1"/>
  <c r="X47" i="43"/>
  <c r="X36" i="46" s="1" a="1"/>
  <c r="X36" i="46" s="1"/>
  <c r="V30" i="43"/>
  <c r="V19" i="46" s="1" a="1"/>
  <c r="V19" i="46" s="1"/>
  <c r="M39" i="43"/>
  <c r="M28" i="46" s="1" a="1"/>
  <c r="M28" i="46" s="1"/>
  <c r="U81" i="43"/>
  <c r="U70" i="46" s="1" a="1"/>
  <c r="U70" i="46" s="1"/>
  <c r="T68" i="43"/>
  <c r="T57" i="46" s="1" a="1"/>
  <c r="T57" i="46" s="1"/>
  <c r="T764" i="35"/>
  <c r="T780" i="35"/>
  <c r="J780" i="35" s="1"/>
  <c r="U764" i="35"/>
  <c r="G673" i="35"/>
  <c r="F741" i="35"/>
  <c r="F250" i="21"/>
  <c r="C273" i="21"/>
  <c r="F273" i="21" s="1"/>
  <c r="U780" i="35"/>
  <c r="G654" i="35"/>
  <c r="D33" i="45"/>
  <c r="K8" i="34"/>
  <c r="K82" i="45" s="1"/>
  <c r="D29" i="45"/>
  <c r="Q42" i="43"/>
  <c r="Q50" i="43"/>
  <c r="Q39" i="46" s="1" a="1"/>
  <c r="Q39" i="46" s="1"/>
  <c r="X41" i="43"/>
  <c r="X30" i="46" s="1" a="1"/>
  <c r="X30" i="46" s="1"/>
  <c r="X32" i="43"/>
  <c r="AA47" i="43"/>
  <c r="AA36" i="46" s="1" a="1"/>
  <c r="AA36" i="46" s="1"/>
  <c r="Y42" i="43"/>
  <c r="Y31" i="46" s="1" a="1"/>
  <c r="Y31" i="46" s="1"/>
  <c r="P51" i="43"/>
  <c r="U42" i="43"/>
  <c r="U31" i="46" s="1" a="1"/>
  <c r="U31" i="46" s="1"/>
  <c r="T44" i="43"/>
  <c r="T33" i="46" s="1" a="1"/>
  <c r="T33" i="46" s="1"/>
  <c r="I320" i="30"/>
  <c r="M52" i="43"/>
  <c r="M41" i="46" s="1" a="1"/>
  <c r="M41" i="46" s="1"/>
  <c r="U28" i="43"/>
  <c r="U47" i="43"/>
  <c r="T55" i="43"/>
  <c r="T44" i="46" s="1" a="1"/>
  <c r="T44" i="46" s="1"/>
  <c r="O57" i="43"/>
  <c r="O46" i="46" s="1" a="1"/>
  <c r="O46" i="46" s="1"/>
  <c r="O39" i="43"/>
  <c r="O28" i="46" s="1" a="1"/>
  <c r="O28" i="46" s="1"/>
  <c r="R47" i="43"/>
  <c r="R36" i="46" s="1" a="1"/>
  <c r="R36" i="46" s="1"/>
  <c r="F734" i="35"/>
  <c r="R65" i="43"/>
  <c r="R54" i="46" s="1" a="1"/>
  <c r="R54" i="46" s="1"/>
  <c r="E167" i="31"/>
  <c r="G41" i="30"/>
  <c r="G197" i="30" s="1"/>
  <c r="G245" i="18"/>
  <c r="G401" i="18" s="1"/>
  <c r="D282" i="30"/>
  <c r="E265" i="18"/>
  <c r="E421" i="18" s="1"/>
  <c r="C347" i="30"/>
  <c r="C362" i="18"/>
  <c r="E195" i="31"/>
  <c r="C96" i="30"/>
  <c r="P83" i="43"/>
  <c r="P77" i="43"/>
  <c r="P66" i="46" s="1" a="1"/>
  <c r="P66" i="46" s="1"/>
  <c r="G164" i="31"/>
  <c r="E260" i="18"/>
  <c r="G245" i="30"/>
  <c r="G401" i="30" s="1"/>
  <c r="G58" i="18"/>
  <c r="G256" i="18"/>
  <c r="G412" i="18" s="1"/>
  <c r="D246" i="31"/>
  <c r="C188" i="18"/>
  <c r="E38" i="18"/>
  <c r="E116" i="18" s="1"/>
  <c r="E265" i="30"/>
  <c r="E421" i="30" s="1"/>
  <c r="G272" i="18"/>
  <c r="G428" i="18" s="1"/>
  <c r="C222" i="30"/>
  <c r="C347" i="18"/>
  <c r="C323" i="30"/>
  <c r="U60" i="43"/>
  <c r="U659" i="35"/>
  <c r="E247" i="18"/>
  <c r="E403" i="18" s="1"/>
  <c r="C404" i="30"/>
  <c r="E260" i="30"/>
  <c r="G242" i="31"/>
  <c r="G256" i="30"/>
  <c r="C414" i="30"/>
  <c r="E38" i="30"/>
  <c r="E34" i="18"/>
  <c r="E190" i="18" s="1"/>
  <c r="G272" i="30"/>
  <c r="G428" i="30" s="1"/>
  <c r="E276" i="18"/>
  <c r="E432" i="18" s="1"/>
  <c r="C422" i="18"/>
  <c r="F747" i="35"/>
  <c r="S53" i="43"/>
  <c r="S42" i="46" s="1" a="1"/>
  <c r="S42" i="46" s="1"/>
  <c r="D296" i="18"/>
  <c r="D374" i="18" s="1"/>
  <c r="G273" i="18"/>
  <c r="E249" i="18"/>
  <c r="E405" i="18" s="1"/>
  <c r="F644" i="35"/>
  <c r="F737" i="35"/>
  <c r="C281" i="21"/>
  <c r="F281" i="21" s="1"/>
  <c r="F258" i="21"/>
  <c r="J58" i="38"/>
  <c r="G266" i="30"/>
  <c r="G344" i="30" s="1"/>
  <c r="G37" i="18"/>
  <c r="E8" i="18"/>
  <c r="D262" i="18"/>
  <c r="D340" i="18" s="1"/>
  <c r="E261" i="18"/>
  <c r="G27" i="30"/>
  <c r="F723" i="35"/>
  <c r="C277" i="21"/>
  <c r="F277" i="21" s="1"/>
  <c r="F254" i="21"/>
  <c r="E44" i="18"/>
  <c r="G37" i="30"/>
  <c r="G193" i="30" s="1"/>
  <c r="C345" i="18"/>
  <c r="E8" i="30"/>
  <c r="D262" i="30"/>
  <c r="C151" i="30"/>
  <c r="E261" i="30"/>
  <c r="E72" i="18"/>
  <c r="E150" i="18" s="1"/>
  <c r="Y83" i="43"/>
  <c r="E178" i="31"/>
  <c r="N79" i="43"/>
  <c r="N68" i="46" s="1" a="1"/>
  <c r="N68" i="46" s="1"/>
  <c r="L43" i="45"/>
  <c r="S757" i="35"/>
  <c r="D285" i="18"/>
  <c r="D441" i="18" s="1"/>
  <c r="Z76" i="43"/>
  <c r="Z65" i="46" s="1" a="1"/>
  <c r="Z65" i="46" s="1"/>
  <c r="Z27" i="43"/>
  <c r="Z16" i="46" s="1" a="1"/>
  <c r="Z16" i="46" s="1"/>
  <c r="D285" i="30"/>
  <c r="F640" i="35"/>
  <c r="F728" i="35"/>
  <c r="F743" i="35"/>
  <c r="F637" i="35"/>
  <c r="F727" i="35"/>
  <c r="F621" i="35"/>
  <c r="F624" i="35"/>
  <c r="N40" i="45"/>
  <c r="Y39" i="43"/>
  <c r="Y28" i="46" s="1" a="1"/>
  <c r="Y28" i="46" s="1"/>
  <c r="V50" i="43"/>
  <c r="V39" i="46" s="1" a="1"/>
  <c r="V39" i="46" s="1"/>
  <c r="I243" i="18"/>
  <c r="M42" i="43"/>
  <c r="M31" i="46" s="1" a="1"/>
  <c r="M31" i="46" s="1"/>
  <c r="E61" i="18"/>
  <c r="E139" i="18" s="1"/>
  <c r="C462" i="18"/>
  <c r="C349" i="30"/>
  <c r="E299" i="18"/>
  <c r="E245" i="31"/>
  <c r="C452" i="30"/>
  <c r="F740" i="35"/>
  <c r="F625" i="35"/>
  <c r="F738" i="35"/>
  <c r="F623" i="35"/>
  <c r="F748" i="35"/>
  <c r="AC519" i="30"/>
  <c r="F246" i="21"/>
  <c r="C269" i="21"/>
  <c r="F269" i="21" s="1"/>
  <c r="E61" i="30"/>
  <c r="C360" i="30"/>
  <c r="E299" i="30"/>
  <c r="F730" i="35"/>
  <c r="X67" i="43"/>
  <c r="X56" i="46" s="1" a="1"/>
  <c r="X56" i="46" s="1"/>
  <c r="C166" i="30"/>
  <c r="F732" i="35"/>
  <c r="AC125" i="30"/>
  <c r="N83" i="43"/>
  <c r="AA23" i="43"/>
  <c r="AA12" i="46" s="1" a="1"/>
  <c r="AA12" i="46" s="1"/>
  <c r="N50" i="43"/>
  <c r="N39" i="46" s="1" a="1"/>
  <c r="N39" i="46" s="1"/>
  <c r="V42" i="43"/>
  <c r="V31" i="46" s="1" a="1"/>
  <c r="V31" i="46" s="1"/>
  <c r="P78" i="43"/>
  <c r="P67" i="46" s="1" a="1"/>
  <c r="P67" i="46" s="1"/>
  <c r="F745" i="35"/>
  <c r="I480" i="18"/>
  <c r="Q78" i="43"/>
  <c r="Q67" i="46" s="1" a="1"/>
  <c r="Q67" i="46" s="1"/>
  <c r="F724" i="35"/>
  <c r="F619" i="35"/>
  <c r="F742" i="35"/>
  <c r="F629" i="35"/>
  <c r="F642" i="35"/>
  <c r="F639" i="35"/>
  <c r="F736" i="35"/>
  <c r="Q16" i="53"/>
  <c r="Q17" i="53" s="1"/>
  <c r="N16" i="53"/>
  <c r="N17" i="53" s="1"/>
  <c r="M16" i="53"/>
  <c r="M17" i="53" s="1"/>
  <c r="P16" i="53"/>
  <c r="P17" i="53" s="1"/>
  <c r="O16" i="53"/>
  <c r="O9" i="53"/>
  <c r="O10" i="53" s="1"/>
  <c r="N9" i="53"/>
  <c r="Q9" i="53"/>
  <c r="M9" i="53"/>
  <c r="M10" i="53" s="1"/>
  <c r="P9" i="53"/>
  <c r="P10" i="53" s="1"/>
  <c r="F622" i="35"/>
  <c r="F643" i="35"/>
  <c r="F719" i="35"/>
  <c r="F735" i="35"/>
  <c r="F636" i="35"/>
  <c r="F733" i="35"/>
  <c r="S670" i="35"/>
  <c r="F635" i="35"/>
  <c r="F744" i="35"/>
  <c r="F631" i="35"/>
  <c r="F739" i="35"/>
  <c r="F646" i="35"/>
  <c r="F632" i="35"/>
  <c r="F729" i="35"/>
  <c r="F626" i="35"/>
  <c r="F726" i="35"/>
  <c r="F620" i="35"/>
  <c r="F722" i="35"/>
  <c r="F641" i="35"/>
  <c r="F731" i="35"/>
  <c r="F628" i="35"/>
  <c r="F638" i="35"/>
  <c r="F746" i="35"/>
  <c r="F721" i="35"/>
  <c r="F634" i="35"/>
  <c r="W480" i="30"/>
  <c r="W869" i="30"/>
  <c r="W552" i="30"/>
  <c r="W243" i="30"/>
  <c r="J33" i="32"/>
  <c r="J37" i="32" s="1"/>
  <c r="AA85" i="43"/>
  <c r="AA74" i="46" s="1" a="1"/>
  <c r="AA74" i="46" s="1"/>
  <c r="W47" i="43"/>
  <c r="W36" i="46" s="1" a="1"/>
  <c r="W36" i="46" s="1"/>
  <c r="AA93" i="43"/>
  <c r="S49" i="43"/>
  <c r="X60" i="43"/>
  <c r="U50" i="43"/>
  <c r="U54" i="43"/>
  <c r="U43" i="46" s="1" a="1"/>
  <c r="U43" i="46" s="1"/>
  <c r="Y20" i="43"/>
  <c r="Y9" i="46" s="1" a="1"/>
  <c r="Y9" i="46" s="1"/>
  <c r="W20" i="43"/>
  <c r="W9" i="46" s="1" a="1"/>
  <c r="W9" i="46" s="1"/>
  <c r="Z42" i="43"/>
  <c r="Z31" i="46" s="1" a="1"/>
  <c r="Z31" i="46" s="1"/>
  <c r="R41" i="43"/>
  <c r="N40" i="43"/>
  <c r="N29" i="46" s="1" a="1"/>
  <c r="N29" i="46" s="1"/>
  <c r="AA53" i="43"/>
  <c r="Y51" i="43"/>
  <c r="Y40" i="46" s="1" a="1"/>
  <c r="Y40" i="46" s="1"/>
  <c r="AA26" i="43"/>
  <c r="AA15" i="46" s="1" a="1"/>
  <c r="AA15" i="46" s="1"/>
  <c r="P57" i="43"/>
  <c r="P46" i="46" s="1" a="1"/>
  <c r="P46" i="46" s="1"/>
  <c r="V39" i="43"/>
  <c r="V28" i="46" s="1" a="1"/>
  <c r="V28" i="46" s="1"/>
  <c r="W57" i="43"/>
  <c r="W46" i="46" s="1" a="1"/>
  <c r="W46" i="46" s="1"/>
  <c r="P50" i="43"/>
  <c r="Y46" i="43"/>
  <c r="Y41" i="43"/>
  <c r="Y28" i="43"/>
  <c r="V44" i="43"/>
  <c r="V33" i="46" s="1" a="1"/>
  <c r="V33" i="46" s="1"/>
  <c r="Z32" i="43"/>
  <c r="Z21" i="46" s="1" a="1"/>
  <c r="Z21" i="46" s="1"/>
  <c r="X23" i="43"/>
  <c r="X12" i="46" s="1" a="1"/>
  <c r="X12" i="46" s="1"/>
  <c r="X38" i="43"/>
  <c r="X27" i="46" s="1" a="1"/>
  <c r="X27" i="46" s="1"/>
  <c r="V35" i="43"/>
  <c r="Y25" i="43"/>
  <c r="M80" i="43"/>
  <c r="R61" i="43"/>
  <c r="R50" i="46" s="1" a="1"/>
  <c r="R50" i="46" s="1"/>
  <c r="P61" i="43"/>
  <c r="V80" i="43"/>
  <c r="V69" i="46" s="1" a="1"/>
  <c r="V69" i="46" s="1"/>
  <c r="V60" i="43"/>
  <c r="V49" i="46" s="1" a="1"/>
  <c r="V49" i="46" s="1"/>
  <c r="V92" i="43"/>
  <c r="V81" i="46" s="1" a="1"/>
  <c r="V81" i="46" s="1"/>
  <c r="U43" i="43"/>
  <c r="W22" i="43"/>
  <c r="X46" i="43"/>
  <c r="X35" i="46" s="1" a="1"/>
  <c r="X35" i="46" s="1"/>
  <c r="P40" i="43"/>
  <c r="P29" i="46" s="1" a="1"/>
  <c r="P29" i="46" s="1"/>
  <c r="T49" i="43"/>
  <c r="T38" i="46" s="1" a="1"/>
  <c r="T38" i="46" s="1"/>
  <c r="V46" i="43"/>
  <c r="V35" i="46" s="1" a="1"/>
  <c r="V35" i="46" s="1"/>
  <c r="M53" i="43"/>
  <c r="M42" i="46" s="1" a="1"/>
  <c r="M42" i="46" s="1"/>
  <c r="N52" i="43"/>
  <c r="X42" i="43"/>
  <c r="Z47" i="43"/>
  <c r="Z36" i="46" s="1" a="1"/>
  <c r="Z36" i="46" s="1"/>
  <c r="D28" i="45"/>
  <c r="Y64" i="43"/>
  <c r="Y53" i="46" s="1" a="1"/>
  <c r="Y53" i="46" s="1"/>
  <c r="W63" i="43"/>
  <c r="W52" i="46" s="1" a="1"/>
  <c r="W52" i="46" s="1"/>
  <c r="Y35" i="43"/>
  <c r="X22" i="43"/>
  <c r="X11" i="46" s="1" a="1"/>
  <c r="X11" i="46" s="1"/>
  <c r="U83" i="43"/>
  <c r="U75" i="43"/>
  <c r="V40" i="43"/>
  <c r="V29" i="46" s="1" a="1"/>
  <c r="V29" i="46" s="1"/>
  <c r="M85" i="43"/>
  <c r="M74" i="46" s="1" a="1"/>
  <c r="M74" i="46" s="1"/>
  <c r="M93" i="43"/>
  <c r="M82" i="46" s="1" a="1"/>
  <c r="M82" i="46" s="1"/>
  <c r="Q83" i="43"/>
  <c r="Q72" i="46" s="1" a="1"/>
  <c r="Q72" i="46" s="1"/>
  <c r="U87" i="43"/>
  <c r="U76" i="46" s="1" a="1"/>
  <c r="U76" i="46" s="1"/>
  <c r="Y73" i="43"/>
  <c r="Y62" i="46" s="1" a="1"/>
  <c r="Y62" i="46" s="1"/>
  <c r="T78" i="43"/>
  <c r="T67" i="46" s="1" a="1"/>
  <c r="T67" i="46" s="1"/>
  <c r="M61" i="43"/>
  <c r="Z66" i="43"/>
  <c r="N66" i="43"/>
  <c r="X78" i="43"/>
  <c r="X67" i="46" s="1" a="1"/>
  <c r="X67" i="46" s="1"/>
  <c r="AA20" i="43"/>
  <c r="AA9" i="46" s="1" a="1"/>
  <c r="AA9" i="46" s="1"/>
  <c r="M91" i="43"/>
  <c r="M80" i="46" s="1" a="1"/>
  <c r="M80" i="46" s="1"/>
  <c r="N47" i="43"/>
  <c r="N36" i="46" s="1" a="1"/>
  <c r="N36" i="46" s="1"/>
  <c r="R40" i="43"/>
  <c r="V62" i="43"/>
  <c r="R50" i="43"/>
  <c r="R39" i="46" s="1" a="1"/>
  <c r="R39" i="46" s="1"/>
  <c r="Q48" i="43"/>
  <c r="Q37" i="46" s="1" a="1"/>
  <c r="Q37" i="46" s="1"/>
  <c r="M51" i="43"/>
  <c r="M40" i="46" s="1" a="1"/>
  <c r="M40" i="46" s="1"/>
  <c r="Q52" i="43"/>
  <c r="Q41" i="46" s="1" a="1"/>
  <c r="Q41" i="46" s="1"/>
  <c r="Q46" i="43"/>
  <c r="Y49" i="43"/>
  <c r="Y38" i="46" s="1" a="1"/>
  <c r="Y38" i="46" s="1"/>
  <c r="P44" i="43"/>
  <c r="M45" i="43"/>
  <c r="M41" i="43"/>
  <c r="M30" i="46" s="1" a="1"/>
  <c r="M30" i="46" s="1"/>
  <c r="M90" i="43"/>
  <c r="V64" i="43"/>
  <c r="V53" i="46" s="1" a="1"/>
  <c r="V53" i="46" s="1"/>
  <c r="W26" i="43"/>
  <c r="W15" i="46" s="1" a="1"/>
  <c r="W15" i="46" s="1"/>
  <c r="V43" i="43"/>
  <c r="V32" i="46" s="1" a="1"/>
  <c r="V32" i="46" s="1"/>
  <c r="N89" i="43"/>
  <c r="N78" i="46" s="1" a="1"/>
  <c r="N78" i="46" s="1"/>
  <c r="U59" i="43"/>
  <c r="U48" i="46" s="1" a="1"/>
  <c r="U48" i="46" s="1"/>
  <c r="U51" i="43"/>
  <c r="U40" i="46" s="1" a="1"/>
  <c r="U40" i="46" s="1"/>
  <c r="M44" i="43"/>
  <c r="M33" i="46" s="1" a="1"/>
  <c r="M33" i="46" s="1"/>
  <c r="S71" i="43"/>
  <c r="S60" i="46" s="1" a="1"/>
  <c r="S60" i="46" s="1"/>
  <c r="Y53" i="43"/>
  <c r="Y42" i="46" s="1" a="1"/>
  <c r="Y42" i="46" s="1"/>
  <c r="W27" i="43"/>
  <c r="W16" i="46" s="1" a="1"/>
  <c r="W16" i="46" s="1"/>
  <c r="S45" i="43"/>
  <c r="S34" i="46" s="1" a="1"/>
  <c r="S34" i="46" s="1"/>
  <c r="O52" i="43"/>
  <c r="O41" i="46" s="1" a="1"/>
  <c r="O41" i="46" s="1"/>
  <c r="O44" i="43"/>
  <c r="O33" i="46" s="1" a="1"/>
  <c r="O33" i="46" s="1"/>
  <c r="Y44" i="43"/>
  <c r="Z39" i="43"/>
  <c r="P52" i="43"/>
  <c r="P41" i="46" s="1" a="1"/>
  <c r="P41" i="46" s="1"/>
  <c r="V45" i="43"/>
  <c r="V34" i="46" s="1" a="1"/>
  <c r="V34" i="46" s="1"/>
  <c r="Q51" i="43"/>
  <c r="Q40" i="46" s="1" a="1"/>
  <c r="Q40" i="46" s="1"/>
  <c r="X45" i="43"/>
  <c r="X34" i="46" s="1" a="1"/>
  <c r="X34" i="46" s="1"/>
  <c r="M48" i="43"/>
  <c r="M37" i="46" s="1" a="1"/>
  <c r="M37" i="46" s="1"/>
  <c r="Z30" i="43"/>
  <c r="Z19" i="46" s="1" a="1"/>
  <c r="Z19" i="46" s="1"/>
  <c r="U46" i="43"/>
  <c r="U35" i="46" s="1" a="1"/>
  <c r="U35" i="46" s="1"/>
  <c r="T51" i="43"/>
  <c r="V34" i="43"/>
  <c r="V23" i="46" s="1" a="1"/>
  <c r="V23" i="46" s="1"/>
  <c r="N41" i="43"/>
  <c r="N30" i="46" s="1" a="1"/>
  <c r="N30" i="46" s="1"/>
  <c r="L29" i="45"/>
  <c r="N30" i="32"/>
  <c r="P54" i="43"/>
  <c r="P43" i="46" s="1" a="1"/>
  <c r="P43" i="46" s="1"/>
  <c r="V20" i="43"/>
  <c r="Z35" i="43"/>
  <c r="P87" i="43"/>
  <c r="P76" i="46" s="1" a="1"/>
  <c r="P76" i="46" s="1"/>
  <c r="R54" i="43"/>
  <c r="R43" i="46" s="1" a="1"/>
  <c r="R43" i="46" s="1"/>
  <c r="P47" i="43"/>
  <c r="P36" i="46" s="1" a="1"/>
  <c r="P36" i="46" s="1"/>
  <c r="V82" i="43"/>
  <c r="U63" i="43"/>
  <c r="U52" i="46" s="1" a="1"/>
  <c r="U52" i="46" s="1"/>
  <c r="X75" i="43"/>
  <c r="X64" i="46" s="1" a="1"/>
  <c r="X64" i="46" s="1"/>
  <c r="U80" i="43"/>
  <c r="U69" i="46" s="1" a="1"/>
  <c r="U69" i="46" s="1"/>
  <c r="U48" i="43"/>
  <c r="U37" i="46" s="1" a="1"/>
  <c r="U37" i="46" s="1"/>
  <c r="Y63" i="43"/>
  <c r="Y52" i="46" s="1" a="1"/>
  <c r="Y52" i="46" s="1"/>
  <c r="Y30" i="43"/>
  <c r="Y19" i="46" s="1" a="1"/>
  <c r="Y19" i="46" s="1"/>
  <c r="Y34" i="43"/>
  <c r="Y23" i="46" s="1" a="1"/>
  <c r="Y23" i="46" s="1"/>
  <c r="Y52" i="43"/>
  <c r="Y67" i="43"/>
  <c r="T79" i="43"/>
  <c r="T68" i="46" s="1" a="1"/>
  <c r="T68" i="46" s="1"/>
  <c r="Z79" i="43"/>
  <c r="Z68" i="46" s="1" a="1"/>
  <c r="Z68" i="46" s="1"/>
  <c r="R60" i="43"/>
  <c r="R49" i="46" s="1" a="1"/>
  <c r="R49" i="46" s="1"/>
  <c r="U66" i="43"/>
  <c r="U55" i="46" s="1" a="1"/>
  <c r="U55" i="46" s="1"/>
  <c r="Q81" i="43"/>
  <c r="Q70" i="46" s="1" a="1"/>
  <c r="Q70" i="46" s="1"/>
  <c r="M83" i="43"/>
  <c r="M72" i="46" s="1" a="1"/>
  <c r="M72" i="46" s="1"/>
  <c r="X83" i="43"/>
  <c r="V33" i="43"/>
  <c r="V22" i="46" s="1" a="1"/>
  <c r="V22" i="46" s="1"/>
  <c r="W56" i="43"/>
  <c r="W45" i="46" s="1" a="1"/>
  <c r="W45" i="46" s="1"/>
  <c r="P42" i="43"/>
  <c r="P31" i="46" s="1" a="1"/>
  <c r="P31" i="46" s="1"/>
  <c r="P30" i="32"/>
  <c r="U451" i="30"/>
  <c r="AC451" i="30" s="1"/>
  <c r="U302" i="30"/>
  <c r="AC302" i="30" s="1"/>
  <c r="U391" i="30"/>
  <c r="AC391" i="30" s="1"/>
  <c r="T670" i="35"/>
  <c r="U27" i="46" a="1"/>
  <c r="U27" i="46" s="1"/>
  <c r="V16" i="46" a="1"/>
  <c r="V16" i="46" s="1"/>
  <c r="O47" i="43"/>
  <c r="O36" i="46" s="1" a="1"/>
  <c r="O36" i="46" s="1"/>
  <c r="T65" i="43"/>
  <c r="T54" i="46" s="1" a="1"/>
  <c r="T54" i="46" s="1"/>
  <c r="P55" i="43"/>
  <c r="P44" i="46" s="1" a="1"/>
  <c r="P44" i="46" s="1"/>
  <c r="AA27" i="43"/>
  <c r="W55" i="43"/>
  <c r="AA22" i="43"/>
  <c r="AA11" i="46" s="1" a="1"/>
  <c r="AA11" i="46" s="1"/>
  <c r="X86" i="43"/>
  <c r="X75" i="46" s="1" a="1"/>
  <c r="X75" i="46" s="1"/>
  <c r="V56" i="43"/>
  <c r="V45" i="46" s="1" a="1"/>
  <c r="V45" i="46" s="1"/>
  <c r="Z29" i="43"/>
  <c r="Z18" i="46" s="1" a="1"/>
  <c r="Z18" i="46" s="1"/>
  <c r="T46" i="43"/>
  <c r="S46" i="43"/>
  <c r="S35" i="46" s="1" a="1"/>
  <c r="S35" i="46" s="1"/>
  <c r="Y54" i="43"/>
  <c r="T60" i="43"/>
  <c r="T49" i="46" s="1" a="1"/>
  <c r="T49" i="46" s="1"/>
  <c r="Z83" i="43"/>
  <c r="Z72" i="46" s="1" a="1"/>
  <c r="Z72" i="46" s="1"/>
  <c r="N75" i="43"/>
  <c r="S41" i="43"/>
  <c r="S30" i="46" s="1" a="1"/>
  <c r="S30" i="46" s="1"/>
  <c r="Q61" i="43"/>
  <c r="U85" i="43"/>
  <c r="V83" i="43"/>
  <c r="V72" i="46" s="1" a="1"/>
  <c r="V72" i="46" s="1"/>
  <c r="Y47" i="43"/>
  <c r="AC329" i="30"/>
  <c r="D128" i="45"/>
  <c r="U665" i="35"/>
  <c r="G665" i="35"/>
  <c r="G672" i="35"/>
  <c r="S679" i="35"/>
  <c r="T672" i="35"/>
  <c r="S39" i="43"/>
  <c r="U93" i="43"/>
  <c r="U82" i="46" s="1" a="1"/>
  <c r="U82" i="46" s="1"/>
  <c r="P72" i="43"/>
  <c r="P61" i="46" s="1" a="1"/>
  <c r="P61" i="46" s="1"/>
  <c r="W40" i="43"/>
  <c r="W29" i="46" s="1" a="1"/>
  <c r="W29" i="46" s="1"/>
  <c r="T57" i="43"/>
  <c r="T46" i="46" s="1" a="1"/>
  <c r="T46" i="46" s="1"/>
  <c r="N57" i="43"/>
  <c r="N46" i="46" s="1" a="1"/>
  <c r="N46" i="46" s="1"/>
  <c r="E305" i="18"/>
  <c r="C448" i="18"/>
  <c r="E245" i="18"/>
  <c r="E244" i="31"/>
  <c r="C177" i="30"/>
  <c r="E246" i="30"/>
  <c r="E194" i="31"/>
  <c r="E303" i="18"/>
  <c r="E459" i="18" s="1"/>
  <c r="G71" i="18"/>
  <c r="G227" i="18" s="1"/>
  <c r="D239" i="31"/>
  <c r="D222" i="31"/>
  <c r="G282" i="18"/>
  <c r="G360" i="18" s="1"/>
  <c r="E300" i="30"/>
  <c r="C446" i="18"/>
  <c r="E27" i="30"/>
  <c r="E105" i="30" s="1"/>
  <c r="E204" i="31"/>
  <c r="G251" i="30"/>
  <c r="G407" i="30" s="1"/>
  <c r="C235" i="30"/>
  <c r="G254" i="30"/>
  <c r="C113" i="30"/>
  <c r="E250" i="30"/>
  <c r="C238" i="18"/>
  <c r="D261" i="30"/>
  <c r="D417" i="30" s="1"/>
  <c r="G54" i="18"/>
  <c r="G210" i="18" s="1"/>
  <c r="C331" i="18"/>
  <c r="E262" i="30"/>
  <c r="D245" i="18"/>
  <c r="D323" i="18" s="1"/>
  <c r="G54" i="30"/>
  <c r="G210" i="30" s="1"/>
  <c r="E13" i="18"/>
  <c r="C111" i="30"/>
  <c r="C338" i="18"/>
  <c r="Y37" i="43"/>
  <c r="Y26" i="46" s="1" a="1"/>
  <c r="Y26" i="46" s="1"/>
  <c r="G31" i="18"/>
  <c r="G18" i="18"/>
  <c r="C345" i="30"/>
  <c r="E30" i="18"/>
  <c r="E108" i="18" s="1"/>
  <c r="C107" i="18"/>
  <c r="E319" i="18"/>
  <c r="E18" i="18"/>
  <c r="E174" i="18" s="1"/>
  <c r="D245" i="30"/>
  <c r="D401" i="30" s="1"/>
  <c r="E10" i="18"/>
  <c r="E88" i="18" s="1"/>
  <c r="C125" i="18"/>
  <c r="C133" i="30"/>
  <c r="E13" i="30"/>
  <c r="E91" i="30" s="1"/>
  <c r="G36" i="18"/>
  <c r="G192" i="18" s="1"/>
  <c r="E78" i="18"/>
  <c r="G31" i="30"/>
  <c r="G109" i="30" s="1"/>
  <c r="G18" i="30"/>
  <c r="G247" i="18"/>
  <c r="G325" i="18" s="1"/>
  <c r="E30" i="30"/>
  <c r="E319" i="30"/>
  <c r="D248" i="18"/>
  <c r="D404" i="18" s="1"/>
  <c r="E18" i="30"/>
  <c r="E174" i="30" s="1"/>
  <c r="E10" i="30"/>
  <c r="D60" i="18"/>
  <c r="D216" i="18" s="1"/>
  <c r="G36" i="30"/>
  <c r="G114" i="30" s="1"/>
  <c r="E31" i="18"/>
  <c r="E109" i="18" s="1"/>
  <c r="E78" i="30"/>
  <c r="G293" i="18"/>
  <c r="E280" i="18"/>
  <c r="E436" i="18" s="1"/>
  <c r="G247" i="30"/>
  <c r="G403" i="30" s="1"/>
  <c r="C432" i="30"/>
  <c r="C339" i="30"/>
  <c r="D248" i="30"/>
  <c r="G25" i="18"/>
  <c r="E71" i="18"/>
  <c r="E227" i="18" s="1"/>
  <c r="D258" i="18"/>
  <c r="D414" i="18" s="1"/>
  <c r="E81" i="18"/>
  <c r="E159" i="18" s="1"/>
  <c r="D60" i="30"/>
  <c r="E31" i="30"/>
  <c r="X19" i="43"/>
  <c r="X8" i="46" s="1" a="1"/>
  <c r="X8" i="46" s="1"/>
  <c r="C173" i="30"/>
  <c r="V68" i="43"/>
  <c r="V57" i="46" s="1" a="1"/>
  <c r="V57" i="46" s="1"/>
  <c r="D14" i="18"/>
  <c r="N72" i="43"/>
  <c r="N61" i="46" s="1" a="1"/>
  <c r="N61" i="46" s="1"/>
  <c r="Z25" i="43"/>
  <c r="Z14" i="46" s="1" a="1"/>
  <c r="Z14" i="46" s="1"/>
  <c r="P65" i="43"/>
  <c r="P54" i="46" s="1" a="1"/>
  <c r="P54" i="46" s="1"/>
  <c r="Z28" i="43"/>
  <c r="Z17" i="46" s="1" a="1"/>
  <c r="Z17" i="46" s="1"/>
  <c r="U44" i="43"/>
  <c r="U33" i="46" s="1" a="1"/>
  <c r="U33" i="46" s="1"/>
  <c r="Z51" i="43"/>
  <c r="Z40" i="46" s="1" a="1"/>
  <c r="Z40" i="46" s="1"/>
  <c r="Q45" i="43"/>
  <c r="Q34" i="46" s="1" a="1"/>
  <c r="Q34" i="46" s="1"/>
  <c r="O50" i="43"/>
  <c r="O39" i="46" s="1" a="1"/>
  <c r="O39" i="46" s="1"/>
  <c r="V29" i="43"/>
  <c r="V18" i="46" s="1" a="1"/>
  <c r="V18" i="46" s="1"/>
  <c r="N85" i="43"/>
  <c r="N74" i="46" s="1" a="1"/>
  <c r="N74" i="46" s="1"/>
  <c r="U74" i="43"/>
  <c r="U63" i="46" s="1" a="1"/>
  <c r="U63" i="46" s="1"/>
  <c r="T64" i="43"/>
  <c r="T53" i="46" s="1" a="1"/>
  <c r="T53" i="46" s="1"/>
  <c r="P41" i="43"/>
  <c r="P30" i="46" s="1" a="1"/>
  <c r="P30" i="46" s="1"/>
  <c r="E75" i="30"/>
  <c r="E56" i="30"/>
  <c r="G191" i="31"/>
  <c r="G66" i="18"/>
  <c r="G60" i="18"/>
  <c r="G216" i="18" s="1"/>
  <c r="G66" i="30"/>
  <c r="G60" i="30"/>
  <c r="E73" i="18"/>
  <c r="E229" i="18" s="1"/>
  <c r="E79" i="18"/>
  <c r="G82" i="18"/>
  <c r="E73" i="30"/>
  <c r="E151" i="30" s="1"/>
  <c r="G78" i="18"/>
  <c r="E79" i="30"/>
  <c r="E235" i="30" s="1"/>
  <c r="G82" i="30"/>
  <c r="W32" i="43"/>
  <c r="W21" i="46" s="1" a="1"/>
  <c r="W21" i="46" s="1"/>
  <c r="R48" i="43"/>
  <c r="R37" i="46" s="1" a="1"/>
  <c r="R37" i="46" s="1"/>
  <c r="Z34" i="43"/>
  <c r="Z23" i="46" s="1" a="1"/>
  <c r="Z23" i="46" s="1"/>
  <c r="D57" i="18"/>
  <c r="Z45" i="43"/>
  <c r="Z34" i="46" s="1" a="1"/>
  <c r="Z34" i="46" s="1"/>
  <c r="D57" i="30"/>
  <c r="W33" i="43"/>
  <c r="W22" i="46" s="1" a="1"/>
  <c r="W22" i="46" s="1"/>
  <c r="U69" i="43"/>
  <c r="U58" i="46" s="1" a="1"/>
  <c r="U58" i="46" s="1"/>
  <c r="V52" i="43"/>
  <c r="V41" i="46" s="1" a="1"/>
  <c r="V41" i="46" s="1"/>
  <c r="X50" i="43"/>
  <c r="X39" i="46" s="1" a="1"/>
  <c r="X39" i="46" s="1"/>
  <c r="P70" i="43"/>
  <c r="P59" i="46" s="1" a="1"/>
  <c r="P59" i="46" s="1"/>
  <c r="U65" i="43"/>
  <c r="F128" i="45"/>
  <c r="X39" i="43"/>
  <c r="X28" i="46" s="1" a="1"/>
  <c r="X28" i="46" s="1"/>
  <c r="AA24" i="43"/>
  <c r="AA13" i="46" s="1" a="1"/>
  <c r="AA13" i="46" s="1"/>
  <c r="V55" i="43"/>
  <c r="V44" i="46" s="1" a="1"/>
  <c r="V44" i="46" s="1"/>
  <c r="U25" i="43"/>
  <c r="X31" i="43"/>
  <c r="X20" i="46" s="1" a="1"/>
  <c r="X20" i="46" s="1"/>
  <c r="R49" i="43"/>
  <c r="R38" i="46" s="1" a="1"/>
  <c r="R38" i="46" s="1"/>
  <c r="X52" i="43"/>
  <c r="X41" i="46" s="1" a="1"/>
  <c r="X41" i="46" s="1"/>
  <c r="R55" i="43"/>
  <c r="R44" i="46" s="1" a="1"/>
  <c r="R44" i="46" s="1"/>
  <c r="R45" i="43"/>
  <c r="R34" i="46" s="1" a="1"/>
  <c r="R34" i="46" s="1"/>
  <c r="Z48" i="43"/>
  <c r="Z37" i="46" s="1" a="1"/>
  <c r="Z37" i="46" s="1"/>
  <c r="N44" i="43"/>
  <c r="N33" i="46" s="1" a="1"/>
  <c r="N33" i="46" s="1"/>
  <c r="X40" i="43"/>
  <c r="X29" i="46" s="1" a="1"/>
  <c r="X29" i="46" s="1"/>
  <c r="X20" i="43"/>
  <c r="X9" i="46" s="1" a="1"/>
  <c r="X9" i="46" s="1"/>
  <c r="Q53" i="43"/>
  <c r="Q42" i="46" s="1" a="1"/>
  <c r="Q42" i="46" s="1"/>
  <c r="Q47" i="43"/>
  <c r="Q36" i="46" s="1" a="1"/>
  <c r="Q36" i="46" s="1"/>
  <c r="V32" i="43"/>
  <c r="V21" i="46" s="1" a="1"/>
  <c r="V21" i="46" s="1"/>
  <c r="Z38" i="43"/>
  <c r="Z27" i="46" s="1" a="1"/>
  <c r="Z27" i="46" s="1"/>
  <c r="R52" i="43"/>
  <c r="R41" i="46" s="1" a="1"/>
  <c r="R41" i="46" s="1"/>
  <c r="Z26" i="43"/>
  <c r="Z15" i="46" s="1" a="1"/>
  <c r="Z15" i="46" s="1"/>
  <c r="Q40" i="43"/>
  <c r="Q29" i="46" s="1" a="1"/>
  <c r="Q29" i="46" s="1"/>
  <c r="Z54" i="43"/>
  <c r="Z43" i="46" s="1" a="1"/>
  <c r="Z43" i="46" s="1"/>
  <c r="X30" i="43"/>
  <c r="X19" i="46" s="1" a="1"/>
  <c r="X19" i="46" s="1"/>
  <c r="X33" i="43"/>
  <c r="X22" i="46" s="1" a="1"/>
  <c r="X22" i="46" s="1"/>
  <c r="Z33" i="43"/>
  <c r="Z22" i="46" s="1" a="1"/>
  <c r="Z22" i="46" s="1"/>
  <c r="P43" i="43"/>
  <c r="P32" i="46" s="1" a="1"/>
  <c r="P32" i="46" s="1"/>
  <c r="U30" i="43"/>
  <c r="T47" i="43"/>
  <c r="T36" i="46" s="1" a="1"/>
  <c r="T36" i="46" s="1"/>
  <c r="T45" i="43"/>
  <c r="T34" i="46" s="1" a="1"/>
  <c r="T34" i="46" s="1"/>
  <c r="T42" i="43"/>
  <c r="T31" i="46" s="1" a="1"/>
  <c r="T31" i="46" s="1"/>
  <c r="Q64" i="43"/>
  <c r="Q53" i="46" s="1" a="1"/>
  <c r="Q53" i="46" s="1"/>
  <c r="R43" i="43"/>
  <c r="W52" i="43"/>
  <c r="W41" i="46" s="1" a="1"/>
  <c r="W41" i="46" s="1"/>
  <c r="S661" i="35"/>
  <c r="U761" i="35"/>
  <c r="G661" i="35"/>
  <c r="G58" i="30"/>
  <c r="D78" i="30"/>
  <c r="D234" i="30" s="1"/>
  <c r="Y68" i="43"/>
  <c r="Y57" i="46" s="1" a="1"/>
  <c r="Y57" i="46" s="1"/>
  <c r="T659" i="35"/>
  <c r="D72" i="18"/>
  <c r="D150" i="18" s="1"/>
  <c r="C216" i="30"/>
  <c r="E82" i="18"/>
  <c r="E160" i="18" s="1"/>
  <c r="Y91" i="43"/>
  <c r="Y80" i="46" s="1" a="1"/>
  <c r="Y80" i="46" s="1"/>
  <c r="W19" i="43"/>
  <c r="W8" i="46" s="1" a="1"/>
  <c r="W8" i="46" s="1"/>
  <c r="R92" i="43"/>
  <c r="R81" i="46" s="1" a="1"/>
  <c r="R81" i="46" s="1"/>
  <c r="U661" i="35"/>
  <c r="G659" i="35"/>
  <c r="E313" i="18"/>
  <c r="E391" i="18" s="1"/>
  <c r="E63" i="18"/>
  <c r="C153" i="30"/>
  <c r="D72" i="30"/>
  <c r="E82" i="30"/>
  <c r="X24" i="43"/>
  <c r="X13" i="46" s="1" a="1"/>
  <c r="X13" i="46" s="1"/>
  <c r="X21" i="43"/>
  <c r="X10" i="46" s="1" a="1"/>
  <c r="X10" i="46" s="1"/>
  <c r="U68" i="43"/>
  <c r="U57" i="46" s="1" a="1"/>
  <c r="U57" i="46" s="1"/>
  <c r="N90" i="43"/>
  <c r="N79" i="46" s="1" a="1"/>
  <c r="N79" i="46" s="1"/>
  <c r="T770" i="35"/>
  <c r="U778" i="35"/>
  <c r="K778" i="35" s="1"/>
  <c r="E301" i="18"/>
  <c r="E313" i="30"/>
  <c r="E306" i="30"/>
  <c r="E384" i="30" s="1"/>
  <c r="E63" i="30"/>
  <c r="Y32" i="43"/>
  <c r="Y21" i="46" s="1" a="1"/>
  <c r="Y21" i="46" s="1"/>
  <c r="Y87" i="43"/>
  <c r="Y76" i="46" s="1" a="1"/>
  <c r="Y76" i="46" s="1"/>
  <c r="Q77" i="43"/>
  <c r="Q66" i="46" s="1" a="1"/>
  <c r="Q66" i="46" s="1"/>
  <c r="Z49" i="43"/>
  <c r="Z38" i="46" s="1" a="1"/>
  <c r="Z38" i="46" s="1"/>
  <c r="Q54" i="43"/>
  <c r="Q43" i="46" s="1" a="1"/>
  <c r="Q43" i="46" s="1"/>
  <c r="V93" i="43"/>
  <c r="V82" i="46" s="1" a="1"/>
  <c r="V82" i="46" s="1"/>
  <c r="S770" i="35"/>
  <c r="E301" i="30"/>
  <c r="P91" i="43"/>
  <c r="P80" i="46" s="1" a="1"/>
  <c r="P80" i="46" s="1"/>
  <c r="T71" i="43"/>
  <c r="T60" i="46" s="1" a="1"/>
  <c r="T60" i="46" s="1"/>
  <c r="E55" i="18"/>
  <c r="Z85" i="43"/>
  <c r="Z74" i="46" s="1" a="1"/>
  <c r="Z74" i="46" s="1"/>
  <c r="Q73" i="43"/>
  <c r="Q62" i="46" s="1" a="1"/>
  <c r="Q62" i="46" s="1"/>
  <c r="T70" i="43"/>
  <c r="T59" i="46" s="1" a="1"/>
  <c r="T59" i="46" s="1"/>
  <c r="T661" i="35"/>
  <c r="U770" i="35"/>
  <c r="Y38" i="43"/>
  <c r="Y27" i="46" s="1" a="1"/>
  <c r="Y27" i="46" s="1"/>
  <c r="W34" i="43"/>
  <c r="W23" i="46" s="1" a="1"/>
  <c r="W23" i="46" s="1"/>
  <c r="T81" i="43"/>
  <c r="R90" i="43"/>
  <c r="R79" i="46" s="1" a="1"/>
  <c r="R79" i="46" s="1"/>
  <c r="X68" i="43"/>
  <c r="X57" i="46" s="1" a="1"/>
  <c r="X57" i="46" s="1"/>
  <c r="R57" i="43"/>
  <c r="R46" i="46" s="1" a="1"/>
  <c r="R46" i="46" s="1"/>
  <c r="Q70" i="43"/>
  <c r="Q59" i="46" s="1" a="1"/>
  <c r="Q59" i="46" s="1"/>
  <c r="Q82" i="43"/>
  <c r="Q71" i="46" s="1" a="1"/>
  <c r="Q71" i="46" s="1"/>
  <c r="Z63" i="43"/>
  <c r="Z52" i="46" s="1" a="1"/>
  <c r="Z52" i="46" s="1"/>
  <c r="P74" i="43"/>
  <c r="P63" i="46" s="1" a="1"/>
  <c r="P63" i="46" s="1"/>
  <c r="V66" i="43"/>
  <c r="V55" i="46" s="1" a="1"/>
  <c r="V55" i="46" s="1"/>
  <c r="V48" i="43"/>
  <c r="V37" i="46" s="1" a="1"/>
  <c r="V37" i="46" s="1"/>
  <c r="Z53" i="43"/>
  <c r="Z42" i="46" s="1" a="1"/>
  <c r="Z42" i="46" s="1"/>
  <c r="U660" i="35"/>
  <c r="Y40" i="43"/>
  <c r="Y29" i="46" s="1" a="1"/>
  <c r="Y29" i="46" s="1"/>
  <c r="V61" i="43"/>
  <c r="V50" i="46" s="1" a="1"/>
  <c r="V50" i="46" s="1"/>
  <c r="M68" i="43"/>
  <c r="M57" i="46" s="1" a="1"/>
  <c r="M57" i="46" s="1"/>
  <c r="Z21" i="43"/>
  <c r="Z10" i="46" s="1" a="1"/>
  <c r="Z10" i="46" s="1"/>
  <c r="X89" i="43"/>
  <c r="X78" i="46" s="1" a="1"/>
  <c r="X78" i="46" s="1"/>
  <c r="N63" i="43"/>
  <c r="N52" i="46" s="1" a="1"/>
  <c r="N52" i="46" s="1"/>
  <c r="C426" i="18"/>
  <c r="N84" i="43"/>
  <c r="N73" i="46" s="1" a="1"/>
  <c r="N73" i="46" s="1"/>
  <c r="U73" i="43"/>
  <c r="U62" i="46" s="1" a="1"/>
  <c r="U62" i="46" s="1"/>
  <c r="G660" i="35"/>
  <c r="M73" i="43"/>
  <c r="M62" i="46" s="1" a="1"/>
  <c r="M62" i="46" s="1"/>
  <c r="U78" i="43"/>
  <c r="U67" i="46" s="1" a="1"/>
  <c r="U67" i="46" s="1"/>
  <c r="P49" i="43"/>
  <c r="P38" i="46" s="1" a="1"/>
  <c r="P38" i="46" s="1"/>
  <c r="T69" i="43"/>
  <c r="T58" i="46" s="1" a="1"/>
  <c r="T58" i="46" s="1"/>
  <c r="P53" i="43"/>
  <c r="P42" i="46" s="1" a="1"/>
  <c r="P42" i="46" s="1"/>
  <c r="V67" i="43"/>
  <c r="V56" i="46" s="1" a="1"/>
  <c r="V56" i="46" s="1"/>
  <c r="Z88" i="43"/>
  <c r="Z77" i="46" s="1" a="1"/>
  <c r="Z77" i="46" s="1"/>
  <c r="T86" i="43"/>
  <c r="T75" i="46" s="1" a="1"/>
  <c r="T75" i="46" s="1"/>
  <c r="V78" i="43"/>
  <c r="W38" i="43"/>
  <c r="W27" i="46" s="1" a="1"/>
  <c r="W27" i="46" s="1"/>
  <c r="R71" i="43"/>
  <c r="R60" i="46" s="1" a="1"/>
  <c r="R60" i="46" s="1"/>
  <c r="X87" i="43"/>
  <c r="X76" i="46" s="1" a="1"/>
  <c r="X76" i="46" s="1"/>
  <c r="N80" i="43"/>
  <c r="N69" i="46" s="1" a="1"/>
  <c r="N69" i="46" s="1"/>
  <c r="Z89" i="43"/>
  <c r="Z78" i="46" s="1" a="1"/>
  <c r="Z78" i="46" s="1"/>
  <c r="AC130" i="30"/>
  <c r="U140" i="30"/>
  <c r="AC140" i="30" s="1"/>
  <c r="U142" i="30"/>
  <c r="AC142" i="30" s="1"/>
  <c r="U144" i="30"/>
  <c r="AC144" i="30" s="1"/>
  <c r="U139" i="30"/>
  <c r="AC139" i="30" s="1"/>
  <c r="U132" i="30"/>
  <c r="AC132" i="30" s="1"/>
  <c r="U134" i="30"/>
  <c r="AC134" i="30" s="1"/>
  <c r="U145" i="30"/>
  <c r="AC145" i="30" s="1"/>
  <c r="U138" i="30"/>
  <c r="AC138" i="30" s="1"/>
  <c r="U508" i="30"/>
  <c r="AC508" i="30" s="1"/>
  <c r="U524" i="30"/>
  <c r="AC524" i="30" s="1"/>
  <c r="U516" i="30"/>
  <c r="AC516" i="30" s="1"/>
  <c r="U124" i="30"/>
  <c r="AC124" i="30" s="1"/>
  <c r="U126" i="30"/>
  <c r="AC126" i="30" s="1"/>
  <c r="U128" i="30"/>
  <c r="AC128" i="30" s="1"/>
  <c r="U123" i="30"/>
  <c r="AC123" i="30" s="1"/>
  <c r="U116" i="30"/>
  <c r="AC116" i="30" s="1"/>
  <c r="U118" i="30"/>
  <c r="U129" i="30"/>
  <c r="AC129" i="30" s="1"/>
  <c r="U122" i="30"/>
  <c r="AC122" i="30" s="1"/>
  <c r="U520" i="30"/>
  <c r="AC520" i="30" s="1"/>
  <c r="U88" i="30"/>
  <c r="U514" i="30"/>
  <c r="AC514" i="30" s="1"/>
  <c r="U506" i="30"/>
  <c r="AC506" i="30" s="1"/>
  <c r="I525" i="30"/>
  <c r="I476" i="30"/>
  <c r="I398" i="30"/>
  <c r="U117" i="30"/>
  <c r="AC117" i="30" s="1"/>
  <c r="U119" i="30"/>
  <c r="U121" i="30"/>
  <c r="AC121" i="30" s="1"/>
  <c r="U114" i="30"/>
  <c r="AC114" i="30" s="1"/>
  <c r="U109" i="30"/>
  <c r="AC109" i="30" s="1"/>
  <c r="U111" i="30"/>
  <c r="AC111" i="30" s="1"/>
  <c r="U120" i="30"/>
  <c r="AC120" i="30" s="1"/>
  <c r="U115" i="30"/>
  <c r="AC115" i="30" s="1"/>
  <c r="U515" i="30"/>
  <c r="AC515" i="30" s="1"/>
  <c r="U522" i="30"/>
  <c r="AC522" i="30" s="1"/>
  <c r="U92" i="30"/>
  <c r="U96" i="30"/>
  <c r="U108" i="30"/>
  <c r="AC108" i="30" s="1"/>
  <c r="U110" i="30"/>
  <c r="AC110" i="30" s="1"/>
  <c r="U112" i="30"/>
  <c r="AC112" i="30" s="1"/>
  <c r="U107" i="30"/>
  <c r="AC107" i="30" s="1"/>
  <c r="U100" i="30"/>
  <c r="AC100" i="30" s="1"/>
  <c r="U102" i="30"/>
  <c r="U113" i="30"/>
  <c r="AC113" i="30" s="1"/>
  <c r="U106" i="30"/>
  <c r="AC106" i="30" s="1"/>
  <c r="U510" i="30"/>
  <c r="AC510" i="30" s="1"/>
  <c r="U517" i="30"/>
  <c r="AC517" i="30" s="1"/>
  <c r="U509" i="30"/>
  <c r="AC509" i="30" s="1"/>
  <c r="U89" i="30"/>
  <c r="U101" i="30"/>
  <c r="U103" i="30"/>
  <c r="U105" i="30"/>
  <c r="U160" i="30"/>
  <c r="AC160" i="30" s="1"/>
  <c r="U155" i="30"/>
  <c r="AC155" i="30" s="1"/>
  <c r="U86" i="30"/>
  <c r="U104" i="30"/>
  <c r="U98" i="30"/>
  <c r="U95" i="30"/>
  <c r="U507" i="30"/>
  <c r="AC507" i="30" s="1"/>
  <c r="U94" i="30"/>
  <c r="U518" i="30"/>
  <c r="AC518" i="30" s="1"/>
  <c r="U154" i="30"/>
  <c r="AC154" i="30" s="1"/>
  <c r="U156" i="30"/>
  <c r="AC156" i="30" s="1"/>
  <c r="U158" i="30"/>
  <c r="AC158" i="30" s="1"/>
  <c r="U153" i="30"/>
  <c r="AC153" i="30" s="1"/>
  <c r="U148" i="30"/>
  <c r="AC148" i="30" s="1"/>
  <c r="U157" i="30"/>
  <c r="AC157" i="30" s="1"/>
  <c r="U159" i="30"/>
  <c r="AC159" i="30" s="1"/>
  <c r="U91" i="30"/>
  <c r="U505" i="30"/>
  <c r="U99" i="30"/>
  <c r="U87" i="30"/>
  <c r="U513" i="30"/>
  <c r="AC513" i="30" s="1"/>
  <c r="U147" i="30"/>
  <c r="AC147" i="30" s="1"/>
  <c r="U149" i="30"/>
  <c r="AC149" i="30" s="1"/>
  <c r="U151" i="30"/>
  <c r="AC151" i="30" s="1"/>
  <c r="U146" i="30"/>
  <c r="AC146" i="30" s="1"/>
  <c r="U141" i="30"/>
  <c r="AC141" i="30" s="1"/>
  <c r="U143" i="30"/>
  <c r="AC143" i="30" s="1"/>
  <c r="U150" i="30"/>
  <c r="AC150" i="30" s="1"/>
  <c r="U152" i="30"/>
  <c r="AC152" i="30" s="1"/>
  <c r="U523" i="30"/>
  <c r="AC523" i="30" s="1"/>
  <c r="U512" i="30"/>
  <c r="AC512" i="30" s="1"/>
  <c r="U90" i="30"/>
  <c r="U521" i="30"/>
  <c r="AC521" i="30" s="1"/>
  <c r="C385" i="18"/>
  <c r="E48" i="30"/>
  <c r="E204" i="30" s="1"/>
  <c r="U418" i="30"/>
  <c r="AC418" i="30" s="1"/>
  <c r="U286" i="30"/>
  <c r="AC286" i="30" s="1"/>
  <c r="U442" i="30"/>
  <c r="AC442" i="30" s="1"/>
  <c r="U370" i="30"/>
  <c r="AC370" i="30" s="1"/>
  <c r="E171" i="31"/>
  <c r="U287" i="30"/>
  <c r="AC287" i="30" s="1"/>
  <c r="U450" i="30"/>
  <c r="AC450" i="30" s="1"/>
  <c r="U358" i="30"/>
  <c r="AC358" i="30" s="1"/>
  <c r="R212" i="31"/>
  <c r="L128" i="45" s="1"/>
  <c r="D127" i="45"/>
  <c r="U303" i="30"/>
  <c r="AC303" i="30" s="1"/>
  <c r="U246" i="30"/>
  <c r="AC246" i="30" s="1"/>
  <c r="D293" i="30"/>
  <c r="D371" i="30" s="1"/>
  <c r="D293" i="18"/>
  <c r="U376" i="30"/>
  <c r="AC376" i="30" s="1"/>
  <c r="S780" i="35"/>
  <c r="U247" i="30"/>
  <c r="AC247" i="30" s="1"/>
  <c r="U428" i="30"/>
  <c r="AC428" i="30" s="1"/>
  <c r="U335" i="30"/>
  <c r="AC335" i="30" s="1"/>
  <c r="U429" i="30"/>
  <c r="AC429" i="30" s="1"/>
  <c r="U276" i="30"/>
  <c r="AC276" i="30" s="1"/>
  <c r="G216" i="31"/>
  <c r="G252" i="18"/>
  <c r="G408" i="18" s="1"/>
  <c r="G261" i="30"/>
  <c r="G339" i="30" s="1"/>
  <c r="G261" i="18"/>
  <c r="G417" i="18" s="1"/>
  <c r="U341" i="30"/>
  <c r="AC341" i="30" s="1"/>
  <c r="S764" i="35"/>
  <c r="U308" i="30"/>
  <c r="AC308" i="30" s="1"/>
  <c r="U277" i="30"/>
  <c r="AC277" i="30" s="1"/>
  <c r="U421" i="30"/>
  <c r="AC421" i="30" s="1"/>
  <c r="U357" i="30"/>
  <c r="AC357" i="30" s="1"/>
  <c r="C106" i="30"/>
  <c r="C184" i="30"/>
  <c r="U327" i="30"/>
  <c r="AC327" i="30" s="1"/>
  <c r="U348" i="30"/>
  <c r="AC348" i="30" s="1"/>
  <c r="U333" i="30"/>
  <c r="AC333" i="30" s="1"/>
  <c r="U393" i="30"/>
  <c r="AC393" i="30" s="1"/>
  <c r="U367" i="30"/>
  <c r="AC367" i="30" s="1"/>
  <c r="U389" i="30"/>
  <c r="AC389" i="30" s="1"/>
  <c r="U394" i="30"/>
  <c r="AC394" i="30" s="1"/>
  <c r="U368" i="30"/>
  <c r="AC368" i="30" s="1"/>
  <c r="U378" i="30"/>
  <c r="AC378" i="30" s="1"/>
  <c r="U402" i="30"/>
  <c r="AC402" i="30" s="1"/>
  <c r="U459" i="30"/>
  <c r="AC459" i="30" s="1"/>
  <c r="U297" i="30"/>
  <c r="AC297" i="30" s="1"/>
  <c r="U447" i="30"/>
  <c r="AC447" i="30" s="1"/>
  <c r="U295" i="30"/>
  <c r="AC295" i="30" s="1"/>
  <c r="U445" i="30"/>
  <c r="AC445" i="30" s="1"/>
  <c r="U267" i="30"/>
  <c r="AC267" i="30" s="1"/>
  <c r="U403" i="30"/>
  <c r="AC403" i="30" s="1"/>
  <c r="U474" i="30"/>
  <c r="AC474" i="30" s="1"/>
  <c r="U316" i="30"/>
  <c r="AC316" i="30" s="1"/>
  <c r="U465" i="30"/>
  <c r="AC465" i="30" s="1"/>
  <c r="U298" i="30"/>
  <c r="AC298" i="30" s="1"/>
  <c r="U448" i="30"/>
  <c r="AC448" i="30" s="1"/>
  <c r="U268" i="30"/>
  <c r="AC268" i="30" s="1"/>
  <c r="U406" i="30"/>
  <c r="AC406" i="30" s="1"/>
  <c r="U475" i="30"/>
  <c r="AC475" i="30" s="1"/>
  <c r="U310" i="30"/>
  <c r="AC310" i="30" s="1"/>
  <c r="U437" i="30"/>
  <c r="AC437" i="30" s="1"/>
  <c r="U271" i="30"/>
  <c r="AC271" i="30" s="1"/>
  <c r="U324" i="30"/>
  <c r="AC324" i="30" s="1"/>
  <c r="U336" i="30"/>
  <c r="AC336" i="30" s="1"/>
  <c r="U330" i="30"/>
  <c r="AC330" i="30" s="1"/>
  <c r="U342" i="30"/>
  <c r="AC342" i="30" s="1"/>
  <c r="U362" i="30"/>
  <c r="AC362" i="30" s="1"/>
  <c r="U372" i="30"/>
  <c r="AC372" i="30" s="1"/>
  <c r="U396" i="30"/>
  <c r="AC396" i="30" s="1"/>
  <c r="U354" i="30"/>
  <c r="AC354" i="30" s="1"/>
  <c r="U380" i="30"/>
  <c r="AC380" i="30" s="1"/>
  <c r="U385" i="30"/>
  <c r="AC385" i="30" s="1"/>
  <c r="U409" i="30"/>
  <c r="AC409" i="30" s="1"/>
  <c r="U471" i="30"/>
  <c r="AC471" i="30" s="1"/>
  <c r="U306" i="30"/>
  <c r="AC306" i="30" s="1"/>
  <c r="U464" i="30"/>
  <c r="AC464" i="30" s="1"/>
  <c r="U304" i="30"/>
  <c r="AC304" i="30" s="1"/>
  <c r="U452" i="30"/>
  <c r="AC452" i="30" s="1"/>
  <c r="U274" i="30"/>
  <c r="AC274" i="30" s="1"/>
  <c r="U412" i="30"/>
  <c r="AC412" i="30" s="1"/>
  <c r="U251" i="30"/>
  <c r="AC251" i="30" s="1"/>
  <c r="U472" i="30"/>
  <c r="AC472" i="30" s="1"/>
  <c r="U305" i="30"/>
  <c r="AC305" i="30" s="1"/>
  <c r="U453" i="30"/>
  <c r="AC453" i="30" s="1"/>
  <c r="U275" i="30"/>
  <c r="AC275" i="30" s="1"/>
  <c r="U413" i="30"/>
  <c r="AC413" i="30" s="1"/>
  <c r="U254" i="30"/>
  <c r="AC254" i="30" s="1"/>
  <c r="U317" i="30"/>
  <c r="AC317" i="30" s="1"/>
  <c r="U444" i="30"/>
  <c r="AC444" i="30" s="1"/>
  <c r="U278" i="30"/>
  <c r="AC278" i="30" s="1"/>
  <c r="U331" i="30"/>
  <c r="AC331" i="30" s="1"/>
  <c r="U343" i="30"/>
  <c r="AC343" i="30" s="1"/>
  <c r="U337" i="30"/>
  <c r="AC337" i="30" s="1"/>
  <c r="U350" i="30"/>
  <c r="AC350" i="30" s="1"/>
  <c r="U369" i="30"/>
  <c r="AC369" i="30" s="1"/>
  <c r="U379" i="30"/>
  <c r="AC379" i="30" s="1"/>
  <c r="U349" i="30"/>
  <c r="AC349" i="30" s="1"/>
  <c r="U361" i="30"/>
  <c r="AC361" i="30" s="1"/>
  <c r="U390" i="30"/>
  <c r="AC390" i="30" s="1"/>
  <c r="U395" i="30"/>
  <c r="AC395" i="30" s="1"/>
  <c r="U416" i="30"/>
  <c r="AC416" i="30" s="1"/>
  <c r="U401" i="30"/>
  <c r="U313" i="30"/>
  <c r="AC313" i="30" s="1"/>
  <c r="U469" i="30"/>
  <c r="AC469" i="30" s="1"/>
  <c r="U311" i="30"/>
  <c r="AC311" i="30" s="1"/>
  <c r="U457" i="30"/>
  <c r="AC457" i="30" s="1"/>
  <c r="U279" i="30"/>
  <c r="AC279" i="30" s="1"/>
  <c r="U417" i="30"/>
  <c r="AC417" i="30" s="1"/>
  <c r="U260" i="30"/>
  <c r="AC260" i="30" s="1"/>
  <c r="U410" i="30"/>
  <c r="AC410" i="30" s="1"/>
  <c r="U249" i="30"/>
  <c r="AC249" i="30" s="1"/>
  <c r="U314" i="30"/>
  <c r="AC314" i="30" s="1"/>
  <c r="U458" i="30"/>
  <c r="AC458" i="30" s="1"/>
  <c r="U282" i="30"/>
  <c r="AC282" i="30" s="1"/>
  <c r="U420" i="30"/>
  <c r="AC420" i="30" s="1"/>
  <c r="U261" i="30"/>
  <c r="AC261" i="30" s="1"/>
  <c r="U245" i="30"/>
  <c r="U456" i="30"/>
  <c r="AC456" i="30" s="1"/>
  <c r="U285" i="30"/>
  <c r="AC285" i="30" s="1"/>
  <c r="U340" i="30"/>
  <c r="AC340" i="30" s="1"/>
  <c r="U325" i="30"/>
  <c r="AC325" i="30" s="1"/>
  <c r="U346" i="30"/>
  <c r="AC346" i="30" s="1"/>
  <c r="U355" i="30"/>
  <c r="AC355" i="30" s="1"/>
  <c r="U374" i="30"/>
  <c r="AC374" i="30" s="1"/>
  <c r="U386" i="30"/>
  <c r="AC386" i="30" s="1"/>
  <c r="U356" i="30"/>
  <c r="AC356" i="30" s="1"/>
  <c r="U373" i="30"/>
  <c r="AC373" i="30" s="1"/>
  <c r="U397" i="30"/>
  <c r="AC397" i="30" s="1"/>
  <c r="U423" i="30"/>
  <c r="AC423" i="30" s="1"/>
  <c r="U250" i="30"/>
  <c r="AC250" i="30" s="1"/>
  <c r="U407" i="30"/>
  <c r="AC407" i="30" s="1"/>
  <c r="U248" i="30"/>
  <c r="AC248" i="30" s="1"/>
  <c r="U405" i="30"/>
  <c r="AC405" i="30" s="1"/>
  <c r="U462" i="30"/>
  <c r="AC462" i="30" s="1"/>
  <c r="U288" i="30"/>
  <c r="AC288" i="30" s="1"/>
  <c r="U426" i="30"/>
  <c r="AC426" i="30" s="1"/>
  <c r="U265" i="30"/>
  <c r="AC265" i="30" s="1"/>
  <c r="U415" i="30"/>
  <c r="AC415" i="30" s="1"/>
  <c r="U258" i="30"/>
  <c r="AC258" i="30" s="1"/>
  <c r="U408" i="30"/>
  <c r="AC408" i="30" s="1"/>
  <c r="U463" i="30"/>
  <c r="AC463" i="30" s="1"/>
  <c r="U289" i="30"/>
  <c r="AC289" i="30" s="1"/>
  <c r="U427" i="30"/>
  <c r="AC427" i="30" s="1"/>
  <c r="U273" i="30"/>
  <c r="AC273" i="30" s="1"/>
  <c r="U404" i="30"/>
  <c r="AC404" i="30" s="1"/>
  <c r="U466" i="30"/>
  <c r="AC466" i="30" s="1"/>
  <c r="U292" i="30"/>
  <c r="AC292" i="30" s="1"/>
  <c r="U347" i="30"/>
  <c r="AC347" i="30" s="1"/>
  <c r="U334" i="30"/>
  <c r="AC334" i="30" s="1"/>
  <c r="U328" i="30"/>
  <c r="AC328" i="30" s="1"/>
  <c r="U364" i="30"/>
  <c r="AC364" i="30" s="1"/>
  <c r="U381" i="30"/>
  <c r="AC381" i="30" s="1"/>
  <c r="U351" i="30"/>
  <c r="AC351" i="30" s="1"/>
  <c r="U363" i="30"/>
  <c r="AC363" i="30" s="1"/>
  <c r="U382" i="30"/>
  <c r="AC382" i="30" s="1"/>
  <c r="U352" i="30"/>
  <c r="AC352" i="30" s="1"/>
  <c r="U435" i="30"/>
  <c r="AC435" i="30" s="1"/>
  <c r="U257" i="30"/>
  <c r="AC257" i="30" s="1"/>
  <c r="U414" i="30"/>
  <c r="AC414" i="30" s="1"/>
  <c r="U255" i="30"/>
  <c r="AC255" i="30" s="1"/>
  <c r="U419" i="30"/>
  <c r="AC419" i="30" s="1"/>
  <c r="U467" i="30"/>
  <c r="AC467" i="30" s="1"/>
  <c r="U293" i="30"/>
  <c r="AC293" i="30" s="1"/>
  <c r="U443" i="30"/>
  <c r="AC443" i="30" s="1"/>
  <c r="U272" i="30"/>
  <c r="AC272" i="30" s="1"/>
  <c r="U424" i="30"/>
  <c r="AC424" i="30" s="1"/>
  <c r="U270" i="30"/>
  <c r="AC270" i="30" s="1"/>
  <c r="U422" i="30"/>
  <c r="AC422" i="30" s="1"/>
  <c r="U470" i="30"/>
  <c r="AC470" i="30" s="1"/>
  <c r="U296" i="30"/>
  <c r="AC296" i="30" s="1"/>
  <c r="U446" i="30"/>
  <c r="AC446" i="30" s="1"/>
  <c r="U280" i="30"/>
  <c r="AC280" i="30" s="1"/>
  <c r="U411" i="30"/>
  <c r="AC411" i="30" s="1"/>
  <c r="U473" i="30"/>
  <c r="AC473" i="30" s="1"/>
  <c r="U299" i="30"/>
  <c r="AC299" i="30" s="1"/>
  <c r="U338" i="30"/>
  <c r="AC338" i="30" s="1"/>
  <c r="U332" i="30"/>
  <c r="AC332" i="30" s="1"/>
  <c r="U344" i="30"/>
  <c r="AC344" i="30" s="1"/>
  <c r="U383" i="30"/>
  <c r="AC383" i="30" s="1"/>
  <c r="U353" i="30"/>
  <c r="AC353" i="30" s="1"/>
  <c r="U365" i="30"/>
  <c r="AC365" i="30" s="1"/>
  <c r="U375" i="30"/>
  <c r="AC375" i="30" s="1"/>
  <c r="U392" i="30"/>
  <c r="AC392" i="30" s="1"/>
  <c r="U366" i="30"/>
  <c r="AC366" i="30" s="1"/>
  <c r="U323" i="30"/>
  <c r="U449" i="30"/>
  <c r="AC449" i="30" s="1"/>
  <c r="U269" i="30"/>
  <c r="AC269" i="30" s="1"/>
  <c r="U430" i="30"/>
  <c r="AC430" i="30" s="1"/>
  <c r="U281" i="30"/>
  <c r="AC281" i="30" s="1"/>
  <c r="U433" i="30"/>
  <c r="AC433" i="30" s="1"/>
  <c r="U253" i="30"/>
  <c r="AC253" i="30" s="1"/>
  <c r="U309" i="30"/>
  <c r="AC309" i="30" s="1"/>
  <c r="U455" i="30"/>
  <c r="AC455" i="30" s="1"/>
  <c r="U300" i="30"/>
  <c r="AC300" i="30" s="1"/>
  <c r="U436" i="30"/>
  <c r="AC436" i="30" s="1"/>
  <c r="U284" i="30"/>
  <c r="AC284" i="30" s="1"/>
  <c r="U434" i="30"/>
  <c r="AC434" i="30" s="1"/>
  <c r="U256" i="30"/>
  <c r="AC256" i="30" s="1"/>
  <c r="U312" i="30"/>
  <c r="AC312" i="30" s="1"/>
  <c r="U461" i="30"/>
  <c r="AC461" i="30" s="1"/>
  <c r="U294" i="30"/>
  <c r="AC294" i="30" s="1"/>
  <c r="U425" i="30"/>
  <c r="AC425" i="30" s="1"/>
  <c r="U259" i="30"/>
  <c r="AC259" i="30" s="1"/>
  <c r="U315" i="30"/>
  <c r="AC315" i="30" s="1"/>
  <c r="U345" i="30"/>
  <c r="AC345" i="30" s="1"/>
  <c r="U339" i="30"/>
  <c r="AC339" i="30" s="1"/>
  <c r="U326" i="30"/>
  <c r="AC326" i="30" s="1"/>
  <c r="U388" i="30"/>
  <c r="AC388" i="30" s="1"/>
  <c r="U360" i="30"/>
  <c r="AC360" i="30" s="1"/>
  <c r="U377" i="30"/>
  <c r="AC377" i="30" s="1"/>
  <c r="U384" i="30"/>
  <c r="AC384" i="30" s="1"/>
  <c r="U359" i="30"/>
  <c r="AC359" i="30" s="1"/>
  <c r="U371" i="30"/>
  <c r="AC371" i="30" s="1"/>
  <c r="U454" i="30"/>
  <c r="AC454" i="30" s="1"/>
  <c r="U283" i="30"/>
  <c r="AC283" i="30" s="1"/>
  <c r="U440" i="30"/>
  <c r="AC440" i="30" s="1"/>
  <c r="U290" i="30"/>
  <c r="AC290" i="30" s="1"/>
  <c r="U438" i="30"/>
  <c r="AC438" i="30" s="1"/>
  <c r="U262" i="30"/>
  <c r="AC262" i="30" s="1"/>
  <c r="U318" i="30"/>
  <c r="AC318" i="30" s="1"/>
  <c r="U460" i="30"/>
  <c r="AC460" i="30" s="1"/>
  <c r="U307" i="30"/>
  <c r="AC307" i="30" s="1"/>
  <c r="U441" i="30"/>
  <c r="AC441" i="30" s="1"/>
  <c r="U291" i="30"/>
  <c r="AC291" i="30" s="1"/>
  <c r="U439" i="30"/>
  <c r="AC439" i="30" s="1"/>
  <c r="U263" i="30"/>
  <c r="AC263" i="30" s="1"/>
  <c r="U319" i="30"/>
  <c r="AC319" i="30" s="1"/>
  <c r="U468" i="30"/>
  <c r="AC468" i="30" s="1"/>
  <c r="U301" i="30"/>
  <c r="AC301" i="30" s="1"/>
  <c r="U432" i="30"/>
  <c r="AC432" i="30" s="1"/>
  <c r="U266" i="30"/>
  <c r="AC266" i="30" s="1"/>
  <c r="U252" i="30"/>
  <c r="AC252" i="30" s="1"/>
  <c r="U431" i="30"/>
  <c r="AC431" i="30" s="1"/>
  <c r="U264" i="30"/>
  <c r="AC264" i="30" s="1"/>
  <c r="R55" i="31"/>
  <c r="F127" i="45"/>
  <c r="U387" i="30"/>
  <c r="AC387" i="30" s="1"/>
  <c r="AC119" i="30"/>
  <c r="T665" i="35"/>
  <c r="O17" i="53"/>
  <c r="N10" i="53"/>
  <c r="Q10" i="53"/>
  <c r="S654" i="35"/>
  <c r="I654" i="35" s="1"/>
  <c r="T673" i="35"/>
  <c r="J673" i="35" s="1"/>
  <c r="AC137" i="30"/>
  <c r="AC118" i="30"/>
  <c r="P89" i="43"/>
  <c r="P78" i="46" s="1" a="1"/>
  <c r="P78" i="46" s="1"/>
  <c r="R85" i="43"/>
  <c r="R74" i="46" s="1" a="1"/>
  <c r="R74" i="46" s="1"/>
  <c r="Z71" i="43"/>
  <c r="Z60" i="46" s="1" a="1"/>
  <c r="Z60" i="46" s="1"/>
  <c r="Y76" i="43"/>
  <c r="Y65" i="46" s="1" a="1"/>
  <c r="Y65" i="46" s="1"/>
  <c r="Y93" i="43"/>
  <c r="Y82" i="46" s="1" a="1"/>
  <c r="Y82" i="46" s="1"/>
  <c r="Q68" i="43"/>
  <c r="Q57" i="46" s="1" a="1"/>
  <c r="Q57" i="46" s="1"/>
  <c r="T66" i="43"/>
  <c r="T55" i="46" s="1" a="1"/>
  <c r="T55" i="46" s="1"/>
  <c r="T76" i="43"/>
  <c r="T65" i="46" s="1" a="1"/>
  <c r="T65" i="46" s="1"/>
  <c r="T84" i="43"/>
  <c r="T73" i="46" s="1" a="1"/>
  <c r="T73" i="46" s="1"/>
  <c r="T92" i="43"/>
  <c r="T81" i="46" s="1" a="1"/>
  <c r="T81" i="46" s="1"/>
  <c r="T83" i="43"/>
  <c r="T72" i="46" s="1" a="1"/>
  <c r="T72" i="46" s="1"/>
  <c r="X93" i="43"/>
  <c r="X82" i="46" s="1" a="1"/>
  <c r="X82" i="46" s="1"/>
  <c r="P66" i="43"/>
  <c r="P55" i="46" s="1" a="1"/>
  <c r="P55" i="46" s="1"/>
  <c r="T91" i="43"/>
  <c r="T80" i="46" s="1" a="1"/>
  <c r="T80" i="46" s="1"/>
  <c r="T85" i="43"/>
  <c r="T74" i="46" s="1" a="1"/>
  <c r="T74" i="46" s="1"/>
  <c r="W83" i="43"/>
  <c r="W72" i="46" s="1" a="1"/>
  <c r="W72" i="46" s="1"/>
  <c r="U92" i="43"/>
  <c r="U81" i="46" s="1" a="1"/>
  <c r="U81" i="46" s="1"/>
  <c r="T72" i="43"/>
  <c r="T61" i="46" s="1" a="1"/>
  <c r="T61" i="46" s="1"/>
  <c r="Y86" i="43"/>
  <c r="Y75" i="46" s="1" a="1"/>
  <c r="Y75" i="46" s="1"/>
  <c r="Q87" i="43"/>
  <c r="Q76" i="46" s="1" a="1"/>
  <c r="Q76" i="46" s="1"/>
  <c r="P68" i="43"/>
  <c r="P57" i="46" s="1" a="1"/>
  <c r="P57" i="46" s="1"/>
  <c r="R72" i="43"/>
  <c r="R61" i="46" s="1" a="1"/>
  <c r="R61" i="46" s="1"/>
  <c r="P75" i="43"/>
  <c r="P64" i="46" s="1" a="1"/>
  <c r="P64" i="46" s="1"/>
  <c r="Y85" i="43"/>
  <c r="Y74" i="46" s="1" a="1"/>
  <c r="Y74" i="46" s="1"/>
  <c r="W93" i="43"/>
  <c r="W82" i="46" s="1" a="1"/>
  <c r="W82" i="46" s="1"/>
  <c r="Z92" i="43"/>
  <c r="Z81" i="46" s="1" a="1"/>
  <c r="Z81" i="46" s="1"/>
  <c r="R81" i="43"/>
  <c r="R70" i="46" s="1" a="1"/>
  <c r="R70" i="46" s="1"/>
  <c r="T88" i="43"/>
  <c r="T77" i="46" s="1" a="1"/>
  <c r="T77" i="46" s="1"/>
  <c r="T82" i="43"/>
  <c r="T71" i="46" s="1" a="1"/>
  <c r="T71" i="46" s="1"/>
  <c r="Q86" i="43"/>
  <c r="Q75" i="46" s="1" a="1"/>
  <c r="Q75" i="46" s="1"/>
  <c r="N93" i="43"/>
  <c r="N82" i="46" s="1" a="1"/>
  <c r="N82" i="46" s="1"/>
  <c r="N68" i="43"/>
  <c r="N57" i="46" s="1" a="1"/>
  <c r="N57" i="46" s="1"/>
  <c r="R76" i="43"/>
  <c r="R65" i="46" s="1" a="1"/>
  <c r="R65" i="46" s="1"/>
  <c r="Q76" i="43"/>
  <c r="Q65" i="46" s="1" a="1"/>
  <c r="Q65" i="46" s="1"/>
  <c r="Q92" i="43"/>
  <c r="Q81" i="46" s="1" a="1"/>
  <c r="Q81" i="46" s="1"/>
  <c r="Q84" i="43"/>
  <c r="Q73" i="46" s="1" a="1"/>
  <c r="Q73" i="46" s="1"/>
  <c r="Z91" i="43"/>
  <c r="Z80" i="46" s="1" a="1"/>
  <c r="Z80" i="46" s="1"/>
  <c r="V24" i="46" a="1"/>
  <c r="V24" i="46" s="1"/>
  <c r="N41" i="46" a="1"/>
  <c r="N41" i="46" s="1"/>
  <c r="M43" i="46" a="1"/>
  <c r="M43" i="46" s="1"/>
  <c r="U12" i="46" a="1"/>
  <c r="U12" i="46" s="1"/>
  <c r="X23" i="46" a="1"/>
  <c r="X23" i="46" s="1"/>
  <c r="V25" i="46" a="1"/>
  <c r="V25" i="46" s="1"/>
  <c r="T32" i="46" a="1"/>
  <c r="T32" i="46" s="1"/>
  <c r="V26" i="46" a="1"/>
  <c r="V26" i="46" s="1"/>
  <c r="V27" i="46" a="1"/>
  <c r="V27" i="46" s="1"/>
  <c r="Z33" i="46" a="1"/>
  <c r="Z33" i="46" s="1"/>
  <c r="U45" i="46" a="1"/>
  <c r="U45" i="46" s="1"/>
  <c r="Z41" i="46" a="1"/>
  <c r="Z41" i="46" s="1"/>
  <c r="M34" i="46" a="1"/>
  <c r="M34" i="46" s="1"/>
  <c r="T41" i="46" a="1"/>
  <c r="T41" i="46" s="1"/>
  <c r="P82" i="46" a="1"/>
  <c r="P82" i="46" s="1"/>
  <c r="Y17" i="46" a="1"/>
  <c r="Y17" i="46" s="1"/>
  <c r="M39" i="46" a="1"/>
  <c r="M39" i="46" s="1"/>
  <c r="M44" i="46" a="1"/>
  <c r="M44" i="46" s="1"/>
  <c r="Z13" i="46" a="1"/>
  <c r="Z13" i="46" s="1"/>
  <c r="N34" i="46" a="1"/>
  <c r="N34" i="46" s="1"/>
  <c r="U32" i="46" a="1"/>
  <c r="U32" i="46" s="1"/>
  <c r="M36" i="46" a="1"/>
  <c r="M36" i="46" s="1"/>
  <c r="X31" i="46" a="1"/>
  <c r="X31" i="46" s="1"/>
  <c r="Z28" i="46" a="1"/>
  <c r="Z28" i="46" s="1"/>
  <c r="X21" i="46" a="1"/>
  <c r="X21" i="46" s="1"/>
  <c r="AA16" i="46" a="1"/>
  <c r="AA16" i="46" s="1"/>
  <c r="X38" i="46" a="1"/>
  <c r="X38" i="46" s="1"/>
  <c r="P33" i="46" a="1"/>
  <c r="P33" i="46" s="1"/>
  <c r="U39" i="46" a="1"/>
  <c r="U39" i="46" s="1"/>
  <c r="N72" i="46" a="1"/>
  <c r="N72" i="46" s="1"/>
  <c r="V10" i="46" a="1"/>
  <c r="V10" i="46" s="1"/>
  <c r="V14" i="46" a="1"/>
  <c r="V14" i="46" s="1"/>
  <c r="U38" i="46" a="1"/>
  <c r="U38" i="46" s="1"/>
  <c r="V17" i="46" a="1"/>
  <c r="V17" i="46" s="1"/>
  <c r="T66" i="46" a="1"/>
  <c r="T66" i="46" s="1"/>
  <c r="W44" i="46" a="1"/>
  <c r="W44" i="46" s="1"/>
  <c r="X33" i="46" a="1"/>
  <c r="X33" i="46" s="1"/>
  <c r="Y35" i="46" a="1"/>
  <c r="Y35" i="46" s="1"/>
  <c r="T30" i="46" a="1"/>
  <c r="T30" i="46" s="1"/>
  <c r="P40" i="46" a="1"/>
  <c r="P40" i="46" s="1"/>
  <c r="Y30" i="46" a="1"/>
  <c r="Y30" i="46" s="1"/>
  <c r="X25" i="46" a="1"/>
  <c r="X25" i="46" s="1"/>
  <c r="T40" i="46" a="1"/>
  <c r="T40" i="46" s="1"/>
  <c r="W11" i="46" a="1"/>
  <c r="W11" i="46" s="1"/>
  <c r="X24" i="46" a="1"/>
  <c r="X24" i="46" s="1"/>
  <c r="P69" i="46" a="1"/>
  <c r="P69" i="46" s="1"/>
  <c r="U30" i="46" a="1"/>
  <c r="U30" i="46" s="1"/>
  <c r="V13" i="46" a="1"/>
  <c r="V13" i="46" s="1"/>
  <c r="Z44" i="46" a="1"/>
  <c r="Z44" i="46" s="1"/>
  <c r="U23" i="46" a="1"/>
  <c r="U23" i="46" s="1"/>
  <c r="Z12" i="46" a="1"/>
  <c r="Z12" i="46" s="1"/>
  <c r="Y33" i="46" a="1"/>
  <c r="Y33" i="46" s="1"/>
  <c r="AA42" i="46" a="1"/>
  <c r="AA42" i="46" s="1"/>
  <c r="N51" i="46" a="1"/>
  <c r="N51" i="46" s="1"/>
  <c r="V12" i="46" a="1"/>
  <c r="V12" i="46" s="1"/>
  <c r="Q35" i="46" a="1"/>
  <c r="Q35" i="46" s="1"/>
  <c r="U34" i="46" a="1"/>
  <c r="U34" i="46" s="1"/>
  <c r="V73" i="46" a="1"/>
  <c r="V73" i="46" s="1"/>
  <c r="R29" i="46" a="1"/>
  <c r="R29" i="46" s="1"/>
  <c r="P39" i="46" a="1"/>
  <c r="P39" i="46" s="1"/>
  <c r="Z24" i="46" a="1"/>
  <c r="Z24" i="46" s="1"/>
  <c r="Q45" i="46" a="1"/>
  <c r="Q45" i="46" s="1"/>
  <c r="T29" i="46" a="1"/>
  <c r="T29" i="46" s="1"/>
  <c r="V36" i="46" a="1"/>
  <c r="V36" i="46" s="1"/>
  <c r="N37" i="46" a="1"/>
  <c r="N37" i="46" s="1"/>
  <c r="U18" i="46" a="1"/>
  <c r="U18" i="46" s="1"/>
  <c r="X16" i="46" a="1"/>
  <c r="X16" i="46" s="1"/>
  <c r="W10" i="46" a="1"/>
  <c r="W10" i="46" s="1"/>
  <c r="N31" i="46" a="1"/>
  <c r="N31" i="46" s="1"/>
  <c r="Q31" i="46" a="1"/>
  <c r="Q31" i="46" s="1"/>
  <c r="Q33" i="46" a="1"/>
  <c r="Q33" i="46" s="1"/>
  <c r="M29" i="46" a="1"/>
  <c r="M29" i="46" s="1"/>
  <c r="U42" i="46" a="1"/>
  <c r="U42" i="46" s="1"/>
  <c r="P70" i="46" a="1"/>
  <c r="P70" i="46" s="1"/>
  <c r="S38" i="46" a="1"/>
  <c r="S38" i="46" s="1"/>
  <c r="N42" i="46" a="1"/>
  <c r="N42" i="46" s="1"/>
  <c r="R30" i="46" a="1"/>
  <c r="R30" i="46" s="1"/>
  <c r="V9" i="46" a="1"/>
  <c r="V9" i="46" s="1"/>
  <c r="T42" i="46" a="1"/>
  <c r="T42" i="46" s="1"/>
  <c r="U36" i="46" a="1"/>
  <c r="U36" i="46" s="1"/>
  <c r="Y8" i="46" a="1"/>
  <c r="Y8" i="46" s="1"/>
  <c r="X17" i="46" a="1"/>
  <c r="X17" i="46" s="1"/>
  <c r="U41" i="46" a="1"/>
  <c r="U41" i="46" s="1"/>
  <c r="Y12" i="46" a="1"/>
  <c r="Y12" i="46" s="1"/>
  <c r="Z30" i="46" a="1"/>
  <c r="Z30" i="46" s="1"/>
  <c r="Z39" i="46" a="1"/>
  <c r="Z39" i="46" s="1"/>
  <c r="V46" i="46" a="1"/>
  <c r="V46" i="46" s="1"/>
  <c r="V42" i="46" a="1"/>
  <c r="V42" i="46" s="1"/>
  <c r="M69" i="46" a="1"/>
  <c r="M69" i="46" s="1"/>
  <c r="AA33" i="46" a="1"/>
  <c r="AA33" i="46" s="1"/>
  <c r="W50" i="43"/>
  <c r="W39" i="46" s="1" a="1"/>
  <c r="W39" i="46" s="1"/>
  <c r="R62" i="43"/>
  <c r="R51" i="46" s="1" a="1"/>
  <c r="R51" i="46" s="1"/>
  <c r="R75" i="43"/>
  <c r="R64" i="46" s="1" a="1"/>
  <c r="R64" i="46" s="1"/>
  <c r="P64" i="43"/>
  <c r="P53" i="46" s="1" a="1"/>
  <c r="P53" i="46" s="1"/>
  <c r="X29" i="43"/>
  <c r="X18" i="46" s="1" a="1"/>
  <c r="X18" i="46" s="1"/>
  <c r="P90" i="43"/>
  <c r="P79" i="46" s="1" a="1"/>
  <c r="P79" i="46" s="1"/>
  <c r="R80" i="43"/>
  <c r="R69" i="46" s="1" a="1"/>
  <c r="R69" i="46" s="1"/>
  <c r="Q80" i="43"/>
  <c r="Q69" i="46" s="1" a="1"/>
  <c r="Q69" i="46" s="1"/>
  <c r="Y48" i="43"/>
  <c r="Y37" i="46" s="1" a="1"/>
  <c r="Y37" i="46" s="1"/>
  <c r="T63" i="43"/>
  <c r="T52" i="46" s="1" a="1"/>
  <c r="T52" i="46" s="1"/>
  <c r="Q74" i="43"/>
  <c r="Q63" i="46" s="1" a="1"/>
  <c r="Q63" i="46" s="1"/>
  <c r="Z22" i="43"/>
  <c r="Z11" i="46" s="1" a="1"/>
  <c r="Z11" i="46" s="1"/>
  <c r="M88" i="43"/>
  <c r="M77" i="46" s="1" a="1"/>
  <c r="M77" i="46" s="1"/>
  <c r="Q65" i="43"/>
  <c r="Q54" i="46" s="1" a="1"/>
  <c r="Q54" i="46" s="1"/>
  <c r="AA49" i="43"/>
  <c r="AA38" i="46" s="1" a="1"/>
  <c r="AA38" i="46" s="1"/>
  <c r="W45" i="43"/>
  <c r="W34" i="46" s="1" a="1"/>
  <c r="W34" i="46" s="1"/>
  <c r="AA55" i="43"/>
  <c r="AA44" i="46" s="1" a="1"/>
  <c r="AA44" i="46" s="1"/>
  <c r="AA35" i="43"/>
  <c r="AA24" i="46" s="1" a="1"/>
  <c r="AA24" i="46" s="1"/>
  <c r="AA54" i="43"/>
  <c r="AA43" i="46" s="1" a="1"/>
  <c r="AA43" i="46" s="1"/>
  <c r="X69" i="43"/>
  <c r="X58" i="46" s="1" a="1"/>
  <c r="X58" i="46" s="1"/>
  <c r="U57" i="43"/>
  <c r="U46" i="46" s="1" a="1"/>
  <c r="U46" i="46" s="1"/>
  <c r="N87" i="43"/>
  <c r="N76" i="46" s="1" a="1"/>
  <c r="N76" i="46" s="1"/>
  <c r="Q91" i="43"/>
  <c r="Q80" i="46" s="1" a="1"/>
  <c r="Q80" i="46" s="1"/>
  <c r="Z90" i="43"/>
  <c r="Z79" i="46" s="1" a="1"/>
  <c r="Z79" i="46" s="1"/>
  <c r="AA56" i="43"/>
  <c r="AA45" i="46" s="1" a="1"/>
  <c r="AA45" i="46" s="1"/>
  <c r="Q57" i="43"/>
  <c r="Q46" i="46" s="1" a="1"/>
  <c r="Q46" i="46" s="1"/>
  <c r="Z57" i="43"/>
  <c r="Z46" i="46" s="1" a="1"/>
  <c r="Z46" i="46" s="1"/>
  <c r="V75" i="43"/>
  <c r="V64" i="46" s="1" a="1"/>
  <c r="V64" i="46" s="1"/>
  <c r="W36" i="43"/>
  <c r="W25" i="46" s="1" a="1"/>
  <c r="W25" i="46" s="1"/>
  <c r="V19" i="43"/>
  <c r="V8" i="46" s="1" a="1"/>
  <c r="V8" i="46" s="1"/>
  <c r="Q49" i="43"/>
  <c r="Q38" i="46" s="1" a="1"/>
  <c r="Q38" i="46" s="1"/>
  <c r="U26" i="43"/>
  <c r="Z37" i="43"/>
  <c r="Z26" i="46" s="1" a="1"/>
  <c r="Z26" i="46" s="1"/>
  <c r="Z56" i="43"/>
  <c r="Z45" i="46" s="1" a="1"/>
  <c r="Z45" i="46" s="1"/>
  <c r="V54" i="43"/>
  <c r="V43" i="46" s="1" a="1"/>
  <c r="V43" i="46" s="1"/>
  <c r="X37" i="43"/>
  <c r="X26" i="46" s="1" a="1"/>
  <c r="X26" i="46" s="1"/>
  <c r="N39" i="43"/>
  <c r="N28" i="46" s="1" a="1"/>
  <c r="N28" i="46" s="1"/>
  <c r="R46" i="43"/>
  <c r="R35" i="46" s="1" a="1"/>
  <c r="R35" i="46" s="1"/>
  <c r="Z87" i="43"/>
  <c r="Z76" i="46" s="1" a="1"/>
  <c r="Z76" i="46" s="1"/>
  <c r="N86" i="43"/>
  <c r="N75" i="46" s="1" a="1"/>
  <c r="N75" i="46" s="1"/>
  <c r="X53" i="43"/>
  <c r="X42" i="46" s="1" a="1"/>
  <c r="X42" i="46" s="1"/>
  <c r="V91" i="43"/>
  <c r="V80" i="46" s="1" a="1"/>
  <c r="V80" i="46" s="1"/>
  <c r="S75" i="43"/>
  <c r="S64" i="46" s="1" a="1"/>
  <c r="S64" i="46" s="1"/>
  <c r="R79" i="43"/>
  <c r="R68" i="46" s="1" a="1"/>
  <c r="R68" i="46" s="1"/>
  <c r="V89" i="43"/>
  <c r="V78" i="46" s="1" a="1"/>
  <c r="V78" i="46" s="1"/>
  <c r="U62" i="43"/>
  <c r="U51" i="46" s="1" a="1"/>
  <c r="U51" i="46" s="1"/>
  <c r="Q75" i="43"/>
  <c r="Q64" i="46" s="1" a="1"/>
  <c r="Q64" i="46" s="1"/>
  <c r="M86" i="43"/>
  <c r="M75" i="46" s="1" a="1"/>
  <c r="M75" i="46" s="1"/>
  <c r="N92" i="43"/>
  <c r="N81" i="46" s="1" a="1"/>
  <c r="N81" i="46" s="1"/>
  <c r="O86" i="43"/>
  <c r="O75" i="46" s="1" a="1"/>
  <c r="O75" i="46" s="1"/>
  <c r="Q85" i="43"/>
  <c r="Q74" i="46" s="1" a="1"/>
  <c r="Q74" i="46" s="1"/>
  <c r="Q67" i="43"/>
  <c r="Q56" i="46" s="1" a="1"/>
  <c r="Q56" i="46" s="1"/>
  <c r="Z72" i="43"/>
  <c r="Z61" i="46" s="1" a="1"/>
  <c r="Z61" i="46" s="1"/>
  <c r="X54" i="43"/>
  <c r="X43" i="46" s="1" a="1"/>
  <c r="X43" i="46" s="1"/>
  <c r="N51" i="43"/>
  <c r="N40" i="46" s="1" a="1"/>
  <c r="N40" i="46" s="1"/>
  <c r="T87" i="43"/>
  <c r="T76" i="46" s="1" a="1"/>
  <c r="T76" i="46" s="1"/>
  <c r="T93" i="43"/>
  <c r="T82" i="46" s="1" a="1"/>
  <c r="T82" i="46" s="1"/>
  <c r="X85" i="43"/>
  <c r="X74" i="46" s="1" a="1"/>
  <c r="X74" i="46" s="1"/>
  <c r="X84" i="43"/>
  <c r="X73" i="46" s="1" a="1"/>
  <c r="X73" i="46" s="1"/>
  <c r="N61" i="43"/>
  <c r="N50" i="46" s="1" a="1"/>
  <c r="N50" i="46" s="1"/>
  <c r="Q66" i="43"/>
  <c r="Q55" i="46" s="1" a="1"/>
  <c r="Q55" i="46" s="1"/>
  <c r="X74" i="43"/>
  <c r="X63" i="46" s="1" a="1"/>
  <c r="X63" i="46" s="1"/>
  <c r="Z61" i="43"/>
  <c r="Z50" i="46" s="1" a="1"/>
  <c r="Z50" i="46" s="1"/>
  <c r="V90" i="43"/>
  <c r="V79" i="46" s="1" a="1"/>
  <c r="V79" i="46" s="1"/>
  <c r="Q88" i="43"/>
  <c r="Q77" i="46" s="1" a="1"/>
  <c r="Q77" i="46" s="1"/>
  <c r="X71" i="43"/>
  <c r="X60" i="46" s="1" a="1"/>
  <c r="X60" i="46" s="1"/>
  <c r="X64" i="43"/>
  <c r="X53" i="46" s="1" a="1"/>
  <c r="X53" i="46" s="1"/>
  <c r="M87" i="43"/>
  <c r="M76" i="46" s="1" a="1"/>
  <c r="M76" i="46" s="1"/>
  <c r="N60" i="43"/>
  <c r="P82" i="43"/>
  <c r="P71" i="46" s="1" a="1"/>
  <c r="P71" i="46" s="1"/>
  <c r="Y57" i="43"/>
  <c r="Y46" i="46" s="1" a="1"/>
  <c r="Y46" i="46" s="1"/>
  <c r="U77" i="43"/>
  <c r="U66" i="46" s="1" a="1"/>
  <c r="U66" i="46" s="1"/>
  <c r="W25" i="43"/>
  <c r="W14" i="46" s="1" a="1"/>
  <c r="W14" i="46" s="1"/>
  <c r="W39" i="43"/>
  <c r="W28" i="46" s="1" a="1"/>
  <c r="W28" i="46" s="1"/>
  <c r="S64" i="43"/>
  <c r="S53" i="46" s="1" a="1"/>
  <c r="S53" i="46" s="1"/>
  <c r="S88" i="43"/>
  <c r="S77" i="46" s="1" a="1"/>
  <c r="S77" i="46" s="1"/>
  <c r="Z84" i="43"/>
  <c r="Z73" i="46" s="1" a="1"/>
  <c r="Z73" i="46" s="1"/>
  <c r="N81" i="43"/>
  <c r="N70" i="46" s="1" a="1"/>
  <c r="N70" i="46" s="1"/>
  <c r="C397" i="18"/>
  <c r="E290" i="30"/>
  <c r="E368" i="30" s="1"/>
  <c r="G278" i="18"/>
  <c r="G356" i="18" s="1"/>
  <c r="G281" i="31"/>
  <c r="C457" i="30"/>
  <c r="D279" i="31"/>
  <c r="E254" i="31"/>
  <c r="E306" i="18"/>
  <c r="G290" i="30"/>
  <c r="G446" i="30" s="1"/>
  <c r="D280" i="18"/>
  <c r="D358" i="18" s="1"/>
  <c r="G301" i="18"/>
  <c r="G457" i="18" s="1"/>
  <c r="C440" i="30"/>
  <c r="D280" i="30"/>
  <c r="G301" i="30"/>
  <c r="G379" i="30" s="1"/>
  <c r="G317" i="18"/>
  <c r="G395" i="18" s="1"/>
  <c r="D315" i="18"/>
  <c r="D58" i="18"/>
  <c r="D214" i="18" s="1"/>
  <c r="C234" i="30"/>
  <c r="G51" i="18"/>
  <c r="G129" i="18" s="1"/>
  <c r="D58" i="30"/>
  <c r="D136" i="30" s="1"/>
  <c r="G51" i="30"/>
  <c r="D44" i="18"/>
  <c r="D122" i="18" s="1"/>
  <c r="G75" i="18"/>
  <c r="G73" i="18"/>
  <c r="D69" i="18"/>
  <c r="D225" i="18" s="1"/>
  <c r="D44" i="30"/>
  <c r="D122" i="30" s="1"/>
  <c r="C226" i="30"/>
  <c r="G75" i="30"/>
  <c r="G231" i="30" s="1"/>
  <c r="G73" i="30"/>
  <c r="C196" i="18"/>
  <c r="D69" i="30"/>
  <c r="D41" i="18"/>
  <c r="E165" i="31"/>
  <c r="D49" i="18"/>
  <c r="D127" i="18" s="1"/>
  <c r="G57" i="18"/>
  <c r="G213" i="18" s="1"/>
  <c r="E52" i="18"/>
  <c r="E208" i="18" s="1"/>
  <c r="E69" i="30"/>
  <c r="N64" i="43"/>
  <c r="N53" i="46" s="1" a="1"/>
  <c r="N53" i="46" s="1"/>
  <c r="R64" i="43"/>
  <c r="R53" i="46" s="1" a="1"/>
  <c r="R53" i="46" s="1"/>
  <c r="U71" i="43"/>
  <c r="U60" i="46" s="1" a="1"/>
  <c r="U60" i="46" s="1"/>
  <c r="R86" i="43"/>
  <c r="R75" i="46" s="1" a="1"/>
  <c r="R75" i="46" s="1"/>
  <c r="R83" i="43"/>
  <c r="R72" i="46" s="1" a="1"/>
  <c r="R72" i="46" s="1"/>
  <c r="W67" i="43"/>
  <c r="W56" i="46" s="1" a="1"/>
  <c r="W56" i="46" s="1"/>
  <c r="P84" i="43"/>
  <c r="P73" i="46" s="1" a="1"/>
  <c r="P73" i="46" s="1"/>
  <c r="P63" i="43"/>
  <c r="P52" i="46" s="1" a="1"/>
  <c r="P52" i="46" s="1"/>
  <c r="R78" i="43"/>
  <c r="R67" i="46" s="1" a="1"/>
  <c r="R67" i="46" s="1"/>
  <c r="Q63" i="43"/>
  <c r="Q52" i="46" s="1" a="1"/>
  <c r="Q52" i="46" s="1"/>
  <c r="Y56" i="43"/>
  <c r="Y45" i="46" s="1" a="1"/>
  <c r="Y45" i="46" s="1"/>
  <c r="T74" i="43"/>
  <c r="T63" i="46" s="1" a="1"/>
  <c r="T63" i="46" s="1"/>
  <c r="V69" i="43"/>
  <c r="V58" i="46" s="1" a="1"/>
  <c r="V58" i="46" s="1"/>
  <c r="X61" i="43"/>
  <c r="X50" i="46" s="1" a="1"/>
  <c r="X50" i="46" s="1"/>
  <c r="P88" i="43"/>
  <c r="P77" i="46" s="1" a="1"/>
  <c r="P77" i="46" s="1"/>
  <c r="O752" i="35" a="1"/>
  <c r="O752" i="35" s="1"/>
  <c r="O650" i="35" a="1"/>
  <c r="O650" i="35" s="1"/>
  <c r="T652" i="35"/>
  <c r="S660" i="35"/>
  <c r="U84" i="43"/>
  <c r="U73" i="46" s="1" a="1"/>
  <c r="U73" i="46" s="1"/>
  <c r="R69" i="43"/>
  <c r="R58" i="46" s="1" a="1"/>
  <c r="R58" i="46" s="1"/>
  <c r="Y89" i="43"/>
  <c r="Y78" i="46" s="1" a="1"/>
  <c r="Y78" i="46" s="1"/>
  <c r="Z58" i="43"/>
  <c r="Z47" i="46" s="1" a="1"/>
  <c r="Z47" i="46" s="1"/>
  <c r="P86" i="43"/>
  <c r="P75" i="46" s="1" a="1"/>
  <c r="P75" i="46" s="1"/>
  <c r="N67" i="43"/>
  <c r="N56" i="46" s="1" a="1"/>
  <c r="N56" i="46" s="1"/>
  <c r="C380" i="35"/>
  <c r="T61" i="43"/>
  <c r="T50" i="46" s="1" a="1"/>
  <c r="T50" i="46" s="1"/>
  <c r="U70" i="43"/>
  <c r="U59" i="46" s="1" a="1"/>
  <c r="U59" i="46" s="1"/>
  <c r="Z78" i="43"/>
  <c r="Z67" i="46" s="1" a="1"/>
  <c r="Z67" i="46" s="1"/>
  <c r="X76" i="43"/>
  <c r="X65" i="46" s="1" a="1"/>
  <c r="X65" i="46" s="1"/>
  <c r="Q89" i="43"/>
  <c r="Q78" i="46" s="1" a="1"/>
  <c r="Q78" i="46" s="1"/>
  <c r="U88" i="43"/>
  <c r="U77" i="46" s="1" a="1"/>
  <c r="U77" i="46" s="1"/>
  <c r="Z86" i="43"/>
  <c r="Z75" i="46" s="1" a="1"/>
  <c r="Z75" i="46" s="1"/>
  <c r="Z93" i="43"/>
  <c r="Z82" i="46" s="1" a="1"/>
  <c r="Z82" i="46" s="1"/>
  <c r="U64" i="43"/>
  <c r="T660" i="35"/>
  <c r="V74" i="43"/>
  <c r="V63" i="46" s="1" a="1"/>
  <c r="V63" i="46" s="1"/>
  <c r="M78" i="43"/>
  <c r="M67" i="46" s="1" a="1"/>
  <c r="M67" i="46" s="1"/>
  <c r="T73" i="43"/>
  <c r="T62" i="46" s="1" a="1"/>
  <c r="T62" i="46" s="1"/>
  <c r="M79" i="43"/>
  <c r="M68" i="46" s="1" a="1"/>
  <c r="M68" i="46" s="1"/>
  <c r="Q60" i="43"/>
  <c r="Q49" i="46" s="1" a="1"/>
  <c r="Q49" i="46" s="1"/>
  <c r="M81" i="43"/>
  <c r="M70" i="46" s="1" a="1"/>
  <c r="M70" i="46" s="1"/>
  <c r="V77" i="43"/>
  <c r="V66" i="46" s="1" a="1"/>
  <c r="V66" i="46" s="1"/>
  <c r="X57" i="43"/>
  <c r="X46" i="46" s="1" a="1"/>
  <c r="X46" i="46" s="1"/>
  <c r="U90" i="43"/>
  <c r="U79" i="46" s="1" a="1"/>
  <c r="U79" i="46" s="1"/>
  <c r="V76" i="43"/>
  <c r="V65" i="46" s="1" a="1"/>
  <c r="V65" i="46" s="1"/>
  <c r="Q71" i="43"/>
  <c r="Q60" i="46" s="1" a="1"/>
  <c r="Q60" i="46" s="1"/>
  <c r="R70" i="43"/>
  <c r="R59" i="46" s="1" a="1"/>
  <c r="R59" i="46" s="1"/>
  <c r="U91" i="43"/>
  <c r="U80" i="46" s="1" a="1"/>
  <c r="U80" i="46" s="1"/>
  <c r="Q93" i="43"/>
  <c r="Q82" i="46" s="1" a="1"/>
  <c r="Q82" i="46" s="1"/>
  <c r="N73" i="43"/>
  <c r="N62" i="46" s="1" a="1"/>
  <c r="N62" i="46" s="1"/>
  <c r="S673" i="35"/>
  <c r="N58" i="43"/>
  <c r="N47" i="46" s="1" a="1"/>
  <c r="N47" i="46" s="1"/>
  <c r="Y88" i="43"/>
  <c r="Y77" i="46" s="1" a="1"/>
  <c r="Y77" i="46" s="1"/>
  <c r="Z46" i="43"/>
  <c r="Z35" i="46" s="1" a="1"/>
  <c r="Z35" i="46" s="1"/>
  <c r="R63" i="43"/>
  <c r="R52" i="46" s="1" a="1"/>
  <c r="R52" i="46" s="1"/>
  <c r="T67" i="43"/>
  <c r="T56" i="46" s="1" a="1"/>
  <c r="T56" i="46" s="1"/>
  <c r="N69" i="43"/>
  <c r="N58" i="46" s="1" a="1"/>
  <c r="N58" i="46" s="1"/>
  <c r="Y71" i="43"/>
  <c r="Y60" i="46" s="1" a="1"/>
  <c r="Y60" i="46" s="1"/>
  <c r="R91" i="43"/>
  <c r="R80" i="46" s="1" a="1"/>
  <c r="R80" i="46" s="1"/>
  <c r="T89" i="43"/>
  <c r="T78" i="46" s="1" a="1"/>
  <c r="T78" i="46" s="1"/>
  <c r="N78" i="43"/>
  <c r="N67" i="46" s="1" a="1"/>
  <c r="N67" i="46" s="1"/>
  <c r="Q72" i="43"/>
  <c r="Q61" i="46" s="1" a="1"/>
  <c r="Q61" i="46" s="1"/>
  <c r="X63" i="43"/>
  <c r="X52" i="46" s="1" a="1"/>
  <c r="X52" i="46" s="1"/>
  <c r="N71" i="43"/>
  <c r="N60" i="46" s="1" a="1"/>
  <c r="N60" i="46" s="1"/>
  <c r="AA43" i="43"/>
  <c r="AA32" i="46" s="1" a="1"/>
  <c r="AA32" i="46" s="1"/>
  <c r="U61" i="43"/>
  <c r="U50" i="46" s="1" a="1"/>
  <c r="U50" i="46" s="1"/>
  <c r="X43" i="43"/>
  <c r="X32" i="46" s="1" a="1"/>
  <c r="X32" i="46" s="1"/>
  <c r="P59" i="43"/>
  <c r="P48" i="46" s="1" a="1"/>
  <c r="P48" i="46" s="1"/>
  <c r="K480" i="18"/>
  <c r="K243" i="18"/>
  <c r="K792" i="18"/>
  <c r="X91" i="43"/>
  <c r="X80" i="46" s="1" a="1"/>
  <c r="X80" i="46" s="1"/>
  <c r="X62" i="43"/>
  <c r="X51" i="46" s="1" a="1"/>
  <c r="X51" i="46" s="1"/>
  <c r="X79" i="43"/>
  <c r="X68" i="46" s="1" a="1"/>
  <c r="X68" i="46" s="1"/>
  <c r="N74" i="43"/>
  <c r="N63" i="46" s="1" a="1"/>
  <c r="N63" i="46" s="1"/>
  <c r="U76" i="43"/>
  <c r="U65" i="46" s="1" a="1"/>
  <c r="U65" i="46" s="1"/>
  <c r="R88" i="43"/>
  <c r="R77" i="46" s="1" a="1"/>
  <c r="R77" i="46" s="1"/>
  <c r="Q58" i="43"/>
  <c r="Q47" i="46" s="1" a="1"/>
  <c r="Q47" i="46" s="1"/>
  <c r="T90" i="43"/>
  <c r="T79" i="46" s="1" a="1"/>
  <c r="T79" i="46" s="1"/>
  <c r="V70" i="43"/>
  <c r="V59" i="46" s="1" a="1"/>
  <c r="V59" i="46" s="1"/>
  <c r="T62" i="43"/>
  <c r="T51" i="46" s="1" a="1"/>
  <c r="T51" i="46" s="1"/>
  <c r="Q90" i="43"/>
  <c r="Q79" i="46" s="1" a="1"/>
  <c r="Q79" i="46" s="1"/>
  <c r="M66" i="43"/>
  <c r="M55" i="46" s="1" a="1"/>
  <c r="M55" i="46" s="1"/>
  <c r="Q62" i="43"/>
  <c r="Q51" i="46" s="1" a="1"/>
  <c r="Q51" i="46" s="1"/>
  <c r="T75" i="43"/>
  <c r="T64" i="46" s="1" a="1"/>
  <c r="T64" i="46" s="1"/>
  <c r="R82" i="43"/>
  <c r="R71" i="46" s="1" a="1"/>
  <c r="R71" i="46" s="1"/>
  <c r="R56" i="43"/>
  <c r="R45" i="46" s="1" a="1"/>
  <c r="R45" i="46" s="1"/>
  <c r="Z67" i="43"/>
  <c r="Z56" i="46" s="1" a="1"/>
  <c r="Z56" i="46" s="1"/>
  <c r="AA30" i="43"/>
  <c r="AA19" i="46" s="1" a="1"/>
  <c r="AA19" i="46" s="1"/>
  <c r="O53" i="43"/>
  <c r="O42" i="46" s="1" a="1"/>
  <c r="O42" i="46" s="1"/>
  <c r="T58" i="43"/>
  <c r="T47" i="46" s="1" a="1"/>
  <c r="T47" i="46" s="1"/>
  <c r="P85" i="43"/>
  <c r="P74" i="46" s="1" a="1"/>
  <c r="P74" i="46" s="1"/>
  <c r="V87" i="43"/>
  <c r="V76" i="46" s="1" a="1"/>
  <c r="V76" i="46" s="1"/>
  <c r="P46" i="43"/>
  <c r="P35" i="46" s="1" a="1"/>
  <c r="P35" i="46" s="1"/>
  <c r="U82" i="43"/>
  <c r="U71" i="46" s="1" a="1"/>
  <c r="U71" i="46" s="1"/>
  <c r="N56" i="43"/>
  <c r="N45" i="46" s="1" a="1"/>
  <c r="N45" i="46" s="1"/>
  <c r="AA42" i="43"/>
  <c r="AA31" i="46" s="1" a="1"/>
  <c r="AA31" i="46" s="1"/>
  <c r="O40" i="43"/>
  <c r="O29" i="46" s="1" a="1"/>
  <c r="O29" i="46" s="1"/>
  <c r="P73" i="43"/>
  <c r="P62" i="46" s="1" a="1"/>
  <c r="P62" i="46" s="1"/>
  <c r="Q552" i="30"/>
  <c r="Q480" i="30"/>
  <c r="Q869" i="30"/>
  <c r="Q243" i="30"/>
  <c r="L8" i="4"/>
  <c r="S652" i="35"/>
  <c r="T679" i="35"/>
  <c r="S39" i="46" a="1"/>
  <c r="S39" i="46" s="1"/>
  <c r="V71" i="46" a="1"/>
  <c r="V71" i="46" s="1"/>
  <c r="R66" i="46" a="1"/>
  <c r="R66" i="46" s="1"/>
  <c r="N59" i="46" a="1"/>
  <c r="N59" i="46" s="1"/>
  <c r="AA10" i="46" a="1"/>
  <c r="AA10" i="46" s="1"/>
  <c r="U44" i="46" a="1"/>
  <c r="U44" i="46" s="1"/>
  <c r="V38" i="46" a="1"/>
  <c r="V38" i="46" s="1"/>
  <c r="X69" i="46" a="1"/>
  <c r="X69" i="46" s="1"/>
  <c r="U74" i="46" a="1"/>
  <c r="U74" i="46" s="1"/>
  <c r="X58" i="43"/>
  <c r="X47" i="46" s="1" a="1"/>
  <c r="X47" i="46" s="1"/>
  <c r="P39" i="43"/>
  <c r="P28" i="46" s="1" a="1"/>
  <c r="P28" i="46" s="1"/>
  <c r="P67" i="43"/>
  <c r="P56" i="46" s="1" a="1"/>
  <c r="P56" i="46" s="1"/>
  <c r="V88" i="43"/>
  <c r="V77" i="46" s="1" a="1"/>
  <c r="V77" i="46" s="1"/>
  <c r="P71" i="43"/>
  <c r="P60" i="46" s="1" a="1"/>
  <c r="P60" i="46" s="1"/>
  <c r="Q59" i="43"/>
  <c r="Q48" i="46" s="1" a="1"/>
  <c r="Q48" i="46" s="1"/>
  <c r="X72" i="43"/>
  <c r="X61" i="46" s="1" a="1"/>
  <c r="X61" i="46" s="1"/>
  <c r="Y31" i="43"/>
  <c r="Y20" i="46" s="1" a="1"/>
  <c r="Y20" i="46" s="1"/>
  <c r="M62" i="43"/>
  <c r="M51" i="46" s="1" a="1"/>
  <c r="M51" i="46" s="1"/>
  <c r="M57" i="43"/>
  <c r="M46" i="46" s="1" a="1"/>
  <c r="M46" i="46" s="1"/>
  <c r="V59" i="43"/>
  <c r="V48" i="46" s="1" a="1"/>
  <c r="V48" i="46" s="1"/>
  <c r="M75" i="43"/>
  <c r="M64" i="46" s="1" a="1"/>
  <c r="M64" i="46" s="1"/>
  <c r="U39" i="43"/>
  <c r="U28" i="46" s="1" a="1"/>
  <c r="U28" i="46" s="1"/>
  <c r="R89" i="43"/>
  <c r="R78" i="46" s="1" a="1"/>
  <c r="R78" i="46" s="1"/>
  <c r="V31" i="43"/>
  <c r="V20" i="46" s="1" a="1"/>
  <c r="V20" i="46" s="1"/>
  <c r="T59" i="43"/>
  <c r="T48" i="46" s="1" a="1"/>
  <c r="T48" i="46" s="1"/>
  <c r="Z70" i="43"/>
  <c r="Z59" i="46" s="1" a="1"/>
  <c r="Z59" i="46" s="1"/>
  <c r="X55" i="43"/>
  <c r="X44" i="46" s="1" a="1"/>
  <c r="X44" i="46" s="1"/>
  <c r="V72" i="43"/>
  <c r="V61" i="46" s="1" a="1"/>
  <c r="V61" i="46" s="1"/>
  <c r="Z74" i="43"/>
  <c r="Z63" i="46" s="1" a="1"/>
  <c r="Z63" i="46" s="1"/>
  <c r="T39" i="43"/>
  <c r="T28" i="46" s="1" a="1"/>
  <c r="T28" i="46" s="1"/>
  <c r="U67" i="43"/>
  <c r="U56" i="46" s="1" a="1"/>
  <c r="U56" i="46" s="1"/>
  <c r="Z59" i="43"/>
  <c r="Z48" i="46" s="1" a="1"/>
  <c r="Z48" i="46" s="1"/>
  <c r="N91" i="43"/>
  <c r="N80" i="46" s="1" a="1"/>
  <c r="N80" i="46" s="1"/>
  <c r="T80" i="43"/>
  <c r="T69" i="46" s="1" a="1"/>
  <c r="T69" i="46" s="1"/>
  <c r="P62" i="43"/>
  <c r="P51" i="46" s="1" a="1"/>
  <c r="P51" i="46" s="1"/>
  <c r="Z62" i="43"/>
  <c r="Z51" i="46" s="1" a="1"/>
  <c r="Z51" i="46" s="1"/>
  <c r="M58" i="43"/>
  <c r="M47" i="46" s="1" a="1"/>
  <c r="M47" i="46" s="1"/>
  <c r="N76" i="43"/>
  <c r="N65" i="46" s="1" a="1"/>
  <c r="N65" i="46" s="1"/>
  <c r="V22" i="43"/>
  <c r="V11" i="46" s="1" a="1"/>
  <c r="V11" i="46" s="1"/>
  <c r="V86" i="43"/>
  <c r="V75" i="46" s="1" a="1"/>
  <c r="V75" i="46" s="1"/>
  <c r="X73" i="43"/>
  <c r="X62" i="46" s="1" a="1"/>
  <c r="X62" i="46" s="1"/>
  <c r="M71" i="43"/>
  <c r="M60" i="46" s="1" a="1"/>
  <c r="M60" i="46" s="1"/>
  <c r="R58" i="43"/>
  <c r="R47" i="46" s="1" a="1"/>
  <c r="R47" i="46" s="1"/>
  <c r="M69" i="43"/>
  <c r="M58" i="46" s="1" a="1"/>
  <c r="M58" i="46" s="1"/>
  <c r="Z65" i="43"/>
  <c r="Z54" i="46" s="1" a="1"/>
  <c r="Z54" i="46" s="1"/>
  <c r="X92" i="43"/>
  <c r="X81" i="46" s="1" a="1"/>
  <c r="X81" i="46" s="1"/>
  <c r="O80" i="43"/>
  <c r="O69" i="46" s="1" a="1"/>
  <c r="O69" i="46" s="1"/>
  <c r="X66" i="43"/>
  <c r="X55" i="46" s="1" a="1"/>
  <c r="X55" i="46" s="1"/>
  <c r="Q79" i="43"/>
  <c r="Q68" i="46" s="1" a="1"/>
  <c r="Q68" i="46" s="1"/>
  <c r="AA64" i="43"/>
  <c r="AA53" i="46" s="1" a="1"/>
  <c r="AA53" i="46" s="1"/>
  <c r="X56" i="43"/>
  <c r="X45" i="46" s="1" a="1"/>
  <c r="X45" i="46" s="1"/>
  <c r="AA19" i="43"/>
  <c r="AA8" i="46" s="1" a="1"/>
  <c r="AA8" i="46" s="1"/>
  <c r="W43" i="43"/>
  <c r="W32" i="46" s="1" a="1"/>
  <c r="W32" i="46" s="1"/>
  <c r="M43" i="43"/>
  <c r="M32" i="46" s="1" a="1"/>
  <c r="M32" i="46" s="1"/>
  <c r="X81" i="43"/>
  <c r="X70" i="46" s="1" a="1"/>
  <c r="X70" i="46" s="1"/>
  <c r="W89" i="43"/>
  <c r="W78" i="46" s="1" a="1"/>
  <c r="W78" i="46" s="1"/>
  <c r="Z73" i="43"/>
  <c r="Z62" i="46" s="1" a="1"/>
  <c r="Z62" i="46" s="1"/>
  <c r="N82" i="43"/>
  <c r="N71" i="46" s="1" a="1"/>
  <c r="N71" i="46" s="1"/>
  <c r="Z68" i="43"/>
  <c r="Z57" i="46" s="1" a="1"/>
  <c r="Z57" i="46" s="1"/>
  <c r="Z64" i="43"/>
  <c r="Z53" i="46" s="1" a="1"/>
  <c r="Z53" i="46" s="1"/>
  <c r="K81" i="43"/>
  <c r="K70" i="46" s="1" a="1"/>
  <c r="K70" i="46" s="1"/>
  <c r="W76" i="43"/>
  <c r="W65" i="46" s="1" a="1"/>
  <c r="W65" i="46" s="1"/>
  <c r="V81" i="43"/>
  <c r="V70" i="46" s="1" a="1"/>
  <c r="V70" i="46" s="1"/>
  <c r="K60" i="43"/>
  <c r="K49" i="46" s="1" a="1"/>
  <c r="K49" i="46" s="1"/>
  <c r="Y69" i="43"/>
  <c r="Y58" i="46" s="1" a="1"/>
  <c r="Y58" i="46" s="1"/>
  <c r="AA28" i="43"/>
  <c r="AA17" i="46" s="1" a="1"/>
  <c r="AA17" i="46" s="1"/>
  <c r="AA45" i="43"/>
  <c r="AA34" i="46" s="1" a="1"/>
  <c r="AA34" i="46" s="1"/>
  <c r="S55" i="43"/>
  <c r="S44" i="46" s="1" a="1"/>
  <c r="S44" i="46" s="1"/>
  <c r="AA36" i="43"/>
  <c r="AA25" i="46" s="1" a="1"/>
  <c r="AA25" i="46" s="1"/>
  <c r="N77" i="43"/>
  <c r="N66" i="46" s="1" a="1"/>
  <c r="N66" i="46" s="1"/>
  <c r="O54" i="43"/>
  <c r="O43" i="46" s="1" a="1"/>
  <c r="O43" i="46" s="1"/>
  <c r="W82" i="43"/>
  <c r="W71" i="46" s="1" a="1"/>
  <c r="W71" i="46" s="1"/>
  <c r="M63" i="43"/>
  <c r="M52" i="46" s="1" a="1"/>
  <c r="M52" i="46" s="1"/>
  <c r="N65" i="43"/>
  <c r="N54" i="46" s="1" a="1"/>
  <c r="N54" i="46" s="1"/>
  <c r="W28" i="43"/>
  <c r="W17" i="46" s="1" a="1"/>
  <c r="W17" i="46" s="1"/>
  <c r="AA33" i="43"/>
  <c r="AA22" i="46" s="1" a="1"/>
  <c r="AA22" i="46" s="1"/>
  <c r="R74" i="43"/>
  <c r="R63" i="46" s="1" a="1"/>
  <c r="R63" i="46" s="1"/>
  <c r="O46" i="43"/>
  <c r="O35" i="46" s="1" a="1"/>
  <c r="O35" i="46" s="1"/>
  <c r="Y43" i="43"/>
  <c r="Y32" i="46" s="1" a="1"/>
  <c r="Y32" i="46" s="1"/>
  <c r="Z81" i="43"/>
  <c r="Z70" i="46" s="1" a="1"/>
  <c r="Z70" i="46" s="1"/>
  <c r="I60" i="43"/>
  <c r="I49" i="46" s="1" a="1"/>
  <c r="I49" i="46" s="1"/>
  <c r="X65" i="43"/>
  <c r="X54" i="46" s="1" a="1"/>
  <c r="X54" i="46" s="1"/>
  <c r="M67" i="43"/>
  <c r="M56" i="46" s="1" a="1"/>
  <c r="M56" i="46" s="1"/>
  <c r="AA46" i="43"/>
  <c r="AA35" i="46" s="1" a="1"/>
  <c r="AA35" i="46" s="1"/>
  <c r="W58" i="43"/>
  <c r="W47" i="46" s="1" a="1"/>
  <c r="W47" i="46" s="1"/>
  <c r="S47" i="43"/>
  <c r="S36" i="46" s="1" a="1"/>
  <c r="S36" i="46" s="1"/>
  <c r="Y55" i="43"/>
  <c r="Y44" i="46" s="1" a="1"/>
  <c r="Y44" i="46" s="1"/>
  <c r="X82" i="43"/>
  <c r="X71" i="46" s="1" a="1"/>
  <c r="X71" i="46" s="1"/>
  <c r="Y24" i="43"/>
  <c r="Y13" i="46" s="1" a="1"/>
  <c r="Y13" i="46" s="1"/>
  <c r="W53" i="43"/>
  <c r="W42" i="46" s="1" a="1"/>
  <c r="W42" i="46" s="1"/>
  <c r="U652" i="35"/>
  <c r="T759" i="35"/>
  <c r="J759" i="35" s="1"/>
  <c r="S776" i="35"/>
  <c r="U766" i="35"/>
  <c r="U670" i="35"/>
  <c r="S658" i="35"/>
  <c r="T756" i="35"/>
  <c r="J756" i="35" s="1"/>
  <c r="S672" i="35"/>
  <c r="I672" i="35" s="1"/>
  <c r="U673" i="35"/>
  <c r="K673" i="35" s="1"/>
  <c r="G667" i="35"/>
  <c r="G676" i="35"/>
  <c r="T769" i="35"/>
  <c r="U759" i="35"/>
  <c r="S669" i="35"/>
  <c r="I669" i="35" s="1"/>
  <c r="U769" i="35"/>
  <c r="T776" i="35"/>
  <c r="S676" i="35"/>
  <c r="S759" i="35"/>
  <c r="I759" i="35" s="1"/>
  <c r="T677" i="35"/>
  <c r="J769" i="35"/>
  <c r="T773" i="35"/>
  <c r="T654" i="35"/>
  <c r="J654" i="35" s="1"/>
  <c r="U654" i="35"/>
  <c r="K654" i="35" s="1"/>
  <c r="S664" i="35"/>
  <c r="T771" i="35"/>
  <c r="T676" i="35"/>
  <c r="G670" i="35"/>
  <c r="J670" i="35" s="1"/>
  <c r="U773" i="35"/>
  <c r="U676" i="35"/>
  <c r="S756" i="35"/>
  <c r="I756" i="35" s="1"/>
  <c r="U756" i="35"/>
  <c r="K756" i="35" s="1"/>
  <c r="U776" i="35"/>
  <c r="G664" i="35"/>
  <c r="S769" i="35"/>
  <c r="J54" i="38"/>
  <c r="C276" i="21"/>
  <c r="F276" i="21" s="1"/>
  <c r="F253" i="21"/>
  <c r="C268" i="21"/>
  <c r="F268" i="21" s="1"/>
  <c r="F245" i="21"/>
  <c r="C280" i="21"/>
  <c r="F280" i="21" s="1"/>
  <c r="F257" i="21"/>
  <c r="AA82" i="46" a="1"/>
  <c r="AA82" i="46" s="1"/>
  <c r="Y41" i="46" a="1"/>
  <c r="Y41" i="46" s="1"/>
  <c r="Y24" i="46" a="1"/>
  <c r="Y24" i="46" s="1"/>
  <c r="AA20" i="46" a="1"/>
  <c r="AA20" i="46" s="1"/>
  <c r="R32" i="46" a="1"/>
  <c r="R32" i="46" s="1"/>
  <c r="Y43" i="46" a="1"/>
  <c r="Y43" i="46" s="1"/>
  <c r="M79" i="46" a="1"/>
  <c r="M79" i="46" s="1"/>
  <c r="Y14" i="46" a="1"/>
  <c r="Y14" i="46" s="1"/>
  <c r="W74" i="46" a="1"/>
  <c r="W74" i="46" s="1"/>
  <c r="Y36" i="46" a="1"/>
  <c r="Y36" i="46" s="1"/>
  <c r="V51" i="46" a="1"/>
  <c r="V51" i="46" s="1"/>
  <c r="T35" i="46" a="1"/>
  <c r="T35" i="46" s="1"/>
  <c r="Y10" i="46" a="1"/>
  <c r="Y10" i="46" s="1"/>
  <c r="P65" i="46" a="1"/>
  <c r="P65" i="46" s="1"/>
  <c r="U53" i="46" a="1"/>
  <c r="U53" i="46" s="1"/>
  <c r="C186" i="18"/>
  <c r="C363" i="18"/>
  <c r="C375" i="18"/>
  <c r="C109" i="18"/>
  <c r="C470" i="18"/>
  <c r="C429" i="18"/>
  <c r="C116" i="18"/>
  <c r="C354" i="18"/>
  <c r="C165" i="18"/>
  <c r="C178" i="18"/>
  <c r="C438" i="18"/>
  <c r="C200" i="18"/>
  <c r="C424" i="18"/>
  <c r="C129" i="18"/>
  <c r="C436" i="18"/>
  <c r="C233" i="18"/>
  <c r="C389" i="18"/>
  <c r="C156" i="18"/>
  <c r="C106" i="18"/>
  <c r="C148" i="18"/>
  <c r="C473" i="18"/>
  <c r="C382" i="18"/>
  <c r="C213" i="18"/>
  <c r="C445" i="18"/>
  <c r="C390" i="18"/>
  <c r="Z69" i="43"/>
  <c r="Z58" i="46" s="1" a="1"/>
  <c r="Z58" i="46" s="1"/>
  <c r="AA29" i="43"/>
  <c r="AA18" i="46" s="1" a="1"/>
  <c r="AA18" i="46" s="1"/>
  <c r="O77" i="43"/>
  <c r="O66" i="46" s="1" a="1"/>
  <c r="O66" i="46" s="1"/>
  <c r="AA40" i="43"/>
  <c r="AA29" i="46" s="1" a="1"/>
  <c r="AA29" i="46" s="1"/>
  <c r="X77" i="43"/>
  <c r="X66" i="46" s="1" a="1"/>
  <c r="X66" i="46" s="1"/>
  <c r="R66" i="43"/>
  <c r="R55" i="46" s="1" a="1"/>
  <c r="R55" i="46" s="1"/>
  <c r="Z19" i="43"/>
  <c r="Z8" i="46" s="1" a="1"/>
  <c r="Z8" i="46" s="1"/>
  <c r="M89" i="43"/>
  <c r="M78" i="46" s="1" a="1"/>
  <c r="M78" i="46" s="1"/>
  <c r="V58" i="43"/>
  <c r="V47" i="46" s="1" a="1"/>
  <c r="V47" i="46" s="1"/>
  <c r="Q39" i="43"/>
  <c r="Q28" i="46" s="1" a="1"/>
  <c r="Q28" i="46" s="1"/>
  <c r="S69" i="43"/>
  <c r="S58" i="46" s="1" a="1"/>
  <c r="S58" i="46" s="1"/>
  <c r="N88" i="43"/>
  <c r="N77" i="46" s="1" a="1"/>
  <c r="N77" i="46" s="1"/>
  <c r="R59" i="43"/>
  <c r="R48" i="46" s="1" a="1"/>
  <c r="R48" i="46" s="1"/>
  <c r="X51" i="43"/>
  <c r="X40" i="46" s="1" a="1"/>
  <c r="X40" i="46" s="1"/>
  <c r="I46" i="43"/>
  <c r="I35" i="46" s="1" a="1"/>
  <c r="I35" i="46" s="1"/>
  <c r="M49" i="43"/>
  <c r="M38" i="46" s="1" a="1"/>
  <c r="M38" i="46" s="1"/>
  <c r="W51" i="43"/>
  <c r="W40" i="46" s="1" a="1"/>
  <c r="W40" i="46" s="1"/>
  <c r="AA52" i="43"/>
  <c r="AA41" i="46" s="1" a="1"/>
  <c r="AA41" i="46" s="1"/>
  <c r="R93" i="43"/>
  <c r="R82" i="46" s="1" a="1"/>
  <c r="R82" i="46" s="1"/>
  <c r="O85" i="43"/>
  <c r="O74" i="46" s="1" a="1"/>
  <c r="O74" i="46" s="1"/>
  <c r="V79" i="43"/>
  <c r="V68" i="46" s="1" a="1"/>
  <c r="V68" i="46" s="1"/>
  <c r="O42" i="43"/>
  <c r="O31" i="46" s="1" a="1"/>
  <c r="O31" i="46" s="1"/>
  <c r="O51" i="43"/>
  <c r="O40" i="46" s="1" a="1"/>
  <c r="O40" i="46" s="1"/>
  <c r="O93" i="43"/>
  <c r="O82" i="46" s="1" a="1"/>
  <c r="O82" i="46" s="1"/>
  <c r="K84" i="43"/>
  <c r="K73" i="46" s="1" a="1"/>
  <c r="K73" i="46" s="1"/>
  <c r="S56" i="43"/>
  <c r="S45" i="46" s="1" a="1"/>
  <c r="S45" i="46" s="1"/>
  <c r="W44" i="43"/>
  <c r="W33" i="46" s="1" a="1"/>
  <c r="W33" i="46" s="1"/>
  <c r="AA41" i="43"/>
  <c r="AA30" i="46" s="1" a="1"/>
  <c r="AA30" i="46" s="1"/>
  <c r="S42" i="43"/>
  <c r="S31" i="46" s="1" a="1"/>
  <c r="S31" i="46" s="1"/>
  <c r="W24" i="43"/>
  <c r="W13" i="46" s="1" a="1"/>
  <c r="W13" i="46" s="1"/>
  <c r="P69" i="43"/>
  <c r="P58" i="46" s="1" a="1"/>
  <c r="P58" i="46" s="1"/>
  <c r="AA25" i="43"/>
  <c r="AA14" i="46" s="1" a="1"/>
  <c r="AA14" i="46" s="1"/>
  <c r="U89" i="43"/>
  <c r="U78" i="46" s="1" a="1"/>
  <c r="U78" i="46" s="1"/>
  <c r="N55" i="43"/>
  <c r="N44" i="46" s="1" a="1"/>
  <c r="N44" i="46" s="1"/>
  <c r="Q69" i="43"/>
  <c r="Q58" i="46" s="1" a="1"/>
  <c r="Q58" i="46" s="1"/>
  <c r="X25" i="43"/>
  <c r="X14" i="46" s="1" a="1"/>
  <c r="X14" i="46" s="1"/>
  <c r="R44" i="43"/>
  <c r="R33" i="46" s="1" a="1"/>
  <c r="R33" i="46" s="1"/>
  <c r="R68" i="43"/>
  <c r="R57" i="46" s="1" a="1"/>
  <c r="R57" i="46" s="1"/>
  <c r="R73" i="43"/>
  <c r="R62" i="46" s="1" a="1"/>
  <c r="R62" i="46" s="1"/>
  <c r="W48" i="43"/>
  <c r="W37" i="46" s="1" a="1"/>
  <c r="W37" i="46" s="1"/>
  <c r="X90" i="43"/>
  <c r="X79" i="46" s="1" a="1"/>
  <c r="X79" i="46" s="1"/>
  <c r="X59" i="43"/>
  <c r="X48" i="46" s="1" a="1"/>
  <c r="X48" i="46" s="1"/>
  <c r="V71" i="43"/>
  <c r="V60" i="46" s="1" a="1"/>
  <c r="V60" i="46" s="1"/>
  <c r="Q55" i="43"/>
  <c r="Q44" i="46" s="1" a="1"/>
  <c r="Q44" i="46" s="1"/>
  <c r="R67" i="43"/>
  <c r="R56" i="46" s="1" a="1"/>
  <c r="R56" i="46" s="1"/>
  <c r="R84" i="43"/>
  <c r="R73" i="46" s="1" a="1"/>
  <c r="R73" i="46" s="1"/>
  <c r="R87" i="43"/>
  <c r="R76" i="46" s="1" a="1"/>
  <c r="R76" i="46" s="1"/>
  <c r="P92" i="43"/>
  <c r="P81" i="46" s="1" a="1"/>
  <c r="P81" i="46" s="1"/>
  <c r="AA37" i="43"/>
  <c r="AA26" i="46" s="1" a="1"/>
  <c r="AA26" i="46" s="1"/>
  <c r="W35" i="43"/>
  <c r="W24" i="46" s="1" a="1"/>
  <c r="W24" i="46" s="1"/>
  <c r="O45" i="43"/>
  <c r="O34" i="46" s="1" a="1"/>
  <c r="O34" i="46" s="1"/>
  <c r="V65" i="43"/>
  <c r="V54" i="46" s="1" a="1"/>
  <c r="V54" i="46" s="1"/>
  <c r="S57" i="43"/>
  <c r="S46" i="46" s="1" a="1"/>
  <c r="S46" i="46" s="1"/>
  <c r="O62" i="43"/>
  <c r="O51" i="46" s="1" a="1"/>
  <c r="O51" i="46" s="1"/>
  <c r="Z77" i="43"/>
  <c r="Z66" i="46" s="1" a="1"/>
  <c r="Z66" i="46" s="1"/>
  <c r="X70" i="43"/>
  <c r="X59" i="46" s="1" a="1"/>
  <c r="X59" i="46" s="1"/>
  <c r="Z75" i="43"/>
  <c r="Z64" i="46" s="1" a="1"/>
  <c r="Z64" i="46" s="1"/>
  <c r="W87" i="43"/>
  <c r="W76" i="46" s="1" a="1"/>
  <c r="W76" i="46" s="1"/>
  <c r="P60" i="43"/>
  <c r="P49" i="46" s="1" a="1"/>
  <c r="P49" i="46" s="1"/>
  <c r="Z80" i="43"/>
  <c r="Z69" i="46" s="1" a="1"/>
  <c r="Z69" i="46" s="1"/>
  <c r="S52" i="43"/>
  <c r="S41" i="46" s="1" a="1"/>
  <c r="S41" i="46" s="1"/>
  <c r="Y27" i="43"/>
  <c r="Y16" i="46" s="1" a="1"/>
  <c r="Y16" i="46" s="1"/>
  <c r="X88" i="43"/>
  <c r="X77" i="46" s="1" a="1"/>
  <c r="X77" i="46" s="1"/>
  <c r="W41" i="43"/>
  <c r="W30" i="46" s="1" a="1"/>
  <c r="W30" i="46" s="1"/>
  <c r="N59" i="43"/>
  <c r="N48" i="46" s="1" a="1"/>
  <c r="N48" i="46" s="1"/>
  <c r="Z82" i="43"/>
  <c r="Z71" i="46" s="1" a="1"/>
  <c r="Z71" i="46" s="1"/>
  <c r="U72" i="43"/>
  <c r="U61" i="46" s="1" a="1"/>
  <c r="U61" i="46" s="1"/>
  <c r="P79" i="43"/>
  <c r="P68" i="46" s="1" a="1"/>
  <c r="P68" i="46" s="1"/>
  <c r="U58" i="43"/>
  <c r="U47" i="46" s="1" a="1"/>
  <c r="U47" i="46" s="1"/>
  <c r="V73" i="43"/>
  <c r="V62" i="46" s="1" a="1"/>
  <c r="V62" i="46" s="1"/>
  <c r="I65" i="43"/>
  <c r="I54" i="46" s="1" a="1"/>
  <c r="I54" i="46" s="1"/>
  <c r="K58" i="43"/>
  <c r="K47" i="46" s="1" a="1"/>
  <c r="K47" i="46" s="1"/>
  <c r="E281" i="30"/>
  <c r="E437" i="30" s="1"/>
  <c r="E132" i="31"/>
  <c r="C356" i="30"/>
  <c r="E16" i="18"/>
  <c r="E172" i="18" s="1"/>
  <c r="E252" i="18"/>
  <c r="E16" i="30"/>
  <c r="E172" i="30" s="1"/>
  <c r="E252" i="30"/>
  <c r="E408" i="30" s="1"/>
  <c r="C201" i="18"/>
  <c r="C327" i="30"/>
  <c r="E9" i="18"/>
  <c r="C186" i="30"/>
  <c r="AA51" i="43"/>
  <c r="AA40" i="46" s="1" a="1"/>
  <c r="AA40" i="46" s="1"/>
  <c r="C237" i="18"/>
  <c r="C159" i="18"/>
  <c r="E241" i="31"/>
  <c r="E277" i="30"/>
  <c r="E433" i="30" s="1"/>
  <c r="E21" i="30"/>
  <c r="E99" i="30" s="1"/>
  <c r="E21" i="18"/>
  <c r="E177" i="18" s="1"/>
  <c r="E144" i="31"/>
  <c r="C447" i="30"/>
  <c r="C369" i="30"/>
  <c r="D27" i="30"/>
  <c r="D105" i="30" s="1"/>
  <c r="D27" i="18"/>
  <c r="D105" i="18" s="1"/>
  <c r="D150" i="31"/>
  <c r="C336" i="18"/>
  <c r="C414" i="18"/>
  <c r="D252" i="18"/>
  <c r="D330" i="18" s="1"/>
  <c r="D216" i="31"/>
  <c r="D252" i="30"/>
  <c r="C392" i="30"/>
  <c r="C470" i="30"/>
  <c r="C233" i="30"/>
  <c r="C155" i="30"/>
  <c r="C206" i="18"/>
  <c r="C128" i="18"/>
  <c r="G165" i="31"/>
  <c r="G42" i="30"/>
  <c r="G198" i="30" s="1"/>
  <c r="G42" i="18"/>
  <c r="G198" i="18" s="1"/>
  <c r="G281" i="18"/>
  <c r="G437" i="18" s="1"/>
  <c r="G245" i="31"/>
  <c r="G281" i="30"/>
  <c r="G359" i="30" s="1"/>
  <c r="G243" i="31"/>
  <c r="G279" i="30"/>
  <c r="G357" i="30" s="1"/>
  <c r="G279" i="18"/>
  <c r="G357" i="18" s="1"/>
  <c r="G145" i="31"/>
  <c r="G22" i="30"/>
  <c r="G100" i="30" s="1"/>
  <c r="G22" i="18"/>
  <c r="G178" i="18" s="1"/>
  <c r="G63" i="18"/>
  <c r="G141" i="18" s="1"/>
  <c r="G186" i="31"/>
  <c r="G63" i="30"/>
  <c r="G141" i="30" s="1"/>
  <c r="C473" i="30"/>
  <c r="C395" i="30"/>
  <c r="D254" i="18"/>
  <c r="D332" i="18" s="1"/>
  <c r="D218" i="31"/>
  <c r="D254" i="30"/>
  <c r="D410" i="30" s="1"/>
  <c r="G229" i="31"/>
  <c r="G265" i="30"/>
  <c r="G343" i="30" s="1"/>
  <c r="G265" i="18"/>
  <c r="G343" i="18" s="1"/>
  <c r="G144" i="31"/>
  <c r="G21" i="30"/>
  <c r="G177" i="30" s="1"/>
  <c r="G21" i="18"/>
  <c r="G177" i="18" s="1"/>
  <c r="G275" i="18"/>
  <c r="G431" i="18" s="1"/>
  <c r="G239" i="31"/>
  <c r="G275" i="30"/>
  <c r="G431" i="30" s="1"/>
  <c r="G277" i="30"/>
  <c r="G355" i="30" s="1"/>
  <c r="G277" i="18"/>
  <c r="G433" i="18" s="1"/>
  <c r="G241" i="31"/>
  <c r="G276" i="30"/>
  <c r="G432" i="30" s="1"/>
  <c r="G276" i="18"/>
  <c r="G432" i="18" s="1"/>
  <c r="D73" i="30"/>
  <c r="D151" i="30" s="1"/>
  <c r="D73" i="18"/>
  <c r="D151" i="18" s="1"/>
  <c r="C187" i="30"/>
  <c r="C109" i="30"/>
  <c r="D264" i="31"/>
  <c r="D300" i="30"/>
  <c r="D456" i="30" s="1"/>
  <c r="C370" i="30"/>
  <c r="C448" i="30"/>
  <c r="D245" i="31"/>
  <c r="D281" i="30"/>
  <c r="D437" i="30" s="1"/>
  <c r="D281" i="18"/>
  <c r="D437" i="18" s="1"/>
  <c r="C128" i="30"/>
  <c r="C206" i="30"/>
  <c r="D217" i="31"/>
  <c r="D253" i="30"/>
  <c r="D253" i="18"/>
  <c r="D331" i="18" s="1"/>
  <c r="C455" i="18"/>
  <c r="C377" i="18"/>
  <c r="C469" i="30"/>
  <c r="C391" i="30"/>
  <c r="D170" i="31"/>
  <c r="D47" i="30"/>
  <c r="D203" i="30" s="1"/>
  <c r="E223" i="31"/>
  <c r="E259" i="30"/>
  <c r="E415" i="30" s="1"/>
  <c r="AA243" i="18"/>
  <c r="AA792" i="18"/>
  <c r="AA480" i="18"/>
  <c r="Y33" i="43"/>
  <c r="Y22" i="46" s="1" a="1"/>
  <c r="Y22" i="46" s="1"/>
  <c r="O66" i="43"/>
  <c r="O55" i="46" s="1" a="1"/>
  <c r="O55" i="46" s="1"/>
  <c r="D278" i="30"/>
  <c r="D356" i="30" s="1"/>
  <c r="E246" i="31"/>
  <c r="D242" i="31"/>
  <c r="E277" i="18"/>
  <c r="E355" i="18" s="1"/>
  <c r="E284" i="30"/>
  <c r="E362" i="30" s="1"/>
  <c r="C460" i="30"/>
  <c r="E282" i="18"/>
  <c r="G39" i="18"/>
  <c r="G117" i="18" s="1"/>
  <c r="G40" i="18"/>
  <c r="G196" i="18" s="1"/>
  <c r="G39" i="30"/>
  <c r="G117" i="30" s="1"/>
  <c r="G40" i="30"/>
  <c r="G196" i="30" s="1"/>
  <c r="C209" i="18"/>
  <c r="D64" i="18"/>
  <c r="D142" i="18" s="1"/>
  <c r="D64" i="30"/>
  <c r="D142" i="30" s="1"/>
  <c r="E47" i="18"/>
  <c r="C235" i="18"/>
  <c r="E47" i="30"/>
  <c r="E80" i="18"/>
  <c r="E158" i="18" s="1"/>
  <c r="D65" i="30"/>
  <c r="D221" i="30" s="1"/>
  <c r="G56" i="18"/>
  <c r="G212" i="18" s="1"/>
  <c r="E173" i="31"/>
  <c r="E192" i="31"/>
  <c r="E80" i="30"/>
  <c r="E236" i="30" s="1"/>
  <c r="G56" i="30"/>
  <c r="G212" i="30" s="1"/>
  <c r="G72" i="18"/>
  <c r="G228" i="18" s="1"/>
  <c r="D70" i="30"/>
  <c r="D148" i="30" s="1"/>
  <c r="G48" i="18"/>
  <c r="G204" i="18" s="1"/>
  <c r="D175" i="31"/>
  <c r="G72" i="30"/>
  <c r="G228" i="30" s="1"/>
  <c r="D193" i="31"/>
  <c r="D61" i="30"/>
  <c r="D217" i="30" s="1"/>
  <c r="G48" i="30"/>
  <c r="G204" i="30" s="1"/>
  <c r="C150" i="18"/>
  <c r="C214" i="30"/>
  <c r="E54" i="18"/>
  <c r="E132" i="18" s="1"/>
  <c r="C236" i="18"/>
  <c r="D185" i="31"/>
  <c r="D62" i="18"/>
  <c r="D140" i="18" s="1"/>
  <c r="D272" i="31"/>
  <c r="W29" i="43"/>
  <c r="W18" i="46" s="1" a="1"/>
  <c r="W18" i="46" s="1"/>
  <c r="C224" i="18"/>
  <c r="E285" i="30"/>
  <c r="E363" i="30" s="1"/>
  <c r="D314" i="30"/>
  <c r="D392" i="30" s="1"/>
  <c r="C159" i="30"/>
  <c r="E57" i="18"/>
  <c r="E213" i="18" s="1"/>
  <c r="C452" i="18"/>
  <c r="C384" i="30"/>
  <c r="E57" i="30"/>
  <c r="E135" i="30" s="1"/>
  <c r="C210" i="18"/>
  <c r="D63" i="18"/>
  <c r="D219" i="18" s="1"/>
  <c r="E309" i="18"/>
  <c r="E465" i="18" s="1"/>
  <c r="C396" i="30"/>
  <c r="D80" i="18"/>
  <c r="D158" i="18" s="1"/>
  <c r="C474" i="18"/>
  <c r="I58" i="43"/>
  <c r="I47" i="46" s="1" a="1"/>
  <c r="I47" i="46" s="1"/>
  <c r="D63" i="30"/>
  <c r="D219" i="30" s="1"/>
  <c r="E309" i="30"/>
  <c r="E387" i="30" s="1"/>
  <c r="D80" i="30"/>
  <c r="D158" i="30" s="1"/>
  <c r="C221" i="18"/>
  <c r="I81" i="43"/>
  <c r="I70" i="46" s="1" a="1"/>
  <c r="I70" i="46" s="1"/>
  <c r="W34" i="9"/>
  <c r="W42" i="43"/>
  <c r="W31" i="46" s="1" a="1"/>
  <c r="W31" i="46" s="1"/>
  <c r="W46" i="43"/>
  <c r="W35" i="46" s="1" a="1"/>
  <c r="W35" i="46" s="1"/>
  <c r="S760" i="35"/>
  <c r="U679" i="35"/>
  <c r="D77" i="18"/>
  <c r="D233" i="18" s="1"/>
  <c r="C375" i="30"/>
  <c r="E243" i="31"/>
  <c r="D52" i="18"/>
  <c r="D130" i="18" s="1"/>
  <c r="D275" i="18"/>
  <c r="D353" i="18" s="1"/>
  <c r="C142" i="18"/>
  <c r="D74" i="18"/>
  <c r="D230" i="18" s="1"/>
  <c r="D61" i="18"/>
  <c r="D217" i="18" s="1"/>
  <c r="T760" i="35"/>
  <c r="D317" i="18"/>
  <c r="D68" i="18"/>
  <c r="D146" i="18" s="1"/>
  <c r="E283" i="18"/>
  <c r="E439" i="18" s="1"/>
  <c r="E289" i="18"/>
  <c r="E367" i="18" s="1"/>
  <c r="C369" i="18"/>
  <c r="C212" i="30"/>
  <c r="C143" i="30"/>
  <c r="D295" i="18"/>
  <c r="D373" i="18" s="1"/>
  <c r="G679" i="35"/>
  <c r="D317" i="30"/>
  <c r="D473" i="30" s="1"/>
  <c r="C393" i="30"/>
  <c r="D68" i="30"/>
  <c r="D146" i="30" s="1"/>
  <c r="E283" i="30"/>
  <c r="E361" i="30" s="1"/>
  <c r="E289" i="30"/>
  <c r="D46" i="18"/>
  <c r="D202" i="18" s="1"/>
  <c r="D295" i="30"/>
  <c r="D373" i="30" s="1"/>
  <c r="E288" i="18"/>
  <c r="D46" i="30"/>
  <c r="D202" i="30" s="1"/>
  <c r="J60" i="43"/>
  <c r="J49" i="46" s="1" a="1"/>
  <c r="J49" i="46" s="1"/>
  <c r="C434" i="18"/>
  <c r="E288" i="30"/>
  <c r="E444" i="30" s="1"/>
  <c r="C198" i="18"/>
  <c r="E279" i="18"/>
  <c r="E435" i="18" s="1"/>
  <c r="K75" i="43"/>
  <c r="K64" i="46" s="1" a="1"/>
  <c r="K64" i="46" s="1"/>
  <c r="P58" i="43"/>
  <c r="P47" i="46" s="1" a="1"/>
  <c r="P47" i="46" s="1"/>
  <c r="S766" i="35"/>
  <c r="J65" i="43"/>
  <c r="J54" i="46" s="1" a="1"/>
  <c r="J54" i="46" s="1"/>
  <c r="J81" i="43"/>
  <c r="J70" i="46" s="1" a="1"/>
  <c r="J70" i="46" s="1"/>
  <c r="J58" i="43"/>
  <c r="J47" i="46" s="1" a="1"/>
  <c r="J47" i="46" s="1"/>
  <c r="J75" i="43"/>
  <c r="J64" i="46" s="1" a="1"/>
  <c r="J64" i="46" s="1"/>
  <c r="O89" i="43"/>
  <c r="O78" i="46" s="1" a="1"/>
  <c r="O78" i="46" s="1"/>
  <c r="T243" i="30"/>
  <c r="T552" i="30"/>
  <c r="T480" i="30"/>
  <c r="Q480" i="18"/>
  <c r="Q792" i="18"/>
  <c r="Q243" i="18"/>
  <c r="U93" i="29"/>
  <c r="U100" i="29"/>
  <c r="U109" i="29"/>
  <c r="AC109" i="29" s="1"/>
  <c r="Q69" i="27" s="1"/>
  <c r="U116" i="29"/>
  <c r="AC116" i="29" s="1"/>
  <c r="Q76" i="27" s="1"/>
  <c r="U125" i="29"/>
  <c r="AC125" i="29" s="1"/>
  <c r="Q85" i="27" s="1"/>
  <c r="U132" i="29"/>
  <c r="AC132" i="29" s="1"/>
  <c r="Q92" i="27" s="1"/>
  <c r="U139" i="29"/>
  <c r="AC139" i="29" s="1"/>
  <c r="Q99" i="27" s="1"/>
  <c r="U146" i="29"/>
  <c r="AC146" i="29" s="1"/>
  <c r="Q106" i="27" s="1"/>
  <c r="U153" i="29"/>
  <c r="AC153" i="29" s="1"/>
  <c r="Q113" i="27" s="1"/>
  <c r="U160" i="29"/>
  <c r="AC160" i="29" s="1"/>
  <c r="Q120" i="27" s="1"/>
  <c r="U91" i="29"/>
  <c r="U98" i="29"/>
  <c r="U107" i="29"/>
  <c r="AC107" i="29" s="1"/>
  <c r="Q67" i="27" s="1"/>
  <c r="U114" i="29"/>
  <c r="AC114" i="29" s="1"/>
  <c r="Q74" i="27" s="1"/>
  <c r="U123" i="29"/>
  <c r="AC123" i="29" s="1"/>
  <c r="Q83" i="27" s="1"/>
  <c r="U130" i="29"/>
  <c r="AC130" i="29" s="1"/>
  <c r="Q90" i="27" s="1"/>
  <c r="U137" i="29"/>
  <c r="AC137" i="29" s="1"/>
  <c r="Q97" i="27" s="1"/>
  <c r="U144" i="29"/>
  <c r="AC144" i="29" s="1"/>
  <c r="Q104" i="27" s="1"/>
  <c r="U151" i="29"/>
  <c r="AC151" i="29" s="1"/>
  <c r="Q111" i="27" s="1"/>
  <c r="U158" i="29"/>
  <c r="AC158" i="29" s="1"/>
  <c r="Q118" i="27" s="1"/>
  <c r="U89" i="29"/>
  <c r="U96" i="29"/>
  <c r="U105" i="29"/>
  <c r="U112" i="29"/>
  <c r="AC112" i="29" s="1"/>
  <c r="Q72" i="27" s="1"/>
  <c r="U121" i="29"/>
  <c r="AC121" i="29" s="1"/>
  <c r="Q81" i="27" s="1"/>
  <c r="U128" i="29"/>
  <c r="AC128" i="29" s="1"/>
  <c r="Q88" i="27" s="1"/>
  <c r="U135" i="29"/>
  <c r="AC135" i="29" s="1"/>
  <c r="Q95" i="27" s="1"/>
  <c r="U142" i="29"/>
  <c r="AC142" i="29" s="1"/>
  <c r="Q102" i="27" s="1"/>
  <c r="U156" i="29"/>
  <c r="AC156" i="29" s="1"/>
  <c r="Q116" i="27" s="1"/>
  <c r="U87" i="29"/>
  <c r="U94" i="29"/>
  <c r="U103" i="29"/>
  <c r="U110" i="29"/>
  <c r="AC110" i="29" s="1"/>
  <c r="Q70" i="27" s="1"/>
  <c r="U119" i="29"/>
  <c r="AC119" i="29" s="1"/>
  <c r="Q79" i="27" s="1"/>
  <c r="U126" i="29"/>
  <c r="AC126" i="29" s="1"/>
  <c r="Q86" i="27" s="1"/>
  <c r="U140" i="29"/>
  <c r="AC140" i="29" s="1"/>
  <c r="Q100" i="27" s="1"/>
  <c r="U149" i="29"/>
  <c r="AC149" i="29" s="1"/>
  <c r="Q109" i="27" s="1"/>
  <c r="U154" i="29"/>
  <c r="AC154" i="29" s="1"/>
  <c r="Q114" i="27" s="1"/>
  <c r="U92" i="29"/>
  <c r="U101" i="29"/>
  <c r="U108" i="29"/>
  <c r="AC108" i="29" s="1"/>
  <c r="Q68" i="27" s="1"/>
  <c r="U117" i="29"/>
  <c r="AC117" i="29" s="1"/>
  <c r="Q77" i="27" s="1"/>
  <c r="U124" i="29"/>
  <c r="AC124" i="29" s="1"/>
  <c r="Q84" i="27" s="1"/>
  <c r="U133" i="29"/>
  <c r="AC133" i="29" s="1"/>
  <c r="Q93" i="27" s="1"/>
  <c r="U138" i="29"/>
  <c r="AC138" i="29" s="1"/>
  <c r="Q98" i="27" s="1"/>
  <c r="U147" i="29"/>
  <c r="AC147" i="29" s="1"/>
  <c r="Q107" i="27" s="1"/>
  <c r="U152" i="29"/>
  <c r="AC152" i="29" s="1"/>
  <c r="Q112" i="27" s="1"/>
  <c r="U90" i="29"/>
  <c r="U99" i="29"/>
  <c r="U106" i="29"/>
  <c r="AC106" i="29" s="1"/>
  <c r="Q66" i="27" s="1"/>
  <c r="U115" i="29"/>
  <c r="AC115" i="29" s="1"/>
  <c r="Q75" i="27" s="1"/>
  <c r="U122" i="29"/>
  <c r="AC122" i="29" s="1"/>
  <c r="Q82" i="27" s="1"/>
  <c r="U131" i="29"/>
  <c r="AC131" i="29" s="1"/>
  <c r="Q91" i="27" s="1"/>
  <c r="U136" i="29"/>
  <c r="AC136" i="29" s="1"/>
  <c r="Q96" i="27" s="1"/>
  <c r="U145" i="29"/>
  <c r="AC145" i="29" s="1"/>
  <c r="Q105" i="27" s="1"/>
  <c r="U159" i="29"/>
  <c r="AC159" i="29" s="1"/>
  <c r="Q119" i="27" s="1"/>
  <c r="U88" i="29"/>
  <c r="U97" i="29"/>
  <c r="U104" i="29"/>
  <c r="U113" i="29"/>
  <c r="AC113" i="29" s="1"/>
  <c r="Q73" i="27" s="1"/>
  <c r="U120" i="29"/>
  <c r="AC120" i="29" s="1"/>
  <c r="Q80" i="27" s="1"/>
  <c r="U129" i="29"/>
  <c r="AC129" i="29" s="1"/>
  <c r="Q89" i="27" s="1"/>
  <c r="U143" i="29"/>
  <c r="AC143" i="29" s="1"/>
  <c r="Q103" i="27" s="1"/>
  <c r="U150" i="29"/>
  <c r="AC150" i="29" s="1"/>
  <c r="Q110" i="27" s="1"/>
  <c r="U157" i="29"/>
  <c r="AC157" i="29" s="1"/>
  <c r="Q117" i="27" s="1"/>
  <c r="U95" i="29"/>
  <c r="U102" i="29"/>
  <c r="U111" i="29"/>
  <c r="AC111" i="29" s="1"/>
  <c r="Q71" i="27" s="1"/>
  <c r="U118" i="29"/>
  <c r="AC118" i="29" s="1"/>
  <c r="Q78" i="27" s="1"/>
  <c r="U127" i="29"/>
  <c r="AC127" i="29" s="1"/>
  <c r="Q87" i="27" s="1"/>
  <c r="U134" i="29"/>
  <c r="AC134" i="29" s="1"/>
  <c r="Q94" i="27" s="1"/>
  <c r="U141" i="29"/>
  <c r="AC141" i="29" s="1"/>
  <c r="Q101" i="27" s="1"/>
  <c r="U148" i="29"/>
  <c r="AC148" i="29" s="1"/>
  <c r="Q108" i="27" s="1"/>
  <c r="U155" i="29"/>
  <c r="AC155" i="29" s="1"/>
  <c r="Q115" i="27" s="1"/>
  <c r="U86" i="29"/>
  <c r="J73" i="43"/>
  <c r="J62" i="46" s="1" a="1"/>
  <c r="J62" i="46" s="1"/>
  <c r="N64" i="46" a="1"/>
  <c r="N64" i="46" s="1"/>
  <c r="X72" i="46" a="1"/>
  <c r="X72" i="46" s="1"/>
  <c r="M50" i="46" a="1"/>
  <c r="M50" i="46" s="1"/>
  <c r="U49" i="46" a="1"/>
  <c r="U49" i="46" s="1"/>
  <c r="X49" i="46" a="1"/>
  <c r="X49" i="46" s="1"/>
  <c r="U54" i="46" a="1"/>
  <c r="U54" i="46" s="1"/>
  <c r="U72" i="46" a="1"/>
  <c r="U72" i="46" s="1"/>
  <c r="N55" i="46" a="1"/>
  <c r="N55" i="46" s="1"/>
  <c r="P72" i="46" a="1"/>
  <c r="P72" i="46" s="1"/>
  <c r="M49" i="46" a="1"/>
  <c r="M49" i="46" s="1"/>
  <c r="M66" i="46" a="1"/>
  <c r="M66" i="46" s="1"/>
  <c r="U64" i="46" a="1"/>
  <c r="U64" i="46" s="1"/>
  <c r="Z49" i="46" a="1"/>
  <c r="Z49" i="46" s="1"/>
  <c r="Y72" i="46" a="1"/>
  <c r="Y72" i="46" s="1"/>
  <c r="V67" i="46" a="1"/>
  <c r="V67" i="46" s="1"/>
  <c r="L79" i="43"/>
  <c r="L68" i="46" s="1" a="1"/>
  <c r="L68" i="46" s="1"/>
  <c r="AB93" i="43"/>
  <c r="AB82" i="46" s="1" a="1"/>
  <c r="AB82" i="46" s="1"/>
  <c r="AA48" i="43"/>
  <c r="AA37" i="46" s="1" a="1"/>
  <c r="AA37" i="46" s="1"/>
  <c r="AB70" i="43"/>
  <c r="AB59" i="46" s="1" a="1"/>
  <c r="AB59" i="46" s="1"/>
  <c r="AB78" i="43"/>
  <c r="AB67" i="46" s="1" a="1"/>
  <c r="AB67" i="46" s="1"/>
  <c r="AB86" i="43"/>
  <c r="AB75" i="46" s="1" a="1"/>
  <c r="AB75" i="46" s="1"/>
  <c r="AB74" i="43"/>
  <c r="AB63" i="46" s="1" a="1"/>
  <c r="AB63" i="46" s="1"/>
  <c r="AB67" i="43"/>
  <c r="AB56" i="46" s="1" a="1"/>
  <c r="AB56" i="46" s="1"/>
  <c r="L71" i="43"/>
  <c r="L60" i="46" s="1" a="1"/>
  <c r="L60" i="46" s="1"/>
  <c r="I75" i="43"/>
  <c r="I64" i="46" s="1" a="1"/>
  <c r="I64" i="46" s="1"/>
  <c r="AB91" i="43"/>
  <c r="AB80" i="46" s="1" a="1"/>
  <c r="AB80" i="46" s="1"/>
  <c r="AB85" i="43"/>
  <c r="AB74" i="46" s="1" a="1"/>
  <c r="AB74" i="46" s="1"/>
  <c r="AB68" i="43"/>
  <c r="AB57" i="46" s="1" a="1"/>
  <c r="AB57" i="46" s="1"/>
  <c r="AB65" i="43"/>
  <c r="AB54" i="46" s="1" a="1"/>
  <c r="AB54" i="46" s="1"/>
  <c r="AB76" i="43"/>
  <c r="AB65" i="46" s="1" a="1"/>
  <c r="AB65" i="46" s="1"/>
  <c r="AB82" i="43"/>
  <c r="AB71" i="46" s="1" a="1"/>
  <c r="AB71" i="46" s="1"/>
  <c r="AB84" i="43"/>
  <c r="AB73" i="46" s="1" a="1"/>
  <c r="AB73" i="46" s="1"/>
  <c r="AB72" i="43"/>
  <c r="AB61" i="46" s="1" a="1"/>
  <c r="AB61" i="46" s="1"/>
  <c r="L90" i="43"/>
  <c r="L79" i="46" s="1" a="1"/>
  <c r="L79" i="46" s="1"/>
  <c r="L62" i="43"/>
  <c r="L51" i="46" s="1" a="1"/>
  <c r="L51" i="46" s="1"/>
  <c r="L59" i="43"/>
  <c r="L48" i="46" s="1" a="1"/>
  <c r="L48" i="46" s="1"/>
  <c r="AB89" i="43"/>
  <c r="AB78" i="46" s="1" a="1"/>
  <c r="AB78" i="46" s="1"/>
  <c r="I84" i="43"/>
  <c r="I73" i="46" s="1" a="1"/>
  <c r="I73" i="46" s="1"/>
  <c r="AB75" i="43"/>
  <c r="AB64" i="46" s="1" a="1"/>
  <c r="AB64" i="46" s="1"/>
  <c r="L63" i="43"/>
  <c r="L52" i="46" s="1" a="1"/>
  <c r="L52" i="46" s="1"/>
  <c r="O69" i="43"/>
  <c r="O58" i="46" s="1" a="1"/>
  <c r="O58" i="46" s="1"/>
  <c r="AB60" i="43"/>
  <c r="AB49" i="46" s="1" a="1"/>
  <c r="AB49" i="46" s="1"/>
  <c r="L87" i="43"/>
  <c r="L76" i="46" s="1" a="1"/>
  <c r="L76" i="46" s="1"/>
  <c r="L88" i="43"/>
  <c r="L77" i="46" s="1" a="1"/>
  <c r="L77" i="46" s="1"/>
  <c r="L58" i="43"/>
  <c r="L47" i="46" s="1" a="1"/>
  <c r="L47" i="46" s="1"/>
  <c r="K65" i="43"/>
  <c r="K54" i="46" s="1" a="1"/>
  <c r="K54" i="46" s="1"/>
  <c r="AB83" i="43"/>
  <c r="AB72" i="46" s="1" a="1"/>
  <c r="AB72" i="46" s="1"/>
  <c r="AB59" i="43"/>
  <c r="AB48" i="46" s="1" a="1"/>
  <c r="AB48" i="46" s="1"/>
  <c r="L72" i="43"/>
  <c r="L61" i="46" s="1" a="1"/>
  <c r="L61" i="46" s="1"/>
  <c r="L77" i="43"/>
  <c r="L66" i="46" s="1" a="1"/>
  <c r="L66" i="46" s="1"/>
  <c r="J84" i="43"/>
  <c r="J73" i="46" s="1" a="1"/>
  <c r="J73" i="46" s="1"/>
  <c r="K73" i="43"/>
  <c r="K62" i="46" s="1" a="1"/>
  <c r="K62" i="46" s="1"/>
  <c r="S63" i="43"/>
  <c r="S52" i="46" s="1" a="1"/>
  <c r="S52" i="46" s="1"/>
  <c r="W75" i="43"/>
  <c r="W64" i="46" s="1" a="1"/>
  <c r="W64" i="46" s="1"/>
  <c r="S68" i="43"/>
  <c r="S57" i="46" s="1" a="1"/>
  <c r="S57" i="46" s="1"/>
  <c r="W86" i="43"/>
  <c r="W75" i="46" s="1" a="1"/>
  <c r="W75" i="46" s="1"/>
  <c r="S62" i="43"/>
  <c r="S51" i="46" s="1" a="1"/>
  <c r="S51" i="46" s="1"/>
  <c r="AA78" i="43"/>
  <c r="AA67" i="46" s="1" a="1"/>
  <c r="AA67" i="46" s="1"/>
  <c r="M92" i="43"/>
  <c r="M81" i="46" s="1" a="1"/>
  <c r="M81" i="46" s="1"/>
  <c r="Y60" i="43"/>
  <c r="Y49" i="46" s="1" a="1"/>
  <c r="Y49" i="46" s="1"/>
  <c r="S91" i="43"/>
  <c r="S80" i="46" s="1" a="1"/>
  <c r="S80" i="46" s="1"/>
  <c r="AA88" i="43"/>
  <c r="AA77" i="46" s="1" a="1"/>
  <c r="AA77" i="46" s="1"/>
  <c r="S67" i="43"/>
  <c r="S56" i="46" s="1" a="1"/>
  <c r="S56" i="46" s="1"/>
  <c r="AA87" i="43"/>
  <c r="AA76" i="46" s="1" a="1"/>
  <c r="AA76" i="46" s="1"/>
  <c r="AA90" i="43"/>
  <c r="AA79" i="46" s="1" a="1"/>
  <c r="AA79" i="46" s="1"/>
  <c r="S89" i="43"/>
  <c r="S78" i="46" s="1" a="1"/>
  <c r="S78" i="46" s="1"/>
  <c r="W68" i="43"/>
  <c r="W57" i="46" s="1" a="1"/>
  <c r="W57" i="46" s="1"/>
  <c r="S66" i="43"/>
  <c r="S55" i="46" s="1" a="1"/>
  <c r="S55" i="46" s="1"/>
  <c r="S78" i="43"/>
  <c r="S67" i="46" s="1" a="1"/>
  <c r="S67" i="46" s="1"/>
  <c r="S60" i="43"/>
  <c r="S49" i="46" s="1" a="1"/>
  <c r="S49" i="46" s="1"/>
  <c r="AA71" i="43"/>
  <c r="AA60" i="46" s="1" a="1"/>
  <c r="AA60" i="46" s="1"/>
  <c r="AA91" i="43"/>
  <c r="AA80" i="46" s="1" a="1"/>
  <c r="AA80" i="46" s="1"/>
  <c r="Y75" i="43"/>
  <c r="Y64" i="46" s="1" a="1"/>
  <c r="Y64" i="46" s="1"/>
  <c r="W60" i="43"/>
  <c r="W49" i="46" s="1" a="1"/>
  <c r="W49" i="46" s="1"/>
  <c r="Y79" i="43"/>
  <c r="Y68" i="46" s="1" a="1"/>
  <c r="Y68" i="46" s="1"/>
  <c r="Y66" i="43"/>
  <c r="Y55" i="46" s="1" a="1"/>
  <c r="Y55" i="46" s="1"/>
  <c r="AA75" i="43"/>
  <c r="AA64" i="46" s="1" a="1"/>
  <c r="AA64" i="46" s="1"/>
  <c r="W66" i="43"/>
  <c r="W55" i="46" s="1" a="1"/>
  <c r="W55" i="46" s="1"/>
  <c r="AA63" i="43"/>
  <c r="AA52" i="46" s="1" a="1"/>
  <c r="AA52" i="46" s="1"/>
  <c r="S85" i="43"/>
  <c r="S74" i="46" s="1" a="1"/>
  <c r="S74" i="46" s="1"/>
  <c r="AA69" i="43"/>
  <c r="AA58" i="46" s="1" a="1"/>
  <c r="AA58" i="46" s="1"/>
  <c r="AA77" i="43"/>
  <c r="AA66" i="46" s="1" a="1"/>
  <c r="AA66" i="46" s="1"/>
  <c r="Y92" i="43"/>
  <c r="Y81" i="46" s="1" a="1"/>
  <c r="Y81" i="46" s="1"/>
  <c r="W91" i="43"/>
  <c r="W80" i="46" s="1" a="1"/>
  <c r="W80" i="46" s="1"/>
  <c r="S93" i="43"/>
  <c r="S82" i="46" s="1" a="1"/>
  <c r="S82" i="46" s="1"/>
  <c r="AA86" i="43"/>
  <c r="AA75" i="46" s="1" a="1"/>
  <c r="AA75" i="46" s="1"/>
  <c r="W90" i="43"/>
  <c r="W79" i="46" s="1" a="1"/>
  <c r="W79" i="46" s="1"/>
  <c r="S79" i="43"/>
  <c r="S68" i="46" s="1" a="1"/>
  <c r="S68" i="46" s="1"/>
  <c r="O64" i="43"/>
  <c r="O53" i="46" s="1" a="1"/>
  <c r="O53" i="46" s="1"/>
  <c r="L73" i="43"/>
  <c r="L62" i="46" s="1" a="1"/>
  <c r="L62" i="46" s="1"/>
  <c r="AA66" i="43"/>
  <c r="AA55" i="46" s="1" a="1"/>
  <c r="AA55" i="46" s="1"/>
  <c r="S87" i="43"/>
  <c r="S76" i="46" s="1" a="1"/>
  <c r="S76" i="46" s="1"/>
  <c r="W71" i="43"/>
  <c r="W60" i="46" s="1" a="1"/>
  <c r="W60" i="46" s="1"/>
  <c r="Y58" i="43"/>
  <c r="Y47" i="46" s="1" a="1"/>
  <c r="Y47" i="46" s="1"/>
  <c r="O82" i="43"/>
  <c r="O71" i="46" s="1" a="1"/>
  <c r="O71" i="46" s="1"/>
  <c r="S76" i="43"/>
  <c r="S65" i="46" s="1" a="1"/>
  <c r="S65" i="46" s="1"/>
  <c r="S92" i="43"/>
  <c r="S81" i="46" s="1" a="1"/>
  <c r="S81" i="46" s="1"/>
  <c r="S90" i="43"/>
  <c r="S79" i="46" s="1" a="1"/>
  <c r="S79" i="46" s="1"/>
  <c r="W64" i="43"/>
  <c r="W53" i="46" s="1" a="1"/>
  <c r="W53" i="46" s="1"/>
  <c r="S73" i="43"/>
  <c r="S62" i="46" s="1" a="1"/>
  <c r="S62" i="46" s="1"/>
  <c r="S83" i="43"/>
  <c r="S72" i="46" s="1" a="1"/>
  <c r="S72" i="46" s="1"/>
  <c r="S65" i="43"/>
  <c r="S54" i="46" s="1" a="1"/>
  <c r="S54" i="46" s="1"/>
  <c r="W88" i="43"/>
  <c r="W77" i="46" s="1" a="1"/>
  <c r="W77" i="46" s="1"/>
  <c r="Y78" i="43"/>
  <c r="Y67" i="46" s="1" a="1"/>
  <c r="Y67" i="46" s="1"/>
  <c r="I73" i="43"/>
  <c r="I62" i="46" s="1" a="1"/>
  <c r="I62" i="46" s="1"/>
  <c r="W59" i="43"/>
  <c r="W48" i="46" s="1" a="1"/>
  <c r="W48" i="46" s="1"/>
  <c r="AA76" i="43"/>
  <c r="AA65" i="46" s="1" a="1"/>
  <c r="AA65" i="46" s="1"/>
  <c r="S86" i="43"/>
  <c r="S75" i="46" s="1" a="1"/>
  <c r="S75" i="46" s="1"/>
  <c r="AA60" i="43"/>
  <c r="AA49" i="46" s="1" a="1"/>
  <c r="AA49" i="46" s="1"/>
  <c r="S58" i="43"/>
  <c r="S47" i="46" s="1" a="1"/>
  <c r="S47" i="46" s="1"/>
  <c r="AA68" i="43"/>
  <c r="AA57" i="46" s="1" a="1"/>
  <c r="AA57" i="46" s="1"/>
  <c r="W69" i="43"/>
  <c r="W58" i="46" s="1" a="1"/>
  <c r="W58" i="46" s="1"/>
  <c r="AA83" i="43"/>
  <c r="AA72" i="46" s="1" a="1"/>
  <c r="AA72" i="46" s="1"/>
  <c r="Y61" i="43"/>
  <c r="Y50" i="46" s="1" a="1"/>
  <c r="Y50" i="46" s="1"/>
  <c r="W78" i="43"/>
  <c r="W67" i="46" s="1" a="1"/>
  <c r="W67" i="46" s="1"/>
  <c r="AB62" i="43"/>
  <c r="AB51" i="46" s="1" a="1"/>
  <c r="AB51" i="46" s="1"/>
  <c r="AB80" i="43"/>
  <c r="AB69" i="46" s="1" a="1"/>
  <c r="AB69" i="46" s="1"/>
  <c r="L68" i="43"/>
  <c r="L57" i="46" s="1" a="1"/>
  <c r="L57" i="46" s="1"/>
  <c r="L89" i="43"/>
  <c r="L78" i="46" s="1" a="1"/>
  <c r="L78" i="46" s="1"/>
  <c r="L92" i="43"/>
  <c r="L81" i="46" s="1" a="1"/>
  <c r="L81" i="46" s="1"/>
  <c r="L61" i="43"/>
  <c r="L50" i="46" s="1" a="1"/>
  <c r="L50" i="46" s="1"/>
  <c r="J59" i="43"/>
  <c r="J48" i="46" s="1" a="1"/>
  <c r="J48" i="46" s="1"/>
  <c r="K71" i="43"/>
  <c r="K60" i="46" s="1" a="1"/>
  <c r="K60" i="46" s="1"/>
  <c r="J89" i="43"/>
  <c r="J78" i="46" s="1" a="1"/>
  <c r="J78" i="46" s="1"/>
  <c r="K64" i="43"/>
  <c r="K53" i="46" s="1" a="1"/>
  <c r="K53" i="46" s="1"/>
  <c r="I68" i="43"/>
  <c r="I57" i="46" s="1" a="1"/>
  <c r="I57" i="46" s="1"/>
  <c r="K79" i="43"/>
  <c r="K68" i="46" s="1" a="1"/>
  <c r="K68" i="46" s="1"/>
  <c r="I74" i="43"/>
  <c r="I63" i="46" s="1" a="1"/>
  <c r="I63" i="46" s="1"/>
  <c r="J62" i="43"/>
  <c r="J51" i="46" s="1" a="1"/>
  <c r="J51" i="46" s="1"/>
  <c r="J82" i="43"/>
  <c r="J71" i="46" s="1" a="1"/>
  <c r="J71" i="46" s="1"/>
  <c r="K92" i="43"/>
  <c r="K81" i="46" s="1" a="1"/>
  <c r="K81" i="46" s="1"/>
  <c r="J70" i="43"/>
  <c r="J59" i="46" s="1" a="1"/>
  <c r="J59" i="46" s="1"/>
  <c r="J91" i="43"/>
  <c r="J80" i="46" s="1" a="1"/>
  <c r="J80" i="46" s="1"/>
  <c r="K78" i="43"/>
  <c r="K67" i="46" s="1" a="1"/>
  <c r="K67" i="46" s="1"/>
  <c r="K87" i="43"/>
  <c r="K76" i="46" s="1" a="1"/>
  <c r="K76" i="46" s="1"/>
  <c r="M65" i="43"/>
  <c r="M54" i="46" s="1" a="1"/>
  <c r="M54" i="46" s="1"/>
  <c r="W84" i="43"/>
  <c r="W73" i="46" s="1" a="1"/>
  <c r="W73" i="46" s="1"/>
  <c r="S82" i="43"/>
  <c r="S71" i="46" s="1" a="1"/>
  <c r="S71" i="46" s="1"/>
  <c r="Y62" i="43"/>
  <c r="Y51" i="46" s="1" a="1"/>
  <c r="Y51" i="46" s="1"/>
  <c r="AA81" i="43"/>
  <c r="AA70" i="46" s="1" a="1"/>
  <c r="AA70" i="46" s="1"/>
  <c r="W61" i="43"/>
  <c r="W50" i="46" s="1" a="1"/>
  <c r="W50" i="46" s="1"/>
  <c r="O92" i="43"/>
  <c r="O81" i="46" s="1" a="1"/>
  <c r="O81" i="46" s="1"/>
  <c r="O63" i="43"/>
  <c r="O52" i="46" s="1" a="1"/>
  <c r="O52" i="46" s="1"/>
  <c r="O79" i="43"/>
  <c r="O68" i="46" s="1" a="1"/>
  <c r="O68" i="46" s="1"/>
  <c r="O72" i="43"/>
  <c r="O61" i="46" s="1" a="1"/>
  <c r="O61" i="46" s="1"/>
  <c r="O73" i="43"/>
  <c r="O62" i="46" s="1" a="1"/>
  <c r="O62" i="46" s="1"/>
  <c r="O70" i="43"/>
  <c r="O59" i="46" s="1" a="1"/>
  <c r="O59" i="46" s="1"/>
  <c r="O67" i="43"/>
  <c r="O56" i="46" s="1" a="1"/>
  <c r="O56" i="46" s="1"/>
  <c r="W72" i="43"/>
  <c r="W61" i="46" s="1" a="1"/>
  <c r="W61" i="46" s="1"/>
  <c r="M74" i="43"/>
  <c r="M63" i="46" s="1" a="1"/>
  <c r="M63" i="46" s="1"/>
  <c r="S74" i="43"/>
  <c r="S63" i="46" s="1" a="1"/>
  <c r="S63" i="46" s="1"/>
  <c r="W70" i="43"/>
  <c r="W59" i="46" s="1" a="1"/>
  <c r="W59" i="46" s="1"/>
  <c r="AB92" i="43"/>
  <c r="AB81" i="46" s="1" a="1"/>
  <c r="AB81" i="46" s="1"/>
  <c r="L81" i="43"/>
  <c r="L70" i="46" s="1" a="1"/>
  <c r="L70" i="46" s="1"/>
  <c r="K59" i="43"/>
  <c r="K48" i="46" s="1" a="1"/>
  <c r="K48" i="46" s="1"/>
  <c r="J71" i="43"/>
  <c r="J60" i="46" s="1" a="1"/>
  <c r="J60" i="46" s="1"/>
  <c r="J61" i="43"/>
  <c r="J50" i="46" s="1" a="1"/>
  <c r="J50" i="46" s="1"/>
  <c r="I89" i="43"/>
  <c r="I78" i="46" s="1" a="1"/>
  <c r="I78" i="46" s="1"/>
  <c r="J77" i="43"/>
  <c r="J66" i="46" s="1" a="1"/>
  <c r="J66" i="46" s="1"/>
  <c r="I64" i="43"/>
  <c r="I53" i="46" s="1" a="1"/>
  <c r="I53" i="46" s="1"/>
  <c r="K68" i="43"/>
  <c r="K57" i="46" s="1" a="1"/>
  <c r="K57" i="46" s="1"/>
  <c r="J79" i="43"/>
  <c r="J68" i="46" s="1" a="1"/>
  <c r="J68" i="46" s="1"/>
  <c r="K74" i="43"/>
  <c r="K63" i="46" s="1" a="1"/>
  <c r="K63" i="46" s="1"/>
  <c r="J63" i="43"/>
  <c r="J52" i="46" s="1" a="1"/>
  <c r="J52" i="46" s="1"/>
  <c r="K76" i="43"/>
  <c r="K65" i="46" s="1" a="1"/>
  <c r="K65" i="46" s="1"/>
  <c r="J92" i="43"/>
  <c r="J81" i="46" s="1" a="1"/>
  <c r="J81" i="46" s="1"/>
  <c r="K91" i="43"/>
  <c r="K80" i="46" s="1" a="1"/>
  <c r="K80" i="46" s="1"/>
  <c r="J78" i="43"/>
  <c r="J67" i="46" s="1" a="1"/>
  <c r="J67" i="46" s="1"/>
  <c r="J87" i="43"/>
  <c r="J76" i="46" s="1" a="1"/>
  <c r="J76" i="46" s="1"/>
  <c r="W65" i="43"/>
  <c r="W54" i="46" s="1" a="1"/>
  <c r="W54" i="46" s="1"/>
  <c r="AA84" i="43"/>
  <c r="AA73" i="46" s="1" a="1"/>
  <c r="AA73" i="46" s="1"/>
  <c r="S84" i="43"/>
  <c r="S73" i="46" s="1" a="1"/>
  <c r="S73" i="46" s="1"/>
  <c r="W77" i="43"/>
  <c r="W66" i="46" s="1" a="1"/>
  <c r="W66" i="46" s="1"/>
  <c r="Y77" i="43"/>
  <c r="Y66" i="46" s="1" a="1"/>
  <c r="Y66" i="46" s="1"/>
  <c r="S61" i="43"/>
  <c r="S50" i="46" s="1" a="1"/>
  <c r="S50" i="46" s="1"/>
  <c r="W92" i="43"/>
  <c r="W81" i="46" s="1" a="1"/>
  <c r="W81" i="46" s="1"/>
  <c r="O83" i="43"/>
  <c r="O72" i="46" s="1" a="1"/>
  <c r="O72" i="46" s="1"/>
  <c r="O76" i="43"/>
  <c r="O65" i="46" s="1" a="1"/>
  <c r="O65" i="46" s="1"/>
  <c r="AA74" i="43"/>
  <c r="AA63" i="46" s="1" a="1"/>
  <c r="AA63" i="46" s="1"/>
  <c r="AA70" i="43"/>
  <c r="AA59" i="46" s="1" a="1"/>
  <c r="AA59" i="46" s="1"/>
  <c r="AA67" i="43"/>
  <c r="AA56" i="46" s="1" a="1"/>
  <c r="AA56" i="46" s="1"/>
  <c r="Y90" i="43"/>
  <c r="Y79" i="46" s="1" a="1"/>
  <c r="Y79" i="46" s="1"/>
  <c r="AB69" i="43"/>
  <c r="AB58" i="46" s="1" a="1"/>
  <c r="AB58" i="46" s="1"/>
  <c r="AB63" i="43"/>
  <c r="AB52" i="46" s="1" a="1"/>
  <c r="AB52" i="46" s="1"/>
  <c r="L60" i="43"/>
  <c r="L49" i="46" s="1" a="1"/>
  <c r="L49" i="46" s="1"/>
  <c r="L64" i="43"/>
  <c r="L53" i="46" s="1" a="1"/>
  <c r="L53" i="46" s="1"/>
  <c r="L83" i="43"/>
  <c r="L72" i="46" s="1" a="1"/>
  <c r="L72" i="46" s="1"/>
  <c r="L86" i="43"/>
  <c r="L75" i="46" s="1" a="1"/>
  <c r="L75" i="46" s="1"/>
  <c r="L84" i="43"/>
  <c r="L73" i="46" s="1" a="1"/>
  <c r="L73" i="46" s="1"/>
  <c r="I59" i="43"/>
  <c r="I48" i="46" s="1" a="1"/>
  <c r="I48" i="46" s="1"/>
  <c r="I61" i="43"/>
  <c r="I50" i="46" s="1" a="1"/>
  <c r="I50" i="46" s="1"/>
  <c r="K77" i="43"/>
  <c r="K66" i="46" s="1" a="1"/>
  <c r="K66" i="46" s="1"/>
  <c r="J68" i="43"/>
  <c r="J57" i="46" s="1" a="1"/>
  <c r="J57" i="46" s="1"/>
  <c r="J66" i="43"/>
  <c r="J55" i="46" s="1" a="1"/>
  <c r="J55" i="46" s="1"/>
  <c r="J72" i="43"/>
  <c r="J61" i="46" s="1" a="1"/>
  <c r="J61" i="46" s="1"/>
  <c r="J85" i="43"/>
  <c r="J74" i="46" s="1" a="1"/>
  <c r="J74" i="46" s="1"/>
  <c r="J74" i="43"/>
  <c r="J63" i="46" s="1" a="1"/>
  <c r="J63" i="46" s="1"/>
  <c r="I63" i="43"/>
  <c r="I52" i="46" s="1" a="1"/>
  <c r="I52" i="46" s="1"/>
  <c r="J76" i="43"/>
  <c r="J65" i="46" s="1" a="1"/>
  <c r="J65" i="46" s="1"/>
  <c r="I92" i="43"/>
  <c r="I81" i="46" s="1" a="1"/>
  <c r="I81" i="46" s="1"/>
  <c r="I91" i="43"/>
  <c r="I80" i="46" s="1" a="1"/>
  <c r="I80" i="46" s="1"/>
  <c r="J69" i="43"/>
  <c r="J58" i="46" s="1" a="1"/>
  <c r="J58" i="46" s="1"/>
  <c r="I87" i="43"/>
  <c r="I76" i="46" s="1" a="1"/>
  <c r="I76" i="46" s="1"/>
  <c r="AA82" i="43"/>
  <c r="AA71" i="46" s="1" a="1"/>
  <c r="AA71" i="46" s="1"/>
  <c r="W81" i="43"/>
  <c r="W70" i="46" s="1" a="1"/>
  <c r="W70" i="46" s="1"/>
  <c r="W62" i="43"/>
  <c r="W51" i="46" s="1" a="1"/>
  <c r="W51" i="46" s="1"/>
  <c r="S81" i="43"/>
  <c r="S70" i="46" s="1" a="1"/>
  <c r="S70" i="46" s="1"/>
  <c r="AA61" i="43"/>
  <c r="AA50" i="46" s="1" a="1"/>
  <c r="AA50" i="46" s="1"/>
  <c r="O60" i="43"/>
  <c r="O49" i="46" s="1" a="1"/>
  <c r="O49" i="46" s="1"/>
  <c r="M64" i="43"/>
  <c r="M53" i="46" s="1" a="1"/>
  <c r="M53" i="46" s="1"/>
  <c r="AB77" i="43"/>
  <c r="AB66" i="46" s="1" a="1"/>
  <c r="AB66" i="46" s="1"/>
  <c r="AB71" i="43"/>
  <c r="AB60" i="46" s="1" a="1"/>
  <c r="AB60" i="46" s="1"/>
  <c r="AB58" i="43"/>
  <c r="AB47" i="46" s="1" a="1"/>
  <c r="AB47" i="46" s="1"/>
  <c r="L93" i="43"/>
  <c r="L82" i="46" s="1" a="1"/>
  <c r="L82" i="46" s="1"/>
  <c r="L75" i="43"/>
  <c r="L64" i="46" s="1" a="1"/>
  <c r="L64" i="46" s="1"/>
  <c r="L76" i="43"/>
  <c r="L65" i="46" s="1" a="1"/>
  <c r="L65" i="46" s="1"/>
  <c r="K61" i="43"/>
  <c r="K50" i="46" s="1" a="1"/>
  <c r="K50" i="46" s="1"/>
  <c r="I77" i="43"/>
  <c r="I66" i="46" s="1" a="1"/>
  <c r="I66" i="46" s="1"/>
  <c r="I66" i="43"/>
  <c r="I55" i="46" s="1" a="1"/>
  <c r="I55" i="46" s="1"/>
  <c r="J86" i="43"/>
  <c r="J75" i="46" s="1" a="1"/>
  <c r="J75" i="46" s="1"/>
  <c r="K72" i="43"/>
  <c r="K61" i="46" s="1" a="1"/>
  <c r="K61" i="46" s="1"/>
  <c r="K85" i="43"/>
  <c r="K74" i="46" s="1" a="1"/>
  <c r="K74" i="46" s="1"/>
  <c r="J80" i="43"/>
  <c r="J69" i="46" s="1" a="1"/>
  <c r="J69" i="46" s="1"/>
  <c r="I90" i="43"/>
  <c r="I79" i="46" s="1" a="1"/>
  <c r="I79" i="46" s="1"/>
  <c r="K63" i="43"/>
  <c r="K52" i="46" s="1" a="1"/>
  <c r="K52" i="46" s="1"/>
  <c r="I76" i="43"/>
  <c r="I65" i="46" s="1" a="1"/>
  <c r="I65" i="46" s="1"/>
  <c r="K69" i="43"/>
  <c r="K58" i="46" s="1" a="1"/>
  <c r="K58" i="46" s="1"/>
  <c r="I93" i="43"/>
  <c r="I82" i="46" s="1" a="1"/>
  <c r="I82" i="46" s="1"/>
  <c r="M59" i="43"/>
  <c r="M48" i="46" s="1" a="1"/>
  <c r="M48" i="46" s="1"/>
  <c r="S80" i="43"/>
  <c r="S69" i="46" s="1" a="1"/>
  <c r="S69" i="46" s="1"/>
  <c r="Y81" i="43"/>
  <c r="Y70" i="46" s="1" a="1"/>
  <c r="Y70" i="46" s="1"/>
  <c r="Y72" i="43"/>
  <c r="Y61" i="46" s="1" a="1"/>
  <c r="Y61" i="46" s="1"/>
  <c r="AA92" i="43"/>
  <c r="AA81" i="46" s="1" a="1"/>
  <c r="AA81" i="46" s="1"/>
  <c r="O88" i="43"/>
  <c r="O77" i="46" s="1" a="1"/>
  <c r="O77" i="46" s="1"/>
  <c r="O58" i="43"/>
  <c r="O47" i="46" s="1" a="1"/>
  <c r="O47" i="46" s="1"/>
  <c r="O61" i="43"/>
  <c r="O50" i="46" s="1" a="1"/>
  <c r="O50" i="46" s="1"/>
  <c r="M76" i="43"/>
  <c r="M65" i="46" s="1" a="1"/>
  <c r="M65" i="46" s="1"/>
  <c r="AB66" i="43"/>
  <c r="AB55" i="46" s="1" a="1"/>
  <c r="AB55" i="46" s="1"/>
  <c r="AB79" i="43"/>
  <c r="AB68" i="46" s="1" a="1"/>
  <c r="AB68" i="46" s="1"/>
  <c r="L91" i="43"/>
  <c r="L80" i="46" s="1" a="1"/>
  <c r="L80" i="46" s="1"/>
  <c r="L82" i="43"/>
  <c r="L71" i="46" s="1" a="1"/>
  <c r="L71" i="46" s="1"/>
  <c r="L85" i="43"/>
  <c r="L74" i="46" s="1" a="1"/>
  <c r="L74" i="46" s="1"/>
  <c r="L78" i="43"/>
  <c r="L67" i="46" s="1" a="1"/>
  <c r="L67" i="46" s="1"/>
  <c r="L65" i="43"/>
  <c r="L54" i="46" s="1" a="1"/>
  <c r="L54" i="46" s="1"/>
  <c r="K66" i="43"/>
  <c r="K55" i="46" s="1" a="1"/>
  <c r="K55" i="46" s="1"/>
  <c r="I86" i="43"/>
  <c r="I75" i="46" s="1" a="1"/>
  <c r="I75" i="46" s="1"/>
  <c r="I72" i="43"/>
  <c r="I61" i="46" s="1" a="1"/>
  <c r="I61" i="46" s="1"/>
  <c r="I85" i="43"/>
  <c r="I74" i="46" s="1" a="1"/>
  <c r="I74" i="46" s="1"/>
  <c r="K80" i="43"/>
  <c r="K69" i="46" s="1" a="1"/>
  <c r="K69" i="46" s="1"/>
  <c r="K90" i="43"/>
  <c r="K79" i="46" s="1" a="1"/>
  <c r="K79" i="46" s="1"/>
  <c r="I69" i="43"/>
  <c r="I58" i="46" s="1" a="1"/>
  <c r="I58" i="46" s="1"/>
  <c r="J93" i="43"/>
  <c r="J82" i="46" s="1" a="1"/>
  <c r="J82" i="46" s="1"/>
  <c r="Y65" i="43"/>
  <c r="Y54" i="46" s="1" a="1"/>
  <c r="Y54" i="46" s="1"/>
  <c r="M82" i="43"/>
  <c r="M71" i="46" s="1" a="1"/>
  <c r="M71" i="46" s="1"/>
  <c r="M72" i="43"/>
  <c r="M61" i="46" s="1" a="1"/>
  <c r="M61" i="46" s="1"/>
  <c r="W79" i="43"/>
  <c r="W68" i="46" s="1" a="1"/>
  <c r="W68" i="46" s="1"/>
  <c r="O68" i="43"/>
  <c r="O57" i="46" s="1" a="1"/>
  <c r="O57" i="46" s="1"/>
  <c r="O84" i="43"/>
  <c r="O73" i="46" s="1" a="1"/>
  <c r="O73" i="46" s="1"/>
  <c r="O71" i="43"/>
  <c r="O60" i="46" s="1" a="1"/>
  <c r="O60" i="46" s="1"/>
  <c r="W74" i="43"/>
  <c r="W63" i="46" s="1" a="1"/>
  <c r="W63" i="46" s="1"/>
  <c r="AA73" i="43"/>
  <c r="AA62" i="46" s="1" a="1"/>
  <c r="AA62" i="46" s="1"/>
  <c r="AB87" i="43"/>
  <c r="AB76" i="46" s="1" a="1"/>
  <c r="AB76" i="46" s="1"/>
  <c r="AB64" i="43"/>
  <c r="AB53" i="46" s="1" a="1"/>
  <c r="AB53" i="46" s="1"/>
  <c r="AB90" i="43"/>
  <c r="AB79" i="46" s="1" a="1"/>
  <c r="AB79" i="46" s="1"/>
  <c r="L74" i="43"/>
  <c r="L63" i="46" s="1" a="1"/>
  <c r="L63" i="46" s="1"/>
  <c r="L67" i="43"/>
  <c r="L56" i="46" s="1" a="1"/>
  <c r="L56" i="46" s="1"/>
  <c r="L70" i="43"/>
  <c r="L59" i="46" s="1" a="1"/>
  <c r="L59" i="46" s="1"/>
  <c r="I83" i="43"/>
  <c r="I72" i="46" s="1" a="1"/>
  <c r="I72" i="46" s="1"/>
  <c r="K86" i="43"/>
  <c r="K75" i="46" s="1" a="1"/>
  <c r="K75" i="46" s="1"/>
  <c r="I80" i="43"/>
  <c r="I69" i="46" s="1" a="1"/>
  <c r="I69" i="46" s="1"/>
  <c r="I67" i="43"/>
  <c r="I56" i="46" s="1" a="1"/>
  <c r="I56" i="46" s="1"/>
  <c r="J90" i="43"/>
  <c r="J79" i="46" s="1" a="1"/>
  <c r="J79" i="46" s="1"/>
  <c r="J88" i="43"/>
  <c r="J77" i="46" s="1" a="1"/>
  <c r="J77" i="46" s="1"/>
  <c r="K93" i="43"/>
  <c r="K82" i="46" s="1" a="1"/>
  <c r="K82" i="46" s="1"/>
  <c r="S59" i="43"/>
  <c r="S48" i="46" s="1" a="1"/>
  <c r="S48" i="46" s="1"/>
  <c r="AA65" i="43"/>
  <c r="AA54" i="46" s="1" a="1"/>
  <c r="AA54" i="46" s="1"/>
  <c r="M84" i="43"/>
  <c r="M73" i="46" s="1" a="1"/>
  <c r="M73" i="46" s="1"/>
  <c r="Y82" i="43"/>
  <c r="Y71" i="46" s="1" a="1"/>
  <c r="Y71" i="46" s="1"/>
  <c r="S77" i="43"/>
  <c r="S66" i="46" s="1" a="1"/>
  <c r="S66" i="46" s="1"/>
  <c r="AA72" i="43"/>
  <c r="AA61" i="46" s="1" a="1"/>
  <c r="AA61" i="46" s="1"/>
  <c r="AA79" i="43"/>
  <c r="AA68" i="46" s="1" a="1"/>
  <c r="AA68" i="46" s="1"/>
  <c r="O78" i="43"/>
  <c r="O67" i="46" s="1" a="1"/>
  <c r="O67" i="46" s="1"/>
  <c r="O59" i="43"/>
  <c r="O48" i="46" s="1" a="1"/>
  <c r="O48" i="46" s="1"/>
  <c r="O65" i="43"/>
  <c r="O54" i="46" s="1" a="1"/>
  <c r="O54" i="46" s="1"/>
  <c r="O81" i="43"/>
  <c r="O70" i="46" s="1" a="1"/>
  <c r="O70" i="46" s="1"/>
  <c r="O87" i="43"/>
  <c r="O76" i="46" s="1" a="1"/>
  <c r="O76" i="46" s="1"/>
  <c r="O74" i="43"/>
  <c r="O63" i="46" s="1" a="1"/>
  <c r="O63" i="46" s="1"/>
  <c r="AA89" i="43"/>
  <c r="AA78" i="46" s="1" a="1"/>
  <c r="AA78" i="46" s="1"/>
  <c r="AA58" i="43"/>
  <c r="AA47" i="46" s="1" a="1"/>
  <c r="AA47" i="46" s="1"/>
  <c r="AB73" i="43"/>
  <c r="AB62" i="46" s="1" a="1"/>
  <c r="AB62" i="46" s="1"/>
  <c r="AB88" i="43"/>
  <c r="AB77" i="46" s="1" a="1"/>
  <c r="AB77" i="46" s="1"/>
  <c r="L80" i="43"/>
  <c r="L69" i="46" s="1" a="1"/>
  <c r="L69" i="46" s="1"/>
  <c r="J83" i="43"/>
  <c r="J72" i="46" s="1" a="1"/>
  <c r="J72" i="46" s="1"/>
  <c r="J67" i="43"/>
  <c r="J56" i="46" s="1" a="1"/>
  <c r="J56" i="46" s="1"/>
  <c r="K62" i="43"/>
  <c r="K51" i="46" s="1" a="1"/>
  <c r="K51" i="46" s="1"/>
  <c r="I82" i="43"/>
  <c r="I71" i="46" s="1" a="1"/>
  <c r="I71" i="46" s="1"/>
  <c r="I70" i="43"/>
  <c r="I59" i="46" s="1" a="1"/>
  <c r="I59" i="46" s="1"/>
  <c r="K88" i="43"/>
  <c r="K77" i="46" s="1" a="1"/>
  <c r="K77" i="46" s="1"/>
  <c r="Y56" i="46" a="1"/>
  <c r="Y56" i="46" s="1"/>
  <c r="AA59" i="43"/>
  <c r="AA48" i="46" s="1" a="1"/>
  <c r="AA48" i="46" s="1"/>
  <c r="W80" i="43"/>
  <c r="W69" i="46" s="1" a="1"/>
  <c r="W69" i="46" s="1"/>
  <c r="AA80" i="43"/>
  <c r="AA69" i="46" s="1" a="1"/>
  <c r="AA69" i="46" s="1"/>
  <c r="O90" i="43"/>
  <c r="O79" i="46" s="1" a="1"/>
  <c r="O79" i="46" s="1"/>
  <c r="O75" i="43"/>
  <c r="O64" i="46" s="1" a="1"/>
  <c r="O64" i="46" s="1"/>
  <c r="Y84" i="43"/>
  <c r="Y73" i="46" s="1" a="1"/>
  <c r="Y73" i="46" s="1"/>
  <c r="M70" i="43"/>
  <c r="M59" i="46" s="1" a="1"/>
  <c r="M59" i="46" s="1"/>
  <c r="AB81" i="43"/>
  <c r="AB70" i="46" s="1" a="1"/>
  <c r="AB70" i="46" s="1"/>
  <c r="AB61" i="43"/>
  <c r="AB50" i="46" s="1" a="1"/>
  <c r="AB50" i="46" s="1"/>
  <c r="L66" i="43"/>
  <c r="L55" i="46" s="1" a="1"/>
  <c r="L55" i="46" s="1"/>
  <c r="L69" i="43"/>
  <c r="L58" i="46" s="1" a="1"/>
  <c r="L58" i="46" s="1"/>
  <c r="I71" i="43"/>
  <c r="I60" i="46" s="1" a="1"/>
  <c r="I60" i="46" s="1"/>
  <c r="K83" i="43"/>
  <c r="K72" i="46" s="1" a="1"/>
  <c r="K72" i="46" s="1"/>
  <c r="K89" i="43"/>
  <c r="K78" i="46" s="1" a="1"/>
  <c r="K78" i="46" s="1"/>
  <c r="J64" i="43"/>
  <c r="J53" i="46" s="1" a="1"/>
  <c r="J53" i="46" s="1"/>
  <c r="I79" i="43"/>
  <c r="I68" i="46" s="1" a="1"/>
  <c r="I68" i="46" s="1"/>
  <c r="K67" i="43"/>
  <c r="K56" i="46" s="1" a="1"/>
  <c r="K56" i="46" s="1"/>
  <c r="I62" i="43"/>
  <c r="I51" i="46" s="1" a="1"/>
  <c r="I51" i="46" s="1"/>
  <c r="K82" i="43"/>
  <c r="K71" i="46" s="1" a="1"/>
  <c r="K71" i="46" s="1"/>
  <c r="K70" i="43"/>
  <c r="K59" i="46" s="1" a="1"/>
  <c r="K59" i="46" s="1"/>
  <c r="I88" i="43"/>
  <c r="I77" i="46" s="1" a="1"/>
  <c r="I77" i="46" s="1"/>
  <c r="I78" i="43"/>
  <c r="I67" i="46" s="1" a="1"/>
  <c r="I67" i="46" s="1"/>
  <c r="Y59" i="43"/>
  <c r="Y48" i="46" s="1" a="1"/>
  <c r="Y48" i="46" s="1"/>
  <c r="AA62" i="43"/>
  <c r="AA51" i="46" s="1" a="1"/>
  <c r="AA51" i="46" s="1"/>
  <c r="S72" i="43"/>
  <c r="S61" i="46" s="1" a="1"/>
  <c r="S61" i="46" s="1"/>
  <c r="W73" i="43"/>
  <c r="W62" i="46" s="1" a="1"/>
  <c r="W62" i="46" s="1"/>
  <c r="O91" i="43"/>
  <c r="O80" i="46" s="1" a="1"/>
  <c r="O80" i="46" s="1"/>
  <c r="Y74" i="43"/>
  <c r="Y63" i="46" s="1" a="1"/>
  <c r="Y63" i="46" s="1"/>
  <c r="S70" i="43"/>
  <c r="S59" i="46" s="1" a="1"/>
  <c r="S59" i="46" s="1"/>
  <c r="Y70" i="43"/>
  <c r="Y59" i="46" s="1" a="1"/>
  <c r="Y59" i="46" s="1"/>
  <c r="AA38" i="43"/>
  <c r="AA27" i="46" s="1" a="1"/>
  <c r="AA27" i="46" s="1"/>
  <c r="O43" i="43"/>
  <c r="O32" i="46" s="1" a="1"/>
  <c r="O32" i="46" s="1"/>
  <c r="K54" i="43"/>
  <c r="K43" i="46" s="1" a="1"/>
  <c r="K43" i="46" s="1"/>
  <c r="D67" i="30"/>
  <c r="D223" i="30" s="1"/>
  <c r="C154" i="18"/>
  <c r="E270" i="30"/>
  <c r="E348" i="30" s="1"/>
  <c r="F307" i="18"/>
  <c r="F385" i="18" s="1"/>
  <c r="F307" i="30"/>
  <c r="F271" i="31"/>
  <c r="F246" i="18"/>
  <c r="F402" i="18" s="1"/>
  <c r="F246" i="30"/>
  <c r="F210" i="31"/>
  <c r="F22" i="18"/>
  <c r="F178" i="18" s="1"/>
  <c r="F22" i="30"/>
  <c r="F145" i="31"/>
  <c r="F272" i="18"/>
  <c r="F350" i="18" s="1"/>
  <c r="F272" i="30"/>
  <c r="F236" i="31"/>
  <c r="F58" i="18"/>
  <c r="F214" i="18" s="1"/>
  <c r="F58" i="30"/>
  <c r="F181" i="31"/>
  <c r="F263" i="18"/>
  <c r="F419" i="18" s="1"/>
  <c r="F263" i="30"/>
  <c r="F227" i="31"/>
  <c r="F259" i="18"/>
  <c r="F259" i="30"/>
  <c r="F223" i="31"/>
  <c r="F14" i="18"/>
  <c r="F170" i="18" s="1"/>
  <c r="F14" i="30"/>
  <c r="F137" i="31"/>
  <c r="F254" i="18"/>
  <c r="F410" i="18" s="1"/>
  <c r="F254" i="30"/>
  <c r="F218" i="31"/>
  <c r="F252" i="18"/>
  <c r="F330" i="18" s="1"/>
  <c r="F252" i="30"/>
  <c r="F216" i="31"/>
  <c r="F49" i="18"/>
  <c r="F127" i="18" s="1"/>
  <c r="F49" i="30"/>
  <c r="F172" i="31"/>
  <c r="F313" i="18"/>
  <c r="F391" i="18" s="1"/>
  <c r="F313" i="30"/>
  <c r="F277" i="31"/>
  <c r="F277" i="18"/>
  <c r="F433" i="18" s="1"/>
  <c r="F277" i="30"/>
  <c r="F241" i="31"/>
  <c r="F35" i="18"/>
  <c r="F191" i="18" s="1"/>
  <c r="F35" i="30"/>
  <c r="F158" i="31"/>
  <c r="F64" i="18"/>
  <c r="F220" i="18" s="1"/>
  <c r="F64" i="30"/>
  <c r="F187" i="31"/>
  <c r="F273" i="18"/>
  <c r="F273" i="30"/>
  <c r="F237" i="31"/>
  <c r="O55" i="43"/>
  <c r="O44" i="46" s="1" a="1"/>
  <c r="O44" i="46" s="1"/>
  <c r="O48" i="43"/>
  <c r="O37" i="46" s="1" a="1"/>
  <c r="O37" i="46" s="1"/>
  <c r="O41" i="43"/>
  <c r="O30" i="46" s="1" a="1"/>
  <c r="O30" i="46" s="1"/>
  <c r="O56" i="43"/>
  <c r="O45" i="46" s="1" a="1"/>
  <c r="O45" i="46" s="1"/>
  <c r="O49" i="43"/>
  <c r="O38" i="46" s="1" a="1"/>
  <c r="O38" i="46" s="1"/>
  <c r="T243" i="18"/>
  <c r="T792" i="18"/>
  <c r="T480" i="18"/>
  <c r="F300" i="18"/>
  <c r="F300" i="30"/>
  <c r="F264" i="31"/>
  <c r="F61" i="18"/>
  <c r="F217" i="18" s="1"/>
  <c r="F61" i="30"/>
  <c r="F184" i="31"/>
  <c r="F281" i="18"/>
  <c r="F437" i="18" s="1"/>
  <c r="F281" i="30"/>
  <c r="F245" i="31"/>
  <c r="F279" i="18"/>
  <c r="F357" i="18" s="1"/>
  <c r="F279" i="30"/>
  <c r="F243" i="31"/>
  <c r="F78" i="18"/>
  <c r="F234" i="18" s="1"/>
  <c r="F78" i="30"/>
  <c r="F201" i="31"/>
  <c r="F53" i="18"/>
  <c r="F209" i="18" s="1"/>
  <c r="F53" i="30"/>
  <c r="F176" i="31"/>
  <c r="F39" i="18"/>
  <c r="F39" i="30"/>
  <c r="F162" i="31"/>
  <c r="F309" i="18"/>
  <c r="F465" i="18" s="1"/>
  <c r="F309" i="30"/>
  <c r="F273" i="31"/>
  <c r="F66" i="18"/>
  <c r="F66" i="30"/>
  <c r="F189" i="31"/>
  <c r="F32" i="18"/>
  <c r="F188" i="18" s="1"/>
  <c r="F32" i="30"/>
  <c r="F155" i="31"/>
  <c r="F46" i="18"/>
  <c r="F46" i="30"/>
  <c r="F169" i="31"/>
  <c r="F251" i="18"/>
  <c r="F329" i="18" s="1"/>
  <c r="F251" i="30"/>
  <c r="F215" i="31"/>
  <c r="F268" i="18"/>
  <c r="F346" i="18" s="1"/>
  <c r="F268" i="30"/>
  <c r="F232" i="31"/>
  <c r="F62" i="18"/>
  <c r="F218" i="18" s="1"/>
  <c r="F62" i="30"/>
  <c r="F185" i="31"/>
  <c r="F41" i="18"/>
  <c r="F119" i="18" s="1"/>
  <c r="F41" i="30"/>
  <c r="F164" i="31"/>
  <c r="F249" i="18"/>
  <c r="F327" i="18" s="1"/>
  <c r="F249" i="30"/>
  <c r="F213" i="31"/>
  <c r="F299" i="18"/>
  <c r="F455" i="18" s="1"/>
  <c r="F299" i="30"/>
  <c r="F263" i="31"/>
  <c r="F73" i="18"/>
  <c r="F151" i="18" s="1"/>
  <c r="F73" i="30"/>
  <c r="F196" i="31"/>
  <c r="F285" i="18"/>
  <c r="F285" i="30"/>
  <c r="F249" i="31"/>
  <c r="F318" i="18"/>
  <c r="F396" i="18" s="1"/>
  <c r="F318" i="30"/>
  <c r="F282" i="31"/>
  <c r="F270" i="18"/>
  <c r="F270" i="30"/>
  <c r="F234" i="31"/>
  <c r="F303" i="18"/>
  <c r="F459" i="18" s="1"/>
  <c r="F303" i="30"/>
  <c r="F267" i="31"/>
  <c r="F265" i="18"/>
  <c r="F265" i="30"/>
  <c r="F229" i="31"/>
  <c r="F253" i="18"/>
  <c r="F409" i="18" s="1"/>
  <c r="F253" i="30"/>
  <c r="F217" i="31"/>
  <c r="F287" i="18"/>
  <c r="F287" i="30"/>
  <c r="F251" i="31"/>
  <c r="F247" i="18"/>
  <c r="F247" i="30"/>
  <c r="F211" i="31"/>
  <c r="F34" i="18"/>
  <c r="F190" i="18" s="1"/>
  <c r="F34" i="30"/>
  <c r="F157" i="31"/>
  <c r="F12" i="18"/>
  <c r="F168" i="18" s="1"/>
  <c r="F12" i="30"/>
  <c r="F135" i="31"/>
  <c r="F77" i="18"/>
  <c r="F155" i="18" s="1"/>
  <c r="F77" i="30"/>
  <c r="F200" i="31"/>
  <c r="F278" i="18"/>
  <c r="F278" i="30"/>
  <c r="F242" i="31"/>
  <c r="F274" i="18"/>
  <c r="F352" i="18" s="1"/>
  <c r="F274" i="30"/>
  <c r="F238" i="31"/>
  <c r="F293" i="18"/>
  <c r="F449" i="18" s="1"/>
  <c r="F293" i="30"/>
  <c r="F257" i="31"/>
  <c r="F276" i="18"/>
  <c r="F432" i="18" s="1"/>
  <c r="F276" i="30"/>
  <c r="F240" i="31"/>
  <c r="D59" i="18"/>
  <c r="F30" i="18"/>
  <c r="F30" i="30"/>
  <c r="F153" i="31"/>
  <c r="F52" i="18"/>
  <c r="F52" i="30"/>
  <c r="F175" i="31"/>
  <c r="F57" i="18"/>
  <c r="F213" i="18" s="1"/>
  <c r="F57" i="30"/>
  <c r="F180" i="31"/>
  <c r="F36" i="18"/>
  <c r="F36" i="30"/>
  <c r="F159" i="31"/>
  <c r="F45" i="18"/>
  <c r="F201" i="18" s="1"/>
  <c r="F45" i="30"/>
  <c r="F168" i="31"/>
  <c r="F63" i="18"/>
  <c r="F219" i="18" s="1"/>
  <c r="F63" i="30"/>
  <c r="F186" i="31"/>
  <c r="F70" i="18"/>
  <c r="F226" i="18" s="1"/>
  <c r="F70" i="30"/>
  <c r="F193" i="31"/>
  <c r="F65" i="18"/>
  <c r="F221" i="18" s="1"/>
  <c r="F65" i="30"/>
  <c r="F188" i="31"/>
  <c r="F26" i="18"/>
  <c r="F182" i="18" s="1"/>
  <c r="F26" i="30"/>
  <c r="F149" i="31"/>
  <c r="F43" i="18"/>
  <c r="F43" i="30"/>
  <c r="F166" i="31"/>
  <c r="F79" i="18"/>
  <c r="F235" i="18" s="1"/>
  <c r="F79" i="30"/>
  <c r="F202" i="31"/>
  <c r="F28" i="18"/>
  <c r="F184" i="18" s="1"/>
  <c r="F28" i="30"/>
  <c r="F151" i="31"/>
  <c r="F258" i="18"/>
  <c r="F414" i="18" s="1"/>
  <c r="F258" i="30"/>
  <c r="F222" i="31"/>
  <c r="F291" i="18"/>
  <c r="F291" i="30"/>
  <c r="F255" i="31"/>
  <c r="F69" i="18"/>
  <c r="F225" i="18" s="1"/>
  <c r="F69" i="30"/>
  <c r="F192" i="31"/>
  <c r="F275" i="18"/>
  <c r="F353" i="18" s="1"/>
  <c r="F275" i="30"/>
  <c r="F239" i="31"/>
  <c r="F81" i="18"/>
  <c r="F237" i="18" s="1"/>
  <c r="F81" i="30"/>
  <c r="F204" i="31"/>
  <c r="F15" i="18"/>
  <c r="F171" i="18" s="1"/>
  <c r="F15" i="30"/>
  <c r="F138" i="31"/>
  <c r="F33" i="18"/>
  <c r="F111" i="18" s="1"/>
  <c r="F33" i="30"/>
  <c r="F156" i="31"/>
  <c r="F50" i="18"/>
  <c r="F50" i="30"/>
  <c r="F173" i="31"/>
  <c r="F269" i="18"/>
  <c r="F269" i="30"/>
  <c r="F233" i="31"/>
  <c r="F25" i="18"/>
  <c r="F181" i="18" s="1"/>
  <c r="F25" i="30"/>
  <c r="F148" i="31"/>
  <c r="D59" i="30"/>
  <c r="D215" i="30" s="1"/>
  <c r="E259" i="18"/>
  <c r="E415" i="18" s="1"/>
  <c r="Y29" i="43"/>
  <c r="Y18" i="46" s="1" a="1"/>
  <c r="Y18" i="46" s="1"/>
  <c r="S48" i="43"/>
  <c r="S37" i="46" s="1" a="1"/>
  <c r="S37" i="46" s="1"/>
  <c r="F37" i="18"/>
  <c r="F193" i="18" s="1"/>
  <c r="F37" i="30"/>
  <c r="F160" i="31"/>
  <c r="F315" i="18"/>
  <c r="F471" i="18" s="1"/>
  <c r="F315" i="30"/>
  <c r="F279" i="31"/>
  <c r="F245" i="18"/>
  <c r="F245" i="30"/>
  <c r="F209" i="31"/>
  <c r="F314" i="18"/>
  <c r="F470" i="18" s="1"/>
  <c r="F314" i="30"/>
  <c r="F278" i="31"/>
  <c r="F82" i="18"/>
  <c r="F238" i="18" s="1"/>
  <c r="F82" i="30"/>
  <c r="F205" i="31"/>
  <c r="F40" i="18"/>
  <c r="F118" i="18" s="1"/>
  <c r="F40" i="30"/>
  <c r="F163" i="31"/>
  <c r="F312" i="18"/>
  <c r="F312" i="30"/>
  <c r="F276" i="31"/>
  <c r="F76" i="18"/>
  <c r="F232" i="18" s="1"/>
  <c r="F76" i="30"/>
  <c r="F199" i="31"/>
  <c r="F261" i="18"/>
  <c r="F261" i="30"/>
  <c r="F225" i="31"/>
  <c r="F304" i="18"/>
  <c r="F460" i="18" s="1"/>
  <c r="F304" i="30"/>
  <c r="F268" i="31"/>
  <c r="F286" i="18"/>
  <c r="F364" i="18" s="1"/>
  <c r="F286" i="30"/>
  <c r="F250" i="31"/>
  <c r="F283" i="18"/>
  <c r="F361" i="18" s="1"/>
  <c r="F283" i="30"/>
  <c r="F247" i="31"/>
  <c r="F47" i="18"/>
  <c r="F203" i="18" s="1"/>
  <c r="F47" i="30"/>
  <c r="F170" i="31"/>
  <c r="F311" i="18"/>
  <c r="F311" i="30"/>
  <c r="F275" i="31"/>
  <c r="F80" i="18"/>
  <c r="F158" i="18" s="1"/>
  <c r="F80" i="30"/>
  <c r="F203" i="31"/>
  <c r="F282" i="18"/>
  <c r="F360" i="18" s="1"/>
  <c r="F282" i="30"/>
  <c r="F246" i="31"/>
  <c r="F74" i="18"/>
  <c r="F74" i="30"/>
  <c r="F197" i="31"/>
  <c r="F13" i="18"/>
  <c r="F169" i="18" s="1"/>
  <c r="F13" i="30"/>
  <c r="F136" i="31"/>
  <c r="F38" i="18"/>
  <c r="F38" i="30"/>
  <c r="F161" i="31"/>
  <c r="F68" i="18"/>
  <c r="F146" i="18" s="1"/>
  <c r="F68" i="30"/>
  <c r="F191" i="31"/>
  <c r="F250" i="18"/>
  <c r="F250" i="30"/>
  <c r="F214" i="31"/>
  <c r="F297" i="18"/>
  <c r="F297" i="30"/>
  <c r="F261" i="31"/>
  <c r="F71" i="18"/>
  <c r="F149" i="18" s="1"/>
  <c r="F71" i="30"/>
  <c r="F194" i="31"/>
  <c r="F257" i="18"/>
  <c r="F413" i="18" s="1"/>
  <c r="F257" i="30"/>
  <c r="F221" i="31"/>
  <c r="F59" i="18"/>
  <c r="F137" i="18" s="1"/>
  <c r="F59" i="30"/>
  <c r="F182" i="31"/>
  <c r="F23" i="18"/>
  <c r="F101" i="18" s="1"/>
  <c r="F23" i="30"/>
  <c r="F146" i="31"/>
  <c r="F24" i="18"/>
  <c r="F102" i="18" s="1"/>
  <c r="F24" i="30"/>
  <c r="F147" i="31"/>
  <c r="F60" i="18"/>
  <c r="F216" i="18" s="1"/>
  <c r="F60" i="30"/>
  <c r="F183" i="31"/>
  <c r="F288" i="18"/>
  <c r="F288" i="30"/>
  <c r="F252" i="31"/>
  <c r="F266" i="18"/>
  <c r="F422" i="18" s="1"/>
  <c r="F266" i="30"/>
  <c r="F230" i="31"/>
  <c r="F296" i="18"/>
  <c r="F296" i="30"/>
  <c r="F260" i="31"/>
  <c r="F255" i="18"/>
  <c r="F333" i="18" s="1"/>
  <c r="F255" i="30"/>
  <c r="F219" i="31"/>
  <c r="F11" i="18"/>
  <c r="F89" i="18" s="1"/>
  <c r="F11" i="30"/>
  <c r="F134" i="31"/>
  <c r="F292" i="18"/>
  <c r="F370" i="18" s="1"/>
  <c r="F292" i="30"/>
  <c r="F256" i="31"/>
  <c r="F56" i="18"/>
  <c r="F212" i="18" s="1"/>
  <c r="F56" i="30"/>
  <c r="F179" i="31"/>
  <c r="F20" i="18"/>
  <c r="F98" i="18" s="1"/>
  <c r="F20" i="30"/>
  <c r="F143" i="31"/>
  <c r="F9" i="18"/>
  <c r="F87" i="18" s="1"/>
  <c r="F9" i="30"/>
  <c r="F132" i="31"/>
  <c r="F306" i="18"/>
  <c r="F384" i="18" s="1"/>
  <c r="F306" i="30"/>
  <c r="F270" i="31"/>
  <c r="F271" i="18"/>
  <c r="F271" i="30"/>
  <c r="F235" i="31"/>
  <c r="F267" i="18"/>
  <c r="F423" i="18" s="1"/>
  <c r="F267" i="30"/>
  <c r="F231" i="31"/>
  <c r="F308" i="18"/>
  <c r="F386" i="18" s="1"/>
  <c r="F308" i="30"/>
  <c r="F272" i="31"/>
  <c r="F316" i="18"/>
  <c r="F394" i="18" s="1"/>
  <c r="F316" i="30"/>
  <c r="F280" i="31"/>
  <c r="F29" i="18"/>
  <c r="F185" i="18" s="1"/>
  <c r="F29" i="30"/>
  <c r="F152" i="31"/>
  <c r="F317" i="18"/>
  <c r="F473" i="18" s="1"/>
  <c r="F317" i="30"/>
  <c r="F281" i="31"/>
  <c r="F294" i="18"/>
  <c r="F372" i="18" s="1"/>
  <c r="F294" i="30"/>
  <c r="F258" i="31"/>
  <c r="F295" i="18"/>
  <c r="F451" i="18" s="1"/>
  <c r="F295" i="30"/>
  <c r="F259" i="31"/>
  <c r="F51" i="18"/>
  <c r="F207" i="18" s="1"/>
  <c r="F51" i="30"/>
  <c r="F174" i="31"/>
  <c r="F27" i="18"/>
  <c r="F105" i="18" s="1"/>
  <c r="F27" i="30"/>
  <c r="F150" i="31"/>
  <c r="F289" i="18"/>
  <c r="F289" i="30"/>
  <c r="F253" i="31"/>
  <c r="F262" i="18"/>
  <c r="F340" i="18" s="1"/>
  <c r="F262" i="30"/>
  <c r="F226" i="31"/>
  <c r="F302" i="18"/>
  <c r="F302" i="30"/>
  <c r="F266" i="31"/>
  <c r="F260" i="18"/>
  <c r="F260" i="30"/>
  <c r="F224" i="31"/>
  <c r="F72" i="18"/>
  <c r="F228" i="18" s="1"/>
  <c r="F72" i="30"/>
  <c r="F195" i="31"/>
  <c r="F319" i="18"/>
  <c r="F397" i="18" s="1"/>
  <c r="F319" i="30"/>
  <c r="F283" i="31"/>
  <c r="F290" i="18"/>
  <c r="F446" i="18" s="1"/>
  <c r="F290" i="30"/>
  <c r="F254" i="31"/>
  <c r="F48" i="18"/>
  <c r="F204" i="18" s="1"/>
  <c r="F48" i="30"/>
  <c r="F171" i="31"/>
  <c r="F264" i="18"/>
  <c r="F264" i="30"/>
  <c r="F228" i="31"/>
  <c r="C348" i="30"/>
  <c r="F42" i="18"/>
  <c r="F120" i="18" s="1"/>
  <c r="F42" i="30"/>
  <c r="F165" i="31"/>
  <c r="F18" i="18"/>
  <c r="F174" i="18" s="1"/>
  <c r="F18" i="30"/>
  <c r="F141" i="31"/>
  <c r="F19" i="18"/>
  <c r="F175" i="18" s="1"/>
  <c r="F19" i="30"/>
  <c r="F142" i="31"/>
  <c r="F55" i="18"/>
  <c r="F211" i="18" s="1"/>
  <c r="F55" i="30"/>
  <c r="F178" i="31"/>
  <c r="F310" i="18"/>
  <c r="F310" i="30"/>
  <c r="F274" i="31"/>
  <c r="F256" i="18"/>
  <c r="F256" i="30"/>
  <c r="F220" i="31"/>
  <c r="F301" i="18"/>
  <c r="F457" i="18" s="1"/>
  <c r="F301" i="30"/>
  <c r="F265" i="31"/>
  <c r="F10" i="18"/>
  <c r="F88" i="18" s="1"/>
  <c r="F10" i="30"/>
  <c r="F133" i="31"/>
  <c r="F44" i="18"/>
  <c r="F200" i="18" s="1"/>
  <c r="F44" i="30"/>
  <c r="F167" i="31"/>
  <c r="F21" i="18"/>
  <c r="F21" i="30"/>
  <c r="F144" i="31"/>
  <c r="F248" i="18"/>
  <c r="F326" i="18" s="1"/>
  <c r="F248" i="30"/>
  <c r="F212" i="31"/>
  <c r="F305" i="18"/>
  <c r="F383" i="18" s="1"/>
  <c r="F305" i="30"/>
  <c r="F269" i="31"/>
  <c r="F8" i="18"/>
  <c r="F164" i="18" s="1"/>
  <c r="F8" i="30"/>
  <c r="F131" i="31"/>
  <c r="F67" i="18"/>
  <c r="F145" i="18" s="1"/>
  <c r="F67" i="30"/>
  <c r="F190" i="31"/>
  <c r="F16" i="18"/>
  <c r="F172" i="18" s="1"/>
  <c r="F16" i="30"/>
  <c r="F139" i="31"/>
  <c r="F280" i="18"/>
  <c r="F280" i="30"/>
  <c r="F244" i="31"/>
  <c r="F17" i="18"/>
  <c r="F95" i="18" s="1"/>
  <c r="F17" i="30"/>
  <c r="F140" i="31"/>
  <c r="F284" i="18"/>
  <c r="F440" i="18" s="1"/>
  <c r="F284" i="30"/>
  <c r="F248" i="31"/>
  <c r="F75" i="18"/>
  <c r="F231" i="18" s="1"/>
  <c r="F75" i="30"/>
  <c r="F198" i="31"/>
  <c r="F298" i="18"/>
  <c r="F376" i="18" s="1"/>
  <c r="F298" i="30"/>
  <c r="F262" i="31"/>
  <c r="F54" i="18"/>
  <c r="F54" i="30"/>
  <c r="F177" i="31"/>
  <c r="F31" i="18"/>
  <c r="F109" i="18" s="1"/>
  <c r="F31" i="30"/>
  <c r="F154" i="31"/>
  <c r="U17" i="29"/>
  <c r="AC17" i="29" s="1"/>
  <c r="U24" i="29"/>
  <c r="U15" i="29"/>
  <c r="AC15" i="29" s="1"/>
  <c r="U22" i="29"/>
  <c r="AC22" i="29" s="1"/>
  <c r="P60" i="27" s="1"/>
  <c r="U13" i="29"/>
  <c r="AC13" i="29" s="1"/>
  <c r="U20" i="29"/>
  <c r="AC20" i="29" s="1"/>
  <c r="U11" i="29"/>
  <c r="AC11" i="29" s="1"/>
  <c r="U18" i="29"/>
  <c r="AC18" i="29" s="1"/>
  <c r="P56" i="27" s="1"/>
  <c r="U27" i="29"/>
  <c r="AC27" i="29" s="1"/>
  <c r="U9" i="29"/>
  <c r="AC9" i="29" s="1"/>
  <c r="U16" i="29"/>
  <c r="AC16" i="29" s="1"/>
  <c r="U25" i="29"/>
  <c r="AC25" i="29" s="1"/>
  <c r="U14" i="29"/>
  <c r="AC14" i="29" s="1"/>
  <c r="U23" i="29"/>
  <c r="AC23" i="29" s="1"/>
  <c r="P61" i="27" s="1"/>
  <c r="U30" i="29"/>
  <c r="AC30" i="29" s="1"/>
  <c r="P68" i="27" s="1"/>
  <c r="U26" i="29"/>
  <c r="AC26" i="29" s="1"/>
  <c r="U28" i="29"/>
  <c r="AC28" i="29" s="1"/>
  <c r="U37" i="29"/>
  <c r="AC37" i="29" s="1"/>
  <c r="P75" i="27" s="1"/>
  <c r="U34" i="29"/>
  <c r="AC34" i="29" s="1"/>
  <c r="P72" i="27" s="1"/>
  <c r="U41" i="29"/>
  <c r="AC41" i="29" s="1"/>
  <c r="P79" i="27" s="1"/>
  <c r="U19" i="29"/>
  <c r="AC19" i="29" s="1"/>
  <c r="U40" i="29"/>
  <c r="AC40" i="29" s="1"/>
  <c r="P78" i="27" s="1"/>
  <c r="U45" i="29"/>
  <c r="AC45" i="29" s="1"/>
  <c r="P83" i="27" s="1"/>
  <c r="U10" i="29"/>
  <c r="AC10" i="29" s="1"/>
  <c r="U29" i="29"/>
  <c r="AC29" i="29" s="1"/>
  <c r="U48" i="29"/>
  <c r="AC48" i="29" s="1"/>
  <c r="P86" i="27" s="1"/>
  <c r="U33" i="29"/>
  <c r="AC33" i="29" s="1"/>
  <c r="P71" i="27" s="1"/>
  <c r="U42" i="29"/>
  <c r="AC42" i="29" s="1"/>
  <c r="P80" i="27" s="1"/>
  <c r="U31" i="29"/>
  <c r="AC31" i="29" s="1"/>
  <c r="P69" i="27" s="1"/>
  <c r="U35" i="29"/>
  <c r="AC35" i="29" s="1"/>
  <c r="P73" i="27" s="1"/>
  <c r="U47" i="29"/>
  <c r="AC47" i="29" s="1"/>
  <c r="P85" i="27" s="1"/>
  <c r="U53" i="29"/>
  <c r="AC53" i="29" s="1"/>
  <c r="U36" i="29"/>
  <c r="AC36" i="29" s="1"/>
  <c r="P74" i="27" s="1"/>
  <c r="U44" i="29"/>
  <c r="AC44" i="29" s="1"/>
  <c r="P82" i="27" s="1"/>
  <c r="U51" i="29"/>
  <c r="AC51" i="29" s="1"/>
  <c r="P89" i="27" s="1"/>
  <c r="U38" i="29"/>
  <c r="AC38" i="29" s="1"/>
  <c r="P76" i="27" s="1"/>
  <c r="U12" i="29"/>
  <c r="AC12" i="29" s="1"/>
  <c r="U43" i="29"/>
  <c r="AC43" i="29" s="1"/>
  <c r="P81" i="27" s="1"/>
  <c r="U50" i="29"/>
  <c r="AC50" i="29" s="1"/>
  <c r="P88" i="27" s="1"/>
  <c r="U54" i="29"/>
  <c r="AC54" i="29" s="1"/>
  <c r="P92" i="27" s="1"/>
  <c r="U55" i="29"/>
  <c r="AC55" i="29" s="1"/>
  <c r="P93" i="27" s="1"/>
  <c r="U59" i="29"/>
  <c r="AC59" i="29" s="1"/>
  <c r="P97" i="27" s="1"/>
  <c r="U57" i="29"/>
  <c r="AC57" i="29" s="1"/>
  <c r="P95" i="27" s="1"/>
  <c r="U46" i="29"/>
  <c r="AC46" i="29" s="1"/>
  <c r="P84" i="27" s="1"/>
  <c r="U62" i="29"/>
  <c r="AC62" i="29" s="1"/>
  <c r="P100" i="27" s="1"/>
  <c r="U39" i="29"/>
  <c r="AC39" i="29" s="1"/>
  <c r="P77" i="27" s="1"/>
  <c r="U49" i="29"/>
  <c r="AC49" i="29" s="1"/>
  <c r="P87" i="27" s="1"/>
  <c r="U52" i="29"/>
  <c r="AC52" i="29" s="1"/>
  <c r="U70" i="29"/>
  <c r="AC70" i="29" s="1"/>
  <c r="U21" i="29"/>
  <c r="AC21" i="29" s="1"/>
  <c r="U32" i="29"/>
  <c r="AC32" i="29" s="1"/>
  <c r="P70" i="27" s="1"/>
  <c r="U68" i="29"/>
  <c r="AC68" i="29" s="1"/>
  <c r="P106" i="27" s="1"/>
  <c r="U75" i="29"/>
  <c r="AC75" i="29" s="1"/>
  <c r="P113" i="27" s="1"/>
  <c r="U66" i="29"/>
  <c r="AC66" i="29" s="1"/>
  <c r="P104" i="27" s="1"/>
  <c r="U73" i="29"/>
  <c r="AC73" i="29" s="1"/>
  <c r="P111" i="27" s="1"/>
  <c r="U80" i="29"/>
  <c r="AC80" i="29" s="1"/>
  <c r="P118" i="27" s="1"/>
  <c r="U60" i="29"/>
  <c r="AC60" i="29" s="1"/>
  <c r="U61" i="29"/>
  <c r="AC61" i="29" s="1"/>
  <c r="P99" i="27" s="1"/>
  <c r="U63" i="29"/>
  <c r="AC63" i="29" s="1"/>
  <c r="P101" i="27" s="1"/>
  <c r="U78" i="29"/>
  <c r="AC78" i="29" s="1"/>
  <c r="P116" i="27" s="1"/>
  <c r="U56" i="29"/>
  <c r="AC56" i="29" s="1"/>
  <c r="P94" i="27" s="1"/>
  <c r="U71" i="29"/>
  <c r="AC71" i="29" s="1"/>
  <c r="P109" i="27" s="1"/>
  <c r="U64" i="29"/>
  <c r="AC64" i="29" s="1"/>
  <c r="P102" i="27" s="1"/>
  <c r="U69" i="29"/>
  <c r="AC69" i="29" s="1"/>
  <c r="P107" i="27" s="1"/>
  <c r="U74" i="29"/>
  <c r="AC74" i="29" s="1"/>
  <c r="P112" i="27" s="1"/>
  <c r="U79" i="29"/>
  <c r="AC79" i="29" s="1"/>
  <c r="P117" i="27" s="1"/>
  <c r="U65" i="29"/>
  <c r="AC65" i="29" s="1"/>
  <c r="P103" i="27" s="1"/>
  <c r="U67" i="29"/>
  <c r="AC67" i="29" s="1"/>
  <c r="P105" i="27" s="1"/>
  <c r="U76" i="29"/>
  <c r="AC76" i="29" s="1"/>
  <c r="P114" i="27" s="1"/>
  <c r="U77" i="29"/>
  <c r="AC77" i="29" s="1"/>
  <c r="P115" i="27" s="1"/>
  <c r="U81" i="29"/>
  <c r="AC81" i="29" s="1"/>
  <c r="P119" i="27" s="1"/>
  <c r="U72" i="29"/>
  <c r="AC72" i="29" s="1"/>
  <c r="P110" i="27" s="1"/>
  <c r="U82" i="29"/>
  <c r="AC82" i="29" s="1"/>
  <c r="P120" i="27" s="1"/>
  <c r="U58" i="29"/>
  <c r="AC58" i="29" s="1"/>
  <c r="P96" i="27" s="1"/>
  <c r="C150" i="30"/>
  <c r="C122" i="30"/>
  <c r="C178" i="30"/>
  <c r="C365" i="30"/>
  <c r="C117" i="30"/>
  <c r="C376" i="30"/>
  <c r="C387" i="30"/>
  <c r="C217" i="30"/>
  <c r="C204" i="30"/>
  <c r="C436" i="30"/>
  <c r="C182" i="30"/>
  <c r="C210" i="30"/>
  <c r="C361" i="30"/>
  <c r="C380" i="30"/>
  <c r="C332" i="30"/>
  <c r="C459" i="30"/>
  <c r="C145" i="30"/>
  <c r="C192" i="30"/>
  <c r="C364" i="30"/>
  <c r="P760" i="35" a="1"/>
  <c r="P760" i="35" s="1"/>
  <c r="O760" i="35" a="1"/>
  <c r="O760" i="35" s="1"/>
  <c r="Q679" i="35"/>
  <c r="O679" i="35" a="1"/>
  <c r="O679" i="35" s="1"/>
  <c r="P679" i="35" a="1"/>
  <c r="P679" i="35" s="1"/>
  <c r="Q675" i="35"/>
  <c r="O675" i="35" a="1"/>
  <c r="O675" i="35" s="1"/>
  <c r="P675" i="35" a="1"/>
  <c r="P675" i="35" s="1"/>
  <c r="Q660" i="35"/>
  <c r="O660" i="35" a="1"/>
  <c r="O660" i="35" s="1"/>
  <c r="P660" i="35" a="1"/>
  <c r="P660" i="35" s="1"/>
  <c r="O778" i="35" a="1"/>
  <c r="O778" i="35" s="1"/>
  <c r="P778" i="35" a="1"/>
  <c r="P778" i="35" s="1"/>
  <c r="P665" i="35" a="1"/>
  <c r="P665" i="35" s="1"/>
  <c r="Q665" i="35"/>
  <c r="O665" i="35" a="1"/>
  <c r="O665" i="35" s="1"/>
  <c r="O672" i="35" a="1"/>
  <c r="O672" i="35" s="1"/>
  <c r="P672" i="35" a="1"/>
  <c r="P672" i="35" s="1"/>
  <c r="Q672" i="35"/>
  <c r="P754" i="35" a="1"/>
  <c r="P754" i="35" s="1"/>
  <c r="O754" i="35" a="1"/>
  <c r="O754" i="35" s="1"/>
  <c r="P657" i="35" a="1"/>
  <c r="P657" i="35" s="1"/>
  <c r="O657" i="35" a="1"/>
  <c r="O657" i="35" s="1"/>
  <c r="Q657" i="35"/>
  <c r="O677" i="35" a="1"/>
  <c r="O677" i="35" s="1"/>
  <c r="P677" i="35" a="1"/>
  <c r="P677" i="35" s="1"/>
  <c r="Q677" i="35"/>
  <c r="P766" i="35" a="1"/>
  <c r="P766" i="35" s="1"/>
  <c r="O766" i="35" a="1"/>
  <c r="O766" i="35" s="1"/>
  <c r="O757" i="35" a="1"/>
  <c r="O757" i="35" s="1"/>
  <c r="O664" i="35" a="1"/>
  <c r="O664" i="35" s="1"/>
  <c r="P664" i="35" a="1"/>
  <c r="P664" i="35" s="1"/>
  <c r="Q664" i="35"/>
  <c r="O772" i="35" a="1"/>
  <c r="O772" i="35" s="1"/>
  <c r="P772" i="35" a="1"/>
  <c r="P772" i="35" s="1"/>
  <c r="O654" i="35" a="1"/>
  <c r="O654" i="35" s="1"/>
  <c r="P654" i="35" a="1"/>
  <c r="P654" i="35" s="1"/>
  <c r="Q654" i="35"/>
  <c r="Q661" i="35"/>
  <c r="O661" i="35" a="1"/>
  <c r="O661" i="35" s="1"/>
  <c r="P661" i="35" a="1"/>
  <c r="P661" i="35" s="1"/>
  <c r="O763" i="35" a="1"/>
  <c r="O763" i="35" s="1"/>
  <c r="P763" i="35" a="1"/>
  <c r="P763" i="35" s="1"/>
  <c r="O669" i="35" a="1"/>
  <c r="O669" i="35" s="1"/>
  <c r="Q669" i="35"/>
  <c r="P669" i="35" a="1"/>
  <c r="P669" i="35" s="1"/>
  <c r="O777" i="35" a="1"/>
  <c r="O777" i="35" s="1"/>
  <c r="P777" i="35" a="1"/>
  <c r="P777" i="35" s="1"/>
  <c r="O756" i="35" a="1"/>
  <c r="O756" i="35" s="1"/>
  <c r="P756" i="35" a="1"/>
  <c r="P756" i="35" s="1"/>
  <c r="O759" i="35" a="1"/>
  <c r="O759" i="35" s="1"/>
  <c r="P759" i="35" a="1"/>
  <c r="P759" i="35" s="1"/>
  <c r="O666" i="35" a="1"/>
  <c r="O666" i="35" s="1"/>
  <c r="P666" i="35" a="1"/>
  <c r="P666" i="35" s="1"/>
  <c r="Q666" i="35"/>
  <c r="O774" i="35" a="1"/>
  <c r="O774" i="35" s="1"/>
  <c r="P774" i="35" a="1"/>
  <c r="P774" i="35" s="1"/>
  <c r="O764" i="35" a="1"/>
  <c r="O764" i="35" s="1"/>
  <c r="P764" i="35" a="1"/>
  <c r="P764" i="35" s="1"/>
  <c r="Q653" i="35"/>
  <c r="O653" i="35" a="1"/>
  <c r="O653" i="35" s="1"/>
  <c r="P653" i="35" a="1"/>
  <c r="P653" i="35" s="1"/>
  <c r="P770" i="35" a="1"/>
  <c r="P770" i="35" s="1"/>
  <c r="O770" i="35" a="1"/>
  <c r="O770" i="35" s="1"/>
  <c r="P776" i="35" a="1"/>
  <c r="P776" i="35" s="1"/>
  <c r="O776" i="35" a="1"/>
  <c r="O776" i="35" s="1"/>
  <c r="Q673" i="35"/>
  <c r="O673" i="35" a="1"/>
  <c r="O673" i="35" s="1"/>
  <c r="P673" i="35" a="1"/>
  <c r="P673" i="35" s="1"/>
  <c r="O758" i="35" a="1"/>
  <c r="O758" i="35" s="1"/>
  <c r="P758" i="35" a="1"/>
  <c r="P758" i="35" s="1"/>
  <c r="O769" i="35" a="1"/>
  <c r="O769" i="35" s="1"/>
  <c r="P769" i="35" a="1"/>
  <c r="P769" i="35" s="1"/>
  <c r="P656" i="35" a="1"/>
  <c r="P656" i="35" s="1"/>
  <c r="Q656" i="35"/>
  <c r="O656" i="35" a="1"/>
  <c r="O656" i="35" s="1"/>
  <c r="O761" i="35" a="1"/>
  <c r="O761" i="35" s="1"/>
  <c r="P761" i="35" a="1"/>
  <c r="P761" i="35" s="1"/>
  <c r="P663" i="35" a="1"/>
  <c r="P663" i="35" s="1"/>
  <c r="Q663" i="35"/>
  <c r="O663" i="35" a="1"/>
  <c r="O663" i="35" s="1"/>
  <c r="P767" i="35" a="1"/>
  <c r="P767" i="35" s="1"/>
  <c r="P659" i="35" a="1"/>
  <c r="P659" i="35" s="1"/>
  <c r="O659" i="35" a="1"/>
  <c r="O659" i="35" s="1"/>
  <c r="Q659" i="35"/>
  <c r="Q671" i="35"/>
  <c r="O671" i="35" a="1"/>
  <c r="O671" i="35" s="1"/>
  <c r="P671" i="35" a="1"/>
  <c r="P671" i="35" s="1"/>
  <c r="P658" i="35" a="1"/>
  <c r="P658" i="35" s="1"/>
  <c r="Q658" i="35"/>
  <c r="O658" i="35" a="1"/>
  <c r="O658" i="35" s="1"/>
  <c r="O674" i="35" a="1"/>
  <c r="O674" i="35" s="1"/>
  <c r="P674" i="35" a="1"/>
  <c r="P674" i="35" s="1"/>
  <c r="Q674" i="35"/>
  <c r="P678" i="35" a="1"/>
  <c r="P678" i="35" s="1"/>
  <c r="Q678" i="35"/>
  <c r="O678" i="35" a="1"/>
  <c r="O678" i="35" s="1"/>
  <c r="O652" i="35" a="1"/>
  <c r="O652" i="35" s="1"/>
  <c r="P652" i="35" a="1"/>
  <c r="P652" i="35" s="1"/>
  <c r="Q652" i="35"/>
  <c r="O768" i="35" a="1"/>
  <c r="O768" i="35" s="1"/>
  <c r="P768" i="35" a="1"/>
  <c r="P768" i="35" s="1"/>
  <c r="O655" i="35" a="1"/>
  <c r="O655" i="35" s="1"/>
  <c r="P655" i="35" a="1"/>
  <c r="P655" i="35" s="1"/>
  <c r="Q655" i="35"/>
  <c r="O670" i="35" a="1"/>
  <c r="O670" i="35" s="1"/>
  <c r="P670" i="35" a="1"/>
  <c r="P670" i="35" s="1"/>
  <c r="Q670" i="35"/>
  <c r="Q667" i="35"/>
  <c r="P667" i="35" a="1"/>
  <c r="P667" i="35" s="1"/>
  <c r="O667" i="35" a="1"/>
  <c r="O667" i="35" s="1"/>
  <c r="O779" i="35" a="1"/>
  <c r="O779" i="35" s="1"/>
  <c r="P779" i="35" a="1"/>
  <c r="P779" i="35" s="1"/>
  <c r="O662" i="35" a="1"/>
  <c r="O662" i="35" s="1"/>
  <c r="P662" i="35" a="1"/>
  <c r="P662" i="35" s="1"/>
  <c r="Q662" i="35"/>
  <c r="O676" i="35" a="1"/>
  <c r="O676" i="35" s="1"/>
  <c r="P676" i="35" a="1"/>
  <c r="P676" i="35" s="1"/>
  <c r="Q676" i="35"/>
  <c r="P765" i="35" a="1"/>
  <c r="P765" i="35" s="1"/>
  <c r="O781" i="35" a="1"/>
  <c r="O781" i="35" s="1"/>
  <c r="P781" i="35" a="1"/>
  <c r="P781" i="35" s="1"/>
  <c r="O668" i="35" a="1"/>
  <c r="O668" i="35" s="1"/>
  <c r="P668" i="35" a="1"/>
  <c r="P668" i="35" s="1"/>
  <c r="Q668" i="35"/>
  <c r="O773" i="35" a="1"/>
  <c r="O773" i="35" s="1"/>
  <c r="P773" i="35" a="1"/>
  <c r="P773" i="35" s="1"/>
  <c r="O762" i="35" a="1"/>
  <c r="O762" i="35" s="1"/>
  <c r="P762" i="35" a="1"/>
  <c r="P762" i="35" s="1"/>
  <c r="Z55" i="46" a="1"/>
  <c r="Z55" i="46" s="1"/>
  <c r="Q50" i="46" a="1"/>
  <c r="Q50" i="46" s="1"/>
  <c r="N49" i="46" a="1"/>
  <c r="N49" i="46" s="1"/>
  <c r="T70" i="46" a="1"/>
  <c r="T70" i="46" s="1"/>
  <c r="P50" i="46" a="1"/>
  <c r="P50" i="46" s="1"/>
  <c r="C466" i="18"/>
  <c r="D23" i="30"/>
  <c r="D179" i="30" s="1"/>
  <c r="C464" i="30"/>
  <c r="I480" i="30"/>
  <c r="I869" i="30"/>
  <c r="I552" i="30"/>
  <c r="I243" i="30"/>
  <c r="I47" i="43"/>
  <c r="I36" i="46" s="1" a="1"/>
  <c r="I36" i="46" s="1"/>
  <c r="Y480" i="18"/>
  <c r="Y792" i="18"/>
  <c r="Y243" i="18"/>
  <c r="D270" i="18"/>
  <c r="D348" i="18" s="1"/>
  <c r="J50" i="43"/>
  <c r="J39" i="46" s="1" a="1"/>
  <c r="J39" i="46" s="1"/>
  <c r="C92" i="18"/>
  <c r="C430" i="18"/>
  <c r="C337" i="30"/>
  <c r="D190" i="31"/>
  <c r="C464" i="18"/>
  <c r="R792" i="18"/>
  <c r="R480" i="18"/>
  <c r="R243" i="18"/>
  <c r="L243" i="30"/>
  <c r="L869" i="30"/>
  <c r="L552" i="30"/>
  <c r="L480" i="30"/>
  <c r="D316" i="18"/>
  <c r="D394" i="18" s="1"/>
  <c r="F475" i="18"/>
  <c r="C683" i="35"/>
  <c r="T683" i="35" s="1"/>
  <c r="T617" i="35" s="1"/>
  <c r="C446" i="35"/>
  <c r="F469" i="18"/>
  <c r="Q108" i="47"/>
  <c r="J250" i="50" s="1"/>
  <c r="J56" i="43"/>
  <c r="J45" i="46" s="1" a="1"/>
  <c r="J45" i="46" s="1"/>
  <c r="K46" i="43"/>
  <c r="K35" i="46" s="1" a="1"/>
  <c r="K35" i="46" s="1"/>
  <c r="C170" i="30"/>
  <c r="D140" i="31"/>
  <c r="E23" i="18"/>
  <c r="E179" i="18" s="1"/>
  <c r="G319" i="30"/>
  <c r="G475" i="30" s="1"/>
  <c r="D275" i="31"/>
  <c r="G316" i="30"/>
  <c r="G472" i="30" s="1"/>
  <c r="C123" i="30"/>
  <c r="D70" i="45"/>
  <c r="T669" i="35"/>
  <c r="J669" i="35" s="1"/>
  <c r="M9" i="31"/>
  <c r="N10" i="31"/>
  <c r="Q9" i="31"/>
  <c r="I52" i="43"/>
  <c r="I41" i="46" s="1" a="1"/>
  <c r="I41" i="46" s="1"/>
  <c r="AA34" i="43"/>
  <c r="AA23" i="46" s="1" a="1"/>
  <c r="AA23" i="46" s="1"/>
  <c r="W37" i="43"/>
  <c r="W26" i="46" s="1" a="1"/>
  <c r="W26" i="46" s="1"/>
  <c r="W49" i="43"/>
  <c r="W38" i="46" s="1" a="1"/>
  <c r="W38" i="46" s="1"/>
  <c r="AA39" i="43"/>
  <c r="AA28" i="46" s="1" a="1"/>
  <c r="AA28" i="46" s="1"/>
  <c r="S40" i="43"/>
  <c r="S29" i="46" s="1" a="1"/>
  <c r="S29" i="46" s="1"/>
  <c r="W30" i="43"/>
  <c r="W19" i="46" s="1" a="1"/>
  <c r="W19" i="46" s="1"/>
  <c r="AA32" i="43"/>
  <c r="AA21" i="46" s="1" a="1"/>
  <c r="AA21" i="46" s="1"/>
  <c r="J43" i="43"/>
  <c r="J32" i="46" s="1" a="1"/>
  <c r="J32" i="46" s="1"/>
  <c r="I55" i="43"/>
  <c r="I44" i="46" s="1" a="1"/>
  <c r="I44" i="46" s="1"/>
  <c r="T664" i="35"/>
  <c r="U667" i="35"/>
  <c r="T667" i="35"/>
  <c r="T663" i="35"/>
  <c r="G655" i="35"/>
  <c r="U668" i="35"/>
  <c r="E143" i="31"/>
  <c r="G134" i="31"/>
  <c r="S781" i="35"/>
  <c r="T678" i="35"/>
  <c r="S668" i="35"/>
  <c r="U657" i="35"/>
  <c r="T754" i="35"/>
  <c r="U781" i="35"/>
  <c r="C86" i="30"/>
  <c r="T781" i="35"/>
  <c r="S765" i="35"/>
  <c r="S653" i="35"/>
  <c r="S767" i="35"/>
  <c r="T774" i="35"/>
  <c r="K767" i="35"/>
  <c r="G663" i="35"/>
  <c r="C408" i="30"/>
  <c r="E17" i="18"/>
  <c r="E173" i="18" s="1"/>
  <c r="D255" i="18"/>
  <c r="D411" i="18" s="1"/>
  <c r="J44" i="43"/>
  <c r="J33" i="46" s="1" a="1"/>
  <c r="J33" i="46" s="1"/>
  <c r="S657" i="35"/>
  <c r="T767" i="35"/>
  <c r="T657" i="35"/>
  <c r="U664" i="35"/>
  <c r="S761" i="35"/>
  <c r="U754" i="35"/>
  <c r="G657" i="35"/>
  <c r="U663" i="35"/>
  <c r="U655" i="35"/>
  <c r="E17" i="30"/>
  <c r="E95" i="30" s="1"/>
  <c r="C333" i="30"/>
  <c r="D255" i="30"/>
  <c r="D411" i="30" s="1"/>
  <c r="I39" i="43"/>
  <c r="I28" i="46" s="1" a="1"/>
  <c r="I28" i="46" s="1"/>
  <c r="S655" i="35"/>
  <c r="U678" i="35"/>
  <c r="T761" i="35"/>
  <c r="C172" i="18"/>
  <c r="K52" i="43"/>
  <c r="K41" i="46" s="1" a="1"/>
  <c r="K41" i="46" s="1"/>
  <c r="S51" i="43"/>
  <c r="S40" i="46" s="1" a="1"/>
  <c r="S40" i="46" s="1"/>
  <c r="T668" i="35"/>
  <c r="U774" i="35"/>
  <c r="S678" i="35"/>
  <c r="S663" i="35"/>
  <c r="G668" i="35"/>
  <c r="K668" i="35" s="1"/>
  <c r="U765" i="35"/>
  <c r="T655" i="35"/>
  <c r="S754" i="35"/>
  <c r="K42" i="43"/>
  <c r="K31" i="46" s="1" a="1"/>
  <c r="K31" i="46" s="1"/>
  <c r="Q10" i="31"/>
  <c r="N11" i="31"/>
  <c r="M10" i="31"/>
  <c r="L9" i="31"/>
  <c r="K9" i="31"/>
  <c r="Q11" i="31"/>
  <c r="D129" i="45"/>
  <c r="N8" i="31"/>
  <c r="M11" i="31"/>
  <c r="M8" i="31"/>
  <c r="X480" i="30"/>
  <c r="X552" i="30"/>
  <c r="X869" i="30"/>
  <c r="X243" i="30"/>
  <c r="X480" i="18"/>
  <c r="X792" i="18"/>
  <c r="X243" i="18"/>
  <c r="J51" i="43"/>
  <c r="J40" i="46" s="1" a="1"/>
  <c r="J40" i="46" s="1"/>
  <c r="I44" i="43"/>
  <c r="I33" i="46" s="1" a="1"/>
  <c r="I33" i="46" s="1"/>
  <c r="J49" i="43"/>
  <c r="J38" i="46" s="1" a="1"/>
  <c r="J38" i="46" s="1"/>
  <c r="K8" i="31"/>
  <c r="L8" i="31"/>
  <c r="Q8" i="31"/>
  <c r="N9" i="31"/>
  <c r="I41" i="43"/>
  <c r="I30" i="46" s="1" a="1"/>
  <c r="I30" i="46" s="1"/>
  <c r="J54" i="43"/>
  <c r="J43" i="46" s="1" a="1"/>
  <c r="J43" i="46" s="1"/>
  <c r="J42" i="43"/>
  <c r="J31" i="46" s="1" a="1"/>
  <c r="J31" i="46" s="1"/>
  <c r="K44" i="43"/>
  <c r="K33" i="46" s="1" a="1"/>
  <c r="K33" i="46" s="1"/>
  <c r="L11" i="31"/>
  <c r="K11" i="31"/>
  <c r="L10" i="31"/>
  <c r="I57" i="43"/>
  <c r="I46" i="46" s="1" a="1"/>
  <c r="I46" i="46" s="1"/>
  <c r="K55" i="43"/>
  <c r="K44" i="46" s="1" a="1"/>
  <c r="K44" i="46" s="1"/>
  <c r="K47" i="43"/>
  <c r="K36" i="46" s="1" a="1"/>
  <c r="K36" i="46" s="1"/>
  <c r="K53" i="43"/>
  <c r="K42" i="46" s="1" a="1"/>
  <c r="K42" i="46" s="1"/>
  <c r="D311" i="30"/>
  <c r="D467" i="30" s="1"/>
  <c r="D17" i="30"/>
  <c r="D173" i="30" s="1"/>
  <c r="C419" i="18"/>
  <c r="C230" i="18"/>
  <c r="E23" i="30"/>
  <c r="E179" i="30" s="1"/>
  <c r="E308" i="18"/>
  <c r="E386" i="18" s="1"/>
  <c r="C232" i="30"/>
  <c r="E308" i="30"/>
  <c r="E464" i="30" s="1"/>
  <c r="C389" i="30"/>
  <c r="D299" i="18"/>
  <c r="D455" i="18" s="1"/>
  <c r="G316" i="18"/>
  <c r="G472" i="18" s="1"/>
  <c r="G319" i="18"/>
  <c r="G397" i="18" s="1"/>
  <c r="K15" i="31"/>
  <c r="M13" i="31"/>
  <c r="G133" i="31"/>
  <c r="G10" i="30"/>
  <c r="G166" i="30" s="1"/>
  <c r="G10" i="18"/>
  <c r="E260" i="31"/>
  <c r="E296" i="30"/>
  <c r="E452" i="30" s="1"/>
  <c r="E296" i="18"/>
  <c r="E452" i="18" s="1"/>
  <c r="D251" i="18"/>
  <c r="D407" i="18" s="1"/>
  <c r="D215" i="31"/>
  <c r="D251" i="30"/>
  <c r="D407" i="30" s="1"/>
  <c r="G143" i="31"/>
  <c r="G20" i="30"/>
  <c r="G98" i="30" s="1"/>
  <c r="G20" i="18"/>
  <c r="G176" i="18" s="1"/>
  <c r="G30" i="30"/>
  <c r="G186" i="30" s="1"/>
  <c r="G30" i="18"/>
  <c r="G186" i="18" s="1"/>
  <c r="E256" i="31"/>
  <c r="E292" i="30"/>
  <c r="E448" i="30" s="1"/>
  <c r="E292" i="18"/>
  <c r="E370" i="18" s="1"/>
  <c r="C359" i="30"/>
  <c r="C437" i="30"/>
  <c r="C435" i="18"/>
  <c r="C357" i="18"/>
  <c r="C427" i="18"/>
  <c r="C349" i="18"/>
  <c r="C227" i="30"/>
  <c r="C149" i="30"/>
  <c r="C340" i="30"/>
  <c r="C418" i="30"/>
  <c r="C355" i="18"/>
  <c r="C433" i="18"/>
  <c r="D12" i="18"/>
  <c r="D168" i="18" s="1"/>
  <c r="D135" i="31"/>
  <c r="D12" i="30"/>
  <c r="C380" i="18"/>
  <c r="C458" i="18"/>
  <c r="C99" i="18"/>
  <c r="C177" i="18"/>
  <c r="G45" i="30"/>
  <c r="G201" i="30" s="1"/>
  <c r="E182" i="31"/>
  <c r="E59" i="30"/>
  <c r="E215" i="30" s="1"/>
  <c r="E59" i="18"/>
  <c r="E137" i="18" s="1"/>
  <c r="G223" i="31"/>
  <c r="G259" i="30"/>
  <c r="G415" i="30" s="1"/>
  <c r="G259" i="18"/>
  <c r="G415" i="18" s="1"/>
  <c r="G17" i="30"/>
  <c r="G173" i="30" s="1"/>
  <c r="G17" i="18"/>
  <c r="G173" i="18" s="1"/>
  <c r="G276" i="31"/>
  <c r="M18" i="31"/>
  <c r="Q12" i="31"/>
  <c r="M17" i="31"/>
  <c r="C145" i="18"/>
  <c r="G266" i="31"/>
  <c r="G302" i="30"/>
  <c r="G458" i="30" s="1"/>
  <c r="G302" i="18"/>
  <c r="G458" i="18" s="1"/>
  <c r="G210" i="31"/>
  <c r="G246" i="30"/>
  <c r="G402" i="30" s="1"/>
  <c r="G246" i="18"/>
  <c r="G402" i="18" s="1"/>
  <c r="C133" i="18"/>
  <c r="C211" i="18"/>
  <c r="D159" i="31"/>
  <c r="D36" i="30"/>
  <c r="D114" i="30" s="1"/>
  <c r="D36" i="18"/>
  <c r="G47" i="30"/>
  <c r="G125" i="30" s="1"/>
  <c r="G47" i="18"/>
  <c r="G125" i="18" s="1"/>
  <c r="D144" i="31"/>
  <c r="D21" i="18"/>
  <c r="D99" i="18" s="1"/>
  <c r="D174" i="31"/>
  <c r="D51" i="18"/>
  <c r="D129" i="18" s="1"/>
  <c r="E304" i="18"/>
  <c r="E382" i="18" s="1"/>
  <c r="E268" i="31"/>
  <c r="G261" i="31"/>
  <c r="G297" i="30"/>
  <c r="G453" i="30" s="1"/>
  <c r="G297" i="18"/>
  <c r="G453" i="18" s="1"/>
  <c r="K16" i="31"/>
  <c r="M14" i="31"/>
  <c r="Q29" i="32"/>
  <c r="Q72" i="32" s="1"/>
  <c r="Q16" i="31"/>
  <c r="Q15" i="31"/>
  <c r="K17" i="31"/>
  <c r="M15" i="31"/>
  <c r="K12" i="31"/>
  <c r="Q18" i="31"/>
  <c r="K18" i="31"/>
  <c r="M16" i="31"/>
  <c r="Q13" i="31"/>
  <c r="K13" i="31"/>
  <c r="C140" i="18"/>
  <c r="C218" i="18"/>
  <c r="E168" i="31"/>
  <c r="E45" i="30"/>
  <c r="E123" i="30" s="1"/>
  <c r="E45" i="18"/>
  <c r="E123" i="18" s="1"/>
  <c r="E14" i="18"/>
  <c r="E92" i="18" s="1"/>
  <c r="E14" i="30"/>
  <c r="D274" i="31"/>
  <c r="D310" i="30"/>
  <c r="D388" i="30" s="1"/>
  <c r="D310" i="18"/>
  <c r="D466" i="18" s="1"/>
  <c r="D238" i="31"/>
  <c r="D274" i="18"/>
  <c r="D352" i="18" s="1"/>
  <c r="C171" i="30"/>
  <c r="C93" i="30"/>
  <c r="D139" i="31"/>
  <c r="D16" i="30"/>
  <c r="D94" i="30" s="1"/>
  <c r="D16" i="18"/>
  <c r="D172" i="18" s="1"/>
  <c r="G263" i="31"/>
  <c r="G299" i="30"/>
  <c r="G455" i="30" s="1"/>
  <c r="G299" i="18"/>
  <c r="G455" i="18" s="1"/>
  <c r="E174" i="31"/>
  <c r="E51" i="30"/>
  <c r="E129" i="30" s="1"/>
  <c r="E51" i="18"/>
  <c r="E129" i="18" s="1"/>
  <c r="C127" i="30"/>
  <c r="C205" i="30"/>
  <c r="D133" i="31"/>
  <c r="D10" i="30"/>
  <c r="D166" i="30" s="1"/>
  <c r="D10" i="18"/>
  <c r="D88" i="18" s="1"/>
  <c r="C183" i="30"/>
  <c r="C105" i="30"/>
  <c r="C407" i="18"/>
  <c r="C329" i="18"/>
  <c r="C408" i="18"/>
  <c r="C330" i="18"/>
  <c r="G132" i="31"/>
  <c r="G9" i="30"/>
  <c r="G165" i="30" s="1"/>
  <c r="G9" i="18"/>
  <c r="G165" i="18" s="1"/>
  <c r="C119" i="18"/>
  <c r="C197" i="18"/>
  <c r="G221" i="31"/>
  <c r="G257" i="30"/>
  <c r="G335" i="30" s="1"/>
  <c r="G257" i="18"/>
  <c r="G193" i="31"/>
  <c r="G70" i="30"/>
  <c r="G148" i="30" s="1"/>
  <c r="G70" i="18"/>
  <c r="G226" i="18" s="1"/>
  <c r="C141" i="18"/>
  <c r="C219" i="18"/>
  <c r="C390" i="30"/>
  <c r="T656" i="35"/>
  <c r="S675" i="35"/>
  <c r="T675" i="35"/>
  <c r="U675" i="35"/>
  <c r="N12" i="35"/>
  <c r="Q77" i="47" s="1"/>
  <c r="G675" i="35"/>
  <c r="U656" i="35"/>
  <c r="S656" i="35"/>
  <c r="I656" i="35" s="1"/>
  <c r="S677" i="35"/>
  <c r="U677" i="35"/>
  <c r="G671" i="35"/>
  <c r="T671" i="35"/>
  <c r="S671" i="35"/>
  <c r="S659" i="35"/>
  <c r="I659" i="35" s="1"/>
  <c r="G677" i="35"/>
  <c r="Q75" i="32"/>
  <c r="P75" i="32"/>
  <c r="N75" i="32"/>
  <c r="U768" i="35"/>
  <c r="S666" i="35"/>
  <c r="U658" i="35"/>
  <c r="S674" i="35"/>
  <c r="S662" i="35"/>
  <c r="U771" i="35"/>
  <c r="G653" i="35"/>
  <c r="G658" i="35"/>
  <c r="T653" i="35"/>
  <c r="S665" i="35"/>
  <c r="S779" i="35"/>
  <c r="S755" i="35"/>
  <c r="T658" i="35"/>
  <c r="D9" i="18"/>
  <c r="D165" i="18" s="1"/>
  <c r="U755" i="35"/>
  <c r="S771" i="35"/>
  <c r="T674" i="35"/>
  <c r="G662" i="35"/>
  <c r="G674" i="35"/>
  <c r="T762" i="35"/>
  <c r="U662" i="35"/>
  <c r="D9" i="30"/>
  <c r="D165" i="30" s="1"/>
  <c r="S768" i="35"/>
  <c r="G666" i="35"/>
  <c r="G678" i="35"/>
  <c r="U669" i="35"/>
  <c r="K669" i="35" s="1"/>
  <c r="U762" i="35"/>
  <c r="T662" i="35"/>
  <c r="T755" i="35"/>
  <c r="U653" i="35"/>
  <c r="T666" i="35"/>
  <c r="S762" i="35"/>
  <c r="T778" i="35"/>
  <c r="T779" i="35"/>
  <c r="U666" i="35"/>
  <c r="U779" i="35"/>
  <c r="Q752" i="35"/>
  <c r="S778" i="35"/>
  <c r="U674" i="35"/>
  <c r="D68" i="45"/>
  <c r="I9" i="34"/>
  <c r="J10" i="34" s="1" a="1"/>
  <c r="J10" i="34" s="1"/>
  <c r="Q9" i="4"/>
  <c r="Q8" i="32"/>
  <c r="Q7" i="26"/>
  <c r="L7" i="34" s="1"/>
  <c r="L9" i="34"/>
  <c r="K9" i="34"/>
  <c r="K10" i="34" s="1" a="1"/>
  <c r="K10" i="34" s="1"/>
  <c r="E43" i="45"/>
  <c r="C397" i="30"/>
  <c r="J8" i="4"/>
  <c r="L14" i="31"/>
  <c r="N16" i="31"/>
  <c r="N17" i="31"/>
  <c r="N18" i="31"/>
  <c r="N13" i="31"/>
  <c r="N14" i="31"/>
  <c r="N15" i="31"/>
  <c r="Q17" i="31"/>
  <c r="C388" i="30"/>
  <c r="P8" i="4"/>
  <c r="N8" i="4"/>
  <c r="M8" i="4"/>
  <c r="M7" i="26" s="1"/>
  <c r="O8" i="4"/>
  <c r="D308" i="18"/>
  <c r="D386" i="18" s="1"/>
  <c r="C152" i="30"/>
  <c r="D23" i="18"/>
  <c r="D101" i="18" s="1"/>
  <c r="G67" i="18"/>
  <c r="G223" i="18" s="1"/>
  <c r="G67" i="30"/>
  <c r="G223" i="30" s="1"/>
  <c r="G270" i="18"/>
  <c r="G426" i="18" s="1"/>
  <c r="C95" i="18"/>
  <c r="C341" i="30"/>
  <c r="G270" i="30"/>
  <c r="G426" i="30" s="1"/>
  <c r="I49" i="43"/>
  <c r="I38" i="46" s="1" a="1"/>
  <c r="I38" i="46" s="1"/>
  <c r="AA57" i="43"/>
  <c r="AA46" i="46" s="1" a="1"/>
  <c r="AA46" i="46" s="1"/>
  <c r="J46" i="43"/>
  <c r="J35" i="46" s="1" a="1"/>
  <c r="J35" i="46" s="1"/>
  <c r="AA50" i="43"/>
  <c r="AA39" i="46" s="1" a="1"/>
  <c r="AA39" i="46" s="1"/>
  <c r="I53" i="43"/>
  <c r="I42" i="46" s="1" a="1"/>
  <c r="I42" i="46" s="1"/>
  <c r="S43" i="43"/>
  <c r="S32" i="46" s="1" a="1"/>
  <c r="S32" i="46" s="1"/>
  <c r="I50" i="43"/>
  <c r="I39" i="46" s="1" a="1"/>
  <c r="I39" i="46" s="1"/>
  <c r="J53" i="43"/>
  <c r="J42" i="46" s="1" a="1"/>
  <c r="J42" i="46" s="1"/>
  <c r="W31" i="43"/>
  <c r="W20" i="46" s="1" a="1"/>
  <c r="W20" i="46" s="1"/>
  <c r="J47" i="43"/>
  <c r="J36" i="46" s="1" a="1"/>
  <c r="J36" i="46" s="1"/>
  <c r="K41" i="43"/>
  <c r="K30" i="46" s="1" a="1"/>
  <c r="K30" i="46" s="1"/>
  <c r="J52" i="43"/>
  <c r="J41" i="46" s="1" a="1"/>
  <c r="J41" i="46" s="1"/>
  <c r="K49" i="43"/>
  <c r="K38" i="46" s="1" a="1"/>
  <c r="K38" i="46" s="1"/>
  <c r="I42" i="43"/>
  <c r="I31" i="46" s="1" a="1"/>
  <c r="I31" i="46" s="1"/>
  <c r="J45" i="43"/>
  <c r="J34" i="46" s="1" a="1"/>
  <c r="J34" i="46" s="1"/>
  <c r="J57" i="43"/>
  <c r="J46" i="46" s="1" a="1"/>
  <c r="J46" i="46" s="1"/>
  <c r="I54" i="43"/>
  <c r="I43" i="46" s="1" a="1"/>
  <c r="I43" i="46" s="1"/>
  <c r="J40" i="43"/>
  <c r="J29" i="46" s="1" a="1"/>
  <c r="J29" i="46" s="1"/>
  <c r="S44" i="43"/>
  <c r="S33" i="46" s="1" a="1"/>
  <c r="S33" i="46" s="1"/>
  <c r="K50" i="43"/>
  <c r="K39" i="46" s="1" a="1"/>
  <c r="K39" i="46" s="1"/>
  <c r="J41" i="43"/>
  <c r="J30" i="46" s="1" a="1"/>
  <c r="J30" i="46" s="1"/>
  <c r="D168" i="31"/>
  <c r="C215" i="18"/>
  <c r="C337" i="18"/>
  <c r="E270" i="18"/>
  <c r="E348" i="18" s="1"/>
  <c r="C179" i="18"/>
  <c r="D74" i="30"/>
  <c r="D152" i="30" s="1"/>
  <c r="G62" i="18"/>
  <c r="G218" i="18" s="1"/>
  <c r="G62" i="30"/>
  <c r="G218" i="30" s="1"/>
  <c r="N785" i="35"/>
  <c r="T785" i="35"/>
  <c r="T719" i="35" s="1"/>
  <c r="AB785" i="35"/>
  <c r="S785" i="35"/>
  <c r="AA785" i="35"/>
  <c r="U785" i="35"/>
  <c r="U719" i="35" s="1"/>
  <c r="Y785" i="35"/>
  <c r="Z785" i="35"/>
  <c r="V785" i="35"/>
  <c r="W785" i="35"/>
  <c r="X785" i="35"/>
  <c r="D45" i="18"/>
  <c r="D201" i="18" s="1"/>
  <c r="G199" i="31"/>
  <c r="C144" i="35"/>
  <c r="C822" i="35"/>
  <c r="C618" i="35"/>
  <c r="C111" i="35"/>
  <c r="C651" i="35" s="1"/>
  <c r="C177" i="35"/>
  <c r="C924" i="35"/>
  <c r="C246" i="35"/>
  <c r="C753" i="35" s="1"/>
  <c r="C720" i="35"/>
  <c r="C279" i="35"/>
  <c r="C312" i="35"/>
  <c r="D1193" i="35"/>
  <c r="D1160" i="35"/>
  <c r="E618" i="35"/>
  <c r="E684" i="35" s="1"/>
  <c r="F684" i="35" s="1"/>
  <c r="E348" i="35"/>
  <c r="D1026" i="35"/>
  <c r="D822" i="35"/>
  <c r="E144" i="35"/>
  <c r="E177" i="35"/>
  <c r="E111" i="35"/>
  <c r="E651" i="35" s="1"/>
  <c r="F651" i="35" s="1"/>
  <c r="E246" i="35"/>
  <c r="E753" i="35" s="1"/>
  <c r="F753" i="35" s="1"/>
  <c r="E279" i="35"/>
  <c r="E312" i="35"/>
  <c r="D1128" i="35"/>
  <c r="D924" i="35"/>
  <c r="E720" i="35"/>
  <c r="E786" i="35" s="1"/>
  <c r="F786" i="35" s="1"/>
  <c r="E483" i="35"/>
  <c r="D989" i="35"/>
  <c r="D956" i="35"/>
  <c r="K56" i="43"/>
  <c r="K45" i="46" s="1" a="1"/>
  <c r="K45" i="46" s="1"/>
  <c r="G76" i="18"/>
  <c r="G232" i="18" s="1"/>
  <c r="E581" i="35"/>
  <c r="E515" i="35"/>
  <c r="E548" i="35"/>
  <c r="D279" i="35"/>
  <c r="D720" i="35"/>
  <c r="D786" i="35" s="1"/>
  <c r="D483" i="35"/>
  <c r="D246" i="35"/>
  <c r="D753" i="35" s="1"/>
  <c r="D312" i="35"/>
  <c r="D581" i="35"/>
  <c r="D548" i="35"/>
  <c r="D515" i="35"/>
  <c r="D380" i="35"/>
  <c r="D413" i="35"/>
  <c r="D446" i="35"/>
  <c r="D348" i="35"/>
  <c r="D177" i="35"/>
  <c r="D144" i="35"/>
  <c r="D111" i="35"/>
  <c r="D651" i="35" s="1"/>
  <c r="D618" i="35"/>
  <c r="D684" i="35" s="1"/>
  <c r="D274" i="30"/>
  <c r="D352" i="30" s="1"/>
  <c r="E137" i="31"/>
  <c r="D263" i="18"/>
  <c r="D419" i="18" s="1"/>
  <c r="D299" i="30"/>
  <c r="D455" i="30" s="1"/>
  <c r="D56" i="18"/>
  <c r="D134" i="18" s="1"/>
  <c r="D263" i="30"/>
  <c r="D419" i="30" s="1"/>
  <c r="D56" i="30"/>
  <c r="D134" i="30" s="1"/>
  <c r="E311" i="18"/>
  <c r="E467" i="18" s="1"/>
  <c r="E311" i="30"/>
  <c r="E467" i="30" s="1"/>
  <c r="D213" i="31"/>
  <c r="D249" i="30"/>
  <c r="D405" i="30" s="1"/>
  <c r="C130" i="18"/>
  <c r="C208" i="18"/>
  <c r="D178" i="31"/>
  <c r="D55" i="30"/>
  <c r="D211" i="30" s="1"/>
  <c r="D55" i="18"/>
  <c r="D133" i="18" s="1"/>
  <c r="C472" i="18"/>
  <c r="E179" i="31"/>
  <c r="G168" i="31"/>
  <c r="C120" i="30"/>
  <c r="C198" i="30"/>
  <c r="E159" i="31"/>
  <c r="E36" i="30"/>
  <c r="E192" i="30" s="1"/>
  <c r="E36" i="18"/>
  <c r="E192" i="18" s="1"/>
  <c r="E19" i="18"/>
  <c r="E97" i="18" s="1"/>
  <c r="G256" i="31"/>
  <c r="G292" i="30"/>
  <c r="G370" i="30" s="1"/>
  <c r="C340" i="18"/>
  <c r="C418" i="18"/>
  <c r="G314" i="18"/>
  <c r="G470" i="18" s="1"/>
  <c r="D313" i="18"/>
  <c r="D469" i="18" s="1"/>
  <c r="E19" i="30"/>
  <c r="E97" i="30" s="1"/>
  <c r="G292" i="18"/>
  <c r="G448" i="18" s="1"/>
  <c r="D249" i="18"/>
  <c r="D327" i="18" s="1"/>
  <c r="D271" i="18"/>
  <c r="D349" i="18" s="1"/>
  <c r="D235" i="31"/>
  <c r="C203" i="30"/>
  <c r="C125" i="30"/>
  <c r="C139" i="18"/>
  <c r="C135" i="30"/>
  <c r="G314" i="30"/>
  <c r="G470" i="30" s="1"/>
  <c r="D313" i="30"/>
  <c r="D391" i="30" s="1"/>
  <c r="C378" i="18"/>
  <c r="E62" i="30"/>
  <c r="E140" i="30" s="1"/>
  <c r="E62" i="18"/>
  <c r="D266" i="31"/>
  <c r="D302" i="30"/>
  <c r="D458" i="30" s="1"/>
  <c r="D302" i="18"/>
  <c r="D380" i="18" s="1"/>
  <c r="D319" i="18"/>
  <c r="D475" i="18" s="1"/>
  <c r="E310" i="18"/>
  <c r="E388" i="18" s="1"/>
  <c r="E227" i="31"/>
  <c r="E263" i="30"/>
  <c r="E341" i="30" s="1"/>
  <c r="E263" i="18"/>
  <c r="E419" i="18" s="1"/>
  <c r="D241" i="31"/>
  <c r="D277" i="30"/>
  <c r="D433" i="30" s="1"/>
  <c r="D277" i="18"/>
  <c r="D355" i="18" s="1"/>
  <c r="G312" i="18"/>
  <c r="G468" i="18" s="1"/>
  <c r="D319" i="30"/>
  <c r="D475" i="30" s="1"/>
  <c r="C149" i="18"/>
  <c r="E310" i="30"/>
  <c r="E388" i="30" s="1"/>
  <c r="D271" i="30"/>
  <c r="D349" i="30" s="1"/>
  <c r="E274" i="30"/>
  <c r="E352" i="30" s="1"/>
  <c r="E274" i="18"/>
  <c r="E430" i="18" s="1"/>
  <c r="G139" i="31"/>
  <c r="G16" i="30"/>
  <c r="G172" i="30" s="1"/>
  <c r="G16" i="18"/>
  <c r="G172" i="18" s="1"/>
  <c r="C209" i="30"/>
  <c r="C131" i="30"/>
  <c r="E135" i="31"/>
  <c r="E12" i="30"/>
  <c r="E168" i="30" s="1"/>
  <c r="C359" i="18"/>
  <c r="C215" i="30"/>
  <c r="E74" i="30"/>
  <c r="E152" i="30" s="1"/>
  <c r="G311" i="30"/>
  <c r="G467" i="30" s="1"/>
  <c r="D76" i="18"/>
  <c r="D154" i="18" s="1"/>
  <c r="G14" i="18"/>
  <c r="G170" i="18" s="1"/>
  <c r="E199" i="31"/>
  <c r="E197" i="31"/>
  <c r="G275" i="31"/>
  <c r="D76" i="30"/>
  <c r="D154" i="30" s="1"/>
  <c r="G14" i="30"/>
  <c r="G170" i="30" s="1"/>
  <c r="D312" i="18"/>
  <c r="D390" i="18" s="1"/>
  <c r="G310" i="18"/>
  <c r="G466" i="18" s="1"/>
  <c r="E67" i="18"/>
  <c r="E145" i="18" s="1"/>
  <c r="C101" i="30"/>
  <c r="D312" i="30"/>
  <c r="D468" i="30" s="1"/>
  <c r="G310" i="30"/>
  <c r="G466" i="30" s="1"/>
  <c r="E67" i="30"/>
  <c r="E145" i="30" s="1"/>
  <c r="G263" i="18"/>
  <c r="G341" i="18" s="1"/>
  <c r="D316" i="30"/>
  <c r="D394" i="30" s="1"/>
  <c r="D270" i="30"/>
  <c r="D348" i="30" s="1"/>
  <c r="G274" i="30"/>
  <c r="G430" i="30" s="1"/>
  <c r="E76" i="18"/>
  <c r="E154" i="18" s="1"/>
  <c r="J59" i="38"/>
  <c r="I56" i="43"/>
  <c r="I45" i="46" s="1" a="1"/>
  <c r="I45" i="46" s="1"/>
  <c r="K57" i="43"/>
  <c r="K46" i="46" s="1" a="1"/>
  <c r="K46" i="46" s="1"/>
  <c r="N128" i="45"/>
  <c r="G308" i="18"/>
  <c r="G386" i="18" s="1"/>
  <c r="G308" i="30"/>
  <c r="G464" i="30" s="1"/>
  <c r="K48" i="43"/>
  <c r="K37" i="46" s="1" a="1"/>
  <c r="K37" i="46" s="1"/>
  <c r="J39" i="43"/>
  <c r="J28" i="46" s="1" a="1"/>
  <c r="J28" i="46" s="1"/>
  <c r="I43" i="43"/>
  <c r="I32" i="46" s="1" a="1"/>
  <c r="I32" i="46" s="1"/>
  <c r="I48" i="43"/>
  <c r="I37" i="46" s="1" a="1"/>
  <c r="I37" i="46" s="1"/>
  <c r="K43" i="43"/>
  <c r="K32" i="46" s="1" a="1"/>
  <c r="K32" i="46" s="1"/>
  <c r="J55" i="43"/>
  <c r="J44" i="46" s="1" a="1"/>
  <c r="J44" i="46" s="1"/>
  <c r="J48" i="43"/>
  <c r="J37" i="46" s="1" a="1"/>
  <c r="J37" i="46" s="1"/>
  <c r="K39" i="43"/>
  <c r="K28" i="46" s="1" a="1"/>
  <c r="K28" i="46" s="1"/>
  <c r="K40" i="43"/>
  <c r="K29" i="46" s="1" a="1"/>
  <c r="K29" i="46" s="1"/>
  <c r="I40" i="43"/>
  <c r="I29" i="46" s="1" a="1"/>
  <c r="I29" i="46" s="1"/>
  <c r="I51" i="43"/>
  <c r="I40" i="46" s="1" a="1"/>
  <c r="I40" i="46" s="1"/>
  <c r="K45" i="43"/>
  <c r="K34" i="46" s="1" a="1"/>
  <c r="K34" i="46" s="1"/>
  <c r="K51" i="43"/>
  <c r="K40" i="46" s="1" a="1"/>
  <c r="K40" i="46" s="1"/>
  <c r="I45" i="43"/>
  <c r="I34" i="46" s="1" a="1"/>
  <c r="I34" i="46" s="1"/>
  <c r="K650" i="35"/>
  <c r="AB37" i="43"/>
  <c r="AB26" i="46" s="1" a="1"/>
  <c r="AB26" i="46" s="1"/>
  <c r="C691" i="35"/>
  <c r="N691" i="35" s="1"/>
  <c r="C454" i="35"/>
  <c r="C388" i="35"/>
  <c r="C421" i="35"/>
  <c r="D1186" i="35"/>
  <c r="D1219" i="35"/>
  <c r="C793" i="35"/>
  <c r="C556" i="35"/>
  <c r="C589" i="35"/>
  <c r="C523" i="35"/>
  <c r="D1081" i="35"/>
  <c r="D1114" i="35"/>
  <c r="D544" i="35"/>
  <c r="D610" i="35"/>
  <c r="D577" i="35"/>
  <c r="D556" i="35"/>
  <c r="D589" i="35"/>
  <c r="D523" i="35"/>
  <c r="D436" i="35"/>
  <c r="D469" i="35"/>
  <c r="D403" i="35"/>
  <c r="C807" i="35"/>
  <c r="C570" i="35"/>
  <c r="C603" i="35"/>
  <c r="C537" i="35"/>
  <c r="D1067" i="35"/>
  <c r="D1100" i="35"/>
  <c r="E536" i="35"/>
  <c r="E569" i="35"/>
  <c r="E602" i="35"/>
  <c r="C878" i="35"/>
  <c r="C911" i="35"/>
  <c r="D1099" i="35"/>
  <c r="D1066" i="35"/>
  <c r="C710" i="35"/>
  <c r="N710" i="35" s="1"/>
  <c r="C473" i="35"/>
  <c r="C407" i="35"/>
  <c r="C440" i="35"/>
  <c r="C974" i="35"/>
  <c r="C1007" i="35"/>
  <c r="E423" i="35"/>
  <c r="E456" i="35"/>
  <c r="E390" i="35"/>
  <c r="D384" i="35"/>
  <c r="D417" i="35"/>
  <c r="D450" i="35"/>
  <c r="E534" i="35"/>
  <c r="E567" i="35"/>
  <c r="E600" i="35"/>
  <c r="C998" i="35"/>
  <c r="C965" i="35"/>
  <c r="D962" i="35"/>
  <c r="D995" i="35"/>
  <c r="D1164" i="35"/>
  <c r="D1197" i="35"/>
  <c r="D914" i="35"/>
  <c r="D881" i="35"/>
  <c r="D1104" i="35"/>
  <c r="D1071" i="35"/>
  <c r="E468" i="35"/>
  <c r="E402" i="35"/>
  <c r="E435" i="35"/>
  <c r="E415" i="35"/>
  <c r="E448" i="35"/>
  <c r="E382" i="35"/>
  <c r="D1016" i="35"/>
  <c r="D983" i="35"/>
  <c r="E551" i="35"/>
  <c r="E584" i="35"/>
  <c r="E518" i="35"/>
  <c r="D1208" i="35"/>
  <c r="D1175" i="35"/>
  <c r="C701" i="35"/>
  <c r="N701" i="35" s="1"/>
  <c r="C398" i="35"/>
  <c r="C431" i="35"/>
  <c r="C464" i="35"/>
  <c r="C1012" i="35"/>
  <c r="C979" i="35"/>
  <c r="D878" i="35"/>
  <c r="D911" i="35"/>
  <c r="C871" i="35"/>
  <c r="C904" i="35"/>
  <c r="D415" i="35"/>
  <c r="D382" i="35"/>
  <c r="D448" i="35"/>
  <c r="E572" i="35"/>
  <c r="E605" i="35"/>
  <c r="E539" i="35"/>
  <c r="M669" i="35"/>
  <c r="E439" i="35"/>
  <c r="E472" i="35"/>
  <c r="E406" i="35"/>
  <c r="C810" i="35"/>
  <c r="C606" i="35"/>
  <c r="C540" i="35"/>
  <c r="C573" i="35"/>
  <c r="D964" i="35"/>
  <c r="D997" i="35"/>
  <c r="M673" i="35"/>
  <c r="M663" i="35"/>
  <c r="D466" i="35"/>
  <c r="D400" i="35"/>
  <c r="D433" i="35"/>
  <c r="D462" i="35"/>
  <c r="D396" i="35"/>
  <c r="D429" i="35"/>
  <c r="C800" i="35"/>
  <c r="C596" i="35"/>
  <c r="C530" i="35"/>
  <c r="C563" i="35"/>
  <c r="D565" i="35"/>
  <c r="D598" i="35"/>
  <c r="D532" i="35"/>
  <c r="C705" i="35"/>
  <c r="N705" i="35" s="1"/>
  <c r="C402" i="35"/>
  <c r="C435" i="35"/>
  <c r="C468" i="35"/>
  <c r="M654" i="35"/>
  <c r="C896" i="35"/>
  <c r="C863" i="35"/>
  <c r="D1005" i="35"/>
  <c r="D972" i="35"/>
  <c r="E594" i="35"/>
  <c r="E561" i="35"/>
  <c r="E528" i="35"/>
  <c r="C879" i="35"/>
  <c r="C912" i="35"/>
  <c r="E455" i="35"/>
  <c r="E422" i="35"/>
  <c r="E389" i="35"/>
  <c r="D442" i="35"/>
  <c r="D475" i="35"/>
  <c r="D409" i="35"/>
  <c r="C694" i="35"/>
  <c r="N694" i="35" s="1"/>
  <c r="C424" i="35"/>
  <c r="C457" i="35"/>
  <c r="C391" i="35"/>
  <c r="D998" i="35"/>
  <c r="D965" i="35"/>
  <c r="E421" i="35"/>
  <c r="E454" i="35"/>
  <c r="E388" i="35"/>
  <c r="D541" i="35"/>
  <c r="D574" i="35"/>
  <c r="D607" i="35"/>
  <c r="M656" i="35"/>
  <c r="C799" i="35"/>
  <c r="C562" i="35"/>
  <c r="C595" i="35"/>
  <c r="C529" i="35"/>
  <c r="M678" i="35"/>
  <c r="C803" i="35"/>
  <c r="C533" i="35"/>
  <c r="C566" i="35"/>
  <c r="C599" i="35"/>
  <c r="D1200" i="35"/>
  <c r="D1167" i="35"/>
  <c r="D1166" i="35"/>
  <c r="D1199" i="35"/>
  <c r="C1015" i="35"/>
  <c r="C982" i="35"/>
  <c r="D857" i="35"/>
  <c r="D890" i="35"/>
  <c r="D1118" i="35"/>
  <c r="D1085" i="35"/>
  <c r="C685" i="35"/>
  <c r="N685" i="35" s="1"/>
  <c r="C448" i="35"/>
  <c r="C382" i="35"/>
  <c r="C415" i="35"/>
  <c r="D994" i="35"/>
  <c r="D961" i="35"/>
  <c r="D528" i="35"/>
  <c r="D561" i="35"/>
  <c r="D594" i="35"/>
  <c r="D889" i="35"/>
  <c r="D856" i="35"/>
  <c r="E608" i="35"/>
  <c r="E575" i="35"/>
  <c r="E542" i="35"/>
  <c r="D465" i="35"/>
  <c r="D399" i="35"/>
  <c r="D432" i="35"/>
  <c r="D959" i="35"/>
  <c r="D992" i="35"/>
  <c r="D1172" i="35"/>
  <c r="D1205" i="35"/>
  <c r="D416" i="35"/>
  <c r="D449" i="35"/>
  <c r="D383" i="35"/>
  <c r="M667" i="35"/>
  <c r="D390" i="35"/>
  <c r="D423" i="35"/>
  <c r="D456" i="35"/>
  <c r="I19" i="31"/>
  <c r="E429" i="35"/>
  <c r="E462" i="35"/>
  <c r="E396" i="35"/>
  <c r="D1012" i="35"/>
  <c r="D979" i="35"/>
  <c r="C902" i="35"/>
  <c r="C869" i="35"/>
  <c r="E543" i="35"/>
  <c r="E576" i="35"/>
  <c r="E609" i="35"/>
  <c r="C1009" i="35"/>
  <c r="C976" i="35"/>
  <c r="E441" i="35"/>
  <c r="E474" i="35"/>
  <c r="E408" i="35"/>
  <c r="D1014" i="35"/>
  <c r="D981" i="35"/>
  <c r="E417" i="35"/>
  <c r="E384" i="35"/>
  <c r="E450" i="35"/>
  <c r="D571" i="35"/>
  <c r="D538" i="35"/>
  <c r="D604" i="35"/>
  <c r="D1180" i="35"/>
  <c r="D1213" i="35"/>
  <c r="D1065" i="35"/>
  <c r="D1098" i="35"/>
  <c r="D520" i="35"/>
  <c r="D553" i="35"/>
  <c r="D586" i="35"/>
  <c r="C963" i="35"/>
  <c r="C996" i="35"/>
  <c r="C692" i="35"/>
  <c r="N692" i="35" s="1"/>
  <c r="C455" i="35"/>
  <c r="C422" i="35"/>
  <c r="C389" i="35"/>
  <c r="C875" i="35"/>
  <c r="C908" i="35"/>
  <c r="C791" i="35"/>
  <c r="C521" i="35"/>
  <c r="C554" i="35"/>
  <c r="C587" i="35"/>
  <c r="E541" i="35"/>
  <c r="E574" i="35"/>
  <c r="E607" i="35"/>
  <c r="E465" i="35"/>
  <c r="E399" i="35"/>
  <c r="E432" i="35"/>
  <c r="E469" i="35"/>
  <c r="E436" i="35"/>
  <c r="E403" i="35"/>
  <c r="E451" i="35"/>
  <c r="E385" i="35"/>
  <c r="E418" i="35"/>
  <c r="C883" i="35"/>
  <c r="C916" i="35"/>
  <c r="C991" i="35"/>
  <c r="C958" i="35"/>
  <c r="M675" i="35"/>
  <c r="C880" i="35"/>
  <c r="C913" i="35"/>
  <c r="C864" i="35"/>
  <c r="C897" i="35"/>
  <c r="C892" i="35"/>
  <c r="C859" i="35"/>
  <c r="D977" i="35"/>
  <c r="D1010" i="35"/>
  <c r="M674" i="35"/>
  <c r="E425" i="35"/>
  <c r="E458" i="35"/>
  <c r="E392" i="35"/>
  <c r="C1001" i="35"/>
  <c r="C968" i="35"/>
  <c r="C686" i="35"/>
  <c r="N686" i="35" s="1"/>
  <c r="C449" i="35"/>
  <c r="C383" i="35"/>
  <c r="C416" i="35"/>
  <c r="D879" i="35"/>
  <c r="D912" i="35"/>
  <c r="C994" i="35"/>
  <c r="C961" i="35"/>
  <c r="D864" i="35"/>
  <c r="D897" i="35"/>
  <c r="D1212" i="35"/>
  <c r="D1179" i="35"/>
  <c r="C794" i="35"/>
  <c r="C557" i="35"/>
  <c r="C590" i="35"/>
  <c r="C524" i="35"/>
  <c r="D543" i="35"/>
  <c r="D576" i="35"/>
  <c r="D609" i="35"/>
  <c r="D1061" i="35"/>
  <c r="D1094" i="35"/>
  <c r="D422" i="35"/>
  <c r="D389" i="35"/>
  <c r="D455" i="35"/>
  <c r="C788" i="35"/>
  <c r="C551" i="35"/>
  <c r="C584" i="35"/>
  <c r="C518" i="35"/>
  <c r="E565" i="35"/>
  <c r="E598" i="35"/>
  <c r="E532" i="35"/>
  <c r="C868" i="35"/>
  <c r="C901" i="35"/>
  <c r="D452" i="35"/>
  <c r="D386" i="35"/>
  <c r="D419" i="35"/>
  <c r="D1060" i="35"/>
  <c r="D1093" i="35"/>
  <c r="C809" i="35"/>
  <c r="C572" i="35"/>
  <c r="C605" i="35"/>
  <c r="C539" i="35"/>
  <c r="D880" i="35"/>
  <c r="D913" i="35"/>
  <c r="D907" i="35"/>
  <c r="D874" i="35"/>
  <c r="E391" i="35"/>
  <c r="E424" i="35"/>
  <c r="E457" i="35"/>
  <c r="E604" i="35"/>
  <c r="E571" i="35"/>
  <c r="E538" i="35"/>
  <c r="C910" i="35"/>
  <c r="C877" i="35"/>
  <c r="D978" i="35"/>
  <c r="D1011" i="35"/>
  <c r="D1185" i="35"/>
  <c r="D1218" i="35"/>
  <c r="C806" i="35"/>
  <c r="C602" i="35"/>
  <c r="C536" i="35"/>
  <c r="C569" i="35"/>
  <c r="D391" i="35"/>
  <c r="D457" i="35"/>
  <c r="D424" i="35"/>
  <c r="D534" i="35"/>
  <c r="D600" i="35"/>
  <c r="D567" i="35"/>
  <c r="E467" i="35"/>
  <c r="E401" i="35"/>
  <c r="E434" i="35"/>
  <c r="C960" i="35"/>
  <c r="C993" i="35"/>
  <c r="E475" i="35"/>
  <c r="E409" i="35"/>
  <c r="E442" i="35"/>
  <c r="D1000" i="35"/>
  <c r="D967" i="35"/>
  <c r="M671" i="35"/>
  <c r="M658" i="35"/>
  <c r="E597" i="35"/>
  <c r="E531" i="35"/>
  <c r="E564" i="35"/>
  <c r="D873" i="35"/>
  <c r="D906" i="35"/>
  <c r="D969" i="35"/>
  <c r="D1002" i="35"/>
  <c r="M679" i="35"/>
  <c r="E591" i="35"/>
  <c r="E525" i="35"/>
  <c r="E558" i="35"/>
  <c r="C708" i="35"/>
  <c r="N708" i="35" s="1"/>
  <c r="C471" i="35"/>
  <c r="C405" i="35"/>
  <c r="C438" i="35"/>
  <c r="D430" i="35"/>
  <c r="D463" i="35"/>
  <c r="D397" i="35"/>
  <c r="M676" i="35"/>
  <c r="C978" i="35"/>
  <c r="C1011" i="35"/>
  <c r="D426" i="35"/>
  <c r="D459" i="35"/>
  <c r="D393" i="35"/>
  <c r="M655" i="35"/>
  <c r="D1214" i="35"/>
  <c r="D1181" i="35"/>
  <c r="C967" i="35"/>
  <c r="C1000" i="35"/>
  <c r="D1202" i="35"/>
  <c r="D1169" i="35"/>
  <c r="D895" i="35"/>
  <c r="D862" i="35"/>
  <c r="C914" i="35"/>
  <c r="C881" i="35"/>
  <c r="C860" i="35"/>
  <c r="C893" i="35"/>
  <c r="D1083" i="35"/>
  <c r="D1116" i="35"/>
  <c r="D1101" i="35"/>
  <c r="D1068" i="35"/>
  <c r="D388" i="35"/>
  <c r="D454" i="35"/>
  <c r="D421" i="35"/>
  <c r="D1198" i="35"/>
  <c r="D1165" i="35"/>
  <c r="D431" i="35"/>
  <c r="D464" i="35"/>
  <c r="D398" i="35"/>
  <c r="M664" i="35"/>
  <c r="D1003" i="35"/>
  <c r="D970" i="35"/>
  <c r="D405" i="35"/>
  <c r="D438" i="35"/>
  <c r="D471" i="35"/>
  <c r="D1196" i="35"/>
  <c r="D1163" i="35"/>
  <c r="C872" i="35"/>
  <c r="C905" i="35"/>
  <c r="E419" i="35"/>
  <c r="E452" i="35"/>
  <c r="E386" i="35"/>
  <c r="D1184" i="35"/>
  <c r="D1217" i="35"/>
  <c r="C702" i="35"/>
  <c r="N702" i="35" s="1"/>
  <c r="C432" i="35"/>
  <c r="C465" i="35"/>
  <c r="C399" i="35"/>
  <c r="D903" i="35"/>
  <c r="D870" i="35"/>
  <c r="E577" i="35"/>
  <c r="E544" i="35"/>
  <c r="E610" i="35"/>
  <c r="E464" i="35"/>
  <c r="E398" i="35"/>
  <c r="E431" i="35"/>
  <c r="D521" i="35"/>
  <c r="D554" i="35"/>
  <c r="D587" i="35"/>
  <c r="E589" i="35"/>
  <c r="E556" i="35"/>
  <c r="E523" i="35"/>
  <c r="D882" i="35"/>
  <c r="D915" i="35"/>
  <c r="D1007" i="35"/>
  <c r="D974" i="35"/>
  <c r="D1215" i="35"/>
  <c r="D1182" i="35"/>
  <c r="D891" i="35"/>
  <c r="D858" i="35"/>
  <c r="M662" i="35"/>
  <c r="E460" i="35"/>
  <c r="E394" i="35"/>
  <c r="E427" i="35"/>
  <c r="D958" i="35"/>
  <c r="D991" i="35"/>
  <c r="D904" i="35"/>
  <c r="D871" i="35"/>
  <c r="E387" i="35"/>
  <c r="E420" i="35"/>
  <c r="E453" i="35"/>
  <c r="D406" i="35"/>
  <c r="D439" i="35"/>
  <c r="D472" i="35"/>
  <c r="C687" i="35"/>
  <c r="N687" i="35" s="1"/>
  <c r="C417" i="35"/>
  <c r="C450" i="35"/>
  <c r="C384" i="35"/>
  <c r="M666" i="35"/>
  <c r="D418" i="35"/>
  <c r="D451" i="35"/>
  <c r="D385" i="35"/>
  <c r="D563" i="35"/>
  <c r="D596" i="35"/>
  <c r="D530" i="35"/>
  <c r="D902" i="35"/>
  <c r="D869" i="35"/>
  <c r="C813" i="35"/>
  <c r="C609" i="35"/>
  <c r="C543" i="35"/>
  <c r="C576" i="35"/>
  <c r="C964" i="35"/>
  <c r="C997" i="35"/>
  <c r="D1206" i="35"/>
  <c r="D1173" i="35"/>
  <c r="D535" i="35"/>
  <c r="D568" i="35"/>
  <c r="D601" i="35"/>
  <c r="D474" i="35"/>
  <c r="D408" i="35"/>
  <c r="D441" i="35"/>
  <c r="M657" i="35"/>
  <c r="M660" i="35"/>
  <c r="C969" i="35"/>
  <c r="C1002" i="35"/>
  <c r="C688" i="35"/>
  <c r="N688" i="35" s="1"/>
  <c r="C451" i="35"/>
  <c r="C385" i="35"/>
  <c r="C418" i="35"/>
  <c r="C1018" i="35"/>
  <c r="C985" i="35"/>
  <c r="D866" i="35"/>
  <c r="D899" i="35"/>
  <c r="C1006" i="35"/>
  <c r="C973" i="35"/>
  <c r="D460" i="35"/>
  <c r="D394" i="35"/>
  <c r="D427" i="35"/>
  <c r="E471" i="35"/>
  <c r="E405" i="35"/>
  <c r="E438" i="35"/>
  <c r="D960" i="35"/>
  <c r="D993" i="35"/>
  <c r="C811" i="35"/>
  <c r="C607" i="35"/>
  <c r="C541" i="35"/>
  <c r="C574" i="35"/>
  <c r="M652" i="35"/>
  <c r="E459" i="35"/>
  <c r="E426" i="35"/>
  <c r="E393" i="35"/>
  <c r="D909" i="35"/>
  <c r="D876" i="35"/>
  <c r="D1006" i="35"/>
  <c r="D973" i="35"/>
  <c r="D593" i="35"/>
  <c r="D560" i="35"/>
  <c r="D527" i="35"/>
  <c r="D1174" i="35"/>
  <c r="D1207" i="35"/>
  <c r="D1187" i="35"/>
  <c r="D1220" i="35"/>
  <c r="D531" i="35"/>
  <c r="D564" i="35"/>
  <c r="D597" i="35"/>
  <c r="D566" i="35"/>
  <c r="D599" i="35"/>
  <c r="D533" i="35"/>
  <c r="D395" i="35"/>
  <c r="D428" i="35"/>
  <c r="D461" i="35"/>
  <c r="D968" i="35"/>
  <c r="D1001" i="35"/>
  <c r="D407" i="35"/>
  <c r="D440" i="35"/>
  <c r="D473" i="35"/>
  <c r="D860" i="35"/>
  <c r="D893" i="35"/>
  <c r="D595" i="35"/>
  <c r="D562" i="35"/>
  <c r="D529" i="35"/>
  <c r="C1005" i="35"/>
  <c r="C972" i="35"/>
  <c r="D1084" i="35"/>
  <c r="D1117" i="35"/>
  <c r="D1078" i="35"/>
  <c r="D1111" i="35"/>
  <c r="C1014" i="35"/>
  <c r="C981" i="35"/>
  <c r="D1018" i="35"/>
  <c r="D985" i="35"/>
  <c r="D872" i="35"/>
  <c r="D905" i="35"/>
  <c r="D898" i="35"/>
  <c r="D865" i="35"/>
  <c r="D404" i="35"/>
  <c r="D437" i="35"/>
  <c r="D470" i="35"/>
  <c r="D1188" i="35"/>
  <c r="D1221" i="35"/>
  <c r="D1086" i="35"/>
  <c r="D1119" i="35"/>
  <c r="D1211" i="35"/>
  <c r="D1178" i="35"/>
  <c r="C696" i="35"/>
  <c r="N696" i="35" s="1"/>
  <c r="C459" i="35"/>
  <c r="C426" i="35"/>
  <c r="C393" i="35"/>
  <c r="C999" i="35"/>
  <c r="C966" i="35"/>
  <c r="C866" i="35"/>
  <c r="C899" i="35"/>
  <c r="D1162" i="35"/>
  <c r="D1195" i="35"/>
  <c r="D1075" i="35"/>
  <c r="D1108" i="35"/>
  <c r="C876" i="35"/>
  <c r="C909" i="35"/>
  <c r="M659" i="35"/>
  <c r="D883" i="35"/>
  <c r="D916" i="35"/>
  <c r="E559" i="35"/>
  <c r="E592" i="35"/>
  <c r="E526" i="35"/>
  <c r="D591" i="35"/>
  <c r="D525" i="35"/>
  <c r="D558" i="35"/>
  <c r="C962" i="35"/>
  <c r="C995" i="35"/>
  <c r="D1073" i="35"/>
  <c r="D1106" i="35"/>
  <c r="D1176" i="35"/>
  <c r="D1209" i="35"/>
  <c r="D859" i="35"/>
  <c r="D892" i="35"/>
  <c r="C861" i="35"/>
  <c r="C894" i="35"/>
  <c r="C709" i="35"/>
  <c r="N709" i="35" s="1"/>
  <c r="C472" i="35"/>
  <c r="C439" i="35"/>
  <c r="C406" i="35"/>
  <c r="C707" i="35"/>
  <c r="N707" i="35" s="1"/>
  <c r="C404" i="35"/>
  <c r="C437" i="35"/>
  <c r="C470" i="35"/>
  <c r="M677" i="35"/>
  <c r="C915" i="35"/>
  <c r="C882" i="35"/>
  <c r="E555" i="35"/>
  <c r="E588" i="35"/>
  <c r="E522" i="35"/>
  <c r="D573" i="35"/>
  <c r="D606" i="35"/>
  <c r="D540" i="35"/>
  <c r="D572" i="35"/>
  <c r="D605" i="35"/>
  <c r="D539" i="35"/>
  <c r="D1080" i="35"/>
  <c r="D1113" i="35"/>
  <c r="C907" i="35"/>
  <c r="C874" i="35"/>
  <c r="D555" i="35"/>
  <c r="D588" i="35"/>
  <c r="D522" i="35"/>
  <c r="D1210" i="35"/>
  <c r="D1177" i="35"/>
  <c r="C697" i="35"/>
  <c r="N697" i="35" s="1"/>
  <c r="C427" i="35"/>
  <c r="C460" i="35"/>
  <c r="C394" i="35"/>
  <c r="D1004" i="35"/>
  <c r="D971" i="35"/>
  <c r="M668" i="35"/>
  <c r="C808" i="35"/>
  <c r="C604" i="35"/>
  <c r="C538" i="35"/>
  <c r="C571" i="35"/>
  <c r="D1097" i="35"/>
  <c r="D1064" i="35"/>
  <c r="C700" i="35"/>
  <c r="N700" i="35" s="1"/>
  <c r="C463" i="35"/>
  <c r="C397" i="35"/>
  <c r="C430" i="35"/>
  <c r="C983" i="35"/>
  <c r="C1016" i="35"/>
  <c r="C801" i="35"/>
  <c r="C564" i="35"/>
  <c r="C597" i="35"/>
  <c r="C531" i="35"/>
  <c r="D1076" i="35"/>
  <c r="D1109" i="35"/>
  <c r="D1216" i="35"/>
  <c r="D1183" i="35"/>
  <c r="M665" i="35"/>
  <c r="D1168" i="35"/>
  <c r="D1201" i="35"/>
  <c r="C706" i="35"/>
  <c r="N706" i="35" s="1"/>
  <c r="C469" i="35"/>
  <c r="C436" i="35"/>
  <c r="C403" i="35"/>
  <c r="E599" i="35"/>
  <c r="E533" i="35"/>
  <c r="E566" i="35"/>
  <c r="C695" i="35"/>
  <c r="N695" i="35" s="1"/>
  <c r="C425" i="35"/>
  <c r="C458" i="35"/>
  <c r="C392" i="35"/>
  <c r="D868" i="35"/>
  <c r="D901" i="35"/>
  <c r="D1009" i="35"/>
  <c r="D976" i="35"/>
  <c r="E463" i="35"/>
  <c r="E397" i="35"/>
  <c r="E430" i="35"/>
  <c r="D537" i="35"/>
  <c r="D570" i="35"/>
  <c r="D603" i="35"/>
  <c r="C792" i="35"/>
  <c r="C588" i="35"/>
  <c r="C522" i="35"/>
  <c r="C555" i="35"/>
  <c r="C704" i="35"/>
  <c r="N704" i="35" s="1"/>
  <c r="C401" i="35"/>
  <c r="C434" i="35"/>
  <c r="C467" i="35"/>
  <c r="C895" i="35"/>
  <c r="C862" i="35"/>
  <c r="E395" i="35"/>
  <c r="E428" i="35"/>
  <c r="E461" i="35"/>
  <c r="D1110" i="35"/>
  <c r="D1077" i="35"/>
  <c r="D966" i="35"/>
  <c r="D999" i="35"/>
  <c r="C787" i="35"/>
  <c r="C550" i="35"/>
  <c r="C517" i="35"/>
  <c r="C583" i="35"/>
  <c r="C693" i="35"/>
  <c r="N693" i="35" s="1"/>
  <c r="C456" i="35"/>
  <c r="C390" i="35"/>
  <c r="C423" i="35"/>
  <c r="D863" i="35"/>
  <c r="D896" i="35"/>
  <c r="C898" i="35"/>
  <c r="C865" i="35"/>
  <c r="D1070" i="35"/>
  <c r="D1103" i="35"/>
  <c r="D434" i="35"/>
  <c r="D467" i="35"/>
  <c r="D401" i="35"/>
  <c r="M653" i="35"/>
  <c r="C689" i="35"/>
  <c r="N689" i="35" s="1"/>
  <c r="C452" i="35"/>
  <c r="C386" i="35"/>
  <c r="C419" i="35"/>
  <c r="C1003" i="35"/>
  <c r="C970" i="35"/>
  <c r="C711" i="35"/>
  <c r="N711" i="35" s="1"/>
  <c r="C408" i="35"/>
  <c r="C441" i="35"/>
  <c r="C474" i="35"/>
  <c r="D1008" i="35"/>
  <c r="D975" i="35"/>
  <c r="E554" i="35"/>
  <c r="E587" i="35"/>
  <c r="E521" i="35"/>
  <c r="E552" i="35"/>
  <c r="E519" i="35"/>
  <c r="E585" i="35"/>
  <c r="E440" i="35"/>
  <c r="E473" i="35"/>
  <c r="E407" i="35"/>
  <c r="M670" i="35"/>
  <c r="D602" i="35"/>
  <c r="D569" i="35"/>
  <c r="D536" i="35"/>
  <c r="E595" i="35"/>
  <c r="E529" i="35"/>
  <c r="E562" i="35"/>
  <c r="E530" i="35"/>
  <c r="E563" i="35"/>
  <c r="E596" i="35"/>
  <c r="C975" i="35"/>
  <c r="C1008" i="35"/>
  <c r="D1115" i="35"/>
  <c r="D1082" i="35"/>
  <c r="D590" i="35"/>
  <c r="D524" i="35"/>
  <c r="D557" i="35"/>
  <c r="D1013" i="35"/>
  <c r="D980" i="35"/>
  <c r="D1222" i="35"/>
  <c r="D1189" i="35"/>
  <c r="D518" i="35"/>
  <c r="D551" i="35"/>
  <c r="D584" i="35"/>
  <c r="D1102" i="35"/>
  <c r="D1069" i="35"/>
  <c r="D526" i="35"/>
  <c r="D559" i="35"/>
  <c r="D592" i="35"/>
  <c r="D519" i="35"/>
  <c r="D552" i="35"/>
  <c r="D585" i="35"/>
  <c r="C698" i="35"/>
  <c r="N698" i="35" s="1"/>
  <c r="C461" i="35"/>
  <c r="C395" i="35"/>
  <c r="C428" i="35"/>
  <c r="D517" i="35"/>
  <c r="D550" i="35"/>
  <c r="D583" i="35"/>
  <c r="C805" i="35"/>
  <c r="C568" i="35"/>
  <c r="C601" i="35"/>
  <c r="C535" i="35"/>
  <c r="E537" i="35"/>
  <c r="E570" i="35"/>
  <c r="E603" i="35"/>
  <c r="D1062" i="35"/>
  <c r="D1095" i="35"/>
  <c r="C1010" i="35"/>
  <c r="C977" i="35"/>
  <c r="C971" i="35"/>
  <c r="C1004" i="35"/>
  <c r="D908" i="35"/>
  <c r="D875" i="35"/>
  <c r="D1105" i="35"/>
  <c r="D1072" i="35"/>
  <c r="E517" i="35"/>
  <c r="E583" i="35"/>
  <c r="E550" i="35"/>
  <c r="M672" i="35"/>
  <c r="C870" i="35"/>
  <c r="C903" i="35"/>
  <c r="D1087" i="35"/>
  <c r="D1120" i="35"/>
  <c r="D1204" i="35"/>
  <c r="D1171" i="35"/>
  <c r="T768" i="35"/>
  <c r="AB52" i="43"/>
  <c r="AB41" i="46" s="1" a="1"/>
  <c r="AB41" i="46" s="1"/>
  <c r="C1017" i="35"/>
  <c r="C984" i="35"/>
  <c r="D1015" i="35"/>
  <c r="D982" i="35"/>
  <c r="D910" i="35"/>
  <c r="D877" i="35"/>
  <c r="D1063" i="35"/>
  <c r="D1096" i="35"/>
  <c r="C712" i="35"/>
  <c r="N712" i="35" s="1"/>
  <c r="C475" i="35"/>
  <c r="C442" i="35"/>
  <c r="C409" i="35"/>
  <c r="D1203" i="35"/>
  <c r="D1170" i="35"/>
  <c r="C690" i="35"/>
  <c r="N690" i="35" s="1"/>
  <c r="C453" i="35"/>
  <c r="C387" i="35"/>
  <c r="C420" i="35"/>
  <c r="C798" i="35"/>
  <c r="C561" i="35"/>
  <c r="C594" i="35"/>
  <c r="C528" i="35"/>
  <c r="C814" i="35"/>
  <c r="C577" i="35"/>
  <c r="C610" i="35"/>
  <c r="C544" i="35"/>
  <c r="M661" i="35"/>
  <c r="C796" i="35"/>
  <c r="C592" i="35"/>
  <c r="C526" i="35"/>
  <c r="C559" i="35"/>
  <c r="E590" i="35"/>
  <c r="E524" i="35"/>
  <c r="E557" i="35"/>
  <c r="C802" i="35"/>
  <c r="C598" i="35"/>
  <c r="C532" i="35"/>
  <c r="C565" i="35"/>
  <c r="C797" i="35"/>
  <c r="C527" i="35"/>
  <c r="C560" i="35"/>
  <c r="C593" i="35"/>
  <c r="C890" i="35"/>
  <c r="C857" i="35"/>
  <c r="C790" i="35"/>
  <c r="C586" i="35"/>
  <c r="C520" i="35"/>
  <c r="C553" i="35"/>
  <c r="D996" i="35"/>
  <c r="D963" i="35"/>
  <c r="E416" i="35"/>
  <c r="E449" i="35"/>
  <c r="E383" i="35"/>
  <c r="C889" i="35"/>
  <c r="C856" i="35"/>
  <c r="E586" i="35"/>
  <c r="E520" i="35"/>
  <c r="E553" i="35"/>
  <c r="D900" i="35"/>
  <c r="D867" i="35"/>
  <c r="C703" i="35"/>
  <c r="N703" i="35" s="1"/>
  <c r="C433" i="35"/>
  <c r="C400" i="35"/>
  <c r="C466" i="35"/>
  <c r="C959" i="35"/>
  <c r="C992" i="35"/>
  <c r="C980" i="35"/>
  <c r="C1013" i="35"/>
  <c r="D387" i="35"/>
  <c r="D420" i="35"/>
  <c r="D453" i="35"/>
  <c r="D468" i="35"/>
  <c r="D402" i="35"/>
  <c r="D435" i="35"/>
  <c r="C804" i="35"/>
  <c r="C600" i="35"/>
  <c r="C534" i="35"/>
  <c r="C567" i="35"/>
  <c r="E437" i="35"/>
  <c r="E404" i="35"/>
  <c r="E470" i="35"/>
  <c r="D458" i="35"/>
  <c r="D392" i="35"/>
  <c r="D425" i="35"/>
  <c r="E527" i="35"/>
  <c r="E593" i="35"/>
  <c r="E560" i="35"/>
  <c r="C812" i="35"/>
  <c r="C575" i="35"/>
  <c r="C608" i="35"/>
  <c r="C542" i="35"/>
  <c r="C906" i="35"/>
  <c r="C873" i="35"/>
  <c r="E400" i="35"/>
  <c r="E433" i="35"/>
  <c r="E466" i="35"/>
  <c r="D1074" i="35"/>
  <c r="D1107" i="35"/>
  <c r="D984" i="35"/>
  <c r="D1017" i="35"/>
  <c r="C867" i="35"/>
  <c r="C900" i="35"/>
  <c r="E540" i="35"/>
  <c r="E606" i="35"/>
  <c r="E573" i="35"/>
  <c r="C795" i="35"/>
  <c r="C525" i="35"/>
  <c r="C558" i="35"/>
  <c r="C591" i="35"/>
  <c r="D1079" i="35"/>
  <c r="D1112" i="35"/>
  <c r="C789" i="35"/>
  <c r="C519" i="35"/>
  <c r="C552" i="35"/>
  <c r="C585" i="35"/>
  <c r="E535" i="35"/>
  <c r="E568" i="35"/>
  <c r="E601" i="35"/>
  <c r="D542" i="35"/>
  <c r="D575" i="35"/>
  <c r="D608" i="35"/>
  <c r="D894" i="35"/>
  <c r="D861" i="35"/>
  <c r="C858" i="35"/>
  <c r="C891" i="35"/>
  <c r="C699" i="35"/>
  <c r="N699" i="35" s="1"/>
  <c r="C429" i="35"/>
  <c r="C462" i="35"/>
  <c r="C396" i="35"/>
  <c r="E316" i="30"/>
  <c r="E394" i="30" s="1"/>
  <c r="E312" i="30"/>
  <c r="E468" i="30" s="1"/>
  <c r="E280" i="31"/>
  <c r="E276" i="31"/>
  <c r="J47" i="32"/>
  <c r="D259" i="30"/>
  <c r="D415" i="30" s="1"/>
  <c r="C1127" i="35"/>
  <c r="D223" i="31"/>
  <c r="G59" i="18"/>
  <c r="G215" i="18" s="1"/>
  <c r="C472" i="30"/>
  <c r="G59" i="30"/>
  <c r="G215" i="30" s="1"/>
  <c r="P77" i="47"/>
  <c r="P76" i="47"/>
  <c r="D133" i="50" s="1"/>
  <c r="P107" i="47"/>
  <c r="D240" i="50" s="1"/>
  <c r="P108" i="47"/>
  <c r="J71" i="32"/>
  <c r="I44" i="34"/>
  <c r="I52" i="34"/>
  <c r="I60" i="34"/>
  <c r="I68" i="34"/>
  <c r="I76" i="34"/>
  <c r="I47" i="34"/>
  <c r="I55" i="34"/>
  <c r="I63" i="34"/>
  <c r="I71" i="34"/>
  <c r="I50" i="34"/>
  <c r="I58" i="34"/>
  <c r="I66" i="34"/>
  <c r="I74" i="34"/>
  <c r="I45" i="34"/>
  <c r="I53" i="34"/>
  <c r="I61" i="34"/>
  <c r="I69" i="34"/>
  <c r="I77" i="34"/>
  <c r="I48" i="34"/>
  <c r="I56" i="34"/>
  <c r="I64" i="34"/>
  <c r="I72" i="34"/>
  <c r="I80" i="34"/>
  <c r="I51" i="34"/>
  <c r="I59" i="34"/>
  <c r="I67" i="34"/>
  <c r="I75" i="34"/>
  <c r="I46" i="34"/>
  <c r="I54" i="34"/>
  <c r="I62" i="34"/>
  <c r="I70" i="34"/>
  <c r="I78" i="34"/>
  <c r="I86" i="34"/>
  <c r="I94" i="34"/>
  <c r="I102" i="34"/>
  <c r="I110" i="34"/>
  <c r="I49" i="34"/>
  <c r="I81" i="34"/>
  <c r="I89" i="34"/>
  <c r="I97" i="34"/>
  <c r="I105" i="34"/>
  <c r="I113" i="34"/>
  <c r="I43" i="34"/>
  <c r="I73" i="34"/>
  <c r="I79" i="34"/>
  <c r="I84" i="34"/>
  <c r="I92" i="34"/>
  <c r="I100" i="34"/>
  <c r="I108" i="34"/>
  <c r="I116" i="34"/>
  <c r="I87" i="34"/>
  <c r="I95" i="34"/>
  <c r="I103" i="34"/>
  <c r="I111" i="34"/>
  <c r="I57" i="34"/>
  <c r="I82" i="34"/>
  <c r="I90" i="34"/>
  <c r="I98" i="34"/>
  <c r="I106" i="34"/>
  <c r="I114" i="34"/>
  <c r="I85" i="34"/>
  <c r="I93" i="34"/>
  <c r="I101" i="34"/>
  <c r="I109" i="34"/>
  <c r="I117" i="34"/>
  <c r="I88" i="34"/>
  <c r="I96" i="34"/>
  <c r="I104" i="34"/>
  <c r="I112" i="34"/>
  <c r="I99" i="34"/>
  <c r="I83" i="34"/>
  <c r="I107" i="34"/>
  <c r="I91" i="34"/>
  <c r="I115" i="34"/>
  <c r="I65" i="34"/>
  <c r="E153" i="30"/>
  <c r="E231" i="30"/>
  <c r="G209" i="18"/>
  <c r="G131" i="18"/>
  <c r="E457" i="18"/>
  <c r="E379" i="18"/>
  <c r="E200" i="30"/>
  <c r="E122" i="30"/>
  <c r="E344" i="18"/>
  <c r="E422" i="18"/>
  <c r="G174" i="18"/>
  <c r="G96" i="18"/>
  <c r="D442" i="18"/>
  <c r="D364" i="18"/>
  <c r="E401" i="18"/>
  <c r="E323" i="18"/>
  <c r="D186" i="30"/>
  <c r="D108" i="30"/>
  <c r="D443" i="30"/>
  <c r="D365" i="30"/>
  <c r="D370" i="30"/>
  <c r="G452" i="30"/>
  <c r="G374" i="30"/>
  <c r="E222" i="30"/>
  <c r="E144" i="30"/>
  <c r="G229" i="30"/>
  <c r="G151" i="30"/>
  <c r="E328" i="30"/>
  <c r="E406" i="30"/>
  <c r="E420" i="30"/>
  <c r="E342" i="30"/>
  <c r="D128" i="30"/>
  <c r="D206" i="30"/>
  <c r="E335" i="18"/>
  <c r="E413" i="18"/>
  <c r="E127" i="30"/>
  <c r="E205" i="30"/>
  <c r="E103" i="30"/>
  <c r="E181" i="30"/>
  <c r="G175" i="30"/>
  <c r="G97" i="30"/>
  <c r="E166" i="30"/>
  <c r="E88" i="30"/>
  <c r="G443" i="30"/>
  <c r="G365" i="30"/>
  <c r="G181" i="30"/>
  <c r="G103" i="30"/>
  <c r="D193" i="30"/>
  <c r="D115" i="30"/>
  <c r="G391" i="30"/>
  <c r="G469" i="30"/>
  <c r="D190" i="30"/>
  <c r="D112" i="30"/>
  <c r="E324" i="18"/>
  <c r="E402" i="18"/>
  <c r="E194" i="30"/>
  <c r="E116" i="30"/>
  <c r="G439" i="30"/>
  <c r="G361" i="30"/>
  <c r="E360" i="30"/>
  <c r="E438" i="30"/>
  <c r="G224" i="18"/>
  <c r="G146" i="18"/>
  <c r="G199" i="18"/>
  <c r="G121" i="18"/>
  <c r="E412" i="18"/>
  <c r="E334" i="18"/>
  <c r="G421" i="18"/>
  <c r="D414" i="30"/>
  <c r="D336" i="30"/>
  <c r="G238" i="30"/>
  <c r="G160" i="30"/>
  <c r="D237" i="30"/>
  <c r="D159" i="30"/>
  <c r="D340" i="30"/>
  <c r="D418" i="30"/>
  <c r="E417" i="30"/>
  <c r="E339" i="30"/>
  <c r="E327" i="18"/>
  <c r="E105" i="18"/>
  <c r="E183" i="18"/>
  <c r="E408" i="18"/>
  <c r="E330" i="18"/>
  <c r="E159" i="30"/>
  <c r="E237" i="30"/>
  <c r="E203" i="18"/>
  <c r="E125" i="18"/>
  <c r="D470" i="18"/>
  <c r="D392" i="18"/>
  <c r="D383" i="18"/>
  <c r="D461" i="18"/>
  <c r="G232" i="30"/>
  <c r="G154" i="30"/>
  <c r="G208" i="18"/>
  <c r="G130" i="18"/>
  <c r="G183" i="18"/>
  <c r="G105" i="18"/>
  <c r="G407" i="18"/>
  <c r="G329" i="18"/>
  <c r="G414" i="18"/>
  <c r="G336" i="18"/>
  <c r="D98" i="18"/>
  <c r="D176" i="18"/>
  <c r="D234" i="18"/>
  <c r="D156" i="18"/>
  <c r="D325" i="18"/>
  <c r="D403" i="18"/>
  <c r="E425" i="18"/>
  <c r="E347" i="18"/>
  <c r="E427" i="30"/>
  <c r="E349" i="30"/>
  <c r="G209" i="30"/>
  <c r="G131" i="30"/>
  <c r="E457" i="30"/>
  <c r="E379" i="30"/>
  <c r="E451" i="18"/>
  <c r="E373" i="18"/>
  <c r="E176" i="18"/>
  <c r="E98" i="18"/>
  <c r="E344" i="30"/>
  <c r="E422" i="30"/>
  <c r="G206" i="18"/>
  <c r="G128" i="18"/>
  <c r="D143" i="18"/>
  <c r="D221" i="18"/>
  <c r="E233" i="18"/>
  <c r="E155" i="18"/>
  <c r="D474" i="18"/>
  <c r="D396" i="18"/>
  <c r="D416" i="18"/>
  <c r="D338" i="18"/>
  <c r="D335" i="18"/>
  <c r="D413" i="18"/>
  <c r="G231" i="18"/>
  <c r="G153" i="18"/>
  <c r="G425" i="18"/>
  <c r="G347" i="18"/>
  <c r="G410" i="18"/>
  <c r="G332" i="18"/>
  <c r="G174" i="30"/>
  <c r="G96" i="30"/>
  <c r="D205" i="30"/>
  <c r="D127" i="30"/>
  <c r="E139" i="30"/>
  <c r="E217" i="30"/>
  <c r="D442" i="30"/>
  <c r="D364" i="30"/>
  <c r="E323" i="30"/>
  <c r="E401" i="30"/>
  <c r="G98" i="18"/>
  <c r="G234" i="18"/>
  <c r="G156" i="18"/>
  <c r="G233" i="18"/>
  <c r="G155" i="18"/>
  <c r="E413" i="30"/>
  <c r="E335" i="30"/>
  <c r="E93" i="18"/>
  <c r="E171" i="18"/>
  <c r="E364" i="18"/>
  <c r="E442" i="18"/>
  <c r="G201" i="18"/>
  <c r="G123" i="18"/>
  <c r="E184" i="18"/>
  <c r="E106" i="18"/>
  <c r="E475" i="18"/>
  <c r="E397" i="18"/>
  <c r="E206" i="18"/>
  <c r="E128" i="18"/>
  <c r="D155" i="18"/>
  <c r="G474" i="18"/>
  <c r="G396" i="18"/>
  <c r="G416" i="18"/>
  <c r="G338" i="18"/>
  <c r="G190" i="18"/>
  <c r="G112" i="18"/>
  <c r="D135" i="18"/>
  <c r="D213" i="18"/>
  <c r="E147" i="18"/>
  <c r="E225" i="18"/>
  <c r="D462" i="18"/>
  <c r="D384" i="18"/>
  <c r="D402" i="18"/>
  <c r="D324" i="18"/>
  <c r="G205" i="18"/>
  <c r="G127" i="18"/>
  <c r="G442" i="18"/>
  <c r="G364" i="18"/>
  <c r="D164" i="18"/>
  <c r="D86" i="18"/>
  <c r="E431" i="18"/>
  <c r="E353" i="18"/>
  <c r="D363" i="18"/>
  <c r="D367" i="18"/>
  <c r="D445" i="18"/>
  <c r="D95" i="18"/>
  <c r="D173" i="18"/>
  <c r="E107" i="18"/>
  <c r="E185" i="18"/>
  <c r="D118" i="18"/>
  <c r="D196" i="18"/>
  <c r="D360" i="18"/>
  <c r="D438" i="18"/>
  <c r="E423" i="18"/>
  <c r="E345" i="18"/>
  <c r="G147" i="18"/>
  <c r="G225" i="18"/>
  <c r="E324" i="30"/>
  <c r="E402" i="30"/>
  <c r="E86" i="18"/>
  <c r="E164" i="18"/>
  <c r="E219" i="18"/>
  <c r="E141" i="18"/>
  <c r="E380" i="18"/>
  <c r="E458" i="18"/>
  <c r="D110" i="18"/>
  <c r="D188" i="18"/>
  <c r="D339" i="18"/>
  <c r="D417" i="18"/>
  <c r="D375" i="18"/>
  <c r="D453" i="18"/>
  <c r="G146" i="30"/>
  <c r="G224" i="30"/>
  <c r="G121" i="30"/>
  <c r="G199" i="30"/>
  <c r="D130" i="30"/>
  <c r="D208" i="30"/>
  <c r="D382" i="18"/>
  <c r="D460" i="18"/>
  <c r="E405" i="30"/>
  <c r="E327" i="30"/>
  <c r="E330" i="30"/>
  <c r="E418" i="18"/>
  <c r="G207" i="18"/>
  <c r="G456" i="18"/>
  <c r="G378" i="18"/>
  <c r="D471" i="18"/>
  <c r="D393" i="18"/>
  <c r="D461" i="30"/>
  <c r="D383" i="30"/>
  <c r="G130" i="30"/>
  <c r="G208" i="30"/>
  <c r="G183" i="30"/>
  <c r="G105" i="30"/>
  <c r="G414" i="30"/>
  <c r="G336" i="30"/>
  <c r="D98" i="30"/>
  <c r="D176" i="30"/>
  <c r="D403" i="30"/>
  <c r="D325" i="30"/>
  <c r="E195" i="18"/>
  <c r="E117" i="18"/>
  <c r="E425" i="30"/>
  <c r="E347" i="30"/>
  <c r="E409" i="18"/>
  <c r="E331" i="18"/>
  <c r="E176" i="30"/>
  <c r="E98" i="30"/>
  <c r="G128" i="30"/>
  <c r="G206" i="30"/>
  <c r="E233" i="30"/>
  <c r="E155" i="30"/>
  <c r="D474" i="30"/>
  <c r="D396" i="30"/>
  <c r="D338" i="30"/>
  <c r="D416" i="30"/>
  <c r="D413" i="30"/>
  <c r="D335" i="30"/>
  <c r="G180" i="30"/>
  <c r="G102" i="30"/>
  <c r="G347" i="30"/>
  <c r="G425" i="30"/>
  <c r="G410" i="30"/>
  <c r="G332" i="30"/>
  <c r="G133" i="18"/>
  <c r="G211" i="18"/>
  <c r="G197" i="18"/>
  <c r="G119" i="18"/>
  <c r="D131" i="18"/>
  <c r="D209" i="18"/>
  <c r="G333" i="18"/>
  <c r="G411" i="18"/>
  <c r="D111" i="18"/>
  <c r="D189" i="18"/>
  <c r="D235" i="18"/>
  <c r="D157" i="18"/>
  <c r="D181" i="18"/>
  <c r="E193" i="18"/>
  <c r="E115" i="18"/>
  <c r="G234" i="30"/>
  <c r="G156" i="30"/>
  <c r="G233" i="30"/>
  <c r="G155" i="30"/>
  <c r="E171" i="30"/>
  <c r="E93" i="30"/>
  <c r="D174" i="18"/>
  <c r="D96" i="18"/>
  <c r="E364" i="30"/>
  <c r="E442" i="30"/>
  <c r="E443" i="18"/>
  <c r="E365" i="18"/>
  <c r="E235" i="18"/>
  <c r="E157" i="18"/>
  <c r="E469" i="30"/>
  <c r="E391" i="30"/>
  <c r="E184" i="30"/>
  <c r="E106" i="30"/>
  <c r="E475" i="30"/>
  <c r="E397" i="30"/>
  <c r="E206" i="30"/>
  <c r="E128" i="30"/>
  <c r="G221" i="30"/>
  <c r="G143" i="30"/>
  <c r="D233" i="30"/>
  <c r="D155" i="30"/>
  <c r="G474" i="30"/>
  <c r="G396" i="30"/>
  <c r="G416" i="30"/>
  <c r="G338" i="30"/>
  <c r="G190" i="30"/>
  <c r="G112" i="30"/>
  <c r="D213" i="30"/>
  <c r="D135" i="30"/>
  <c r="E147" i="30"/>
  <c r="E225" i="30"/>
  <c r="D462" i="30"/>
  <c r="D384" i="30"/>
  <c r="D326" i="30"/>
  <c r="D404" i="30"/>
  <c r="D324" i="30"/>
  <c r="D402" i="30"/>
  <c r="G205" i="30"/>
  <c r="G127" i="30"/>
  <c r="G442" i="30"/>
  <c r="G364" i="30"/>
  <c r="D227" i="30"/>
  <c r="D149" i="30"/>
  <c r="D164" i="30"/>
  <c r="D86" i="30"/>
  <c r="D178" i="30"/>
  <c r="E431" i="30"/>
  <c r="E353" i="30"/>
  <c r="D441" i="30"/>
  <c r="D363" i="30"/>
  <c r="D445" i="30"/>
  <c r="D367" i="30"/>
  <c r="D141" i="30"/>
  <c r="E107" i="30"/>
  <c r="E185" i="30"/>
  <c r="D459" i="30"/>
  <c r="D381" i="30"/>
  <c r="D90" i="30"/>
  <c r="D168" i="30"/>
  <c r="D118" i="30"/>
  <c r="D196" i="30"/>
  <c r="D360" i="30"/>
  <c r="D438" i="30"/>
  <c r="E423" i="30"/>
  <c r="E345" i="30"/>
  <c r="G225" i="30"/>
  <c r="G147" i="30"/>
  <c r="D182" i="18"/>
  <c r="D104" i="18"/>
  <c r="E454" i="18"/>
  <c r="E376" i="18"/>
  <c r="E199" i="30"/>
  <c r="E121" i="30"/>
  <c r="E164" i="30"/>
  <c r="E86" i="30"/>
  <c r="E219" i="30"/>
  <c r="E141" i="30"/>
  <c r="E196" i="18"/>
  <c r="E118" i="18"/>
  <c r="E380" i="30"/>
  <c r="E458" i="30"/>
  <c r="D110" i="30"/>
  <c r="D188" i="30"/>
  <c r="D354" i="30"/>
  <c r="D432" i="30"/>
  <c r="D453" i="30"/>
  <c r="D375" i="30"/>
  <c r="D378" i="18"/>
  <c r="D456" i="18"/>
  <c r="G460" i="18"/>
  <c r="G382" i="18"/>
  <c r="E471" i="18"/>
  <c r="E393" i="18"/>
  <c r="G441" i="18"/>
  <c r="G363" i="18"/>
  <c r="G445" i="18"/>
  <c r="G367" i="18"/>
  <c r="D89" i="18"/>
  <c r="D167" i="18"/>
  <c r="D107" i="18"/>
  <c r="D185" i="18"/>
  <c r="G430" i="18"/>
  <c r="G352" i="18"/>
  <c r="G459" i="18"/>
  <c r="G381" i="18"/>
  <c r="D203" i="18"/>
  <c r="D125" i="18"/>
  <c r="E447" i="18"/>
  <c r="E369" i="18"/>
  <c r="E354" i="18"/>
  <c r="D198" i="18"/>
  <c r="D120" i="18"/>
  <c r="D382" i="30"/>
  <c r="D460" i="30"/>
  <c r="E228" i="30"/>
  <c r="E150" i="30"/>
  <c r="E407" i="18"/>
  <c r="E329" i="18"/>
  <c r="D238" i="18"/>
  <c r="D160" i="18"/>
  <c r="E340" i="30"/>
  <c r="E418" i="30"/>
  <c r="G99" i="18"/>
  <c r="G188" i="30"/>
  <c r="G110" i="30"/>
  <c r="G375" i="30"/>
  <c r="G207" i="30"/>
  <c r="G129" i="30"/>
  <c r="E198" i="30"/>
  <c r="E120" i="30"/>
  <c r="G124" i="30"/>
  <c r="G202" i="30"/>
  <c r="G456" i="30"/>
  <c r="G378" i="30"/>
  <c r="E460" i="30"/>
  <c r="E382" i="30"/>
  <c r="D471" i="30"/>
  <c r="D393" i="30"/>
  <c r="L51" i="34"/>
  <c r="L59" i="34"/>
  <c r="L67" i="34"/>
  <c r="L75" i="34"/>
  <c r="L46" i="34"/>
  <c r="L54" i="34"/>
  <c r="L62" i="34"/>
  <c r="L70" i="34"/>
  <c r="L78" i="34"/>
  <c r="L49" i="34"/>
  <c r="L57" i="34"/>
  <c r="L65" i="34"/>
  <c r="L73" i="34"/>
  <c r="L44" i="34"/>
  <c r="L52" i="34"/>
  <c r="L60" i="34"/>
  <c r="L68" i="34"/>
  <c r="L76" i="34"/>
  <c r="L47" i="34"/>
  <c r="L55" i="34"/>
  <c r="L63" i="34"/>
  <c r="L71" i="34"/>
  <c r="L79" i="34"/>
  <c r="L50" i="34"/>
  <c r="L58" i="34"/>
  <c r="L66" i="34"/>
  <c r="L74" i="34"/>
  <c r="L45" i="34"/>
  <c r="L53" i="34"/>
  <c r="L61" i="34"/>
  <c r="L69" i="34"/>
  <c r="L77" i="34"/>
  <c r="L56" i="34"/>
  <c r="L85" i="34"/>
  <c r="L93" i="34"/>
  <c r="L101" i="34"/>
  <c r="L109" i="34"/>
  <c r="L117" i="34"/>
  <c r="L88" i="34"/>
  <c r="L96" i="34"/>
  <c r="L104" i="34"/>
  <c r="L112" i="34"/>
  <c r="L83" i="34"/>
  <c r="L91" i="34"/>
  <c r="L99" i="34"/>
  <c r="L107" i="34"/>
  <c r="L115" i="34"/>
  <c r="L64" i="34"/>
  <c r="L80" i="34"/>
  <c r="L86" i="34"/>
  <c r="L94" i="34"/>
  <c r="L102" i="34"/>
  <c r="L110" i="34"/>
  <c r="L81" i="34"/>
  <c r="L89" i="34"/>
  <c r="L97" i="34"/>
  <c r="L105" i="34"/>
  <c r="L113" i="34"/>
  <c r="L43" i="34"/>
  <c r="L48" i="34"/>
  <c r="L84" i="34"/>
  <c r="L92" i="34"/>
  <c r="L100" i="34"/>
  <c r="L108" i="34"/>
  <c r="L116" i="34"/>
  <c r="L72" i="34"/>
  <c r="L87" i="34"/>
  <c r="L95" i="34"/>
  <c r="L103" i="34"/>
  <c r="L111" i="34"/>
  <c r="L90" i="34"/>
  <c r="L114" i="34"/>
  <c r="L98" i="34"/>
  <c r="L82" i="34"/>
  <c r="L106" i="34"/>
  <c r="E195" i="30"/>
  <c r="E117" i="30"/>
  <c r="E368" i="18"/>
  <c r="E446" i="18"/>
  <c r="E383" i="18"/>
  <c r="E461" i="18"/>
  <c r="E119" i="18"/>
  <c r="E197" i="18"/>
  <c r="E220" i="18"/>
  <c r="E142" i="18"/>
  <c r="E409" i="30"/>
  <c r="E331" i="30"/>
  <c r="E156" i="18"/>
  <c r="E234" i="18"/>
  <c r="E403" i="30"/>
  <c r="E325" i="30"/>
  <c r="D406" i="18"/>
  <c r="D328" i="18"/>
  <c r="G236" i="18"/>
  <c r="G158" i="18"/>
  <c r="G461" i="18"/>
  <c r="G383" i="18"/>
  <c r="G349" i="18"/>
  <c r="G427" i="18"/>
  <c r="G133" i="30"/>
  <c r="G211" i="30"/>
  <c r="D209" i="30"/>
  <c r="D131" i="30"/>
  <c r="D189" i="30"/>
  <c r="D111" i="30"/>
  <c r="D235" i="30"/>
  <c r="D157" i="30"/>
  <c r="D181" i="30"/>
  <c r="D103" i="30"/>
  <c r="E115" i="30"/>
  <c r="E193" i="30"/>
  <c r="E416" i="18"/>
  <c r="E338" i="18"/>
  <c r="D96" i="30"/>
  <c r="D174" i="30"/>
  <c r="E443" i="30"/>
  <c r="E365" i="30"/>
  <c r="E472" i="18"/>
  <c r="E394" i="18"/>
  <c r="D366" i="18"/>
  <c r="D444" i="18"/>
  <c r="D104" i="30"/>
  <c r="D182" i="30"/>
  <c r="E376" i="30"/>
  <c r="E454" i="30"/>
  <c r="D334" i="18"/>
  <c r="D412" i="18"/>
  <c r="E435" i="30"/>
  <c r="E357" i="30"/>
  <c r="G185" i="18"/>
  <c r="G107" i="18"/>
  <c r="E196" i="30"/>
  <c r="E118" i="30"/>
  <c r="D207" i="30"/>
  <c r="D129" i="30"/>
  <c r="G460" i="30"/>
  <c r="G382" i="30"/>
  <c r="E471" i="30"/>
  <c r="E393" i="30"/>
  <c r="G164" i="18"/>
  <c r="G86" i="18"/>
  <c r="D431" i="30"/>
  <c r="D353" i="30"/>
  <c r="G363" i="30"/>
  <c r="G441" i="30"/>
  <c r="G367" i="30"/>
  <c r="G445" i="30"/>
  <c r="D167" i="30"/>
  <c r="D89" i="30"/>
  <c r="D330" i="30"/>
  <c r="D408" i="30"/>
  <c r="D185" i="30"/>
  <c r="D107" i="30"/>
  <c r="G459" i="30"/>
  <c r="G381" i="30"/>
  <c r="E354" i="30"/>
  <c r="E432" i="30"/>
  <c r="D120" i="30"/>
  <c r="D198" i="30"/>
  <c r="E407" i="30"/>
  <c r="E329" i="30"/>
  <c r="D160" i="30"/>
  <c r="D238" i="30"/>
  <c r="E433" i="18"/>
  <c r="G436" i="18"/>
  <c r="G358" i="18"/>
  <c r="G237" i="18"/>
  <c r="G159" i="18"/>
  <c r="G418" i="18"/>
  <c r="G340" i="18"/>
  <c r="E428" i="18"/>
  <c r="E350" i="18"/>
  <c r="G222" i="18"/>
  <c r="G144" i="18"/>
  <c r="G406" i="18"/>
  <c r="G328" i="18"/>
  <c r="D422" i="18"/>
  <c r="D344" i="18"/>
  <c r="G420" i="18"/>
  <c r="G342" i="18"/>
  <c r="E187" i="18"/>
  <c r="E180" i="18"/>
  <c r="E102" i="18"/>
  <c r="E461" i="30"/>
  <c r="E383" i="30"/>
  <c r="E119" i="30"/>
  <c r="E197" i="30"/>
  <c r="E220" i="30"/>
  <c r="E142" i="30"/>
  <c r="E212" i="18"/>
  <c r="E134" i="18"/>
  <c r="E234" i="30"/>
  <c r="E156" i="30"/>
  <c r="D222" i="18"/>
  <c r="D144" i="18"/>
  <c r="D328" i="30"/>
  <c r="D406" i="30"/>
  <c r="G109" i="18"/>
  <c r="G187" i="18"/>
  <c r="D91" i="18"/>
  <c r="D169" i="18"/>
  <c r="G383" i="30"/>
  <c r="G461" i="30"/>
  <c r="G427" i="30"/>
  <c r="G349" i="30"/>
  <c r="G230" i="18"/>
  <c r="G152" i="18"/>
  <c r="D226" i="18"/>
  <c r="D148" i="18"/>
  <c r="D395" i="18"/>
  <c r="D473" i="18"/>
  <c r="E221" i="18"/>
  <c r="E143" i="18"/>
  <c r="E416" i="30"/>
  <c r="E338" i="30"/>
  <c r="G217" i="18"/>
  <c r="G139" i="18"/>
  <c r="E189" i="18"/>
  <c r="G115" i="18"/>
  <c r="G193" i="18"/>
  <c r="D366" i="30"/>
  <c r="D444" i="30"/>
  <c r="E148" i="18"/>
  <c r="E226" i="18"/>
  <c r="G171" i="18"/>
  <c r="E390" i="18"/>
  <c r="E468" i="18"/>
  <c r="D199" i="18"/>
  <c r="D121" i="18"/>
  <c r="D210" i="18"/>
  <c r="D132" i="18"/>
  <c r="G334" i="18"/>
  <c r="D343" i="18"/>
  <c r="D421" i="18"/>
  <c r="G189" i="18"/>
  <c r="G111" i="18"/>
  <c r="D170" i="18"/>
  <c r="D92" i="18"/>
  <c r="D346" i="18"/>
  <c r="D424" i="18"/>
  <c r="D357" i="18"/>
  <c r="D435" i="18"/>
  <c r="G184" i="18"/>
  <c r="G106" i="18"/>
  <c r="E444" i="18"/>
  <c r="E366" i="18"/>
  <c r="G429" i="18"/>
  <c r="G351" i="18"/>
  <c r="E230" i="18"/>
  <c r="E152" i="18"/>
  <c r="G473" i="18"/>
  <c r="E404" i="30"/>
  <c r="E326" i="30"/>
  <c r="E450" i="18"/>
  <c r="E372" i="18"/>
  <c r="E224" i="18"/>
  <c r="E146" i="18"/>
  <c r="D334" i="30"/>
  <c r="D412" i="30"/>
  <c r="G185" i="30"/>
  <c r="G107" i="30"/>
  <c r="G423" i="18"/>
  <c r="G345" i="18"/>
  <c r="E136" i="18"/>
  <c r="E214" i="18"/>
  <c r="D385" i="18"/>
  <c r="D463" i="18"/>
  <c r="G389" i="18"/>
  <c r="G467" i="18"/>
  <c r="G227" i="30"/>
  <c r="G149" i="30"/>
  <c r="G164" i="30"/>
  <c r="G86" i="30"/>
  <c r="E375" i="18"/>
  <c r="E453" i="18"/>
  <c r="E378" i="18"/>
  <c r="E456" i="18"/>
  <c r="E336" i="18"/>
  <c r="E414" i="18"/>
  <c r="E89" i="18"/>
  <c r="E167" i="18"/>
  <c r="G447" i="18"/>
  <c r="G369" i="18"/>
  <c r="G327" i="30"/>
  <c r="G405" i="30"/>
  <c r="D119" i="18"/>
  <c r="D197" i="18"/>
  <c r="E238" i="30"/>
  <c r="E160" i="30"/>
  <c r="G237" i="30"/>
  <c r="G159" i="30"/>
  <c r="G418" i="30"/>
  <c r="G340" i="30"/>
  <c r="E428" i="30"/>
  <c r="E350" i="30"/>
  <c r="G222" i="30"/>
  <c r="G144" i="30"/>
  <c r="G406" i="30"/>
  <c r="G328" i="30"/>
  <c r="D422" i="30"/>
  <c r="D344" i="30"/>
  <c r="G420" i="30"/>
  <c r="G342" i="30"/>
  <c r="E109" i="30"/>
  <c r="E187" i="30"/>
  <c r="E180" i="30"/>
  <c r="E102" i="30"/>
  <c r="E411" i="18"/>
  <c r="E333" i="18"/>
  <c r="E449" i="18"/>
  <c r="E371" i="18"/>
  <c r="E212" i="30"/>
  <c r="E134" i="30"/>
  <c r="D222" i="30"/>
  <c r="D144" i="30"/>
  <c r="D342" i="18"/>
  <c r="D420" i="18"/>
  <c r="D169" i="30"/>
  <c r="D91" i="30"/>
  <c r="G440" i="30"/>
  <c r="G362" i="30"/>
  <c r="G220" i="18"/>
  <c r="G142" i="18"/>
  <c r="G449" i="18"/>
  <c r="G371" i="18"/>
  <c r="G409" i="18"/>
  <c r="G331" i="18"/>
  <c r="G200" i="18"/>
  <c r="G122" i="18"/>
  <c r="G373" i="18"/>
  <c r="G451" i="18"/>
  <c r="G230" i="30"/>
  <c r="G152" i="30"/>
  <c r="E143" i="30"/>
  <c r="E221" i="30"/>
  <c r="G217" i="30"/>
  <c r="G139" i="30"/>
  <c r="D374" i="30"/>
  <c r="D452" i="30"/>
  <c r="E111" i="30"/>
  <c r="E189" i="30"/>
  <c r="E226" i="30"/>
  <c r="E148" i="30"/>
  <c r="G434" i="30"/>
  <c r="G356" i="30"/>
  <c r="D199" i="30"/>
  <c r="D121" i="30"/>
  <c r="D210" i="30"/>
  <c r="D132" i="30"/>
  <c r="G412" i="30"/>
  <c r="G334" i="30"/>
  <c r="D421" i="30"/>
  <c r="D343" i="30"/>
  <c r="G189" i="30"/>
  <c r="G111" i="30"/>
  <c r="D201" i="30"/>
  <c r="D123" i="30"/>
  <c r="D170" i="30"/>
  <c r="D92" i="30"/>
  <c r="D346" i="30"/>
  <c r="D424" i="30"/>
  <c r="D435" i="30"/>
  <c r="D357" i="30"/>
  <c r="G106" i="30"/>
  <c r="G184" i="30"/>
  <c r="G351" i="30"/>
  <c r="G429" i="30"/>
  <c r="G226" i="30"/>
  <c r="G395" i="30"/>
  <c r="G473" i="30"/>
  <c r="E191" i="18"/>
  <c r="E113" i="18"/>
  <c r="E372" i="30"/>
  <c r="E450" i="30"/>
  <c r="E224" i="30"/>
  <c r="E146" i="30"/>
  <c r="E343" i="18"/>
  <c r="E227" i="30"/>
  <c r="E149" i="30"/>
  <c r="E346" i="18"/>
  <c r="E424" i="18"/>
  <c r="E168" i="18"/>
  <c r="G423" i="30"/>
  <c r="E136" i="30"/>
  <c r="E214" i="30"/>
  <c r="D463" i="30"/>
  <c r="D385" i="30"/>
  <c r="G404" i="18"/>
  <c r="G326" i="18"/>
  <c r="G454" i="18"/>
  <c r="G465" i="18"/>
  <c r="G387" i="18"/>
  <c r="E455" i="18"/>
  <c r="E377" i="18"/>
  <c r="G101" i="18"/>
  <c r="G179" i="18"/>
  <c r="G424" i="18"/>
  <c r="G346" i="18"/>
  <c r="D439" i="18"/>
  <c r="D361" i="18"/>
  <c r="G168" i="18"/>
  <c r="G90" i="18"/>
  <c r="G438" i="18"/>
  <c r="D423" i="18"/>
  <c r="D345" i="18"/>
  <c r="E453" i="30"/>
  <c r="E375" i="30"/>
  <c r="E378" i="30"/>
  <c r="E456" i="30"/>
  <c r="E232" i="30"/>
  <c r="E154" i="30"/>
  <c r="E336" i="30"/>
  <c r="E414" i="30"/>
  <c r="E89" i="30"/>
  <c r="E167" i="30"/>
  <c r="E165" i="18"/>
  <c r="E87" i="18"/>
  <c r="G447" i="30"/>
  <c r="G369" i="30"/>
  <c r="D197" i="30"/>
  <c r="D119" i="30"/>
  <c r="E131" i="30"/>
  <c r="E209" i="30"/>
  <c r="D379" i="18"/>
  <c r="D457" i="18"/>
  <c r="D371" i="18"/>
  <c r="D449" i="18"/>
  <c r="G169" i="18"/>
  <c r="G91" i="18"/>
  <c r="M48" i="34"/>
  <c r="M56" i="34"/>
  <c r="M64" i="34"/>
  <c r="M72" i="34"/>
  <c r="M51" i="34"/>
  <c r="M59" i="34"/>
  <c r="M67" i="34"/>
  <c r="M75" i="34"/>
  <c r="M46" i="34"/>
  <c r="M54" i="34"/>
  <c r="M62" i="34"/>
  <c r="M70" i="34"/>
  <c r="M49" i="34"/>
  <c r="M57" i="34"/>
  <c r="M65" i="34"/>
  <c r="M73" i="34"/>
  <c r="M44" i="34"/>
  <c r="M52" i="34"/>
  <c r="M60" i="34"/>
  <c r="M68" i="34"/>
  <c r="M76" i="34"/>
  <c r="M47" i="34"/>
  <c r="M55" i="34"/>
  <c r="M63" i="34"/>
  <c r="M71" i="34"/>
  <c r="M50" i="34"/>
  <c r="M58" i="34"/>
  <c r="M66" i="34"/>
  <c r="M74" i="34"/>
  <c r="M45" i="34"/>
  <c r="M82" i="34"/>
  <c r="M90" i="34"/>
  <c r="M98" i="34"/>
  <c r="M106" i="34"/>
  <c r="M114" i="34"/>
  <c r="M69" i="34"/>
  <c r="M78" i="34"/>
  <c r="M85" i="34"/>
  <c r="M93" i="34"/>
  <c r="M101" i="34"/>
  <c r="M109" i="34"/>
  <c r="M117" i="34"/>
  <c r="M88" i="34"/>
  <c r="M96" i="34"/>
  <c r="M104" i="34"/>
  <c r="M112" i="34"/>
  <c r="M53" i="34"/>
  <c r="M83" i="34"/>
  <c r="M91" i="34"/>
  <c r="M99" i="34"/>
  <c r="M107" i="34"/>
  <c r="M115" i="34"/>
  <c r="M77" i="34"/>
  <c r="M80" i="34"/>
  <c r="M86" i="34"/>
  <c r="M94" i="34"/>
  <c r="M102" i="34"/>
  <c r="M110" i="34"/>
  <c r="M79" i="34"/>
  <c r="M81" i="34"/>
  <c r="M89" i="34"/>
  <c r="M97" i="34"/>
  <c r="M105" i="34"/>
  <c r="M113" i="34"/>
  <c r="M43" i="34"/>
  <c r="M61" i="34"/>
  <c r="M84" i="34"/>
  <c r="M92" i="34"/>
  <c r="M100" i="34"/>
  <c r="M108" i="34"/>
  <c r="M116" i="34"/>
  <c r="M103" i="34"/>
  <c r="M87" i="34"/>
  <c r="M111" i="34"/>
  <c r="M95" i="34"/>
  <c r="E410" i="18"/>
  <c r="E332" i="18"/>
  <c r="E470" i="18"/>
  <c r="E392" i="18"/>
  <c r="E211" i="18"/>
  <c r="E133" i="18"/>
  <c r="E411" i="30"/>
  <c r="E333" i="30"/>
  <c r="E216" i="18"/>
  <c r="E138" i="18"/>
  <c r="E449" i="30"/>
  <c r="E371" i="30"/>
  <c r="D342" i="30"/>
  <c r="D420" i="30"/>
  <c r="D93" i="18"/>
  <c r="D171" i="18"/>
  <c r="D434" i="18"/>
  <c r="D356" i="18"/>
  <c r="G138" i="30"/>
  <c r="G216" i="30"/>
  <c r="G220" i="30"/>
  <c r="G142" i="30"/>
  <c r="G371" i="30"/>
  <c r="G449" i="30"/>
  <c r="G331" i="30"/>
  <c r="G409" i="30"/>
  <c r="G122" i="30"/>
  <c r="G200" i="30"/>
  <c r="G451" i="30"/>
  <c r="G373" i="30"/>
  <c r="E436" i="30"/>
  <c r="E358" i="30"/>
  <c r="D106" i="18"/>
  <c r="D184" i="18"/>
  <c r="G444" i="18"/>
  <c r="G366" i="18"/>
  <c r="D351" i="18"/>
  <c r="D429" i="18"/>
  <c r="E396" i="18"/>
  <c r="E474" i="18"/>
  <c r="E356" i="30"/>
  <c r="E434" i="30"/>
  <c r="E108" i="30"/>
  <c r="E186" i="30"/>
  <c r="E204" i="18"/>
  <c r="E126" i="18"/>
  <c r="E473" i="18"/>
  <c r="E395" i="18"/>
  <c r="D145" i="18"/>
  <c r="D223" i="18"/>
  <c r="G214" i="18"/>
  <c r="G136" i="18"/>
  <c r="E463" i="18"/>
  <c r="E385" i="18"/>
  <c r="D389" i="18"/>
  <c r="D467" i="18"/>
  <c r="D113" i="18"/>
  <c r="D191" i="18"/>
  <c r="G182" i="18"/>
  <c r="G104" i="18"/>
  <c r="D194" i="18"/>
  <c r="D116" i="18"/>
  <c r="D450" i="18"/>
  <c r="D372" i="18"/>
  <c r="D454" i="18"/>
  <c r="D376" i="18"/>
  <c r="D387" i="18"/>
  <c r="D465" i="18"/>
  <c r="G463" i="18"/>
  <c r="G385" i="18"/>
  <c r="E462" i="18"/>
  <c r="E384" i="18"/>
  <c r="E113" i="30"/>
  <c r="E191" i="30"/>
  <c r="E343" i="30"/>
  <c r="E346" i="30"/>
  <c r="E424" i="30"/>
  <c r="E459" i="30"/>
  <c r="E381" i="30"/>
  <c r="E190" i="30"/>
  <c r="E112" i="30"/>
  <c r="G213" i="30"/>
  <c r="G135" i="30"/>
  <c r="D225" i="30"/>
  <c r="D147" i="30"/>
  <c r="G462" i="30"/>
  <c r="G384" i="30"/>
  <c r="G404" i="30"/>
  <c r="G326" i="30"/>
  <c r="E104" i="18"/>
  <c r="E182" i="18"/>
  <c r="G116" i="18"/>
  <c r="G450" i="18"/>
  <c r="G372" i="18"/>
  <c r="G454" i="30"/>
  <c r="G376" i="30"/>
  <c r="G387" i="30"/>
  <c r="G465" i="30"/>
  <c r="D150" i="30"/>
  <c r="D228" i="30"/>
  <c r="D386" i="30"/>
  <c r="D464" i="30"/>
  <c r="E455" i="30"/>
  <c r="E377" i="30"/>
  <c r="G179" i="30"/>
  <c r="G424" i="30"/>
  <c r="G346" i="30"/>
  <c r="D439" i="30"/>
  <c r="D361" i="30"/>
  <c r="G90" i="30"/>
  <c r="G168" i="30"/>
  <c r="G438" i="30"/>
  <c r="G360" i="30"/>
  <c r="D423" i="30"/>
  <c r="D345" i="30"/>
  <c r="G471" i="18"/>
  <c r="G393" i="18"/>
  <c r="E94" i="18"/>
  <c r="D350" i="18"/>
  <c r="D428" i="18"/>
  <c r="D109" i="18"/>
  <c r="D187" i="18"/>
  <c r="E91" i="18"/>
  <c r="E169" i="18"/>
  <c r="D440" i="18"/>
  <c r="D362" i="18"/>
  <c r="D195" i="18"/>
  <c r="D117" i="18"/>
  <c r="D153" i="18"/>
  <c r="D231" i="18"/>
  <c r="D347" i="18"/>
  <c r="D425" i="18"/>
  <c r="D446" i="18"/>
  <c r="D368" i="18"/>
  <c r="D138" i="30"/>
  <c r="D216" i="30"/>
  <c r="D457" i="30"/>
  <c r="D379" i="30"/>
  <c r="D409" i="30"/>
  <c r="D331" i="30"/>
  <c r="G167" i="18"/>
  <c r="G89" i="18"/>
  <c r="D369" i="18"/>
  <c r="D447" i="18"/>
  <c r="G91" i="30"/>
  <c r="G169" i="30"/>
  <c r="E231" i="18"/>
  <c r="E153" i="18"/>
  <c r="E332" i="30"/>
  <c r="E410" i="30"/>
  <c r="E392" i="30"/>
  <c r="E470" i="30"/>
  <c r="E211" i="30"/>
  <c r="E133" i="30"/>
  <c r="E216" i="30"/>
  <c r="E138" i="30"/>
  <c r="E200" i="18"/>
  <c r="E122" i="18"/>
  <c r="D358" i="30"/>
  <c r="D436" i="30"/>
  <c r="D171" i="30"/>
  <c r="D93" i="30"/>
  <c r="G468" i="30"/>
  <c r="G390" i="30"/>
  <c r="D175" i="18"/>
  <c r="D97" i="18"/>
  <c r="G166" i="18"/>
  <c r="G88" i="18"/>
  <c r="D186" i="18"/>
  <c r="D108" i="18"/>
  <c r="D365" i="18"/>
  <c r="G452" i="18"/>
  <c r="G374" i="18"/>
  <c r="D106" i="30"/>
  <c r="D184" i="30"/>
  <c r="D429" i="30"/>
  <c r="D351" i="30"/>
  <c r="E222" i="18"/>
  <c r="E144" i="18"/>
  <c r="G229" i="18"/>
  <c r="G151" i="18"/>
  <c r="E406" i="18"/>
  <c r="E328" i="18"/>
  <c r="G422" i="18"/>
  <c r="G344" i="18"/>
  <c r="E342" i="18"/>
  <c r="E420" i="18"/>
  <c r="D206" i="18"/>
  <c r="D128" i="18"/>
  <c r="E396" i="30"/>
  <c r="E474" i="30"/>
  <c r="E205" i="18"/>
  <c r="E127" i="18"/>
  <c r="G323" i="30"/>
  <c r="E448" i="18"/>
  <c r="E103" i="18"/>
  <c r="E181" i="18"/>
  <c r="E473" i="30"/>
  <c r="E395" i="30"/>
  <c r="D145" i="30"/>
  <c r="G214" i="30"/>
  <c r="G136" i="30"/>
  <c r="D218" i="30"/>
  <c r="D140" i="30"/>
  <c r="E463" i="30"/>
  <c r="E385" i="30"/>
  <c r="D191" i="30"/>
  <c r="D113" i="30"/>
  <c r="G182" i="30"/>
  <c r="G104" i="30"/>
  <c r="D116" i="30"/>
  <c r="D194" i="30"/>
  <c r="D372" i="30"/>
  <c r="D450" i="30"/>
  <c r="D454" i="30"/>
  <c r="D376" i="30"/>
  <c r="D465" i="30"/>
  <c r="D387" i="30"/>
  <c r="G175" i="18"/>
  <c r="G97" i="18"/>
  <c r="E166" i="18"/>
  <c r="G365" i="18"/>
  <c r="G443" i="18"/>
  <c r="G157" i="18"/>
  <c r="G235" i="18"/>
  <c r="G181" i="18"/>
  <c r="G103" i="18"/>
  <c r="D115" i="18"/>
  <c r="D193" i="18"/>
  <c r="G469" i="18"/>
  <c r="G391" i="18"/>
  <c r="G463" i="30"/>
  <c r="G385" i="30"/>
  <c r="E210" i="30"/>
  <c r="E132" i="30"/>
  <c r="E445" i="30"/>
  <c r="E367" i="30"/>
  <c r="G439" i="18"/>
  <c r="G361" i="18"/>
  <c r="E438" i="18"/>
  <c r="E360" i="18"/>
  <c r="G191" i="30"/>
  <c r="G113" i="30"/>
  <c r="E182" i="30"/>
  <c r="E104" i="30"/>
  <c r="G116" i="30"/>
  <c r="G194" i="30"/>
  <c r="G450" i="30"/>
  <c r="G372" i="30"/>
  <c r="D336" i="18"/>
  <c r="G238" i="18"/>
  <c r="G160" i="18"/>
  <c r="D159" i="18"/>
  <c r="D237" i="18"/>
  <c r="E417" i="18"/>
  <c r="E339" i="18"/>
  <c r="G471" i="30"/>
  <c r="G393" i="30"/>
  <c r="E437" i="18"/>
  <c r="E359" i="18"/>
  <c r="D350" i="30"/>
  <c r="D428" i="30"/>
  <c r="D187" i="30"/>
  <c r="D109" i="30"/>
  <c r="E169" i="30"/>
  <c r="D362" i="30"/>
  <c r="D440" i="30"/>
  <c r="D195" i="30"/>
  <c r="D117" i="30"/>
  <c r="D231" i="30"/>
  <c r="D153" i="30"/>
  <c r="D102" i="30"/>
  <c r="D180" i="30"/>
  <c r="D425" i="30"/>
  <c r="D347" i="30"/>
  <c r="D446" i="30"/>
  <c r="D368" i="30"/>
  <c r="D415" i="18"/>
  <c r="D337" i="18"/>
  <c r="G408" i="30"/>
  <c r="G330" i="30"/>
  <c r="D177" i="30"/>
  <c r="D99" i="30"/>
  <c r="D447" i="30"/>
  <c r="D369" i="30"/>
  <c r="E440" i="18"/>
  <c r="AB48" i="43"/>
  <c r="AB37" i="46" s="1" a="1"/>
  <c r="AB37" i="46" s="1"/>
  <c r="AB47" i="43"/>
  <c r="AB36" i="46" s="1" a="1"/>
  <c r="AB36" i="46" s="1"/>
  <c r="AB41" i="43"/>
  <c r="AB30" i="46" s="1" a="1"/>
  <c r="AB30" i="46" s="1"/>
  <c r="L43" i="43"/>
  <c r="L32" i="46" s="1" a="1"/>
  <c r="L32" i="46" s="1"/>
  <c r="AB25" i="43"/>
  <c r="AB14" i="46" s="1" a="1"/>
  <c r="AB14" i="46" s="1"/>
  <c r="AB32" i="43"/>
  <c r="AB21" i="46" s="1" a="1"/>
  <c r="AB21" i="46" s="1"/>
  <c r="AB40" i="43"/>
  <c r="AB29" i="46" s="1" a="1"/>
  <c r="AB29" i="46" s="1"/>
  <c r="AB43" i="43"/>
  <c r="AB32" i="46" s="1" a="1"/>
  <c r="AB32" i="46" s="1"/>
  <c r="AB49" i="43"/>
  <c r="AB38" i="46" s="1" a="1"/>
  <c r="AB38" i="46" s="1"/>
  <c r="AB29" i="43"/>
  <c r="AB18" i="46" s="1" a="1"/>
  <c r="AB18" i="46" s="1"/>
  <c r="L57" i="43"/>
  <c r="L46" i="46" s="1" a="1"/>
  <c r="L46" i="46" s="1"/>
  <c r="AB34" i="43"/>
  <c r="AB23" i="46" s="1" a="1"/>
  <c r="AB23" i="46" s="1"/>
  <c r="AB45" i="43"/>
  <c r="AB34" i="46" s="1" a="1"/>
  <c r="AB34" i="46" s="1"/>
  <c r="AB21" i="43"/>
  <c r="AB10" i="46" s="1" a="1"/>
  <c r="AB10" i="46" s="1"/>
  <c r="AB38" i="43"/>
  <c r="AB27" i="46" s="1" a="1"/>
  <c r="AB27" i="46" s="1"/>
  <c r="AB19" i="43"/>
  <c r="AB8" i="46" s="1" a="1"/>
  <c r="AB8" i="46" s="1"/>
  <c r="AB46" i="43"/>
  <c r="AB35" i="46" s="1" a="1"/>
  <c r="AB35" i="46" s="1"/>
  <c r="L50" i="43"/>
  <c r="L39" i="46" s="1" a="1"/>
  <c r="L39" i="46" s="1"/>
  <c r="L46" i="43"/>
  <c r="L35" i="46" s="1" a="1"/>
  <c r="L35" i="46" s="1"/>
  <c r="AB20" i="43"/>
  <c r="AB9" i="46" s="1" a="1"/>
  <c r="AB9" i="46" s="1"/>
  <c r="AB28" i="43"/>
  <c r="AB17" i="46" s="1" a="1"/>
  <c r="AB17" i="46" s="1"/>
  <c r="L45" i="43"/>
  <c r="L34" i="46" s="1" a="1"/>
  <c r="L34" i="46" s="1"/>
  <c r="L52" i="43"/>
  <c r="L41" i="46" s="1" a="1"/>
  <c r="L41" i="46" s="1"/>
  <c r="L39" i="43"/>
  <c r="L28" i="46" s="1" a="1"/>
  <c r="L28" i="46" s="1"/>
  <c r="L53" i="43"/>
  <c r="L42" i="46" s="1" a="1"/>
  <c r="L42" i="46" s="1"/>
  <c r="AB24" i="43"/>
  <c r="AB13" i="46" s="1" a="1"/>
  <c r="AB13" i="46" s="1"/>
  <c r="AB22" i="43"/>
  <c r="AB11" i="46" s="1" a="1"/>
  <c r="AB11" i="46" s="1"/>
  <c r="AB36" i="43"/>
  <c r="AB25" i="46" s="1" a="1"/>
  <c r="AB25" i="46" s="1"/>
  <c r="AB55" i="43"/>
  <c r="AB44" i="46" s="1" a="1"/>
  <c r="AB44" i="46" s="1"/>
  <c r="L48" i="43"/>
  <c r="L37" i="46" s="1" a="1"/>
  <c r="L37" i="46" s="1"/>
  <c r="I652" i="35"/>
  <c r="AB27" i="43"/>
  <c r="AB16" i="46" s="1" a="1"/>
  <c r="AB16" i="46" s="1"/>
  <c r="AB33" i="43"/>
  <c r="AB22" i="46" s="1" a="1"/>
  <c r="AB22" i="46" s="1"/>
  <c r="AB57" i="43"/>
  <c r="AB46" i="46" s="1" a="1"/>
  <c r="AB46" i="46" s="1"/>
  <c r="AB30" i="43"/>
  <c r="AB19" i="46" s="1" a="1"/>
  <c r="AB19" i="46" s="1"/>
  <c r="AB44" i="43"/>
  <c r="AB33" i="46" s="1" a="1"/>
  <c r="AB33" i="46" s="1"/>
  <c r="AB35" i="43"/>
  <c r="AB24" i="46" s="1" a="1"/>
  <c r="AB24" i="46" s="1"/>
  <c r="AB31" i="43"/>
  <c r="AB20" i="46" s="1" a="1"/>
  <c r="AB20" i="46" s="1"/>
  <c r="AB50" i="43"/>
  <c r="AB39" i="46" s="1" a="1"/>
  <c r="AB39" i="46" s="1"/>
  <c r="L47" i="43"/>
  <c r="L36" i="46" s="1" a="1"/>
  <c r="L36" i="46" s="1"/>
  <c r="L44" i="43"/>
  <c r="L33" i="46" s="1" a="1"/>
  <c r="L33" i="46" s="1"/>
  <c r="L54" i="43"/>
  <c r="L43" i="46" s="1" a="1"/>
  <c r="L43" i="46" s="1"/>
  <c r="L40" i="43"/>
  <c r="L29" i="46" s="1" a="1"/>
  <c r="L29" i="46" s="1"/>
  <c r="AB243" i="18"/>
  <c r="AB480" i="18"/>
  <c r="AB792" i="18"/>
  <c r="AB51" i="43"/>
  <c r="AB40" i="46" s="1" a="1"/>
  <c r="AB40" i="46" s="1"/>
  <c r="L51" i="43"/>
  <c r="L40" i="46" s="1" a="1"/>
  <c r="L40" i="46" s="1"/>
  <c r="L49" i="43"/>
  <c r="L38" i="46" s="1" a="1"/>
  <c r="L38" i="46" s="1"/>
  <c r="AB56" i="43"/>
  <c r="AB45" i="46" s="1" a="1"/>
  <c r="AB45" i="46" s="1"/>
  <c r="AB54" i="43"/>
  <c r="AB43" i="46" s="1" a="1"/>
  <c r="AB43" i="46" s="1"/>
  <c r="AB53" i="43"/>
  <c r="AB42" i="46" s="1" a="1"/>
  <c r="AB42" i="46" s="1"/>
  <c r="AB42" i="43"/>
  <c r="AB31" i="46" s="1" a="1"/>
  <c r="AB31" i="46" s="1"/>
  <c r="L42" i="43"/>
  <c r="L31" i="46" s="1" a="1"/>
  <c r="L31" i="46" s="1"/>
  <c r="L41" i="43"/>
  <c r="L30" i="46" s="1" a="1"/>
  <c r="L30" i="46" s="1"/>
  <c r="L55" i="43"/>
  <c r="L44" i="46" s="1" a="1"/>
  <c r="L44" i="46" s="1"/>
  <c r="L243" i="18"/>
  <c r="L792" i="18"/>
  <c r="L480" i="18"/>
  <c r="AB23" i="43"/>
  <c r="AB12" i="46" s="1" a="1"/>
  <c r="AB12" i="46" s="1"/>
  <c r="AB39" i="43"/>
  <c r="AB28" i="46" s="1" a="1"/>
  <c r="AB28" i="46" s="1"/>
  <c r="AB26" i="43"/>
  <c r="AB15" i="46" s="1" a="1"/>
  <c r="AB15" i="46" s="1"/>
  <c r="L56" i="43"/>
  <c r="L45" i="46" s="1" a="1"/>
  <c r="L45" i="46" s="1"/>
  <c r="U197" i="29"/>
  <c r="AC197" i="29" s="1"/>
  <c r="R79" i="27" s="1"/>
  <c r="U186" i="29"/>
  <c r="AC186" i="29" s="1"/>
  <c r="R68" i="27" s="1"/>
  <c r="U167" i="29"/>
  <c r="AC167" i="29" s="1"/>
  <c r="R49" i="27" s="1"/>
  <c r="U231" i="29"/>
  <c r="AC231" i="29" s="1"/>
  <c r="R113" i="27" s="1"/>
  <c r="U220" i="29"/>
  <c r="AC220" i="29" s="1"/>
  <c r="R102" i="27" s="1"/>
  <c r="U209" i="29"/>
  <c r="AC209" i="29" s="1"/>
  <c r="R91" i="27" s="1"/>
  <c r="U198" i="29"/>
  <c r="AC198" i="29" s="1"/>
  <c r="R80" i="27" s="1"/>
  <c r="U187" i="29"/>
  <c r="AC187" i="29" s="1"/>
  <c r="R69" i="27" s="1"/>
  <c r="U208" i="29"/>
  <c r="AC208" i="29" s="1"/>
  <c r="R90" i="27" s="1"/>
  <c r="P67" i="27"/>
  <c r="U205" i="29"/>
  <c r="AC205" i="29" s="1"/>
  <c r="R87" i="27" s="1"/>
  <c r="U194" i="29"/>
  <c r="AC194" i="29" s="1"/>
  <c r="R76" i="27" s="1"/>
  <c r="U174" i="29"/>
  <c r="AC174" i="29" s="1"/>
  <c r="R56" i="27" s="1"/>
  <c r="U228" i="29"/>
  <c r="AC228" i="29" s="1"/>
  <c r="R110" i="27" s="1"/>
  <c r="U217" i="29"/>
  <c r="AC217" i="29" s="1"/>
  <c r="R99" i="27" s="1"/>
  <c r="U206" i="29"/>
  <c r="AC206" i="29" s="1"/>
  <c r="R88" i="27" s="1"/>
  <c r="U195" i="29"/>
  <c r="AC195" i="29" s="1"/>
  <c r="R77" i="27" s="1"/>
  <c r="U216" i="29"/>
  <c r="AC216" i="29" s="1"/>
  <c r="R98" i="27" s="1"/>
  <c r="P66" i="27"/>
  <c r="U166" i="29"/>
  <c r="AC166" i="29" s="1"/>
  <c r="R48" i="27" s="1"/>
  <c r="U213" i="29"/>
  <c r="AC213" i="29" s="1"/>
  <c r="R95" i="27" s="1"/>
  <c r="U202" i="29"/>
  <c r="AC202" i="29" s="1"/>
  <c r="R84" i="27" s="1"/>
  <c r="U183" i="29"/>
  <c r="AC183" i="29" s="1"/>
  <c r="R65" i="27" s="1"/>
  <c r="U172" i="29"/>
  <c r="AC172" i="29" s="1"/>
  <c r="R54" i="27" s="1"/>
  <c r="U236" i="29"/>
  <c r="AC236" i="29" s="1"/>
  <c r="R118" i="27" s="1"/>
  <c r="U225" i="29"/>
  <c r="AC225" i="29" s="1"/>
  <c r="R107" i="27" s="1"/>
  <c r="U214" i="29"/>
  <c r="AC214" i="29" s="1"/>
  <c r="R96" i="27" s="1"/>
  <c r="U203" i="29"/>
  <c r="AC203" i="29" s="1"/>
  <c r="R85" i="27" s="1"/>
  <c r="U224" i="29"/>
  <c r="AC224" i="29" s="1"/>
  <c r="R106" i="27" s="1"/>
  <c r="T42" i="34"/>
  <c r="U165" i="29"/>
  <c r="AC165" i="29" s="1"/>
  <c r="R47" i="27" s="1"/>
  <c r="U221" i="29"/>
  <c r="AC221" i="29" s="1"/>
  <c r="R103" i="27" s="1"/>
  <c r="U210" i="29"/>
  <c r="AC210" i="29" s="1"/>
  <c r="R92" i="27" s="1"/>
  <c r="U191" i="29"/>
  <c r="AC191" i="29" s="1"/>
  <c r="R73" i="27" s="1"/>
  <c r="U180" i="29"/>
  <c r="AC180" i="29" s="1"/>
  <c r="R62" i="27" s="1"/>
  <c r="U169" i="29"/>
  <c r="AC169" i="29" s="1"/>
  <c r="R51" i="27" s="1"/>
  <c r="U233" i="29"/>
  <c r="AC233" i="29" s="1"/>
  <c r="R115" i="27" s="1"/>
  <c r="U222" i="29"/>
  <c r="AC222" i="29" s="1"/>
  <c r="R104" i="27" s="1"/>
  <c r="U211" i="29"/>
  <c r="AC211" i="29" s="1"/>
  <c r="R93" i="27" s="1"/>
  <c r="U168" i="29"/>
  <c r="AC168" i="29" s="1"/>
  <c r="R50" i="27" s="1"/>
  <c r="U232" i="29"/>
  <c r="AC232" i="29" s="1"/>
  <c r="R114" i="27" s="1"/>
  <c r="P91" i="27"/>
  <c r="U8" i="29"/>
  <c r="AC8" i="29" s="1"/>
  <c r="U164" i="29"/>
  <c r="AC164" i="29" s="1"/>
  <c r="U229" i="29"/>
  <c r="AC229" i="29" s="1"/>
  <c r="R111" i="27" s="1"/>
  <c r="U218" i="29"/>
  <c r="AC218" i="29" s="1"/>
  <c r="R100" i="27" s="1"/>
  <c r="U199" i="29"/>
  <c r="AC199" i="29" s="1"/>
  <c r="R81" i="27" s="1"/>
  <c r="U188" i="29"/>
  <c r="AC188" i="29" s="1"/>
  <c r="R70" i="27" s="1"/>
  <c r="U177" i="29"/>
  <c r="AC177" i="29" s="1"/>
  <c r="R59" i="27" s="1"/>
  <c r="U175" i="29"/>
  <c r="AC175" i="29" s="1"/>
  <c r="R57" i="27" s="1"/>
  <c r="U230" i="29"/>
  <c r="AC230" i="29" s="1"/>
  <c r="R112" i="27" s="1"/>
  <c r="U219" i="29"/>
  <c r="AC219" i="29" s="1"/>
  <c r="R101" i="27" s="1"/>
  <c r="U176" i="29"/>
  <c r="AC176" i="29" s="1"/>
  <c r="R58" i="27" s="1"/>
  <c r="U173" i="29"/>
  <c r="AC173" i="29" s="1"/>
  <c r="R55" i="27" s="1"/>
  <c r="U237" i="29"/>
  <c r="AC237" i="29" s="1"/>
  <c r="R119" i="27" s="1"/>
  <c r="U226" i="29"/>
  <c r="AC226" i="29" s="1"/>
  <c r="R108" i="27" s="1"/>
  <c r="U207" i="29"/>
  <c r="AC207" i="29" s="1"/>
  <c r="R89" i="27" s="1"/>
  <c r="U196" i="29"/>
  <c r="AC196" i="29" s="1"/>
  <c r="R78" i="27" s="1"/>
  <c r="U185" i="29"/>
  <c r="AC185" i="29" s="1"/>
  <c r="R67" i="27" s="1"/>
  <c r="U238" i="29"/>
  <c r="AC238" i="29" s="1"/>
  <c r="R120" i="27" s="1"/>
  <c r="U227" i="29"/>
  <c r="AC227" i="29" s="1"/>
  <c r="R109" i="27" s="1"/>
  <c r="U184" i="29"/>
  <c r="AC184" i="29" s="1"/>
  <c r="R66" i="27" s="1"/>
  <c r="U181" i="29"/>
  <c r="AC181" i="29" s="1"/>
  <c r="R63" i="27" s="1"/>
  <c r="U170" i="29"/>
  <c r="AC170" i="29" s="1"/>
  <c r="R52" i="27" s="1"/>
  <c r="U234" i="29"/>
  <c r="AC234" i="29" s="1"/>
  <c r="R116" i="27" s="1"/>
  <c r="U215" i="29"/>
  <c r="AC215" i="29" s="1"/>
  <c r="R97" i="27" s="1"/>
  <c r="U204" i="29"/>
  <c r="AC204" i="29" s="1"/>
  <c r="R86" i="27" s="1"/>
  <c r="U193" i="29"/>
  <c r="AC193" i="29" s="1"/>
  <c r="R75" i="27" s="1"/>
  <c r="U182" i="29"/>
  <c r="AC182" i="29" s="1"/>
  <c r="R64" i="27" s="1"/>
  <c r="U171" i="29"/>
  <c r="AC171" i="29" s="1"/>
  <c r="R53" i="27" s="1"/>
  <c r="U235" i="29"/>
  <c r="AC235" i="29" s="1"/>
  <c r="R117" i="27" s="1"/>
  <c r="U192" i="29"/>
  <c r="AC192" i="29" s="1"/>
  <c r="R74" i="27" s="1"/>
  <c r="P108" i="27"/>
  <c r="P90" i="27"/>
  <c r="P98" i="27"/>
  <c r="U189" i="29"/>
  <c r="AC189" i="29" s="1"/>
  <c r="R71" i="27" s="1"/>
  <c r="U178" i="29"/>
  <c r="AC178" i="29" s="1"/>
  <c r="R60" i="27" s="1"/>
  <c r="U223" i="29"/>
  <c r="AC223" i="29" s="1"/>
  <c r="R105" i="27" s="1"/>
  <c r="U212" i="29"/>
  <c r="AC212" i="29" s="1"/>
  <c r="R94" i="27" s="1"/>
  <c r="U201" i="29"/>
  <c r="AC201" i="29" s="1"/>
  <c r="R83" i="27" s="1"/>
  <c r="U190" i="29"/>
  <c r="AC190" i="29" s="1"/>
  <c r="R72" i="27" s="1"/>
  <c r="U179" i="29"/>
  <c r="AC179" i="29" s="1"/>
  <c r="R61" i="27" s="1"/>
  <c r="U200" i="29"/>
  <c r="AC200" i="29" s="1"/>
  <c r="R82" i="27" s="1"/>
  <c r="K659" i="35"/>
  <c r="E84" i="50"/>
  <c r="K672" i="35"/>
  <c r="J659" i="35"/>
  <c r="J83" i="29"/>
  <c r="J12" i="30"/>
  <c r="J15" i="30"/>
  <c r="J34" i="30"/>
  <c r="J27" i="30"/>
  <c r="J30" i="30"/>
  <c r="J38" i="30"/>
  <c r="J63" i="30"/>
  <c r="J61" i="30"/>
  <c r="J74" i="30"/>
  <c r="J54" i="30"/>
  <c r="J28" i="30"/>
  <c r="J17" i="30"/>
  <c r="J21" i="30"/>
  <c r="J39" i="30"/>
  <c r="J13" i="30"/>
  <c r="J32" i="30"/>
  <c r="J35" i="30"/>
  <c r="J43" i="30"/>
  <c r="J76" i="30"/>
  <c r="J66" i="30"/>
  <c r="J79" i="30"/>
  <c r="J59" i="30"/>
  <c r="J62" i="30"/>
  <c r="J8" i="30"/>
  <c r="J10" i="30"/>
  <c r="J23" i="30"/>
  <c r="J26" i="30"/>
  <c r="J18" i="30"/>
  <c r="J45" i="30"/>
  <c r="J40" i="30"/>
  <c r="J48" i="30"/>
  <c r="J81" i="30"/>
  <c r="J71" i="30"/>
  <c r="J64" i="30"/>
  <c r="J67" i="30"/>
  <c r="J19" i="30"/>
  <c r="J36" i="30"/>
  <c r="J31" i="30"/>
  <c r="J24" i="30"/>
  <c r="J33" i="30"/>
  <c r="J77" i="30"/>
  <c r="J72" i="30"/>
  <c r="J41" i="30"/>
  <c r="J44" i="30"/>
  <c r="J37" i="30"/>
  <c r="J50" i="30"/>
  <c r="J82" i="30"/>
  <c r="J52" i="30"/>
  <c r="J9" i="30"/>
  <c r="J47" i="30"/>
  <c r="J11" i="30"/>
  <c r="J20" i="30"/>
  <c r="J53" i="30"/>
  <c r="J56" i="30"/>
  <c r="J70" i="30"/>
  <c r="J42" i="30"/>
  <c r="J68" i="30"/>
  <c r="J190" i="30"/>
  <c r="J198" i="30"/>
  <c r="J211" i="30"/>
  <c r="J191" i="30"/>
  <c r="J181" i="30"/>
  <c r="J207" i="30"/>
  <c r="J220" i="30"/>
  <c r="J489" i="30"/>
  <c r="J487" i="30"/>
  <c r="J491" i="30"/>
  <c r="J22" i="30"/>
  <c r="J46" i="30"/>
  <c r="J195" i="30"/>
  <c r="J203" i="30"/>
  <c r="J216" i="30"/>
  <c r="J196" i="30"/>
  <c r="J186" i="30"/>
  <c r="J212" i="30"/>
  <c r="J225" i="30"/>
  <c r="J182" i="30"/>
  <c r="J205" i="30"/>
  <c r="J498" i="30"/>
  <c r="J496" i="30"/>
  <c r="J490" i="30"/>
  <c r="J500" i="30"/>
  <c r="J200" i="30"/>
  <c r="J208" i="30"/>
  <c r="J167" i="30"/>
  <c r="J229" i="30"/>
  <c r="J201" i="30"/>
  <c r="J199" i="30"/>
  <c r="J217" i="30"/>
  <c r="J171" i="30"/>
  <c r="J238" i="30"/>
  <c r="J233" i="30"/>
  <c r="J210" i="30"/>
  <c r="J485" i="30"/>
  <c r="J497" i="30"/>
  <c r="J16" i="30"/>
  <c r="J213" i="30"/>
  <c r="J221" i="30"/>
  <c r="J174" i="30"/>
  <c r="J234" i="30"/>
  <c r="J214" i="30"/>
  <c r="J204" i="30"/>
  <c r="J164" i="30"/>
  <c r="J230" i="30"/>
  <c r="J179" i="30"/>
  <c r="J175" i="30"/>
  <c r="J494" i="30"/>
  <c r="J483" i="30"/>
  <c r="J486" i="30"/>
  <c r="J14" i="30"/>
  <c r="J51" i="30"/>
  <c r="J57" i="30"/>
  <c r="J60" i="30"/>
  <c r="J73" i="30"/>
  <c r="J218" i="30"/>
  <c r="J226" i="30"/>
  <c r="J183" i="30"/>
  <c r="J219" i="30"/>
  <c r="J209" i="30"/>
  <c r="J168" i="30"/>
  <c r="J235" i="30"/>
  <c r="J184" i="30"/>
  <c r="J228" i="30"/>
  <c r="J192" i="30"/>
  <c r="J187" i="30"/>
  <c r="J49" i="30"/>
  <c r="J80" i="30"/>
  <c r="J78" i="30"/>
  <c r="J55" i="30"/>
  <c r="J169" i="30"/>
  <c r="J236" i="30"/>
  <c r="J180" i="30"/>
  <c r="J193" i="30"/>
  <c r="J170" i="30"/>
  <c r="J237" i="30"/>
  <c r="J166" i="30"/>
  <c r="J227" i="30"/>
  <c r="J189" i="30"/>
  <c r="J202" i="30"/>
  <c r="J29" i="30"/>
  <c r="J58" i="30"/>
  <c r="J177" i="30"/>
  <c r="J185" i="30"/>
  <c r="J206" i="30"/>
  <c r="J178" i="30"/>
  <c r="J173" i="30"/>
  <c r="J232" i="30"/>
  <c r="J194" i="30"/>
  <c r="J215" i="30"/>
  <c r="J482" i="30"/>
  <c r="J484" i="30"/>
  <c r="J69" i="30"/>
  <c r="J197" i="30"/>
  <c r="J501" i="30"/>
  <c r="J488" i="30"/>
  <c r="J546" i="30"/>
  <c r="J535" i="30"/>
  <c r="J75" i="30"/>
  <c r="J172" i="30"/>
  <c r="J495" i="30"/>
  <c r="J530" i="30"/>
  <c r="J547" i="30"/>
  <c r="J223" i="30"/>
  <c r="J543" i="30"/>
  <c r="J165" i="30"/>
  <c r="J188" i="30"/>
  <c r="J176" i="30"/>
  <c r="J536" i="30"/>
  <c r="J231" i="30"/>
  <c r="J541" i="30"/>
  <c r="J545" i="30"/>
  <c r="J544" i="30"/>
  <c r="J531" i="30"/>
  <c r="J539" i="30"/>
  <c r="J492" i="30"/>
  <c r="J493" i="30"/>
  <c r="J533" i="30"/>
  <c r="J532" i="30"/>
  <c r="J528" i="30"/>
  <c r="J540" i="30"/>
  <c r="J538" i="30"/>
  <c r="J25" i="30"/>
  <c r="J222" i="30"/>
  <c r="J499" i="30"/>
  <c r="J542" i="30"/>
  <c r="J529" i="30"/>
  <c r="J224" i="30"/>
  <c r="J534" i="30"/>
  <c r="J65" i="30"/>
  <c r="J537" i="30"/>
  <c r="M9" i="30"/>
  <c r="M8" i="30"/>
  <c r="M19" i="30"/>
  <c r="M10" i="30"/>
  <c r="M40" i="30"/>
  <c r="M28" i="30"/>
  <c r="M23" i="30"/>
  <c r="M31" i="30"/>
  <c r="M78" i="30"/>
  <c r="M49" i="30"/>
  <c r="M81" i="30"/>
  <c r="M71" i="30"/>
  <c r="M69" i="30"/>
  <c r="M194" i="30"/>
  <c r="M171" i="30"/>
  <c r="M238" i="30"/>
  <c r="M187" i="30"/>
  <c r="M200" i="30"/>
  <c r="M208" i="30"/>
  <c r="M174" i="30"/>
  <c r="M234" i="30"/>
  <c r="M191" i="30"/>
  <c r="M186" i="30"/>
  <c r="M14" i="30"/>
  <c r="M33" i="30"/>
  <c r="M36" i="30"/>
  <c r="M44" i="30"/>
  <c r="M13" i="30"/>
  <c r="M55" i="30"/>
  <c r="M74" i="30"/>
  <c r="M32" i="30"/>
  <c r="M207" i="30"/>
  <c r="M179" i="30"/>
  <c r="M192" i="30"/>
  <c r="M213" i="30"/>
  <c r="M221" i="30"/>
  <c r="M183" i="30"/>
  <c r="M196" i="30"/>
  <c r="M25" i="30"/>
  <c r="M34" i="30"/>
  <c r="M24" i="30"/>
  <c r="M52" i="30"/>
  <c r="M73" i="30"/>
  <c r="M50" i="30"/>
  <c r="M59" i="30"/>
  <c r="M72" i="30"/>
  <c r="M217" i="30"/>
  <c r="M197" i="30"/>
  <c r="M210" i="30"/>
  <c r="M165" i="30"/>
  <c r="M231" i="30"/>
  <c r="M172" i="30"/>
  <c r="M193" i="30"/>
  <c r="M214" i="30"/>
  <c r="M199" i="30"/>
  <c r="M11" i="30"/>
  <c r="M38" i="30"/>
  <c r="M39" i="30"/>
  <c r="M37" i="30"/>
  <c r="M57" i="30"/>
  <c r="M53" i="30"/>
  <c r="M64" i="30"/>
  <c r="M45" i="30"/>
  <c r="M164" i="30"/>
  <c r="M230" i="30"/>
  <c r="M202" i="30"/>
  <c r="M223" i="30"/>
  <c r="M169" i="30"/>
  <c r="M236" i="30"/>
  <c r="M180" i="30"/>
  <c r="M206" i="30"/>
  <c r="M219" i="30"/>
  <c r="M166" i="30"/>
  <c r="M173" i="30"/>
  <c r="M16" i="30"/>
  <c r="M43" i="30"/>
  <c r="M15" i="30"/>
  <c r="M42" i="30"/>
  <c r="M70" i="30"/>
  <c r="M58" i="30"/>
  <c r="M77" i="30"/>
  <c r="M67" i="30"/>
  <c r="M168" i="30"/>
  <c r="M235" i="30"/>
  <c r="M215" i="30"/>
  <c r="M175" i="30"/>
  <c r="M228" i="30"/>
  <c r="M177" i="30"/>
  <c r="M185" i="30"/>
  <c r="M211" i="30"/>
  <c r="M224" i="30"/>
  <c r="M227" i="30"/>
  <c r="M204" i="30"/>
  <c r="M35" i="30"/>
  <c r="M21" i="30"/>
  <c r="M27" i="30"/>
  <c r="M22" i="30"/>
  <c r="M61" i="30"/>
  <c r="M54" i="30"/>
  <c r="M189" i="30"/>
  <c r="M184" i="30"/>
  <c r="M182" i="30"/>
  <c r="M198" i="30"/>
  <c r="M167" i="30"/>
  <c r="M482" i="30"/>
  <c r="M12" i="30"/>
  <c r="M26" i="30"/>
  <c r="M75" i="30"/>
  <c r="M68" i="30"/>
  <c r="M66" i="30"/>
  <c r="M82" i="30"/>
  <c r="M212" i="30"/>
  <c r="M220" i="30"/>
  <c r="M205" i="30"/>
  <c r="M190" i="30"/>
  <c r="M203" i="30"/>
  <c r="M188" i="30"/>
  <c r="M209" i="30"/>
  <c r="M484" i="30"/>
  <c r="M489" i="30"/>
  <c r="M487" i="30"/>
  <c r="M17" i="30"/>
  <c r="M46" i="30"/>
  <c r="M60" i="30"/>
  <c r="M56" i="30"/>
  <c r="M178" i="30"/>
  <c r="M181" i="30"/>
  <c r="M494" i="30"/>
  <c r="M483" i="30"/>
  <c r="M20" i="30"/>
  <c r="M18" i="30"/>
  <c r="M65" i="30"/>
  <c r="M63" i="30"/>
  <c r="M79" i="30"/>
  <c r="M62" i="30"/>
  <c r="M201" i="30"/>
  <c r="M232" i="30"/>
  <c r="M486" i="30"/>
  <c r="M501" i="30"/>
  <c r="M492" i="30"/>
  <c r="M30" i="30"/>
  <c r="M176" i="30"/>
  <c r="M495" i="30"/>
  <c r="M80" i="30"/>
  <c r="M229" i="30"/>
  <c r="M222" i="30"/>
  <c r="M490" i="30"/>
  <c r="M41" i="30"/>
  <c r="M29" i="30"/>
  <c r="M226" i="30"/>
  <c r="M497" i="30"/>
  <c r="M540" i="30"/>
  <c r="M48" i="30"/>
  <c r="M225" i="30"/>
  <c r="M488" i="30"/>
  <c r="M491" i="30"/>
  <c r="M195" i="30"/>
  <c r="M170" i="30"/>
  <c r="M500" i="30"/>
  <c r="M536" i="30"/>
  <c r="M546" i="30"/>
  <c r="M218" i="30"/>
  <c r="M237" i="30"/>
  <c r="M496" i="30"/>
  <c r="M535" i="30"/>
  <c r="M547" i="30"/>
  <c r="M76" i="30"/>
  <c r="M233" i="30"/>
  <c r="M499" i="30"/>
  <c r="M537" i="30"/>
  <c r="M534" i="30"/>
  <c r="M47" i="30"/>
  <c r="M51" i="30"/>
  <c r="M216" i="30"/>
  <c r="M493" i="30"/>
  <c r="M498" i="30"/>
  <c r="M485" i="30"/>
  <c r="M544" i="30"/>
  <c r="M539" i="30"/>
  <c r="M531" i="30"/>
  <c r="M529" i="30"/>
  <c r="M543" i="30"/>
  <c r="M533" i="30"/>
  <c r="M528" i="30"/>
  <c r="M532" i="30"/>
  <c r="M542" i="30"/>
  <c r="M541" i="30"/>
  <c r="M538" i="30"/>
  <c r="M545" i="30"/>
  <c r="M530" i="30"/>
  <c r="M239" i="29"/>
  <c r="N239" i="29"/>
  <c r="N8" i="30"/>
  <c r="N45" i="30"/>
  <c r="N40" i="30"/>
  <c r="N48" i="30"/>
  <c r="N10" i="30"/>
  <c r="N9" i="30"/>
  <c r="N19" i="30"/>
  <c r="N14" i="30"/>
  <c r="N11" i="30"/>
  <c r="N20" i="30"/>
  <c r="N27" i="30"/>
  <c r="N30" i="30"/>
  <c r="N38" i="30"/>
  <c r="N16" i="30"/>
  <c r="N43" i="30"/>
  <c r="N36" i="30"/>
  <c r="N31" i="30"/>
  <c r="N70" i="30"/>
  <c r="N73" i="30"/>
  <c r="N53" i="30"/>
  <c r="N199" i="30"/>
  <c r="N217" i="30"/>
  <c r="N184" i="30"/>
  <c r="N187" i="30"/>
  <c r="N200" i="30"/>
  <c r="N208" i="30"/>
  <c r="N216" i="30"/>
  <c r="N170" i="30"/>
  <c r="N22" i="30"/>
  <c r="N35" i="30"/>
  <c r="N28" i="30"/>
  <c r="N41" i="30"/>
  <c r="N44" i="30"/>
  <c r="N75" i="30"/>
  <c r="N42" i="30"/>
  <c r="N58" i="30"/>
  <c r="N64" i="30"/>
  <c r="N204" i="30"/>
  <c r="N164" i="30"/>
  <c r="N230" i="30"/>
  <c r="N197" i="30"/>
  <c r="N192" i="30"/>
  <c r="N213" i="30"/>
  <c r="N221" i="30"/>
  <c r="N167" i="30"/>
  <c r="N229" i="30"/>
  <c r="N201" i="30"/>
  <c r="N214" i="30"/>
  <c r="N32" i="30"/>
  <c r="N33" i="30"/>
  <c r="N49" i="30"/>
  <c r="N62" i="30"/>
  <c r="N80" i="30"/>
  <c r="N60" i="30"/>
  <c r="N63" i="30"/>
  <c r="N18" i="30"/>
  <c r="N13" i="30"/>
  <c r="N77" i="30"/>
  <c r="N209" i="30"/>
  <c r="N168" i="30"/>
  <c r="N235" i="30"/>
  <c r="N202" i="30"/>
  <c r="N205" i="30"/>
  <c r="N218" i="30"/>
  <c r="N226" i="30"/>
  <c r="N174" i="30"/>
  <c r="N234" i="30"/>
  <c r="N46" i="30"/>
  <c r="N67" i="30"/>
  <c r="N65" i="30"/>
  <c r="N76" i="30"/>
  <c r="N61" i="30"/>
  <c r="N51" i="30"/>
  <c r="N54" i="30"/>
  <c r="N59" i="30"/>
  <c r="N222" i="30"/>
  <c r="N176" i="30"/>
  <c r="N215" i="30"/>
  <c r="N210" i="30"/>
  <c r="N165" i="30"/>
  <c r="N231" i="30"/>
  <c r="N172" i="30"/>
  <c r="N183" i="30"/>
  <c r="N178" i="30"/>
  <c r="N29" i="30"/>
  <c r="N72" i="30"/>
  <c r="N78" i="30"/>
  <c r="N81" i="30"/>
  <c r="N66" i="30"/>
  <c r="N56" i="30"/>
  <c r="N166" i="30"/>
  <c r="N227" i="30"/>
  <c r="N189" i="30"/>
  <c r="N220" i="30"/>
  <c r="N223" i="30"/>
  <c r="N169" i="30"/>
  <c r="N236" i="30"/>
  <c r="N180" i="30"/>
  <c r="N188" i="30"/>
  <c r="N12" i="30"/>
  <c r="N15" i="30"/>
  <c r="N34" i="30"/>
  <c r="N47" i="30"/>
  <c r="N24" i="30"/>
  <c r="N71" i="30"/>
  <c r="N69" i="30"/>
  <c r="N173" i="30"/>
  <c r="N232" i="30"/>
  <c r="N194" i="30"/>
  <c r="N225" i="30"/>
  <c r="N175" i="30"/>
  <c r="N228" i="30"/>
  <c r="N177" i="30"/>
  <c r="N185" i="30"/>
  <c r="N193" i="30"/>
  <c r="N191" i="30"/>
  <c r="N219" i="30"/>
  <c r="N39" i="30"/>
  <c r="N238" i="30"/>
  <c r="N484" i="30"/>
  <c r="N489" i="30"/>
  <c r="N487" i="30"/>
  <c r="N182" i="30"/>
  <c r="N491" i="30"/>
  <c r="N498" i="30"/>
  <c r="N496" i="30"/>
  <c r="N55" i="30"/>
  <c r="N74" i="30"/>
  <c r="N207" i="30"/>
  <c r="N233" i="30"/>
  <c r="N490" i="30"/>
  <c r="N500" i="30"/>
  <c r="N25" i="30"/>
  <c r="N68" i="30"/>
  <c r="N79" i="30"/>
  <c r="N212" i="30"/>
  <c r="N497" i="30"/>
  <c r="N17" i="30"/>
  <c r="N52" i="30"/>
  <c r="N37" i="30"/>
  <c r="N190" i="30"/>
  <c r="N23" i="30"/>
  <c r="N57" i="30"/>
  <c r="N50" i="30"/>
  <c r="N82" i="30"/>
  <c r="N195" i="30"/>
  <c r="N237" i="30"/>
  <c r="N224" i="30"/>
  <c r="N488" i="30"/>
  <c r="N493" i="30"/>
  <c r="N21" i="30"/>
  <c r="N181" i="30"/>
  <c r="N171" i="30"/>
  <c r="N198" i="30"/>
  <c r="N206" i="30"/>
  <c r="N196" i="30"/>
  <c r="N495" i="30"/>
  <c r="N26" i="30"/>
  <c r="N186" i="30"/>
  <c r="N179" i="30"/>
  <c r="N203" i="30"/>
  <c r="N211" i="30"/>
  <c r="N482" i="30"/>
  <c r="N494" i="30"/>
  <c r="N483" i="30"/>
  <c r="N501" i="30"/>
  <c r="N492" i="30"/>
  <c r="N486" i="30"/>
  <c r="N485" i="30"/>
  <c r="N499" i="30"/>
  <c r="N544" i="30"/>
  <c r="N545" i="30"/>
  <c r="N529" i="30"/>
  <c r="N534" i="30"/>
  <c r="N535" i="30"/>
  <c r="N538" i="30"/>
  <c r="N537" i="30"/>
  <c r="N533" i="30"/>
  <c r="N531" i="30"/>
  <c r="N539" i="30"/>
  <c r="N528" i="30"/>
  <c r="N546" i="30"/>
  <c r="N543" i="30"/>
  <c r="N530" i="30"/>
  <c r="N541" i="30"/>
  <c r="N532" i="30"/>
  <c r="N536" i="30"/>
  <c r="N547" i="30"/>
  <c r="N542" i="30"/>
  <c r="N540" i="30"/>
  <c r="N83" i="29"/>
  <c r="J239" i="29"/>
  <c r="M83" i="29"/>
  <c r="Q132" i="27"/>
  <c r="K137" i="34"/>
  <c r="I132" i="27"/>
  <c r="M132" i="27"/>
  <c r="O57" i="32" s="1"/>
  <c r="K752" i="35"/>
  <c r="J752" i="35"/>
  <c r="P83" i="47"/>
  <c r="P91" i="47"/>
  <c r="P99" i="47"/>
  <c r="P82" i="47"/>
  <c r="P90" i="47"/>
  <c r="P98" i="47"/>
  <c r="P81" i="47"/>
  <c r="P89" i="47"/>
  <c r="P97" i="47"/>
  <c r="P105" i="47"/>
  <c r="P80" i="47"/>
  <c r="P88" i="47"/>
  <c r="P96" i="47"/>
  <c r="P104" i="47"/>
  <c r="P78" i="47"/>
  <c r="P79" i="47"/>
  <c r="P87" i="47"/>
  <c r="P95" i="47"/>
  <c r="P103" i="47"/>
  <c r="P86" i="47"/>
  <c r="P94" i="47"/>
  <c r="P102" i="47"/>
  <c r="P85" i="47"/>
  <c r="P93" i="47"/>
  <c r="P101" i="47"/>
  <c r="P84" i="47"/>
  <c r="P92" i="47"/>
  <c r="P100" i="47"/>
  <c r="K763" i="35"/>
  <c r="J763" i="35"/>
  <c r="I763" i="35"/>
  <c r="Q113" i="47"/>
  <c r="Q121" i="47"/>
  <c r="Q129" i="47"/>
  <c r="Q112" i="47"/>
  <c r="Q120" i="47"/>
  <c r="Q128" i="47"/>
  <c r="Q136" i="47"/>
  <c r="Q111" i="47"/>
  <c r="Q119" i="47"/>
  <c r="Q127" i="47"/>
  <c r="Q135" i="47"/>
  <c r="Q110" i="47"/>
  <c r="Q118" i="47"/>
  <c r="Q126" i="47"/>
  <c r="Q134" i="47"/>
  <c r="Q109" i="47"/>
  <c r="Q117" i="47"/>
  <c r="Q125" i="47"/>
  <c r="Q133" i="47"/>
  <c r="Q116" i="47"/>
  <c r="Q124" i="47"/>
  <c r="Q132" i="47"/>
  <c r="Q115" i="47"/>
  <c r="Q123" i="47"/>
  <c r="Q131" i="47"/>
  <c r="Q114" i="47"/>
  <c r="Q122" i="47"/>
  <c r="Q130" i="47"/>
  <c r="J133" i="50"/>
  <c r="I137" i="34"/>
  <c r="I757" i="35"/>
  <c r="K757" i="35"/>
  <c r="J240" i="50"/>
  <c r="Q84" i="47"/>
  <c r="Q92" i="47"/>
  <c r="Q100" i="47"/>
  <c r="Q83" i="47"/>
  <c r="Q91" i="47"/>
  <c r="Q99" i="47"/>
  <c r="Q82" i="47"/>
  <c r="Q90" i="47"/>
  <c r="Q98" i="47"/>
  <c r="Q81" i="47"/>
  <c r="Q89" i="47"/>
  <c r="Q97" i="47"/>
  <c r="Q105" i="47"/>
  <c r="Q80" i="47"/>
  <c r="Q88" i="47"/>
  <c r="Q96" i="47"/>
  <c r="Q104" i="47"/>
  <c r="Q79" i="47"/>
  <c r="Q87" i="47"/>
  <c r="Q95" i="47"/>
  <c r="Q103" i="47"/>
  <c r="Q78" i="47"/>
  <c r="Q86" i="47"/>
  <c r="Q94" i="47"/>
  <c r="Q102" i="47"/>
  <c r="Q85" i="47"/>
  <c r="Q93" i="47"/>
  <c r="Q101" i="47"/>
  <c r="P112" i="47"/>
  <c r="P120" i="47"/>
  <c r="P128" i="47"/>
  <c r="P136" i="47"/>
  <c r="P111" i="47"/>
  <c r="P119" i="47"/>
  <c r="P127" i="47"/>
  <c r="P135" i="47"/>
  <c r="P109" i="47"/>
  <c r="P110" i="47"/>
  <c r="P118" i="47"/>
  <c r="P126" i="47"/>
  <c r="P134" i="47"/>
  <c r="P117" i="47"/>
  <c r="P125" i="47"/>
  <c r="P133" i="47"/>
  <c r="P116" i="47"/>
  <c r="P124" i="47"/>
  <c r="P132" i="47"/>
  <c r="P115" i="47"/>
  <c r="P123" i="47"/>
  <c r="P131" i="47"/>
  <c r="P114" i="47"/>
  <c r="P122" i="47"/>
  <c r="P130" i="47"/>
  <c r="P113" i="47"/>
  <c r="P121" i="47"/>
  <c r="P129" i="47"/>
  <c r="J650" i="35"/>
  <c r="Q650" i="35"/>
  <c r="K777" i="35"/>
  <c r="J777" i="35"/>
  <c r="I777" i="35"/>
  <c r="K758" i="35"/>
  <c r="K775" i="35"/>
  <c r="I775" i="35"/>
  <c r="G87" i="50"/>
  <c r="J772" i="35"/>
  <c r="I772" i="35"/>
  <c r="E183" i="30" l="1"/>
  <c r="K656" i="35"/>
  <c r="D381" i="18"/>
  <c r="E440" i="30"/>
  <c r="G150" i="30"/>
  <c r="D236" i="18"/>
  <c r="D220" i="18"/>
  <c r="E326" i="18"/>
  <c r="P755" i="35" a="1"/>
  <c r="P755" i="35" s="1"/>
  <c r="E135" i="18"/>
  <c r="D138" i="18"/>
  <c r="G100" i="18"/>
  <c r="E151" i="18"/>
  <c r="D112" i="18"/>
  <c r="G333" i="30"/>
  <c r="E351" i="30"/>
  <c r="G235" i="30"/>
  <c r="E429" i="18"/>
  <c r="S719" i="35"/>
  <c r="G323" i="18"/>
  <c r="E209" i="18"/>
  <c r="J656" i="35"/>
  <c r="D449" i="30"/>
  <c r="D125" i="30"/>
  <c r="E228" i="18"/>
  <c r="G132" i="30"/>
  <c r="D326" i="18"/>
  <c r="D408" i="18"/>
  <c r="D139" i="18"/>
  <c r="E238" i="18"/>
  <c r="E357" i="18"/>
  <c r="D147" i="18"/>
  <c r="D452" i="18"/>
  <c r="G422" i="30"/>
  <c r="K780" i="35"/>
  <c r="E194" i="18"/>
  <c r="G366" i="30"/>
  <c r="G417" i="30"/>
  <c r="E334" i="30"/>
  <c r="D156" i="30"/>
  <c r="G202" i="18"/>
  <c r="U11" i="46" a="1"/>
  <c r="U11" i="46" s="1"/>
  <c r="D418" i="18"/>
  <c r="E462" i="30"/>
  <c r="E110" i="30"/>
  <c r="D229" i="30"/>
  <c r="D136" i="18"/>
  <c r="G350" i="30"/>
  <c r="E165" i="30"/>
  <c r="G187" i="30"/>
  <c r="E130" i="30"/>
  <c r="G362" i="18"/>
  <c r="G368" i="30"/>
  <c r="E178" i="18"/>
  <c r="G171" i="30"/>
  <c r="G327" i="18"/>
  <c r="D339" i="30"/>
  <c r="D432" i="18"/>
  <c r="F236" i="18"/>
  <c r="U26" i="46" a="1"/>
  <c r="U26" i="46" s="1"/>
  <c r="G134" i="18"/>
  <c r="G358" i="30"/>
  <c r="D172" i="30"/>
  <c r="G123" i="30"/>
  <c r="E325" i="18"/>
  <c r="D183" i="30"/>
  <c r="D149" i="18"/>
  <c r="I758" i="35"/>
  <c r="E434" i="18"/>
  <c r="J672" i="35"/>
  <c r="I673" i="35"/>
  <c r="F148" i="18"/>
  <c r="F472" i="18"/>
  <c r="G95" i="30"/>
  <c r="F392" i="18"/>
  <c r="F393" i="18"/>
  <c r="F223" i="18"/>
  <c r="F142" i="18"/>
  <c r="F165" i="18"/>
  <c r="K761" i="35"/>
  <c r="AP322" i="19"/>
  <c r="U10" i="46" a="1"/>
  <c r="U10" i="46" s="1"/>
  <c r="G89" i="30"/>
  <c r="D214" i="30"/>
  <c r="E358" i="18"/>
  <c r="G119" i="30"/>
  <c r="F125" i="18"/>
  <c r="F381" i="18"/>
  <c r="D204" i="30"/>
  <c r="G330" i="18"/>
  <c r="D180" i="18"/>
  <c r="E96" i="18"/>
  <c r="F123" i="18"/>
  <c r="F90" i="18"/>
  <c r="G192" i="30"/>
  <c r="E130" i="18"/>
  <c r="D100" i="18"/>
  <c r="G143" i="18"/>
  <c r="F197" i="18"/>
  <c r="P780" i="35" a="1"/>
  <c r="P780" i="35" s="1"/>
  <c r="P771" i="35" a="1"/>
  <c r="P771" i="35" s="1"/>
  <c r="G108" i="18"/>
  <c r="G113" i="18"/>
  <c r="E110" i="18"/>
  <c r="E381" i="18"/>
  <c r="G341" i="30"/>
  <c r="E149" i="18"/>
  <c r="E198" i="18"/>
  <c r="E121" i="18"/>
  <c r="F133" i="18"/>
  <c r="P775" i="35" a="1"/>
  <c r="P775" i="35" s="1"/>
  <c r="AC24" i="29"/>
  <c r="AC83" i="29" s="1"/>
  <c r="N127" i="45"/>
  <c r="G350" i="18"/>
  <c r="E369" i="30"/>
  <c r="D97" i="30"/>
  <c r="U9" i="46" a="1"/>
  <c r="U9" i="46" s="1"/>
  <c r="D448" i="18"/>
  <c r="G324" i="30"/>
  <c r="G384" i="18"/>
  <c r="G158" i="30"/>
  <c r="E363" i="18"/>
  <c r="F160" i="18"/>
  <c r="F110" i="18"/>
  <c r="AC103" i="30"/>
  <c r="K657" i="35"/>
  <c r="K652" i="35"/>
  <c r="J652" i="35"/>
  <c r="E460" i="18"/>
  <c r="Q83" i="29"/>
  <c r="P83" i="29"/>
  <c r="G797" i="35"/>
  <c r="M797" i="35"/>
  <c r="G814" i="35"/>
  <c r="M814" i="35"/>
  <c r="M811" i="35"/>
  <c r="G811" i="35"/>
  <c r="M810" i="35"/>
  <c r="G810" i="35"/>
  <c r="G787" i="35"/>
  <c r="M787" i="35"/>
  <c r="G788" i="35"/>
  <c r="M788" i="35"/>
  <c r="G790" i="35"/>
  <c r="M790" i="35"/>
  <c r="G792" i="35"/>
  <c r="M792" i="35"/>
  <c r="G801" i="35"/>
  <c r="M801" i="35"/>
  <c r="G799" i="35"/>
  <c r="M799" i="35"/>
  <c r="G800" i="35"/>
  <c r="M800" i="35"/>
  <c r="G796" i="35"/>
  <c r="M796" i="35"/>
  <c r="M805" i="35"/>
  <c r="G805" i="35"/>
  <c r="G809" i="35"/>
  <c r="M809" i="35"/>
  <c r="M753" i="35"/>
  <c r="G753" i="35"/>
  <c r="G804" i="35"/>
  <c r="M804" i="35"/>
  <c r="M802" i="35"/>
  <c r="G802" i="35"/>
  <c r="M798" i="35"/>
  <c r="G798" i="35"/>
  <c r="M813" i="35"/>
  <c r="G813" i="35"/>
  <c r="G791" i="35"/>
  <c r="M791" i="35"/>
  <c r="M795" i="35"/>
  <c r="G795" i="35"/>
  <c r="M794" i="35"/>
  <c r="G794" i="35"/>
  <c r="M803" i="35"/>
  <c r="G803" i="35"/>
  <c r="G808" i="35"/>
  <c r="M808" i="35"/>
  <c r="G793" i="35"/>
  <c r="M793" i="35"/>
  <c r="M789" i="35"/>
  <c r="G789" i="35"/>
  <c r="G812" i="35"/>
  <c r="M812" i="35"/>
  <c r="M806" i="35"/>
  <c r="G806" i="35"/>
  <c r="G807" i="35"/>
  <c r="M807" i="35"/>
  <c r="U8" i="46" a="1"/>
  <c r="U8" i="46" s="1"/>
  <c r="AP320" i="19"/>
  <c r="U17" i="46" a="1"/>
  <c r="U17" i="46" s="1"/>
  <c r="AP329" i="19"/>
  <c r="U24" i="46" a="1"/>
  <c r="U24" i="46" s="1"/>
  <c r="AP336" i="19"/>
  <c r="U22" i="46" a="1"/>
  <c r="U22" i="46" s="1"/>
  <c r="AP334" i="19"/>
  <c r="U14" i="46" a="1"/>
  <c r="U14" i="46" s="1"/>
  <c r="AP326" i="19"/>
  <c r="U16" i="46" a="1"/>
  <c r="U16" i="46" s="1"/>
  <c r="AP328" i="19"/>
  <c r="U20" i="46" a="1"/>
  <c r="U20" i="46" s="1"/>
  <c r="AP332" i="19"/>
  <c r="U19" i="46" a="1"/>
  <c r="U19" i="46" s="1"/>
  <c r="AP331" i="19"/>
  <c r="U13" i="46" a="1"/>
  <c r="U13" i="46" s="1"/>
  <c r="AP325" i="19"/>
  <c r="U15" i="46" a="1"/>
  <c r="U15" i="46" s="1"/>
  <c r="AP327" i="19"/>
  <c r="U25" i="46" a="1"/>
  <c r="U25" i="46" s="1"/>
  <c r="AP337" i="19"/>
  <c r="E387" i="18"/>
  <c r="E359" i="30"/>
  <c r="G337" i="18"/>
  <c r="D451" i="18"/>
  <c r="D183" i="18"/>
  <c r="D410" i="18"/>
  <c r="G203" i="30"/>
  <c r="E337" i="18"/>
  <c r="G434" i="18"/>
  <c r="G188" i="18"/>
  <c r="E349" i="18"/>
  <c r="E213" i="30"/>
  <c r="F332" i="18"/>
  <c r="G126" i="30"/>
  <c r="G115" i="30"/>
  <c r="G379" i="18"/>
  <c r="E124" i="18"/>
  <c r="G135" i="18"/>
  <c r="G149" i="18"/>
  <c r="G325" i="30"/>
  <c r="G403" i="18"/>
  <c r="G102" i="18"/>
  <c r="D204" i="18"/>
  <c r="D229" i="18"/>
  <c r="D323" i="30"/>
  <c r="E124" i="30"/>
  <c r="E100" i="30"/>
  <c r="E126" i="30"/>
  <c r="E112" i="18"/>
  <c r="E229" i="30"/>
  <c r="E373" i="30"/>
  <c r="G368" i="18"/>
  <c r="J143" i="50"/>
  <c r="G433" i="30"/>
  <c r="D378" i="30"/>
  <c r="E99" i="18"/>
  <c r="G354" i="18"/>
  <c r="F224" i="18"/>
  <c r="F430" i="18"/>
  <c r="F143" i="18"/>
  <c r="D220" i="30"/>
  <c r="G353" i="30"/>
  <c r="D208" i="18"/>
  <c r="I780" i="35"/>
  <c r="T83" i="29"/>
  <c r="O148" i="31"/>
  <c r="R148" i="31" s="1"/>
  <c r="J758" i="35"/>
  <c r="S83" i="29"/>
  <c r="J776" i="35"/>
  <c r="F354" i="18"/>
  <c r="E445" i="18"/>
  <c r="E441" i="30"/>
  <c r="D226" i="30"/>
  <c r="F424" i="18"/>
  <c r="G120" i="18"/>
  <c r="E236" i="18"/>
  <c r="T99" i="30"/>
  <c r="T21" i="30"/>
  <c r="T177" i="30"/>
  <c r="M103" i="29"/>
  <c r="M192" i="43"/>
  <c r="M36" i="43" s="1"/>
  <c r="K103" i="29"/>
  <c r="K192" i="43"/>
  <c r="K36" i="43" s="1"/>
  <c r="J178" i="43"/>
  <c r="J22" i="43" s="1"/>
  <c r="J89" i="29"/>
  <c r="M93" i="30"/>
  <c r="N138" i="31"/>
  <c r="T99" i="29"/>
  <c r="T188" i="43"/>
  <c r="T32" i="43" s="1"/>
  <c r="I99" i="29"/>
  <c r="I188" i="43"/>
  <c r="I32" i="43" s="1"/>
  <c r="P98" i="29"/>
  <c r="P187" i="43"/>
  <c r="P31" i="43" s="1"/>
  <c r="N98" i="29"/>
  <c r="N187" i="43"/>
  <c r="N31" i="43" s="1"/>
  <c r="P104" i="30"/>
  <c r="P26" i="30"/>
  <c r="P182" i="30"/>
  <c r="J104" i="30"/>
  <c r="K149" i="31"/>
  <c r="K29" i="31" s="1"/>
  <c r="T89" i="30"/>
  <c r="T11" i="30"/>
  <c r="T167" i="30"/>
  <c r="O87" i="30"/>
  <c r="O9" i="30"/>
  <c r="O165" i="30"/>
  <c r="Q87" i="30"/>
  <c r="Q9" i="30"/>
  <c r="Q165" i="30"/>
  <c r="T98" i="30"/>
  <c r="T20" i="30"/>
  <c r="T176" i="30"/>
  <c r="K98" i="30"/>
  <c r="L143" i="31"/>
  <c r="K176" i="30"/>
  <c r="K20" i="30"/>
  <c r="O105" i="29"/>
  <c r="O194" i="43"/>
  <c r="O38" i="43" s="1"/>
  <c r="L105" i="29"/>
  <c r="L194" i="43"/>
  <c r="L38" i="43" s="1"/>
  <c r="S86" i="29"/>
  <c r="S175" i="43"/>
  <c r="P94" i="29"/>
  <c r="P183" i="43"/>
  <c r="P27" i="43" s="1"/>
  <c r="M94" i="29"/>
  <c r="M183" i="43"/>
  <c r="M27" i="43" s="1"/>
  <c r="S96" i="29"/>
  <c r="S185" i="43"/>
  <c r="S29" i="43" s="1"/>
  <c r="J185" i="43"/>
  <c r="J29" i="43" s="1"/>
  <c r="J96" i="29"/>
  <c r="T87" i="29"/>
  <c r="T176" i="43"/>
  <c r="T20" i="43" s="1"/>
  <c r="M101" i="30"/>
  <c r="N146" i="31"/>
  <c r="L96" i="30"/>
  <c r="M141" i="31"/>
  <c r="L18" i="30"/>
  <c r="L174" i="30"/>
  <c r="Q94" i="30"/>
  <c r="Q16" i="30"/>
  <c r="Q172" i="30"/>
  <c r="O95" i="29"/>
  <c r="O184" i="43"/>
  <c r="O28" i="43" s="1"/>
  <c r="S102" i="30"/>
  <c r="S24" i="30"/>
  <c r="S180" i="30"/>
  <c r="L102" i="30"/>
  <c r="M147" i="31"/>
  <c r="M28" i="31" s="1"/>
  <c r="L180" i="30"/>
  <c r="L24" i="30"/>
  <c r="I135" i="31"/>
  <c r="K91" i="12"/>
  <c r="I168" i="30"/>
  <c r="I90" i="30"/>
  <c r="I12" i="30"/>
  <c r="M90" i="30"/>
  <c r="N135" i="31"/>
  <c r="R97" i="30"/>
  <c r="R19" i="30"/>
  <c r="R175" i="30"/>
  <c r="S101" i="29"/>
  <c r="S190" i="43"/>
  <c r="S34" i="43" s="1"/>
  <c r="J182" i="43"/>
  <c r="J26" i="43" s="1"/>
  <c r="J93" i="29"/>
  <c r="L93" i="29"/>
  <c r="L182" i="43"/>
  <c r="L26" i="43" s="1"/>
  <c r="S105" i="30"/>
  <c r="S27" i="30"/>
  <c r="S183" i="30"/>
  <c r="K102" i="29"/>
  <c r="K191" i="43"/>
  <c r="K35" i="43" s="1"/>
  <c r="I102" i="29"/>
  <c r="I191" i="43"/>
  <c r="I35" i="43" s="1"/>
  <c r="O90" i="29"/>
  <c r="O179" i="43"/>
  <c r="O23" i="43" s="1"/>
  <c r="P97" i="29"/>
  <c r="P186" i="43"/>
  <c r="P30" i="43" s="1"/>
  <c r="T91" i="29"/>
  <c r="T180" i="43"/>
  <c r="T24" i="43" s="1"/>
  <c r="O91" i="29"/>
  <c r="O180" i="43"/>
  <c r="O24" i="43" s="1"/>
  <c r="O100" i="29"/>
  <c r="O189" i="43"/>
  <c r="O33" i="43" s="1"/>
  <c r="O22" i="46" s="1" a="1"/>
  <c r="O22" i="46" s="1"/>
  <c r="K88" i="29"/>
  <c r="K177" i="43"/>
  <c r="K21" i="43" s="1"/>
  <c r="O95" i="30"/>
  <c r="O17" i="30"/>
  <c r="O173" i="30"/>
  <c r="R95" i="30"/>
  <c r="R17" i="30"/>
  <c r="R173" i="30"/>
  <c r="R92" i="30"/>
  <c r="R170" i="30"/>
  <c r="R14" i="30"/>
  <c r="K92" i="30"/>
  <c r="L137" i="31"/>
  <c r="K14" i="30"/>
  <c r="K170" i="30"/>
  <c r="Q88" i="30"/>
  <c r="Q10" i="30"/>
  <c r="Q166" i="30"/>
  <c r="K88" i="30"/>
  <c r="L133" i="31"/>
  <c r="K10" i="30"/>
  <c r="K166" i="30"/>
  <c r="I136" i="31"/>
  <c r="K92" i="12"/>
  <c r="I169" i="30"/>
  <c r="I91" i="30"/>
  <c r="I13" i="30"/>
  <c r="M91" i="30"/>
  <c r="N136" i="31"/>
  <c r="W162" i="12"/>
  <c r="S86" i="30"/>
  <c r="S8" i="30"/>
  <c r="S164" i="30"/>
  <c r="Q162" i="12"/>
  <c r="M86" i="30"/>
  <c r="N131" i="31"/>
  <c r="N181" i="43"/>
  <c r="N25" i="43" s="1"/>
  <c r="N92" i="29"/>
  <c r="I104" i="29"/>
  <c r="I193" i="43"/>
  <c r="I37" i="43" s="1"/>
  <c r="S104" i="29"/>
  <c r="S193" i="43"/>
  <c r="S37" i="43" s="1"/>
  <c r="S19" i="43"/>
  <c r="P103" i="29"/>
  <c r="P192" i="43"/>
  <c r="P36" i="43" s="1"/>
  <c r="T103" i="29"/>
  <c r="T192" i="43"/>
  <c r="T36" i="43" s="1"/>
  <c r="K89" i="29"/>
  <c r="K178" i="43"/>
  <c r="K22" i="43" s="1"/>
  <c r="S93" i="30"/>
  <c r="S15" i="30"/>
  <c r="S171" i="30"/>
  <c r="K93" i="30"/>
  <c r="L138" i="31"/>
  <c r="K171" i="30"/>
  <c r="K15" i="30"/>
  <c r="K99" i="29"/>
  <c r="K188" i="43"/>
  <c r="K32" i="43" s="1"/>
  <c r="L99" i="29"/>
  <c r="L188" i="43"/>
  <c r="L32" i="43" s="1"/>
  <c r="M98" i="29"/>
  <c r="M187" i="43"/>
  <c r="M31" i="43" s="1"/>
  <c r="T98" i="29"/>
  <c r="T187" i="43"/>
  <c r="T31" i="43" s="1"/>
  <c r="T104" i="30"/>
  <c r="T182" i="30"/>
  <c r="T26" i="30"/>
  <c r="S89" i="30"/>
  <c r="S167" i="30"/>
  <c r="S11" i="30"/>
  <c r="I132" i="31"/>
  <c r="K88" i="12"/>
  <c r="I165" i="30"/>
  <c r="I87" i="30"/>
  <c r="I9" i="30"/>
  <c r="L87" i="30"/>
  <c r="M132" i="31"/>
  <c r="L9" i="30"/>
  <c r="L165" i="30"/>
  <c r="L98" i="30"/>
  <c r="M143" i="31"/>
  <c r="L176" i="30"/>
  <c r="L20" i="30"/>
  <c r="Q105" i="29"/>
  <c r="Q194" i="43"/>
  <c r="Q38" i="43" s="1"/>
  <c r="Q86" i="29"/>
  <c r="Q175" i="43"/>
  <c r="Q19" i="43" s="1"/>
  <c r="M86" i="29"/>
  <c r="M175" i="43"/>
  <c r="J183" i="43"/>
  <c r="J27" i="43" s="1"/>
  <c r="J94" i="29"/>
  <c r="L96" i="29"/>
  <c r="L185" i="43"/>
  <c r="L29" i="43" s="1"/>
  <c r="N185" i="43"/>
  <c r="N29" i="43" s="1"/>
  <c r="AI330" i="19" s="1"/>
  <c r="N96" i="29"/>
  <c r="P87" i="29"/>
  <c r="P176" i="43"/>
  <c r="P20" i="43" s="1"/>
  <c r="Q87" i="29"/>
  <c r="Q176" i="43"/>
  <c r="Q20" i="43" s="1"/>
  <c r="S96" i="30"/>
  <c r="S174" i="30"/>
  <c r="S18" i="30"/>
  <c r="M96" i="30"/>
  <c r="N141" i="31"/>
  <c r="L95" i="29"/>
  <c r="L184" i="43"/>
  <c r="L28" i="43" s="1"/>
  <c r="I147" i="31"/>
  <c r="K103" i="12"/>
  <c r="I180" i="30"/>
  <c r="I24" i="30"/>
  <c r="I102" i="30"/>
  <c r="M102" i="30"/>
  <c r="N147" i="31"/>
  <c r="S90" i="30"/>
  <c r="S12" i="30"/>
  <c r="S168" i="30"/>
  <c r="P97" i="30"/>
  <c r="P19" i="30"/>
  <c r="P175" i="30"/>
  <c r="I101" i="29"/>
  <c r="I190" i="43"/>
  <c r="I34" i="43" s="1"/>
  <c r="R101" i="29"/>
  <c r="R190" i="43"/>
  <c r="R34" i="43" s="1"/>
  <c r="K93" i="29"/>
  <c r="K182" i="43"/>
  <c r="K26" i="43" s="1"/>
  <c r="Q93" i="29"/>
  <c r="Q182" i="43"/>
  <c r="Q26" i="43" s="1"/>
  <c r="O105" i="30"/>
  <c r="O27" i="30"/>
  <c r="O183" i="30"/>
  <c r="Q105" i="30"/>
  <c r="Q27" i="30"/>
  <c r="Q183" i="30"/>
  <c r="J102" i="29"/>
  <c r="J191" i="43"/>
  <c r="J35" i="43" s="1"/>
  <c r="L90" i="29"/>
  <c r="L179" i="43"/>
  <c r="L23" i="43" s="1"/>
  <c r="J179" i="43"/>
  <c r="J23" i="43" s="1"/>
  <c r="J90" i="29"/>
  <c r="J180" i="43"/>
  <c r="J24" i="43" s="1"/>
  <c r="J91" i="29"/>
  <c r="S91" i="29"/>
  <c r="S180" i="43"/>
  <c r="S24" i="43" s="1"/>
  <c r="Q100" i="29"/>
  <c r="Q189" i="43"/>
  <c r="Q33" i="43" s="1"/>
  <c r="Q22" i="46" s="1" a="1"/>
  <c r="Q22" i="46" s="1"/>
  <c r="P100" i="29"/>
  <c r="P189" i="43"/>
  <c r="P33" i="43" s="1"/>
  <c r="P22" i="46" s="1" a="1"/>
  <c r="P22" i="46" s="1"/>
  <c r="T88" i="29"/>
  <c r="T177" i="43"/>
  <c r="T21" i="43" s="1"/>
  <c r="P95" i="30"/>
  <c r="P173" i="30"/>
  <c r="P17" i="30"/>
  <c r="L95" i="30"/>
  <c r="M140" i="31"/>
  <c r="L17" i="30"/>
  <c r="L173" i="30"/>
  <c r="I137" i="31"/>
  <c r="K93" i="12"/>
  <c r="M719" i="35" s="1"/>
  <c r="I14" i="30"/>
  <c r="I170" i="30"/>
  <c r="I92" i="30"/>
  <c r="L92" i="30"/>
  <c r="M137" i="31"/>
  <c r="L170" i="30"/>
  <c r="L14" i="30"/>
  <c r="L88" i="30"/>
  <c r="M133" i="31"/>
  <c r="L10" i="30"/>
  <c r="L166" i="30"/>
  <c r="K91" i="30"/>
  <c r="L136" i="31"/>
  <c r="K13" i="30"/>
  <c r="K169" i="30"/>
  <c r="M162" i="12"/>
  <c r="I131" i="31"/>
  <c r="K87" i="12"/>
  <c r="I8" i="30"/>
  <c r="I164" i="30"/>
  <c r="I86" i="30"/>
  <c r="J181" i="43"/>
  <c r="J25" i="43" s="1"/>
  <c r="J92" i="29"/>
  <c r="J104" i="29"/>
  <c r="J193" i="43"/>
  <c r="J37" i="43" s="1"/>
  <c r="T104" i="29"/>
  <c r="T193" i="43"/>
  <c r="T37" i="43" s="1"/>
  <c r="O99" i="30"/>
  <c r="O177" i="30"/>
  <c r="O21" i="30"/>
  <c r="Q99" i="30"/>
  <c r="Q21" i="30"/>
  <c r="Q177" i="30"/>
  <c r="Q103" i="29"/>
  <c r="Q192" i="43"/>
  <c r="Q36" i="43" s="1"/>
  <c r="S89" i="29"/>
  <c r="S178" i="43"/>
  <c r="S22" i="43" s="1"/>
  <c r="R93" i="30"/>
  <c r="R15" i="30"/>
  <c r="R171" i="30"/>
  <c r="J93" i="30"/>
  <c r="K138" i="31"/>
  <c r="R99" i="29"/>
  <c r="R188" i="43"/>
  <c r="R32" i="43" s="1"/>
  <c r="J187" i="43"/>
  <c r="J31" i="43" s="1"/>
  <c r="J98" i="29"/>
  <c r="I149" i="31"/>
  <c r="I29" i="31" s="1"/>
  <c r="K105" i="12"/>
  <c r="I26" i="30"/>
  <c r="I182" i="30"/>
  <c r="I104" i="30"/>
  <c r="O89" i="30"/>
  <c r="O11" i="30"/>
  <c r="O167" i="30"/>
  <c r="P87" i="30"/>
  <c r="P9" i="30"/>
  <c r="P165" i="30"/>
  <c r="M87" i="30"/>
  <c r="N132" i="31"/>
  <c r="R98" i="30"/>
  <c r="R20" i="30"/>
  <c r="R176" i="30"/>
  <c r="M98" i="30"/>
  <c r="N143" i="31"/>
  <c r="K105" i="29"/>
  <c r="K194" i="43"/>
  <c r="K38" i="43" s="1"/>
  <c r="N175" i="43"/>
  <c r="N86" i="29"/>
  <c r="L86" i="29"/>
  <c r="L175" i="43"/>
  <c r="Q94" i="29"/>
  <c r="Q183" i="43"/>
  <c r="Q27" i="43" s="1"/>
  <c r="R94" i="29"/>
  <c r="R183" i="43"/>
  <c r="R27" i="43" s="1"/>
  <c r="Q96" i="29"/>
  <c r="Q185" i="43"/>
  <c r="Q29" i="43" s="1"/>
  <c r="P96" i="29"/>
  <c r="P185" i="43"/>
  <c r="P29" i="43" s="1"/>
  <c r="M87" i="29"/>
  <c r="M176" i="43"/>
  <c r="M20" i="43" s="1"/>
  <c r="T101" i="30"/>
  <c r="T179" i="30"/>
  <c r="T23" i="30"/>
  <c r="R94" i="30"/>
  <c r="R16" i="30"/>
  <c r="R172" i="30"/>
  <c r="K95" i="29"/>
  <c r="K184" i="43"/>
  <c r="K28" i="43" s="1"/>
  <c r="J102" i="30"/>
  <c r="K147" i="31"/>
  <c r="R90" i="30"/>
  <c r="R12" i="30"/>
  <c r="R168" i="30"/>
  <c r="O97" i="30"/>
  <c r="O19" i="30"/>
  <c r="O175" i="30"/>
  <c r="L101" i="29"/>
  <c r="L190" i="43"/>
  <c r="L34" i="43" s="1"/>
  <c r="I93" i="29"/>
  <c r="I182" i="43"/>
  <c r="I26" i="43" s="1"/>
  <c r="R93" i="29"/>
  <c r="R182" i="43"/>
  <c r="R26" i="43" s="1"/>
  <c r="P105" i="30"/>
  <c r="P27" i="30"/>
  <c r="P183" i="30"/>
  <c r="J105" i="30"/>
  <c r="K150" i="31"/>
  <c r="M191" i="43"/>
  <c r="M35" i="43" s="1"/>
  <c r="M102" i="29"/>
  <c r="N191" i="43"/>
  <c r="N35" i="43" s="1"/>
  <c r="N102" i="29"/>
  <c r="I90" i="29"/>
  <c r="I179" i="43"/>
  <c r="I23" i="43" s="1"/>
  <c r="N179" i="43"/>
  <c r="N23" i="43" s="1"/>
  <c r="N90" i="29"/>
  <c r="S97" i="29"/>
  <c r="S186" i="43"/>
  <c r="S30" i="43" s="1"/>
  <c r="K91" i="29"/>
  <c r="K180" i="43"/>
  <c r="K24" i="43" s="1"/>
  <c r="L100" i="29"/>
  <c r="L189" i="43"/>
  <c r="L33" i="43" s="1"/>
  <c r="L22" i="46" s="1" a="1"/>
  <c r="L22" i="46" s="1"/>
  <c r="I100" i="29"/>
  <c r="I189" i="43"/>
  <c r="I33" i="43" s="1"/>
  <c r="I22" i="46" s="1" a="1"/>
  <c r="I22" i="46" s="1"/>
  <c r="P88" i="29"/>
  <c r="P177" i="43"/>
  <c r="P21" i="43" s="1"/>
  <c r="K95" i="30"/>
  <c r="L140" i="31"/>
  <c r="K17" i="30"/>
  <c r="K173" i="30"/>
  <c r="M92" i="30"/>
  <c r="N137" i="31"/>
  <c r="R88" i="30"/>
  <c r="R10" i="30"/>
  <c r="R166" i="30"/>
  <c r="M88" i="30"/>
  <c r="N133" i="31"/>
  <c r="Q91" i="30"/>
  <c r="Q13" i="30"/>
  <c r="Q169" i="30"/>
  <c r="J91" i="30"/>
  <c r="K136" i="31"/>
  <c r="R92" i="29"/>
  <c r="R181" i="43"/>
  <c r="R25" i="43" s="1"/>
  <c r="AM326" i="19" s="1"/>
  <c r="L92" i="29"/>
  <c r="L181" i="43"/>
  <c r="L25" i="43" s="1"/>
  <c r="O104" i="29"/>
  <c r="O193" i="43"/>
  <c r="O37" i="43" s="1"/>
  <c r="K104" i="29"/>
  <c r="K193" i="43"/>
  <c r="K37" i="43" s="1"/>
  <c r="L99" i="30"/>
  <c r="M144" i="31"/>
  <c r="L177" i="30"/>
  <c r="L21" i="30"/>
  <c r="O103" i="29"/>
  <c r="O192" i="43"/>
  <c r="O36" i="43" s="1"/>
  <c r="I89" i="29"/>
  <c r="I178" i="43"/>
  <c r="I22" i="43" s="1"/>
  <c r="O89" i="29"/>
  <c r="O178" i="43"/>
  <c r="O22" i="43" s="1"/>
  <c r="I138" i="31"/>
  <c r="K94" i="12"/>
  <c r="I93" i="30"/>
  <c r="I171" i="30"/>
  <c r="I15" i="30"/>
  <c r="O99" i="29"/>
  <c r="O188" i="43"/>
  <c r="O32" i="43" s="1"/>
  <c r="O98" i="29"/>
  <c r="O187" i="43"/>
  <c r="O31" i="43" s="1"/>
  <c r="R98" i="29"/>
  <c r="R187" i="43"/>
  <c r="R31" i="43" s="1"/>
  <c r="R89" i="30"/>
  <c r="R11" i="30"/>
  <c r="R167" i="30"/>
  <c r="L89" i="30"/>
  <c r="M134" i="31"/>
  <c r="L167" i="30"/>
  <c r="L11" i="30"/>
  <c r="K87" i="30"/>
  <c r="L132" i="31"/>
  <c r="K165" i="30"/>
  <c r="K9" i="30"/>
  <c r="P98" i="30"/>
  <c r="P176" i="30"/>
  <c r="P20" i="30"/>
  <c r="I105" i="29"/>
  <c r="I194" i="43"/>
  <c r="I38" i="43" s="1"/>
  <c r="O86" i="29"/>
  <c r="O175" i="43"/>
  <c r="I86" i="29"/>
  <c r="I175" i="43"/>
  <c r="T94" i="29"/>
  <c r="T183" i="43"/>
  <c r="T27" i="43" s="1"/>
  <c r="R96" i="29"/>
  <c r="R185" i="43"/>
  <c r="R29" i="43" s="1"/>
  <c r="K96" i="29"/>
  <c r="K185" i="43"/>
  <c r="K29" i="43" s="1"/>
  <c r="S87" i="29"/>
  <c r="S176" i="43"/>
  <c r="S20" i="43" s="1"/>
  <c r="Q101" i="30"/>
  <c r="Q179" i="30"/>
  <c r="Q23" i="30"/>
  <c r="T96" i="30"/>
  <c r="T174" i="30"/>
  <c r="T18" i="30"/>
  <c r="O94" i="30"/>
  <c r="O16" i="30"/>
  <c r="O172" i="30"/>
  <c r="T94" i="30"/>
  <c r="T16" i="30"/>
  <c r="T172" i="30"/>
  <c r="P95" i="29"/>
  <c r="P184" i="43"/>
  <c r="P28" i="43" s="1"/>
  <c r="N95" i="29"/>
  <c r="N184" i="43"/>
  <c r="N28" i="43" s="1"/>
  <c r="R102" i="30"/>
  <c r="R180" i="30"/>
  <c r="R24" i="30"/>
  <c r="Q97" i="30"/>
  <c r="Q19" i="30"/>
  <c r="Q175" i="30"/>
  <c r="L97" i="30"/>
  <c r="M142" i="31"/>
  <c r="M24" i="31" s="1"/>
  <c r="L175" i="30"/>
  <c r="L19" i="30"/>
  <c r="O101" i="29"/>
  <c r="O190" i="43"/>
  <c r="O34" i="43" s="1"/>
  <c r="AJ335" i="19" s="1"/>
  <c r="M93" i="29"/>
  <c r="M182" i="43"/>
  <c r="M26" i="43" s="1"/>
  <c r="N182" i="43"/>
  <c r="N26" i="43" s="1"/>
  <c r="AI327" i="19" s="1"/>
  <c r="N93" i="29"/>
  <c r="T105" i="30"/>
  <c r="T183" i="30"/>
  <c r="T27" i="30"/>
  <c r="K105" i="30"/>
  <c r="L150" i="31"/>
  <c r="K27" i="30"/>
  <c r="K183" i="30"/>
  <c r="R102" i="29"/>
  <c r="R191" i="43"/>
  <c r="R35" i="43" s="1"/>
  <c r="L102" i="29"/>
  <c r="L191" i="43"/>
  <c r="L35" i="43" s="1"/>
  <c r="R90" i="29"/>
  <c r="R179" i="43"/>
  <c r="R23" i="43" s="1"/>
  <c r="P90" i="29"/>
  <c r="P179" i="43"/>
  <c r="P23" i="43" s="1"/>
  <c r="Q97" i="29"/>
  <c r="Q186" i="43"/>
  <c r="Q30" i="43" s="1"/>
  <c r="I97" i="29"/>
  <c r="I186" i="43"/>
  <c r="I30" i="43" s="1"/>
  <c r="P91" i="29"/>
  <c r="P180" i="43"/>
  <c r="P24" i="43" s="1"/>
  <c r="AK325" i="19" s="1"/>
  <c r="N180" i="43"/>
  <c r="N24" i="43" s="1"/>
  <c r="N91" i="29"/>
  <c r="R100" i="29"/>
  <c r="R189" i="43"/>
  <c r="R33" i="43" s="1"/>
  <c r="R22" i="46" s="1" a="1"/>
  <c r="R22" i="46" s="1"/>
  <c r="Q88" i="29"/>
  <c r="Q177" i="43"/>
  <c r="Q21" i="43" s="1"/>
  <c r="O88" i="29"/>
  <c r="O177" i="43"/>
  <c r="O21" i="43" s="1"/>
  <c r="T95" i="30"/>
  <c r="T17" i="30"/>
  <c r="T173" i="30"/>
  <c r="M95" i="30"/>
  <c r="N140" i="31"/>
  <c r="T91" i="30"/>
  <c r="T13" i="30"/>
  <c r="T169" i="30"/>
  <c r="X162" i="12"/>
  <c r="T86" i="30"/>
  <c r="T8" i="30"/>
  <c r="T164" i="30"/>
  <c r="T92" i="29"/>
  <c r="T181" i="43"/>
  <c r="T25" i="43" s="1"/>
  <c r="Q104" i="29"/>
  <c r="Q193" i="43"/>
  <c r="Q37" i="43" s="1"/>
  <c r="P99" i="30"/>
  <c r="P177" i="30"/>
  <c r="P21" i="30"/>
  <c r="M99" i="30"/>
  <c r="N144" i="31"/>
  <c r="R103" i="29"/>
  <c r="R192" i="43"/>
  <c r="R36" i="43" s="1"/>
  <c r="M178" i="43"/>
  <c r="M22" i="43" s="1"/>
  <c r="M89" i="29"/>
  <c r="T89" i="29"/>
  <c r="T178" i="43"/>
  <c r="T22" i="43" s="1"/>
  <c r="J188" i="43"/>
  <c r="J32" i="43" s="1"/>
  <c r="J99" i="29"/>
  <c r="I98" i="29"/>
  <c r="I187" i="43"/>
  <c r="I31" i="43" s="1"/>
  <c r="O104" i="30"/>
  <c r="O182" i="30"/>
  <c r="O26" i="30"/>
  <c r="Q104" i="30"/>
  <c r="Q26" i="30"/>
  <c r="Q182" i="30"/>
  <c r="P89" i="30"/>
  <c r="P11" i="30"/>
  <c r="P167" i="30"/>
  <c r="M89" i="30"/>
  <c r="N134" i="31"/>
  <c r="S87" i="30"/>
  <c r="S9" i="30"/>
  <c r="S165" i="30"/>
  <c r="J87" i="30"/>
  <c r="K132" i="31"/>
  <c r="Q98" i="30"/>
  <c r="Q20" i="30"/>
  <c r="Q176" i="30"/>
  <c r="R105" i="29"/>
  <c r="R194" i="43"/>
  <c r="R38" i="43" s="1"/>
  <c r="J175" i="43"/>
  <c r="J86" i="29"/>
  <c r="R86" i="29"/>
  <c r="R175" i="43"/>
  <c r="I94" i="29"/>
  <c r="I183" i="43"/>
  <c r="I27" i="43" s="1"/>
  <c r="M96" i="29"/>
  <c r="M185" i="43"/>
  <c r="M29" i="43" s="1"/>
  <c r="I96" i="29"/>
  <c r="I185" i="43"/>
  <c r="I29" i="43" s="1"/>
  <c r="O87" i="29"/>
  <c r="O176" i="43"/>
  <c r="O20" i="43" s="1"/>
  <c r="O101" i="30"/>
  <c r="O179" i="30"/>
  <c r="O23" i="30"/>
  <c r="I146" i="31"/>
  <c r="K102" i="12"/>
  <c r="I23" i="30"/>
  <c r="I179" i="30"/>
  <c r="I101" i="30"/>
  <c r="Q96" i="30"/>
  <c r="Q18" i="30"/>
  <c r="Q174" i="30"/>
  <c r="J94" i="30"/>
  <c r="K139" i="31"/>
  <c r="J184" i="43"/>
  <c r="J28" i="43" s="1"/>
  <c r="J95" i="29"/>
  <c r="T95" i="29"/>
  <c r="T184" i="43"/>
  <c r="T28" i="43" s="1"/>
  <c r="P102" i="30"/>
  <c r="P24" i="30"/>
  <c r="P180" i="30"/>
  <c r="O90" i="30"/>
  <c r="O12" i="30"/>
  <c r="O168" i="30"/>
  <c r="T90" i="30"/>
  <c r="T168" i="30"/>
  <c r="T12" i="30"/>
  <c r="M97" i="30"/>
  <c r="N142" i="31"/>
  <c r="J190" i="43"/>
  <c r="J34" i="43" s="1"/>
  <c r="J101" i="29"/>
  <c r="R105" i="30"/>
  <c r="R183" i="30"/>
  <c r="R27" i="30"/>
  <c r="L105" i="30"/>
  <c r="M150" i="31"/>
  <c r="M30" i="31" s="1"/>
  <c r="L27" i="30"/>
  <c r="L183" i="30"/>
  <c r="Q102" i="29"/>
  <c r="Q191" i="43"/>
  <c r="Q35" i="43" s="1"/>
  <c r="K90" i="29"/>
  <c r="K179" i="43"/>
  <c r="K23" i="43" s="1"/>
  <c r="T90" i="29"/>
  <c r="T179" i="43"/>
  <c r="T23" i="43" s="1"/>
  <c r="M186" i="43"/>
  <c r="M30" i="43" s="1"/>
  <c r="M97" i="29"/>
  <c r="K97" i="29"/>
  <c r="K186" i="43"/>
  <c r="K30" i="43" s="1"/>
  <c r="L91" i="29"/>
  <c r="L180" i="43"/>
  <c r="L24" i="43" s="1"/>
  <c r="M180" i="43"/>
  <c r="M24" i="43" s="1"/>
  <c r="M91" i="29"/>
  <c r="K100" i="29"/>
  <c r="K189" i="43"/>
  <c r="K33" i="43" s="1"/>
  <c r="K22" i="46" s="1" a="1"/>
  <c r="K22" i="46" s="1"/>
  <c r="J100" i="29"/>
  <c r="J189" i="43"/>
  <c r="J33" i="43" s="1"/>
  <c r="J22" i="46" s="1" a="1"/>
  <c r="J22" i="46" s="1"/>
  <c r="L88" i="29"/>
  <c r="L177" i="43"/>
  <c r="L21" i="43" s="1"/>
  <c r="R88" i="29"/>
  <c r="R177" i="43"/>
  <c r="R21" i="43" s="1"/>
  <c r="Q95" i="30"/>
  <c r="Q17" i="30"/>
  <c r="Q173" i="30"/>
  <c r="J95" i="30"/>
  <c r="K140" i="31"/>
  <c r="S92" i="30"/>
  <c r="S14" i="30"/>
  <c r="S170" i="30"/>
  <c r="S88" i="30"/>
  <c r="S10" i="30"/>
  <c r="S166" i="30"/>
  <c r="S162" i="12"/>
  <c r="O86" i="30"/>
  <c r="O8" i="30"/>
  <c r="O164" i="30"/>
  <c r="R162" i="12"/>
  <c r="N86" i="30"/>
  <c r="I92" i="29"/>
  <c r="I181" i="43"/>
  <c r="I25" i="43" s="1"/>
  <c r="M92" i="29"/>
  <c r="M181" i="43"/>
  <c r="M25" i="43" s="1"/>
  <c r="M104" i="29"/>
  <c r="M193" i="43"/>
  <c r="M37" i="43" s="1"/>
  <c r="S99" i="30"/>
  <c r="S177" i="30"/>
  <c r="S21" i="30"/>
  <c r="K99" i="30"/>
  <c r="L144" i="31"/>
  <c r="K177" i="30"/>
  <c r="K21" i="30"/>
  <c r="I103" i="29"/>
  <c r="I192" i="43"/>
  <c r="I36" i="43" s="1"/>
  <c r="N178" i="43"/>
  <c r="N22" i="43" s="1"/>
  <c r="N89" i="29"/>
  <c r="Q89" i="29"/>
  <c r="Q178" i="43"/>
  <c r="Q22" i="43" s="1"/>
  <c r="T93" i="30"/>
  <c r="T15" i="30"/>
  <c r="T171" i="30"/>
  <c r="M188" i="43"/>
  <c r="M32" i="43" s="1"/>
  <c r="M99" i="29"/>
  <c r="S98" i="29"/>
  <c r="S187" i="43"/>
  <c r="S31" i="43" s="1"/>
  <c r="L104" i="30"/>
  <c r="M149" i="31"/>
  <c r="L182" i="30"/>
  <c r="L26" i="30"/>
  <c r="Q89" i="30"/>
  <c r="Q11" i="30"/>
  <c r="Q167" i="30"/>
  <c r="K89" i="30"/>
  <c r="L134" i="31"/>
  <c r="K11" i="30"/>
  <c r="K167" i="30"/>
  <c r="T87" i="30"/>
  <c r="T9" i="30"/>
  <c r="T165" i="30"/>
  <c r="S98" i="30"/>
  <c r="S20" i="30"/>
  <c r="S176" i="30"/>
  <c r="T105" i="29"/>
  <c r="T194" i="43"/>
  <c r="T38" i="43" s="1"/>
  <c r="S105" i="29"/>
  <c r="S194" i="43"/>
  <c r="S38" i="43" s="1"/>
  <c r="K86" i="29"/>
  <c r="K175" i="43"/>
  <c r="O94" i="29"/>
  <c r="O183" i="43"/>
  <c r="O27" i="43" s="1"/>
  <c r="T96" i="29"/>
  <c r="T185" i="43"/>
  <c r="T29" i="43" s="1"/>
  <c r="L87" i="29"/>
  <c r="L176" i="43"/>
  <c r="L20" i="43" s="1"/>
  <c r="J87" i="29"/>
  <c r="J176" i="43"/>
  <c r="J20" i="43" s="1"/>
  <c r="S101" i="30"/>
  <c r="S179" i="30"/>
  <c r="S23" i="30"/>
  <c r="J101" i="30"/>
  <c r="K146" i="31"/>
  <c r="O96" i="30"/>
  <c r="O18" i="30"/>
  <c r="O174" i="30"/>
  <c r="R96" i="30"/>
  <c r="R18" i="30"/>
  <c r="R174" i="30"/>
  <c r="P94" i="30"/>
  <c r="P172" i="30"/>
  <c r="P16" i="30"/>
  <c r="K94" i="30"/>
  <c r="L139" i="31"/>
  <c r="K172" i="30"/>
  <c r="K16" i="30"/>
  <c r="S95" i="29"/>
  <c r="S184" i="43"/>
  <c r="S28" i="43" s="1"/>
  <c r="T102" i="30"/>
  <c r="T180" i="30"/>
  <c r="T24" i="30"/>
  <c r="J90" i="30"/>
  <c r="K135" i="31"/>
  <c r="T97" i="30"/>
  <c r="T19" i="30"/>
  <c r="T175" i="30"/>
  <c r="K97" i="30"/>
  <c r="K175" i="30"/>
  <c r="L142" i="31"/>
  <c r="K19" i="30"/>
  <c r="P101" i="29"/>
  <c r="P190" i="43"/>
  <c r="P34" i="43" s="1"/>
  <c r="M101" i="29"/>
  <c r="M190" i="43"/>
  <c r="M34" i="43" s="1"/>
  <c r="S93" i="29"/>
  <c r="S182" i="43"/>
  <c r="S26" i="43" s="1"/>
  <c r="M105" i="30"/>
  <c r="N150" i="31"/>
  <c r="T102" i="29"/>
  <c r="T191" i="43"/>
  <c r="T35" i="43" s="1"/>
  <c r="M179" i="43"/>
  <c r="M23" i="43" s="1"/>
  <c r="M90" i="29"/>
  <c r="S90" i="29"/>
  <c r="S179" i="43"/>
  <c r="S23" i="43" s="1"/>
  <c r="L97" i="29"/>
  <c r="L186" i="43"/>
  <c r="L30" i="43" s="1"/>
  <c r="O97" i="29"/>
  <c r="O186" i="43"/>
  <c r="O30" i="43" s="1"/>
  <c r="Q91" i="29"/>
  <c r="Q180" i="43"/>
  <c r="Q24" i="43" s="1"/>
  <c r="M189" i="43"/>
  <c r="M33" i="43" s="1"/>
  <c r="M22" i="46" s="1" a="1"/>
  <c r="M22" i="46" s="1"/>
  <c r="M100" i="29"/>
  <c r="S100" i="29"/>
  <c r="S189" i="43"/>
  <c r="S33" i="43" s="1"/>
  <c r="S22" i="46" s="1" a="1"/>
  <c r="S22" i="46" s="1"/>
  <c r="J177" i="43"/>
  <c r="J21" i="43" s="1"/>
  <c r="J88" i="29"/>
  <c r="I88" i="29"/>
  <c r="I177" i="43"/>
  <c r="I21" i="43" s="1"/>
  <c r="P92" i="30"/>
  <c r="P170" i="30"/>
  <c r="P14" i="30"/>
  <c r="P88" i="30"/>
  <c r="P10" i="30"/>
  <c r="P166" i="30"/>
  <c r="R91" i="30"/>
  <c r="R13" i="30"/>
  <c r="R169" i="30"/>
  <c r="V162" i="12"/>
  <c r="R86" i="30"/>
  <c r="R8" i="30"/>
  <c r="R164" i="30"/>
  <c r="N162" i="12"/>
  <c r="J86" i="30"/>
  <c r="K131" i="31"/>
  <c r="K92" i="29"/>
  <c r="K181" i="43"/>
  <c r="K25" i="43" s="1"/>
  <c r="S92" i="29"/>
  <c r="S181" i="43"/>
  <c r="S25" i="43" s="1"/>
  <c r="R99" i="30"/>
  <c r="R177" i="30"/>
  <c r="R21" i="30"/>
  <c r="J99" i="30"/>
  <c r="K144" i="31"/>
  <c r="L103" i="29"/>
  <c r="L192" i="43"/>
  <c r="L36" i="43" s="1"/>
  <c r="S103" i="29"/>
  <c r="S192" i="43"/>
  <c r="S36" i="43" s="1"/>
  <c r="R89" i="29"/>
  <c r="R178" i="43"/>
  <c r="R22" i="43" s="1"/>
  <c r="O93" i="30"/>
  <c r="O15" i="30"/>
  <c r="O171" i="30"/>
  <c r="P93" i="30"/>
  <c r="P15" i="30"/>
  <c r="P171" i="30"/>
  <c r="S99" i="29"/>
  <c r="S188" i="43"/>
  <c r="S32" i="43" s="1"/>
  <c r="P99" i="29"/>
  <c r="P188" i="43"/>
  <c r="P32" i="43" s="1"/>
  <c r="L98" i="29"/>
  <c r="L187" i="43"/>
  <c r="L31" i="43" s="1"/>
  <c r="R104" i="30"/>
  <c r="R26" i="30"/>
  <c r="R182" i="30"/>
  <c r="M104" i="30"/>
  <c r="N149" i="31"/>
  <c r="J89" i="30"/>
  <c r="K134" i="31"/>
  <c r="R87" i="30"/>
  <c r="R165" i="30"/>
  <c r="R9" i="30"/>
  <c r="O98" i="30"/>
  <c r="O176" i="30"/>
  <c r="O20" i="30"/>
  <c r="I143" i="31"/>
  <c r="K99" i="12"/>
  <c r="I20" i="30"/>
  <c r="I176" i="30"/>
  <c r="I98" i="30"/>
  <c r="P105" i="29"/>
  <c r="P194" i="43"/>
  <c r="P38" i="43" s="1"/>
  <c r="J105" i="29"/>
  <c r="J194" i="43"/>
  <c r="J38" i="43" s="1"/>
  <c r="T86" i="29"/>
  <c r="T175" i="43"/>
  <c r="N183" i="43"/>
  <c r="N27" i="43" s="1"/>
  <c r="N94" i="29"/>
  <c r="K94" i="29"/>
  <c r="K183" i="43"/>
  <c r="K27" i="43" s="1"/>
  <c r="O96" i="29"/>
  <c r="O185" i="43"/>
  <c r="O29" i="43" s="1"/>
  <c r="I87" i="29"/>
  <c r="I176" i="43"/>
  <c r="I20" i="43" s="1"/>
  <c r="K87" i="29"/>
  <c r="K176" i="43"/>
  <c r="K20" i="43" s="1"/>
  <c r="R101" i="30"/>
  <c r="R23" i="30"/>
  <c r="R179" i="30"/>
  <c r="K101" i="30"/>
  <c r="L146" i="31"/>
  <c r="K179" i="30"/>
  <c r="K23" i="30"/>
  <c r="I141" i="31"/>
  <c r="K97" i="12"/>
  <c r="I174" i="30"/>
  <c r="I18" i="30"/>
  <c r="I96" i="30"/>
  <c r="J96" i="30"/>
  <c r="K141" i="31"/>
  <c r="I139" i="31"/>
  <c r="K95" i="12"/>
  <c r="I16" i="30"/>
  <c r="I94" i="30"/>
  <c r="I172" i="30"/>
  <c r="L94" i="30"/>
  <c r="M139" i="31"/>
  <c r="L172" i="30"/>
  <c r="L16" i="30"/>
  <c r="I95" i="29"/>
  <c r="I184" i="43"/>
  <c r="I28" i="43" s="1"/>
  <c r="Q95" i="29"/>
  <c r="Q184" i="43"/>
  <c r="Q28" i="43" s="1"/>
  <c r="O102" i="30"/>
  <c r="O24" i="30"/>
  <c r="O180" i="30"/>
  <c r="P90" i="30"/>
  <c r="P168" i="30"/>
  <c r="P12" i="30"/>
  <c r="K90" i="30"/>
  <c r="L135" i="31"/>
  <c r="K12" i="30"/>
  <c r="K168" i="30"/>
  <c r="S97" i="30"/>
  <c r="S19" i="30"/>
  <c r="S175" i="30"/>
  <c r="J97" i="30"/>
  <c r="K142" i="31"/>
  <c r="K101" i="29"/>
  <c r="K190" i="43"/>
  <c r="K34" i="43" s="1"/>
  <c r="Q101" i="29"/>
  <c r="Q190" i="43"/>
  <c r="Q34" i="43" s="1"/>
  <c r="P93" i="29"/>
  <c r="P182" i="43"/>
  <c r="P26" i="43" s="1"/>
  <c r="P102" i="29"/>
  <c r="P191" i="43"/>
  <c r="P35" i="43" s="1"/>
  <c r="Q90" i="29"/>
  <c r="Q179" i="43"/>
  <c r="Q23" i="43" s="1"/>
  <c r="J186" i="43"/>
  <c r="J30" i="43" s="1"/>
  <c r="J97" i="29"/>
  <c r="T97" i="29"/>
  <c r="T186" i="43"/>
  <c r="T30" i="43" s="1"/>
  <c r="I91" i="29"/>
  <c r="I180" i="43"/>
  <c r="I24" i="43" s="1"/>
  <c r="N189" i="43"/>
  <c r="N33" i="43" s="1"/>
  <c r="N22" i="46" s="1" a="1"/>
  <c r="N22" i="46" s="1"/>
  <c r="N100" i="29"/>
  <c r="S88" i="29"/>
  <c r="S177" i="43"/>
  <c r="S21" i="43" s="1"/>
  <c r="I140" i="31"/>
  <c r="K96" i="12"/>
  <c r="I173" i="30"/>
  <c r="I95" i="30"/>
  <c r="I17" i="30"/>
  <c r="O92" i="30"/>
  <c r="O170" i="30"/>
  <c r="O14" i="30"/>
  <c r="T92" i="30"/>
  <c r="T14" i="30"/>
  <c r="T170" i="30"/>
  <c r="O88" i="30"/>
  <c r="O10" i="30"/>
  <c r="O166" i="30"/>
  <c r="T88" i="30"/>
  <c r="T10" i="30"/>
  <c r="T166" i="30"/>
  <c r="O91" i="30"/>
  <c r="O169" i="30"/>
  <c r="O13" i="30"/>
  <c r="S91" i="30"/>
  <c r="S169" i="30"/>
  <c r="S13" i="30"/>
  <c r="T162" i="12"/>
  <c r="P86" i="30"/>
  <c r="P8" i="30"/>
  <c r="P164" i="30"/>
  <c r="O162" i="12"/>
  <c r="K86" i="30"/>
  <c r="L131" i="31"/>
  <c r="K164" i="30"/>
  <c r="K8" i="30"/>
  <c r="Q92" i="29"/>
  <c r="Q181" i="43"/>
  <c r="Q25" i="43" s="1"/>
  <c r="P92" i="29"/>
  <c r="P181" i="43"/>
  <c r="P25" i="43" s="1"/>
  <c r="R104" i="29"/>
  <c r="R193" i="43"/>
  <c r="R37" i="43" s="1"/>
  <c r="L104" i="29"/>
  <c r="L193" i="43"/>
  <c r="L37" i="43" s="1"/>
  <c r="I144" i="31"/>
  <c r="K100" i="12"/>
  <c r="I177" i="30"/>
  <c r="I21" i="30"/>
  <c r="I99" i="30"/>
  <c r="J192" i="43"/>
  <c r="J36" i="43" s="1"/>
  <c r="J103" i="29"/>
  <c r="N192" i="43"/>
  <c r="N36" i="43" s="1"/>
  <c r="N103" i="29"/>
  <c r="P89" i="29"/>
  <c r="P178" i="43"/>
  <c r="P22" i="43" s="1"/>
  <c r="L89" i="29"/>
  <c r="L178" i="43"/>
  <c r="L22" i="43" s="1"/>
  <c r="Q93" i="30"/>
  <c r="Q171" i="30"/>
  <c r="Q15" i="30"/>
  <c r="L93" i="30"/>
  <c r="M138" i="31"/>
  <c r="L171" i="30"/>
  <c r="L15" i="30"/>
  <c r="Q99" i="29"/>
  <c r="Q188" i="43"/>
  <c r="Q32" i="43" s="1"/>
  <c r="N188" i="43"/>
  <c r="N32" i="43" s="1"/>
  <c r="N99" i="29"/>
  <c r="K98" i="29"/>
  <c r="K187" i="43"/>
  <c r="K31" i="43" s="1"/>
  <c r="Q98" i="29"/>
  <c r="Q187" i="43"/>
  <c r="Q31" i="43" s="1"/>
  <c r="S104" i="30"/>
  <c r="S26" i="30"/>
  <c r="S182" i="30"/>
  <c r="K104" i="30"/>
  <c r="L149" i="31"/>
  <c r="K182" i="30"/>
  <c r="K26" i="30"/>
  <c r="I134" i="31"/>
  <c r="K90" i="12"/>
  <c r="I11" i="30"/>
  <c r="I167" i="30"/>
  <c r="I89" i="30"/>
  <c r="J98" i="30"/>
  <c r="K143" i="31"/>
  <c r="O143" i="31" s="1"/>
  <c r="R143" i="31" s="1"/>
  <c r="N194" i="43"/>
  <c r="N38" i="43" s="1"/>
  <c r="N105" i="29"/>
  <c r="M105" i="29"/>
  <c r="M194" i="43"/>
  <c r="M38" i="43" s="1"/>
  <c r="P86" i="29"/>
  <c r="P175" i="43"/>
  <c r="S94" i="29"/>
  <c r="S183" i="43"/>
  <c r="S27" i="43" s="1"/>
  <c r="L94" i="29"/>
  <c r="L183" i="43"/>
  <c r="L27" i="43" s="1"/>
  <c r="N87" i="29"/>
  <c r="N176" i="43"/>
  <c r="N20" i="43" s="1"/>
  <c r="R87" i="29"/>
  <c r="R176" i="43"/>
  <c r="R20" i="43" s="1"/>
  <c r="P101" i="30"/>
  <c r="P23" i="30"/>
  <c r="P179" i="30"/>
  <c r="L101" i="30"/>
  <c r="M146" i="31"/>
  <c r="M27" i="31" s="1"/>
  <c r="L179" i="30"/>
  <c r="L23" i="30"/>
  <c r="P96" i="30"/>
  <c r="P174" i="30"/>
  <c r="P18" i="30"/>
  <c r="K96" i="30"/>
  <c r="L141" i="31"/>
  <c r="K174" i="30"/>
  <c r="K18" i="30"/>
  <c r="S94" i="30"/>
  <c r="S172" i="30"/>
  <c r="S16" i="30"/>
  <c r="M94" i="30"/>
  <c r="N139" i="31"/>
  <c r="R95" i="29"/>
  <c r="R184" i="43"/>
  <c r="R28" i="43" s="1"/>
  <c r="M95" i="29"/>
  <c r="M184" i="43"/>
  <c r="M28" i="43" s="1"/>
  <c r="Q102" i="30"/>
  <c r="Q180" i="30"/>
  <c r="Q24" i="30"/>
  <c r="K102" i="30"/>
  <c r="L147" i="31"/>
  <c r="K180" i="30"/>
  <c r="K24" i="30"/>
  <c r="Q90" i="30"/>
  <c r="Q12" i="30"/>
  <c r="Q168" i="30"/>
  <c r="L90" i="30"/>
  <c r="M135" i="31"/>
  <c r="L168" i="30"/>
  <c r="L12" i="30"/>
  <c r="I142" i="31"/>
  <c r="K98" i="12"/>
  <c r="I19" i="30"/>
  <c r="I175" i="30"/>
  <c r="I97" i="30"/>
  <c r="T101" i="29"/>
  <c r="T190" i="43"/>
  <c r="T34" i="43" s="1"/>
  <c r="N190" i="43"/>
  <c r="N34" i="43" s="1"/>
  <c r="N101" i="29"/>
  <c r="T93" i="29"/>
  <c r="T182" i="43"/>
  <c r="T26" i="43" s="1"/>
  <c r="O93" i="29"/>
  <c r="O182" i="43"/>
  <c r="O26" i="43" s="1"/>
  <c r="I150" i="31"/>
  <c r="K106" i="12"/>
  <c r="I183" i="30"/>
  <c r="I105" i="30"/>
  <c r="I27" i="30"/>
  <c r="S102" i="29"/>
  <c r="S191" i="43"/>
  <c r="S35" i="43" s="1"/>
  <c r="O102" i="29"/>
  <c r="O191" i="43"/>
  <c r="O35" i="43" s="1"/>
  <c r="R97" i="29"/>
  <c r="R186" i="43"/>
  <c r="R30" i="43" s="1"/>
  <c r="N186" i="43"/>
  <c r="N30" i="43" s="1"/>
  <c r="N97" i="29"/>
  <c r="R91" i="29"/>
  <c r="R180" i="43"/>
  <c r="R24" i="43" s="1"/>
  <c r="T100" i="29"/>
  <c r="T189" i="43"/>
  <c r="T33" i="43" s="1"/>
  <c r="T22" i="46" s="1" a="1"/>
  <c r="T22" i="46" s="1"/>
  <c r="N177" i="43"/>
  <c r="N21" i="43" s="1"/>
  <c r="N88" i="29"/>
  <c r="M88" i="29"/>
  <c r="M177" i="43"/>
  <c r="M21" i="43" s="1"/>
  <c r="S95" i="30"/>
  <c r="S17" i="30"/>
  <c r="S173" i="30"/>
  <c r="Q92" i="30"/>
  <c r="Q14" i="30"/>
  <c r="Q170" i="30"/>
  <c r="J92" i="30"/>
  <c r="K137" i="31"/>
  <c r="I133" i="31"/>
  <c r="K89" i="12"/>
  <c r="I166" i="30"/>
  <c r="I88" i="30"/>
  <c r="I10" i="30"/>
  <c r="J88" i="30"/>
  <c r="K133" i="31"/>
  <c r="K31" i="31"/>
  <c r="P91" i="30"/>
  <c r="P169" i="30"/>
  <c r="P13" i="30"/>
  <c r="L91" i="30"/>
  <c r="M136" i="31"/>
  <c r="L169" i="30"/>
  <c r="L13" i="30"/>
  <c r="U162" i="12"/>
  <c r="Q86" i="30"/>
  <c r="Q164" i="30"/>
  <c r="Q8" i="30"/>
  <c r="P162" i="12"/>
  <c r="L86" i="30"/>
  <c r="L8" i="30"/>
  <c r="M131" i="31"/>
  <c r="L164" i="30"/>
  <c r="O92" i="29"/>
  <c r="O181" i="43"/>
  <c r="O25" i="43" s="1"/>
  <c r="N193" i="43"/>
  <c r="N37" i="43" s="1"/>
  <c r="N104" i="29"/>
  <c r="P104" i="29"/>
  <c r="P193" i="43"/>
  <c r="P37" i="43" s="1"/>
  <c r="J665" i="35"/>
  <c r="K671" i="35"/>
  <c r="I665" i="35"/>
  <c r="N15" i="46" a="1"/>
  <c r="N15" i="46" s="1"/>
  <c r="U21" i="46" a="1"/>
  <c r="U21" i="46" s="1"/>
  <c r="N18" i="46" a="1"/>
  <c r="N18" i="46" s="1"/>
  <c r="D94" i="18"/>
  <c r="P13" i="46" a="1"/>
  <c r="P13" i="46" s="1"/>
  <c r="O23" i="46" a="1"/>
  <c r="O23" i="46" s="1"/>
  <c r="F442" i="18"/>
  <c r="E207" i="18"/>
  <c r="S28" i="46" a="1"/>
  <c r="S28" i="46" s="1"/>
  <c r="F395" i="18"/>
  <c r="F96" i="18"/>
  <c r="F153" i="18"/>
  <c r="F138" i="18"/>
  <c r="F93" i="18"/>
  <c r="D472" i="18"/>
  <c r="F154" i="18"/>
  <c r="F229" i="18"/>
  <c r="D377" i="18"/>
  <c r="D166" i="18"/>
  <c r="F140" i="18"/>
  <c r="F92" i="18"/>
  <c r="F461" i="18"/>
  <c r="F463" i="18"/>
  <c r="F355" i="18"/>
  <c r="F106" i="18"/>
  <c r="F115" i="18"/>
  <c r="F205" i="18"/>
  <c r="D101" i="30"/>
  <c r="D177" i="18"/>
  <c r="F418" i="18"/>
  <c r="F359" i="18"/>
  <c r="E90" i="30"/>
  <c r="F189" i="18"/>
  <c r="I650" i="35"/>
  <c r="K9" i="4"/>
  <c r="K8" i="32"/>
  <c r="E177" i="30"/>
  <c r="E215" i="18"/>
  <c r="F324" i="18"/>
  <c r="F233" i="18"/>
  <c r="F141" i="18"/>
  <c r="K764" i="35"/>
  <c r="F618" i="35"/>
  <c r="G94" i="18"/>
  <c r="D380" i="30"/>
  <c r="R108" i="47"/>
  <c r="S108" i="47" s="1"/>
  <c r="G87" i="18"/>
  <c r="G134" i="30"/>
  <c r="E217" i="18"/>
  <c r="I679" i="35"/>
  <c r="E237" i="18"/>
  <c r="E186" i="18"/>
  <c r="D224" i="18"/>
  <c r="F103" i="18"/>
  <c r="F135" i="18"/>
  <c r="F341" i="18"/>
  <c r="D395" i="30"/>
  <c r="D179" i="18"/>
  <c r="G99" i="30"/>
  <c r="G195" i="18"/>
  <c r="D409" i="18"/>
  <c r="G339" i="18"/>
  <c r="D401" i="18"/>
  <c r="D359" i="30"/>
  <c r="F373" i="18"/>
  <c r="F167" i="18"/>
  <c r="G114" i="18"/>
  <c r="D228" i="18"/>
  <c r="E157" i="30"/>
  <c r="F94" i="18"/>
  <c r="F215" i="18"/>
  <c r="G138" i="18"/>
  <c r="G95" i="18"/>
  <c r="E96" i="30"/>
  <c r="G329" i="30"/>
  <c r="E469" i="18"/>
  <c r="G132" i="18"/>
  <c r="F474" i="18"/>
  <c r="F156" i="18"/>
  <c r="F462" i="18"/>
  <c r="D426" i="18"/>
  <c r="J762" i="35"/>
  <c r="F720" i="35"/>
  <c r="F448" i="18"/>
  <c r="F331" i="18"/>
  <c r="F404" i="18"/>
  <c r="F387" i="18"/>
  <c r="G348" i="18"/>
  <c r="F344" i="18"/>
  <c r="D141" i="18"/>
  <c r="F408" i="18"/>
  <c r="F407" i="18"/>
  <c r="E175" i="18"/>
  <c r="F179" i="18"/>
  <c r="E101" i="18"/>
  <c r="G140" i="18"/>
  <c r="D90" i="18"/>
  <c r="D200" i="18"/>
  <c r="G377" i="18"/>
  <c r="G435" i="18"/>
  <c r="D224" i="30"/>
  <c r="G457" i="30"/>
  <c r="G353" i="18"/>
  <c r="L41" i="45"/>
  <c r="P58" i="27"/>
  <c r="P50" i="27"/>
  <c r="P57" i="27"/>
  <c r="P52" i="27"/>
  <c r="P51" i="27"/>
  <c r="P63" i="27"/>
  <c r="P54" i="27"/>
  <c r="P53" i="27"/>
  <c r="P59" i="27"/>
  <c r="P47" i="27"/>
  <c r="P55" i="27"/>
  <c r="P48" i="27"/>
  <c r="P64" i="27"/>
  <c r="P49" i="27"/>
  <c r="P65" i="27"/>
  <c r="K665" i="35"/>
  <c r="Q9" i="32"/>
  <c r="N41" i="45"/>
  <c r="F84" i="50"/>
  <c r="I660" i="35"/>
  <c r="J770" i="35"/>
  <c r="J661" i="35"/>
  <c r="K770" i="35"/>
  <c r="K769" i="35"/>
  <c r="I770" i="35"/>
  <c r="K660" i="35"/>
  <c r="I661" i="35"/>
  <c r="K664" i="35"/>
  <c r="K661" i="35"/>
  <c r="J660" i="35"/>
  <c r="E337" i="30"/>
  <c r="G178" i="30"/>
  <c r="F129" i="45"/>
  <c r="K674" i="35"/>
  <c r="F362" i="18"/>
  <c r="D359" i="18"/>
  <c r="G153" i="30"/>
  <c r="G219" i="18"/>
  <c r="D431" i="18"/>
  <c r="G435" i="30"/>
  <c r="J778" i="35"/>
  <c r="G150" i="18"/>
  <c r="F134" i="18"/>
  <c r="E464" i="18"/>
  <c r="G375" i="18"/>
  <c r="I664" i="35"/>
  <c r="K679" i="35"/>
  <c r="J664" i="35"/>
  <c r="F122" i="18"/>
  <c r="I766" i="35"/>
  <c r="J667" i="35"/>
  <c r="J657" i="35"/>
  <c r="E207" i="30"/>
  <c r="I667" i="35"/>
  <c r="D200" i="30"/>
  <c r="D205" i="18"/>
  <c r="K667" i="35"/>
  <c r="F196" i="18"/>
  <c r="E446" i="30"/>
  <c r="I764" i="35"/>
  <c r="D436" i="18"/>
  <c r="G120" i="30"/>
  <c r="J764" i="35"/>
  <c r="F86" i="18"/>
  <c r="F166" i="18"/>
  <c r="F91" i="18"/>
  <c r="I769" i="35"/>
  <c r="K773" i="35"/>
  <c r="Q32" i="4"/>
  <c r="Q33" i="4"/>
  <c r="J774" i="35"/>
  <c r="D143" i="50"/>
  <c r="H139" i="50" s="1"/>
  <c r="H143" i="50" s="1"/>
  <c r="L127" i="45"/>
  <c r="L129" i="45" s="1"/>
  <c r="K779" i="35"/>
  <c r="K759" i="35"/>
  <c r="I773" i="35"/>
  <c r="J773" i="35"/>
  <c r="I774" i="35"/>
  <c r="J679" i="35"/>
  <c r="I675" i="35"/>
  <c r="U683" i="35"/>
  <c r="U617" i="35" s="1"/>
  <c r="S683" i="35"/>
  <c r="S617" i="35" s="1"/>
  <c r="M683" i="35"/>
  <c r="M617" i="35" s="1"/>
  <c r="K675" i="35"/>
  <c r="K653" i="35"/>
  <c r="K670" i="35"/>
  <c r="K754" i="35"/>
  <c r="K762" i="35"/>
  <c r="K766" i="35"/>
  <c r="J754" i="35"/>
  <c r="I754" i="35"/>
  <c r="F368" i="18"/>
  <c r="F377" i="18"/>
  <c r="D470" i="30"/>
  <c r="G359" i="18"/>
  <c r="F439" i="18"/>
  <c r="F227" i="18"/>
  <c r="F464" i="18"/>
  <c r="K676" i="35"/>
  <c r="K776" i="35"/>
  <c r="J781" i="35"/>
  <c r="I781" i="35"/>
  <c r="F405" i="18"/>
  <c r="F411" i="18"/>
  <c r="F336" i="18"/>
  <c r="I663" i="35"/>
  <c r="F198" i="18"/>
  <c r="F438" i="18"/>
  <c r="F180" i="18"/>
  <c r="J771" i="35"/>
  <c r="I776" i="35"/>
  <c r="I668" i="35"/>
  <c r="I760" i="35"/>
  <c r="J760" i="35"/>
  <c r="I676" i="35"/>
  <c r="J668" i="35"/>
  <c r="J676" i="35"/>
  <c r="I671" i="35"/>
  <c r="L7" i="26"/>
  <c r="L8" i="32"/>
  <c r="L9" i="4"/>
  <c r="I658" i="35"/>
  <c r="K781" i="35"/>
  <c r="I655" i="35"/>
  <c r="L122" i="34"/>
  <c r="D332" i="30"/>
  <c r="E374" i="18"/>
  <c r="E95" i="18"/>
  <c r="G148" i="18"/>
  <c r="F150" i="18"/>
  <c r="F454" i="18"/>
  <c r="D236" i="30"/>
  <c r="F450" i="18"/>
  <c r="F113" i="18"/>
  <c r="G324" i="18"/>
  <c r="G394" i="30"/>
  <c r="F428" i="18"/>
  <c r="D389" i="30"/>
  <c r="G118" i="30"/>
  <c r="E389" i="30"/>
  <c r="F371" i="18"/>
  <c r="F104" i="18"/>
  <c r="F435" i="18"/>
  <c r="G126" i="18"/>
  <c r="G354" i="30"/>
  <c r="D143" i="30"/>
  <c r="E439" i="30"/>
  <c r="G219" i="30"/>
  <c r="I670" i="35"/>
  <c r="J766" i="35"/>
  <c r="J655" i="35"/>
  <c r="I767" i="35"/>
  <c r="K655" i="35"/>
  <c r="J767" i="35"/>
  <c r="K774" i="35"/>
  <c r="K765" i="35"/>
  <c r="I678" i="35"/>
  <c r="I779" i="35"/>
  <c r="I674" i="35"/>
  <c r="E94" i="30"/>
  <c r="D451" i="30"/>
  <c r="D137" i="30"/>
  <c r="D139" i="30"/>
  <c r="G140" i="30"/>
  <c r="E366" i="30"/>
  <c r="E465" i="30"/>
  <c r="D430" i="30"/>
  <c r="E355" i="30"/>
  <c r="E101" i="30"/>
  <c r="E426" i="30"/>
  <c r="E419" i="30"/>
  <c r="D466" i="30"/>
  <c r="D88" i="30"/>
  <c r="E173" i="30"/>
  <c r="D87" i="30"/>
  <c r="E201" i="30"/>
  <c r="G421" i="30"/>
  <c r="G195" i="30"/>
  <c r="G437" i="30"/>
  <c r="F136" i="18"/>
  <c r="D329" i="18"/>
  <c r="F183" i="18"/>
  <c r="F335" i="18"/>
  <c r="F176" i="18"/>
  <c r="G380" i="18"/>
  <c r="F187" i="18"/>
  <c r="F139" i="18"/>
  <c r="F107" i="18"/>
  <c r="F173" i="18"/>
  <c r="F345" i="18"/>
  <c r="E201" i="18"/>
  <c r="F147" i="18"/>
  <c r="F97" i="18"/>
  <c r="F112" i="18"/>
  <c r="F157" i="18"/>
  <c r="K755" i="35"/>
  <c r="G413" i="18"/>
  <c r="G335" i="18"/>
  <c r="F443" i="18"/>
  <c r="F365" i="18"/>
  <c r="F343" i="18"/>
  <c r="F421" i="18"/>
  <c r="F426" i="18"/>
  <c r="F348" i="18"/>
  <c r="F222" i="18"/>
  <c r="F144" i="18"/>
  <c r="F351" i="18"/>
  <c r="F429" i="18"/>
  <c r="F436" i="18"/>
  <c r="F358" i="18"/>
  <c r="F177" i="18"/>
  <c r="F99" i="18"/>
  <c r="F412" i="18"/>
  <c r="F334" i="18"/>
  <c r="F445" i="18"/>
  <c r="F367" i="18"/>
  <c r="F452" i="18"/>
  <c r="F374" i="18"/>
  <c r="F194" i="18"/>
  <c r="F116" i="18"/>
  <c r="F467" i="18"/>
  <c r="F389" i="18"/>
  <c r="F339" i="18"/>
  <c r="F417" i="18"/>
  <c r="F192" i="18"/>
  <c r="F114" i="18"/>
  <c r="E203" i="30"/>
  <c r="E125" i="30"/>
  <c r="J678" i="35"/>
  <c r="F159" i="18"/>
  <c r="E210" i="18"/>
  <c r="I765" i="35"/>
  <c r="G118" i="18"/>
  <c r="D124" i="30"/>
  <c r="J755" i="35"/>
  <c r="I761" i="35"/>
  <c r="J765" i="35"/>
  <c r="K678" i="35"/>
  <c r="D434" i="30"/>
  <c r="G355" i="18"/>
  <c r="D124" i="18"/>
  <c r="F129" i="18"/>
  <c r="E361" i="18"/>
  <c r="E140" i="18"/>
  <c r="E218" i="18"/>
  <c r="F100" i="18"/>
  <c r="F431" i="18"/>
  <c r="O11" i="31"/>
  <c r="R11" i="31" s="1"/>
  <c r="N117" i="45" s="1"/>
  <c r="F382" i="18"/>
  <c r="G386" i="30"/>
  <c r="F379" i="18"/>
  <c r="D391" i="18"/>
  <c r="G370" i="18"/>
  <c r="G145" i="18"/>
  <c r="F132" i="18"/>
  <c r="F210" i="18"/>
  <c r="F458" i="18"/>
  <c r="F380" i="18"/>
  <c r="F427" i="18"/>
  <c r="F349" i="18"/>
  <c r="F328" i="18"/>
  <c r="F406" i="18"/>
  <c r="F401" i="18"/>
  <c r="F323" i="18"/>
  <c r="F128" i="18"/>
  <c r="F206" i="18"/>
  <c r="F121" i="18"/>
  <c r="F199" i="18"/>
  <c r="F108" i="18"/>
  <c r="F186" i="18"/>
  <c r="D215" i="18"/>
  <c r="D137" i="18"/>
  <c r="F434" i="18"/>
  <c r="F356" i="18"/>
  <c r="F403" i="18"/>
  <c r="F325" i="18"/>
  <c r="F456" i="18"/>
  <c r="F378" i="18"/>
  <c r="F337" i="18"/>
  <c r="F415" i="18"/>
  <c r="D114" i="18"/>
  <c r="D192" i="18"/>
  <c r="E92" i="30"/>
  <c r="E170" i="30"/>
  <c r="D218" i="18"/>
  <c r="E158" i="30"/>
  <c r="F126" i="18"/>
  <c r="E232" i="18"/>
  <c r="D152" i="18"/>
  <c r="F131" i="18"/>
  <c r="W35" i="9"/>
  <c r="J663" i="35"/>
  <c r="F202" i="18"/>
  <c r="F124" i="18"/>
  <c r="F117" i="18"/>
  <c r="F195" i="18"/>
  <c r="F466" i="18"/>
  <c r="F388" i="18"/>
  <c r="F420" i="18"/>
  <c r="F342" i="18"/>
  <c r="F416" i="18"/>
  <c r="F338" i="18"/>
  <c r="F444" i="18"/>
  <c r="F366" i="18"/>
  <c r="F375" i="18"/>
  <c r="F453" i="18"/>
  <c r="F152" i="18"/>
  <c r="F230" i="18"/>
  <c r="F468" i="18"/>
  <c r="F390" i="18"/>
  <c r="F425" i="18"/>
  <c r="F347" i="18"/>
  <c r="F447" i="18"/>
  <c r="F369" i="18"/>
  <c r="F130" i="18"/>
  <c r="F208" i="18"/>
  <c r="F363" i="18"/>
  <c r="F441" i="18"/>
  <c r="F454" i="30"/>
  <c r="F376" i="30"/>
  <c r="F94" i="30"/>
  <c r="F172" i="30"/>
  <c r="F86" i="30"/>
  <c r="F164" i="30"/>
  <c r="F122" i="30"/>
  <c r="F200" i="30"/>
  <c r="F96" i="30"/>
  <c r="F174" i="30"/>
  <c r="F418" i="30"/>
  <c r="F340" i="30"/>
  <c r="F450" i="30"/>
  <c r="F372" i="30"/>
  <c r="F472" i="30"/>
  <c r="F394" i="30"/>
  <c r="F462" i="30"/>
  <c r="F384" i="30"/>
  <c r="F448" i="30"/>
  <c r="F370" i="30"/>
  <c r="F179" i="30"/>
  <c r="F101" i="30"/>
  <c r="F438" i="30"/>
  <c r="F360" i="30"/>
  <c r="F160" i="30"/>
  <c r="F238" i="30"/>
  <c r="F393" i="30"/>
  <c r="F471" i="30"/>
  <c r="F182" i="30"/>
  <c r="F104" i="30"/>
  <c r="F123" i="30"/>
  <c r="F201" i="30"/>
  <c r="F135" i="30"/>
  <c r="F213" i="30"/>
  <c r="F381" i="30"/>
  <c r="F459" i="30"/>
  <c r="F377" i="30"/>
  <c r="F455" i="30"/>
  <c r="F234" i="30"/>
  <c r="F156" i="30"/>
  <c r="F142" i="30"/>
  <c r="F220" i="30"/>
  <c r="F433" i="30"/>
  <c r="F355" i="30"/>
  <c r="F341" i="30"/>
  <c r="F419" i="30"/>
  <c r="F187" i="30"/>
  <c r="F109" i="30"/>
  <c r="F95" i="30"/>
  <c r="F173" i="30"/>
  <c r="F457" i="30"/>
  <c r="F379" i="30"/>
  <c r="F102" i="30"/>
  <c r="F180" i="30"/>
  <c r="F335" i="30"/>
  <c r="F413" i="30"/>
  <c r="F227" i="30"/>
  <c r="F149" i="30"/>
  <c r="F146" i="30"/>
  <c r="F224" i="30"/>
  <c r="F158" i="30"/>
  <c r="F236" i="30"/>
  <c r="F460" i="30"/>
  <c r="F382" i="30"/>
  <c r="F103" i="30"/>
  <c r="F181" i="30"/>
  <c r="F171" i="30"/>
  <c r="F93" i="30"/>
  <c r="F106" i="30"/>
  <c r="F184" i="30"/>
  <c r="F219" i="30"/>
  <c r="F141" i="30"/>
  <c r="F233" i="30"/>
  <c r="F155" i="30"/>
  <c r="F218" i="30"/>
  <c r="F140" i="30"/>
  <c r="F110" i="30"/>
  <c r="F188" i="30"/>
  <c r="F205" i="30"/>
  <c r="F127" i="30"/>
  <c r="F170" i="30"/>
  <c r="F92" i="30"/>
  <c r="G203" i="18"/>
  <c r="D207" i="18"/>
  <c r="F466" i="30"/>
  <c r="F388" i="30"/>
  <c r="F420" i="30"/>
  <c r="F342" i="30"/>
  <c r="F338" i="30"/>
  <c r="F416" i="30"/>
  <c r="F333" i="30"/>
  <c r="F411" i="30"/>
  <c r="F444" i="30"/>
  <c r="F366" i="30"/>
  <c r="F453" i="30"/>
  <c r="F375" i="30"/>
  <c r="F230" i="30"/>
  <c r="F152" i="30"/>
  <c r="F468" i="30"/>
  <c r="F390" i="30"/>
  <c r="F425" i="30"/>
  <c r="F347" i="30"/>
  <c r="F369" i="30"/>
  <c r="F447" i="30"/>
  <c r="F208" i="30"/>
  <c r="F130" i="30"/>
  <c r="F409" i="30"/>
  <c r="F331" i="30"/>
  <c r="F363" i="30"/>
  <c r="F441" i="30"/>
  <c r="F217" i="30"/>
  <c r="F139" i="30"/>
  <c r="F330" i="30"/>
  <c r="F408" i="30"/>
  <c r="F385" i="30"/>
  <c r="F463" i="30"/>
  <c r="D333" i="18"/>
  <c r="G475" i="18"/>
  <c r="G419" i="18"/>
  <c r="F231" i="30"/>
  <c r="F153" i="30"/>
  <c r="F461" i="30"/>
  <c r="F383" i="30"/>
  <c r="F120" i="30"/>
  <c r="F198" i="30"/>
  <c r="F473" i="30"/>
  <c r="F395" i="30"/>
  <c r="F386" i="30"/>
  <c r="F464" i="30"/>
  <c r="F87" i="30"/>
  <c r="F165" i="30"/>
  <c r="F115" i="30"/>
  <c r="F193" i="30"/>
  <c r="F111" i="30"/>
  <c r="F189" i="30"/>
  <c r="F221" i="30"/>
  <c r="F143" i="30"/>
  <c r="F190" i="30"/>
  <c r="F112" i="30"/>
  <c r="F474" i="30"/>
  <c r="F396" i="30"/>
  <c r="F327" i="30"/>
  <c r="F405" i="30"/>
  <c r="F119" i="30"/>
  <c r="F197" i="30"/>
  <c r="F329" i="30"/>
  <c r="F407" i="30"/>
  <c r="F465" i="30"/>
  <c r="F387" i="30"/>
  <c r="F191" i="30"/>
  <c r="F113" i="30"/>
  <c r="F332" i="30"/>
  <c r="F410" i="30"/>
  <c r="F136" i="30"/>
  <c r="F214" i="30"/>
  <c r="G145" i="30"/>
  <c r="F436" i="30"/>
  <c r="F358" i="30"/>
  <c r="F177" i="30"/>
  <c r="F99" i="30"/>
  <c r="F412" i="30"/>
  <c r="F334" i="30"/>
  <c r="F446" i="30"/>
  <c r="F368" i="30"/>
  <c r="F445" i="30"/>
  <c r="F367" i="30"/>
  <c r="F207" i="30"/>
  <c r="F129" i="30"/>
  <c r="F452" i="30"/>
  <c r="F374" i="30"/>
  <c r="F194" i="30"/>
  <c r="F116" i="30"/>
  <c r="F389" i="30"/>
  <c r="F467" i="30"/>
  <c r="F339" i="30"/>
  <c r="F417" i="30"/>
  <c r="F159" i="30"/>
  <c r="F237" i="30"/>
  <c r="F353" i="30"/>
  <c r="F431" i="30"/>
  <c r="F192" i="30"/>
  <c r="F114" i="30"/>
  <c r="F432" i="30"/>
  <c r="F354" i="30"/>
  <c r="F430" i="30"/>
  <c r="F352" i="30"/>
  <c r="F90" i="30"/>
  <c r="F168" i="30"/>
  <c r="F144" i="30"/>
  <c r="F222" i="30"/>
  <c r="F429" i="30"/>
  <c r="F351" i="30"/>
  <c r="F178" i="30"/>
  <c r="F100" i="30"/>
  <c r="E386" i="30"/>
  <c r="F210" i="30"/>
  <c r="F132" i="30"/>
  <c r="F175" i="30"/>
  <c r="F97" i="30"/>
  <c r="F126" i="30"/>
  <c r="F204" i="30"/>
  <c r="F380" i="30"/>
  <c r="F458" i="30"/>
  <c r="F349" i="30"/>
  <c r="F427" i="30"/>
  <c r="F328" i="30"/>
  <c r="F406" i="30"/>
  <c r="F361" i="30"/>
  <c r="F439" i="30"/>
  <c r="F196" i="30"/>
  <c r="F118" i="30"/>
  <c r="F401" i="30"/>
  <c r="F323" i="30"/>
  <c r="F128" i="30"/>
  <c r="F206" i="30"/>
  <c r="F199" i="30"/>
  <c r="F121" i="30"/>
  <c r="F186" i="30"/>
  <c r="F108" i="30"/>
  <c r="F365" i="30"/>
  <c r="F443" i="30"/>
  <c r="F421" i="30"/>
  <c r="F343" i="30"/>
  <c r="F348" i="30"/>
  <c r="F426" i="30"/>
  <c r="F131" i="30"/>
  <c r="F209" i="30"/>
  <c r="F378" i="30"/>
  <c r="F456" i="30"/>
  <c r="F337" i="30"/>
  <c r="F415" i="30"/>
  <c r="D333" i="30"/>
  <c r="F362" i="30"/>
  <c r="F440" i="30"/>
  <c r="F223" i="30"/>
  <c r="F145" i="30"/>
  <c r="F404" i="30"/>
  <c r="F326" i="30"/>
  <c r="F166" i="30"/>
  <c r="F88" i="30"/>
  <c r="F211" i="30"/>
  <c r="F133" i="30"/>
  <c r="F105" i="30"/>
  <c r="F183" i="30"/>
  <c r="F107" i="30"/>
  <c r="F185" i="30"/>
  <c r="F345" i="30"/>
  <c r="F423" i="30"/>
  <c r="F98" i="30"/>
  <c r="F176" i="30"/>
  <c r="F167" i="30"/>
  <c r="F89" i="30"/>
  <c r="F216" i="30"/>
  <c r="F138" i="30"/>
  <c r="F137" i="30"/>
  <c r="F215" i="30"/>
  <c r="F442" i="30"/>
  <c r="F364" i="30"/>
  <c r="F414" i="30"/>
  <c r="F336" i="30"/>
  <c r="F226" i="30"/>
  <c r="F148" i="30"/>
  <c r="F371" i="30"/>
  <c r="F449" i="30"/>
  <c r="F356" i="30"/>
  <c r="F434" i="30"/>
  <c r="F403" i="30"/>
  <c r="F325" i="30"/>
  <c r="F202" i="30"/>
  <c r="F124" i="30"/>
  <c r="F195" i="30"/>
  <c r="F117" i="30"/>
  <c r="F357" i="30"/>
  <c r="F435" i="30"/>
  <c r="F428" i="30"/>
  <c r="F350" i="30"/>
  <c r="F397" i="30"/>
  <c r="F475" i="30"/>
  <c r="F150" i="30"/>
  <c r="F228" i="30"/>
  <c r="F373" i="30"/>
  <c r="F451" i="30"/>
  <c r="F134" i="30"/>
  <c r="F212" i="30"/>
  <c r="F422" i="30"/>
  <c r="F344" i="30"/>
  <c r="F169" i="30"/>
  <c r="F91" i="30"/>
  <c r="F203" i="30"/>
  <c r="F125" i="30"/>
  <c r="F154" i="30"/>
  <c r="F232" i="30"/>
  <c r="F470" i="30"/>
  <c r="F392" i="30"/>
  <c r="F147" i="30"/>
  <c r="F225" i="30"/>
  <c r="F235" i="30"/>
  <c r="F157" i="30"/>
  <c r="F151" i="30"/>
  <c r="F229" i="30"/>
  <c r="F424" i="30"/>
  <c r="F346" i="30"/>
  <c r="F437" i="30"/>
  <c r="F359" i="30"/>
  <c r="F469" i="30"/>
  <c r="F391" i="30"/>
  <c r="F324" i="30"/>
  <c r="F402" i="30"/>
  <c r="D341" i="30"/>
  <c r="G176" i="30"/>
  <c r="E430" i="30"/>
  <c r="O702" i="35" a="1"/>
  <c r="O702" i="35" s="1"/>
  <c r="P702" i="35" a="1"/>
  <c r="P702" i="35" s="1"/>
  <c r="O692" i="35" a="1"/>
  <c r="O692" i="35" s="1"/>
  <c r="P692" i="35" a="1"/>
  <c r="P692" i="35" s="1"/>
  <c r="P695" i="35" a="1"/>
  <c r="P695" i="35" s="1"/>
  <c r="O695" i="35" a="1"/>
  <c r="O695" i="35" s="1"/>
  <c r="P709" i="35" a="1"/>
  <c r="P709" i="35" s="1"/>
  <c r="O709" i="35" a="1"/>
  <c r="O709" i="35" s="1"/>
  <c r="P785" i="35" a="1"/>
  <c r="P785" i="35" s="1"/>
  <c r="O785" i="35" a="1"/>
  <c r="O785" i="35" s="1"/>
  <c r="O719" i="35" s="1"/>
  <c r="P703" i="35" a="1"/>
  <c r="P703" i="35" s="1"/>
  <c r="O703" i="35" a="1"/>
  <c r="O703" i="35" s="1"/>
  <c r="O712" i="35" a="1"/>
  <c r="O712" i="35" s="1"/>
  <c r="P712" i="35" a="1"/>
  <c r="P712" i="35" s="1"/>
  <c r="O708" i="35" a="1"/>
  <c r="O708" i="35" s="1"/>
  <c r="P708" i="35" a="1"/>
  <c r="P708" i="35" s="1"/>
  <c r="P685" i="35" a="1"/>
  <c r="P685" i="35" s="1"/>
  <c r="O685" i="35" a="1"/>
  <c r="O685" i="35" s="1"/>
  <c r="P701" i="35" a="1"/>
  <c r="P701" i="35" s="1"/>
  <c r="O701" i="35" a="1"/>
  <c r="O701" i="35" s="1"/>
  <c r="P691" i="35" a="1"/>
  <c r="P691" i="35" s="1"/>
  <c r="O691" i="35" a="1"/>
  <c r="O691" i="35" s="1"/>
  <c r="O690" i="35" a="1"/>
  <c r="O690" i="35" s="1"/>
  <c r="P690" i="35" a="1"/>
  <c r="P690" i="35" s="1"/>
  <c r="O706" i="35" a="1"/>
  <c r="O706" i="35" s="1"/>
  <c r="P706" i="35" a="1"/>
  <c r="P706" i="35" s="1"/>
  <c r="O694" i="35" a="1"/>
  <c r="O694" i="35" s="1"/>
  <c r="P694" i="35" a="1"/>
  <c r="P694" i="35" s="1"/>
  <c r="P628" i="35" s="1"/>
  <c r="P693" i="35" a="1"/>
  <c r="P693" i="35" s="1"/>
  <c r="O693" i="35" a="1"/>
  <c r="O693" i="35" s="1"/>
  <c r="P688" i="35" a="1"/>
  <c r="P688" i="35" s="1"/>
  <c r="O688" i="35" a="1"/>
  <c r="O688" i="35" s="1"/>
  <c r="O687" i="35" a="1"/>
  <c r="O687" i="35" s="1"/>
  <c r="P687" i="35" a="1"/>
  <c r="P687" i="35" s="1"/>
  <c r="O686" i="35" a="1"/>
  <c r="O686" i="35" s="1"/>
  <c r="P686" i="35" a="1"/>
  <c r="P686" i="35" s="1"/>
  <c r="O710" i="35" a="1"/>
  <c r="O710" i="35" s="1"/>
  <c r="P710" i="35" a="1"/>
  <c r="P710" i="35" s="1"/>
  <c r="O698" i="35" a="1"/>
  <c r="O698" i="35" s="1"/>
  <c r="P698" i="35" a="1"/>
  <c r="P698" i="35" s="1"/>
  <c r="O689" i="35" a="1"/>
  <c r="O689" i="35" s="1"/>
  <c r="P689" i="35" a="1"/>
  <c r="P689" i="35" s="1"/>
  <c r="P707" i="35" a="1"/>
  <c r="P707" i="35" s="1"/>
  <c r="O707" i="35" a="1"/>
  <c r="O707" i="35" s="1"/>
  <c r="O696" i="35" a="1"/>
  <c r="O696" i="35" s="1"/>
  <c r="P696" i="35" a="1"/>
  <c r="P696" i="35" s="1"/>
  <c r="P705" i="35" a="1"/>
  <c r="P705" i="35" s="1"/>
  <c r="O705" i="35" a="1"/>
  <c r="O705" i="35" s="1"/>
  <c r="P699" i="35" a="1"/>
  <c r="P699" i="35" s="1"/>
  <c r="O699" i="35" a="1"/>
  <c r="O699" i="35" s="1"/>
  <c r="O704" i="35" a="1"/>
  <c r="O704" i="35" s="1"/>
  <c r="P704" i="35" a="1"/>
  <c r="P704" i="35" s="1"/>
  <c r="O711" i="35" a="1"/>
  <c r="O711" i="35" s="1"/>
  <c r="P711" i="35" a="1"/>
  <c r="P711" i="35" s="1"/>
  <c r="O700" i="35" a="1"/>
  <c r="O700" i="35" s="1"/>
  <c r="P700" i="35" a="1"/>
  <c r="P700" i="35" s="1"/>
  <c r="P697" i="35" a="1"/>
  <c r="P697" i="35" s="1"/>
  <c r="O697" i="35" a="1"/>
  <c r="O697" i="35" s="1"/>
  <c r="E114" i="30"/>
  <c r="D230" i="30"/>
  <c r="D341" i="18"/>
  <c r="D133" i="30"/>
  <c r="G389" i="30"/>
  <c r="D390" i="30"/>
  <c r="D464" i="18"/>
  <c r="D329" i="30"/>
  <c r="C1025" i="35"/>
  <c r="N683" i="35"/>
  <c r="G397" i="30"/>
  <c r="G388" i="30"/>
  <c r="G348" i="30"/>
  <c r="M57" i="32"/>
  <c r="L57" i="32"/>
  <c r="L61" i="32" s="1"/>
  <c r="L65" i="32" s="1"/>
  <c r="G87" i="30"/>
  <c r="D232" i="18"/>
  <c r="D427" i="30"/>
  <c r="G337" i="30"/>
  <c r="G154" i="18"/>
  <c r="G394" i="18"/>
  <c r="D388" i="18"/>
  <c r="E374" i="30"/>
  <c r="D211" i="18"/>
  <c r="E370" i="30"/>
  <c r="D95" i="30"/>
  <c r="G413" i="30"/>
  <c r="K768" i="35"/>
  <c r="I778" i="35"/>
  <c r="I762" i="35"/>
  <c r="I677" i="35"/>
  <c r="J761" i="35"/>
  <c r="K663" i="35"/>
  <c r="I657" i="35"/>
  <c r="E466" i="30"/>
  <c r="E137" i="30"/>
  <c r="G448" i="30"/>
  <c r="E223" i="18"/>
  <c r="E230" i="30"/>
  <c r="D192" i="30"/>
  <c r="D472" i="30"/>
  <c r="E426" i="18"/>
  <c r="G108" i="30"/>
  <c r="G377" i="30"/>
  <c r="G137" i="18"/>
  <c r="E389" i="18"/>
  <c r="G380" i="30"/>
  <c r="D397" i="30"/>
  <c r="D469" i="30"/>
  <c r="D468" i="18"/>
  <c r="J658" i="35"/>
  <c r="G88" i="30"/>
  <c r="D405" i="18"/>
  <c r="E170" i="18"/>
  <c r="G92" i="30"/>
  <c r="J666" i="35"/>
  <c r="K658" i="35"/>
  <c r="I662" i="35"/>
  <c r="J674" i="35"/>
  <c r="J677" i="35"/>
  <c r="O9" i="31"/>
  <c r="I755" i="35"/>
  <c r="I666" i="35"/>
  <c r="J675" i="35"/>
  <c r="I768" i="35"/>
  <c r="J768" i="35"/>
  <c r="R76" i="47"/>
  <c r="S76" i="47" s="1"/>
  <c r="H129" i="50"/>
  <c r="H133" i="50" s="1"/>
  <c r="L10" i="34" a="1"/>
  <c r="L10" i="34" s="1"/>
  <c r="K666" i="35"/>
  <c r="J662" i="35"/>
  <c r="N129" i="45"/>
  <c r="M12" i="31"/>
  <c r="M19" i="31" s="1"/>
  <c r="J671" i="35"/>
  <c r="G137" i="30"/>
  <c r="D430" i="18"/>
  <c r="E352" i="18"/>
  <c r="G92" i="18"/>
  <c r="D427" i="18"/>
  <c r="E466" i="18"/>
  <c r="D123" i="18"/>
  <c r="D212" i="18"/>
  <c r="D426" i="30"/>
  <c r="G464" i="18"/>
  <c r="G392" i="18"/>
  <c r="D212" i="30"/>
  <c r="J653" i="35"/>
  <c r="K677" i="35"/>
  <c r="J779" i="35"/>
  <c r="K771" i="35"/>
  <c r="D250" i="50"/>
  <c r="H246" i="50" s="1"/>
  <c r="H250" i="50" s="1"/>
  <c r="I653" i="35"/>
  <c r="K662" i="35"/>
  <c r="I771" i="35"/>
  <c r="D87" i="18"/>
  <c r="Q71" i="32"/>
  <c r="J7" i="26"/>
  <c r="J9" i="4"/>
  <c r="J9" i="32" s="1"/>
  <c r="J8" i="32"/>
  <c r="I10" i="34" a="1"/>
  <c r="I10" i="34" s="1"/>
  <c r="K83" i="45" s="1"/>
  <c r="N7" i="26"/>
  <c r="N8" i="32"/>
  <c r="P8" i="32"/>
  <c r="P7" i="26"/>
  <c r="O8" i="32"/>
  <c r="O7" i="26"/>
  <c r="J7" i="34" s="1"/>
  <c r="L13" i="31"/>
  <c r="O13" i="31" s="1"/>
  <c r="L12" i="31"/>
  <c r="L18" i="31"/>
  <c r="O18" i="31" s="1"/>
  <c r="Q14" i="31"/>
  <c r="Q19" i="31" s="1"/>
  <c r="N12" i="31"/>
  <c r="N19" i="31" s="1"/>
  <c r="L17" i="31"/>
  <c r="O17" i="31" s="1"/>
  <c r="K10" i="31"/>
  <c r="O10" i="31" s="1"/>
  <c r="L16" i="31"/>
  <c r="O16" i="31" s="1"/>
  <c r="K14" i="31"/>
  <c r="O14" i="31" s="1"/>
  <c r="L15" i="31"/>
  <c r="O15" i="31" s="1"/>
  <c r="E114" i="18"/>
  <c r="G392" i="30"/>
  <c r="N41" i="31"/>
  <c r="D397" i="18"/>
  <c r="N9" i="4"/>
  <c r="P9" i="4"/>
  <c r="O9" i="4"/>
  <c r="M9" i="4"/>
  <c r="M8" i="32"/>
  <c r="E218" i="30"/>
  <c r="E390" i="30"/>
  <c r="D355" i="30"/>
  <c r="N789" i="35"/>
  <c r="S789" i="35"/>
  <c r="S723" i="35" s="1"/>
  <c r="T789" i="35"/>
  <c r="T723" i="35" s="1"/>
  <c r="U789" i="35"/>
  <c r="U723" i="35" s="1"/>
  <c r="N794" i="35"/>
  <c r="S794" i="35"/>
  <c r="S728" i="35" s="1"/>
  <c r="T794" i="35"/>
  <c r="T728" i="35" s="1"/>
  <c r="U794" i="35"/>
  <c r="U728" i="35" s="1"/>
  <c r="N791" i="35"/>
  <c r="S791" i="35"/>
  <c r="S725" i="35" s="1"/>
  <c r="T791" i="35"/>
  <c r="T725" i="35" s="1"/>
  <c r="U791" i="35"/>
  <c r="U725" i="35" s="1"/>
  <c r="N790" i="35"/>
  <c r="T790" i="35"/>
  <c r="T724" i="35" s="1"/>
  <c r="U790" i="35"/>
  <c r="U724" i="35" s="1"/>
  <c r="S790" i="35"/>
  <c r="S724" i="35" s="1"/>
  <c r="N797" i="35"/>
  <c r="S797" i="35"/>
  <c r="S731" i="35" s="1"/>
  <c r="T797" i="35"/>
  <c r="T731" i="35" s="1"/>
  <c r="U797" i="35"/>
  <c r="U731" i="35" s="1"/>
  <c r="N814" i="35"/>
  <c r="S814" i="35"/>
  <c r="S748" i="35" s="1"/>
  <c r="T814" i="35"/>
  <c r="T748" i="35" s="1"/>
  <c r="U814" i="35"/>
  <c r="U748" i="35" s="1"/>
  <c r="N810" i="35"/>
  <c r="S810" i="35"/>
  <c r="S744" i="35" s="1"/>
  <c r="T810" i="35"/>
  <c r="T744" i="35" s="1"/>
  <c r="U810" i="35"/>
  <c r="U744" i="35" s="1"/>
  <c r="N807" i="35"/>
  <c r="S807" i="35"/>
  <c r="S741" i="35" s="1"/>
  <c r="T807" i="35"/>
  <c r="T741" i="35" s="1"/>
  <c r="U807" i="35"/>
  <c r="U741" i="35" s="1"/>
  <c r="N801" i="35"/>
  <c r="U801" i="35"/>
  <c r="U735" i="35" s="1"/>
  <c r="T801" i="35"/>
  <c r="T735" i="35" s="1"/>
  <c r="S801" i="35"/>
  <c r="S735" i="35" s="1"/>
  <c r="N808" i="35"/>
  <c r="U808" i="35"/>
  <c r="U742" i="35" s="1"/>
  <c r="S808" i="35"/>
  <c r="S742" i="35" s="1"/>
  <c r="T808" i="35"/>
  <c r="T742" i="35" s="1"/>
  <c r="N803" i="35"/>
  <c r="S803" i="35"/>
  <c r="S737" i="35" s="1"/>
  <c r="T803" i="35"/>
  <c r="T737" i="35" s="1"/>
  <c r="U803" i="35"/>
  <c r="U737" i="35" s="1"/>
  <c r="N787" i="35"/>
  <c r="Q787" i="35" s="1"/>
  <c r="U787" i="35"/>
  <c r="U721" i="35" s="1"/>
  <c r="S787" i="35"/>
  <c r="S721" i="35" s="1"/>
  <c r="T787" i="35"/>
  <c r="T721" i="35" s="1"/>
  <c r="N806" i="35"/>
  <c r="U806" i="35"/>
  <c r="U740" i="35" s="1"/>
  <c r="S806" i="35"/>
  <c r="S740" i="35" s="1"/>
  <c r="T806" i="35"/>
  <c r="T740" i="35" s="1"/>
  <c r="N788" i="35"/>
  <c r="T788" i="35"/>
  <c r="T722" i="35" s="1"/>
  <c r="U788" i="35"/>
  <c r="U722" i="35" s="1"/>
  <c r="S788" i="35"/>
  <c r="S722" i="35" s="1"/>
  <c r="N800" i="35"/>
  <c r="U800" i="35"/>
  <c r="U734" i="35" s="1"/>
  <c r="S800" i="35"/>
  <c r="S734" i="35" s="1"/>
  <c r="T800" i="35"/>
  <c r="T734" i="35" s="1"/>
  <c r="N793" i="35"/>
  <c r="U793" i="35"/>
  <c r="U727" i="35" s="1"/>
  <c r="T793" i="35"/>
  <c r="T727" i="35" s="1"/>
  <c r="S793" i="35"/>
  <c r="S727" i="35" s="1"/>
  <c r="N796" i="35"/>
  <c r="T796" i="35"/>
  <c r="T730" i="35" s="1"/>
  <c r="U796" i="35"/>
  <c r="U730" i="35" s="1"/>
  <c r="S796" i="35"/>
  <c r="S730" i="35" s="1"/>
  <c r="N805" i="35"/>
  <c r="S805" i="35"/>
  <c r="S739" i="35" s="1"/>
  <c r="T805" i="35"/>
  <c r="T739" i="35" s="1"/>
  <c r="U805" i="35"/>
  <c r="U739" i="35" s="1"/>
  <c r="N811" i="35"/>
  <c r="U811" i="35"/>
  <c r="U745" i="35" s="1"/>
  <c r="S811" i="35"/>
  <c r="S745" i="35" s="1"/>
  <c r="T811" i="35"/>
  <c r="T745" i="35" s="1"/>
  <c r="N809" i="35"/>
  <c r="U809" i="35"/>
  <c r="U743" i="35" s="1"/>
  <c r="S809" i="35"/>
  <c r="S743" i="35" s="1"/>
  <c r="T809" i="35"/>
  <c r="T743" i="35" s="1"/>
  <c r="N804" i="35"/>
  <c r="T804" i="35"/>
  <c r="T738" i="35" s="1"/>
  <c r="U804" i="35"/>
  <c r="U738" i="35" s="1"/>
  <c r="S804" i="35"/>
  <c r="S738" i="35" s="1"/>
  <c r="N802" i="35"/>
  <c r="S802" i="35"/>
  <c r="S736" i="35" s="1"/>
  <c r="T802" i="35"/>
  <c r="T736" i="35" s="1"/>
  <c r="U802" i="35"/>
  <c r="U736" i="35" s="1"/>
  <c r="N798" i="35"/>
  <c r="T798" i="35"/>
  <c r="T732" i="35" s="1"/>
  <c r="U798" i="35"/>
  <c r="U732" i="35" s="1"/>
  <c r="S798" i="35"/>
  <c r="S732" i="35" s="1"/>
  <c r="N792" i="35"/>
  <c r="S792" i="35"/>
  <c r="S726" i="35" s="1"/>
  <c r="T792" i="35"/>
  <c r="T726" i="35" s="1"/>
  <c r="U792" i="35"/>
  <c r="U726" i="35" s="1"/>
  <c r="N795" i="35"/>
  <c r="U795" i="35"/>
  <c r="U729" i="35" s="1"/>
  <c r="T795" i="35"/>
  <c r="T729" i="35" s="1"/>
  <c r="S795" i="35"/>
  <c r="S729" i="35" s="1"/>
  <c r="N812" i="35"/>
  <c r="T812" i="35"/>
  <c r="T746" i="35" s="1"/>
  <c r="U812" i="35"/>
  <c r="U746" i="35" s="1"/>
  <c r="S812" i="35"/>
  <c r="S746" i="35" s="1"/>
  <c r="N813" i="35"/>
  <c r="S813" i="35"/>
  <c r="S747" i="35" s="1"/>
  <c r="T813" i="35"/>
  <c r="T747" i="35" s="1"/>
  <c r="U813" i="35"/>
  <c r="U747" i="35" s="1"/>
  <c r="N799" i="35"/>
  <c r="S799" i="35"/>
  <c r="S733" i="35" s="1"/>
  <c r="T799" i="35"/>
  <c r="T733" i="35" s="1"/>
  <c r="U799" i="35"/>
  <c r="U733" i="35" s="1"/>
  <c r="J51" i="32"/>
  <c r="N651" i="35"/>
  <c r="M651" i="35"/>
  <c r="U651" i="35"/>
  <c r="S651" i="35"/>
  <c r="T651" i="35"/>
  <c r="G651" i="35"/>
  <c r="D447" i="35"/>
  <c r="D414" i="35"/>
  <c r="D381" i="35"/>
  <c r="D516" i="35"/>
  <c r="D549" i="35"/>
  <c r="D582" i="35"/>
  <c r="E516" i="35"/>
  <c r="E549" i="35"/>
  <c r="E582" i="35"/>
  <c r="C888" i="35"/>
  <c r="C855" i="35"/>
  <c r="C786" i="35"/>
  <c r="C516" i="35"/>
  <c r="C549" i="35"/>
  <c r="C582" i="35"/>
  <c r="D990" i="35"/>
  <c r="D957" i="35"/>
  <c r="D855" i="35"/>
  <c r="D888" i="35"/>
  <c r="C684" i="35"/>
  <c r="C414" i="35"/>
  <c r="C381" i="35"/>
  <c r="C447" i="35"/>
  <c r="D1161" i="35"/>
  <c r="D1194" i="35"/>
  <c r="D1092" i="35"/>
  <c r="D1059" i="35"/>
  <c r="N753" i="35"/>
  <c r="S753" i="35"/>
  <c r="U753" i="35"/>
  <c r="T753" i="35"/>
  <c r="E447" i="35"/>
  <c r="E381" i="35"/>
  <c r="E414" i="35"/>
  <c r="C990" i="35"/>
  <c r="C957" i="35"/>
  <c r="L43" i="31"/>
  <c r="Q40" i="31"/>
  <c r="Q46" i="31"/>
  <c r="Q31" i="31"/>
  <c r="G388" i="18"/>
  <c r="I42" i="31"/>
  <c r="L25" i="31"/>
  <c r="G352" i="30"/>
  <c r="K38" i="31"/>
  <c r="D458" i="18"/>
  <c r="D377" i="30"/>
  <c r="L46" i="31"/>
  <c r="K28" i="31"/>
  <c r="E472" i="30"/>
  <c r="L36" i="31"/>
  <c r="Q28" i="31"/>
  <c r="L30" i="31"/>
  <c r="K32" i="31"/>
  <c r="I32" i="31"/>
  <c r="Q29" i="31"/>
  <c r="Q30" i="31"/>
  <c r="Q26" i="31"/>
  <c r="M29" i="31"/>
  <c r="N30" i="31"/>
  <c r="Q23" i="31"/>
  <c r="K24" i="31"/>
  <c r="N28" i="31"/>
  <c r="Q32" i="31"/>
  <c r="K25" i="31"/>
  <c r="N23" i="31"/>
  <c r="M25" i="31"/>
  <c r="K27" i="31"/>
  <c r="Q25" i="31"/>
  <c r="I25" i="31"/>
  <c r="E175" i="30"/>
  <c r="M32" i="31"/>
  <c r="N25" i="31"/>
  <c r="N32" i="31"/>
  <c r="Q27" i="31"/>
  <c r="L32" i="31"/>
  <c r="G94" i="30"/>
  <c r="N27" i="31"/>
  <c r="L27" i="31"/>
  <c r="Q22" i="31"/>
  <c r="I27" i="31"/>
  <c r="I46" i="31"/>
  <c r="L40" i="31"/>
  <c r="Q43" i="31"/>
  <c r="M39" i="31"/>
  <c r="Q41" i="31"/>
  <c r="N40" i="31"/>
  <c r="N45" i="31"/>
  <c r="K44" i="31"/>
  <c r="I43" i="31"/>
  <c r="E341" i="18"/>
  <c r="E223" i="30"/>
  <c r="H236" i="50"/>
  <c r="H240" i="50" s="1"/>
  <c r="Q44" i="31"/>
  <c r="N42" i="31"/>
  <c r="M46" i="31"/>
  <c r="N44" i="31"/>
  <c r="K43" i="31"/>
  <c r="K40" i="31"/>
  <c r="Q36" i="31"/>
  <c r="I41" i="31"/>
  <c r="M38" i="31"/>
  <c r="R107" i="47"/>
  <c r="S107" i="47" s="1"/>
  <c r="N46" i="31"/>
  <c r="K41" i="31"/>
  <c r="Q42" i="31"/>
  <c r="K42" i="31"/>
  <c r="K36" i="31"/>
  <c r="I36" i="31"/>
  <c r="I39" i="31"/>
  <c r="I40" i="31"/>
  <c r="D327" i="30"/>
  <c r="K45" i="31"/>
  <c r="M36" i="31"/>
  <c r="N39" i="31"/>
  <c r="L39" i="31"/>
  <c r="K37" i="31"/>
  <c r="D232" i="30"/>
  <c r="G390" i="18"/>
  <c r="I38" i="31"/>
  <c r="D433" i="18"/>
  <c r="N36" i="31"/>
  <c r="Q39" i="31"/>
  <c r="M37" i="31"/>
  <c r="L37" i="31"/>
  <c r="I45" i="31"/>
  <c r="I37" i="31"/>
  <c r="L42" i="31"/>
  <c r="Q37" i="31"/>
  <c r="M45" i="31"/>
  <c r="M41" i="31"/>
  <c r="L41" i="31"/>
  <c r="I44" i="31"/>
  <c r="M40" i="31"/>
  <c r="N43" i="31"/>
  <c r="M44" i="31"/>
  <c r="L44" i="31"/>
  <c r="L45" i="31"/>
  <c r="Q45" i="31"/>
  <c r="R78" i="47"/>
  <c r="S78" i="47" s="1"/>
  <c r="R81" i="47"/>
  <c r="S81" i="47" s="1"/>
  <c r="R85" i="47"/>
  <c r="S85" i="47" s="1"/>
  <c r="R77" i="47"/>
  <c r="S77" i="47" s="1"/>
  <c r="D337" i="30"/>
  <c r="R100" i="47"/>
  <c r="S100" i="47" s="1"/>
  <c r="R92" i="47"/>
  <c r="S92" i="47" s="1"/>
  <c r="O8" i="31"/>
  <c r="N721" i="35"/>
  <c r="N631" i="35"/>
  <c r="Q697" i="35"/>
  <c r="Q712" i="35"/>
  <c r="N646" i="35"/>
  <c r="C1131" i="35"/>
  <c r="M723" i="35"/>
  <c r="G723" i="35"/>
  <c r="Q773" i="35"/>
  <c r="C1154" i="35"/>
  <c r="M746" i="35"/>
  <c r="G746" i="35"/>
  <c r="C1045" i="35"/>
  <c r="M703" i="35"/>
  <c r="M637" i="35" s="1"/>
  <c r="T703" i="35"/>
  <c r="T637" i="35" s="1"/>
  <c r="S703" i="35"/>
  <c r="S637" i="35" s="1"/>
  <c r="G703" i="35"/>
  <c r="G637" i="35" s="1"/>
  <c r="U703" i="35"/>
  <c r="U637" i="35" s="1"/>
  <c r="C1144" i="35"/>
  <c r="M736" i="35"/>
  <c r="G736" i="35"/>
  <c r="C1053" i="35"/>
  <c r="S711" i="35"/>
  <c r="S645" i="35" s="1"/>
  <c r="T711" i="35"/>
  <c r="T645" i="35" s="1"/>
  <c r="M711" i="35"/>
  <c r="M645" i="35" s="1"/>
  <c r="G711" i="35"/>
  <c r="G645" i="35" s="1"/>
  <c r="U711" i="35"/>
  <c r="U645" i="35" s="1"/>
  <c r="Q763" i="35"/>
  <c r="Q776" i="35"/>
  <c r="C1038" i="35"/>
  <c r="S696" i="35"/>
  <c r="S630" i="35" s="1"/>
  <c r="T696" i="35"/>
  <c r="T630" i="35" s="1"/>
  <c r="M696" i="35"/>
  <c r="M630" i="35" s="1"/>
  <c r="U696" i="35"/>
  <c r="U630" i="35" s="1"/>
  <c r="G696" i="35"/>
  <c r="G630" i="35" s="1"/>
  <c r="C1136" i="35"/>
  <c r="M728" i="35"/>
  <c r="G728" i="35"/>
  <c r="C1027" i="35"/>
  <c r="T685" i="35"/>
  <c r="T619" i="35" s="1"/>
  <c r="M685" i="35"/>
  <c r="M619" i="35" s="1"/>
  <c r="S685" i="35"/>
  <c r="S619" i="35" s="1"/>
  <c r="U685" i="35"/>
  <c r="U619" i="35" s="1"/>
  <c r="C1140" i="35"/>
  <c r="M732" i="35"/>
  <c r="G732" i="35"/>
  <c r="C1035" i="35"/>
  <c r="T693" i="35"/>
  <c r="T627" i="35" s="1"/>
  <c r="S693" i="35"/>
  <c r="S627" i="35" s="1"/>
  <c r="M693" i="35"/>
  <c r="M627" i="35" s="1"/>
  <c r="G693" i="35"/>
  <c r="G627" i="35" s="1"/>
  <c r="U693" i="35"/>
  <c r="U627" i="35" s="1"/>
  <c r="C1037" i="35"/>
  <c r="M695" i="35"/>
  <c r="M629" i="35" s="1"/>
  <c r="T695" i="35"/>
  <c r="T629" i="35" s="1"/>
  <c r="S695" i="35"/>
  <c r="S629" i="35" s="1"/>
  <c r="G695" i="35"/>
  <c r="G629" i="35" s="1"/>
  <c r="U695" i="35"/>
  <c r="U629" i="35" s="1"/>
  <c r="C1143" i="35"/>
  <c r="M735" i="35"/>
  <c r="G735" i="35"/>
  <c r="C1150" i="35"/>
  <c r="M742" i="35"/>
  <c r="G742" i="35"/>
  <c r="C1049" i="35"/>
  <c r="S707" i="35"/>
  <c r="S641" i="35" s="1"/>
  <c r="T707" i="35"/>
  <c r="T641" i="35" s="1"/>
  <c r="M707" i="35"/>
  <c r="M641" i="35" s="1"/>
  <c r="G707" i="35"/>
  <c r="G641" i="35" s="1"/>
  <c r="U707" i="35"/>
  <c r="U641" i="35" s="1"/>
  <c r="Q768" i="35"/>
  <c r="Q759" i="35"/>
  <c r="Q760" i="35"/>
  <c r="C1147" i="35"/>
  <c r="M739" i="35"/>
  <c r="G739" i="35"/>
  <c r="C1040" i="35"/>
  <c r="S698" i="35"/>
  <c r="S632" i="35" s="1"/>
  <c r="M698" i="35"/>
  <c r="M632" i="35" s="1"/>
  <c r="T698" i="35"/>
  <c r="T632" i="35" s="1"/>
  <c r="U698" i="35"/>
  <c r="U632" i="35" s="1"/>
  <c r="G698" i="35"/>
  <c r="G632" i="35" s="1"/>
  <c r="C1134" i="35"/>
  <c r="M726" i="35"/>
  <c r="G726" i="35"/>
  <c r="C1042" i="35"/>
  <c r="S700" i="35"/>
  <c r="S634" i="35" s="1"/>
  <c r="T700" i="35"/>
  <c r="T634" i="35" s="1"/>
  <c r="M700" i="35"/>
  <c r="M634" i="35" s="1"/>
  <c r="U700" i="35"/>
  <c r="U634" i="35" s="1"/>
  <c r="G700" i="35"/>
  <c r="G634" i="35" s="1"/>
  <c r="N628" i="35"/>
  <c r="Q694" i="35"/>
  <c r="Q628" i="35" s="1"/>
  <c r="O628" i="35"/>
  <c r="Q756" i="35"/>
  <c r="C1044" i="35"/>
  <c r="S702" i="35"/>
  <c r="S636" i="35" s="1"/>
  <c r="M702" i="35"/>
  <c r="M636" i="35" s="1"/>
  <c r="T702" i="35"/>
  <c r="T636" i="35" s="1"/>
  <c r="U702" i="35"/>
  <c r="U636" i="35" s="1"/>
  <c r="G702" i="35"/>
  <c r="G636" i="35" s="1"/>
  <c r="C1050" i="35"/>
  <c r="T708" i="35"/>
  <c r="T642" i="35" s="1"/>
  <c r="M708" i="35"/>
  <c r="M642" i="35" s="1"/>
  <c r="S708" i="35"/>
  <c r="S642" i="35" s="1"/>
  <c r="U708" i="35"/>
  <c r="U642" i="35" s="1"/>
  <c r="G708" i="35"/>
  <c r="G642" i="35" s="1"/>
  <c r="C1034" i="35"/>
  <c r="T692" i="35"/>
  <c r="T626" i="35" s="1"/>
  <c r="M692" i="35"/>
  <c r="M626" i="35" s="1"/>
  <c r="S692" i="35"/>
  <c r="S626" i="35" s="1"/>
  <c r="U692" i="35"/>
  <c r="U626" i="35" s="1"/>
  <c r="G692" i="35"/>
  <c r="G626" i="35" s="1"/>
  <c r="C1149" i="35"/>
  <c r="M741" i="35"/>
  <c r="G741" i="35"/>
  <c r="Q774" i="35"/>
  <c r="Q767" i="35"/>
  <c r="Q761" i="35"/>
  <c r="Q764" i="35"/>
  <c r="Q754" i="35"/>
  <c r="C1029" i="35"/>
  <c r="S687" i="35"/>
  <c r="S621" i="35" s="1"/>
  <c r="T687" i="35"/>
  <c r="T621" i="35" s="1"/>
  <c r="M687" i="35"/>
  <c r="M621" i="35" s="1"/>
  <c r="G687" i="35"/>
  <c r="G621" i="35" s="1"/>
  <c r="U687" i="35"/>
  <c r="U621" i="35" s="1"/>
  <c r="Q765" i="35"/>
  <c r="Q779" i="35"/>
  <c r="C1130" i="35"/>
  <c r="M722" i="35"/>
  <c r="G722" i="35"/>
  <c r="C1133" i="35"/>
  <c r="M725" i="35"/>
  <c r="G725" i="35"/>
  <c r="Q775" i="35"/>
  <c r="C1033" i="35"/>
  <c r="M691" i="35"/>
  <c r="M625" i="35" s="1"/>
  <c r="S691" i="35"/>
  <c r="S625" i="35" s="1"/>
  <c r="T691" i="35"/>
  <c r="T625" i="35" s="1"/>
  <c r="U691" i="35"/>
  <c r="U625" i="35" s="1"/>
  <c r="G691" i="35"/>
  <c r="G625" i="35" s="1"/>
  <c r="C1132" i="35"/>
  <c r="M724" i="35"/>
  <c r="G724" i="35"/>
  <c r="C1139" i="35"/>
  <c r="M731" i="35"/>
  <c r="G731" i="35"/>
  <c r="C1054" i="35"/>
  <c r="M712" i="35"/>
  <c r="M646" i="35" s="1"/>
  <c r="T712" i="35"/>
  <c r="T646" i="35" s="1"/>
  <c r="S712" i="35"/>
  <c r="S646" i="35" s="1"/>
  <c r="G712" i="35"/>
  <c r="G646" i="35" s="1"/>
  <c r="U712" i="35"/>
  <c r="U646" i="35" s="1"/>
  <c r="Q770" i="35"/>
  <c r="C1048" i="35"/>
  <c r="S706" i="35"/>
  <c r="S640" i="35" s="1"/>
  <c r="M706" i="35"/>
  <c r="M640" i="35" s="1"/>
  <c r="T706" i="35"/>
  <c r="T640" i="35" s="1"/>
  <c r="G706" i="35"/>
  <c r="G640" i="35" s="1"/>
  <c r="U706" i="35"/>
  <c r="U640" i="35" s="1"/>
  <c r="C1039" i="35"/>
  <c r="M697" i="35"/>
  <c r="M631" i="35" s="1"/>
  <c r="T697" i="35"/>
  <c r="T631" i="35" s="1"/>
  <c r="S697" i="35"/>
  <c r="S631" i="35" s="1"/>
  <c r="G697" i="35"/>
  <c r="G631" i="35" s="1"/>
  <c r="U697" i="35"/>
  <c r="U631" i="35" s="1"/>
  <c r="Q757" i="35"/>
  <c r="C1155" i="35"/>
  <c r="M747" i="35"/>
  <c r="G747" i="35"/>
  <c r="C1148" i="35"/>
  <c r="M740" i="35"/>
  <c r="G740" i="35"/>
  <c r="C1151" i="35"/>
  <c r="M743" i="35"/>
  <c r="G743" i="35"/>
  <c r="C1036" i="35"/>
  <c r="T694" i="35"/>
  <c r="T628" i="35" s="1"/>
  <c r="S694" i="35"/>
  <c r="S628" i="35" s="1"/>
  <c r="M694" i="35"/>
  <c r="M628" i="35" s="1"/>
  <c r="U694" i="35"/>
  <c r="U628" i="35" s="1"/>
  <c r="G694" i="35"/>
  <c r="G628" i="35" s="1"/>
  <c r="C1052" i="35"/>
  <c r="S710" i="35"/>
  <c r="S644" i="35" s="1"/>
  <c r="T710" i="35"/>
  <c r="T644" i="35" s="1"/>
  <c r="M710" i="35"/>
  <c r="M644" i="35" s="1"/>
  <c r="U710" i="35"/>
  <c r="U644" i="35" s="1"/>
  <c r="G710" i="35"/>
  <c r="G644" i="35" s="1"/>
  <c r="C1135" i="35"/>
  <c r="M727" i="35"/>
  <c r="G727" i="35"/>
  <c r="Q778" i="35"/>
  <c r="C1156" i="35"/>
  <c r="M748" i="35"/>
  <c r="G748" i="35"/>
  <c r="C1032" i="35"/>
  <c r="S690" i="35"/>
  <c r="S624" i="35" s="1"/>
  <c r="T690" i="35"/>
  <c r="T624" i="35" s="1"/>
  <c r="M690" i="35"/>
  <c r="M624" i="35" s="1"/>
  <c r="U690" i="35"/>
  <c r="U624" i="35" s="1"/>
  <c r="G690" i="35"/>
  <c r="G624" i="35" s="1"/>
  <c r="Q755" i="35"/>
  <c r="Q769" i="35"/>
  <c r="C1028" i="35"/>
  <c r="M686" i="35"/>
  <c r="M620" i="35" s="1"/>
  <c r="S686" i="35"/>
  <c r="S620" i="35" s="1"/>
  <c r="T686" i="35"/>
  <c r="T620" i="35" s="1"/>
  <c r="U686" i="35"/>
  <c r="U620" i="35" s="1"/>
  <c r="C1141" i="35"/>
  <c r="M733" i="35"/>
  <c r="G733" i="35"/>
  <c r="C1047" i="35"/>
  <c r="M705" i="35"/>
  <c r="M639" i="35" s="1"/>
  <c r="T705" i="35"/>
  <c r="T639" i="35" s="1"/>
  <c r="S705" i="35"/>
  <c r="S639" i="35" s="1"/>
  <c r="G705" i="35"/>
  <c r="G639" i="35" s="1"/>
  <c r="U705" i="35"/>
  <c r="U639" i="35" s="1"/>
  <c r="C1041" i="35"/>
  <c r="T699" i="35"/>
  <c r="T633" i="35" s="1"/>
  <c r="M699" i="35"/>
  <c r="M633" i="35" s="1"/>
  <c r="S699" i="35"/>
  <c r="S633" i="35" s="1"/>
  <c r="U699" i="35"/>
  <c r="U633" i="35" s="1"/>
  <c r="G699" i="35"/>
  <c r="G633" i="35" s="1"/>
  <c r="C1137" i="35"/>
  <c r="M729" i="35"/>
  <c r="G729" i="35"/>
  <c r="Q777" i="35"/>
  <c r="C1046" i="35"/>
  <c r="T704" i="35"/>
  <c r="T638" i="35" s="1"/>
  <c r="M704" i="35"/>
  <c r="M638" i="35" s="1"/>
  <c r="S704" i="35"/>
  <c r="S638" i="35" s="1"/>
  <c r="G704" i="35"/>
  <c r="G638" i="35" s="1"/>
  <c r="U704" i="35"/>
  <c r="U638" i="35" s="1"/>
  <c r="C1051" i="35"/>
  <c r="T709" i="35"/>
  <c r="T643" i="35" s="1"/>
  <c r="M709" i="35"/>
  <c r="M643" i="35" s="1"/>
  <c r="S709" i="35"/>
  <c r="S643" i="35" s="1"/>
  <c r="G709" i="35"/>
  <c r="G643" i="35" s="1"/>
  <c r="U709" i="35"/>
  <c r="U643" i="35" s="1"/>
  <c r="C1030" i="35"/>
  <c r="S688" i="35"/>
  <c r="S622" i="35" s="1"/>
  <c r="T688" i="35"/>
  <c r="T622" i="35" s="1"/>
  <c r="M688" i="35"/>
  <c r="M622" i="35" s="1"/>
  <c r="U688" i="35"/>
  <c r="U622" i="35" s="1"/>
  <c r="G688" i="35"/>
  <c r="G622" i="35" s="1"/>
  <c r="Q762" i="35"/>
  <c r="C1146" i="35"/>
  <c r="M738" i="35"/>
  <c r="G738" i="35"/>
  <c r="C1138" i="35"/>
  <c r="M730" i="35"/>
  <c r="G730" i="35"/>
  <c r="C1031" i="35"/>
  <c r="S689" i="35"/>
  <c r="S623" i="35" s="1"/>
  <c r="T689" i="35"/>
  <c r="T623" i="35" s="1"/>
  <c r="M689" i="35"/>
  <c r="M623" i="35" s="1"/>
  <c r="U689" i="35"/>
  <c r="U623" i="35" s="1"/>
  <c r="G689" i="35"/>
  <c r="G623" i="35" s="1"/>
  <c r="C1129" i="35"/>
  <c r="M721" i="35"/>
  <c r="G721" i="35"/>
  <c r="Q772" i="35"/>
  <c r="C1153" i="35"/>
  <c r="M745" i="35"/>
  <c r="G745" i="35"/>
  <c r="Q766" i="35"/>
  <c r="Q781" i="35"/>
  <c r="Q771" i="35"/>
  <c r="Q780" i="35"/>
  <c r="C1145" i="35"/>
  <c r="M737" i="35"/>
  <c r="G737" i="35"/>
  <c r="Q758" i="35"/>
  <c r="C1142" i="35"/>
  <c r="M734" i="35"/>
  <c r="G734" i="35"/>
  <c r="C1152" i="35"/>
  <c r="M744" i="35"/>
  <c r="G744" i="35"/>
  <c r="C1043" i="35"/>
  <c r="S701" i="35"/>
  <c r="S635" i="35" s="1"/>
  <c r="M701" i="35"/>
  <c r="M635" i="35" s="1"/>
  <c r="T701" i="35"/>
  <c r="T635" i="35" s="1"/>
  <c r="G701" i="35"/>
  <c r="G635" i="35" s="1"/>
  <c r="U701" i="35"/>
  <c r="U635" i="35" s="1"/>
  <c r="E85" i="50"/>
  <c r="R102" i="47"/>
  <c r="S102" i="47" s="1"/>
  <c r="R104" i="47"/>
  <c r="S104" i="47" s="1"/>
  <c r="R98" i="47"/>
  <c r="S98" i="47" s="1"/>
  <c r="N38" i="31"/>
  <c r="N719" i="35"/>
  <c r="C1193" i="35"/>
  <c r="C1160" i="35"/>
  <c r="Q24" i="31"/>
  <c r="N24" i="31"/>
  <c r="J76" i="32"/>
  <c r="T51" i="34"/>
  <c r="F51" i="34" s="1"/>
  <c r="T59" i="34"/>
  <c r="F59" i="34" s="1"/>
  <c r="T67" i="34"/>
  <c r="F67" i="34" s="1"/>
  <c r="T75" i="34"/>
  <c r="F75" i="34" s="1"/>
  <c r="T46" i="34"/>
  <c r="F46" i="34" s="1"/>
  <c r="T54" i="34"/>
  <c r="F54" i="34" s="1"/>
  <c r="T62" i="34"/>
  <c r="F62" i="34" s="1"/>
  <c r="T70" i="34"/>
  <c r="F70" i="34" s="1"/>
  <c r="T49" i="34"/>
  <c r="F49" i="34" s="1"/>
  <c r="T57" i="34"/>
  <c r="F57" i="34" s="1"/>
  <c r="T65" i="34"/>
  <c r="F65" i="34" s="1"/>
  <c r="T73" i="34"/>
  <c r="F73" i="34" s="1"/>
  <c r="T44" i="34"/>
  <c r="F44" i="34" s="1"/>
  <c r="T52" i="34"/>
  <c r="F52" i="34" s="1"/>
  <c r="T60" i="34"/>
  <c r="F60" i="34" s="1"/>
  <c r="T68" i="34"/>
  <c r="F68" i="34" s="1"/>
  <c r="T76" i="34"/>
  <c r="F76" i="34" s="1"/>
  <c r="T47" i="34"/>
  <c r="F47" i="34" s="1"/>
  <c r="T55" i="34"/>
  <c r="F55" i="34" s="1"/>
  <c r="T63" i="34"/>
  <c r="F63" i="34" s="1"/>
  <c r="T71" i="34"/>
  <c r="F71" i="34" s="1"/>
  <c r="T79" i="34"/>
  <c r="F79" i="34" s="1"/>
  <c r="T50" i="34"/>
  <c r="F50" i="34" s="1"/>
  <c r="T58" i="34"/>
  <c r="F58" i="34" s="1"/>
  <c r="T66" i="34"/>
  <c r="F66" i="34" s="1"/>
  <c r="T74" i="34"/>
  <c r="F74" i="34" s="1"/>
  <c r="T45" i="34"/>
  <c r="F45" i="34" s="1"/>
  <c r="T53" i="34"/>
  <c r="F53" i="34" s="1"/>
  <c r="T61" i="34"/>
  <c r="F61" i="34" s="1"/>
  <c r="T69" i="34"/>
  <c r="F69" i="34" s="1"/>
  <c r="T77" i="34"/>
  <c r="F77" i="34" s="1"/>
  <c r="T85" i="34"/>
  <c r="F85" i="34" s="1"/>
  <c r="T93" i="34"/>
  <c r="F93" i="34" s="1"/>
  <c r="T101" i="34"/>
  <c r="F101" i="34" s="1"/>
  <c r="T109" i="34"/>
  <c r="F109" i="34" s="1"/>
  <c r="T117" i="34"/>
  <c r="F117" i="34" s="1"/>
  <c r="T56" i="34"/>
  <c r="F56" i="34" s="1"/>
  <c r="T88" i="34"/>
  <c r="F88" i="34" s="1"/>
  <c r="T96" i="34"/>
  <c r="F96" i="34" s="1"/>
  <c r="T104" i="34"/>
  <c r="F104" i="34" s="1"/>
  <c r="T112" i="34"/>
  <c r="F112" i="34" s="1"/>
  <c r="T80" i="34"/>
  <c r="F80" i="34" s="1"/>
  <c r="T83" i="34"/>
  <c r="F83" i="34" s="1"/>
  <c r="T91" i="34"/>
  <c r="F91" i="34" s="1"/>
  <c r="T99" i="34"/>
  <c r="F99" i="34" s="1"/>
  <c r="T107" i="34"/>
  <c r="F107" i="34" s="1"/>
  <c r="T115" i="34"/>
  <c r="F115" i="34" s="1"/>
  <c r="T86" i="34"/>
  <c r="F86" i="34" s="1"/>
  <c r="T94" i="34"/>
  <c r="F94" i="34" s="1"/>
  <c r="T102" i="34"/>
  <c r="F102" i="34" s="1"/>
  <c r="T110" i="34"/>
  <c r="F110" i="34" s="1"/>
  <c r="T64" i="34"/>
  <c r="F64" i="34" s="1"/>
  <c r="T81" i="34"/>
  <c r="F81" i="34" s="1"/>
  <c r="T89" i="34"/>
  <c r="F89" i="34" s="1"/>
  <c r="T97" i="34"/>
  <c r="F97" i="34" s="1"/>
  <c r="T105" i="34"/>
  <c r="F105" i="34" s="1"/>
  <c r="T113" i="34"/>
  <c r="F113" i="34" s="1"/>
  <c r="T43" i="34"/>
  <c r="F43" i="34" s="1"/>
  <c r="T84" i="34"/>
  <c r="F84" i="34" s="1"/>
  <c r="T92" i="34"/>
  <c r="F92" i="34" s="1"/>
  <c r="T100" i="34"/>
  <c r="F100" i="34" s="1"/>
  <c r="T108" i="34"/>
  <c r="F108" i="34" s="1"/>
  <c r="T116" i="34"/>
  <c r="F116" i="34" s="1"/>
  <c r="T48" i="34"/>
  <c r="F48" i="34" s="1"/>
  <c r="T78" i="34"/>
  <c r="F78" i="34" s="1"/>
  <c r="T87" i="34"/>
  <c r="F87" i="34" s="1"/>
  <c r="T95" i="34"/>
  <c r="F95" i="34" s="1"/>
  <c r="T103" i="34"/>
  <c r="F103" i="34" s="1"/>
  <c r="T111" i="34"/>
  <c r="F111" i="34" s="1"/>
  <c r="T106" i="34"/>
  <c r="F106" i="34" s="1"/>
  <c r="T90" i="34"/>
  <c r="F90" i="34" s="1"/>
  <c r="T72" i="34"/>
  <c r="F72" i="34" s="1"/>
  <c r="T114" i="34"/>
  <c r="F114" i="34" s="1"/>
  <c r="T98" i="34"/>
  <c r="F98" i="34" s="1"/>
  <c r="T82" i="34"/>
  <c r="F82" i="34" s="1"/>
  <c r="R99" i="47"/>
  <c r="S99" i="47" s="1"/>
  <c r="R103" i="47"/>
  <c r="S103" i="47" s="1"/>
  <c r="R80" i="47"/>
  <c r="S80" i="47" s="1"/>
  <c r="K61" i="32"/>
  <c r="K65" i="32" s="1"/>
  <c r="R105" i="47"/>
  <c r="S105" i="47" s="1"/>
  <c r="R91" i="47"/>
  <c r="S91" i="47" s="1"/>
  <c r="R101" i="47"/>
  <c r="S101" i="47" s="1"/>
  <c r="R97" i="47"/>
  <c r="S97" i="47" s="1"/>
  <c r="R83" i="47"/>
  <c r="S83" i="47" s="1"/>
  <c r="R89" i="47"/>
  <c r="S89" i="47" s="1"/>
  <c r="R87" i="47"/>
  <c r="S87" i="47" s="1"/>
  <c r="R93" i="47"/>
  <c r="S93" i="47" s="1"/>
  <c r="U239" i="29"/>
  <c r="U9" i="30"/>
  <c r="U8" i="30"/>
  <c r="U19" i="30"/>
  <c r="U10" i="30"/>
  <c r="U24" i="30"/>
  <c r="U68" i="30"/>
  <c r="AC68" i="30" s="1"/>
  <c r="L106" i="27" s="1"/>
  <c r="U53" i="30"/>
  <c r="AC53" i="30" s="1"/>
  <c r="L91" i="27" s="1"/>
  <c r="U51" i="30"/>
  <c r="AC51" i="30" s="1"/>
  <c r="L89" i="27" s="1"/>
  <c r="U207" i="30"/>
  <c r="AC207" i="30" s="1"/>
  <c r="N89" i="27" s="1"/>
  <c r="U179" i="30"/>
  <c r="U192" i="30"/>
  <c r="AC192" i="30" s="1"/>
  <c r="N74" i="27" s="1"/>
  <c r="U213" i="30"/>
  <c r="AC213" i="30" s="1"/>
  <c r="N95" i="27" s="1"/>
  <c r="U221" i="30"/>
  <c r="AC221" i="30" s="1"/>
  <c r="N103" i="27" s="1"/>
  <c r="U183" i="30"/>
  <c r="U196" i="30"/>
  <c r="AC196" i="30" s="1"/>
  <c r="N78" i="27" s="1"/>
  <c r="M107" i="27"/>
  <c r="M74" i="27"/>
  <c r="M105" i="27"/>
  <c r="M85" i="27"/>
  <c r="M98" i="27"/>
  <c r="M70" i="27"/>
  <c r="M63" i="27"/>
  <c r="U14" i="30"/>
  <c r="U15" i="30"/>
  <c r="U29" i="30"/>
  <c r="AC29" i="30" s="1"/>
  <c r="L67" i="27" s="1"/>
  <c r="U37" i="30"/>
  <c r="AC37" i="30" s="1"/>
  <c r="L75" i="27" s="1"/>
  <c r="U52" i="30"/>
  <c r="AC52" i="30" s="1"/>
  <c r="L90" i="27" s="1"/>
  <c r="U73" i="30"/>
  <c r="AC73" i="30" s="1"/>
  <c r="L111" i="27" s="1"/>
  <c r="U58" i="30"/>
  <c r="AC58" i="30" s="1"/>
  <c r="L96" i="27" s="1"/>
  <c r="U56" i="30"/>
  <c r="AC56" i="30" s="1"/>
  <c r="L94" i="27" s="1"/>
  <c r="U54" i="30"/>
  <c r="AC54" i="30" s="1"/>
  <c r="L92" i="27" s="1"/>
  <c r="U212" i="30"/>
  <c r="AC212" i="30" s="1"/>
  <c r="N94" i="27" s="1"/>
  <c r="U184" i="30"/>
  <c r="AC184" i="30" s="1"/>
  <c r="N66" i="27" s="1"/>
  <c r="U205" i="30"/>
  <c r="AC205" i="30" s="1"/>
  <c r="N87" i="27" s="1"/>
  <c r="U218" i="30"/>
  <c r="AC218" i="30" s="1"/>
  <c r="N100" i="27" s="1"/>
  <c r="U226" i="30"/>
  <c r="AC226" i="30" s="1"/>
  <c r="N108" i="27" s="1"/>
  <c r="U188" i="30"/>
  <c r="AC188" i="30" s="1"/>
  <c r="N70" i="27" s="1"/>
  <c r="U201" i="30"/>
  <c r="AC201" i="30" s="1"/>
  <c r="N83" i="27" s="1"/>
  <c r="M112" i="27"/>
  <c r="M79" i="27"/>
  <c r="M110" i="27"/>
  <c r="M90" i="27"/>
  <c r="M103" i="27"/>
  <c r="M114" i="27"/>
  <c r="M76" i="27"/>
  <c r="U20" i="30"/>
  <c r="U28" i="30"/>
  <c r="AC28" i="30" s="1"/>
  <c r="L66" i="27" s="1"/>
  <c r="U21" i="30"/>
  <c r="U34" i="30"/>
  <c r="AC34" i="30" s="1"/>
  <c r="L72" i="27" s="1"/>
  <c r="U42" i="30"/>
  <c r="AC42" i="30" s="1"/>
  <c r="L80" i="27" s="1"/>
  <c r="U57" i="30"/>
  <c r="AC57" i="30" s="1"/>
  <c r="L95" i="27" s="1"/>
  <c r="U27" i="30"/>
  <c r="U63" i="30"/>
  <c r="AC63" i="30" s="1"/>
  <c r="L101" i="27" s="1"/>
  <c r="U69" i="30"/>
  <c r="AC69" i="30" s="1"/>
  <c r="L107" i="27" s="1"/>
  <c r="U59" i="30"/>
  <c r="AC59" i="30" s="1"/>
  <c r="L97" i="27" s="1"/>
  <c r="U32" i="30"/>
  <c r="AC32" i="30" s="1"/>
  <c r="L70" i="27" s="1"/>
  <c r="U217" i="30"/>
  <c r="AC217" i="30" s="1"/>
  <c r="N99" i="27" s="1"/>
  <c r="U197" i="30"/>
  <c r="AC197" i="30" s="1"/>
  <c r="N79" i="27" s="1"/>
  <c r="U210" i="30"/>
  <c r="AC210" i="30" s="1"/>
  <c r="N92" i="27" s="1"/>
  <c r="U165" i="30"/>
  <c r="U231" i="30"/>
  <c r="AC231" i="30" s="1"/>
  <c r="N113" i="27" s="1"/>
  <c r="U172" i="30"/>
  <c r="U193" i="30"/>
  <c r="AC193" i="30" s="1"/>
  <c r="N75" i="27" s="1"/>
  <c r="U214" i="30"/>
  <c r="AC214" i="30" s="1"/>
  <c r="N96" i="27" s="1"/>
  <c r="M92" i="27"/>
  <c r="M95" i="27"/>
  <c r="M116" i="27"/>
  <c r="M88" i="27"/>
  <c r="M119" i="27"/>
  <c r="U11" i="30"/>
  <c r="U25" i="30"/>
  <c r="AC25" i="30" s="1"/>
  <c r="L63" i="27" s="1"/>
  <c r="U33" i="30"/>
  <c r="AC33" i="30" s="1"/>
  <c r="L71" i="27" s="1"/>
  <c r="U12" i="30"/>
  <c r="AC12" i="30" s="1"/>
  <c r="L50" i="27" s="1"/>
  <c r="U26" i="30"/>
  <c r="U39" i="30"/>
  <c r="AC39" i="30" s="1"/>
  <c r="L77" i="27" s="1"/>
  <c r="U47" i="30"/>
  <c r="AC47" i="30" s="1"/>
  <c r="L85" i="27" s="1"/>
  <c r="U70" i="30"/>
  <c r="AC70" i="30" s="1"/>
  <c r="L108" i="27" s="1"/>
  <c r="U45" i="30"/>
  <c r="AC45" i="30" s="1"/>
  <c r="L83" i="27" s="1"/>
  <c r="U76" i="30"/>
  <c r="AC76" i="30" s="1"/>
  <c r="L114" i="27" s="1"/>
  <c r="U74" i="30"/>
  <c r="AC74" i="30" s="1"/>
  <c r="L112" i="27" s="1"/>
  <c r="U64" i="30"/>
  <c r="AC64" i="30" s="1"/>
  <c r="L102" i="27" s="1"/>
  <c r="U67" i="30"/>
  <c r="AC67" i="30" s="1"/>
  <c r="L105" i="27" s="1"/>
  <c r="U164" i="30"/>
  <c r="U230" i="30"/>
  <c r="AC230" i="30" s="1"/>
  <c r="N112" i="27" s="1"/>
  <c r="U202" i="30"/>
  <c r="AC202" i="30" s="1"/>
  <c r="N84" i="27" s="1"/>
  <c r="U223" i="30"/>
  <c r="AC223" i="30" s="1"/>
  <c r="N105" i="27" s="1"/>
  <c r="U169" i="30"/>
  <c r="U236" i="30"/>
  <c r="AC236" i="30" s="1"/>
  <c r="N118" i="27" s="1"/>
  <c r="U180" i="30"/>
  <c r="AC180" i="30" s="1"/>
  <c r="N62" i="27" s="1"/>
  <c r="U206" i="30"/>
  <c r="AC206" i="30" s="1"/>
  <c r="N88" i="27" s="1"/>
  <c r="U219" i="30"/>
  <c r="AC219" i="30" s="1"/>
  <c r="N101" i="27" s="1"/>
  <c r="U199" i="30"/>
  <c r="AC199" i="30" s="1"/>
  <c r="N81" i="27" s="1"/>
  <c r="M66" i="27"/>
  <c r="M108" i="27"/>
  <c r="M86" i="27"/>
  <c r="U16" i="30"/>
  <c r="U38" i="30"/>
  <c r="AC38" i="30" s="1"/>
  <c r="L76" i="27" s="1"/>
  <c r="U46" i="30"/>
  <c r="AC46" i="30" s="1"/>
  <c r="L84" i="27" s="1"/>
  <c r="U17" i="30"/>
  <c r="U31" i="30"/>
  <c r="AC31" i="30" s="1"/>
  <c r="L69" i="27" s="1"/>
  <c r="U75" i="30"/>
  <c r="AC75" i="30" s="1"/>
  <c r="L113" i="27" s="1"/>
  <c r="U60" i="30"/>
  <c r="AC60" i="30" s="1"/>
  <c r="L98" i="27" s="1"/>
  <c r="U81" i="30"/>
  <c r="AC81" i="30" s="1"/>
  <c r="L119" i="27" s="1"/>
  <c r="U49" i="30"/>
  <c r="AC49" i="30" s="1"/>
  <c r="L87" i="27" s="1"/>
  <c r="U79" i="30"/>
  <c r="AC79" i="30" s="1"/>
  <c r="L117" i="27" s="1"/>
  <c r="U77" i="30"/>
  <c r="AC77" i="30" s="1"/>
  <c r="L115" i="27" s="1"/>
  <c r="U168" i="30"/>
  <c r="U235" i="30"/>
  <c r="AC235" i="30" s="1"/>
  <c r="N117" i="27" s="1"/>
  <c r="U215" i="30"/>
  <c r="AC215" i="30" s="1"/>
  <c r="N97" i="27" s="1"/>
  <c r="U175" i="30"/>
  <c r="U228" i="30"/>
  <c r="AC228" i="30" s="1"/>
  <c r="N110" i="27" s="1"/>
  <c r="U177" i="30"/>
  <c r="U185" i="30"/>
  <c r="AC185" i="30" s="1"/>
  <c r="N67" i="27" s="1"/>
  <c r="U211" i="30"/>
  <c r="AC211" i="30" s="1"/>
  <c r="N93" i="27" s="1"/>
  <c r="U224" i="30"/>
  <c r="AC224" i="30" s="1"/>
  <c r="N106" i="27" s="1"/>
  <c r="U173" i="30"/>
  <c r="U186" i="30"/>
  <c r="AC186" i="30" s="1"/>
  <c r="N68" i="27" s="1"/>
  <c r="M71" i="27"/>
  <c r="M77" i="27"/>
  <c r="M113" i="27"/>
  <c r="M73" i="27"/>
  <c r="M99" i="27"/>
  <c r="U30" i="30"/>
  <c r="AC30" i="30" s="1"/>
  <c r="L68" i="27" s="1"/>
  <c r="U43" i="30"/>
  <c r="AC43" i="30" s="1"/>
  <c r="L81" i="27" s="1"/>
  <c r="U23" i="30"/>
  <c r="U44" i="30"/>
  <c r="AC44" i="30" s="1"/>
  <c r="L82" i="27" s="1"/>
  <c r="U80" i="30"/>
  <c r="AC80" i="30" s="1"/>
  <c r="L118" i="27" s="1"/>
  <c r="U65" i="30"/>
  <c r="AC65" i="30" s="1"/>
  <c r="L103" i="27" s="1"/>
  <c r="U61" i="30"/>
  <c r="AC61" i="30" s="1"/>
  <c r="L99" i="27" s="1"/>
  <c r="U82" i="30"/>
  <c r="AC82" i="30" s="1"/>
  <c r="L120" i="27" s="1"/>
  <c r="U176" i="30"/>
  <c r="U220" i="30"/>
  <c r="AC220" i="30" s="1"/>
  <c r="N102" i="27" s="1"/>
  <c r="U233" i="30"/>
  <c r="AC233" i="30" s="1"/>
  <c r="N115" i="27" s="1"/>
  <c r="U190" i="30"/>
  <c r="AC190" i="30" s="1"/>
  <c r="N72" i="27" s="1"/>
  <c r="U198" i="30"/>
  <c r="AC198" i="30" s="1"/>
  <c r="N80" i="27" s="1"/>
  <c r="U216" i="30"/>
  <c r="AC216" i="30" s="1"/>
  <c r="N98" i="27" s="1"/>
  <c r="U170" i="30"/>
  <c r="U237" i="30"/>
  <c r="AC237" i="30" s="1"/>
  <c r="N119" i="27" s="1"/>
  <c r="U209" i="30"/>
  <c r="AC209" i="30" s="1"/>
  <c r="N91" i="27" s="1"/>
  <c r="U204" i="30"/>
  <c r="AC204" i="30" s="1"/>
  <c r="N86" i="27" s="1"/>
  <c r="M115" i="27"/>
  <c r="M82" i="27"/>
  <c r="M75" i="27"/>
  <c r="M111" i="27"/>
  <c r="M78" i="27"/>
  <c r="M104" i="27"/>
  <c r="U35" i="30"/>
  <c r="AC35" i="30" s="1"/>
  <c r="L73" i="27" s="1"/>
  <c r="U48" i="30"/>
  <c r="AC48" i="30" s="1"/>
  <c r="L86" i="27" s="1"/>
  <c r="U36" i="30"/>
  <c r="AC36" i="30" s="1"/>
  <c r="L74" i="27" s="1"/>
  <c r="U13" i="30"/>
  <c r="U78" i="30"/>
  <c r="AC78" i="30" s="1"/>
  <c r="L116" i="27" s="1"/>
  <c r="U50" i="30"/>
  <c r="AC50" i="30" s="1"/>
  <c r="L88" i="27" s="1"/>
  <c r="U66" i="30"/>
  <c r="AC66" i="30" s="1"/>
  <c r="L104" i="27" s="1"/>
  <c r="U189" i="30"/>
  <c r="AC189" i="30" s="1"/>
  <c r="N71" i="27" s="1"/>
  <c r="U225" i="30"/>
  <c r="AC225" i="30" s="1"/>
  <c r="N107" i="27" s="1"/>
  <c r="U182" i="30"/>
  <c r="U195" i="30"/>
  <c r="AC195" i="30" s="1"/>
  <c r="N77" i="27" s="1"/>
  <c r="U203" i="30"/>
  <c r="AC203" i="30" s="1"/>
  <c r="N85" i="27" s="1"/>
  <c r="U167" i="30"/>
  <c r="U229" i="30"/>
  <c r="AC229" i="30" s="1"/>
  <c r="N111" i="27" s="1"/>
  <c r="U178" i="30"/>
  <c r="AC178" i="30" s="1"/>
  <c r="N60" i="27" s="1"/>
  <c r="U181" i="30"/>
  <c r="AC181" i="30" s="1"/>
  <c r="N63" i="27" s="1"/>
  <c r="U166" i="30"/>
  <c r="M89" i="27"/>
  <c r="M120" i="27"/>
  <c r="M87" i="27"/>
  <c r="M67" i="27"/>
  <c r="M80" i="27"/>
  <c r="M91" i="27"/>
  <c r="M117" i="27"/>
  <c r="U40" i="30"/>
  <c r="AC40" i="30" s="1"/>
  <c r="L78" i="27" s="1"/>
  <c r="U41" i="30"/>
  <c r="AC41" i="30" s="1"/>
  <c r="L79" i="27" s="1"/>
  <c r="U18" i="30"/>
  <c r="U55" i="30"/>
  <c r="AC55" i="30" s="1"/>
  <c r="L93" i="27" s="1"/>
  <c r="U22" i="30"/>
  <c r="AC22" i="30" s="1"/>
  <c r="L60" i="27" s="1"/>
  <c r="U71" i="30"/>
  <c r="AC71" i="30" s="1"/>
  <c r="L109" i="27" s="1"/>
  <c r="U72" i="30"/>
  <c r="AC72" i="30" s="1"/>
  <c r="L110" i="27" s="1"/>
  <c r="U62" i="30"/>
  <c r="AC62" i="30" s="1"/>
  <c r="L100" i="27" s="1"/>
  <c r="U194" i="30"/>
  <c r="AC194" i="30" s="1"/>
  <c r="N76" i="27" s="1"/>
  <c r="U171" i="30"/>
  <c r="U238" i="30"/>
  <c r="AC238" i="30" s="1"/>
  <c r="N120" i="27" s="1"/>
  <c r="U187" i="30"/>
  <c r="AC187" i="30" s="1"/>
  <c r="N69" i="27" s="1"/>
  <c r="U200" i="30"/>
  <c r="AC200" i="30" s="1"/>
  <c r="N82" i="27" s="1"/>
  <c r="U208" i="30"/>
  <c r="AC208" i="30" s="1"/>
  <c r="N90" i="27" s="1"/>
  <c r="U174" i="30"/>
  <c r="U234" i="30"/>
  <c r="AC234" i="30" s="1"/>
  <c r="N116" i="27" s="1"/>
  <c r="U191" i="30"/>
  <c r="AC191" i="30" s="1"/>
  <c r="N73" i="27" s="1"/>
  <c r="U232" i="30"/>
  <c r="AC232" i="30" s="1"/>
  <c r="N114" i="27" s="1"/>
  <c r="U227" i="30"/>
  <c r="AC227" i="30" s="1"/>
  <c r="N109" i="27" s="1"/>
  <c r="U222" i="30"/>
  <c r="AC222" i="30" s="1"/>
  <c r="N104" i="27" s="1"/>
  <c r="M94" i="27"/>
  <c r="M69" i="27"/>
  <c r="M100" i="27"/>
  <c r="M93" i="27"/>
  <c r="M96" i="27"/>
  <c r="U488" i="30"/>
  <c r="AC488" i="30" s="1"/>
  <c r="O69" i="38" s="1"/>
  <c r="U493" i="30"/>
  <c r="AC493" i="30" s="1"/>
  <c r="O74" i="38" s="1"/>
  <c r="J56" i="27"/>
  <c r="H79" i="27"/>
  <c r="I76" i="27"/>
  <c r="I95" i="27"/>
  <c r="J74" i="27"/>
  <c r="J67" i="27"/>
  <c r="J113" i="27"/>
  <c r="U543" i="30"/>
  <c r="AC543" i="30" s="1"/>
  <c r="U538" i="30"/>
  <c r="AC538" i="30" s="1"/>
  <c r="U495" i="30"/>
  <c r="AC495" i="30" s="1"/>
  <c r="O76" i="38" s="1"/>
  <c r="U482" i="30"/>
  <c r="AC482" i="30" s="1"/>
  <c r="H66" i="27"/>
  <c r="H84" i="27"/>
  <c r="I81" i="27"/>
  <c r="I98" i="27"/>
  <c r="J80" i="27"/>
  <c r="U542" i="30"/>
  <c r="AC542" i="30" s="1"/>
  <c r="U540" i="30"/>
  <c r="AC540" i="30" s="1"/>
  <c r="U529" i="30"/>
  <c r="AC529" i="30" s="1"/>
  <c r="U484" i="30"/>
  <c r="AC484" i="30" s="1"/>
  <c r="O65" i="38" s="1"/>
  <c r="H68" i="27"/>
  <c r="U489" i="30"/>
  <c r="AC489" i="30" s="1"/>
  <c r="O70" i="38" s="1"/>
  <c r="H71" i="27"/>
  <c r="U487" i="30"/>
  <c r="AC487" i="30" s="1"/>
  <c r="O68" i="38" s="1"/>
  <c r="I94" i="27"/>
  <c r="I78" i="27"/>
  <c r="J92" i="27"/>
  <c r="J72" i="27"/>
  <c r="U537" i="30"/>
  <c r="AC537" i="30" s="1"/>
  <c r="U539" i="30"/>
  <c r="AC539" i="30" s="1"/>
  <c r="U535" i="30"/>
  <c r="AC535" i="30" s="1"/>
  <c r="J53" i="27"/>
  <c r="U491" i="30"/>
  <c r="AC491" i="30" s="1"/>
  <c r="O72" i="38" s="1"/>
  <c r="H81" i="27"/>
  <c r="U498" i="30"/>
  <c r="AC498" i="30" s="1"/>
  <c r="O79" i="38" s="1"/>
  <c r="U496" i="30"/>
  <c r="AC496" i="30" s="1"/>
  <c r="O77" i="38" s="1"/>
  <c r="U490" i="30"/>
  <c r="AC490" i="30" s="1"/>
  <c r="O71" i="38" s="1"/>
  <c r="H80" i="27"/>
  <c r="I57" i="27"/>
  <c r="I74" i="27"/>
  <c r="I108" i="27"/>
  <c r="J105" i="27"/>
  <c r="J98" i="27"/>
  <c r="J60" i="27"/>
  <c r="U546" i="30"/>
  <c r="AC546" i="30" s="1"/>
  <c r="U533" i="30"/>
  <c r="AC533" i="30" s="1"/>
  <c r="H59" i="27"/>
  <c r="U500" i="30"/>
  <c r="AC500" i="30" s="1"/>
  <c r="O81" i="38" s="1"/>
  <c r="U485" i="30"/>
  <c r="AC485" i="30" s="1"/>
  <c r="O66" i="38" s="1"/>
  <c r="U497" i="30"/>
  <c r="AC497" i="30" s="1"/>
  <c r="O78" i="38" s="1"/>
  <c r="H85" i="27"/>
  <c r="I79" i="27"/>
  <c r="I88" i="27"/>
  <c r="I73" i="27"/>
  <c r="J111" i="27"/>
  <c r="J57" i="27"/>
  <c r="J112" i="27"/>
  <c r="J77" i="27"/>
  <c r="U534" i="30"/>
  <c r="AC534" i="30" s="1"/>
  <c r="I56" i="27"/>
  <c r="H116" i="27"/>
  <c r="U494" i="30"/>
  <c r="AC494" i="30" s="1"/>
  <c r="O75" i="38" s="1"/>
  <c r="U483" i="30"/>
  <c r="AC483" i="30" s="1"/>
  <c r="O64" i="38" s="1"/>
  <c r="H72" i="27"/>
  <c r="H98" i="27"/>
  <c r="I92" i="27"/>
  <c r="I86" i="27"/>
  <c r="J115" i="27"/>
  <c r="J116" i="27"/>
  <c r="J66" i="27"/>
  <c r="J94" i="27"/>
  <c r="U528" i="30"/>
  <c r="AC528" i="30" s="1"/>
  <c r="U536" i="30"/>
  <c r="AC536" i="30" s="1"/>
  <c r="U532" i="30"/>
  <c r="AC532" i="30" s="1"/>
  <c r="H73" i="27"/>
  <c r="U501" i="30"/>
  <c r="AC501" i="30" s="1"/>
  <c r="O82" i="38" s="1"/>
  <c r="H82" i="27"/>
  <c r="U492" i="30"/>
  <c r="AC492" i="30" s="1"/>
  <c r="O73" i="38" s="1"/>
  <c r="I105" i="27"/>
  <c r="J61" i="27"/>
  <c r="J65" i="27"/>
  <c r="J81" i="27"/>
  <c r="AC505" i="30"/>
  <c r="U530" i="30"/>
  <c r="AC530" i="30" s="1"/>
  <c r="U544" i="30"/>
  <c r="AC544" i="30" s="1"/>
  <c r="U486" i="30"/>
  <c r="AC486" i="30" s="1"/>
  <c r="O67" i="38" s="1"/>
  <c r="H51" i="27"/>
  <c r="H87" i="27"/>
  <c r="U499" i="30"/>
  <c r="AC499" i="30" s="1"/>
  <c r="O80" i="38" s="1"/>
  <c r="H90" i="27"/>
  <c r="H113" i="27"/>
  <c r="I58" i="27"/>
  <c r="I110" i="27"/>
  <c r="J62" i="27"/>
  <c r="J86" i="27"/>
  <c r="U541" i="30"/>
  <c r="AC541" i="30" s="1"/>
  <c r="U547" i="30"/>
  <c r="AC547" i="30" s="1"/>
  <c r="U545" i="30"/>
  <c r="AC545" i="30" s="1"/>
  <c r="U531" i="30"/>
  <c r="AC531" i="30" s="1"/>
  <c r="U83" i="29"/>
  <c r="U161" i="29"/>
  <c r="R79" i="47"/>
  <c r="S79" i="47" s="1"/>
  <c r="I84" i="27"/>
  <c r="I99" i="27"/>
  <c r="N239" i="30"/>
  <c r="N398" i="30"/>
  <c r="I47" i="27"/>
  <c r="M109" i="27"/>
  <c r="J88" i="27"/>
  <c r="J64" i="27"/>
  <c r="I109" i="27"/>
  <c r="H61" i="27"/>
  <c r="H89" i="27"/>
  <c r="I87" i="27"/>
  <c r="H58" i="27"/>
  <c r="I61" i="27"/>
  <c r="H92" i="27"/>
  <c r="R94" i="47"/>
  <c r="S94" i="47" s="1"/>
  <c r="R96" i="47"/>
  <c r="S96" i="47" s="1"/>
  <c r="R90" i="47"/>
  <c r="S90" i="47" s="1"/>
  <c r="R46" i="27"/>
  <c r="AC239" i="29"/>
  <c r="N476" i="30"/>
  <c r="N548" i="30"/>
  <c r="R86" i="47"/>
  <c r="S86" i="47" s="1"/>
  <c r="R88" i="47"/>
  <c r="S88" i="47" s="1"/>
  <c r="R82" i="47"/>
  <c r="S82" i="47" s="1"/>
  <c r="N161" i="30"/>
  <c r="N525" i="30"/>
  <c r="N502" i="30"/>
  <c r="N320" i="30"/>
  <c r="N83" i="30"/>
  <c r="J104" i="27"/>
  <c r="J106" i="27"/>
  <c r="J548" i="30"/>
  <c r="J82" i="27"/>
  <c r="AC401" i="30"/>
  <c r="J476" i="30"/>
  <c r="I119" i="27"/>
  <c r="AC245" i="30"/>
  <c r="J320" i="30"/>
  <c r="J73" i="27"/>
  <c r="I55" i="27"/>
  <c r="J78" i="27"/>
  <c r="J102" i="27"/>
  <c r="I112" i="27"/>
  <c r="J114" i="27"/>
  <c r="I65" i="27"/>
  <c r="H83" i="27"/>
  <c r="J502" i="30"/>
  <c r="M68" i="27"/>
  <c r="H93" i="27"/>
  <c r="I75" i="27"/>
  <c r="H99" i="27"/>
  <c r="H102" i="27"/>
  <c r="I50" i="27"/>
  <c r="H110" i="27"/>
  <c r="P46" i="27"/>
  <c r="M525" i="30"/>
  <c r="I116" i="27"/>
  <c r="I96" i="27"/>
  <c r="J97" i="27"/>
  <c r="J525" i="30"/>
  <c r="H54" i="27"/>
  <c r="J103" i="27"/>
  <c r="J99" i="27"/>
  <c r="J101" i="27"/>
  <c r="I111" i="27"/>
  <c r="J76" i="27"/>
  <c r="I120" i="27"/>
  <c r="H105" i="27"/>
  <c r="H96" i="27"/>
  <c r="I49" i="27"/>
  <c r="I51" i="27"/>
  <c r="J51" i="27"/>
  <c r="H120" i="27"/>
  <c r="J54" i="27"/>
  <c r="I62" i="27"/>
  <c r="J52" i="27"/>
  <c r="M398" i="30"/>
  <c r="M83" i="30"/>
  <c r="I59" i="27"/>
  <c r="J48" i="27"/>
  <c r="I107" i="27"/>
  <c r="J70" i="27"/>
  <c r="J63" i="27"/>
  <c r="H114" i="27"/>
  <c r="H103" i="27"/>
  <c r="J117" i="27"/>
  <c r="I69" i="27"/>
  <c r="H74" i="27"/>
  <c r="I89" i="27"/>
  <c r="H88" i="27"/>
  <c r="M83" i="27"/>
  <c r="J110" i="27"/>
  <c r="I66" i="27"/>
  <c r="H107" i="27"/>
  <c r="H108" i="27"/>
  <c r="I52" i="27"/>
  <c r="I103" i="27"/>
  <c r="H119" i="27"/>
  <c r="H70" i="27"/>
  <c r="I72" i="27"/>
  <c r="H64" i="27"/>
  <c r="I101" i="27"/>
  <c r="I82" i="27"/>
  <c r="H55" i="27"/>
  <c r="AC323" i="30"/>
  <c r="J398" i="30"/>
  <c r="J91" i="27"/>
  <c r="J79" i="27"/>
  <c r="I114" i="27"/>
  <c r="J69" i="27"/>
  <c r="J75" i="27"/>
  <c r="I104" i="27"/>
  <c r="I77" i="27"/>
  <c r="J50" i="27"/>
  <c r="H63" i="27"/>
  <c r="H78" i="27"/>
  <c r="H94" i="27"/>
  <c r="I100" i="27"/>
  <c r="H47" i="27"/>
  <c r="I118" i="27"/>
  <c r="H48" i="27"/>
  <c r="H76" i="27"/>
  <c r="M102" i="27"/>
  <c r="H67" i="27"/>
  <c r="M502" i="30"/>
  <c r="M239" i="30"/>
  <c r="H75" i="27"/>
  <c r="J118" i="27"/>
  <c r="H50" i="27"/>
  <c r="I91" i="27"/>
  <c r="J83" i="27"/>
  <c r="J93" i="27"/>
  <c r="J95" i="27"/>
  <c r="J119" i="27"/>
  <c r="I117" i="27"/>
  <c r="J47" i="27"/>
  <c r="I63" i="27"/>
  <c r="I97" i="27"/>
  <c r="H91" i="27"/>
  <c r="J109" i="27"/>
  <c r="I48" i="27"/>
  <c r="H62" i="27"/>
  <c r="I115" i="27"/>
  <c r="H100" i="27"/>
  <c r="I80" i="27"/>
  <c r="H104" i="27"/>
  <c r="H117" i="27"/>
  <c r="J49" i="27"/>
  <c r="I70" i="27"/>
  <c r="H86" i="27"/>
  <c r="H97" i="27"/>
  <c r="M118" i="27"/>
  <c r="H111" i="27"/>
  <c r="M106" i="27"/>
  <c r="J83" i="30"/>
  <c r="M476" i="30"/>
  <c r="M320" i="30"/>
  <c r="I90" i="27"/>
  <c r="J120" i="27"/>
  <c r="J96" i="27"/>
  <c r="J71" i="27"/>
  <c r="J87" i="27"/>
  <c r="I93" i="27"/>
  <c r="H109" i="27"/>
  <c r="J107" i="27"/>
  <c r="J55" i="27"/>
  <c r="J108" i="27"/>
  <c r="I60" i="27"/>
  <c r="H57" i="27"/>
  <c r="J68" i="27"/>
  <c r="J85" i="27"/>
  <c r="J89" i="27"/>
  <c r="J84" i="27"/>
  <c r="I106" i="27"/>
  <c r="H77" i="27"/>
  <c r="H106" i="27"/>
  <c r="M101" i="27"/>
  <c r="H95" i="27"/>
  <c r="H52" i="27"/>
  <c r="M81" i="27"/>
  <c r="H60" i="27"/>
  <c r="M72" i="27"/>
  <c r="M84" i="27"/>
  <c r="H115" i="27"/>
  <c r="I53" i="27"/>
  <c r="M548" i="30"/>
  <c r="J58" i="27"/>
  <c r="J90" i="27"/>
  <c r="J100" i="27"/>
  <c r="I54" i="27"/>
  <c r="J59" i="27"/>
  <c r="I102" i="27"/>
  <c r="I68" i="27"/>
  <c r="I71" i="27"/>
  <c r="H112" i="27"/>
  <c r="I83" i="27"/>
  <c r="H101" i="27"/>
  <c r="H53" i="27"/>
  <c r="I64" i="27"/>
  <c r="H118" i="27"/>
  <c r="H49" i="27"/>
  <c r="I85" i="27"/>
  <c r="H69" i="27"/>
  <c r="J239" i="30"/>
  <c r="H65" i="27"/>
  <c r="M60" i="27"/>
  <c r="I67" i="27"/>
  <c r="H56" i="27"/>
  <c r="I113" i="27"/>
  <c r="M97" i="27"/>
  <c r="R110" i="47"/>
  <c r="S110" i="47" s="1"/>
  <c r="R132" i="47"/>
  <c r="S132" i="47" s="1"/>
  <c r="R126" i="47"/>
  <c r="S126" i="47" s="1"/>
  <c r="R128" i="47"/>
  <c r="S128" i="47" s="1"/>
  <c r="J27" i="38"/>
  <c r="M66" i="45"/>
  <c r="R124" i="47"/>
  <c r="S124" i="47" s="1"/>
  <c r="R118" i="47"/>
  <c r="S118" i="47" s="1"/>
  <c r="R120" i="47"/>
  <c r="S120" i="47" s="1"/>
  <c r="R130" i="47"/>
  <c r="S130" i="47" s="1"/>
  <c r="R116" i="47"/>
  <c r="S116" i="47" s="1"/>
  <c r="R112" i="47"/>
  <c r="S112" i="47" s="1"/>
  <c r="R95" i="47"/>
  <c r="S95" i="47" s="1"/>
  <c r="R122" i="47"/>
  <c r="S122" i="47" s="1"/>
  <c r="R133" i="47"/>
  <c r="S133" i="47" s="1"/>
  <c r="R135" i="47"/>
  <c r="S135" i="47" s="1"/>
  <c r="R129" i="47"/>
  <c r="S129" i="47" s="1"/>
  <c r="R114" i="47"/>
  <c r="S114" i="47" s="1"/>
  <c r="R125" i="47"/>
  <c r="S125" i="47" s="1"/>
  <c r="R127" i="47"/>
  <c r="S127" i="47" s="1"/>
  <c r="R121" i="47"/>
  <c r="S121" i="47" s="1"/>
  <c r="J125" i="34"/>
  <c r="L125" i="34"/>
  <c r="I125" i="34"/>
  <c r="K125" i="34"/>
  <c r="R131" i="47"/>
  <c r="S131" i="47" s="1"/>
  <c r="R117" i="47"/>
  <c r="S117" i="47" s="1"/>
  <c r="R119" i="47"/>
  <c r="S119" i="47" s="1"/>
  <c r="R113" i="47"/>
  <c r="S113" i="47" s="1"/>
  <c r="R84" i="47"/>
  <c r="S84" i="47" s="1"/>
  <c r="R123" i="47"/>
  <c r="S123" i="47" s="1"/>
  <c r="R109" i="47"/>
  <c r="S109" i="47" s="1"/>
  <c r="R111" i="47"/>
  <c r="S111" i="47" s="1"/>
  <c r="R115" i="47"/>
  <c r="S115" i="47" s="1"/>
  <c r="R134" i="47"/>
  <c r="S134" i="47" s="1"/>
  <c r="R136" i="47"/>
  <c r="S136" i="47" s="1"/>
  <c r="P62" i="27" l="1"/>
  <c r="AC11" i="30"/>
  <c r="L49" i="27" s="1"/>
  <c r="AC172" i="30"/>
  <c r="N54" i="27" s="1"/>
  <c r="AC18" i="30"/>
  <c r="L56" i="27" s="1"/>
  <c r="K23" i="31"/>
  <c r="I23" i="31"/>
  <c r="N22" i="31"/>
  <c r="L23" i="31"/>
  <c r="AC21" i="30"/>
  <c r="L59" i="27" s="1"/>
  <c r="AC175" i="30"/>
  <c r="N57" i="27" s="1"/>
  <c r="AC20" i="30"/>
  <c r="L58" i="27" s="1"/>
  <c r="AC23" i="30"/>
  <c r="L61" i="27" s="1"/>
  <c r="AC171" i="30"/>
  <c r="N53" i="27" s="1"/>
  <c r="AC182" i="30"/>
  <c r="N64" i="27" s="1"/>
  <c r="AC164" i="30"/>
  <c r="R14" i="46" a="1"/>
  <c r="R14" i="46" s="1"/>
  <c r="AC8" i="30"/>
  <c r="N29" i="31"/>
  <c r="O133" i="31"/>
  <c r="R133" i="31" s="1"/>
  <c r="L22" i="31"/>
  <c r="L28" i="31"/>
  <c r="L26" i="31"/>
  <c r="K26" i="31"/>
  <c r="J161" i="30"/>
  <c r="AC183" i="30"/>
  <c r="N65" i="27" s="1"/>
  <c r="M161" i="30"/>
  <c r="AC173" i="30"/>
  <c r="N55" i="27" s="1"/>
  <c r="AC177" i="30"/>
  <c r="N59" i="27" s="1"/>
  <c r="AC168" i="30"/>
  <c r="N50" i="27" s="1"/>
  <c r="AC17" i="30"/>
  <c r="L55" i="27" s="1"/>
  <c r="AC176" i="30"/>
  <c r="N58" i="27" s="1"/>
  <c r="AC27" i="30"/>
  <c r="L65" i="27" s="1"/>
  <c r="AC15" i="30"/>
  <c r="L53" i="27" s="1"/>
  <c r="AC10" i="30"/>
  <c r="L48" i="27" s="1"/>
  <c r="O137" i="31"/>
  <c r="R137" i="31" s="1"/>
  <c r="M22" i="31"/>
  <c r="AC16" i="30"/>
  <c r="L54" i="27" s="1"/>
  <c r="AC165" i="30"/>
  <c r="N47" i="27" s="1"/>
  <c r="AC174" i="30"/>
  <c r="N56" i="27" s="1"/>
  <c r="L31" i="31"/>
  <c r="AC99" i="30"/>
  <c r="M59" i="27" s="1"/>
  <c r="AC166" i="30"/>
  <c r="N48" i="27" s="1"/>
  <c r="AC167" i="30"/>
  <c r="N49" i="27" s="1"/>
  <c r="AC169" i="30"/>
  <c r="N51" i="27" s="1"/>
  <c r="I28" i="31"/>
  <c r="AC13" i="30"/>
  <c r="L51" i="27" s="1"/>
  <c r="AC26" i="30"/>
  <c r="L64" i="27" s="1"/>
  <c r="AC9" i="30"/>
  <c r="L47" i="27" s="1"/>
  <c r="R19" i="43"/>
  <c r="L19" i="43"/>
  <c r="M19" i="43"/>
  <c r="AH320" i="19" s="1"/>
  <c r="J19" i="43"/>
  <c r="AE320" i="19" s="1"/>
  <c r="N19" i="43"/>
  <c r="I19" i="43"/>
  <c r="P19" i="43"/>
  <c r="P8" i="46" s="1" a="1"/>
  <c r="P8" i="46" s="1"/>
  <c r="T19" i="43"/>
  <c r="T8" i="46" s="1" a="1"/>
  <c r="T8" i="46" s="1"/>
  <c r="K19" i="43"/>
  <c r="O19" i="43"/>
  <c r="M26" i="31"/>
  <c r="I26" i="31"/>
  <c r="M786" i="35"/>
  <c r="I30" i="31"/>
  <c r="L24" i="31"/>
  <c r="O24" i="31" s="1"/>
  <c r="E116" i="45" s="1"/>
  <c r="M10" i="46" a="1"/>
  <c r="M10" i="46" s="1"/>
  <c r="AH322" i="19"/>
  <c r="S24" i="46" a="1"/>
  <c r="S24" i="46" s="1"/>
  <c r="AN336" i="19"/>
  <c r="N25" i="46" a="1"/>
  <c r="N25" i="46" s="1"/>
  <c r="AI337" i="19"/>
  <c r="J19" i="46" a="1"/>
  <c r="J19" i="46" s="1"/>
  <c r="AE331" i="19"/>
  <c r="P15" i="46" a="1"/>
  <c r="P15" i="46" s="1"/>
  <c r="AK327" i="19"/>
  <c r="S25" i="46" a="1"/>
  <c r="S25" i="46" s="1"/>
  <c r="AN337" i="19"/>
  <c r="S14" i="46" a="1"/>
  <c r="S14" i="46" s="1"/>
  <c r="AN326" i="19"/>
  <c r="O19" i="46" a="1"/>
  <c r="O19" i="46" s="1"/>
  <c r="AJ331" i="19"/>
  <c r="S12" i="46" a="1"/>
  <c r="S12" i="46" s="1"/>
  <c r="AN324" i="19"/>
  <c r="T24" i="46" a="1"/>
  <c r="T24" i="46" s="1"/>
  <c r="AO336" i="19"/>
  <c r="N11" i="46" a="1"/>
  <c r="N11" i="46" s="1"/>
  <c r="AI323" i="19"/>
  <c r="M26" i="46" a="1"/>
  <c r="M26" i="46" s="1"/>
  <c r="AH338" i="19"/>
  <c r="I14" i="46" a="1"/>
  <c r="I14" i="46" s="1"/>
  <c r="AD326" i="19"/>
  <c r="J17" i="46" a="1"/>
  <c r="J17" i="46" s="1"/>
  <c r="AE329" i="19"/>
  <c r="J21" i="46" a="1"/>
  <c r="J21" i="46" s="1"/>
  <c r="AE333" i="19"/>
  <c r="N12" i="46" a="1"/>
  <c r="N12" i="46" s="1"/>
  <c r="AI324" i="19"/>
  <c r="L23" i="46" a="1"/>
  <c r="L23" i="46" s="1"/>
  <c r="AG335" i="19"/>
  <c r="P18" i="46" a="1"/>
  <c r="P18" i="46" s="1"/>
  <c r="AK330" i="19"/>
  <c r="Q16" i="46" a="1"/>
  <c r="Q16" i="46" s="1"/>
  <c r="AL328" i="19"/>
  <c r="R21" i="46" a="1"/>
  <c r="R21" i="46" s="1"/>
  <c r="AM333" i="19"/>
  <c r="S13" i="46" a="1"/>
  <c r="S13" i="46" s="1"/>
  <c r="AN325" i="19"/>
  <c r="P9" i="46" a="1"/>
  <c r="P9" i="46" s="1"/>
  <c r="AK321" i="19"/>
  <c r="M20" i="46" a="1"/>
  <c r="M20" i="46" s="1"/>
  <c r="AH332" i="19"/>
  <c r="P25" i="46" a="1"/>
  <c r="P25" i="46" s="1"/>
  <c r="AK337" i="19"/>
  <c r="I24" i="46" a="1"/>
  <c r="I24" i="46" s="1"/>
  <c r="AD336" i="19"/>
  <c r="J11" i="46" a="1"/>
  <c r="J11" i="46" s="1"/>
  <c r="AE323" i="19"/>
  <c r="N26" i="46" a="1"/>
  <c r="N26" i="46" s="1"/>
  <c r="AI338" i="19"/>
  <c r="M27" i="46" a="1"/>
  <c r="M27" i="46" s="1"/>
  <c r="AH339" i="19"/>
  <c r="J27" i="46" a="1"/>
  <c r="J27" i="46" s="1"/>
  <c r="AE339" i="19"/>
  <c r="S21" i="46" a="1"/>
  <c r="S21" i="46" s="1"/>
  <c r="AN333" i="19"/>
  <c r="I10" i="46" a="1"/>
  <c r="I10" i="46" s="1"/>
  <c r="AD322" i="19"/>
  <c r="M23" i="46" a="1"/>
  <c r="M23" i="46" s="1"/>
  <c r="AH335" i="19"/>
  <c r="T18" i="46" a="1"/>
  <c r="T18" i="46" s="1"/>
  <c r="AO330" i="19"/>
  <c r="S27" i="46" a="1"/>
  <c r="S27" i="46" s="1"/>
  <c r="AN339" i="19"/>
  <c r="M21" i="46" a="1"/>
  <c r="M21" i="46" s="1"/>
  <c r="AH333" i="19"/>
  <c r="I25" i="46" a="1"/>
  <c r="I25" i="46" s="1"/>
  <c r="AD337" i="19"/>
  <c r="L10" i="46" a="1"/>
  <c r="L10" i="46" s="1"/>
  <c r="AG322" i="19"/>
  <c r="K19" i="46" a="1"/>
  <c r="K19" i="46" s="1"/>
  <c r="AF331" i="19"/>
  <c r="Q24" i="46" a="1"/>
  <c r="Q24" i="46" s="1"/>
  <c r="AL336" i="19"/>
  <c r="I18" i="46" a="1"/>
  <c r="I18" i="46" s="1"/>
  <c r="AD330" i="19"/>
  <c r="R8" i="46" a="1"/>
  <c r="R8" i="46" s="1"/>
  <c r="AM320" i="19"/>
  <c r="M11" i="46" a="1"/>
  <c r="M11" i="46" s="1"/>
  <c r="AH323" i="19"/>
  <c r="Q19" i="46" a="1"/>
  <c r="Q19" i="46" s="1"/>
  <c r="AL331" i="19"/>
  <c r="L24" i="46" a="1"/>
  <c r="L24" i="46" s="1"/>
  <c r="AG336" i="19"/>
  <c r="P17" i="46" a="1"/>
  <c r="P17" i="46" s="1"/>
  <c r="AK329" i="19"/>
  <c r="S9" i="46" a="1"/>
  <c r="S9" i="46" s="1"/>
  <c r="AN321" i="19"/>
  <c r="I27" i="46" a="1"/>
  <c r="I27" i="46" s="1"/>
  <c r="AD339" i="19"/>
  <c r="K26" i="46" a="1"/>
  <c r="K26" i="46" s="1"/>
  <c r="AF338" i="19"/>
  <c r="I12" i="46" a="1"/>
  <c r="I12" i="46" s="1"/>
  <c r="AD324" i="19"/>
  <c r="K15" i="46" a="1"/>
  <c r="K15" i="46" s="1"/>
  <c r="AF327" i="19"/>
  <c r="J16" i="46" a="1"/>
  <c r="J16" i="46" s="1"/>
  <c r="AE328" i="19"/>
  <c r="K10" i="46" a="1"/>
  <c r="K10" i="46" s="1"/>
  <c r="AF322" i="19"/>
  <c r="L15" i="46" a="1"/>
  <c r="L15" i="46" s="1"/>
  <c r="AG327" i="19"/>
  <c r="P16" i="46" a="1"/>
  <c r="P16" i="46" s="1"/>
  <c r="AK328" i="19"/>
  <c r="N20" i="46" a="1"/>
  <c r="N20" i="46" s="1"/>
  <c r="AI332" i="19"/>
  <c r="K25" i="46" a="1"/>
  <c r="K25" i="46" s="1"/>
  <c r="AF337" i="19"/>
  <c r="K22" i="31"/>
  <c r="O14" i="46" a="1"/>
  <c r="O14" i="46" s="1"/>
  <c r="AJ326" i="19"/>
  <c r="N23" i="46" a="1"/>
  <c r="N23" i="46" s="1"/>
  <c r="AI335" i="19"/>
  <c r="N21" i="46" a="1"/>
  <c r="N21" i="46" s="1"/>
  <c r="AI333" i="19"/>
  <c r="J25" i="46" a="1"/>
  <c r="J25" i="46" s="1"/>
  <c r="AE337" i="19"/>
  <c r="S10" i="46" a="1"/>
  <c r="S10" i="46" s="1"/>
  <c r="AN322" i="19"/>
  <c r="Q17" i="46" a="1"/>
  <c r="Q17" i="46" s="1"/>
  <c r="AL329" i="19"/>
  <c r="L25" i="46" a="1"/>
  <c r="L25" i="46" s="1"/>
  <c r="AG337" i="19"/>
  <c r="K14" i="46" a="1"/>
  <c r="K14" i="46" s="1"/>
  <c r="AF326" i="19"/>
  <c r="L19" i="46" a="1"/>
  <c r="L19" i="46" s="1"/>
  <c r="AG331" i="19"/>
  <c r="O140" i="31"/>
  <c r="R140" i="31" s="1"/>
  <c r="O132" i="31"/>
  <c r="R132" i="31" s="1"/>
  <c r="R25" i="46" a="1"/>
  <c r="R25" i="46" s="1"/>
  <c r="AM337" i="19"/>
  <c r="R20" i="46" a="1"/>
  <c r="R20" i="46" s="1"/>
  <c r="AM332" i="19"/>
  <c r="R15" i="46" a="1"/>
  <c r="R15" i="46" s="1"/>
  <c r="AM327" i="19"/>
  <c r="Q18" i="46" a="1"/>
  <c r="Q18" i="46" s="1"/>
  <c r="AL330" i="19"/>
  <c r="L8" i="46" a="1"/>
  <c r="L8" i="46" s="1"/>
  <c r="AG320" i="19"/>
  <c r="T26" i="46" a="1"/>
  <c r="T26" i="46" s="1"/>
  <c r="AO338" i="19"/>
  <c r="J24" i="46" a="1"/>
  <c r="J24" i="46" s="1"/>
  <c r="AE336" i="19"/>
  <c r="M8" i="46" a="1"/>
  <c r="M8" i="46" s="1"/>
  <c r="L21" i="46" a="1"/>
  <c r="L21" i="46" s="1"/>
  <c r="AG333" i="19"/>
  <c r="K24" i="46" a="1"/>
  <c r="K24" i="46" s="1"/>
  <c r="AF336" i="19"/>
  <c r="J18" i="46" a="1"/>
  <c r="J18" i="46" s="1"/>
  <c r="AE330" i="19"/>
  <c r="Q161" i="30"/>
  <c r="N10" i="46" a="1"/>
  <c r="N10" i="46" s="1"/>
  <c r="AI322" i="19"/>
  <c r="R13" i="46" a="1"/>
  <c r="R13" i="46" s="1"/>
  <c r="AM325" i="19"/>
  <c r="AC105" i="30"/>
  <c r="M65" i="27" s="1"/>
  <c r="O15" i="46" a="1"/>
  <c r="O15" i="46" s="1"/>
  <c r="AJ327" i="19"/>
  <c r="T23" i="46" a="1"/>
  <c r="T23" i="46" s="1"/>
  <c r="AO335" i="19"/>
  <c r="L16" i="46" a="1"/>
  <c r="L16" i="46" s="1"/>
  <c r="AG328" i="19"/>
  <c r="Q21" i="46" a="1"/>
  <c r="Q21" i="46" s="1"/>
  <c r="AL333" i="19"/>
  <c r="L11" i="46" a="1"/>
  <c r="L11" i="46" s="1"/>
  <c r="AG323" i="19"/>
  <c r="AC86" i="30"/>
  <c r="I13" i="46" a="1"/>
  <c r="I13" i="46" s="1"/>
  <c r="AD325" i="19"/>
  <c r="P24" i="46" a="1"/>
  <c r="P24" i="46" s="1"/>
  <c r="AK336" i="19"/>
  <c r="K9" i="46" a="1"/>
  <c r="K9" i="46" s="1"/>
  <c r="AF321" i="19"/>
  <c r="K16" i="46" a="1"/>
  <c r="K16" i="46" s="1"/>
  <c r="AF328" i="19"/>
  <c r="P27" i="46" a="1"/>
  <c r="P27" i="46" s="1"/>
  <c r="AK339" i="19"/>
  <c r="M12" i="46" a="1"/>
  <c r="M12" i="46" s="1"/>
  <c r="AH324" i="19"/>
  <c r="S15" i="46" a="1"/>
  <c r="S15" i="46" s="1"/>
  <c r="AN327" i="19"/>
  <c r="P23" i="46" a="1"/>
  <c r="P23" i="46" s="1"/>
  <c r="AK335" i="19"/>
  <c r="S17" i="46" a="1"/>
  <c r="S17" i="46" s="1"/>
  <c r="AN329" i="19"/>
  <c r="T27" i="46" a="1"/>
  <c r="T27" i="46" s="1"/>
  <c r="AO339" i="19"/>
  <c r="M18" i="46" a="1"/>
  <c r="M18" i="46" s="1"/>
  <c r="AH330" i="19"/>
  <c r="Q26" i="46" a="1"/>
  <c r="Q26" i="46" s="1"/>
  <c r="AL338" i="19"/>
  <c r="T14" i="46" a="1"/>
  <c r="T14" i="46" s="1"/>
  <c r="AO326" i="19"/>
  <c r="P12" i="46" a="1"/>
  <c r="P12" i="46" s="1"/>
  <c r="AK324" i="19"/>
  <c r="R24" i="46" a="1"/>
  <c r="R24" i="46" s="1"/>
  <c r="AM336" i="19"/>
  <c r="K18" i="46" a="1"/>
  <c r="K18" i="46" s="1"/>
  <c r="AF330" i="19"/>
  <c r="T16" i="46" a="1"/>
  <c r="T16" i="46" s="1"/>
  <c r="AO328" i="19"/>
  <c r="O11" i="46" a="1"/>
  <c r="O11" i="46" s="1"/>
  <c r="AJ323" i="19"/>
  <c r="O26" i="46" a="1"/>
  <c r="O26" i="46" s="1"/>
  <c r="AJ338" i="19"/>
  <c r="P10" i="46" a="1"/>
  <c r="P10" i="46" s="1"/>
  <c r="AK322" i="19"/>
  <c r="K17" i="46" a="1"/>
  <c r="K17" i="46" s="1"/>
  <c r="AF329" i="19"/>
  <c r="J13" i="46" a="1"/>
  <c r="J13" i="46" s="1"/>
  <c r="AE325" i="19"/>
  <c r="R23" i="46" a="1"/>
  <c r="R23" i="46" s="1"/>
  <c r="AM335" i="19"/>
  <c r="S26" i="46" a="1"/>
  <c r="S26" i="46" s="1"/>
  <c r="AN338" i="19"/>
  <c r="O13" i="46" a="1"/>
  <c r="O13" i="46" s="1"/>
  <c r="AJ325" i="19"/>
  <c r="S18" i="46" a="1"/>
  <c r="S18" i="46" s="1"/>
  <c r="AN330" i="19"/>
  <c r="P20" i="46" a="1"/>
  <c r="P20" i="46" s="1"/>
  <c r="AK332" i="19"/>
  <c r="M25" i="46" a="1"/>
  <c r="M25" i="46" s="1"/>
  <c r="AH337" i="19"/>
  <c r="N27" i="46" a="1"/>
  <c r="N27" i="46" s="1"/>
  <c r="AI339" i="19"/>
  <c r="L26" i="46" a="1"/>
  <c r="L26" i="46" s="1"/>
  <c r="AG338" i="19"/>
  <c r="P14" i="46" a="1"/>
  <c r="P14" i="46" s="1"/>
  <c r="AK326" i="19"/>
  <c r="Q23" i="46" a="1"/>
  <c r="Q23" i="46" s="1"/>
  <c r="AL335" i="19"/>
  <c r="I17" i="46" a="1"/>
  <c r="I17" i="46" s="1"/>
  <c r="AD329" i="19"/>
  <c r="J10" i="46" a="1"/>
  <c r="J10" i="46" s="1"/>
  <c r="AE322" i="19"/>
  <c r="M19" i="46" a="1"/>
  <c r="M19" i="46" s="1"/>
  <c r="AH331" i="19"/>
  <c r="J23" i="46" a="1"/>
  <c r="J23" i="46" s="1"/>
  <c r="AE335" i="19"/>
  <c r="J8" i="46" a="1"/>
  <c r="J8" i="46" s="1"/>
  <c r="O10" i="46" a="1"/>
  <c r="O10" i="46" s="1"/>
  <c r="AJ322" i="19"/>
  <c r="N13" i="46" a="1"/>
  <c r="N13" i="46" s="1"/>
  <c r="AI325" i="19"/>
  <c r="O20" i="46" a="1"/>
  <c r="O20" i="46" s="1"/>
  <c r="AJ332" i="19"/>
  <c r="Q8" i="46" a="1"/>
  <c r="Q8" i="46" s="1"/>
  <c r="AL320" i="19"/>
  <c r="N24" i="46" a="1"/>
  <c r="N24" i="46" s="1"/>
  <c r="AI336" i="19"/>
  <c r="I15" i="46" a="1"/>
  <c r="I15" i="46" s="1"/>
  <c r="AD327" i="19"/>
  <c r="J26" i="46" a="1"/>
  <c r="J26" i="46" s="1"/>
  <c r="AE338" i="19"/>
  <c r="L18" i="46" a="1"/>
  <c r="L18" i="46" s="1"/>
  <c r="AG330" i="19"/>
  <c r="K21" i="46" a="1"/>
  <c r="K21" i="46" s="1"/>
  <c r="AF333" i="19"/>
  <c r="K11" i="46" a="1"/>
  <c r="K11" i="46" s="1"/>
  <c r="AF323" i="19"/>
  <c r="O12" i="46" a="1"/>
  <c r="O12" i="46" s="1"/>
  <c r="AJ324" i="19"/>
  <c r="J15" i="46" a="1"/>
  <c r="J15" i="46" s="1"/>
  <c r="AE327" i="19"/>
  <c r="T15" i="46" a="1"/>
  <c r="T15" i="46" s="1"/>
  <c r="AO327" i="19"/>
  <c r="M17" i="46" a="1"/>
  <c r="M17" i="46" s="1"/>
  <c r="AH329" i="19"/>
  <c r="R9" i="46" a="1"/>
  <c r="R9" i="46" s="1"/>
  <c r="AM321" i="19"/>
  <c r="S16" i="46" a="1"/>
  <c r="S16" i="46" s="1"/>
  <c r="AN328" i="19"/>
  <c r="Q20" i="46" a="1"/>
  <c r="Q20" i="46" s="1"/>
  <c r="AL332" i="19"/>
  <c r="P11" i="46" a="1"/>
  <c r="P11" i="46" s="1"/>
  <c r="AK323" i="19"/>
  <c r="T19" i="46" a="1"/>
  <c r="T19" i="46" s="1"/>
  <c r="AO331" i="19"/>
  <c r="Q12" i="46" a="1"/>
  <c r="Q12" i="46" s="1"/>
  <c r="AL324" i="19"/>
  <c r="I9" i="46" a="1"/>
  <c r="I9" i="46" s="1"/>
  <c r="AD321" i="19"/>
  <c r="L20" i="46" a="1"/>
  <c r="L20" i="46" s="1"/>
  <c r="AG332" i="19"/>
  <c r="J9" i="46" a="1"/>
  <c r="J9" i="46" s="1"/>
  <c r="AE321" i="19"/>
  <c r="O16" i="46" a="1"/>
  <c r="O16" i="46" s="1"/>
  <c r="AJ328" i="19"/>
  <c r="Q11" i="46" a="1"/>
  <c r="Q11" i="46" s="1"/>
  <c r="AL323" i="19"/>
  <c r="T12" i="46" a="1"/>
  <c r="T12" i="46" s="1"/>
  <c r="AO324" i="19"/>
  <c r="T17" i="46" a="1"/>
  <c r="T17" i="46" s="1"/>
  <c r="AO329" i="19"/>
  <c r="R27" i="46" a="1"/>
  <c r="R27" i="46" s="1"/>
  <c r="AM339" i="19"/>
  <c r="I20" i="46" a="1"/>
  <c r="I20" i="46" s="1"/>
  <c r="AD332" i="19"/>
  <c r="R12" i="46" a="1"/>
  <c r="R12" i="46" s="1"/>
  <c r="AM324" i="19"/>
  <c r="R18" i="46" a="1"/>
  <c r="R18" i="46" s="1"/>
  <c r="AM330" i="19"/>
  <c r="I8" i="46" a="1"/>
  <c r="I8" i="46" s="1"/>
  <c r="AD320" i="19"/>
  <c r="I11" i="46" a="1"/>
  <c r="I11" i="46" s="1"/>
  <c r="AD323" i="19"/>
  <c r="K13" i="46" a="1"/>
  <c r="K13" i="46" s="1"/>
  <c r="AF325" i="19"/>
  <c r="N8" i="46" a="1"/>
  <c r="N8" i="46" s="1"/>
  <c r="AI320" i="19"/>
  <c r="S11" i="46" a="1"/>
  <c r="S11" i="46" s="1"/>
  <c r="AN323" i="19"/>
  <c r="T10" i="46" a="1"/>
  <c r="T10" i="46" s="1"/>
  <c r="AO322" i="19"/>
  <c r="J12" i="46" a="1"/>
  <c r="J12" i="46" s="1"/>
  <c r="AE324" i="19"/>
  <c r="I23" i="46" a="1"/>
  <c r="I23" i="46" s="1"/>
  <c r="AD335" i="19"/>
  <c r="I26" i="46" a="1"/>
  <c r="I26" i="46" s="1"/>
  <c r="AD338" i="19"/>
  <c r="T13" i="46" a="1"/>
  <c r="T13" i="46" s="1"/>
  <c r="AO325" i="19"/>
  <c r="L27" i="46" a="1"/>
  <c r="L27" i="46" s="1"/>
  <c r="AG339" i="19"/>
  <c r="I21" i="46" a="1"/>
  <c r="I21" i="46" s="1"/>
  <c r="AD333" i="19"/>
  <c r="P26" i="46" a="1"/>
  <c r="P26" i="46" s="1"/>
  <c r="AK338" i="19"/>
  <c r="N19" i="46" a="1"/>
  <c r="N19" i="46" s="1"/>
  <c r="AI331" i="19"/>
  <c r="O24" i="46" a="1"/>
  <c r="O24" i="46" s="1"/>
  <c r="AJ336" i="19"/>
  <c r="R26" i="46" a="1"/>
  <c r="R26" i="46" s="1"/>
  <c r="AM338" i="19"/>
  <c r="Q14" i="46" a="1"/>
  <c r="Q14" i="46" s="1"/>
  <c r="AL326" i="19"/>
  <c r="K23" i="46" a="1"/>
  <c r="K23" i="46" s="1"/>
  <c r="AF335" i="19"/>
  <c r="N16" i="46" a="1"/>
  <c r="N16" i="46" s="1"/>
  <c r="AI328" i="19"/>
  <c r="R11" i="46" a="1"/>
  <c r="R11" i="46" s="1"/>
  <c r="AM323" i="19"/>
  <c r="Q13" i="46" a="1"/>
  <c r="Q13" i="46" s="1"/>
  <c r="AL325" i="19"/>
  <c r="S20" i="46" a="1"/>
  <c r="S20" i="46" s="1"/>
  <c r="AN332" i="19"/>
  <c r="M14" i="46" a="1"/>
  <c r="M14" i="46" s="1"/>
  <c r="AH326" i="19"/>
  <c r="M13" i="46" a="1"/>
  <c r="M13" i="46" s="1"/>
  <c r="AH325" i="19"/>
  <c r="T11" i="46" a="1"/>
  <c r="T11" i="46" s="1"/>
  <c r="AO323" i="19"/>
  <c r="Q10" i="46" a="1"/>
  <c r="Q10" i="46" s="1"/>
  <c r="AL322" i="19"/>
  <c r="O21" i="46" a="1"/>
  <c r="O21" i="46" s="1"/>
  <c r="AJ333" i="19"/>
  <c r="M24" i="46" a="1"/>
  <c r="M24" i="46" s="1"/>
  <c r="AH336" i="19"/>
  <c r="M9" i="46" a="1"/>
  <c r="M9" i="46" s="1"/>
  <c r="AH321" i="19"/>
  <c r="R16" i="46" a="1"/>
  <c r="R16" i="46" s="1"/>
  <c r="AM328" i="19"/>
  <c r="K27" i="46" a="1"/>
  <c r="K27" i="46" s="1"/>
  <c r="AF339" i="19"/>
  <c r="L12" i="46" a="1"/>
  <c r="L12" i="46" s="1"/>
  <c r="AG324" i="19"/>
  <c r="L17" i="46" a="1"/>
  <c r="L17" i="46" s="1"/>
  <c r="AG329" i="19"/>
  <c r="Q9" i="46" a="1"/>
  <c r="Q9" i="46" s="1"/>
  <c r="AL321" i="19"/>
  <c r="Q27" i="46" a="1"/>
  <c r="Q27" i="46" s="1"/>
  <c r="AL339" i="19"/>
  <c r="T20" i="46" a="1"/>
  <c r="T20" i="46" s="1"/>
  <c r="AO332" i="19"/>
  <c r="T25" i="46" a="1"/>
  <c r="T25" i="46" s="1"/>
  <c r="AO337" i="19"/>
  <c r="N14" i="46" a="1"/>
  <c r="N14" i="46" s="1"/>
  <c r="AI326" i="19"/>
  <c r="L29" i="31"/>
  <c r="R19" i="46" a="1"/>
  <c r="R19" i="46" s="1"/>
  <c r="AM331" i="19"/>
  <c r="R17" i="46" a="1"/>
  <c r="R17" i="46" s="1"/>
  <c r="AM329" i="19"/>
  <c r="N9" i="46" a="1"/>
  <c r="N9" i="46" s="1"/>
  <c r="AI321" i="19"/>
  <c r="K20" i="46" a="1"/>
  <c r="K20" i="46" s="1"/>
  <c r="AF332" i="19"/>
  <c r="O18" i="46" a="1"/>
  <c r="O18" i="46" s="1"/>
  <c r="AJ330" i="19"/>
  <c r="P21" i="46" a="1"/>
  <c r="P21" i="46" s="1"/>
  <c r="AK333" i="19"/>
  <c r="L9" i="46" a="1"/>
  <c r="L9" i="46" s="1"/>
  <c r="AG321" i="19"/>
  <c r="K8" i="46" a="1"/>
  <c r="K8" i="46" s="1"/>
  <c r="AF320" i="19"/>
  <c r="R10" i="46" a="1"/>
  <c r="R10" i="46" s="1"/>
  <c r="AM322" i="19"/>
  <c r="L13" i="46" a="1"/>
  <c r="L13" i="46" s="1"/>
  <c r="AG325" i="19"/>
  <c r="K12" i="46" a="1"/>
  <c r="K12" i="46" s="1"/>
  <c r="AF324" i="19"/>
  <c r="O9" i="46" a="1"/>
  <c r="O9" i="46" s="1"/>
  <c r="AJ321" i="19"/>
  <c r="I16" i="46" a="1"/>
  <c r="I16" i="46" s="1"/>
  <c r="AD328" i="19"/>
  <c r="I19" i="46" a="1"/>
  <c r="I19" i="46" s="1"/>
  <c r="AD331" i="19"/>
  <c r="M15" i="46" a="1"/>
  <c r="M15" i="46" s="1"/>
  <c r="AH327" i="19"/>
  <c r="N17" i="46" a="1"/>
  <c r="N17" i="46" s="1"/>
  <c r="AI329" i="19"/>
  <c r="O8" i="46" a="1"/>
  <c r="O8" i="46" s="1"/>
  <c r="AJ320" i="19"/>
  <c r="O25" i="46" a="1"/>
  <c r="O25" i="46" s="1"/>
  <c r="AJ337" i="19"/>
  <c r="L14" i="46" a="1"/>
  <c r="L14" i="46" s="1"/>
  <c r="AG326" i="19"/>
  <c r="S19" i="46" a="1"/>
  <c r="S19" i="46" s="1"/>
  <c r="AN331" i="19"/>
  <c r="J20" i="46" a="1"/>
  <c r="J20" i="46" s="1"/>
  <c r="AE332" i="19"/>
  <c r="Q25" i="46" a="1"/>
  <c r="Q25" i="46" s="1"/>
  <c r="AL337" i="19"/>
  <c r="J14" i="46" a="1"/>
  <c r="J14" i="46" s="1"/>
  <c r="AE326" i="19"/>
  <c r="Q15" i="46" a="1"/>
  <c r="Q15" i="46" s="1"/>
  <c r="AL327" i="19"/>
  <c r="S8" i="46" a="1"/>
  <c r="S8" i="46" s="1"/>
  <c r="AN320" i="19"/>
  <c r="P19" i="46" a="1"/>
  <c r="P19" i="46" s="1"/>
  <c r="AK331" i="19"/>
  <c r="S23" i="46" a="1"/>
  <c r="S23" i="46" s="1"/>
  <c r="AN335" i="19"/>
  <c r="O17" i="46" a="1"/>
  <c r="O17" i="46" s="1"/>
  <c r="AJ329" i="19"/>
  <c r="T9" i="46" a="1"/>
  <c r="T9" i="46" s="1"/>
  <c r="AO321" i="19"/>
  <c r="M16" i="46" a="1"/>
  <c r="M16" i="46" s="1"/>
  <c r="AH328" i="19"/>
  <c r="O27" i="46" a="1"/>
  <c r="O27" i="46" s="1"/>
  <c r="AJ339" i="19"/>
  <c r="T21" i="46" a="1"/>
  <c r="T21" i="46" s="1"/>
  <c r="AO333" i="19"/>
  <c r="I22" i="31"/>
  <c r="AC24" i="30"/>
  <c r="L62" i="27" s="1"/>
  <c r="I24" i="31"/>
  <c r="AC102" i="30"/>
  <c r="M62" i="27" s="1"/>
  <c r="AC179" i="30"/>
  <c r="N61" i="27" s="1"/>
  <c r="AC97" i="30"/>
  <c r="M57" i="27" s="1"/>
  <c r="AC89" i="30"/>
  <c r="M49" i="27" s="1"/>
  <c r="AC170" i="30"/>
  <c r="N52" i="27" s="1"/>
  <c r="O142" i="31"/>
  <c r="R142" i="31" s="1"/>
  <c r="M23" i="31"/>
  <c r="AC14" i="30"/>
  <c r="L52" i="27" s="1"/>
  <c r="AC19" i="30"/>
  <c r="L57" i="27" s="1"/>
  <c r="M31" i="31"/>
  <c r="L161" i="30"/>
  <c r="O134" i="31"/>
  <c r="R134" i="31" s="1"/>
  <c r="O144" i="31"/>
  <c r="R144" i="31" s="1"/>
  <c r="N31" i="31"/>
  <c r="K239" i="30"/>
  <c r="Q239" i="30"/>
  <c r="AC88" i="30"/>
  <c r="M48" i="27" s="1"/>
  <c r="AC96" i="30"/>
  <c r="M56" i="27" s="1"/>
  <c r="N26" i="31"/>
  <c r="I31" i="31"/>
  <c r="L83" i="30"/>
  <c r="Q83" i="30"/>
  <c r="K83" i="30"/>
  <c r="R83" i="30"/>
  <c r="T161" i="30"/>
  <c r="O138" i="31"/>
  <c r="R138" i="31" s="1"/>
  <c r="O141" i="31"/>
  <c r="R141" i="31" s="1"/>
  <c r="R161" i="30"/>
  <c r="AC101" i="30"/>
  <c r="M61" i="27" s="1"/>
  <c r="AC93" i="30"/>
  <c r="M53" i="27" s="1"/>
  <c r="AC90" i="30"/>
  <c r="M50" i="27" s="1"/>
  <c r="I161" i="30"/>
  <c r="L239" i="30"/>
  <c r="K161" i="30"/>
  <c r="I239" i="30"/>
  <c r="AC92" i="30"/>
  <c r="M52" i="27" s="1"/>
  <c r="AC87" i="30"/>
  <c r="M47" i="27" s="1"/>
  <c r="O131" i="31"/>
  <c r="O146" i="31"/>
  <c r="R146" i="31" s="1"/>
  <c r="O239" i="30"/>
  <c r="I83" i="30"/>
  <c r="S239" i="30"/>
  <c r="P239" i="30"/>
  <c r="AC94" i="30"/>
  <c r="M54" i="27" s="1"/>
  <c r="AC98" i="30"/>
  <c r="M58" i="27" s="1"/>
  <c r="O83" i="30"/>
  <c r="K162" i="12"/>
  <c r="S83" i="30"/>
  <c r="P83" i="30"/>
  <c r="AC95" i="30"/>
  <c r="M55" i="27" s="1"/>
  <c r="O135" i="31"/>
  <c r="O161" i="30"/>
  <c r="T239" i="30"/>
  <c r="O147" i="31"/>
  <c r="R147" i="31" s="1"/>
  <c r="S161" i="30"/>
  <c r="P161" i="30"/>
  <c r="R239" i="30"/>
  <c r="O139" i="31"/>
  <c r="R139" i="31" s="1"/>
  <c r="T83" i="30"/>
  <c r="AC88" i="29"/>
  <c r="AC103" i="29"/>
  <c r="AC92" i="29"/>
  <c r="L161" i="29"/>
  <c r="AC96" i="29"/>
  <c r="R161" i="29"/>
  <c r="AC89" i="29"/>
  <c r="N161" i="29"/>
  <c r="M161" i="29"/>
  <c r="J161" i="29"/>
  <c r="AC93" i="29"/>
  <c r="S161" i="29"/>
  <c r="AC95" i="29"/>
  <c r="AC97" i="29"/>
  <c r="O161" i="29"/>
  <c r="Q161" i="29"/>
  <c r="AC87" i="29"/>
  <c r="AC101" i="29"/>
  <c r="P161" i="29"/>
  <c r="AC98" i="29"/>
  <c r="T161" i="29"/>
  <c r="K161" i="29"/>
  <c r="AC94" i="29"/>
  <c r="AC100" i="29"/>
  <c r="Q60" i="27" s="1"/>
  <c r="AC90" i="29"/>
  <c r="AC102" i="29"/>
  <c r="AC104" i="29"/>
  <c r="AC99" i="29"/>
  <c r="AC105" i="29"/>
  <c r="AC91" i="30"/>
  <c r="M51" i="27" s="1"/>
  <c r="AC91" i="29"/>
  <c r="AC104" i="30"/>
  <c r="M64" i="27" s="1"/>
  <c r="O149" i="31"/>
  <c r="R149" i="31" s="1"/>
  <c r="O150" i="31"/>
  <c r="R150" i="31" s="1"/>
  <c r="O136" i="31"/>
  <c r="I161" i="29"/>
  <c r="AC86" i="29"/>
  <c r="K9" i="32"/>
  <c r="K33" i="4"/>
  <c r="K32" i="4"/>
  <c r="K7" i="34"/>
  <c r="O9" i="32"/>
  <c r="P9" i="32"/>
  <c r="N9" i="32"/>
  <c r="F86" i="50"/>
  <c r="Q19" i="26"/>
  <c r="M9" i="32"/>
  <c r="M33" i="4"/>
  <c r="M32" i="4"/>
  <c r="N32" i="4"/>
  <c r="N33" i="4"/>
  <c r="P32" i="4"/>
  <c r="P33" i="4"/>
  <c r="O33" i="4"/>
  <c r="L9" i="32"/>
  <c r="L32" i="4"/>
  <c r="L33" i="4"/>
  <c r="O32" i="4"/>
  <c r="K730" i="35"/>
  <c r="K738" i="35"/>
  <c r="K30" i="31"/>
  <c r="O30" i="31" s="1"/>
  <c r="R30" i="31" s="1"/>
  <c r="M122" i="45" s="1"/>
  <c r="F117" i="45"/>
  <c r="I727" i="35"/>
  <c r="W36" i="9"/>
  <c r="P799" i="35" a="1"/>
  <c r="P799" i="35" s="1"/>
  <c r="P733" i="35" s="1"/>
  <c r="O799" i="35" a="1"/>
  <c r="O799" i="35" s="1"/>
  <c r="O733" i="35" s="1"/>
  <c r="P812" i="35" a="1"/>
  <c r="P812" i="35" s="1"/>
  <c r="P746" i="35" s="1"/>
  <c r="O812" i="35" a="1"/>
  <c r="O812" i="35" s="1"/>
  <c r="O746" i="35" s="1"/>
  <c r="P792" i="35" a="1"/>
  <c r="P792" i="35" s="1"/>
  <c r="P726" i="35" s="1"/>
  <c r="O792" i="35" a="1"/>
  <c r="O792" i="35" s="1"/>
  <c r="O726" i="35" s="1"/>
  <c r="P802" i="35" a="1"/>
  <c r="P802" i="35" s="1"/>
  <c r="P736" i="35" s="1"/>
  <c r="O802" i="35" a="1"/>
  <c r="O802" i="35" s="1"/>
  <c r="O736" i="35" s="1"/>
  <c r="P809" i="35" a="1"/>
  <c r="P809" i="35" s="1"/>
  <c r="P743" i="35" s="1"/>
  <c r="O809" i="35" a="1"/>
  <c r="O809" i="35" s="1"/>
  <c r="O743" i="35" s="1"/>
  <c r="O805" i="35" a="1"/>
  <c r="O805" i="35" s="1"/>
  <c r="O739" i="35" s="1"/>
  <c r="P805" i="35" a="1"/>
  <c r="P805" i="35" s="1"/>
  <c r="P739" i="35" s="1"/>
  <c r="P793" i="35" a="1"/>
  <c r="P793" i="35" s="1"/>
  <c r="P727" i="35" s="1"/>
  <c r="O793" i="35" a="1"/>
  <c r="O793" i="35" s="1"/>
  <c r="O727" i="35" s="1"/>
  <c r="O788" i="35" a="1"/>
  <c r="O788" i="35" s="1"/>
  <c r="O722" i="35" s="1"/>
  <c r="P788" i="35" a="1"/>
  <c r="P788" i="35" s="1"/>
  <c r="P787" i="35" a="1"/>
  <c r="P787" i="35" s="1"/>
  <c r="P721" i="35" s="1"/>
  <c r="O787" i="35" a="1"/>
  <c r="O787" i="35" s="1"/>
  <c r="O721" i="35" s="1"/>
  <c r="P808" i="35" a="1"/>
  <c r="P808" i="35" s="1"/>
  <c r="P742" i="35" s="1"/>
  <c r="O808" i="35" a="1"/>
  <c r="O808" i="35" s="1"/>
  <c r="O742" i="35" s="1"/>
  <c r="O807" i="35" a="1"/>
  <c r="O807" i="35" s="1"/>
  <c r="O741" i="35" s="1"/>
  <c r="P807" i="35" a="1"/>
  <c r="P807" i="35" s="1"/>
  <c r="P741" i="35" s="1"/>
  <c r="O814" i="35" a="1"/>
  <c r="O814" i="35" s="1"/>
  <c r="O748" i="35" s="1"/>
  <c r="P814" i="35" a="1"/>
  <c r="P814" i="35" s="1"/>
  <c r="P748" i="35" s="1"/>
  <c r="P790" i="35" a="1"/>
  <c r="P790" i="35" s="1"/>
  <c r="P724" i="35" s="1"/>
  <c r="O790" i="35" a="1"/>
  <c r="O790" i="35" s="1"/>
  <c r="O724" i="35" s="1"/>
  <c r="P794" i="35" a="1"/>
  <c r="P794" i="35" s="1"/>
  <c r="P728" i="35" s="1"/>
  <c r="O794" i="35" a="1"/>
  <c r="O794" i="35" s="1"/>
  <c r="O728" i="35" s="1"/>
  <c r="O753" i="35" a="1"/>
  <c r="O753" i="35" s="1"/>
  <c r="P753" i="35" a="1"/>
  <c r="P753" i="35" s="1"/>
  <c r="O813" i="35" a="1"/>
  <c r="O813" i="35" s="1"/>
  <c r="O747" i="35" s="1"/>
  <c r="P813" i="35" a="1"/>
  <c r="P813" i="35" s="1"/>
  <c r="P747" i="35" s="1"/>
  <c r="O795" i="35" a="1"/>
  <c r="O795" i="35" s="1"/>
  <c r="O729" i="35" s="1"/>
  <c r="P795" i="35" a="1"/>
  <c r="P795" i="35" s="1"/>
  <c r="P729" i="35" s="1"/>
  <c r="O798" i="35" a="1"/>
  <c r="O798" i="35" s="1"/>
  <c r="O732" i="35" s="1"/>
  <c r="P798" i="35" a="1"/>
  <c r="P798" i="35" s="1"/>
  <c r="P732" i="35" s="1"/>
  <c r="O804" i="35" a="1"/>
  <c r="O804" i="35" s="1"/>
  <c r="O738" i="35" s="1"/>
  <c r="P804" i="35" a="1"/>
  <c r="P804" i="35" s="1"/>
  <c r="P738" i="35" s="1"/>
  <c r="O811" i="35" a="1"/>
  <c r="O811" i="35" s="1"/>
  <c r="O745" i="35" s="1"/>
  <c r="P811" i="35" a="1"/>
  <c r="P811" i="35" s="1"/>
  <c r="P745" i="35" s="1"/>
  <c r="O796" i="35" a="1"/>
  <c r="O796" i="35" s="1"/>
  <c r="O730" i="35" s="1"/>
  <c r="P796" i="35" a="1"/>
  <c r="P796" i="35" s="1"/>
  <c r="P730" i="35" s="1"/>
  <c r="O800" i="35" a="1"/>
  <c r="O800" i="35" s="1"/>
  <c r="O734" i="35" s="1"/>
  <c r="P800" i="35" a="1"/>
  <c r="P800" i="35" s="1"/>
  <c r="P734" i="35" s="1"/>
  <c r="O806" i="35" a="1"/>
  <c r="O806" i="35" s="1"/>
  <c r="O740" i="35" s="1"/>
  <c r="P806" i="35" a="1"/>
  <c r="P806" i="35" s="1"/>
  <c r="P740" i="35" s="1"/>
  <c r="O803" i="35" a="1"/>
  <c r="O803" i="35" s="1"/>
  <c r="O737" i="35" s="1"/>
  <c r="P803" i="35" a="1"/>
  <c r="P803" i="35" s="1"/>
  <c r="P737" i="35" s="1"/>
  <c r="P801" i="35" a="1"/>
  <c r="P801" i="35" s="1"/>
  <c r="P735" i="35" s="1"/>
  <c r="O801" i="35" a="1"/>
  <c r="O801" i="35" s="1"/>
  <c r="O735" i="35" s="1"/>
  <c r="O810" i="35" a="1"/>
  <c r="O810" i="35" s="1"/>
  <c r="O744" i="35" s="1"/>
  <c r="P810" i="35" a="1"/>
  <c r="P810" i="35" s="1"/>
  <c r="P744" i="35" s="1"/>
  <c r="O797" i="35" a="1"/>
  <c r="O797" i="35" s="1"/>
  <c r="O731" i="35" s="1"/>
  <c r="P797" i="35" a="1"/>
  <c r="P797" i="35" s="1"/>
  <c r="P731" i="35" s="1"/>
  <c r="O791" i="35" a="1"/>
  <c r="O791" i="35" s="1"/>
  <c r="O725" i="35" s="1"/>
  <c r="P791" i="35" a="1"/>
  <c r="P791" i="35" s="1"/>
  <c r="P725" i="35" s="1"/>
  <c r="O789" i="35" a="1"/>
  <c r="O789" i="35" s="1"/>
  <c r="O723" i="35" s="1"/>
  <c r="P789" i="35" a="1"/>
  <c r="P789" i="35" s="1"/>
  <c r="P723" i="35" s="1"/>
  <c r="P683" i="35" a="1"/>
  <c r="P683" i="35" s="1"/>
  <c r="O683" i="35" a="1"/>
  <c r="O683" i="35" s="1"/>
  <c r="P651" i="35" a="1"/>
  <c r="P651" i="35" s="1"/>
  <c r="Q651" i="35"/>
  <c r="O651" i="35" a="1"/>
  <c r="O651" i="35" s="1"/>
  <c r="I743" i="35"/>
  <c r="K722" i="35"/>
  <c r="K46" i="31"/>
  <c r="O46" i="31" s="1"/>
  <c r="D124" i="45" s="1"/>
  <c r="G617" i="35"/>
  <c r="N617" i="35"/>
  <c r="C1091" i="35"/>
  <c r="C1058" i="35"/>
  <c r="K746" i="35"/>
  <c r="K19" i="31"/>
  <c r="I735" i="35"/>
  <c r="J52" i="32"/>
  <c r="N63" i="38"/>
  <c r="O63" i="38"/>
  <c r="Q17" i="27"/>
  <c r="R16" i="27"/>
  <c r="R15" i="27"/>
  <c r="R14" i="27"/>
  <c r="R13" i="27"/>
  <c r="R8" i="27"/>
  <c r="R17" i="27"/>
  <c r="R10" i="27"/>
  <c r="R9" i="27"/>
  <c r="R12" i="27"/>
  <c r="R7" i="27"/>
  <c r="R9" i="31"/>
  <c r="N115" i="45" s="1"/>
  <c r="F115" i="45"/>
  <c r="Q811" i="35"/>
  <c r="Q745" i="35" s="1"/>
  <c r="J29" i="34"/>
  <c r="J28" i="34"/>
  <c r="J30" i="34"/>
  <c r="J27" i="34"/>
  <c r="Q646" i="35"/>
  <c r="Q631" i="35"/>
  <c r="P631" i="35"/>
  <c r="O646" i="35"/>
  <c r="P646" i="35"/>
  <c r="Q721" i="35"/>
  <c r="O631" i="35"/>
  <c r="J646" i="35"/>
  <c r="J633" i="35"/>
  <c r="K627" i="35"/>
  <c r="J641" i="35"/>
  <c r="I641" i="35"/>
  <c r="J622" i="35"/>
  <c r="K633" i="35"/>
  <c r="K646" i="35"/>
  <c r="I646" i="35"/>
  <c r="I724" i="35"/>
  <c r="J724" i="35"/>
  <c r="K725" i="35"/>
  <c r="J725" i="35"/>
  <c r="K626" i="35"/>
  <c r="I626" i="35"/>
  <c r="J626" i="35"/>
  <c r="I627" i="35"/>
  <c r="J627" i="35"/>
  <c r="J738" i="35"/>
  <c r="J730" i="35"/>
  <c r="K740" i="35"/>
  <c r="K735" i="35"/>
  <c r="I725" i="35"/>
  <c r="K635" i="35"/>
  <c r="I737" i="35"/>
  <c r="J737" i="35"/>
  <c r="K737" i="35"/>
  <c r="J623" i="35"/>
  <c r="I623" i="35"/>
  <c r="K623" i="35"/>
  <c r="K643" i="35"/>
  <c r="I633" i="35"/>
  <c r="J639" i="35"/>
  <c r="I639" i="35"/>
  <c r="K639" i="35"/>
  <c r="J733" i="35"/>
  <c r="K733" i="35"/>
  <c r="J625" i="35"/>
  <c r="I625" i="35"/>
  <c r="K625" i="35"/>
  <c r="J741" i="35"/>
  <c r="K741" i="35"/>
  <c r="J634" i="35"/>
  <c r="K634" i="35"/>
  <c r="I634" i="35"/>
  <c r="I632" i="35"/>
  <c r="J632" i="35"/>
  <c r="K632" i="35"/>
  <c r="K641" i="35"/>
  <c r="I645" i="35"/>
  <c r="K645" i="35"/>
  <c r="J645" i="35"/>
  <c r="I723" i="35"/>
  <c r="J723" i="35"/>
  <c r="K723" i="35"/>
  <c r="I635" i="35"/>
  <c r="J635" i="35"/>
  <c r="I745" i="35"/>
  <c r="J745" i="35"/>
  <c r="K745" i="35"/>
  <c r="I643" i="35"/>
  <c r="J643" i="35"/>
  <c r="I748" i="35"/>
  <c r="J748" i="35"/>
  <c r="J621" i="35"/>
  <c r="K621" i="35"/>
  <c r="I621" i="35"/>
  <c r="I726" i="35"/>
  <c r="J726" i="35"/>
  <c r="K726" i="35"/>
  <c r="I746" i="35"/>
  <c r="J743" i="35"/>
  <c r="I722" i="35"/>
  <c r="K748" i="35"/>
  <c r="K638" i="35"/>
  <c r="I638" i="35"/>
  <c r="I644" i="35"/>
  <c r="J644" i="35"/>
  <c r="K644" i="35"/>
  <c r="I747" i="35"/>
  <c r="J747" i="35"/>
  <c r="K747" i="35"/>
  <c r="J631" i="35"/>
  <c r="I631" i="35"/>
  <c r="K631" i="35"/>
  <c r="J732" i="35"/>
  <c r="I732" i="35"/>
  <c r="K630" i="35"/>
  <c r="I630" i="35"/>
  <c r="J630" i="35"/>
  <c r="I637" i="35"/>
  <c r="J637" i="35"/>
  <c r="K637" i="35"/>
  <c r="J727" i="35"/>
  <c r="K724" i="35"/>
  <c r="I729" i="35"/>
  <c r="J729" i="35"/>
  <c r="K729" i="35"/>
  <c r="K624" i="35"/>
  <c r="I624" i="35"/>
  <c r="J624" i="35"/>
  <c r="I640" i="35"/>
  <c r="J640" i="35"/>
  <c r="K640" i="35"/>
  <c r="I728" i="35"/>
  <c r="K728" i="35"/>
  <c r="J728" i="35"/>
  <c r="J736" i="35"/>
  <c r="K736" i="35"/>
  <c r="I736" i="35"/>
  <c r="I733" i="35"/>
  <c r="J746" i="35"/>
  <c r="K743" i="35"/>
  <c r="K727" i="35"/>
  <c r="J722" i="35"/>
  <c r="I741" i="35"/>
  <c r="I734" i="35"/>
  <c r="J734" i="35"/>
  <c r="K734" i="35"/>
  <c r="K622" i="35"/>
  <c r="I622" i="35"/>
  <c r="I731" i="35"/>
  <c r="J731" i="35"/>
  <c r="K731" i="35"/>
  <c r="I742" i="35"/>
  <c r="J742" i="35"/>
  <c r="K742" i="35"/>
  <c r="K721" i="35"/>
  <c r="J721" i="35"/>
  <c r="I721" i="35"/>
  <c r="J638" i="35"/>
  <c r="I636" i="35"/>
  <c r="J636" i="35"/>
  <c r="K636" i="35"/>
  <c r="I738" i="35"/>
  <c r="I730" i="35"/>
  <c r="I744" i="35"/>
  <c r="J744" i="35"/>
  <c r="K744" i="35"/>
  <c r="I628" i="35"/>
  <c r="K628" i="35"/>
  <c r="J628" i="35"/>
  <c r="I740" i="35"/>
  <c r="J740" i="35"/>
  <c r="J642" i="35"/>
  <c r="K642" i="35"/>
  <c r="I642" i="35"/>
  <c r="K739" i="35"/>
  <c r="I739" i="35"/>
  <c r="J739" i="35"/>
  <c r="I629" i="35"/>
  <c r="J629" i="35"/>
  <c r="K629" i="35"/>
  <c r="K732" i="35"/>
  <c r="J735" i="35"/>
  <c r="P719" i="35"/>
  <c r="O29" i="31"/>
  <c r="E121" i="45" s="1"/>
  <c r="N41" i="26"/>
  <c r="I7" i="34"/>
  <c r="N16" i="26"/>
  <c r="K39" i="31"/>
  <c r="O39" i="31" s="1"/>
  <c r="D117" i="45" s="1"/>
  <c r="J38" i="32"/>
  <c r="J20" i="32"/>
  <c r="J64" i="32"/>
  <c r="J36" i="32"/>
  <c r="J50" i="32"/>
  <c r="O28" i="31"/>
  <c r="R28" i="31" s="1"/>
  <c r="M120" i="45" s="1"/>
  <c r="O25" i="31"/>
  <c r="E117" i="45" s="1"/>
  <c r="N745" i="35"/>
  <c r="Q795" i="35"/>
  <c r="Q729" i="35" s="1"/>
  <c r="N729" i="35"/>
  <c r="O32" i="31"/>
  <c r="R32" i="31" s="1"/>
  <c r="M124" i="45" s="1"/>
  <c r="R10" i="31"/>
  <c r="N116" i="45" s="1"/>
  <c r="F116" i="45"/>
  <c r="R18" i="31"/>
  <c r="N124" i="45" s="1"/>
  <c r="F124" i="45"/>
  <c r="R15" i="31"/>
  <c r="N121" i="45" s="1"/>
  <c r="F121" i="45"/>
  <c r="R17" i="31"/>
  <c r="N123" i="45" s="1"/>
  <c r="F123" i="45"/>
  <c r="R14" i="31"/>
  <c r="N120" i="45" s="1"/>
  <c r="F120" i="45"/>
  <c r="L19" i="31"/>
  <c r="O12" i="31"/>
  <c r="O19" i="31" s="1"/>
  <c r="F125" i="45" s="1"/>
  <c r="R16" i="31"/>
  <c r="N122" i="45" s="1"/>
  <c r="F122" i="45"/>
  <c r="R13" i="31"/>
  <c r="N119" i="45" s="1"/>
  <c r="F119" i="45"/>
  <c r="D27" i="45"/>
  <c r="D67" i="45"/>
  <c r="K122" i="34"/>
  <c r="I122" i="34"/>
  <c r="J122" i="34"/>
  <c r="Q33" i="31"/>
  <c r="O27" i="31"/>
  <c r="R27" i="31" s="1"/>
  <c r="M119" i="45" s="1"/>
  <c r="M43" i="31"/>
  <c r="O43" i="31" s="1"/>
  <c r="S786" i="35"/>
  <c r="S720" i="35" s="1"/>
  <c r="T786" i="35"/>
  <c r="T720" i="35" s="1"/>
  <c r="U786" i="35"/>
  <c r="U720" i="35" s="1"/>
  <c r="Q753" i="35"/>
  <c r="C1128" i="35"/>
  <c r="N786" i="35"/>
  <c r="M720" i="35"/>
  <c r="K753" i="35"/>
  <c r="J753" i="35"/>
  <c r="I753" i="35"/>
  <c r="C1026" i="35"/>
  <c r="N684" i="35"/>
  <c r="T684" i="35"/>
  <c r="T618" i="35" s="1"/>
  <c r="M684" i="35"/>
  <c r="M618" i="35" s="1"/>
  <c r="S684" i="35"/>
  <c r="S618" i="35" s="1"/>
  <c r="U684" i="35"/>
  <c r="U618" i="35" s="1"/>
  <c r="J651" i="35"/>
  <c r="K651" i="35"/>
  <c r="I651" i="35"/>
  <c r="P9" i="27"/>
  <c r="N29" i="34" s="1"/>
  <c r="O44" i="31"/>
  <c r="R44" i="31" s="1"/>
  <c r="L122" i="45" s="1"/>
  <c r="M42" i="31"/>
  <c r="O42" i="31" s="1"/>
  <c r="O40" i="31"/>
  <c r="R40" i="31" s="1"/>
  <c r="L118" i="45" s="1"/>
  <c r="N37" i="31"/>
  <c r="N47" i="31" s="1"/>
  <c r="O41" i="31"/>
  <c r="D119" i="45" s="1"/>
  <c r="I47" i="31"/>
  <c r="O45" i="31"/>
  <c r="R45" i="31" s="1"/>
  <c r="L123" i="45" s="1"/>
  <c r="F114" i="45"/>
  <c r="R8" i="31"/>
  <c r="C1076" i="35"/>
  <c r="C1109" i="35"/>
  <c r="C1218" i="35"/>
  <c r="C1185" i="35"/>
  <c r="J689" i="35"/>
  <c r="K689" i="35"/>
  <c r="I689" i="35"/>
  <c r="N730" i="35"/>
  <c r="Q796" i="35"/>
  <c r="Q730" i="35" s="1"/>
  <c r="C1179" i="35"/>
  <c r="C1212" i="35"/>
  <c r="P622" i="35"/>
  <c r="O622" i="35"/>
  <c r="N622" i="35"/>
  <c r="Q688" i="35"/>
  <c r="Q622" i="35" s="1"/>
  <c r="N643" i="35"/>
  <c r="O643" i="35"/>
  <c r="Q709" i="35"/>
  <c r="Q643" i="35" s="1"/>
  <c r="P643" i="35"/>
  <c r="C1098" i="35"/>
  <c r="C1065" i="35"/>
  <c r="C1184" i="35"/>
  <c r="C1217" i="35"/>
  <c r="C1172" i="35"/>
  <c r="C1205" i="35"/>
  <c r="J691" i="35"/>
  <c r="K691" i="35"/>
  <c r="I691" i="35"/>
  <c r="I687" i="35"/>
  <c r="J687" i="35"/>
  <c r="K687" i="35"/>
  <c r="I807" i="35"/>
  <c r="K807" i="35"/>
  <c r="J807" i="35"/>
  <c r="K702" i="35"/>
  <c r="I702" i="35"/>
  <c r="J702" i="35"/>
  <c r="J792" i="35"/>
  <c r="I792" i="35"/>
  <c r="K792" i="35"/>
  <c r="J698" i="35"/>
  <c r="K698" i="35"/>
  <c r="I698" i="35"/>
  <c r="Q707" i="35"/>
  <c r="Q641" i="35" s="1"/>
  <c r="N641" i="35"/>
  <c r="P641" i="35"/>
  <c r="O641" i="35"/>
  <c r="N627" i="35"/>
  <c r="Q693" i="35"/>
  <c r="Q627" i="35" s="1"/>
  <c r="P627" i="35"/>
  <c r="O627" i="35"/>
  <c r="C1173" i="35"/>
  <c r="C1206" i="35"/>
  <c r="I802" i="35"/>
  <c r="J802" i="35"/>
  <c r="K802" i="35"/>
  <c r="I703" i="35"/>
  <c r="J703" i="35"/>
  <c r="K703" i="35"/>
  <c r="C1164" i="35"/>
  <c r="C1197" i="35"/>
  <c r="N734" i="35"/>
  <c r="Q800" i="35"/>
  <c r="Q734" i="35" s="1"/>
  <c r="Q803" i="35"/>
  <c r="Q737" i="35" s="1"/>
  <c r="N737" i="35"/>
  <c r="C1186" i="35"/>
  <c r="C1219" i="35"/>
  <c r="C1204" i="35"/>
  <c r="C1171" i="35"/>
  <c r="C1063" i="35"/>
  <c r="C1096" i="35"/>
  <c r="C1117" i="35"/>
  <c r="C1084" i="35"/>
  <c r="J795" i="35"/>
  <c r="I795" i="35"/>
  <c r="K795" i="35"/>
  <c r="N633" i="35"/>
  <c r="O633" i="35"/>
  <c r="P633" i="35"/>
  <c r="Q699" i="35"/>
  <c r="Q633" i="35" s="1"/>
  <c r="J705" i="35"/>
  <c r="K705" i="35"/>
  <c r="I705" i="35"/>
  <c r="N733" i="35"/>
  <c r="Q799" i="35"/>
  <c r="Q733" i="35" s="1"/>
  <c r="I814" i="35"/>
  <c r="K814" i="35"/>
  <c r="J814" i="35"/>
  <c r="N644" i="35"/>
  <c r="O644" i="35"/>
  <c r="P644" i="35"/>
  <c r="Q710" i="35"/>
  <c r="Q644" i="35" s="1"/>
  <c r="P634" i="35"/>
  <c r="Q700" i="35"/>
  <c r="Q634" i="35" s="1"/>
  <c r="N634" i="35"/>
  <c r="O634" i="35"/>
  <c r="J813" i="35"/>
  <c r="I813" i="35"/>
  <c r="K813" i="35"/>
  <c r="C1072" i="35"/>
  <c r="C1105" i="35"/>
  <c r="C1120" i="35"/>
  <c r="C1087" i="35"/>
  <c r="C1115" i="35"/>
  <c r="C1082" i="35"/>
  <c r="J808" i="35"/>
  <c r="I808" i="35"/>
  <c r="K808" i="35"/>
  <c r="K801" i="35"/>
  <c r="J801" i="35"/>
  <c r="I801" i="35"/>
  <c r="C1068" i="35"/>
  <c r="C1101" i="35"/>
  <c r="N728" i="35"/>
  <c r="Q794" i="35"/>
  <c r="Q728" i="35" s="1"/>
  <c r="C1208" i="35"/>
  <c r="C1175" i="35"/>
  <c r="C1178" i="35"/>
  <c r="C1211" i="35"/>
  <c r="N636" i="35"/>
  <c r="P636" i="35"/>
  <c r="O636" i="35"/>
  <c r="Q702" i="35"/>
  <c r="Q636" i="35" s="1"/>
  <c r="I787" i="35"/>
  <c r="J787" i="35"/>
  <c r="K787" i="35"/>
  <c r="O638" i="35"/>
  <c r="N638" i="35"/>
  <c r="P638" i="35"/>
  <c r="Q704" i="35"/>
  <c r="Q638" i="35" s="1"/>
  <c r="C1107" i="35"/>
  <c r="C1074" i="35"/>
  <c r="C1174" i="35"/>
  <c r="C1207" i="35"/>
  <c r="I690" i="35"/>
  <c r="K690" i="35"/>
  <c r="J690" i="35"/>
  <c r="N727" i="35"/>
  <c r="Q793" i="35"/>
  <c r="Q727" i="35" s="1"/>
  <c r="C1085" i="35"/>
  <c r="C1118" i="35"/>
  <c r="K694" i="35"/>
  <c r="J694" i="35"/>
  <c r="I694" i="35"/>
  <c r="I809" i="35"/>
  <c r="J809" i="35"/>
  <c r="K809" i="35"/>
  <c r="N740" i="35"/>
  <c r="Q806" i="35"/>
  <c r="Q740" i="35" s="1"/>
  <c r="N640" i="35"/>
  <c r="O640" i="35"/>
  <c r="P640" i="35"/>
  <c r="Q706" i="35"/>
  <c r="Q640" i="35" s="1"/>
  <c r="N725" i="35"/>
  <c r="Q791" i="35"/>
  <c r="Q725" i="35" s="1"/>
  <c r="C1075" i="35"/>
  <c r="C1108" i="35"/>
  <c r="Q685" i="35"/>
  <c r="Q619" i="35" s="1"/>
  <c r="N619" i="35"/>
  <c r="O619" i="35"/>
  <c r="P619" i="35"/>
  <c r="J695" i="35"/>
  <c r="K695" i="35"/>
  <c r="I695" i="35"/>
  <c r="C1169" i="35"/>
  <c r="C1202" i="35"/>
  <c r="C1071" i="35"/>
  <c r="C1104" i="35"/>
  <c r="C1177" i="35"/>
  <c r="C1210" i="35"/>
  <c r="J701" i="35"/>
  <c r="I701" i="35"/>
  <c r="K701" i="35"/>
  <c r="I810" i="35"/>
  <c r="K810" i="35"/>
  <c r="J810" i="35"/>
  <c r="P630" i="35"/>
  <c r="Q696" i="35"/>
  <c r="Q630" i="35" s="1"/>
  <c r="O630" i="35"/>
  <c r="N630" i="35"/>
  <c r="I688" i="35"/>
  <c r="K688" i="35"/>
  <c r="J688" i="35"/>
  <c r="C1112" i="35"/>
  <c r="C1079" i="35"/>
  <c r="C1170" i="35"/>
  <c r="C1203" i="35"/>
  <c r="O620" i="35"/>
  <c r="N620" i="35"/>
  <c r="P620" i="35"/>
  <c r="Q686" i="35"/>
  <c r="Q620" i="35" s="1"/>
  <c r="N736" i="35"/>
  <c r="Q802" i="35"/>
  <c r="Q736" i="35" s="1"/>
  <c r="C1168" i="35"/>
  <c r="C1201" i="35"/>
  <c r="C1214" i="35"/>
  <c r="C1181" i="35"/>
  <c r="N747" i="35"/>
  <c r="Q813" i="35"/>
  <c r="Q747" i="35" s="1"/>
  <c r="C1081" i="35"/>
  <c r="C1114" i="35"/>
  <c r="K797" i="35"/>
  <c r="I797" i="35"/>
  <c r="J797" i="35"/>
  <c r="J790" i="35"/>
  <c r="K790" i="35"/>
  <c r="I790" i="35"/>
  <c r="C1166" i="35"/>
  <c r="C1199" i="35"/>
  <c r="N722" i="35"/>
  <c r="Q788" i="35"/>
  <c r="Q722" i="35" s="1"/>
  <c r="P722" i="35"/>
  <c r="P626" i="35"/>
  <c r="Q692" i="35"/>
  <c r="Q626" i="35" s="1"/>
  <c r="O626" i="35"/>
  <c r="N626" i="35"/>
  <c r="N726" i="35"/>
  <c r="Q792" i="35"/>
  <c r="Q726" i="35" s="1"/>
  <c r="C1167" i="35"/>
  <c r="C1200" i="35"/>
  <c r="Q695" i="35"/>
  <c r="Q629" i="35" s="1"/>
  <c r="O629" i="35"/>
  <c r="N629" i="35"/>
  <c r="P629" i="35"/>
  <c r="I798" i="35"/>
  <c r="K798" i="35"/>
  <c r="J798" i="35"/>
  <c r="N645" i="35"/>
  <c r="O645" i="35"/>
  <c r="P645" i="35"/>
  <c r="Q711" i="35"/>
  <c r="Q645" i="35" s="1"/>
  <c r="J811" i="35"/>
  <c r="K811" i="35"/>
  <c r="I811" i="35"/>
  <c r="K796" i="35"/>
  <c r="I796" i="35"/>
  <c r="J796" i="35"/>
  <c r="K709" i="35"/>
  <c r="J709" i="35"/>
  <c r="I709" i="35"/>
  <c r="J699" i="35"/>
  <c r="I699" i="35"/>
  <c r="K699" i="35"/>
  <c r="J799" i="35"/>
  <c r="I799" i="35"/>
  <c r="K799" i="35"/>
  <c r="C1061" i="35"/>
  <c r="C1094" i="35"/>
  <c r="J710" i="35"/>
  <c r="I710" i="35"/>
  <c r="K710" i="35"/>
  <c r="C1188" i="35"/>
  <c r="C1221" i="35"/>
  <c r="C1196" i="35"/>
  <c r="C1163" i="35"/>
  <c r="O621" i="35"/>
  <c r="P621" i="35"/>
  <c r="N621" i="35"/>
  <c r="Q687" i="35"/>
  <c r="Q621" i="35" s="1"/>
  <c r="C1067" i="35"/>
  <c r="C1100" i="35"/>
  <c r="N642" i="35"/>
  <c r="O642" i="35"/>
  <c r="P642" i="35"/>
  <c r="Q708" i="35"/>
  <c r="Q642" i="35" s="1"/>
  <c r="N739" i="35"/>
  <c r="Q805" i="35"/>
  <c r="Q739" i="35" s="1"/>
  <c r="K707" i="35"/>
  <c r="J707" i="35"/>
  <c r="I707" i="35"/>
  <c r="Q801" i="35"/>
  <c r="Q735" i="35" s="1"/>
  <c r="N735" i="35"/>
  <c r="K693" i="35"/>
  <c r="J693" i="35"/>
  <c r="I693" i="35"/>
  <c r="C1060" i="35"/>
  <c r="C1093" i="35"/>
  <c r="C1119" i="35"/>
  <c r="C1086" i="35"/>
  <c r="N637" i="35"/>
  <c r="Q703" i="35"/>
  <c r="Q637" i="35" s="1"/>
  <c r="O637" i="35"/>
  <c r="P637" i="35"/>
  <c r="I812" i="35"/>
  <c r="K812" i="35"/>
  <c r="J812" i="35"/>
  <c r="N623" i="35"/>
  <c r="O623" i="35"/>
  <c r="P623" i="35"/>
  <c r="Q689" i="35"/>
  <c r="Q623" i="35" s="1"/>
  <c r="K804" i="35"/>
  <c r="I804" i="35"/>
  <c r="J804" i="35"/>
  <c r="N639" i="35"/>
  <c r="Q705" i="35"/>
  <c r="Q639" i="35" s="1"/>
  <c r="P639" i="35"/>
  <c r="O639" i="35"/>
  <c r="J793" i="35"/>
  <c r="K793" i="35"/>
  <c r="I793" i="35"/>
  <c r="I806" i="35"/>
  <c r="K806" i="35"/>
  <c r="J806" i="35"/>
  <c r="K697" i="35"/>
  <c r="J697" i="35"/>
  <c r="I697" i="35"/>
  <c r="J712" i="35"/>
  <c r="I712" i="35"/>
  <c r="K712" i="35"/>
  <c r="O625" i="35"/>
  <c r="Q691" i="35"/>
  <c r="Q625" i="35" s="1"/>
  <c r="P625" i="35"/>
  <c r="N625" i="35"/>
  <c r="C1095" i="35"/>
  <c r="C1062" i="35"/>
  <c r="N741" i="35"/>
  <c r="Q807" i="35"/>
  <c r="Q741" i="35" s="1"/>
  <c r="C1083" i="35"/>
  <c r="C1116" i="35"/>
  <c r="C1077" i="35"/>
  <c r="C1110" i="35"/>
  <c r="I700" i="35"/>
  <c r="K700" i="35"/>
  <c r="J700" i="35"/>
  <c r="N632" i="35"/>
  <c r="Q698" i="35"/>
  <c r="Q632" i="35" s="1"/>
  <c r="P632" i="35"/>
  <c r="O632" i="35"/>
  <c r="C1180" i="35"/>
  <c r="C1213" i="35"/>
  <c r="C1176" i="35"/>
  <c r="C1209" i="35"/>
  <c r="I696" i="35"/>
  <c r="K696" i="35"/>
  <c r="J696" i="35"/>
  <c r="C1078" i="35"/>
  <c r="C1111" i="35"/>
  <c r="I789" i="35"/>
  <c r="K789" i="35"/>
  <c r="J789" i="35"/>
  <c r="I803" i="35"/>
  <c r="K803" i="35"/>
  <c r="J803" i="35"/>
  <c r="C1064" i="35"/>
  <c r="C1097" i="35"/>
  <c r="J704" i="35"/>
  <c r="I704" i="35"/>
  <c r="K704" i="35"/>
  <c r="C1080" i="35"/>
  <c r="C1113" i="35"/>
  <c r="N748" i="35"/>
  <c r="Q814" i="35"/>
  <c r="Q748" i="35" s="1"/>
  <c r="I706" i="35"/>
  <c r="K706" i="35"/>
  <c r="J706" i="35"/>
  <c r="Q790" i="35"/>
  <c r="Q724" i="35" s="1"/>
  <c r="N724" i="35"/>
  <c r="C1099" i="35"/>
  <c r="C1066" i="35"/>
  <c r="N746" i="35"/>
  <c r="Q812" i="35"/>
  <c r="Q746" i="35" s="1"/>
  <c r="C1182" i="35"/>
  <c r="C1215" i="35"/>
  <c r="J692" i="35"/>
  <c r="I692" i="35"/>
  <c r="K692" i="35"/>
  <c r="C1073" i="35"/>
  <c r="C1106" i="35"/>
  <c r="C1216" i="35"/>
  <c r="C1183" i="35"/>
  <c r="C1103" i="35"/>
  <c r="C1070" i="35"/>
  <c r="K794" i="35"/>
  <c r="J794" i="35"/>
  <c r="I794" i="35"/>
  <c r="C1220" i="35"/>
  <c r="C1187" i="35"/>
  <c r="Q701" i="35"/>
  <c r="Q635" i="35" s="1"/>
  <c r="P635" i="35"/>
  <c r="O635" i="35"/>
  <c r="N635" i="35"/>
  <c r="N744" i="35"/>
  <c r="Q810" i="35"/>
  <c r="Q744" i="35" s="1"/>
  <c r="K800" i="35"/>
  <c r="J800" i="35"/>
  <c r="I800" i="35"/>
  <c r="C1195" i="35"/>
  <c r="C1162" i="35"/>
  <c r="N738" i="35"/>
  <c r="Q804" i="35"/>
  <c r="Q738" i="35" s="1"/>
  <c r="N742" i="35"/>
  <c r="Q808" i="35"/>
  <c r="Q742" i="35" s="1"/>
  <c r="N624" i="35"/>
  <c r="O624" i="35"/>
  <c r="Q690" i="35"/>
  <c r="Q624" i="35" s="1"/>
  <c r="P624" i="35"/>
  <c r="C1189" i="35"/>
  <c r="C1222" i="35"/>
  <c r="C1069" i="35"/>
  <c r="C1102" i="35"/>
  <c r="N743" i="35"/>
  <c r="Q809" i="35"/>
  <c r="Q743" i="35" s="1"/>
  <c r="N731" i="35"/>
  <c r="Q797" i="35"/>
  <c r="Q731" i="35" s="1"/>
  <c r="C1198" i="35"/>
  <c r="C1165" i="35"/>
  <c r="K791" i="35"/>
  <c r="J791" i="35"/>
  <c r="I791" i="35"/>
  <c r="I788" i="35"/>
  <c r="J788" i="35"/>
  <c r="K788" i="35"/>
  <c r="J708" i="35"/>
  <c r="K708" i="35"/>
  <c r="I708" i="35"/>
  <c r="I805" i="35"/>
  <c r="K805" i="35"/>
  <c r="J805" i="35"/>
  <c r="N732" i="35"/>
  <c r="Q798" i="35"/>
  <c r="Q732" i="35" s="1"/>
  <c r="J711" i="35"/>
  <c r="K711" i="35"/>
  <c r="I711" i="35"/>
  <c r="N723" i="35"/>
  <c r="Q789" i="35"/>
  <c r="Q723" i="35" s="1"/>
  <c r="L38" i="31"/>
  <c r="L47" i="31" s="1"/>
  <c r="Q38" i="31"/>
  <c r="J81" i="32"/>
  <c r="J23" i="32"/>
  <c r="O36" i="31"/>
  <c r="M81" i="38"/>
  <c r="N81" i="38"/>
  <c r="M65" i="38"/>
  <c r="N65" i="38"/>
  <c r="M70" i="38"/>
  <c r="N70" i="38"/>
  <c r="M79" i="38"/>
  <c r="N79" i="38"/>
  <c r="M67" i="38"/>
  <c r="N67" i="38"/>
  <c r="M68" i="38"/>
  <c r="N68" i="38"/>
  <c r="M76" i="38"/>
  <c r="N76" i="38"/>
  <c r="M77" i="38"/>
  <c r="N77" i="38"/>
  <c r="M66" i="38"/>
  <c r="N66" i="38"/>
  <c r="M82" i="38"/>
  <c r="N82" i="38"/>
  <c r="M74" i="38"/>
  <c r="N74" i="38"/>
  <c r="K66" i="45"/>
  <c r="M64" i="38"/>
  <c r="N64" i="38"/>
  <c r="M73" i="38"/>
  <c r="N73" i="38"/>
  <c r="M80" i="38"/>
  <c r="N80" i="38"/>
  <c r="M75" i="38"/>
  <c r="N75" i="38"/>
  <c r="M71" i="38"/>
  <c r="N71" i="38"/>
  <c r="M78" i="38"/>
  <c r="N78" i="38"/>
  <c r="M69" i="38"/>
  <c r="N69" i="38"/>
  <c r="M72" i="38"/>
  <c r="N72" i="38"/>
  <c r="K63" i="38"/>
  <c r="M63" i="38"/>
  <c r="L66" i="45"/>
  <c r="L79" i="38"/>
  <c r="K79" i="38"/>
  <c r="L67" i="38"/>
  <c r="K67" i="38"/>
  <c r="L76" i="38"/>
  <c r="K76" i="38"/>
  <c r="L77" i="38"/>
  <c r="K77" i="38"/>
  <c r="L82" i="38"/>
  <c r="K82" i="38"/>
  <c r="L71" i="38"/>
  <c r="K71" i="38"/>
  <c r="L64" i="38"/>
  <c r="K64" i="38"/>
  <c r="L70" i="38"/>
  <c r="K70" i="38"/>
  <c r="L66" i="38"/>
  <c r="K66" i="38"/>
  <c r="L65" i="38"/>
  <c r="K65" i="38"/>
  <c r="L72" i="38"/>
  <c r="K72" i="38"/>
  <c r="L75" i="38"/>
  <c r="K75" i="38"/>
  <c r="L73" i="38"/>
  <c r="K73" i="38"/>
  <c r="L78" i="38"/>
  <c r="K78" i="38"/>
  <c r="L69" i="38"/>
  <c r="K69" i="38"/>
  <c r="L81" i="38"/>
  <c r="K81" i="38"/>
  <c r="L80" i="38"/>
  <c r="K80" i="38"/>
  <c r="L68" i="38"/>
  <c r="K68" i="38"/>
  <c r="L74" i="38"/>
  <c r="K74" i="38"/>
  <c r="U502" i="30"/>
  <c r="U239" i="30"/>
  <c r="U548" i="30"/>
  <c r="U525" i="30"/>
  <c r="U83" i="30"/>
  <c r="U398" i="30"/>
  <c r="U476" i="30"/>
  <c r="U320" i="30"/>
  <c r="U161" i="30"/>
  <c r="L46" i="27"/>
  <c r="AC320" i="30"/>
  <c r="H46" i="27"/>
  <c r="I46" i="27"/>
  <c r="AC398" i="30"/>
  <c r="J46" i="27"/>
  <c r="AC476" i="30"/>
  <c r="J32" i="34"/>
  <c r="J34" i="34"/>
  <c r="J36" i="34"/>
  <c r="J31" i="34"/>
  <c r="J33" i="34"/>
  <c r="J35" i="34"/>
  <c r="J37" i="34"/>
  <c r="N46" i="27"/>
  <c r="M46" i="27"/>
  <c r="AC525" i="30"/>
  <c r="L63" i="38"/>
  <c r="AC502" i="30"/>
  <c r="AC548" i="30"/>
  <c r="Q683" i="35"/>
  <c r="Q617" i="35" s="1"/>
  <c r="J66" i="32"/>
  <c r="N66" i="45"/>
  <c r="AK320" i="19" l="1"/>
  <c r="AO320" i="19"/>
  <c r="AC83" i="30"/>
  <c r="O31" i="31"/>
  <c r="R31" i="31" s="1"/>
  <c r="M123" i="45" s="1"/>
  <c r="M128" i="45"/>
  <c r="E127" i="45"/>
  <c r="G785" i="35"/>
  <c r="K785" i="35" s="1"/>
  <c r="E128" i="45"/>
  <c r="AC239" i="30"/>
  <c r="G684" i="35"/>
  <c r="G618" i="35" s="1"/>
  <c r="K618" i="35" s="1"/>
  <c r="L33" i="31"/>
  <c r="O22" i="31"/>
  <c r="E114" i="45" s="1"/>
  <c r="O26" i="31"/>
  <c r="R26" i="31" s="1"/>
  <c r="M118" i="45" s="1"/>
  <c r="G786" i="35"/>
  <c r="K786" i="35" s="1"/>
  <c r="M33" i="31"/>
  <c r="I33" i="31"/>
  <c r="O23" i="31"/>
  <c r="E115" i="45" s="1"/>
  <c r="N33" i="31"/>
  <c r="G720" i="35"/>
  <c r="I720" i="35" s="1"/>
  <c r="AC161" i="30"/>
  <c r="Q54" i="27"/>
  <c r="Q49" i="27"/>
  <c r="R135" i="31"/>
  <c r="G685" i="35"/>
  <c r="Q57" i="27"/>
  <c r="Q51" i="27"/>
  <c r="Q55" i="27"/>
  <c r="Q56" i="27"/>
  <c r="Q58" i="27"/>
  <c r="Q10" i="27" s="1"/>
  <c r="Q65" i="27"/>
  <c r="Q15" i="27" s="1"/>
  <c r="Q53" i="27"/>
  <c r="Q52" i="27"/>
  <c r="Q59" i="27"/>
  <c r="Q62" i="27"/>
  <c r="Q61" i="27"/>
  <c r="Q12" i="27" s="1"/>
  <c r="Q63" i="27"/>
  <c r="R131" i="31"/>
  <c r="G683" i="35"/>
  <c r="Q64" i="27"/>
  <c r="Q14" i="27" s="1"/>
  <c r="Q50" i="27"/>
  <c r="Q47" i="27"/>
  <c r="Q48" i="27"/>
  <c r="Q46" i="27"/>
  <c r="AC161" i="29"/>
  <c r="R136" i="31"/>
  <c r="G686" i="35"/>
  <c r="G719" i="35"/>
  <c r="I785" i="35"/>
  <c r="J785" i="35"/>
  <c r="K35" i="4"/>
  <c r="L35" i="4"/>
  <c r="O16" i="26"/>
  <c r="I84" i="50" s="1"/>
  <c r="P19" i="26"/>
  <c r="R23" i="31"/>
  <c r="M115" i="45" s="1"/>
  <c r="K33" i="31"/>
  <c r="O19" i="26"/>
  <c r="N19" i="26"/>
  <c r="M19" i="26"/>
  <c r="W37" i="9"/>
  <c r="W38" i="9" s="1"/>
  <c r="W39" i="9" s="1"/>
  <c r="W40" i="9" s="1"/>
  <c r="W41" i="9" s="1"/>
  <c r="N5" i="35" s="1"/>
  <c r="I5" i="35"/>
  <c r="P684" i="35" a="1"/>
  <c r="P684" i="35" s="1"/>
  <c r="P618" i="35" s="1"/>
  <c r="O684" i="35" a="1"/>
  <c r="O684" i="35" s="1"/>
  <c r="O618" i="35" s="1"/>
  <c r="P786" i="35" a="1"/>
  <c r="P786" i="35" s="1"/>
  <c r="P720" i="35" s="1"/>
  <c r="O786" i="35" a="1"/>
  <c r="O786" i="35" s="1"/>
  <c r="O720" i="35" s="1"/>
  <c r="R29" i="31"/>
  <c r="M121" i="45" s="1"/>
  <c r="E123" i="45"/>
  <c r="D123" i="45"/>
  <c r="E122" i="45"/>
  <c r="D118" i="45"/>
  <c r="P12" i="27"/>
  <c r="N32" i="34" s="1"/>
  <c r="J45" i="38" s="1"/>
  <c r="P617" i="35"/>
  <c r="O617" i="35"/>
  <c r="K617" i="35"/>
  <c r="I617" i="35"/>
  <c r="J617" i="35"/>
  <c r="R46" i="31"/>
  <c r="L124" i="45" s="1"/>
  <c r="E119" i="45"/>
  <c r="P14" i="27"/>
  <c r="N34" i="34" s="1"/>
  <c r="J47" i="38" s="1"/>
  <c r="J9" i="27"/>
  <c r="P16" i="27"/>
  <c r="N36" i="34" s="1"/>
  <c r="J49" i="38" s="1"/>
  <c r="P7" i="27"/>
  <c r="P11" i="27"/>
  <c r="N31" i="34" s="1"/>
  <c r="J53" i="32"/>
  <c r="K49" i="32" s="1"/>
  <c r="K50" i="32" s="1"/>
  <c r="P15" i="27"/>
  <c r="N35" i="34" s="1"/>
  <c r="J48" i="38" s="1"/>
  <c r="P13" i="27"/>
  <c r="N33" i="34" s="1"/>
  <c r="J46" i="38" s="1"/>
  <c r="P17" i="27"/>
  <c r="N37" i="34" s="1"/>
  <c r="J50" i="38" s="1"/>
  <c r="I12" i="27"/>
  <c r="I11" i="27"/>
  <c r="I16" i="27"/>
  <c r="N17" i="27"/>
  <c r="I15" i="27"/>
  <c r="H17" i="27"/>
  <c r="I17" i="27"/>
  <c r="I9" i="27"/>
  <c r="H13" i="27"/>
  <c r="L9" i="27"/>
  <c r="D11" i="45" s="1"/>
  <c r="P8" i="27"/>
  <c r="E10" i="45" s="1"/>
  <c r="H10" i="45" s="1"/>
  <c r="H14" i="27"/>
  <c r="N9" i="27"/>
  <c r="H16" i="27"/>
  <c r="H11" i="27"/>
  <c r="M9" i="27"/>
  <c r="L13" i="27"/>
  <c r="D15" i="45" s="1"/>
  <c r="H15" i="27"/>
  <c r="H12" i="27"/>
  <c r="L12" i="27"/>
  <c r="D14" i="45" s="1"/>
  <c r="N14" i="27"/>
  <c r="J15" i="27"/>
  <c r="L15" i="27"/>
  <c r="D17" i="45" s="1"/>
  <c r="N10" i="27"/>
  <c r="L8" i="27"/>
  <c r="D10" i="45" s="1"/>
  <c r="J14" i="27"/>
  <c r="M17" i="27"/>
  <c r="L16" i="27"/>
  <c r="D18" i="45" s="1"/>
  <c r="M10" i="27"/>
  <c r="I7" i="27"/>
  <c r="L7" i="27"/>
  <c r="D9" i="45" s="1"/>
  <c r="J11" i="27"/>
  <c r="M13" i="27"/>
  <c r="L17" i="27"/>
  <c r="D19" i="45" s="1"/>
  <c r="H8" i="27"/>
  <c r="M7" i="27"/>
  <c r="I10" i="27"/>
  <c r="N13" i="27"/>
  <c r="I14" i="27"/>
  <c r="N12" i="27"/>
  <c r="I13" i="27"/>
  <c r="M15" i="27"/>
  <c r="M14" i="27"/>
  <c r="H9" i="27"/>
  <c r="L14" i="27"/>
  <c r="D16" i="45" s="1"/>
  <c r="H7" i="27"/>
  <c r="M8" i="27"/>
  <c r="I8" i="27"/>
  <c r="N16" i="27"/>
  <c r="J16" i="27"/>
  <c r="M11" i="27"/>
  <c r="L11" i="27"/>
  <c r="D13" i="45" s="1"/>
  <c r="H10" i="27"/>
  <c r="J10" i="27"/>
  <c r="N15" i="27"/>
  <c r="J17" i="27"/>
  <c r="M12" i="27"/>
  <c r="J7" i="27"/>
  <c r="N11" i="27"/>
  <c r="J12" i="27"/>
  <c r="M16" i="27"/>
  <c r="N8" i="27"/>
  <c r="J8" i="27"/>
  <c r="J13" i="27"/>
  <c r="N7" i="27"/>
  <c r="L10" i="27"/>
  <c r="D12" i="45" s="1"/>
  <c r="P10" i="27"/>
  <c r="K47" i="31"/>
  <c r="E120" i="45"/>
  <c r="R25" i="31"/>
  <c r="M117" i="45" s="1"/>
  <c r="G12" i="45"/>
  <c r="D84" i="45"/>
  <c r="R41" i="31"/>
  <c r="L119" i="45" s="1"/>
  <c r="D122" i="45"/>
  <c r="E124" i="45"/>
  <c r="I618" i="35"/>
  <c r="Q785" i="35"/>
  <c r="Q719" i="35" s="1"/>
  <c r="J39" i="32"/>
  <c r="K35" i="32" s="1"/>
  <c r="K36" i="32" s="1"/>
  <c r="J79" i="32"/>
  <c r="N42" i="26"/>
  <c r="N58" i="32" s="1"/>
  <c r="L67" i="45" s="1"/>
  <c r="O41" i="26"/>
  <c r="F118" i="45"/>
  <c r="R12" i="31"/>
  <c r="N118" i="45" s="1"/>
  <c r="K81" i="45"/>
  <c r="K67" i="45"/>
  <c r="D121" i="45"/>
  <c r="R43" i="31"/>
  <c r="L121" i="45" s="1"/>
  <c r="C1059" i="35"/>
  <c r="C1092" i="35"/>
  <c r="N720" i="35"/>
  <c r="Q786" i="35"/>
  <c r="Q720" i="35" s="1"/>
  <c r="C1194" i="35"/>
  <c r="C1161" i="35"/>
  <c r="Q684" i="35"/>
  <c r="Q618" i="35" s="1"/>
  <c r="N618" i="35"/>
  <c r="O37" i="31"/>
  <c r="R37" i="31" s="1"/>
  <c r="L115" i="45" s="1"/>
  <c r="M47" i="31"/>
  <c r="R42" i="31"/>
  <c r="L120" i="45" s="1"/>
  <c r="D120" i="45"/>
  <c r="R39" i="31"/>
  <c r="L117" i="45" s="1"/>
  <c r="N114" i="45"/>
  <c r="R24" i="31"/>
  <c r="M116" i="45" s="1"/>
  <c r="O38" i="31"/>
  <c r="D116" i="45" s="1"/>
  <c r="Q47" i="31"/>
  <c r="J82" i="32"/>
  <c r="J24" i="32"/>
  <c r="R36" i="31"/>
  <c r="D114" i="45"/>
  <c r="G9" i="45"/>
  <c r="D81" i="45"/>
  <c r="G19" i="45"/>
  <c r="D91" i="45"/>
  <c r="G17" i="45"/>
  <c r="D89" i="45"/>
  <c r="E11" i="45"/>
  <c r="H11" i="45" s="1"/>
  <c r="E83" i="45"/>
  <c r="D82" i="45"/>
  <c r="G10" i="45"/>
  <c r="D87" i="45"/>
  <c r="G15" i="45"/>
  <c r="D90" i="45"/>
  <c r="G18" i="45"/>
  <c r="G16" i="45"/>
  <c r="D88" i="45"/>
  <c r="D83" i="45"/>
  <c r="G11" i="45"/>
  <c r="G14" i="45"/>
  <c r="D86" i="45"/>
  <c r="J67" i="32"/>
  <c r="K63" i="32" s="1"/>
  <c r="L66" i="32"/>
  <c r="R22" i="31" l="1"/>
  <c r="M114" i="45" s="1"/>
  <c r="M127" i="45"/>
  <c r="M129" i="45" s="1"/>
  <c r="J618" i="35"/>
  <c r="J684" i="35"/>
  <c r="I684" i="35"/>
  <c r="K684" i="35"/>
  <c r="I786" i="35"/>
  <c r="J786" i="35"/>
  <c r="Q13" i="27"/>
  <c r="E118" i="45"/>
  <c r="K720" i="35"/>
  <c r="J720" i="35"/>
  <c r="E129" i="45"/>
  <c r="O33" i="31"/>
  <c r="E125" i="45" s="1"/>
  <c r="Q7" i="27"/>
  <c r="Q8" i="27"/>
  <c r="Q11" i="27"/>
  <c r="K683" i="35"/>
  <c r="I683" i="35"/>
  <c r="J683" i="35"/>
  <c r="G619" i="35"/>
  <c r="I685" i="35"/>
  <c r="J685" i="35"/>
  <c r="K685" i="35"/>
  <c r="I719" i="35"/>
  <c r="K719" i="35"/>
  <c r="J719" i="35"/>
  <c r="G620" i="35"/>
  <c r="I686" i="35"/>
  <c r="K686" i="35"/>
  <c r="J686" i="35"/>
  <c r="Q16" i="27"/>
  <c r="P16" i="26"/>
  <c r="E31" i="45" s="1"/>
  <c r="I89" i="50"/>
  <c r="E26" i="45"/>
  <c r="U5" i="35"/>
  <c r="U344" i="35" s="1"/>
  <c r="O5" i="35"/>
  <c r="O479" i="35" s="1"/>
  <c r="R5" i="35"/>
  <c r="R920" i="35" s="1"/>
  <c r="V5" i="35"/>
  <c r="V479" i="35" s="1"/>
  <c r="M5" i="35"/>
  <c r="M209" i="35" s="1"/>
  <c r="AA5" i="35"/>
  <c r="AA920" i="35" s="1"/>
  <c r="W5" i="35"/>
  <c r="W920" i="35" s="1"/>
  <c r="J90" i="38"/>
  <c r="E101" i="45" s="1"/>
  <c r="N43" i="32"/>
  <c r="N28" i="32"/>
  <c r="E14" i="45"/>
  <c r="H14" i="45" s="1"/>
  <c r="I14" i="45" s="1"/>
  <c r="E17" i="45"/>
  <c r="F17" i="45" s="1"/>
  <c r="E85" i="45"/>
  <c r="E88" i="45"/>
  <c r="F88" i="45" s="1"/>
  <c r="E16" i="45"/>
  <c r="H16" i="45" s="1"/>
  <c r="I16" i="45" s="1"/>
  <c r="N818" i="35"/>
  <c r="N344" i="35"/>
  <c r="N7" i="35" a="1"/>
  <c r="N7" i="35" s="1"/>
  <c r="N8" i="35"/>
  <c r="N1022" i="35"/>
  <c r="N1092" i="35" s="1"/>
  <c r="N74" i="35"/>
  <c r="N920" i="35"/>
  <c r="N479" i="35"/>
  <c r="N1124" i="35"/>
  <c r="N1161" i="35" s="1"/>
  <c r="N209" i="35"/>
  <c r="N6" i="35"/>
  <c r="I7" i="35" a="1"/>
  <c r="I7" i="35" s="1"/>
  <c r="I209" i="35"/>
  <c r="I920" i="35"/>
  <c r="I1124" i="35"/>
  <c r="I1194" i="35" s="1"/>
  <c r="I1022" i="35"/>
  <c r="I1059" i="35" s="1"/>
  <c r="I479" i="35"/>
  <c r="I74" i="35"/>
  <c r="I344" i="35"/>
  <c r="I818" i="35"/>
  <c r="I8" i="35"/>
  <c r="I6" i="35"/>
  <c r="P5" i="35"/>
  <c r="T5" i="35"/>
  <c r="Z5" i="35"/>
  <c r="Q5" i="35"/>
  <c r="S5" i="35"/>
  <c r="J5" i="35"/>
  <c r="K5" i="35"/>
  <c r="L5" i="35"/>
  <c r="AB5" i="35"/>
  <c r="Y5" i="35"/>
  <c r="X5" i="35"/>
  <c r="E13" i="45"/>
  <c r="F13" i="45" s="1"/>
  <c r="J97" i="38"/>
  <c r="E108" i="45" s="1"/>
  <c r="J87" i="38"/>
  <c r="S87" i="38" s="1"/>
  <c r="E19" i="45"/>
  <c r="H19" i="45" s="1"/>
  <c r="I19" i="45" s="1"/>
  <c r="J94" i="38"/>
  <c r="J95" i="38"/>
  <c r="J92" i="38"/>
  <c r="N27" i="34"/>
  <c r="J40" i="38" s="1"/>
  <c r="J91" i="38"/>
  <c r="J93" i="38"/>
  <c r="J96" i="38"/>
  <c r="E86" i="45"/>
  <c r="F86" i="45" s="1"/>
  <c r="E87" i="45"/>
  <c r="F87" i="45" s="1"/>
  <c r="R19" i="31"/>
  <c r="N125" i="45" s="1"/>
  <c r="E15" i="45"/>
  <c r="H15" i="45" s="1"/>
  <c r="I15" i="45" s="1"/>
  <c r="E90" i="45"/>
  <c r="F90" i="45" s="1"/>
  <c r="E18" i="45"/>
  <c r="H18" i="45" s="1"/>
  <c r="I18" i="45" s="1"/>
  <c r="J89" i="38"/>
  <c r="J88" i="38"/>
  <c r="E9" i="45"/>
  <c r="H9" i="45" s="1"/>
  <c r="I9" i="45" s="1"/>
  <c r="E81" i="45"/>
  <c r="F81" i="45" s="1"/>
  <c r="P18" i="27"/>
  <c r="E89" i="45"/>
  <c r="F89" i="45" s="1"/>
  <c r="N28" i="34"/>
  <c r="J41" i="38" s="1"/>
  <c r="I10" i="45"/>
  <c r="E82" i="45"/>
  <c r="F82" i="45" s="1"/>
  <c r="E91" i="45"/>
  <c r="F91" i="45" s="1"/>
  <c r="M18" i="27"/>
  <c r="N18" i="27"/>
  <c r="O43" i="32" s="1"/>
  <c r="J18" i="27"/>
  <c r="H18" i="27"/>
  <c r="I18" i="27"/>
  <c r="E84" i="45"/>
  <c r="F84" i="45" s="1"/>
  <c r="E12" i="45"/>
  <c r="H12" i="45" s="1"/>
  <c r="I12" i="45" s="1"/>
  <c r="N30" i="34"/>
  <c r="J43" i="38" s="1"/>
  <c r="F10" i="45"/>
  <c r="O42" i="26"/>
  <c r="O58" i="32" s="1"/>
  <c r="P41" i="26"/>
  <c r="E69" i="45" s="1"/>
  <c r="L18" i="27"/>
  <c r="D115" i="45"/>
  <c r="R38" i="31"/>
  <c r="L116" i="45" s="1"/>
  <c r="O47" i="31"/>
  <c r="D125" i="45" s="1"/>
  <c r="J83" i="32"/>
  <c r="K19" i="32"/>
  <c r="L114" i="45"/>
  <c r="K66" i="32"/>
  <c r="K33" i="32"/>
  <c r="K37" i="32" s="1"/>
  <c r="F11" i="45"/>
  <c r="D85" i="45"/>
  <c r="G13" i="45"/>
  <c r="J44" i="38"/>
  <c r="J42" i="38"/>
  <c r="J38" i="34"/>
  <c r="F83" i="45"/>
  <c r="I11" i="45"/>
  <c r="K64" i="32"/>
  <c r="R33" i="31" l="1"/>
  <c r="M125" i="45" s="1"/>
  <c r="M1022" i="35"/>
  <c r="M1092" i="35" s="1"/>
  <c r="O13" i="32"/>
  <c r="O28" i="32"/>
  <c r="I619" i="35"/>
  <c r="J619" i="35"/>
  <c r="K619" i="35"/>
  <c r="R11" i="27"/>
  <c r="R18" i="27" s="1"/>
  <c r="Q9" i="27"/>
  <c r="Q18" i="27" s="1"/>
  <c r="I620" i="35"/>
  <c r="K620" i="35"/>
  <c r="J620" i="35"/>
  <c r="AA74" i="35"/>
  <c r="AA1124" i="35"/>
  <c r="AA1161" i="35" s="1"/>
  <c r="Q16" i="26"/>
  <c r="I1092" i="35"/>
  <c r="I414" i="35" s="1"/>
  <c r="W209" i="35"/>
  <c r="N1059" i="35"/>
  <c r="N381" i="35" s="1"/>
  <c r="V1124" i="35"/>
  <c r="V1161" i="35" s="1"/>
  <c r="V920" i="35"/>
  <c r="V951" i="35" s="1"/>
  <c r="V6" i="35"/>
  <c r="V345" i="35" s="1"/>
  <c r="W479" i="35"/>
  <c r="O818" i="35"/>
  <c r="O827" i="35" s="1"/>
  <c r="R7" i="35" a="1"/>
  <c r="R7" i="35" s="1"/>
  <c r="O74" i="35"/>
  <c r="M74" i="35"/>
  <c r="O920" i="35"/>
  <c r="U74" i="35"/>
  <c r="O8" i="35"/>
  <c r="U8" i="35"/>
  <c r="U209" i="35"/>
  <c r="V209" i="35"/>
  <c r="U920" i="35"/>
  <c r="U952" i="35" s="1"/>
  <c r="V1022" i="35"/>
  <c r="V1059" i="35" s="1"/>
  <c r="V74" i="35"/>
  <c r="M6" i="35"/>
  <c r="M818" i="35"/>
  <c r="M835" i="35" s="1"/>
  <c r="M8" i="35"/>
  <c r="M7" i="35" a="1"/>
  <c r="M7" i="35" s="1"/>
  <c r="M1124" i="35"/>
  <c r="M1161" i="35" s="1"/>
  <c r="M920" i="35"/>
  <c r="M941" i="35" s="1"/>
  <c r="M479" i="35"/>
  <c r="S90" i="38"/>
  <c r="N1194" i="35"/>
  <c r="N549" i="35" s="1"/>
  <c r="W1124" i="35"/>
  <c r="W1151" i="35" s="1"/>
  <c r="AA479" i="35"/>
  <c r="O1124" i="35"/>
  <c r="O1127" i="35" s="1"/>
  <c r="U7" i="35" a="1"/>
  <c r="U7" i="35" s="1"/>
  <c r="W818" i="35"/>
  <c r="W825" i="35" s="1"/>
  <c r="AA818" i="35"/>
  <c r="M344" i="35"/>
  <c r="O6" i="35"/>
  <c r="R6" i="35"/>
  <c r="R75" i="35" s="1"/>
  <c r="W8" i="35"/>
  <c r="W344" i="35"/>
  <c r="AA6" i="35"/>
  <c r="AA75" i="35" s="1"/>
  <c r="R1124" i="35"/>
  <c r="R1152" i="35" s="1"/>
  <c r="O7" i="35" a="1"/>
  <c r="O7" i="35" s="1"/>
  <c r="W74" i="35"/>
  <c r="AA7" i="35" a="1"/>
  <c r="AA7" i="35" s="1"/>
  <c r="R479" i="35"/>
  <c r="O1022" i="35"/>
  <c r="O1052" i="35" s="1"/>
  <c r="W7" i="35" a="1"/>
  <c r="W7" i="35" s="1"/>
  <c r="V818" i="35"/>
  <c r="V841" i="35" s="1"/>
  <c r="U818" i="35"/>
  <c r="U840" i="35" s="1"/>
  <c r="U1022" i="35"/>
  <c r="W1022" i="35"/>
  <c r="W1039" i="35" s="1"/>
  <c r="AA8" i="35"/>
  <c r="R209" i="35"/>
  <c r="R344" i="35"/>
  <c r="O344" i="35"/>
  <c r="O209" i="35"/>
  <c r="V7" i="35" a="1"/>
  <c r="V7" i="35" s="1"/>
  <c r="U6" i="35"/>
  <c r="U75" i="35" s="1"/>
  <c r="AA209" i="35"/>
  <c r="R1022" i="35"/>
  <c r="R1035" i="35" s="1"/>
  <c r="R818" i="35"/>
  <c r="R835" i="35" s="1"/>
  <c r="R74" i="35"/>
  <c r="V8" i="35"/>
  <c r="V344" i="35"/>
  <c r="U479" i="35"/>
  <c r="W6" i="35"/>
  <c r="W345" i="35" s="1"/>
  <c r="AA344" i="35"/>
  <c r="R8" i="35"/>
  <c r="U1124" i="35"/>
  <c r="U1152" i="35" s="1"/>
  <c r="AA1022" i="35"/>
  <c r="AA1030" i="35" s="1"/>
  <c r="E102" i="45"/>
  <c r="S91" i="38"/>
  <c r="E104" i="45"/>
  <c r="S93" i="38"/>
  <c r="E103" i="45"/>
  <c r="S92" i="38"/>
  <c r="E106" i="45"/>
  <c r="S95" i="38"/>
  <c r="E105" i="45"/>
  <c r="S94" i="38"/>
  <c r="E99" i="45"/>
  <c r="S88" i="38"/>
  <c r="E100" i="45"/>
  <c r="S89" i="38"/>
  <c r="E107" i="45"/>
  <c r="S96" i="38"/>
  <c r="I549" i="35"/>
  <c r="I381" i="35"/>
  <c r="N13" i="32"/>
  <c r="P13" i="32"/>
  <c r="N516" i="35"/>
  <c r="N414" i="35"/>
  <c r="I1161" i="35"/>
  <c r="I516" i="35" s="1"/>
  <c r="H17" i="45"/>
  <c r="I17" i="45" s="1"/>
  <c r="F14" i="45"/>
  <c r="F85" i="45"/>
  <c r="H13" i="45"/>
  <c r="I13" i="45" s="1"/>
  <c r="F16" i="45"/>
  <c r="X8" i="35"/>
  <c r="X7" i="35" a="1"/>
  <c r="X7" i="35" s="1"/>
  <c r="X818" i="35"/>
  <c r="X74" i="35"/>
  <c r="X6" i="35"/>
  <c r="X1124" i="35"/>
  <c r="X479" i="35"/>
  <c r="X1022" i="35"/>
  <c r="X209" i="35"/>
  <c r="X344" i="35"/>
  <c r="X920" i="35"/>
  <c r="V925" i="35"/>
  <c r="V926" i="35"/>
  <c r="V979" i="35"/>
  <c r="V1000" i="35"/>
  <c r="V1004" i="35"/>
  <c r="V994" i="35"/>
  <c r="S1124" i="35"/>
  <c r="S1022" i="35"/>
  <c r="S8" i="35"/>
  <c r="S818" i="35"/>
  <c r="S920" i="35"/>
  <c r="S209" i="35"/>
  <c r="S344" i="35"/>
  <c r="S6" i="35"/>
  <c r="S7" i="35" a="1"/>
  <c r="S7" i="35" s="1"/>
  <c r="S479" i="35"/>
  <c r="S74" i="35"/>
  <c r="R1083" i="35"/>
  <c r="V1146" i="35"/>
  <c r="V1139" i="35"/>
  <c r="V1142" i="35"/>
  <c r="V1147" i="35"/>
  <c r="V1174" i="35"/>
  <c r="V1212" i="35"/>
  <c r="V1188" i="35"/>
  <c r="V1169" i="35"/>
  <c r="V1183" i="35"/>
  <c r="V1214" i="35"/>
  <c r="V1166" i="35"/>
  <c r="V1170" i="35"/>
  <c r="Q7" i="35" a="1"/>
  <c r="Q7" i="35" s="1"/>
  <c r="Q479" i="35"/>
  <c r="Q6" i="35"/>
  <c r="Q818" i="35"/>
  <c r="Q1022" i="35"/>
  <c r="Q920" i="35"/>
  <c r="Q8" i="35"/>
  <c r="Q74" i="35"/>
  <c r="Q344" i="35"/>
  <c r="Q209" i="35"/>
  <c r="Q1124" i="35"/>
  <c r="I854" i="35"/>
  <c r="I110" i="35" s="1"/>
  <c r="I846" i="35"/>
  <c r="I102" i="35" s="1"/>
  <c r="I850" i="35"/>
  <c r="I106" i="35" s="1"/>
  <c r="I844" i="35"/>
  <c r="I100" i="35" s="1"/>
  <c r="I836" i="35"/>
  <c r="I92" i="35" s="1"/>
  <c r="I842" i="35"/>
  <c r="I98" i="35" s="1"/>
  <c r="I831" i="35"/>
  <c r="I87" i="35" s="1"/>
  <c r="I823" i="35"/>
  <c r="I79" i="35" s="1"/>
  <c r="I847" i="35"/>
  <c r="I103" i="35" s="1"/>
  <c r="I835" i="35"/>
  <c r="I91" i="35" s="1"/>
  <c r="I833" i="35"/>
  <c r="I89" i="35" s="1"/>
  <c r="I843" i="35"/>
  <c r="I840" i="35"/>
  <c r="I830" i="35"/>
  <c r="I86" i="35" s="1"/>
  <c r="I826" i="35"/>
  <c r="I82" i="35" s="1"/>
  <c r="I829" i="35"/>
  <c r="I85" i="35" s="1"/>
  <c r="I837" i="35"/>
  <c r="I93" i="35" s="1"/>
  <c r="I824" i="35"/>
  <c r="I80" i="35" s="1"/>
  <c r="I845" i="35"/>
  <c r="I101" i="35" s="1"/>
  <c r="I834" i="35"/>
  <c r="I90" i="35" s="1"/>
  <c r="I848" i="35"/>
  <c r="I104" i="35" s="1"/>
  <c r="I839" i="35"/>
  <c r="I95" i="35" s="1"/>
  <c r="I828" i="35"/>
  <c r="I84" i="35" s="1"/>
  <c r="I832" i="35"/>
  <c r="I88" i="35" s="1"/>
  <c r="I827" i="35"/>
  <c r="I83" i="35" s="1"/>
  <c r="I838" i="35"/>
  <c r="I94" i="35" s="1"/>
  <c r="I825" i="35"/>
  <c r="I81" i="35" s="1"/>
  <c r="I849" i="35"/>
  <c r="I105" i="35" s="1"/>
  <c r="I841" i="35"/>
  <c r="I97" i="35" s="1"/>
  <c r="I819" i="35"/>
  <c r="I887" i="35"/>
  <c r="I143" i="35" s="1"/>
  <c r="I899" i="35"/>
  <c r="I155" i="35" s="1"/>
  <c r="I821" i="35"/>
  <c r="I77" i="35" s="1"/>
  <c r="I822" i="35"/>
  <c r="I78" i="35" s="1"/>
  <c r="I909" i="35"/>
  <c r="I165" i="35" s="1"/>
  <c r="I913" i="35"/>
  <c r="I169" i="35" s="1"/>
  <c r="I911" i="35"/>
  <c r="I167" i="35" s="1"/>
  <c r="I856" i="35"/>
  <c r="I112" i="35" s="1"/>
  <c r="I876" i="35"/>
  <c r="I132" i="35" s="1"/>
  <c r="I870" i="35"/>
  <c r="I126" i="35" s="1"/>
  <c r="I858" i="35"/>
  <c r="I114" i="35" s="1"/>
  <c r="I862" i="35"/>
  <c r="I118" i="35" s="1"/>
  <c r="I891" i="35"/>
  <c r="I147" i="35" s="1"/>
  <c r="I902" i="35"/>
  <c r="I158" i="35" s="1"/>
  <c r="I894" i="35"/>
  <c r="I150" i="35" s="1"/>
  <c r="I866" i="35"/>
  <c r="I122" i="35" s="1"/>
  <c r="I890" i="35"/>
  <c r="I146" i="35" s="1"/>
  <c r="I874" i="35"/>
  <c r="I130" i="35" s="1"/>
  <c r="I881" i="35"/>
  <c r="I137" i="35" s="1"/>
  <c r="I895" i="35"/>
  <c r="I151" i="35" s="1"/>
  <c r="I883" i="35"/>
  <c r="I139" i="35" s="1"/>
  <c r="I907" i="35"/>
  <c r="I163" i="35" s="1"/>
  <c r="I916" i="35"/>
  <c r="I172" i="35" s="1"/>
  <c r="I878" i="35"/>
  <c r="I134" i="35" s="1"/>
  <c r="I889" i="35"/>
  <c r="I145" i="35" s="1"/>
  <c r="I897" i="35"/>
  <c r="I153" i="35" s="1"/>
  <c r="I861" i="35"/>
  <c r="I117" i="35" s="1"/>
  <c r="I863" i="35"/>
  <c r="I119" i="35" s="1"/>
  <c r="I877" i="35"/>
  <c r="I133" i="35" s="1"/>
  <c r="I865" i="35"/>
  <c r="I121" i="35" s="1"/>
  <c r="I905" i="35"/>
  <c r="I161" i="35" s="1"/>
  <c r="I914" i="35"/>
  <c r="I170" i="35" s="1"/>
  <c r="I872" i="35"/>
  <c r="I128" i="35" s="1"/>
  <c r="I896" i="35"/>
  <c r="I152" i="35" s="1"/>
  <c r="I859" i="35"/>
  <c r="I115" i="35" s="1"/>
  <c r="I880" i="35"/>
  <c r="I136" i="35" s="1"/>
  <c r="I892" i="35"/>
  <c r="I148" i="35" s="1"/>
  <c r="I898" i="35"/>
  <c r="I154" i="35" s="1"/>
  <c r="I901" i="35"/>
  <c r="I157" i="35" s="1"/>
  <c r="I906" i="35"/>
  <c r="I162" i="35" s="1"/>
  <c r="I910" i="35"/>
  <c r="I166" i="35" s="1"/>
  <c r="I868" i="35"/>
  <c r="I124" i="35" s="1"/>
  <c r="I912" i="35"/>
  <c r="I168" i="35" s="1"/>
  <c r="I864" i="35"/>
  <c r="I120" i="35" s="1"/>
  <c r="I879" i="35"/>
  <c r="I135" i="35" s="1"/>
  <c r="I867" i="35"/>
  <c r="I123" i="35" s="1"/>
  <c r="I857" i="35"/>
  <c r="I113" i="35" s="1"/>
  <c r="I904" i="35"/>
  <c r="I160" i="35" s="1"/>
  <c r="I871" i="35"/>
  <c r="I127" i="35" s="1"/>
  <c r="I903" i="35"/>
  <c r="I159" i="35" s="1"/>
  <c r="I893" i="35"/>
  <c r="I149" i="35" s="1"/>
  <c r="I875" i="35"/>
  <c r="I131" i="35" s="1"/>
  <c r="I900" i="35"/>
  <c r="I156" i="35" s="1"/>
  <c r="I882" i="35"/>
  <c r="I138" i="35" s="1"/>
  <c r="I869" i="35"/>
  <c r="I125" i="35" s="1"/>
  <c r="I873" i="35"/>
  <c r="I129" i="35" s="1"/>
  <c r="I908" i="35"/>
  <c r="I164" i="35" s="1"/>
  <c r="I915" i="35"/>
  <c r="I171" i="35" s="1"/>
  <c r="I860" i="35"/>
  <c r="I116" i="35" s="1"/>
  <c r="I888" i="35"/>
  <c r="I144" i="35" s="1"/>
  <c r="I855" i="35"/>
  <c r="I111" i="35" s="1"/>
  <c r="I99" i="35"/>
  <c r="I96" i="35"/>
  <c r="N923" i="35"/>
  <c r="N212" i="35" s="1"/>
  <c r="N934" i="35"/>
  <c r="N223" i="35" s="1"/>
  <c r="N932" i="35"/>
  <c r="N221" i="35" s="1"/>
  <c r="N930" i="35"/>
  <c r="N219" i="35" s="1"/>
  <c r="N941" i="35"/>
  <c r="N230" i="35" s="1"/>
  <c r="N946" i="35"/>
  <c r="N235" i="35" s="1"/>
  <c r="N945" i="35"/>
  <c r="N234" i="35" s="1"/>
  <c r="N947" i="35"/>
  <c r="N236" i="35" s="1"/>
  <c r="N928" i="35"/>
  <c r="N217" i="35" s="1"/>
  <c r="N940" i="35"/>
  <c r="N229" i="35" s="1"/>
  <c r="N951" i="35"/>
  <c r="N240" i="35" s="1"/>
  <c r="N943" i="35"/>
  <c r="N232" i="35" s="1"/>
  <c r="N956" i="35"/>
  <c r="N245" i="35" s="1"/>
  <c r="N942" i="35"/>
  <c r="N231" i="35" s="1"/>
  <c r="N989" i="35"/>
  <c r="N278" i="35" s="1"/>
  <c r="N931" i="35"/>
  <c r="N220" i="35" s="1"/>
  <c r="N948" i="35"/>
  <c r="N237" i="35" s="1"/>
  <c r="N944" i="35"/>
  <c r="N233" i="35" s="1"/>
  <c r="N949" i="35"/>
  <c r="N238" i="35" s="1"/>
  <c r="N933" i="35"/>
  <c r="N222" i="35" s="1"/>
  <c r="N935" i="35"/>
  <c r="N224" i="35" s="1"/>
  <c r="N927" i="35"/>
  <c r="N216" i="35" s="1"/>
  <c r="N952" i="35"/>
  <c r="N241" i="35" s="1"/>
  <c r="N939" i="35"/>
  <c r="N228" i="35" s="1"/>
  <c r="N937" i="35"/>
  <c r="N226" i="35" s="1"/>
  <c r="N926" i="35"/>
  <c r="N215" i="35" s="1"/>
  <c r="N925" i="35"/>
  <c r="N214" i="35" s="1"/>
  <c r="N929" i="35"/>
  <c r="N218" i="35" s="1"/>
  <c r="N938" i="35"/>
  <c r="N227" i="35" s="1"/>
  <c r="N936" i="35"/>
  <c r="N225" i="35" s="1"/>
  <c r="N950" i="35"/>
  <c r="N239" i="35" s="1"/>
  <c r="N924" i="35"/>
  <c r="N213" i="35" s="1"/>
  <c r="N1001" i="35"/>
  <c r="N290" i="35" s="1"/>
  <c r="N978" i="35"/>
  <c r="N267" i="35" s="1"/>
  <c r="N965" i="35"/>
  <c r="N254" i="35" s="1"/>
  <c r="N980" i="35"/>
  <c r="N269" i="35" s="1"/>
  <c r="N964" i="35"/>
  <c r="N253" i="35" s="1"/>
  <c r="N1011" i="35"/>
  <c r="N300" i="35" s="1"/>
  <c r="N1002" i="35"/>
  <c r="N291" i="35" s="1"/>
  <c r="N1008" i="35"/>
  <c r="N297" i="35" s="1"/>
  <c r="N975" i="35"/>
  <c r="N264" i="35" s="1"/>
  <c r="N969" i="35"/>
  <c r="N258" i="35" s="1"/>
  <c r="N1010" i="35"/>
  <c r="N299" i="35" s="1"/>
  <c r="N985" i="35"/>
  <c r="N274" i="35" s="1"/>
  <c r="N958" i="35"/>
  <c r="N247" i="35" s="1"/>
  <c r="N976" i="35"/>
  <c r="N265" i="35" s="1"/>
  <c r="N991" i="35"/>
  <c r="N1012" i="35"/>
  <c r="N301" i="35" s="1"/>
  <c r="N1009" i="35"/>
  <c r="N298" i="35" s="1"/>
  <c r="N995" i="35"/>
  <c r="N284" i="35" s="1"/>
  <c r="N967" i="35"/>
  <c r="N256" i="35" s="1"/>
  <c r="N962" i="35"/>
  <c r="N251" i="35" s="1"/>
  <c r="N998" i="35"/>
  <c r="N287" i="35" s="1"/>
  <c r="N1016" i="35"/>
  <c r="N305" i="35" s="1"/>
  <c r="N992" i="35"/>
  <c r="N281" i="35" s="1"/>
  <c r="N966" i="35"/>
  <c r="N255" i="35" s="1"/>
  <c r="N959" i="35"/>
  <c r="N248" i="35" s="1"/>
  <c r="N993" i="35"/>
  <c r="N282" i="35" s="1"/>
  <c r="N1000" i="35"/>
  <c r="N289" i="35" s="1"/>
  <c r="N1004" i="35"/>
  <c r="N293" i="35" s="1"/>
  <c r="N983" i="35"/>
  <c r="N272" i="35" s="1"/>
  <c r="N973" i="35"/>
  <c r="N262" i="35" s="1"/>
  <c r="N970" i="35"/>
  <c r="N259" i="35" s="1"/>
  <c r="N1018" i="35"/>
  <c r="N307" i="35" s="1"/>
  <c r="N979" i="35"/>
  <c r="N268" i="35" s="1"/>
  <c r="N960" i="35"/>
  <c r="N249" i="35" s="1"/>
  <c r="N961" i="35"/>
  <c r="N250" i="35" s="1"/>
  <c r="N1007" i="35"/>
  <c r="N296" i="35" s="1"/>
  <c r="N1005" i="35"/>
  <c r="N294" i="35" s="1"/>
  <c r="N982" i="35"/>
  <c r="N271" i="35" s="1"/>
  <c r="N1013" i="35"/>
  <c r="N302" i="35" s="1"/>
  <c r="N999" i="35"/>
  <c r="N288" i="35" s="1"/>
  <c r="N971" i="35"/>
  <c r="N260" i="35" s="1"/>
  <c r="N972" i="35"/>
  <c r="N261" i="35" s="1"/>
  <c r="N1017" i="35"/>
  <c r="N306" i="35" s="1"/>
  <c r="N996" i="35"/>
  <c r="N285" i="35" s="1"/>
  <c r="N984" i="35"/>
  <c r="N273" i="35" s="1"/>
  <c r="N997" i="35"/>
  <c r="N286" i="35" s="1"/>
  <c r="N963" i="35"/>
  <c r="N252" i="35" s="1"/>
  <c r="N1014" i="35"/>
  <c r="N303" i="35" s="1"/>
  <c r="N1006" i="35"/>
  <c r="N295" i="35" s="1"/>
  <c r="N1003" i="35"/>
  <c r="N292" i="35" s="1"/>
  <c r="N994" i="35"/>
  <c r="N283" i="35" s="1"/>
  <c r="N981" i="35"/>
  <c r="N270" i="35" s="1"/>
  <c r="N977" i="35"/>
  <c r="N266" i="35" s="1"/>
  <c r="N968" i="35"/>
  <c r="N257" i="35" s="1"/>
  <c r="N1015" i="35"/>
  <c r="N304" i="35" s="1"/>
  <c r="N974" i="35"/>
  <c r="N263" i="35" s="1"/>
  <c r="N957" i="35"/>
  <c r="N246" i="35" s="1"/>
  <c r="N990" i="35"/>
  <c r="N279" i="35" s="1"/>
  <c r="Y6" i="35"/>
  <c r="Y1124" i="35"/>
  <c r="Y209" i="35"/>
  <c r="Y479" i="35"/>
  <c r="Y8" i="35"/>
  <c r="Y920" i="35"/>
  <c r="Y818" i="35"/>
  <c r="Y1022" i="35"/>
  <c r="Y344" i="35"/>
  <c r="Y7" i="35" a="1"/>
  <c r="Y7" i="35" s="1"/>
  <c r="Y74" i="35"/>
  <c r="Z8" i="35"/>
  <c r="Z1124" i="35"/>
  <c r="Z209" i="35"/>
  <c r="Z6" i="35"/>
  <c r="Z818" i="35"/>
  <c r="Z479" i="35"/>
  <c r="Z920" i="35"/>
  <c r="Z74" i="35"/>
  <c r="Z1022" i="35"/>
  <c r="Z7" i="35" a="1"/>
  <c r="Z7" i="35" s="1"/>
  <c r="Z344" i="35"/>
  <c r="W931" i="35"/>
  <c r="W938" i="35"/>
  <c r="W933" i="35"/>
  <c r="W956" i="35"/>
  <c r="W944" i="35"/>
  <c r="W946" i="35"/>
  <c r="W925" i="35"/>
  <c r="W945" i="35"/>
  <c r="W941" i="35"/>
  <c r="W949" i="35"/>
  <c r="W928" i="35"/>
  <c r="W937" i="35"/>
  <c r="W935" i="35"/>
  <c r="W952" i="35"/>
  <c r="W927" i="35"/>
  <c r="W930" i="35"/>
  <c r="W936" i="35"/>
  <c r="W934" i="35"/>
  <c r="W947" i="35"/>
  <c r="W923" i="35"/>
  <c r="W948" i="35"/>
  <c r="W939" i="35"/>
  <c r="W951" i="35"/>
  <c r="W932" i="35"/>
  <c r="W926" i="35"/>
  <c r="W943" i="35"/>
  <c r="W940" i="35"/>
  <c r="W942" i="35"/>
  <c r="W929" i="35"/>
  <c r="W950" i="35"/>
  <c r="W989" i="35"/>
  <c r="W964" i="35"/>
  <c r="W980" i="35"/>
  <c r="W924" i="35"/>
  <c r="W976" i="35"/>
  <c r="W1010" i="35"/>
  <c r="W985" i="35"/>
  <c r="W1016" i="35"/>
  <c r="W965" i="35"/>
  <c r="W1001" i="35"/>
  <c r="W978" i="35"/>
  <c r="W1011" i="35"/>
  <c r="W1002" i="35"/>
  <c r="W1008" i="35"/>
  <c r="W969" i="35"/>
  <c r="W958" i="35"/>
  <c r="W975" i="35"/>
  <c r="W962" i="35"/>
  <c r="W1018" i="35"/>
  <c r="W1009" i="35"/>
  <c r="W979" i="35"/>
  <c r="W1012" i="35"/>
  <c r="W970" i="35"/>
  <c r="W991" i="35"/>
  <c r="W967" i="35"/>
  <c r="W992" i="35"/>
  <c r="W995" i="35"/>
  <c r="W1004" i="35"/>
  <c r="W999" i="35"/>
  <c r="W998" i="35"/>
  <c r="W959" i="35"/>
  <c r="W983" i="35"/>
  <c r="W973" i="35"/>
  <c r="W1014" i="35"/>
  <c r="W1003" i="35"/>
  <c r="W1007" i="35"/>
  <c r="W981" i="35"/>
  <c r="W1013" i="35"/>
  <c r="W1000" i="35"/>
  <c r="W966" i="35"/>
  <c r="W960" i="35"/>
  <c r="W1005" i="35"/>
  <c r="W961" i="35"/>
  <c r="W982" i="35"/>
  <c r="W1017" i="35"/>
  <c r="W996" i="35"/>
  <c r="W972" i="35"/>
  <c r="W984" i="35"/>
  <c r="W997" i="35"/>
  <c r="W993" i="35"/>
  <c r="W971" i="35"/>
  <c r="W977" i="35"/>
  <c r="W968" i="35"/>
  <c r="W963" i="35"/>
  <c r="W974" i="35"/>
  <c r="W994" i="35"/>
  <c r="W1015" i="35"/>
  <c r="W1006" i="35"/>
  <c r="W990" i="35"/>
  <c r="W957" i="35"/>
  <c r="AB6" i="35"/>
  <c r="AB74" i="35"/>
  <c r="AB479" i="35"/>
  <c r="AB8" i="35"/>
  <c r="AB209" i="35"/>
  <c r="AB920" i="35"/>
  <c r="AB344" i="35"/>
  <c r="AB818" i="35"/>
  <c r="AB1022" i="35"/>
  <c r="AB1124" i="35"/>
  <c r="AB7" i="35" a="1"/>
  <c r="AB7" i="35" s="1"/>
  <c r="V1043" i="35"/>
  <c r="V1054" i="35"/>
  <c r="V1047" i="35"/>
  <c r="V1037" i="35"/>
  <c r="V1026" i="35"/>
  <c r="V1118" i="35"/>
  <c r="V1113" i="35"/>
  <c r="V1116" i="35"/>
  <c r="V1103" i="35"/>
  <c r="V1063" i="35"/>
  <c r="V1108" i="35"/>
  <c r="T1124" i="35"/>
  <c r="T74" i="35"/>
  <c r="T920" i="35"/>
  <c r="T209" i="35"/>
  <c r="T818" i="35"/>
  <c r="T8" i="35"/>
  <c r="T1022" i="35"/>
  <c r="T479" i="35"/>
  <c r="T7" i="35" a="1"/>
  <c r="T7" i="35" s="1"/>
  <c r="T6" i="35"/>
  <c r="T344" i="35"/>
  <c r="R210" i="35"/>
  <c r="N1025" i="35"/>
  <c r="N347" i="35" s="1"/>
  <c r="N1042" i="35"/>
  <c r="N364" i="35" s="1"/>
  <c r="N1043" i="35"/>
  <c r="N365" i="35" s="1"/>
  <c r="N1054" i="35"/>
  <c r="N376" i="35" s="1"/>
  <c r="N1049" i="35"/>
  <c r="N371" i="35" s="1"/>
  <c r="N1035" i="35"/>
  <c r="N357" i="35" s="1"/>
  <c r="N1032" i="35"/>
  <c r="N354" i="35" s="1"/>
  <c r="N1039" i="35"/>
  <c r="N361" i="35" s="1"/>
  <c r="N1041" i="35"/>
  <c r="N363" i="35" s="1"/>
  <c r="N1052" i="35"/>
  <c r="N374" i="35" s="1"/>
  <c r="N1051" i="35"/>
  <c r="N373" i="35" s="1"/>
  <c r="N1030" i="35"/>
  <c r="N352" i="35" s="1"/>
  <c r="N1048" i="35"/>
  <c r="N370" i="35" s="1"/>
  <c r="N1034" i="35"/>
  <c r="N356" i="35" s="1"/>
  <c r="N1027" i="35"/>
  <c r="N349" i="35" s="1"/>
  <c r="N1029" i="35"/>
  <c r="N351" i="35" s="1"/>
  <c r="N1028" i="35"/>
  <c r="N350" i="35" s="1"/>
  <c r="N1038" i="35"/>
  <c r="N360" i="35" s="1"/>
  <c r="N1046" i="35"/>
  <c r="N368" i="35" s="1"/>
  <c r="N1053" i="35"/>
  <c r="N375" i="35" s="1"/>
  <c r="N1044" i="35"/>
  <c r="N366" i="35" s="1"/>
  <c r="N1047" i="35"/>
  <c r="N369" i="35" s="1"/>
  <c r="N1045" i="35"/>
  <c r="N367" i="35" s="1"/>
  <c r="N1040" i="35"/>
  <c r="N362" i="35" s="1"/>
  <c r="N1036" i="35"/>
  <c r="N358" i="35" s="1"/>
  <c r="N1031" i="35"/>
  <c r="N353" i="35" s="1"/>
  <c r="N1033" i="35"/>
  <c r="N355" i="35" s="1"/>
  <c r="N1050" i="35"/>
  <c r="N372" i="35" s="1"/>
  <c r="N1037" i="35"/>
  <c r="N359" i="35" s="1"/>
  <c r="N1066" i="35"/>
  <c r="N388" i="35" s="1"/>
  <c r="N1061" i="35"/>
  <c r="N383" i="35" s="1"/>
  <c r="N1064" i="35"/>
  <c r="N386" i="35" s="1"/>
  <c r="N1091" i="35"/>
  <c r="N413" i="35" s="1"/>
  <c r="N1026" i="35"/>
  <c r="N348" i="35" s="1"/>
  <c r="N1118" i="35"/>
  <c r="N440" i="35" s="1"/>
  <c r="N1058" i="35"/>
  <c r="N380" i="35" s="1"/>
  <c r="N1114" i="35"/>
  <c r="N436" i="35" s="1"/>
  <c r="N1102" i="35"/>
  <c r="N424" i="35" s="1"/>
  <c r="N1120" i="35"/>
  <c r="N442" i="35" s="1"/>
  <c r="N1099" i="35"/>
  <c r="N421" i="35" s="1"/>
  <c r="N1086" i="35"/>
  <c r="N408" i="35" s="1"/>
  <c r="N1097" i="35"/>
  <c r="N419" i="35" s="1"/>
  <c r="N1084" i="35"/>
  <c r="N406" i="35" s="1"/>
  <c r="N1081" i="35"/>
  <c r="N403" i="35" s="1"/>
  <c r="N1060" i="35"/>
  <c r="N382" i="35" s="1"/>
  <c r="N1071" i="35"/>
  <c r="N393" i="35" s="1"/>
  <c r="N1085" i="35"/>
  <c r="N407" i="35" s="1"/>
  <c r="N1104" i="35"/>
  <c r="N426" i="35" s="1"/>
  <c r="N1113" i="35"/>
  <c r="N435" i="35" s="1"/>
  <c r="N1093" i="35"/>
  <c r="N415" i="35" s="1"/>
  <c r="N1111" i="35"/>
  <c r="N433" i="35" s="1"/>
  <c r="N1083" i="35"/>
  <c r="N405" i="35" s="1"/>
  <c r="N1105" i="35"/>
  <c r="N427" i="35" s="1"/>
  <c r="N1101" i="35"/>
  <c r="N423" i="35" s="1"/>
  <c r="N1119" i="35"/>
  <c r="N441" i="35" s="1"/>
  <c r="N1069" i="35"/>
  <c r="N391" i="35" s="1"/>
  <c r="N1116" i="35"/>
  <c r="N438" i="35" s="1"/>
  <c r="N1068" i="35"/>
  <c r="N390" i="35" s="1"/>
  <c r="N1117" i="35"/>
  <c r="N439" i="35" s="1"/>
  <c r="N1080" i="35"/>
  <c r="N402" i="35" s="1"/>
  <c r="N1100" i="35"/>
  <c r="N422" i="35" s="1"/>
  <c r="N1095" i="35"/>
  <c r="N417" i="35" s="1"/>
  <c r="N1078" i="35"/>
  <c r="N400" i="35" s="1"/>
  <c r="N1074" i="35"/>
  <c r="N396" i="35" s="1"/>
  <c r="N1106" i="35"/>
  <c r="N428" i="35" s="1"/>
  <c r="N1079" i="35"/>
  <c r="N401" i="35" s="1"/>
  <c r="N1075" i="35"/>
  <c r="N397" i="35" s="1"/>
  <c r="N1094" i="35"/>
  <c r="N416" i="35" s="1"/>
  <c r="N1072" i="35"/>
  <c r="N394" i="35" s="1"/>
  <c r="N1109" i="35"/>
  <c r="N431" i="35" s="1"/>
  <c r="N1087" i="35"/>
  <c r="N409" i="35" s="1"/>
  <c r="N1063" i="35"/>
  <c r="N385" i="35" s="1"/>
  <c r="N1082" i="35"/>
  <c r="N404" i="35" s="1"/>
  <c r="N1107" i="35"/>
  <c r="N429" i="35" s="1"/>
  <c r="N1096" i="35"/>
  <c r="N418" i="35" s="1"/>
  <c r="N1112" i="35"/>
  <c r="N434" i="35" s="1"/>
  <c r="N1098" i="35"/>
  <c r="N420" i="35" s="1"/>
  <c r="N1062" i="35"/>
  <c r="N384" i="35" s="1"/>
  <c r="N1076" i="35"/>
  <c r="N398" i="35" s="1"/>
  <c r="N1108" i="35"/>
  <c r="N430" i="35" s="1"/>
  <c r="N1070" i="35"/>
  <c r="N392" i="35" s="1"/>
  <c r="N1077" i="35"/>
  <c r="N399" i="35" s="1"/>
  <c r="N1067" i="35"/>
  <c r="N389" i="35" s="1"/>
  <c r="N1103" i="35"/>
  <c r="N425" i="35" s="1"/>
  <c r="N1110" i="35"/>
  <c r="N432" i="35" s="1"/>
  <c r="N1115" i="35"/>
  <c r="N437" i="35" s="1"/>
  <c r="N1065" i="35"/>
  <c r="N387" i="35" s="1"/>
  <c r="N1073" i="35"/>
  <c r="N395" i="35" s="1"/>
  <c r="U950" i="35"/>
  <c r="U932" i="35"/>
  <c r="U933" i="35"/>
  <c r="U940" i="35"/>
  <c r="U969" i="35"/>
  <c r="U1003" i="35"/>
  <c r="U1012" i="35"/>
  <c r="U959" i="35"/>
  <c r="U993" i="35"/>
  <c r="U982" i="35"/>
  <c r="U968" i="35"/>
  <c r="AA823" i="35"/>
  <c r="AA845" i="35"/>
  <c r="AA837" i="35"/>
  <c r="AA825" i="35"/>
  <c r="AA847" i="35"/>
  <c r="AA843" i="35"/>
  <c r="AA844" i="35"/>
  <c r="AA841" i="35"/>
  <c r="AA830" i="35"/>
  <c r="AA846" i="35"/>
  <c r="AA828" i="35"/>
  <c r="AA831" i="35"/>
  <c r="AA821" i="35"/>
  <c r="AA826" i="35"/>
  <c r="AA819" i="35"/>
  <c r="AA835" i="35"/>
  <c r="AA836" i="35"/>
  <c r="AA887" i="35"/>
  <c r="AA839" i="35"/>
  <c r="AA850" i="35"/>
  <c r="AA824" i="35"/>
  <c r="AA848" i="35"/>
  <c r="AA827" i="35"/>
  <c r="AA829" i="35"/>
  <c r="AA838" i="35"/>
  <c r="AA849" i="35"/>
  <c r="AA833" i="35"/>
  <c r="AA832" i="35"/>
  <c r="AA840" i="35"/>
  <c r="AA854" i="35"/>
  <c r="AA842" i="35"/>
  <c r="AA834" i="35"/>
  <c r="AA822" i="35"/>
  <c r="AA899" i="35"/>
  <c r="AA909" i="35"/>
  <c r="AA916" i="35"/>
  <c r="AA902" i="35"/>
  <c r="AA861" i="35"/>
  <c r="AA876" i="35"/>
  <c r="AA883" i="35"/>
  <c r="AA889" i="35"/>
  <c r="AA891" i="35"/>
  <c r="AA858" i="35"/>
  <c r="AA856" i="35"/>
  <c r="AA894" i="35"/>
  <c r="AA862" i="35"/>
  <c r="AA874" i="35"/>
  <c r="AA866" i="35"/>
  <c r="AA865" i="35"/>
  <c r="AA881" i="35"/>
  <c r="AA870" i="35"/>
  <c r="AA907" i="35"/>
  <c r="AA913" i="35"/>
  <c r="AA911" i="35"/>
  <c r="AA880" i="35"/>
  <c r="AA878" i="35"/>
  <c r="AA895" i="35"/>
  <c r="AA890" i="35"/>
  <c r="AA914" i="35"/>
  <c r="AA873" i="35"/>
  <c r="AA897" i="35"/>
  <c r="AA905" i="35"/>
  <c r="AA859" i="35"/>
  <c r="AA863" i="35"/>
  <c r="AA898" i="35"/>
  <c r="AA906" i="35"/>
  <c r="AA877" i="35"/>
  <c r="AA901" i="35"/>
  <c r="AA896" i="35"/>
  <c r="AA872" i="35"/>
  <c r="AA868" i="35"/>
  <c r="AA908" i="35"/>
  <c r="AA875" i="35"/>
  <c r="AA871" i="35"/>
  <c r="AA900" i="35"/>
  <c r="AA867" i="35"/>
  <c r="AA904" i="35"/>
  <c r="AA893" i="35"/>
  <c r="AA915" i="35"/>
  <c r="AA892" i="35"/>
  <c r="AA910" i="35"/>
  <c r="AA912" i="35"/>
  <c r="AA882" i="35"/>
  <c r="AA864" i="35"/>
  <c r="AA879" i="35"/>
  <c r="AA860" i="35"/>
  <c r="AA857" i="35"/>
  <c r="AA903" i="35"/>
  <c r="AA869" i="35"/>
  <c r="AA855" i="35"/>
  <c r="AA888" i="35"/>
  <c r="R1141" i="35"/>
  <c r="R1167" i="35"/>
  <c r="M836" i="35"/>
  <c r="M826" i="35"/>
  <c r="M830" i="35"/>
  <c r="M844" i="35"/>
  <c r="M850" i="35"/>
  <c r="M829" i="35"/>
  <c r="M846" i="35"/>
  <c r="M819" i="35"/>
  <c r="M883" i="35"/>
  <c r="M899" i="35"/>
  <c r="M865" i="35"/>
  <c r="M862" i="35"/>
  <c r="M874" i="35"/>
  <c r="M895" i="35"/>
  <c r="M896" i="35"/>
  <c r="M872" i="35"/>
  <c r="M916" i="35"/>
  <c r="M911" i="35"/>
  <c r="M912" i="35"/>
  <c r="M864" i="35"/>
  <c r="M903" i="35"/>
  <c r="M882" i="35"/>
  <c r="O923" i="35"/>
  <c r="O212" i="35" s="1"/>
  <c r="O949" i="35"/>
  <c r="O941" i="35"/>
  <c r="O930" i="35"/>
  <c r="O989" i="35"/>
  <c r="O935" i="35"/>
  <c r="O928" i="35"/>
  <c r="O936" i="35"/>
  <c r="O929" i="35"/>
  <c r="O218" i="35" s="1"/>
  <c r="O950" i="35"/>
  <c r="O940" i="35"/>
  <c r="O947" i="35"/>
  <c r="O943" i="35"/>
  <c r="O942" i="35"/>
  <c r="O951" i="35"/>
  <c r="O946" i="35"/>
  <c r="O931" i="35"/>
  <c r="O220" i="35" s="1"/>
  <c r="O944" i="35"/>
  <c r="O932" i="35"/>
  <c r="O925" i="35"/>
  <c r="O948" i="35"/>
  <c r="O933" i="35"/>
  <c r="O927" i="35"/>
  <c r="O945" i="35"/>
  <c r="O934" i="35"/>
  <c r="O223" i="35" s="1"/>
  <c r="O956" i="35"/>
  <c r="O952" i="35"/>
  <c r="O939" i="35"/>
  <c r="O926" i="35"/>
  <c r="O937" i="35"/>
  <c r="O938" i="35"/>
  <c r="O964" i="35"/>
  <c r="O924" i="35"/>
  <c r="O213" i="35" s="1"/>
  <c r="O980" i="35"/>
  <c r="O1002" i="35"/>
  <c r="O1008" i="35"/>
  <c r="O985" i="35"/>
  <c r="O958" i="35"/>
  <c r="O1010" i="35"/>
  <c r="O975" i="35"/>
  <c r="O969" i="35"/>
  <c r="O258" i="35" s="1"/>
  <c r="O1016" i="35"/>
  <c r="O1001" i="35"/>
  <c r="O965" i="35"/>
  <c r="O1011" i="35"/>
  <c r="O1003" i="35"/>
  <c r="O967" i="35"/>
  <c r="O978" i="35"/>
  <c r="O979" i="35"/>
  <c r="O268" i="35" s="1"/>
  <c r="O995" i="35"/>
  <c r="O1012" i="35"/>
  <c r="O1009" i="35"/>
  <c r="O1004" i="35"/>
  <c r="O998" i="35"/>
  <c r="O959" i="35"/>
  <c r="O999" i="35"/>
  <c r="O993" i="35"/>
  <c r="O282" i="35" s="1"/>
  <c r="O976" i="35"/>
  <c r="O1000" i="35"/>
  <c r="O992" i="35"/>
  <c r="O966" i="35"/>
  <c r="O983" i="35"/>
  <c r="O962" i="35"/>
  <c r="O996" i="35"/>
  <c r="O991" i="35"/>
  <c r="O280" i="35" s="1"/>
  <c r="O970" i="35"/>
  <c r="O981" i="35"/>
  <c r="O960" i="35"/>
  <c r="O961" i="35"/>
  <c r="O1007" i="35"/>
  <c r="O997" i="35"/>
  <c r="O1013" i="35"/>
  <c r="O971" i="35"/>
  <c r="O260" i="35" s="1"/>
  <c r="O1005" i="35"/>
  <c r="O982" i="35"/>
  <c r="O1017" i="35"/>
  <c r="O972" i="35"/>
  <c r="O984" i="35"/>
  <c r="O977" i="35"/>
  <c r="O963" i="35"/>
  <c r="O974" i="35"/>
  <c r="O263" i="35" s="1"/>
  <c r="O973" i="35"/>
  <c r="O1006" i="35"/>
  <c r="O994" i="35"/>
  <c r="O1018" i="35"/>
  <c r="O968" i="35"/>
  <c r="O1015" i="35"/>
  <c r="O1014" i="35"/>
  <c r="O957" i="35"/>
  <c r="O246" i="35" s="1"/>
  <c r="O990" i="35"/>
  <c r="L8" i="35"/>
  <c r="L209" i="35"/>
  <c r="L74" i="35"/>
  <c r="L6" i="35"/>
  <c r="L479" i="35"/>
  <c r="L920" i="35"/>
  <c r="L344" i="35"/>
  <c r="L818" i="35"/>
  <c r="L1022" i="35"/>
  <c r="L7" i="35" a="1"/>
  <c r="L7" i="35" s="1"/>
  <c r="L1124" i="35"/>
  <c r="U1193" i="35"/>
  <c r="U1208" i="35"/>
  <c r="W1127" i="35"/>
  <c r="W1145" i="35"/>
  <c r="W1146" i="35"/>
  <c r="W1141" i="35"/>
  <c r="W1147" i="35"/>
  <c r="W1133" i="35"/>
  <c r="W1154" i="35"/>
  <c r="W1129" i="35"/>
  <c r="W1171" i="35"/>
  <c r="W1175" i="35"/>
  <c r="W1165" i="35"/>
  <c r="W1209" i="35"/>
  <c r="W1177" i="35"/>
  <c r="W1168" i="35"/>
  <c r="W1197" i="35"/>
  <c r="W1180" i="35"/>
  <c r="W1208" i="35"/>
  <c r="W1213" i="35"/>
  <c r="W1167" i="35"/>
  <c r="W1166" i="35"/>
  <c r="W1181" i="35"/>
  <c r="W1222" i="35"/>
  <c r="AA937" i="35"/>
  <c r="AA226" i="35" s="1"/>
  <c r="AA941" i="35"/>
  <c r="AA949" i="35"/>
  <c r="AA926" i="35"/>
  <c r="AA951" i="35"/>
  <c r="AA944" i="35"/>
  <c r="AA989" i="35"/>
  <c r="AA950" i="35"/>
  <c r="AA930" i="35"/>
  <c r="AA219" i="35" s="1"/>
  <c r="AA938" i="35"/>
  <c r="AA923" i="35"/>
  <c r="AA935" i="35"/>
  <c r="AA947" i="35"/>
  <c r="AA931" i="35"/>
  <c r="AA939" i="35"/>
  <c r="AA928" i="35"/>
  <c r="AA936" i="35"/>
  <c r="AA225" i="35" s="1"/>
  <c r="AA925" i="35"/>
  <c r="AA948" i="35"/>
  <c r="AA945" i="35"/>
  <c r="AA934" i="35"/>
  <c r="AA952" i="35"/>
  <c r="AA927" i="35"/>
  <c r="AA956" i="35"/>
  <c r="AA932" i="35"/>
  <c r="AA221" i="35" s="1"/>
  <c r="AA946" i="35"/>
  <c r="AA933" i="35"/>
  <c r="AA942" i="35"/>
  <c r="AA943" i="35"/>
  <c r="AA940" i="35"/>
  <c r="AA929" i="35"/>
  <c r="AA924" i="35"/>
  <c r="AA1011" i="35"/>
  <c r="AA300" i="35" s="1"/>
  <c r="AA1002" i="35"/>
  <c r="AA964" i="35"/>
  <c r="AA970" i="35"/>
  <c r="AA980" i="35"/>
  <c r="AA1010" i="35"/>
  <c r="AA1001" i="35"/>
  <c r="AA1008" i="35"/>
  <c r="AA958" i="35"/>
  <c r="AA247" i="35" s="1"/>
  <c r="AA975" i="35"/>
  <c r="AA985" i="35"/>
  <c r="AA978" i="35"/>
  <c r="AA1018" i="35"/>
  <c r="AA976" i="35"/>
  <c r="AA965" i="35"/>
  <c r="AA959" i="35"/>
  <c r="AA1000" i="35"/>
  <c r="AA289" i="35" s="1"/>
  <c r="AA1004" i="35"/>
  <c r="AA999" i="35"/>
  <c r="AA996" i="35"/>
  <c r="AA995" i="35"/>
  <c r="AA979" i="35"/>
  <c r="AA998" i="35"/>
  <c r="AA992" i="35"/>
  <c r="AA966" i="35"/>
  <c r="AA255" i="35" s="1"/>
  <c r="AA983" i="35"/>
  <c r="AA969" i="35"/>
  <c r="AA967" i="35"/>
  <c r="AA1012" i="35"/>
  <c r="AA1016" i="35"/>
  <c r="AA1009" i="35"/>
  <c r="AA1003" i="35"/>
  <c r="AA993" i="35"/>
  <c r="AA282" i="35" s="1"/>
  <c r="AA971" i="35"/>
  <c r="AA981" i="35"/>
  <c r="AA977" i="35"/>
  <c r="AA991" i="35"/>
  <c r="AA997" i="35"/>
  <c r="AA982" i="35"/>
  <c r="AA963" i="35"/>
  <c r="AA962" i="35"/>
  <c r="AA251" i="35" s="1"/>
  <c r="AA984" i="35"/>
  <c r="AA1005" i="35"/>
  <c r="AA1014" i="35"/>
  <c r="AA1006" i="35"/>
  <c r="AA960" i="35"/>
  <c r="AA1007" i="35"/>
  <c r="AA1013" i="35"/>
  <c r="AA972" i="35"/>
  <c r="AA261" i="35" s="1"/>
  <c r="AA961" i="35"/>
  <c r="AA968" i="35"/>
  <c r="AA973" i="35"/>
  <c r="AA1015" i="35"/>
  <c r="AA974" i="35"/>
  <c r="AA1017" i="35"/>
  <c r="AA994" i="35"/>
  <c r="AA957" i="35"/>
  <c r="AA246" i="35" s="1"/>
  <c r="AA990" i="35"/>
  <c r="R956" i="35"/>
  <c r="R936" i="35"/>
  <c r="R949" i="35"/>
  <c r="R946" i="35"/>
  <c r="R989" i="35"/>
  <c r="R939" i="35"/>
  <c r="R934" i="35"/>
  <c r="R927" i="35"/>
  <c r="R923" i="35"/>
  <c r="R944" i="35"/>
  <c r="R928" i="35"/>
  <c r="R925" i="35"/>
  <c r="R933" i="35"/>
  <c r="R952" i="35"/>
  <c r="R938" i="35"/>
  <c r="R951" i="35"/>
  <c r="R948" i="35"/>
  <c r="R932" i="35"/>
  <c r="R945" i="35"/>
  <c r="R947" i="35"/>
  <c r="R937" i="35"/>
  <c r="R930" i="35"/>
  <c r="R931" i="35"/>
  <c r="R950" i="35"/>
  <c r="R935" i="35"/>
  <c r="R941" i="35"/>
  <c r="R929" i="35"/>
  <c r="R943" i="35"/>
  <c r="R942" i="35"/>
  <c r="R926" i="35"/>
  <c r="R940" i="35"/>
  <c r="R964" i="35"/>
  <c r="R924" i="35"/>
  <c r="R1010" i="35"/>
  <c r="R985" i="35"/>
  <c r="R975" i="35"/>
  <c r="R969" i="35"/>
  <c r="R965" i="35"/>
  <c r="R1001" i="35"/>
  <c r="R1011" i="35"/>
  <c r="R970" i="35"/>
  <c r="R980" i="35"/>
  <c r="R1002" i="35"/>
  <c r="R1008" i="35"/>
  <c r="R978" i="35"/>
  <c r="R976" i="35"/>
  <c r="R1018" i="35"/>
  <c r="R958" i="35"/>
  <c r="R998" i="35"/>
  <c r="R966" i="35"/>
  <c r="R1004" i="35"/>
  <c r="R959" i="35"/>
  <c r="R999" i="35"/>
  <c r="R993" i="35"/>
  <c r="R1000" i="35"/>
  <c r="R995" i="35"/>
  <c r="R983" i="35"/>
  <c r="R992" i="35"/>
  <c r="R1003" i="35"/>
  <c r="R967" i="35"/>
  <c r="R1009" i="35"/>
  <c r="R1012" i="35"/>
  <c r="R962" i="35"/>
  <c r="R984" i="35"/>
  <c r="R1007" i="35"/>
  <c r="R1014" i="35"/>
  <c r="R981" i="35"/>
  <c r="R997" i="35"/>
  <c r="R1013" i="35"/>
  <c r="R1016" i="35"/>
  <c r="R996" i="35"/>
  <c r="R963" i="35"/>
  <c r="R1005" i="35"/>
  <c r="R977" i="35"/>
  <c r="R991" i="35"/>
  <c r="R973" i="35"/>
  <c r="R971" i="35"/>
  <c r="R960" i="35"/>
  <c r="R961" i="35"/>
  <c r="R1006" i="35"/>
  <c r="R1017" i="35"/>
  <c r="R979" i="35"/>
  <c r="R972" i="35"/>
  <c r="R982" i="35"/>
  <c r="R994" i="35"/>
  <c r="R1015" i="35"/>
  <c r="R968" i="35"/>
  <c r="R974" i="35"/>
  <c r="R957" i="35"/>
  <c r="R990" i="35"/>
  <c r="I1025" i="35"/>
  <c r="I347" i="35" s="1"/>
  <c r="I1043" i="35"/>
  <c r="I365" i="35" s="1"/>
  <c r="I1032" i="35"/>
  <c r="I354" i="35" s="1"/>
  <c r="I1030" i="35"/>
  <c r="I352" i="35" s="1"/>
  <c r="I1054" i="35"/>
  <c r="I376" i="35" s="1"/>
  <c r="I1042" i="35"/>
  <c r="I364" i="35" s="1"/>
  <c r="I1049" i="35"/>
  <c r="I371" i="35" s="1"/>
  <c r="I1051" i="35"/>
  <c r="I373" i="35" s="1"/>
  <c r="I1035" i="35"/>
  <c r="I357" i="35" s="1"/>
  <c r="I1041" i="35"/>
  <c r="I363" i="35" s="1"/>
  <c r="I1029" i="35"/>
  <c r="I351" i="35" s="1"/>
  <c r="I1039" i="35"/>
  <c r="I361" i="35" s="1"/>
  <c r="I1050" i="35"/>
  <c r="I372" i="35" s="1"/>
  <c r="I1045" i="35"/>
  <c r="I367" i="35" s="1"/>
  <c r="I1046" i="35"/>
  <c r="I368" i="35" s="1"/>
  <c r="I1034" i="35"/>
  <c r="I356" i="35" s="1"/>
  <c r="I1028" i="35"/>
  <c r="I350" i="35" s="1"/>
  <c r="I1027" i="35"/>
  <c r="I349" i="35" s="1"/>
  <c r="I1052" i="35"/>
  <c r="I374" i="35" s="1"/>
  <c r="I1048" i="35"/>
  <c r="I370" i="35" s="1"/>
  <c r="I1038" i="35"/>
  <c r="I360" i="35" s="1"/>
  <c r="I1053" i="35"/>
  <c r="I375" i="35" s="1"/>
  <c r="I1044" i="35"/>
  <c r="I366" i="35" s="1"/>
  <c r="I1037" i="35"/>
  <c r="I359" i="35" s="1"/>
  <c r="I1033" i="35"/>
  <c r="I355" i="35" s="1"/>
  <c r="I1031" i="35"/>
  <c r="I353" i="35" s="1"/>
  <c r="I1040" i="35"/>
  <c r="I362" i="35" s="1"/>
  <c r="I1036" i="35"/>
  <c r="I358" i="35" s="1"/>
  <c r="I1047" i="35"/>
  <c r="I369" i="35" s="1"/>
  <c r="I1097" i="35"/>
  <c r="I419" i="35" s="1"/>
  <c r="I1061" i="35"/>
  <c r="I383" i="35" s="1"/>
  <c r="I1120" i="35"/>
  <c r="I442" i="35" s="1"/>
  <c r="I1099" i="35"/>
  <c r="I421" i="35" s="1"/>
  <c r="I1064" i="35"/>
  <c r="I386" i="35" s="1"/>
  <c r="I1086" i="35"/>
  <c r="I408" i="35" s="1"/>
  <c r="I1066" i="35"/>
  <c r="I388" i="35" s="1"/>
  <c r="I1118" i="35"/>
  <c r="I440" i="35" s="1"/>
  <c r="I1058" i="35"/>
  <c r="I380" i="35" s="1"/>
  <c r="I1102" i="35"/>
  <c r="I424" i="35" s="1"/>
  <c r="I1091" i="35"/>
  <c r="I413" i="35" s="1"/>
  <c r="I1026" i="35"/>
  <c r="I348" i="35" s="1"/>
  <c r="I1114" i="35"/>
  <c r="I436" i="35" s="1"/>
  <c r="I1084" i="35"/>
  <c r="I406" i="35" s="1"/>
  <c r="I1113" i="35"/>
  <c r="I435" i="35" s="1"/>
  <c r="I1071" i="35"/>
  <c r="I393" i="35" s="1"/>
  <c r="I1085" i="35"/>
  <c r="I407" i="35" s="1"/>
  <c r="I1119" i="35"/>
  <c r="I441" i="35" s="1"/>
  <c r="I1104" i="35"/>
  <c r="I426" i="35" s="1"/>
  <c r="I1060" i="35"/>
  <c r="I382" i="35" s="1"/>
  <c r="I1068" i="35"/>
  <c r="I390" i="35" s="1"/>
  <c r="I1080" i="35"/>
  <c r="I402" i="35" s="1"/>
  <c r="I1105" i="35"/>
  <c r="I427" i="35" s="1"/>
  <c r="I1081" i="35"/>
  <c r="I403" i="35" s="1"/>
  <c r="I1069" i="35"/>
  <c r="I391" i="35" s="1"/>
  <c r="I1116" i="35"/>
  <c r="I438" i="35" s="1"/>
  <c r="I1093" i="35"/>
  <c r="I415" i="35" s="1"/>
  <c r="I1083" i="35"/>
  <c r="I405" i="35" s="1"/>
  <c r="I1101" i="35"/>
  <c r="I423" i="35" s="1"/>
  <c r="I1117" i="35"/>
  <c r="I439" i="35" s="1"/>
  <c r="I1111" i="35"/>
  <c r="I433" i="35" s="1"/>
  <c r="I1108" i="35"/>
  <c r="I430" i="35" s="1"/>
  <c r="I1106" i="35"/>
  <c r="I428" i="35" s="1"/>
  <c r="I1075" i="35"/>
  <c r="I397" i="35" s="1"/>
  <c r="I1096" i="35"/>
  <c r="I418" i="35" s="1"/>
  <c r="I1087" i="35"/>
  <c r="I409" i="35" s="1"/>
  <c r="I1062" i="35"/>
  <c r="I384" i="35" s="1"/>
  <c r="I1079" i="35"/>
  <c r="I401" i="35" s="1"/>
  <c r="I1100" i="35"/>
  <c r="I422" i="35" s="1"/>
  <c r="I1103" i="35"/>
  <c r="I425" i="35" s="1"/>
  <c r="I1112" i="35"/>
  <c r="I434" i="35" s="1"/>
  <c r="I1110" i="35"/>
  <c r="I432" i="35" s="1"/>
  <c r="I1067" i="35"/>
  <c r="I389" i="35" s="1"/>
  <c r="I1073" i="35"/>
  <c r="I395" i="35" s="1"/>
  <c r="I1094" i="35"/>
  <c r="I416" i="35" s="1"/>
  <c r="I1070" i="35"/>
  <c r="I392" i="35" s="1"/>
  <c r="I1107" i="35"/>
  <c r="I429" i="35" s="1"/>
  <c r="I1065" i="35"/>
  <c r="I387" i="35" s="1"/>
  <c r="I1109" i="35"/>
  <c r="I431" i="35" s="1"/>
  <c r="I1098" i="35"/>
  <c r="I420" i="35" s="1"/>
  <c r="I1078" i="35"/>
  <c r="I400" i="35" s="1"/>
  <c r="I1082" i="35"/>
  <c r="I404" i="35" s="1"/>
  <c r="I1074" i="35"/>
  <c r="I396" i="35" s="1"/>
  <c r="I1115" i="35"/>
  <c r="I437" i="35" s="1"/>
  <c r="I1072" i="35"/>
  <c r="I394" i="35" s="1"/>
  <c r="I1095" i="35"/>
  <c r="I417" i="35" s="1"/>
  <c r="I1077" i="35"/>
  <c r="I399" i="35" s="1"/>
  <c r="I1063" i="35"/>
  <c r="I385" i="35" s="1"/>
  <c r="I1076" i="35"/>
  <c r="I398" i="35" s="1"/>
  <c r="N75" i="35"/>
  <c r="N480" i="35"/>
  <c r="N345" i="35"/>
  <c r="N210" i="35"/>
  <c r="N280" i="35"/>
  <c r="K209" i="35"/>
  <c r="K1124" i="35"/>
  <c r="K818" i="35"/>
  <c r="K8" i="35"/>
  <c r="K74" i="35"/>
  <c r="K479" i="35"/>
  <c r="K6" i="35"/>
  <c r="K1022" i="35"/>
  <c r="K920" i="35"/>
  <c r="K7" i="35" a="1"/>
  <c r="K7" i="35" s="1"/>
  <c r="K344" i="35"/>
  <c r="W827" i="35"/>
  <c r="W829" i="35"/>
  <c r="W904" i="35"/>
  <c r="M1025" i="35"/>
  <c r="M1043" i="35"/>
  <c r="M1052" i="35"/>
  <c r="M1042" i="35"/>
  <c r="M1049" i="35"/>
  <c r="M1054" i="35"/>
  <c r="M1035" i="35"/>
  <c r="M1032" i="35"/>
  <c r="M1039" i="35"/>
  <c r="M1041" i="35"/>
  <c r="M1046" i="35"/>
  <c r="M1053" i="35"/>
  <c r="M1050" i="35"/>
  <c r="M1045" i="35"/>
  <c r="M1051" i="35"/>
  <c r="M1034" i="35"/>
  <c r="M1031" i="35"/>
  <c r="M1027" i="35"/>
  <c r="M1030" i="35"/>
  <c r="M1038" i="35"/>
  <c r="M1048" i="35"/>
  <c r="M1044" i="35"/>
  <c r="M1028" i="35"/>
  <c r="M1029" i="35"/>
  <c r="M1047" i="35"/>
  <c r="M1037" i="35"/>
  <c r="M1036" i="35"/>
  <c r="M1033" i="35"/>
  <c r="M1040" i="35"/>
  <c r="M1058" i="35"/>
  <c r="M1026" i="35"/>
  <c r="M1066" i="35"/>
  <c r="M1084" i="35"/>
  <c r="M1091" i="35"/>
  <c r="M1064" i="35"/>
  <c r="M1085" i="35"/>
  <c r="M1099" i="35"/>
  <c r="M1086" i="35"/>
  <c r="M1114" i="35"/>
  <c r="M1102" i="35"/>
  <c r="M1061" i="35"/>
  <c r="M1120" i="35"/>
  <c r="M1093" i="35"/>
  <c r="M1097" i="35"/>
  <c r="M1118" i="35"/>
  <c r="M1069" i="35"/>
  <c r="M1104" i="35"/>
  <c r="M1060" i="35"/>
  <c r="M1083" i="35"/>
  <c r="M1080" i="35"/>
  <c r="M1101" i="35"/>
  <c r="M1117" i="35"/>
  <c r="M1068" i="35"/>
  <c r="M1111" i="35"/>
  <c r="M1113" i="35"/>
  <c r="M1116" i="35"/>
  <c r="M1119" i="35"/>
  <c r="M1081" i="35"/>
  <c r="M1071" i="35"/>
  <c r="M1108" i="35"/>
  <c r="M1072" i="35"/>
  <c r="M1110" i="35"/>
  <c r="M1067" i="35"/>
  <c r="M1075" i="35"/>
  <c r="M1077" i="35"/>
  <c r="M1074" i="35"/>
  <c r="M1082" i="35"/>
  <c r="M1096" i="35"/>
  <c r="M1094" i="35"/>
  <c r="M1098" i="35"/>
  <c r="M1062" i="35"/>
  <c r="M1100" i="35"/>
  <c r="M1106" i="35"/>
  <c r="M1079" i="35"/>
  <c r="M1115" i="35"/>
  <c r="M1076" i="35"/>
  <c r="M1107" i="35"/>
  <c r="M1073" i="35"/>
  <c r="M1105" i="35"/>
  <c r="M1109" i="35"/>
  <c r="M1063" i="35"/>
  <c r="M1078" i="35"/>
  <c r="M1095" i="35"/>
  <c r="M1065" i="35"/>
  <c r="M1112" i="35"/>
  <c r="M1070" i="35"/>
  <c r="M1103" i="35"/>
  <c r="M1087" i="35"/>
  <c r="I1127" i="35"/>
  <c r="I482" i="35" s="1"/>
  <c r="I1152" i="35"/>
  <c r="I507" i="35" s="1"/>
  <c r="I1146" i="35"/>
  <c r="I501" i="35" s="1"/>
  <c r="I1139" i="35"/>
  <c r="I494" i="35" s="1"/>
  <c r="I1153" i="35"/>
  <c r="I508" i="35" s="1"/>
  <c r="I1142" i="35"/>
  <c r="I497" i="35" s="1"/>
  <c r="I1151" i="35"/>
  <c r="I506" i="35" s="1"/>
  <c r="I1141" i="35"/>
  <c r="I496" i="35" s="1"/>
  <c r="I1136" i="35"/>
  <c r="I491" i="35" s="1"/>
  <c r="I1140" i="35"/>
  <c r="I495" i="35" s="1"/>
  <c r="I1131" i="35"/>
  <c r="I486" i="35" s="1"/>
  <c r="I1138" i="35"/>
  <c r="I493" i="35" s="1"/>
  <c r="I1137" i="35"/>
  <c r="I492" i="35" s="1"/>
  <c r="I1143" i="35"/>
  <c r="I498" i="35" s="1"/>
  <c r="I1134" i="35"/>
  <c r="I489" i="35" s="1"/>
  <c r="I1133" i="35"/>
  <c r="I488" i="35" s="1"/>
  <c r="I1145" i="35"/>
  <c r="I500" i="35" s="1"/>
  <c r="I1135" i="35"/>
  <c r="I490" i="35" s="1"/>
  <c r="I1148" i="35"/>
  <c r="I503" i="35" s="1"/>
  <c r="I1144" i="35"/>
  <c r="I499" i="35" s="1"/>
  <c r="I1155" i="35"/>
  <c r="I510" i="35" s="1"/>
  <c r="I1130" i="35"/>
  <c r="I485" i="35" s="1"/>
  <c r="I1160" i="35"/>
  <c r="I515" i="35" s="1"/>
  <c r="I1149" i="35"/>
  <c r="I504" i="35" s="1"/>
  <c r="I1129" i="35"/>
  <c r="I484" i="35" s="1"/>
  <c r="I1156" i="35"/>
  <c r="I511" i="35" s="1"/>
  <c r="I1132" i="35"/>
  <c r="I487" i="35" s="1"/>
  <c r="I1147" i="35"/>
  <c r="I502" i="35" s="1"/>
  <c r="I1193" i="35"/>
  <c r="I548" i="35" s="1"/>
  <c r="I1150" i="35"/>
  <c r="I505" i="35" s="1"/>
  <c r="I1154" i="35"/>
  <c r="I509" i="35" s="1"/>
  <c r="I1165" i="35"/>
  <c r="I520" i="35" s="1"/>
  <c r="I1174" i="35"/>
  <c r="I529" i="35" s="1"/>
  <c r="I1179" i="35"/>
  <c r="I534" i="35" s="1"/>
  <c r="I1189" i="35"/>
  <c r="I544" i="35" s="1"/>
  <c r="I1221" i="35"/>
  <c r="I576" i="35" s="1"/>
  <c r="I1175" i="35"/>
  <c r="I530" i="35" s="1"/>
  <c r="I1207" i="35"/>
  <c r="I562" i="35" s="1"/>
  <c r="I1187" i="35"/>
  <c r="I542" i="35" s="1"/>
  <c r="I1212" i="35"/>
  <c r="I567" i="35" s="1"/>
  <c r="I1128" i="35"/>
  <c r="I483" i="35" s="1"/>
  <c r="I1210" i="35"/>
  <c r="I565" i="35" s="1"/>
  <c r="I1217" i="35"/>
  <c r="I572" i="35" s="1"/>
  <c r="I1198" i="35"/>
  <c r="I553" i="35" s="1"/>
  <c r="I1171" i="35"/>
  <c r="I526" i="35" s="1"/>
  <c r="I1188" i="35"/>
  <c r="I543" i="35" s="1"/>
  <c r="I1220" i="35"/>
  <c r="I575" i="35" s="1"/>
  <c r="I1177" i="35"/>
  <c r="I532" i="35" s="1"/>
  <c r="I1169" i="35"/>
  <c r="I524" i="35" s="1"/>
  <c r="I1180" i="35"/>
  <c r="I535" i="35" s="1"/>
  <c r="I1209" i="35"/>
  <c r="I564" i="35" s="1"/>
  <c r="I1163" i="35"/>
  <c r="I518" i="35" s="1"/>
  <c r="I1199" i="35"/>
  <c r="I554" i="35" s="1"/>
  <c r="I1211" i="35"/>
  <c r="I566" i="35" s="1"/>
  <c r="I1185" i="35"/>
  <c r="I540" i="35" s="1"/>
  <c r="I1213" i="35"/>
  <c r="I568" i="35" s="1"/>
  <c r="I1162" i="35"/>
  <c r="I517" i="35" s="1"/>
  <c r="I1164" i="35"/>
  <c r="I519" i="35" s="1"/>
  <c r="I1197" i="35"/>
  <c r="I552" i="35" s="1"/>
  <c r="I1195" i="35"/>
  <c r="I550" i="35" s="1"/>
  <c r="I1208" i="35"/>
  <c r="I563" i="35" s="1"/>
  <c r="I1176" i="35"/>
  <c r="I531" i="35" s="1"/>
  <c r="I1168" i="35"/>
  <c r="I523" i="35" s="1"/>
  <c r="I1206" i="35"/>
  <c r="I561" i="35" s="1"/>
  <c r="I1204" i="35"/>
  <c r="I559" i="35" s="1"/>
  <c r="I1201" i="35"/>
  <c r="I556" i="35" s="1"/>
  <c r="I1202" i="35"/>
  <c r="I557" i="35" s="1"/>
  <c r="I1184" i="35"/>
  <c r="I539" i="35" s="1"/>
  <c r="I1218" i="35"/>
  <c r="I573" i="35" s="1"/>
  <c r="I1183" i="35"/>
  <c r="I538" i="35" s="1"/>
  <c r="I1216" i="35"/>
  <c r="I571" i="35" s="1"/>
  <c r="I1203" i="35"/>
  <c r="I558" i="35" s="1"/>
  <c r="I1172" i="35"/>
  <c r="I527" i="35" s="1"/>
  <c r="I1186" i="35"/>
  <c r="I541" i="35" s="1"/>
  <c r="I1196" i="35"/>
  <c r="I551" i="35" s="1"/>
  <c r="I1182" i="35"/>
  <c r="I537" i="35" s="1"/>
  <c r="I1200" i="35"/>
  <c r="I555" i="35" s="1"/>
  <c r="I1167" i="35"/>
  <c r="I522" i="35" s="1"/>
  <c r="I1219" i="35"/>
  <c r="I574" i="35" s="1"/>
  <c r="I1170" i="35"/>
  <c r="I525" i="35" s="1"/>
  <c r="I1205" i="35"/>
  <c r="I560" i="35" s="1"/>
  <c r="I1215" i="35"/>
  <c r="I570" i="35" s="1"/>
  <c r="I1214" i="35"/>
  <c r="I569" i="35" s="1"/>
  <c r="I1222" i="35"/>
  <c r="I577" i="35" s="1"/>
  <c r="I1173" i="35"/>
  <c r="I528" i="35" s="1"/>
  <c r="I1181" i="35"/>
  <c r="I536" i="35" s="1"/>
  <c r="I1166" i="35"/>
  <c r="I521" i="35" s="1"/>
  <c r="I1178" i="35"/>
  <c r="I533" i="35" s="1"/>
  <c r="J74" i="35"/>
  <c r="J6" i="35"/>
  <c r="J479" i="35"/>
  <c r="J1022" i="35"/>
  <c r="J920" i="35"/>
  <c r="J818" i="35"/>
  <c r="J7" i="35" a="1"/>
  <c r="J7" i="35" s="1"/>
  <c r="J344" i="35"/>
  <c r="J1124" i="35"/>
  <c r="J8" i="35"/>
  <c r="J209" i="35"/>
  <c r="P1124" i="35"/>
  <c r="P74" i="35"/>
  <c r="P818" i="35"/>
  <c r="P1022" i="35"/>
  <c r="P479" i="35"/>
  <c r="P920" i="35"/>
  <c r="P209" i="35"/>
  <c r="P7" i="35" a="1"/>
  <c r="P7" i="35" s="1"/>
  <c r="P8" i="35"/>
  <c r="P344" i="35"/>
  <c r="P6" i="35"/>
  <c r="U825" i="35"/>
  <c r="U819" i="35"/>
  <c r="U847" i="35"/>
  <c r="U830" i="35"/>
  <c r="U843" i="35"/>
  <c r="U841" i="35"/>
  <c r="U849" i="35"/>
  <c r="U834" i="35"/>
  <c r="U890" i="35"/>
  <c r="U822" i="35"/>
  <c r="U891" i="35"/>
  <c r="U856" i="35"/>
  <c r="U880" i="35"/>
  <c r="U876" i="35"/>
  <c r="U910" i="35"/>
  <c r="U907" i="35"/>
  <c r="U861" i="35"/>
  <c r="U877" i="35"/>
  <c r="U908" i="35"/>
  <c r="U912" i="35"/>
  <c r="U875" i="35"/>
  <c r="U903" i="35"/>
  <c r="U860" i="35"/>
  <c r="U855" i="35"/>
  <c r="U1043" i="35"/>
  <c r="U1032" i="35"/>
  <c r="U1025" i="35"/>
  <c r="U1030" i="35"/>
  <c r="U1049" i="35"/>
  <c r="U1042" i="35"/>
  <c r="U1039" i="35"/>
  <c r="U1041" i="35"/>
  <c r="U1051" i="35"/>
  <c r="U1052" i="35"/>
  <c r="U1035" i="35"/>
  <c r="U1038" i="35"/>
  <c r="U1053" i="35"/>
  <c r="U1029" i="35"/>
  <c r="U1054" i="35"/>
  <c r="U1046" i="35"/>
  <c r="U1027" i="35"/>
  <c r="U1050" i="35"/>
  <c r="U1045" i="35"/>
  <c r="U1031" i="35"/>
  <c r="U1048" i="35"/>
  <c r="U1028" i="35"/>
  <c r="U1034" i="35"/>
  <c r="U1044" i="35"/>
  <c r="U1033" i="35"/>
  <c r="U1040" i="35"/>
  <c r="U1047" i="35"/>
  <c r="U1037" i="35"/>
  <c r="U1036" i="35"/>
  <c r="U1066" i="35"/>
  <c r="U1097" i="35"/>
  <c r="U1099" i="35"/>
  <c r="U1086" i="35"/>
  <c r="U1064" i="35"/>
  <c r="U1026" i="35"/>
  <c r="U1120" i="35"/>
  <c r="U1114" i="35"/>
  <c r="U1085" i="35"/>
  <c r="U1102" i="35"/>
  <c r="U1091" i="35"/>
  <c r="U1058" i="35"/>
  <c r="U1061" i="35"/>
  <c r="U1118" i="35"/>
  <c r="U1113" i="35"/>
  <c r="U1060" i="35"/>
  <c r="U1093" i="35"/>
  <c r="U1071" i="35"/>
  <c r="U1119" i="35"/>
  <c r="U1117" i="35"/>
  <c r="U1116" i="35"/>
  <c r="U1111" i="35"/>
  <c r="U1105" i="35"/>
  <c r="U1081" i="35"/>
  <c r="U1101" i="35"/>
  <c r="U1084" i="35"/>
  <c r="U1104" i="35"/>
  <c r="U1069" i="35"/>
  <c r="U1068" i="35"/>
  <c r="U1080" i="35"/>
  <c r="U1083" i="35"/>
  <c r="U1078" i="35"/>
  <c r="U1100" i="35"/>
  <c r="U1067" i="35"/>
  <c r="U1107" i="35"/>
  <c r="U1062" i="35"/>
  <c r="U1074" i="35"/>
  <c r="U1082" i="35"/>
  <c r="U1070" i="35"/>
  <c r="U1110" i="35"/>
  <c r="U1103" i="35"/>
  <c r="U1077" i="35"/>
  <c r="U1108" i="35"/>
  <c r="U1072" i="35"/>
  <c r="U1095" i="35"/>
  <c r="U1079" i="35"/>
  <c r="U1073" i="35"/>
  <c r="U1094" i="35"/>
  <c r="U1076" i="35"/>
  <c r="U1106" i="35"/>
  <c r="U1096" i="35"/>
  <c r="U1112" i="35"/>
  <c r="U1115" i="35"/>
  <c r="U1087" i="35"/>
  <c r="U1063" i="35"/>
  <c r="U1098" i="35"/>
  <c r="U1075" i="35"/>
  <c r="U1065" i="35"/>
  <c r="U1109" i="35"/>
  <c r="W1025" i="35"/>
  <c r="W1054" i="35"/>
  <c r="W1032" i="35"/>
  <c r="W1046" i="35"/>
  <c r="W1029" i="35"/>
  <c r="W1028" i="35"/>
  <c r="W1031" i="35"/>
  <c r="W1038" i="35"/>
  <c r="W1034" i="35"/>
  <c r="W1033" i="35"/>
  <c r="W1064" i="35"/>
  <c r="W1114" i="35"/>
  <c r="W1086" i="35"/>
  <c r="W1061" i="35"/>
  <c r="W1093" i="35"/>
  <c r="W1099" i="35"/>
  <c r="W1071" i="35"/>
  <c r="W1069" i="35"/>
  <c r="W1060" i="35"/>
  <c r="W1111" i="35"/>
  <c r="W1117" i="35"/>
  <c r="W1102" i="35"/>
  <c r="W1062" i="35"/>
  <c r="W1067" i="35"/>
  <c r="W1096" i="35"/>
  <c r="W1107" i="35"/>
  <c r="W1115" i="35"/>
  <c r="W1094" i="35"/>
  <c r="W1112" i="35"/>
  <c r="W1095" i="35"/>
  <c r="W1073" i="35"/>
  <c r="W1098" i="35"/>
  <c r="W1076" i="35"/>
  <c r="I210" i="35"/>
  <c r="I75" i="35"/>
  <c r="G75" i="35" s="1"/>
  <c r="I480" i="35"/>
  <c r="I345" i="35"/>
  <c r="I923" i="35"/>
  <c r="I212" i="35" s="1"/>
  <c r="I946" i="35"/>
  <c r="I235" i="35" s="1"/>
  <c r="I930" i="35"/>
  <c r="I219" i="35" s="1"/>
  <c r="I949" i="35"/>
  <c r="I238" i="35" s="1"/>
  <c r="I932" i="35"/>
  <c r="I221" i="35" s="1"/>
  <c r="I927" i="35"/>
  <c r="I216" i="35" s="1"/>
  <c r="I934" i="35"/>
  <c r="I223" i="35" s="1"/>
  <c r="I941" i="35"/>
  <c r="I230" i="35" s="1"/>
  <c r="I945" i="35"/>
  <c r="I234" i="35" s="1"/>
  <c r="I933" i="35"/>
  <c r="I222" i="35" s="1"/>
  <c r="I937" i="35"/>
  <c r="I226" i="35" s="1"/>
  <c r="I956" i="35"/>
  <c r="I245" i="35" s="1"/>
  <c r="I931" i="35"/>
  <c r="I220" i="35" s="1"/>
  <c r="I948" i="35"/>
  <c r="I237" i="35" s="1"/>
  <c r="I944" i="35"/>
  <c r="I233" i="35" s="1"/>
  <c r="I925" i="35"/>
  <c r="I214" i="35" s="1"/>
  <c r="I928" i="35"/>
  <c r="I217" i="35" s="1"/>
  <c r="I936" i="35"/>
  <c r="I225" i="35" s="1"/>
  <c r="I939" i="35"/>
  <c r="I228" i="35" s="1"/>
  <c r="I929" i="35"/>
  <c r="I218" i="35" s="1"/>
  <c r="I926" i="35"/>
  <c r="I215" i="35" s="1"/>
  <c r="I952" i="35"/>
  <c r="I241" i="35" s="1"/>
  <c r="I950" i="35"/>
  <c r="I239" i="35" s="1"/>
  <c r="I943" i="35"/>
  <c r="I232" i="35" s="1"/>
  <c r="I938" i="35"/>
  <c r="I227" i="35" s="1"/>
  <c r="I989" i="35"/>
  <c r="I278" i="35" s="1"/>
  <c r="I942" i="35"/>
  <c r="I231" i="35" s="1"/>
  <c r="I951" i="35"/>
  <c r="I240" i="35" s="1"/>
  <c r="I947" i="35"/>
  <c r="I236" i="35" s="1"/>
  <c r="I935" i="35"/>
  <c r="I224" i="35" s="1"/>
  <c r="I940" i="35"/>
  <c r="I229" i="35" s="1"/>
  <c r="I1011" i="35"/>
  <c r="I300" i="35" s="1"/>
  <c r="I958" i="35"/>
  <c r="I247" i="35" s="1"/>
  <c r="I975" i="35"/>
  <c r="I264" i="35" s="1"/>
  <c r="I980" i="35"/>
  <c r="I269" i="35" s="1"/>
  <c r="I964" i="35"/>
  <c r="I253" i="35" s="1"/>
  <c r="I965" i="35"/>
  <c r="I254" i="35" s="1"/>
  <c r="I924" i="35"/>
  <c r="I213" i="35" s="1"/>
  <c r="I1002" i="35"/>
  <c r="I291" i="35" s="1"/>
  <c r="I985" i="35"/>
  <c r="I274" i="35" s="1"/>
  <c r="I1001" i="35"/>
  <c r="I290" i="35" s="1"/>
  <c r="I978" i="35"/>
  <c r="I267" i="35" s="1"/>
  <c r="I1018" i="35"/>
  <c r="I307" i="35" s="1"/>
  <c r="I976" i="35"/>
  <c r="I265" i="35" s="1"/>
  <c r="I1010" i="35"/>
  <c r="I299" i="35" s="1"/>
  <c r="I1008" i="35"/>
  <c r="I297" i="35" s="1"/>
  <c r="I969" i="35"/>
  <c r="I258" i="35" s="1"/>
  <c r="I970" i="35"/>
  <c r="I259" i="35" s="1"/>
  <c r="I1000" i="35"/>
  <c r="I289" i="35" s="1"/>
  <c r="I991" i="35"/>
  <c r="I280" i="35" s="1"/>
  <c r="I995" i="35"/>
  <c r="I284" i="35" s="1"/>
  <c r="I992" i="35"/>
  <c r="I281" i="35" s="1"/>
  <c r="I1003" i="35"/>
  <c r="I292" i="35" s="1"/>
  <c r="I993" i="35"/>
  <c r="I282" i="35" s="1"/>
  <c r="I979" i="35"/>
  <c r="I268" i="35" s="1"/>
  <c r="I959" i="35"/>
  <c r="I248" i="35" s="1"/>
  <c r="I983" i="35"/>
  <c r="I272" i="35" s="1"/>
  <c r="I973" i="35"/>
  <c r="I262" i="35" s="1"/>
  <c r="I1016" i="35"/>
  <c r="I305" i="35" s="1"/>
  <c r="I1012" i="35"/>
  <c r="I301" i="35" s="1"/>
  <c r="I1009" i="35"/>
  <c r="I298" i="35" s="1"/>
  <c r="I967" i="35"/>
  <c r="I256" i="35" s="1"/>
  <c r="I999" i="35"/>
  <c r="I288" i="35" s="1"/>
  <c r="I982" i="35"/>
  <c r="I271" i="35" s="1"/>
  <c r="I1014" i="35"/>
  <c r="I303" i="35" s="1"/>
  <c r="I966" i="35"/>
  <c r="I255" i="35" s="1"/>
  <c r="I1006" i="35"/>
  <c r="I295" i="35" s="1"/>
  <c r="I997" i="35"/>
  <c r="I286" i="35" s="1"/>
  <c r="I984" i="35"/>
  <c r="I273" i="35" s="1"/>
  <c r="I977" i="35"/>
  <c r="I266" i="35" s="1"/>
  <c r="I963" i="35"/>
  <c r="I252" i="35" s="1"/>
  <c r="I1005" i="35"/>
  <c r="I294" i="35" s="1"/>
  <c r="I962" i="35"/>
  <c r="I251" i="35" s="1"/>
  <c r="I996" i="35"/>
  <c r="I285" i="35" s="1"/>
  <c r="I972" i="35"/>
  <c r="I261" i="35" s="1"/>
  <c r="I960" i="35"/>
  <c r="I249" i="35" s="1"/>
  <c r="I1007" i="35"/>
  <c r="I296" i="35" s="1"/>
  <c r="I1013" i="35"/>
  <c r="I302" i="35" s="1"/>
  <c r="I961" i="35"/>
  <c r="I250" i="35" s="1"/>
  <c r="I994" i="35"/>
  <c r="I283" i="35" s="1"/>
  <c r="I968" i="35"/>
  <c r="I257" i="35" s="1"/>
  <c r="I1015" i="35"/>
  <c r="I304" i="35" s="1"/>
  <c r="I981" i="35"/>
  <c r="I270" i="35" s="1"/>
  <c r="I998" i="35"/>
  <c r="I287" i="35" s="1"/>
  <c r="I971" i="35"/>
  <c r="I260" i="35" s="1"/>
  <c r="I1017" i="35"/>
  <c r="I306" i="35" s="1"/>
  <c r="I974" i="35"/>
  <c r="I263" i="35" s="1"/>
  <c r="I1004" i="35"/>
  <c r="I293" i="35" s="1"/>
  <c r="I990" i="35"/>
  <c r="I279" i="35" s="1"/>
  <c r="I957" i="35"/>
  <c r="I246" i="35" s="1"/>
  <c r="N1127" i="35"/>
  <c r="N482" i="35" s="1"/>
  <c r="N1152" i="35"/>
  <c r="N507" i="35" s="1"/>
  <c r="N1153" i="35"/>
  <c r="N508" i="35" s="1"/>
  <c r="N1141" i="35"/>
  <c r="N496" i="35" s="1"/>
  <c r="N1136" i="35"/>
  <c r="N491" i="35" s="1"/>
  <c r="N1151" i="35"/>
  <c r="N506" i="35" s="1"/>
  <c r="N1145" i="35"/>
  <c r="N500" i="35" s="1"/>
  <c r="N1131" i="35"/>
  <c r="N486" i="35" s="1"/>
  <c r="N1146" i="35"/>
  <c r="N501" i="35" s="1"/>
  <c r="N1139" i="35"/>
  <c r="N494" i="35" s="1"/>
  <c r="N1142" i="35"/>
  <c r="N497" i="35" s="1"/>
  <c r="N1134" i="35"/>
  <c r="N489" i="35" s="1"/>
  <c r="N1148" i="35"/>
  <c r="N503" i="35" s="1"/>
  <c r="N1147" i="35"/>
  <c r="N502" i="35" s="1"/>
  <c r="N1144" i="35"/>
  <c r="N499" i="35" s="1"/>
  <c r="N1133" i="35"/>
  <c r="N488" i="35" s="1"/>
  <c r="N1155" i="35"/>
  <c r="N510" i="35" s="1"/>
  <c r="N1140" i="35"/>
  <c r="N495" i="35" s="1"/>
  <c r="N1130" i="35"/>
  <c r="N485" i="35" s="1"/>
  <c r="N1138" i="35"/>
  <c r="N493" i="35" s="1"/>
  <c r="N1137" i="35"/>
  <c r="N492" i="35" s="1"/>
  <c r="N1135" i="35"/>
  <c r="N490" i="35" s="1"/>
  <c r="N1150" i="35"/>
  <c r="N505" i="35" s="1"/>
  <c r="N1156" i="35"/>
  <c r="N511" i="35" s="1"/>
  <c r="N1160" i="35"/>
  <c r="N515" i="35" s="1"/>
  <c r="N1193" i="35"/>
  <c r="N548" i="35" s="1"/>
  <c r="N1132" i="35"/>
  <c r="N487" i="35" s="1"/>
  <c r="N1143" i="35"/>
  <c r="N498" i="35" s="1"/>
  <c r="N1149" i="35"/>
  <c r="N504" i="35" s="1"/>
  <c r="N1154" i="35"/>
  <c r="N509" i="35" s="1"/>
  <c r="N1129" i="35"/>
  <c r="N484" i="35" s="1"/>
  <c r="N1217" i="35"/>
  <c r="N572" i="35" s="1"/>
  <c r="N1185" i="35"/>
  <c r="N540" i="35" s="1"/>
  <c r="N1187" i="35"/>
  <c r="N542" i="35" s="1"/>
  <c r="N1210" i="35"/>
  <c r="N565" i="35" s="1"/>
  <c r="N1128" i="35"/>
  <c r="N483" i="35" s="1"/>
  <c r="N1207" i="35"/>
  <c r="N562" i="35" s="1"/>
  <c r="N1171" i="35"/>
  <c r="N526" i="35" s="1"/>
  <c r="N1179" i="35"/>
  <c r="N534" i="35" s="1"/>
  <c r="N1209" i="35"/>
  <c r="N564" i="35" s="1"/>
  <c r="N1189" i="35"/>
  <c r="N544" i="35" s="1"/>
  <c r="N1221" i="35"/>
  <c r="N576" i="35" s="1"/>
  <c r="N1174" i="35"/>
  <c r="N529" i="35" s="1"/>
  <c r="N1212" i="35"/>
  <c r="N567" i="35" s="1"/>
  <c r="N1165" i="35"/>
  <c r="N520" i="35" s="1"/>
  <c r="N1175" i="35"/>
  <c r="N530" i="35" s="1"/>
  <c r="N1198" i="35"/>
  <c r="N553" i="35" s="1"/>
  <c r="N1220" i="35"/>
  <c r="N575" i="35" s="1"/>
  <c r="N1183" i="35"/>
  <c r="N538" i="35" s="1"/>
  <c r="N1211" i="35"/>
  <c r="N566" i="35" s="1"/>
  <c r="N1202" i="35"/>
  <c r="N557" i="35" s="1"/>
  <c r="N1168" i="35"/>
  <c r="N523" i="35" s="1"/>
  <c r="N1169" i="35"/>
  <c r="N524" i="35" s="1"/>
  <c r="N1180" i="35"/>
  <c r="N535" i="35" s="1"/>
  <c r="N1177" i="35"/>
  <c r="N532" i="35" s="1"/>
  <c r="N1176" i="35"/>
  <c r="N531" i="35" s="1"/>
  <c r="N1201" i="35"/>
  <c r="N556" i="35" s="1"/>
  <c r="N1197" i="35"/>
  <c r="N552" i="35" s="1"/>
  <c r="N1216" i="35"/>
  <c r="N571" i="35" s="1"/>
  <c r="N1199" i="35"/>
  <c r="N554" i="35" s="1"/>
  <c r="N1208" i="35"/>
  <c r="N563" i="35" s="1"/>
  <c r="N1162" i="35"/>
  <c r="N517" i="35" s="1"/>
  <c r="N1213" i="35"/>
  <c r="N568" i="35" s="1"/>
  <c r="N1163" i="35"/>
  <c r="N518" i="35" s="1"/>
  <c r="N1204" i="35"/>
  <c r="N559" i="35" s="1"/>
  <c r="N1218" i="35"/>
  <c r="N573" i="35" s="1"/>
  <c r="N1184" i="35"/>
  <c r="N539" i="35" s="1"/>
  <c r="N1206" i="35"/>
  <c r="N561" i="35" s="1"/>
  <c r="N1188" i="35"/>
  <c r="N543" i="35" s="1"/>
  <c r="N1195" i="35"/>
  <c r="N550" i="35" s="1"/>
  <c r="N1164" i="35"/>
  <c r="N519" i="35" s="1"/>
  <c r="N1181" i="35"/>
  <c r="N536" i="35" s="1"/>
  <c r="N1214" i="35"/>
  <c r="N569" i="35" s="1"/>
  <c r="N1215" i="35"/>
  <c r="N570" i="35" s="1"/>
  <c r="N1166" i="35"/>
  <c r="N521" i="35" s="1"/>
  <c r="N1178" i="35"/>
  <c r="N533" i="35" s="1"/>
  <c r="N1186" i="35"/>
  <c r="N541" i="35" s="1"/>
  <c r="N1167" i="35"/>
  <c r="N522" i="35" s="1"/>
  <c r="N1172" i="35"/>
  <c r="N527" i="35" s="1"/>
  <c r="N1196" i="35"/>
  <c r="N551" i="35" s="1"/>
  <c r="N1200" i="35"/>
  <c r="N555" i="35" s="1"/>
  <c r="N1170" i="35"/>
  <c r="N525" i="35" s="1"/>
  <c r="N1203" i="35"/>
  <c r="N558" i="35" s="1"/>
  <c r="N1219" i="35"/>
  <c r="N574" i="35" s="1"/>
  <c r="N1182" i="35"/>
  <c r="N537" i="35" s="1"/>
  <c r="N1173" i="35"/>
  <c r="N528" i="35" s="1"/>
  <c r="N1205" i="35"/>
  <c r="N560" i="35" s="1"/>
  <c r="N1222" i="35"/>
  <c r="N577" i="35" s="1"/>
  <c r="N830" i="35"/>
  <c r="N86" i="35" s="1"/>
  <c r="N838" i="35"/>
  <c r="N94" i="35" s="1"/>
  <c r="N847" i="35"/>
  <c r="N103" i="35" s="1"/>
  <c r="N835" i="35"/>
  <c r="N91" i="35" s="1"/>
  <c r="N844" i="35"/>
  <c r="N100" i="35" s="1"/>
  <c r="N849" i="35"/>
  <c r="N105" i="35" s="1"/>
  <c r="N841" i="35"/>
  <c r="N97" i="35" s="1"/>
  <c r="N829" i="35"/>
  <c r="N85" i="35" s="1"/>
  <c r="N834" i="35"/>
  <c r="N90" i="35" s="1"/>
  <c r="N839" i="35"/>
  <c r="N95" i="35" s="1"/>
  <c r="N826" i="35"/>
  <c r="N82" i="35" s="1"/>
  <c r="N833" i="35"/>
  <c r="N89" i="35" s="1"/>
  <c r="N824" i="35"/>
  <c r="N80" i="35" s="1"/>
  <c r="N845" i="35"/>
  <c r="N101" i="35" s="1"/>
  <c r="N836" i="35"/>
  <c r="N92" i="35" s="1"/>
  <c r="N850" i="35"/>
  <c r="N106" i="35" s="1"/>
  <c r="N825" i="35"/>
  <c r="N81" i="35" s="1"/>
  <c r="N842" i="35"/>
  <c r="N98" i="35" s="1"/>
  <c r="N848" i="35"/>
  <c r="N104" i="35" s="1"/>
  <c r="N828" i="35"/>
  <c r="N84" i="35" s="1"/>
  <c r="N832" i="35"/>
  <c r="N88" i="35" s="1"/>
  <c r="N846" i="35"/>
  <c r="N102" i="35" s="1"/>
  <c r="N831" i="35"/>
  <c r="N87" i="35" s="1"/>
  <c r="N827" i="35"/>
  <c r="N83" i="35" s="1"/>
  <c r="N837" i="35"/>
  <c r="N93" i="35" s="1"/>
  <c r="N823" i="35"/>
  <c r="N79" i="35" s="1"/>
  <c r="N843" i="35"/>
  <c r="N99" i="35" s="1"/>
  <c r="N840" i="35"/>
  <c r="N96" i="35" s="1"/>
  <c r="N890" i="35"/>
  <c r="N146" i="35" s="1"/>
  <c r="N819" i="35"/>
  <c r="N822" i="35"/>
  <c r="N78" i="35" s="1"/>
  <c r="N821" i="35"/>
  <c r="N77" i="35" s="1"/>
  <c r="N887" i="35"/>
  <c r="N143" i="35" s="1"/>
  <c r="N891" i="35"/>
  <c r="N147" i="35" s="1"/>
  <c r="N902" i="35"/>
  <c r="N158" i="35" s="1"/>
  <c r="N883" i="35"/>
  <c r="N139" i="35" s="1"/>
  <c r="N889" i="35"/>
  <c r="N145" i="35" s="1"/>
  <c r="N894" i="35"/>
  <c r="N150" i="35" s="1"/>
  <c r="N913" i="35"/>
  <c r="N169" i="35" s="1"/>
  <c r="N911" i="35"/>
  <c r="N167" i="35" s="1"/>
  <c r="N856" i="35"/>
  <c r="N112" i="35" s="1"/>
  <c r="N876" i="35"/>
  <c r="N132" i="35" s="1"/>
  <c r="N865" i="35"/>
  <c r="N121" i="35" s="1"/>
  <c r="N854" i="35"/>
  <c r="N110" i="35" s="1"/>
  <c r="N916" i="35"/>
  <c r="N172" i="35" s="1"/>
  <c r="N899" i="35"/>
  <c r="N155" i="35" s="1"/>
  <c r="N861" i="35"/>
  <c r="N117" i="35" s="1"/>
  <c r="N909" i="35"/>
  <c r="N165" i="35" s="1"/>
  <c r="N858" i="35"/>
  <c r="N114" i="35" s="1"/>
  <c r="N880" i="35"/>
  <c r="N136" i="35" s="1"/>
  <c r="N870" i="35"/>
  <c r="N126" i="35" s="1"/>
  <c r="N862" i="35"/>
  <c r="N118" i="35" s="1"/>
  <c r="N874" i="35"/>
  <c r="N130" i="35" s="1"/>
  <c r="N866" i="35"/>
  <c r="N122" i="35" s="1"/>
  <c r="N895" i="35"/>
  <c r="N151" i="35" s="1"/>
  <c r="N881" i="35"/>
  <c r="N137" i="35" s="1"/>
  <c r="N898" i="35"/>
  <c r="N154" i="35" s="1"/>
  <c r="N906" i="35"/>
  <c r="N162" i="35" s="1"/>
  <c r="N914" i="35"/>
  <c r="N170" i="35" s="1"/>
  <c r="N859" i="35"/>
  <c r="N115" i="35" s="1"/>
  <c r="N877" i="35"/>
  <c r="N133" i="35" s="1"/>
  <c r="N905" i="35"/>
  <c r="N161" i="35" s="1"/>
  <c r="N863" i="35"/>
  <c r="N119" i="35" s="1"/>
  <c r="N892" i="35"/>
  <c r="N148" i="35" s="1"/>
  <c r="N878" i="35"/>
  <c r="N134" i="35" s="1"/>
  <c r="N907" i="35"/>
  <c r="N163" i="35" s="1"/>
  <c r="N872" i="35"/>
  <c r="N128" i="35" s="1"/>
  <c r="N896" i="35"/>
  <c r="N152" i="35" s="1"/>
  <c r="N873" i="35"/>
  <c r="N129" i="35" s="1"/>
  <c r="N908" i="35"/>
  <c r="N164" i="35" s="1"/>
  <c r="N910" i="35"/>
  <c r="N166" i="35" s="1"/>
  <c r="N868" i="35"/>
  <c r="N124" i="35" s="1"/>
  <c r="N912" i="35"/>
  <c r="N168" i="35" s="1"/>
  <c r="N871" i="35"/>
  <c r="N127" i="35" s="1"/>
  <c r="N864" i="35"/>
  <c r="N120" i="35" s="1"/>
  <c r="N867" i="35"/>
  <c r="N123" i="35" s="1"/>
  <c r="N857" i="35"/>
  <c r="N113" i="35" s="1"/>
  <c r="N904" i="35"/>
  <c r="N160" i="35" s="1"/>
  <c r="N901" i="35"/>
  <c r="N157" i="35" s="1"/>
  <c r="N893" i="35"/>
  <c r="N149" i="35" s="1"/>
  <c r="N879" i="35"/>
  <c r="N135" i="35" s="1"/>
  <c r="N860" i="35"/>
  <c r="N116" i="35" s="1"/>
  <c r="N882" i="35"/>
  <c r="N138" i="35" s="1"/>
  <c r="N875" i="35"/>
  <c r="N131" i="35" s="1"/>
  <c r="N897" i="35"/>
  <c r="N153" i="35" s="1"/>
  <c r="N900" i="35"/>
  <c r="N156" i="35" s="1"/>
  <c r="N903" i="35"/>
  <c r="N159" i="35" s="1"/>
  <c r="N915" i="35"/>
  <c r="N171" i="35" s="1"/>
  <c r="N869" i="35"/>
  <c r="N125" i="35" s="1"/>
  <c r="N888" i="35"/>
  <c r="N144" i="35" s="1"/>
  <c r="N855" i="35"/>
  <c r="N111" i="35" s="1"/>
  <c r="E98" i="45"/>
  <c r="F19" i="45"/>
  <c r="E20" i="45"/>
  <c r="H20" i="45" s="1"/>
  <c r="F15" i="45"/>
  <c r="E92" i="45"/>
  <c r="J8" i="38"/>
  <c r="J10" i="38" s="1"/>
  <c r="J78" i="38" s="1"/>
  <c r="F18" i="45"/>
  <c r="F9" i="45"/>
  <c r="M43" i="32"/>
  <c r="L43" i="32"/>
  <c r="L47" i="32" s="1"/>
  <c r="L51" i="32" s="1"/>
  <c r="M13" i="32"/>
  <c r="L13" i="32"/>
  <c r="L17" i="32" s="1"/>
  <c r="M28" i="32"/>
  <c r="L28" i="32"/>
  <c r="L33" i="32" s="1"/>
  <c r="L37" i="32" s="1"/>
  <c r="K17" i="32"/>
  <c r="K22" i="32" s="1"/>
  <c r="N38" i="34"/>
  <c r="F12" i="45"/>
  <c r="J20" i="34"/>
  <c r="J19" i="34"/>
  <c r="J13" i="34"/>
  <c r="J14" i="34"/>
  <c r="K19" i="34"/>
  <c r="I14" i="34"/>
  <c r="I20" i="34"/>
  <c r="L20" i="34"/>
  <c r="K14" i="34"/>
  <c r="L14" i="34"/>
  <c r="L19" i="34"/>
  <c r="K20" i="34"/>
  <c r="I13" i="34"/>
  <c r="L13" i="34"/>
  <c r="I19" i="34"/>
  <c r="K13" i="34"/>
  <c r="P42" i="26"/>
  <c r="P58" i="32" s="1"/>
  <c r="N67" i="45" s="1"/>
  <c r="Q41" i="26"/>
  <c r="Q42" i="26" s="1"/>
  <c r="Q58" i="32" s="1"/>
  <c r="E66" i="45"/>
  <c r="M67" i="45"/>
  <c r="R47" i="31"/>
  <c r="L125" i="45" s="1"/>
  <c r="D20" i="45"/>
  <c r="K47" i="32"/>
  <c r="K51" i="32" s="1"/>
  <c r="K78" i="32"/>
  <c r="K20" i="32"/>
  <c r="K79" i="32" s="1"/>
  <c r="K71" i="32"/>
  <c r="D92" i="45"/>
  <c r="G20" i="45"/>
  <c r="K67" i="32"/>
  <c r="M1219" i="35" l="1"/>
  <c r="M1217" i="35"/>
  <c r="M1131" i="35"/>
  <c r="R1042" i="35"/>
  <c r="M1139" i="35"/>
  <c r="M1196" i="35"/>
  <c r="M1171" i="35"/>
  <c r="M1141" i="35"/>
  <c r="R246" i="35"/>
  <c r="R306" i="35"/>
  <c r="R294" i="35"/>
  <c r="R296" i="35"/>
  <c r="R272" i="35"/>
  <c r="R287" i="35"/>
  <c r="R320" i="35" s="1"/>
  <c r="R259" i="35"/>
  <c r="R213" i="35"/>
  <c r="R224" i="35"/>
  <c r="R237" i="35"/>
  <c r="R212" i="35"/>
  <c r="R245" i="35"/>
  <c r="V843" i="35"/>
  <c r="M1189" i="35"/>
  <c r="M544" i="35" s="1"/>
  <c r="M1202" i="35"/>
  <c r="M1209" i="35"/>
  <c r="M1127" i="35"/>
  <c r="R304" i="35"/>
  <c r="R249" i="35"/>
  <c r="R305" i="35"/>
  <c r="R301" i="35"/>
  <c r="R282" i="35"/>
  <c r="R265" i="35"/>
  <c r="R254" i="35"/>
  <c r="R215" i="35"/>
  <c r="R219" i="35"/>
  <c r="R241" i="35"/>
  <c r="R228" i="35"/>
  <c r="M1180" i="35"/>
  <c r="M1183" i="35"/>
  <c r="M538" i="35" s="1"/>
  <c r="M1193" i="35"/>
  <c r="M1208" i="35"/>
  <c r="M1160" i="35"/>
  <c r="M1205" i="35"/>
  <c r="M1213" i="35"/>
  <c r="M1134" i="35"/>
  <c r="V864" i="35"/>
  <c r="M1215" i="35"/>
  <c r="M570" i="35" s="1"/>
  <c r="M1176" i="35"/>
  <c r="M1143" i="35"/>
  <c r="R496" i="35"/>
  <c r="V910" i="35"/>
  <c r="V1180" i="35"/>
  <c r="V1132" i="35"/>
  <c r="V1199" i="35"/>
  <c r="V1197" i="35"/>
  <c r="V552" i="35" s="1"/>
  <c r="V1134" i="35"/>
  <c r="V1219" i="35"/>
  <c r="V1198" i="35"/>
  <c r="V1135" i="35"/>
  <c r="V1213" i="35"/>
  <c r="V1154" i="35"/>
  <c r="AA1049" i="35"/>
  <c r="AA1180" i="35"/>
  <c r="AA535" i="35" s="1"/>
  <c r="AA1208" i="35"/>
  <c r="AA1130" i="35"/>
  <c r="AA1178" i="35"/>
  <c r="AA1183" i="35"/>
  <c r="AA1147" i="35"/>
  <c r="AA1196" i="35"/>
  <c r="AA1174" i="35"/>
  <c r="AA1148" i="35"/>
  <c r="AA503" i="35" s="1"/>
  <c r="AA1163" i="35"/>
  <c r="AA518" i="35" s="1"/>
  <c r="AA1171" i="35"/>
  <c r="AA526" i="35" s="1"/>
  <c r="AA1138" i="35"/>
  <c r="AA493" i="35" s="1"/>
  <c r="AA1199" i="35"/>
  <c r="AA1165" i="35"/>
  <c r="AA1145" i="35"/>
  <c r="AA1211" i="35"/>
  <c r="AA566" i="35" s="1"/>
  <c r="AA1187" i="35"/>
  <c r="AA542" i="35" s="1"/>
  <c r="AA1146" i="35"/>
  <c r="AA501" i="35" s="1"/>
  <c r="AA1202" i="35"/>
  <c r="AA1156" i="35"/>
  <c r="AA1213" i="35"/>
  <c r="AA568" i="35" s="1"/>
  <c r="AA1193" i="35"/>
  <c r="AA548" i="35" s="1"/>
  <c r="W480" i="35"/>
  <c r="W75" i="35"/>
  <c r="W210" i="35"/>
  <c r="AA563" i="35"/>
  <c r="AA485" i="35"/>
  <c r="V210" i="35"/>
  <c r="R1082" i="35"/>
  <c r="V957" i="35"/>
  <c r="V246" i="35" s="1"/>
  <c r="V1001" i="35"/>
  <c r="R1114" i="35"/>
  <c r="V972" i="35"/>
  <c r="V261" i="35" s="1"/>
  <c r="V946" i="35"/>
  <c r="R1040" i="35"/>
  <c r="V993" i="35"/>
  <c r="V927" i="35"/>
  <c r="R1072" i="35"/>
  <c r="V964" i="35"/>
  <c r="AA1200" i="35"/>
  <c r="AA1182" i="35"/>
  <c r="AA537" i="35" s="1"/>
  <c r="AA1169" i="35"/>
  <c r="AA1204" i="35"/>
  <c r="AA1201" i="35"/>
  <c r="AA1212" i="35"/>
  <c r="AA1220" i="35"/>
  <c r="AA1132" i="35"/>
  <c r="AA1135" i="35"/>
  <c r="AA1131" i="35"/>
  <c r="AA486" i="35" s="1"/>
  <c r="AA1151" i="35"/>
  <c r="V1172" i="35"/>
  <c r="V527" i="35" s="1"/>
  <c r="V1173" i="35"/>
  <c r="V1205" i="35"/>
  <c r="V1168" i="35"/>
  <c r="V523" i="35" s="1"/>
  <c r="V1184" i="35"/>
  <c r="V1189" i="35"/>
  <c r="V1207" i="35"/>
  <c r="V562" i="35" s="1"/>
  <c r="V1193" i="35"/>
  <c r="V1140" i="35"/>
  <c r="V1144" i="35"/>
  <c r="V1153" i="35"/>
  <c r="AA1164" i="35"/>
  <c r="AA519" i="35" s="1"/>
  <c r="AA1172" i="35"/>
  <c r="AA1177" i="35"/>
  <c r="AA1209" i="35"/>
  <c r="AA564" i="35" s="1"/>
  <c r="AA1206" i="35"/>
  <c r="AA1207" i="35"/>
  <c r="AA1185" i="35"/>
  <c r="AA1149" i="35"/>
  <c r="AA1136" i="35"/>
  <c r="AA491" i="35" s="1"/>
  <c r="AA1141" i="35"/>
  <c r="AA1127" i="35"/>
  <c r="V1206" i="35"/>
  <c r="V561" i="35" s="1"/>
  <c r="V1203" i="35"/>
  <c r="V1204" i="35"/>
  <c r="V1202" i="35"/>
  <c r="V1201" i="35"/>
  <c r="V1179" i="35"/>
  <c r="V534" i="35" s="1"/>
  <c r="V1209" i="35"/>
  <c r="V1160" i="35"/>
  <c r="V1133" i="35"/>
  <c r="V488" i="35" s="1"/>
  <c r="V1155" i="35"/>
  <c r="V1141" i="35"/>
  <c r="AA1203" i="35"/>
  <c r="AA1214" i="35"/>
  <c r="AA1170" i="35"/>
  <c r="AA525" i="35" s="1"/>
  <c r="AA1168" i="35"/>
  <c r="AA1195" i="35"/>
  <c r="AA1162" i="35"/>
  <c r="AA517" i="35" s="1"/>
  <c r="AA1221" i="35"/>
  <c r="AA1179" i="35"/>
  <c r="AA1129" i="35"/>
  <c r="AA1155" i="35"/>
  <c r="AA1139" i="35"/>
  <c r="AA494" i="35" s="1"/>
  <c r="V1182" i="35"/>
  <c r="V537" i="35" s="1"/>
  <c r="V1215" i="35"/>
  <c r="V1208" i="35"/>
  <c r="V563" i="35" s="1"/>
  <c r="V1164" i="35"/>
  <c r="V1220" i="35"/>
  <c r="V575" i="35" s="1"/>
  <c r="V1171" i="35"/>
  <c r="V1185" i="35"/>
  <c r="V1156" i="35"/>
  <c r="V511" i="35" s="1"/>
  <c r="V1143" i="35"/>
  <c r="V1148" i="35"/>
  <c r="V1151" i="35"/>
  <c r="V506" i="35" s="1"/>
  <c r="AA1173" i="35"/>
  <c r="AA1167" i="35"/>
  <c r="AA1205" i="35"/>
  <c r="AA1184" i="35"/>
  <c r="AA1198" i="35"/>
  <c r="AA553" i="35" s="1"/>
  <c r="AA1175" i="35"/>
  <c r="AA1217" i="35"/>
  <c r="AA1160" i="35"/>
  <c r="AA515" i="35" s="1"/>
  <c r="AA1143" i="35"/>
  <c r="AA1133" i="35"/>
  <c r="AA1152" i="35"/>
  <c r="V1222" i="35"/>
  <c r="V1178" i="35"/>
  <c r="V533" i="35" s="1"/>
  <c r="V1177" i="35"/>
  <c r="V1163" i="35"/>
  <c r="V1162" i="35"/>
  <c r="V517" i="35" s="1"/>
  <c r="V1128" i="35"/>
  <c r="V1217" i="35"/>
  <c r="V1129" i="35"/>
  <c r="V1137" i="35"/>
  <c r="V1145" i="35"/>
  <c r="V500" i="35" s="1"/>
  <c r="V1152" i="35"/>
  <c r="AA1181" i="35"/>
  <c r="AA1186" i="35"/>
  <c r="AA541" i="35" s="1"/>
  <c r="AA1222" i="35"/>
  <c r="AA1216" i="35"/>
  <c r="AA1176" i="35"/>
  <c r="AA1188" i="35"/>
  <c r="AA1128" i="35"/>
  <c r="AA483" i="35" s="1"/>
  <c r="AA1154" i="35"/>
  <c r="AA1134" i="35"/>
  <c r="AA1137" i="35"/>
  <c r="AA492" i="35" s="1"/>
  <c r="AA1153" i="35"/>
  <c r="V1181" i="35"/>
  <c r="V1196" i="35"/>
  <c r="V1218" i="35"/>
  <c r="V1216" i="35"/>
  <c r="V571" i="35" s="1"/>
  <c r="V1176" i="35"/>
  <c r="V1165" i="35"/>
  <c r="V1210" i="35"/>
  <c r="V565" i="35" s="1"/>
  <c r="V1150" i="35"/>
  <c r="V1136" i="35"/>
  <c r="V1138" i="35"/>
  <c r="V1127" i="35"/>
  <c r="AA1166" i="35"/>
  <c r="AA521" i="35" s="1"/>
  <c r="AA1215" i="35"/>
  <c r="AA1219" i="35"/>
  <c r="AA1197" i="35"/>
  <c r="AA1218" i="35"/>
  <c r="AA1189" i="35"/>
  <c r="AA1210" i="35"/>
  <c r="AA1150" i="35"/>
  <c r="AA1144" i="35"/>
  <c r="AA499" i="35" s="1"/>
  <c r="AA1142" i="35"/>
  <c r="AA1140" i="35"/>
  <c r="V1200" i="35"/>
  <c r="V555" i="35" s="1"/>
  <c r="V1167" i="35"/>
  <c r="V1186" i="35"/>
  <c r="V541" i="35" s="1"/>
  <c r="V1211" i="35"/>
  <c r="V1195" i="35"/>
  <c r="V1175" i="35"/>
  <c r="V530" i="35" s="1"/>
  <c r="V1221" i="35"/>
  <c r="V1187" i="35"/>
  <c r="V1149" i="35"/>
  <c r="V504" i="35" s="1"/>
  <c r="V1130" i="35"/>
  <c r="V1131" i="35"/>
  <c r="M1059" i="35"/>
  <c r="U420" i="35"/>
  <c r="U416" i="35"/>
  <c r="U432" i="35"/>
  <c r="U400" i="35"/>
  <c r="U403" i="35"/>
  <c r="U382" i="35"/>
  <c r="U436" i="35"/>
  <c r="U358" i="35"/>
  <c r="U370" i="35"/>
  <c r="U375" i="35"/>
  <c r="U371" i="35"/>
  <c r="M1173" i="35"/>
  <c r="M1172" i="35"/>
  <c r="M527" i="35" s="1"/>
  <c r="M1169" i="35"/>
  <c r="M1162" i="35"/>
  <c r="M517" i="35" s="1"/>
  <c r="M1218" i="35"/>
  <c r="M1210" i="35"/>
  <c r="M1128" i="35"/>
  <c r="M1132" i="35"/>
  <c r="M1133" i="35"/>
  <c r="M1153" i="35"/>
  <c r="M508" i="35" s="1"/>
  <c r="M1151" i="35"/>
  <c r="R263" i="35"/>
  <c r="R295" i="35"/>
  <c r="R252" i="35"/>
  <c r="R273" i="35"/>
  <c r="R339" i="35" s="1"/>
  <c r="R284" i="35"/>
  <c r="R247" i="35"/>
  <c r="R300" i="35"/>
  <c r="R333" i="35" s="1"/>
  <c r="R253" i="35"/>
  <c r="R239" i="35"/>
  <c r="R240" i="35"/>
  <c r="R216" i="35"/>
  <c r="W1186" i="35"/>
  <c r="W541" i="35" s="1"/>
  <c r="W1219" i="35"/>
  <c r="W1218" i="35"/>
  <c r="W1184" i="35"/>
  <c r="W1202" i="35"/>
  <c r="W1198" i="35"/>
  <c r="W1221" i="35"/>
  <c r="W1149" i="35"/>
  <c r="W1148" i="35"/>
  <c r="W503" i="35" s="1"/>
  <c r="W1140" i="35"/>
  <c r="W1153" i="35"/>
  <c r="U1179" i="35"/>
  <c r="U534" i="35" s="1"/>
  <c r="M875" i="35"/>
  <c r="M860" i="35"/>
  <c r="M901" i="35"/>
  <c r="M859" i="35"/>
  <c r="M881" i="35"/>
  <c r="M137" i="35" s="1"/>
  <c r="M913" i="35"/>
  <c r="M902" i="35"/>
  <c r="M823" i="35"/>
  <c r="M79" i="35" s="1"/>
  <c r="M828" i="35"/>
  <c r="M840" i="35"/>
  <c r="M96" i="35" s="1"/>
  <c r="M831" i="35"/>
  <c r="V893" i="35"/>
  <c r="V838" i="35"/>
  <c r="V94" i="35" s="1"/>
  <c r="V480" i="35"/>
  <c r="M1167" i="35"/>
  <c r="M1170" i="35"/>
  <c r="M525" i="35" s="1"/>
  <c r="M1168" i="35"/>
  <c r="M1204" i="35"/>
  <c r="M1164" i="35"/>
  <c r="M1198" i="35"/>
  <c r="M1188" i="35"/>
  <c r="M543" i="35" s="1"/>
  <c r="M1150" i="35"/>
  <c r="M1144" i="35"/>
  <c r="M1146" i="35"/>
  <c r="M501" i="35" s="1"/>
  <c r="M1152" i="35"/>
  <c r="R257" i="35"/>
  <c r="R250" i="35"/>
  <c r="R285" i="35"/>
  <c r="R251" i="35"/>
  <c r="R317" i="35" s="1"/>
  <c r="R289" i="35"/>
  <c r="R307" i="35"/>
  <c r="R290" i="35"/>
  <c r="R229" i="35"/>
  <c r="R220" i="35"/>
  <c r="R227" i="35"/>
  <c r="R223" i="35"/>
  <c r="W1203" i="35"/>
  <c r="W558" i="35" s="1"/>
  <c r="W1200" i="35"/>
  <c r="W1174" i="35"/>
  <c r="W1188" i="35"/>
  <c r="W1195" i="35"/>
  <c r="W1217" i="35"/>
  <c r="W1189" i="35"/>
  <c r="W1156" i="35"/>
  <c r="W1136" i="35"/>
  <c r="W491" i="35" s="1"/>
  <c r="W1138" i="35"/>
  <c r="W1152" i="35"/>
  <c r="U1187" i="35"/>
  <c r="U542" i="35" s="1"/>
  <c r="M893" i="35"/>
  <c r="M871" i="35"/>
  <c r="M873" i="35"/>
  <c r="M914" i="35"/>
  <c r="M876" i="35"/>
  <c r="M132" i="35" s="1"/>
  <c r="M870" i="35"/>
  <c r="M891" i="35"/>
  <c r="M837" i="35"/>
  <c r="M93" i="35" s="1"/>
  <c r="M839" i="35"/>
  <c r="M843" i="35"/>
  <c r="M99" i="35" s="1"/>
  <c r="M842" i="35"/>
  <c r="V859" i="35"/>
  <c r="V827" i="35"/>
  <c r="V83" i="35" s="1"/>
  <c r="R1094" i="35"/>
  <c r="R416" i="35" s="1"/>
  <c r="U437" i="35"/>
  <c r="U417" i="35"/>
  <c r="U396" i="35"/>
  <c r="U390" i="35"/>
  <c r="U438" i="35"/>
  <c r="U383" i="35"/>
  <c r="U386" i="35"/>
  <c r="U362" i="35"/>
  <c r="U372" i="35"/>
  <c r="U374" i="35"/>
  <c r="U354" i="35"/>
  <c r="M1166" i="35"/>
  <c r="M521" i="35" s="1"/>
  <c r="M1181" i="35"/>
  <c r="M1178" i="35"/>
  <c r="M1177" i="35"/>
  <c r="M532" i="35" s="1"/>
  <c r="M1201" i="35"/>
  <c r="M1185" i="35"/>
  <c r="M1174" i="35"/>
  <c r="M529" i="35" s="1"/>
  <c r="M1187" i="35"/>
  <c r="M1156" i="35"/>
  <c r="M1137" i="35"/>
  <c r="M1142" i="35"/>
  <c r="R283" i="35"/>
  <c r="R260" i="35"/>
  <c r="R302" i="35"/>
  <c r="R298" i="35"/>
  <c r="R288" i="35"/>
  <c r="R267" i="35"/>
  <c r="R258" i="35"/>
  <c r="R231" i="35"/>
  <c r="R226" i="35"/>
  <c r="R222" i="35"/>
  <c r="R278" i="35"/>
  <c r="W1170" i="35"/>
  <c r="W525" i="35" s="1"/>
  <c r="W1164" i="35"/>
  <c r="W1215" i="35"/>
  <c r="W570" i="35" s="1"/>
  <c r="W1185" i="35"/>
  <c r="W1169" i="35"/>
  <c r="W1199" i="35"/>
  <c r="W554" i="35" s="1"/>
  <c r="W1212" i="35"/>
  <c r="W1207" i="35"/>
  <c r="W1193" i="35"/>
  <c r="W548" i="35" s="1"/>
  <c r="W1134" i="35"/>
  <c r="W1142" i="35"/>
  <c r="W497" i="35" s="1"/>
  <c r="U1215" i="35"/>
  <c r="U1143" i="35"/>
  <c r="M888" i="35"/>
  <c r="M144" i="35" s="1"/>
  <c r="M879" i="35"/>
  <c r="M906" i="35"/>
  <c r="M868" i="35"/>
  <c r="M124" i="35" s="1"/>
  <c r="M863" i="35"/>
  <c r="M890" i="35"/>
  <c r="M878" i="35"/>
  <c r="M909" i="35"/>
  <c r="M832" i="35"/>
  <c r="M88" i="35" s="1"/>
  <c r="M834" i="35"/>
  <c r="M847" i="35"/>
  <c r="M845" i="35"/>
  <c r="M101" i="35" s="1"/>
  <c r="V861" i="35"/>
  <c r="R480" i="35"/>
  <c r="M1200" i="35"/>
  <c r="M1182" i="35"/>
  <c r="M1197" i="35"/>
  <c r="M552" i="35" s="1"/>
  <c r="M1163" i="35"/>
  <c r="M1206" i="35"/>
  <c r="M1220" i="35"/>
  <c r="M1221" i="35"/>
  <c r="M1149" i="35"/>
  <c r="M1155" i="35"/>
  <c r="M1130" i="35"/>
  <c r="M1145" i="35"/>
  <c r="M500" i="35" s="1"/>
  <c r="R271" i="35"/>
  <c r="R262" i="35"/>
  <c r="R286" i="35"/>
  <c r="R256" i="35"/>
  <c r="R248" i="35"/>
  <c r="R314" i="35" s="1"/>
  <c r="R297" i="35"/>
  <c r="R264" i="35"/>
  <c r="R232" i="35"/>
  <c r="R236" i="35"/>
  <c r="R214" i="35"/>
  <c r="R235" i="35"/>
  <c r="W1172" i="35"/>
  <c r="W1205" i="35"/>
  <c r="W560" i="35" s="1"/>
  <c r="W1196" i="35"/>
  <c r="W1162" i="35"/>
  <c r="W1179" i="35"/>
  <c r="W534" i="35" s="1"/>
  <c r="W1176" i="35"/>
  <c r="W1187" i="35"/>
  <c r="W1160" i="35"/>
  <c r="W515" i="35" s="1"/>
  <c r="W1135" i="35"/>
  <c r="W1137" i="35"/>
  <c r="W1131" i="35"/>
  <c r="U1167" i="35"/>
  <c r="U1136" i="35"/>
  <c r="U491" i="35" s="1"/>
  <c r="M855" i="35"/>
  <c r="M904" i="35"/>
  <c r="M908" i="35"/>
  <c r="M164" i="35" s="1"/>
  <c r="M892" i="35"/>
  <c r="M897" i="35"/>
  <c r="M907" i="35"/>
  <c r="M880" i="35"/>
  <c r="M894" i="35"/>
  <c r="M150" i="35" s="1"/>
  <c r="M841" i="35"/>
  <c r="M833" i="35"/>
  <c r="M838" i="35"/>
  <c r="M94" i="35" s="1"/>
  <c r="M854" i="35"/>
  <c r="V890" i="35"/>
  <c r="V146" i="35" s="1"/>
  <c r="R345" i="35"/>
  <c r="M1214" i="35"/>
  <c r="M1222" i="35"/>
  <c r="M577" i="35" s="1"/>
  <c r="M1179" i="35"/>
  <c r="M1216" i="35"/>
  <c r="M1211" i="35"/>
  <c r="M566" i="35" s="1"/>
  <c r="M1175" i="35"/>
  <c r="M1165" i="35"/>
  <c r="M520" i="35" s="1"/>
  <c r="M1129" i="35"/>
  <c r="M1148" i="35"/>
  <c r="M1135" i="35"/>
  <c r="M490" i="35" s="1"/>
  <c r="M1138" i="35"/>
  <c r="R261" i="35"/>
  <c r="R280" i="35"/>
  <c r="R270" i="35"/>
  <c r="R292" i="35"/>
  <c r="R293" i="35"/>
  <c r="R291" i="35"/>
  <c r="R274" i="35"/>
  <c r="R340" i="35" s="1"/>
  <c r="R218" i="35"/>
  <c r="R234" i="35"/>
  <c r="R217" i="35"/>
  <c r="R238" i="35"/>
  <c r="W1206" i="35"/>
  <c r="W561" i="35" s="1"/>
  <c r="W1214" i="35"/>
  <c r="W1182" i="35"/>
  <c r="W1201" i="35"/>
  <c r="W556" i="35" s="1"/>
  <c r="W1210" i="35"/>
  <c r="W1183" i="35"/>
  <c r="W1220" i="35"/>
  <c r="W575" i="35" s="1"/>
  <c r="W1150" i="35"/>
  <c r="W1155" i="35"/>
  <c r="W510" i="35" s="1"/>
  <c r="W1144" i="35"/>
  <c r="W1139" i="35"/>
  <c r="U1201" i="35"/>
  <c r="U556" i="35" s="1"/>
  <c r="U1127" i="35"/>
  <c r="U482" i="35" s="1"/>
  <c r="M869" i="35"/>
  <c r="M898" i="35"/>
  <c r="M154" i="35" s="1"/>
  <c r="M915" i="35"/>
  <c r="M905" i="35"/>
  <c r="M161" i="35" s="1"/>
  <c r="M910" i="35"/>
  <c r="M889" i="35"/>
  <c r="M856" i="35"/>
  <c r="M112" i="35" s="1"/>
  <c r="M822" i="35"/>
  <c r="M825" i="35"/>
  <c r="M824" i="35"/>
  <c r="M848" i="35"/>
  <c r="M104" i="35" s="1"/>
  <c r="M887" i="35"/>
  <c r="M143" i="35" s="1"/>
  <c r="V899" i="35"/>
  <c r="V75" i="35"/>
  <c r="R1120" i="35"/>
  <c r="R442" i="35" s="1"/>
  <c r="M1186" i="35"/>
  <c r="M1203" i="35"/>
  <c r="M1199" i="35"/>
  <c r="M1184" i="35"/>
  <c r="M1195" i="35"/>
  <c r="M1207" i="35"/>
  <c r="M1212" i="35"/>
  <c r="M1154" i="35"/>
  <c r="M509" i="35" s="1"/>
  <c r="M1147" i="35"/>
  <c r="M1136" i="35"/>
  <c r="M1140" i="35"/>
  <c r="M495" i="35" s="1"/>
  <c r="R279" i="35"/>
  <c r="R268" i="35"/>
  <c r="R266" i="35"/>
  <c r="R303" i="35"/>
  <c r="R281" i="35"/>
  <c r="R255" i="35"/>
  <c r="R269" i="35"/>
  <c r="R299" i="35"/>
  <c r="R230" i="35"/>
  <c r="R221" i="35"/>
  <c r="R233" i="35"/>
  <c r="R225" i="35"/>
  <c r="W1211" i="35"/>
  <c r="W566" i="35" s="1"/>
  <c r="W1178" i="35"/>
  <c r="W1173" i="35"/>
  <c r="W1163" i="35"/>
  <c r="W1216" i="35"/>
  <c r="W1204" i="35"/>
  <c r="W1128" i="35"/>
  <c r="W1132" i="35"/>
  <c r="W1130" i="35"/>
  <c r="W485" i="35" s="1"/>
  <c r="W1143" i="35"/>
  <c r="U1209" i="35"/>
  <c r="M900" i="35"/>
  <c r="M857" i="35"/>
  <c r="M867" i="35"/>
  <c r="M123" i="35" s="1"/>
  <c r="M877" i="35"/>
  <c r="M861" i="35"/>
  <c r="M866" i="35"/>
  <c r="M122" i="35" s="1"/>
  <c r="M858" i="35"/>
  <c r="M114" i="35" s="1"/>
  <c r="M821" i="35"/>
  <c r="M827" i="35"/>
  <c r="M83" i="35" s="1"/>
  <c r="M849" i="35"/>
  <c r="M105" i="35" s="1"/>
  <c r="R522" i="35"/>
  <c r="V855" i="35"/>
  <c r="V825" i="35"/>
  <c r="AA1100" i="35"/>
  <c r="AA422" i="35" s="1"/>
  <c r="R364" i="35"/>
  <c r="O1101" i="35"/>
  <c r="R436" i="35"/>
  <c r="O71" i="32"/>
  <c r="P43" i="32"/>
  <c r="N53" i="45" s="1"/>
  <c r="J21" i="38"/>
  <c r="J23" i="38" s="1"/>
  <c r="J14" i="38"/>
  <c r="J17" i="38" s="1"/>
  <c r="P28" i="32"/>
  <c r="R1105" i="35"/>
  <c r="R427" i="35" s="1"/>
  <c r="R1053" i="35"/>
  <c r="R375" i="35" s="1"/>
  <c r="V977" i="35"/>
  <c r="V266" i="35" s="1"/>
  <c r="V1009" i="35"/>
  <c r="V298" i="35" s="1"/>
  <c r="V930" i="35"/>
  <c r="AA1194" i="35"/>
  <c r="R1067" i="35"/>
  <c r="R389" i="35" s="1"/>
  <c r="R1113" i="35"/>
  <c r="R1052" i="35"/>
  <c r="R374" i="35" s="1"/>
  <c r="V971" i="35"/>
  <c r="V260" i="35" s="1"/>
  <c r="V965" i="35"/>
  <c r="V254" i="35" s="1"/>
  <c r="V948" i="35"/>
  <c r="V237" i="35" s="1"/>
  <c r="R1107" i="35"/>
  <c r="R1102" i="35"/>
  <c r="V961" i="35"/>
  <c r="V250" i="35" s="1"/>
  <c r="V1002" i="35"/>
  <c r="V934" i="35"/>
  <c r="R1065" i="35"/>
  <c r="R387" i="35" s="1"/>
  <c r="R1029" i="35"/>
  <c r="R351" i="35" s="1"/>
  <c r="V992" i="35"/>
  <c r="V281" i="35" s="1"/>
  <c r="V950" i="35"/>
  <c r="R424" i="35"/>
  <c r="U480" i="35"/>
  <c r="O855" i="35"/>
  <c r="O111" i="35" s="1"/>
  <c r="O821" i="35"/>
  <c r="O1169" i="35"/>
  <c r="O524" i="35" s="1"/>
  <c r="U915" i="35"/>
  <c r="U171" i="35" s="1"/>
  <c r="U864" i="35"/>
  <c r="U120" i="35" s="1"/>
  <c r="U896" i="35"/>
  <c r="U152" i="35" s="1"/>
  <c r="U898" i="35"/>
  <c r="U154" i="35" s="1"/>
  <c r="U858" i="35"/>
  <c r="U114" i="35" s="1"/>
  <c r="U895" i="35"/>
  <c r="U151" i="35" s="1"/>
  <c r="U883" i="35"/>
  <c r="U139" i="35" s="1"/>
  <c r="U854" i="35"/>
  <c r="U110" i="35" s="1"/>
  <c r="U848" i="35"/>
  <c r="U104" i="35" s="1"/>
  <c r="U850" i="35"/>
  <c r="U106" i="35" s="1"/>
  <c r="U887" i="35"/>
  <c r="U143" i="35" s="1"/>
  <c r="W900" i="35"/>
  <c r="W839" i="35"/>
  <c r="W95" i="35" s="1"/>
  <c r="R1202" i="35"/>
  <c r="R557" i="35" s="1"/>
  <c r="R1151" i="35"/>
  <c r="R506" i="35" s="1"/>
  <c r="U994" i="35"/>
  <c r="U283" i="35" s="1"/>
  <c r="U972" i="35"/>
  <c r="U261" i="35" s="1"/>
  <c r="U1007" i="35"/>
  <c r="U296" i="35" s="1"/>
  <c r="U992" i="35"/>
  <c r="U979" i="35"/>
  <c r="U1016" i="35"/>
  <c r="U305" i="35" s="1"/>
  <c r="U975" i="35"/>
  <c r="U264" i="35" s="1"/>
  <c r="U926" i="35"/>
  <c r="U215" i="35" s="1"/>
  <c r="U949" i="35"/>
  <c r="U238" i="35" s="1"/>
  <c r="U935" i="35"/>
  <c r="U927" i="35"/>
  <c r="U869" i="35"/>
  <c r="U125" i="35" s="1"/>
  <c r="U905" i="35"/>
  <c r="U161" i="35" s="1"/>
  <c r="U873" i="35"/>
  <c r="U129" i="35" s="1"/>
  <c r="U914" i="35"/>
  <c r="U170" i="35" s="1"/>
  <c r="U911" i="35"/>
  <c r="U167" i="35" s="1"/>
  <c r="U862" i="35"/>
  <c r="U118" i="35" s="1"/>
  <c r="U894" i="35"/>
  <c r="U150" i="35" s="1"/>
  <c r="U833" i="35"/>
  <c r="U89" i="35" s="1"/>
  <c r="U823" i="35"/>
  <c r="U79" i="35" s="1"/>
  <c r="U838" i="35"/>
  <c r="U94" i="35" s="1"/>
  <c r="U826" i="35"/>
  <c r="U82" i="35" s="1"/>
  <c r="W898" i="35"/>
  <c r="R1211" i="35"/>
  <c r="R566" i="35" s="1"/>
  <c r="U977" i="35"/>
  <c r="U266" i="35" s="1"/>
  <c r="U1017" i="35"/>
  <c r="U306" i="35" s="1"/>
  <c r="U981" i="35"/>
  <c r="U270" i="35" s="1"/>
  <c r="U998" i="35"/>
  <c r="U991" i="35"/>
  <c r="U964" i="35"/>
  <c r="U253" i="35" s="1"/>
  <c r="U1002" i="35"/>
  <c r="U291" i="35" s="1"/>
  <c r="U929" i="35"/>
  <c r="U218" i="35" s="1"/>
  <c r="U941" i="35"/>
  <c r="U230" i="35" s="1"/>
  <c r="U939" i="35"/>
  <c r="U228" i="35" s="1"/>
  <c r="U948" i="35"/>
  <c r="U237" i="35" s="1"/>
  <c r="U879" i="35"/>
  <c r="U135" i="35" s="1"/>
  <c r="U893" i="35"/>
  <c r="U149" i="35" s="1"/>
  <c r="U892" i="35"/>
  <c r="U148" i="35" s="1"/>
  <c r="U906" i="35"/>
  <c r="U865" i="35"/>
  <c r="U121" i="35" s="1"/>
  <c r="U916" i="35"/>
  <c r="U172" i="35" s="1"/>
  <c r="U878" i="35"/>
  <c r="U134" i="35" s="1"/>
  <c r="U829" i="35"/>
  <c r="U85" i="35" s="1"/>
  <c r="U831" i="35"/>
  <c r="U87" i="35" s="1"/>
  <c r="U828" i="35"/>
  <c r="U84" i="35" s="1"/>
  <c r="U846" i="35"/>
  <c r="U102" i="35" s="1"/>
  <c r="W883" i="35"/>
  <c r="W139" i="35" s="1"/>
  <c r="R1216" i="35"/>
  <c r="R571" i="35" s="1"/>
  <c r="U974" i="35"/>
  <c r="U263" i="35" s="1"/>
  <c r="U997" i="35"/>
  <c r="U1004" i="35"/>
  <c r="U999" i="35"/>
  <c r="U1001" i="35"/>
  <c r="U1010" i="35"/>
  <c r="U299" i="35" s="1"/>
  <c r="U1011" i="35"/>
  <c r="U989" i="35"/>
  <c r="U278" i="35" s="1"/>
  <c r="U928" i="35"/>
  <c r="U217" i="35" s="1"/>
  <c r="U951" i="35"/>
  <c r="U925" i="35"/>
  <c r="U214" i="35" s="1"/>
  <c r="M959" i="35"/>
  <c r="U882" i="35"/>
  <c r="U138" i="35" s="1"/>
  <c r="U857" i="35"/>
  <c r="U113" i="35" s="1"/>
  <c r="U863" i="35"/>
  <c r="U119" i="35" s="1"/>
  <c r="U901" i="35"/>
  <c r="U157" i="35" s="1"/>
  <c r="U881" i="35"/>
  <c r="U137" i="35" s="1"/>
  <c r="U902" i="35"/>
  <c r="U158" i="35" s="1"/>
  <c r="U913" i="35"/>
  <c r="U169" i="35" s="1"/>
  <c r="U832" i="35"/>
  <c r="U88" i="35" s="1"/>
  <c r="U839" i="35"/>
  <c r="U95" i="35" s="1"/>
  <c r="U824" i="35"/>
  <c r="U80" i="35" s="1"/>
  <c r="U835" i="35"/>
  <c r="U91" i="35" s="1"/>
  <c r="W907" i="35"/>
  <c r="W163" i="35" s="1"/>
  <c r="R1188" i="35"/>
  <c r="R543" i="35" s="1"/>
  <c r="U1014" i="35"/>
  <c r="U1005" i="35"/>
  <c r="U294" i="35" s="1"/>
  <c r="U1006" i="35"/>
  <c r="U967" i="35"/>
  <c r="U962" i="35"/>
  <c r="U251" i="35" s="1"/>
  <c r="U978" i="35"/>
  <c r="U980" i="35"/>
  <c r="U269" i="35" s="1"/>
  <c r="U943" i="35"/>
  <c r="U232" i="35" s="1"/>
  <c r="U938" i="35"/>
  <c r="U934" i="35"/>
  <c r="U223" i="35" s="1"/>
  <c r="U944" i="35"/>
  <c r="M952" i="35"/>
  <c r="M241" i="35" s="1"/>
  <c r="U904" i="35"/>
  <c r="U160" i="35" s="1"/>
  <c r="U867" i="35"/>
  <c r="U123" i="35" s="1"/>
  <c r="U897" i="35"/>
  <c r="U153" i="35" s="1"/>
  <c r="U859" i="35"/>
  <c r="U115" i="35" s="1"/>
  <c r="U866" i="35"/>
  <c r="U122" i="35" s="1"/>
  <c r="U889" i="35"/>
  <c r="U145" i="35" s="1"/>
  <c r="U870" i="35"/>
  <c r="U842" i="35"/>
  <c r="U98" i="35" s="1"/>
  <c r="U836" i="35"/>
  <c r="U92" i="35" s="1"/>
  <c r="U845" i="35"/>
  <c r="U101" i="35" s="1"/>
  <c r="U821" i="35"/>
  <c r="U77" i="35" s="1"/>
  <c r="W902" i="35"/>
  <c r="W158" i="35" s="1"/>
  <c r="R1179" i="35"/>
  <c r="R534" i="35" s="1"/>
  <c r="U990" i="35"/>
  <c r="U279" i="35" s="1"/>
  <c r="U963" i="35"/>
  <c r="U1013" i="35"/>
  <c r="U996" i="35"/>
  <c r="U285" i="35" s="1"/>
  <c r="U995" i="35"/>
  <c r="U970" i="35"/>
  <c r="U259" i="35" s="1"/>
  <c r="U965" i="35"/>
  <c r="U254" i="35" s="1"/>
  <c r="U976" i="35"/>
  <c r="U265" i="35" s="1"/>
  <c r="U942" i="35"/>
  <c r="U937" i="35"/>
  <c r="U946" i="35"/>
  <c r="U947" i="35"/>
  <c r="R1132" i="35"/>
  <c r="R487" i="35" s="1"/>
  <c r="U957" i="35"/>
  <c r="U246" i="35" s="1"/>
  <c r="U984" i="35"/>
  <c r="U273" i="35" s="1"/>
  <c r="U961" i="35"/>
  <c r="U250" i="35" s="1"/>
  <c r="U966" i="35"/>
  <c r="U255" i="35" s="1"/>
  <c r="U1009" i="35"/>
  <c r="U973" i="35"/>
  <c r="U985" i="35"/>
  <c r="U274" i="35" s="1"/>
  <c r="U1008" i="35"/>
  <c r="U930" i="35"/>
  <c r="U219" i="35" s="1"/>
  <c r="U945" i="35"/>
  <c r="U234" i="35" s="1"/>
  <c r="U931" i="35"/>
  <c r="U923" i="35"/>
  <c r="U212" i="35" s="1"/>
  <c r="V155" i="35"/>
  <c r="V435" i="35"/>
  <c r="V570" i="35"/>
  <c r="V519" i="35"/>
  <c r="V526" i="35"/>
  <c r="V540" i="35"/>
  <c r="U888" i="35"/>
  <c r="U144" i="35" s="1"/>
  <c r="U871" i="35"/>
  <c r="U127" i="35" s="1"/>
  <c r="U900" i="35"/>
  <c r="U156" i="35" s="1"/>
  <c r="U872" i="35"/>
  <c r="U128" i="35" s="1"/>
  <c r="U868" i="35"/>
  <c r="U124" i="35" s="1"/>
  <c r="U874" i="35"/>
  <c r="U130" i="35" s="1"/>
  <c r="U909" i="35"/>
  <c r="U165" i="35" s="1"/>
  <c r="U899" i="35"/>
  <c r="U155" i="35" s="1"/>
  <c r="U844" i="35"/>
  <c r="U100" i="35" s="1"/>
  <c r="U837" i="35"/>
  <c r="U93" i="35" s="1"/>
  <c r="U827" i="35"/>
  <c r="U83" i="35" s="1"/>
  <c r="W912" i="35"/>
  <c r="W168" i="35" s="1"/>
  <c r="W821" i="35"/>
  <c r="W77" i="35" s="1"/>
  <c r="R1186" i="35"/>
  <c r="R541" i="35" s="1"/>
  <c r="R1133" i="35"/>
  <c r="R488" i="35" s="1"/>
  <c r="U1015" i="35"/>
  <c r="U971" i="35"/>
  <c r="U260" i="35" s="1"/>
  <c r="U960" i="35"/>
  <c r="U249" i="35" s="1"/>
  <c r="U1000" i="35"/>
  <c r="U289" i="35" s="1"/>
  <c r="U1018" i="35"/>
  <c r="U307" i="35" s="1"/>
  <c r="U983" i="35"/>
  <c r="U272" i="35" s="1"/>
  <c r="U958" i="35"/>
  <c r="U924" i="35"/>
  <c r="U936" i="35"/>
  <c r="U956" i="35"/>
  <c r="U245" i="35" s="1"/>
  <c r="R1077" i="35"/>
  <c r="R399" i="35" s="1"/>
  <c r="R1096" i="35"/>
  <c r="R418" i="35" s="1"/>
  <c r="R1081" i="35"/>
  <c r="R403" i="35" s="1"/>
  <c r="R1111" i="35"/>
  <c r="R433" i="35" s="1"/>
  <c r="R1036" i="35"/>
  <c r="R358" i="35" s="1"/>
  <c r="R1046" i="35"/>
  <c r="R368" i="35" s="1"/>
  <c r="V1013" i="35"/>
  <c r="V1008" i="35"/>
  <c r="V297" i="35" s="1"/>
  <c r="V952" i="35"/>
  <c r="R1110" i="35"/>
  <c r="R432" i="35" s="1"/>
  <c r="R1087" i="35"/>
  <c r="R409" i="35" s="1"/>
  <c r="R1068" i="35"/>
  <c r="R390" i="35" s="1"/>
  <c r="R1097" i="35"/>
  <c r="R419" i="35" s="1"/>
  <c r="R1045" i="35"/>
  <c r="R367" i="35" s="1"/>
  <c r="R1032" i="35"/>
  <c r="R1103" i="35"/>
  <c r="R425" i="35" s="1"/>
  <c r="R1115" i="35"/>
  <c r="R437" i="35" s="1"/>
  <c r="R1071" i="35"/>
  <c r="R393" i="35" s="1"/>
  <c r="R1099" i="35"/>
  <c r="R421" i="35" s="1"/>
  <c r="R1038" i="35"/>
  <c r="R360" i="35" s="1"/>
  <c r="R1041" i="35"/>
  <c r="R363" i="35" s="1"/>
  <c r="V945" i="35"/>
  <c r="V234" i="35" s="1"/>
  <c r="R1100" i="35"/>
  <c r="R422" i="35" s="1"/>
  <c r="R1095" i="35"/>
  <c r="R417" i="35" s="1"/>
  <c r="R1069" i="35"/>
  <c r="R391" i="35" s="1"/>
  <c r="R1085" i="35"/>
  <c r="R407" i="35" s="1"/>
  <c r="R1031" i="35"/>
  <c r="R353" i="35" s="1"/>
  <c r="R1051" i="35"/>
  <c r="R373" i="35" s="1"/>
  <c r="R1112" i="35"/>
  <c r="R434" i="35" s="1"/>
  <c r="R1109" i="35"/>
  <c r="R431" i="35" s="1"/>
  <c r="R1074" i="35"/>
  <c r="R396" i="35" s="1"/>
  <c r="R1117" i="35"/>
  <c r="R439" i="35" s="1"/>
  <c r="R1091" i="35"/>
  <c r="R413" i="35" s="1"/>
  <c r="R1028" i="35"/>
  <c r="R350" i="35" s="1"/>
  <c r="U397" i="35"/>
  <c r="U398" i="35"/>
  <c r="U425" i="35"/>
  <c r="U422" i="35"/>
  <c r="U423" i="35"/>
  <c r="U415" i="35"/>
  <c r="U407" i="35"/>
  <c r="U388" i="35"/>
  <c r="U350" i="35"/>
  <c r="U351" i="35"/>
  <c r="U364" i="35"/>
  <c r="U116" i="35"/>
  <c r="U131" i="35"/>
  <c r="U164" i="35"/>
  <c r="U117" i="35"/>
  <c r="U166" i="35"/>
  <c r="U136" i="35"/>
  <c r="U147" i="35"/>
  <c r="U146" i="35"/>
  <c r="U105" i="35"/>
  <c r="U99" i="35"/>
  <c r="U103" i="35"/>
  <c r="U81" i="35"/>
  <c r="AA1033" i="35"/>
  <c r="AA355" i="35" s="1"/>
  <c r="U563" i="35"/>
  <c r="O1114" i="35"/>
  <c r="O436" i="35" s="1"/>
  <c r="U385" i="35"/>
  <c r="U395" i="35"/>
  <c r="U392" i="35"/>
  <c r="U405" i="35"/>
  <c r="U471" i="35" s="1"/>
  <c r="U427" i="35"/>
  <c r="U435" i="35"/>
  <c r="U442" i="35"/>
  <c r="U359" i="35"/>
  <c r="U353" i="35"/>
  <c r="U360" i="35"/>
  <c r="U352" i="35"/>
  <c r="AA1070" i="35"/>
  <c r="AA392" i="35" s="1"/>
  <c r="AA1035" i="35"/>
  <c r="O1091" i="35"/>
  <c r="O413" i="35" s="1"/>
  <c r="U409" i="35"/>
  <c r="U401" i="35"/>
  <c r="U404" i="35"/>
  <c r="U402" i="35"/>
  <c r="U433" i="35"/>
  <c r="U466" i="35" s="1"/>
  <c r="U440" i="35"/>
  <c r="U348" i="35"/>
  <c r="U369" i="35"/>
  <c r="U367" i="35"/>
  <c r="U357" i="35"/>
  <c r="U347" i="35"/>
  <c r="U162" i="35"/>
  <c r="AA1078" i="35"/>
  <c r="AA1052" i="35"/>
  <c r="AA374" i="35" s="1"/>
  <c r="U548" i="35"/>
  <c r="O1045" i="35"/>
  <c r="O367" i="35" s="1"/>
  <c r="R404" i="35"/>
  <c r="AA1110" i="35"/>
  <c r="AA432" i="35" s="1"/>
  <c r="U570" i="35"/>
  <c r="U498" i="35"/>
  <c r="O1077" i="35"/>
  <c r="O399" i="35" s="1"/>
  <c r="O1047" i="35"/>
  <c r="O369" i="35" s="1"/>
  <c r="U434" i="35"/>
  <c r="U394" i="35"/>
  <c r="U384" i="35"/>
  <c r="U391" i="35"/>
  <c r="U439" i="35"/>
  <c r="U380" i="35"/>
  <c r="U408" i="35"/>
  <c r="U355" i="35"/>
  <c r="U349" i="35"/>
  <c r="U373" i="35"/>
  <c r="U365" i="35"/>
  <c r="U126" i="35"/>
  <c r="AA1111" i="35"/>
  <c r="AA433" i="35" s="1"/>
  <c r="U522" i="35"/>
  <c r="O1098" i="35"/>
  <c r="O420" i="35" s="1"/>
  <c r="O1053" i="35"/>
  <c r="U287" i="35"/>
  <c r="U280" i="35"/>
  <c r="U431" i="35"/>
  <c r="U418" i="35"/>
  <c r="U430" i="35"/>
  <c r="U429" i="35"/>
  <c r="U426" i="35"/>
  <c r="U441" i="35"/>
  <c r="U413" i="35"/>
  <c r="U421" i="35"/>
  <c r="U366" i="35"/>
  <c r="U368" i="35"/>
  <c r="U363" i="35"/>
  <c r="U111" i="35"/>
  <c r="U159" i="35"/>
  <c r="U168" i="35"/>
  <c r="U133" i="35"/>
  <c r="U163" i="35"/>
  <c r="U132" i="35"/>
  <c r="U112" i="35"/>
  <c r="U78" i="35"/>
  <c r="U90" i="35"/>
  <c r="U97" i="35"/>
  <c r="U86" i="35"/>
  <c r="AA1093" i="35"/>
  <c r="AA415" i="35" s="1"/>
  <c r="O1065" i="35"/>
  <c r="O387" i="35" s="1"/>
  <c r="O1030" i="35"/>
  <c r="O352" i="35" s="1"/>
  <c r="U387" i="35"/>
  <c r="U453" i="35" s="1"/>
  <c r="U428" i="35"/>
  <c r="U399" i="35"/>
  <c r="U389" i="35"/>
  <c r="U406" i="35"/>
  <c r="U393" i="35"/>
  <c r="U424" i="35"/>
  <c r="U419" i="35"/>
  <c r="U356" i="35"/>
  <c r="U376" i="35"/>
  <c r="U361" i="35"/>
  <c r="U96" i="35"/>
  <c r="AA1061" i="35"/>
  <c r="U564" i="35"/>
  <c r="O1094" i="35"/>
  <c r="O416" i="35" s="1"/>
  <c r="O915" i="35"/>
  <c r="O171" i="35" s="1"/>
  <c r="O824" i="35"/>
  <c r="O80" i="35" s="1"/>
  <c r="M417" i="35"/>
  <c r="M437" i="35"/>
  <c r="M404" i="35"/>
  <c r="M393" i="35"/>
  <c r="M423" i="35"/>
  <c r="M415" i="35"/>
  <c r="M386" i="35"/>
  <c r="M358" i="35"/>
  <c r="M352" i="35"/>
  <c r="M368" i="35"/>
  <c r="M374" i="35"/>
  <c r="M528" i="35"/>
  <c r="M524" i="35"/>
  <c r="M573" i="35"/>
  <c r="M565" i="35"/>
  <c r="M483" i="35"/>
  <c r="M487" i="35"/>
  <c r="M488" i="35"/>
  <c r="M506" i="35"/>
  <c r="M156" i="35"/>
  <c r="M113" i="35"/>
  <c r="M133" i="35"/>
  <c r="M117" i="35"/>
  <c r="M77" i="35"/>
  <c r="M91" i="35"/>
  <c r="V111" i="35"/>
  <c r="V81" i="35"/>
  <c r="V440" i="35"/>
  <c r="O1171" i="35"/>
  <c r="O526" i="35" s="1"/>
  <c r="R1076" i="35"/>
  <c r="R398" i="35" s="1"/>
  <c r="R1106" i="35"/>
  <c r="R428" i="35" s="1"/>
  <c r="R1070" i="35"/>
  <c r="R392" i="35" s="1"/>
  <c r="R1073" i="35"/>
  <c r="R395" i="35" s="1"/>
  <c r="R1080" i="35"/>
  <c r="R402" i="35" s="1"/>
  <c r="R1116" i="35"/>
  <c r="R438" i="35" s="1"/>
  <c r="R1058" i="35"/>
  <c r="R380" i="35" s="1"/>
  <c r="R1037" i="35"/>
  <c r="R359" i="35" s="1"/>
  <c r="R1047" i="35"/>
  <c r="R369" i="35" s="1"/>
  <c r="R1030" i="35"/>
  <c r="R352" i="35" s="1"/>
  <c r="V990" i="35"/>
  <c r="V982" i="35"/>
  <c r="V271" i="35" s="1"/>
  <c r="V969" i="35"/>
  <c r="V1011" i="35"/>
  <c r="V300" i="35" s="1"/>
  <c r="V943" i="35"/>
  <c r="V232" i="35" s="1"/>
  <c r="V923" i="35"/>
  <c r="V212" i="35" s="1"/>
  <c r="O857" i="35"/>
  <c r="O113" i="35" s="1"/>
  <c r="O849" i="35"/>
  <c r="O105" i="35" s="1"/>
  <c r="V120" i="35"/>
  <c r="V99" i="35"/>
  <c r="V348" i="35"/>
  <c r="O1175" i="35"/>
  <c r="O530" i="35" s="1"/>
  <c r="O901" i="35"/>
  <c r="O157" i="35" s="1"/>
  <c r="O829" i="35"/>
  <c r="O85" i="35" s="1"/>
  <c r="V149" i="35"/>
  <c r="V359" i="35"/>
  <c r="V536" i="35"/>
  <c r="V551" i="35"/>
  <c r="V573" i="35"/>
  <c r="O1132" i="35"/>
  <c r="O487" i="35" s="1"/>
  <c r="O872" i="35"/>
  <c r="O128" i="35" s="1"/>
  <c r="V115" i="35"/>
  <c r="V430" i="35"/>
  <c r="V369" i="35"/>
  <c r="V522" i="35"/>
  <c r="V566" i="35"/>
  <c r="V550" i="35"/>
  <c r="V576" i="35"/>
  <c r="V542" i="35"/>
  <c r="O1215" i="35"/>
  <c r="O1129" i="35"/>
  <c r="O484" i="35" s="1"/>
  <c r="R1075" i="35"/>
  <c r="R397" i="35" s="1"/>
  <c r="R1078" i="35"/>
  <c r="R400" i="35" s="1"/>
  <c r="R1108" i="35"/>
  <c r="R430" i="35" s="1"/>
  <c r="R1062" i="35"/>
  <c r="R384" i="35" s="1"/>
  <c r="R1060" i="35"/>
  <c r="R382" i="35" s="1"/>
  <c r="R1093" i="35"/>
  <c r="R415" i="35" s="1"/>
  <c r="R1026" i="35"/>
  <c r="R348" i="35" s="1"/>
  <c r="R1027" i="35"/>
  <c r="R349" i="35" s="1"/>
  <c r="R1049" i="35"/>
  <c r="R371" i="35" s="1"/>
  <c r="R1025" i="35"/>
  <c r="R347" i="35" s="1"/>
  <c r="V1006" i="35"/>
  <c r="V981" i="35"/>
  <c r="V270" i="35" s="1"/>
  <c r="V1012" i="35"/>
  <c r="V301" i="35" s="1"/>
  <c r="V985" i="35"/>
  <c r="V939" i="35"/>
  <c r="V935" i="35"/>
  <c r="O866" i="35"/>
  <c r="V166" i="35"/>
  <c r="V385" i="35"/>
  <c r="V376" i="35"/>
  <c r="V554" i="35"/>
  <c r="V574" i="35"/>
  <c r="V569" i="35"/>
  <c r="V568" i="35"/>
  <c r="V553" i="35"/>
  <c r="V567" i="35"/>
  <c r="V509" i="35"/>
  <c r="V489" i="35"/>
  <c r="V490" i="35"/>
  <c r="V494" i="35"/>
  <c r="O1181" i="35"/>
  <c r="O536" i="35" s="1"/>
  <c r="O1142" i="35"/>
  <c r="R1079" i="35"/>
  <c r="R401" i="35" s="1"/>
  <c r="R1098" i="35"/>
  <c r="R420" i="35" s="1"/>
  <c r="R1063" i="35"/>
  <c r="R385" i="35" s="1"/>
  <c r="R1119" i="35"/>
  <c r="R441" i="35" s="1"/>
  <c r="R1104" i="35"/>
  <c r="R426" i="35" s="1"/>
  <c r="R1086" i="35"/>
  <c r="R408" i="35" s="1"/>
  <c r="R1118" i="35"/>
  <c r="R440" i="35" s="1"/>
  <c r="R1044" i="35"/>
  <c r="R366" i="35" s="1"/>
  <c r="R1054" i="35"/>
  <c r="R376" i="35" s="1"/>
  <c r="V1014" i="35"/>
  <c r="V996" i="35"/>
  <c r="V285" i="35" s="1"/>
  <c r="V967" i="35"/>
  <c r="V256" i="35" s="1"/>
  <c r="V980" i="35"/>
  <c r="V269" i="35" s="1"/>
  <c r="V932" i="35"/>
  <c r="V221" i="35" s="1"/>
  <c r="V933" i="35"/>
  <c r="V222" i="35" s="1"/>
  <c r="O902" i="35"/>
  <c r="V117" i="35"/>
  <c r="V425" i="35"/>
  <c r="V365" i="35"/>
  <c r="O1222" i="35"/>
  <c r="O577" i="35" s="1"/>
  <c r="O1152" i="35"/>
  <c r="O507" i="35" s="1"/>
  <c r="O847" i="35"/>
  <c r="O103" i="35" s="1"/>
  <c r="V438" i="35"/>
  <c r="O1213" i="35"/>
  <c r="O568" i="35" s="1"/>
  <c r="V485" i="35"/>
  <c r="V486" i="35"/>
  <c r="O1172" i="35"/>
  <c r="O1178" i="35"/>
  <c r="O533" i="35" s="1"/>
  <c r="O1180" i="35"/>
  <c r="O535" i="35" s="1"/>
  <c r="O1201" i="35"/>
  <c r="O1163" i="35"/>
  <c r="O518" i="35" s="1"/>
  <c r="O1162" i="35"/>
  <c r="O517" i="35" s="1"/>
  <c r="O1207" i="35"/>
  <c r="O1128" i="35"/>
  <c r="O483" i="35" s="1"/>
  <c r="O1160" i="35"/>
  <c r="O1137" i="35"/>
  <c r="O492" i="35" s="1"/>
  <c r="O1151" i="35"/>
  <c r="O506" i="35" s="1"/>
  <c r="V293" i="35"/>
  <c r="V215" i="35"/>
  <c r="V528" i="35"/>
  <c r="V560" i="35"/>
  <c r="V539" i="35"/>
  <c r="V544" i="35"/>
  <c r="V548" i="35"/>
  <c r="V495" i="35"/>
  <c r="V499" i="35"/>
  <c r="V508" i="35"/>
  <c r="O1205" i="35"/>
  <c r="O1219" i="35"/>
  <c r="O574" i="35" s="1"/>
  <c r="O1200" i="35"/>
  <c r="O555" i="35" s="1"/>
  <c r="O1198" i="35"/>
  <c r="O553" i="35" s="1"/>
  <c r="O1183" i="35"/>
  <c r="O538" i="35" s="1"/>
  <c r="O1208" i="35"/>
  <c r="O563" i="35" s="1"/>
  <c r="O1210" i="35"/>
  <c r="O1156" i="35"/>
  <c r="O511" i="35" s="1"/>
  <c r="O1136" i="35"/>
  <c r="O491" i="35" s="1"/>
  <c r="O1155" i="35"/>
  <c r="O510" i="35" s="1"/>
  <c r="O1153" i="35"/>
  <c r="O508" i="35" s="1"/>
  <c r="V558" i="35"/>
  <c r="V559" i="35"/>
  <c r="V557" i="35"/>
  <c r="V556" i="35"/>
  <c r="V564" i="35"/>
  <c r="V515" i="35"/>
  <c r="V510" i="35"/>
  <c r="V496" i="35"/>
  <c r="O1173" i="35"/>
  <c r="O1206" i="35"/>
  <c r="O561" i="35" s="1"/>
  <c r="O1196" i="35"/>
  <c r="O551" i="35" s="1"/>
  <c r="O1164" i="35"/>
  <c r="O1218" i="35"/>
  <c r="O573" i="35" s="1"/>
  <c r="O1179" i="35"/>
  <c r="O534" i="35" s="1"/>
  <c r="O1187" i="35"/>
  <c r="O542" i="35" s="1"/>
  <c r="O1193" i="35"/>
  <c r="O548" i="35" s="1"/>
  <c r="O1145" i="35"/>
  <c r="O1141" i="35"/>
  <c r="O1139" i="35"/>
  <c r="O494" i="35" s="1"/>
  <c r="V498" i="35"/>
  <c r="V503" i="35"/>
  <c r="O1166" i="35"/>
  <c r="O521" i="35" s="1"/>
  <c r="O1186" i="35"/>
  <c r="O1176" i="35"/>
  <c r="O531" i="35" s="1"/>
  <c r="O1168" i="35"/>
  <c r="O523" i="35" s="1"/>
  <c r="O1174" i="35"/>
  <c r="O529" i="35" s="1"/>
  <c r="O1221" i="35"/>
  <c r="O576" i="35" s="1"/>
  <c r="O1212" i="35"/>
  <c r="O567" i="35" s="1"/>
  <c r="O1149" i="35"/>
  <c r="O504" i="35" s="1"/>
  <c r="O1143" i="35"/>
  <c r="O498" i="35" s="1"/>
  <c r="O1130" i="35"/>
  <c r="O1131" i="35"/>
  <c r="O486" i="35" s="1"/>
  <c r="V283" i="35"/>
  <c r="V302" i="35"/>
  <c r="V253" i="35"/>
  <c r="V235" i="35"/>
  <c r="V577" i="35"/>
  <c r="V532" i="35"/>
  <c r="V518" i="35"/>
  <c r="V483" i="35"/>
  <c r="V572" i="35"/>
  <c r="V484" i="35"/>
  <c r="V492" i="35"/>
  <c r="V507" i="35"/>
  <c r="O1170" i="35"/>
  <c r="O525" i="35" s="1"/>
  <c r="O1182" i="35"/>
  <c r="O537" i="35" s="1"/>
  <c r="O1217" i="35"/>
  <c r="O1204" i="35"/>
  <c r="O1199" i="35"/>
  <c r="O554" i="35" s="1"/>
  <c r="O1189" i="35"/>
  <c r="O544" i="35" s="1"/>
  <c r="O1209" i="35"/>
  <c r="O564" i="35" s="1"/>
  <c r="O1154" i="35"/>
  <c r="O1133" i="35"/>
  <c r="O488" i="35" s="1"/>
  <c r="O1134" i="35"/>
  <c r="O1140" i="35"/>
  <c r="V525" i="35"/>
  <c r="V521" i="35"/>
  <c r="V538" i="35"/>
  <c r="V535" i="35"/>
  <c r="V524" i="35"/>
  <c r="V543" i="35"/>
  <c r="V529" i="35"/>
  <c r="V487" i="35"/>
  <c r="V502" i="35"/>
  <c r="V497" i="35"/>
  <c r="V501" i="35"/>
  <c r="O1203" i="35"/>
  <c r="O558" i="35" s="1"/>
  <c r="O1214" i="35"/>
  <c r="O569" i="35" s="1"/>
  <c r="O1216" i="35"/>
  <c r="O571" i="35" s="1"/>
  <c r="O1202" i="35"/>
  <c r="O557" i="35" s="1"/>
  <c r="O1195" i="35"/>
  <c r="O550" i="35" s="1"/>
  <c r="O1188" i="35"/>
  <c r="O543" i="35" s="1"/>
  <c r="O1185" i="35"/>
  <c r="O540" i="35" s="1"/>
  <c r="O1150" i="35"/>
  <c r="O505" i="35" s="1"/>
  <c r="O1148" i="35"/>
  <c r="O503" i="35" s="1"/>
  <c r="O1144" i="35"/>
  <c r="O499" i="35" s="1"/>
  <c r="O1146" i="35"/>
  <c r="O501" i="35" s="1"/>
  <c r="V531" i="35"/>
  <c r="V520" i="35"/>
  <c r="V505" i="35"/>
  <c r="V491" i="35"/>
  <c r="V493" i="35"/>
  <c r="V482" i="35"/>
  <c r="O1167" i="35"/>
  <c r="O522" i="35" s="1"/>
  <c r="O1211" i="35"/>
  <c r="O566" i="35" s="1"/>
  <c r="O1184" i="35"/>
  <c r="O539" i="35" s="1"/>
  <c r="O1177" i="35"/>
  <c r="O1197" i="35"/>
  <c r="O552" i="35" s="1"/>
  <c r="O1165" i="35"/>
  <c r="O520" i="35" s="1"/>
  <c r="O1220" i="35"/>
  <c r="O575" i="35" s="1"/>
  <c r="O1147" i="35"/>
  <c r="O1135" i="35"/>
  <c r="O490" i="35" s="1"/>
  <c r="O1138" i="35"/>
  <c r="O493" i="35" s="1"/>
  <c r="V282" i="35"/>
  <c r="O83" i="35"/>
  <c r="N26" i="45"/>
  <c r="N71" i="32"/>
  <c r="K26" i="45"/>
  <c r="R429" i="35"/>
  <c r="R405" i="35"/>
  <c r="R362" i="35"/>
  <c r="R354" i="35"/>
  <c r="R394" i="35"/>
  <c r="I447" i="35"/>
  <c r="M148" i="35"/>
  <c r="O889" i="35"/>
  <c r="O145" i="35" s="1"/>
  <c r="O904" i="35"/>
  <c r="O160" i="35" s="1"/>
  <c r="O900" i="35"/>
  <c r="O906" i="35"/>
  <c r="O162" i="35" s="1"/>
  <c r="O892" i="35"/>
  <c r="O148" i="35" s="1"/>
  <c r="O881" i="35"/>
  <c r="O137" i="35" s="1"/>
  <c r="O890" i="35"/>
  <c r="O146" i="35" s="1"/>
  <c r="O862" i="35"/>
  <c r="O118" i="35" s="1"/>
  <c r="O830" i="35"/>
  <c r="O86" i="35" s="1"/>
  <c r="O846" i="35"/>
  <c r="O102" i="35" s="1"/>
  <c r="O836" i="35"/>
  <c r="O92" i="35" s="1"/>
  <c r="O844" i="35"/>
  <c r="O100" i="35" s="1"/>
  <c r="M387" i="35"/>
  <c r="M398" i="35"/>
  <c r="M418" i="35"/>
  <c r="M430" i="35"/>
  <c r="M439" i="35"/>
  <c r="M419" i="35"/>
  <c r="M407" i="35"/>
  <c r="M355" i="35"/>
  <c r="M360" i="35"/>
  <c r="M375" i="35"/>
  <c r="M364" i="35"/>
  <c r="M560" i="35"/>
  <c r="M551" i="35"/>
  <c r="M535" i="35"/>
  <c r="M568" i="35"/>
  <c r="M526" i="35"/>
  <c r="M548" i="35"/>
  <c r="M489" i="35"/>
  <c r="M496" i="35"/>
  <c r="M494" i="35"/>
  <c r="M81" i="35"/>
  <c r="AA1074" i="35"/>
  <c r="AA396" i="35" s="1"/>
  <c r="AA1075" i="35"/>
  <c r="AA397" i="35" s="1"/>
  <c r="AA1108" i="35"/>
  <c r="AA1067" i="35"/>
  <c r="AA389" i="35" s="1"/>
  <c r="AA1104" i="35"/>
  <c r="AA426" i="35" s="1"/>
  <c r="AA1119" i="35"/>
  <c r="AA441" i="35" s="1"/>
  <c r="AA1120" i="35"/>
  <c r="AA442" i="35" s="1"/>
  <c r="AA1102" i="35"/>
  <c r="AA424" i="35" s="1"/>
  <c r="AA1028" i="35"/>
  <c r="AA1029" i="35"/>
  <c r="AA351" i="35" s="1"/>
  <c r="AA1043" i="35"/>
  <c r="AA365" i="35" s="1"/>
  <c r="O1062" i="35"/>
  <c r="O384" i="35" s="1"/>
  <c r="O1110" i="35"/>
  <c r="O432" i="35" s="1"/>
  <c r="O1096" i="35"/>
  <c r="O418" i="35" s="1"/>
  <c r="O1063" i="35"/>
  <c r="O385" i="35" s="1"/>
  <c r="O1081" i="35"/>
  <c r="O403" i="35" s="1"/>
  <c r="O1080" i="35"/>
  <c r="O402" i="35" s="1"/>
  <c r="O1026" i="35"/>
  <c r="O348" i="35" s="1"/>
  <c r="O1058" i="35"/>
  <c r="O380" i="35" s="1"/>
  <c r="O1042" i="35"/>
  <c r="O364" i="35" s="1"/>
  <c r="O1041" i="35"/>
  <c r="O363" i="35" s="1"/>
  <c r="O1043" i="35"/>
  <c r="O365" i="35" s="1"/>
  <c r="M125" i="35"/>
  <c r="M171" i="35"/>
  <c r="M166" i="35"/>
  <c r="M145" i="35"/>
  <c r="M78" i="35"/>
  <c r="M80" i="35"/>
  <c r="R832" i="35"/>
  <c r="R88" i="35" s="1"/>
  <c r="O888" i="35"/>
  <c r="O144" i="35" s="1"/>
  <c r="O875" i="35"/>
  <c r="O131" i="35" s="1"/>
  <c r="O858" i="35"/>
  <c r="O114" i="35" s="1"/>
  <c r="O913" i="35"/>
  <c r="O169" i="35" s="1"/>
  <c r="O834" i="35"/>
  <c r="O90" i="35" s="1"/>
  <c r="O825" i="35"/>
  <c r="O81" i="35" s="1"/>
  <c r="O848" i="35"/>
  <c r="O104" i="35" s="1"/>
  <c r="M400" i="35"/>
  <c r="M401" i="35"/>
  <c r="M396" i="35"/>
  <c r="M403" i="35"/>
  <c r="M402" i="35"/>
  <c r="M442" i="35"/>
  <c r="M413" i="35"/>
  <c r="M359" i="35"/>
  <c r="M349" i="35"/>
  <c r="M363" i="35"/>
  <c r="M365" i="35"/>
  <c r="M522" i="35"/>
  <c r="M523" i="35"/>
  <c r="M559" i="35"/>
  <c r="M519" i="35"/>
  <c r="M553" i="35"/>
  <c r="M505" i="35"/>
  <c r="M499" i="35"/>
  <c r="M507" i="35"/>
  <c r="AA1098" i="35"/>
  <c r="AA420" i="35" s="1"/>
  <c r="AA1082" i="35"/>
  <c r="AA404" i="35" s="1"/>
  <c r="AA1065" i="35"/>
  <c r="AA387" i="35" s="1"/>
  <c r="AA1101" i="35"/>
  <c r="AA423" i="35" s="1"/>
  <c r="AA1068" i="35"/>
  <c r="AA390" i="35" s="1"/>
  <c r="AA1064" i="35"/>
  <c r="AA386" i="35" s="1"/>
  <c r="AA1066" i="35"/>
  <c r="AA388" i="35" s="1"/>
  <c r="AA1040" i="35"/>
  <c r="AA362" i="35" s="1"/>
  <c r="AA1046" i="35"/>
  <c r="AA368" i="35" s="1"/>
  <c r="AA1053" i="35"/>
  <c r="AA375" i="35" s="1"/>
  <c r="AA1041" i="35"/>
  <c r="AA363" i="35" s="1"/>
  <c r="O1082" i="35"/>
  <c r="O404" i="35" s="1"/>
  <c r="O1109" i="35"/>
  <c r="O431" i="35" s="1"/>
  <c r="O1100" i="35"/>
  <c r="O422" i="35" s="1"/>
  <c r="O1106" i="35"/>
  <c r="O428" i="35" s="1"/>
  <c r="O1111" i="35"/>
  <c r="O433" i="35" s="1"/>
  <c r="O1119" i="35"/>
  <c r="O441" i="35" s="1"/>
  <c r="O1118" i="35"/>
  <c r="O1040" i="35"/>
  <c r="O362" i="35" s="1"/>
  <c r="O1029" i="35"/>
  <c r="O351" i="35" s="1"/>
  <c r="O1046" i="35"/>
  <c r="O368" i="35" s="1"/>
  <c r="O1039" i="35"/>
  <c r="O361" i="35" s="1"/>
  <c r="M138" i="35"/>
  <c r="M120" i="35"/>
  <c r="M167" i="35"/>
  <c r="M128" i="35"/>
  <c r="M151" i="35"/>
  <c r="M118" i="35"/>
  <c r="M155" i="35"/>
  <c r="M85" i="35"/>
  <c r="M100" i="35"/>
  <c r="M82" i="35"/>
  <c r="W246" i="35"/>
  <c r="W266" i="35"/>
  <c r="W271" i="35"/>
  <c r="W296" i="35"/>
  <c r="W293" i="35"/>
  <c r="W298" i="35"/>
  <c r="W300" i="35"/>
  <c r="W213" i="35"/>
  <c r="W232" i="35"/>
  <c r="W223" i="35"/>
  <c r="W238" i="35"/>
  <c r="W227" i="35"/>
  <c r="O867" i="35"/>
  <c r="O123" i="35" s="1"/>
  <c r="O877" i="35"/>
  <c r="O133" i="35" s="1"/>
  <c r="O874" i="35"/>
  <c r="O130" i="35" s="1"/>
  <c r="O832" i="35"/>
  <c r="O88" i="35" s="1"/>
  <c r="O854" i="35"/>
  <c r="O110" i="35" s="1"/>
  <c r="O903" i="35"/>
  <c r="O159" i="35" s="1"/>
  <c r="O860" i="35"/>
  <c r="O116" i="35" s="1"/>
  <c r="O864" i="35"/>
  <c r="O120" i="35" s="1"/>
  <c r="O863" i="35"/>
  <c r="O119" i="35" s="1"/>
  <c r="O911" i="35"/>
  <c r="O167" i="35" s="1"/>
  <c r="O916" i="35"/>
  <c r="O172" i="35" s="1"/>
  <c r="O899" i="35"/>
  <c r="O155" i="35" s="1"/>
  <c r="O826" i="35"/>
  <c r="O82" i="35" s="1"/>
  <c r="O835" i="35"/>
  <c r="O91" i="35" s="1"/>
  <c r="O842" i="35"/>
  <c r="O98" i="35" s="1"/>
  <c r="O823" i="35"/>
  <c r="O79" i="35" s="1"/>
  <c r="O850" i="35"/>
  <c r="O106" i="35" s="1"/>
  <c r="M385" i="35"/>
  <c r="M428" i="35"/>
  <c r="M399" i="35"/>
  <c r="M441" i="35"/>
  <c r="M405" i="35"/>
  <c r="M383" i="35"/>
  <c r="M406" i="35"/>
  <c r="M369" i="35"/>
  <c r="M353" i="35"/>
  <c r="M361" i="35"/>
  <c r="M347" i="35"/>
  <c r="M574" i="35"/>
  <c r="M557" i="35"/>
  <c r="M563" i="35"/>
  <c r="M531" i="35"/>
  <c r="M572" i="35"/>
  <c r="M564" i="35"/>
  <c r="M515" i="35"/>
  <c r="M498" i="35"/>
  <c r="M486" i="35"/>
  <c r="M482" i="35"/>
  <c r="W85" i="35"/>
  <c r="AA1112" i="35"/>
  <c r="AA434" i="35" s="1"/>
  <c r="AA1063" i="35"/>
  <c r="AA385" i="35" s="1"/>
  <c r="AA1115" i="35"/>
  <c r="AA437" i="35" s="1"/>
  <c r="AA1081" i="35"/>
  <c r="AA403" i="35" s="1"/>
  <c r="AA1113" i="35"/>
  <c r="AA435" i="35" s="1"/>
  <c r="AA1026" i="35"/>
  <c r="AA348" i="35" s="1"/>
  <c r="AA1085" i="35"/>
  <c r="AA407" i="35" s="1"/>
  <c r="AA1036" i="35"/>
  <c r="AA358" i="35" s="1"/>
  <c r="AA1034" i="35"/>
  <c r="AA356" i="35" s="1"/>
  <c r="AA1048" i="35"/>
  <c r="AA370" i="35" s="1"/>
  <c r="AA1051" i="35"/>
  <c r="AA373" i="35" s="1"/>
  <c r="O1073" i="35"/>
  <c r="O395" i="35" s="1"/>
  <c r="O1067" i="35"/>
  <c r="O389" i="35" s="1"/>
  <c r="O1083" i="35"/>
  <c r="O405" i="35" s="1"/>
  <c r="O1070" i="35"/>
  <c r="O392" i="35" s="1"/>
  <c r="O1071" i="35"/>
  <c r="O393" i="35" s="1"/>
  <c r="O1086" i="35"/>
  <c r="O408" i="35" s="1"/>
  <c r="O1099" i="35"/>
  <c r="O421" i="35" s="1"/>
  <c r="O1037" i="35"/>
  <c r="O359" i="35" s="1"/>
  <c r="O1034" i="35"/>
  <c r="O356" i="35" s="1"/>
  <c r="O1038" i="35"/>
  <c r="O360" i="35" s="1"/>
  <c r="O1051" i="35"/>
  <c r="O373" i="35" s="1"/>
  <c r="M131" i="35"/>
  <c r="M116" i="35"/>
  <c r="M157" i="35"/>
  <c r="M115" i="35"/>
  <c r="M169" i="35"/>
  <c r="M158" i="35"/>
  <c r="M84" i="35"/>
  <c r="M87" i="35"/>
  <c r="AA516" i="35"/>
  <c r="O871" i="35"/>
  <c r="O127" i="35" s="1"/>
  <c r="O831" i="35"/>
  <c r="O87" i="35" s="1"/>
  <c r="M409" i="35"/>
  <c r="M431" i="35"/>
  <c r="M422" i="35"/>
  <c r="M397" i="35"/>
  <c r="M438" i="35"/>
  <c r="M382" i="35"/>
  <c r="M424" i="35"/>
  <c r="M388" i="35"/>
  <c r="M351" i="35"/>
  <c r="M356" i="35"/>
  <c r="M354" i="35"/>
  <c r="M536" i="35"/>
  <c r="M533" i="35"/>
  <c r="M556" i="35"/>
  <c r="M540" i="35"/>
  <c r="M542" i="35"/>
  <c r="M511" i="35"/>
  <c r="M492" i="35"/>
  <c r="M497" i="35"/>
  <c r="AA1077" i="35"/>
  <c r="AA399" i="35" s="1"/>
  <c r="AA1073" i="35"/>
  <c r="AA395" i="35" s="1"/>
  <c r="AA1106" i="35"/>
  <c r="AA428" i="35" s="1"/>
  <c r="AA1105" i="35"/>
  <c r="AA427" i="35" s="1"/>
  <c r="AA1116" i="35"/>
  <c r="AA438" i="35" s="1"/>
  <c r="AA1091" i="35"/>
  <c r="AA413" i="35" s="1"/>
  <c r="AA1086" i="35"/>
  <c r="AA408" i="35" s="1"/>
  <c r="AA1044" i="35"/>
  <c r="AA366" i="35" s="1"/>
  <c r="AA1031" i="35"/>
  <c r="AA353" i="35" s="1"/>
  <c r="AA1038" i="35"/>
  <c r="AA360" i="35" s="1"/>
  <c r="AA1032" i="35"/>
  <c r="AA354" i="35" s="1"/>
  <c r="O1103" i="35"/>
  <c r="O425" i="35" s="1"/>
  <c r="O1074" i="35"/>
  <c r="O1087" i="35"/>
  <c r="O409" i="35" s="1"/>
  <c r="O1068" i="35"/>
  <c r="O390" i="35" s="1"/>
  <c r="O1060" i="35"/>
  <c r="O382" i="35" s="1"/>
  <c r="O1093" i="35"/>
  <c r="O415" i="35" s="1"/>
  <c r="O1120" i="35"/>
  <c r="O442" i="35" s="1"/>
  <c r="O1033" i="35"/>
  <c r="O355" i="35" s="1"/>
  <c r="O1028" i="35"/>
  <c r="O350" i="35" s="1"/>
  <c r="O1049" i="35"/>
  <c r="O371" i="35" s="1"/>
  <c r="O1032" i="35"/>
  <c r="O354" i="35" s="1"/>
  <c r="M149" i="35"/>
  <c r="M127" i="35"/>
  <c r="M129" i="35"/>
  <c r="M170" i="35"/>
  <c r="M126" i="35"/>
  <c r="M147" i="35"/>
  <c r="M95" i="35"/>
  <c r="M98" i="35"/>
  <c r="O869" i="35"/>
  <c r="O125" i="35" s="1"/>
  <c r="O870" i="35"/>
  <c r="O845" i="35"/>
  <c r="O101" i="35" s="1"/>
  <c r="O910" i="35"/>
  <c r="O166" i="35" s="1"/>
  <c r="O859" i="35"/>
  <c r="O115" i="35" s="1"/>
  <c r="O897" i="35"/>
  <c r="O153" i="35" s="1"/>
  <c r="O873" i="35"/>
  <c r="O129" i="35" s="1"/>
  <c r="O914" i="35"/>
  <c r="O170" i="35" s="1"/>
  <c r="O865" i="35"/>
  <c r="O121" i="35" s="1"/>
  <c r="O895" i="35"/>
  <c r="O887" i="35"/>
  <c r="O143" i="35" s="1"/>
  <c r="O822" i="35"/>
  <c r="O78" i="35" s="1"/>
  <c r="O833" i="35"/>
  <c r="O89" i="35" s="1"/>
  <c r="O839" i="35"/>
  <c r="O95" i="35" s="1"/>
  <c r="M425" i="35"/>
  <c r="M427" i="35"/>
  <c r="M384" i="35"/>
  <c r="M389" i="35"/>
  <c r="M435" i="35"/>
  <c r="M426" i="35"/>
  <c r="M436" i="35"/>
  <c r="M348" i="35"/>
  <c r="M350" i="35"/>
  <c r="M373" i="35"/>
  <c r="M357" i="35"/>
  <c r="M555" i="35"/>
  <c r="M537" i="35"/>
  <c r="M518" i="35"/>
  <c r="M561" i="35"/>
  <c r="M575" i="35"/>
  <c r="M576" i="35"/>
  <c r="M504" i="35"/>
  <c r="M510" i="35"/>
  <c r="M485" i="35"/>
  <c r="W160" i="35"/>
  <c r="W83" i="35"/>
  <c r="AA1103" i="35"/>
  <c r="AA425" i="35" s="1"/>
  <c r="AA1107" i="35"/>
  <c r="AA429" i="35" s="1"/>
  <c r="AA1062" i="35"/>
  <c r="AA384" i="35" s="1"/>
  <c r="AA1071" i="35"/>
  <c r="AA393" i="35" s="1"/>
  <c r="AA1117" i="35"/>
  <c r="AA439" i="35" s="1"/>
  <c r="AA1084" i="35"/>
  <c r="AA406" i="35" s="1"/>
  <c r="AA1099" i="35"/>
  <c r="AA421" i="35" s="1"/>
  <c r="AA1037" i="35"/>
  <c r="AA359" i="35" s="1"/>
  <c r="AA1045" i="35"/>
  <c r="AA367" i="35" s="1"/>
  <c r="AA1054" i="35"/>
  <c r="AA376" i="35" s="1"/>
  <c r="AA1025" i="35"/>
  <c r="AA347" i="35" s="1"/>
  <c r="W536" i="35"/>
  <c r="W522" i="35"/>
  <c r="W563" i="35"/>
  <c r="W552" i="35"/>
  <c r="W532" i="35"/>
  <c r="W520" i="35"/>
  <c r="W526" i="35"/>
  <c r="W509" i="35"/>
  <c r="W502" i="35"/>
  <c r="W501" i="35"/>
  <c r="W482" i="35"/>
  <c r="O1115" i="35"/>
  <c r="O437" i="35" s="1"/>
  <c r="O1078" i="35"/>
  <c r="O400" i="35" s="1"/>
  <c r="O1112" i="35"/>
  <c r="O434" i="35" s="1"/>
  <c r="O1069" i="35"/>
  <c r="O391" i="35" s="1"/>
  <c r="O1116" i="35"/>
  <c r="O438" i="35" s="1"/>
  <c r="O1084" i="35"/>
  <c r="O406" i="35" s="1"/>
  <c r="O1097" i="35"/>
  <c r="O419" i="35" s="1"/>
  <c r="O1036" i="35"/>
  <c r="O358" i="35" s="1"/>
  <c r="O1048" i="35"/>
  <c r="O370" i="35" s="1"/>
  <c r="O1054" i="35"/>
  <c r="O376" i="35" s="1"/>
  <c r="O1025" i="35"/>
  <c r="O347" i="35" s="1"/>
  <c r="M159" i="35"/>
  <c r="M168" i="35"/>
  <c r="M172" i="35"/>
  <c r="M152" i="35"/>
  <c r="M130" i="35"/>
  <c r="M121" i="35"/>
  <c r="M139" i="35"/>
  <c r="M102" i="35"/>
  <c r="M106" i="35"/>
  <c r="M86" i="35"/>
  <c r="M92" i="35"/>
  <c r="M248" i="35"/>
  <c r="O898" i="35"/>
  <c r="O154" i="35" s="1"/>
  <c r="O840" i="35"/>
  <c r="O96" i="35" s="1"/>
  <c r="O879" i="35"/>
  <c r="O135" i="35" s="1"/>
  <c r="O893" i="35"/>
  <c r="O149" i="35" s="1"/>
  <c r="O868" i="35"/>
  <c r="O124" i="35" s="1"/>
  <c r="O907" i="35"/>
  <c r="O163" i="35" s="1"/>
  <c r="O856" i="35"/>
  <c r="O112" i="35" s="1"/>
  <c r="O878" i="35"/>
  <c r="O134" i="35" s="1"/>
  <c r="O880" i="35"/>
  <c r="O136" i="35" s="1"/>
  <c r="O838" i="35"/>
  <c r="O94" i="35" s="1"/>
  <c r="O819" i="35"/>
  <c r="O921" i="35" s="1"/>
  <c r="O894" i="35"/>
  <c r="O150" i="35" s="1"/>
  <c r="O837" i="35"/>
  <c r="O93" i="35" s="1"/>
  <c r="M392" i="35"/>
  <c r="M395" i="35"/>
  <c r="M420" i="35"/>
  <c r="M432" i="35"/>
  <c r="M433" i="35"/>
  <c r="M391" i="35"/>
  <c r="M408" i="35"/>
  <c r="M380" i="35"/>
  <c r="M366" i="35"/>
  <c r="M367" i="35"/>
  <c r="M376" i="35"/>
  <c r="M569" i="35"/>
  <c r="M534" i="35"/>
  <c r="M571" i="35"/>
  <c r="M530" i="35"/>
  <c r="M484" i="35"/>
  <c r="M503" i="35"/>
  <c r="M493" i="35"/>
  <c r="W156" i="35"/>
  <c r="AA1109" i="35"/>
  <c r="AA431" i="35" s="1"/>
  <c r="AA1076" i="35"/>
  <c r="AA398" i="35" s="1"/>
  <c r="AA1087" i="35"/>
  <c r="AA409" i="35" s="1"/>
  <c r="AA1094" i="35"/>
  <c r="AA416" i="35" s="1"/>
  <c r="AA1083" i="35"/>
  <c r="AA405" i="35" s="1"/>
  <c r="AA1080" i="35"/>
  <c r="AA402" i="35" s="1"/>
  <c r="AA1058" i="35"/>
  <c r="AA380" i="35" s="1"/>
  <c r="AA1097" i="35"/>
  <c r="AA419" i="35" s="1"/>
  <c r="AA1050" i="35"/>
  <c r="AA372" i="35" s="1"/>
  <c r="AA1042" i="35"/>
  <c r="AA364" i="35" s="1"/>
  <c r="AA1039" i="35"/>
  <c r="AA361" i="35" s="1"/>
  <c r="O1075" i="35"/>
  <c r="O397" i="35" s="1"/>
  <c r="O1107" i="35"/>
  <c r="O429" i="35" s="1"/>
  <c r="O1105" i="35"/>
  <c r="O427" i="35" s="1"/>
  <c r="O1095" i="35"/>
  <c r="O1104" i="35"/>
  <c r="O426" i="35" s="1"/>
  <c r="O1113" i="35"/>
  <c r="O435" i="35" s="1"/>
  <c r="O1064" i="35"/>
  <c r="O386" i="35" s="1"/>
  <c r="O1066" i="35"/>
  <c r="O388" i="35" s="1"/>
  <c r="O1050" i="35"/>
  <c r="O372" i="35" s="1"/>
  <c r="O1044" i="35"/>
  <c r="O366" i="35" s="1"/>
  <c r="O1035" i="35"/>
  <c r="O357" i="35" s="1"/>
  <c r="M135" i="35"/>
  <c r="M162" i="35"/>
  <c r="M119" i="35"/>
  <c r="M146" i="35"/>
  <c r="M134" i="35"/>
  <c r="M165" i="35"/>
  <c r="M90" i="35"/>
  <c r="M103" i="35"/>
  <c r="O908" i="35"/>
  <c r="O164" i="35" s="1"/>
  <c r="O909" i="35"/>
  <c r="O165" i="35" s="1"/>
  <c r="O843" i="35"/>
  <c r="O99" i="35" s="1"/>
  <c r="O912" i="35"/>
  <c r="O168" i="35" s="1"/>
  <c r="O882" i="35"/>
  <c r="O138" i="35" s="1"/>
  <c r="O896" i="35"/>
  <c r="O152" i="35" s="1"/>
  <c r="O905" i="35"/>
  <c r="O161" i="35" s="1"/>
  <c r="O883" i="35"/>
  <c r="O139" i="35" s="1"/>
  <c r="O861" i="35"/>
  <c r="O117" i="35" s="1"/>
  <c r="O876" i="35"/>
  <c r="O132" i="35" s="1"/>
  <c r="O841" i="35"/>
  <c r="O97" i="35" s="1"/>
  <c r="O828" i="35"/>
  <c r="O84" i="35" s="1"/>
  <c r="O891" i="35"/>
  <c r="O147" i="35" s="1"/>
  <c r="M434" i="35"/>
  <c r="M429" i="35"/>
  <c r="M416" i="35"/>
  <c r="M394" i="35"/>
  <c r="M390" i="35"/>
  <c r="M440" i="35"/>
  <c r="M421" i="35"/>
  <c r="M362" i="35"/>
  <c r="M370" i="35"/>
  <c r="M372" i="35"/>
  <c r="M371" i="35"/>
  <c r="M541" i="35"/>
  <c r="M558" i="35"/>
  <c r="M554" i="35"/>
  <c r="M539" i="35"/>
  <c r="M550" i="35"/>
  <c r="M562" i="35"/>
  <c r="M567" i="35"/>
  <c r="M502" i="35"/>
  <c r="M491" i="35"/>
  <c r="W154" i="35"/>
  <c r="AA1072" i="35"/>
  <c r="AA394" i="35" s="1"/>
  <c r="AA1079" i="35"/>
  <c r="AA401" i="35" s="1"/>
  <c r="AA1095" i="35"/>
  <c r="AA417" i="35" s="1"/>
  <c r="AA1096" i="35"/>
  <c r="AA418" i="35" s="1"/>
  <c r="AA1060" i="35"/>
  <c r="AA382" i="35" s="1"/>
  <c r="AA1069" i="35"/>
  <c r="AA391" i="35" s="1"/>
  <c r="AA1114" i="35"/>
  <c r="AA436" i="35" s="1"/>
  <c r="AA1118" i="35"/>
  <c r="AA440" i="35" s="1"/>
  <c r="AA1027" i="35"/>
  <c r="AA349" i="35" s="1"/>
  <c r="AA1047" i="35"/>
  <c r="AA369" i="35" s="1"/>
  <c r="O1108" i="35"/>
  <c r="O430" i="35" s="1"/>
  <c r="O1079" i="35"/>
  <c r="O401" i="35" s="1"/>
  <c r="O1076" i="35"/>
  <c r="O398" i="35" s="1"/>
  <c r="O1072" i="35"/>
  <c r="O394" i="35" s="1"/>
  <c r="O1102" i="35"/>
  <c r="O424" i="35" s="1"/>
  <c r="O1117" i="35"/>
  <c r="O439" i="35" s="1"/>
  <c r="O1061" i="35"/>
  <c r="O383" i="35" s="1"/>
  <c r="O1085" i="35"/>
  <c r="O407" i="35" s="1"/>
  <c r="O1027" i="35"/>
  <c r="O349" i="35" s="1"/>
  <c r="O1031" i="35"/>
  <c r="O353" i="35" s="1"/>
  <c r="M111" i="35"/>
  <c r="M160" i="35"/>
  <c r="M153" i="35"/>
  <c r="M163" i="35"/>
  <c r="M136" i="35"/>
  <c r="M97" i="35"/>
  <c r="M89" i="35"/>
  <c r="M110" i="35"/>
  <c r="R898" i="35"/>
  <c r="R154" i="35" s="1"/>
  <c r="U210" i="35"/>
  <c r="V1015" i="35"/>
  <c r="V304" i="35" s="1"/>
  <c r="V984" i="35"/>
  <c r="V273" i="35" s="1"/>
  <c r="V1005" i="35"/>
  <c r="V294" i="35" s="1"/>
  <c r="V1003" i="35"/>
  <c r="V292" i="35" s="1"/>
  <c r="V995" i="35"/>
  <c r="V1018" i="35"/>
  <c r="V307" i="35" s="1"/>
  <c r="V976" i="35"/>
  <c r="V265" i="35" s="1"/>
  <c r="V940" i="35"/>
  <c r="V229" i="35" s="1"/>
  <c r="V938" i="35"/>
  <c r="V227" i="35" s="1"/>
  <c r="V949" i="35"/>
  <c r="V238" i="35" s="1"/>
  <c r="V937" i="35"/>
  <c r="V226" i="35" s="1"/>
  <c r="V1194" i="35"/>
  <c r="V549" i="35" s="1"/>
  <c r="V974" i="35"/>
  <c r="V263" i="35" s="1"/>
  <c r="V983" i="35"/>
  <c r="V272" i="35" s="1"/>
  <c r="V960" i="35"/>
  <c r="V249" i="35" s="1"/>
  <c r="V959" i="35"/>
  <c r="V248" i="35" s="1"/>
  <c r="V991" i="35"/>
  <c r="V280" i="35" s="1"/>
  <c r="V1016" i="35"/>
  <c r="V305" i="35" s="1"/>
  <c r="V1010" i="35"/>
  <c r="V299" i="35" s="1"/>
  <c r="V942" i="35"/>
  <c r="V231" i="35" s="1"/>
  <c r="V947" i="35"/>
  <c r="V236" i="35" s="1"/>
  <c r="V956" i="35"/>
  <c r="V245" i="35" s="1"/>
  <c r="V944" i="35"/>
  <c r="V233" i="35" s="1"/>
  <c r="V963" i="35"/>
  <c r="V252" i="35" s="1"/>
  <c r="V1017" i="35"/>
  <c r="V306" i="35" s="1"/>
  <c r="V1007" i="35"/>
  <c r="V296" i="35" s="1"/>
  <c r="V966" i="35"/>
  <c r="V255" i="35" s="1"/>
  <c r="V962" i="35"/>
  <c r="V251" i="35" s="1"/>
  <c r="V970" i="35"/>
  <c r="V259" i="35" s="1"/>
  <c r="V978" i="35"/>
  <c r="V267" i="35" s="1"/>
  <c r="V989" i="35"/>
  <c r="V278" i="35" s="1"/>
  <c r="V936" i="35"/>
  <c r="V225" i="35" s="1"/>
  <c r="V931" i="35"/>
  <c r="V220" i="35" s="1"/>
  <c r="V941" i="35"/>
  <c r="V230" i="35" s="1"/>
  <c r="V968" i="35"/>
  <c r="V257" i="35" s="1"/>
  <c r="V999" i="35"/>
  <c r="V288" i="35" s="1"/>
  <c r="V997" i="35"/>
  <c r="V286" i="35" s="1"/>
  <c r="V973" i="35"/>
  <c r="V262" i="35" s="1"/>
  <c r="V998" i="35"/>
  <c r="V958" i="35"/>
  <c r="V247" i="35" s="1"/>
  <c r="V975" i="35"/>
  <c r="V264" i="35" s="1"/>
  <c r="V924" i="35"/>
  <c r="V213" i="35" s="1"/>
  <c r="V929" i="35"/>
  <c r="V218" i="35" s="1"/>
  <c r="V928" i="35"/>
  <c r="V217" i="35" s="1"/>
  <c r="V97" i="35"/>
  <c r="R507" i="35"/>
  <c r="W864" i="35"/>
  <c r="W120" i="35" s="1"/>
  <c r="W915" i="35"/>
  <c r="W171" i="35" s="1"/>
  <c r="W881" i="35"/>
  <c r="W137" i="35" s="1"/>
  <c r="W906" i="35"/>
  <c r="W162" i="35" s="1"/>
  <c r="W862" i="35"/>
  <c r="W118" i="35" s="1"/>
  <c r="W889" i="35"/>
  <c r="W145" i="35" s="1"/>
  <c r="W895" i="35"/>
  <c r="W151" i="35" s="1"/>
  <c r="W854" i="35"/>
  <c r="W110" i="35" s="1"/>
  <c r="W887" i="35"/>
  <c r="W143" i="35" s="1"/>
  <c r="W850" i="35"/>
  <c r="W106" i="35" s="1"/>
  <c r="W823" i="35"/>
  <c r="W79" i="35" s="1"/>
  <c r="R1214" i="35"/>
  <c r="R569" i="35" s="1"/>
  <c r="R1222" i="35"/>
  <c r="R577" i="35" s="1"/>
  <c r="R1180" i="35"/>
  <c r="R535" i="35" s="1"/>
  <c r="R1183" i="35"/>
  <c r="R538" i="35" s="1"/>
  <c r="R1176" i="35"/>
  <c r="R531" i="35" s="1"/>
  <c r="R1187" i="35"/>
  <c r="R542" i="35" s="1"/>
  <c r="R1207" i="35"/>
  <c r="R562" i="35" s="1"/>
  <c r="R1150" i="35"/>
  <c r="R505" i="35" s="1"/>
  <c r="R1136" i="35"/>
  <c r="R491" i="35" s="1"/>
  <c r="R1153" i="35"/>
  <c r="R508" i="35" s="1"/>
  <c r="R1127" i="35"/>
  <c r="R482" i="35" s="1"/>
  <c r="V860" i="35"/>
  <c r="V116" i="35" s="1"/>
  <c r="V857" i="35"/>
  <c r="V113" i="35" s="1"/>
  <c r="V877" i="35"/>
  <c r="V133" i="35" s="1"/>
  <c r="V914" i="35"/>
  <c r="V170" i="35" s="1"/>
  <c r="V863" i="35"/>
  <c r="V119" i="35" s="1"/>
  <c r="V902" i="35"/>
  <c r="V158" i="35" s="1"/>
  <c r="V891" i="35"/>
  <c r="V147" i="35" s="1"/>
  <c r="V822" i="35"/>
  <c r="V78" i="35" s="1"/>
  <c r="V824" i="35"/>
  <c r="V80" i="35" s="1"/>
  <c r="V847" i="35"/>
  <c r="V103" i="35" s="1"/>
  <c r="V835" i="35"/>
  <c r="V91" i="35" s="1"/>
  <c r="V821" i="35"/>
  <c r="V77" i="35" s="1"/>
  <c r="V1098" i="35"/>
  <c r="V420" i="35" s="1"/>
  <c r="V1100" i="35"/>
  <c r="V422" i="35" s="1"/>
  <c r="V1065" i="35"/>
  <c r="V387" i="35" s="1"/>
  <c r="V1083" i="35"/>
  <c r="V405" i="35" s="1"/>
  <c r="V1069" i="35"/>
  <c r="V391" i="35" s="1"/>
  <c r="V1119" i="35"/>
  <c r="V441" i="35" s="1"/>
  <c r="V1120" i="35"/>
  <c r="V442" i="35" s="1"/>
  <c r="V1114" i="35"/>
  <c r="V436" i="35" s="1"/>
  <c r="V1031" i="35"/>
  <c r="V353" i="35" s="1"/>
  <c r="V1050" i="35"/>
  <c r="V372" i="35" s="1"/>
  <c r="V1051" i="35"/>
  <c r="V373" i="35" s="1"/>
  <c r="M961" i="35"/>
  <c r="M250" i="35" s="1"/>
  <c r="M934" i="35"/>
  <c r="M223" i="35" s="1"/>
  <c r="W869" i="35"/>
  <c r="W125" i="35" s="1"/>
  <c r="W882" i="35"/>
  <c r="W138" i="35" s="1"/>
  <c r="W872" i="35"/>
  <c r="W128" i="35" s="1"/>
  <c r="W901" i="35"/>
  <c r="W157" i="35" s="1"/>
  <c r="W890" i="35"/>
  <c r="W146" i="35" s="1"/>
  <c r="W916" i="35"/>
  <c r="W172" i="35" s="1"/>
  <c r="W856" i="35"/>
  <c r="W112" i="35" s="1"/>
  <c r="W840" i="35"/>
  <c r="W96" i="35" s="1"/>
  <c r="W836" i="35"/>
  <c r="W92" i="35" s="1"/>
  <c r="W819" i="35"/>
  <c r="W921" i="35" s="1"/>
  <c r="W845" i="35"/>
  <c r="W101" i="35" s="1"/>
  <c r="R1182" i="35"/>
  <c r="R537" i="35" s="1"/>
  <c r="R1170" i="35"/>
  <c r="R525" i="35" s="1"/>
  <c r="R1178" i="35"/>
  <c r="R533" i="35" s="1"/>
  <c r="R1162" i="35"/>
  <c r="R517" i="35" s="1"/>
  <c r="R1169" i="35"/>
  <c r="R524" i="35" s="1"/>
  <c r="R1218" i="35"/>
  <c r="R573" i="35" s="1"/>
  <c r="R1217" i="35"/>
  <c r="R572" i="35" s="1"/>
  <c r="R1128" i="35"/>
  <c r="R483" i="35" s="1"/>
  <c r="R1156" i="35"/>
  <c r="R511" i="35" s="1"/>
  <c r="R1148" i="35"/>
  <c r="R503" i="35" s="1"/>
  <c r="R1140" i="35"/>
  <c r="R495" i="35" s="1"/>
  <c r="V869" i="35"/>
  <c r="V125" i="35" s="1"/>
  <c r="V867" i="35"/>
  <c r="V123" i="35" s="1"/>
  <c r="V868" i="35"/>
  <c r="V124" i="35" s="1"/>
  <c r="V905" i="35"/>
  <c r="V161" i="35" s="1"/>
  <c r="V866" i="35"/>
  <c r="V122" i="35" s="1"/>
  <c r="V883" i="35"/>
  <c r="V139" i="35" s="1"/>
  <c r="V858" i="35"/>
  <c r="V114" i="35" s="1"/>
  <c r="V834" i="35"/>
  <c r="V90" i="35" s="1"/>
  <c r="V823" i="35"/>
  <c r="V79" i="35" s="1"/>
  <c r="V830" i="35"/>
  <c r="V86" i="35" s="1"/>
  <c r="V844" i="35"/>
  <c r="V100" i="35" s="1"/>
  <c r="V1110" i="35"/>
  <c r="V432" i="35" s="1"/>
  <c r="V1062" i="35"/>
  <c r="V384" i="35" s="1"/>
  <c r="V1070" i="35"/>
  <c r="V392" i="35" s="1"/>
  <c r="V1112" i="35"/>
  <c r="V434" i="35" s="1"/>
  <c r="V1085" i="35"/>
  <c r="V407" i="35" s="1"/>
  <c r="V1081" i="35"/>
  <c r="V403" i="35" s="1"/>
  <c r="V1064" i="35"/>
  <c r="V386" i="35" s="1"/>
  <c r="V1093" i="35"/>
  <c r="V415" i="35" s="1"/>
  <c r="V1028" i="35"/>
  <c r="V350" i="35" s="1"/>
  <c r="V1038" i="35"/>
  <c r="V360" i="35" s="1"/>
  <c r="V1032" i="35"/>
  <c r="V354" i="35" s="1"/>
  <c r="M960" i="35"/>
  <c r="M249" i="35" s="1"/>
  <c r="M923" i="35"/>
  <c r="M212" i="35" s="1"/>
  <c r="W860" i="35"/>
  <c r="W116" i="35" s="1"/>
  <c r="W910" i="35"/>
  <c r="W166" i="35" s="1"/>
  <c r="W914" i="35"/>
  <c r="W170" i="35" s="1"/>
  <c r="W873" i="35"/>
  <c r="W129" i="35" s="1"/>
  <c r="W865" i="35"/>
  <c r="W121" i="35" s="1"/>
  <c r="W913" i="35"/>
  <c r="W169" i="35" s="1"/>
  <c r="W899" i="35"/>
  <c r="W155" i="35" s="1"/>
  <c r="W849" i="35"/>
  <c r="W105" i="35" s="1"/>
  <c r="W830" i="35"/>
  <c r="W86" i="35" s="1"/>
  <c r="W831" i="35"/>
  <c r="W87" i="35" s="1"/>
  <c r="W846" i="35"/>
  <c r="W102" i="35" s="1"/>
  <c r="R1166" i="35"/>
  <c r="R521" i="35" s="1"/>
  <c r="R1200" i="35"/>
  <c r="R555" i="35" s="1"/>
  <c r="R1181" i="35"/>
  <c r="R536" i="35" s="1"/>
  <c r="R1204" i="35"/>
  <c r="R559" i="35" s="1"/>
  <c r="R1168" i="35"/>
  <c r="R523" i="35" s="1"/>
  <c r="R1201" i="35"/>
  <c r="R556" i="35" s="1"/>
  <c r="R1174" i="35"/>
  <c r="R529" i="35" s="1"/>
  <c r="R1193" i="35"/>
  <c r="R548" i="35" s="1"/>
  <c r="R1143" i="35"/>
  <c r="R498" i="35" s="1"/>
  <c r="R1137" i="35"/>
  <c r="R492" i="35" s="1"/>
  <c r="R1131" i="35"/>
  <c r="R486" i="35" s="1"/>
  <c r="V903" i="35"/>
  <c r="V159" i="35" s="1"/>
  <c r="V875" i="35"/>
  <c r="V131" i="35" s="1"/>
  <c r="V872" i="35"/>
  <c r="V128" i="35" s="1"/>
  <c r="V897" i="35"/>
  <c r="V153" i="35" s="1"/>
  <c r="V874" i="35"/>
  <c r="V130" i="35" s="1"/>
  <c r="V907" i="35"/>
  <c r="V163" i="35" s="1"/>
  <c r="V862" i="35"/>
  <c r="V118" i="35" s="1"/>
  <c r="V833" i="35"/>
  <c r="V89" i="35" s="1"/>
  <c r="V840" i="35"/>
  <c r="V96" i="35" s="1"/>
  <c r="V845" i="35"/>
  <c r="V101" i="35" s="1"/>
  <c r="V839" i="35"/>
  <c r="V95" i="35" s="1"/>
  <c r="V1072" i="35"/>
  <c r="V394" i="35" s="1"/>
  <c r="V1075" i="35"/>
  <c r="V397" i="35" s="1"/>
  <c r="V1082" i="35"/>
  <c r="V404" i="35" s="1"/>
  <c r="V1077" i="35"/>
  <c r="V399" i="35" s="1"/>
  <c r="V1105" i="35"/>
  <c r="V427" i="35" s="1"/>
  <c r="V1111" i="35"/>
  <c r="V433" i="35" s="1"/>
  <c r="V1097" i="35"/>
  <c r="V419" i="35" s="1"/>
  <c r="V1061" i="35"/>
  <c r="V383" i="35" s="1"/>
  <c r="V1048" i="35"/>
  <c r="V370" i="35" s="1"/>
  <c r="V1053" i="35"/>
  <c r="V375" i="35" s="1"/>
  <c r="V1041" i="35"/>
  <c r="V363" i="35" s="1"/>
  <c r="M973" i="35"/>
  <c r="M262" i="35" s="1"/>
  <c r="I582" i="35"/>
  <c r="W871" i="35"/>
  <c r="W127" i="35" s="1"/>
  <c r="W875" i="35"/>
  <c r="W131" i="35" s="1"/>
  <c r="W863" i="35"/>
  <c r="W119" i="35" s="1"/>
  <c r="W892" i="35"/>
  <c r="W148" i="35" s="1"/>
  <c r="W909" i="35"/>
  <c r="W870" i="35"/>
  <c r="W126" i="35" s="1"/>
  <c r="W822" i="35"/>
  <c r="W78" i="35" s="1"/>
  <c r="W842" i="35"/>
  <c r="W98" i="35" s="1"/>
  <c r="W838" i="35"/>
  <c r="W94" i="35" s="1"/>
  <c r="W826" i="35"/>
  <c r="W82" i="35" s="1"/>
  <c r="W844" i="35"/>
  <c r="W100" i="35" s="1"/>
  <c r="R1219" i="35"/>
  <c r="R574" i="35" s="1"/>
  <c r="R1164" i="35"/>
  <c r="R519" i="35" s="1"/>
  <c r="R1196" i="35"/>
  <c r="R551" i="35" s="1"/>
  <c r="R1208" i="35"/>
  <c r="R563" i="35" s="1"/>
  <c r="R1213" i="35"/>
  <c r="R568" i="35" s="1"/>
  <c r="R1189" i="35"/>
  <c r="R544" i="35" s="1"/>
  <c r="R1171" i="35"/>
  <c r="R526" i="35" s="1"/>
  <c r="R1149" i="35"/>
  <c r="R504" i="35" s="1"/>
  <c r="R1147" i="35"/>
  <c r="R502" i="35" s="1"/>
  <c r="R1144" i="35"/>
  <c r="R499" i="35" s="1"/>
  <c r="R1138" i="35"/>
  <c r="R493" i="35" s="1"/>
  <c r="V904" i="35"/>
  <c r="V160" i="35" s="1"/>
  <c r="V882" i="35"/>
  <c r="V138" i="35" s="1"/>
  <c r="V876" i="35"/>
  <c r="V132" i="35" s="1"/>
  <c r="V892" i="35"/>
  <c r="V148" i="35" s="1"/>
  <c r="V880" i="35"/>
  <c r="V136" i="35" s="1"/>
  <c r="V865" i="35"/>
  <c r="V121" i="35" s="1"/>
  <c r="V856" i="35"/>
  <c r="V112" i="35" s="1"/>
  <c r="V854" i="35"/>
  <c r="V110" i="35" s="1"/>
  <c r="V842" i="35"/>
  <c r="V98" i="35" s="1"/>
  <c r="V828" i="35"/>
  <c r="V84" i="35" s="1"/>
  <c r="V831" i="35"/>
  <c r="V87" i="35" s="1"/>
  <c r="V1074" i="35"/>
  <c r="V396" i="35" s="1"/>
  <c r="V1095" i="35"/>
  <c r="V417" i="35" s="1"/>
  <c r="V1076" i="35"/>
  <c r="V398" i="35" s="1"/>
  <c r="V1109" i="35"/>
  <c r="V431" i="35" s="1"/>
  <c r="V1101" i="35"/>
  <c r="V423" i="35" s="1"/>
  <c r="V1117" i="35"/>
  <c r="V439" i="35" s="1"/>
  <c r="V1066" i="35"/>
  <c r="V388" i="35" s="1"/>
  <c r="V1044" i="35"/>
  <c r="V366" i="35" s="1"/>
  <c r="V1045" i="35"/>
  <c r="V367" i="35" s="1"/>
  <c r="V1042" i="35"/>
  <c r="V364" i="35" s="1"/>
  <c r="V1039" i="35"/>
  <c r="V361" i="35" s="1"/>
  <c r="M998" i="35"/>
  <c r="M287" i="35" s="1"/>
  <c r="W855" i="35"/>
  <c r="W111" i="35" s="1"/>
  <c r="W877" i="35"/>
  <c r="W133" i="35" s="1"/>
  <c r="W893" i="35"/>
  <c r="W149" i="35" s="1"/>
  <c r="W905" i="35"/>
  <c r="W161" i="35" s="1"/>
  <c r="W859" i="35"/>
  <c r="W115" i="35" s="1"/>
  <c r="W880" i="35"/>
  <c r="W136" i="35" s="1"/>
  <c r="W866" i="35"/>
  <c r="W122" i="35" s="1"/>
  <c r="W878" i="35"/>
  <c r="W134" i="35" s="1"/>
  <c r="W833" i="35"/>
  <c r="W89" i="35" s="1"/>
  <c r="W848" i="35"/>
  <c r="W104" i="35" s="1"/>
  <c r="W847" i="35"/>
  <c r="W103" i="35" s="1"/>
  <c r="W828" i="35"/>
  <c r="W84" i="35" s="1"/>
  <c r="R1203" i="35"/>
  <c r="R558" i="35" s="1"/>
  <c r="R1215" i="35"/>
  <c r="R570" i="35" s="1"/>
  <c r="R1199" i="35"/>
  <c r="R554" i="35" s="1"/>
  <c r="R1177" i="35"/>
  <c r="R532" i="35" s="1"/>
  <c r="R1220" i="35"/>
  <c r="R575" i="35" s="1"/>
  <c r="R1165" i="35"/>
  <c r="R520" i="35" s="1"/>
  <c r="R1212" i="35"/>
  <c r="R567" i="35" s="1"/>
  <c r="R1129" i="35"/>
  <c r="R484" i="35" s="1"/>
  <c r="R1135" i="35"/>
  <c r="R490" i="35" s="1"/>
  <c r="R1130" i="35"/>
  <c r="R485" i="35" s="1"/>
  <c r="R1145" i="35"/>
  <c r="R500" i="35" s="1"/>
  <c r="V879" i="35"/>
  <c r="V135" i="35" s="1"/>
  <c r="V871" i="35"/>
  <c r="V127" i="35" s="1"/>
  <c r="V870" i="35"/>
  <c r="V126" i="35" s="1"/>
  <c r="V901" i="35"/>
  <c r="V157" i="35" s="1"/>
  <c r="V916" i="35"/>
  <c r="V172" i="35" s="1"/>
  <c r="V881" i="35"/>
  <c r="V137" i="35" s="1"/>
  <c r="V911" i="35"/>
  <c r="V167" i="35" s="1"/>
  <c r="V832" i="35"/>
  <c r="V88" i="35" s="1"/>
  <c r="V848" i="35"/>
  <c r="V104" i="35" s="1"/>
  <c r="V819" i="35"/>
  <c r="V887" i="35"/>
  <c r="V143" i="35" s="1"/>
  <c r="V1094" i="35"/>
  <c r="V416" i="35" s="1"/>
  <c r="V1087" i="35"/>
  <c r="V409" i="35" s="1"/>
  <c r="V1107" i="35"/>
  <c r="V429" i="35" s="1"/>
  <c r="V1115" i="35"/>
  <c r="V437" i="35" s="1"/>
  <c r="V1104" i="35"/>
  <c r="V426" i="35" s="1"/>
  <c r="V1071" i="35"/>
  <c r="V393" i="35" s="1"/>
  <c r="V1091" i="35"/>
  <c r="V413" i="35" s="1"/>
  <c r="V1040" i="35"/>
  <c r="V362" i="35" s="1"/>
  <c r="V1029" i="35"/>
  <c r="V351" i="35" s="1"/>
  <c r="V1027" i="35"/>
  <c r="V349" i="35" s="1"/>
  <c r="V1030" i="35"/>
  <c r="V352" i="35" s="1"/>
  <c r="M978" i="35"/>
  <c r="M267" i="35" s="1"/>
  <c r="W888" i="35"/>
  <c r="W144" i="35" s="1"/>
  <c r="W867" i="35"/>
  <c r="W123" i="35" s="1"/>
  <c r="W879" i="35"/>
  <c r="W135" i="35" s="1"/>
  <c r="W897" i="35"/>
  <c r="W153" i="35" s="1"/>
  <c r="W868" i="35"/>
  <c r="W124" i="35" s="1"/>
  <c r="W861" i="35"/>
  <c r="W117" i="35" s="1"/>
  <c r="W874" i="35"/>
  <c r="W130" i="35" s="1"/>
  <c r="W891" i="35"/>
  <c r="W147" i="35" s="1"/>
  <c r="W832" i="35"/>
  <c r="W88" i="35" s="1"/>
  <c r="W824" i="35"/>
  <c r="W80" i="35" s="1"/>
  <c r="W841" i="35"/>
  <c r="W97" i="35" s="1"/>
  <c r="W843" i="35"/>
  <c r="W99" i="35" s="1"/>
  <c r="R1205" i="35"/>
  <c r="R560" i="35" s="1"/>
  <c r="R1163" i="35"/>
  <c r="R518" i="35" s="1"/>
  <c r="R1195" i="35"/>
  <c r="R550" i="35" s="1"/>
  <c r="R1197" i="35"/>
  <c r="R552" i="35" s="1"/>
  <c r="R1210" i="35"/>
  <c r="R565" i="35" s="1"/>
  <c r="R1198" i="35"/>
  <c r="R553" i="35" s="1"/>
  <c r="R1221" i="35"/>
  <c r="R576" i="35" s="1"/>
  <c r="R1154" i="35"/>
  <c r="R509" i="35" s="1"/>
  <c r="R1142" i="35"/>
  <c r="R497" i="35" s="1"/>
  <c r="R1134" i="35"/>
  <c r="R489" i="35" s="1"/>
  <c r="R1146" i="35"/>
  <c r="R501" i="35" s="1"/>
  <c r="V912" i="35"/>
  <c r="V168" i="35" s="1"/>
  <c r="V900" i="35"/>
  <c r="V156" i="35" s="1"/>
  <c r="V906" i="35"/>
  <c r="V162" i="35" s="1"/>
  <c r="V898" i="35"/>
  <c r="V154" i="35" s="1"/>
  <c r="V895" i="35"/>
  <c r="V151" i="35" s="1"/>
  <c r="V909" i="35"/>
  <c r="V165" i="35" s="1"/>
  <c r="V894" i="35"/>
  <c r="V150" i="35" s="1"/>
  <c r="V829" i="35"/>
  <c r="V85" i="35" s="1"/>
  <c r="V837" i="35"/>
  <c r="V93" i="35" s="1"/>
  <c r="V846" i="35"/>
  <c r="V102" i="35" s="1"/>
  <c r="V850" i="35"/>
  <c r="V106" i="35" s="1"/>
  <c r="V1096" i="35"/>
  <c r="V418" i="35" s="1"/>
  <c r="V1079" i="35"/>
  <c r="V401" i="35" s="1"/>
  <c r="V1106" i="35"/>
  <c r="V428" i="35" s="1"/>
  <c r="V1080" i="35"/>
  <c r="V402" i="35" s="1"/>
  <c r="V1084" i="35"/>
  <c r="V406" i="35" s="1"/>
  <c r="V1060" i="35"/>
  <c r="V382" i="35" s="1"/>
  <c r="V1099" i="35"/>
  <c r="V421" i="35" s="1"/>
  <c r="V1036" i="35"/>
  <c r="V358" i="35" s="1"/>
  <c r="V1034" i="35"/>
  <c r="V356" i="35" s="1"/>
  <c r="V1049" i="35"/>
  <c r="V371" i="35" s="1"/>
  <c r="V1052" i="35"/>
  <c r="V374" i="35" s="1"/>
  <c r="M964" i="35"/>
  <c r="M253" i="35" s="1"/>
  <c r="W857" i="35"/>
  <c r="W113" i="35" s="1"/>
  <c r="W908" i="35"/>
  <c r="W164" i="35" s="1"/>
  <c r="W903" i="35"/>
  <c r="W159" i="35" s="1"/>
  <c r="W876" i="35"/>
  <c r="W132" i="35" s="1"/>
  <c r="W896" i="35"/>
  <c r="W152" i="35" s="1"/>
  <c r="W858" i="35"/>
  <c r="W114" i="35" s="1"/>
  <c r="W911" i="35"/>
  <c r="W167" i="35" s="1"/>
  <c r="W894" i="35"/>
  <c r="W150" i="35" s="1"/>
  <c r="W834" i="35"/>
  <c r="W90" i="35" s="1"/>
  <c r="W837" i="35"/>
  <c r="W93" i="35" s="1"/>
  <c r="W835" i="35"/>
  <c r="W91" i="35" s="1"/>
  <c r="R1173" i="35"/>
  <c r="R528" i="35" s="1"/>
  <c r="R1172" i="35"/>
  <c r="R527" i="35" s="1"/>
  <c r="R1184" i="35"/>
  <c r="R539" i="35" s="1"/>
  <c r="R1206" i="35"/>
  <c r="R561" i="35" s="1"/>
  <c r="R1209" i="35"/>
  <c r="R564" i="35" s="1"/>
  <c r="R1175" i="35"/>
  <c r="R530" i="35" s="1"/>
  <c r="R1185" i="35"/>
  <c r="R540" i="35" s="1"/>
  <c r="R1160" i="35"/>
  <c r="R515" i="35" s="1"/>
  <c r="R1155" i="35"/>
  <c r="R510" i="35" s="1"/>
  <c r="R1139" i="35"/>
  <c r="R494" i="35" s="1"/>
  <c r="V888" i="35"/>
  <c r="V144" i="35" s="1"/>
  <c r="V908" i="35"/>
  <c r="V164" i="35" s="1"/>
  <c r="V915" i="35"/>
  <c r="V171" i="35" s="1"/>
  <c r="V896" i="35"/>
  <c r="V152" i="35" s="1"/>
  <c r="V873" i="35"/>
  <c r="V129" i="35" s="1"/>
  <c r="V878" i="35"/>
  <c r="V134" i="35" s="1"/>
  <c r="V913" i="35"/>
  <c r="V169" i="35" s="1"/>
  <c r="V889" i="35"/>
  <c r="V145" i="35" s="1"/>
  <c r="V849" i="35"/>
  <c r="V105" i="35" s="1"/>
  <c r="V836" i="35"/>
  <c r="V92" i="35" s="1"/>
  <c r="V826" i="35"/>
  <c r="V82" i="35" s="1"/>
  <c r="V1067" i="35"/>
  <c r="V389" i="35" s="1"/>
  <c r="V1078" i="35"/>
  <c r="V400" i="35" s="1"/>
  <c r="V1073" i="35"/>
  <c r="V395" i="35" s="1"/>
  <c r="V1068" i="35"/>
  <c r="V390" i="35" s="1"/>
  <c r="V1102" i="35"/>
  <c r="V424" i="35" s="1"/>
  <c r="V1086" i="35"/>
  <c r="V408" i="35" s="1"/>
  <c r="V1058" i="35"/>
  <c r="V380" i="35" s="1"/>
  <c r="V1033" i="35"/>
  <c r="V355" i="35" s="1"/>
  <c r="V1046" i="35"/>
  <c r="V368" i="35" s="1"/>
  <c r="V1025" i="35"/>
  <c r="V347" i="35" s="1"/>
  <c r="V1035" i="35"/>
  <c r="V357" i="35" s="1"/>
  <c r="M990" i="35"/>
  <c r="M279" i="35" s="1"/>
  <c r="M936" i="35"/>
  <c r="M225" i="35" s="1"/>
  <c r="N447" i="35"/>
  <c r="O345" i="35"/>
  <c r="O210" i="35"/>
  <c r="O480" i="35"/>
  <c r="O75" i="35"/>
  <c r="M75" i="35"/>
  <c r="M480" i="35"/>
  <c r="M210" i="35"/>
  <c r="O126" i="35"/>
  <c r="W1063" i="35"/>
  <c r="W385" i="35" s="1"/>
  <c r="W1110" i="35"/>
  <c r="W432" i="35" s="1"/>
  <c r="W1074" i="35"/>
  <c r="W396" i="35" s="1"/>
  <c r="W1072" i="35"/>
  <c r="W394" i="35" s="1"/>
  <c r="W1081" i="35"/>
  <c r="W403" i="35" s="1"/>
  <c r="W1104" i="35"/>
  <c r="W426" i="35" s="1"/>
  <c r="W1097" i="35"/>
  <c r="W419" i="35" s="1"/>
  <c r="W1026" i="35"/>
  <c r="W348" i="35" s="1"/>
  <c r="W1030" i="35"/>
  <c r="W352" i="35" s="1"/>
  <c r="W1042" i="35"/>
  <c r="W364" i="35" s="1"/>
  <c r="W1052" i="35"/>
  <c r="W374" i="35" s="1"/>
  <c r="W1048" i="35"/>
  <c r="W370" i="35" s="1"/>
  <c r="O500" i="35"/>
  <c r="O496" i="35"/>
  <c r="O151" i="35"/>
  <c r="W1106" i="35"/>
  <c r="W428" i="35" s="1"/>
  <c r="W1070" i="35"/>
  <c r="W392" i="35" s="1"/>
  <c r="W1100" i="35"/>
  <c r="W422" i="35" s="1"/>
  <c r="W1082" i="35"/>
  <c r="W404" i="35" s="1"/>
  <c r="W1105" i="35"/>
  <c r="W427" i="35" s="1"/>
  <c r="W1084" i="35"/>
  <c r="W406" i="35" s="1"/>
  <c r="W1091" i="35"/>
  <c r="W413" i="35" s="1"/>
  <c r="W1036" i="35"/>
  <c r="W358" i="35" s="1"/>
  <c r="W1050" i="35"/>
  <c r="W372" i="35" s="1"/>
  <c r="W1041" i="35"/>
  <c r="W363" i="35" s="1"/>
  <c r="W1051" i="35"/>
  <c r="W373" i="35" s="1"/>
  <c r="W1087" i="35"/>
  <c r="W409" i="35" s="1"/>
  <c r="W1108" i="35"/>
  <c r="W430" i="35" s="1"/>
  <c r="W1083" i="35"/>
  <c r="W405" i="35" s="1"/>
  <c r="W1078" i="35"/>
  <c r="W400" i="35" s="1"/>
  <c r="W1080" i="35"/>
  <c r="W402" i="35" s="1"/>
  <c r="W1066" i="35"/>
  <c r="W388" i="35" s="1"/>
  <c r="W1120" i="35"/>
  <c r="W442" i="35" s="1"/>
  <c r="W1037" i="35"/>
  <c r="W359" i="35" s="1"/>
  <c r="W1053" i="35"/>
  <c r="W375" i="35" s="1"/>
  <c r="W1044" i="35"/>
  <c r="W366" i="35" s="1"/>
  <c r="W1043" i="35"/>
  <c r="W365" i="35" s="1"/>
  <c r="O489" i="35"/>
  <c r="O156" i="35"/>
  <c r="W1103" i="35"/>
  <c r="W425" i="35" s="1"/>
  <c r="W1077" i="35"/>
  <c r="W399" i="35" s="1"/>
  <c r="W1075" i="35"/>
  <c r="W397" i="35" s="1"/>
  <c r="W1116" i="35"/>
  <c r="W438" i="35" s="1"/>
  <c r="W1101" i="35"/>
  <c r="W423" i="35" s="1"/>
  <c r="W1085" i="35"/>
  <c r="W407" i="35" s="1"/>
  <c r="W1118" i="35"/>
  <c r="W440" i="35" s="1"/>
  <c r="W1040" i="35"/>
  <c r="W362" i="35" s="1"/>
  <c r="W1047" i="35"/>
  <c r="W369" i="35" s="1"/>
  <c r="W1035" i="35"/>
  <c r="W357" i="35" s="1"/>
  <c r="O122" i="35"/>
  <c r="O158" i="35"/>
  <c r="O77" i="35"/>
  <c r="W1109" i="35"/>
  <c r="W431" i="35" s="1"/>
  <c r="W1065" i="35"/>
  <c r="W387" i="35" s="1"/>
  <c r="W1079" i="35"/>
  <c r="W401" i="35" s="1"/>
  <c r="W1113" i="35"/>
  <c r="W435" i="35" s="1"/>
  <c r="W1068" i="35"/>
  <c r="W390" i="35" s="1"/>
  <c r="W1119" i="35"/>
  <c r="W441" i="35" s="1"/>
  <c r="W1058" i="35"/>
  <c r="W380" i="35" s="1"/>
  <c r="W1045" i="35"/>
  <c r="W367" i="35" s="1"/>
  <c r="W1027" i="35"/>
  <c r="W349" i="35" s="1"/>
  <c r="W1049" i="35"/>
  <c r="W371" i="35" s="1"/>
  <c r="M345" i="35"/>
  <c r="AA113" i="35"/>
  <c r="AA171" i="35"/>
  <c r="AA124" i="35"/>
  <c r="AA115" i="35"/>
  <c r="AA136" i="35"/>
  <c r="AA130" i="35"/>
  <c r="AA132" i="35"/>
  <c r="AA98" i="35"/>
  <c r="AA83" i="35"/>
  <c r="AA100" i="35"/>
  <c r="AA283" i="35"/>
  <c r="AA302" i="35"/>
  <c r="AA252" i="35"/>
  <c r="AA292" i="35"/>
  <c r="AA281" i="35"/>
  <c r="AA248" i="35"/>
  <c r="AA297" i="35"/>
  <c r="AA213" i="35"/>
  <c r="AA245" i="35"/>
  <c r="AA217" i="35"/>
  <c r="AA239" i="35"/>
  <c r="O303" i="35"/>
  <c r="O252" i="35"/>
  <c r="O302" i="35"/>
  <c r="O285" i="35"/>
  <c r="O288" i="35"/>
  <c r="O267" i="35"/>
  <c r="O264" i="35"/>
  <c r="O253" i="35"/>
  <c r="O234" i="35"/>
  <c r="O235" i="35"/>
  <c r="O225" i="35"/>
  <c r="O417" i="35"/>
  <c r="AA116" i="35"/>
  <c r="AA149" i="35"/>
  <c r="AA128" i="35"/>
  <c r="AA161" i="35"/>
  <c r="AA167" i="35"/>
  <c r="AA118" i="35"/>
  <c r="AA117" i="35"/>
  <c r="AA110" i="35"/>
  <c r="AA104" i="35"/>
  <c r="AA82" i="35"/>
  <c r="AA99" i="35"/>
  <c r="AA555" i="35"/>
  <c r="AA524" i="35"/>
  <c r="AA559" i="35"/>
  <c r="AA556" i="35"/>
  <c r="AA567" i="35"/>
  <c r="AA575" i="35"/>
  <c r="AA487" i="35"/>
  <c r="AA490" i="35"/>
  <c r="AA506" i="35"/>
  <c r="O532" i="35"/>
  <c r="O502" i="35"/>
  <c r="O482" i="35"/>
  <c r="AA306" i="35"/>
  <c r="AA296" i="35"/>
  <c r="AA271" i="35"/>
  <c r="AA298" i="35"/>
  <c r="AA287" i="35"/>
  <c r="AA254" i="35"/>
  <c r="AA290" i="35"/>
  <c r="AA218" i="35"/>
  <c r="AA216" i="35"/>
  <c r="AA228" i="35"/>
  <c r="AA278" i="35"/>
  <c r="AA352" i="35"/>
  <c r="O304" i="35"/>
  <c r="O266" i="35"/>
  <c r="O286" i="35"/>
  <c r="O251" i="35"/>
  <c r="O248" i="35"/>
  <c r="O256" i="35"/>
  <c r="O299" i="35"/>
  <c r="O227" i="35"/>
  <c r="O216" i="35"/>
  <c r="O240" i="35"/>
  <c r="O217" i="35"/>
  <c r="O374" i="35"/>
  <c r="AA135" i="35"/>
  <c r="AA160" i="35"/>
  <c r="AA152" i="35"/>
  <c r="AA153" i="35"/>
  <c r="AA169" i="35"/>
  <c r="AA150" i="35"/>
  <c r="AA158" i="35"/>
  <c r="AA96" i="35"/>
  <c r="AA80" i="35"/>
  <c r="AA77" i="35"/>
  <c r="AA103" i="35"/>
  <c r="AA527" i="35"/>
  <c r="AA532" i="35"/>
  <c r="AA561" i="35"/>
  <c r="AA562" i="35"/>
  <c r="AA540" i="35"/>
  <c r="AA504" i="35"/>
  <c r="AA496" i="35"/>
  <c r="AA482" i="35"/>
  <c r="O527" i="35"/>
  <c r="O556" i="35"/>
  <c r="O562" i="35"/>
  <c r="O515" i="35"/>
  <c r="AA263" i="35"/>
  <c r="AA249" i="35"/>
  <c r="AA286" i="35"/>
  <c r="AA305" i="35"/>
  <c r="AA268" i="35"/>
  <c r="AA265" i="35"/>
  <c r="AA299" i="35"/>
  <c r="AA229" i="35"/>
  <c r="AA241" i="35"/>
  <c r="AA220" i="35"/>
  <c r="AA233" i="35"/>
  <c r="AA430" i="35"/>
  <c r="AA350" i="35"/>
  <c r="O257" i="35"/>
  <c r="O273" i="35"/>
  <c r="O296" i="35"/>
  <c r="O272" i="35"/>
  <c r="O287" i="35"/>
  <c r="O292" i="35"/>
  <c r="O247" i="35"/>
  <c r="O226" i="35"/>
  <c r="O222" i="35"/>
  <c r="O231" i="35"/>
  <c r="O224" i="35"/>
  <c r="AA120" i="35"/>
  <c r="AA123" i="35"/>
  <c r="AA157" i="35"/>
  <c r="AA129" i="35"/>
  <c r="AA163" i="35"/>
  <c r="AA112" i="35"/>
  <c r="AA172" i="35"/>
  <c r="AA88" i="35"/>
  <c r="AA106" i="35"/>
  <c r="AA87" i="35"/>
  <c r="AA81" i="35"/>
  <c r="AA558" i="35"/>
  <c r="AA569" i="35"/>
  <c r="AA523" i="35"/>
  <c r="AA550" i="35"/>
  <c r="AA576" i="35"/>
  <c r="AA534" i="35"/>
  <c r="AA484" i="35"/>
  <c r="AA510" i="35"/>
  <c r="O570" i="35"/>
  <c r="O497" i="35"/>
  <c r="AA304" i="35"/>
  <c r="AA295" i="35"/>
  <c r="AA280" i="35"/>
  <c r="AA301" i="35"/>
  <c r="AA284" i="35"/>
  <c r="AA307" i="35"/>
  <c r="AA269" i="35"/>
  <c r="AA232" i="35"/>
  <c r="AA223" i="35"/>
  <c r="AA236" i="35"/>
  <c r="AA240" i="35"/>
  <c r="AA400" i="35"/>
  <c r="AA383" i="35"/>
  <c r="AA371" i="35"/>
  <c r="AA357" i="35"/>
  <c r="O307" i="35"/>
  <c r="O261" i="35"/>
  <c r="O250" i="35"/>
  <c r="O255" i="35"/>
  <c r="O293" i="35"/>
  <c r="O300" i="35"/>
  <c r="O274" i="35"/>
  <c r="O215" i="35"/>
  <c r="O237" i="35"/>
  <c r="O232" i="35"/>
  <c r="O278" i="35"/>
  <c r="O423" i="35"/>
  <c r="O375" i="35"/>
  <c r="AA144" i="35"/>
  <c r="AA138" i="35"/>
  <c r="AA156" i="35"/>
  <c r="AA133" i="35"/>
  <c r="AA170" i="35"/>
  <c r="AA126" i="35"/>
  <c r="AA114" i="35"/>
  <c r="AA165" i="35"/>
  <c r="AA89" i="35"/>
  <c r="AA95" i="35"/>
  <c r="AA84" i="35"/>
  <c r="AA93" i="35"/>
  <c r="AA528" i="35"/>
  <c r="AA522" i="35"/>
  <c r="AA560" i="35"/>
  <c r="AA539" i="35"/>
  <c r="AA530" i="35"/>
  <c r="AA572" i="35"/>
  <c r="AA498" i="35"/>
  <c r="AA488" i="35"/>
  <c r="AA507" i="35"/>
  <c r="O560" i="35"/>
  <c r="O565" i="35"/>
  <c r="AA262" i="35"/>
  <c r="AA303" i="35"/>
  <c r="AA266" i="35"/>
  <c r="AA256" i="35"/>
  <c r="AA285" i="35"/>
  <c r="AA267" i="35"/>
  <c r="AA259" i="35"/>
  <c r="AA231" i="35"/>
  <c r="AA234" i="35"/>
  <c r="AA224" i="35"/>
  <c r="AA215" i="35"/>
  <c r="O283" i="35"/>
  <c r="O306" i="35"/>
  <c r="O249" i="35"/>
  <c r="O281" i="35"/>
  <c r="O298" i="35"/>
  <c r="O254" i="35"/>
  <c r="O297" i="35"/>
  <c r="O228" i="35"/>
  <c r="O214" i="35"/>
  <c r="O236" i="35"/>
  <c r="O219" i="35"/>
  <c r="O440" i="35"/>
  <c r="AA111" i="35"/>
  <c r="AA168" i="35"/>
  <c r="AA127" i="35"/>
  <c r="AA162" i="35"/>
  <c r="AA146" i="35"/>
  <c r="AA137" i="35"/>
  <c r="AA147" i="35"/>
  <c r="AA155" i="35"/>
  <c r="AA105" i="35"/>
  <c r="AA143" i="35"/>
  <c r="AA102" i="35"/>
  <c r="AA101" i="35"/>
  <c r="AA533" i="35"/>
  <c r="AA551" i="35"/>
  <c r="AA554" i="35"/>
  <c r="AA557" i="35"/>
  <c r="AA538" i="35"/>
  <c r="AA529" i="35"/>
  <c r="AA520" i="35"/>
  <c r="AA511" i="35"/>
  <c r="AA502" i="35"/>
  <c r="AA500" i="35"/>
  <c r="O528" i="35"/>
  <c r="O519" i="35"/>
  <c r="AA257" i="35"/>
  <c r="AA294" i="35"/>
  <c r="AA270" i="35"/>
  <c r="AA258" i="35"/>
  <c r="AA288" i="35"/>
  <c r="AA274" i="35"/>
  <c r="AA253" i="35"/>
  <c r="AA222" i="35"/>
  <c r="AA237" i="35"/>
  <c r="AA212" i="35"/>
  <c r="AA238" i="35"/>
  <c r="O295" i="35"/>
  <c r="O271" i="35"/>
  <c r="O270" i="35"/>
  <c r="O289" i="35"/>
  <c r="O301" i="35"/>
  <c r="O290" i="35"/>
  <c r="O291" i="35"/>
  <c r="O241" i="35"/>
  <c r="O221" i="35"/>
  <c r="O229" i="35"/>
  <c r="O230" i="35"/>
  <c r="AA125" i="35"/>
  <c r="AA166" i="35"/>
  <c r="AA131" i="35"/>
  <c r="AA154" i="35"/>
  <c r="AA151" i="35"/>
  <c r="AA121" i="35"/>
  <c r="AA145" i="35"/>
  <c r="AA78" i="35"/>
  <c r="AA94" i="35"/>
  <c r="AA92" i="35"/>
  <c r="AA86" i="35"/>
  <c r="AA79" i="35"/>
  <c r="AA536" i="35"/>
  <c r="AA577" i="35"/>
  <c r="AA571" i="35"/>
  <c r="AA531" i="35"/>
  <c r="AA543" i="35"/>
  <c r="AA509" i="35"/>
  <c r="AA489" i="35"/>
  <c r="AA508" i="35"/>
  <c r="O541" i="35"/>
  <c r="O485" i="35"/>
  <c r="R91" i="35"/>
  <c r="AA279" i="35"/>
  <c r="AA250" i="35"/>
  <c r="AA273" i="35"/>
  <c r="AA260" i="35"/>
  <c r="AA272" i="35"/>
  <c r="AA293" i="35"/>
  <c r="AA264" i="35"/>
  <c r="AA291" i="35"/>
  <c r="AA235" i="35"/>
  <c r="AA214" i="35"/>
  <c r="AA227" i="35"/>
  <c r="AA230" i="35"/>
  <c r="O279" i="35"/>
  <c r="O312" i="35" s="1"/>
  <c r="O262" i="35"/>
  <c r="O294" i="35"/>
  <c r="O259" i="35"/>
  <c r="O265" i="35"/>
  <c r="O284" i="35"/>
  <c r="O305" i="35"/>
  <c r="O269" i="35"/>
  <c r="O245" i="35"/>
  <c r="O233" i="35"/>
  <c r="O239" i="35"/>
  <c r="O238" i="35"/>
  <c r="O396" i="35"/>
  <c r="AA159" i="35"/>
  <c r="AA148" i="35"/>
  <c r="AA164" i="35"/>
  <c r="AA119" i="35"/>
  <c r="AA134" i="35"/>
  <c r="AA122" i="35"/>
  <c r="AA139" i="35"/>
  <c r="AA90" i="35"/>
  <c r="AA85" i="35"/>
  <c r="AA91" i="35"/>
  <c r="AA97" i="35"/>
  <c r="AA570" i="35"/>
  <c r="AA574" i="35"/>
  <c r="AA552" i="35"/>
  <c r="AA573" i="35"/>
  <c r="AA544" i="35"/>
  <c r="AA565" i="35"/>
  <c r="AA505" i="35"/>
  <c r="AA497" i="35"/>
  <c r="AA495" i="35"/>
  <c r="O572" i="35"/>
  <c r="O559" i="35"/>
  <c r="O509" i="35"/>
  <c r="O495" i="35"/>
  <c r="V1092" i="35"/>
  <c r="V414" i="35" s="1"/>
  <c r="M516" i="35"/>
  <c r="U507" i="35"/>
  <c r="M414" i="35"/>
  <c r="M381" i="35"/>
  <c r="M1194" i="35"/>
  <c r="M549" i="35" s="1"/>
  <c r="M230" i="35"/>
  <c r="W361" i="35"/>
  <c r="W81" i="35"/>
  <c r="W555" i="35"/>
  <c r="W529" i="35"/>
  <c r="W543" i="35"/>
  <c r="W550" i="35"/>
  <c r="W572" i="35"/>
  <c r="W544" i="35"/>
  <c r="W511" i="35"/>
  <c r="W493" i="35"/>
  <c r="W507" i="35"/>
  <c r="U1166" i="35"/>
  <c r="U521" i="35" s="1"/>
  <c r="U1206" i="35"/>
  <c r="U561" i="35" s="1"/>
  <c r="U1162" i="35"/>
  <c r="U517" i="35" s="1"/>
  <c r="U1168" i="35"/>
  <c r="U523" i="35" s="1"/>
  <c r="U1218" i="35"/>
  <c r="U573" i="35" s="1"/>
  <c r="U1188" i="35"/>
  <c r="U543" i="35" s="1"/>
  <c r="U1165" i="35"/>
  <c r="U520" i="35" s="1"/>
  <c r="U1150" i="35"/>
  <c r="U505" i="35" s="1"/>
  <c r="U1144" i="35"/>
  <c r="U499" i="35" s="1"/>
  <c r="U1139" i="35"/>
  <c r="U494" i="35" s="1"/>
  <c r="U1146" i="35"/>
  <c r="U501" i="35" s="1"/>
  <c r="W257" i="35"/>
  <c r="W306" i="35"/>
  <c r="W270" i="35"/>
  <c r="W288" i="35"/>
  <c r="W268" i="35"/>
  <c r="W291" i="35"/>
  <c r="W265" i="35"/>
  <c r="W229" i="35"/>
  <c r="W236" i="35"/>
  <c r="W217" i="35"/>
  <c r="W222" i="35"/>
  <c r="M957" i="35"/>
  <c r="M246" i="35" s="1"/>
  <c r="M982" i="35"/>
  <c r="M271" i="35" s="1"/>
  <c r="M1007" i="35"/>
  <c r="M296" i="35" s="1"/>
  <c r="M993" i="35"/>
  <c r="M282" i="35" s="1"/>
  <c r="M979" i="35"/>
  <c r="M268" i="35" s="1"/>
  <c r="M966" i="35"/>
  <c r="M255" i="35" s="1"/>
  <c r="M976" i="35"/>
  <c r="M265" i="35" s="1"/>
  <c r="M969" i="35"/>
  <c r="M258" i="35" s="1"/>
  <c r="M946" i="35"/>
  <c r="M235" i="35" s="1"/>
  <c r="M933" i="35"/>
  <c r="M222" i="35" s="1"/>
  <c r="M930" i="35"/>
  <c r="M219" i="35" s="1"/>
  <c r="M928" i="35"/>
  <c r="M217" i="35" s="1"/>
  <c r="R910" i="35"/>
  <c r="R166" i="35" s="1"/>
  <c r="R890" i="35"/>
  <c r="R146" i="35" s="1"/>
  <c r="R847" i="35"/>
  <c r="R103" i="35" s="1"/>
  <c r="W395" i="35"/>
  <c r="W416" i="35"/>
  <c r="W418" i="35"/>
  <c r="W424" i="35"/>
  <c r="W382" i="35"/>
  <c r="W421" i="35"/>
  <c r="W408" i="35"/>
  <c r="W355" i="35"/>
  <c r="W353" i="35"/>
  <c r="W519" i="35"/>
  <c r="W540" i="35"/>
  <c r="W524" i="35"/>
  <c r="W567" i="35"/>
  <c r="W562" i="35"/>
  <c r="W489" i="35"/>
  <c r="U1222" i="35"/>
  <c r="U577" i="35" s="1"/>
  <c r="U1199" i="35"/>
  <c r="U554" i="35" s="1"/>
  <c r="U1186" i="35"/>
  <c r="U541" i="35" s="1"/>
  <c r="U1217" i="35"/>
  <c r="U572" i="35" s="1"/>
  <c r="U1202" i="35"/>
  <c r="U557" i="35" s="1"/>
  <c r="U1171" i="35"/>
  <c r="U526" i="35" s="1"/>
  <c r="U1175" i="35"/>
  <c r="U530" i="35" s="1"/>
  <c r="U1212" i="35"/>
  <c r="U567" i="35" s="1"/>
  <c r="U1132" i="35"/>
  <c r="U487" i="35" s="1"/>
  <c r="U1147" i="35"/>
  <c r="U502" i="35" s="1"/>
  <c r="U1142" i="35"/>
  <c r="U497" i="35" s="1"/>
  <c r="W279" i="35"/>
  <c r="W260" i="35"/>
  <c r="W250" i="35"/>
  <c r="W292" i="35"/>
  <c r="W284" i="35"/>
  <c r="W307" i="35"/>
  <c r="W267" i="35"/>
  <c r="W269" i="35"/>
  <c r="W215" i="35"/>
  <c r="W225" i="35"/>
  <c r="W230" i="35"/>
  <c r="W220" i="35"/>
  <c r="M1005" i="35"/>
  <c r="M294" i="35" s="1"/>
  <c r="M1017" i="35"/>
  <c r="M306" i="35" s="1"/>
  <c r="M981" i="35"/>
  <c r="M270" i="35" s="1"/>
  <c r="M967" i="35"/>
  <c r="M256" i="35" s="1"/>
  <c r="M983" i="35"/>
  <c r="M272" i="35" s="1"/>
  <c r="M1009" i="35"/>
  <c r="M298" i="35" s="1"/>
  <c r="M1011" i="35"/>
  <c r="M300" i="35" s="1"/>
  <c r="M924" i="35"/>
  <c r="M213" i="35" s="1"/>
  <c r="M947" i="35"/>
  <c r="M236" i="35" s="1"/>
  <c r="M926" i="35"/>
  <c r="M215" i="35" s="1"/>
  <c r="M925" i="35"/>
  <c r="M214" i="35" s="1"/>
  <c r="R855" i="35"/>
  <c r="R111" i="35" s="1"/>
  <c r="R896" i="35"/>
  <c r="R152" i="35" s="1"/>
  <c r="R833" i="35"/>
  <c r="R89" i="35" s="1"/>
  <c r="W368" i="35"/>
  <c r="W527" i="35"/>
  <c r="W551" i="35"/>
  <c r="W517" i="35"/>
  <c r="W531" i="35"/>
  <c r="W542" i="35"/>
  <c r="W490" i="35"/>
  <c r="W492" i="35"/>
  <c r="W486" i="35"/>
  <c r="U1172" i="35"/>
  <c r="U527" i="35" s="1"/>
  <c r="U1219" i="35"/>
  <c r="U574" i="35" s="1"/>
  <c r="U1214" i="35"/>
  <c r="U569" i="35" s="1"/>
  <c r="U1164" i="35"/>
  <c r="U519" i="35" s="1"/>
  <c r="U1197" i="35"/>
  <c r="U552" i="35" s="1"/>
  <c r="U1176" i="35"/>
  <c r="U531" i="35" s="1"/>
  <c r="U1174" i="35"/>
  <c r="U529" i="35" s="1"/>
  <c r="U1129" i="35"/>
  <c r="U484" i="35" s="1"/>
  <c r="U1134" i="35"/>
  <c r="U489" i="35" s="1"/>
  <c r="U1155" i="35"/>
  <c r="U510" i="35" s="1"/>
  <c r="U1145" i="35"/>
  <c r="U500" i="35" s="1"/>
  <c r="W295" i="35"/>
  <c r="W282" i="35"/>
  <c r="W294" i="35"/>
  <c r="W303" i="35"/>
  <c r="W281" i="35"/>
  <c r="W251" i="35"/>
  <c r="W290" i="35"/>
  <c r="W253" i="35"/>
  <c r="W221" i="35"/>
  <c r="W219" i="35"/>
  <c r="W234" i="35"/>
  <c r="M968" i="35"/>
  <c r="M257" i="35" s="1"/>
  <c r="M1013" i="35"/>
  <c r="M302" i="35" s="1"/>
  <c r="M984" i="35"/>
  <c r="M273" i="35" s="1"/>
  <c r="M992" i="35"/>
  <c r="M281" i="35" s="1"/>
  <c r="M991" i="35"/>
  <c r="M280" i="35" s="1"/>
  <c r="M1001" i="35"/>
  <c r="M290" i="35" s="1"/>
  <c r="M980" i="35"/>
  <c r="M269" i="35" s="1"/>
  <c r="M951" i="35"/>
  <c r="M240" i="35" s="1"/>
  <c r="M956" i="35"/>
  <c r="M245" i="35" s="1"/>
  <c r="M944" i="35"/>
  <c r="M233" i="35" s="1"/>
  <c r="M949" i="35"/>
  <c r="M238" i="35" s="1"/>
  <c r="R860" i="35"/>
  <c r="R116" i="35" s="1"/>
  <c r="R881" i="35"/>
  <c r="R137" i="35" s="1"/>
  <c r="R824" i="35"/>
  <c r="R80" i="35" s="1"/>
  <c r="W347" i="35"/>
  <c r="W569" i="35"/>
  <c r="W537" i="35"/>
  <c r="W565" i="35"/>
  <c r="W538" i="35"/>
  <c r="W505" i="35"/>
  <c r="W499" i="35"/>
  <c r="W494" i="35"/>
  <c r="U1203" i="35"/>
  <c r="U558" i="35" s="1"/>
  <c r="U1173" i="35"/>
  <c r="U528" i="35" s="1"/>
  <c r="U1205" i="35"/>
  <c r="U560" i="35" s="1"/>
  <c r="U1184" i="35"/>
  <c r="U539" i="35" s="1"/>
  <c r="U1213" i="35"/>
  <c r="U568" i="35" s="1"/>
  <c r="U1210" i="35"/>
  <c r="U565" i="35" s="1"/>
  <c r="U1221" i="35"/>
  <c r="U576" i="35" s="1"/>
  <c r="U1156" i="35"/>
  <c r="U511" i="35" s="1"/>
  <c r="U1133" i="35"/>
  <c r="U488" i="35" s="1"/>
  <c r="U1135" i="35"/>
  <c r="U490" i="35" s="1"/>
  <c r="U1153" i="35"/>
  <c r="U508" i="35" s="1"/>
  <c r="W304" i="35"/>
  <c r="W286" i="35"/>
  <c r="W249" i="35"/>
  <c r="W262" i="35"/>
  <c r="W256" i="35"/>
  <c r="W264" i="35"/>
  <c r="W254" i="35"/>
  <c r="W278" i="35"/>
  <c r="W240" i="35"/>
  <c r="W216" i="35"/>
  <c r="W214" i="35"/>
  <c r="M974" i="35"/>
  <c r="M263" i="35" s="1"/>
  <c r="M997" i="35"/>
  <c r="M286" i="35" s="1"/>
  <c r="M963" i="35"/>
  <c r="M252" i="35" s="1"/>
  <c r="M1016" i="35"/>
  <c r="M305" i="35" s="1"/>
  <c r="M1000" i="35"/>
  <c r="M289" i="35" s="1"/>
  <c r="M1010" i="35"/>
  <c r="M299" i="35" s="1"/>
  <c r="M975" i="35"/>
  <c r="M264" i="35" s="1"/>
  <c r="M942" i="35"/>
  <c r="M231" i="35" s="1"/>
  <c r="M938" i="35"/>
  <c r="M227" i="35" s="1"/>
  <c r="M948" i="35"/>
  <c r="M237" i="35" s="1"/>
  <c r="M932" i="35"/>
  <c r="M221" i="35" s="1"/>
  <c r="R893" i="35"/>
  <c r="R149" i="35" s="1"/>
  <c r="R880" i="35"/>
  <c r="R136" i="35" s="1"/>
  <c r="R841" i="35"/>
  <c r="R97" i="35" s="1"/>
  <c r="W398" i="35"/>
  <c r="W417" i="35"/>
  <c r="W437" i="35"/>
  <c r="W389" i="35"/>
  <c r="W439" i="35"/>
  <c r="W391" i="35"/>
  <c r="W415" i="35"/>
  <c r="W436" i="35"/>
  <c r="W356" i="35"/>
  <c r="W350" i="35"/>
  <c r="W165" i="35"/>
  <c r="W533" i="35"/>
  <c r="W528" i="35"/>
  <c r="W518" i="35"/>
  <c r="W571" i="35"/>
  <c r="W559" i="35"/>
  <c r="W483" i="35"/>
  <c r="W487" i="35"/>
  <c r="W498" i="35"/>
  <c r="W506" i="35"/>
  <c r="U1178" i="35"/>
  <c r="U533" i="35" s="1"/>
  <c r="U1200" i="35"/>
  <c r="U555" i="35" s="1"/>
  <c r="U1181" i="35"/>
  <c r="U536" i="35" s="1"/>
  <c r="U1177" i="35"/>
  <c r="U532" i="35" s="1"/>
  <c r="U1204" i="35"/>
  <c r="U559" i="35" s="1"/>
  <c r="U1220" i="35"/>
  <c r="U575" i="35" s="1"/>
  <c r="U1189" i="35"/>
  <c r="U544" i="35" s="1"/>
  <c r="U1149" i="35"/>
  <c r="U504" i="35" s="1"/>
  <c r="U1148" i="35"/>
  <c r="U503" i="35" s="1"/>
  <c r="U1138" i="35"/>
  <c r="U493" i="35" s="1"/>
  <c r="U1140" i="35"/>
  <c r="U495" i="35" s="1"/>
  <c r="W283" i="35"/>
  <c r="W273" i="35"/>
  <c r="W255" i="35"/>
  <c r="W272" i="35"/>
  <c r="W280" i="35"/>
  <c r="W247" i="35"/>
  <c r="W305" i="35"/>
  <c r="W239" i="35"/>
  <c r="W228" i="35"/>
  <c r="W241" i="35"/>
  <c r="W235" i="35"/>
  <c r="M1015" i="35"/>
  <c r="M304" i="35" s="1"/>
  <c r="M996" i="35"/>
  <c r="M285" i="35" s="1"/>
  <c r="M1006" i="35"/>
  <c r="M295" i="35" s="1"/>
  <c r="M1012" i="35"/>
  <c r="M301" i="35" s="1"/>
  <c r="M985" i="35"/>
  <c r="M274" i="35" s="1"/>
  <c r="M1018" i="35"/>
  <c r="M307" i="35" s="1"/>
  <c r="M1008" i="35"/>
  <c r="M297" i="35" s="1"/>
  <c r="M945" i="35"/>
  <c r="M234" i="35" s="1"/>
  <c r="M950" i="35"/>
  <c r="M239" i="35" s="1"/>
  <c r="M939" i="35"/>
  <c r="M228" i="35" s="1"/>
  <c r="M989" i="35"/>
  <c r="M278" i="35" s="1"/>
  <c r="R915" i="35"/>
  <c r="R171" i="35" s="1"/>
  <c r="R862" i="35"/>
  <c r="R118" i="35" s="1"/>
  <c r="R845" i="35"/>
  <c r="R101" i="35" s="1"/>
  <c r="W420" i="35"/>
  <c r="W434" i="35"/>
  <c r="W429" i="35"/>
  <c r="W384" i="35"/>
  <c r="W433" i="35"/>
  <c r="W393" i="35"/>
  <c r="W383" i="35"/>
  <c r="W386" i="35"/>
  <c r="W360" i="35"/>
  <c r="W351" i="35"/>
  <c r="W354" i="35"/>
  <c r="W577" i="35"/>
  <c r="W521" i="35"/>
  <c r="W568" i="35"/>
  <c r="W535" i="35"/>
  <c r="W523" i="35"/>
  <c r="W564" i="35"/>
  <c r="W530" i="35"/>
  <c r="W484" i="35"/>
  <c r="W488" i="35"/>
  <c r="W496" i="35"/>
  <c r="W500" i="35"/>
  <c r="U1163" i="35"/>
  <c r="U518" i="35" s="1"/>
  <c r="U1182" i="35"/>
  <c r="U537" i="35" s="1"/>
  <c r="U1195" i="35"/>
  <c r="U550" i="35" s="1"/>
  <c r="U1180" i="35"/>
  <c r="U535" i="35" s="1"/>
  <c r="U1211" i="35"/>
  <c r="U566" i="35" s="1"/>
  <c r="U1198" i="35"/>
  <c r="U553" i="35" s="1"/>
  <c r="U1207" i="35"/>
  <c r="U562" i="35" s="1"/>
  <c r="U1160" i="35"/>
  <c r="U515" i="35" s="1"/>
  <c r="U1137" i="35"/>
  <c r="U492" i="35" s="1"/>
  <c r="U1131" i="35"/>
  <c r="U486" i="35" s="1"/>
  <c r="U1151" i="35"/>
  <c r="U506" i="35" s="1"/>
  <c r="W263" i="35"/>
  <c r="W261" i="35"/>
  <c r="W289" i="35"/>
  <c r="W248" i="35"/>
  <c r="W259" i="35"/>
  <c r="W258" i="35"/>
  <c r="W274" i="35"/>
  <c r="W218" i="35"/>
  <c r="W237" i="35"/>
  <c r="W224" i="35"/>
  <c r="W233" i="35"/>
  <c r="M994" i="35"/>
  <c r="M283" i="35" s="1"/>
  <c r="M995" i="35"/>
  <c r="M284" i="35" s="1"/>
  <c r="M1014" i="35"/>
  <c r="M303" i="35" s="1"/>
  <c r="M1003" i="35"/>
  <c r="M292" i="35" s="1"/>
  <c r="M999" i="35"/>
  <c r="M288" i="35" s="1"/>
  <c r="M970" i="35"/>
  <c r="M259" i="35" s="1"/>
  <c r="M1002" i="35"/>
  <c r="M291" i="35" s="1"/>
  <c r="M927" i="35"/>
  <c r="M216" i="35" s="1"/>
  <c r="M937" i="35"/>
  <c r="M226" i="35" s="1"/>
  <c r="M931" i="35"/>
  <c r="M220" i="35" s="1"/>
  <c r="M943" i="35"/>
  <c r="M232" i="35" s="1"/>
  <c r="R903" i="35"/>
  <c r="R159" i="35" s="1"/>
  <c r="R889" i="35"/>
  <c r="R145" i="35" s="1"/>
  <c r="R836" i="35"/>
  <c r="R92" i="35" s="1"/>
  <c r="W376" i="35"/>
  <c r="W574" i="35"/>
  <c r="W573" i="35"/>
  <c r="W539" i="35"/>
  <c r="W557" i="35"/>
  <c r="W553" i="35"/>
  <c r="W576" i="35"/>
  <c r="W504" i="35"/>
  <c r="W495" i="35"/>
  <c r="W508" i="35"/>
  <c r="U1170" i="35"/>
  <c r="U525" i="35" s="1"/>
  <c r="U1196" i="35"/>
  <c r="U551" i="35" s="1"/>
  <c r="U1169" i="35"/>
  <c r="U524" i="35" s="1"/>
  <c r="U1216" i="35"/>
  <c r="U571" i="35" s="1"/>
  <c r="U1183" i="35"/>
  <c r="U538" i="35" s="1"/>
  <c r="U1185" i="35"/>
  <c r="U540" i="35" s="1"/>
  <c r="U1128" i="35"/>
  <c r="U483" i="35" s="1"/>
  <c r="U1154" i="35"/>
  <c r="U509" i="35" s="1"/>
  <c r="U1130" i="35"/>
  <c r="U485" i="35" s="1"/>
  <c r="U1141" i="35"/>
  <c r="U496" i="35" s="1"/>
  <c r="W252" i="35"/>
  <c r="W285" i="35"/>
  <c r="W302" i="35"/>
  <c r="W287" i="35"/>
  <c r="W301" i="35"/>
  <c r="W297" i="35"/>
  <c r="W299" i="35"/>
  <c r="W231" i="35"/>
  <c r="W212" i="35"/>
  <c r="W226" i="35"/>
  <c r="W245" i="35"/>
  <c r="M972" i="35"/>
  <c r="M261" i="35" s="1"/>
  <c r="M977" i="35"/>
  <c r="M266" i="35" s="1"/>
  <c r="M971" i="35"/>
  <c r="M260" i="35" s="1"/>
  <c r="M962" i="35"/>
  <c r="M251" i="35" s="1"/>
  <c r="M1004" i="35"/>
  <c r="M293" i="35" s="1"/>
  <c r="M958" i="35"/>
  <c r="M247" i="35" s="1"/>
  <c r="M965" i="35"/>
  <c r="M254" i="35" s="1"/>
  <c r="M940" i="35"/>
  <c r="M229" i="35" s="1"/>
  <c r="M929" i="35"/>
  <c r="M218" i="35" s="1"/>
  <c r="M935" i="35"/>
  <c r="M224" i="35" s="1"/>
  <c r="R859" i="35"/>
  <c r="R115" i="35" s="1"/>
  <c r="R874" i="35"/>
  <c r="R130" i="35" s="1"/>
  <c r="R830" i="35"/>
  <c r="R86" i="35" s="1"/>
  <c r="U286" i="35"/>
  <c r="U293" i="35"/>
  <c r="U288" i="35"/>
  <c r="U290" i="35"/>
  <c r="U300" i="35"/>
  <c r="U303" i="35"/>
  <c r="U295" i="35"/>
  <c r="U256" i="35"/>
  <c r="U267" i="35"/>
  <c r="U227" i="35"/>
  <c r="U233" i="35"/>
  <c r="U252" i="35"/>
  <c r="U302" i="35"/>
  <c r="U284" i="35"/>
  <c r="U231" i="35"/>
  <c r="U226" i="35"/>
  <c r="U235" i="35"/>
  <c r="U236" i="35"/>
  <c r="U298" i="35"/>
  <c r="U262" i="35"/>
  <c r="U297" i="35"/>
  <c r="U304" i="35"/>
  <c r="U247" i="35"/>
  <c r="U257" i="35"/>
  <c r="U271" i="35"/>
  <c r="U282" i="35"/>
  <c r="U248" i="35"/>
  <c r="U301" i="35"/>
  <c r="U292" i="35"/>
  <c r="U258" i="35"/>
  <c r="U229" i="35"/>
  <c r="U222" i="35"/>
  <c r="U221" i="35"/>
  <c r="U239" i="35"/>
  <c r="U281" i="35"/>
  <c r="U268" i="35"/>
  <c r="R867" i="35"/>
  <c r="R123" i="35" s="1"/>
  <c r="R871" i="35"/>
  <c r="R127" i="35" s="1"/>
  <c r="R897" i="35"/>
  <c r="R153" i="35" s="1"/>
  <c r="R873" i="35"/>
  <c r="R129" i="35" s="1"/>
  <c r="R901" i="35"/>
  <c r="R157" i="35" s="1"/>
  <c r="R865" i="35"/>
  <c r="R121" i="35" s="1"/>
  <c r="R916" i="35"/>
  <c r="R172" i="35" s="1"/>
  <c r="R822" i="35"/>
  <c r="R78" i="35" s="1"/>
  <c r="R829" i="35"/>
  <c r="R85" i="35" s="1"/>
  <c r="R839" i="35"/>
  <c r="R95" i="35" s="1"/>
  <c r="R846" i="35"/>
  <c r="R102" i="35" s="1"/>
  <c r="R887" i="35"/>
  <c r="R143" i="35" s="1"/>
  <c r="R869" i="35"/>
  <c r="R125" i="35" s="1"/>
  <c r="R864" i="35"/>
  <c r="R120" i="35" s="1"/>
  <c r="R872" i="35"/>
  <c r="R128" i="35" s="1"/>
  <c r="R863" i="35"/>
  <c r="R119" i="35" s="1"/>
  <c r="R907" i="35"/>
  <c r="R163" i="35" s="1"/>
  <c r="R902" i="35"/>
  <c r="R158" i="35" s="1"/>
  <c r="R856" i="35"/>
  <c r="R112" i="35" s="1"/>
  <c r="R842" i="35"/>
  <c r="R98" i="35" s="1"/>
  <c r="R843" i="35"/>
  <c r="R99" i="35" s="1"/>
  <c r="R844" i="35"/>
  <c r="R100" i="35" s="1"/>
  <c r="R828" i="35"/>
  <c r="R84" i="35" s="1"/>
  <c r="V279" i="35"/>
  <c r="V303" i="35"/>
  <c r="V258" i="35"/>
  <c r="R857" i="35"/>
  <c r="R113" i="35" s="1"/>
  <c r="R908" i="35"/>
  <c r="R164" i="35" s="1"/>
  <c r="R914" i="35"/>
  <c r="R170" i="35" s="1"/>
  <c r="R861" i="35"/>
  <c r="R117" i="35" s="1"/>
  <c r="R866" i="35"/>
  <c r="R122" i="35" s="1"/>
  <c r="R878" i="35"/>
  <c r="R134" i="35" s="1"/>
  <c r="R870" i="35"/>
  <c r="R126" i="35" s="1"/>
  <c r="R838" i="35"/>
  <c r="R94" i="35" s="1"/>
  <c r="R850" i="35"/>
  <c r="R106" i="35" s="1"/>
  <c r="R827" i="35"/>
  <c r="R83" i="35" s="1"/>
  <c r="R837" i="35"/>
  <c r="R93" i="35" s="1"/>
  <c r="V268" i="35"/>
  <c r="V291" i="35"/>
  <c r="V290" i="35"/>
  <c r="V219" i="35"/>
  <c r="V241" i="35"/>
  <c r="V216" i="35"/>
  <c r="V214" i="35"/>
  <c r="R900" i="35"/>
  <c r="R156" i="35" s="1"/>
  <c r="R879" i="35"/>
  <c r="R135" i="35" s="1"/>
  <c r="R905" i="35"/>
  <c r="R161" i="35" s="1"/>
  <c r="R868" i="35"/>
  <c r="R124" i="35" s="1"/>
  <c r="R876" i="35"/>
  <c r="R132" i="35" s="1"/>
  <c r="R911" i="35"/>
  <c r="R167" i="35" s="1"/>
  <c r="R909" i="35"/>
  <c r="R165" i="35" s="1"/>
  <c r="R849" i="35"/>
  <c r="R105" i="35" s="1"/>
  <c r="R826" i="35"/>
  <c r="R82" i="35" s="1"/>
  <c r="R825" i="35"/>
  <c r="R81" i="35" s="1"/>
  <c r="R821" i="35"/>
  <c r="R77" i="35" s="1"/>
  <c r="V287" i="35"/>
  <c r="R912" i="35"/>
  <c r="R168" i="35" s="1"/>
  <c r="R882" i="35"/>
  <c r="R138" i="35" s="1"/>
  <c r="R913" i="35"/>
  <c r="R169" i="35" s="1"/>
  <c r="R906" i="35"/>
  <c r="R162" i="35" s="1"/>
  <c r="R899" i="35"/>
  <c r="R155" i="35" s="1"/>
  <c r="R858" i="35"/>
  <c r="R114" i="35" s="1"/>
  <c r="R894" i="35"/>
  <c r="R150" i="35" s="1"/>
  <c r="R854" i="35"/>
  <c r="R110" i="35" s="1"/>
  <c r="R823" i="35"/>
  <c r="R79" i="35" s="1"/>
  <c r="R831" i="35"/>
  <c r="R87" i="35" s="1"/>
  <c r="R819" i="35"/>
  <c r="R1023" i="35" s="1"/>
  <c r="R888" i="35"/>
  <c r="R144" i="35" s="1"/>
  <c r="R904" i="35"/>
  <c r="R160" i="35" s="1"/>
  <c r="R875" i="35"/>
  <c r="R131" i="35" s="1"/>
  <c r="R877" i="35"/>
  <c r="R133" i="35" s="1"/>
  <c r="R892" i="35"/>
  <c r="R148" i="35" s="1"/>
  <c r="R895" i="35"/>
  <c r="R151" i="35" s="1"/>
  <c r="R883" i="35"/>
  <c r="R139" i="35" s="1"/>
  <c r="R891" i="35"/>
  <c r="R147" i="35" s="1"/>
  <c r="R834" i="35"/>
  <c r="R90" i="35" s="1"/>
  <c r="R840" i="35"/>
  <c r="R96" i="35" s="1"/>
  <c r="R848" i="35"/>
  <c r="R104" i="35" s="1"/>
  <c r="AA480" i="35"/>
  <c r="V381" i="35"/>
  <c r="U220" i="35"/>
  <c r="AA210" i="35"/>
  <c r="U213" i="35"/>
  <c r="U225" i="35"/>
  <c r="U241" i="35"/>
  <c r="AA345" i="35"/>
  <c r="U224" i="35"/>
  <c r="U216" i="35"/>
  <c r="U240" i="35"/>
  <c r="P71" i="32"/>
  <c r="N468" i="35"/>
  <c r="N471" i="35"/>
  <c r="N474" i="35"/>
  <c r="U345" i="35"/>
  <c r="R1194" i="35"/>
  <c r="R549" i="35" s="1"/>
  <c r="R1161" i="35"/>
  <c r="R516" i="35" s="1"/>
  <c r="R357" i="35"/>
  <c r="O1059" i="35"/>
  <c r="O381" i="35" s="1"/>
  <c r="O1092" i="35"/>
  <c r="O414" i="35" s="1"/>
  <c r="O1161" i="35"/>
  <c r="O516" i="35" s="1"/>
  <c r="O1194" i="35"/>
  <c r="O549" i="35" s="1"/>
  <c r="AA549" i="35"/>
  <c r="W1161" i="35"/>
  <c r="W516" i="35" s="1"/>
  <c r="W1194" i="35"/>
  <c r="W549" i="35" s="1"/>
  <c r="R435" i="35"/>
  <c r="R1064" i="35"/>
  <c r="R386" i="35" s="1"/>
  <c r="R1066" i="35"/>
  <c r="R388" i="35" s="1"/>
  <c r="R1033" i="35"/>
  <c r="R355" i="35" s="1"/>
  <c r="R1050" i="35"/>
  <c r="R372" i="35" s="1"/>
  <c r="R1039" i="35"/>
  <c r="R361" i="35" s="1"/>
  <c r="R1043" i="35"/>
  <c r="R365" i="35" s="1"/>
  <c r="V295" i="35"/>
  <c r="V289" i="35"/>
  <c r="V274" i="35"/>
  <c r="V239" i="35"/>
  <c r="V228" i="35"/>
  <c r="V223" i="35"/>
  <c r="V224" i="35"/>
  <c r="W1059" i="35"/>
  <c r="W381" i="35" s="1"/>
  <c r="W1092" i="35"/>
  <c r="W414" i="35" s="1"/>
  <c r="U1059" i="35"/>
  <c r="U381" i="35" s="1"/>
  <c r="U1092" i="35"/>
  <c r="U414" i="35" s="1"/>
  <c r="V240" i="35"/>
  <c r="AA1059" i="35"/>
  <c r="AA381" i="35" s="1"/>
  <c r="AA1092" i="35"/>
  <c r="AA414" i="35" s="1"/>
  <c r="R1101" i="35"/>
  <c r="R423" i="35" s="1"/>
  <c r="R1061" i="35"/>
  <c r="R383" i="35" s="1"/>
  <c r="R1084" i="35"/>
  <c r="R406" i="35" s="1"/>
  <c r="R1034" i="35"/>
  <c r="R356" i="35" s="1"/>
  <c r="R1048" i="35"/>
  <c r="R370" i="35" s="1"/>
  <c r="V284" i="35"/>
  <c r="U1161" i="35"/>
  <c r="U516" i="35" s="1"/>
  <c r="U1194" i="35"/>
  <c r="U549" i="35" s="1"/>
  <c r="R1092" i="35"/>
  <c r="R414" i="35" s="1"/>
  <c r="R1059" i="35"/>
  <c r="R381" i="35" s="1"/>
  <c r="V516" i="35"/>
  <c r="N582" i="35"/>
  <c r="K39" i="45"/>
  <c r="K53" i="45"/>
  <c r="N458" i="35"/>
  <c r="N448" i="35"/>
  <c r="N460" i="35"/>
  <c r="N469" i="35"/>
  <c r="N450" i="35"/>
  <c r="N470" i="35"/>
  <c r="N461" i="35"/>
  <c r="N457" i="35"/>
  <c r="N452" i="35"/>
  <c r="N459" i="35"/>
  <c r="N462" i="35"/>
  <c r="N456" i="35"/>
  <c r="N465" i="35"/>
  <c r="N475" i="35"/>
  <c r="N449" i="35"/>
  <c r="N331" i="35"/>
  <c r="N453" i="35"/>
  <c r="N312" i="35"/>
  <c r="R311" i="35"/>
  <c r="N451" i="35"/>
  <c r="N454" i="35"/>
  <c r="N467" i="35"/>
  <c r="N472" i="35"/>
  <c r="N464" i="35"/>
  <c r="N463" i="35"/>
  <c r="N455" i="35"/>
  <c r="N466" i="35"/>
  <c r="N473" i="35"/>
  <c r="N327" i="35"/>
  <c r="N324" i="35"/>
  <c r="N201" i="35"/>
  <c r="N589" i="35"/>
  <c r="N187" i="35"/>
  <c r="N591" i="35"/>
  <c r="N317" i="35"/>
  <c r="N597" i="35"/>
  <c r="N198" i="35"/>
  <c r="N181" i="35"/>
  <c r="N202" i="35"/>
  <c r="N584" i="35"/>
  <c r="N594" i="35"/>
  <c r="N593" i="35"/>
  <c r="N606" i="35"/>
  <c r="N610" i="35"/>
  <c r="N583" i="35"/>
  <c r="N599" i="35"/>
  <c r="N200" i="35"/>
  <c r="N608" i="35"/>
  <c r="N601" i="35"/>
  <c r="N602" i="35"/>
  <c r="N590" i="35"/>
  <c r="N321" i="35"/>
  <c r="R327" i="35"/>
  <c r="N319" i="35"/>
  <c r="N329" i="35"/>
  <c r="R324" i="35"/>
  <c r="N334" i="35"/>
  <c r="N340" i="35"/>
  <c r="N333" i="35"/>
  <c r="N318" i="35"/>
  <c r="R338" i="35"/>
  <c r="R315" i="35"/>
  <c r="N179" i="35"/>
  <c r="I313" i="35"/>
  <c r="I329" i="35"/>
  <c r="N607" i="35"/>
  <c r="N178" i="35"/>
  <c r="N197" i="35"/>
  <c r="N194" i="35"/>
  <c r="N193" i="35"/>
  <c r="I324" i="35"/>
  <c r="I328" i="35"/>
  <c r="I338" i="35"/>
  <c r="I322" i="35"/>
  <c r="I202" i="35"/>
  <c r="N603" i="35"/>
  <c r="N192" i="35"/>
  <c r="N180" i="35"/>
  <c r="N189" i="35"/>
  <c r="N185" i="35"/>
  <c r="N609" i="35"/>
  <c r="N600" i="35"/>
  <c r="I312" i="35"/>
  <c r="I340" i="35"/>
  <c r="I315" i="35"/>
  <c r="N176" i="35"/>
  <c r="N182" i="35"/>
  <c r="N205" i="35"/>
  <c r="N184" i="35"/>
  <c r="N587" i="35"/>
  <c r="N585" i="35"/>
  <c r="I332" i="35"/>
  <c r="I335" i="35"/>
  <c r="I314" i="35"/>
  <c r="I319" i="35"/>
  <c r="I320" i="35"/>
  <c r="N199" i="35"/>
  <c r="N596" i="35"/>
  <c r="N177" i="35"/>
  <c r="N186" i="35"/>
  <c r="N191" i="35"/>
  <c r="N196" i="35"/>
  <c r="N604" i="35"/>
  <c r="N598" i="35"/>
  <c r="I331" i="35"/>
  <c r="I339" i="35"/>
  <c r="I337" i="35"/>
  <c r="N203" i="35"/>
  <c r="N586" i="35"/>
  <c r="N204" i="35"/>
  <c r="N605" i="35"/>
  <c r="I336" i="35"/>
  <c r="I317" i="35"/>
  <c r="I330" i="35"/>
  <c r="I327" i="35"/>
  <c r="I325" i="35"/>
  <c r="I318" i="35"/>
  <c r="I190" i="35"/>
  <c r="I203" i="35"/>
  <c r="I334" i="35"/>
  <c r="U1023" i="35"/>
  <c r="U1125" i="35"/>
  <c r="U921" i="35"/>
  <c r="P923" i="35"/>
  <c r="P212" i="35" s="1"/>
  <c r="P935" i="35"/>
  <c r="P224" i="35" s="1"/>
  <c r="P925" i="35"/>
  <c r="P214" i="35" s="1"/>
  <c r="P943" i="35"/>
  <c r="P232" i="35" s="1"/>
  <c r="P927" i="35"/>
  <c r="P216" i="35" s="1"/>
  <c r="P956" i="35"/>
  <c r="P245" i="35" s="1"/>
  <c r="P942" i="35"/>
  <c r="P231" i="35" s="1"/>
  <c r="P945" i="35"/>
  <c r="P234" i="35" s="1"/>
  <c r="P939" i="35"/>
  <c r="P228" i="35" s="1"/>
  <c r="P926" i="35"/>
  <c r="P215" i="35" s="1"/>
  <c r="P952" i="35"/>
  <c r="P241" i="35" s="1"/>
  <c r="P933" i="35"/>
  <c r="P222" i="35" s="1"/>
  <c r="P937" i="35"/>
  <c r="P226" i="35" s="1"/>
  <c r="P930" i="35"/>
  <c r="P219" i="35" s="1"/>
  <c r="P936" i="35"/>
  <c r="P225" i="35" s="1"/>
  <c r="P928" i="35"/>
  <c r="P217" i="35" s="1"/>
  <c r="P929" i="35"/>
  <c r="P218" i="35" s="1"/>
  <c r="P951" i="35"/>
  <c r="P240" i="35" s="1"/>
  <c r="P946" i="35"/>
  <c r="P235" i="35" s="1"/>
  <c r="P940" i="35"/>
  <c r="P229" i="35" s="1"/>
  <c r="P950" i="35"/>
  <c r="P239" i="35" s="1"/>
  <c r="P938" i="35"/>
  <c r="P227" i="35" s="1"/>
  <c r="P947" i="35"/>
  <c r="P236" i="35" s="1"/>
  <c r="P949" i="35"/>
  <c r="P238" i="35" s="1"/>
  <c r="P989" i="35"/>
  <c r="P278" i="35" s="1"/>
  <c r="P941" i="35"/>
  <c r="P230" i="35" s="1"/>
  <c r="P932" i="35"/>
  <c r="P221" i="35" s="1"/>
  <c r="P934" i="35"/>
  <c r="P223" i="35" s="1"/>
  <c r="P931" i="35"/>
  <c r="P220" i="35" s="1"/>
  <c r="P948" i="35"/>
  <c r="P237" i="35" s="1"/>
  <c r="P944" i="35"/>
  <c r="P233" i="35" s="1"/>
  <c r="P1010" i="35"/>
  <c r="P299" i="35" s="1"/>
  <c r="P1001" i="35"/>
  <c r="P290" i="35" s="1"/>
  <c r="P978" i="35"/>
  <c r="P267" i="35" s="1"/>
  <c r="P958" i="35"/>
  <c r="P247" i="35" s="1"/>
  <c r="P1016" i="35"/>
  <c r="P305" i="35" s="1"/>
  <c r="P924" i="35"/>
  <c r="P213" i="35" s="1"/>
  <c r="P980" i="35"/>
  <c r="P269" i="35" s="1"/>
  <c r="P1011" i="35"/>
  <c r="P300" i="35" s="1"/>
  <c r="P969" i="35"/>
  <c r="P258" i="35" s="1"/>
  <c r="P970" i="35"/>
  <c r="P259" i="35" s="1"/>
  <c r="P965" i="35"/>
  <c r="P254" i="35" s="1"/>
  <c r="P1002" i="35"/>
  <c r="P291" i="35" s="1"/>
  <c r="P976" i="35"/>
  <c r="P265" i="35" s="1"/>
  <c r="P975" i="35"/>
  <c r="P264" i="35" s="1"/>
  <c r="P964" i="35"/>
  <c r="P253" i="35" s="1"/>
  <c r="P1008" i="35"/>
  <c r="P297" i="35" s="1"/>
  <c r="P985" i="35"/>
  <c r="P274" i="35" s="1"/>
  <c r="P959" i="35"/>
  <c r="P248" i="35" s="1"/>
  <c r="P1018" i="35"/>
  <c r="P307" i="35" s="1"/>
  <c r="P966" i="35"/>
  <c r="P255" i="35" s="1"/>
  <c r="P999" i="35"/>
  <c r="P288" i="35" s="1"/>
  <c r="P1000" i="35"/>
  <c r="P289" i="35" s="1"/>
  <c r="P991" i="35"/>
  <c r="P280" i="35" s="1"/>
  <c r="P992" i="35"/>
  <c r="P281" i="35" s="1"/>
  <c r="P1003" i="35"/>
  <c r="P292" i="35" s="1"/>
  <c r="P967" i="35"/>
  <c r="P256" i="35" s="1"/>
  <c r="P1012" i="35"/>
  <c r="P301" i="35" s="1"/>
  <c r="P983" i="35"/>
  <c r="P272" i="35" s="1"/>
  <c r="P995" i="35"/>
  <c r="P284" i="35" s="1"/>
  <c r="P962" i="35"/>
  <c r="P251" i="35" s="1"/>
  <c r="P996" i="35"/>
  <c r="P285" i="35" s="1"/>
  <c r="P1009" i="35"/>
  <c r="P298" i="35" s="1"/>
  <c r="P979" i="35"/>
  <c r="P268" i="35" s="1"/>
  <c r="P998" i="35"/>
  <c r="P287" i="35" s="1"/>
  <c r="P993" i="35"/>
  <c r="P282" i="35" s="1"/>
  <c r="P1004" i="35"/>
  <c r="P293" i="35" s="1"/>
  <c r="P963" i="35"/>
  <c r="P252" i="35" s="1"/>
  <c r="P984" i="35"/>
  <c r="P273" i="35" s="1"/>
  <c r="P1005" i="35"/>
  <c r="P294" i="35" s="1"/>
  <c r="P973" i="35"/>
  <c r="P262" i="35" s="1"/>
  <c r="P972" i="35"/>
  <c r="P261" i="35" s="1"/>
  <c r="P982" i="35"/>
  <c r="P271" i="35" s="1"/>
  <c r="P1017" i="35"/>
  <c r="P306" i="35" s="1"/>
  <c r="P977" i="35"/>
  <c r="P266" i="35" s="1"/>
  <c r="P981" i="35"/>
  <c r="P270" i="35" s="1"/>
  <c r="P1007" i="35"/>
  <c r="P296" i="35" s="1"/>
  <c r="P1014" i="35"/>
  <c r="P303" i="35" s="1"/>
  <c r="P1006" i="35"/>
  <c r="P295" i="35" s="1"/>
  <c r="P960" i="35"/>
  <c r="P249" i="35" s="1"/>
  <c r="P971" i="35"/>
  <c r="P260" i="35" s="1"/>
  <c r="P997" i="35"/>
  <c r="P286" i="35" s="1"/>
  <c r="P961" i="35"/>
  <c r="P250" i="35" s="1"/>
  <c r="P968" i="35"/>
  <c r="P257" i="35" s="1"/>
  <c r="P1013" i="35"/>
  <c r="P302" i="35" s="1"/>
  <c r="P1015" i="35"/>
  <c r="P304" i="35" s="1"/>
  <c r="P974" i="35"/>
  <c r="P263" i="35" s="1"/>
  <c r="P994" i="35"/>
  <c r="P283" i="35" s="1"/>
  <c r="P957" i="35"/>
  <c r="P246" i="35" s="1"/>
  <c r="P990" i="35"/>
  <c r="P279" i="35" s="1"/>
  <c r="I321" i="35"/>
  <c r="N195" i="35"/>
  <c r="N183" i="35"/>
  <c r="N188" i="35"/>
  <c r="N190" i="35"/>
  <c r="N592" i="35"/>
  <c r="N588" i="35"/>
  <c r="N595" i="35"/>
  <c r="I323" i="35"/>
  <c r="I326" i="35"/>
  <c r="I316" i="35"/>
  <c r="I333" i="35"/>
  <c r="I311" i="35"/>
  <c r="P1127" i="35"/>
  <c r="P482" i="35" s="1"/>
  <c r="P1146" i="35"/>
  <c r="P501" i="35" s="1"/>
  <c r="P1152" i="35"/>
  <c r="P507" i="35" s="1"/>
  <c r="P1153" i="35"/>
  <c r="P508" i="35" s="1"/>
  <c r="P1145" i="35"/>
  <c r="P500" i="35" s="1"/>
  <c r="P1141" i="35"/>
  <c r="P496" i="35" s="1"/>
  <c r="P1151" i="35"/>
  <c r="P506" i="35" s="1"/>
  <c r="P1139" i="35"/>
  <c r="P494" i="35" s="1"/>
  <c r="P1131" i="35"/>
  <c r="P486" i="35" s="1"/>
  <c r="P1142" i="35"/>
  <c r="P497" i="35" s="1"/>
  <c r="P1138" i="35"/>
  <c r="P493" i="35" s="1"/>
  <c r="P1140" i="35"/>
  <c r="P495" i="35" s="1"/>
  <c r="P1155" i="35"/>
  <c r="P510" i="35" s="1"/>
  <c r="P1135" i="35"/>
  <c r="P490" i="35" s="1"/>
  <c r="P1130" i="35"/>
  <c r="P485" i="35" s="1"/>
  <c r="P1143" i="35"/>
  <c r="P498" i="35" s="1"/>
  <c r="P1136" i="35"/>
  <c r="P491" i="35" s="1"/>
  <c r="P1144" i="35"/>
  <c r="P499" i="35" s="1"/>
  <c r="P1134" i="35"/>
  <c r="P489" i="35" s="1"/>
  <c r="P1147" i="35"/>
  <c r="P502" i="35" s="1"/>
  <c r="P1137" i="35"/>
  <c r="P492" i="35" s="1"/>
  <c r="P1148" i="35"/>
  <c r="P503" i="35" s="1"/>
  <c r="P1133" i="35"/>
  <c r="P488" i="35" s="1"/>
  <c r="P1149" i="35"/>
  <c r="P504" i="35" s="1"/>
  <c r="P1193" i="35"/>
  <c r="P548" i="35" s="1"/>
  <c r="P1154" i="35"/>
  <c r="P509" i="35" s="1"/>
  <c r="P1150" i="35"/>
  <c r="P505" i="35" s="1"/>
  <c r="P1156" i="35"/>
  <c r="P511" i="35" s="1"/>
  <c r="P1129" i="35"/>
  <c r="P484" i="35" s="1"/>
  <c r="P1160" i="35"/>
  <c r="P515" i="35" s="1"/>
  <c r="P1132" i="35"/>
  <c r="P487" i="35" s="1"/>
  <c r="P1207" i="35"/>
  <c r="P562" i="35" s="1"/>
  <c r="P1212" i="35"/>
  <c r="P567" i="35" s="1"/>
  <c r="P1221" i="35"/>
  <c r="P576" i="35" s="1"/>
  <c r="P1165" i="35"/>
  <c r="P520" i="35" s="1"/>
  <c r="P1217" i="35"/>
  <c r="P572" i="35" s="1"/>
  <c r="P1185" i="35"/>
  <c r="P540" i="35" s="1"/>
  <c r="P1128" i="35"/>
  <c r="P483" i="35" s="1"/>
  <c r="P1171" i="35"/>
  <c r="P526" i="35" s="1"/>
  <c r="P1189" i="35"/>
  <c r="P544" i="35" s="1"/>
  <c r="P1174" i="35"/>
  <c r="P529" i="35" s="1"/>
  <c r="P1179" i="35"/>
  <c r="P534" i="35" s="1"/>
  <c r="P1187" i="35"/>
  <c r="P542" i="35" s="1"/>
  <c r="P1188" i="35"/>
  <c r="P543" i="35" s="1"/>
  <c r="P1210" i="35"/>
  <c r="P565" i="35" s="1"/>
  <c r="P1209" i="35"/>
  <c r="P564" i="35" s="1"/>
  <c r="P1197" i="35"/>
  <c r="P552" i="35" s="1"/>
  <c r="P1201" i="35"/>
  <c r="P556" i="35" s="1"/>
  <c r="P1218" i="35"/>
  <c r="P573" i="35" s="1"/>
  <c r="P1183" i="35"/>
  <c r="P538" i="35" s="1"/>
  <c r="P1216" i="35"/>
  <c r="P571" i="35" s="1"/>
  <c r="P1204" i="35"/>
  <c r="P559" i="35" s="1"/>
  <c r="P1177" i="35"/>
  <c r="P532" i="35" s="1"/>
  <c r="P1211" i="35"/>
  <c r="P566" i="35" s="1"/>
  <c r="P1175" i="35"/>
  <c r="P530" i="35" s="1"/>
  <c r="P1202" i="35"/>
  <c r="P557" i="35" s="1"/>
  <c r="P1168" i="35"/>
  <c r="P523" i="35" s="1"/>
  <c r="P1169" i="35"/>
  <c r="P524" i="35" s="1"/>
  <c r="P1180" i="35"/>
  <c r="P535" i="35" s="1"/>
  <c r="P1199" i="35"/>
  <c r="P554" i="35" s="1"/>
  <c r="P1206" i="35"/>
  <c r="P561" i="35" s="1"/>
  <c r="P1184" i="35"/>
  <c r="P539" i="35" s="1"/>
  <c r="P1164" i="35"/>
  <c r="P519" i="35" s="1"/>
  <c r="P1198" i="35"/>
  <c r="P553" i="35" s="1"/>
  <c r="P1162" i="35"/>
  <c r="P517" i="35" s="1"/>
  <c r="P1176" i="35"/>
  <c r="P531" i="35" s="1"/>
  <c r="P1195" i="35"/>
  <c r="P550" i="35" s="1"/>
  <c r="P1220" i="35"/>
  <c r="P575" i="35" s="1"/>
  <c r="P1208" i="35"/>
  <c r="P563" i="35" s="1"/>
  <c r="P1213" i="35"/>
  <c r="P568" i="35" s="1"/>
  <c r="P1173" i="35"/>
  <c r="P528" i="35" s="1"/>
  <c r="P1172" i="35"/>
  <c r="P527" i="35" s="1"/>
  <c r="P1200" i="35"/>
  <c r="P555" i="35" s="1"/>
  <c r="P1182" i="35"/>
  <c r="P537" i="35" s="1"/>
  <c r="P1186" i="35"/>
  <c r="P541" i="35" s="1"/>
  <c r="P1166" i="35"/>
  <c r="P521" i="35" s="1"/>
  <c r="P1205" i="35"/>
  <c r="P560" i="35" s="1"/>
  <c r="P1196" i="35"/>
  <c r="P551" i="35" s="1"/>
  <c r="P1178" i="35"/>
  <c r="P533" i="35" s="1"/>
  <c r="P1215" i="35"/>
  <c r="P570" i="35" s="1"/>
  <c r="P1167" i="35"/>
  <c r="P522" i="35" s="1"/>
  <c r="P1222" i="35"/>
  <c r="P577" i="35" s="1"/>
  <c r="P1203" i="35"/>
  <c r="P558" i="35" s="1"/>
  <c r="P1170" i="35"/>
  <c r="P525" i="35" s="1"/>
  <c r="P1163" i="35"/>
  <c r="P518" i="35" s="1"/>
  <c r="P1181" i="35"/>
  <c r="P536" i="35" s="1"/>
  <c r="P1214" i="35"/>
  <c r="P569" i="35" s="1"/>
  <c r="P1219" i="35"/>
  <c r="P574" i="35" s="1"/>
  <c r="P1161" i="35"/>
  <c r="P516" i="35" s="1"/>
  <c r="P1194" i="35"/>
  <c r="P549" i="35" s="1"/>
  <c r="J1043" i="35"/>
  <c r="J365" i="35" s="1"/>
  <c r="J1025" i="35"/>
  <c r="J347" i="35" s="1"/>
  <c r="J1032" i="35"/>
  <c r="J354" i="35" s="1"/>
  <c r="J1051" i="35"/>
  <c r="J373" i="35" s="1"/>
  <c r="J1035" i="35"/>
  <c r="J357" i="35" s="1"/>
  <c r="J1041" i="35"/>
  <c r="J363" i="35" s="1"/>
  <c r="J1039" i="35"/>
  <c r="J361" i="35" s="1"/>
  <c r="J1030" i="35"/>
  <c r="J352" i="35" s="1"/>
  <c r="J1052" i="35"/>
  <c r="J374" i="35" s="1"/>
  <c r="J1042" i="35"/>
  <c r="J364" i="35" s="1"/>
  <c r="J1054" i="35"/>
  <c r="J376" i="35" s="1"/>
  <c r="J1038" i="35"/>
  <c r="J360" i="35" s="1"/>
  <c r="J1029" i="35"/>
  <c r="J351" i="35" s="1"/>
  <c r="J1028" i="35"/>
  <c r="J1034" i="35"/>
  <c r="J356" i="35" s="1"/>
  <c r="J1044" i="35"/>
  <c r="J366" i="35" s="1"/>
  <c r="J1047" i="35"/>
  <c r="J369" i="35" s="1"/>
  <c r="J1027" i="35"/>
  <c r="J349" i="35" s="1"/>
  <c r="J1050" i="35"/>
  <c r="J372" i="35" s="1"/>
  <c r="J1046" i="35"/>
  <c r="J368" i="35" s="1"/>
  <c r="J1049" i="35"/>
  <c r="J371" i="35" s="1"/>
  <c r="J1048" i="35"/>
  <c r="J370" i="35" s="1"/>
  <c r="J1045" i="35"/>
  <c r="J367" i="35" s="1"/>
  <c r="J1031" i="35"/>
  <c r="J353" i="35" s="1"/>
  <c r="J1053" i="35"/>
  <c r="J375" i="35" s="1"/>
  <c r="J1036" i="35"/>
  <c r="J358" i="35" s="1"/>
  <c r="J1040" i="35"/>
  <c r="J362" i="35" s="1"/>
  <c r="J1033" i="35"/>
  <c r="J355" i="35" s="1"/>
  <c r="J1037" i="35"/>
  <c r="J359" i="35" s="1"/>
  <c r="J1066" i="35"/>
  <c r="J388" i="35" s="1"/>
  <c r="J1118" i="35"/>
  <c r="J440" i="35" s="1"/>
  <c r="J1102" i="35"/>
  <c r="J424" i="35" s="1"/>
  <c r="J1091" i="35"/>
  <c r="J413" i="35" s="1"/>
  <c r="J1061" i="35"/>
  <c r="J383" i="35" s="1"/>
  <c r="J1064" i="35"/>
  <c r="J386" i="35" s="1"/>
  <c r="J1084" i="35"/>
  <c r="J406" i="35" s="1"/>
  <c r="J1026" i="35"/>
  <c r="J348" i="35" s="1"/>
  <c r="J1120" i="35"/>
  <c r="J442" i="35" s="1"/>
  <c r="J1099" i="35"/>
  <c r="J421" i="35" s="1"/>
  <c r="J1114" i="35"/>
  <c r="J436" i="35" s="1"/>
  <c r="J1093" i="35"/>
  <c r="J415" i="35" s="1"/>
  <c r="J1085" i="35"/>
  <c r="J407" i="35" s="1"/>
  <c r="J1058" i="35"/>
  <c r="J380" i="35" s="1"/>
  <c r="J1097" i="35"/>
  <c r="J419" i="35" s="1"/>
  <c r="J1086" i="35"/>
  <c r="J408" i="35" s="1"/>
  <c r="J1116" i="35"/>
  <c r="J438" i="35" s="1"/>
  <c r="J1101" i="35"/>
  <c r="J423" i="35" s="1"/>
  <c r="J1069" i="35"/>
  <c r="J391" i="35" s="1"/>
  <c r="J1068" i="35"/>
  <c r="J390" i="35" s="1"/>
  <c r="J1111" i="35"/>
  <c r="J433" i="35" s="1"/>
  <c r="J1119" i="35"/>
  <c r="J441" i="35" s="1"/>
  <c r="J1081" i="35"/>
  <c r="J403" i="35" s="1"/>
  <c r="J1071" i="35"/>
  <c r="J393" i="35" s="1"/>
  <c r="J1104" i="35"/>
  <c r="J426" i="35" s="1"/>
  <c r="J1060" i="35"/>
  <c r="J382" i="35" s="1"/>
  <c r="J1117" i="35"/>
  <c r="J439" i="35" s="1"/>
  <c r="J1080" i="35"/>
  <c r="J402" i="35" s="1"/>
  <c r="J1083" i="35"/>
  <c r="J405" i="35" s="1"/>
  <c r="J1105" i="35"/>
  <c r="J427" i="35" s="1"/>
  <c r="J1113" i="35"/>
  <c r="J435" i="35" s="1"/>
  <c r="J1062" i="35"/>
  <c r="J384" i="35" s="1"/>
  <c r="J1082" i="35"/>
  <c r="J404" i="35" s="1"/>
  <c r="J1073" i="35"/>
  <c r="J395" i="35" s="1"/>
  <c r="J1112" i="35"/>
  <c r="J434" i="35" s="1"/>
  <c r="J1103" i="35"/>
  <c r="J425" i="35" s="1"/>
  <c r="J1098" i="35"/>
  <c r="J420" i="35" s="1"/>
  <c r="J1070" i="35"/>
  <c r="J392" i="35" s="1"/>
  <c r="J1077" i="35"/>
  <c r="J399" i="35" s="1"/>
  <c r="J1110" i="35"/>
  <c r="J432" i="35" s="1"/>
  <c r="J1115" i="35"/>
  <c r="J437" i="35" s="1"/>
  <c r="J1063" i="35"/>
  <c r="J385" i="35" s="1"/>
  <c r="J1108" i="35"/>
  <c r="J430" i="35" s="1"/>
  <c r="J1095" i="35"/>
  <c r="J417" i="35" s="1"/>
  <c r="J1067" i="35"/>
  <c r="J389" i="35" s="1"/>
  <c r="J1075" i="35"/>
  <c r="J397" i="35" s="1"/>
  <c r="J1065" i="35"/>
  <c r="J387" i="35" s="1"/>
  <c r="J1076" i="35"/>
  <c r="J398" i="35" s="1"/>
  <c r="J1072" i="35"/>
  <c r="J394" i="35" s="1"/>
  <c r="J1106" i="35"/>
  <c r="J428" i="35" s="1"/>
  <c r="J1079" i="35"/>
  <c r="J401" i="35" s="1"/>
  <c r="J1107" i="35"/>
  <c r="J429" i="35" s="1"/>
  <c r="J1096" i="35"/>
  <c r="J418" i="35" s="1"/>
  <c r="J1109" i="35"/>
  <c r="J431" i="35" s="1"/>
  <c r="J1094" i="35"/>
  <c r="J416" i="35" s="1"/>
  <c r="J1078" i="35"/>
  <c r="J400" i="35" s="1"/>
  <c r="J1100" i="35"/>
  <c r="J422" i="35" s="1"/>
  <c r="J1074" i="35"/>
  <c r="J396" i="35" s="1"/>
  <c r="J1087" i="35"/>
  <c r="J409" i="35" s="1"/>
  <c r="J1059" i="35"/>
  <c r="J381" i="35" s="1"/>
  <c r="J1092" i="35"/>
  <c r="J414" i="35" s="1"/>
  <c r="I601" i="35"/>
  <c r="I598" i="35"/>
  <c r="I592" i="35"/>
  <c r="I593" i="35"/>
  <c r="K923" i="35"/>
  <c r="K212" i="35" s="1"/>
  <c r="K932" i="35"/>
  <c r="K221" i="35" s="1"/>
  <c r="K927" i="35"/>
  <c r="K216" i="35" s="1"/>
  <c r="K941" i="35"/>
  <c r="K230" i="35" s="1"/>
  <c r="K935" i="35"/>
  <c r="K224" i="35" s="1"/>
  <c r="K928" i="35"/>
  <c r="K217" i="35" s="1"/>
  <c r="K946" i="35"/>
  <c r="K235" i="35" s="1"/>
  <c r="K925" i="35"/>
  <c r="K214" i="35" s="1"/>
  <c r="K945" i="35"/>
  <c r="K234" i="35" s="1"/>
  <c r="K949" i="35"/>
  <c r="K238" i="35" s="1"/>
  <c r="K943" i="35"/>
  <c r="K232" i="35" s="1"/>
  <c r="K989" i="35"/>
  <c r="K278" i="35" s="1"/>
  <c r="K940" i="35"/>
  <c r="K229" i="35" s="1"/>
  <c r="K951" i="35"/>
  <c r="K240" i="35" s="1"/>
  <c r="K930" i="35"/>
  <c r="K219" i="35" s="1"/>
  <c r="K931" i="35"/>
  <c r="K220" i="35" s="1"/>
  <c r="K948" i="35"/>
  <c r="K237" i="35" s="1"/>
  <c r="K942" i="35"/>
  <c r="K231" i="35" s="1"/>
  <c r="K944" i="35"/>
  <c r="K233" i="35" s="1"/>
  <c r="K956" i="35"/>
  <c r="K245" i="35" s="1"/>
  <c r="K933" i="35"/>
  <c r="K222" i="35" s="1"/>
  <c r="K934" i="35"/>
  <c r="K223" i="35" s="1"/>
  <c r="K952" i="35"/>
  <c r="K241" i="35" s="1"/>
  <c r="K939" i="35"/>
  <c r="K228" i="35" s="1"/>
  <c r="K937" i="35"/>
  <c r="K226" i="35" s="1"/>
  <c r="K926" i="35"/>
  <c r="K215" i="35" s="1"/>
  <c r="K929" i="35"/>
  <c r="K218" i="35" s="1"/>
  <c r="K950" i="35"/>
  <c r="K239" i="35" s="1"/>
  <c r="K938" i="35"/>
  <c r="K227" i="35" s="1"/>
  <c r="K936" i="35"/>
  <c r="K225" i="35" s="1"/>
  <c r="K947" i="35"/>
  <c r="K236" i="35" s="1"/>
  <c r="K924" i="35"/>
  <c r="K213" i="35" s="1"/>
  <c r="K985" i="35"/>
  <c r="K274" i="35" s="1"/>
  <c r="K978" i="35"/>
  <c r="K267" i="35" s="1"/>
  <c r="K1010" i="35"/>
  <c r="K299" i="35" s="1"/>
  <c r="K1001" i="35"/>
  <c r="K290" i="35" s="1"/>
  <c r="K964" i="35"/>
  <c r="K253" i="35" s="1"/>
  <c r="K958" i="35"/>
  <c r="K247" i="35" s="1"/>
  <c r="K976" i="35"/>
  <c r="K265" i="35" s="1"/>
  <c r="K1016" i="35"/>
  <c r="K975" i="35"/>
  <c r="K264" i="35" s="1"/>
  <c r="K1008" i="35"/>
  <c r="K297" i="35" s="1"/>
  <c r="K969" i="35"/>
  <c r="K258" i="35" s="1"/>
  <c r="K970" i="35"/>
  <c r="K259" i="35" s="1"/>
  <c r="K1018" i="35"/>
  <c r="K307" i="35" s="1"/>
  <c r="K980" i="35"/>
  <c r="K269" i="35" s="1"/>
  <c r="K1011" i="35"/>
  <c r="K300" i="35" s="1"/>
  <c r="K1009" i="35"/>
  <c r="K298" i="35" s="1"/>
  <c r="K995" i="35"/>
  <c r="K284" i="35" s="1"/>
  <c r="K965" i="35"/>
  <c r="K254" i="35" s="1"/>
  <c r="K998" i="35"/>
  <c r="K287" i="35" s="1"/>
  <c r="K999" i="35"/>
  <c r="K288" i="35" s="1"/>
  <c r="K1002" i="35"/>
  <c r="K291" i="35" s="1"/>
  <c r="K992" i="35"/>
  <c r="K281" i="35" s="1"/>
  <c r="K967" i="35"/>
  <c r="K256" i="35" s="1"/>
  <c r="K1000" i="35"/>
  <c r="K289" i="35" s="1"/>
  <c r="K966" i="35"/>
  <c r="K255" i="35" s="1"/>
  <c r="K996" i="35"/>
  <c r="K285" i="35" s="1"/>
  <c r="K1003" i="35"/>
  <c r="K292" i="35" s="1"/>
  <c r="K991" i="35"/>
  <c r="K280" i="35" s="1"/>
  <c r="K959" i="35"/>
  <c r="K248" i="35" s="1"/>
  <c r="K973" i="35"/>
  <c r="K262" i="35" s="1"/>
  <c r="K981" i="35"/>
  <c r="K270" i="35" s="1"/>
  <c r="K1005" i="35"/>
  <c r="K294" i="35" s="1"/>
  <c r="K1013" i="35"/>
  <c r="K302" i="35" s="1"/>
  <c r="K983" i="35"/>
  <c r="K272" i="35" s="1"/>
  <c r="K997" i="35"/>
  <c r="K286" i="35" s="1"/>
  <c r="K1017" i="35"/>
  <c r="K306" i="35" s="1"/>
  <c r="K979" i="35"/>
  <c r="K268" i="35" s="1"/>
  <c r="K982" i="35"/>
  <c r="K271" i="35" s="1"/>
  <c r="K960" i="35"/>
  <c r="K249" i="35" s="1"/>
  <c r="K961" i="35"/>
  <c r="K250" i="35" s="1"/>
  <c r="K977" i="35"/>
  <c r="K266" i="35" s="1"/>
  <c r="K1014" i="35"/>
  <c r="K303" i="35" s="1"/>
  <c r="K962" i="35"/>
  <c r="K251" i="35" s="1"/>
  <c r="K971" i="35"/>
  <c r="K260" i="35" s="1"/>
  <c r="K972" i="35"/>
  <c r="K261" i="35" s="1"/>
  <c r="K1006" i="35"/>
  <c r="K295" i="35" s="1"/>
  <c r="K963" i="35"/>
  <c r="K252" i="35" s="1"/>
  <c r="K1004" i="35"/>
  <c r="K293" i="35" s="1"/>
  <c r="K984" i="35"/>
  <c r="K273" i="35" s="1"/>
  <c r="K993" i="35"/>
  <c r="K282" i="35" s="1"/>
  <c r="K994" i="35"/>
  <c r="K283" i="35" s="1"/>
  <c r="K1012" i="35"/>
  <c r="K301" i="35" s="1"/>
  <c r="K1015" i="35"/>
  <c r="K304" i="35" s="1"/>
  <c r="K1007" i="35"/>
  <c r="K296" i="35" s="1"/>
  <c r="K968" i="35"/>
  <c r="K257" i="35" s="1"/>
  <c r="K974" i="35"/>
  <c r="K263" i="35" s="1"/>
  <c r="K957" i="35"/>
  <c r="K246" i="35" s="1"/>
  <c r="K990" i="35"/>
  <c r="K279" i="35" s="1"/>
  <c r="N320" i="35"/>
  <c r="N322" i="35"/>
  <c r="N314" i="35"/>
  <c r="N328" i="35"/>
  <c r="N313" i="35"/>
  <c r="N316" i="35"/>
  <c r="I452" i="35"/>
  <c r="I448" i="35"/>
  <c r="I462" i="35"/>
  <c r="I464" i="35"/>
  <c r="R337" i="35"/>
  <c r="T828" i="35"/>
  <c r="T84" i="35" s="1"/>
  <c r="T841" i="35"/>
  <c r="T97" i="35" s="1"/>
  <c r="T831" i="35"/>
  <c r="T87" i="35" s="1"/>
  <c r="T848" i="35"/>
  <c r="T104" i="35" s="1"/>
  <c r="T850" i="35"/>
  <c r="T106" i="35" s="1"/>
  <c r="T823" i="35"/>
  <c r="T79" i="35" s="1"/>
  <c r="T839" i="35"/>
  <c r="T95" i="35" s="1"/>
  <c r="T819" i="35"/>
  <c r="T821" i="35"/>
  <c r="T77" i="35" s="1"/>
  <c r="T825" i="35"/>
  <c r="T81" i="35" s="1"/>
  <c r="T844" i="35"/>
  <c r="T100" i="35" s="1"/>
  <c r="T846" i="35"/>
  <c r="T102" i="35" s="1"/>
  <c r="T847" i="35"/>
  <c r="T103" i="35" s="1"/>
  <c r="T836" i="35"/>
  <c r="T92" i="35" s="1"/>
  <c r="T824" i="35"/>
  <c r="T80" i="35" s="1"/>
  <c r="T843" i="35"/>
  <c r="T99" i="35" s="1"/>
  <c r="T830" i="35"/>
  <c r="T86" i="35" s="1"/>
  <c r="T887" i="35"/>
  <c r="T143" i="35" s="1"/>
  <c r="T835" i="35"/>
  <c r="T91" i="35" s="1"/>
  <c r="T826" i="35"/>
  <c r="T82" i="35" s="1"/>
  <c r="T845" i="35"/>
  <c r="T101" i="35" s="1"/>
  <c r="T827" i="35"/>
  <c r="T83" i="35" s="1"/>
  <c r="T837" i="35"/>
  <c r="T93" i="35" s="1"/>
  <c r="T829" i="35"/>
  <c r="T85" i="35" s="1"/>
  <c r="T832" i="35"/>
  <c r="T88" i="35" s="1"/>
  <c r="T840" i="35"/>
  <c r="T96" i="35" s="1"/>
  <c r="T833" i="35"/>
  <c r="T89" i="35" s="1"/>
  <c r="T842" i="35"/>
  <c r="T98" i="35" s="1"/>
  <c r="T849" i="35"/>
  <c r="T105" i="35" s="1"/>
  <c r="T838" i="35"/>
  <c r="T94" i="35" s="1"/>
  <c r="T854" i="35"/>
  <c r="T110" i="35" s="1"/>
  <c r="T834" i="35"/>
  <c r="T90" i="35" s="1"/>
  <c r="T822" i="35"/>
  <c r="T78" i="35" s="1"/>
  <c r="T870" i="35"/>
  <c r="T126" i="35" s="1"/>
  <c r="T858" i="35"/>
  <c r="T114" i="35" s="1"/>
  <c r="T866" i="35"/>
  <c r="T122" i="35" s="1"/>
  <c r="T891" i="35"/>
  <c r="T147" i="35" s="1"/>
  <c r="T874" i="35"/>
  <c r="T130" i="35" s="1"/>
  <c r="T876" i="35"/>
  <c r="T132" i="35" s="1"/>
  <c r="T880" i="35"/>
  <c r="T136" i="35" s="1"/>
  <c r="T916" i="35"/>
  <c r="T172" i="35" s="1"/>
  <c r="T856" i="35"/>
  <c r="T112" i="35" s="1"/>
  <c r="T861" i="35"/>
  <c r="T117" i="35" s="1"/>
  <c r="T883" i="35"/>
  <c r="T139" i="35" s="1"/>
  <c r="T865" i="35"/>
  <c r="T121" i="35" s="1"/>
  <c r="T890" i="35"/>
  <c r="T146" i="35" s="1"/>
  <c r="T913" i="35"/>
  <c r="T169" i="35" s="1"/>
  <c r="T902" i="35"/>
  <c r="T158" i="35" s="1"/>
  <c r="T909" i="35"/>
  <c r="T165" i="35" s="1"/>
  <c r="T895" i="35"/>
  <c r="T151" i="35" s="1"/>
  <c r="T862" i="35"/>
  <c r="T118" i="35" s="1"/>
  <c r="T878" i="35"/>
  <c r="T134" i="35" s="1"/>
  <c r="T899" i="35"/>
  <c r="T155" i="35" s="1"/>
  <c r="T894" i="35"/>
  <c r="T150" i="35" s="1"/>
  <c r="T911" i="35"/>
  <c r="T167" i="35" s="1"/>
  <c r="T881" i="35"/>
  <c r="T137" i="35" s="1"/>
  <c r="T889" i="35"/>
  <c r="T145" i="35" s="1"/>
  <c r="T905" i="35"/>
  <c r="T161" i="35" s="1"/>
  <c r="T914" i="35"/>
  <c r="T170" i="35" s="1"/>
  <c r="T896" i="35"/>
  <c r="T152" i="35" s="1"/>
  <c r="T907" i="35"/>
  <c r="T163" i="35" s="1"/>
  <c r="T859" i="35"/>
  <c r="T115" i="35" s="1"/>
  <c r="T872" i="35"/>
  <c r="T128" i="35" s="1"/>
  <c r="T877" i="35"/>
  <c r="T133" i="35" s="1"/>
  <c r="T863" i="35"/>
  <c r="T119" i="35" s="1"/>
  <c r="T901" i="35"/>
  <c r="T157" i="35" s="1"/>
  <c r="T868" i="35"/>
  <c r="T124" i="35" s="1"/>
  <c r="T873" i="35"/>
  <c r="T129" i="35" s="1"/>
  <c r="T892" i="35"/>
  <c r="T148" i="35" s="1"/>
  <c r="T906" i="35"/>
  <c r="T162" i="35" s="1"/>
  <c r="T904" i="35"/>
  <c r="T160" i="35" s="1"/>
  <c r="T857" i="35"/>
  <c r="T113" i="35" s="1"/>
  <c r="T871" i="35"/>
  <c r="T127" i="35" s="1"/>
  <c r="T903" i="35"/>
  <c r="T159" i="35" s="1"/>
  <c r="T879" i="35"/>
  <c r="T135" i="35" s="1"/>
  <c r="T893" i="35"/>
  <c r="T149" i="35" s="1"/>
  <c r="T875" i="35"/>
  <c r="T131" i="35" s="1"/>
  <c r="T915" i="35"/>
  <c r="T171" i="35" s="1"/>
  <c r="T897" i="35"/>
  <c r="T153" i="35" s="1"/>
  <c r="T882" i="35"/>
  <c r="T138" i="35" s="1"/>
  <c r="T898" i="35"/>
  <c r="T154" i="35" s="1"/>
  <c r="T910" i="35"/>
  <c r="T166" i="35" s="1"/>
  <c r="T900" i="35"/>
  <c r="T156" i="35" s="1"/>
  <c r="T867" i="35"/>
  <c r="T123" i="35" s="1"/>
  <c r="T912" i="35"/>
  <c r="T168" i="35" s="1"/>
  <c r="T908" i="35"/>
  <c r="T164" i="35" s="1"/>
  <c r="T869" i="35"/>
  <c r="T125" i="35" s="1"/>
  <c r="T864" i="35"/>
  <c r="T120" i="35" s="1"/>
  <c r="T860" i="35"/>
  <c r="T116" i="35" s="1"/>
  <c r="T888" i="35"/>
  <c r="T144" i="35" s="1"/>
  <c r="T855" i="35"/>
  <c r="T111" i="35" s="1"/>
  <c r="I193" i="35"/>
  <c r="I181" i="35"/>
  <c r="I200" i="35"/>
  <c r="Q819" i="35"/>
  <c r="Q887" i="35"/>
  <c r="Q143" i="35" s="1"/>
  <c r="Q850" i="35"/>
  <c r="Q106" i="35" s="1"/>
  <c r="Q821" i="35"/>
  <c r="Q77" i="35" s="1"/>
  <c r="Q854" i="35"/>
  <c r="Q110" i="35" s="1"/>
  <c r="Q830" i="35"/>
  <c r="Q86" i="35" s="1"/>
  <c r="Q842" i="35"/>
  <c r="Q98" i="35" s="1"/>
  <c r="Q831" i="35"/>
  <c r="Q87" i="35" s="1"/>
  <c r="Q845" i="35"/>
  <c r="Q101" i="35" s="1"/>
  <c r="Q836" i="35"/>
  <c r="Q92" i="35" s="1"/>
  <c r="Q846" i="35"/>
  <c r="Q102" i="35" s="1"/>
  <c r="Q847" i="35"/>
  <c r="Q103" i="35" s="1"/>
  <c r="Q848" i="35"/>
  <c r="Q104" i="35" s="1"/>
  <c r="Q833" i="35"/>
  <c r="Q89" i="35" s="1"/>
  <c r="Q826" i="35"/>
  <c r="Q82" i="35" s="1"/>
  <c r="Q827" i="35"/>
  <c r="Q83" i="35" s="1"/>
  <c r="Q839" i="35"/>
  <c r="Q95" i="35" s="1"/>
  <c r="Q825" i="35"/>
  <c r="Q81" i="35" s="1"/>
  <c r="Q828" i="35"/>
  <c r="Q84" i="35" s="1"/>
  <c r="Q832" i="35"/>
  <c r="Q88" i="35" s="1"/>
  <c r="Q823" i="35"/>
  <c r="Q79" i="35" s="1"/>
  <c r="Q838" i="35"/>
  <c r="Q94" i="35" s="1"/>
  <c r="Q843" i="35"/>
  <c r="Q99" i="35" s="1"/>
  <c r="Q841" i="35"/>
  <c r="Q97" i="35" s="1"/>
  <c r="Q829" i="35"/>
  <c r="Q85" i="35" s="1"/>
  <c r="Q837" i="35"/>
  <c r="Q93" i="35" s="1"/>
  <c r="Q840" i="35"/>
  <c r="Q96" i="35" s="1"/>
  <c r="Q844" i="35"/>
  <c r="Q100" i="35" s="1"/>
  <c r="Q849" i="35"/>
  <c r="Q105" i="35" s="1"/>
  <c r="Q824" i="35"/>
  <c r="Q80" i="35" s="1"/>
  <c r="Q834" i="35"/>
  <c r="Q90" i="35" s="1"/>
  <c r="Q835" i="35"/>
  <c r="Q91" i="35" s="1"/>
  <c r="Q890" i="35"/>
  <c r="Q146" i="35" s="1"/>
  <c r="Q874" i="35"/>
  <c r="Q130" i="35" s="1"/>
  <c r="Q916" i="35"/>
  <c r="Q172" i="35" s="1"/>
  <c r="Q911" i="35"/>
  <c r="Q167" i="35" s="1"/>
  <c r="Q894" i="35"/>
  <c r="Q150" i="35" s="1"/>
  <c r="Q858" i="35"/>
  <c r="Q114" i="35" s="1"/>
  <c r="Q876" i="35"/>
  <c r="Q132" i="35" s="1"/>
  <c r="Q866" i="35"/>
  <c r="Q122" i="35" s="1"/>
  <c r="Q822" i="35"/>
  <c r="Q78" i="35" s="1"/>
  <c r="Q913" i="35"/>
  <c r="Q169" i="35" s="1"/>
  <c r="Q870" i="35"/>
  <c r="Q126" i="35" s="1"/>
  <c r="Q907" i="35"/>
  <c r="Q163" i="35" s="1"/>
  <c r="Q881" i="35"/>
  <c r="Q137" i="35" s="1"/>
  <c r="Q856" i="35"/>
  <c r="Q112" i="35" s="1"/>
  <c r="Q891" i="35"/>
  <c r="Q147" i="35" s="1"/>
  <c r="Q909" i="35"/>
  <c r="Q165" i="35" s="1"/>
  <c r="Q902" i="35"/>
  <c r="Q158" i="35" s="1"/>
  <c r="Q883" i="35"/>
  <c r="Q139" i="35" s="1"/>
  <c r="Q889" i="35"/>
  <c r="Q145" i="35" s="1"/>
  <c r="Q878" i="35"/>
  <c r="Q134" i="35" s="1"/>
  <c r="Q861" i="35"/>
  <c r="Q117" i="35" s="1"/>
  <c r="Q865" i="35"/>
  <c r="Q121" i="35" s="1"/>
  <c r="Q862" i="35"/>
  <c r="Q118" i="35" s="1"/>
  <c r="Q880" i="35"/>
  <c r="Q136" i="35" s="1"/>
  <c r="Q905" i="35"/>
  <c r="Q161" i="35" s="1"/>
  <c r="Q914" i="35"/>
  <c r="Q170" i="35" s="1"/>
  <c r="Q901" i="35"/>
  <c r="Q157" i="35" s="1"/>
  <c r="Q896" i="35"/>
  <c r="Q152" i="35" s="1"/>
  <c r="Q899" i="35"/>
  <c r="Q155" i="35" s="1"/>
  <c r="Q873" i="35"/>
  <c r="Q129" i="35" s="1"/>
  <c r="Q898" i="35"/>
  <c r="Q154" i="35" s="1"/>
  <c r="Q892" i="35"/>
  <c r="Q148" i="35" s="1"/>
  <c r="Q868" i="35"/>
  <c r="Q124" i="35" s="1"/>
  <c r="Q895" i="35"/>
  <c r="Q151" i="35" s="1"/>
  <c r="Q906" i="35"/>
  <c r="Q162" i="35" s="1"/>
  <c r="Q863" i="35"/>
  <c r="Q119" i="35" s="1"/>
  <c r="Q859" i="35"/>
  <c r="Q115" i="35" s="1"/>
  <c r="Q877" i="35"/>
  <c r="Q133" i="35" s="1"/>
  <c r="Q910" i="35"/>
  <c r="Q166" i="35" s="1"/>
  <c r="Q879" i="35"/>
  <c r="Q135" i="35" s="1"/>
  <c r="Q903" i="35"/>
  <c r="Q159" i="35" s="1"/>
  <c r="Q875" i="35"/>
  <c r="Q131" i="35" s="1"/>
  <c r="Q872" i="35"/>
  <c r="Q128" i="35" s="1"/>
  <c r="Q882" i="35"/>
  <c r="Q138" i="35" s="1"/>
  <c r="Q867" i="35"/>
  <c r="Q123" i="35" s="1"/>
  <c r="Q908" i="35"/>
  <c r="Q164" i="35" s="1"/>
  <c r="Q912" i="35"/>
  <c r="Q168" i="35" s="1"/>
  <c r="Q900" i="35"/>
  <c r="Q156" i="35" s="1"/>
  <c r="Q915" i="35"/>
  <c r="Q171" i="35" s="1"/>
  <c r="Q897" i="35"/>
  <c r="Q153" i="35" s="1"/>
  <c r="Q857" i="35"/>
  <c r="Q113" i="35" s="1"/>
  <c r="Q860" i="35"/>
  <c r="Q116" i="35" s="1"/>
  <c r="Q871" i="35"/>
  <c r="Q127" i="35" s="1"/>
  <c r="Q864" i="35"/>
  <c r="Q120" i="35" s="1"/>
  <c r="Q869" i="35"/>
  <c r="Q125" i="35" s="1"/>
  <c r="Q893" i="35"/>
  <c r="Q149" i="35" s="1"/>
  <c r="Q904" i="35"/>
  <c r="Q160" i="35" s="1"/>
  <c r="Q888" i="35"/>
  <c r="Q144" i="35" s="1"/>
  <c r="Q855" i="35"/>
  <c r="Q111" i="35" s="1"/>
  <c r="S1127" i="35"/>
  <c r="S482" i="35" s="1"/>
  <c r="S1152" i="35"/>
  <c r="S507" i="35" s="1"/>
  <c r="S1151" i="35"/>
  <c r="S506" i="35" s="1"/>
  <c r="S1139" i="35"/>
  <c r="S494" i="35" s="1"/>
  <c r="S1146" i="35"/>
  <c r="S501" i="35" s="1"/>
  <c r="S1131" i="35"/>
  <c r="S486" i="35" s="1"/>
  <c r="S1142" i="35"/>
  <c r="S497" i="35" s="1"/>
  <c r="S1140" i="35"/>
  <c r="S495" i="35" s="1"/>
  <c r="S1153" i="35"/>
  <c r="S508" i="35" s="1"/>
  <c r="S1145" i="35"/>
  <c r="S500" i="35" s="1"/>
  <c r="S1138" i="35"/>
  <c r="S493" i="35" s="1"/>
  <c r="S1144" i="35"/>
  <c r="S499" i="35" s="1"/>
  <c r="S1130" i="35"/>
  <c r="S485" i="35" s="1"/>
  <c r="S1147" i="35"/>
  <c r="S502" i="35" s="1"/>
  <c r="S1143" i="35"/>
  <c r="S498" i="35" s="1"/>
  <c r="S1141" i="35"/>
  <c r="S496" i="35" s="1"/>
  <c r="S1136" i="35"/>
  <c r="S491" i="35" s="1"/>
  <c r="S1137" i="35"/>
  <c r="S492" i="35" s="1"/>
  <c r="S1134" i="35"/>
  <c r="S489" i="35" s="1"/>
  <c r="S1133" i="35"/>
  <c r="S488" i="35" s="1"/>
  <c r="S1155" i="35"/>
  <c r="S510" i="35" s="1"/>
  <c r="S1135" i="35"/>
  <c r="S490" i="35" s="1"/>
  <c r="S1148" i="35"/>
  <c r="S503" i="35" s="1"/>
  <c r="S1150" i="35"/>
  <c r="S505" i="35" s="1"/>
  <c r="S1154" i="35"/>
  <c r="S509" i="35" s="1"/>
  <c r="S1132" i="35"/>
  <c r="S487" i="35" s="1"/>
  <c r="S1160" i="35"/>
  <c r="S515" i="35" s="1"/>
  <c r="S1129" i="35"/>
  <c r="S484" i="35" s="1"/>
  <c r="S1193" i="35"/>
  <c r="S548" i="35" s="1"/>
  <c r="S1149" i="35"/>
  <c r="S504" i="35" s="1"/>
  <c r="S1156" i="35"/>
  <c r="S511" i="35" s="1"/>
  <c r="S1207" i="35"/>
  <c r="S562" i="35" s="1"/>
  <c r="S1217" i="35"/>
  <c r="S572" i="35" s="1"/>
  <c r="S1175" i="35"/>
  <c r="S530" i="35" s="1"/>
  <c r="S1189" i="35"/>
  <c r="S544" i="35" s="1"/>
  <c r="S1210" i="35"/>
  <c r="S565" i="35" s="1"/>
  <c r="S1174" i="35"/>
  <c r="S529" i="35" s="1"/>
  <c r="S1220" i="35"/>
  <c r="S575" i="35" s="1"/>
  <c r="S1165" i="35"/>
  <c r="S520" i="35" s="1"/>
  <c r="S1179" i="35"/>
  <c r="S534" i="35" s="1"/>
  <c r="S1187" i="35"/>
  <c r="S542" i="35" s="1"/>
  <c r="S1188" i="35"/>
  <c r="S543" i="35" s="1"/>
  <c r="S1198" i="35"/>
  <c r="S553" i="35" s="1"/>
  <c r="S1212" i="35"/>
  <c r="S567" i="35" s="1"/>
  <c r="S1128" i="35"/>
  <c r="S483" i="35" s="1"/>
  <c r="S1221" i="35"/>
  <c r="S576" i="35" s="1"/>
  <c r="S1202" i="35"/>
  <c r="S557" i="35" s="1"/>
  <c r="S1204" i="35"/>
  <c r="S559" i="35" s="1"/>
  <c r="S1184" i="35"/>
  <c r="S539" i="35" s="1"/>
  <c r="S1197" i="35"/>
  <c r="S552" i="35" s="1"/>
  <c r="S1201" i="35"/>
  <c r="S556" i="35" s="1"/>
  <c r="S1162" i="35"/>
  <c r="S517" i="35" s="1"/>
  <c r="S1169" i="35"/>
  <c r="S524" i="35" s="1"/>
  <c r="S1216" i="35"/>
  <c r="S571" i="35" s="1"/>
  <c r="S1164" i="35"/>
  <c r="S519" i="35" s="1"/>
  <c r="S1180" i="35"/>
  <c r="S535" i="35" s="1"/>
  <c r="S1209" i="35"/>
  <c r="S564" i="35" s="1"/>
  <c r="S1177" i="35"/>
  <c r="S532" i="35" s="1"/>
  <c r="S1208" i="35"/>
  <c r="S563" i="35" s="1"/>
  <c r="S1183" i="35"/>
  <c r="S538" i="35" s="1"/>
  <c r="S1163" i="35"/>
  <c r="S518" i="35" s="1"/>
  <c r="S1199" i="35"/>
  <c r="S554" i="35" s="1"/>
  <c r="S1176" i="35"/>
  <c r="S531" i="35" s="1"/>
  <c r="S1206" i="35"/>
  <c r="S561" i="35" s="1"/>
  <c r="S1171" i="35"/>
  <c r="S526" i="35" s="1"/>
  <c r="S1185" i="35"/>
  <c r="S540" i="35" s="1"/>
  <c r="S1218" i="35"/>
  <c r="S573" i="35" s="1"/>
  <c r="S1213" i="35"/>
  <c r="S568" i="35" s="1"/>
  <c r="S1168" i="35"/>
  <c r="S523" i="35" s="1"/>
  <c r="S1195" i="35"/>
  <c r="S550" i="35" s="1"/>
  <c r="S1196" i="35"/>
  <c r="S551" i="35" s="1"/>
  <c r="S1186" i="35"/>
  <c r="S541" i="35" s="1"/>
  <c r="S1211" i="35"/>
  <c r="S566" i="35" s="1"/>
  <c r="S1181" i="35"/>
  <c r="S536" i="35" s="1"/>
  <c r="S1215" i="35"/>
  <c r="S570" i="35" s="1"/>
  <c r="S1219" i="35"/>
  <c r="S574" i="35" s="1"/>
  <c r="S1200" i="35"/>
  <c r="S555" i="35" s="1"/>
  <c r="S1173" i="35"/>
  <c r="S528" i="35" s="1"/>
  <c r="S1167" i="35"/>
  <c r="S522" i="35" s="1"/>
  <c r="S1214" i="35"/>
  <c r="S569" i="35" s="1"/>
  <c r="S1203" i="35"/>
  <c r="S558" i="35" s="1"/>
  <c r="S1166" i="35"/>
  <c r="S521" i="35" s="1"/>
  <c r="S1178" i="35"/>
  <c r="S533" i="35" s="1"/>
  <c r="S1205" i="35"/>
  <c r="S560" i="35" s="1"/>
  <c r="S1222" i="35"/>
  <c r="S577" i="35" s="1"/>
  <c r="S1170" i="35"/>
  <c r="S525" i="35" s="1"/>
  <c r="S1172" i="35"/>
  <c r="S527" i="35" s="1"/>
  <c r="S1182" i="35"/>
  <c r="S537" i="35" s="1"/>
  <c r="S1194" i="35"/>
  <c r="S549" i="35" s="1"/>
  <c r="S1161" i="35"/>
  <c r="S516" i="35" s="1"/>
  <c r="X1043" i="35"/>
  <c r="X365" i="35" s="1"/>
  <c r="X1025" i="35"/>
  <c r="X347" i="35" s="1"/>
  <c r="X1030" i="35"/>
  <c r="X352" i="35" s="1"/>
  <c r="X1051" i="35"/>
  <c r="X373" i="35" s="1"/>
  <c r="X1039" i="35"/>
  <c r="X361" i="35" s="1"/>
  <c r="X1049" i="35"/>
  <c r="X371" i="35" s="1"/>
  <c r="X1052" i="35"/>
  <c r="X374" i="35" s="1"/>
  <c r="X1041" i="35"/>
  <c r="X363" i="35" s="1"/>
  <c r="X1054" i="35"/>
  <c r="X376" i="35" s="1"/>
  <c r="X1032" i="35"/>
  <c r="X354" i="35" s="1"/>
  <c r="X1035" i="35"/>
  <c r="X357" i="35" s="1"/>
  <c r="X1042" i="35"/>
  <c r="X364" i="35" s="1"/>
  <c r="X1044" i="35"/>
  <c r="X366" i="35" s="1"/>
  <c r="X1038" i="35"/>
  <c r="X360" i="35" s="1"/>
  <c r="X1028" i="35"/>
  <c r="X350" i="35" s="1"/>
  <c r="X1053" i="35"/>
  <c r="X375" i="35" s="1"/>
  <c r="X1050" i="35"/>
  <c r="X372" i="35" s="1"/>
  <c r="X1046" i="35"/>
  <c r="X368" i="35" s="1"/>
  <c r="X1034" i="35"/>
  <c r="X356" i="35" s="1"/>
  <c r="X1027" i="35"/>
  <c r="X349" i="35" s="1"/>
  <c r="X1048" i="35"/>
  <c r="X370" i="35" s="1"/>
  <c r="X1029" i="35"/>
  <c r="X351" i="35" s="1"/>
  <c r="X1047" i="35"/>
  <c r="X369" i="35" s="1"/>
  <c r="X1033" i="35"/>
  <c r="X355" i="35" s="1"/>
  <c r="X1036" i="35"/>
  <c r="X358" i="35" s="1"/>
  <c r="X1045" i="35"/>
  <c r="X367" i="35" s="1"/>
  <c r="X1031" i="35"/>
  <c r="X353" i="35" s="1"/>
  <c r="X1040" i="35"/>
  <c r="X362" i="35" s="1"/>
  <c r="X1037" i="35"/>
  <c r="X359" i="35" s="1"/>
  <c r="X1058" i="35"/>
  <c r="X380" i="35" s="1"/>
  <c r="X1026" i="35"/>
  <c r="X348" i="35" s="1"/>
  <c r="X1099" i="35"/>
  <c r="X421" i="35" s="1"/>
  <c r="X1091" i="35"/>
  <c r="X413" i="35" s="1"/>
  <c r="X1066" i="35"/>
  <c r="X388" i="35" s="1"/>
  <c r="X1097" i="35"/>
  <c r="X419" i="35" s="1"/>
  <c r="X1086" i="35"/>
  <c r="X408" i="35" s="1"/>
  <c r="X1120" i="35"/>
  <c r="X442" i="35" s="1"/>
  <c r="X1064" i="35"/>
  <c r="X386" i="35" s="1"/>
  <c r="X1114" i="35"/>
  <c r="X436" i="35" s="1"/>
  <c r="X1118" i="35"/>
  <c r="X440" i="35" s="1"/>
  <c r="X1093" i="35"/>
  <c r="X415" i="35" s="1"/>
  <c r="X1061" i="35"/>
  <c r="X383" i="35" s="1"/>
  <c r="X1102" i="35"/>
  <c r="X424" i="35" s="1"/>
  <c r="X1101" i="35"/>
  <c r="X423" i="35" s="1"/>
  <c r="X1069" i="35"/>
  <c r="X391" i="35" s="1"/>
  <c r="X1113" i="35"/>
  <c r="X435" i="35" s="1"/>
  <c r="X1071" i="35"/>
  <c r="X393" i="35" s="1"/>
  <c r="X1117" i="35"/>
  <c r="X439" i="35" s="1"/>
  <c r="X1116" i="35"/>
  <c r="X438" i="35" s="1"/>
  <c r="X1060" i="35"/>
  <c r="X382" i="35" s="1"/>
  <c r="X1085" i="35"/>
  <c r="X407" i="35" s="1"/>
  <c r="X1084" i="35"/>
  <c r="X406" i="35" s="1"/>
  <c r="X1111" i="35"/>
  <c r="X433" i="35" s="1"/>
  <c r="X1104" i="35"/>
  <c r="X426" i="35" s="1"/>
  <c r="X1119" i="35"/>
  <c r="X441" i="35" s="1"/>
  <c r="X1105" i="35"/>
  <c r="X427" i="35" s="1"/>
  <c r="X1081" i="35"/>
  <c r="X403" i="35" s="1"/>
  <c r="X1080" i="35"/>
  <c r="X402" i="35" s="1"/>
  <c r="X1083" i="35"/>
  <c r="X405" i="35" s="1"/>
  <c r="X1068" i="35"/>
  <c r="X390" i="35" s="1"/>
  <c r="X1100" i="35"/>
  <c r="X422" i="35" s="1"/>
  <c r="X1082" i="35"/>
  <c r="X404" i="35" s="1"/>
  <c r="X1109" i="35"/>
  <c r="X431" i="35" s="1"/>
  <c r="X1103" i="35"/>
  <c r="X425" i="35" s="1"/>
  <c r="X1095" i="35"/>
  <c r="X417" i="35" s="1"/>
  <c r="X1073" i="35"/>
  <c r="X395" i="35" s="1"/>
  <c r="X1094" i="35"/>
  <c r="X416" i="35" s="1"/>
  <c r="X1074" i="35"/>
  <c r="X396" i="35" s="1"/>
  <c r="X1070" i="35"/>
  <c r="X392" i="35" s="1"/>
  <c r="X1110" i="35"/>
  <c r="X432" i="35" s="1"/>
  <c r="X1108" i="35"/>
  <c r="X430" i="35" s="1"/>
  <c r="X1075" i="35"/>
  <c r="X397" i="35" s="1"/>
  <c r="X1077" i="35"/>
  <c r="X399" i="35" s="1"/>
  <c r="X1098" i="35"/>
  <c r="X420" i="35" s="1"/>
  <c r="X1078" i="35"/>
  <c r="X400" i="35" s="1"/>
  <c r="X1096" i="35"/>
  <c r="X418" i="35" s="1"/>
  <c r="X1063" i="35"/>
  <c r="X385" i="35" s="1"/>
  <c r="X1076" i="35"/>
  <c r="X398" i="35" s="1"/>
  <c r="X1072" i="35"/>
  <c r="X394" i="35" s="1"/>
  <c r="X1106" i="35"/>
  <c r="X428" i="35" s="1"/>
  <c r="X1107" i="35"/>
  <c r="X429" i="35" s="1"/>
  <c r="X1065" i="35"/>
  <c r="X387" i="35" s="1"/>
  <c r="X1087" i="35"/>
  <c r="X409" i="35" s="1"/>
  <c r="X1062" i="35"/>
  <c r="X384" i="35" s="1"/>
  <c r="X1079" i="35"/>
  <c r="X401" i="35" s="1"/>
  <c r="X1067" i="35"/>
  <c r="X389" i="35" s="1"/>
  <c r="X1115" i="35"/>
  <c r="X437" i="35" s="1"/>
  <c r="X1112" i="35"/>
  <c r="X434" i="35" s="1"/>
  <c r="X1059" i="35"/>
  <c r="X381" i="35" s="1"/>
  <c r="X1092" i="35"/>
  <c r="X414" i="35" s="1"/>
  <c r="U473" i="35"/>
  <c r="I586" i="35"/>
  <c r="I602" i="35"/>
  <c r="I585" i="35"/>
  <c r="I600" i="35"/>
  <c r="W1023" i="35"/>
  <c r="K1025" i="35"/>
  <c r="K347" i="35" s="1"/>
  <c r="K1054" i="35"/>
  <c r="K376" i="35" s="1"/>
  <c r="K1042" i="35"/>
  <c r="K364" i="35" s="1"/>
  <c r="K1032" i="35"/>
  <c r="K354" i="35" s="1"/>
  <c r="K1043" i="35"/>
  <c r="K365" i="35" s="1"/>
  <c r="K1051" i="35"/>
  <c r="K373" i="35" s="1"/>
  <c r="K1041" i="35"/>
  <c r="K363" i="35" s="1"/>
  <c r="K1039" i="35"/>
  <c r="K361" i="35" s="1"/>
  <c r="K1030" i="35"/>
  <c r="K352" i="35" s="1"/>
  <c r="K1049" i="35"/>
  <c r="K371" i="35" s="1"/>
  <c r="K1028" i="35"/>
  <c r="K350" i="35" s="1"/>
  <c r="K1034" i="35"/>
  <c r="K356" i="35" s="1"/>
  <c r="K1035" i="35"/>
  <c r="K357" i="35" s="1"/>
  <c r="K1027" i="35"/>
  <c r="K349" i="35" s="1"/>
  <c r="K1038" i="35"/>
  <c r="K1046" i="35"/>
  <c r="K368" i="35" s="1"/>
  <c r="K1048" i="35"/>
  <c r="K370" i="35" s="1"/>
  <c r="K1053" i="35"/>
  <c r="K375" i="35" s="1"/>
  <c r="K1044" i="35"/>
  <c r="K366" i="35" s="1"/>
  <c r="K1045" i="35"/>
  <c r="K367" i="35" s="1"/>
  <c r="K1050" i="35"/>
  <c r="K372" i="35" s="1"/>
  <c r="K1047" i="35"/>
  <c r="K369" i="35" s="1"/>
  <c r="K1029" i="35"/>
  <c r="K351" i="35" s="1"/>
  <c r="K1052" i="35"/>
  <c r="K374" i="35" s="1"/>
  <c r="K1031" i="35"/>
  <c r="K353" i="35" s="1"/>
  <c r="K1033" i="35"/>
  <c r="K355" i="35" s="1"/>
  <c r="K1040" i="35"/>
  <c r="K362" i="35" s="1"/>
  <c r="K1037" i="35"/>
  <c r="K359" i="35" s="1"/>
  <c r="K1036" i="35"/>
  <c r="K358" i="35" s="1"/>
  <c r="K1091" i="35"/>
  <c r="K413" i="35" s="1"/>
  <c r="K1114" i="35"/>
  <c r="K436" i="35" s="1"/>
  <c r="K1058" i="35"/>
  <c r="K380" i="35" s="1"/>
  <c r="K1086" i="35"/>
  <c r="K408" i="35" s="1"/>
  <c r="K1084" i="35"/>
  <c r="K406" i="35" s="1"/>
  <c r="K1120" i="35"/>
  <c r="K442" i="35" s="1"/>
  <c r="K1099" i="35"/>
  <c r="K421" i="35" s="1"/>
  <c r="K1026" i="35"/>
  <c r="K348" i="35" s="1"/>
  <c r="K1097" i="35"/>
  <c r="K419" i="35" s="1"/>
  <c r="K1118" i="35"/>
  <c r="K440" i="35" s="1"/>
  <c r="K1064" i="35"/>
  <c r="K386" i="35" s="1"/>
  <c r="K1066" i="35"/>
  <c r="K388" i="35" s="1"/>
  <c r="K1061" i="35"/>
  <c r="K383" i="35" s="1"/>
  <c r="K1093" i="35"/>
  <c r="K415" i="35" s="1"/>
  <c r="K1102" i="35"/>
  <c r="K424" i="35" s="1"/>
  <c r="K1085" i="35"/>
  <c r="K407" i="35" s="1"/>
  <c r="K1117" i="35"/>
  <c r="K439" i="35" s="1"/>
  <c r="K1060" i="35"/>
  <c r="K382" i="35" s="1"/>
  <c r="K1105" i="35"/>
  <c r="K427" i="35" s="1"/>
  <c r="K1116" i="35"/>
  <c r="K438" i="35" s="1"/>
  <c r="K1069" i="35"/>
  <c r="K391" i="35" s="1"/>
  <c r="K1080" i="35"/>
  <c r="K402" i="35" s="1"/>
  <c r="K1119" i="35"/>
  <c r="K441" i="35" s="1"/>
  <c r="K1068" i="35"/>
  <c r="K390" i="35" s="1"/>
  <c r="K1081" i="35"/>
  <c r="K403" i="35" s="1"/>
  <c r="K1113" i="35"/>
  <c r="K435" i="35" s="1"/>
  <c r="K1104" i="35"/>
  <c r="K426" i="35" s="1"/>
  <c r="K1071" i="35"/>
  <c r="K393" i="35" s="1"/>
  <c r="K1111" i="35"/>
  <c r="K433" i="35" s="1"/>
  <c r="K1101" i="35"/>
  <c r="K423" i="35" s="1"/>
  <c r="K1110" i="35"/>
  <c r="K432" i="35" s="1"/>
  <c r="K1067" i="35"/>
  <c r="K389" i="35" s="1"/>
  <c r="K1079" i="35"/>
  <c r="K401" i="35" s="1"/>
  <c r="K1082" i="35"/>
  <c r="K404" i="35" s="1"/>
  <c r="K1065" i="35"/>
  <c r="K387" i="35" s="1"/>
  <c r="K1078" i="35"/>
  <c r="K400" i="35" s="1"/>
  <c r="K1108" i="35"/>
  <c r="K430" i="35" s="1"/>
  <c r="K1095" i="35"/>
  <c r="K417" i="35" s="1"/>
  <c r="K1107" i="35"/>
  <c r="K429" i="35" s="1"/>
  <c r="K1115" i="35"/>
  <c r="K437" i="35" s="1"/>
  <c r="K1076" i="35"/>
  <c r="K398" i="35" s="1"/>
  <c r="K1083" i="35"/>
  <c r="K405" i="35" s="1"/>
  <c r="K1072" i="35"/>
  <c r="K394" i="35" s="1"/>
  <c r="K1109" i="35"/>
  <c r="K431" i="35" s="1"/>
  <c r="K1112" i="35"/>
  <c r="K434" i="35" s="1"/>
  <c r="K1063" i="35"/>
  <c r="K385" i="35" s="1"/>
  <c r="K1074" i="35"/>
  <c r="K396" i="35" s="1"/>
  <c r="K1103" i="35"/>
  <c r="K425" i="35" s="1"/>
  <c r="K1077" i="35"/>
  <c r="K399" i="35" s="1"/>
  <c r="K1087" i="35"/>
  <c r="K409" i="35" s="1"/>
  <c r="K1096" i="35"/>
  <c r="K418" i="35" s="1"/>
  <c r="K1094" i="35"/>
  <c r="K416" i="35" s="1"/>
  <c r="K1062" i="35"/>
  <c r="K384" i="35" s="1"/>
  <c r="K1100" i="35"/>
  <c r="K422" i="35" s="1"/>
  <c r="K1070" i="35"/>
  <c r="K392" i="35" s="1"/>
  <c r="K1075" i="35"/>
  <c r="K397" i="35" s="1"/>
  <c r="K1106" i="35"/>
  <c r="K428" i="35" s="1"/>
  <c r="K1073" i="35"/>
  <c r="K395" i="35" s="1"/>
  <c r="K1098" i="35"/>
  <c r="K420" i="35" s="1"/>
  <c r="K1092" i="35"/>
  <c r="K414" i="35" s="1"/>
  <c r="K1059" i="35"/>
  <c r="K381" i="35" s="1"/>
  <c r="N325" i="35"/>
  <c r="N311" i="35"/>
  <c r="I454" i="35"/>
  <c r="I449" i="35"/>
  <c r="I456" i="35"/>
  <c r="I446" i="35"/>
  <c r="R329" i="35"/>
  <c r="R332" i="35"/>
  <c r="L1043" i="35"/>
  <c r="L365" i="35" s="1"/>
  <c r="L1035" i="35"/>
  <c r="L357" i="35" s="1"/>
  <c r="L1041" i="35"/>
  <c r="L363" i="35" s="1"/>
  <c r="L1025" i="35"/>
  <c r="L347" i="35" s="1"/>
  <c r="L1039" i="35"/>
  <c r="L361" i="35" s="1"/>
  <c r="L1049" i="35"/>
  <c r="L371" i="35" s="1"/>
  <c r="L1030" i="35"/>
  <c r="L352" i="35" s="1"/>
  <c r="L1052" i="35"/>
  <c r="L374" i="35" s="1"/>
  <c r="L1032" i="35"/>
  <c r="L354" i="35" s="1"/>
  <c r="L1051" i="35"/>
  <c r="L373" i="35" s="1"/>
  <c r="L1054" i="35"/>
  <c r="L376" i="35" s="1"/>
  <c r="L1031" i="35"/>
  <c r="L353" i="35" s="1"/>
  <c r="L1045" i="35"/>
  <c r="L367" i="35" s="1"/>
  <c r="L1047" i="35"/>
  <c r="L369" i="35" s="1"/>
  <c r="L1034" i="35"/>
  <c r="L356" i="35" s="1"/>
  <c r="L1042" i="35"/>
  <c r="L364" i="35" s="1"/>
  <c r="L1038" i="35"/>
  <c r="L360" i="35" s="1"/>
  <c r="L1027" i="35"/>
  <c r="L349" i="35" s="1"/>
  <c r="L1053" i="35"/>
  <c r="L375" i="35" s="1"/>
  <c r="L1029" i="35"/>
  <c r="L351" i="35" s="1"/>
  <c r="L1046" i="35"/>
  <c r="L368" i="35" s="1"/>
  <c r="L1048" i="35"/>
  <c r="L370" i="35" s="1"/>
  <c r="L1028" i="35"/>
  <c r="L350" i="35" s="1"/>
  <c r="L1033" i="35"/>
  <c r="L355" i="35" s="1"/>
  <c r="L1044" i="35"/>
  <c r="L366" i="35" s="1"/>
  <c r="L1040" i="35"/>
  <c r="L362" i="35" s="1"/>
  <c r="L1037" i="35"/>
  <c r="L359" i="35" s="1"/>
  <c r="L1036" i="35"/>
  <c r="L358" i="35" s="1"/>
  <c r="L1050" i="35"/>
  <c r="L372" i="35" s="1"/>
  <c r="L1058" i="35"/>
  <c r="L380" i="35" s="1"/>
  <c r="L1093" i="35"/>
  <c r="L415" i="35" s="1"/>
  <c r="L1114" i="35"/>
  <c r="L436" i="35" s="1"/>
  <c r="L1120" i="35"/>
  <c r="L442" i="35" s="1"/>
  <c r="L1086" i="35"/>
  <c r="L408" i="35" s="1"/>
  <c r="L1085" i="35"/>
  <c r="L407" i="35" s="1"/>
  <c r="L1091" i="35"/>
  <c r="L413" i="35" s="1"/>
  <c r="L1097" i="35"/>
  <c r="L419" i="35" s="1"/>
  <c r="L1084" i="35"/>
  <c r="L406" i="35" s="1"/>
  <c r="L1026" i="35"/>
  <c r="L348" i="35" s="1"/>
  <c r="L1066" i="35"/>
  <c r="L388" i="35" s="1"/>
  <c r="L1061" i="35"/>
  <c r="L383" i="35" s="1"/>
  <c r="L1064" i="35"/>
  <c r="L386" i="35" s="1"/>
  <c r="L1118" i="35"/>
  <c r="L440" i="35" s="1"/>
  <c r="L1099" i="35"/>
  <c r="L421" i="35" s="1"/>
  <c r="L1104" i="35"/>
  <c r="L426" i="35" s="1"/>
  <c r="L1068" i="35"/>
  <c r="L390" i="35" s="1"/>
  <c r="L1083" i="35"/>
  <c r="L405" i="35" s="1"/>
  <c r="L1080" i="35"/>
  <c r="L402" i="35" s="1"/>
  <c r="L1101" i="35"/>
  <c r="L423" i="35" s="1"/>
  <c r="L1117" i="35"/>
  <c r="L439" i="35" s="1"/>
  <c r="L1113" i="35"/>
  <c r="L435" i="35" s="1"/>
  <c r="L1060" i="35"/>
  <c r="L382" i="35" s="1"/>
  <c r="L1071" i="35"/>
  <c r="L393" i="35" s="1"/>
  <c r="L1081" i="35"/>
  <c r="L403" i="35" s="1"/>
  <c r="L1069" i="35"/>
  <c r="L391" i="35" s="1"/>
  <c r="L1119" i="35"/>
  <c r="L441" i="35" s="1"/>
  <c r="L1105" i="35"/>
  <c r="L427" i="35" s="1"/>
  <c r="L1102" i="35"/>
  <c r="L424" i="35" s="1"/>
  <c r="L1116" i="35"/>
  <c r="L438" i="35" s="1"/>
  <c r="L1107" i="35"/>
  <c r="L429" i="35" s="1"/>
  <c r="L1109" i="35"/>
  <c r="L431" i="35" s="1"/>
  <c r="L1115" i="35"/>
  <c r="L437" i="35" s="1"/>
  <c r="L1096" i="35"/>
  <c r="L418" i="35" s="1"/>
  <c r="L1073" i="35"/>
  <c r="L395" i="35" s="1"/>
  <c r="L1076" i="35"/>
  <c r="L398" i="35" s="1"/>
  <c r="L1098" i="35"/>
  <c r="L420" i="35" s="1"/>
  <c r="L1111" i="35"/>
  <c r="L433" i="35" s="1"/>
  <c r="L1062" i="35"/>
  <c r="L384" i="35" s="1"/>
  <c r="L1106" i="35"/>
  <c r="L428" i="35" s="1"/>
  <c r="L1067" i="35"/>
  <c r="L389" i="35" s="1"/>
  <c r="L1079" i="35"/>
  <c r="L401" i="35" s="1"/>
  <c r="L1075" i="35"/>
  <c r="L397" i="35" s="1"/>
  <c r="L1078" i="35"/>
  <c r="L400" i="35" s="1"/>
  <c r="L1108" i="35"/>
  <c r="L430" i="35" s="1"/>
  <c r="L1100" i="35"/>
  <c r="L422" i="35" s="1"/>
  <c r="L1072" i="35"/>
  <c r="L394" i="35" s="1"/>
  <c r="L1103" i="35"/>
  <c r="L425" i="35" s="1"/>
  <c r="L1074" i="35"/>
  <c r="L396" i="35" s="1"/>
  <c r="L1070" i="35"/>
  <c r="L392" i="35" s="1"/>
  <c r="L1065" i="35"/>
  <c r="L387" i="35" s="1"/>
  <c r="L1077" i="35"/>
  <c r="L399" i="35" s="1"/>
  <c r="L1094" i="35"/>
  <c r="L416" i="35" s="1"/>
  <c r="L1112" i="35"/>
  <c r="L434" i="35" s="1"/>
  <c r="L1082" i="35"/>
  <c r="L404" i="35" s="1"/>
  <c r="L1110" i="35"/>
  <c r="L432" i="35" s="1"/>
  <c r="L1087" i="35"/>
  <c r="L409" i="35" s="1"/>
  <c r="L1095" i="35"/>
  <c r="L417" i="35" s="1"/>
  <c r="L1063" i="35"/>
  <c r="L385" i="35" s="1"/>
  <c r="L1059" i="35"/>
  <c r="L381" i="35" s="1"/>
  <c r="L1092" i="35"/>
  <c r="L414" i="35" s="1"/>
  <c r="M1125" i="35"/>
  <c r="M921" i="35"/>
  <c r="M1023" i="35"/>
  <c r="Z925" i="35"/>
  <c r="Z214" i="35" s="1"/>
  <c r="Z941" i="35"/>
  <c r="Z230" i="35" s="1"/>
  <c r="Z931" i="35"/>
  <c r="Z220" i="35" s="1"/>
  <c r="Z928" i="35"/>
  <c r="Z217" i="35" s="1"/>
  <c r="Z938" i="35"/>
  <c r="Z227" i="35" s="1"/>
  <c r="Z933" i="35"/>
  <c r="Z222" i="35" s="1"/>
  <c r="Z936" i="35"/>
  <c r="Z225" i="35" s="1"/>
  <c r="Z945" i="35"/>
  <c r="Z234" i="35" s="1"/>
  <c r="Z939" i="35"/>
  <c r="Z228" i="35" s="1"/>
  <c r="Z942" i="35"/>
  <c r="Z231" i="35" s="1"/>
  <c r="Z923" i="35"/>
  <c r="Z212" i="35" s="1"/>
  <c r="Z934" i="35"/>
  <c r="Z223" i="35" s="1"/>
  <c r="Z951" i="35"/>
  <c r="Z240" i="35" s="1"/>
  <c r="Z956" i="35"/>
  <c r="Z245" i="35" s="1"/>
  <c r="Z952" i="35"/>
  <c r="Z241" i="35" s="1"/>
  <c r="Z949" i="35"/>
  <c r="Z238" i="35" s="1"/>
  <c r="Z930" i="35"/>
  <c r="Z219" i="35" s="1"/>
  <c r="Z935" i="35"/>
  <c r="Z224" i="35" s="1"/>
  <c r="Z947" i="35"/>
  <c r="Z236" i="35" s="1"/>
  <c r="Z944" i="35"/>
  <c r="Z233" i="35" s="1"/>
  <c r="Z946" i="35"/>
  <c r="Z235" i="35" s="1"/>
  <c r="Z937" i="35"/>
  <c r="Z226" i="35" s="1"/>
  <c r="Z932" i="35"/>
  <c r="Z221" i="35" s="1"/>
  <c r="Z948" i="35"/>
  <c r="Z237" i="35" s="1"/>
  <c r="Z927" i="35"/>
  <c r="Z216" i="35" s="1"/>
  <c r="Z950" i="35"/>
  <c r="Z239" i="35" s="1"/>
  <c r="Z989" i="35"/>
  <c r="Z278" i="35" s="1"/>
  <c r="Z929" i="35"/>
  <c r="Z218" i="35" s="1"/>
  <c r="Z940" i="35"/>
  <c r="Z229" i="35" s="1"/>
  <c r="Z926" i="35"/>
  <c r="Z215" i="35" s="1"/>
  <c r="Z943" i="35"/>
  <c r="Z232" i="35" s="1"/>
  <c r="Z924" i="35"/>
  <c r="Z213" i="35" s="1"/>
  <c r="Z980" i="35"/>
  <c r="Z269" i="35" s="1"/>
  <c r="Z1011" i="35"/>
  <c r="Z300" i="35" s="1"/>
  <c r="Z1001" i="35"/>
  <c r="Z290" i="35" s="1"/>
  <c r="Z985" i="35"/>
  <c r="Z274" i="35" s="1"/>
  <c r="Z965" i="35"/>
  <c r="Z254" i="35" s="1"/>
  <c r="Z964" i="35"/>
  <c r="Z253" i="35" s="1"/>
  <c r="Z1008" i="35"/>
  <c r="Z297" i="35" s="1"/>
  <c r="Z978" i="35"/>
  <c r="Z267" i="35" s="1"/>
  <c r="Z975" i="35"/>
  <c r="Z264" i="35" s="1"/>
  <c r="Z1010" i="35"/>
  <c r="Z299" i="35" s="1"/>
  <c r="Z969" i="35"/>
  <c r="Z258" i="35" s="1"/>
  <c r="Z970" i="35"/>
  <c r="Z259" i="35" s="1"/>
  <c r="Z1016" i="35"/>
  <c r="Z305" i="35" s="1"/>
  <c r="Z1002" i="35"/>
  <c r="Z291" i="35" s="1"/>
  <c r="Z958" i="35"/>
  <c r="Z247" i="35" s="1"/>
  <c r="Z976" i="35"/>
  <c r="Z265" i="35" s="1"/>
  <c r="Z979" i="35"/>
  <c r="Z268" i="35" s="1"/>
  <c r="Z998" i="35"/>
  <c r="Z287" i="35" s="1"/>
  <c r="Z967" i="35"/>
  <c r="Z256" i="35" s="1"/>
  <c r="Z962" i="35"/>
  <c r="Z251" i="35" s="1"/>
  <c r="Z999" i="35"/>
  <c r="Z288" i="35" s="1"/>
  <c r="Z991" i="35"/>
  <c r="Z280" i="35" s="1"/>
  <c r="Z1012" i="35"/>
  <c r="Z301" i="35" s="1"/>
  <c r="Z959" i="35"/>
  <c r="Z248" i="35" s="1"/>
  <c r="Z1000" i="35"/>
  <c r="Z289" i="35" s="1"/>
  <c r="Z1003" i="35"/>
  <c r="Z292" i="35" s="1"/>
  <c r="Z973" i="35"/>
  <c r="Z262" i="35" s="1"/>
  <c r="Z993" i="35"/>
  <c r="Z282" i="35" s="1"/>
  <c r="Z992" i="35"/>
  <c r="Z281" i="35" s="1"/>
  <c r="Z1004" i="35"/>
  <c r="Z293" i="35" s="1"/>
  <c r="Z1018" i="35"/>
  <c r="Z307" i="35" s="1"/>
  <c r="Z995" i="35"/>
  <c r="Z284" i="35" s="1"/>
  <c r="Z966" i="35"/>
  <c r="Z255" i="35" s="1"/>
  <c r="Z971" i="35"/>
  <c r="Z260" i="35" s="1"/>
  <c r="Z972" i="35"/>
  <c r="Z261" i="35" s="1"/>
  <c r="Z960" i="35"/>
  <c r="Z249" i="35" s="1"/>
  <c r="Z997" i="35"/>
  <c r="Z286" i="35" s="1"/>
  <c r="Z1005" i="35"/>
  <c r="Z294" i="35" s="1"/>
  <c r="Z1007" i="35"/>
  <c r="Z296" i="35" s="1"/>
  <c r="Z983" i="35"/>
  <c r="Z272" i="35" s="1"/>
  <c r="Z982" i="35"/>
  <c r="Z271" i="35" s="1"/>
  <c r="Z1013" i="35"/>
  <c r="Z302" i="35" s="1"/>
  <c r="Z1017" i="35"/>
  <c r="Z306" i="35" s="1"/>
  <c r="Z977" i="35"/>
  <c r="Z266" i="35" s="1"/>
  <c r="Z1014" i="35"/>
  <c r="Z303" i="35" s="1"/>
  <c r="Z996" i="35"/>
  <c r="Z285" i="35" s="1"/>
  <c r="Z984" i="35"/>
  <c r="Z273" i="35" s="1"/>
  <c r="Z1009" i="35"/>
  <c r="Z298" i="35" s="1"/>
  <c r="Z1006" i="35"/>
  <c r="Z295" i="35" s="1"/>
  <c r="Z963" i="35"/>
  <c r="Z252" i="35" s="1"/>
  <c r="Z961" i="35"/>
  <c r="Z250" i="35" s="1"/>
  <c r="Z974" i="35"/>
  <c r="Z263" i="35" s="1"/>
  <c r="Z994" i="35"/>
  <c r="Z283" i="35" s="1"/>
  <c r="Z1015" i="35"/>
  <c r="Z304" i="35" s="1"/>
  <c r="Z968" i="35"/>
  <c r="Z257" i="35" s="1"/>
  <c r="Z981" i="35"/>
  <c r="Z270" i="35" s="1"/>
  <c r="Z957" i="35"/>
  <c r="Z246" i="35" s="1"/>
  <c r="Z990" i="35"/>
  <c r="Z279" i="35" s="1"/>
  <c r="I191" i="35"/>
  <c r="I180" i="35"/>
  <c r="I192" i="35"/>
  <c r="I196" i="35"/>
  <c r="I205" i="35"/>
  <c r="I195" i="35"/>
  <c r="I176" i="35"/>
  <c r="Q1127" i="35"/>
  <c r="Q482" i="35" s="1"/>
  <c r="Q1151" i="35"/>
  <c r="Q506" i="35" s="1"/>
  <c r="Q1146" i="35"/>
  <c r="Q501" i="35" s="1"/>
  <c r="Q1131" i="35"/>
  <c r="Q486" i="35" s="1"/>
  <c r="Q1141" i="35"/>
  <c r="Q496" i="35" s="1"/>
  <c r="Q1138" i="35"/>
  <c r="Q493" i="35" s="1"/>
  <c r="Q1136" i="35"/>
  <c r="Q491" i="35" s="1"/>
  <c r="Q1145" i="35"/>
  <c r="Q500" i="35" s="1"/>
  <c r="Q1152" i="35"/>
  <c r="Q507" i="35" s="1"/>
  <c r="Q1140" i="35"/>
  <c r="Q495" i="35" s="1"/>
  <c r="Q1139" i="35"/>
  <c r="Q494" i="35" s="1"/>
  <c r="Q1153" i="35"/>
  <c r="Q508" i="35" s="1"/>
  <c r="Q1142" i="35"/>
  <c r="Q497" i="35" s="1"/>
  <c r="Q1148" i="35"/>
  <c r="Q503" i="35" s="1"/>
  <c r="Q1144" i="35"/>
  <c r="Q499" i="35" s="1"/>
  <c r="Q1133" i="35"/>
  <c r="Q488" i="35" s="1"/>
  <c r="Q1134" i="35"/>
  <c r="Q489" i="35" s="1"/>
  <c r="Q1155" i="35"/>
  <c r="Q510" i="35" s="1"/>
  <c r="Q1137" i="35"/>
  <c r="Q492" i="35" s="1"/>
  <c r="Q1135" i="35"/>
  <c r="Q490" i="35" s="1"/>
  <c r="Q1130" i="35"/>
  <c r="Q485" i="35" s="1"/>
  <c r="Q1147" i="35"/>
  <c r="Q502" i="35" s="1"/>
  <c r="Q1154" i="35"/>
  <c r="Q509" i="35" s="1"/>
  <c r="Q1129" i="35"/>
  <c r="Q484" i="35" s="1"/>
  <c r="Q1160" i="35"/>
  <c r="Q515" i="35" s="1"/>
  <c r="Q1193" i="35"/>
  <c r="Q548" i="35" s="1"/>
  <c r="Q1143" i="35"/>
  <c r="Q498" i="35" s="1"/>
  <c r="Q1150" i="35"/>
  <c r="Q505" i="35" s="1"/>
  <c r="Q1149" i="35"/>
  <c r="Q504" i="35" s="1"/>
  <c r="Q1156" i="35"/>
  <c r="Q511" i="35" s="1"/>
  <c r="Q1132" i="35"/>
  <c r="Q487" i="35" s="1"/>
  <c r="Q1221" i="35"/>
  <c r="Q576" i="35" s="1"/>
  <c r="Q1210" i="35"/>
  <c r="Q565" i="35" s="1"/>
  <c r="Q1165" i="35"/>
  <c r="Q520" i="35" s="1"/>
  <c r="Q1187" i="35"/>
  <c r="Q542" i="35" s="1"/>
  <c r="Q1174" i="35"/>
  <c r="Q529" i="35" s="1"/>
  <c r="Q1171" i="35"/>
  <c r="Q526" i="35" s="1"/>
  <c r="Q1179" i="35"/>
  <c r="Q534" i="35" s="1"/>
  <c r="Q1198" i="35"/>
  <c r="Q553" i="35" s="1"/>
  <c r="Q1128" i="35"/>
  <c r="Q483" i="35" s="1"/>
  <c r="Q1212" i="35"/>
  <c r="Q567" i="35" s="1"/>
  <c r="Q1188" i="35"/>
  <c r="Q543" i="35" s="1"/>
  <c r="Q1220" i="35"/>
  <c r="Q575" i="35" s="1"/>
  <c r="Q1175" i="35"/>
  <c r="Q530" i="35" s="1"/>
  <c r="Q1189" i="35"/>
  <c r="Q544" i="35" s="1"/>
  <c r="Q1207" i="35"/>
  <c r="Q562" i="35" s="1"/>
  <c r="Q1204" i="35"/>
  <c r="Q559" i="35" s="1"/>
  <c r="Q1163" i="35"/>
  <c r="Q518" i="35" s="1"/>
  <c r="Q1199" i="35"/>
  <c r="Q554" i="35" s="1"/>
  <c r="Q1206" i="35"/>
  <c r="Q561" i="35" s="1"/>
  <c r="Q1185" i="35"/>
  <c r="Q540" i="35" s="1"/>
  <c r="Q1208" i="35"/>
  <c r="Q563" i="35" s="1"/>
  <c r="Q1164" i="35"/>
  <c r="Q519" i="35" s="1"/>
  <c r="Q1202" i="35"/>
  <c r="Q557" i="35" s="1"/>
  <c r="Q1169" i="35"/>
  <c r="Q524" i="35" s="1"/>
  <c r="Q1197" i="35"/>
  <c r="Q552" i="35" s="1"/>
  <c r="Q1184" i="35"/>
  <c r="Q539" i="35" s="1"/>
  <c r="Q1183" i="35"/>
  <c r="Q538" i="35" s="1"/>
  <c r="Q1176" i="35"/>
  <c r="Q531" i="35" s="1"/>
  <c r="Q1213" i="35"/>
  <c r="Q568" i="35" s="1"/>
  <c r="Q1168" i="35"/>
  <c r="Q523" i="35" s="1"/>
  <c r="Q1218" i="35"/>
  <c r="Q573" i="35" s="1"/>
  <c r="Q1216" i="35"/>
  <c r="Q571" i="35" s="1"/>
  <c r="Q1162" i="35"/>
  <c r="Q517" i="35" s="1"/>
  <c r="Q1195" i="35"/>
  <c r="Q550" i="35" s="1"/>
  <c r="Q1211" i="35"/>
  <c r="Q566" i="35" s="1"/>
  <c r="Q1217" i="35"/>
  <c r="Q572" i="35" s="1"/>
  <c r="Q1209" i="35"/>
  <c r="Q564" i="35" s="1"/>
  <c r="Q1177" i="35"/>
  <c r="Q532" i="35" s="1"/>
  <c r="Q1180" i="35"/>
  <c r="Q535" i="35" s="1"/>
  <c r="Q1201" i="35"/>
  <c r="Q556" i="35" s="1"/>
  <c r="Q1166" i="35"/>
  <c r="Q521" i="35" s="1"/>
  <c r="Q1205" i="35"/>
  <c r="Q560" i="35" s="1"/>
  <c r="Q1167" i="35"/>
  <c r="Q522" i="35" s="1"/>
  <c r="Q1178" i="35"/>
  <c r="Q533" i="35" s="1"/>
  <c r="Q1222" i="35"/>
  <c r="Q577" i="35" s="1"/>
  <c r="Q1173" i="35"/>
  <c r="Q528" i="35" s="1"/>
  <c r="Q1172" i="35"/>
  <c r="Q527" i="35" s="1"/>
  <c r="Q1214" i="35"/>
  <c r="Q569" i="35" s="1"/>
  <c r="Q1182" i="35"/>
  <c r="Q537" i="35" s="1"/>
  <c r="Q1186" i="35"/>
  <c r="Q541" i="35" s="1"/>
  <c r="Q1200" i="35"/>
  <c r="Q555" i="35" s="1"/>
  <c r="Q1181" i="35"/>
  <c r="Q536" i="35" s="1"/>
  <c r="Q1219" i="35"/>
  <c r="Q574" i="35" s="1"/>
  <c r="Q1196" i="35"/>
  <c r="Q551" i="35" s="1"/>
  <c r="Q1215" i="35"/>
  <c r="Q570" i="35" s="1"/>
  <c r="Q1203" i="35"/>
  <c r="Q558" i="35" s="1"/>
  <c r="Q1170" i="35"/>
  <c r="Q525" i="35" s="1"/>
  <c r="Q1161" i="35"/>
  <c r="Q516" i="35" s="1"/>
  <c r="Q1194" i="35"/>
  <c r="Q549" i="35" s="1"/>
  <c r="Q210" i="35"/>
  <c r="Q75" i="35"/>
  <c r="Q345" i="35"/>
  <c r="Q480" i="35"/>
  <c r="S345" i="35"/>
  <c r="S210" i="35"/>
  <c r="S480" i="35"/>
  <c r="S75" i="35"/>
  <c r="N921" i="35"/>
  <c r="N1125" i="35"/>
  <c r="N1023" i="35"/>
  <c r="J480" i="35"/>
  <c r="J210" i="35"/>
  <c r="J345" i="35"/>
  <c r="J75" i="35"/>
  <c r="I610" i="35"/>
  <c r="I589" i="35"/>
  <c r="I594" i="35"/>
  <c r="I606" i="35"/>
  <c r="K345" i="35"/>
  <c r="K210" i="35"/>
  <c r="K75" i="35"/>
  <c r="K480" i="35"/>
  <c r="N332" i="35"/>
  <c r="N326" i="35"/>
  <c r="I458" i="35"/>
  <c r="I455" i="35"/>
  <c r="I472" i="35"/>
  <c r="R312" i="35"/>
  <c r="R323" i="35"/>
  <c r="R336" i="35"/>
  <c r="L887" i="35"/>
  <c r="L143" i="35" s="1"/>
  <c r="L819" i="35"/>
  <c r="L821" i="35"/>
  <c r="L77" i="35" s="1"/>
  <c r="L854" i="35"/>
  <c r="L110" i="35" s="1"/>
  <c r="L835" i="35"/>
  <c r="L91" i="35" s="1"/>
  <c r="L836" i="35"/>
  <c r="L92" i="35" s="1"/>
  <c r="L847" i="35"/>
  <c r="L103" i="35" s="1"/>
  <c r="L838" i="35"/>
  <c r="L94" i="35" s="1"/>
  <c r="L846" i="35"/>
  <c r="L102" i="35" s="1"/>
  <c r="L842" i="35"/>
  <c r="L98" i="35" s="1"/>
  <c r="L831" i="35"/>
  <c r="L87" i="35" s="1"/>
  <c r="L826" i="35"/>
  <c r="L82" i="35" s="1"/>
  <c r="L845" i="35"/>
  <c r="L101" i="35" s="1"/>
  <c r="L828" i="35"/>
  <c r="L84" i="35" s="1"/>
  <c r="L830" i="35"/>
  <c r="L86" i="35" s="1"/>
  <c r="L823" i="35"/>
  <c r="L79" i="35" s="1"/>
  <c r="L850" i="35"/>
  <c r="L106" i="35" s="1"/>
  <c r="L827" i="35"/>
  <c r="L83" i="35" s="1"/>
  <c r="L825" i="35"/>
  <c r="L81" i="35" s="1"/>
  <c r="L848" i="35"/>
  <c r="L104" i="35" s="1"/>
  <c r="L832" i="35"/>
  <c r="L88" i="35" s="1"/>
  <c r="L841" i="35"/>
  <c r="L97" i="35" s="1"/>
  <c r="L837" i="35"/>
  <c r="L93" i="35" s="1"/>
  <c r="L849" i="35"/>
  <c r="L105" i="35" s="1"/>
  <c r="L833" i="35"/>
  <c r="L89" i="35" s="1"/>
  <c r="L843" i="35"/>
  <c r="L99" i="35" s="1"/>
  <c r="L829" i="35"/>
  <c r="L85" i="35" s="1"/>
  <c r="L840" i="35"/>
  <c r="L96" i="35" s="1"/>
  <c r="L844" i="35"/>
  <c r="L100" i="35" s="1"/>
  <c r="L839" i="35"/>
  <c r="L95" i="35" s="1"/>
  <c r="L824" i="35"/>
  <c r="L80" i="35" s="1"/>
  <c r="L834" i="35"/>
  <c r="L90" i="35" s="1"/>
  <c r="L870" i="35"/>
  <c r="L126" i="35" s="1"/>
  <c r="L822" i="35"/>
  <c r="L78" i="35" s="1"/>
  <c r="L858" i="35"/>
  <c r="L114" i="35" s="1"/>
  <c r="L862" i="35"/>
  <c r="L118" i="35" s="1"/>
  <c r="L890" i="35"/>
  <c r="L146" i="35" s="1"/>
  <c r="L866" i="35"/>
  <c r="L122" i="35" s="1"/>
  <c r="L878" i="35"/>
  <c r="L134" i="35" s="1"/>
  <c r="L891" i="35"/>
  <c r="L147" i="35" s="1"/>
  <c r="L881" i="35"/>
  <c r="L137" i="35" s="1"/>
  <c r="L894" i="35"/>
  <c r="L150" i="35" s="1"/>
  <c r="L913" i="35"/>
  <c r="L169" i="35" s="1"/>
  <c r="L883" i="35"/>
  <c r="L139" i="35" s="1"/>
  <c r="L895" i="35"/>
  <c r="L151" i="35" s="1"/>
  <c r="L902" i="35"/>
  <c r="L158" i="35" s="1"/>
  <c r="L856" i="35"/>
  <c r="L112" i="35" s="1"/>
  <c r="L874" i="35"/>
  <c r="L130" i="35" s="1"/>
  <c r="L909" i="35"/>
  <c r="L165" i="35" s="1"/>
  <c r="L876" i="35"/>
  <c r="L132" i="35" s="1"/>
  <c r="L889" i="35"/>
  <c r="L145" i="35" s="1"/>
  <c r="L861" i="35"/>
  <c r="L117" i="35" s="1"/>
  <c r="L865" i="35"/>
  <c r="L121" i="35" s="1"/>
  <c r="L899" i="35"/>
  <c r="L155" i="35" s="1"/>
  <c r="L916" i="35"/>
  <c r="L172" i="35" s="1"/>
  <c r="L880" i="35"/>
  <c r="L136" i="35" s="1"/>
  <c r="L911" i="35"/>
  <c r="L167" i="35" s="1"/>
  <c r="L873" i="35"/>
  <c r="L129" i="35" s="1"/>
  <c r="L872" i="35"/>
  <c r="L128" i="35" s="1"/>
  <c r="L892" i="35"/>
  <c r="L148" i="35" s="1"/>
  <c r="L901" i="35"/>
  <c r="L157" i="35" s="1"/>
  <c r="L906" i="35"/>
  <c r="L162" i="35" s="1"/>
  <c r="L907" i="35"/>
  <c r="L163" i="35" s="1"/>
  <c r="L897" i="35"/>
  <c r="L153" i="35" s="1"/>
  <c r="L898" i="35"/>
  <c r="L154" i="35" s="1"/>
  <c r="L910" i="35"/>
  <c r="L166" i="35" s="1"/>
  <c r="L859" i="35"/>
  <c r="L115" i="35" s="1"/>
  <c r="L877" i="35"/>
  <c r="L133" i="35" s="1"/>
  <c r="L914" i="35"/>
  <c r="L170" i="35" s="1"/>
  <c r="L893" i="35"/>
  <c r="L149" i="35" s="1"/>
  <c r="L905" i="35"/>
  <c r="L161" i="35" s="1"/>
  <c r="L904" i="35"/>
  <c r="L160" i="35" s="1"/>
  <c r="L903" i="35"/>
  <c r="L159" i="35" s="1"/>
  <c r="L896" i="35"/>
  <c r="L152" i="35" s="1"/>
  <c r="L900" i="35"/>
  <c r="L156" i="35" s="1"/>
  <c r="L875" i="35"/>
  <c r="L131" i="35" s="1"/>
  <c r="L915" i="35"/>
  <c r="L171" i="35" s="1"/>
  <c r="L882" i="35"/>
  <c r="L138" i="35" s="1"/>
  <c r="L864" i="35"/>
  <c r="L120" i="35" s="1"/>
  <c r="L867" i="35"/>
  <c r="L123" i="35" s="1"/>
  <c r="L857" i="35"/>
  <c r="L113" i="35" s="1"/>
  <c r="L860" i="35"/>
  <c r="L116" i="35" s="1"/>
  <c r="L908" i="35"/>
  <c r="L164" i="35" s="1"/>
  <c r="L912" i="35"/>
  <c r="L168" i="35" s="1"/>
  <c r="L871" i="35"/>
  <c r="L127" i="35" s="1"/>
  <c r="L863" i="35"/>
  <c r="L119" i="35" s="1"/>
  <c r="L868" i="35"/>
  <c r="L124" i="35" s="1"/>
  <c r="L879" i="35"/>
  <c r="L135" i="35" s="1"/>
  <c r="L869" i="35"/>
  <c r="L125" i="35" s="1"/>
  <c r="L855" i="35"/>
  <c r="L111" i="35" s="1"/>
  <c r="L888" i="35"/>
  <c r="L144" i="35" s="1"/>
  <c r="N446" i="35"/>
  <c r="T923" i="35"/>
  <c r="T212" i="35" s="1"/>
  <c r="T945" i="35"/>
  <c r="T234" i="35" s="1"/>
  <c r="T939" i="35"/>
  <c r="T228" i="35" s="1"/>
  <c r="T950" i="35"/>
  <c r="T239" i="35" s="1"/>
  <c r="T941" i="35"/>
  <c r="T230" i="35" s="1"/>
  <c r="T932" i="35"/>
  <c r="T221" i="35" s="1"/>
  <c r="T946" i="35"/>
  <c r="T235" i="35" s="1"/>
  <c r="T936" i="35"/>
  <c r="T225" i="35" s="1"/>
  <c r="T928" i="35"/>
  <c r="T217" i="35" s="1"/>
  <c r="T989" i="35"/>
  <c r="T278" i="35" s="1"/>
  <c r="T935" i="35"/>
  <c r="T224" i="35" s="1"/>
  <c r="T933" i="35"/>
  <c r="T222" i="35" s="1"/>
  <c r="T931" i="35"/>
  <c r="T220" i="35" s="1"/>
  <c r="T925" i="35"/>
  <c r="T214" i="35" s="1"/>
  <c r="T930" i="35"/>
  <c r="T219" i="35" s="1"/>
  <c r="T952" i="35"/>
  <c r="T241" i="35" s="1"/>
  <c r="T927" i="35"/>
  <c r="T216" i="35" s="1"/>
  <c r="T948" i="35"/>
  <c r="T237" i="35" s="1"/>
  <c r="T937" i="35"/>
  <c r="T226" i="35" s="1"/>
  <c r="T944" i="35"/>
  <c r="T233" i="35" s="1"/>
  <c r="T934" i="35"/>
  <c r="T223" i="35" s="1"/>
  <c r="T949" i="35"/>
  <c r="T238" i="35" s="1"/>
  <c r="T951" i="35"/>
  <c r="T240" i="35" s="1"/>
  <c r="T938" i="35"/>
  <c r="T227" i="35" s="1"/>
  <c r="T956" i="35"/>
  <c r="T245" i="35" s="1"/>
  <c r="T947" i="35"/>
  <c r="T236" i="35" s="1"/>
  <c r="T929" i="35"/>
  <c r="T218" i="35" s="1"/>
  <c r="T942" i="35"/>
  <c r="T231" i="35" s="1"/>
  <c r="T926" i="35"/>
  <c r="T215" i="35" s="1"/>
  <c r="T943" i="35"/>
  <c r="T232" i="35" s="1"/>
  <c r="T940" i="35"/>
  <c r="T229" i="35" s="1"/>
  <c r="T1010" i="35"/>
  <c r="T299" i="35" s="1"/>
  <c r="T1011" i="35"/>
  <c r="T300" i="35" s="1"/>
  <c r="T924" i="35"/>
  <c r="T213" i="35" s="1"/>
  <c r="T980" i="35"/>
  <c r="T269" i="35" s="1"/>
  <c r="T964" i="35"/>
  <c r="T253" i="35" s="1"/>
  <c r="T985" i="35"/>
  <c r="T274" i="35" s="1"/>
  <c r="T958" i="35"/>
  <c r="T247" i="35" s="1"/>
  <c r="T1002" i="35"/>
  <c r="T291" i="35" s="1"/>
  <c r="T976" i="35"/>
  <c r="T265" i="35" s="1"/>
  <c r="T978" i="35"/>
  <c r="T267" i="35" s="1"/>
  <c r="T1008" i="35"/>
  <c r="T297" i="35" s="1"/>
  <c r="T1001" i="35"/>
  <c r="T290" i="35" s="1"/>
  <c r="T969" i="35"/>
  <c r="T258" i="35" s="1"/>
  <c r="T1016" i="35"/>
  <c r="T305" i="35" s="1"/>
  <c r="T1000" i="35"/>
  <c r="T289" i="35" s="1"/>
  <c r="T1009" i="35"/>
  <c r="T298" i="35" s="1"/>
  <c r="T1003" i="35"/>
  <c r="T292" i="35" s="1"/>
  <c r="T995" i="35"/>
  <c r="T284" i="35" s="1"/>
  <c r="T967" i="35"/>
  <c r="T256" i="35" s="1"/>
  <c r="T1012" i="35"/>
  <c r="T301" i="35" s="1"/>
  <c r="T1004" i="35"/>
  <c r="T293" i="35" s="1"/>
  <c r="T1018" i="35"/>
  <c r="T307" i="35" s="1"/>
  <c r="T965" i="35"/>
  <c r="T254" i="35" s="1"/>
  <c r="T979" i="35"/>
  <c r="T268" i="35" s="1"/>
  <c r="T983" i="35"/>
  <c r="T272" i="35" s="1"/>
  <c r="T998" i="35"/>
  <c r="T287" i="35" s="1"/>
  <c r="T962" i="35"/>
  <c r="T251" i="35" s="1"/>
  <c r="T999" i="35"/>
  <c r="T288" i="35" s="1"/>
  <c r="T993" i="35"/>
  <c r="T282" i="35" s="1"/>
  <c r="T975" i="35"/>
  <c r="T264" i="35" s="1"/>
  <c r="T966" i="35"/>
  <c r="T255" i="35" s="1"/>
  <c r="T959" i="35"/>
  <c r="T248" i="35" s="1"/>
  <c r="T970" i="35"/>
  <c r="T259" i="35" s="1"/>
  <c r="T991" i="35"/>
  <c r="T280" i="35" s="1"/>
  <c r="T973" i="35"/>
  <c r="T262" i="35" s="1"/>
  <c r="T996" i="35"/>
  <c r="T285" i="35" s="1"/>
  <c r="T960" i="35"/>
  <c r="T249" i="35" s="1"/>
  <c r="T984" i="35"/>
  <c r="T273" i="35" s="1"/>
  <c r="T981" i="35"/>
  <c r="T270" i="35" s="1"/>
  <c r="T972" i="35"/>
  <c r="T261" i="35" s="1"/>
  <c r="T997" i="35"/>
  <c r="T286" i="35" s="1"/>
  <c r="T961" i="35"/>
  <c r="T250" i="35" s="1"/>
  <c r="T1017" i="35"/>
  <c r="T306" i="35" s="1"/>
  <c r="T963" i="35"/>
  <c r="T252" i="35" s="1"/>
  <c r="T1013" i="35"/>
  <c r="T302" i="35" s="1"/>
  <c r="T977" i="35"/>
  <c r="T266" i="35" s="1"/>
  <c r="T971" i="35"/>
  <c r="T260" i="35" s="1"/>
  <c r="T1005" i="35"/>
  <c r="T294" i="35" s="1"/>
  <c r="T982" i="35"/>
  <c r="T271" i="35" s="1"/>
  <c r="T1014" i="35"/>
  <c r="T303" i="35" s="1"/>
  <c r="T992" i="35"/>
  <c r="T281" i="35" s="1"/>
  <c r="T1007" i="35"/>
  <c r="T296" i="35" s="1"/>
  <c r="T1006" i="35"/>
  <c r="T295" i="35" s="1"/>
  <c r="T974" i="35"/>
  <c r="T263" i="35" s="1"/>
  <c r="T968" i="35"/>
  <c r="T257" i="35" s="1"/>
  <c r="T1015" i="35"/>
  <c r="T304" i="35" s="1"/>
  <c r="T994" i="35"/>
  <c r="T283" i="35" s="1"/>
  <c r="T990" i="35"/>
  <c r="T279" i="35" s="1"/>
  <c r="T957" i="35"/>
  <c r="T246" i="35" s="1"/>
  <c r="AB1127" i="35"/>
  <c r="AB482" i="35" s="1"/>
  <c r="AB1152" i="35"/>
  <c r="AB507" i="35" s="1"/>
  <c r="AB1131" i="35"/>
  <c r="AB486" i="35" s="1"/>
  <c r="AB1141" i="35"/>
  <c r="AB496" i="35" s="1"/>
  <c r="AB1140" i="35"/>
  <c r="AB495" i="35" s="1"/>
  <c r="AB1146" i="35"/>
  <c r="AB501" i="35" s="1"/>
  <c r="AB1139" i="35"/>
  <c r="AB494" i="35" s="1"/>
  <c r="AB1153" i="35"/>
  <c r="AB508" i="35" s="1"/>
  <c r="AB1145" i="35"/>
  <c r="AB500" i="35" s="1"/>
  <c r="AB1151" i="35"/>
  <c r="AB506" i="35" s="1"/>
  <c r="AB1138" i="35"/>
  <c r="AB493" i="35" s="1"/>
  <c r="AB1136" i="35"/>
  <c r="AB491" i="35" s="1"/>
  <c r="AB1148" i="35"/>
  <c r="AB503" i="35" s="1"/>
  <c r="AB1155" i="35"/>
  <c r="AB510" i="35" s="1"/>
  <c r="AB1134" i="35"/>
  <c r="AB489" i="35" s="1"/>
  <c r="AB1143" i="35"/>
  <c r="AB498" i="35" s="1"/>
  <c r="AB1147" i="35"/>
  <c r="AB502" i="35" s="1"/>
  <c r="AB1137" i="35"/>
  <c r="AB492" i="35" s="1"/>
  <c r="AB1135" i="35"/>
  <c r="AB490" i="35" s="1"/>
  <c r="AB1133" i="35"/>
  <c r="AB488" i="35" s="1"/>
  <c r="AB1142" i="35"/>
  <c r="AB497" i="35" s="1"/>
  <c r="AB1130" i="35"/>
  <c r="AB485" i="35" s="1"/>
  <c r="AB1144" i="35"/>
  <c r="AB499" i="35" s="1"/>
  <c r="AB1154" i="35"/>
  <c r="AB509" i="35" s="1"/>
  <c r="AB1132" i="35"/>
  <c r="AB487" i="35" s="1"/>
  <c r="AB1193" i="35"/>
  <c r="AB548" i="35" s="1"/>
  <c r="AB1149" i="35"/>
  <c r="AB504" i="35" s="1"/>
  <c r="AB1129" i="35"/>
  <c r="AB484" i="35" s="1"/>
  <c r="AB1150" i="35"/>
  <c r="AB505" i="35" s="1"/>
  <c r="AB1160" i="35"/>
  <c r="AB515" i="35" s="1"/>
  <c r="AB1156" i="35"/>
  <c r="AB511" i="35" s="1"/>
  <c r="AB1171" i="35"/>
  <c r="AB526" i="35" s="1"/>
  <c r="AB1209" i="35"/>
  <c r="AB564" i="35" s="1"/>
  <c r="AB1175" i="35"/>
  <c r="AB530" i="35" s="1"/>
  <c r="AB1217" i="35"/>
  <c r="AB572" i="35" s="1"/>
  <c r="AB1128" i="35"/>
  <c r="AB483" i="35" s="1"/>
  <c r="AB1189" i="35"/>
  <c r="AB544" i="35" s="1"/>
  <c r="AB1165" i="35"/>
  <c r="AB520" i="35" s="1"/>
  <c r="AB1210" i="35"/>
  <c r="AB565" i="35" s="1"/>
  <c r="AB1174" i="35"/>
  <c r="AB529" i="35" s="1"/>
  <c r="AB1187" i="35"/>
  <c r="AB542" i="35" s="1"/>
  <c r="AB1188" i="35"/>
  <c r="AB543" i="35" s="1"/>
  <c r="AB1185" i="35"/>
  <c r="AB540" i="35" s="1"/>
  <c r="AB1212" i="35"/>
  <c r="AB567" i="35" s="1"/>
  <c r="AB1220" i="35"/>
  <c r="AB575" i="35" s="1"/>
  <c r="AB1221" i="35"/>
  <c r="AB576" i="35" s="1"/>
  <c r="AB1207" i="35"/>
  <c r="AB562" i="35" s="1"/>
  <c r="AB1198" i="35"/>
  <c r="AB553" i="35" s="1"/>
  <c r="AB1201" i="35"/>
  <c r="AB556" i="35" s="1"/>
  <c r="AB1202" i="35"/>
  <c r="AB557" i="35" s="1"/>
  <c r="AB1204" i="35"/>
  <c r="AB559" i="35" s="1"/>
  <c r="AB1183" i="35"/>
  <c r="AB538" i="35" s="1"/>
  <c r="AB1213" i="35"/>
  <c r="AB568" i="35" s="1"/>
  <c r="AB1168" i="35"/>
  <c r="AB523" i="35" s="1"/>
  <c r="AB1180" i="35"/>
  <c r="AB535" i="35" s="1"/>
  <c r="AB1179" i="35"/>
  <c r="AB534" i="35" s="1"/>
  <c r="AB1177" i="35"/>
  <c r="AB532" i="35" s="1"/>
  <c r="AB1208" i="35"/>
  <c r="AB563" i="35" s="1"/>
  <c r="AB1169" i="35"/>
  <c r="AB524" i="35" s="1"/>
  <c r="AB1216" i="35"/>
  <c r="AB571" i="35" s="1"/>
  <c r="AB1197" i="35"/>
  <c r="AB552" i="35" s="1"/>
  <c r="AB1162" i="35"/>
  <c r="AB517" i="35" s="1"/>
  <c r="AB1195" i="35"/>
  <c r="AB550" i="35" s="1"/>
  <c r="AB1164" i="35"/>
  <c r="AB519" i="35" s="1"/>
  <c r="AB1184" i="35"/>
  <c r="AB539" i="35" s="1"/>
  <c r="AB1176" i="35"/>
  <c r="AB531" i="35" s="1"/>
  <c r="AB1163" i="35"/>
  <c r="AB518" i="35" s="1"/>
  <c r="AB1199" i="35"/>
  <c r="AB554" i="35" s="1"/>
  <c r="AB1206" i="35"/>
  <c r="AB561" i="35" s="1"/>
  <c r="AB1218" i="35"/>
  <c r="AB573" i="35" s="1"/>
  <c r="AB1219" i="35"/>
  <c r="AB574" i="35" s="1"/>
  <c r="AB1170" i="35"/>
  <c r="AB525" i="35" s="1"/>
  <c r="AB1178" i="35"/>
  <c r="AB533" i="35" s="1"/>
  <c r="AB1214" i="35"/>
  <c r="AB569" i="35" s="1"/>
  <c r="AB1186" i="35"/>
  <c r="AB541" i="35" s="1"/>
  <c r="AB1181" i="35"/>
  <c r="AB536" i="35" s="1"/>
  <c r="AB1173" i="35"/>
  <c r="AB528" i="35" s="1"/>
  <c r="AB1172" i="35"/>
  <c r="AB527" i="35" s="1"/>
  <c r="AB1182" i="35"/>
  <c r="AB537" i="35" s="1"/>
  <c r="AB1200" i="35"/>
  <c r="AB555" i="35" s="1"/>
  <c r="AB1205" i="35"/>
  <c r="AB560" i="35" s="1"/>
  <c r="AB1167" i="35"/>
  <c r="AB522" i="35" s="1"/>
  <c r="AB1222" i="35"/>
  <c r="AB577" i="35" s="1"/>
  <c r="AB1211" i="35"/>
  <c r="AB566" i="35" s="1"/>
  <c r="AB1166" i="35"/>
  <c r="AB521" i="35" s="1"/>
  <c r="AB1215" i="35"/>
  <c r="AB570" i="35" s="1"/>
  <c r="AB1196" i="35"/>
  <c r="AB551" i="35" s="1"/>
  <c r="AB1203" i="35"/>
  <c r="AB558" i="35" s="1"/>
  <c r="AB1194" i="35"/>
  <c r="AB549" i="35" s="1"/>
  <c r="AB1161" i="35"/>
  <c r="AB516" i="35" s="1"/>
  <c r="I186" i="35"/>
  <c r="I179" i="35"/>
  <c r="I198" i="35"/>
  <c r="X1127" i="35"/>
  <c r="X482" i="35" s="1"/>
  <c r="X1152" i="35"/>
  <c r="X507" i="35" s="1"/>
  <c r="X1151" i="35"/>
  <c r="X506" i="35" s="1"/>
  <c r="X1131" i="35"/>
  <c r="X486" i="35" s="1"/>
  <c r="X1138" i="35"/>
  <c r="X493" i="35" s="1"/>
  <c r="X1142" i="35"/>
  <c r="X497" i="35" s="1"/>
  <c r="X1146" i="35"/>
  <c r="X501" i="35" s="1"/>
  <c r="X1140" i="35"/>
  <c r="X495" i="35" s="1"/>
  <c r="X1153" i="35"/>
  <c r="X508" i="35" s="1"/>
  <c r="X1139" i="35"/>
  <c r="X494" i="35" s="1"/>
  <c r="X1145" i="35"/>
  <c r="X500" i="35" s="1"/>
  <c r="X1136" i="35"/>
  <c r="X491" i="35" s="1"/>
  <c r="X1135" i="35"/>
  <c r="X490" i="35" s="1"/>
  <c r="X1134" i="35"/>
  <c r="X489" i="35" s="1"/>
  <c r="X1133" i="35"/>
  <c r="X488" i="35" s="1"/>
  <c r="X1130" i="35"/>
  <c r="X485" i="35" s="1"/>
  <c r="X1144" i="35"/>
  <c r="X499" i="35" s="1"/>
  <c r="X1147" i="35"/>
  <c r="X502" i="35" s="1"/>
  <c r="X1148" i="35"/>
  <c r="X503" i="35" s="1"/>
  <c r="X1141" i="35"/>
  <c r="X496" i="35" s="1"/>
  <c r="X1137" i="35"/>
  <c r="X492" i="35" s="1"/>
  <c r="X1155" i="35"/>
  <c r="X510" i="35" s="1"/>
  <c r="X1149" i="35"/>
  <c r="X504" i="35" s="1"/>
  <c r="X1129" i="35"/>
  <c r="X484" i="35" s="1"/>
  <c r="X1156" i="35"/>
  <c r="X511" i="35" s="1"/>
  <c r="X1143" i="35"/>
  <c r="X498" i="35" s="1"/>
  <c r="X1150" i="35"/>
  <c r="X505" i="35" s="1"/>
  <c r="X1132" i="35"/>
  <c r="X487" i="35" s="1"/>
  <c r="X1193" i="35"/>
  <c r="X548" i="35" s="1"/>
  <c r="X1154" i="35"/>
  <c r="X509" i="35" s="1"/>
  <c r="X1160" i="35"/>
  <c r="X515" i="35" s="1"/>
  <c r="X1207" i="35"/>
  <c r="X562" i="35" s="1"/>
  <c r="X1187" i="35"/>
  <c r="X542" i="35" s="1"/>
  <c r="X1171" i="35"/>
  <c r="X526" i="35" s="1"/>
  <c r="X1221" i="35"/>
  <c r="X576" i="35" s="1"/>
  <c r="X1174" i="35"/>
  <c r="X529" i="35" s="1"/>
  <c r="X1128" i="35"/>
  <c r="X483" i="35" s="1"/>
  <c r="X1189" i="35"/>
  <c r="X544" i="35" s="1"/>
  <c r="X1220" i="35"/>
  <c r="X575" i="35" s="1"/>
  <c r="X1210" i="35"/>
  <c r="X565" i="35" s="1"/>
  <c r="X1179" i="35"/>
  <c r="X534" i="35" s="1"/>
  <c r="X1165" i="35"/>
  <c r="X520" i="35" s="1"/>
  <c r="X1188" i="35"/>
  <c r="X543" i="35" s="1"/>
  <c r="X1185" i="35"/>
  <c r="X540" i="35" s="1"/>
  <c r="X1212" i="35"/>
  <c r="X567" i="35" s="1"/>
  <c r="X1195" i="35"/>
  <c r="X550" i="35" s="1"/>
  <c r="X1175" i="35"/>
  <c r="X530" i="35" s="1"/>
  <c r="X1202" i="35"/>
  <c r="X557" i="35" s="1"/>
  <c r="X1213" i="35"/>
  <c r="X568" i="35" s="1"/>
  <c r="X1216" i="35"/>
  <c r="X571" i="35" s="1"/>
  <c r="X1198" i="35"/>
  <c r="X553" i="35" s="1"/>
  <c r="X1209" i="35"/>
  <c r="X564" i="35" s="1"/>
  <c r="X1184" i="35"/>
  <c r="X539" i="35" s="1"/>
  <c r="X1169" i="35"/>
  <c r="X524" i="35" s="1"/>
  <c r="X1197" i="35"/>
  <c r="X552" i="35" s="1"/>
  <c r="X1217" i="35"/>
  <c r="X572" i="35" s="1"/>
  <c r="X1177" i="35"/>
  <c r="X532" i="35" s="1"/>
  <c r="X1162" i="35"/>
  <c r="X517" i="35" s="1"/>
  <c r="X1176" i="35"/>
  <c r="X531" i="35" s="1"/>
  <c r="X1201" i="35"/>
  <c r="X556" i="35" s="1"/>
  <c r="X1199" i="35"/>
  <c r="X554" i="35" s="1"/>
  <c r="X1208" i="35"/>
  <c r="X563" i="35" s="1"/>
  <c r="X1164" i="35"/>
  <c r="X519" i="35" s="1"/>
  <c r="X1204" i="35"/>
  <c r="X559" i="35" s="1"/>
  <c r="X1218" i="35"/>
  <c r="X573" i="35" s="1"/>
  <c r="X1183" i="35"/>
  <c r="X538" i="35" s="1"/>
  <c r="X1180" i="35"/>
  <c r="X535" i="35" s="1"/>
  <c r="X1211" i="35"/>
  <c r="X566" i="35" s="1"/>
  <c r="X1206" i="35"/>
  <c r="X561" i="35" s="1"/>
  <c r="X1168" i="35"/>
  <c r="X523" i="35" s="1"/>
  <c r="X1215" i="35"/>
  <c r="X570" i="35" s="1"/>
  <c r="X1200" i="35"/>
  <c r="X555" i="35" s="1"/>
  <c r="X1186" i="35"/>
  <c r="X541" i="35" s="1"/>
  <c r="X1181" i="35"/>
  <c r="X536" i="35" s="1"/>
  <c r="X1167" i="35"/>
  <c r="X522" i="35" s="1"/>
  <c r="X1214" i="35"/>
  <c r="X569" i="35" s="1"/>
  <c r="X1163" i="35"/>
  <c r="X518" i="35" s="1"/>
  <c r="X1196" i="35"/>
  <c r="X551" i="35" s="1"/>
  <c r="X1173" i="35"/>
  <c r="X528" i="35" s="1"/>
  <c r="X1205" i="35"/>
  <c r="X560" i="35" s="1"/>
  <c r="X1219" i="35"/>
  <c r="X574" i="35" s="1"/>
  <c r="X1166" i="35"/>
  <c r="X521" i="35" s="1"/>
  <c r="X1203" i="35"/>
  <c r="X558" i="35" s="1"/>
  <c r="X1222" i="35"/>
  <c r="X577" i="35" s="1"/>
  <c r="X1170" i="35"/>
  <c r="X525" i="35" s="1"/>
  <c r="X1178" i="35"/>
  <c r="X533" i="35" s="1"/>
  <c r="X1172" i="35"/>
  <c r="X527" i="35" s="1"/>
  <c r="X1182" i="35"/>
  <c r="X537" i="35" s="1"/>
  <c r="X1194" i="35"/>
  <c r="X549" i="35" s="1"/>
  <c r="X1161" i="35"/>
  <c r="X516" i="35" s="1"/>
  <c r="J1127" i="35"/>
  <c r="J482" i="35" s="1"/>
  <c r="J1152" i="35"/>
  <c r="J507" i="35" s="1"/>
  <c r="J1146" i="35"/>
  <c r="J501" i="35" s="1"/>
  <c r="J1142" i="35"/>
  <c r="J497" i="35" s="1"/>
  <c r="J1151" i="35"/>
  <c r="J506" i="35" s="1"/>
  <c r="J1140" i="35"/>
  <c r="J495" i="35" s="1"/>
  <c r="J1139" i="35"/>
  <c r="J494" i="35" s="1"/>
  <c r="J1138" i="35"/>
  <c r="J493" i="35" s="1"/>
  <c r="J1145" i="35"/>
  <c r="J500" i="35" s="1"/>
  <c r="J1141" i="35"/>
  <c r="J496" i="35" s="1"/>
  <c r="J1153" i="35"/>
  <c r="J508" i="35" s="1"/>
  <c r="J1135" i="35"/>
  <c r="J490" i="35" s="1"/>
  <c r="J1137" i="35"/>
  <c r="J492" i="35" s="1"/>
  <c r="J1143" i="35"/>
  <c r="J498" i="35" s="1"/>
  <c r="J1148" i="35"/>
  <c r="J503" i="35" s="1"/>
  <c r="J1133" i="35"/>
  <c r="J488" i="35" s="1"/>
  <c r="J1131" i="35"/>
  <c r="J486" i="35" s="1"/>
  <c r="J1144" i="35"/>
  <c r="J499" i="35" s="1"/>
  <c r="J1147" i="35"/>
  <c r="J502" i="35" s="1"/>
  <c r="J1136" i="35"/>
  <c r="J491" i="35" s="1"/>
  <c r="J1155" i="35"/>
  <c r="J510" i="35" s="1"/>
  <c r="J1134" i="35"/>
  <c r="J489" i="35" s="1"/>
  <c r="J1130" i="35"/>
  <c r="J485" i="35" s="1"/>
  <c r="J1129" i="35"/>
  <c r="J484" i="35" s="1"/>
  <c r="J1149" i="35"/>
  <c r="J504" i="35" s="1"/>
  <c r="J1156" i="35"/>
  <c r="J511" i="35" s="1"/>
  <c r="J1160" i="35"/>
  <c r="J515" i="35" s="1"/>
  <c r="J1193" i="35"/>
  <c r="J548" i="35" s="1"/>
  <c r="J1154" i="35"/>
  <c r="J509" i="35" s="1"/>
  <c r="J1132" i="35"/>
  <c r="J487" i="35" s="1"/>
  <c r="J1150" i="35"/>
  <c r="J505" i="35" s="1"/>
  <c r="J1212" i="35"/>
  <c r="J567" i="35" s="1"/>
  <c r="J1188" i="35"/>
  <c r="J543" i="35" s="1"/>
  <c r="J1175" i="35"/>
  <c r="J530" i="35" s="1"/>
  <c r="J1128" i="35"/>
  <c r="J483" i="35" s="1"/>
  <c r="J1207" i="35"/>
  <c r="J562" i="35" s="1"/>
  <c r="J1165" i="35"/>
  <c r="J520" i="35" s="1"/>
  <c r="J1217" i="35"/>
  <c r="J572" i="35" s="1"/>
  <c r="J1220" i="35"/>
  <c r="J575" i="35" s="1"/>
  <c r="J1185" i="35"/>
  <c r="J540" i="35" s="1"/>
  <c r="J1198" i="35"/>
  <c r="J553" i="35" s="1"/>
  <c r="J1187" i="35"/>
  <c r="J542" i="35" s="1"/>
  <c r="J1171" i="35"/>
  <c r="J526" i="35" s="1"/>
  <c r="J1209" i="35"/>
  <c r="J564" i="35" s="1"/>
  <c r="J1189" i="35"/>
  <c r="J544" i="35" s="1"/>
  <c r="J1221" i="35"/>
  <c r="J576" i="35" s="1"/>
  <c r="J1210" i="35"/>
  <c r="J565" i="35" s="1"/>
  <c r="J1174" i="35"/>
  <c r="J529" i="35" s="1"/>
  <c r="J1179" i="35"/>
  <c r="J534" i="35" s="1"/>
  <c r="J1202" i="35"/>
  <c r="J557" i="35" s="1"/>
  <c r="J1208" i="35"/>
  <c r="J563" i="35" s="1"/>
  <c r="J1184" i="35"/>
  <c r="J539" i="35" s="1"/>
  <c r="J1176" i="35"/>
  <c r="J531" i="35" s="1"/>
  <c r="J1168" i="35"/>
  <c r="J523" i="35" s="1"/>
  <c r="J1195" i="35"/>
  <c r="J550" i="35" s="1"/>
  <c r="J1164" i="35"/>
  <c r="J519" i="35" s="1"/>
  <c r="J1177" i="35"/>
  <c r="J532" i="35" s="1"/>
  <c r="J1204" i="35"/>
  <c r="J559" i="35" s="1"/>
  <c r="J1218" i="35"/>
  <c r="J573" i="35" s="1"/>
  <c r="J1201" i="35"/>
  <c r="J556" i="35" s="1"/>
  <c r="J1216" i="35"/>
  <c r="J571" i="35" s="1"/>
  <c r="J1211" i="35"/>
  <c r="J566" i="35" s="1"/>
  <c r="J1183" i="35"/>
  <c r="J538" i="35" s="1"/>
  <c r="J1169" i="35"/>
  <c r="J524" i="35" s="1"/>
  <c r="J1213" i="35"/>
  <c r="J568" i="35" s="1"/>
  <c r="J1197" i="35"/>
  <c r="J552" i="35" s="1"/>
  <c r="J1162" i="35"/>
  <c r="J517" i="35" s="1"/>
  <c r="J1205" i="35"/>
  <c r="J560" i="35" s="1"/>
  <c r="J1182" i="35"/>
  <c r="J537" i="35" s="1"/>
  <c r="J1180" i="35"/>
  <c r="J535" i="35" s="1"/>
  <c r="J1200" i="35"/>
  <c r="J555" i="35" s="1"/>
  <c r="J1166" i="35"/>
  <c r="J521" i="35" s="1"/>
  <c r="J1203" i="35"/>
  <c r="J558" i="35" s="1"/>
  <c r="J1170" i="35"/>
  <c r="J525" i="35" s="1"/>
  <c r="J1186" i="35"/>
  <c r="J541" i="35" s="1"/>
  <c r="J1206" i="35"/>
  <c r="J561" i="35" s="1"/>
  <c r="J1173" i="35"/>
  <c r="J528" i="35" s="1"/>
  <c r="J1214" i="35"/>
  <c r="J569" i="35" s="1"/>
  <c r="J1199" i="35"/>
  <c r="J554" i="35" s="1"/>
  <c r="J1215" i="35"/>
  <c r="J570" i="35" s="1"/>
  <c r="J1219" i="35"/>
  <c r="J574" i="35" s="1"/>
  <c r="J1172" i="35"/>
  <c r="J527" i="35" s="1"/>
  <c r="J1181" i="35"/>
  <c r="J536" i="35" s="1"/>
  <c r="J1163" i="35"/>
  <c r="J518" i="35" s="1"/>
  <c r="J1196" i="35"/>
  <c r="J551" i="35" s="1"/>
  <c r="J1178" i="35"/>
  <c r="J533" i="35" s="1"/>
  <c r="J1167" i="35"/>
  <c r="J522" i="35" s="1"/>
  <c r="J1222" i="35"/>
  <c r="J577" i="35" s="1"/>
  <c r="J1161" i="35"/>
  <c r="J516" i="35" s="1"/>
  <c r="J1194" i="35"/>
  <c r="J549" i="35" s="1"/>
  <c r="I583" i="35"/>
  <c r="I599" i="35"/>
  <c r="I590" i="35"/>
  <c r="I581" i="35"/>
  <c r="N315" i="35"/>
  <c r="I465" i="35"/>
  <c r="I467" i="35"/>
  <c r="I470" i="35"/>
  <c r="T210" i="35"/>
  <c r="T345" i="35"/>
  <c r="T75" i="35"/>
  <c r="T480" i="35"/>
  <c r="AB1043" i="35"/>
  <c r="AB365" i="35" s="1"/>
  <c r="AB1054" i="35"/>
  <c r="AB376" i="35" s="1"/>
  <c r="AB1049" i="35"/>
  <c r="AB371" i="35" s="1"/>
  <c r="AB1035" i="35"/>
  <c r="AB357" i="35" s="1"/>
  <c r="AB1051" i="35"/>
  <c r="AB373" i="35" s="1"/>
  <c r="AB1041" i="35"/>
  <c r="AB363" i="35" s="1"/>
  <c r="AB1025" i="35"/>
  <c r="AB347" i="35" s="1"/>
  <c r="AB1032" i="35"/>
  <c r="AB354" i="35" s="1"/>
  <c r="AB1030" i="35"/>
  <c r="AB352" i="35" s="1"/>
  <c r="AB1052" i="35"/>
  <c r="AB374" i="35" s="1"/>
  <c r="AB1027" i="35"/>
  <c r="AB349" i="35" s="1"/>
  <c r="AB1038" i="35"/>
  <c r="AB360" i="35" s="1"/>
  <c r="AB1048" i="35"/>
  <c r="AB370" i="35" s="1"/>
  <c r="AB1034" i="35"/>
  <c r="AB356" i="35" s="1"/>
  <c r="AB1050" i="35"/>
  <c r="AB372" i="35" s="1"/>
  <c r="AB1039" i="35"/>
  <c r="AB361" i="35" s="1"/>
  <c r="AB1044" i="35"/>
  <c r="AB366" i="35" s="1"/>
  <c r="AB1028" i="35"/>
  <c r="AB350" i="35" s="1"/>
  <c r="AB1045" i="35"/>
  <c r="AB367" i="35" s="1"/>
  <c r="AB1031" i="35"/>
  <c r="AB353" i="35" s="1"/>
  <c r="AB1047" i="35"/>
  <c r="AB369" i="35" s="1"/>
  <c r="AB1042" i="35"/>
  <c r="AB364" i="35" s="1"/>
  <c r="AB1053" i="35"/>
  <c r="AB375" i="35" s="1"/>
  <c r="AB1046" i="35"/>
  <c r="AB368" i="35" s="1"/>
  <c r="AB1029" i="35"/>
  <c r="AB351" i="35" s="1"/>
  <c r="AB1040" i="35"/>
  <c r="AB362" i="35" s="1"/>
  <c r="AB1036" i="35"/>
  <c r="AB358" i="35" s="1"/>
  <c r="AB1033" i="35"/>
  <c r="AB355" i="35" s="1"/>
  <c r="AB1037" i="35"/>
  <c r="AB359" i="35" s="1"/>
  <c r="AB1118" i="35"/>
  <c r="AB440" i="35" s="1"/>
  <c r="AB1099" i="35"/>
  <c r="AB421" i="35" s="1"/>
  <c r="AB1085" i="35"/>
  <c r="AB407" i="35" s="1"/>
  <c r="AB1026" i="35"/>
  <c r="AB348" i="35" s="1"/>
  <c r="AB1066" i="35"/>
  <c r="AB388" i="35" s="1"/>
  <c r="AB1097" i="35"/>
  <c r="AB419" i="35" s="1"/>
  <c r="AB1086" i="35"/>
  <c r="AB408" i="35" s="1"/>
  <c r="AB1091" i="35"/>
  <c r="AB413" i="35" s="1"/>
  <c r="AB1114" i="35"/>
  <c r="AB436" i="35" s="1"/>
  <c r="AB1058" i="35"/>
  <c r="AB380" i="35" s="1"/>
  <c r="AB1120" i="35"/>
  <c r="AB442" i="35" s="1"/>
  <c r="AB1064" i="35"/>
  <c r="AB386" i="35" s="1"/>
  <c r="AB1061" i="35"/>
  <c r="AB383" i="35" s="1"/>
  <c r="AB1101" i="35"/>
  <c r="AB423" i="35" s="1"/>
  <c r="AB1069" i="35"/>
  <c r="AB391" i="35" s="1"/>
  <c r="AB1093" i="35"/>
  <c r="AB415" i="35" s="1"/>
  <c r="AB1113" i="35"/>
  <c r="AB435" i="35" s="1"/>
  <c r="AB1060" i="35"/>
  <c r="AB382" i="35" s="1"/>
  <c r="AB1105" i="35"/>
  <c r="AB427" i="35" s="1"/>
  <c r="AB1102" i="35"/>
  <c r="AB424" i="35" s="1"/>
  <c r="AB1117" i="35"/>
  <c r="AB439" i="35" s="1"/>
  <c r="AB1071" i="35"/>
  <c r="AB393" i="35" s="1"/>
  <c r="AB1119" i="35"/>
  <c r="AB441" i="35" s="1"/>
  <c r="AB1116" i="35"/>
  <c r="AB438" i="35" s="1"/>
  <c r="AB1111" i="35"/>
  <c r="AB433" i="35" s="1"/>
  <c r="AB1084" i="35"/>
  <c r="AB406" i="35" s="1"/>
  <c r="AB1068" i="35"/>
  <c r="AB390" i="35" s="1"/>
  <c r="AB1081" i="35"/>
  <c r="AB403" i="35" s="1"/>
  <c r="AB1083" i="35"/>
  <c r="AB405" i="35" s="1"/>
  <c r="AB1104" i="35"/>
  <c r="AB426" i="35" s="1"/>
  <c r="AB1080" i="35"/>
  <c r="AB402" i="35" s="1"/>
  <c r="AB1078" i="35"/>
  <c r="AB400" i="35" s="1"/>
  <c r="AB1062" i="35"/>
  <c r="AB384" i="35" s="1"/>
  <c r="AB1067" i="35"/>
  <c r="AB389" i="35" s="1"/>
  <c r="AB1109" i="35"/>
  <c r="AB431" i="35" s="1"/>
  <c r="AB1112" i="35"/>
  <c r="AB434" i="35" s="1"/>
  <c r="AB1074" i="35"/>
  <c r="AB396" i="35" s="1"/>
  <c r="AB1103" i="35"/>
  <c r="AB425" i="35" s="1"/>
  <c r="AB1094" i="35"/>
  <c r="AB416" i="35" s="1"/>
  <c r="AB1076" i="35"/>
  <c r="AB398" i="35" s="1"/>
  <c r="AB1070" i="35"/>
  <c r="AB392" i="35" s="1"/>
  <c r="AB1107" i="35"/>
  <c r="AB429" i="35" s="1"/>
  <c r="AB1115" i="35"/>
  <c r="AB437" i="35" s="1"/>
  <c r="AB1077" i="35"/>
  <c r="AB399" i="35" s="1"/>
  <c r="AB1100" i="35"/>
  <c r="AB422" i="35" s="1"/>
  <c r="AB1082" i="35"/>
  <c r="AB404" i="35" s="1"/>
  <c r="AB1072" i="35"/>
  <c r="AB394" i="35" s="1"/>
  <c r="AB1110" i="35"/>
  <c r="AB432" i="35" s="1"/>
  <c r="AB1065" i="35"/>
  <c r="AB387" i="35" s="1"/>
  <c r="AB1108" i="35"/>
  <c r="AB430" i="35" s="1"/>
  <c r="AB1106" i="35"/>
  <c r="AB428" i="35" s="1"/>
  <c r="AB1075" i="35"/>
  <c r="AB397" i="35" s="1"/>
  <c r="AB1073" i="35"/>
  <c r="AB395" i="35" s="1"/>
  <c r="AB1098" i="35"/>
  <c r="AB420" i="35" s="1"/>
  <c r="AB1087" i="35"/>
  <c r="AB409" i="35" s="1"/>
  <c r="AB1063" i="35"/>
  <c r="AB385" i="35" s="1"/>
  <c r="AB1095" i="35"/>
  <c r="AB417" i="35" s="1"/>
  <c r="AB1079" i="35"/>
  <c r="AB401" i="35" s="1"/>
  <c r="AB1096" i="35"/>
  <c r="AB418" i="35" s="1"/>
  <c r="AB1059" i="35"/>
  <c r="AB381" i="35" s="1"/>
  <c r="AB1092" i="35"/>
  <c r="AB414" i="35" s="1"/>
  <c r="AB210" i="35"/>
  <c r="AB345" i="35"/>
  <c r="AB480" i="35"/>
  <c r="AB75" i="35"/>
  <c r="Z836" i="35"/>
  <c r="Z92" i="35" s="1"/>
  <c r="Z844" i="35"/>
  <c r="Z100" i="35" s="1"/>
  <c r="Z821" i="35"/>
  <c r="Z77" i="35" s="1"/>
  <c r="Z839" i="35"/>
  <c r="Z95" i="35" s="1"/>
  <c r="Z831" i="35"/>
  <c r="Z87" i="35" s="1"/>
  <c r="Z823" i="35"/>
  <c r="Z79" i="35" s="1"/>
  <c r="Z841" i="35"/>
  <c r="Z97" i="35" s="1"/>
  <c r="Z846" i="35"/>
  <c r="Z102" i="35" s="1"/>
  <c r="Z824" i="35"/>
  <c r="Z80" i="35" s="1"/>
  <c r="Z835" i="35"/>
  <c r="Z91" i="35" s="1"/>
  <c r="Z830" i="35"/>
  <c r="Z86" i="35" s="1"/>
  <c r="Z828" i="35"/>
  <c r="Z84" i="35" s="1"/>
  <c r="Z843" i="35"/>
  <c r="Z99" i="35" s="1"/>
  <c r="Z826" i="35"/>
  <c r="Z82" i="35" s="1"/>
  <c r="Z827" i="35"/>
  <c r="Z83" i="35" s="1"/>
  <c r="Z837" i="35"/>
  <c r="Z93" i="35" s="1"/>
  <c r="Z847" i="35"/>
  <c r="Z103" i="35" s="1"/>
  <c r="Z848" i="35"/>
  <c r="Z104" i="35" s="1"/>
  <c r="Z850" i="35"/>
  <c r="Z106" i="35" s="1"/>
  <c r="Z845" i="35"/>
  <c r="Z101" i="35" s="1"/>
  <c r="Z819" i="35"/>
  <c r="Z887" i="35"/>
  <c r="Z143" i="35" s="1"/>
  <c r="Z825" i="35"/>
  <c r="Z81" i="35" s="1"/>
  <c r="Z833" i="35"/>
  <c r="Z89" i="35" s="1"/>
  <c r="Z849" i="35"/>
  <c r="Z105" i="35" s="1"/>
  <c r="Z834" i="35"/>
  <c r="Z90" i="35" s="1"/>
  <c r="Z854" i="35"/>
  <c r="Z110" i="35" s="1"/>
  <c r="Z840" i="35"/>
  <c r="Z96" i="35" s="1"/>
  <c r="Z838" i="35"/>
  <c r="Z94" i="35" s="1"/>
  <c r="Z829" i="35"/>
  <c r="Z85" i="35" s="1"/>
  <c r="Z842" i="35"/>
  <c r="Z98" i="35" s="1"/>
  <c r="Z832" i="35"/>
  <c r="Z88" i="35" s="1"/>
  <c r="Z822" i="35"/>
  <c r="Z78" i="35" s="1"/>
  <c r="Z911" i="35"/>
  <c r="Z167" i="35" s="1"/>
  <c r="Z876" i="35"/>
  <c r="Z132" i="35" s="1"/>
  <c r="Z916" i="35"/>
  <c r="Z172" i="35" s="1"/>
  <c r="Z858" i="35"/>
  <c r="Z114" i="35" s="1"/>
  <c r="Z883" i="35"/>
  <c r="Z139" i="35" s="1"/>
  <c r="Z891" i="35"/>
  <c r="Z147" i="35" s="1"/>
  <c r="Z899" i="35"/>
  <c r="Z155" i="35" s="1"/>
  <c r="Z890" i="35"/>
  <c r="Z146" i="35" s="1"/>
  <c r="Z894" i="35"/>
  <c r="Z150" i="35" s="1"/>
  <c r="Z909" i="35"/>
  <c r="Z165" i="35" s="1"/>
  <c r="Z913" i="35"/>
  <c r="Z169" i="35" s="1"/>
  <c r="Z902" i="35"/>
  <c r="Z158" i="35" s="1"/>
  <c r="Z889" i="35"/>
  <c r="Z145" i="35" s="1"/>
  <c r="Z870" i="35"/>
  <c r="Z126" i="35" s="1"/>
  <c r="Z861" i="35"/>
  <c r="Z117" i="35" s="1"/>
  <c r="Z878" i="35"/>
  <c r="Z134" i="35" s="1"/>
  <c r="Z856" i="35"/>
  <c r="Z112" i="35" s="1"/>
  <c r="Z880" i="35"/>
  <c r="Z136" i="35" s="1"/>
  <c r="Z866" i="35"/>
  <c r="Z122" i="35" s="1"/>
  <c r="Z862" i="35"/>
  <c r="Z118" i="35" s="1"/>
  <c r="Z874" i="35"/>
  <c r="Z130" i="35" s="1"/>
  <c r="Z881" i="35"/>
  <c r="Z137" i="35" s="1"/>
  <c r="Z865" i="35"/>
  <c r="Z121" i="35" s="1"/>
  <c r="Z859" i="35"/>
  <c r="Z115" i="35" s="1"/>
  <c r="Z872" i="35"/>
  <c r="Z128" i="35" s="1"/>
  <c r="Z892" i="35"/>
  <c r="Z148" i="35" s="1"/>
  <c r="Z895" i="35"/>
  <c r="Z151" i="35" s="1"/>
  <c r="Z907" i="35"/>
  <c r="Z163" i="35" s="1"/>
  <c r="Z896" i="35"/>
  <c r="Z152" i="35" s="1"/>
  <c r="Z898" i="35"/>
  <c r="Z154" i="35" s="1"/>
  <c r="Z910" i="35"/>
  <c r="Z166" i="35" s="1"/>
  <c r="Z873" i="35"/>
  <c r="Z129" i="35" s="1"/>
  <c r="Z901" i="35"/>
  <c r="Z157" i="35" s="1"/>
  <c r="Z906" i="35"/>
  <c r="Z162" i="35" s="1"/>
  <c r="Z897" i="35"/>
  <c r="Z153" i="35" s="1"/>
  <c r="Z863" i="35"/>
  <c r="Z119" i="35" s="1"/>
  <c r="Z864" i="35"/>
  <c r="Z120" i="35" s="1"/>
  <c r="Z867" i="35"/>
  <c r="Z123" i="35" s="1"/>
  <c r="Z893" i="35"/>
  <c r="Z149" i="35" s="1"/>
  <c r="Z904" i="35"/>
  <c r="Z160" i="35" s="1"/>
  <c r="Z875" i="35"/>
  <c r="Z131" i="35" s="1"/>
  <c r="Z905" i="35"/>
  <c r="Z161" i="35" s="1"/>
  <c r="Z879" i="35"/>
  <c r="Z135" i="35" s="1"/>
  <c r="Z903" i="35"/>
  <c r="Z159" i="35" s="1"/>
  <c r="Z908" i="35"/>
  <c r="Z164" i="35" s="1"/>
  <c r="Z900" i="35"/>
  <c r="Z156" i="35" s="1"/>
  <c r="Z868" i="35"/>
  <c r="Z124" i="35" s="1"/>
  <c r="Z912" i="35"/>
  <c r="Z168" i="35" s="1"/>
  <c r="Z882" i="35"/>
  <c r="Z138" i="35" s="1"/>
  <c r="Z857" i="35"/>
  <c r="Z113" i="35" s="1"/>
  <c r="Z860" i="35"/>
  <c r="Z116" i="35" s="1"/>
  <c r="Z877" i="35"/>
  <c r="Z133" i="35" s="1"/>
  <c r="Z871" i="35"/>
  <c r="Z127" i="35" s="1"/>
  <c r="Z915" i="35"/>
  <c r="Z171" i="35" s="1"/>
  <c r="Z869" i="35"/>
  <c r="Z125" i="35" s="1"/>
  <c r="Z914" i="35"/>
  <c r="Z170" i="35" s="1"/>
  <c r="Z888" i="35"/>
  <c r="Z144" i="35" s="1"/>
  <c r="Z855" i="35"/>
  <c r="Z111" i="35" s="1"/>
  <c r="Y1127" i="35"/>
  <c r="Y482" i="35" s="1"/>
  <c r="Y1152" i="35"/>
  <c r="Y507" i="35" s="1"/>
  <c r="Y1146" i="35"/>
  <c r="Y501" i="35" s="1"/>
  <c r="Y1131" i="35"/>
  <c r="Y486" i="35" s="1"/>
  <c r="Y1138" i="35"/>
  <c r="Y493" i="35" s="1"/>
  <c r="Y1151" i="35"/>
  <c r="Y506" i="35" s="1"/>
  <c r="Y1153" i="35"/>
  <c r="Y508" i="35" s="1"/>
  <c r="Y1145" i="35"/>
  <c r="Y500" i="35" s="1"/>
  <c r="Y1139" i="35"/>
  <c r="Y494" i="35" s="1"/>
  <c r="Y1142" i="35"/>
  <c r="Y497" i="35" s="1"/>
  <c r="Y1144" i="35"/>
  <c r="Y499" i="35" s="1"/>
  <c r="Y1134" i="35"/>
  <c r="Y489" i="35" s="1"/>
  <c r="Y1136" i="35"/>
  <c r="Y491" i="35" s="1"/>
  <c r="Y1137" i="35"/>
  <c r="Y492" i="35" s="1"/>
  <c r="Y1148" i="35"/>
  <c r="Y503" i="35" s="1"/>
  <c r="Y1133" i="35"/>
  <c r="Y488" i="35" s="1"/>
  <c r="Y1155" i="35"/>
  <c r="Y510" i="35" s="1"/>
  <c r="Y1141" i="35"/>
  <c r="Y496" i="35" s="1"/>
  <c r="Y1135" i="35"/>
  <c r="Y490" i="35" s="1"/>
  <c r="Y1140" i="35"/>
  <c r="Y495" i="35" s="1"/>
  <c r="Y1130" i="35"/>
  <c r="Y485" i="35" s="1"/>
  <c r="Y1147" i="35"/>
  <c r="Y502" i="35" s="1"/>
  <c r="Y1143" i="35"/>
  <c r="Y498" i="35" s="1"/>
  <c r="Y1193" i="35"/>
  <c r="Y548" i="35" s="1"/>
  <c r="Y1129" i="35"/>
  <c r="Y484" i="35" s="1"/>
  <c r="Y1149" i="35"/>
  <c r="Y504" i="35" s="1"/>
  <c r="Y1160" i="35"/>
  <c r="Y515" i="35" s="1"/>
  <c r="Y1132" i="35"/>
  <c r="Y487" i="35" s="1"/>
  <c r="Y1150" i="35"/>
  <c r="Y505" i="35" s="1"/>
  <c r="Y1154" i="35"/>
  <c r="Y509" i="35" s="1"/>
  <c r="Y1156" i="35"/>
  <c r="Y511" i="35" s="1"/>
  <c r="Y1189" i="35"/>
  <c r="Y544" i="35" s="1"/>
  <c r="Y1174" i="35"/>
  <c r="Y529" i="35" s="1"/>
  <c r="Y1175" i="35"/>
  <c r="Y530" i="35" s="1"/>
  <c r="Y1179" i="35"/>
  <c r="Y534" i="35" s="1"/>
  <c r="Y1220" i="35"/>
  <c r="Y575" i="35" s="1"/>
  <c r="Y1188" i="35"/>
  <c r="Y543" i="35" s="1"/>
  <c r="Y1185" i="35"/>
  <c r="Y540" i="35" s="1"/>
  <c r="Y1128" i="35"/>
  <c r="Y483" i="35" s="1"/>
  <c r="Y1212" i="35"/>
  <c r="Y567" i="35" s="1"/>
  <c r="Y1207" i="35"/>
  <c r="Y562" i="35" s="1"/>
  <c r="Y1165" i="35"/>
  <c r="Y520" i="35" s="1"/>
  <c r="Y1187" i="35"/>
  <c r="Y542" i="35" s="1"/>
  <c r="Y1198" i="35"/>
  <c r="Y553" i="35" s="1"/>
  <c r="Y1209" i="35"/>
  <c r="Y564" i="35" s="1"/>
  <c r="Y1221" i="35"/>
  <c r="Y576" i="35" s="1"/>
  <c r="Y1217" i="35"/>
  <c r="Y572" i="35" s="1"/>
  <c r="Y1169" i="35"/>
  <c r="Y524" i="35" s="1"/>
  <c r="Y1180" i="35"/>
  <c r="Y535" i="35" s="1"/>
  <c r="Y1164" i="35"/>
  <c r="Y519" i="35" s="1"/>
  <c r="Y1210" i="35"/>
  <c r="Y565" i="35" s="1"/>
  <c r="Y1201" i="35"/>
  <c r="Y556" i="35" s="1"/>
  <c r="Y1177" i="35"/>
  <c r="Y532" i="35" s="1"/>
  <c r="Y1184" i="35"/>
  <c r="Y539" i="35" s="1"/>
  <c r="Y1171" i="35"/>
  <c r="Y526" i="35" s="1"/>
  <c r="Y1162" i="35"/>
  <c r="Y517" i="35" s="1"/>
  <c r="Y1176" i="35"/>
  <c r="Y531" i="35" s="1"/>
  <c r="Y1208" i="35"/>
  <c r="Y563" i="35" s="1"/>
  <c r="Y1204" i="35"/>
  <c r="Y559" i="35" s="1"/>
  <c r="Y1163" i="35"/>
  <c r="Y518" i="35" s="1"/>
  <c r="Y1211" i="35"/>
  <c r="Y566" i="35" s="1"/>
  <c r="Y1218" i="35"/>
  <c r="Y573" i="35" s="1"/>
  <c r="Y1213" i="35"/>
  <c r="Y568" i="35" s="1"/>
  <c r="Y1195" i="35"/>
  <c r="Y550" i="35" s="1"/>
  <c r="Y1199" i="35"/>
  <c r="Y554" i="35" s="1"/>
  <c r="Y1183" i="35"/>
  <c r="Y538" i="35" s="1"/>
  <c r="Y1202" i="35"/>
  <c r="Y557" i="35" s="1"/>
  <c r="Y1197" i="35"/>
  <c r="Y552" i="35" s="1"/>
  <c r="Y1216" i="35"/>
  <c r="Y571" i="35" s="1"/>
  <c r="Y1168" i="35"/>
  <c r="Y523" i="35" s="1"/>
  <c r="Y1196" i="35"/>
  <c r="Y551" i="35" s="1"/>
  <c r="Y1173" i="35"/>
  <c r="Y528" i="35" s="1"/>
  <c r="Y1219" i="35"/>
  <c r="Y574" i="35" s="1"/>
  <c r="Y1203" i="35"/>
  <c r="Y558" i="35" s="1"/>
  <c r="Y1172" i="35"/>
  <c r="Y527" i="35" s="1"/>
  <c r="Y1222" i="35"/>
  <c r="Y577" i="35" s="1"/>
  <c r="Y1166" i="35"/>
  <c r="Y521" i="35" s="1"/>
  <c r="Y1178" i="35"/>
  <c r="Y533" i="35" s="1"/>
  <c r="Y1170" i="35"/>
  <c r="Y525" i="35" s="1"/>
  <c r="Y1205" i="35"/>
  <c r="Y560" i="35" s="1"/>
  <c r="Y1206" i="35"/>
  <c r="Y561" i="35" s="1"/>
  <c r="Y1215" i="35"/>
  <c r="Y570" i="35" s="1"/>
  <c r="Y1167" i="35"/>
  <c r="Y522" i="35" s="1"/>
  <c r="Y1182" i="35"/>
  <c r="Y537" i="35" s="1"/>
  <c r="Y1186" i="35"/>
  <c r="Y541" i="35" s="1"/>
  <c r="Y1214" i="35"/>
  <c r="Y569" i="35" s="1"/>
  <c r="Y1181" i="35"/>
  <c r="Y536" i="35" s="1"/>
  <c r="Y1200" i="35"/>
  <c r="Y555" i="35" s="1"/>
  <c r="Y1161" i="35"/>
  <c r="Y516" i="35" s="1"/>
  <c r="Y1194" i="35"/>
  <c r="Y549" i="35" s="1"/>
  <c r="I187" i="35"/>
  <c r="I183" i="35"/>
  <c r="X75" i="35"/>
  <c r="X210" i="35"/>
  <c r="X345" i="35"/>
  <c r="X480" i="35"/>
  <c r="U475" i="35"/>
  <c r="I603" i="35"/>
  <c r="I587" i="35"/>
  <c r="I595" i="35"/>
  <c r="N323" i="35"/>
  <c r="N338" i="35"/>
  <c r="I474" i="35"/>
  <c r="I466" i="35"/>
  <c r="I463" i="35"/>
  <c r="R328" i="35"/>
  <c r="R319" i="35"/>
  <c r="R326" i="35"/>
  <c r="R322" i="35"/>
  <c r="L923" i="35"/>
  <c r="L212" i="35" s="1"/>
  <c r="L943" i="35"/>
  <c r="L232" i="35" s="1"/>
  <c r="L945" i="35"/>
  <c r="L234" i="35" s="1"/>
  <c r="L927" i="35"/>
  <c r="L216" i="35" s="1"/>
  <c r="L930" i="35"/>
  <c r="L219" i="35" s="1"/>
  <c r="L935" i="35"/>
  <c r="L224" i="35" s="1"/>
  <c r="L928" i="35"/>
  <c r="L217" i="35" s="1"/>
  <c r="L941" i="35"/>
  <c r="L230" i="35" s="1"/>
  <c r="L946" i="35"/>
  <c r="L235" i="35" s="1"/>
  <c r="L925" i="35"/>
  <c r="L214" i="35" s="1"/>
  <c r="L950" i="35"/>
  <c r="L239" i="35" s="1"/>
  <c r="L938" i="35"/>
  <c r="L227" i="35" s="1"/>
  <c r="L936" i="35"/>
  <c r="L225" i="35" s="1"/>
  <c r="L947" i="35"/>
  <c r="L236" i="35" s="1"/>
  <c r="L951" i="35"/>
  <c r="L240" i="35" s="1"/>
  <c r="L940" i="35"/>
  <c r="L229" i="35" s="1"/>
  <c r="L989" i="35"/>
  <c r="L278" i="35" s="1"/>
  <c r="L948" i="35"/>
  <c r="L237" i="35" s="1"/>
  <c r="L942" i="35"/>
  <c r="L231" i="35" s="1"/>
  <c r="L949" i="35"/>
  <c r="L238" i="35" s="1"/>
  <c r="L934" i="35"/>
  <c r="L223" i="35" s="1"/>
  <c r="L956" i="35"/>
  <c r="L245" i="35" s="1"/>
  <c r="L931" i="35"/>
  <c r="L220" i="35" s="1"/>
  <c r="L944" i="35"/>
  <c r="L233" i="35" s="1"/>
  <c r="L932" i="35"/>
  <c r="L221" i="35" s="1"/>
  <c r="L933" i="35"/>
  <c r="L222" i="35" s="1"/>
  <c r="L937" i="35"/>
  <c r="L226" i="35" s="1"/>
  <c r="L952" i="35"/>
  <c r="L241" i="35" s="1"/>
  <c r="L939" i="35"/>
  <c r="L228" i="35" s="1"/>
  <c r="L929" i="35"/>
  <c r="L218" i="35" s="1"/>
  <c r="L926" i="35"/>
  <c r="L215" i="35" s="1"/>
  <c r="L980" i="35"/>
  <c r="L269" i="35" s="1"/>
  <c r="L924" i="35"/>
  <c r="L213" i="35" s="1"/>
  <c r="L976" i="35"/>
  <c r="L265" i="35" s="1"/>
  <c r="L970" i="35"/>
  <c r="L259" i="35" s="1"/>
  <c r="L1001" i="35"/>
  <c r="L290" i="35" s="1"/>
  <c r="L975" i="35"/>
  <c r="L264" i="35" s="1"/>
  <c r="L1010" i="35"/>
  <c r="L299" i="35" s="1"/>
  <c r="L1002" i="35"/>
  <c r="L291" i="35" s="1"/>
  <c r="L964" i="35"/>
  <c r="L253" i="35" s="1"/>
  <c r="L1008" i="35"/>
  <c r="L297" i="35" s="1"/>
  <c r="L969" i="35"/>
  <c r="L258" i="35" s="1"/>
  <c r="L985" i="35"/>
  <c r="L274" i="35" s="1"/>
  <c r="L978" i="35"/>
  <c r="L267" i="35" s="1"/>
  <c r="L958" i="35"/>
  <c r="L247" i="35" s="1"/>
  <c r="L965" i="35"/>
  <c r="L254" i="35" s="1"/>
  <c r="L1018" i="35"/>
  <c r="L307" i="35" s="1"/>
  <c r="L979" i="35"/>
  <c r="L268" i="35" s="1"/>
  <c r="L962" i="35"/>
  <c r="L251" i="35" s="1"/>
  <c r="L1012" i="35"/>
  <c r="L301" i="35" s="1"/>
  <c r="L1009" i="35"/>
  <c r="L298" i="35" s="1"/>
  <c r="L998" i="35"/>
  <c r="L287" i="35" s="1"/>
  <c r="L995" i="35"/>
  <c r="L284" i="35" s="1"/>
  <c r="L999" i="35"/>
  <c r="L288" i="35" s="1"/>
  <c r="L1016" i="35"/>
  <c r="L305" i="35" s="1"/>
  <c r="L992" i="35"/>
  <c r="L281" i="35" s="1"/>
  <c r="L1011" i="35"/>
  <c r="L300" i="35" s="1"/>
  <c r="L991" i="35"/>
  <c r="L280" i="35" s="1"/>
  <c r="L959" i="35"/>
  <c r="L248" i="35" s="1"/>
  <c r="L1004" i="35"/>
  <c r="L293" i="35" s="1"/>
  <c r="L1000" i="35"/>
  <c r="L289" i="35" s="1"/>
  <c r="L1003" i="35"/>
  <c r="L292" i="35" s="1"/>
  <c r="L966" i="35"/>
  <c r="L255" i="35" s="1"/>
  <c r="L973" i="35"/>
  <c r="L262" i="35" s="1"/>
  <c r="L993" i="35"/>
  <c r="L282" i="35" s="1"/>
  <c r="L1006" i="35"/>
  <c r="L295" i="35" s="1"/>
  <c r="L983" i="35"/>
  <c r="L272" i="35" s="1"/>
  <c r="L981" i="35"/>
  <c r="L270" i="35" s="1"/>
  <c r="L960" i="35"/>
  <c r="L249" i="35" s="1"/>
  <c r="L1005" i="35"/>
  <c r="L294" i="35" s="1"/>
  <c r="L961" i="35"/>
  <c r="L250" i="35" s="1"/>
  <c r="L1007" i="35"/>
  <c r="L296" i="35" s="1"/>
  <c r="L972" i="35"/>
  <c r="L261" i="35" s="1"/>
  <c r="L1013" i="35"/>
  <c r="L302" i="35" s="1"/>
  <c r="L996" i="35"/>
  <c r="L285" i="35" s="1"/>
  <c r="L971" i="35"/>
  <c r="L260" i="35" s="1"/>
  <c r="L984" i="35"/>
  <c r="L273" i="35" s="1"/>
  <c r="L997" i="35"/>
  <c r="L286" i="35" s="1"/>
  <c r="L982" i="35"/>
  <c r="L271" i="35" s="1"/>
  <c r="L1017" i="35"/>
  <c r="L306" i="35" s="1"/>
  <c r="L967" i="35"/>
  <c r="L256" i="35" s="1"/>
  <c r="L974" i="35"/>
  <c r="L263" i="35" s="1"/>
  <c r="L994" i="35"/>
  <c r="L283" i="35" s="1"/>
  <c r="L977" i="35"/>
  <c r="L266" i="35" s="1"/>
  <c r="L968" i="35"/>
  <c r="L257" i="35" s="1"/>
  <c r="L1015" i="35"/>
  <c r="L304" i="35" s="1"/>
  <c r="L1014" i="35"/>
  <c r="L303" i="35" s="1"/>
  <c r="L963" i="35"/>
  <c r="L252" i="35" s="1"/>
  <c r="L990" i="35"/>
  <c r="L279" i="35" s="1"/>
  <c r="L957" i="35"/>
  <c r="L246" i="35" s="1"/>
  <c r="V1125" i="35"/>
  <c r="V1023" i="35"/>
  <c r="V921" i="35"/>
  <c r="T1127" i="35"/>
  <c r="T482" i="35" s="1"/>
  <c r="T1131" i="35"/>
  <c r="T486" i="35" s="1"/>
  <c r="T1138" i="35"/>
  <c r="T493" i="35" s="1"/>
  <c r="T1146" i="35"/>
  <c r="T501" i="35" s="1"/>
  <c r="T1145" i="35"/>
  <c r="T500" i="35" s="1"/>
  <c r="T1151" i="35"/>
  <c r="T506" i="35" s="1"/>
  <c r="T1139" i="35"/>
  <c r="T494" i="35" s="1"/>
  <c r="T1140" i="35"/>
  <c r="T495" i="35" s="1"/>
  <c r="T1153" i="35"/>
  <c r="T508" i="35" s="1"/>
  <c r="T1152" i="35"/>
  <c r="T507" i="35" s="1"/>
  <c r="T1136" i="35"/>
  <c r="T491" i="35" s="1"/>
  <c r="T1141" i="35"/>
  <c r="T496" i="35" s="1"/>
  <c r="T1134" i="35"/>
  <c r="T489" i="35" s="1"/>
  <c r="T1142" i="35"/>
  <c r="T497" i="35" s="1"/>
  <c r="T1144" i="35"/>
  <c r="T499" i="35" s="1"/>
  <c r="T1133" i="35"/>
  <c r="T488" i="35" s="1"/>
  <c r="T1147" i="35"/>
  <c r="T502" i="35" s="1"/>
  <c r="T1148" i="35"/>
  <c r="T503" i="35" s="1"/>
  <c r="T1137" i="35"/>
  <c r="T492" i="35" s="1"/>
  <c r="T1155" i="35"/>
  <c r="T510" i="35" s="1"/>
  <c r="T1135" i="35"/>
  <c r="T490" i="35" s="1"/>
  <c r="T1130" i="35"/>
  <c r="T485" i="35" s="1"/>
  <c r="T1160" i="35"/>
  <c r="T515" i="35" s="1"/>
  <c r="T1154" i="35"/>
  <c r="T509" i="35" s="1"/>
  <c r="T1156" i="35"/>
  <c r="T511" i="35" s="1"/>
  <c r="T1193" i="35"/>
  <c r="T548" i="35" s="1"/>
  <c r="T1143" i="35"/>
  <c r="T498" i="35" s="1"/>
  <c r="T1129" i="35"/>
  <c r="T484" i="35" s="1"/>
  <c r="T1149" i="35"/>
  <c r="T504" i="35" s="1"/>
  <c r="T1132" i="35"/>
  <c r="T487" i="35" s="1"/>
  <c r="T1150" i="35"/>
  <c r="T505" i="35" s="1"/>
  <c r="T1221" i="35"/>
  <c r="T576" i="35" s="1"/>
  <c r="T1174" i="35"/>
  <c r="T529" i="35" s="1"/>
  <c r="T1189" i="35"/>
  <c r="T544" i="35" s="1"/>
  <c r="T1179" i="35"/>
  <c r="T534" i="35" s="1"/>
  <c r="T1185" i="35"/>
  <c r="T540" i="35" s="1"/>
  <c r="T1187" i="35"/>
  <c r="T542" i="35" s="1"/>
  <c r="T1198" i="35"/>
  <c r="T553" i="35" s="1"/>
  <c r="T1128" i="35"/>
  <c r="T483" i="35" s="1"/>
  <c r="T1212" i="35"/>
  <c r="T567" i="35" s="1"/>
  <c r="T1165" i="35"/>
  <c r="T520" i="35" s="1"/>
  <c r="T1207" i="35"/>
  <c r="T562" i="35" s="1"/>
  <c r="T1171" i="35"/>
  <c r="T526" i="35" s="1"/>
  <c r="T1209" i="35"/>
  <c r="T564" i="35" s="1"/>
  <c r="T1168" i="35"/>
  <c r="T523" i="35" s="1"/>
  <c r="T1177" i="35"/>
  <c r="T532" i="35" s="1"/>
  <c r="T1202" i="35"/>
  <c r="T557" i="35" s="1"/>
  <c r="T1184" i="35"/>
  <c r="T539" i="35" s="1"/>
  <c r="T1169" i="35"/>
  <c r="T524" i="35" s="1"/>
  <c r="T1197" i="35"/>
  <c r="T552" i="35" s="1"/>
  <c r="T1175" i="35"/>
  <c r="T530" i="35" s="1"/>
  <c r="T1208" i="35"/>
  <c r="T563" i="35" s="1"/>
  <c r="T1176" i="35"/>
  <c r="T531" i="35" s="1"/>
  <c r="T1180" i="35"/>
  <c r="T535" i="35" s="1"/>
  <c r="T1163" i="35"/>
  <c r="T518" i="35" s="1"/>
  <c r="T1217" i="35"/>
  <c r="T572" i="35" s="1"/>
  <c r="T1201" i="35"/>
  <c r="T556" i="35" s="1"/>
  <c r="T1162" i="35"/>
  <c r="T517" i="35" s="1"/>
  <c r="T1195" i="35"/>
  <c r="T550" i="35" s="1"/>
  <c r="T1199" i="35"/>
  <c r="T554" i="35" s="1"/>
  <c r="T1206" i="35"/>
  <c r="T561" i="35" s="1"/>
  <c r="T1188" i="35"/>
  <c r="T543" i="35" s="1"/>
  <c r="T1210" i="35"/>
  <c r="T565" i="35" s="1"/>
  <c r="T1220" i="35"/>
  <c r="T575" i="35" s="1"/>
  <c r="T1204" i="35"/>
  <c r="T559" i="35" s="1"/>
  <c r="T1164" i="35"/>
  <c r="T519" i="35" s="1"/>
  <c r="T1218" i="35"/>
  <c r="T573" i="35" s="1"/>
  <c r="T1213" i="35"/>
  <c r="T568" i="35" s="1"/>
  <c r="T1211" i="35"/>
  <c r="T566" i="35" s="1"/>
  <c r="T1183" i="35"/>
  <c r="T538" i="35" s="1"/>
  <c r="T1216" i="35"/>
  <c r="T571" i="35" s="1"/>
  <c r="T1173" i="35"/>
  <c r="T528" i="35" s="1"/>
  <c r="T1182" i="35"/>
  <c r="T537" i="35" s="1"/>
  <c r="T1196" i="35"/>
  <c r="T551" i="35" s="1"/>
  <c r="T1200" i="35"/>
  <c r="T555" i="35" s="1"/>
  <c r="T1167" i="35"/>
  <c r="T522" i="35" s="1"/>
  <c r="T1186" i="35"/>
  <c r="T541" i="35" s="1"/>
  <c r="T1166" i="35"/>
  <c r="T521" i="35" s="1"/>
  <c r="T1181" i="35"/>
  <c r="T536" i="35" s="1"/>
  <c r="T1178" i="35"/>
  <c r="T533" i="35" s="1"/>
  <c r="T1203" i="35"/>
  <c r="T558" i="35" s="1"/>
  <c r="T1219" i="35"/>
  <c r="T574" i="35" s="1"/>
  <c r="T1222" i="35"/>
  <c r="T577" i="35" s="1"/>
  <c r="T1170" i="35"/>
  <c r="T525" i="35" s="1"/>
  <c r="T1205" i="35"/>
  <c r="T560" i="35" s="1"/>
  <c r="T1215" i="35"/>
  <c r="T570" i="35" s="1"/>
  <c r="T1214" i="35"/>
  <c r="T569" i="35" s="1"/>
  <c r="T1172" i="35"/>
  <c r="T527" i="35" s="1"/>
  <c r="T1161" i="35"/>
  <c r="T516" i="35" s="1"/>
  <c r="T1194" i="35"/>
  <c r="T549" i="35" s="1"/>
  <c r="AB821" i="35"/>
  <c r="AB77" i="35" s="1"/>
  <c r="AB827" i="35"/>
  <c r="AB83" i="35" s="1"/>
  <c r="AB828" i="35"/>
  <c r="AB84" i="35" s="1"/>
  <c r="AB887" i="35"/>
  <c r="AB143" i="35" s="1"/>
  <c r="AB846" i="35"/>
  <c r="AB102" i="35" s="1"/>
  <c r="AB847" i="35"/>
  <c r="AB103" i="35" s="1"/>
  <c r="AB837" i="35"/>
  <c r="AB93" i="35" s="1"/>
  <c r="AB831" i="35"/>
  <c r="AB87" i="35" s="1"/>
  <c r="AB843" i="35"/>
  <c r="AB99" i="35" s="1"/>
  <c r="AB845" i="35"/>
  <c r="AB101" i="35" s="1"/>
  <c r="AB850" i="35"/>
  <c r="AB106" i="35" s="1"/>
  <c r="AB836" i="35"/>
  <c r="AB92" i="35" s="1"/>
  <c r="AB841" i="35"/>
  <c r="AB97" i="35" s="1"/>
  <c r="AB835" i="35"/>
  <c r="AB91" i="35" s="1"/>
  <c r="AB830" i="35"/>
  <c r="AB86" i="35" s="1"/>
  <c r="AB848" i="35"/>
  <c r="AB104" i="35" s="1"/>
  <c r="AB825" i="35"/>
  <c r="AB81" i="35" s="1"/>
  <c r="AB823" i="35"/>
  <c r="AB79" i="35" s="1"/>
  <c r="AB824" i="35"/>
  <c r="AB80" i="35" s="1"/>
  <c r="AB840" i="35"/>
  <c r="AB96" i="35" s="1"/>
  <c r="AB826" i="35"/>
  <c r="AB82" i="35" s="1"/>
  <c r="AB819" i="35"/>
  <c r="AB839" i="35"/>
  <c r="AB95" i="35" s="1"/>
  <c r="AB844" i="35"/>
  <c r="AB100" i="35" s="1"/>
  <c r="AB833" i="35"/>
  <c r="AB89" i="35" s="1"/>
  <c r="AB834" i="35"/>
  <c r="AB90" i="35" s="1"/>
  <c r="AB849" i="35"/>
  <c r="AB105" i="35" s="1"/>
  <c r="AB829" i="35"/>
  <c r="AB85" i="35" s="1"/>
  <c r="AB854" i="35"/>
  <c r="AB110" i="35" s="1"/>
  <c r="AB842" i="35"/>
  <c r="AB98" i="35" s="1"/>
  <c r="AB832" i="35"/>
  <c r="AB88" i="35" s="1"/>
  <c r="AB838" i="35"/>
  <c r="AB94" i="35" s="1"/>
  <c r="AB894" i="35"/>
  <c r="AB150" i="35" s="1"/>
  <c r="AB899" i="35"/>
  <c r="AB155" i="35" s="1"/>
  <c r="AB822" i="35"/>
  <c r="AB78" i="35" s="1"/>
  <c r="AB891" i="35"/>
  <c r="AB147" i="35" s="1"/>
  <c r="AB883" i="35"/>
  <c r="AB139" i="35" s="1"/>
  <c r="AB890" i="35"/>
  <c r="AB146" i="35" s="1"/>
  <c r="AB913" i="35"/>
  <c r="AB169" i="35" s="1"/>
  <c r="AB878" i="35"/>
  <c r="AB134" i="35" s="1"/>
  <c r="AB909" i="35"/>
  <c r="AB165" i="35" s="1"/>
  <c r="AB862" i="35"/>
  <c r="AB118" i="35" s="1"/>
  <c r="AB876" i="35"/>
  <c r="AB132" i="35" s="1"/>
  <c r="AB902" i="35"/>
  <c r="AB158" i="35" s="1"/>
  <c r="AB861" i="35"/>
  <c r="AB117" i="35" s="1"/>
  <c r="AB858" i="35"/>
  <c r="AB114" i="35" s="1"/>
  <c r="AB856" i="35"/>
  <c r="AB112" i="35" s="1"/>
  <c r="AB880" i="35"/>
  <c r="AB136" i="35" s="1"/>
  <c r="AB916" i="35"/>
  <c r="AB172" i="35" s="1"/>
  <c r="AB874" i="35"/>
  <c r="AB130" i="35" s="1"/>
  <c r="AB866" i="35"/>
  <c r="AB122" i="35" s="1"/>
  <c r="AB907" i="35"/>
  <c r="AB163" i="35" s="1"/>
  <c r="AB881" i="35"/>
  <c r="AB137" i="35" s="1"/>
  <c r="AB865" i="35"/>
  <c r="AB121" i="35" s="1"/>
  <c r="AB870" i="35"/>
  <c r="AB126" i="35" s="1"/>
  <c r="AB889" i="35"/>
  <c r="AB145" i="35" s="1"/>
  <c r="AB905" i="35"/>
  <c r="AB161" i="35" s="1"/>
  <c r="AB863" i="35"/>
  <c r="AB119" i="35" s="1"/>
  <c r="AB872" i="35"/>
  <c r="AB128" i="35" s="1"/>
  <c r="AB877" i="35"/>
  <c r="AB133" i="35" s="1"/>
  <c r="AB896" i="35"/>
  <c r="AB152" i="35" s="1"/>
  <c r="AB895" i="35"/>
  <c r="AB151" i="35" s="1"/>
  <c r="AB859" i="35"/>
  <c r="AB115" i="35" s="1"/>
  <c r="AB892" i="35"/>
  <c r="AB148" i="35" s="1"/>
  <c r="AB901" i="35"/>
  <c r="AB157" i="35" s="1"/>
  <c r="AB914" i="35"/>
  <c r="AB170" i="35" s="1"/>
  <c r="AB873" i="35"/>
  <c r="AB129" i="35" s="1"/>
  <c r="AB898" i="35"/>
  <c r="AB154" i="35" s="1"/>
  <c r="AB879" i="35"/>
  <c r="AB135" i="35" s="1"/>
  <c r="AB904" i="35"/>
  <c r="AB160" i="35" s="1"/>
  <c r="AB912" i="35"/>
  <c r="AB168" i="35" s="1"/>
  <c r="AB864" i="35"/>
  <c r="AB120" i="35" s="1"/>
  <c r="AB857" i="35"/>
  <c r="AB113" i="35" s="1"/>
  <c r="AB871" i="35"/>
  <c r="AB127" i="35" s="1"/>
  <c r="AB897" i="35"/>
  <c r="AB153" i="35" s="1"/>
  <c r="AB903" i="35"/>
  <c r="AB159" i="35" s="1"/>
  <c r="AB875" i="35"/>
  <c r="AB131" i="35" s="1"/>
  <c r="AB911" i="35"/>
  <c r="AB167" i="35" s="1"/>
  <c r="AB906" i="35"/>
  <c r="AB162" i="35" s="1"/>
  <c r="AB900" i="35"/>
  <c r="AB156" i="35" s="1"/>
  <c r="AB882" i="35"/>
  <c r="AB138" i="35" s="1"/>
  <c r="AB893" i="35"/>
  <c r="AB149" i="35" s="1"/>
  <c r="AB908" i="35"/>
  <c r="AB164" i="35" s="1"/>
  <c r="AB915" i="35"/>
  <c r="AB171" i="35" s="1"/>
  <c r="AB868" i="35"/>
  <c r="AB124" i="35" s="1"/>
  <c r="AB867" i="35"/>
  <c r="AB123" i="35" s="1"/>
  <c r="AB869" i="35"/>
  <c r="AB125" i="35" s="1"/>
  <c r="AB910" i="35"/>
  <c r="AB166" i="35" s="1"/>
  <c r="AB860" i="35"/>
  <c r="AB116" i="35" s="1"/>
  <c r="AB855" i="35"/>
  <c r="AB111" i="35" s="1"/>
  <c r="AB888" i="35"/>
  <c r="AB144" i="35" s="1"/>
  <c r="Z210" i="35"/>
  <c r="Z345" i="35"/>
  <c r="Z75" i="35"/>
  <c r="Z480" i="35"/>
  <c r="Y480" i="35"/>
  <c r="Y75" i="35"/>
  <c r="Y210" i="35"/>
  <c r="Y345" i="35"/>
  <c r="I184" i="35"/>
  <c r="I197" i="35"/>
  <c r="I199" i="35"/>
  <c r="I1023" i="35"/>
  <c r="I1125" i="35"/>
  <c r="I921" i="35"/>
  <c r="V606" i="35"/>
  <c r="S935" i="35"/>
  <c r="S224" i="35" s="1"/>
  <c r="S948" i="35"/>
  <c r="S237" i="35" s="1"/>
  <c r="S956" i="35"/>
  <c r="S245" i="35" s="1"/>
  <c r="S937" i="35"/>
  <c r="S226" i="35" s="1"/>
  <c r="S927" i="35"/>
  <c r="S216" i="35" s="1"/>
  <c r="S925" i="35"/>
  <c r="S214" i="35" s="1"/>
  <c r="S932" i="35"/>
  <c r="S221" i="35" s="1"/>
  <c r="S951" i="35"/>
  <c r="S240" i="35" s="1"/>
  <c r="S928" i="35"/>
  <c r="S217" i="35" s="1"/>
  <c r="S946" i="35"/>
  <c r="S235" i="35" s="1"/>
  <c r="S945" i="35"/>
  <c r="S234" i="35" s="1"/>
  <c r="S936" i="35"/>
  <c r="S225" i="35" s="1"/>
  <c r="S934" i="35"/>
  <c r="S223" i="35" s="1"/>
  <c r="S952" i="35"/>
  <c r="S241" i="35" s="1"/>
  <c r="S938" i="35"/>
  <c r="S227" i="35" s="1"/>
  <c r="S949" i="35"/>
  <c r="S238" i="35" s="1"/>
  <c r="S944" i="35"/>
  <c r="S233" i="35" s="1"/>
  <c r="S941" i="35"/>
  <c r="S230" i="35" s="1"/>
  <c r="S933" i="35"/>
  <c r="S222" i="35" s="1"/>
  <c r="S931" i="35"/>
  <c r="S220" i="35" s="1"/>
  <c r="S923" i="35"/>
  <c r="S212" i="35" s="1"/>
  <c r="S947" i="35"/>
  <c r="S236" i="35" s="1"/>
  <c r="S939" i="35"/>
  <c r="S228" i="35" s="1"/>
  <c r="S930" i="35"/>
  <c r="S219" i="35" s="1"/>
  <c r="S926" i="35"/>
  <c r="S215" i="35" s="1"/>
  <c r="S929" i="35"/>
  <c r="S218" i="35" s="1"/>
  <c r="S940" i="35"/>
  <c r="S229" i="35" s="1"/>
  <c r="S950" i="35"/>
  <c r="S239" i="35" s="1"/>
  <c r="S989" i="35"/>
  <c r="S278" i="35" s="1"/>
  <c r="S942" i="35"/>
  <c r="S231" i="35" s="1"/>
  <c r="S943" i="35"/>
  <c r="S232" i="35" s="1"/>
  <c r="S1010" i="35"/>
  <c r="S299" i="35" s="1"/>
  <c r="S1001" i="35"/>
  <c r="S290" i="35" s="1"/>
  <c r="S924" i="35"/>
  <c r="S213" i="35" s="1"/>
  <c r="S978" i="35"/>
  <c r="S267" i="35" s="1"/>
  <c r="S964" i="35"/>
  <c r="S253" i="35" s="1"/>
  <c r="S970" i="35"/>
  <c r="S259" i="35" s="1"/>
  <c r="S1002" i="35"/>
  <c r="S291" i="35" s="1"/>
  <c r="S985" i="35"/>
  <c r="S274" i="35" s="1"/>
  <c r="S958" i="35"/>
  <c r="S247" i="35" s="1"/>
  <c r="S1011" i="35"/>
  <c r="S300" i="35" s="1"/>
  <c r="S969" i="35"/>
  <c r="S258" i="35" s="1"/>
  <c r="S980" i="35"/>
  <c r="S269" i="35" s="1"/>
  <c r="S976" i="35"/>
  <c r="S265" i="35" s="1"/>
  <c r="S975" i="35"/>
  <c r="S264" i="35" s="1"/>
  <c r="S965" i="35"/>
  <c r="S254" i="35" s="1"/>
  <c r="S1016" i="35"/>
  <c r="S305" i="35" s="1"/>
  <c r="S1000" i="35"/>
  <c r="S289" i="35" s="1"/>
  <c r="S1012" i="35"/>
  <c r="S301" i="35" s="1"/>
  <c r="S1008" i="35"/>
  <c r="S297" i="35" s="1"/>
  <c r="S998" i="35"/>
  <c r="S287" i="35" s="1"/>
  <c r="S966" i="35"/>
  <c r="S255" i="35" s="1"/>
  <c r="S967" i="35"/>
  <c r="S256" i="35" s="1"/>
  <c r="S983" i="35"/>
  <c r="S272" i="35" s="1"/>
  <c r="S993" i="35"/>
  <c r="S282" i="35" s="1"/>
  <c r="S1018" i="35"/>
  <c r="S307" i="35" s="1"/>
  <c r="S1003" i="35"/>
  <c r="S292" i="35" s="1"/>
  <c r="S996" i="35"/>
  <c r="S285" i="35" s="1"/>
  <c r="S991" i="35"/>
  <c r="S280" i="35" s="1"/>
  <c r="S962" i="35"/>
  <c r="S251" i="35" s="1"/>
  <c r="S973" i="35"/>
  <c r="S262" i="35" s="1"/>
  <c r="S1009" i="35"/>
  <c r="S298" i="35" s="1"/>
  <c r="S959" i="35"/>
  <c r="S248" i="35" s="1"/>
  <c r="S971" i="35"/>
  <c r="S260" i="35" s="1"/>
  <c r="S981" i="35"/>
  <c r="S270" i="35" s="1"/>
  <c r="S963" i="35"/>
  <c r="S252" i="35" s="1"/>
  <c r="S982" i="35"/>
  <c r="S271" i="35" s="1"/>
  <c r="S1017" i="35"/>
  <c r="S306" i="35" s="1"/>
  <c r="S1014" i="35"/>
  <c r="S303" i="35" s="1"/>
  <c r="S999" i="35"/>
  <c r="S288" i="35" s="1"/>
  <c r="S997" i="35"/>
  <c r="S286" i="35" s="1"/>
  <c r="S972" i="35"/>
  <c r="S261" i="35" s="1"/>
  <c r="S1006" i="35"/>
  <c r="S295" i="35" s="1"/>
  <c r="S977" i="35"/>
  <c r="S266" i="35" s="1"/>
  <c r="S984" i="35"/>
  <c r="S273" i="35" s="1"/>
  <c r="S1007" i="35"/>
  <c r="S296" i="35" s="1"/>
  <c r="S979" i="35"/>
  <c r="S268" i="35" s="1"/>
  <c r="S992" i="35"/>
  <c r="S281" i="35" s="1"/>
  <c r="S1004" i="35"/>
  <c r="S293" i="35" s="1"/>
  <c r="S960" i="35"/>
  <c r="S249" i="35" s="1"/>
  <c r="S961" i="35"/>
  <c r="S250" i="35" s="1"/>
  <c r="S1013" i="35"/>
  <c r="S302" i="35" s="1"/>
  <c r="S995" i="35"/>
  <c r="S284" i="35" s="1"/>
  <c r="S1015" i="35"/>
  <c r="S304" i="35" s="1"/>
  <c r="S968" i="35"/>
  <c r="S257" i="35" s="1"/>
  <c r="S994" i="35"/>
  <c r="S283" i="35" s="1"/>
  <c r="S1005" i="35"/>
  <c r="S294" i="35" s="1"/>
  <c r="S974" i="35"/>
  <c r="S263" i="35" s="1"/>
  <c r="S990" i="35"/>
  <c r="S279" i="35" s="1"/>
  <c r="S957" i="35"/>
  <c r="S246" i="35" s="1"/>
  <c r="P1032" i="35"/>
  <c r="P354" i="35" s="1"/>
  <c r="P1025" i="35"/>
  <c r="P347" i="35" s="1"/>
  <c r="P1043" i="35"/>
  <c r="P365" i="35" s="1"/>
  <c r="P1049" i="35"/>
  <c r="P371" i="35" s="1"/>
  <c r="P1041" i="35"/>
  <c r="P363" i="35" s="1"/>
  <c r="P1051" i="35"/>
  <c r="P373" i="35" s="1"/>
  <c r="P1035" i="35"/>
  <c r="P357" i="35" s="1"/>
  <c r="P1039" i="35"/>
  <c r="P361" i="35" s="1"/>
  <c r="P1030" i="35"/>
  <c r="P352" i="35" s="1"/>
  <c r="P1052" i="35"/>
  <c r="P374" i="35" s="1"/>
  <c r="P1034" i="35"/>
  <c r="P356" i="35" s="1"/>
  <c r="P1028" i="35"/>
  <c r="P350" i="35" s="1"/>
  <c r="P1044" i="35"/>
  <c r="P366" i="35" s="1"/>
  <c r="P1047" i="35"/>
  <c r="P369" i="35" s="1"/>
  <c r="P1038" i="35"/>
  <c r="P360" i="35" s="1"/>
  <c r="P1048" i="35"/>
  <c r="P370" i="35" s="1"/>
  <c r="P1053" i="35"/>
  <c r="P375" i="35" s="1"/>
  <c r="P1029" i="35"/>
  <c r="P351" i="35" s="1"/>
  <c r="P1027" i="35"/>
  <c r="P349" i="35" s="1"/>
  <c r="P1050" i="35"/>
  <c r="P372" i="35" s="1"/>
  <c r="P1042" i="35"/>
  <c r="P364" i="35" s="1"/>
  <c r="P1046" i="35"/>
  <c r="P368" i="35" s="1"/>
  <c r="P1054" i="35"/>
  <c r="P376" i="35" s="1"/>
  <c r="P1045" i="35"/>
  <c r="P367" i="35" s="1"/>
  <c r="P1031" i="35"/>
  <c r="P353" i="35" s="1"/>
  <c r="P1040" i="35"/>
  <c r="P362" i="35" s="1"/>
  <c r="P1033" i="35"/>
  <c r="P355" i="35" s="1"/>
  <c r="P1037" i="35"/>
  <c r="P359" i="35" s="1"/>
  <c r="P1036" i="35"/>
  <c r="P358" i="35" s="1"/>
  <c r="P1091" i="35"/>
  <c r="P413" i="35" s="1"/>
  <c r="P1026" i="35"/>
  <c r="P348" i="35" s="1"/>
  <c r="P1093" i="35"/>
  <c r="P415" i="35" s="1"/>
  <c r="P1114" i="35"/>
  <c r="P436" i="35" s="1"/>
  <c r="P1118" i="35"/>
  <c r="P440" i="35" s="1"/>
  <c r="P1097" i="35"/>
  <c r="P419" i="35" s="1"/>
  <c r="P1061" i="35"/>
  <c r="P383" i="35" s="1"/>
  <c r="P1058" i="35"/>
  <c r="P380" i="35" s="1"/>
  <c r="P1120" i="35"/>
  <c r="P442" i="35" s="1"/>
  <c r="P1064" i="35"/>
  <c r="P386" i="35" s="1"/>
  <c r="P1086" i="35"/>
  <c r="P408" i="35" s="1"/>
  <c r="P1102" i="35"/>
  <c r="P424" i="35" s="1"/>
  <c r="P1066" i="35"/>
  <c r="P388" i="35" s="1"/>
  <c r="P1099" i="35"/>
  <c r="P421" i="35" s="1"/>
  <c r="P1085" i="35"/>
  <c r="P407" i="35" s="1"/>
  <c r="P1119" i="35"/>
  <c r="P441" i="35" s="1"/>
  <c r="P1105" i="35"/>
  <c r="P427" i="35" s="1"/>
  <c r="P1081" i="35"/>
  <c r="P403" i="35" s="1"/>
  <c r="P1116" i="35"/>
  <c r="P438" i="35" s="1"/>
  <c r="P1069" i="35"/>
  <c r="P391" i="35" s="1"/>
  <c r="P1101" i="35"/>
  <c r="P423" i="35" s="1"/>
  <c r="P1083" i="35"/>
  <c r="P405" i="35" s="1"/>
  <c r="P1071" i="35"/>
  <c r="P393" i="35" s="1"/>
  <c r="P1080" i="35"/>
  <c r="P402" i="35" s="1"/>
  <c r="P1104" i="35"/>
  <c r="P426" i="35" s="1"/>
  <c r="P1117" i="35"/>
  <c r="P439" i="35" s="1"/>
  <c r="P1068" i="35"/>
  <c r="P390" i="35" s="1"/>
  <c r="P1113" i="35"/>
  <c r="P435" i="35" s="1"/>
  <c r="P1084" i="35"/>
  <c r="P406" i="35" s="1"/>
  <c r="P1060" i="35"/>
  <c r="P382" i="35" s="1"/>
  <c r="P1111" i="35"/>
  <c r="P433" i="35" s="1"/>
  <c r="P1074" i="35"/>
  <c r="P396" i="35" s="1"/>
  <c r="P1115" i="35"/>
  <c r="P437" i="35" s="1"/>
  <c r="P1077" i="35"/>
  <c r="P399" i="35" s="1"/>
  <c r="P1063" i="35"/>
  <c r="P385" i="35" s="1"/>
  <c r="P1098" i="35"/>
  <c r="P420" i="35" s="1"/>
  <c r="P1076" i="35"/>
  <c r="P398" i="35" s="1"/>
  <c r="P1110" i="35"/>
  <c r="P432" i="35" s="1"/>
  <c r="P1073" i="35"/>
  <c r="P395" i="35" s="1"/>
  <c r="P1070" i="35"/>
  <c r="P392" i="35" s="1"/>
  <c r="P1095" i="35"/>
  <c r="P417" i="35" s="1"/>
  <c r="P1075" i="35"/>
  <c r="P397" i="35" s="1"/>
  <c r="P1065" i="35"/>
  <c r="P387" i="35" s="1"/>
  <c r="P1103" i="35"/>
  <c r="P425" i="35" s="1"/>
  <c r="P1087" i="35"/>
  <c r="P409" i="35" s="1"/>
  <c r="P1108" i="35"/>
  <c r="P430" i="35" s="1"/>
  <c r="P1106" i="35"/>
  <c r="P428" i="35" s="1"/>
  <c r="P1067" i="35"/>
  <c r="P389" i="35" s="1"/>
  <c r="P1079" i="35"/>
  <c r="P401" i="35" s="1"/>
  <c r="P1096" i="35"/>
  <c r="P418" i="35" s="1"/>
  <c r="P1094" i="35"/>
  <c r="P416" i="35" s="1"/>
  <c r="P1112" i="35"/>
  <c r="P434" i="35" s="1"/>
  <c r="P1062" i="35"/>
  <c r="P384" i="35" s="1"/>
  <c r="P1100" i="35"/>
  <c r="P422" i="35" s="1"/>
  <c r="P1072" i="35"/>
  <c r="P394" i="35" s="1"/>
  <c r="P1078" i="35"/>
  <c r="P400" i="35" s="1"/>
  <c r="P1082" i="35"/>
  <c r="P404" i="35" s="1"/>
  <c r="P1107" i="35"/>
  <c r="P429" i="35" s="1"/>
  <c r="P1109" i="35"/>
  <c r="P431" i="35" s="1"/>
  <c r="P1059" i="35"/>
  <c r="P381" i="35" s="1"/>
  <c r="P1092" i="35"/>
  <c r="P414" i="35" s="1"/>
  <c r="J350" i="35"/>
  <c r="I608" i="35"/>
  <c r="I588" i="35"/>
  <c r="I605" i="35"/>
  <c r="N337" i="35"/>
  <c r="N330" i="35"/>
  <c r="I468" i="35"/>
  <c r="I459" i="35"/>
  <c r="I471" i="35"/>
  <c r="I475" i="35"/>
  <c r="R318" i="35"/>
  <c r="AA1125" i="35"/>
  <c r="AA1023" i="35"/>
  <c r="AA921" i="35"/>
  <c r="Y1043" i="35"/>
  <c r="Y365" i="35" s="1"/>
  <c r="Y1025" i="35"/>
  <c r="Y347" i="35" s="1"/>
  <c r="Y1054" i="35"/>
  <c r="Y376" i="35" s="1"/>
  <c r="Y1032" i="35"/>
  <c r="Y354" i="35" s="1"/>
  <c r="Y1035" i="35"/>
  <c r="Y357" i="35" s="1"/>
  <c r="Y1049" i="35"/>
  <c r="Y371" i="35" s="1"/>
  <c r="Y1030" i="35"/>
  <c r="Y352" i="35" s="1"/>
  <c r="Y1051" i="35"/>
  <c r="Y373" i="35" s="1"/>
  <c r="Y1042" i="35"/>
  <c r="Y364" i="35" s="1"/>
  <c r="Y1046" i="35"/>
  <c r="Y368" i="35" s="1"/>
  <c r="Y1050" i="35"/>
  <c r="Y372" i="35" s="1"/>
  <c r="Y1045" i="35"/>
  <c r="Y367" i="35" s="1"/>
  <c r="Y1029" i="35"/>
  <c r="Y351" i="35" s="1"/>
  <c r="Y1044" i="35"/>
  <c r="Y366" i="35" s="1"/>
  <c r="Y1031" i="35"/>
  <c r="Y353" i="35" s="1"/>
  <c r="Y1039" i="35"/>
  <c r="Y361" i="35" s="1"/>
  <c r="Y1034" i="35"/>
  <c r="Y356" i="35" s="1"/>
  <c r="Y1052" i="35"/>
  <c r="Y374" i="35" s="1"/>
  <c r="Y1028" i="35"/>
  <c r="Y350" i="35" s="1"/>
  <c r="Y1047" i="35"/>
  <c r="Y369" i="35" s="1"/>
  <c r="Y1038" i="35"/>
  <c r="Y360" i="35" s="1"/>
  <c r="Y1041" i="35"/>
  <c r="Y363" i="35" s="1"/>
  <c r="Y1048" i="35"/>
  <c r="Y370" i="35" s="1"/>
  <c r="Y1027" i="35"/>
  <c r="Y349" i="35" s="1"/>
  <c r="Y1053" i="35"/>
  <c r="Y375" i="35" s="1"/>
  <c r="Y1033" i="35"/>
  <c r="Y355" i="35" s="1"/>
  <c r="Y1040" i="35"/>
  <c r="Y362" i="35" s="1"/>
  <c r="Y1036" i="35"/>
  <c r="Y358" i="35" s="1"/>
  <c r="Y1037" i="35"/>
  <c r="Y359" i="35" s="1"/>
  <c r="Y1097" i="35"/>
  <c r="Y419" i="35" s="1"/>
  <c r="Y1093" i="35"/>
  <c r="Y415" i="35" s="1"/>
  <c r="Y1085" i="35"/>
  <c r="Y407" i="35" s="1"/>
  <c r="Y1120" i="35"/>
  <c r="Y442" i="35" s="1"/>
  <c r="Y1058" i="35"/>
  <c r="Y380" i="35" s="1"/>
  <c r="Y1118" i="35"/>
  <c r="Y440" i="35" s="1"/>
  <c r="Y1066" i="35"/>
  <c r="Y388" i="35" s="1"/>
  <c r="Y1061" i="35"/>
  <c r="Y383" i="35" s="1"/>
  <c r="Y1064" i="35"/>
  <c r="Y386" i="35" s="1"/>
  <c r="Y1086" i="35"/>
  <c r="Y408" i="35" s="1"/>
  <c r="Y1114" i="35"/>
  <c r="Y436" i="35" s="1"/>
  <c r="Y1084" i="35"/>
  <c r="Y406" i="35" s="1"/>
  <c r="Y1099" i="35"/>
  <c r="Y421" i="35" s="1"/>
  <c r="Y1091" i="35"/>
  <c r="Y413" i="35" s="1"/>
  <c r="Y1026" i="35"/>
  <c r="Y348" i="35" s="1"/>
  <c r="Y1117" i="35"/>
  <c r="Y439" i="35" s="1"/>
  <c r="Y1069" i="35"/>
  <c r="Y391" i="35" s="1"/>
  <c r="Y1116" i="35"/>
  <c r="Y438" i="35" s="1"/>
  <c r="Y1101" i="35"/>
  <c r="Y423" i="35" s="1"/>
  <c r="Y1119" i="35"/>
  <c r="Y441" i="35" s="1"/>
  <c r="Y1104" i="35"/>
  <c r="Y426" i="35" s="1"/>
  <c r="Y1060" i="35"/>
  <c r="Y382" i="35" s="1"/>
  <c r="Y1071" i="35"/>
  <c r="Y393" i="35" s="1"/>
  <c r="Y1068" i="35"/>
  <c r="Y390" i="35" s="1"/>
  <c r="Y1080" i="35"/>
  <c r="Y402" i="35" s="1"/>
  <c r="Y1102" i="35"/>
  <c r="Y424" i="35" s="1"/>
  <c r="Y1083" i="35"/>
  <c r="Y405" i="35" s="1"/>
  <c r="Y1081" i="35"/>
  <c r="Y403" i="35" s="1"/>
  <c r="Y1113" i="35"/>
  <c r="Y435" i="35" s="1"/>
  <c r="Y1082" i="35"/>
  <c r="Y404" i="35" s="1"/>
  <c r="Y1110" i="35"/>
  <c r="Y432" i="35" s="1"/>
  <c r="Y1096" i="35"/>
  <c r="Y418" i="35" s="1"/>
  <c r="Y1111" i="35"/>
  <c r="Y433" i="35" s="1"/>
  <c r="Y1108" i="35"/>
  <c r="Y430" i="35" s="1"/>
  <c r="Y1094" i="35"/>
  <c r="Y416" i="35" s="1"/>
  <c r="Y1105" i="35"/>
  <c r="Y427" i="35" s="1"/>
  <c r="Y1067" i="35"/>
  <c r="Y389" i="35" s="1"/>
  <c r="Y1079" i="35"/>
  <c r="Y401" i="35" s="1"/>
  <c r="Y1075" i="35"/>
  <c r="Y397" i="35" s="1"/>
  <c r="Y1073" i="35"/>
  <c r="Y395" i="35" s="1"/>
  <c r="Y1106" i="35"/>
  <c r="Y428" i="35" s="1"/>
  <c r="Y1087" i="35"/>
  <c r="Y409" i="35" s="1"/>
  <c r="Y1072" i="35"/>
  <c r="Y394" i="35" s="1"/>
  <c r="Y1095" i="35"/>
  <c r="Y417" i="35" s="1"/>
  <c r="Y1115" i="35"/>
  <c r="Y437" i="35" s="1"/>
  <c r="Y1063" i="35"/>
  <c r="Y385" i="35" s="1"/>
  <c r="Y1098" i="35"/>
  <c r="Y420" i="35" s="1"/>
  <c r="Y1078" i="35"/>
  <c r="Y400" i="35" s="1"/>
  <c r="Y1074" i="35"/>
  <c r="Y396" i="35" s="1"/>
  <c r="Y1109" i="35"/>
  <c r="Y431" i="35" s="1"/>
  <c r="Y1076" i="35"/>
  <c r="Y398" i="35" s="1"/>
  <c r="Y1070" i="35"/>
  <c r="Y392" i="35" s="1"/>
  <c r="Y1103" i="35"/>
  <c r="Y425" i="35" s="1"/>
  <c r="Y1077" i="35"/>
  <c r="Y399" i="35" s="1"/>
  <c r="Y1112" i="35"/>
  <c r="Y434" i="35" s="1"/>
  <c r="Y1062" i="35"/>
  <c r="Y384" i="35" s="1"/>
  <c r="Y1100" i="35"/>
  <c r="Y422" i="35" s="1"/>
  <c r="Y1107" i="35"/>
  <c r="Y429" i="35" s="1"/>
  <c r="Y1065" i="35"/>
  <c r="Y387" i="35" s="1"/>
  <c r="Y1059" i="35"/>
  <c r="Y381" i="35" s="1"/>
  <c r="Y1092" i="35"/>
  <c r="Y414" i="35" s="1"/>
  <c r="I182" i="35"/>
  <c r="I201" i="35"/>
  <c r="I194" i="35"/>
  <c r="S843" i="35"/>
  <c r="S99" i="35" s="1"/>
  <c r="S841" i="35"/>
  <c r="S97" i="35" s="1"/>
  <c r="S848" i="35"/>
  <c r="S104" i="35" s="1"/>
  <c r="S831" i="35"/>
  <c r="S87" i="35" s="1"/>
  <c r="S847" i="35"/>
  <c r="S103" i="35" s="1"/>
  <c r="S825" i="35"/>
  <c r="S81" i="35" s="1"/>
  <c r="S824" i="35"/>
  <c r="S80" i="35" s="1"/>
  <c r="S839" i="35"/>
  <c r="S95" i="35" s="1"/>
  <c r="S887" i="35"/>
  <c r="S143" i="35" s="1"/>
  <c r="S830" i="35"/>
  <c r="S86" i="35" s="1"/>
  <c r="S846" i="35"/>
  <c r="S102" i="35" s="1"/>
  <c r="S845" i="35"/>
  <c r="S101" i="35" s="1"/>
  <c r="S835" i="35"/>
  <c r="S91" i="35" s="1"/>
  <c r="S828" i="35"/>
  <c r="S84" i="35" s="1"/>
  <c r="S823" i="35"/>
  <c r="S79" i="35" s="1"/>
  <c r="S827" i="35"/>
  <c r="S83" i="35" s="1"/>
  <c r="S837" i="35"/>
  <c r="S93" i="35" s="1"/>
  <c r="S844" i="35"/>
  <c r="S100" i="35" s="1"/>
  <c r="S836" i="35"/>
  <c r="S92" i="35" s="1"/>
  <c r="S821" i="35"/>
  <c r="S77" i="35" s="1"/>
  <c r="S850" i="35"/>
  <c r="S106" i="35" s="1"/>
  <c r="S826" i="35"/>
  <c r="S82" i="35" s="1"/>
  <c r="S819" i="35"/>
  <c r="S849" i="35"/>
  <c r="S105" i="35" s="1"/>
  <c r="S829" i="35"/>
  <c r="S85" i="35" s="1"/>
  <c r="S833" i="35"/>
  <c r="S89" i="35" s="1"/>
  <c r="S834" i="35"/>
  <c r="S90" i="35" s="1"/>
  <c r="S840" i="35"/>
  <c r="S96" i="35" s="1"/>
  <c r="S854" i="35"/>
  <c r="S110" i="35" s="1"/>
  <c r="S838" i="35"/>
  <c r="S94" i="35" s="1"/>
  <c r="S832" i="35"/>
  <c r="S88" i="35" s="1"/>
  <c r="S842" i="35"/>
  <c r="S98" i="35" s="1"/>
  <c r="S822" i="35"/>
  <c r="S78" i="35" s="1"/>
  <c r="S894" i="35"/>
  <c r="S150" i="35" s="1"/>
  <c r="S911" i="35"/>
  <c r="S167" i="35" s="1"/>
  <c r="S876" i="35"/>
  <c r="S132" i="35" s="1"/>
  <c r="S870" i="35"/>
  <c r="S126" i="35" s="1"/>
  <c r="S913" i="35"/>
  <c r="S169" i="35" s="1"/>
  <c r="S909" i="35"/>
  <c r="S165" i="35" s="1"/>
  <c r="S899" i="35"/>
  <c r="S155" i="35" s="1"/>
  <c r="S916" i="35"/>
  <c r="S172" i="35" s="1"/>
  <c r="S902" i="35"/>
  <c r="S158" i="35" s="1"/>
  <c r="S858" i="35"/>
  <c r="S114" i="35" s="1"/>
  <c r="S862" i="35"/>
  <c r="S118" i="35" s="1"/>
  <c r="S874" i="35"/>
  <c r="S130" i="35" s="1"/>
  <c r="S891" i="35"/>
  <c r="S147" i="35" s="1"/>
  <c r="S856" i="35"/>
  <c r="S112" i="35" s="1"/>
  <c r="S880" i="35"/>
  <c r="S136" i="35" s="1"/>
  <c r="S881" i="35"/>
  <c r="S137" i="35" s="1"/>
  <c r="S883" i="35"/>
  <c r="S139" i="35" s="1"/>
  <c r="S889" i="35"/>
  <c r="S145" i="35" s="1"/>
  <c r="S914" i="35"/>
  <c r="S170" i="35" s="1"/>
  <c r="S861" i="35"/>
  <c r="S117" i="35" s="1"/>
  <c r="S878" i="35"/>
  <c r="S134" i="35" s="1"/>
  <c r="S866" i="35"/>
  <c r="S122" i="35" s="1"/>
  <c r="S865" i="35"/>
  <c r="S121" i="35" s="1"/>
  <c r="S907" i="35"/>
  <c r="S163" i="35" s="1"/>
  <c r="S873" i="35"/>
  <c r="S129" i="35" s="1"/>
  <c r="S901" i="35"/>
  <c r="S157" i="35" s="1"/>
  <c r="S897" i="35"/>
  <c r="S153" i="35" s="1"/>
  <c r="S890" i="35"/>
  <c r="S146" i="35" s="1"/>
  <c r="S905" i="35"/>
  <c r="S161" i="35" s="1"/>
  <c r="S906" i="35"/>
  <c r="S162" i="35" s="1"/>
  <c r="S868" i="35"/>
  <c r="S124" i="35" s="1"/>
  <c r="S877" i="35"/>
  <c r="S133" i="35" s="1"/>
  <c r="S863" i="35"/>
  <c r="S119" i="35" s="1"/>
  <c r="S896" i="35"/>
  <c r="S152" i="35" s="1"/>
  <c r="S872" i="35"/>
  <c r="S128" i="35" s="1"/>
  <c r="S892" i="35"/>
  <c r="S148" i="35" s="1"/>
  <c r="S904" i="35"/>
  <c r="S160" i="35" s="1"/>
  <c r="S908" i="35"/>
  <c r="S164" i="35" s="1"/>
  <c r="S912" i="35"/>
  <c r="S168" i="35" s="1"/>
  <c r="S864" i="35"/>
  <c r="S120" i="35" s="1"/>
  <c r="S879" i="35"/>
  <c r="S135" i="35" s="1"/>
  <c r="S895" i="35"/>
  <c r="S151" i="35" s="1"/>
  <c r="S867" i="35"/>
  <c r="S123" i="35" s="1"/>
  <c r="S857" i="35"/>
  <c r="S113" i="35" s="1"/>
  <c r="S859" i="35"/>
  <c r="S115" i="35" s="1"/>
  <c r="S898" i="35"/>
  <c r="S154" i="35" s="1"/>
  <c r="S910" i="35"/>
  <c r="S166" i="35" s="1"/>
  <c r="S871" i="35"/>
  <c r="S127" i="35" s="1"/>
  <c r="S903" i="35"/>
  <c r="S159" i="35" s="1"/>
  <c r="S893" i="35"/>
  <c r="S149" i="35" s="1"/>
  <c r="S882" i="35"/>
  <c r="S138" i="35" s="1"/>
  <c r="S875" i="35"/>
  <c r="S131" i="35" s="1"/>
  <c r="S860" i="35"/>
  <c r="S116" i="35" s="1"/>
  <c r="S869" i="35"/>
  <c r="S125" i="35" s="1"/>
  <c r="S900" i="35"/>
  <c r="S156" i="35" s="1"/>
  <c r="S915" i="35"/>
  <c r="S171" i="35" s="1"/>
  <c r="S888" i="35"/>
  <c r="S144" i="35" s="1"/>
  <c r="S855" i="35"/>
  <c r="S111" i="35" s="1"/>
  <c r="X928" i="35"/>
  <c r="X217" i="35" s="1"/>
  <c r="X930" i="35"/>
  <c r="X219" i="35" s="1"/>
  <c r="X933" i="35"/>
  <c r="X222" i="35" s="1"/>
  <c r="X956" i="35"/>
  <c r="X245" i="35" s="1"/>
  <c r="X949" i="35"/>
  <c r="X238" i="35" s="1"/>
  <c r="X935" i="35"/>
  <c r="X224" i="35" s="1"/>
  <c r="X925" i="35"/>
  <c r="X214" i="35" s="1"/>
  <c r="X927" i="35"/>
  <c r="X216" i="35" s="1"/>
  <c r="X945" i="35"/>
  <c r="X234" i="35" s="1"/>
  <c r="X934" i="35"/>
  <c r="X223" i="35" s="1"/>
  <c r="X931" i="35"/>
  <c r="X220" i="35" s="1"/>
  <c r="X944" i="35"/>
  <c r="X233" i="35" s="1"/>
  <c r="X948" i="35"/>
  <c r="X237" i="35" s="1"/>
  <c r="X939" i="35"/>
  <c r="X228" i="35" s="1"/>
  <c r="X951" i="35"/>
  <c r="X240" i="35" s="1"/>
  <c r="X938" i="35"/>
  <c r="X227" i="35" s="1"/>
  <c r="X941" i="35"/>
  <c r="X230" i="35" s="1"/>
  <c r="X936" i="35"/>
  <c r="X225" i="35" s="1"/>
  <c r="X947" i="35"/>
  <c r="X236" i="35" s="1"/>
  <c r="X923" i="35"/>
  <c r="X212" i="35" s="1"/>
  <c r="X932" i="35"/>
  <c r="X221" i="35" s="1"/>
  <c r="X946" i="35"/>
  <c r="X235" i="35" s="1"/>
  <c r="X937" i="35"/>
  <c r="X226" i="35" s="1"/>
  <c r="X952" i="35"/>
  <c r="X241" i="35" s="1"/>
  <c r="X942" i="35"/>
  <c r="X231" i="35" s="1"/>
  <c r="X989" i="35"/>
  <c r="X278" i="35" s="1"/>
  <c r="X926" i="35"/>
  <c r="X215" i="35" s="1"/>
  <c r="X940" i="35"/>
  <c r="X229" i="35" s="1"/>
  <c r="X950" i="35"/>
  <c r="X239" i="35" s="1"/>
  <c r="X929" i="35"/>
  <c r="X218" i="35" s="1"/>
  <c r="X943" i="35"/>
  <c r="X232" i="35" s="1"/>
  <c r="X1010" i="35"/>
  <c r="X299" i="35" s="1"/>
  <c r="X969" i="35"/>
  <c r="X258" i="35" s="1"/>
  <c r="X924" i="35"/>
  <c r="X213" i="35" s="1"/>
  <c r="X1011" i="35"/>
  <c r="X300" i="35" s="1"/>
  <c r="X975" i="35"/>
  <c r="X264" i="35" s="1"/>
  <c r="X980" i="35"/>
  <c r="X269" i="35" s="1"/>
  <c r="X1001" i="35"/>
  <c r="X290" i="35" s="1"/>
  <c r="X976" i="35"/>
  <c r="X265" i="35" s="1"/>
  <c r="X965" i="35"/>
  <c r="X254" i="35" s="1"/>
  <c r="X964" i="35"/>
  <c r="X253" i="35" s="1"/>
  <c r="X985" i="35"/>
  <c r="X274" i="35" s="1"/>
  <c r="X1016" i="35"/>
  <c r="X305" i="35" s="1"/>
  <c r="X978" i="35"/>
  <c r="X267" i="35" s="1"/>
  <c r="X970" i="35"/>
  <c r="X259" i="35" s="1"/>
  <c r="X1008" i="35"/>
  <c r="X297" i="35" s="1"/>
  <c r="X992" i="35"/>
  <c r="X281" i="35" s="1"/>
  <c r="X966" i="35"/>
  <c r="X255" i="35" s="1"/>
  <c r="X1004" i="35"/>
  <c r="X293" i="35" s="1"/>
  <c r="X958" i="35"/>
  <c r="X247" i="35" s="1"/>
  <c r="X1009" i="35"/>
  <c r="X298" i="35" s="1"/>
  <c r="X995" i="35"/>
  <c r="X284" i="35" s="1"/>
  <c r="X1003" i="35"/>
  <c r="X292" i="35" s="1"/>
  <c r="X1002" i="35"/>
  <c r="X291" i="35" s="1"/>
  <c r="X962" i="35"/>
  <c r="X251" i="35" s="1"/>
  <c r="X1018" i="35"/>
  <c r="X307" i="35" s="1"/>
  <c r="X1000" i="35"/>
  <c r="X289" i="35" s="1"/>
  <c r="X967" i="35"/>
  <c r="X256" i="35" s="1"/>
  <c r="X959" i="35"/>
  <c r="X248" i="35" s="1"/>
  <c r="X993" i="35"/>
  <c r="X282" i="35" s="1"/>
  <c r="X979" i="35"/>
  <c r="X268" i="35" s="1"/>
  <c r="X991" i="35"/>
  <c r="X280" i="35" s="1"/>
  <c r="X998" i="35"/>
  <c r="X287" i="35" s="1"/>
  <c r="X1012" i="35"/>
  <c r="X301" i="35" s="1"/>
  <c r="X983" i="35"/>
  <c r="X272" i="35" s="1"/>
  <c r="X999" i="35"/>
  <c r="X288" i="35" s="1"/>
  <c r="X973" i="35"/>
  <c r="X262" i="35" s="1"/>
  <c r="X961" i="35"/>
  <c r="X250" i="35" s="1"/>
  <c r="X982" i="35"/>
  <c r="X271" i="35" s="1"/>
  <c r="X972" i="35"/>
  <c r="X261" i="35" s="1"/>
  <c r="X984" i="35"/>
  <c r="X273" i="35" s="1"/>
  <c r="X997" i="35"/>
  <c r="X286" i="35" s="1"/>
  <c r="X1013" i="35"/>
  <c r="X302" i="35" s="1"/>
  <c r="X1006" i="35"/>
  <c r="X295" i="35" s="1"/>
  <c r="X963" i="35"/>
  <c r="X252" i="35" s="1"/>
  <c r="X1005" i="35"/>
  <c r="X294" i="35" s="1"/>
  <c r="X1017" i="35"/>
  <c r="X306" i="35" s="1"/>
  <c r="X1014" i="35"/>
  <c r="X303" i="35" s="1"/>
  <c r="X981" i="35"/>
  <c r="X270" i="35" s="1"/>
  <c r="X1007" i="35"/>
  <c r="X296" i="35" s="1"/>
  <c r="X977" i="35"/>
  <c r="X266" i="35" s="1"/>
  <c r="X1015" i="35"/>
  <c r="X304" i="35" s="1"/>
  <c r="X994" i="35"/>
  <c r="X283" i="35" s="1"/>
  <c r="X968" i="35"/>
  <c r="X257" i="35" s="1"/>
  <c r="X960" i="35"/>
  <c r="X249" i="35" s="1"/>
  <c r="X974" i="35"/>
  <c r="X263" i="35" s="1"/>
  <c r="X996" i="35"/>
  <c r="X285" i="35" s="1"/>
  <c r="X971" i="35"/>
  <c r="X260" i="35" s="1"/>
  <c r="X957" i="35"/>
  <c r="X246" i="35" s="1"/>
  <c r="X990" i="35"/>
  <c r="X279" i="35" s="1"/>
  <c r="X821" i="35"/>
  <c r="X77" i="35" s="1"/>
  <c r="X828" i="35"/>
  <c r="X84" i="35" s="1"/>
  <c r="X836" i="35"/>
  <c r="X92" i="35" s="1"/>
  <c r="X887" i="35"/>
  <c r="X143" i="35" s="1"/>
  <c r="X830" i="35"/>
  <c r="X86" i="35" s="1"/>
  <c r="X845" i="35"/>
  <c r="X101" i="35" s="1"/>
  <c r="X831" i="35"/>
  <c r="X87" i="35" s="1"/>
  <c r="X843" i="35"/>
  <c r="X99" i="35" s="1"/>
  <c r="X826" i="35"/>
  <c r="X82" i="35" s="1"/>
  <c r="X844" i="35"/>
  <c r="X100" i="35" s="1"/>
  <c r="X841" i="35"/>
  <c r="X97" i="35" s="1"/>
  <c r="X839" i="35"/>
  <c r="X95" i="35" s="1"/>
  <c r="X837" i="35"/>
  <c r="X93" i="35" s="1"/>
  <c r="X848" i="35"/>
  <c r="X104" i="35" s="1"/>
  <c r="X846" i="35"/>
  <c r="X102" i="35" s="1"/>
  <c r="X835" i="35"/>
  <c r="X91" i="35" s="1"/>
  <c r="X847" i="35"/>
  <c r="X103" i="35" s="1"/>
  <c r="X850" i="35"/>
  <c r="X106" i="35" s="1"/>
  <c r="X819" i="35"/>
  <c r="X827" i="35"/>
  <c r="X83" i="35" s="1"/>
  <c r="X825" i="35"/>
  <c r="X81" i="35" s="1"/>
  <c r="X823" i="35"/>
  <c r="X79" i="35" s="1"/>
  <c r="X824" i="35"/>
  <c r="X80" i="35" s="1"/>
  <c r="X834" i="35"/>
  <c r="X90" i="35" s="1"/>
  <c r="X854" i="35"/>
  <c r="X110" i="35" s="1"/>
  <c r="X838" i="35"/>
  <c r="X94" i="35" s="1"/>
  <c r="X833" i="35"/>
  <c r="X89" i="35" s="1"/>
  <c r="X832" i="35"/>
  <c r="X88" i="35" s="1"/>
  <c r="X849" i="35"/>
  <c r="X105" i="35" s="1"/>
  <c r="X829" i="35"/>
  <c r="X85" i="35" s="1"/>
  <c r="X842" i="35"/>
  <c r="X98" i="35" s="1"/>
  <c r="X840" i="35"/>
  <c r="X96" i="35" s="1"/>
  <c r="X822" i="35"/>
  <c r="X78" i="35" s="1"/>
  <c r="X891" i="35"/>
  <c r="X147" i="35" s="1"/>
  <c r="X913" i="35"/>
  <c r="X169" i="35" s="1"/>
  <c r="X856" i="35"/>
  <c r="X112" i="35" s="1"/>
  <c r="X862" i="35"/>
  <c r="X118" i="35" s="1"/>
  <c r="X883" i="35"/>
  <c r="X139" i="35" s="1"/>
  <c r="X889" i="35"/>
  <c r="X145" i="35" s="1"/>
  <c r="X899" i="35"/>
  <c r="X155" i="35" s="1"/>
  <c r="X890" i="35"/>
  <c r="X146" i="35" s="1"/>
  <c r="X916" i="35"/>
  <c r="X172" i="35" s="1"/>
  <c r="X866" i="35"/>
  <c r="X122" i="35" s="1"/>
  <c r="X881" i="35"/>
  <c r="X137" i="35" s="1"/>
  <c r="X909" i="35"/>
  <c r="X165" i="35" s="1"/>
  <c r="X876" i="35"/>
  <c r="X132" i="35" s="1"/>
  <c r="X874" i="35"/>
  <c r="X130" i="35" s="1"/>
  <c r="X911" i="35"/>
  <c r="X167" i="35" s="1"/>
  <c r="X861" i="35"/>
  <c r="X117" i="35" s="1"/>
  <c r="X870" i="35"/>
  <c r="X126" i="35" s="1"/>
  <c r="X894" i="35"/>
  <c r="X150" i="35" s="1"/>
  <c r="X858" i="35"/>
  <c r="X114" i="35" s="1"/>
  <c r="X907" i="35"/>
  <c r="X163" i="35" s="1"/>
  <c r="X880" i="35"/>
  <c r="X136" i="35" s="1"/>
  <c r="X878" i="35"/>
  <c r="X134" i="35" s="1"/>
  <c r="X895" i="35"/>
  <c r="X151" i="35" s="1"/>
  <c r="X898" i="35"/>
  <c r="X154" i="35" s="1"/>
  <c r="X868" i="35"/>
  <c r="X124" i="35" s="1"/>
  <c r="X910" i="35"/>
  <c r="X166" i="35" s="1"/>
  <c r="X872" i="35"/>
  <c r="X128" i="35" s="1"/>
  <c r="X896" i="35"/>
  <c r="X152" i="35" s="1"/>
  <c r="X906" i="35"/>
  <c r="X162" i="35" s="1"/>
  <c r="X914" i="35"/>
  <c r="X170" i="35" s="1"/>
  <c r="X859" i="35"/>
  <c r="X115" i="35" s="1"/>
  <c r="X892" i="35"/>
  <c r="X148" i="35" s="1"/>
  <c r="X865" i="35"/>
  <c r="X121" i="35" s="1"/>
  <c r="X863" i="35"/>
  <c r="X119" i="35" s="1"/>
  <c r="X877" i="35"/>
  <c r="X133" i="35" s="1"/>
  <c r="X905" i="35"/>
  <c r="X161" i="35" s="1"/>
  <c r="X873" i="35"/>
  <c r="X129" i="35" s="1"/>
  <c r="X912" i="35"/>
  <c r="X168" i="35" s="1"/>
  <c r="X867" i="35"/>
  <c r="X123" i="35" s="1"/>
  <c r="X908" i="35"/>
  <c r="X164" i="35" s="1"/>
  <c r="X903" i="35"/>
  <c r="X159" i="35" s="1"/>
  <c r="X897" i="35"/>
  <c r="X153" i="35" s="1"/>
  <c r="X857" i="35"/>
  <c r="X113" i="35" s="1"/>
  <c r="X871" i="35"/>
  <c r="X127" i="35" s="1"/>
  <c r="X901" i="35"/>
  <c r="X157" i="35" s="1"/>
  <c r="X904" i="35"/>
  <c r="X160" i="35" s="1"/>
  <c r="X893" i="35"/>
  <c r="X149" i="35" s="1"/>
  <c r="X864" i="35"/>
  <c r="X120" i="35" s="1"/>
  <c r="X879" i="35"/>
  <c r="X135" i="35" s="1"/>
  <c r="X860" i="35"/>
  <c r="X116" i="35" s="1"/>
  <c r="X902" i="35"/>
  <c r="X158" i="35" s="1"/>
  <c r="X900" i="35"/>
  <c r="X156" i="35" s="1"/>
  <c r="X875" i="35"/>
  <c r="X131" i="35" s="1"/>
  <c r="X915" i="35"/>
  <c r="X171" i="35" s="1"/>
  <c r="X869" i="35"/>
  <c r="X125" i="35" s="1"/>
  <c r="X882" i="35"/>
  <c r="X138" i="35" s="1"/>
  <c r="X888" i="35"/>
  <c r="X144" i="35" s="1"/>
  <c r="X855" i="35"/>
  <c r="X111" i="35" s="1"/>
  <c r="U469" i="35"/>
  <c r="P75" i="35"/>
  <c r="P480" i="35"/>
  <c r="P210" i="35"/>
  <c r="P345" i="35"/>
  <c r="P819" i="35"/>
  <c r="P887" i="35"/>
  <c r="P143" i="35" s="1"/>
  <c r="P844" i="35"/>
  <c r="P100" i="35" s="1"/>
  <c r="P854" i="35"/>
  <c r="P110" i="35" s="1"/>
  <c r="P821" i="35"/>
  <c r="P77" i="35" s="1"/>
  <c r="P838" i="35"/>
  <c r="P94" i="35" s="1"/>
  <c r="P830" i="35"/>
  <c r="P86" i="35" s="1"/>
  <c r="P836" i="35"/>
  <c r="P92" i="35" s="1"/>
  <c r="P842" i="35"/>
  <c r="P98" i="35" s="1"/>
  <c r="P845" i="35"/>
  <c r="P101" i="35" s="1"/>
  <c r="P846" i="35"/>
  <c r="P102" i="35" s="1"/>
  <c r="P850" i="35"/>
  <c r="P106" i="35" s="1"/>
  <c r="P826" i="35"/>
  <c r="P82" i="35" s="1"/>
  <c r="P835" i="35"/>
  <c r="P91" i="35" s="1"/>
  <c r="P839" i="35"/>
  <c r="P95" i="35" s="1"/>
  <c r="P829" i="35"/>
  <c r="P85" i="35" s="1"/>
  <c r="P824" i="35"/>
  <c r="P80" i="35" s="1"/>
  <c r="P834" i="35"/>
  <c r="P90" i="35" s="1"/>
  <c r="P828" i="35"/>
  <c r="P84" i="35" s="1"/>
  <c r="P832" i="35"/>
  <c r="P88" i="35" s="1"/>
  <c r="P848" i="35"/>
  <c r="P104" i="35" s="1"/>
  <c r="P827" i="35"/>
  <c r="P83" i="35" s="1"/>
  <c r="P841" i="35"/>
  <c r="P97" i="35" s="1"/>
  <c r="P837" i="35"/>
  <c r="P93" i="35" s="1"/>
  <c r="P823" i="35"/>
  <c r="P79" i="35" s="1"/>
  <c r="P825" i="35"/>
  <c r="P81" i="35" s="1"/>
  <c r="P843" i="35"/>
  <c r="P99" i="35" s="1"/>
  <c r="P849" i="35"/>
  <c r="P105" i="35" s="1"/>
  <c r="P840" i="35"/>
  <c r="P96" i="35" s="1"/>
  <c r="P831" i="35"/>
  <c r="P87" i="35" s="1"/>
  <c r="P847" i="35"/>
  <c r="P103" i="35" s="1"/>
  <c r="P833" i="35"/>
  <c r="P89" i="35" s="1"/>
  <c r="P891" i="35"/>
  <c r="P147" i="35" s="1"/>
  <c r="P822" i="35"/>
  <c r="P78" i="35" s="1"/>
  <c r="P916" i="35"/>
  <c r="P172" i="35" s="1"/>
  <c r="P870" i="35"/>
  <c r="P126" i="35" s="1"/>
  <c r="P858" i="35"/>
  <c r="P114" i="35" s="1"/>
  <c r="P889" i="35"/>
  <c r="P145" i="35" s="1"/>
  <c r="P909" i="35"/>
  <c r="P165" i="35" s="1"/>
  <c r="P913" i="35"/>
  <c r="P169" i="35" s="1"/>
  <c r="P911" i="35"/>
  <c r="P167" i="35" s="1"/>
  <c r="P874" i="35"/>
  <c r="P130" i="35" s="1"/>
  <c r="P890" i="35"/>
  <c r="P146" i="35" s="1"/>
  <c r="P862" i="35"/>
  <c r="P118" i="35" s="1"/>
  <c r="P902" i="35"/>
  <c r="P158" i="35" s="1"/>
  <c r="P881" i="35"/>
  <c r="P137" i="35" s="1"/>
  <c r="P883" i="35"/>
  <c r="P139" i="35" s="1"/>
  <c r="P861" i="35"/>
  <c r="P117" i="35" s="1"/>
  <c r="P876" i="35"/>
  <c r="P132" i="35" s="1"/>
  <c r="P905" i="35"/>
  <c r="P161" i="35" s="1"/>
  <c r="P880" i="35"/>
  <c r="P136" i="35" s="1"/>
  <c r="P878" i="35"/>
  <c r="P134" i="35" s="1"/>
  <c r="P899" i="35"/>
  <c r="P155" i="35" s="1"/>
  <c r="P866" i="35"/>
  <c r="P122" i="35" s="1"/>
  <c r="P865" i="35"/>
  <c r="P121" i="35" s="1"/>
  <c r="P877" i="35"/>
  <c r="P133" i="35" s="1"/>
  <c r="P896" i="35"/>
  <c r="P152" i="35" s="1"/>
  <c r="P868" i="35"/>
  <c r="P124" i="35" s="1"/>
  <c r="P907" i="35"/>
  <c r="P163" i="35" s="1"/>
  <c r="P859" i="35"/>
  <c r="P115" i="35" s="1"/>
  <c r="P873" i="35"/>
  <c r="P129" i="35" s="1"/>
  <c r="P856" i="35"/>
  <c r="P112" i="35" s="1"/>
  <c r="P895" i="35"/>
  <c r="P151" i="35" s="1"/>
  <c r="P863" i="35"/>
  <c r="P119" i="35" s="1"/>
  <c r="P901" i="35"/>
  <c r="P157" i="35" s="1"/>
  <c r="P906" i="35"/>
  <c r="P162" i="35" s="1"/>
  <c r="P910" i="35"/>
  <c r="P166" i="35" s="1"/>
  <c r="P897" i="35"/>
  <c r="P153" i="35" s="1"/>
  <c r="P898" i="35"/>
  <c r="P154" i="35" s="1"/>
  <c r="P872" i="35"/>
  <c r="P128" i="35" s="1"/>
  <c r="P904" i="35"/>
  <c r="P160" i="35" s="1"/>
  <c r="P882" i="35"/>
  <c r="P138" i="35" s="1"/>
  <c r="P893" i="35"/>
  <c r="P149" i="35" s="1"/>
  <c r="P892" i="35"/>
  <c r="P148" i="35" s="1"/>
  <c r="P900" i="35"/>
  <c r="P156" i="35" s="1"/>
  <c r="P915" i="35"/>
  <c r="P171" i="35" s="1"/>
  <c r="P894" i="35"/>
  <c r="P150" i="35" s="1"/>
  <c r="P903" i="35"/>
  <c r="P159" i="35" s="1"/>
  <c r="P871" i="35"/>
  <c r="P127" i="35" s="1"/>
  <c r="P879" i="35"/>
  <c r="P135" i="35" s="1"/>
  <c r="P914" i="35"/>
  <c r="P170" i="35" s="1"/>
  <c r="P864" i="35"/>
  <c r="P120" i="35" s="1"/>
  <c r="P908" i="35"/>
  <c r="P164" i="35" s="1"/>
  <c r="P867" i="35"/>
  <c r="P123" i="35" s="1"/>
  <c r="P875" i="35"/>
  <c r="P131" i="35" s="1"/>
  <c r="P860" i="35"/>
  <c r="P116" i="35" s="1"/>
  <c r="P869" i="35"/>
  <c r="P125" i="35" s="1"/>
  <c r="P912" i="35"/>
  <c r="P168" i="35" s="1"/>
  <c r="P857" i="35"/>
  <c r="P113" i="35" s="1"/>
  <c r="P855" i="35"/>
  <c r="P111" i="35" s="1"/>
  <c r="P888" i="35"/>
  <c r="P144" i="35" s="1"/>
  <c r="J845" i="35"/>
  <c r="J101" i="35" s="1"/>
  <c r="J844" i="35"/>
  <c r="J100" i="35" s="1"/>
  <c r="J840" i="35"/>
  <c r="J96" i="35" s="1"/>
  <c r="J842" i="35"/>
  <c r="J98" i="35" s="1"/>
  <c r="J828" i="35"/>
  <c r="J84" i="35" s="1"/>
  <c r="J839" i="35"/>
  <c r="J95" i="35" s="1"/>
  <c r="J847" i="35"/>
  <c r="J103" i="35" s="1"/>
  <c r="J848" i="35"/>
  <c r="J104" i="35" s="1"/>
  <c r="J834" i="35"/>
  <c r="J90" i="35" s="1"/>
  <c r="J829" i="35"/>
  <c r="J85" i="35" s="1"/>
  <c r="J909" i="35"/>
  <c r="J165" i="35" s="1"/>
  <c r="J827" i="35"/>
  <c r="J83" i="35" s="1"/>
  <c r="J835" i="35"/>
  <c r="J91" i="35" s="1"/>
  <c r="J841" i="35"/>
  <c r="J97" i="35" s="1"/>
  <c r="J823" i="35"/>
  <c r="J79" i="35" s="1"/>
  <c r="J830" i="35"/>
  <c r="J86" i="35" s="1"/>
  <c r="J831" i="35"/>
  <c r="J87" i="35" s="1"/>
  <c r="J850" i="35"/>
  <c r="J106" i="35" s="1"/>
  <c r="J819" i="35"/>
  <c r="J825" i="35"/>
  <c r="J81" i="35" s="1"/>
  <c r="J826" i="35"/>
  <c r="J82" i="35" s="1"/>
  <c r="J824" i="35"/>
  <c r="J80" i="35" s="1"/>
  <c r="J887" i="35"/>
  <c r="J143" i="35" s="1"/>
  <c r="J832" i="35"/>
  <c r="J88" i="35" s="1"/>
  <c r="J849" i="35"/>
  <c r="J105" i="35" s="1"/>
  <c r="J837" i="35"/>
  <c r="J93" i="35" s="1"/>
  <c r="J836" i="35"/>
  <c r="J92" i="35" s="1"/>
  <c r="J843" i="35"/>
  <c r="J99" i="35" s="1"/>
  <c r="J854" i="35"/>
  <c r="J110" i="35" s="1"/>
  <c r="J846" i="35"/>
  <c r="J102" i="35" s="1"/>
  <c r="J856" i="35"/>
  <c r="J112" i="35" s="1"/>
  <c r="J881" i="35"/>
  <c r="J137" i="35" s="1"/>
  <c r="J880" i="35"/>
  <c r="J136" i="35" s="1"/>
  <c r="J889" i="35"/>
  <c r="J145" i="35" s="1"/>
  <c r="J899" i="35"/>
  <c r="J155" i="35" s="1"/>
  <c r="J902" i="35"/>
  <c r="J158" i="35" s="1"/>
  <c r="J911" i="35"/>
  <c r="J167" i="35" s="1"/>
  <c r="J861" i="35"/>
  <c r="J117" i="35" s="1"/>
  <c r="J821" i="35"/>
  <c r="J77" i="35" s="1"/>
  <c r="J891" i="35"/>
  <c r="J147" i="35" s="1"/>
  <c r="J894" i="35"/>
  <c r="J150" i="35" s="1"/>
  <c r="J833" i="35"/>
  <c r="J89" i="35" s="1"/>
  <c r="J822" i="35"/>
  <c r="J78" i="35" s="1"/>
  <c r="J870" i="35"/>
  <c r="J126" i="35" s="1"/>
  <c r="J916" i="35"/>
  <c r="J172" i="35" s="1"/>
  <c r="J838" i="35"/>
  <c r="J94" i="35" s="1"/>
  <c r="J876" i="35"/>
  <c r="J132" i="35" s="1"/>
  <c r="J890" i="35"/>
  <c r="J146" i="35" s="1"/>
  <c r="J878" i="35"/>
  <c r="J134" i="35" s="1"/>
  <c r="J865" i="35"/>
  <c r="J121" i="35" s="1"/>
  <c r="J913" i="35"/>
  <c r="J169" i="35" s="1"/>
  <c r="J858" i="35"/>
  <c r="J114" i="35" s="1"/>
  <c r="J895" i="35"/>
  <c r="J151" i="35" s="1"/>
  <c r="J907" i="35"/>
  <c r="J163" i="35" s="1"/>
  <c r="J874" i="35"/>
  <c r="J130" i="35" s="1"/>
  <c r="J859" i="35"/>
  <c r="J115" i="35" s="1"/>
  <c r="J863" i="35"/>
  <c r="J119" i="35" s="1"/>
  <c r="J898" i="35"/>
  <c r="J154" i="35" s="1"/>
  <c r="J862" i="35"/>
  <c r="J118" i="35" s="1"/>
  <c r="J906" i="35"/>
  <c r="J162" i="35" s="1"/>
  <c r="J910" i="35"/>
  <c r="J166" i="35" s="1"/>
  <c r="J897" i="35"/>
  <c r="J153" i="35" s="1"/>
  <c r="J883" i="35"/>
  <c r="J139" i="35" s="1"/>
  <c r="J877" i="35"/>
  <c r="J133" i="35" s="1"/>
  <c r="J914" i="35"/>
  <c r="J170" i="35" s="1"/>
  <c r="J873" i="35"/>
  <c r="J129" i="35" s="1"/>
  <c r="J872" i="35"/>
  <c r="J128" i="35" s="1"/>
  <c r="J896" i="35"/>
  <c r="J152" i="35" s="1"/>
  <c r="J866" i="35"/>
  <c r="J122" i="35" s="1"/>
  <c r="J905" i="35"/>
  <c r="J161" i="35" s="1"/>
  <c r="J892" i="35"/>
  <c r="J148" i="35" s="1"/>
  <c r="J868" i="35"/>
  <c r="J124" i="35" s="1"/>
  <c r="J903" i="35"/>
  <c r="J159" i="35" s="1"/>
  <c r="J882" i="35"/>
  <c r="J138" i="35" s="1"/>
  <c r="J915" i="35"/>
  <c r="J171" i="35" s="1"/>
  <c r="J901" i="35"/>
  <c r="J157" i="35" s="1"/>
  <c r="J908" i="35"/>
  <c r="J164" i="35" s="1"/>
  <c r="J912" i="35"/>
  <c r="J168" i="35" s="1"/>
  <c r="J875" i="35"/>
  <c r="J131" i="35" s="1"/>
  <c r="J871" i="35"/>
  <c r="J127" i="35" s="1"/>
  <c r="J864" i="35"/>
  <c r="J120" i="35" s="1"/>
  <c r="J857" i="35"/>
  <c r="J113" i="35" s="1"/>
  <c r="J904" i="35"/>
  <c r="J160" i="35" s="1"/>
  <c r="J879" i="35"/>
  <c r="J135" i="35" s="1"/>
  <c r="J893" i="35"/>
  <c r="J149" i="35" s="1"/>
  <c r="J867" i="35"/>
  <c r="J123" i="35" s="1"/>
  <c r="J860" i="35"/>
  <c r="J116" i="35" s="1"/>
  <c r="J869" i="35"/>
  <c r="J125" i="35" s="1"/>
  <c r="J900" i="35"/>
  <c r="J156" i="35" s="1"/>
  <c r="J855" i="35"/>
  <c r="J111" i="35" s="1"/>
  <c r="J888" i="35"/>
  <c r="J144" i="35" s="1"/>
  <c r="I604" i="35"/>
  <c r="I584" i="35"/>
  <c r="I597" i="35"/>
  <c r="I596" i="35"/>
  <c r="K845" i="35"/>
  <c r="K101" i="35" s="1"/>
  <c r="K846" i="35"/>
  <c r="K102" i="35" s="1"/>
  <c r="K826" i="35"/>
  <c r="K82" i="35" s="1"/>
  <c r="K835" i="35"/>
  <c r="K91" i="35" s="1"/>
  <c r="K844" i="35"/>
  <c r="K100" i="35" s="1"/>
  <c r="K827" i="35"/>
  <c r="K83" i="35" s="1"/>
  <c r="K841" i="35"/>
  <c r="K97" i="35" s="1"/>
  <c r="K832" i="35"/>
  <c r="K88" i="35" s="1"/>
  <c r="K823" i="35"/>
  <c r="K79" i="35" s="1"/>
  <c r="K825" i="35"/>
  <c r="K81" i="35" s="1"/>
  <c r="K850" i="35"/>
  <c r="K106" i="35" s="1"/>
  <c r="K837" i="35"/>
  <c r="K93" i="35" s="1"/>
  <c r="K836" i="35"/>
  <c r="K92" i="35" s="1"/>
  <c r="K842" i="35"/>
  <c r="K98" i="35" s="1"/>
  <c r="K843" i="35"/>
  <c r="K99" i="35" s="1"/>
  <c r="K849" i="35"/>
  <c r="K105" i="35" s="1"/>
  <c r="K840" i="35"/>
  <c r="K96" i="35" s="1"/>
  <c r="K838" i="35"/>
  <c r="K94" i="35" s="1"/>
  <c r="K831" i="35"/>
  <c r="K87" i="35" s="1"/>
  <c r="K829" i="35"/>
  <c r="K85" i="35" s="1"/>
  <c r="K833" i="35"/>
  <c r="K89" i="35" s="1"/>
  <c r="K824" i="35"/>
  <c r="K80" i="35" s="1"/>
  <c r="K834" i="35"/>
  <c r="K90" i="35" s="1"/>
  <c r="K830" i="35"/>
  <c r="K86" i="35" s="1"/>
  <c r="K847" i="35"/>
  <c r="K103" i="35" s="1"/>
  <c r="K839" i="35"/>
  <c r="K95" i="35" s="1"/>
  <c r="K848" i="35"/>
  <c r="K104" i="35" s="1"/>
  <c r="K828" i="35"/>
  <c r="K84" i="35" s="1"/>
  <c r="K819" i="35"/>
  <c r="K821" i="35"/>
  <c r="K77" i="35" s="1"/>
  <c r="K890" i="35"/>
  <c r="K146" i="35" s="1"/>
  <c r="K887" i="35"/>
  <c r="K143" i="35" s="1"/>
  <c r="K822" i="35"/>
  <c r="K78" i="35" s="1"/>
  <c r="K854" i="35"/>
  <c r="K110" i="35" s="1"/>
  <c r="K870" i="35"/>
  <c r="K126" i="35" s="1"/>
  <c r="K899" i="35"/>
  <c r="K155" i="35" s="1"/>
  <c r="K902" i="35"/>
  <c r="K158" i="35" s="1"/>
  <c r="K861" i="35"/>
  <c r="K117" i="35" s="1"/>
  <c r="K866" i="35"/>
  <c r="K122" i="35" s="1"/>
  <c r="K878" i="35"/>
  <c r="K134" i="35" s="1"/>
  <c r="K874" i="35"/>
  <c r="K130" i="35" s="1"/>
  <c r="K881" i="35"/>
  <c r="K137" i="35" s="1"/>
  <c r="K891" i="35"/>
  <c r="K147" i="35" s="1"/>
  <c r="K858" i="35"/>
  <c r="K114" i="35" s="1"/>
  <c r="K856" i="35"/>
  <c r="K112" i="35" s="1"/>
  <c r="K862" i="35"/>
  <c r="K118" i="35" s="1"/>
  <c r="K880" i="35"/>
  <c r="K136" i="35" s="1"/>
  <c r="K883" i="35"/>
  <c r="K139" i="35" s="1"/>
  <c r="K876" i="35"/>
  <c r="K132" i="35" s="1"/>
  <c r="K909" i="35"/>
  <c r="K165" i="35" s="1"/>
  <c r="K916" i="35"/>
  <c r="K172" i="35" s="1"/>
  <c r="K911" i="35"/>
  <c r="K167" i="35" s="1"/>
  <c r="K889" i="35"/>
  <c r="K145" i="35" s="1"/>
  <c r="K894" i="35"/>
  <c r="K150" i="35" s="1"/>
  <c r="K907" i="35"/>
  <c r="K163" i="35" s="1"/>
  <c r="K901" i="35"/>
  <c r="K157" i="35" s="1"/>
  <c r="K906" i="35"/>
  <c r="K162" i="35" s="1"/>
  <c r="K910" i="35"/>
  <c r="K166" i="35" s="1"/>
  <c r="K865" i="35"/>
  <c r="K121" i="35" s="1"/>
  <c r="K898" i="35"/>
  <c r="K154" i="35" s="1"/>
  <c r="K868" i="35"/>
  <c r="K124" i="35" s="1"/>
  <c r="K895" i="35"/>
  <c r="K151" i="35" s="1"/>
  <c r="K913" i="35"/>
  <c r="K169" i="35" s="1"/>
  <c r="K859" i="35"/>
  <c r="K115" i="35" s="1"/>
  <c r="K905" i="35"/>
  <c r="K161" i="35" s="1"/>
  <c r="K914" i="35"/>
  <c r="K170" i="35" s="1"/>
  <c r="K872" i="35"/>
  <c r="K128" i="35" s="1"/>
  <c r="K892" i="35"/>
  <c r="K148" i="35" s="1"/>
  <c r="K896" i="35"/>
  <c r="K152" i="35" s="1"/>
  <c r="K863" i="35"/>
  <c r="K119" i="35" s="1"/>
  <c r="K900" i="35"/>
  <c r="K156" i="35" s="1"/>
  <c r="K915" i="35"/>
  <c r="K171" i="35" s="1"/>
  <c r="K908" i="35"/>
  <c r="K164" i="35" s="1"/>
  <c r="K879" i="35"/>
  <c r="K135" i="35" s="1"/>
  <c r="K867" i="35"/>
  <c r="K123" i="35" s="1"/>
  <c r="K912" i="35"/>
  <c r="K168" i="35" s="1"/>
  <c r="K897" i="35"/>
  <c r="K153" i="35" s="1"/>
  <c r="K904" i="35"/>
  <c r="K160" i="35" s="1"/>
  <c r="K877" i="35"/>
  <c r="K133" i="35" s="1"/>
  <c r="K893" i="35"/>
  <c r="K149" i="35" s="1"/>
  <c r="K873" i="35"/>
  <c r="K129" i="35" s="1"/>
  <c r="K903" i="35"/>
  <c r="K159" i="35" s="1"/>
  <c r="K875" i="35"/>
  <c r="K131" i="35" s="1"/>
  <c r="K857" i="35"/>
  <c r="K113" i="35" s="1"/>
  <c r="K871" i="35"/>
  <c r="K127" i="35" s="1"/>
  <c r="K869" i="35"/>
  <c r="K125" i="35" s="1"/>
  <c r="K882" i="35"/>
  <c r="K138" i="35" s="1"/>
  <c r="K864" i="35"/>
  <c r="K120" i="35" s="1"/>
  <c r="K860" i="35"/>
  <c r="K116" i="35" s="1"/>
  <c r="K888" i="35"/>
  <c r="K144" i="35" s="1"/>
  <c r="K855" i="35"/>
  <c r="K111" i="35" s="1"/>
  <c r="I457" i="35"/>
  <c r="I469" i="35"/>
  <c r="I460" i="35"/>
  <c r="I451" i="35"/>
  <c r="R330" i="35"/>
  <c r="R321" i="35"/>
  <c r="L345" i="35"/>
  <c r="L480" i="35"/>
  <c r="L210" i="35"/>
  <c r="L75" i="35"/>
  <c r="T1043" i="35"/>
  <c r="T365" i="35" s="1"/>
  <c r="T1025" i="35"/>
  <c r="T347" i="35" s="1"/>
  <c r="T1030" i="35"/>
  <c r="T352" i="35" s="1"/>
  <c r="T1039" i="35"/>
  <c r="T361" i="35" s="1"/>
  <c r="T1032" i="35"/>
  <c r="T354" i="35" s="1"/>
  <c r="T1049" i="35"/>
  <c r="T371" i="35" s="1"/>
  <c r="T1052" i="35"/>
  <c r="T374" i="35" s="1"/>
  <c r="T1042" i="35"/>
  <c r="T364" i="35" s="1"/>
  <c r="T1051" i="35"/>
  <c r="T373" i="35" s="1"/>
  <c r="T1054" i="35"/>
  <c r="T376" i="35" s="1"/>
  <c r="T1035" i="35"/>
  <c r="T357" i="35" s="1"/>
  <c r="T1046" i="35"/>
  <c r="T368" i="35" s="1"/>
  <c r="T1048" i="35"/>
  <c r="T370" i="35" s="1"/>
  <c r="T1045" i="35"/>
  <c r="T367" i="35" s="1"/>
  <c r="T1031" i="35"/>
  <c r="T353" i="35" s="1"/>
  <c r="T1034" i="35"/>
  <c r="T356" i="35" s="1"/>
  <c r="T1041" i="35"/>
  <c r="T363" i="35" s="1"/>
  <c r="T1027" i="35"/>
  <c r="T349" i="35" s="1"/>
  <c r="T1029" i="35"/>
  <c r="T351" i="35" s="1"/>
  <c r="T1028" i="35"/>
  <c r="T350" i="35" s="1"/>
  <c r="T1038" i="35"/>
  <c r="T360" i="35" s="1"/>
  <c r="T1053" i="35"/>
  <c r="T375" i="35" s="1"/>
  <c r="T1050" i="35"/>
  <c r="T372" i="35" s="1"/>
  <c r="T1033" i="35"/>
  <c r="T355" i="35" s="1"/>
  <c r="T1047" i="35"/>
  <c r="T369" i="35" s="1"/>
  <c r="T1037" i="35"/>
  <c r="T359" i="35" s="1"/>
  <c r="T1040" i="35"/>
  <c r="T362" i="35" s="1"/>
  <c r="T1036" i="35"/>
  <c r="T358" i="35" s="1"/>
  <c r="T1044" i="35"/>
  <c r="T366" i="35" s="1"/>
  <c r="T1026" i="35"/>
  <c r="T348" i="35" s="1"/>
  <c r="T1097" i="35"/>
  <c r="T419" i="35" s="1"/>
  <c r="T1114" i="35"/>
  <c r="T436" i="35" s="1"/>
  <c r="T1091" i="35"/>
  <c r="T413" i="35" s="1"/>
  <c r="T1120" i="35"/>
  <c r="T442" i="35" s="1"/>
  <c r="T1061" i="35"/>
  <c r="T383" i="35" s="1"/>
  <c r="T1064" i="35"/>
  <c r="T386" i="35" s="1"/>
  <c r="T1099" i="35"/>
  <c r="T421" i="35" s="1"/>
  <c r="T1058" i="35"/>
  <c r="T380" i="35" s="1"/>
  <c r="T1066" i="35"/>
  <c r="T388" i="35" s="1"/>
  <c r="T1118" i="35"/>
  <c r="T440" i="35" s="1"/>
  <c r="T1086" i="35"/>
  <c r="T408" i="35" s="1"/>
  <c r="T1084" i="35"/>
  <c r="T406" i="35" s="1"/>
  <c r="T1102" i="35"/>
  <c r="T424" i="35" s="1"/>
  <c r="T1093" i="35"/>
  <c r="T415" i="35" s="1"/>
  <c r="T1085" i="35"/>
  <c r="T407" i="35" s="1"/>
  <c r="T1119" i="35"/>
  <c r="T441" i="35" s="1"/>
  <c r="T1068" i="35"/>
  <c r="T390" i="35" s="1"/>
  <c r="T1117" i="35"/>
  <c r="T439" i="35" s="1"/>
  <c r="T1060" i="35"/>
  <c r="T382" i="35" s="1"/>
  <c r="T1104" i="35"/>
  <c r="T426" i="35" s="1"/>
  <c r="T1105" i="35"/>
  <c r="T427" i="35" s="1"/>
  <c r="T1101" i="35"/>
  <c r="T423" i="35" s="1"/>
  <c r="T1113" i="35"/>
  <c r="T435" i="35" s="1"/>
  <c r="T1080" i="35"/>
  <c r="T402" i="35" s="1"/>
  <c r="T1081" i="35"/>
  <c r="T403" i="35" s="1"/>
  <c r="T1069" i="35"/>
  <c r="T391" i="35" s="1"/>
  <c r="T1116" i="35"/>
  <c r="T438" i="35" s="1"/>
  <c r="T1071" i="35"/>
  <c r="T393" i="35" s="1"/>
  <c r="T1111" i="35"/>
  <c r="T433" i="35" s="1"/>
  <c r="T1082" i="35"/>
  <c r="T404" i="35" s="1"/>
  <c r="T1063" i="35"/>
  <c r="T385" i="35" s="1"/>
  <c r="T1108" i="35"/>
  <c r="T430" i="35" s="1"/>
  <c r="T1109" i="35"/>
  <c r="T431" i="35" s="1"/>
  <c r="T1073" i="35"/>
  <c r="T395" i="35" s="1"/>
  <c r="T1098" i="35"/>
  <c r="T420" i="35" s="1"/>
  <c r="T1078" i="35"/>
  <c r="T400" i="35" s="1"/>
  <c r="T1100" i="35"/>
  <c r="T422" i="35" s="1"/>
  <c r="T1095" i="35"/>
  <c r="T417" i="35" s="1"/>
  <c r="T1079" i="35"/>
  <c r="T401" i="35" s="1"/>
  <c r="T1096" i="35"/>
  <c r="T418" i="35" s="1"/>
  <c r="T1074" i="35"/>
  <c r="T396" i="35" s="1"/>
  <c r="T1106" i="35"/>
  <c r="T428" i="35" s="1"/>
  <c r="T1067" i="35"/>
  <c r="T389" i="35" s="1"/>
  <c r="T1072" i="35"/>
  <c r="T394" i="35" s="1"/>
  <c r="T1110" i="35"/>
  <c r="T432" i="35" s="1"/>
  <c r="T1077" i="35"/>
  <c r="T399" i="35" s="1"/>
  <c r="T1112" i="35"/>
  <c r="T434" i="35" s="1"/>
  <c r="T1076" i="35"/>
  <c r="T398" i="35" s="1"/>
  <c r="T1083" i="35"/>
  <c r="T405" i="35" s="1"/>
  <c r="T1062" i="35"/>
  <c r="T384" i="35" s="1"/>
  <c r="T1075" i="35"/>
  <c r="T397" i="35" s="1"/>
  <c r="T1065" i="35"/>
  <c r="T387" i="35" s="1"/>
  <c r="T1070" i="35"/>
  <c r="T392" i="35" s="1"/>
  <c r="T1107" i="35"/>
  <c r="T429" i="35" s="1"/>
  <c r="T1115" i="35"/>
  <c r="T437" i="35" s="1"/>
  <c r="T1103" i="35"/>
  <c r="T425" i="35" s="1"/>
  <c r="T1094" i="35"/>
  <c r="T416" i="35" s="1"/>
  <c r="T1087" i="35"/>
  <c r="T409" i="35" s="1"/>
  <c r="T1092" i="35"/>
  <c r="T414" i="35" s="1"/>
  <c r="T1059" i="35"/>
  <c r="T381" i="35" s="1"/>
  <c r="AB956" i="35"/>
  <c r="AB245" i="35" s="1"/>
  <c r="AB927" i="35"/>
  <c r="AB216" i="35" s="1"/>
  <c r="AB941" i="35"/>
  <c r="AB230" i="35" s="1"/>
  <c r="AB931" i="35"/>
  <c r="AB220" i="35" s="1"/>
  <c r="AB928" i="35"/>
  <c r="AB217" i="35" s="1"/>
  <c r="AB930" i="35"/>
  <c r="AB219" i="35" s="1"/>
  <c r="AB943" i="35"/>
  <c r="AB232" i="35" s="1"/>
  <c r="AB937" i="35"/>
  <c r="AB226" i="35" s="1"/>
  <c r="AB933" i="35"/>
  <c r="AB222" i="35" s="1"/>
  <c r="AB951" i="35"/>
  <c r="AB240" i="35" s="1"/>
  <c r="AB948" i="35"/>
  <c r="AB237" i="35" s="1"/>
  <c r="AB936" i="35"/>
  <c r="AB225" i="35" s="1"/>
  <c r="AB945" i="35"/>
  <c r="AB234" i="35" s="1"/>
  <c r="AB952" i="35"/>
  <c r="AB241" i="35" s="1"/>
  <c r="AB935" i="35"/>
  <c r="AB224" i="35" s="1"/>
  <c r="AB939" i="35"/>
  <c r="AB228" i="35" s="1"/>
  <c r="AB934" i="35"/>
  <c r="AB223" i="35" s="1"/>
  <c r="AB925" i="35"/>
  <c r="AB214" i="35" s="1"/>
  <c r="AB949" i="35"/>
  <c r="AB238" i="35" s="1"/>
  <c r="AB923" i="35"/>
  <c r="AB212" i="35" s="1"/>
  <c r="AB932" i="35"/>
  <c r="AB221" i="35" s="1"/>
  <c r="AB947" i="35"/>
  <c r="AB236" i="35" s="1"/>
  <c r="AB946" i="35"/>
  <c r="AB235" i="35" s="1"/>
  <c r="AB938" i="35"/>
  <c r="AB227" i="35" s="1"/>
  <c r="AB944" i="35"/>
  <c r="AB233" i="35" s="1"/>
  <c r="AB950" i="35"/>
  <c r="AB239" i="35" s="1"/>
  <c r="AB926" i="35"/>
  <c r="AB215" i="35" s="1"/>
  <c r="AB989" i="35"/>
  <c r="AB278" i="35" s="1"/>
  <c r="AB940" i="35"/>
  <c r="AB229" i="35" s="1"/>
  <c r="AB942" i="35"/>
  <c r="AB231" i="35" s="1"/>
  <c r="AB929" i="35"/>
  <c r="AB218" i="35" s="1"/>
  <c r="AB924" i="35"/>
  <c r="AB213" i="35" s="1"/>
  <c r="AB1001" i="35"/>
  <c r="AB290" i="35" s="1"/>
  <c r="AB964" i="35"/>
  <c r="AB253" i="35" s="1"/>
  <c r="AB1008" i="35"/>
  <c r="AB297" i="35" s="1"/>
  <c r="AB978" i="35"/>
  <c r="AB267" i="35" s="1"/>
  <c r="AB980" i="35"/>
  <c r="AB269" i="35" s="1"/>
  <c r="AB970" i="35"/>
  <c r="AB259" i="35" s="1"/>
  <c r="AB1011" i="35"/>
  <c r="AB300" i="35" s="1"/>
  <c r="AB1010" i="35"/>
  <c r="AB299" i="35" s="1"/>
  <c r="AB1002" i="35"/>
  <c r="AB291" i="35" s="1"/>
  <c r="AB965" i="35"/>
  <c r="AB254" i="35" s="1"/>
  <c r="AB975" i="35"/>
  <c r="AB264" i="35" s="1"/>
  <c r="AB969" i="35"/>
  <c r="AB258" i="35" s="1"/>
  <c r="AB1016" i="35"/>
  <c r="AB305" i="35" s="1"/>
  <c r="AB958" i="35"/>
  <c r="AB247" i="35" s="1"/>
  <c r="AB979" i="35"/>
  <c r="AB268" i="35" s="1"/>
  <c r="AB995" i="35"/>
  <c r="AB284" i="35" s="1"/>
  <c r="AB991" i="35"/>
  <c r="AB280" i="35" s="1"/>
  <c r="AB998" i="35"/>
  <c r="AB287" i="35" s="1"/>
  <c r="AB992" i="35"/>
  <c r="AB281" i="35" s="1"/>
  <c r="AB1012" i="35"/>
  <c r="AB301" i="35" s="1"/>
  <c r="AB985" i="35"/>
  <c r="AB274" i="35" s="1"/>
  <c r="AB1018" i="35"/>
  <c r="AB307" i="35" s="1"/>
  <c r="AB959" i="35"/>
  <c r="AB248" i="35" s="1"/>
  <c r="AB996" i="35"/>
  <c r="AB285" i="35" s="1"/>
  <c r="AB1000" i="35"/>
  <c r="AB289" i="35" s="1"/>
  <c r="AB966" i="35"/>
  <c r="AB255" i="35" s="1"/>
  <c r="AB1004" i="35"/>
  <c r="AB293" i="35" s="1"/>
  <c r="AB999" i="35"/>
  <c r="AB288" i="35" s="1"/>
  <c r="AB960" i="35"/>
  <c r="AB249" i="35" s="1"/>
  <c r="AB977" i="35"/>
  <c r="AB266" i="35" s="1"/>
  <c r="AB962" i="35"/>
  <c r="AB251" i="35" s="1"/>
  <c r="AB973" i="35"/>
  <c r="AB262" i="35" s="1"/>
  <c r="AB972" i="35"/>
  <c r="AB261" i="35" s="1"/>
  <c r="AB993" i="35"/>
  <c r="AB282" i="35" s="1"/>
  <c r="AB1007" i="35"/>
  <c r="AB296" i="35" s="1"/>
  <c r="AB1003" i="35"/>
  <c r="AB292" i="35" s="1"/>
  <c r="AB967" i="35"/>
  <c r="AB256" i="35" s="1"/>
  <c r="AB976" i="35"/>
  <c r="AB265" i="35" s="1"/>
  <c r="AB983" i="35"/>
  <c r="AB272" i="35" s="1"/>
  <c r="AB971" i="35"/>
  <c r="AB260" i="35" s="1"/>
  <c r="AB981" i="35"/>
  <c r="AB270" i="35" s="1"/>
  <c r="AB1006" i="35"/>
  <c r="AB295" i="35" s="1"/>
  <c r="AB997" i="35"/>
  <c r="AB286" i="35" s="1"/>
  <c r="AB982" i="35"/>
  <c r="AB271" i="35" s="1"/>
  <c r="AB1014" i="35"/>
  <c r="AB303" i="35" s="1"/>
  <c r="AB1009" i="35"/>
  <c r="AB298" i="35" s="1"/>
  <c r="AB1013" i="35"/>
  <c r="AB302" i="35" s="1"/>
  <c r="AB984" i="35"/>
  <c r="AB273" i="35" s="1"/>
  <c r="AB1005" i="35"/>
  <c r="AB294" i="35" s="1"/>
  <c r="AB994" i="35"/>
  <c r="AB283" i="35" s="1"/>
  <c r="AB963" i="35"/>
  <c r="AB252" i="35" s="1"/>
  <c r="AB1017" i="35"/>
  <c r="AB306" i="35" s="1"/>
  <c r="AB968" i="35"/>
  <c r="AB257" i="35" s="1"/>
  <c r="AB974" i="35"/>
  <c r="AB263" i="35" s="1"/>
  <c r="AB961" i="35"/>
  <c r="AB250" i="35" s="1"/>
  <c r="AB1015" i="35"/>
  <c r="AB304" i="35" s="1"/>
  <c r="AB990" i="35"/>
  <c r="AB279" i="35" s="1"/>
  <c r="AB957" i="35"/>
  <c r="AB246" i="35" s="1"/>
  <c r="Z1127" i="35"/>
  <c r="Z482" i="35" s="1"/>
  <c r="Z1152" i="35"/>
  <c r="Z507" i="35" s="1"/>
  <c r="Z1151" i="35"/>
  <c r="Z506" i="35" s="1"/>
  <c r="Z1141" i="35"/>
  <c r="Z496" i="35" s="1"/>
  <c r="Z1131" i="35"/>
  <c r="Z486" i="35" s="1"/>
  <c r="Z1146" i="35"/>
  <c r="Z501" i="35" s="1"/>
  <c r="Z1142" i="35"/>
  <c r="Z497" i="35" s="1"/>
  <c r="Z1140" i="35"/>
  <c r="Z495" i="35" s="1"/>
  <c r="Z1138" i="35"/>
  <c r="Z493" i="35" s="1"/>
  <c r="Z1148" i="35"/>
  <c r="Z503" i="35" s="1"/>
  <c r="Z1133" i="35"/>
  <c r="Z488" i="35" s="1"/>
  <c r="Z1155" i="35"/>
  <c r="Z510" i="35" s="1"/>
  <c r="Z1153" i="35"/>
  <c r="Z508" i="35" s="1"/>
  <c r="Z1147" i="35"/>
  <c r="Z502" i="35" s="1"/>
  <c r="Z1134" i="35"/>
  <c r="Z489" i="35" s="1"/>
  <c r="Z1130" i="35"/>
  <c r="Z485" i="35" s="1"/>
  <c r="Z1137" i="35"/>
  <c r="Z492" i="35" s="1"/>
  <c r="Z1143" i="35"/>
  <c r="Z498" i="35" s="1"/>
  <c r="Z1135" i="35"/>
  <c r="Z490" i="35" s="1"/>
  <c r="Z1139" i="35"/>
  <c r="Z494" i="35" s="1"/>
  <c r="Z1145" i="35"/>
  <c r="Z500" i="35" s="1"/>
  <c r="Z1136" i="35"/>
  <c r="Z491" i="35" s="1"/>
  <c r="Z1144" i="35"/>
  <c r="Z499" i="35" s="1"/>
  <c r="Z1149" i="35"/>
  <c r="Z504" i="35" s="1"/>
  <c r="Z1193" i="35"/>
  <c r="Z548" i="35" s="1"/>
  <c r="Z1156" i="35"/>
  <c r="Z511" i="35" s="1"/>
  <c r="Z1150" i="35"/>
  <c r="Z505" i="35" s="1"/>
  <c r="Z1132" i="35"/>
  <c r="Z487" i="35" s="1"/>
  <c r="Z1160" i="35"/>
  <c r="Z515" i="35" s="1"/>
  <c r="Z1154" i="35"/>
  <c r="Z509" i="35" s="1"/>
  <c r="Z1129" i="35"/>
  <c r="Z484" i="35" s="1"/>
  <c r="Z1207" i="35"/>
  <c r="Z562" i="35" s="1"/>
  <c r="Z1165" i="35"/>
  <c r="Z520" i="35" s="1"/>
  <c r="Z1210" i="35"/>
  <c r="Z565" i="35" s="1"/>
  <c r="Z1209" i="35"/>
  <c r="Z564" i="35" s="1"/>
  <c r="Z1212" i="35"/>
  <c r="Z567" i="35" s="1"/>
  <c r="Z1217" i="35"/>
  <c r="Z572" i="35" s="1"/>
  <c r="Z1220" i="35"/>
  <c r="Z575" i="35" s="1"/>
  <c r="Z1187" i="35"/>
  <c r="Z542" i="35" s="1"/>
  <c r="Z1221" i="35"/>
  <c r="Z576" i="35" s="1"/>
  <c r="Z1174" i="35"/>
  <c r="Z529" i="35" s="1"/>
  <c r="Z1171" i="35"/>
  <c r="Z526" i="35" s="1"/>
  <c r="Z1185" i="35"/>
  <c r="Z540" i="35" s="1"/>
  <c r="Z1188" i="35"/>
  <c r="Z543" i="35" s="1"/>
  <c r="Z1128" i="35"/>
  <c r="Z483" i="35" s="1"/>
  <c r="Z1189" i="35"/>
  <c r="Z544" i="35" s="1"/>
  <c r="Z1179" i="35"/>
  <c r="Z534" i="35" s="1"/>
  <c r="Z1204" i="35"/>
  <c r="Z559" i="35" s="1"/>
  <c r="Z1183" i="35"/>
  <c r="Z538" i="35" s="1"/>
  <c r="Z1199" i="35"/>
  <c r="Z554" i="35" s="1"/>
  <c r="Z1206" i="35"/>
  <c r="Z561" i="35" s="1"/>
  <c r="Z1176" i="35"/>
  <c r="Z531" i="35" s="1"/>
  <c r="Z1163" i="35"/>
  <c r="Z518" i="35" s="1"/>
  <c r="Z1202" i="35"/>
  <c r="Z557" i="35" s="1"/>
  <c r="Z1218" i="35"/>
  <c r="Z573" i="35" s="1"/>
  <c r="Z1168" i="35"/>
  <c r="Z523" i="35" s="1"/>
  <c r="Z1195" i="35"/>
  <c r="Z550" i="35" s="1"/>
  <c r="Z1169" i="35"/>
  <c r="Z524" i="35" s="1"/>
  <c r="Z1197" i="35"/>
  <c r="Z552" i="35" s="1"/>
  <c r="Z1201" i="35"/>
  <c r="Z556" i="35" s="1"/>
  <c r="Z1177" i="35"/>
  <c r="Z532" i="35" s="1"/>
  <c r="Z1184" i="35"/>
  <c r="Z539" i="35" s="1"/>
  <c r="Z1213" i="35"/>
  <c r="Z568" i="35" s="1"/>
  <c r="Z1175" i="35"/>
  <c r="Z530" i="35" s="1"/>
  <c r="Z1162" i="35"/>
  <c r="Z517" i="35" s="1"/>
  <c r="Z1198" i="35"/>
  <c r="Z553" i="35" s="1"/>
  <c r="Z1208" i="35"/>
  <c r="Z563" i="35" s="1"/>
  <c r="Z1216" i="35"/>
  <c r="Z571" i="35" s="1"/>
  <c r="Z1180" i="35"/>
  <c r="Z535" i="35" s="1"/>
  <c r="Z1182" i="35"/>
  <c r="Z537" i="35" s="1"/>
  <c r="Z1164" i="35"/>
  <c r="Z519" i="35" s="1"/>
  <c r="Z1205" i="35"/>
  <c r="Z560" i="35" s="1"/>
  <c r="Z1215" i="35"/>
  <c r="Z570" i="35" s="1"/>
  <c r="Z1170" i="35"/>
  <c r="Z525" i="35" s="1"/>
  <c r="Z1214" i="35"/>
  <c r="Z569" i="35" s="1"/>
  <c r="Z1200" i="35"/>
  <c r="Z555" i="35" s="1"/>
  <c r="Z1167" i="35"/>
  <c r="Z522" i="35" s="1"/>
  <c r="Z1172" i="35"/>
  <c r="Z527" i="35" s="1"/>
  <c r="Z1186" i="35"/>
  <c r="Z541" i="35" s="1"/>
  <c r="Z1211" i="35"/>
  <c r="Z566" i="35" s="1"/>
  <c r="Z1196" i="35"/>
  <c r="Z551" i="35" s="1"/>
  <c r="Z1181" i="35"/>
  <c r="Z536" i="35" s="1"/>
  <c r="Z1178" i="35"/>
  <c r="Z533" i="35" s="1"/>
  <c r="Z1203" i="35"/>
  <c r="Z558" i="35" s="1"/>
  <c r="Z1219" i="35"/>
  <c r="Z574" i="35" s="1"/>
  <c r="Z1173" i="35"/>
  <c r="Z528" i="35" s="1"/>
  <c r="Z1222" i="35"/>
  <c r="Z577" i="35" s="1"/>
  <c r="Z1166" i="35"/>
  <c r="Z521" i="35" s="1"/>
  <c r="Z1161" i="35"/>
  <c r="Z516" i="35" s="1"/>
  <c r="Z1194" i="35"/>
  <c r="Z549" i="35" s="1"/>
  <c r="Y847" i="35"/>
  <c r="Y103" i="35" s="1"/>
  <c r="Y828" i="35"/>
  <c r="Y84" i="35" s="1"/>
  <c r="Y824" i="35"/>
  <c r="Y80" i="35" s="1"/>
  <c r="Y837" i="35"/>
  <c r="Y93" i="35" s="1"/>
  <c r="Y835" i="35"/>
  <c r="Y91" i="35" s="1"/>
  <c r="Y827" i="35"/>
  <c r="Y83" i="35" s="1"/>
  <c r="Y887" i="35"/>
  <c r="Y143" i="35" s="1"/>
  <c r="Y825" i="35"/>
  <c r="Y81" i="35" s="1"/>
  <c r="Y845" i="35"/>
  <c r="Y101" i="35" s="1"/>
  <c r="Y821" i="35"/>
  <c r="Y77" i="35" s="1"/>
  <c r="Y839" i="35"/>
  <c r="Y95" i="35" s="1"/>
  <c r="Y850" i="35"/>
  <c r="Y106" i="35" s="1"/>
  <c r="Y848" i="35"/>
  <c r="Y104" i="35" s="1"/>
  <c r="Y843" i="35"/>
  <c r="Y99" i="35" s="1"/>
  <c r="Y830" i="35"/>
  <c r="Y86" i="35" s="1"/>
  <c r="Y819" i="35"/>
  <c r="Y844" i="35"/>
  <c r="Y100" i="35" s="1"/>
  <c r="Y836" i="35"/>
  <c r="Y92" i="35" s="1"/>
  <c r="Y823" i="35"/>
  <c r="Y79" i="35" s="1"/>
  <c r="Y841" i="35"/>
  <c r="Y97" i="35" s="1"/>
  <c r="Y831" i="35"/>
  <c r="Y87" i="35" s="1"/>
  <c r="Y826" i="35"/>
  <c r="Y82" i="35" s="1"/>
  <c r="Y846" i="35"/>
  <c r="Y102" i="35" s="1"/>
  <c r="Y849" i="35"/>
  <c r="Y105" i="35" s="1"/>
  <c r="Y829" i="35"/>
  <c r="Y85" i="35" s="1"/>
  <c r="Y840" i="35"/>
  <c r="Y96" i="35" s="1"/>
  <c r="Y854" i="35"/>
  <c r="Y110" i="35" s="1"/>
  <c r="Y832" i="35"/>
  <c r="Y88" i="35" s="1"/>
  <c r="Y842" i="35"/>
  <c r="Y98" i="35" s="1"/>
  <c r="Y833" i="35"/>
  <c r="Y89" i="35" s="1"/>
  <c r="Y834" i="35"/>
  <c r="Y90" i="35" s="1"/>
  <c r="Y838" i="35"/>
  <c r="Y94" i="35" s="1"/>
  <c r="Y909" i="35"/>
  <c r="Y165" i="35" s="1"/>
  <c r="Y822" i="35"/>
  <c r="Y78" i="35" s="1"/>
  <c r="Y862" i="35"/>
  <c r="Y118" i="35" s="1"/>
  <c r="Y866" i="35"/>
  <c r="Y122" i="35" s="1"/>
  <c r="Y881" i="35"/>
  <c r="Y137" i="35" s="1"/>
  <c r="Y874" i="35"/>
  <c r="Y130" i="35" s="1"/>
  <c r="Y870" i="35"/>
  <c r="Y126" i="35" s="1"/>
  <c r="Y894" i="35"/>
  <c r="Y150" i="35" s="1"/>
  <c r="Y902" i="35"/>
  <c r="Y158" i="35" s="1"/>
  <c r="Y911" i="35"/>
  <c r="Y167" i="35" s="1"/>
  <c r="Y916" i="35"/>
  <c r="Y172" i="35" s="1"/>
  <c r="Y858" i="35"/>
  <c r="Y114" i="35" s="1"/>
  <c r="Y883" i="35"/>
  <c r="Y139" i="35" s="1"/>
  <c r="Y913" i="35"/>
  <c r="Y169" i="35" s="1"/>
  <c r="Y889" i="35"/>
  <c r="Y145" i="35" s="1"/>
  <c r="Y890" i="35"/>
  <c r="Y146" i="35" s="1"/>
  <c r="Y861" i="35"/>
  <c r="Y117" i="35" s="1"/>
  <c r="Y880" i="35"/>
  <c r="Y136" i="35" s="1"/>
  <c r="Y876" i="35"/>
  <c r="Y132" i="35" s="1"/>
  <c r="Y891" i="35"/>
  <c r="Y147" i="35" s="1"/>
  <c r="Y856" i="35"/>
  <c r="Y112" i="35" s="1"/>
  <c r="Y878" i="35"/>
  <c r="Y134" i="35" s="1"/>
  <c r="Y899" i="35"/>
  <c r="Y155" i="35" s="1"/>
  <c r="Y865" i="35"/>
  <c r="Y121" i="35" s="1"/>
  <c r="Y877" i="35"/>
  <c r="Y133" i="35" s="1"/>
  <c r="Y914" i="35"/>
  <c r="Y170" i="35" s="1"/>
  <c r="Y873" i="35"/>
  <c r="Y129" i="35" s="1"/>
  <c r="Y906" i="35"/>
  <c r="Y162" i="35" s="1"/>
  <c r="Y895" i="35"/>
  <c r="Y151" i="35" s="1"/>
  <c r="Y898" i="35"/>
  <c r="Y154" i="35" s="1"/>
  <c r="Y905" i="35"/>
  <c r="Y161" i="35" s="1"/>
  <c r="Y863" i="35"/>
  <c r="Y119" i="35" s="1"/>
  <c r="Y907" i="35"/>
  <c r="Y163" i="35" s="1"/>
  <c r="Y859" i="35"/>
  <c r="Y115" i="35" s="1"/>
  <c r="Y896" i="35"/>
  <c r="Y152" i="35" s="1"/>
  <c r="Y868" i="35"/>
  <c r="Y124" i="35" s="1"/>
  <c r="Y910" i="35"/>
  <c r="Y166" i="35" s="1"/>
  <c r="Y900" i="35"/>
  <c r="Y156" i="35" s="1"/>
  <c r="Y904" i="35"/>
  <c r="Y160" i="35" s="1"/>
  <c r="Y915" i="35"/>
  <c r="Y171" i="35" s="1"/>
  <c r="Y903" i="35"/>
  <c r="Y159" i="35" s="1"/>
  <c r="Y882" i="35"/>
  <c r="Y138" i="35" s="1"/>
  <c r="Y893" i="35"/>
  <c r="Y149" i="35" s="1"/>
  <c r="Y860" i="35"/>
  <c r="Y116" i="35" s="1"/>
  <c r="Y908" i="35"/>
  <c r="Y164" i="35" s="1"/>
  <c r="Y857" i="35"/>
  <c r="Y113" i="35" s="1"/>
  <c r="Y892" i="35"/>
  <c r="Y148" i="35" s="1"/>
  <c r="Y867" i="35"/>
  <c r="Y123" i="35" s="1"/>
  <c r="Y872" i="35"/>
  <c r="Y128" i="35" s="1"/>
  <c r="Y901" i="35"/>
  <c r="Y157" i="35" s="1"/>
  <c r="Y871" i="35"/>
  <c r="Y127" i="35" s="1"/>
  <c r="Y864" i="35"/>
  <c r="Y120" i="35" s="1"/>
  <c r="Y912" i="35"/>
  <c r="Y168" i="35" s="1"/>
  <c r="Y869" i="35"/>
  <c r="Y125" i="35" s="1"/>
  <c r="Y875" i="35"/>
  <c r="Y131" i="35" s="1"/>
  <c r="Y897" i="35"/>
  <c r="Y153" i="35" s="1"/>
  <c r="Y879" i="35"/>
  <c r="Y135" i="35" s="1"/>
  <c r="Y855" i="35"/>
  <c r="Y111" i="35" s="1"/>
  <c r="Y888" i="35"/>
  <c r="Y144" i="35" s="1"/>
  <c r="I177" i="35"/>
  <c r="I188" i="35"/>
  <c r="I185" i="35"/>
  <c r="I204" i="35"/>
  <c r="Q923" i="35"/>
  <c r="Q212" i="35" s="1"/>
  <c r="Q941" i="35"/>
  <c r="Q230" i="35" s="1"/>
  <c r="Q989" i="35"/>
  <c r="Q278" i="35" s="1"/>
  <c r="Q946" i="35"/>
  <c r="Q235" i="35" s="1"/>
  <c r="Q945" i="35"/>
  <c r="Q234" i="35" s="1"/>
  <c r="Q934" i="35"/>
  <c r="Q223" i="35" s="1"/>
  <c r="Q949" i="35"/>
  <c r="Q238" i="35" s="1"/>
  <c r="Q943" i="35"/>
  <c r="Q232" i="35" s="1"/>
  <c r="Q932" i="35"/>
  <c r="Q221" i="35" s="1"/>
  <c r="Q927" i="35"/>
  <c r="Q216" i="35" s="1"/>
  <c r="Q952" i="35"/>
  <c r="Q241" i="35" s="1"/>
  <c r="Q925" i="35"/>
  <c r="Q214" i="35" s="1"/>
  <c r="Q938" i="35"/>
  <c r="Q227" i="35" s="1"/>
  <c r="Q930" i="35"/>
  <c r="Q219" i="35" s="1"/>
  <c r="Q928" i="35"/>
  <c r="Q217" i="35" s="1"/>
  <c r="Q939" i="35"/>
  <c r="Q228" i="35" s="1"/>
  <c r="Q929" i="35"/>
  <c r="Q218" i="35" s="1"/>
  <c r="Q937" i="35"/>
  <c r="Q226" i="35" s="1"/>
  <c r="Q926" i="35"/>
  <c r="Q215" i="35" s="1"/>
  <c r="Q947" i="35"/>
  <c r="Q236" i="35" s="1"/>
  <c r="Q936" i="35"/>
  <c r="Q225" i="35" s="1"/>
  <c r="Q940" i="35"/>
  <c r="Q229" i="35" s="1"/>
  <c r="Q950" i="35"/>
  <c r="Q239" i="35" s="1"/>
  <c r="Q942" i="35"/>
  <c r="Q231" i="35" s="1"/>
  <c r="Q951" i="35"/>
  <c r="Q240" i="35" s="1"/>
  <c r="Q935" i="35"/>
  <c r="Q224" i="35" s="1"/>
  <c r="Q931" i="35"/>
  <c r="Q220" i="35" s="1"/>
  <c r="Q948" i="35"/>
  <c r="Q237" i="35" s="1"/>
  <c r="Q944" i="35"/>
  <c r="Q233" i="35" s="1"/>
  <c r="Q956" i="35"/>
  <c r="Q245" i="35" s="1"/>
  <c r="Q933" i="35"/>
  <c r="Q222" i="35" s="1"/>
  <c r="Q924" i="35"/>
  <c r="Q213" i="35" s="1"/>
  <c r="Q1011" i="35"/>
  <c r="Q300" i="35" s="1"/>
  <c r="Q980" i="35"/>
  <c r="Q269" i="35" s="1"/>
  <c r="Q1010" i="35"/>
  <c r="Q299" i="35" s="1"/>
  <c r="Q976" i="35"/>
  <c r="Q265" i="35" s="1"/>
  <c r="Q1008" i="35"/>
  <c r="Q297" i="35" s="1"/>
  <c r="Q1002" i="35"/>
  <c r="Q291" i="35" s="1"/>
  <c r="Q985" i="35"/>
  <c r="Q274" i="35" s="1"/>
  <c r="Q978" i="35"/>
  <c r="Q267" i="35" s="1"/>
  <c r="Q965" i="35"/>
  <c r="Q254" i="35" s="1"/>
  <c r="Q958" i="35"/>
  <c r="Q247" i="35" s="1"/>
  <c r="Q964" i="35"/>
  <c r="Q253" i="35" s="1"/>
  <c r="Q1001" i="35"/>
  <c r="Q290" i="35" s="1"/>
  <c r="Q969" i="35"/>
  <c r="Q258" i="35" s="1"/>
  <c r="Q975" i="35"/>
  <c r="Q264" i="35" s="1"/>
  <c r="Q970" i="35"/>
  <c r="Q259" i="35" s="1"/>
  <c r="Q1016" i="35"/>
  <c r="Q305" i="35" s="1"/>
  <c r="Q1018" i="35"/>
  <c r="Q307" i="35" s="1"/>
  <c r="Q983" i="35"/>
  <c r="Q272" i="35" s="1"/>
  <c r="Q973" i="35"/>
  <c r="Q262" i="35" s="1"/>
  <c r="Q993" i="35"/>
  <c r="Q282" i="35" s="1"/>
  <c r="Q959" i="35"/>
  <c r="Q248" i="35" s="1"/>
  <c r="Q1004" i="35"/>
  <c r="Q293" i="35" s="1"/>
  <c r="Q1000" i="35"/>
  <c r="Q289" i="35" s="1"/>
  <c r="Q1003" i="35"/>
  <c r="Q292" i="35" s="1"/>
  <c r="Q966" i="35"/>
  <c r="Q255" i="35" s="1"/>
  <c r="Q996" i="35"/>
  <c r="Q285" i="35" s="1"/>
  <c r="Q1009" i="35"/>
  <c r="Q298" i="35" s="1"/>
  <c r="Q979" i="35"/>
  <c r="Q268" i="35" s="1"/>
  <c r="Q995" i="35"/>
  <c r="Q284" i="35" s="1"/>
  <c r="Q967" i="35"/>
  <c r="Q256" i="35" s="1"/>
  <c r="Q998" i="35"/>
  <c r="Q287" i="35" s="1"/>
  <c r="Q1012" i="35"/>
  <c r="Q301" i="35" s="1"/>
  <c r="Q971" i="35"/>
  <c r="Q260" i="35" s="1"/>
  <c r="Q997" i="35"/>
  <c r="Q286" i="35" s="1"/>
  <c r="Q977" i="35"/>
  <c r="Q266" i="35" s="1"/>
  <c r="Q972" i="35"/>
  <c r="Q261" i="35" s="1"/>
  <c r="Q1006" i="35"/>
  <c r="Q295" i="35" s="1"/>
  <c r="Q963" i="35"/>
  <c r="Q252" i="35" s="1"/>
  <c r="Q992" i="35"/>
  <c r="Q281" i="35" s="1"/>
  <c r="Q999" i="35"/>
  <c r="Q288" i="35" s="1"/>
  <c r="Q960" i="35"/>
  <c r="Q249" i="35" s="1"/>
  <c r="Q1013" i="35"/>
  <c r="Q302" i="35" s="1"/>
  <c r="Q1014" i="35"/>
  <c r="Q303" i="35" s="1"/>
  <c r="Q981" i="35"/>
  <c r="Q270" i="35" s="1"/>
  <c r="Q961" i="35"/>
  <c r="Q250" i="35" s="1"/>
  <c r="Q982" i="35"/>
  <c r="Q271" i="35" s="1"/>
  <c r="Q1007" i="35"/>
  <c r="Q296" i="35" s="1"/>
  <c r="Q1005" i="35"/>
  <c r="Q294" i="35" s="1"/>
  <c r="Q1017" i="35"/>
  <c r="Q306" i="35" s="1"/>
  <c r="Q962" i="35"/>
  <c r="Q251" i="35" s="1"/>
  <c r="Q968" i="35"/>
  <c r="Q257" i="35" s="1"/>
  <c r="Q984" i="35"/>
  <c r="Q273" i="35" s="1"/>
  <c r="Q974" i="35"/>
  <c r="Q263" i="35" s="1"/>
  <c r="Q991" i="35"/>
  <c r="Q280" i="35" s="1"/>
  <c r="Q994" i="35"/>
  <c r="Q283" i="35" s="1"/>
  <c r="Q1015" i="35"/>
  <c r="Q304" i="35" s="1"/>
  <c r="Q957" i="35"/>
  <c r="Q246" i="35" s="1"/>
  <c r="Q990" i="35"/>
  <c r="Q279" i="35" s="1"/>
  <c r="N581" i="35"/>
  <c r="G480" i="35"/>
  <c r="G210" i="35"/>
  <c r="G345" i="35"/>
  <c r="U458" i="35"/>
  <c r="J923" i="35"/>
  <c r="J212" i="35" s="1"/>
  <c r="J989" i="35"/>
  <c r="J278" i="35" s="1"/>
  <c r="J951" i="35"/>
  <c r="J240" i="35" s="1"/>
  <c r="J944" i="35"/>
  <c r="J233" i="35" s="1"/>
  <c r="J938" i="35"/>
  <c r="J227" i="35" s="1"/>
  <c r="J930" i="35"/>
  <c r="J219" i="35" s="1"/>
  <c r="J941" i="35"/>
  <c r="J230" i="35" s="1"/>
  <c r="J931" i="35"/>
  <c r="J220" i="35" s="1"/>
  <c r="J926" i="35"/>
  <c r="J215" i="35" s="1"/>
  <c r="J932" i="35"/>
  <c r="J221" i="35" s="1"/>
  <c r="J948" i="35"/>
  <c r="J237" i="35" s="1"/>
  <c r="J924" i="35"/>
  <c r="J213" i="35" s="1"/>
  <c r="J937" i="35"/>
  <c r="J226" i="35" s="1"/>
  <c r="J956" i="35"/>
  <c r="J245" i="35" s="1"/>
  <c r="J952" i="35"/>
  <c r="J241" i="35" s="1"/>
  <c r="J945" i="35"/>
  <c r="J234" i="35" s="1"/>
  <c r="J942" i="35"/>
  <c r="J231" i="35" s="1"/>
  <c r="J927" i="35"/>
  <c r="J216" i="35" s="1"/>
  <c r="J1010" i="35"/>
  <c r="J299" i="35" s="1"/>
  <c r="J1002" i="35"/>
  <c r="J291" i="35" s="1"/>
  <c r="J934" i="35"/>
  <c r="J223" i="35" s="1"/>
  <c r="J928" i="35"/>
  <c r="J217" i="35" s="1"/>
  <c r="J935" i="35"/>
  <c r="J224" i="35" s="1"/>
  <c r="J939" i="35"/>
  <c r="J228" i="35" s="1"/>
  <c r="J947" i="35"/>
  <c r="J236" i="35" s="1"/>
  <c r="J936" i="35"/>
  <c r="J225" i="35" s="1"/>
  <c r="J925" i="35"/>
  <c r="J214" i="35" s="1"/>
  <c r="J950" i="35"/>
  <c r="J239" i="35" s="1"/>
  <c r="J946" i="35"/>
  <c r="J235" i="35" s="1"/>
  <c r="J943" i="35"/>
  <c r="J232" i="35" s="1"/>
  <c r="J949" i="35"/>
  <c r="J238" i="35" s="1"/>
  <c r="J1011" i="35"/>
  <c r="J300" i="35" s="1"/>
  <c r="J1001" i="35"/>
  <c r="J290" i="35" s="1"/>
  <c r="J969" i="35"/>
  <c r="J258" i="35" s="1"/>
  <c r="J940" i="35"/>
  <c r="J229" i="35" s="1"/>
  <c r="J929" i="35"/>
  <c r="J218" i="35" s="1"/>
  <c r="J933" i="35"/>
  <c r="J222" i="35" s="1"/>
  <c r="J978" i="35"/>
  <c r="J267" i="35" s="1"/>
  <c r="J965" i="35"/>
  <c r="J254" i="35" s="1"/>
  <c r="J964" i="35"/>
  <c r="J253" i="35" s="1"/>
  <c r="J976" i="35"/>
  <c r="J265" i="35" s="1"/>
  <c r="J985" i="35"/>
  <c r="J274" i="35" s="1"/>
  <c r="J958" i="35"/>
  <c r="J247" i="35" s="1"/>
  <c r="J975" i="35"/>
  <c r="J264" i="35" s="1"/>
  <c r="J1018" i="35"/>
  <c r="J307" i="35" s="1"/>
  <c r="J1016" i="35"/>
  <c r="J305" i="35" s="1"/>
  <c r="J970" i="35"/>
  <c r="J259" i="35" s="1"/>
  <c r="J980" i="35"/>
  <c r="J269" i="35" s="1"/>
  <c r="J1008" i="35"/>
  <c r="J297" i="35" s="1"/>
  <c r="J992" i="35"/>
  <c r="J281" i="35" s="1"/>
  <c r="J998" i="35"/>
  <c r="J287" i="35" s="1"/>
  <c r="J996" i="35"/>
  <c r="J285" i="35" s="1"/>
  <c r="J966" i="35"/>
  <c r="J255" i="35" s="1"/>
  <c r="J991" i="35"/>
  <c r="J280" i="35" s="1"/>
  <c r="J959" i="35"/>
  <c r="J248" i="35" s="1"/>
  <c r="J973" i="35"/>
  <c r="J262" i="35" s="1"/>
  <c r="J967" i="35"/>
  <c r="J256" i="35" s="1"/>
  <c r="J1003" i="35"/>
  <c r="J292" i="35" s="1"/>
  <c r="J979" i="35"/>
  <c r="J268" i="35" s="1"/>
  <c r="J995" i="35"/>
  <c r="J284" i="35" s="1"/>
  <c r="J1012" i="35"/>
  <c r="J301" i="35" s="1"/>
  <c r="J1004" i="35"/>
  <c r="J293" i="35" s="1"/>
  <c r="J962" i="35"/>
  <c r="J251" i="35" s="1"/>
  <c r="J972" i="35"/>
  <c r="J261" i="35" s="1"/>
  <c r="J961" i="35"/>
  <c r="J250" i="35" s="1"/>
  <c r="J1013" i="35"/>
  <c r="J302" i="35" s="1"/>
  <c r="J1017" i="35"/>
  <c r="J306" i="35" s="1"/>
  <c r="J1000" i="35"/>
  <c r="J289" i="35" s="1"/>
  <c r="J963" i="35"/>
  <c r="J252" i="35" s="1"/>
  <c r="J984" i="35"/>
  <c r="J273" i="35" s="1"/>
  <c r="J1009" i="35"/>
  <c r="J298" i="35" s="1"/>
  <c r="J993" i="35"/>
  <c r="J282" i="35" s="1"/>
  <c r="J971" i="35"/>
  <c r="J260" i="35" s="1"/>
  <c r="J977" i="35"/>
  <c r="J266" i="35" s="1"/>
  <c r="J1014" i="35"/>
  <c r="J303" i="35" s="1"/>
  <c r="J983" i="35"/>
  <c r="J272" i="35" s="1"/>
  <c r="J999" i="35"/>
  <c r="J288" i="35" s="1"/>
  <c r="J1006" i="35"/>
  <c r="J295" i="35" s="1"/>
  <c r="J1005" i="35"/>
  <c r="J294" i="35" s="1"/>
  <c r="J981" i="35"/>
  <c r="J270" i="35" s="1"/>
  <c r="J1015" i="35"/>
  <c r="J304" i="35" s="1"/>
  <c r="J960" i="35"/>
  <c r="J249" i="35" s="1"/>
  <c r="J968" i="35"/>
  <c r="J257" i="35" s="1"/>
  <c r="J974" i="35"/>
  <c r="J263" i="35" s="1"/>
  <c r="J982" i="35"/>
  <c r="J271" i="35" s="1"/>
  <c r="J994" i="35"/>
  <c r="J283" i="35" s="1"/>
  <c r="J997" i="35"/>
  <c r="J286" i="35" s="1"/>
  <c r="J1007" i="35"/>
  <c r="J296" i="35" s="1"/>
  <c r="J957" i="35"/>
  <c r="J246" i="35" s="1"/>
  <c r="J990" i="35"/>
  <c r="J279" i="35" s="1"/>
  <c r="I609" i="35"/>
  <c r="I591" i="35"/>
  <c r="I607" i="35"/>
  <c r="K360" i="35"/>
  <c r="K305" i="35"/>
  <c r="K1127" i="35"/>
  <c r="K482" i="35" s="1"/>
  <c r="K1152" i="35"/>
  <c r="K507" i="35" s="1"/>
  <c r="K1146" i="35"/>
  <c r="K501" i="35" s="1"/>
  <c r="K1151" i="35"/>
  <c r="K506" i="35" s="1"/>
  <c r="K1138" i="35"/>
  <c r="K493" i="35" s="1"/>
  <c r="K1145" i="35"/>
  <c r="K500" i="35" s="1"/>
  <c r="K1141" i="35"/>
  <c r="K496" i="35" s="1"/>
  <c r="K1140" i="35"/>
  <c r="K495" i="35" s="1"/>
  <c r="K1139" i="35"/>
  <c r="K494" i="35" s="1"/>
  <c r="K1131" i="35"/>
  <c r="K486" i="35" s="1"/>
  <c r="K1153" i="35"/>
  <c r="K508" i="35" s="1"/>
  <c r="K1142" i="35"/>
  <c r="K497" i="35" s="1"/>
  <c r="K1136" i="35"/>
  <c r="K491" i="35" s="1"/>
  <c r="K1137" i="35"/>
  <c r="K492" i="35" s="1"/>
  <c r="K1133" i="35"/>
  <c r="K488" i="35" s="1"/>
  <c r="K1130" i="35"/>
  <c r="K485" i="35" s="1"/>
  <c r="K1155" i="35"/>
  <c r="K510" i="35" s="1"/>
  <c r="K1147" i="35"/>
  <c r="K502" i="35" s="1"/>
  <c r="K1148" i="35"/>
  <c r="K503" i="35" s="1"/>
  <c r="K1135" i="35"/>
  <c r="K490" i="35" s="1"/>
  <c r="K1144" i="35"/>
  <c r="K499" i="35" s="1"/>
  <c r="K1134" i="35"/>
  <c r="K489" i="35" s="1"/>
  <c r="K1143" i="35"/>
  <c r="K498" i="35" s="1"/>
  <c r="K1154" i="35"/>
  <c r="K509" i="35" s="1"/>
  <c r="K1149" i="35"/>
  <c r="K504" i="35" s="1"/>
  <c r="K1150" i="35"/>
  <c r="K505" i="35" s="1"/>
  <c r="K1129" i="35"/>
  <c r="K484" i="35" s="1"/>
  <c r="K1132" i="35"/>
  <c r="K487" i="35" s="1"/>
  <c r="K1156" i="35"/>
  <c r="K511" i="35" s="1"/>
  <c r="K1160" i="35"/>
  <c r="K515" i="35" s="1"/>
  <c r="K1193" i="35"/>
  <c r="K548" i="35" s="1"/>
  <c r="K1198" i="35"/>
  <c r="K553" i="35" s="1"/>
  <c r="K1207" i="35"/>
  <c r="K562" i="35" s="1"/>
  <c r="K1189" i="35"/>
  <c r="K544" i="35" s="1"/>
  <c r="K1165" i="35"/>
  <c r="K520" i="35" s="1"/>
  <c r="K1187" i="35"/>
  <c r="K542" i="35" s="1"/>
  <c r="K1188" i="35"/>
  <c r="K543" i="35" s="1"/>
  <c r="K1179" i="35"/>
  <c r="K534" i="35" s="1"/>
  <c r="K1220" i="35"/>
  <c r="K575" i="35" s="1"/>
  <c r="K1221" i="35"/>
  <c r="K576" i="35" s="1"/>
  <c r="K1175" i="35"/>
  <c r="K530" i="35" s="1"/>
  <c r="K1128" i="35"/>
  <c r="K483" i="35" s="1"/>
  <c r="K1212" i="35"/>
  <c r="K567" i="35" s="1"/>
  <c r="K1217" i="35"/>
  <c r="K572" i="35" s="1"/>
  <c r="K1185" i="35"/>
  <c r="K540" i="35" s="1"/>
  <c r="K1210" i="35"/>
  <c r="K565" i="35" s="1"/>
  <c r="K1171" i="35"/>
  <c r="K526" i="35" s="1"/>
  <c r="K1209" i="35"/>
  <c r="K564" i="35" s="1"/>
  <c r="K1216" i="35"/>
  <c r="K571" i="35" s="1"/>
  <c r="K1204" i="35"/>
  <c r="K559" i="35" s="1"/>
  <c r="K1184" i="35"/>
  <c r="K539" i="35" s="1"/>
  <c r="K1174" i="35"/>
  <c r="K529" i="35" s="1"/>
  <c r="K1202" i="35"/>
  <c r="K557" i="35" s="1"/>
  <c r="K1213" i="35"/>
  <c r="K568" i="35" s="1"/>
  <c r="K1195" i="35"/>
  <c r="K550" i="35" s="1"/>
  <c r="K1206" i="35"/>
  <c r="K561" i="35" s="1"/>
  <c r="K1176" i="35"/>
  <c r="K531" i="35" s="1"/>
  <c r="K1197" i="35"/>
  <c r="K552" i="35" s="1"/>
  <c r="K1201" i="35"/>
  <c r="K556" i="35" s="1"/>
  <c r="K1180" i="35"/>
  <c r="K535" i="35" s="1"/>
  <c r="K1199" i="35"/>
  <c r="K554" i="35" s="1"/>
  <c r="K1208" i="35"/>
  <c r="K563" i="35" s="1"/>
  <c r="K1218" i="35"/>
  <c r="K573" i="35" s="1"/>
  <c r="K1183" i="35"/>
  <c r="K538" i="35" s="1"/>
  <c r="K1169" i="35"/>
  <c r="K524" i="35" s="1"/>
  <c r="K1163" i="35"/>
  <c r="K518" i="35" s="1"/>
  <c r="K1177" i="35"/>
  <c r="K532" i="35" s="1"/>
  <c r="K1162" i="35"/>
  <c r="K517" i="35" s="1"/>
  <c r="K1168" i="35"/>
  <c r="K523" i="35" s="1"/>
  <c r="K1215" i="35"/>
  <c r="K570" i="35" s="1"/>
  <c r="K1170" i="35"/>
  <c r="K525" i="35" s="1"/>
  <c r="K1164" i="35"/>
  <c r="K519" i="35" s="1"/>
  <c r="K1167" i="35"/>
  <c r="K522" i="35" s="1"/>
  <c r="K1181" i="35"/>
  <c r="K536" i="35" s="1"/>
  <c r="K1205" i="35"/>
  <c r="K560" i="35" s="1"/>
  <c r="K1211" i="35"/>
  <c r="K566" i="35" s="1"/>
  <c r="K1196" i="35"/>
  <c r="K551" i="35" s="1"/>
  <c r="K1166" i="35"/>
  <c r="K521" i="35" s="1"/>
  <c r="K1178" i="35"/>
  <c r="K533" i="35" s="1"/>
  <c r="K1222" i="35"/>
  <c r="K577" i="35" s="1"/>
  <c r="K1186" i="35"/>
  <c r="K541" i="35" s="1"/>
  <c r="K1200" i="35"/>
  <c r="K555" i="35" s="1"/>
  <c r="K1173" i="35"/>
  <c r="K528" i="35" s="1"/>
  <c r="K1214" i="35"/>
  <c r="K569" i="35" s="1"/>
  <c r="K1203" i="35"/>
  <c r="K558" i="35" s="1"/>
  <c r="K1219" i="35"/>
  <c r="K574" i="35" s="1"/>
  <c r="K1172" i="35"/>
  <c r="K527" i="35" s="1"/>
  <c r="K1182" i="35"/>
  <c r="K537" i="35" s="1"/>
  <c r="K1161" i="35"/>
  <c r="K516" i="35" s="1"/>
  <c r="K1194" i="35"/>
  <c r="K549" i="35" s="1"/>
  <c r="N335" i="35"/>
  <c r="N339" i="35"/>
  <c r="N336" i="35"/>
  <c r="I461" i="35"/>
  <c r="I473" i="35"/>
  <c r="I450" i="35"/>
  <c r="I453" i="35"/>
  <c r="R335" i="35"/>
  <c r="R313" i="35"/>
  <c r="R334" i="35"/>
  <c r="L1127" i="35"/>
  <c r="L482" i="35" s="1"/>
  <c r="L1152" i="35"/>
  <c r="L507" i="35" s="1"/>
  <c r="L1151" i="35"/>
  <c r="L506" i="35" s="1"/>
  <c r="L1139" i="35"/>
  <c r="L494" i="35" s="1"/>
  <c r="L1141" i="35"/>
  <c r="L496" i="35" s="1"/>
  <c r="L1131" i="35"/>
  <c r="L486" i="35" s="1"/>
  <c r="L1138" i="35"/>
  <c r="L493" i="35" s="1"/>
  <c r="L1142" i="35"/>
  <c r="L497" i="35" s="1"/>
  <c r="L1146" i="35"/>
  <c r="L501" i="35" s="1"/>
  <c r="L1140" i="35"/>
  <c r="L495" i="35" s="1"/>
  <c r="L1153" i="35"/>
  <c r="L508" i="35" s="1"/>
  <c r="L1145" i="35"/>
  <c r="L500" i="35" s="1"/>
  <c r="L1135" i="35"/>
  <c r="L490" i="35" s="1"/>
  <c r="L1130" i="35"/>
  <c r="L485" i="35" s="1"/>
  <c r="L1143" i="35"/>
  <c r="L498" i="35" s="1"/>
  <c r="L1136" i="35"/>
  <c r="L491" i="35" s="1"/>
  <c r="L1144" i="35"/>
  <c r="L499" i="35" s="1"/>
  <c r="L1134" i="35"/>
  <c r="L489" i="35" s="1"/>
  <c r="L1147" i="35"/>
  <c r="L502" i="35" s="1"/>
  <c r="L1137" i="35"/>
  <c r="L492" i="35" s="1"/>
  <c r="L1148" i="35"/>
  <c r="L503" i="35" s="1"/>
  <c r="L1133" i="35"/>
  <c r="L488" i="35" s="1"/>
  <c r="L1155" i="35"/>
  <c r="L510" i="35" s="1"/>
  <c r="L1150" i="35"/>
  <c r="L505" i="35" s="1"/>
  <c r="L1129" i="35"/>
  <c r="L484" i="35" s="1"/>
  <c r="L1132" i="35"/>
  <c r="L487" i="35" s="1"/>
  <c r="L1156" i="35"/>
  <c r="L511" i="35" s="1"/>
  <c r="L1154" i="35"/>
  <c r="L509" i="35" s="1"/>
  <c r="L1160" i="35"/>
  <c r="L515" i="35" s="1"/>
  <c r="L1149" i="35"/>
  <c r="L504" i="35" s="1"/>
  <c r="L1193" i="35"/>
  <c r="L548" i="35" s="1"/>
  <c r="L1189" i="35"/>
  <c r="L544" i="35" s="1"/>
  <c r="L1171" i="35"/>
  <c r="L526" i="35" s="1"/>
  <c r="L1198" i="35"/>
  <c r="L553" i="35" s="1"/>
  <c r="L1221" i="35"/>
  <c r="L576" i="35" s="1"/>
  <c r="L1217" i="35"/>
  <c r="L572" i="35" s="1"/>
  <c r="L1212" i="35"/>
  <c r="L567" i="35" s="1"/>
  <c r="L1174" i="35"/>
  <c r="L529" i="35" s="1"/>
  <c r="L1185" i="35"/>
  <c r="L540" i="35" s="1"/>
  <c r="L1165" i="35"/>
  <c r="L520" i="35" s="1"/>
  <c r="L1187" i="35"/>
  <c r="L542" i="35" s="1"/>
  <c r="L1128" i="35"/>
  <c r="L483" i="35" s="1"/>
  <c r="L1207" i="35"/>
  <c r="L562" i="35" s="1"/>
  <c r="L1188" i="35"/>
  <c r="L543" i="35" s="1"/>
  <c r="L1220" i="35"/>
  <c r="L575" i="35" s="1"/>
  <c r="L1201" i="35"/>
  <c r="L556" i="35" s="1"/>
  <c r="L1218" i="35"/>
  <c r="L573" i="35" s="1"/>
  <c r="L1162" i="35"/>
  <c r="L517" i="35" s="1"/>
  <c r="L1213" i="35"/>
  <c r="L568" i="35" s="1"/>
  <c r="L1163" i="35"/>
  <c r="L518" i="35" s="1"/>
  <c r="L1206" i="35"/>
  <c r="L561" i="35" s="1"/>
  <c r="L1184" i="35"/>
  <c r="L539" i="35" s="1"/>
  <c r="L1176" i="35"/>
  <c r="L531" i="35" s="1"/>
  <c r="L1168" i="35"/>
  <c r="L523" i="35" s="1"/>
  <c r="L1195" i="35"/>
  <c r="L550" i="35" s="1"/>
  <c r="L1216" i="35"/>
  <c r="L571" i="35" s="1"/>
  <c r="L1208" i="35"/>
  <c r="L563" i="35" s="1"/>
  <c r="L1180" i="35"/>
  <c r="L535" i="35" s="1"/>
  <c r="L1183" i="35"/>
  <c r="L538" i="35" s="1"/>
  <c r="L1175" i="35"/>
  <c r="L530" i="35" s="1"/>
  <c r="L1177" i="35"/>
  <c r="L532" i="35" s="1"/>
  <c r="L1202" i="35"/>
  <c r="L557" i="35" s="1"/>
  <c r="L1197" i="35"/>
  <c r="L552" i="35" s="1"/>
  <c r="L1179" i="35"/>
  <c r="L534" i="35" s="1"/>
  <c r="L1211" i="35"/>
  <c r="L566" i="35" s="1"/>
  <c r="L1164" i="35"/>
  <c r="L519" i="35" s="1"/>
  <c r="L1210" i="35"/>
  <c r="L565" i="35" s="1"/>
  <c r="L1209" i="35"/>
  <c r="L564" i="35" s="1"/>
  <c r="L1204" i="35"/>
  <c r="L559" i="35" s="1"/>
  <c r="L1169" i="35"/>
  <c r="L524" i="35" s="1"/>
  <c r="L1173" i="35"/>
  <c r="L528" i="35" s="1"/>
  <c r="L1181" i="35"/>
  <c r="L536" i="35" s="1"/>
  <c r="L1205" i="35"/>
  <c r="L560" i="35" s="1"/>
  <c r="L1214" i="35"/>
  <c r="L569" i="35" s="1"/>
  <c r="L1219" i="35"/>
  <c r="L574" i="35" s="1"/>
  <c r="L1215" i="35"/>
  <c r="L570" i="35" s="1"/>
  <c r="L1203" i="35"/>
  <c r="L558" i="35" s="1"/>
  <c r="L1170" i="35"/>
  <c r="L525" i="35" s="1"/>
  <c r="L1199" i="35"/>
  <c r="L554" i="35" s="1"/>
  <c r="L1196" i="35"/>
  <c r="L551" i="35" s="1"/>
  <c r="L1166" i="35"/>
  <c r="L521" i="35" s="1"/>
  <c r="L1172" i="35"/>
  <c r="L527" i="35" s="1"/>
  <c r="L1200" i="35"/>
  <c r="L555" i="35" s="1"/>
  <c r="L1222" i="35"/>
  <c r="L577" i="35" s="1"/>
  <c r="L1182" i="35"/>
  <c r="L537" i="35" s="1"/>
  <c r="L1178" i="35"/>
  <c r="L533" i="35" s="1"/>
  <c r="L1167" i="35"/>
  <c r="L522" i="35" s="1"/>
  <c r="L1186" i="35"/>
  <c r="L541" i="35" s="1"/>
  <c r="L1194" i="35"/>
  <c r="L549" i="35" s="1"/>
  <c r="L1161" i="35"/>
  <c r="L516" i="35" s="1"/>
  <c r="Z1025" i="35"/>
  <c r="Z347" i="35" s="1"/>
  <c r="Z1051" i="35"/>
  <c r="Z373" i="35" s="1"/>
  <c r="Z1039" i="35"/>
  <c r="Z361" i="35" s="1"/>
  <c r="Z1052" i="35"/>
  <c r="Z374" i="35" s="1"/>
  <c r="Z1032" i="35"/>
  <c r="Z354" i="35" s="1"/>
  <c r="Z1030" i="35"/>
  <c r="Z352" i="35" s="1"/>
  <c r="Z1043" i="35"/>
  <c r="Z365" i="35" s="1"/>
  <c r="Z1054" i="35"/>
  <c r="Z376" i="35" s="1"/>
  <c r="Z1049" i="35"/>
  <c r="Z371" i="35" s="1"/>
  <c r="Z1041" i="35"/>
  <c r="Z363" i="35" s="1"/>
  <c r="Z1028" i="35"/>
  <c r="Z350" i="35" s="1"/>
  <c r="Z1053" i="35"/>
  <c r="Z375" i="35" s="1"/>
  <c r="Z1047" i="35"/>
  <c r="Z369" i="35" s="1"/>
  <c r="Z1046" i="35"/>
  <c r="Z368" i="35" s="1"/>
  <c r="Z1029" i="35"/>
  <c r="Z351" i="35" s="1"/>
  <c r="Z1035" i="35"/>
  <c r="Z357" i="35" s="1"/>
  <c r="Z1048" i="35"/>
  <c r="Z370" i="35" s="1"/>
  <c r="Z1031" i="35"/>
  <c r="Z353" i="35" s="1"/>
  <c r="Z1042" i="35"/>
  <c r="Z364" i="35" s="1"/>
  <c r="Z1034" i="35"/>
  <c r="Z356" i="35" s="1"/>
  <c r="Z1038" i="35"/>
  <c r="Z360" i="35" s="1"/>
  <c r="Z1027" i="35"/>
  <c r="Z349" i="35" s="1"/>
  <c r="Z1044" i="35"/>
  <c r="Z366" i="35" s="1"/>
  <c r="Z1037" i="35"/>
  <c r="Z359" i="35" s="1"/>
  <c r="Z1036" i="35"/>
  <c r="Z358" i="35" s="1"/>
  <c r="Z1050" i="35"/>
  <c r="Z372" i="35" s="1"/>
  <c r="Z1045" i="35"/>
  <c r="Z367" i="35" s="1"/>
  <c r="Z1033" i="35"/>
  <c r="Z355" i="35" s="1"/>
  <c r="Z1040" i="35"/>
  <c r="Z362" i="35" s="1"/>
  <c r="Z1058" i="35"/>
  <c r="Z380" i="35" s="1"/>
  <c r="Z1099" i="35"/>
  <c r="Z421" i="35" s="1"/>
  <c r="Z1093" i="35"/>
  <c r="Z415" i="35" s="1"/>
  <c r="Z1097" i="35"/>
  <c r="Z419" i="35" s="1"/>
  <c r="Z1085" i="35"/>
  <c r="Z407" i="35" s="1"/>
  <c r="Z1102" i="35"/>
  <c r="Z424" i="35" s="1"/>
  <c r="Z1064" i="35"/>
  <c r="Z386" i="35" s="1"/>
  <c r="Z1091" i="35"/>
  <c r="Z413" i="35" s="1"/>
  <c r="Z1026" i="35"/>
  <c r="Z348" i="35" s="1"/>
  <c r="Z1066" i="35"/>
  <c r="Z388" i="35" s="1"/>
  <c r="Z1084" i="35"/>
  <c r="Z406" i="35" s="1"/>
  <c r="Z1061" i="35"/>
  <c r="Z383" i="35" s="1"/>
  <c r="Z1118" i="35"/>
  <c r="Z440" i="35" s="1"/>
  <c r="Z1086" i="35"/>
  <c r="Z408" i="35" s="1"/>
  <c r="Z1120" i="35"/>
  <c r="Z442" i="35" s="1"/>
  <c r="Z1119" i="35"/>
  <c r="Z441" i="35" s="1"/>
  <c r="Z1080" i="35"/>
  <c r="Z402" i="35" s="1"/>
  <c r="Z1111" i="35"/>
  <c r="Z433" i="35" s="1"/>
  <c r="Z1114" i="35"/>
  <c r="Z436" i="35" s="1"/>
  <c r="Z1081" i="35"/>
  <c r="Z403" i="35" s="1"/>
  <c r="Z1104" i="35"/>
  <c r="Z426" i="35" s="1"/>
  <c r="Z1083" i="35"/>
  <c r="Z405" i="35" s="1"/>
  <c r="Z1101" i="35"/>
  <c r="Z423" i="35" s="1"/>
  <c r="Z1071" i="35"/>
  <c r="Z393" i="35" s="1"/>
  <c r="Z1069" i="35"/>
  <c r="Z391" i="35" s="1"/>
  <c r="Z1116" i="35"/>
  <c r="Z438" i="35" s="1"/>
  <c r="Z1068" i="35"/>
  <c r="Z390" i="35" s="1"/>
  <c r="Z1117" i="35"/>
  <c r="Z439" i="35" s="1"/>
  <c r="Z1113" i="35"/>
  <c r="Z435" i="35" s="1"/>
  <c r="Z1060" i="35"/>
  <c r="Z382" i="35" s="1"/>
  <c r="Z1105" i="35"/>
  <c r="Z427" i="35" s="1"/>
  <c r="Z1106" i="35"/>
  <c r="Z428" i="35" s="1"/>
  <c r="Z1103" i="35"/>
  <c r="Z425" i="35" s="1"/>
  <c r="Z1078" i="35"/>
  <c r="Z400" i="35" s="1"/>
  <c r="Z1070" i="35"/>
  <c r="Z392" i="35" s="1"/>
  <c r="Z1075" i="35"/>
  <c r="Z397" i="35" s="1"/>
  <c r="Z1087" i="35"/>
  <c r="Z409" i="35" s="1"/>
  <c r="Z1072" i="35"/>
  <c r="Z394" i="35" s="1"/>
  <c r="Z1095" i="35"/>
  <c r="Z417" i="35" s="1"/>
  <c r="Z1073" i="35"/>
  <c r="Z395" i="35" s="1"/>
  <c r="Z1098" i="35"/>
  <c r="Z420" i="35" s="1"/>
  <c r="Z1115" i="35"/>
  <c r="Z437" i="35" s="1"/>
  <c r="Z1076" i="35"/>
  <c r="Z398" i="35" s="1"/>
  <c r="Z1079" i="35"/>
  <c r="Z401" i="35" s="1"/>
  <c r="Z1107" i="35"/>
  <c r="Z429" i="35" s="1"/>
  <c r="Z1096" i="35"/>
  <c r="Z418" i="35" s="1"/>
  <c r="Z1062" i="35"/>
  <c r="Z384" i="35" s="1"/>
  <c r="Z1100" i="35"/>
  <c r="Z422" i="35" s="1"/>
  <c r="Z1074" i="35"/>
  <c r="Z396" i="35" s="1"/>
  <c r="Z1067" i="35"/>
  <c r="Z389" i="35" s="1"/>
  <c r="Z1082" i="35"/>
  <c r="Z404" i="35" s="1"/>
  <c r="Z1110" i="35"/>
  <c r="Z432" i="35" s="1"/>
  <c r="Z1109" i="35"/>
  <c r="Z431" i="35" s="1"/>
  <c r="Z1094" i="35"/>
  <c r="Z416" i="35" s="1"/>
  <c r="Z1108" i="35"/>
  <c r="Z430" i="35" s="1"/>
  <c r="Z1065" i="35"/>
  <c r="Z387" i="35" s="1"/>
  <c r="Z1077" i="35"/>
  <c r="Z399" i="35" s="1"/>
  <c r="Z1112" i="35"/>
  <c r="Z434" i="35" s="1"/>
  <c r="Z1063" i="35"/>
  <c r="Z385" i="35" s="1"/>
  <c r="Z1092" i="35"/>
  <c r="Z414" i="35" s="1"/>
  <c r="Z1059" i="35"/>
  <c r="Z381" i="35" s="1"/>
  <c r="Y938" i="35"/>
  <c r="Y227" i="35" s="1"/>
  <c r="Y945" i="35"/>
  <c r="Y234" i="35" s="1"/>
  <c r="Y931" i="35"/>
  <c r="Y220" i="35" s="1"/>
  <c r="Y947" i="35"/>
  <c r="Y236" i="35" s="1"/>
  <c r="Y934" i="35"/>
  <c r="Y223" i="35" s="1"/>
  <c r="Y951" i="35"/>
  <c r="Y240" i="35" s="1"/>
  <c r="Y923" i="35"/>
  <c r="Y212" i="35" s="1"/>
  <c r="Y933" i="35"/>
  <c r="Y222" i="35" s="1"/>
  <c r="Y949" i="35"/>
  <c r="Y238" i="35" s="1"/>
  <c r="Y956" i="35"/>
  <c r="Y245" i="35" s="1"/>
  <c r="Y928" i="35"/>
  <c r="Y217" i="35" s="1"/>
  <c r="Y936" i="35"/>
  <c r="Y225" i="35" s="1"/>
  <c r="Y932" i="35"/>
  <c r="Y221" i="35" s="1"/>
  <c r="Y946" i="35"/>
  <c r="Y235" i="35" s="1"/>
  <c r="Y948" i="35"/>
  <c r="Y237" i="35" s="1"/>
  <c r="Y952" i="35"/>
  <c r="Y241" i="35" s="1"/>
  <c r="Y944" i="35"/>
  <c r="Y233" i="35" s="1"/>
  <c r="Y935" i="35"/>
  <c r="Y224" i="35" s="1"/>
  <c r="Y925" i="35"/>
  <c r="Y214" i="35" s="1"/>
  <c r="Y927" i="35"/>
  <c r="Y216" i="35" s="1"/>
  <c r="Y939" i="35"/>
  <c r="Y228" i="35" s="1"/>
  <c r="Y937" i="35"/>
  <c r="Y226" i="35" s="1"/>
  <c r="Y941" i="35"/>
  <c r="Y230" i="35" s="1"/>
  <c r="Y930" i="35"/>
  <c r="Y219" i="35" s="1"/>
  <c r="Y950" i="35"/>
  <c r="Y239" i="35" s="1"/>
  <c r="Y929" i="35"/>
  <c r="Y218" i="35" s="1"/>
  <c r="Y943" i="35"/>
  <c r="Y232" i="35" s="1"/>
  <c r="Y989" i="35"/>
  <c r="Y278" i="35" s="1"/>
  <c r="Y942" i="35"/>
  <c r="Y231" i="35" s="1"/>
  <c r="Y926" i="35"/>
  <c r="Y215" i="35" s="1"/>
  <c r="Y940" i="35"/>
  <c r="Y229" i="35" s="1"/>
  <c r="Y924" i="35"/>
  <c r="Y213" i="35" s="1"/>
  <c r="Y976" i="35"/>
  <c r="Y265" i="35" s="1"/>
  <c r="Y980" i="35"/>
  <c r="Y269" i="35" s="1"/>
  <c r="Y1008" i="35"/>
  <c r="Y297" i="35" s="1"/>
  <c r="Y985" i="35"/>
  <c r="Y274" i="35" s="1"/>
  <c r="Y1010" i="35"/>
  <c r="Y299" i="35" s="1"/>
  <c r="Y1011" i="35"/>
  <c r="Y300" i="35" s="1"/>
  <c r="Y1001" i="35"/>
  <c r="Y290" i="35" s="1"/>
  <c r="Y1002" i="35"/>
  <c r="Y291" i="35" s="1"/>
  <c r="Y969" i="35"/>
  <c r="Y258" i="35" s="1"/>
  <c r="Y975" i="35"/>
  <c r="Y264" i="35" s="1"/>
  <c r="Y978" i="35"/>
  <c r="Y267" i="35" s="1"/>
  <c r="Y970" i="35"/>
  <c r="Y259" i="35" s="1"/>
  <c r="Y964" i="35"/>
  <c r="Y253" i="35" s="1"/>
  <c r="Y965" i="35"/>
  <c r="Y254" i="35" s="1"/>
  <c r="Y958" i="35"/>
  <c r="Y247" i="35" s="1"/>
  <c r="Y983" i="35"/>
  <c r="Y272" i="35" s="1"/>
  <c r="Y962" i="35"/>
  <c r="Y251" i="35" s="1"/>
  <c r="Y973" i="35"/>
  <c r="Y262" i="35" s="1"/>
  <c r="Y1018" i="35"/>
  <c r="Y307" i="35" s="1"/>
  <c r="Y979" i="35"/>
  <c r="Y268" i="35" s="1"/>
  <c r="Y1003" i="35"/>
  <c r="Y292" i="35" s="1"/>
  <c r="Y991" i="35"/>
  <c r="Y280" i="35" s="1"/>
  <c r="Y995" i="35"/>
  <c r="Y284" i="35" s="1"/>
  <c r="Y967" i="35"/>
  <c r="Y256" i="35" s="1"/>
  <c r="Y998" i="35"/>
  <c r="Y287" i="35" s="1"/>
  <c r="Y1012" i="35"/>
  <c r="Y301" i="35" s="1"/>
  <c r="Y999" i="35"/>
  <c r="Y288" i="35" s="1"/>
  <c r="Y1016" i="35"/>
  <c r="Y305" i="35" s="1"/>
  <c r="Y1009" i="35"/>
  <c r="Y298" i="35" s="1"/>
  <c r="Y993" i="35"/>
  <c r="Y282" i="35" s="1"/>
  <c r="Y992" i="35"/>
  <c r="Y281" i="35" s="1"/>
  <c r="Y966" i="35"/>
  <c r="Y255" i="35" s="1"/>
  <c r="Y1000" i="35"/>
  <c r="Y289" i="35" s="1"/>
  <c r="Y1004" i="35"/>
  <c r="Y293" i="35" s="1"/>
  <c r="Y959" i="35"/>
  <c r="Y248" i="35" s="1"/>
  <c r="Y977" i="35"/>
  <c r="Y266" i="35" s="1"/>
  <c r="Y981" i="35"/>
  <c r="Y270" i="35" s="1"/>
  <c r="Y1006" i="35"/>
  <c r="Y295" i="35" s="1"/>
  <c r="Y1005" i="35"/>
  <c r="Y294" i="35" s="1"/>
  <c r="Y1007" i="35"/>
  <c r="Y296" i="35" s="1"/>
  <c r="Y960" i="35"/>
  <c r="Y249" i="35" s="1"/>
  <c r="Y961" i="35"/>
  <c r="Y250" i="35" s="1"/>
  <c r="Y982" i="35"/>
  <c r="Y271" i="35" s="1"/>
  <c r="Y1013" i="35"/>
  <c r="Y302" i="35" s="1"/>
  <c r="Y1017" i="35"/>
  <c r="Y306" i="35" s="1"/>
  <c r="Y996" i="35"/>
  <c r="Y285" i="35" s="1"/>
  <c r="Y972" i="35"/>
  <c r="Y261" i="35" s="1"/>
  <c r="Y997" i="35"/>
  <c r="Y286" i="35" s="1"/>
  <c r="Y971" i="35"/>
  <c r="Y260" i="35" s="1"/>
  <c r="Y963" i="35"/>
  <c r="Y252" i="35" s="1"/>
  <c r="Y984" i="35"/>
  <c r="Y273" i="35" s="1"/>
  <c r="Y1014" i="35"/>
  <c r="Y303" i="35" s="1"/>
  <c r="Y974" i="35"/>
  <c r="Y263" i="35" s="1"/>
  <c r="Y994" i="35"/>
  <c r="Y283" i="35" s="1"/>
  <c r="Y1015" i="35"/>
  <c r="Y304" i="35" s="1"/>
  <c r="Y968" i="35"/>
  <c r="Y257" i="35" s="1"/>
  <c r="Y957" i="35"/>
  <c r="Y246" i="35" s="1"/>
  <c r="Y990" i="35"/>
  <c r="Y279" i="35" s="1"/>
  <c r="I178" i="35"/>
  <c r="I189" i="35"/>
  <c r="Q1025" i="35"/>
  <c r="Q347" i="35" s="1"/>
  <c r="Q1043" i="35"/>
  <c r="Q365" i="35" s="1"/>
  <c r="Q1030" i="35"/>
  <c r="Q352" i="35" s="1"/>
  <c r="Q1052" i="35"/>
  <c r="Q374" i="35" s="1"/>
  <c r="Q1035" i="35"/>
  <c r="Q357" i="35" s="1"/>
  <c r="Q1051" i="35"/>
  <c r="Q373" i="35" s="1"/>
  <c r="Q1054" i="35"/>
  <c r="Q376" i="35" s="1"/>
  <c r="Q1032" i="35"/>
  <c r="Q354" i="35" s="1"/>
  <c r="Q1041" i="35"/>
  <c r="Q363" i="35" s="1"/>
  <c r="Q1039" i="35"/>
  <c r="Q361" i="35" s="1"/>
  <c r="Q1042" i="35"/>
  <c r="Q364" i="35" s="1"/>
  <c r="Q1028" i="35"/>
  <c r="Q350" i="35" s="1"/>
  <c r="Q1044" i="35"/>
  <c r="Q366" i="35" s="1"/>
  <c r="Q1047" i="35"/>
  <c r="Q369" i="35" s="1"/>
  <c r="Q1038" i="35"/>
  <c r="Q360" i="35" s="1"/>
  <c r="Q1048" i="35"/>
  <c r="Q370" i="35" s="1"/>
  <c r="Q1027" i="35"/>
  <c r="Q349" i="35" s="1"/>
  <c r="Q1049" i="35"/>
  <c r="Q371" i="35" s="1"/>
  <c r="Q1029" i="35"/>
  <c r="Q351" i="35" s="1"/>
  <c r="Q1046" i="35"/>
  <c r="Q368" i="35" s="1"/>
  <c r="Q1053" i="35"/>
  <c r="Q375" i="35" s="1"/>
  <c r="Q1050" i="35"/>
  <c r="Q372" i="35" s="1"/>
  <c r="Q1031" i="35"/>
  <c r="Q353" i="35" s="1"/>
  <c r="Q1034" i="35"/>
  <c r="Q356" i="35" s="1"/>
  <c r="Q1033" i="35"/>
  <c r="Q355" i="35" s="1"/>
  <c r="Q1037" i="35"/>
  <c r="Q359" i="35" s="1"/>
  <c r="Q1045" i="35"/>
  <c r="Q367" i="35" s="1"/>
  <c r="Q1040" i="35"/>
  <c r="Q362" i="35" s="1"/>
  <c r="Q1036" i="35"/>
  <c r="Q358" i="35" s="1"/>
  <c r="Q1099" i="35"/>
  <c r="Q421" i="35" s="1"/>
  <c r="Q1086" i="35"/>
  <c r="Q408" i="35" s="1"/>
  <c r="Q1102" i="35"/>
  <c r="Q424" i="35" s="1"/>
  <c r="Q1026" i="35"/>
  <c r="Q348" i="35" s="1"/>
  <c r="Q1097" i="35"/>
  <c r="Q419" i="35" s="1"/>
  <c r="Q1118" i="35"/>
  <c r="Q440" i="35" s="1"/>
  <c r="Q1093" i="35"/>
  <c r="Q415" i="35" s="1"/>
  <c r="Q1066" i="35"/>
  <c r="Q388" i="35" s="1"/>
  <c r="Q1061" i="35"/>
  <c r="Q383" i="35" s="1"/>
  <c r="Q1085" i="35"/>
  <c r="Q407" i="35" s="1"/>
  <c r="Q1084" i="35"/>
  <c r="Q406" i="35" s="1"/>
  <c r="Q1091" i="35"/>
  <c r="Q413" i="35" s="1"/>
  <c r="Q1058" i="35"/>
  <c r="Q380" i="35" s="1"/>
  <c r="Q1120" i="35"/>
  <c r="Q442" i="35" s="1"/>
  <c r="Q1064" i="35"/>
  <c r="Q386" i="35" s="1"/>
  <c r="Q1111" i="35"/>
  <c r="Q433" i="35" s="1"/>
  <c r="Q1119" i="35"/>
  <c r="Q441" i="35" s="1"/>
  <c r="Q1068" i="35"/>
  <c r="Q390" i="35" s="1"/>
  <c r="Q1083" i="35"/>
  <c r="Q405" i="35" s="1"/>
  <c r="Q1105" i="35"/>
  <c r="Q427" i="35" s="1"/>
  <c r="Q1081" i="35"/>
  <c r="Q403" i="35" s="1"/>
  <c r="Q1071" i="35"/>
  <c r="Q393" i="35" s="1"/>
  <c r="Q1104" i="35"/>
  <c r="Q426" i="35" s="1"/>
  <c r="Q1101" i="35"/>
  <c r="Q423" i="35" s="1"/>
  <c r="Q1117" i="35"/>
  <c r="Q439" i="35" s="1"/>
  <c r="Q1114" i="35"/>
  <c r="Q436" i="35" s="1"/>
  <c r="Q1069" i="35"/>
  <c r="Q391" i="35" s="1"/>
  <c r="Q1113" i="35"/>
  <c r="Q435" i="35" s="1"/>
  <c r="Q1080" i="35"/>
  <c r="Q402" i="35" s="1"/>
  <c r="Q1116" i="35"/>
  <c r="Q438" i="35" s="1"/>
  <c r="Q1060" i="35"/>
  <c r="Q382" i="35" s="1"/>
  <c r="Q1078" i="35"/>
  <c r="Q400" i="35" s="1"/>
  <c r="Q1072" i="35"/>
  <c r="Q394" i="35" s="1"/>
  <c r="Q1065" i="35"/>
  <c r="Q387" i="35" s="1"/>
  <c r="Q1103" i="35"/>
  <c r="Q425" i="35" s="1"/>
  <c r="Q1100" i="35"/>
  <c r="Q422" i="35" s="1"/>
  <c r="Q1070" i="35"/>
  <c r="Q392" i="35" s="1"/>
  <c r="Q1107" i="35"/>
  <c r="Q429" i="35" s="1"/>
  <c r="Q1109" i="35"/>
  <c r="Q431" i="35" s="1"/>
  <c r="Q1062" i="35"/>
  <c r="Q384" i="35" s="1"/>
  <c r="Q1074" i="35"/>
  <c r="Q396" i="35" s="1"/>
  <c r="Q1115" i="35"/>
  <c r="Q437" i="35" s="1"/>
  <c r="Q1077" i="35"/>
  <c r="Q399" i="35" s="1"/>
  <c r="Q1082" i="35"/>
  <c r="Q404" i="35" s="1"/>
  <c r="Q1110" i="35"/>
  <c r="Q432" i="35" s="1"/>
  <c r="Q1095" i="35"/>
  <c r="Q417" i="35" s="1"/>
  <c r="Q1075" i="35"/>
  <c r="Q397" i="35" s="1"/>
  <c r="Q1106" i="35"/>
  <c r="Q428" i="35" s="1"/>
  <c r="Q1087" i="35"/>
  <c r="Q409" i="35" s="1"/>
  <c r="Q1098" i="35"/>
  <c r="Q420" i="35" s="1"/>
  <c r="Q1108" i="35"/>
  <c r="Q430" i="35" s="1"/>
  <c r="Q1073" i="35"/>
  <c r="Q395" i="35" s="1"/>
  <c r="Q1063" i="35"/>
  <c r="Q385" i="35" s="1"/>
  <c r="Q1067" i="35"/>
  <c r="Q389" i="35" s="1"/>
  <c r="Q1079" i="35"/>
  <c r="Q401" i="35" s="1"/>
  <c r="Q1096" i="35"/>
  <c r="Q418" i="35" s="1"/>
  <c r="Q1094" i="35"/>
  <c r="Q416" i="35" s="1"/>
  <c r="Q1112" i="35"/>
  <c r="Q434" i="35" s="1"/>
  <c r="Q1076" i="35"/>
  <c r="Q398" i="35" s="1"/>
  <c r="Q1059" i="35"/>
  <c r="Q381" i="35" s="1"/>
  <c r="Q1092" i="35"/>
  <c r="Q414" i="35" s="1"/>
  <c r="S1043" i="35"/>
  <c r="S365" i="35" s="1"/>
  <c r="S1032" i="35"/>
  <c r="S354" i="35" s="1"/>
  <c r="S1025" i="35"/>
  <c r="S347" i="35" s="1"/>
  <c r="S1041" i="35"/>
  <c r="S363" i="35" s="1"/>
  <c r="S1051" i="35"/>
  <c r="S373" i="35" s="1"/>
  <c r="S1039" i="35"/>
  <c r="S361" i="35" s="1"/>
  <c r="S1052" i="35"/>
  <c r="S374" i="35" s="1"/>
  <c r="S1054" i="35"/>
  <c r="S376" i="35" s="1"/>
  <c r="S1035" i="35"/>
  <c r="S357" i="35" s="1"/>
  <c r="S1049" i="35"/>
  <c r="S371" i="35" s="1"/>
  <c r="S1046" i="35"/>
  <c r="S368" i="35" s="1"/>
  <c r="S1027" i="35"/>
  <c r="S349" i="35" s="1"/>
  <c r="S1029" i="35"/>
  <c r="S351" i="35" s="1"/>
  <c r="S1031" i="35"/>
  <c r="S353" i="35" s="1"/>
  <c r="S1034" i="35"/>
  <c r="S356" i="35" s="1"/>
  <c r="S1053" i="35"/>
  <c r="S375" i="35" s="1"/>
  <c r="S1050" i="35"/>
  <c r="S372" i="35" s="1"/>
  <c r="S1042" i="35"/>
  <c r="S364" i="35" s="1"/>
  <c r="S1028" i="35"/>
  <c r="S350" i="35" s="1"/>
  <c r="S1044" i="35"/>
  <c r="S366" i="35" s="1"/>
  <c r="S1045" i="35"/>
  <c r="S367" i="35" s="1"/>
  <c r="S1038" i="35"/>
  <c r="S360" i="35" s="1"/>
  <c r="S1048" i="35"/>
  <c r="S370" i="35" s="1"/>
  <c r="S1030" i="35"/>
  <c r="S352" i="35" s="1"/>
  <c r="S1047" i="35"/>
  <c r="S369" i="35" s="1"/>
  <c r="S1036" i="35"/>
  <c r="S358" i="35" s="1"/>
  <c r="S1033" i="35"/>
  <c r="S355" i="35" s="1"/>
  <c r="S1037" i="35"/>
  <c r="S359" i="35" s="1"/>
  <c r="S1040" i="35"/>
  <c r="S362" i="35" s="1"/>
  <c r="S1026" i="35"/>
  <c r="S348" i="35" s="1"/>
  <c r="S1086" i="35"/>
  <c r="S408" i="35" s="1"/>
  <c r="S1114" i="35"/>
  <c r="S436" i="35" s="1"/>
  <c r="S1058" i="35"/>
  <c r="S380" i="35" s="1"/>
  <c r="S1066" i="35"/>
  <c r="S388" i="35" s="1"/>
  <c r="S1099" i="35"/>
  <c r="S421" i="35" s="1"/>
  <c r="S1085" i="35"/>
  <c r="S407" i="35" s="1"/>
  <c r="S1064" i="35"/>
  <c r="S386" i="35" s="1"/>
  <c r="S1120" i="35"/>
  <c r="S442" i="35" s="1"/>
  <c r="S1093" i="35"/>
  <c r="S415" i="35" s="1"/>
  <c r="S1061" i="35"/>
  <c r="S383" i="35" s="1"/>
  <c r="S1091" i="35"/>
  <c r="S413" i="35" s="1"/>
  <c r="S1097" i="35"/>
  <c r="S419" i="35" s="1"/>
  <c r="S1118" i="35"/>
  <c r="S440" i="35" s="1"/>
  <c r="S1102" i="35"/>
  <c r="S424" i="35" s="1"/>
  <c r="S1117" i="35"/>
  <c r="S439" i="35" s="1"/>
  <c r="S1119" i="35"/>
  <c r="S441" i="35" s="1"/>
  <c r="S1104" i="35"/>
  <c r="S426" i="35" s="1"/>
  <c r="S1083" i="35"/>
  <c r="S405" i="35" s="1"/>
  <c r="S1113" i="35"/>
  <c r="S435" i="35" s="1"/>
  <c r="S1116" i="35"/>
  <c r="S438" i="35" s="1"/>
  <c r="S1060" i="35"/>
  <c r="S382" i="35" s="1"/>
  <c r="S1084" i="35"/>
  <c r="S406" i="35" s="1"/>
  <c r="S1068" i="35"/>
  <c r="S390" i="35" s="1"/>
  <c r="S1081" i="35"/>
  <c r="S403" i="35" s="1"/>
  <c r="S1069" i="35"/>
  <c r="S391" i="35" s="1"/>
  <c r="S1071" i="35"/>
  <c r="S393" i="35" s="1"/>
  <c r="S1080" i="35"/>
  <c r="S402" i="35" s="1"/>
  <c r="S1111" i="35"/>
  <c r="S433" i="35" s="1"/>
  <c r="S1101" i="35"/>
  <c r="S423" i="35" s="1"/>
  <c r="S1105" i="35"/>
  <c r="S427" i="35" s="1"/>
  <c r="S1107" i="35"/>
  <c r="S429" i="35" s="1"/>
  <c r="S1087" i="35"/>
  <c r="S409" i="35" s="1"/>
  <c r="S1082" i="35"/>
  <c r="S404" i="35" s="1"/>
  <c r="S1072" i="35"/>
  <c r="S394" i="35" s="1"/>
  <c r="S1110" i="35"/>
  <c r="S432" i="35" s="1"/>
  <c r="S1095" i="35"/>
  <c r="S417" i="35" s="1"/>
  <c r="S1067" i="35"/>
  <c r="S389" i="35" s="1"/>
  <c r="S1079" i="35"/>
  <c r="S401" i="35" s="1"/>
  <c r="S1062" i="35"/>
  <c r="S384" i="35" s="1"/>
  <c r="S1106" i="35"/>
  <c r="S428" i="35" s="1"/>
  <c r="S1073" i="35"/>
  <c r="S395" i="35" s="1"/>
  <c r="S1112" i="35"/>
  <c r="S434" i="35" s="1"/>
  <c r="S1063" i="35"/>
  <c r="S385" i="35" s="1"/>
  <c r="S1098" i="35"/>
  <c r="S420" i="35" s="1"/>
  <c r="S1100" i="35"/>
  <c r="S422" i="35" s="1"/>
  <c r="S1075" i="35"/>
  <c r="S397" i="35" s="1"/>
  <c r="S1076" i="35"/>
  <c r="S398" i="35" s="1"/>
  <c r="S1070" i="35"/>
  <c r="S392" i="35" s="1"/>
  <c r="S1096" i="35"/>
  <c r="S418" i="35" s="1"/>
  <c r="S1065" i="35"/>
  <c r="S387" i="35" s="1"/>
  <c r="S1109" i="35"/>
  <c r="S431" i="35" s="1"/>
  <c r="S1103" i="35"/>
  <c r="S425" i="35" s="1"/>
  <c r="S1094" i="35"/>
  <c r="S416" i="35" s="1"/>
  <c r="S1108" i="35"/>
  <c r="S430" i="35" s="1"/>
  <c r="S1074" i="35"/>
  <c r="S396" i="35" s="1"/>
  <c r="S1115" i="35"/>
  <c r="S437" i="35" s="1"/>
  <c r="S1077" i="35"/>
  <c r="S399" i="35" s="1"/>
  <c r="S1078" i="35"/>
  <c r="S400" i="35" s="1"/>
  <c r="S1059" i="35"/>
  <c r="S381" i="35" s="1"/>
  <c r="S1092" i="35"/>
  <c r="S414" i="35" s="1"/>
  <c r="F20" i="45"/>
  <c r="I20" i="45"/>
  <c r="F92" i="45"/>
  <c r="J63" i="38"/>
  <c r="S63" i="38" s="1"/>
  <c r="J68" i="38"/>
  <c r="S68" i="38" s="1"/>
  <c r="J81" i="38"/>
  <c r="J83" i="38"/>
  <c r="S83" i="38" s="1"/>
  <c r="J82" i="38"/>
  <c r="J76" i="38"/>
  <c r="J74" i="38"/>
  <c r="J65" i="38"/>
  <c r="S65" i="38" s="1"/>
  <c r="J69" i="38"/>
  <c r="J67" i="38"/>
  <c r="S67" i="38" s="1"/>
  <c r="J79" i="38"/>
  <c r="J77" i="38"/>
  <c r="J80" i="38"/>
  <c r="J73" i="38"/>
  <c r="J71" i="38"/>
  <c r="J70" i="38"/>
  <c r="J75" i="38"/>
  <c r="J72" i="38"/>
  <c r="J64" i="38"/>
  <c r="S64" i="38" s="1"/>
  <c r="J66" i="38"/>
  <c r="S66" i="38" s="1"/>
  <c r="M71" i="32"/>
  <c r="M39" i="45"/>
  <c r="L53" i="45"/>
  <c r="L39" i="45"/>
  <c r="M53" i="45"/>
  <c r="L26" i="45"/>
  <c r="K84" i="45"/>
  <c r="L76" i="32"/>
  <c r="L22" i="32"/>
  <c r="L81" i="32" s="1"/>
  <c r="L71" i="32"/>
  <c r="M26" i="45"/>
  <c r="K76" i="32"/>
  <c r="K85" i="45"/>
  <c r="K23" i="32"/>
  <c r="L38" i="32"/>
  <c r="L52" i="32"/>
  <c r="L63" i="32"/>
  <c r="R331" i="35" l="1"/>
  <c r="R325" i="35"/>
  <c r="R316" i="35"/>
  <c r="U449" i="35"/>
  <c r="U470" i="35"/>
  <c r="AA584" i="35"/>
  <c r="AA601" i="35"/>
  <c r="AA592" i="35"/>
  <c r="W1125" i="35"/>
  <c r="U463" i="35"/>
  <c r="V590" i="35"/>
  <c r="M594" i="35"/>
  <c r="O196" i="35"/>
  <c r="U185" i="35"/>
  <c r="N39" i="45"/>
  <c r="U450" i="35"/>
  <c r="V609" i="35"/>
  <c r="V598" i="35"/>
  <c r="M199" i="35"/>
  <c r="U455" i="35"/>
  <c r="U177" i="35"/>
  <c r="U462" i="35"/>
  <c r="U452" i="35"/>
  <c r="U456" i="35"/>
  <c r="V610" i="35"/>
  <c r="U472" i="35"/>
  <c r="V600" i="35"/>
  <c r="V468" i="35"/>
  <c r="U204" i="35"/>
  <c r="V594" i="35"/>
  <c r="V584" i="35"/>
  <c r="V608" i="35"/>
  <c r="U446" i="35"/>
  <c r="U197" i="35"/>
  <c r="U448" i="35"/>
  <c r="V603" i="35"/>
  <c r="U179" i="35"/>
  <c r="U180" i="35"/>
  <c r="M473" i="35"/>
  <c r="U597" i="35"/>
  <c r="U202" i="35"/>
  <c r="R475" i="35"/>
  <c r="V599" i="35"/>
  <c r="U191" i="35"/>
  <c r="U460" i="35"/>
  <c r="U192" i="35"/>
  <c r="U193" i="35"/>
  <c r="U457" i="35"/>
  <c r="U195" i="35"/>
  <c r="M602" i="35"/>
  <c r="O1125" i="35"/>
  <c r="V605" i="35"/>
  <c r="V586" i="35"/>
  <c r="U196" i="35"/>
  <c r="U467" i="35"/>
  <c r="U451" i="35"/>
  <c r="O1023" i="35"/>
  <c r="V592" i="35"/>
  <c r="V315" i="35"/>
  <c r="M189" i="35"/>
  <c r="U187" i="35"/>
  <c r="V316" i="35"/>
  <c r="R469" i="35"/>
  <c r="U581" i="35"/>
  <c r="R455" i="35"/>
  <c r="U336" i="35"/>
  <c r="U188" i="35"/>
  <c r="U201" i="35"/>
  <c r="U465" i="35"/>
  <c r="M457" i="35"/>
  <c r="U178" i="35"/>
  <c r="U182" i="35"/>
  <c r="U474" i="35"/>
  <c r="V314" i="35"/>
  <c r="U205" i="35"/>
  <c r="V182" i="35"/>
  <c r="M452" i="35"/>
  <c r="R606" i="35"/>
  <c r="U194" i="35"/>
  <c r="U181" i="35"/>
  <c r="U184" i="35"/>
  <c r="U454" i="35"/>
  <c r="U461" i="35"/>
  <c r="R463" i="35"/>
  <c r="U198" i="35"/>
  <c r="U464" i="35"/>
  <c r="V604" i="35"/>
  <c r="U199" i="35"/>
  <c r="U176" i="35"/>
  <c r="U186" i="35"/>
  <c r="U190" i="35"/>
  <c r="U200" i="35"/>
  <c r="U189" i="35"/>
  <c r="U203" i="35"/>
  <c r="U459" i="35"/>
  <c r="V595" i="35"/>
  <c r="V597" i="35"/>
  <c r="V591" i="35"/>
  <c r="O604" i="35"/>
  <c r="V581" i="35"/>
  <c r="V585" i="35"/>
  <c r="V463" i="35"/>
  <c r="V602" i="35"/>
  <c r="U468" i="35"/>
  <c r="U183" i="35"/>
  <c r="R449" i="35"/>
  <c r="V458" i="35"/>
  <c r="R457" i="35"/>
  <c r="M179" i="35"/>
  <c r="AA458" i="35"/>
  <c r="M470" i="35"/>
  <c r="O311" i="35"/>
  <c r="M451" i="35"/>
  <c r="V596" i="35"/>
  <c r="V587" i="35"/>
  <c r="V583" i="35"/>
  <c r="V589" i="35"/>
  <c r="V607" i="35"/>
  <c r="V593" i="35"/>
  <c r="V588" i="35"/>
  <c r="M187" i="35"/>
  <c r="O602" i="35"/>
  <c r="V601" i="35"/>
  <c r="R1125" i="35"/>
  <c r="R446" i="35"/>
  <c r="M183" i="35"/>
  <c r="R921" i="35"/>
  <c r="V195" i="35"/>
  <c r="AA609" i="35"/>
  <c r="R592" i="35"/>
  <c r="M315" i="35"/>
  <c r="V180" i="35"/>
  <c r="R474" i="35"/>
  <c r="R473" i="35"/>
  <c r="V202" i="35"/>
  <c r="M598" i="35"/>
  <c r="M190" i="35"/>
  <c r="R464" i="35"/>
  <c r="R589" i="35"/>
  <c r="R599" i="35"/>
  <c r="M188" i="35"/>
  <c r="W600" i="35"/>
  <c r="M182" i="35"/>
  <c r="R450" i="35"/>
  <c r="W326" i="35"/>
  <c r="R468" i="35"/>
  <c r="AA472" i="35"/>
  <c r="R466" i="35"/>
  <c r="R465" i="35"/>
  <c r="R462" i="35"/>
  <c r="V332" i="35"/>
  <c r="O189" i="35"/>
  <c r="O205" i="35"/>
  <c r="M334" i="35"/>
  <c r="R594" i="35"/>
  <c r="V198" i="35"/>
  <c r="R467" i="35"/>
  <c r="R453" i="35"/>
  <c r="O315" i="35"/>
  <c r="V474" i="35"/>
  <c r="M606" i="35"/>
  <c r="V178" i="35"/>
  <c r="R581" i="35"/>
  <c r="R598" i="35"/>
  <c r="V464" i="35"/>
  <c r="M590" i="35"/>
  <c r="R603" i="35"/>
  <c r="V201" i="35"/>
  <c r="M607" i="35"/>
  <c r="W337" i="35"/>
  <c r="V338" i="35"/>
  <c r="R471" i="35"/>
  <c r="AA200" i="35"/>
  <c r="V194" i="35"/>
  <c r="R458" i="35"/>
  <c r="AA312" i="35"/>
  <c r="R586" i="35"/>
  <c r="R593" i="35"/>
  <c r="R609" i="35"/>
  <c r="V199" i="35"/>
  <c r="M201" i="35"/>
  <c r="R607" i="35"/>
  <c r="R191" i="35"/>
  <c r="W454" i="35"/>
  <c r="AA185" i="35"/>
  <c r="AA325" i="35"/>
  <c r="V455" i="35"/>
  <c r="V462" i="35"/>
  <c r="V449" i="35"/>
  <c r="M198" i="35"/>
  <c r="W312" i="35"/>
  <c r="M186" i="35"/>
  <c r="M203" i="35"/>
  <c r="M180" i="35"/>
  <c r="V200" i="35"/>
  <c r="R454" i="35"/>
  <c r="R472" i="35"/>
  <c r="V179" i="35"/>
  <c r="U321" i="35"/>
  <c r="U328" i="35"/>
  <c r="W318" i="35"/>
  <c r="AA327" i="35"/>
  <c r="AA320" i="35"/>
  <c r="O601" i="35"/>
  <c r="V181" i="35"/>
  <c r="R597" i="35"/>
  <c r="R452" i="35"/>
  <c r="AA196" i="35"/>
  <c r="R605" i="35"/>
  <c r="V470" i="35"/>
  <c r="R185" i="35"/>
  <c r="M326" i="35"/>
  <c r="U606" i="35"/>
  <c r="AA319" i="35"/>
  <c r="AA198" i="35"/>
  <c r="M196" i="35"/>
  <c r="O194" i="35"/>
  <c r="V334" i="35"/>
  <c r="U335" i="35"/>
  <c r="V460" i="35"/>
  <c r="R601" i="35"/>
  <c r="V186" i="35"/>
  <c r="R451" i="35"/>
  <c r="U319" i="35"/>
  <c r="V193" i="35"/>
  <c r="M446" i="35"/>
  <c r="AA606" i="35"/>
  <c r="AA313" i="35"/>
  <c r="AA332" i="35"/>
  <c r="AA317" i="35"/>
  <c r="O605" i="35"/>
  <c r="AA203" i="35"/>
  <c r="V456" i="35"/>
  <c r="V187" i="35"/>
  <c r="R587" i="35"/>
  <c r="V457" i="35"/>
  <c r="V196" i="35"/>
  <c r="M193" i="35"/>
  <c r="M589" i="35"/>
  <c r="M599" i="35"/>
  <c r="M181" i="35"/>
  <c r="M600" i="35"/>
  <c r="M591" i="35"/>
  <c r="M177" i="35"/>
  <c r="M601" i="35"/>
  <c r="R448" i="35"/>
  <c r="R461" i="35"/>
  <c r="R470" i="35"/>
  <c r="R460" i="35"/>
  <c r="W598" i="35"/>
  <c r="V333" i="35"/>
  <c r="R595" i="35"/>
  <c r="M597" i="35"/>
  <c r="M605" i="35"/>
  <c r="O591" i="35"/>
  <c r="AA587" i="35"/>
  <c r="AA600" i="35"/>
  <c r="O599" i="35"/>
  <c r="R459" i="35"/>
  <c r="V190" i="35"/>
  <c r="M469" i="35"/>
  <c r="O475" i="35"/>
  <c r="V459" i="35"/>
  <c r="V469" i="35"/>
  <c r="V205" i="35"/>
  <c r="M194" i="35"/>
  <c r="V197" i="35"/>
  <c r="M460" i="35"/>
  <c r="M459" i="35"/>
  <c r="R604" i="35"/>
  <c r="V467" i="35"/>
  <c r="M592" i="35"/>
  <c r="AA588" i="35"/>
  <c r="AA449" i="35"/>
  <c r="V204" i="35"/>
  <c r="M191" i="35"/>
  <c r="AA311" i="35"/>
  <c r="R184" i="35"/>
  <c r="O184" i="35"/>
  <c r="O182" i="35"/>
  <c r="AA328" i="35"/>
  <c r="AA191" i="35"/>
  <c r="AA195" i="35"/>
  <c r="O185" i="35"/>
  <c r="V203" i="35"/>
  <c r="O180" i="35"/>
  <c r="M176" i="35"/>
  <c r="M204" i="35"/>
  <c r="W193" i="35"/>
  <c r="O338" i="35"/>
  <c r="O318" i="35"/>
  <c r="AA316" i="35"/>
  <c r="V177" i="35"/>
  <c r="V192" i="35"/>
  <c r="M200" i="35"/>
  <c r="AA190" i="35"/>
  <c r="V184" i="35"/>
  <c r="V176" i="35"/>
  <c r="O204" i="35"/>
  <c r="W331" i="35"/>
  <c r="V473" i="35"/>
  <c r="M195" i="35"/>
  <c r="M596" i="35"/>
  <c r="O457" i="35"/>
  <c r="AA180" i="35"/>
  <c r="O474" i="35"/>
  <c r="O179" i="35"/>
  <c r="V461" i="35"/>
  <c r="M447" i="35"/>
  <c r="O322" i="35"/>
  <c r="O335" i="35"/>
  <c r="V446" i="35"/>
  <c r="W455" i="35"/>
  <c r="R584" i="35"/>
  <c r="V475" i="35"/>
  <c r="AA454" i="35"/>
  <c r="V450" i="35"/>
  <c r="V188" i="35"/>
  <c r="R585" i="35"/>
  <c r="V453" i="35"/>
  <c r="M475" i="35"/>
  <c r="M314" i="35"/>
  <c r="R588" i="35"/>
  <c r="V448" i="35"/>
  <c r="AA597" i="35"/>
  <c r="M586" i="35"/>
  <c r="M581" i="35"/>
  <c r="M458" i="35"/>
  <c r="AA589" i="35"/>
  <c r="AA184" i="35"/>
  <c r="M323" i="35"/>
  <c r="R600" i="35"/>
  <c r="V451" i="35"/>
  <c r="R596" i="35"/>
  <c r="V183" i="35"/>
  <c r="AA471" i="35"/>
  <c r="M456" i="35"/>
  <c r="M585" i="35"/>
  <c r="M448" i="35"/>
  <c r="M197" i="35"/>
  <c r="O195" i="35"/>
  <c r="M454" i="35"/>
  <c r="M319" i="35"/>
  <c r="W607" i="35"/>
  <c r="U603" i="35"/>
  <c r="U596" i="35"/>
  <c r="O324" i="35"/>
  <c r="W471" i="35"/>
  <c r="R591" i="35"/>
  <c r="M461" i="35"/>
  <c r="M467" i="35"/>
  <c r="AA459" i="35"/>
  <c r="M455" i="35"/>
  <c r="AA596" i="35"/>
  <c r="M474" i="35"/>
  <c r="AA602" i="35"/>
  <c r="M450" i="35"/>
  <c r="R608" i="35"/>
  <c r="M465" i="35"/>
  <c r="AA468" i="35"/>
  <c r="W602" i="35"/>
  <c r="W585" i="35"/>
  <c r="M468" i="35"/>
  <c r="W470" i="35"/>
  <c r="M608" i="35"/>
  <c r="AA599" i="35"/>
  <c r="O609" i="35"/>
  <c r="V465" i="35"/>
  <c r="M609" i="35"/>
  <c r="AA446" i="35"/>
  <c r="O600" i="35"/>
  <c r="AA461" i="35"/>
  <c r="M595" i="35"/>
  <c r="W603" i="35"/>
  <c r="O472" i="35"/>
  <c r="M584" i="35"/>
  <c r="O592" i="35"/>
  <c r="V454" i="35"/>
  <c r="R583" i="35"/>
  <c r="R602" i="35"/>
  <c r="V471" i="35"/>
  <c r="R590" i="35"/>
  <c r="M471" i="35"/>
  <c r="M466" i="35"/>
  <c r="AA464" i="35"/>
  <c r="O608" i="35"/>
  <c r="O583" i="35"/>
  <c r="AA603" i="35"/>
  <c r="V466" i="35"/>
  <c r="M449" i="35"/>
  <c r="M453" i="35"/>
  <c r="M603" i="35"/>
  <c r="M463" i="35"/>
  <c r="O183" i="35"/>
  <c r="V191" i="35"/>
  <c r="V313" i="35"/>
  <c r="W328" i="35"/>
  <c r="W202" i="35"/>
  <c r="M202" i="35"/>
  <c r="W322" i="35"/>
  <c r="R187" i="35"/>
  <c r="M205" i="35"/>
  <c r="M325" i="35"/>
  <c r="R199" i="35"/>
  <c r="O193" i="35"/>
  <c r="M185" i="35"/>
  <c r="O329" i="35"/>
  <c r="O321" i="35"/>
  <c r="M184" i="35"/>
  <c r="V335" i="35"/>
  <c r="M583" i="35"/>
  <c r="AA323" i="35"/>
  <c r="O453" i="35"/>
  <c r="O589" i="35"/>
  <c r="AA321" i="35"/>
  <c r="O581" i="35"/>
  <c r="AA448" i="35"/>
  <c r="W183" i="35"/>
  <c r="O328" i="35"/>
  <c r="O326" i="35"/>
  <c r="W191" i="35"/>
  <c r="AA193" i="35"/>
  <c r="O187" i="35"/>
  <c r="W196" i="35"/>
  <c r="V189" i="35"/>
  <c r="V472" i="35"/>
  <c r="R610" i="35"/>
  <c r="O452" i="35"/>
  <c r="O467" i="35"/>
  <c r="AA451" i="35"/>
  <c r="M192" i="35"/>
  <c r="M610" i="35"/>
  <c r="M587" i="35"/>
  <c r="M472" i="35"/>
  <c r="O178" i="35"/>
  <c r="AA456" i="35"/>
  <c r="M604" i="35"/>
  <c r="M464" i="35"/>
  <c r="M462" i="35"/>
  <c r="O197" i="35"/>
  <c r="M178" i="35"/>
  <c r="M588" i="35"/>
  <c r="M593" i="35"/>
  <c r="O200" i="35"/>
  <c r="W197" i="35"/>
  <c r="AA594" i="35"/>
  <c r="O334" i="35"/>
  <c r="AA337" i="35"/>
  <c r="AA318" i="35"/>
  <c r="O454" i="35"/>
  <c r="O337" i="35"/>
  <c r="O469" i="35"/>
  <c r="O314" i="35"/>
  <c r="O465" i="35"/>
  <c r="O188" i="35"/>
  <c r="O201" i="35"/>
  <c r="U313" i="35"/>
  <c r="AA591" i="35"/>
  <c r="O460" i="35"/>
  <c r="O320" i="35"/>
  <c r="AA322" i="35"/>
  <c r="O588" i="35"/>
  <c r="AA340" i="35"/>
  <c r="AA582" i="35"/>
  <c r="U583" i="35"/>
  <c r="R197" i="35"/>
  <c r="O471" i="35"/>
  <c r="AA473" i="35"/>
  <c r="AA590" i="35"/>
  <c r="O339" i="35"/>
  <c r="O332" i="35"/>
  <c r="O450" i="35"/>
  <c r="O607" i="35"/>
  <c r="W187" i="35"/>
  <c r="V452" i="35"/>
  <c r="V185" i="35"/>
  <c r="AA188" i="35"/>
  <c r="O449" i="35"/>
  <c r="AA457" i="35"/>
  <c r="O330" i="35"/>
  <c r="M322" i="35"/>
  <c r="AA585" i="35"/>
  <c r="O462" i="35"/>
  <c r="AA178" i="35"/>
  <c r="O459" i="35"/>
  <c r="AA336" i="35"/>
  <c r="O586" i="35"/>
  <c r="AA335" i="35"/>
  <c r="AA202" i="35"/>
  <c r="R198" i="35"/>
  <c r="W201" i="35"/>
  <c r="W608" i="35"/>
  <c r="W333" i="35"/>
  <c r="R181" i="35"/>
  <c r="R183" i="35"/>
  <c r="U323" i="35"/>
  <c r="U318" i="35"/>
  <c r="W605" i="35"/>
  <c r="W332" i="35"/>
  <c r="M340" i="35"/>
  <c r="W181" i="35"/>
  <c r="W314" i="35"/>
  <c r="W204" i="35"/>
  <c r="M320" i="35"/>
  <c r="W189" i="35"/>
  <c r="U593" i="35"/>
  <c r="M316" i="35"/>
  <c r="O470" i="35"/>
  <c r="AA452" i="35"/>
  <c r="O323" i="35"/>
  <c r="AA333" i="35"/>
  <c r="AA605" i="35"/>
  <c r="O198" i="35"/>
  <c r="W466" i="35"/>
  <c r="W601" i="35"/>
  <c r="R180" i="35"/>
  <c r="R192" i="35"/>
  <c r="U332" i="35"/>
  <c r="W448" i="35"/>
  <c r="U607" i="35"/>
  <c r="V330" i="35"/>
  <c r="W460" i="35"/>
  <c r="U591" i="35"/>
  <c r="M317" i="35"/>
  <c r="W334" i="35"/>
  <c r="U608" i="35"/>
  <c r="W182" i="35"/>
  <c r="W593" i="35"/>
  <c r="AA610" i="35"/>
  <c r="AA467" i="35"/>
  <c r="AA201" i="35"/>
  <c r="O466" i="35"/>
  <c r="AA466" i="35"/>
  <c r="AA331" i="35"/>
  <c r="AA186" i="35"/>
  <c r="AA463" i="35"/>
  <c r="W188" i="35"/>
  <c r="W604" i="35"/>
  <c r="W327" i="35"/>
  <c r="W589" i="35"/>
  <c r="W194" i="35"/>
  <c r="U587" i="35"/>
  <c r="O458" i="35"/>
  <c r="AA326" i="35"/>
  <c r="O603" i="35"/>
  <c r="O455" i="35"/>
  <c r="O594" i="35"/>
  <c r="AA604" i="35"/>
  <c r="AA204" i="35"/>
  <c r="O461" i="35"/>
  <c r="AA474" i="35"/>
  <c r="AA470" i="35"/>
  <c r="O596" i="35"/>
  <c r="AA315" i="35"/>
  <c r="O191" i="35"/>
  <c r="O181" i="35"/>
  <c r="O192" i="35"/>
  <c r="O176" i="35"/>
  <c r="W203" i="35"/>
  <c r="O597" i="35"/>
  <c r="AA324" i="35"/>
  <c r="O584" i="35"/>
  <c r="R202" i="35"/>
  <c r="U601" i="35"/>
  <c r="AA607" i="35"/>
  <c r="AA189" i="35"/>
  <c r="O456" i="35"/>
  <c r="O340" i="35"/>
  <c r="AA187" i="35"/>
  <c r="O464" i="35"/>
  <c r="O325" i="35"/>
  <c r="O595" i="35"/>
  <c r="AA593" i="35"/>
  <c r="O473" i="35"/>
  <c r="O316" i="35"/>
  <c r="AA339" i="35"/>
  <c r="O598" i="35"/>
  <c r="AA608" i="35"/>
  <c r="AA181" i="35"/>
  <c r="O319" i="35"/>
  <c r="AA460" i="35"/>
  <c r="AA475" i="35"/>
  <c r="AA314" i="35"/>
  <c r="AA197" i="35"/>
  <c r="O593" i="35"/>
  <c r="W325" i="35"/>
  <c r="W467" i="35"/>
  <c r="W473" i="35"/>
  <c r="W176" i="35"/>
  <c r="M318" i="35"/>
  <c r="AA465" i="35"/>
  <c r="AA338" i="35"/>
  <c r="AA177" i="35"/>
  <c r="AA595" i="35"/>
  <c r="AA462" i="35"/>
  <c r="AA583" i="35"/>
  <c r="W595" i="35"/>
  <c r="W330" i="35"/>
  <c r="W184" i="35"/>
  <c r="V311" i="35"/>
  <c r="U595" i="35"/>
  <c r="W587" i="35"/>
  <c r="R189" i="35"/>
  <c r="U331" i="35"/>
  <c r="U337" i="35"/>
  <c r="U339" i="35"/>
  <c r="U584" i="35"/>
  <c r="W459" i="35"/>
  <c r="W453" i="35"/>
  <c r="W340" i="35"/>
  <c r="U594" i="35"/>
  <c r="M312" i="35"/>
  <c r="W588" i="35"/>
  <c r="W451" i="35"/>
  <c r="U317" i="35"/>
  <c r="M311" i="35"/>
  <c r="U602" i="35"/>
  <c r="U590" i="35"/>
  <c r="U325" i="35"/>
  <c r="O587" i="35"/>
  <c r="AA455" i="35"/>
  <c r="AA176" i="35"/>
  <c r="U340" i="35"/>
  <c r="U334" i="35"/>
  <c r="M328" i="35"/>
  <c r="AA182" i="35"/>
  <c r="U604" i="35"/>
  <c r="O446" i="35"/>
  <c r="O451" i="35"/>
  <c r="AA450" i="35"/>
  <c r="O202" i="35"/>
  <c r="O203" i="35"/>
  <c r="R182" i="35"/>
  <c r="W320" i="35"/>
  <c r="U585" i="35"/>
  <c r="U586" i="35"/>
  <c r="W606" i="35"/>
  <c r="W592" i="35"/>
  <c r="W180" i="35"/>
  <c r="O327" i="35"/>
  <c r="AA453" i="35"/>
  <c r="AA199" i="35"/>
  <c r="O331" i="35"/>
  <c r="O606" i="35"/>
  <c r="AA581" i="35"/>
  <c r="O463" i="35"/>
  <c r="AA194" i="35"/>
  <c r="K462" i="35"/>
  <c r="U600" i="35"/>
  <c r="K465" i="35"/>
  <c r="M329" i="35"/>
  <c r="AA192" i="35"/>
  <c r="O610" i="35"/>
  <c r="AA205" i="35"/>
  <c r="O313" i="35"/>
  <c r="AA334" i="35"/>
  <c r="AA598" i="35"/>
  <c r="AA183" i="35"/>
  <c r="O448" i="35"/>
  <c r="O317" i="35"/>
  <c r="AA469" i="35"/>
  <c r="AA329" i="35"/>
  <c r="O585" i="35"/>
  <c r="AA586" i="35"/>
  <c r="O468" i="35"/>
  <c r="O333" i="35"/>
  <c r="O336" i="35"/>
  <c r="AA330" i="35"/>
  <c r="AA179" i="35"/>
  <c r="W465" i="35"/>
  <c r="W475" i="35"/>
  <c r="O190" i="35"/>
  <c r="W472" i="35"/>
  <c r="O177" i="35"/>
  <c r="O199" i="35"/>
  <c r="O590" i="35"/>
  <c r="W469" i="35"/>
  <c r="O186" i="35"/>
  <c r="M324" i="35"/>
  <c r="R195" i="35"/>
  <c r="V318" i="35"/>
  <c r="U330" i="35"/>
  <c r="U333" i="35"/>
  <c r="M582" i="35"/>
  <c r="U316" i="35"/>
  <c r="U324" i="35"/>
  <c r="R186" i="35"/>
  <c r="R204" i="35"/>
  <c r="R190" i="35"/>
  <c r="V320" i="35"/>
  <c r="U314" i="35"/>
  <c r="U338" i="35"/>
  <c r="U320" i="35"/>
  <c r="W586" i="35"/>
  <c r="W179" i="35"/>
  <c r="M331" i="35"/>
  <c r="M336" i="35"/>
  <c r="W324" i="35"/>
  <c r="W200" i="35"/>
  <c r="M338" i="35"/>
  <c r="W338" i="35"/>
  <c r="U610" i="35"/>
  <c r="W456" i="35"/>
  <c r="M339" i="35"/>
  <c r="W205" i="35"/>
  <c r="W458" i="35"/>
  <c r="V323" i="35"/>
  <c r="U329" i="35"/>
  <c r="W599" i="35"/>
  <c r="R193" i="35"/>
  <c r="R194" i="35"/>
  <c r="W315" i="35"/>
  <c r="W446" i="35"/>
  <c r="V336" i="35"/>
  <c r="U315" i="35"/>
  <c r="W462" i="35"/>
  <c r="R196" i="35"/>
  <c r="M332" i="35"/>
  <c r="W339" i="35"/>
  <c r="M337" i="35"/>
  <c r="U588" i="35"/>
  <c r="W583" i="35"/>
  <c r="W468" i="35"/>
  <c r="M333" i="35"/>
  <c r="W329" i="35"/>
  <c r="W316" i="35"/>
  <c r="U592" i="35"/>
  <c r="W581" i="35"/>
  <c r="W474" i="35"/>
  <c r="R179" i="35"/>
  <c r="W323" i="35"/>
  <c r="U589" i="35"/>
  <c r="W610" i="35"/>
  <c r="W190" i="35"/>
  <c r="W192" i="35"/>
  <c r="V337" i="35"/>
  <c r="V339" i="35"/>
  <c r="U311" i="35"/>
  <c r="R201" i="35"/>
  <c r="R177" i="35"/>
  <c r="R200" i="35"/>
  <c r="V321" i="35"/>
  <c r="U327" i="35"/>
  <c r="U326" i="35"/>
  <c r="W311" i="35"/>
  <c r="W335" i="35"/>
  <c r="W198" i="35"/>
  <c r="W186" i="35"/>
  <c r="M321" i="35"/>
  <c r="W317" i="35"/>
  <c r="U605" i="35"/>
  <c r="W199" i="35"/>
  <c r="W584" i="35"/>
  <c r="W177" i="35"/>
  <c r="W449" i="35"/>
  <c r="W450" i="35"/>
  <c r="M330" i="35"/>
  <c r="U598" i="35"/>
  <c r="W609" i="35"/>
  <c r="W594" i="35"/>
  <c r="R203" i="35"/>
  <c r="M313" i="35"/>
  <c r="W319" i="35"/>
  <c r="W464" i="35"/>
  <c r="W463" i="35"/>
  <c r="M335" i="35"/>
  <c r="M327" i="35"/>
  <c r="W596" i="35"/>
  <c r="W178" i="35"/>
  <c r="W461" i="35"/>
  <c r="W321" i="35"/>
  <c r="W336" i="35"/>
  <c r="U609" i="35"/>
  <c r="W590" i="35"/>
  <c r="W591" i="35"/>
  <c r="W185" i="35"/>
  <c r="W457" i="35"/>
  <c r="U322" i="35"/>
  <c r="W313" i="35"/>
  <c r="U599" i="35"/>
  <c r="W597" i="35"/>
  <c r="W195" i="35"/>
  <c r="W452" i="35"/>
  <c r="V319" i="35"/>
  <c r="V447" i="35"/>
  <c r="U312" i="35"/>
  <c r="R178" i="35"/>
  <c r="K455" i="35"/>
  <c r="R176" i="35"/>
  <c r="R188" i="35"/>
  <c r="V331" i="35"/>
  <c r="R205" i="35"/>
  <c r="V324" i="35"/>
  <c r="V329" i="35"/>
  <c r="V312" i="35"/>
  <c r="V325" i="35"/>
  <c r="V328" i="35"/>
  <c r="K475" i="35"/>
  <c r="K448" i="35"/>
  <c r="J464" i="35"/>
  <c r="V322" i="35"/>
  <c r="V340" i="35"/>
  <c r="V317" i="35"/>
  <c r="V326" i="35"/>
  <c r="U582" i="35"/>
  <c r="U447" i="35"/>
  <c r="W447" i="35"/>
  <c r="O447" i="35"/>
  <c r="J583" i="35"/>
  <c r="O582" i="35"/>
  <c r="R456" i="35"/>
  <c r="W582" i="35"/>
  <c r="AA447" i="35"/>
  <c r="K469" i="35"/>
  <c r="V582" i="35"/>
  <c r="R447" i="35"/>
  <c r="R582" i="35"/>
  <c r="V327" i="35"/>
  <c r="J467" i="35"/>
  <c r="J472" i="35"/>
  <c r="Q185" i="35"/>
  <c r="J457" i="35"/>
  <c r="J452" i="35"/>
  <c r="J469" i="35"/>
  <c r="J468" i="35"/>
  <c r="J463" i="35"/>
  <c r="J458" i="35"/>
  <c r="J450" i="35"/>
  <c r="K467" i="35"/>
  <c r="K460" i="35"/>
  <c r="J474" i="35"/>
  <c r="J465" i="35"/>
  <c r="K451" i="35"/>
  <c r="K453" i="35"/>
  <c r="P600" i="35"/>
  <c r="J585" i="35"/>
  <c r="J448" i="35"/>
  <c r="K472" i="35"/>
  <c r="J456" i="35"/>
  <c r="J462" i="35"/>
  <c r="J608" i="35"/>
  <c r="J461" i="35"/>
  <c r="J596" i="35"/>
  <c r="K458" i="35"/>
  <c r="K456" i="35"/>
  <c r="J451" i="35"/>
  <c r="J473" i="35"/>
  <c r="Q205" i="35"/>
  <c r="J449" i="35"/>
  <c r="J466" i="35"/>
  <c r="K470" i="35"/>
  <c r="K463" i="35"/>
  <c r="K473" i="35"/>
  <c r="J453" i="35"/>
  <c r="Q184" i="35"/>
  <c r="J593" i="35"/>
  <c r="Q203" i="35"/>
  <c r="Q178" i="35"/>
  <c r="J590" i="35"/>
  <c r="J603" i="35"/>
  <c r="J610" i="35"/>
  <c r="J595" i="35"/>
  <c r="Q186" i="35"/>
  <c r="J587" i="35"/>
  <c r="Q197" i="35"/>
  <c r="J606" i="35"/>
  <c r="Q199" i="35"/>
  <c r="J592" i="35"/>
  <c r="Q187" i="35"/>
  <c r="J455" i="35"/>
  <c r="J591" i="35"/>
  <c r="J607" i="35"/>
  <c r="J584" i="35"/>
  <c r="J475" i="35"/>
  <c r="J586" i="35"/>
  <c r="P592" i="35"/>
  <c r="J459" i="35"/>
  <c r="K447" i="35"/>
  <c r="J604" i="35"/>
  <c r="K449" i="35"/>
  <c r="K464" i="35"/>
  <c r="K471" i="35"/>
  <c r="J471" i="35"/>
  <c r="J602" i="35"/>
  <c r="K459" i="35"/>
  <c r="J460" i="35"/>
  <c r="K474" i="35"/>
  <c r="J454" i="35"/>
  <c r="J470" i="35"/>
  <c r="Q194" i="35"/>
  <c r="Q200" i="35"/>
  <c r="Q193" i="35"/>
  <c r="Q190" i="35"/>
  <c r="Q192" i="35"/>
  <c r="Q191" i="35"/>
  <c r="Q179" i="35"/>
  <c r="J594" i="35"/>
  <c r="J588" i="35"/>
  <c r="J609" i="35"/>
  <c r="Q188" i="35"/>
  <c r="J601" i="35"/>
  <c r="Q201" i="35"/>
  <c r="J589" i="35"/>
  <c r="J599" i="35"/>
  <c r="G79" i="35"/>
  <c r="J605" i="35"/>
  <c r="Q202" i="35"/>
  <c r="L606" i="35"/>
  <c r="Y452" i="35"/>
  <c r="K181" i="35"/>
  <c r="K205" i="35"/>
  <c r="Z454" i="35"/>
  <c r="K184" i="35"/>
  <c r="Y469" i="35"/>
  <c r="G573" i="35"/>
  <c r="S474" i="35"/>
  <c r="G392" i="35"/>
  <c r="G403" i="35"/>
  <c r="L600" i="35"/>
  <c r="G558" i="35"/>
  <c r="G523" i="35"/>
  <c r="G554" i="35"/>
  <c r="G540" i="35"/>
  <c r="G543" i="35"/>
  <c r="Q321" i="35"/>
  <c r="Q338" i="35"/>
  <c r="Z603" i="35"/>
  <c r="Z594" i="35"/>
  <c r="T462" i="35"/>
  <c r="Z177" i="35"/>
  <c r="Z204" i="35"/>
  <c r="Z202" i="35"/>
  <c r="AB466" i="35"/>
  <c r="Q582" i="35"/>
  <c r="Q599" i="35"/>
  <c r="P330" i="35"/>
  <c r="X450" i="35"/>
  <c r="S587" i="35"/>
  <c r="Q183" i="35"/>
  <c r="T188" i="35"/>
  <c r="K334" i="35"/>
  <c r="P183" i="35"/>
  <c r="P201" i="35"/>
  <c r="S338" i="35"/>
  <c r="L324" i="35"/>
  <c r="T325" i="35"/>
  <c r="L458" i="35"/>
  <c r="L474" i="35"/>
  <c r="K322" i="35"/>
  <c r="Q332" i="35"/>
  <c r="Q313" i="35"/>
  <c r="J598" i="35"/>
  <c r="AB193" i="35"/>
  <c r="AB203" i="35"/>
  <c r="T596" i="35"/>
  <c r="T605" i="35"/>
  <c r="AB473" i="35"/>
  <c r="X610" i="35"/>
  <c r="L459" i="35"/>
  <c r="K468" i="35"/>
  <c r="P591" i="35"/>
  <c r="P609" i="35"/>
  <c r="P599" i="35"/>
  <c r="L591" i="35"/>
  <c r="K336" i="35"/>
  <c r="G401" i="35"/>
  <c r="G527" i="35"/>
  <c r="G533" i="35"/>
  <c r="G525" i="35"/>
  <c r="K595" i="35"/>
  <c r="K590" i="35"/>
  <c r="G263" i="35"/>
  <c r="G272" i="35"/>
  <c r="G289" i="35"/>
  <c r="G284" i="35"/>
  <c r="G285" i="35"/>
  <c r="G264" i="35"/>
  <c r="G291" i="35"/>
  <c r="G111" i="35"/>
  <c r="G113" i="35"/>
  <c r="G138" i="35"/>
  <c r="G121" i="35"/>
  <c r="G567" i="35"/>
  <c r="G418" i="35"/>
  <c r="G397" i="35"/>
  <c r="G399" i="35"/>
  <c r="G569" i="35"/>
  <c r="G535" i="35"/>
  <c r="G576" i="35"/>
  <c r="G572" i="35"/>
  <c r="L465" i="35"/>
  <c r="L464" i="35"/>
  <c r="G427" i="35"/>
  <c r="L604" i="35"/>
  <c r="L590" i="35"/>
  <c r="L596" i="35"/>
  <c r="G566" i="35"/>
  <c r="G517" i="35"/>
  <c r="G529" i="35"/>
  <c r="G542" i="35"/>
  <c r="K186" i="35"/>
  <c r="K198" i="35"/>
  <c r="K191" i="35"/>
  <c r="K201" i="35"/>
  <c r="G257" i="35"/>
  <c r="G306" i="35"/>
  <c r="G287" i="35"/>
  <c r="G247" i="35"/>
  <c r="G299" i="35"/>
  <c r="Y193" i="35"/>
  <c r="Z586" i="35"/>
  <c r="AB338" i="35"/>
  <c r="AB339" i="35"/>
  <c r="T465" i="35"/>
  <c r="T459" i="35"/>
  <c r="T469" i="35"/>
  <c r="G120" i="35"/>
  <c r="G170" i="35"/>
  <c r="G119" i="35"/>
  <c r="G134" i="35"/>
  <c r="J600" i="35"/>
  <c r="G426" i="35"/>
  <c r="Y608" i="35"/>
  <c r="Y601" i="35"/>
  <c r="Z198" i="35"/>
  <c r="Z186" i="35"/>
  <c r="AB474" i="35"/>
  <c r="AB471" i="35"/>
  <c r="G551" i="35"/>
  <c r="G537" i="35"/>
  <c r="G544" i="35"/>
  <c r="Q604" i="35"/>
  <c r="Q589" i="35"/>
  <c r="G395" i="35"/>
  <c r="L463" i="35"/>
  <c r="X466" i="35"/>
  <c r="X467" i="35"/>
  <c r="Q189" i="35"/>
  <c r="Q181" i="35"/>
  <c r="T191" i="35"/>
  <c r="T176" i="35"/>
  <c r="T192" i="35"/>
  <c r="G430" i="35"/>
  <c r="G425" i="35"/>
  <c r="G406" i="35"/>
  <c r="Y315" i="35"/>
  <c r="Y324" i="35"/>
  <c r="G548" i="35"/>
  <c r="L597" i="35"/>
  <c r="L592" i="35"/>
  <c r="G528" i="35"/>
  <c r="G560" i="35"/>
  <c r="G520" i="35"/>
  <c r="K602" i="35"/>
  <c r="K178" i="35"/>
  <c r="K190" i="35"/>
  <c r="K199" i="35"/>
  <c r="G279" i="35"/>
  <c r="G249" i="35"/>
  <c r="G292" i="35"/>
  <c r="G281" i="35"/>
  <c r="G258" i="35"/>
  <c r="Q335" i="35"/>
  <c r="Q315" i="35"/>
  <c r="Q329" i="35"/>
  <c r="G125" i="35"/>
  <c r="G127" i="35"/>
  <c r="G124" i="35"/>
  <c r="G133" i="35"/>
  <c r="G115" i="35"/>
  <c r="G147" i="35"/>
  <c r="G400" i="35"/>
  <c r="G441" i="35"/>
  <c r="P463" i="35"/>
  <c r="P465" i="35"/>
  <c r="S318" i="35"/>
  <c r="G518" i="35"/>
  <c r="G556" i="35"/>
  <c r="G539" i="35"/>
  <c r="G564" i="35"/>
  <c r="AB591" i="35"/>
  <c r="AB605" i="35"/>
  <c r="T328" i="35"/>
  <c r="T339" i="35"/>
  <c r="Z322" i="35"/>
  <c r="Z316" i="35"/>
  <c r="G405" i="35"/>
  <c r="L447" i="35"/>
  <c r="L449" i="35"/>
  <c r="L455" i="35"/>
  <c r="L451" i="35"/>
  <c r="P321" i="35"/>
  <c r="S461" i="35"/>
  <c r="S466" i="35"/>
  <c r="G437" i="35"/>
  <c r="G387" i="35"/>
  <c r="G408" i="35"/>
  <c r="Q452" i="35"/>
  <c r="L587" i="35"/>
  <c r="L584" i="35"/>
  <c r="L585" i="35"/>
  <c r="G555" i="35"/>
  <c r="G536" i="35"/>
  <c r="G559" i="35"/>
  <c r="K582" i="35"/>
  <c r="K601" i="35"/>
  <c r="K585" i="35"/>
  <c r="K606" i="35"/>
  <c r="K188" i="35"/>
  <c r="G246" i="35"/>
  <c r="G304" i="35"/>
  <c r="G260" i="35"/>
  <c r="G250" i="35"/>
  <c r="G256" i="35"/>
  <c r="G297" i="35"/>
  <c r="G265" i="35"/>
  <c r="G290" i="35"/>
  <c r="Q320" i="35"/>
  <c r="Q311" i="35"/>
  <c r="G116" i="35"/>
  <c r="G131" i="35"/>
  <c r="G148" i="35"/>
  <c r="G139" i="35"/>
  <c r="G130" i="35"/>
  <c r="G132" i="35"/>
  <c r="J176" i="35"/>
  <c r="G112" i="35"/>
  <c r="P186" i="35"/>
  <c r="P190" i="35"/>
  <c r="P193" i="35"/>
  <c r="X191" i="35"/>
  <c r="X320" i="35"/>
  <c r="X336" i="35"/>
  <c r="S195" i="35"/>
  <c r="S176" i="35"/>
  <c r="S200" i="35"/>
  <c r="G428" i="35"/>
  <c r="G407" i="35"/>
  <c r="G383" i="35"/>
  <c r="L332" i="35"/>
  <c r="G541" i="35"/>
  <c r="L200" i="35"/>
  <c r="L469" i="35"/>
  <c r="L470" i="35"/>
  <c r="G394" i="35"/>
  <c r="L602" i="35"/>
  <c r="L589" i="35"/>
  <c r="L595" i="35"/>
  <c r="G522" i="35"/>
  <c r="G524" i="35"/>
  <c r="G531" i="35"/>
  <c r="G571" i="35"/>
  <c r="G530" i="35"/>
  <c r="G562" i="35"/>
  <c r="K593" i="35"/>
  <c r="G482" i="35"/>
  <c r="K321" i="35"/>
  <c r="G296" i="35"/>
  <c r="G270" i="35"/>
  <c r="G282" i="35"/>
  <c r="G261" i="35"/>
  <c r="G262" i="35"/>
  <c r="G269" i="35"/>
  <c r="G253" i="35"/>
  <c r="G300" i="35"/>
  <c r="Q330" i="35"/>
  <c r="G123" i="35"/>
  <c r="G168" i="35"/>
  <c r="G161" i="35"/>
  <c r="G153" i="35"/>
  <c r="G163" i="35"/>
  <c r="G117" i="35"/>
  <c r="P181" i="35"/>
  <c r="P176" i="35"/>
  <c r="Y461" i="35"/>
  <c r="Y449" i="35"/>
  <c r="G565" i="35"/>
  <c r="G419" i="35"/>
  <c r="AB184" i="35"/>
  <c r="AB195" i="35"/>
  <c r="T602" i="35"/>
  <c r="T606" i="35"/>
  <c r="G552" i="35"/>
  <c r="G557" i="35"/>
  <c r="X589" i="35"/>
  <c r="X592" i="35"/>
  <c r="L471" i="35"/>
  <c r="L467" i="35"/>
  <c r="L460" i="35"/>
  <c r="K454" i="35"/>
  <c r="P316" i="35"/>
  <c r="P313" i="35"/>
  <c r="P590" i="35"/>
  <c r="P585" i="35"/>
  <c r="S467" i="35"/>
  <c r="G433" i="35"/>
  <c r="G388" i="35"/>
  <c r="L599" i="35"/>
  <c r="L593" i="35"/>
  <c r="G538" i="35"/>
  <c r="G561" i="35"/>
  <c r="K594" i="35"/>
  <c r="G286" i="35"/>
  <c r="G294" i="35"/>
  <c r="G298" i="35"/>
  <c r="G251" i="35"/>
  <c r="G248" i="35"/>
  <c r="G254" i="35"/>
  <c r="Q316" i="35"/>
  <c r="Q337" i="35"/>
  <c r="Y196" i="35"/>
  <c r="Y205" i="35"/>
  <c r="Y192" i="35"/>
  <c r="Z584" i="35"/>
  <c r="AB330" i="35"/>
  <c r="AB335" i="35"/>
  <c r="AB318" i="35"/>
  <c r="T472" i="35"/>
  <c r="T464" i="35"/>
  <c r="G149" i="35"/>
  <c r="G122" i="35"/>
  <c r="G151" i="35"/>
  <c r="G167" i="35"/>
  <c r="G110" i="35"/>
  <c r="G409" i="35"/>
  <c r="Y595" i="35"/>
  <c r="G534" i="35"/>
  <c r="G553" i="35"/>
  <c r="G404" i="35"/>
  <c r="P312" i="35"/>
  <c r="P335" i="35"/>
  <c r="T199" i="35"/>
  <c r="Y312" i="35"/>
  <c r="Y318" i="35"/>
  <c r="Z455" i="35"/>
  <c r="Z474" i="35"/>
  <c r="Z473" i="35"/>
  <c r="L610" i="35"/>
  <c r="L601" i="35"/>
  <c r="L607" i="35"/>
  <c r="L605" i="35"/>
  <c r="G526" i="35"/>
  <c r="G575" i="35"/>
  <c r="G283" i="35"/>
  <c r="G295" i="35"/>
  <c r="G273" i="35"/>
  <c r="G293" i="35"/>
  <c r="G280" i="35"/>
  <c r="G267" i="35"/>
  <c r="G245" i="35"/>
  <c r="Q322" i="35"/>
  <c r="G135" i="35"/>
  <c r="G157" i="35"/>
  <c r="G152" i="35"/>
  <c r="G162" i="35"/>
  <c r="G114" i="35"/>
  <c r="G126" i="35"/>
  <c r="G158" i="35"/>
  <c r="P198" i="35"/>
  <c r="G434" i="35"/>
  <c r="G420" i="35"/>
  <c r="G391" i="35"/>
  <c r="G424" i="35"/>
  <c r="P452" i="35"/>
  <c r="P451" i="35"/>
  <c r="P453" i="35"/>
  <c r="S324" i="35"/>
  <c r="S325" i="35"/>
  <c r="L327" i="35"/>
  <c r="G577" i="35"/>
  <c r="G570" i="35"/>
  <c r="G519" i="35"/>
  <c r="AB584" i="35"/>
  <c r="AB600" i="35"/>
  <c r="T317" i="35"/>
  <c r="Z312" i="35"/>
  <c r="Z337" i="35"/>
  <c r="L475" i="35"/>
  <c r="L462" i="35"/>
  <c r="P340" i="35"/>
  <c r="P319" i="35"/>
  <c r="S471" i="35"/>
  <c r="G417" i="35"/>
  <c r="G393" i="35"/>
  <c r="G440" i="35"/>
  <c r="Q466" i="35"/>
  <c r="Q463" i="35"/>
  <c r="Q451" i="35"/>
  <c r="L582" i="35"/>
  <c r="L594" i="35"/>
  <c r="G574" i="35"/>
  <c r="G521" i="35"/>
  <c r="G563" i="35"/>
  <c r="G568" i="35"/>
  <c r="G515" i="35"/>
  <c r="G489" i="35"/>
  <c r="K599" i="35"/>
  <c r="K320" i="35"/>
  <c r="K314" i="35"/>
  <c r="G271" i="35"/>
  <c r="G288" i="35"/>
  <c r="G252" i="35"/>
  <c r="G301" i="35"/>
  <c r="G255" i="35"/>
  <c r="G307" i="35"/>
  <c r="Q326" i="35"/>
  <c r="Q333" i="35"/>
  <c r="G160" i="35"/>
  <c r="G171" i="35"/>
  <c r="G118" i="35"/>
  <c r="G169" i="35"/>
  <c r="G165" i="35"/>
  <c r="X197" i="35"/>
  <c r="X179" i="35"/>
  <c r="X332" i="35"/>
  <c r="X330" i="35"/>
  <c r="X329" i="35"/>
  <c r="X333" i="35"/>
  <c r="X316" i="35"/>
  <c r="S197" i="35"/>
  <c r="S182" i="35"/>
  <c r="G532" i="35"/>
  <c r="G415" i="35"/>
  <c r="G550" i="35"/>
  <c r="L448" i="35"/>
  <c r="L472" i="35"/>
  <c r="L456" i="35"/>
  <c r="G436" i="35"/>
  <c r="P324" i="35"/>
  <c r="G362" i="35"/>
  <c r="G305" i="35"/>
  <c r="J331" i="35"/>
  <c r="G232" i="35"/>
  <c r="J316" i="35"/>
  <c r="G217" i="35"/>
  <c r="J318" i="35"/>
  <c r="G219" i="35"/>
  <c r="J198" i="35"/>
  <c r="G99" i="35"/>
  <c r="J180" i="35"/>
  <c r="G81" i="35"/>
  <c r="J182" i="35"/>
  <c r="G83" i="35"/>
  <c r="J197" i="35"/>
  <c r="G98" i="35"/>
  <c r="P199" i="35"/>
  <c r="L322" i="35"/>
  <c r="L318" i="35"/>
  <c r="L177" i="35"/>
  <c r="L198" i="35"/>
  <c r="L182" i="35"/>
  <c r="L197" i="35"/>
  <c r="G386" i="35"/>
  <c r="S468" i="35"/>
  <c r="S464" i="35"/>
  <c r="G429" i="35"/>
  <c r="Q450" i="35"/>
  <c r="G351" i="35"/>
  <c r="K591" i="35"/>
  <c r="G492" i="35"/>
  <c r="J321" i="35"/>
  <c r="G222" i="35"/>
  <c r="J334" i="35"/>
  <c r="G235" i="35"/>
  <c r="J322" i="35"/>
  <c r="G223" i="35"/>
  <c r="J325" i="35"/>
  <c r="G226" i="35"/>
  <c r="J326" i="35"/>
  <c r="G227" i="35"/>
  <c r="G144" i="35"/>
  <c r="G128" i="35"/>
  <c r="G78" i="35"/>
  <c r="J177" i="35"/>
  <c r="G155" i="35"/>
  <c r="J191" i="35"/>
  <c r="G92" i="35"/>
  <c r="J195" i="35"/>
  <c r="G96" i="35"/>
  <c r="P177" i="35"/>
  <c r="P180" i="35"/>
  <c r="P189" i="35"/>
  <c r="P200" i="35"/>
  <c r="G431" i="35"/>
  <c r="G385" i="35"/>
  <c r="G438" i="35"/>
  <c r="L340" i="35"/>
  <c r="L337" i="35"/>
  <c r="L326" i="35"/>
  <c r="L315" i="35"/>
  <c r="L188" i="35"/>
  <c r="L205" i="35"/>
  <c r="L201" i="35"/>
  <c r="G143" i="35"/>
  <c r="S456" i="35"/>
  <c r="G402" i="35"/>
  <c r="G485" i="35"/>
  <c r="J317" i="35"/>
  <c r="G218" i="35"/>
  <c r="J338" i="35"/>
  <c r="G239" i="35"/>
  <c r="J312" i="35"/>
  <c r="G213" i="35"/>
  <c r="J332" i="35"/>
  <c r="G233" i="35"/>
  <c r="G129" i="35"/>
  <c r="G154" i="35"/>
  <c r="J188" i="35"/>
  <c r="G89" i="35"/>
  <c r="G145" i="35"/>
  <c r="J192" i="35"/>
  <c r="G93" i="35"/>
  <c r="J205" i="35"/>
  <c r="G106" i="35"/>
  <c r="J184" i="35"/>
  <c r="G85" i="35"/>
  <c r="J199" i="35"/>
  <c r="G100" i="35"/>
  <c r="P178" i="35"/>
  <c r="P179" i="35"/>
  <c r="P197" i="35"/>
  <c r="L325" i="35"/>
  <c r="L330" i="35"/>
  <c r="L338" i="35"/>
  <c r="L333" i="35"/>
  <c r="L189" i="35"/>
  <c r="L204" i="35"/>
  <c r="L178" i="35"/>
  <c r="L193" i="35"/>
  <c r="L453" i="35"/>
  <c r="G354" i="35"/>
  <c r="G396" i="35"/>
  <c r="G422" i="35"/>
  <c r="G435" i="35"/>
  <c r="K596" i="35"/>
  <c r="G497" i="35"/>
  <c r="K605" i="35"/>
  <c r="G506" i="35"/>
  <c r="G303" i="35"/>
  <c r="G268" i="35"/>
  <c r="J328" i="35"/>
  <c r="G229" i="35"/>
  <c r="J313" i="35"/>
  <c r="G214" i="35"/>
  <c r="J336" i="35"/>
  <c r="G237" i="35"/>
  <c r="J339" i="35"/>
  <c r="G240" i="35"/>
  <c r="G156" i="35"/>
  <c r="G159" i="35"/>
  <c r="G150" i="35"/>
  <c r="G136" i="35"/>
  <c r="J204" i="35"/>
  <c r="G105" i="35"/>
  <c r="J186" i="35"/>
  <c r="G87" i="35"/>
  <c r="J189" i="35"/>
  <c r="G90" i="35"/>
  <c r="J200" i="35"/>
  <c r="G101" i="35"/>
  <c r="P188" i="35"/>
  <c r="P192" i="35"/>
  <c r="P184" i="35"/>
  <c r="P191" i="35"/>
  <c r="G442" i="35"/>
  <c r="G413" i="35"/>
  <c r="L321" i="35"/>
  <c r="L336" i="35"/>
  <c r="L313" i="35"/>
  <c r="L331" i="35"/>
  <c r="L179" i="35"/>
  <c r="L192" i="35"/>
  <c r="L185" i="35"/>
  <c r="L202" i="35"/>
  <c r="L473" i="35"/>
  <c r="G374" i="35"/>
  <c r="G390" i="35"/>
  <c r="Y335" i="35"/>
  <c r="K607" i="35"/>
  <c r="G508" i="35"/>
  <c r="G266" i="35"/>
  <c r="G302" i="35"/>
  <c r="G274" i="35"/>
  <c r="J324" i="35"/>
  <c r="G225" i="35"/>
  <c r="J315" i="35"/>
  <c r="G216" i="35"/>
  <c r="J320" i="35"/>
  <c r="G221" i="35"/>
  <c r="G278" i="35"/>
  <c r="G146" i="35"/>
  <c r="G137" i="35"/>
  <c r="J187" i="35"/>
  <c r="G88" i="35"/>
  <c r="J185" i="35"/>
  <c r="G86" i="35"/>
  <c r="J203" i="35"/>
  <c r="G104" i="35"/>
  <c r="P202" i="35"/>
  <c r="P196" i="35"/>
  <c r="P194" i="35"/>
  <c r="P185" i="35"/>
  <c r="G389" i="35"/>
  <c r="G380" i="35"/>
  <c r="L312" i="35"/>
  <c r="L320" i="35"/>
  <c r="L334" i="35"/>
  <c r="L311" i="35"/>
  <c r="L194" i="35"/>
  <c r="L196" i="35"/>
  <c r="L183" i="35"/>
  <c r="L191" i="35"/>
  <c r="S450" i="35"/>
  <c r="S472" i="35"/>
  <c r="K604" i="35"/>
  <c r="G505" i="35"/>
  <c r="J335" i="35"/>
  <c r="G236" i="35"/>
  <c r="J330" i="35"/>
  <c r="G231" i="35"/>
  <c r="J314" i="35"/>
  <c r="G215" i="35"/>
  <c r="J311" i="35"/>
  <c r="G212" i="35"/>
  <c r="J178" i="35"/>
  <c r="J202" i="35"/>
  <c r="G103" i="35"/>
  <c r="P182" i="35"/>
  <c r="L328" i="35"/>
  <c r="L329" i="35"/>
  <c r="L199" i="35"/>
  <c r="L187" i="35"/>
  <c r="L190" i="35"/>
  <c r="G423" i="35"/>
  <c r="G439" i="35"/>
  <c r="J327" i="35"/>
  <c r="G228" i="35"/>
  <c r="J333" i="35"/>
  <c r="G234" i="35"/>
  <c r="J319" i="35"/>
  <c r="G220" i="35"/>
  <c r="J193" i="35"/>
  <c r="G94" i="35"/>
  <c r="J201" i="35"/>
  <c r="G102" i="35"/>
  <c r="J179" i="35"/>
  <c r="G80" i="35"/>
  <c r="J196" i="35"/>
  <c r="G97" i="35"/>
  <c r="J194" i="35"/>
  <c r="G95" i="35"/>
  <c r="P195" i="35"/>
  <c r="P203" i="35"/>
  <c r="G432" i="35"/>
  <c r="L314" i="35"/>
  <c r="L319" i="35"/>
  <c r="L339" i="35"/>
  <c r="L316" i="35"/>
  <c r="L195" i="35"/>
  <c r="L203" i="35"/>
  <c r="L181" i="35"/>
  <c r="G384" i="35"/>
  <c r="S454" i="35"/>
  <c r="S449" i="35"/>
  <c r="G259" i="35"/>
  <c r="J337" i="35"/>
  <c r="G238" i="35"/>
  <c r="J323" i="35"/>
  <c r="G224" i="35"/>
  <c r="J340" i="35"/>
  <c r="G241" i="35"/>
  <c r="J329" i="35"/>
  <c r="G230" i="35"/>
  <c r="G164" i="35"/>
  <c r="G166" i="35"/>
  <c r="G172" i="35"/>
  <c r="J181" i="35"/>
  <c r="G82" i="35"/>
  <c r="J190" i="35"/>
  <c r="G91" i="35"/>
  <c r="J183" i="35"/>
  <c r="G84" i="35"/>
  <c r="P204" i="35"/>
  <c r="P187" i="35"/>
  <c r="P205" i="35"/>
  <c r="G398" i="35"/>
  <c r="L317" i="35"/>
  <c r="L335" i="35"/>
  <c r="L323" i="35"/>
  <c r="L184" i="35"/>
  <c r="L180" i="35"/>
  <c r="L186" i="35"/>
  <c r="G77" i="35"/>
  <c r="L176" i="35"/>
  <c r="G382" i="35"/>
  <c r="G421" i="35"/>
  <c r="L446" i="35"/>
  <c r="G347" i="35"/>
  <c r="G416" i="35"/>
  <c r="S447" i="35"/>
  <c r="S459" i="35"/>
  <c r="S452" i="35"/>
  <c r="S460" i="35"/>
  <c r="Q455" i="35"/>
  <c r="Q469" i="35"/>
  <c r="Q453" i="35"/>
  <c r="Y338" i="35"/>
  <c r="Y332" i="35"/>
  <c r="Y337" i="35"/>
  <c r="Y326" i="35"/>
  <c r="Z461" i="35"/>
  <c r="Z459" i="35"/>
  <c r="Z468" i="35"/>
  <c r="Z453" i="35"/>
  <c r="L608" i="35"/>
  <c r="K583" i="35"/>
  <c r="K204" i="35"/>
  <c r="K339" i="35"/>
  <c r="K179" i="35"/>
  <c r="K200" i="35"/>
  <c r="K192" i="35"/>
  <c r="K328" i="35"/>
  <c r="K311" i="35"/>
  <c r="Q312" i="35"/>
  <c r="Q327" i="35"/>
  <c r="Q331" i="35"/>
  <c r="Y197" i="35"/>
  <c r="Y186" i="35"/>
  <c r="Y203" i="35"/>
  <c r="Y190" i="35"/>
  <c r="Z591" i="35"/>
  <c r="Z592" i="35"/>
  <c r="Z581" i="35"/>
  <c r="AB317" i="35"/>
  <c r="AB334" i="35"/>
  <c r="AB323" i="35"/>
  <c r="AB331" i="35"/>
  <c r="T458" i="35"/>
  <c r="T448" i="35"/>
  <c r="T475" i="35"/>
  <c r="T446" i="35"/>
  <c r="G361" i="35"/>
  <c r="X187" i="35"/>
  <c r="X182" i="35"/>
  <c r="X194" i="35"/>
  <c r="X317" i="35"/>
  <c r="X334" i="35"/>
  <c r="X327" i="35"/>
  <c r="X323" i="35"/>
  <c r="S205" i="35"/>
  <c r="S190" i="35"/>
  <c r="S202" i="35"/>
  <c r="Y448" i="35"/>
  <c r="Y460" i="35"/>
  <c r="Y472" i="35"/>
  <c r="G376" i="35"/>
  <c r="P461" i="35"/>
  <c r="P450" i="35"/>
  <c r="P473" i="35"/>
  <c r="P446" i="35"/>
  <c r="S311" i="35"/>
  <c r="S322" i="35"/>
  <c r="S315" i="35"/>
  <c r="AB176" i="35"/>
  <c r="AB181" i="35"/>
  <c r="AB196" i="35"/>
  <c r="AB201" i="35"/>
  <c r="T610" i="35"/>
  <c r="T597" i="35"/>
  <c r="T591" i="35"/>
  <c r="T590" i="35"/>
  <c r="T592" i="35"/>
  <c r="G496" i="35"/>
  <c r="Y582" i="35"/>
  <c r="Y610" i="35"/>
  <c r="Y597" i="35"/>
  <c r="Y602" i="35"/>
  <c r="Y607" i="35"/>
  <c r="Z184" i="35"/>
  <c r="Z181" i="35"/>
  <c r="Z178" i="35"/>
  <c r="AB467" i="35"/>
  <c r="AB460" i="35"/>
  <c r="AB453" i="35"/>
  <c r="G366" i="35"/>
  <c r="X608" i="35"/>
  <c r="X609" i="35"/>
  <c r="X588" i="35"/>
  <c r="X596" i="35"/>
  <c r="AB610" i="35"/>
  <c r="AB598" i="35"/>
  <c r="AB588" i="35"/>
  <c r="AB593" i="35"/>
  <c r="T330" i="35"/>
  <c r="T332" i="35"/>
  <c r="T321" i="35"/>
  <c r="T338" i="35"/>
  <c r="G490" i="35"/>
  <c r="Q588" i="35"/>
  <c r="Q606" i="35"/>
  <c r="Q581" i="35"/>
  <c r="Z328" i="35"/>
  <c r="Z334" i="35"/>
  <c r="Z339" i="35"/>
  <c r="Z326" i="35"/>
  <c r="L454" i="35"/>
  <c r="K450" i="35"/>
  <c r="P327" i="35"/>
  <c r="P332" i="35"/>
  <c r="X447" i="35"/>
  <c r="X468" i="35"/>
  <c r="X449" i="35"/>
  <c r="X473" i="35"/>
  <c r="S582" i="35"/>
  <c r="S609" i="35"/>
  <c r="S584" i="35"/>
  <c r="S600" i="35"/>
  <c r="T197" i="35"/>
  <c r="T181" i="35"/>
  <c r="T201" i="35"/>
  <c r="T203" i="35"/>
  <c r="G499" i="35"/>
  <c r="P582" i="35"/>
  <c r="P602" i="35"/>
  <c r="P589" i="35"/>
  <c r="P595" i="35"/>
  <c r="Q459" i="35"/>
  <c r="Q475" i="35"/>
  <c r="Y340" i="35"/>
  <c r="Y321" i="35"/>
  <c r="K316" i="35"/>
  <c r="K587" i="35"/>
  <c r="K326" i="35"/>
  <c r="K584" i="35"/>
  <c r="K325" i="35"/>
  <c r="K317" i="35"/>
  <c r="Y187" i="35"/>
  <c r="AB340" i="35"/>
  <c r="T468" i="35"/>
  <c r="G370" i="35"/>
  <c r="J1023" i="35"/>
  <c r="J1125" i="35"/>
  <c r="J921" i="35"/>
  <c r="X188" i="35"/>
  <c r="X1023" i="35"/>
  <c r="X921" i="35"/>
  <c r="X1125" i="35"/>
  <c r="X196" i="35"/>
  <c r="X338" i="35"/>
  <c r="X337" i="35"/>
  <c r="S186" i="35"/>
  <c r="Y451" i="35"/>
  <c r="G372" i="35"/>
  <c r="P474" i="35"/>
  <c r="S319" i="35"/>
  <c r="AB191" i="35"/>
  <c r="T585" i="35"/>
  <c r="G364" i="35"/>
  <c r="Y591" i="35"/>
  <c r="Y605" i="35"/>
  <c r="Z193" i="35"/>
  <c r="Z921" i="35"/>
  <c r="Z1023" i="35"/>
  <c r="Z1125" i="35"/>
  <c r="AB446" i="35"/>
  <c r="G491" i="35"/>
  <c r="G549" i="35"/>
  <c r="X582" i="35"/>
  <c r="X591" i="35"/>
  <c r="AB609" i="35"/>
  <c r="T323" i="35"/>
  <c r="T327" i="35"/>
  <c r="L921" i="35"/>
  <c r="L1125" i="35"/>
  <c r="L1023" i="35"/>
  <c r="G373" i="35"/>
  <c r="Q583" i="35"/>
  <c r="Q587" i="35"/>
  <c r="Z317" i="35"/>
  <c r="Z332" i="35"/>
  <c r="G355" i="35"/>
  <c r="G503" i="35"/>
  <c r="P323" i="35"/>
  <c r="X459" i="35"/>
  <c r="X470" i="35"/>
  <c r="S583" i="35"/>
  <c r="S598" i="35"/>
  <c r="S593" i="35"/>
  <c r="Q195" i="35"/>
  <c r="T190" i="35"/>
  <c r="T186" i="35"/>
  <c r="G363" i="35"/>
  <c r="P583" i="35"/>
  <c r="S458" i="35"/>
  <c r="S465" i="35"/>
  <c r="S448" i="35"/>
  <c r="S462" i="35"/>
  <c r="Q471" i="35"/>
  <c r="Q468" i="35"/>
  <c r="Q472" i="35"/>
  <c r="Y328" i="35"/>
  <c r="Y329" i="35"/>
  <c r="Y336" i="35"/>
  <c r="Y311" i="35"/>
  <c r="Z466" i="35"/>
  <c r="Z463" i="35"/>
  <c r="Z449" i="35"/>
  <c r="Z460" i="35"/>
  <c r="L586" i="35"/>
  <c r="L588" i="35"/>
  <c r="K603" i="35"/>
  <c r="K609" i="35"/>
  <c r="K581" i="35"/>
  <c r="K589" i="35"/>
  <c r="K333" i="35"/>
  <c r="K183" i="35"/>
  <c r="K319" i="35"/>
  <c r="K194" i="35"/>
  <c r="K189" i="35"/>
  <c r="K318" i="35"/>
  <c r="K187" i="35"/>
  <c r="K203" i="35"/>
  <c r="Q328" i="35"/>
  <c r="Q318" i="35"/>
  <c r="Y178" i="35"/>
  <c r="Y194" i="35"/>
  <c r="Y179" i="35"/>
  <c r="Z583" i="35"/>
  <c r="Z598" i="35"/>
  <c r="Z588" i="35"/>
  <c r="Z596" i="35"/>
  <c r="AB328" i="35"/>
  <c r="AB320" i="35"/>
  <c r="AB333" i="35"/>
  <c r="AB316" i="35"/>
  <c r="T454" i="35"/>
  <c r="T455" i="35"/>
  <c r="T463" i="35"/>
  <c r="P921" i="35"/>
  <c r="P1125" i="35"/>
  <c r="P1023" i="35"/>
  <c r="X193" i="35"/>
  <c r="X205" i="35"/>
  <c r="X199" i="35"/>
  <c r="X183" i="35"/>
  <c r="X328" i="35"/>
  <c r="X311" i="35"/>
  <c r="S189" i="35"/>
  <c r="S191" i="35"/>
  <c r="S201" i="35"/>
  <c r="S203" i="35"/>
  <c r="Y462" i="35"/>
  <c r="Y465" i="35"/>
  <c r="Y470" i="35"/>
  <c r="J597" i="35"/>
  <c r="P466" i="35"/>
  <c r="P469" i="35"/>
  <c r="P460" i="35"/>
  <c r="S328" i="35"/>
  <c r="S321" i="35"/>
  <c r="S333" i="35"/>
  <c r="AB177" i="35"/>
  <c r="AB204" i="35"/>
  <c r="AB179" i="35"/>
  <c r="AB205" i="35"/>
  <c r="AB183" i="35"/>
  <c r="T601" i="35"/>
  <c r="T607" i="35"/>
  <c r="T581" i="35"/>
  <c r="G367" i="35"/>
  <c r="Y604" i="35"/>
  <c r="Y584" i="35"/>
  <c r="Y590" i="35"/>
  <c r="Y592" i="35"/>
  <c r="Z195" i="35"/>
  <c r="Z200" i="35"/>
  <c r="Z183" i="35"/>
  <c r="Z194" i="35"/>
  <c r="AB463" i="35"/>
  <c r="AB455" i="35"/>
  <c r="AB462" i="35"/>
  <c r="G516" i="35"/>
  <c r="J581" i="35"/>
  <c r="X586" i="35"/>
  <c r="X595" i="35"/>
  <c r="X590" i="35"/>
  <c r="X585" i="35"/>
  <c r="AB604" i="35"/>
  <c r="AB596" i="35"/>
  <c r="AB602" i="35"/>
  <c r="AB594" i="35"/>
  <c r="T312" i="35"/>
  <c r="T335" i="35"/>
  <c r="T336" i="35"/>
  <c r="T333" i="35"/>
  <c r="Q586" i="35"/>
  <c r="Q608" i="35"/>
  <c r="Q598" i="35"/>
  <c r="Q590" i="35"/>
  <c r="Z335" i="35"/>
  <c r="Z311" i="35"/>
  <c r="Z319" i="35"/>
  <c r="L468" i="35"/>
  <c r="K457" i="35"/>
  <c r="P338" i="35"/>
  <c r="P325" i="35"/>
  <c r="P326" i="35"/>
  <c r="P311" i="35"/>
  <c r="X457" i="35"/>
  <c r="X458" i="35"/>
  <c r="X469" i="35"/>
  <c r="X465" i="35"/>
  <c r="X460" i="35"/>
  <c r="S588" i="35"/>
  <c r="S592" i="35"/>
  <c r="S605" i="35"/>
  <c r="Q180" i="35"/>
  <c r="T195" i="35"/>
  <c r="T180" i="35"/>
  <c r="T196" i="35"/>
  <c r="G349" i="35"/>
  <c r="G502" i="35"/>
  <c r="P610" i="35"/>
  <c r="P601" i="35"/>
  <c r="P594" i="35"/>
  <c r="P607" i="35"/>
  <c r="S446" i="35"/>
  <c r="Q457" i="35"/>
  <c r="Q474" i="35"/>
  <c r="Q465" i="35"/>
  <c r="Q456" i="35"/>
  <c r="Y314" i="35"/>
  <c r="Y325" i="35"/>
  <c r="Y334" i="35"/>
  <c r="Y339" i="35"/>
  <c r="Z471" i="35"/>
  <c r="Z452" i="35"/>
  <c r="Z462" i="35"/>
  <c r="Z472" i="35"/>
  <c r="L583" i="35"/>
  <c r="L598" i="35"/>
  <c r="L581" i="35"/>
  <c r="K608" i="35"/>
  <c r="K312" i="35"/>
  <c r="K197" i="35"/>
  <c r="K315" i="35"/>
  <c r="K327" i="35"/>
  <c r="K182" i="35"/>
  <c r="K337" i="35"/>
  <c r="K331" i="35"/>
  <c r="K176" i="35"/>
  <c r="G510" i="35"/>
  <c r="Q324" i="35"/>
  <c r="Y177" i="35"/>
  <c r="Y195" i="35"/>
  <c r="Y191" i="35"/>
  <c r="Y176" i="35"/>
  <c r="Y183" i="35"/>
  <c r="Z608" i="35"/>
  <c r="Z590" i="35"/>
  <c r="Z601" i="35"/>
  <c r="Z600" i="35"/>
  <c r="AB311" i="35"/>
  <c r="AB324" i="35"/>
  <c r="AB319" i="35"/>
  <c r="T471" i="35"/>
  <c r="T452" i="35"/>
  <c r="T473" i="35"/>
  <c r="X177" i="35"/>
  <c r="X202" i="35"/>
  <c r="X181" i="35"/>
  <c r="X176" i="35"/>
  <c r="X314" i="35"/>
  <c r="X335" i="35"/>
  <c r="X319" i="35"/>
  <c r="X321" i="35"/>
  <c r="S188" i="35"/>
  <c r="S199" i="35"/>
  <c r="S185" i="35"/>
  <c r="S196" i="35"/>
  <c r="Y458" i="35"/>
  <c r="Y459" i="35"/>
  <c r="Y450" i="35"/>
  <c r="Y456" i="35"/>
  <c r="G360" i="35"/>
  <c r="P472" i="35"/>
  <c r="P447" i="35"/>
  <c r="P475" i="35"/>
  <c r="P459" i="35"/>
  <c r="P456" i="35"/>
  <c r="S312" i="35"/>
  <c r="S317" i="35"/>
  <c r="S329" i="35"/>
  <c r="S334" i="35"/>
  <c r="S336" i="35"/>
  <c r="AB189" i="35"/>
  <c r="AB178" i="35"/>
  <c r="AB200" i="35"/>
  <c r="AB182" i="35"/>
  <c r="T608" i="35"/>
  <c r="T587" i="35"/>
  <c r="T594" i="35"/>
  <c r="G488" i="35"/>
  <c r="Y586" i="35"/>
  <c r="Y594" i="35"/>
  <c r="Y588" i="35"/>
  <c r="Y585" i="35"/>
  <c r="Z176" i="35"/>
  <c r="Z205" i="35"/>
  <c r="Z185" i="35"/>
  <c r="AB458" i="35"/>
  <c r="AB468" i="35"/>
  <c r="AB469" i="35"/>
  <c r="AB472" i="35"/>
  <c r="G371" i="35"/>
  <c r="G500" i="35"/>
  <c r="X604" i="35"/>
  <c r="X602" i="35"/>
  <c r="X599" i="35"/>
  <c r="X605" i="35"/>
  <c r="AB582" i="35"/>
  <c r="AB583" i="35"/>
  <c r="AB587" i="35"/>
  <c r="AB590" i="35"/>
  <c r="AB595" i="35"/>
  <c r="T315" i="35"/>
  <c r="T316" i="35"/>
  <c r="T311" i="35"/>
  <c r="G511" i="35"/>
  <c r="Q610" i="35"/>
  <c r="Q601" i="35"/>
  <c r="Q602" i="35"/>
  <c r="Q592" i="35"/>
  <c r="Z338" i="35"/>
  <c r="Z323" i="35"/>
  <c r="Z330" i="35"/>
  <c r="Z329" i="35"/>
  <c r="L466" i="35"/>
  <c r="K466" i="35"/>
  <c r="G487" i="35"/>
  <c r="P331" i="35"/>
  <c r="P339" i="35"/>
  <c r="X461" i="35"/>
  <c r="X448" i="35"/>
  <c r="X463" i="35"/>
  <c r="X472" i="35"/>
  <c r="S586" i="35"/>
  <c r="S591" i="35"/>
  <c r="S599" i="35"/>
  <c r="S606" i="35"/>
  <c r="Q177" i="35"/>
  <c r="Q921" i="35"/>
  <c r="Q1023" i="35"/>
  <c r="Q1125" i="35"/>
  <c r="T177" i="35"/>
  <c r="T187" i="35"/>
  <c r="T185" i="35"/>
  <c r="T183" i="35"/>
  <c r="P604" i="35"/>
  <c r="P588" i="35"/>
  <c r="P606" i="35"/>
  <c r="S457" i="35"/>
  <c r="S463" i="35"/>
  <c r="S470" i="35"/>
  <c r="S453" i="35"/>
  <c r="Q461" i="35"/>
  <c r="Q467" i="35"/>
  <c r="Q449" i="35"/>
  <c r="Q473" i="35"/>
  <c r="Y330" i="35"/>
  <c r="Y327" i="35"/>
  <c r="Y320" i="35"/>
  <c r="Y322" i="35"/>
  <c r="Z457" i="35"/>
  <c r="Z469" i="35"/>
  <c r="Z470" i="35"/>
  <c r="Z446" i="35"/>
  <c r="K597" i="35"/>
  <c r="K177" i="35"/>
  <c r="K332" i="35"/>
  <c r="K324" i="35"/>
  <c r="K193" i="35"/>
  <c r="K313" i="35"/>
  <c r="K196" i="35"/>
  <c r="Q336" i="35"/>
  <c r="Q334" i="35"/>
  <c r="Y184" i="35"/>
  <c r="Y199" i="35"/>
  <c r="Y200" i="35"/>
  <c r="Y202" i="35"/>
  <c r="Z582" i="35"/>
  <c r="Z599" i="35"/>
  <c r="Z607" i="35"/>
  <c r="Z585" i="35"/>
  <c r="AB314" i="35"/>
  <c r="AB337" i="35"/>
  <c r="AB336" i="35"/>
  <c r="AB329" i="35"/>
  <c r="T447" i="35"/>
  <c r="T474" i="35"/>
  <c r="T466" i="35"/>
  <c r="T470" i="35"/>
  <c r="G358" i="35"/>
  <c r="X195" i="35"/>
  <c r="X189" i="35"/>
  <c r="X190" i="35"/>
  <c r="X198" i="35"/>
  <c r="X312" i="35"/>
  <c r="X324" i="35"/>
  <c r="X322" i="35"/>
  <c r="X318" i="35"/>
  <c r="S177" i="35"/>
  <c r="S184" i="35"/>
  <c r="S192" i="35"/>
  <c r="S198" i="35"/>
  <c r="Y447" i="35"/>
  <c r="Y457" i="35"/>
  <c r="Y468" i="35"/>
  <c r="Y466" i="35"/>
  <c r="Y453" i="35"/>
  <c r="P467" i="35"/>
  <c r="P468" i="35"/>
  <c r="S314" i="35"/>
  <c r="S332" i="35"/>
  <c r="S316" i="35"/>
  <c r="S323" i="35"/>
  <c r="AB188" i="35"/>
  <c r="AB180" i="35"/>
  <c r="AB198" i="35"/>
  <c r="T582" i="35"/>
  <c r="T604" i="35"/>
  <c r="T598" i="35"/>
  <c r="T593" i="35"/>
  <c r="G504" i="35"/>
  <c r="Q176" i="35"/>
  <c r="Y589" i="35"/>
  <c r="Y598" i="35"/>
  <c r="Y600" i="35"/>
  <c r="Z189" i="35"/>
  <c r="Z203" i="35"/>
  <c r="Z190" i="35"/>
  <c r="Z199" i="35"/>
  <c r="AB457" i="35"/>
  <c r="AB454" i="35"/>
  <c r="AB452" i="35"/>
  <c r="AB459" i="35"/>
  <c r="AB456" i="35"/>
  <c r="X597" i="35"/>
  <c r="X601" i="35"/>
  <c r="X593" i="35"/>
  <c r="X606" i="35"/>
  <c r="AB603" i="35"/>
  <c r="AB589" i="35"/>
  <c r="AB592" i="35"/>
  <c r="AB585" i="35"/>
  <c r="T326" i="35"/>
  <c r="T340" i="35"/>
  <c r="T324" i="35"/>
  <c r="G356" i="35"/>
  <c r="G507" i="35"/>
  <c r="Q603" i="35"/>
  <c r="Q584" i="35"/>
  <c r="Q596" i="35"/>
  <c r="Q595" i="35"/>
  <c r="Z315" i="35"/>
  <c r="Z318" i="35"/>
  <c r="Z327" i="35"/>
  <c r="Z313" i="35"/>
  <c r="L457" i="35"/>
  <c r="L450" i="35"/>
  <c r="L452" i="35"/>
  <c r="K461" i="35"/>
  <c r="P336" i="35"/>
  <c r="P320" i="35"/>
  <c r="P328" i="35"/>
  <c r="P329" i="35"/>
  <c r="X452" i="35"/>
  <c r="X455" i="35"/>
  <c r="X456" i="35"/>
  <c r="X451" i="35"/>
  <c r="S608" i="35"/>
  <c r="S590" i="35"/>
  <c r="S607" i="35"/>
  <c r="S581" i="35"/>
  <c r="Q196" i="35"/>
  <c r="Q182" i="35"/>
  <c r="T179" i="35"/>
  <c r="T189" i="35"/>
  <c r="T184" i="35"/>
  <c r="T198" i="35"/>
  <c r="T1125" i="35"/>
  <c r="T921" i="35"/>
  <c r="T1023" i="35"/>
  <c r="G353" i="35"/>
  <c r="P608" i="35"/>
  <c r="P598" i="35"/>
  <c r="P596" i="35"/>
  <c r="Z458" i="35"/>
  <c r="Z456" i="35"/>
  <c r="Z475" i="35"/>
  <c r="L609" i="35"/>
  <c r="K588" i="35"/>
  <c r="K600" i="35"/>
  <c r="K323" i="35"/>
  <c r="K592" i="35"/>
  <c r="Q314" i="35"/>
  <c r="Q340" i="35"/>
  <c r="Y204" i="35"/>
  <c r="Y1023" i="35"/>
  <c r="Y1125" i="35"/>
  <c r="Y921" i="35"/>
  <c r="Y180" i="35"/>
  <c r="Z593" i="35"/>
  <c r="Z609" i="35"/>
  <c r="Z595" i="35"/>
  <c r="AB313" i="35"/>
  <c r="AB315" i="35"/>
  <c r="T453" i="35"/>
  <c r="X201" i="35"/>
  <c r="X186" i="35"/>
  <c r="S204" i="35"/>
  <c r="S194" i="35"/>
  <c r="Y471" i="35"/>
  <c r="Y475" i="35"/>
  <c r="G369" i="35"/>
  <c r="G509" i="35"/>
  <c r="G483" i="35"/>
  <c r="J582" i="35"/>
  <c r="P457" i="35"/>
  <c r="P462" i="35"/>
  <c r="S337" i="35"/>
  <c r="S339" i="35"/>
  <c r="AB199" i="35"/>
  <c r="AB186" i="35"/>
  <c r="T586" i="35"/>
  <c r="T584" i="35"/>
  <c r="G375" i="35"/>
  <c r="Y603" i="35"/>
  <c r="Y596" i="35"/>
  <c r="Y606" i="35"/>
  <c r="Z179" i="35"/>
  <c r="Z191" i="35"/>
  <c r="AB448" i="35"/>
  <c r="AB470" i="35"/>
  <c r="G484" i="35"/>
  <c r="X598" i="35"/>
  <c r="X607" i="35"/>
  <c r="X581" i="35"/>
  <c r="AB606" i="35"/>
  <c r="T318" i="35"/>
  <c r="T334" i="35"/>
  <c r="G359" i="35"/>
  <c r="Q607" i="35"/>
  <c r="Q585" i="35"/>
  <c r="Z336" i="35"/>
  <c r="Z333" i="35"/>
  <c r="G357" i="35"/>
  <c r="G501" i="35"/>
  <c r="P334" i="35"/>
  <c r="P333" i="35"/>
  <c r="X453" i="35"/>
  <c r="X446" i="35"/>
  <c r="S604" i="35"/>
  <c r="S595" i="35"/>
  <c r="S594" i="35"/>
  <c r="Q198" i="35"/>
  <c r="T194" i="35"/>
  <c r="G494" i="35"/>
  <c r="P581" i="35"/>
  <c r="S451" i="35"/>
  <c r="S475" i="35"/>
  <c r="Q458" i="35"/>
  <c r="Q470" i="35"/>
  <c r="Q460" i="35"/>
  <c r="Q464" i="35"/>
  <c r="Y331" i="35"/>
  <c r="Y313" i="35"/>
  <c r="Y316" i="35"/>
  <c r="Y319" i="35"/>
  <c r="Z465" i="35"/>
  <c r="Z450" i="35"/>
  <c r="Z464" i="35"/>
  <c r="L603" i="35"/>
  <c r="K610" i="35"/>
  <c r="K598" i="35"/>
  <c r="K330" i="35"/>
  <c r="K329" i="35"/>
  <c r="K335" i="35"/>
  <c r="K185" i="35"/>
  <c r="Q319" i="35"/>
  <c r="Q323" i="35"/>
  <c r="Q325" i="35"/>
  <c r="Y189" i="35"/>
  <c r="Y201" i="35"/>
  <c r="Y185" i="35"/>
  <c r="Z604" i="35"/>
  <c r="Z589" i="35"/>
  <c r="Z587" i="35"/>
  <c r="Z605" i="35"/>
  <c r="AB332" i="35"/>
  <c r="AB322" i="35"/>
  <c r="AB321" i="35"/>
  <c r="T457" i="35"/>
  <c r="T449" i="35"/>
  <c r="T467" i="35"/>
  <c r="T460" i="35"/>
  <c r="G352" i="35"/>
  <c r="X184" i="35"/>
  <c r="X178" i="35"/>
  <c r="X203" i="35"/>
  <c r="X200" i="35"/>
  <c r="X340" i="35"/>
  <c r="X326" i="35"/>
  <c r="X315" i="35"/>
  <c r="S187" i="35"/>
  <c r="S1125" i="35"/>
  <c r="S1023" i="35"/>
  <c r="S921" i="35"/>
  <c r="S178" i="35"/>
  <c r="S179" i="35"/>
  <c r="Y454" i="35"/>
  <c r="Y473" i="35"/>
  <c r="Y467" i="35"/>
  <c r="Y446" i="35"/>
  <c r="P458" i="35"/>
  <c r="P471" i="35"/>
  <c r="P449" i="35"/>
  <c r="P470" i="35"/>
  <c r="S331" i="35"/>
  <c r="S327" i="35"/>
  <c r="S326" i="35"/>
  <c r="S320" i="35"/>
  <c r="AB187" i="35"/>
  <c r="AB194" i="35"/>
  <c r="AB185" i="35"/>
  <c r="AB192" i="35"/>
  <c r="T603" i="35"/>
  <c r="T589" i="35"/>
  <c r="T588" i="35"/>
  <c r="T599" i="35"/>
  <c r="Y583" i="35"/>
  <c r="Y609" i="35"/>
  <c r="Y593" i="35"/>
  <c r="Y581" i="35"/>
  <c r="Z187" i="35"/>
  <c r="Z188" i="35"/>
  <c r="Z192" i="35"/>
  <c r="Z201" i="35"/>
  <c r="AB461" i="35"/>
  <c r="AB449" i="35"/>
  <c r="AB475" i="35"/>
  <c r="G368" i="35"/>
  <c r="X583" i="35"/>
  <c r="X584" i="35"/>
  <c r="X594" i="35"/>
  <c r="AB586" i="35"/>
  <c r="AB601" i="35"/>
  <c r="AB599" i="35"/>
  <c r="AB581" i="35"/>
  <c r="T331" i="35"/>
  <c r="T337" i="35"/>
  <c r="T313" i="35"/>
  <c r="T320" i="35"/>
  <c r="Q597" i="35"/>
  <c r="Q591" i="35"/>
  <c r="Q593" i="35"/>
  <c r="Q600" i="35"/>
  <c r="Z331" i="35"/>
  <c r="Z320" i="35"/>
  <c r="Z340" i="35"/>
  <c r="Z324" i="35"/>
  <c r="L461" i="35"/>
  <c r="G350" i="35"/>
  <c r="K452" i="35"/>
  <c r="K446" i="35"/>
  <c r="P322" i="35"/>
  <c r="P314" i="35"/>
  <c r="X471" i="35"/>
  <c r="X475" i="35"/>
  <c r="X464" i="35"/>
  <c r="S610" i="35"/>
  <c r="S602" i="35"/>
  <c r="S597" i="35"/>
  <c r="S596" i="35"/>
  <c r="T193" i="35"/>
  <c r="T182" i="35"/>
  <c r="T178" i="35"/>
  <c r="G365" i="35"/>
  <c r="G414" i="35"/>
  <c r="J446" i="35"/>
  <c r="P603" i="35"/>
  <c r="P597" i="35"/>
  <c r="P593" i="35"/>
  <c r="S469" i="35"/>
  <c r="S455" i="35"/>
  <c r="S473" i="35"/>
  <c r="Q447" i="35"/>
  <c r="Q454" i="35"/>
  <c r="Q448" i="35"/>
  <c r="Q462" i="35"/>
  <c r="Q446" i="35"/>
  <c r="Y317" i="35"/>
  <c r="Y323" i="35"/>
  <c r="Y333" i="35"/>
  <c r="Z447" i="35"/>
  <c r="Z448" i="35"/>
  <c r="Z467" i="35"/>
  <c r="Z451" i="35"/>
  <c r="K586" i="35"/>
  <c r="K338" i="35"/>
  <c r="K202" i="35"/>
  <c r="K195" i="35"/>
  <c r="K340" i="35"/>
  <c r="K180" i="35"/>
  <c r="Q339" i="35"/>
  <c r="Q317" i="35"/>
  <c r="Y188" i="35"/>
  <c r="Y181" i="35"/>
  <c r="Y198" i="35"/>
  <c r="Y182" i="35"/>
  <c r="Z610" i="35"/>
  <c r="Z597" i="35"/>
  <c r="Z602" i="35"/>
  <c r="Z606" i="35"/>
  <c r="AB312" i="35"/>
  <c r="AB326" i="35"/>
  <c r="AB327" i="35"/>
  <c r="AB325" i="35"/>
  <c r="T461" i="35"/>
  <c r="T450" i="35"/>
  <c r="T456" i="35"/>
  <c r="T451" i="35"/>
  <c r="K921" i="35"/>
  <c r="K1023" i="35"/>
  <c r="K1125" i="35"/>
  <c r="G498" i="35"/>
  <c r="X204" i="35"/>
  <c r="X180" i="35"/>
  <c r="X192" i="35"/>
  <c r="X185" i="35"/>
  <c r="X331" i="35"/>
  <c r="X325" i="35"/>
  <c r="X339" i="35"/>
  <c r="X313" i="35"/>
  <c r="S193" i="35"/>
  <c r="S181" i="35"/>
  <c r="S183" i="35"/>
  <c r="S180" i="35"/>
  <c r="Y474" i="35"/>
  <c r="Y455" i="35"/>
  <c r="Y463" i="35"/>
  <c r="Y464" i="35"/>
  <c r="J447" i="35"/>
  <c r="G348" i="35"/>
  <c r="P454" i="35"/>
  <c r="P448" i="35"/>
  <c r="P455" i="35"/>
  <c r="P464" i="35"/>
  <c r="S330" i="35"/>
  <c r="S335" i="35"/>
  <c r="S340" i="35"/>
  <c r="S313" i="35"/>
  <c r="AB197" i="35"/>
  <c r="AB921" i="35"/>
  <c r="AB1125" i="35"/>
  <c r="AB1023" i="35"/>
  <c r="AB190" i="35"/>
  <c r="AB202" i="35"/>
  <c r="T583" i="35"/>
  <c r="T609" i="35"/>
  <c r="T595" i="35"/>
  <c r="T600" i="35"/>
  <c r="Y587" i="35"/>
  <c r="Y599" i="35"/>
  <c r="Z197" i="35"/>
  <c r="Z180" i="35"/>
  <c r="Z182" i="35"/>
  <c r="Z196" i="35"/>
  <c r="AB447" i="35"/>
  <c r="AB450" i="35"/>
  <c r="AB465" i="35"/>
  <c r="AB451" i="35"/>
  <c r="AB464" i="35"/>
  <c r="X603" i="35"/>
  <c r="X587" i="35"/>
  <c r="X600" i="35"/>
  <c r="AB608" i="35"/>
  <c r="AB597" i="35"/>
  <c r="AB607" i="35"/>
  <c r="T314" i="35"/>
  <c r="T322" i="35"/>
  <c r="T319" i="35"/>
  <c r="T329" i="35"/>
  <c r="G495" i="35"/>
  <c r="Q609" i="35"/>
  <c r="Q594" i="35"/>
  <c r="Q605" i="35"/>
  <c r="Z314" i="35"/>
  <c r="Z325" i="35"/>
  <c r="Z321" i="35"/>
  <c r="G486" i="35"/>
  <c r="P315" i="35"/>
  <c r="P317" i="35"/>
  <c r="P318" i="35"/>
  <c r="P337" i="35"/>
  <c r="X454" i="35"/>
  <c r="X474" i="35"/>
  <c r="X462" i="35"/>
  <c r="S603" i="35"/>
  <c r="S589" i="35"/>
  <c r="S601" i="35"/>
  <c r="S585" i="35"/>
  <c r="Q204" i="35"/>
  <c r="T204" i="35"/>
  <c r="T200" i="35"/>
  <c r="T202" i="35"/>
  <c r="T205" i="35"/>
  <c r="G493" i="35"/>
  <c r="G381" i="35"/>
  <c r="P586" i="35"/>
  <c r="P587" i="35"/>
  <c r="P584" i="35"/>
  <c r="P605" i="35"/>
  <c r="K81" i="32"/>
  <c r="K52" i="32"/>
  <c r="K24" i="32"/>
  <c r="K38" i="32"/>
  <c r="K39" i="32" s="1"/>
  <c r="L23" i="32"/>
  <c r="L82" i="32" s="1"/>
  <c r="L64" i="32"/>
  <c r="I119" i="47" l="1"/>
  <c r="H114" i="47"/>
  <c r="D120" i="47"/>
  <c r="I92" i="47"/>
  <c r="L122" i="47"/>
  <c r="H108" i="47"/>
  <c r="D248" i="50" s="1"/>
  <c r="I107" i="47"/>
  <c r="J238" i="50" s="1"/>
  <c r="D108" i="47"/>
  <c r="D247" i="50" s="1"/>
  <c r="H127" i="47"/>
  <c r="D77" i="47"/>
  <c r="D134" i="47"/>
  <c r="D109" i="47"/>
  <c r="D127" i="47"/>
  <c r="D110" i="47"/>
  <c r="D123" i="47"/>
  <c r="D118" i="47"/>
  <c r="D133" i="47"/>
  <c r="D128" i="47"/>
  <c r="D131" i="47"/>
  <c r="D126" i="47"/>
  <c r="D130" i="47"/>
  <c r="D116" i="47"/>
  <c r="D117" i="47"/>
  <c r="H107" i="47"/>
  <c r="D238" i="50" s="1"/>
  <c r="L77" i="47"/>
  <c r="D113" i="47"/>
  <c r="D111" i="47"/>
  <c r="I87" i="47"/>
  <c r="I88" i="47"/>
  <c r="I124" i="47"/>
  <c r="I99" i="47"/>
  <c r="I89" i="47"/>
  <c r="I101" i="47"/>
  <c r="I103" i="47"/>
  <c r="I76" i="47"/>
  <c r="J131" i="50" s="1"/>
  <c r="L126" i="47"/>
  <c r="L123" i="47"/>
  <c r="H77" i="47"/>
  <c r="L125" i="47"/>
  <c r="L115" i="47"/>
  <c r="L135" i="47"/>
  <c r="L129" i="47"/>
  <c r="L124" i="47"/>
  <c r="I117" i="47"/>
  <c r="L110" i="47"/>
  <c r="L113" i="47"/>
  <c r="I127" i="47"/>
  <c r="L108" i="47"/>
  <c r="D249" i="50" s="1"/>
  <c r="L130" i="47"/>
  <c r="L136" i="47"/>
  <c r="L119" i="47"/>
  <c r="I134" i="47"/>
  <c r="G205" i="35"/>
  <c r="L133" i="47"/>
  <c r="L121" i="47"/>
  <c r="L114" i="47"/>
  <c r="I123" i="47"/>
  <c r="L131" i="47"/>
  <c r="L109" i="47"/>
  <c r="L117" i="47"/>
  <c r="I116" i="47"/>
  <c r="L116" i="47"/>
  <c r="L118" i="47"/>
  <c r="L112" i="47"/>
  <c r="I109" i="47"/>
  <c r="I86" i="47"/>
  <c r="I79" i="47"/>
  <c r="D115" i="47"/>
  <c r="D136" i="47"/>
  <c r="D135" i="47"/>
  <c r="D107" i="47"/>
  <c r="D237" i="50" s="1"/>
  <c r="H131" i="47"/>
  <c r="G181" i="35"/>
  <c r="I95" i="47"/>
  <c r="I104" i="47"/>
  <c r="D125" i="47"/>
  <c r="D132" i="47"/>
  <c r="D119" i="47"/>
  <c r="H134" i="47"/>
  <c r="I96" i="47"/>
  <c r="D122" i="47"/>
  <c r="D114" i="47"/>
  <c r="D124" i="47"/>
  <c r="I84" i="47"/>
  <c r="D129" i="47"/>
  <c r="D112" i="47"/>
  <c r="D121" i="47"/>
  <c r="I90" i="47"/>
  <c r="I113" i="47"/>
  <c r="I131" i="47"/>
  <c r="I135" i="47"/>
  <c r="I133" i="47"/>
  <c r="I121" i="47"/>
  <c r="G451" i="35"/>
  <c r="I110" i="47"/>
  <c r="I115" i="47"/>
  <c r="G191" i="35"/>
  <c r="L132" i="47"/>
  <c r="L120" i="47"/>
  <c r="L134" i="47"/>
  <c r="L107" i="47"/>
  <c r="D239" i="50" s="1"/>
  <c r="I129" i="47"/>
  <c r="I112" i="47"/>
  <c r="I114" i="47"/>
  <c r="I126" i="47"/>
  <c r="H121" i="47"/>
  <c r="I122" i="47"/>
  <c r="I125" i="47"/>
  <c r="I118" i="47"/>
  <c r="I136" i="47"/>
  <c r="G338" i="35"/>
  <c r="L111" i="47"/>
  <c r="L128" i="47"/>
  <c r="L127" i="47"/>
  <c r="H115" i="47"/>
  <c r="I128" i="47"/>
  <c r="I132" i="47"/>
  <c r="I111" i="47"/>
  <c r="H119" i="47"/>
  <c r="I120" i="47"/>
  <c r="I130" i="47"/>
  <c r="G195" i="35"/>
  <c r="G592" i="35"/>
  <c r="G591" i="35"/>
  <c r="G460" i="35"/>
  <c r="G599" i="35"/>
  <c r="G313" i="35"/>
  <c r="G468" i="35"/>
  <c r="G452" i="35"/>
  <c r="G449" i="35"/>
  <c r="G192" i="35"/>
  <c r="G188" i="35"/>
  <c r="G605" i="35"/>
  <c r="G334" i="35"/>
  <c r="G583" i="35"/>
  <c r="G197" i="35"/>
  <c r="G450" i="35"/>
  <c r="G593" i="35"/>
  <c r="G327" i="35"/>
  <c r="G339" i="35"/>
  <c r="G601" i="35"/>
  <c r="H133" i="47"/>
  <c r="H116" i="47"/>
  <c r="H109" i="47"/>
  <c r="G200" i="35"/>
  <c r="G204" i="35"/>
  <c r="G600" i="35"/>
  <c r="G330" i="35"/>
  <c r="G326" i="35"/>
  <c r="H126" i="47"/>
  <c r="H118" i="47"/>
  <c r="H129" i="47"/>
  <c r="H110" i="47"/>
  <c r="G314" i="35"/>
  <c r="H125" i="47"/>
  <c r="H130" i="47"/>
  <c r="H128" i="47"/>
  <c r="H123" i="47"/>
  <c r="G607" i="35"/>
  <c r="G202" i="35"/>
  <c r="G467" i="35"/>
  <c r="H136" i="47"/>
  <c r="H117" i="47"/>
  <c r="H113" i="47"/>
  <c r="H120" i="47"/>
  <c r="G456" i="35"/>
  <c r="H111" i="47"/>
  <c r="H122" i="47"/>
  <c r="H112" i="47"/>
  <c r="H124" i="47"/>
  <c r="G194" i="35"/>
  <c r="H135" i="47"/>
  <c r="H132" i="47"/>
  <c r="G586" i="35"/>
  <c r="G203" i="35"/>
  <c r="G333" i="35"/>
  <c r="G462" i="35"/>
  <c r="G461" i="35"/>
  <c r="G463" i="35"/>
  <c r="G311" i="35"/>
  <c r="G182" i="35"/>
  <c r="G325" i="35"/>
  <c r="G189" i="35"/>
  <c r="G589" i="35"/>
  <c r="G322" i="35"/>
  <c r="G320" i="35"/>
  <c r="G598" i="35"/>
  <c r="G608" i="35"/>
  <c r="G604" i="35"/>
  <c r="G597" i="35"/>
  <c r="G466" i="35"/>
  <c r="G187" i="35"/>
  <c r="G587" i="35"/>
  <c r="G459" i="35"/>
  <c r="G610" i="35"/>
  <c r="G585" i="35"/>
  <c r="G588" i="35"/>
  <c r="G469" i="35"/>
  <c r="G318" i="35"/>
  <c r="G180" i="35"/>
  <c r="G446" i="35"/>
  <c r="D13" i="47" s="1"/>
  <c r="G323" i="35"/>
  <c r="G606" i="35"/>
  <c r="G201" i="35"/>
  <c r="G609" i="35"/>
  <c r="G184" i="35"/>
  <c r="G457" i="35"/>
  <c r="G474" i="35"/>
  <c r="G473" i="35"/>
  <c r="I80" i="47"/>
  <c r="I83" i="47"/>
  <c r="I100" i="47"/>
  <c r="I81" i="47"/>
  <c r="I102" i="47"/>
  <c r="I85" i="47"/>
  <c r="I82" i="47"/>
  <c r="I98" i="47"/>
  <c r="I97" i="47"/>
  <c r="I94" i="47"/>
  <c r="I105" i="47"/>
  <c r="I78" i="47"/>
  <c r="I93" i="47"/>
  <c r="I91" i="47"/>
  <c r="I108" i="47"/>
  <c r="J248" i="50" s="1"/>
  <c r="G340" i="35"/>
  <c r="G193" i="35"/>
  <c r="G315" i="35"/>
  <c r="G319" i="35"/>
  <c r="G603" i="35"/>
  <c r="G595" i="35"/>
  <c r="G316" i="35"/>
  <c r="G602" i="35"/>
  <c r="G590" i="35"/>
  <c r="G199" i="35"/>
  <c r="G186" i="35"/>
  <c r="G584" i="35"/>
  <c r="G594" i="35"/>
  <c r="G455" i="35"/>
  <c r="G458" i="35"/>
  <c r="G470" i="35"/>
  <c r="G185" i="35"/>
  <c r="G198" i="35"/>
  <c r="G332" i="35"/>
  <c r="G472" i="35"/>
  <c r="G328" i="35"/>
  <c r="G317" i="35"/>
  <c r="G183" i="35"/>
  <c r="G448" i="35"/>
  <c r="G475" i="35"/>
  <c r="G581" i="35"/>
  <c r="G335" i="35"/>
  <c r="G324" i="35"/>
  <c r="G453" i="35"/>
  <c r="G321" i="35"/>
  <c r="G331" i="35"/>
  <c r="G464" i="35"/>
  <c r="G454" i="35"/>
  <c r="G471" i="35"/>
  <c r="G178" i="35"/>
  <c r="G329" i="35"/>
  <c r="G465" i="35"/>
  <c r="G596" i="35"/>
  <c r="G196" i="35"/>
  <c r="G336" i="35"/>
  <c r="G190" i="35"/>
  <c r="G337" i="35"/>
  <c r="G179" i="35"/>
  <c r="I77" i="47"/>
  <c r="G176" i="35"/>
  <c r="G177" i="35"/>
  <c r="E76" i="47"/>
  <c r="J130" i="50" s="1"/>
  <c r="E91" i="47"/>
  <c r="E78" i="47"/>
  <c r="E92" i="47"/>
  <c r="E100" i="47"/>
  <c r="E105" i="47"/>
  <c r="E98" i="47"/>
  <c r="E104" i="47"/>
  <c r="E80" i="47"/>
  <c r="E79" i="47"/>
  <c r="E99" i="47"/>
  <c r="E83" i="47"/>
  <c r="E103" i="47"/>
  <c r="E84" i="47"/>
  <c r="E87" i="47"/>
  <c r="E82" i="47"/>
  <c r="E95" i="47"/>
  <c r="E94" i="47"/>
  <c r="E102" i="47"/>
  <c r="E88" i="47"/>
  <c r="E85" i="47"/>
  <c r="E96" i="47"/>
  <c r="E90" i="47"/>
  <c r="E86" i="47"/>
  <c r="E81" i="47"/>
  <c r="E93" i="47"/>
  <c r="E101" i="47"/>
  <c r="E97" i="47"/>
  <c r="E89" i="47"/>
  <c r="E77" i="47"/>
  <c r="G582" i="35"/>
  <c r="E108" i="47"/>
  <c r="J247" i="50" s="1"/>
  <c r="G447" i="35"/>
  <c r="E107" i="47"/>
  <c r="E130" i="47"/>
  <c r="E131" i="47"/>
  <c r="E113" i="47"/>
  <c r="E123" i="47"/>
  <c r="E112" i="47"/>
  <c r="E109" i="47"/>
  <c r="E117" i="47"/>
  <c r="E115" i="47"/>
  <c r="E111" i="47"/>
  <c r="E120" i="47"/>
  <c r="E114" i="47"/>
  <c r="E119" i="47"/>
  <c r="E110" i="47"/>
  <c r="E122" i="47"/>
  <c r="E121" i="47"/>
  <c r="E128" i="47"/>
  <c r="E125" i="47"/>
  <c r="E127" i="47"/>
  <c r="E134" i="47"/>
  <c r="E126" i="47"/>
  <c r="E135" i="47"/>
  <c r="E129" i="47"/>
  <c r="E118" i="47"/>
  <c r="E124" i="47"/>
  <c r="E133" i="47"/>
  <c r="E132" i="47"/>
  <c r="E136" i="47"/>
  <c r="E116" i="47"/>
  <c r="L76" i="47"/>
  <c r="D132" i="50" s="1"/>
  <c r="L85" i="47"/>
  <c r="L95" i="47"/>
  <c r="L92" i="47"/>
  <c r="L81" i="47"/>
  <c r="L93" i="47"/>
  <c r="L102" i="47"/>
  <c r="L104" i="47"/>
  <c r="L96" i="47"/>
  <c r="L99" i="47"/>
  <c r="L79" i="47"/>
  <c r="L105" i="47"/>
  <c r="L94" i="47"/>
  <c r="L100" i="47"/>
  <c r="L84" i="47"/>
  <c r="L89" i="47"/>
  <c r="L80" i="47"/>
  <c r="L101" i="47"/>
  <c r="L88" i="47"/>
  <c r="L78" i="47"/>
  <c r="L82" i="47"/>
  <c r="L86" i="47"/>
  <c r="L90" i="47"/>
  <c r="L98" i="47"/>
  <c r="L97" i="47"/>
  <c r="L91" i="47"/>
  <c r="L87" i="47"/>
  <c r="L83" i="47"/>
  <c r="L103" i="47"/>
  <c r="G312" i="35"/>
  <c r="M77" i="47"/>
  <c r="D76" i="47"/>
  <c r="D130" i="50" s="1"/>
  <c r="D98" i="47"/>
  <c r="D103" i="47"/>
  <c r="D92" i="47"/>
  <c r="D91" i="47"/>
  <c r="D97" i="47"/>
  <c r="D81" i="47"/>
  <c r="D84" i="47"/>
  <c r="D101" i="47"/>
  <c r="D93" i="47"/>
  <c r="D88" i="47"/>
  <c r="D102" i="47"/>
  <c r="D104" i="47"/>
  <c r="D78" i="47"/>
  <c r="D99" i="47"/>
  <c r="D95" i="47"/>
  <c r="D86" i="47"/>
  <c r="D89" i="47"/>
  <c r="D87" i="47"/>
  <c r="D83" i="47"/>
  <c r="D105" i="47"/>
  <c r="D80" i="47"/>
  <c r="D90" i="47"/>
  <c r="D96" i="47"/>
  <c r="D94" i="47"/>
  <c r="D85" i="47"/>
  <c r="D79" i="47"/>
  <c r="D100" i="47"/>
  <c r="D82" i="47"/>
  <c r="M76" i="47"/>
  <c r="J132" i="50" s="1"/>
  <c r="M89" i="47"/>
  <c r="M100" i="47"/>
  <c r="M82" i="47"/>
  <c r="M80" i="47"/>
  <c r="M104" i="47"/>
  <c r="M83" i="47"/>
  <c r="M79" i="47"/>
  <c r="M85" i="47"/>
  <c r="M90" i="47"/>
  <c r="M102" i="47"/>
  <c r="M78" i="47"/>
  <c r="M81" i="47"/>
  <c r="M95" i="47"/>
  <c r="M97" i="47"/>
  <c r="M86" i="47"/>
  <c r="M93" i="47"/>
  <c r="M99" i="47"/>
  <c r="M105" i="47"/>
  <c r="M103" i="47"/>
  <c r="M84" i="47"/>
  <c r="M87" i="47"/>
  <c r="M96" i="47"/>
  <c r="M94" i="47"/>
  <c r="M92" i="47"/>
  <c r="M91" i="47"/>
  <c r="M98" i="47"/>
  <c r="M101" i="47"/>
  <c r="M88" i="47"/>
  <c r="M107" i="47"/>
  <c r="J239" i="50" s="1"/>
  <c r="M119" i="47"/>
  <c r="M124" i="47"/>
  <c r="M130" i="47"/>
  <c r="M111" i="47"/>
  <c r="M128" i="47"/>
  <c r="M123" i="47"/>
  <c r="M134" i="47"/>
  <c r="M121" i="47"/>
  <c r="M109" i="47"/>
  <c r="M118" i="47"/>
  <c r="M117" i="47"/>
  <c r="M114" i="47"/>
  <c r="M127" i="47"/>
  <c r="M120" i="47"/>
  <c r="M126" i="47"/>
  <c r="M115" i="47"/>
  <c r="M135" i="47"/>
  <c r="M131" i="47"/>
  <c r="M110" i="47"/>
  <c r="M132" i="47"/>
  <c r="M113" i="47"/>
  <c r="M112" i="47"/>
  <c r="M129" i="47"/>
  <c r="M125" i="47"/>
  <c r="M136" i="47"/>
  <c r="M122" i="47"/>
  <c r="M133" i="47"/>
  <c r="M116" i="47"/>
  <c r="H76" i="47"/>
  <c r="D131" i="50" s="1"/>
  <c r="H84" i="47"/>
  <c r="H80" i="47"/>
  <c r="H93" i="47"/>
  <c r="H104" i="47"/>
  <c r="H78" i="47"/>
  <c r="H88" i="47"/>
  <c r="H102" i="47"/>
  <c r="H96" i="47"/>
  <c r="H99" i="47"/>
  <c r="H81" i="47"/>
  <c r="H95" i="47"/>
  <c r="H83" i="47"/>
  <c r="H105" i="47"/>
  <c r="H103" i="47"/>
  <c r="H85" i="47"/>
  <c r="H91" i="47"/>
  <c r="H97" i="47"/>
  <c r="H79" i="47"/>
  <c r="H100" i="47"/>
  <c r="H98" i="47"/>
  <c r="H92" i="47"/>
  <c r="H89" i="47"/>
  <c r="H82" i="47"/>
  <c r="H86" i="47"/>
  <c r="H101" i="47"/>
  <c r="H94" i="47"/>
  <c r="H87" i="47"/>
  <c r="H90" i="47"/>
  <c r="M108" i="47"/>
  <c r="J249" i="50" s="1"/>
  <c r="K82" i="32"/>
  <c r="L35" i="32"/>
  <c r="L19" i="32"/>
  <c r="K53" i="32"/>
  <c r="K83" i="32" s="1"/>
  <c r="L67" i="32"/>
  <c r="D142" i="50" l="1"/>
  <c r="F120" i="47"/>
  <c r="G120" i="47" s="1"/>
  <c r="D141" i="50"/>
  <c r="J141" i="50"/>
  <c r="J140" i="50"/>
  <c r="J92" i="47"/>
  <c r="K92" i="47" s="1"/>
  <c r="F236" i="50"/>
  <c r="F238" i="50" s="1"/>
  <c r="G236" i="50"/>
  <c r="G239" i="50" s="1"/>
  <c r="N122" i="47"/>
  <c r="O122" i="47" s="1"/>
  <c r="G129" i="50"/>
  <c r="G132" i="50" s="1"/>
  <c r="J135" i="50"/>
  <c r="M186" i="50" s="1"/>
  <c r="F246" i="50"/>
  <c r="F248" i="50" s="1"/>
  <c r="G246" i="50"/>
  <c r="G249" i="50" s="1"/>
  <c r="J252" i="50"/>
  <c r="M307" i="50" s="1"/>
  <c r="D242" i="50"/>
  <c r="D293" i="50" s="1"/>
  <c r="D252" i="50"/>
  <c r="E246" i="50"/>
  <c r="D140" i="50"/>
  <c r="J114" i="47"/>
  <c r="K114" i="47" s="1"/>
  <c r="N129" i="47"/>
  <c r="O129" i="47" s="1"/>
  <c r="J119" i="47"/>
  <c r="K119" i="47" s="1"/>
  <c r="E54" i="47"/>
  <c r="D55" i="47"/>
  <c r="J97" i="47"/>
  <c r="K97" i="47" s="1"/>
  <c r="J84" i="47"/>
  <c r="K84" i="47" s="1"/>
  <c r="J88" i="47"/>
  <c r="K88" i="47" s="1"/>
  <c r="J118" i="47"/>
  <c r="K118" i="47" s="1"/>
  <c r="J108" i="47"/>
  <c r="K108" i="47" s="1"/>
  <c r="J107" i="47"/>
  <c r="K107" i="47" s="1"/>
  <c r="J87" i="47"/>
  <c r="K87" i="47" s="1"/>
  <c r="J100" i="47"/>
  <c r="K100" i="47" s="1"/>
  <c r="J99" i="47"/>
  <c r="K99" i="47" s="1"/>
  <c r="J124" i="47"/>
  <c r="K124" i="47" s="1"/>
  <c r="J127" i="47"/>
  <c r="K127" i="47" s="1"/>
  <c r="J131" i="47"/>
  <c r="K131" i="47" s="1"/>
  <c r="J96" i="47"/>
  <c r="K96" i="47" s="1"/>
  <c r="N113" i="47"/>
  <c r="O113" i="47" s="1"/>
  <c r="N127" i="47"/>
  <c r="O127" i="47" s="1"/>
  <c r="F77" i="47"/>
  <c r="G77" i="47" s="1"/>
  <c r="J134" i="47"/>
  <c r="K134" i="47" s="1"/>
  <c r="E45" i="47"/>
  <c r="J133" i="47"/>
  <c r="K133" i="47" s="1"/>
  <c r="J89" i="47"/>
  <c r="K89" i="47" s="1"/>
  <c r="J103" i="47"/>
  <c r="K103" i="47" s="1"/>
  <c r="E55" i="47"/>
  <c r="J117" i="47"/>
  <c r="K117" i="47" s="1"/>
  <c r="J125" i="47"/>
  <c r="K125" i="47" s="1"/>
  <c r="F121" i="47"/>
  <c r="G121" i="47" s="1"/>
  <c r="F117" i="47"/>
  <c r="G117" i="47" s="1"/>
  <c r="F134" i="47"/>
  <c r="G134" i="47" s="1"/>
  <c r="N125" i="47"/>
  <c r="O125" i="47" s="1"/>
  <c r="N121" i="47"/>
  <c r="O121" i="47" s="1"/>
  <c r="N118" i="47"/>
  <c r="O118" i="47" s="1"/>
  <c r="F111" i="47"/>
  <c r="G111" i="47" s="1"/>
  <c r="N120" i="47"/>
  <c r="O120" i="47" s="1"/>
  <c r="F114" i="47"/>
  <c r="G114" i="47" s="1"/>
  <c r="F113" i="47"/>
  <c r="G113" i="47" s="1"/>
  <c r="F133" i="47"/>
  <c r="G133" i="47" s="1"/>
  <c r="F128" i="47"/>
  <c r="G128" i="47" s="1"/>
  <c r="N126" i="47"/>
  <c r="O126" i="47" s="1"/>
  <c r="N131" i="47"/>
  <c r="O131" i="47" s="1"/>
  <c r="N124" i="47"/>
  <c r="O124" i="47" s="1"/>
  <c r="N123" i="47"/>
  <c r="O123" i="47" s="1"/>
  <c r="N117" i="47"/>
  <c r="O117" i="47" s="1"/>
  <c r="N136" i="47"/>
  <c r="O136" i="47" s="1"/>
  <c r="F123" i="47"/>
  <c r="G123" i="47" s="1"/>
  <c r="N135" i="47"/>
  <c r="O135" i="47" s="1"/>
  <c r="N109" i="47"/>
  <c r="O109" i="47" s="1"/>
  <c r="N119" i="47"/>
  <c r="O119" i="47" s="1"/>
  <c r="F131" i="47"/>
  <c r="G131" i="47" s="1"/>
  <c r="F124" i="47"/>
  <c r="G124" i="47" s="1"/>
  <c r="F107" i="47"/>
  <c r="G107" i="47" s="1"/>
  <c r="F129" i="47"/>
  <c r="G129" i="47" s="1"/>
  <c r="D16" i="47"/>
  <c r="F136" i="47"/>
  <c r="G136" i="47" s="1"/>
  <c r="F132" i="47"/>
  <c r="G132" i="47" s="1"/>
  <c r="F127" i="47"/>
  <c r="G127" i="47" s="1"/>
  <c r="N107" i="47"/>
  <c r="O107" i="47" s="1"/>
  <c r="F130" i="47"/>
  <c r="G130" i="47" s="1"/>
  <c r="F110" i="47"/>
  <c r="G110" i="47" s="1"/>
  <c r="N110" i="47"/>
  <c r="O110" i="47" s="1"/>
  <c r="F116" i="47"/>
  <c r="G116" i="47" s="1"/>
  <c r="F126" i="47"/>
  <c r="G126" i="47" s="1"/>
  <c r="N115" i="47"/>
  <c r="O115" i="47" s="1"/>
  <c r="F125" i="47"/>
  <c r="G125" i="47" s="1"/>
  <c r="N112" i="47"/>
  <c r="O112" i="47" s="1"/>
  <c r="F115" i="47"/>
  <c r="G115" i="47" s="1"/>
  <c r="F118" i="47"/>
  <c r="G118" i="47" s="1"/>
  <c r="F109" i="47"/>
  <c r="G109" i="47" s="1"/>
  <c r="J129" i="47"/>
  <c r="K129" i="47" s="1"/>
  <c r="N116" i="47"/>
  <c r="O116" i="47" s="1"/>
  <c r="J77" i="47"/>
  <c r="K77" i="47" s="1"/>
  <c r="N133" i="47"/>
  <c r="O133" i="47" s="1"/>
  <c r="E47" i="47"/>
  <c r="E61" i="47"/>
  <c r="J95" i="47"/>
  <c r="K95" i="47" s="1"/>
  <c r="J79" i="47"/>
  <c r="K79" i="47" s="1"/>
  <c r="J80" i="47"/>
  <c r="K80" i="47" s="1"/>
  <c r="J102" i="47"/>
  <c r="K102" i="47" s="1"/>
  <c r="J101" i="47"/>
  <c r="K101" i="47" s="1"/>
  <c r="E57" i="47"/>
  <c r="J86" i="47"/>
  <c r="K86" i="47" s="1"/>
  <c r="J91" i="47"/>
  <c r="K91" i="47" s="1"/>
  <c r="E63" i="47"/>
  <c r="J116" i="47"/>
  <c r="K116" i="47" s="1"/>
  <c r="E65" i="47"/>
  <c r="J83" i="47"/>
  <c r="K83" i="47" s="1"/>
  <c r="E50" i="47"/>
  <c r="J136" i="47"/>
  <c r="K136" i="47" s="1"/>
  <c r="J115" i="47"/>
  <c r="K115" i="47" s="1"/>
  <c r="J130" i="47"/>
  <c r="K130" i="47" s="1"/>
  <c r="J113" i="47"/>
  <c r="K113" i="47" s="1"/>
  <c r="J109" i="47"/>
  <c r="K109" i="47" s="1"/>
  <c r="J123" i="47"/>
  <c r="K123" i="47" s="1"/>
  <c r="N108" i="47"/>
  <c r="O108" i="47" s="1"/>
  <c r="N114" i="47"/>
  <c r="O114" i="47" s="1"/>
  <c r="N111" i="47"/>
  <c r="O111" i="47" s="1"/>
  <c r="J90" i="47"/>
  <c r="K90" i="47" s="1"/>
  <c r="N130" i="47"/>
  <c r="O130" i="47" s="1"/>
  <c r="F122" i="47"/>
  <c r="G122" i="47" s="1"/>
  <c r="J122" i="47"/>
  <c r="K122" i="47" s="1"/>
  <c r="J135" i="47"/>
  <c r="K135" i="47" s="1"/>
  <c r="J121" i="47"/>
  <c r="K121" i="47" s="1"/>
  <c r="J82" i="47"/>
  <c r="K82" i="47" s="1"/>
  <c r="J85" i="47"/>
  <c r="K85" i="47" s="1"/>
  <c r="F135" i="47"/>
  <c r="G135" i="47" s="1"/>
  <c r="F112" i="47"/>
  <c r="G112" i="47" s="1"/>
  <c r="D19" i="47"/>
  <c r="N134" i="47"/>
  <c r="O134" i="47" s="1"/>
  <c r="F119" i="47"/>
  <c r="G119" i="47" s="1"/>
  <c r="D24" i="47"/>
  <c r="J112" i="47"/>
  <c r="K112" i="47" s="1"/>
  <c r="J128" i="47"/>
  <c r="K128" i="47" s="1"/>
  <c r="N94" i="47"/>
  <c r="O94" i="47" s="1"/>
  <c r="D41" i="47"/>
  <c r="J98" i="47"/>
  <c r="K98" i="47" s="1"/>
  <c r="J104" i="47"/>
  <c r="K104" i="47" s="1"/>
  <c r="N128" i="47"/>
  <c r="O128" i="47" s="1"/>
  <c r="D25" i="47"/>
  <c r="J93" i="47"/>
  <c r="K93" i="47" s="1"/>
  <c r="N132" i="47"/>
  <c r="O132" i="47" s="1"/>
  <c r="N96" i="47"/>
  <c r="O96" i="47" s="1"/>
  <c r="F100" i="47"/>
  <c r="G100" i="47" s="1"/>
  <c r="E41" i="47"/>
  <c r="E64" i="47"/>
  <c r="E52" i="47"/>
  <c r="J132" i="47"/>
  <c r="K132" i="47" s="1"/>
  <c r="J120" i="47"/>
  <c r="K120" i="47" s="1"/>
  <c r="J94" i="47"/>
  <c r="K94" i="47" s="1"/>
  <c r="N81" i="47"/>
  <c r="O81" i="47" s="1"/>
  <c r="E66" i="47"/>
  <c r="E69" i="47"/>
  <c r="D33" i="47"/>
  <c r="E59" i="47"/>
  <c r="E68" i="47"/>
  <c r="J110" i="47"/>
  <c r="K110" i="47" s="1"/>
  <c r="J111" i="47"/>
  <c r="K111" i="47" s="1"/>
  <c r="J126" i="47"/>
  <c r="K126" i="47" s="1"/>
  <c r="J105" i="47"/>
  <c r="K105" i="47" s="1"/>
  <c r="N85" i="47"/>
  <c r="O85" i="47" s="1"/>
  <c r="F80" i="47"/>
  <c r="G80" i="47" s="1"/>
  <c r="D27" i="47"/>
  <c r="D36" i="47"/>
  <c r="D35" i="47"/>
  <c r="D12" i="47"/>
  <c r="D26" i="47"/>
  <c r="D14" i="47"/>
  <c r="D51" i="47"/>
  <c r="D10" i="47"/>
  <c r="D11" i="47"/>
  <c r="D17" i="47"/>
  <c r="D47" i="47"/>
  <c r="D15" i="47"/>
  <c r="D43" i="47"/>
  <c r="D40" i="47"/>
  <c r="N104" i="47"/>
  <c r="O104" i="47" s="1"/>
  <c r="D68" i="47"/>
  <c r="F96" i="47"/>
  <c r="G96" i="47" s="1"/>
  <c r="F84" i="47"/>
  <c r="G84" i="47" s="1"/>
  <c r="D56" i="47"/>
  <c r="D31" i="47"/>
  <c r="D34" i="47"/>
  <c r="D21" i="47"/>
  <c r="D23" i="47"/>
  <c r="D59" i="47"/>
  <c r="D37" i="47"/>
  <c r="D28" i="47"/>
  <c r="D32" i="47"/>
  <c r="D9" i="47"/>
  <c r="D46" i="47"/>
  <c r="D64" i="47"/>
  <c r="J78" i="47"/>
  <c r="K78" i="47" s="1"/>
  <c r="D20" i="47"/>
  <c r="D22" i="47"/>
  <c r="D30" i="47"/>
  <c r="D52" i="47"/>
  <c r="D60" i="47"/>
  <c r="N76" i="47"/>
  <c r="O76" i="47" s="1"/>
  <c r="F78" i="47"/>
  <c r="G78" i="47" s="1"/>
  <c r="N89" i="47"/>
  <c r="O89" i="47" s="1"/>
  <c r="D49" i="47"/>
  <c r="D66" i="47"/>
  <c r="N92" i="47"/>
  <c r="O92" i="47" s="1"/>
  <c r="J81" i="47"/>
  <c r="K81" i="47" s="1"/>
  <c r="D38" i="47"/>
  <c r="D29" i="47"/>
  <c r="D18" i="47"/>
  <c r="D67" i="47"/>
  <c r="D65" i="47"/>
  <c r="N91" i="47"/>
  <c r="O91" i="47" s="1"/>
  <c r="F102" i="47"/>
  <c r="G102" i="47" s="1"/>
  <c r="F99" i="47"/>
  <c r="G99" i="47" s="1"/>
  <c r="J76" i="47"/>
  <c r="K76" i="47" s="1"/>
  <c r="E49" i="47"/>
  <c r="E48" i="47"/>
  <c r="E51" i="47"/>
  <c r="E58" i="47"/>
  <c r="D45" i="47"/>
  <c r="D53" i="47"/>
  <c r="D58" i="47"/>
  <c r="D54" i="47"/>
  <c r="F104" i="47"/>
  <c r="G104" i="47" s="1"/>
  <c r="E46" i="47"/>
  <c r="E44" i="47"/>
  <c r="E56" i="47"/>
  <c r="E62" i="47"/>
  <c r="D57" i="47"/>
  <c r="D44" i="47"/>
  <c r="D63" i="47"/>
  <c r="E42" i="47"/>
  <c r="E53" i="47"/>
  <c r="E67" i="47"/>
  <c r="E40" i="47"/>
  <c r="D42" i="47"/>
  <c r="D48" i="47"/>
  <c r="D61" i="47"/>
  <c r="N101" i="47"/>
  <c r="O101" i="47" s="1"/>
  <c r="N87" i="47"/>
  <c r="O87" i="47" s="1"/>
  <c r="N79" i="47"/>
  <c r="O79" i="47" s="1"/>
  <c r="E43" i="47"/>
  <c r="E60" i="47"/>
  <c r="D50" i="47"/>
  <c r="D62" i="47"/>
  <c r="D69" i="47"/>
  <c r="N95" i="47"/>
  <c r="O95" i="47" s="1"/>
  <c r="N103" i="47"/>
  <c r="O103" i="47" s="1"/>
  <c r="N82" i="47"/>
  <c r="O82" i="47" s="1"/>
  <c r="F86" i="47"/>
  <c r="G86" i="47" s="1"/>
  <c r="F82" i="47"/>
  <c r="G82" i="47" s="1"/>
  <c r="E9" i="47"/>
  <c r="E11" i="47"/>
  <c r="E14" i="47"/>
  <c r="E32" i="47"/>
  <c r="E22" i="47"/>
  <c r="E12" i="47"/>
  <c r="E28" i="47"/>
  <c r="E21" i="47"/>
  <c r="E33" i="47"/>
  <c r="E15" i="47"/>
  <c r="E38" i="47"/>
  <c r="E34" i="47"/>
  <c r="E26" i="47"/>
  <c r="E20" i="47"/>
  <c r="E35" i="47"/>
  <c r="E24" i="47"/>
  <c r="E36" i="47"/>
  <c r="E19" i="47"/>
  <c r="E37" i="47"/>
  <c r="E29" i="47"/>
  <c r="E18" i="47"/>
  <c r="E27" i="47"/>
  <c r="E16" i="47"/>
  <c r="E17" i="47"/>
  <c r="E25" i="47"/>
  <c r="E13" i="47"/>
  <c r="F13" i="47" s="1"/>
  <c r="G13" i="47" s="1"/>
  <c r="E23" i="47"/>
  <c r="E31" i="47"/>
  <c r="E30" i="47"/>
  <c r="N88" i="47"/>
  <c r="O88" i="47" s="1"/>
  <c r="N83" i="47"/>
  <c r="O83" i="47" s="1"/>
  <c r="N78" i="47"/>
  <c r="O78" i="47" s="1"/>
  <c r="N105" i="47"/>
  <c r="O105" i="47" s="1"/>
  <c r="F90" i="47"/>
  <c r="G90" i="47" s="1"/>
  <c r="F87" i="47"/>
  <c r="G87" i="47" s="1"/>
  <c r="F98" i="47"/>
  <c r="G98" i="47" s="1"/>
  <c r="N98" i="47"/>
  <c r="O98" i="47" s="1"/>
  <c r="N99" i="47"/>
  <c r="O99" i="47" s="1"/>
  <c r="F89" i="47"/>
  <c r="G89" i="47" s="1"/>
  <c r="F85" i="47"/>
  <c r="G85" i="47" s="1"/>
  <c r="F103" i="47"/>
  <c r="G103" i="47" s="1"/>
  <c r="E129" i="50"/>
  <c r="D135" i="50"/>
  <c r="N97" i="47"/>
  <c r="O97" i="47" s="1"/>
  <c r="N80" i="47"/>
  <c r="O80" i="47" s="1"/>
  <c r="F97" i="47"/>
  <c r="G97" i="47" s="1"/>
  <c r="F88" i="47"/>
  <c r="G88" i="47" s="1"/>
  <c r="F83" i="47"/>
  <c r="G83" i="47" s="1"/>
  <c r="F92" i="47"/>
  <c r="G92" i="47" s="1"/>
  <c r="E10" i="47"/>
  <c r="F105" i="47"/>
  <c r="G105" i="47" s="1"/>
  <c r="J142" i="50"/>
  <c r="N77" i="47"/>
  <c r="O77" i="47" s="1"/>
  <c r="N90" i="47"/>
  <c r="O90" i="47" s="1"/>
  <c r="N84" i="47"/>
  <c r="O84" i="47" s="1"/>
  <c r="N102" i="47"/>
  <c r="O102" i="47" s="1"/>
  <c r="F93" i="47"/>
  <c r="G93" i="47" s="1"/>
  <c r="F94" i="47"/>
  <c r="G94" i="47" s="1"/>
  <c r="F79" i="47"/>
  <c r="G79" i="47" s="1"/>
  <c r="F91" i="47"/>
  <c r="G91" i="47" s="1"/>
  <c r="F129" i="50"/>
  <c r="F131" i="50" s="1"/>
  <c r="F101" i="47"/>
  <c r="G101" i="47" s="1"/>
  <c r="N86" i="47"/>
  <c r="O86" i="47" s="1"/>
  <c r="N100" i="47"/>
  <c r="O100" i="47" s="1"/>
  <c r="N93" i="47"/>
  <c r="O93" i="47" s="1"/>
  <c r="J237" i="50"/>
  <c r="F108" i="47"/>
  <c r="G108" i="47" s="1"/>
  <c r="F81" i="47"/>
  <c r="G81" i="47" s="1"/>
  <c r="F95" i="47"/>
  <c r="G95" i="47" s="1"/>
  <c r="F76" i="47"/>
  <c r="G76" i="47" s="1"/>
  <c r="M63" i="32"/>
  <c r="M114" i="4" s="1"/>
  <c r="L49" i="32"/>
  <c r="L78" i="32" s="1"/>
  <c r="L20" i="32"/>
  <c r="L36" i="32"/>
  <c r="D145" i="50" l="1"/>
  <c r="D200" i="50" s="1"/>
  <c r="F139" i="50"/>
  <c r="F141" i="50" s="1"/>
  <c r="E139" i="50"/>
  <c r="E140" i="50" s="1"/>
  <c r="E247" i="50"/>
  <c r="E245" i="50"/>
  <c r="F245" i="50" s="1"/>
  <c r="G245" i="50" s="1"/>
  <c r="H245" i="50" s="1"/>
  <c r="D307" i="50"/>
  <c r="I245" i="50"/>
  <c r="I246" i="50"/>
  <c r="I251" i="50" s="1"/>
  <c r="G139" i="50"/>
  <c r="G142" i="50" s="1"/>
  <c r="J145" i="50"/>
  <c r="F54" i="47"/>
  <c r="G54" i="47" s="1"/>
  <c r="F55" i="47"/>
  <c r="G55" i="47" s="1"/>
  <c r="F25" i="47"/>
  <c r="G25" i="47" s="1"/>
  <c r="F36" i="47"/>
  <c r="G36" i="47" s="1"/>
  <c r="F45" i="47"/>
  <c r="G45" i="47" s="1"/>
  <c r="F16" i="47"/>
  <c r="G16" i="47" s="1"/>
  <c r="F33" i="47"/>
  <c r="G33" i="47" s="1"/>
  <c r="F27" i="47"/>
  <c r="G27" i="47" s="1"/>
  <c r="F41" i="47"/>
  <c r="G41" i="47" s="1"/>
  <c r="F14" i="47"/>
  <c r="G14" i="47" s="1"/>
  <c r="F50" i="47"/>
  <c r="G50" i="47" s="1"/>
  <c r="F61" i="47"/>
  <c r="G61" i="47" s="1"/>
  <c r="F47" i="47"/>
  <c r="G47" i="47" s="1"/>
  <c r="F63" i="47"/>
  <c r="G63" i="47" s="1"/>
  <c r="F52" i="47"/>
  <c r="G52" i="47" s="1"/>
  <c r="F66" i="47"/>
  <c r="G66" i="47" s="1"/>
  <c r="F65" i="47"/>
  <c r="G65" i="47" s="1"/>
  <c r="F57" i="47"/>
  <c r="G57" i="47" s="1"/>
  <c r="F49" i="47"/>
  <c r="G49" i="47" s="1"/>
  <c r="F37" i="47"/>
  <c r="G37" i="47" s="1"/>
  <c r="F59" i="47"/>
  <c r="G59" i="47" s="1"/>
  <c r="F22" i="47"/>
  <c r="G22" i="47" s="1"/>
  <c r="F23" i="47"/>
  <c r="G23" i="47" s="1"/>
  <c r="F69" i="47"/>
  <c r="G69" i="47" s="1"/>
  <c r="F19" i="47"/>
  <c r="G19" i="47" s="1"/>
  <c r="F24" i="47"/>
  <c r="G24" i="47" s="1"/>
  <c r="F68" i="47"/>
  <c r="G68" i="47" s="1"/>
  <c r="F20" i="47"/>
  <c r="G20" i="47" s="1"/>
  <c r="F12" i="47"/>
  <c r="G12" i="47" s="1"/>
  <c r="F64" i="47"/>
  <c r="G64" i="47" s="1"/>
  <c r="F35" i="47"/>
  <c r="G35" i="47" s="1"/>
  <c r="F26" i="47"/>
  <c r="G26" i="47" s="1"/>
  <c r="F10" i="47"/>
  <c r="G10" i="47" s="1"/>
  <c r="F32" i="47"/>
  <c r="G32" i="47" s="1"/>
  <c r="F43" i="47"/>
  <c r="G43" i="47" s="1"/>
  <c r="F67" i="47"/>
  <c r="G67" i="47" s="1"/>
  <c r="F11" i="47"/>
  <c r="G11" i="47" s="1"/>
  <c r="F15" i="47"/>
  <c r="G15" i="47" s="1"/>
  <c r="F17" i="47"/>
  <c r="G17" i="47" s="1"/>
  <c r="F40" i="47"/>
  <c r="G40" i="47" s="1"/>
  <c r="F30" i="47"/>
  <c r="G30" i="47" s="1"/>
  <c r="F51" i="47"/>
  <c r="G51" i="47" s="1"/>
  <c r="F18" i="47"/>
  <c r="G18" i="47" s="1"/>
  <c r="F56" i="47"/>
  <c r="G56" i="47" s="1"/>
  <c r="F21" i="47"/>
  <c r="G21" i="47" s="1"/>
  <c r="F62" i="47"/>
  <c r="G62" i="47" s="1"/>
  <c r="F9" i="47"/>
  <c r="G9" i="47" s="1"/>
  <c r="F28" i="47"/>
  <c r="G28" i="47" s="1"/>
  <c r="F29" i="47"/>
  <c r="G29" i="47" s="1"/>
  <c r="F48" i="47"/>
  <c r="G48" i="47" s="1"/>
  <c r="F38" i="47"/>
  <c r="G38" i="47" s="1"/>
  <c r="F46" i="47"/>
  <c r="G46" i="47" s="1"/>
  <c r="F60" i="47"/>
  <c r="G60" i="47" s="1"/>
  <c r="F31" i="47"/>
  <c r="G31" i="47" s="1"/>
  <c r="F34" i="47"/>
  <c r="G34" i="47" s="1"/>
  <c r="F42" i="47"/>
  <c r="G42" i="47" s="1"/>
  <c r="F44" i="47"/>
  <c r="G44" i="47" s="1"/>
  <c r="F53" i="47"/>
  <c r="G53" i="47" s="1"/>
  <c r="F58" i="47"/>
  <c r="G58" i="47" s="1"/>
  <c r="D186" i="50"/>
  <c r="L177" i="50" s="1"/>
  <c r="I128" i="50"/>
  <c r="I129" i="50"/>
  <c r="I134" i="50" s="1"/>
  <c r="E130" i="50"/>
  <c r="E128" i="50"/>
  <c r="F128" i="50" s="1"/>
  <c r="G128" i="50" s="1"/>
  <c r="H128" i="50" s="1"/>
  <c r="J242" i="50"/>
  <c r="I235" i="50" s="1"/>
  <c r="E236" i="50"/>
  <c r="M38" i="26"/>
  <c r="M43" i="26" s="1"/>
  <c r="M59" i="32"/>
  <c r="M64" i="32"/>
  <c r="L39" i="32"/>
  <c r="M35" i="32" s="1"/>
  <c r="L50" i="32"/>
  <c r="L79" i="32" s="1"/>
  <c r="L24" i="32"/>
  <c r="M19" i="32" s="1"/>
  <c r="E138" i="50" l="1"/>
  <c r="F138" i="50" s="1"/>
  <c r="G138" i="50" s="1"/>
  <c r="H138" i="50" s="1"/>
  <c r="L298" i="50"/>
  <c r="L306" i="50" s="1"/>
  <c r="L297" i="50"/>
  <c r="M200" i="50"/>
  <c r="I138" i="50"/>
  <c r="I139" i="50"/>
  <c r="I144" i="50" s="1"/>
  <c r="L176" i="50"/>
  <c r="M293" i="50"/>
  <c r="I236" i="50"/>
  <c r="I241" i="50" s="1"/>
  <c r="E237" i="50"/>
  <c r="E235" i="50"/>
  <c r="F235" i="50" s="1"/>
  <c r="G235" i="50" s="1"/>
  <c r="H235" i="50" s="1"/>
  <c r="L185" i="50"/>
  <c r="M61" i="32"/>
  <c r="L53" i="32"/>
  <c r="M49" i="32" s="1"/>
  <c r="M36" i="32"/>
  <c r="M50" i="4"/>
  <c r="L284" i="50" l="1"/>
  <c r="L292" i="50" s="1"/>
  <c r="L283" i="50"/>
  <c r="L190" i="50"/>
  <c r="L191" i="50"/>
  <c r="L199" i="50" s="1"/>
  <c r="M65" i="32"/>
  <c r="M66" i="32" s="1"/>
  <c r="M25" i="26"/>
  <c r="M31" i="32"/>
  <c r="L83" i="32"/>
  <c r="M78" i="32"/>
  <c r="M68" i="4"/>
  <c r="M50" i="32"/>
  <c r="M20" i="32"/>
  <c r="M26" i="26" l="1"/>
  <c r="M33" i="32"/>
  <c r="M67" i="32"/>
  <c r="N63" i="32" s="1"/>
  <c r="M31" i="26"/>
  <c r="M32" i="26" s="1"/>
  <c r="M45" i="32"/>
  <c r="M35" i="4"/>
  <c r="M15" i="32"/>
  <c r="M79" i="32"/>
  <c r="M13" i="26" l="1"/>
  <c r="M17" i="26" s="1"/>
  <c r="N64" i="32"/>
  <c r="M37" i="32"/>
  <c r="M47" i="32"/>
  <c r="M74" i="32"/>
  <c r="M20" i="26" l="1"/>
  <c r="M14" i="32" s="1"/>
  <c r="K72" i="45"/>
  <c r="K71" i="45"/>
  <c r="N114" i="4"/>
  <c r="M51" i="32"/>
  <c r="M38" i="32"/>
  <c r="M17" i="32" l="1"/>
  <c r="M22" i="32" s="1"/>
  <c r="M81" i="32" s="1"/>
  <c r="M73" i="32"/>
  <c r="N59" i="32"/>
  <c r="N38" i="26"/>
  <c r="N43" i="26" s="1"/>
  <c r="K68" i="45"/>
  <c r="M39" i="32"/>
  <c r="N35" i="32" s="1"/>
  <c r="M52" i="32"/>
  <c r="K70" i="45"/>
  <c r="M76" i="32" l="1"/>
  <c r="N36" i="32"/>
  <c r="N61" i="32"/>
  <c r="N65" i="32" s="1"/>
  <c r="I126" i="34"/>
  <c r="I127" i="34" s="1"/>
  <c r="M53" i="32"/>
  <c r="N49" i="32" s="1"/>
  <c r="K45" i="45"/>
  <c r="M23" i="32"/>
  <c r="M82" i="32" l="1"/>
  <c r="N66" i="32"/>
  <c r="N67" i="32" s="1"/>
  <c r="O63" i="32" s="1"/>
  <c r="O64" i="32" s="1"/>
  <c r="N50" i="32"/>
  <c r="K73" i="45"/>
  <c r="N50" i="4"/>
  <c r="K58" i="45"/>
  <c r="M24" i="32"/>
  <c r="M83" i="32" l="1"/>
  <c r="N19" i="32"/>
  <c r="N25" i="26"/>
  <c r="N31" i="32"/>
  <c r="K46" i="45"/>
  <c r="K74" i="45"/>
  <c r="N68" i="4"/>
  <c r="K42" i="45"/>
  <c r="K31" i="45"/>
  <c r="N26" i="26" l="1"/>
  <c r="N33" i="32"/>
  <c r="N37" i="32" s="1"/>
  <c r="N20" i="32"/>
  <c r="N45" i="32"/>
  <c r="N31" i="26"/>
  <c r="N32" i="26" s="1"/>
  <c r="K59" i="45"/>
  <c r="K75" i="45"/>
  <c r="K44" i="45"/>
  <c r="K55" i="45"/>
  <c r="N78" i="32"/>
  <c r="N15" i="32"/>
  <c r="N38" i="32" l="1"/>
  <c r="N47" i="32"/>
  <c r="N51" i="32" s="1"/>
  <c r="K28" i="45"/>
  <c r="N79" i="32"/>
  <c r="K32" i="45"/>
  <c r="L71" i="45"/>
  <c r="K57" i="45"/>
  <c r="K47" i="45"/>
  <c r="O114" i="4"/>
  <c r="N35" i="4"/>
  <c r="N74" i="32"/>
  <c r="N13" i="26" l="1"/>
  <c r="N17" i="26" s="1"/>
  <c r="N39" i="32"/>
  <c r="O35" i="32" s="1"/>
  <c r="N52" i="32"/>
  <c r="N53" i="32" s="1"/>
  <c r="O49" i="32" s="1"/>
  <c r="O38" i="26"/>
  <c r="O43" i="26" s="1"/>
  <c r="O59" i="32"/>
  <c r="L72" i="45"/>
  <c r="K60" i="45"/>
  <c r="I21" i="34" l="1"/>
  <c r="I22" i="34" s="1"/>
  <c r="I15" i="34"/>
  <c r="I16" i="34" s="1"/>
  <c r="O36" i="32"/>
  <c r="N20" i="26"/>
  <c r="N14" i="32" s="1"/>
  <c r="O50" i="32"/>
  <c r="O61" i="32"/>
  <c r="O65" i="32" s="1"/>
  <c r="K48" i="45"/>
  <c r="L68" i="45"/>
  <c r="J126" i="34"/>
  <c r="J127" i="34" s="1"/>
  <c r="N17" i="32" l="1"/>
  <c r="N22" i="32" s="1"/>
  <c r="N23" i="32" s="1"/>
  <c r="O66" i="32"/>
  <c r="O67" i="32" s="1"/>
  <c r="P63" i="32" s="1"/>
  <c r="K27" i="45"/>
  <c r="L70" i="45"/>
  <c r="K49" i="45"/>
  <c r="K61" i="45"/>
  <c r="L74" i="45"/>
  <c r="N73" i="32"/>
  <c r="N76" i="32" l="1"/>
  <c r="N24" i="32"/>
  <c r="O19" i="32" s="1"/>
  <c r="P64" i="32"/>
  <c r="L45" i="45"/>
  <c r="O50" i="4"/>
  <c r="L73" i="45"/>
  <c r="K62" i="45"/>
  <c r="K33" i="45"/>
  <c r="K30" i="45"/>
  <c r="L75" i="45"/>
  <c r="O20" i="32" l="1"/>
  <c r="O25" i="26"/>
  <c r="O31" i="32"/>
  <c r="N82" i="32"/>
  <c r="N81" i="32"/>
  <c r="L58" i="45"/>
  <c r="O68" i="4"/>
  <c r="L46" i="45"/>
  <c r="K34" i="45"/>
  <c r="M71" i="45"/>
  <c r="O26" i="26" l="1"/>
  <c r="O33" i="32"/>
  <c r="O37" i="32" s="1"/>
  <c r="O31" i="26"/>
  <c r="O32" i="26" s="1"/>
  <c r="O45" i="32"/>
  <c r="K35" i="45"/>
  <c r="L59" i="45"/>
  <c r="L42" i="45"/>
  <c r="M72" i="45"/>
  <c r="P114" i="4"/>
  <c r="O38" i="32" l="1"/>
  <c r="O47" i="32"/>
  <c r="O51" i="32" s="1"/>
  <c r="P38" i="26"/>
  <c r="P43" i="26" s="1"/>
  <c r="P59" i="32"/>
  <c r="N83" i="32"/>
  <c r="L31" i="45"/>
  <c r="L44" i="45"/>
  <c r="L55" i="45"/>
  <c r="L57" i="45"/>
  <c r="O15" i="32"/>
  <c r="O39" i="32" l="1"/>
  <c r="P35" i="32" s="1"/>
  <c r="O52" i="32"/>
  <c r="O53" i="32" s="1"/>
  <c r="P49" i="32" s="1"/>
  <c r="P61" i="32"/>
  <c r="P65" i="32" s="1"/>
  <c r="L32" i="45"/>
  <c r="L61" i="45"/>
  <c r="O78" i="32"/>
  <c r="L60" i="45"/>
  <c r="M68" i="45"/>
  <c r="L47" i="45"/>
  <c r="L28" i="45"/>
  <c r="E42" i="50"/>
  <c r="K126" i="34"/>
  <c r="K127" i="34" s="1"/>
  <c r="O35" i="4"/>
  <c r="O74" i="32"/>
  <c r="P36" i="32" l="1"/>
  <c r="O13" i="26"/>
  <c r="O17" i="26" s="1"/>
  <c r="P50" i="32"/>
  <c r="P66" i="32"/>
  <c r="P67" i="32" s="1"/>
  <c r="Q63" i="32" s="1"/>
  <c r="O79" i="32"/>
  <c r="L48" i="45"/>
  <c r="M70" i="45"/>
  <c r="J15" i="34" l="1"/>
  <c r="J16" i="34" s="1"/>
  <c r="J21" i="34"/>
  <c r="J22" i="34" s="1"/>
  <c r="O20" i="26"/>
  <c r="O14" i="32" s="1"/>
  <c r="Q64" i="32"/>
  <c r="L62" i="45"/>
  <c r="M73" i="45"/>
  <c r="L27" i="45"/>
  <c r="L49" i="45"/>
  <c r="O73" i="32" l="1"/>
  <c r="O17" i="32"/>
  <c r="O22" i="32" s="1"/>
  <c r="O23" i="32" s="1"/>
  <c r="L30" i="45"/>
  <c r="M74" i="45"/>
  <c r="M58" i="45"/>
  <c r="M59" i="45"/>
  <c r="P68" i="4"/>
  <c r="M45" i="45"/>
  <c r="P50" i="4"/>
  <c r="M46" i="45"/>
  <c r="O76" i="32" l="1"/>
  <c r="O24" i="32"/>
  <c r="P19" i="32" s="1"/>
  <c r="P31" i="26"/>
  <c r="P32" i="26" s="1"/>
  <c r="P45" i="32"/>
  <c r="P25" i="26"/>
  <c r="P31" i="32"/>
  <c r="E44" i="50"/>
  <c r="O81" i="32"/>
  <c r="L33" i="45"/>
  <c r="M75" i="45"/>
  <c r="E43" i="50"/>
  <c r="P20" i="32" l="1"/>
  <c r="P26" i="26"/>
  <c r="P33" i="32"/>
  <c r="P37" i="32" s="1"/>
  <c r="P47" i="32"/>
  <c r="P51" i="32" s="1"/>
  <c r="M42" i="45"/>
  <c r="O82" i="32"/>
  <c r="L34" i="45"/>
  <c r="N71" i="45"/>
  <c r="N72" i="45"/>
  <c r="Q114" i="4"/>
  <c r="M55" i="45"/>
  <c r="P52" i="32" l="1"/>
  <c r="P53" i="32" s="1"/>
  <c r="Q49" i="32" s="1"/>
  <c r="P38" i="32"/>
  <c r="Q38" i="26"/>
  <c r="Q43" i="26" s="1"/>
  <c r="Q59" i="32"/>
  <c r="M57" i="45"/>
  <c r="O83" i="32"/>
  <c r="L35" i="45"/>
  <c r="M44" i="45"/>
  <c r="P39" i="32" l="1"/>
  <c r="Q35" i="32" s="1"/>
  <c r="Q36" i="32" s="1"/>
  <c r="Q50" i="32"/>
  <c r="Q61" i="32"/>
  <c r="Q65" i="32" s="1"/>
  <c r="M47" i="45"/>
  <c r="D71" i="45"/>
  <c r="L126" i="34"/>
  <c r="L127" i="34" s="1"/>
  <c r="L53" i="38" s="1"/>
  <c r="N68" i="45"/>
  <c r="P78" i="32"/>
  <c r="M31" i="45"/>
  <c r="M60" i="45"/>
  <c r="P31" i="4"/>
  <c r="P15" i="32" l="1"/>
  <c r="Q66" i="32"/>
  <c r="Q67" i="32" s="1"/>
  <c r="N70" i="45"/>
  <c r="S53" i="38"/>
  <c r="L59" i="38"/>
  <c r="L58" i="38"/>
  <c r="L57" i="38"/>
  <c r="L56" i="38"/>
  <c r="L54" i="38"/>
  <c r="L55" i="38"/>
  <c r="J28" i="38"/>
  <c r="E72" i="45"/>
  <c r="M61" i="45"/>
  <c r="P79" i="32"/>
  <c r="M32" i="45"/>
  <c r="M48" i="45"/>
  <c r="P35" i="4"/>
  <c r="M28" i="45"/>
  <c r="P13" i="26" l="1"/>
  <c r="M49" i="45"/>
  <c r="M62" i="45"/>
  <c r="J42" i="50"/>
  <c r="S29" i="38"/>
  <c r="E41" i="50"/>
  <c r="E45" i="50" s="1"/>
  <c r="D93" i="50" s="1"/>
  <c r="N73" i="45"/>
  <c r="P74" i="32"/>
  <c r="K21" i="34" l="1"/>
  <c r="K22" i="34" s="1"/>
  <c r="K15" i="34"/>
  <c r="K16" i="34" s="1"/>
  <c r="P17" i="26"/>
  <c r="F94" i="50"/>
  <c r="I94" i="50"/>
  <c r="G94" i="50"/>
  <c r="J94" i="50"/>
  <c r="E94" i="50"/>
  <c r="E83" i="50"/>
  <c r="F83" i="50" s="1"/>
  <c r="G83" i="50" s="1"/>
  <c r="M27" i="45"/>
  <c r="N58" i="45"/>
  <c r="Q68" i="4"/>
  <c r="N59" i="45"/>
  <c r="N74" i="45"/>
  <c r="N45" i="45"/>
  <c r="N46" i="45"/>
  <c r="Q50" i="4"/>
  <c r="P20" i="26" l="1"/>
  <c r="P14" i="32" s="1"/>
  <c r="Q31" i="26"/>
  <c r="Q32" i="26" s="1"/>
  <c r="Q45" i="32"/>
  <c r="Q25" i="26"/>
  <c r="Q26" i="26" s="1"/>
  <c r="Q31" i="32"/>
  <c r="M30" i="45"/>
  <c r="E298" i="50"/>
  <c r="E177" i="50"/>
  <c r="E284" i="50"/>
  <c r="E191" i="50"/>
  <c r="J191" i="50"/>
  <c r="J197" i="50" s="1"/>
  <c r="J298" i="50"/>
  <c r="J304" i="50" s="1"/>
  <c r="J284" i="50"/>
  <c r="J290" i="50" s="1"/>
  <c r="J177" i="50"/>
  <c r="J183" i="50" s="1"/>
  <c r="J36" i="38"/>
  <c r="S36" i="38" s="1"/>
  <c r="N75" i="45"/>
  <c r="G284" i="50"/>
  <c r="G287" i="50" s="1"/>
  <c r="G191" i="50"/>
  <c r="G194" i="50" s="1"/>
  <c r="G298" i="50"/>
  <c r="G301" i="50" s="1"/>
  <c r="G177" i="50"/>
  <c r="G180" i="50" s="1"/>
  <c r="I177" i="50"/>
  <c r="I182" i="50" s="1"/>
  <c r="I298" i="50"/>
  <c r="I303" i="50" s="1"/>
  <c r="I284" i="50"/>
  <c r="I289" i="50" s="1"/>
  <c r="I191" i="50"/>
  <c r="I196" i="50" s="1"/>
  <c r="F298" i="50"/>
  <c r="F300" i="50" s="1"/>
  <c r="F177" i="50"/>
  <c r="F284" i="50"/>
  <c r="F286" i="50" s="1"/>
  <c r="F191" i="50"/>
  <c r="F193" i="50" s="1"/>
  <c r="P73" i="32" l="1"/>
  <c r="P17" i="32"/>
  <c r="P22" i="32" s="1"/>
  <c r="P23" i="32" s="1"/>
  <c r="Q47" i="32"/>
  <c r="Q51" i="32" s="1"/>
  <c r="Q33" i="32"/>
  <c r="Q37" i="32" s="1"/>
  <c r="N55" i="45"/>
  <c r="E190" i="50"/>
  <c r="F190" i="50" s="1"/>
  <c r="G190" i="50" s="1"/>
  <c r="E192" i="50"/>
  <c r="M35" i="45"/>
  <c r="N42" i="45"/>
  <c r="E283" i="50"/>
  <c r="F283" i="50" s="1"/>
  <c r="G283" i="50" s="1"/>
  <c r="E285" i="50"/>
  <c r="E176" i="50"/>
  <c r="F176" i="50" s="1"/>
  <c r="G176" i="50" s="1"/>
  <c r="E178" i="50"/>
  <c r="E299" i="50"/>
  <c r="E297" i="50"/>
  <c r="F297" i="50" s="1"/>
  <c r="G297" i="50" s="1"/>
  <c r="D58" i="45"/>
  <c r="D44" i="45"/>
  <c r="F179" i="50"/>
  <c r="M33" i="45"/>
  <c r="P81" i="32" l="1"/>
  <c r="P76" i="32"/>
  <c r="P24" i="32"/>
  <c r="Q19" i="32" s="1"/>
  <c r="Q20" i="32" s="1"/>
  <c r="Q79" i="32" s="1"/>
  <c r="Q52" i="32"/>
  <c r="Q53" i="32" s="1"/>
  <c r="Q38" i="32"/>
  <c r="Q39" i="32" s="1"/>
  <c r="N31" i="45"/>
  <c r="E45" i="45"/>
  <c r="J18" i="38"/>
  <c r="E59" i="45"/>
  <c r="J24" i="38"/>
  <c r="N32" i="45"/>
  <c r="P82" i="32"/>
  <c r="M34" i="45"/>
  <c r="N44" i="45"/>
  <c r="N57" i="45"/>
  <c r="P83" i="32" l="1"/>
  <c r="Q78" i="32"/>
  <c r="Q31" i="4"/>
  <c r="Q35" i="4" s="1"/>
  <c r="D34" i="45"/>
  <c r="N28" i="45"/>
  <c r="S25" i="38"/>
  <c r="J44" i="50"/>
  <c r="N60" i="45"/>
  <c r="J43" i="50"/>
  <c r="S19" i="38"/>
  <c r="N47" i="45"/>
  <c r="Q15" i="32" l="1"/>
  <c r="Q74" i="32" s="1"/>
  <c r="H84" i="50" s="1"/>
  <c r="Q13" i="26"/>
  <c r="Q17" i="26" s="1"/>
  <c r="Q20" i="26" s="1"/>
  <c r="Q14" i="32" s="1"/>
  <c r="N40" i="38"/>
  <c r="N45" i="38" s="1"/>
  <c r="J11" i="38"/>
  <c r="E35" i="45"/>
  <c r="N61" i="45"/>
  <c r="N48" i="45"/>
  <c r="K86" i="45"/>
  <c r="Q17" i="32" l="1"/>
  <c r="Q22" i="32" s="1"/>
  <c r="Q23" i="32" s="1"/>
  <c r="Q24" i="32" s="1"/>
  <c r="L15" i="34"/>
  <c r="L16" i="34" s="1"/>
  <c r="L21" i="34"/>
  <c r="L22" i="34" s="1"/>
  <c r="H94" i="50"/>
  <c r="H177" i="50" s="1"/>
  <c r="Q73" i="32"/>
  <c r="N44" i="38"/>
  <c r="N46" i="38"/>
  <c r="N49" i="38"/>
  <c r="N50" i="38"/>
  <c r="N41" i="38"/>
  <c r="N43" i="38"/>
  <c r="N42" i="38"/>
  <c r="N47" i="38"/>
  <c r="N48" i="38"/>
  <c r="H88" i="50"/>
  <c r="H83" i="50"/>
  <c r="I83" i="50" s="1"/>
  <c r="J83" i="50" s="1"/>
  <c r="N49" i="45"/>
  <c r="J34" i="38"/>
  <c r="S34" i="38" s="1"/>
  <c r="J41" i="50"/>
  <c r="J45" i="50" s="1"/>
  <c r="S12" i="38"/>
  <c r="N27" i="45"/>
  <c r="L40" i="38"/>
  <c r="K88" i="45"/>
  <c r="N62" i="45"/>
  <c r="J35" i="38"/>
  <c r="S35" i="38" s="1"/>
  <c r="H298" i="50" l="1"/>
  <c r="H302" i="50" s="1"/>
  <c r="H284" i="50"/>
  <c r="H288" i="50" s="1"/>
  <c r="H191" i="50"/>
  <c r="H190" i="50" s="1"/>
  <c r="I190" i="50" s="1"/>
  <c r="J190" i="50" s="1"/>
  <c r="N30" i="45"/>
  <c r="Q76" i="32"/>
  <c r="L44" i="38"/>
  <c r="S44" i="38" s="1"/>
  <c r="L46" i="38"/>
  <c r="S46" i="38" s="1"/>
  <c r="L42" i="38"/>
  <c r="S42" i="38" s="1"/>
  <c r="L49" i="38"/>
  <c r="S49" i="38" s="1"/>
  <c r="S40" i="38"/>
  <c r="L41" i="38"/>
  <c r="S41" i="38" s="1"/>
  <c r="L47" i="38"/>
  <c r="S47" i="38" s="1"/>
  <c r="L48" i="38"/>
  <c r="S48" i="38" s="1"/>
  <c r="L50" i="38"/>
  <c r="L45" i="38"/>
  <c r="S45" i="38" s="1"/>
  <c r="L43" i="38"/>
  <c r="S43" i="38" s="1"/>
  <c r="H181" i="50"/>
  <c r="H176" i="50"/>
  <c r="I176" i="50" s="1"/>
  <c r="J176" i="50" s="1"/>
  <c r="K177" i="50"/>
  <c r="G39" i="50"/>
  <c r="M93" i="50"/>
  <c r="G40" i="50"/>
  <c r="G46" i="50" s="1"/>
  <c r="H297" i="50" l="1"/>
  <c r="I297" i="50" s="1"/>
  <c r="J297" i="50" s="1"/>
  <c r="K298" i="50"/>
  <c r="K305" i="50" s="1"/>
  <c r="K284" i="50"/>
  <c r="K291" i="50" s="1"/>
  <c r="H283" i="50"/>
  <c r="I283" i="50" s="1"/>
  <c r="J283" i="50" s="1"/>
  <c r="K191" i="50"/>
  <c r="K198" i="50" s="1"/>
  <c r="H195" i="50"/>
  <c r="L84" i="50"/>
  <c r="L83" i="50"/>
  <c r="J33" i="38"/>
  <c r="S33" i="38" s="1"/>
  <c r="S2" i="38" s="1"/>
  <c r="N35" i="45"/>
  <c r="N33" i="45"/>
  <c r="Q83" i="32"/>
  <c r="Q81" i="32"/>
  <c r="K176" i="50"/>
  <c r="K184" i="50"/>
  <c r="K297" i="50" l="1"/>
  <c r="K283" i="50"/>
  <c r="K190" i="50"/>
  <c r="L92" i="50"/>
  <c r="K84" i="50"/>
  <c r="Q82" i="32"/>
  <c r="N34" i="45"/>
  <c r="K91" i="50" l="1"/>
  <c r="K83" i="50"/>
  <c r="K94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Morrison</author>
  </authors>
  <commentList>
    <comment ref="J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Julie Morrison:</t>
        </r>
        <r>
          <rPr>
            <sz val="9"/>
            <color indexed="81"/>
            <rFont val="Tahoma"/>
            <family val="2"/>
          </rPr>
          <t xml:space="preserve">
This brings the adjusted nominal WACC to the value provided to the AER for these annual pricing years.</t>
        </r>
      </text>
    </comment>
    <comment ref="C9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Julie Morrison:</t>
        </r>
        <r>
          <rPr>
            <sz val="9"/>
            <color indexed="81"/>
            <rFont val="Tahoma"/>
            <family val="2"/>
          </rPr>
          <t xml:space="preserve">
These seem the require the t-1 estimates from each years' annual pricing proposal.  I think the 2021-22 figures are pre-emptive in this model.
Is column P meant to be blank for this?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<sst xmlns="http://schemas.openxmlformats.org/spreadsheetml/2006/main" count="2205" uniqueCount="950">
  <si>
    <t>Back to Index</t>
  </si>
  <si>
    <t>Key:</t>
  </si>
  <si>
    <t>Inputs</t>
  </si>
  <si>
    <t>Source</t>
  </si>
  <si>
    <t>Value</t>
  </si>
  <si>
    <t>SA Power Networks</t>
  </si>
  <si>
    <t>AER</t>
  </si>
  <si>
    <t>Year ending</t>
  </si>
  <si>
    <t>End</t>
  </si>
  <si>
    <t>ABS</t>
  </si>
  <si>
    <t>Calculated</t>
  </si>
  <si>
    <t>Unit</t>
  </si>
  <si>
    <t>index</t>
  </si>
  <si>
    <t>Percent</t>
  </si>
  <si>
    <t>Notes</t>
  </si>
  <si>
    <t>$millions</t>
  </si>
  <si>
    <t>Actual</t>
  </si>
  <si>
    <t>Estimate</t>
  </si>
  <si>
    <t>nominal</t>
  </si>
  <si>
    <t>Per cent</t>
  </si>
  <si>
    <t>Unit Denominations</t>
  </si>
  <si>
    <t>Ref</t>
  </si>
  <si>
    <t>Dollars</t>
  </si>
  <si>
    <t>$dollars</t>
  </si>
  <si>
    <t>Thousands</t>
  </si>
  <si>
    <t>$000</t>
  </si>
  <si>
    <t>Millions</t>
  </si>
  <si>
    <t>unit</t>
  </si>
  <si>
    <t>Number</t>
  </si>
  <si>
    <t>number</t>
  </si>
  <si>
    <t>Factor</t>
  </si>
  <si>
    <t>factor</t>
  </si>
  <si>
    <t>Months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</si>
  <si>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</si>
  <si>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</si>
  <si>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</si>
  <si>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</si>
  <si>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</si>
  <si>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</si>
  <si>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</si>
  <si>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</si>
  <si>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</si>
  <si>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</si>
  <si>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</si>
  <si>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</si>
  <si>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Years</t>
  </si>
  <si>
    <t>Calendar Year</t>
  </si>
  <si>
    <t>Year Ending</t>
  </si>
  <si>
    <t>Financial Year</t>
  </si>
  <si>
    <t>Regulatory years</t>
  </si>
  <si>
    <t>Year</t>
  </si>
  <si>
    <t>calculated</t>
  </si>
  <si>
    <t>Forecast period year 1</t>
  </si>
  <si>
    <t>Forecast period year 2</t>
  </si>
  <si>
    <t>Forecast period year 3</t>
  </si>
  <si>
    <t>Forecast period year 4</t>
  </si>
  <si>
    <t>Forecast period year 5</t>
  </si>
  <si>
    <t>Index</t>
  </si>
  <si>
    <t>Model index</t>
  </si>
  <si>
    <t>Sheet Name</t>
  </si>
  <si>
    <t>Sheet Description</t>
  </si>
  <si>
    <t>DNSP name</t>
  </si>
  <si>
    <t>AusNet Services</t>
  </si>
  <si>
    <t>Ausgrid</t>
  </si>
  <si>
    <t>CitiPower</t>
  </si>
  <si>
    <t>Endeavour</t>
  </si>
  <si>
    <t>Energex</t>
  </si>
  <si>
    <t>Ergon Energy</t>
  </si>
  <si>
    <t>Essential</t>
  </si>
  <si>
    <t>Evoenergy</t>
  </si>
  <si>
    <t>Jemena</t>
  </si>
  <si>
    <t>Powercor</t>
  </si>
  <si>
    <t>Power and Water Corporation</t>
  </si>
  <si>
    <t>TasNetworks</t>
  </si>
  <si>
    <t>United Energy</t>
  </si>
  <si>
    <t>AER pricing model</t>
  </si>
  <si>
    <t>Current regulatory year (t-1)</t>
  </si>
  <si>
    <t>Forecast regulatory year (t)</t>
  </si>
  <si>
    <t>Previous regulatory year (t-2)</t>
  </si>
  <si>
    <t>Current regulatory control period, last year</t>
  </si>
  <si>
    <t>Current regulatory control period, first year</t>
  </si>
  <si>
    <t>DNSP</t>
  </si>
  <si>
    <t>Current measurement quarter for CPI</t>
  </si>
  <si>
    <t>Previous measurement quarter for CPI</t>
  </si>
  <si>
    <t>Index value</t>
  </si>
  <si>
    <t>Forecast inflation for current regulatory control period</t>
  </si>
  <si>
    <t>Inputs the WACC, x-factors, allowed revenues, and annual adjustments</t>
  </si>
  <si>
    <t>Determination</t>
  </si>
  <si>
    <t>All now on Dec CPI</t>
  </si>
  <si>
    <t>Inflation</t>
  </si>
  <si>
    <t>NSW</t>
  </si>
  <si>
    <t>Qld</t>
  </si>
  <si>
    <t>Vic</t>
  </si>
  <si>
    <t>ACT</t>
  </si>
  <si>
    <t>NT</t>
  </si>
  <si>
    <t>SA</t>
  </si>
  <si>
    <t>Tas</t>
  </si>
  <si>
    <t>Yr/end Vic</t>
  </si>
  <si>
    <t>Reg yr Vic</t>
  </si>
  <si>
    <t>HY21</t>
  </si>
  <si>
    <t>Real vanilla WACC</t>
  </si>
  <si>
    <t>x-factor</t>
  </si>
  <si>
    <t>Allowed smoothed revenue</t>
  </si>
  <si>
    <t>PTRM</t>
  </si>
  <si>
    <t>Adjusted nominal WACC</t>
  </si>
  <si>
    <t>Calculation</t>
  </si>
  <si>
    <t>Input|General</t>
  </si>
  <si>
    <t>Applicable regulatory year</t>
  </si>
  <si>
    <t>Input table 1 | General inputs</t>
  </si>
  <si>
    <t>Input table 2 | Inflation</t>
  </si>
  <si>
    <t>Input table 3 | Financial information</t>
  </si>
  <si>
    <t>Input table 4 | Annual adjustments</t>
  </si>
  <si>
    <t>S factor (STPIS 1.2)</t>
  </si>
  <si>
    <t>S factor (STPIS 2.0)</t>
  </si>
  <si>
    <t>H factor (CSIS)</t>
  </si>
  <si>
    <t>DMIS</t>
  </si>
  <si>
    <t>DMIA</t>
  </si>
  <si>
    <t>Total Incentive Schemes</t>
  </si>
  <si>
    <t>Total Cost Pass-Throughs</t>
  </si>
  <si>
    <t>Cost pass-through 1</t>
  </si>
  <si>
    <t>Cost pass-through 2</t>
  </si>
  <si>
    <t>Under/over-recovery adjustment (distribution)</t>
  </si>
  <si>
    <t>License fees</t>
  </si>
  <si>
    <t>Total B factor adjustments</t>
  </si>
  <si>
    <t>To reflect the adjustment made in that year, not updated for actual revenues</t>
  </si>
  <si>
    <t>Under/over-recovery adjustment (DPPC)</t>
  </si>
  <si>
    <t>ESV levy</t>
  </si>
  <si>
    <t>Under/over-recovery adjustment (JSA)</t>
  </si>
  <si>
    <t xml:space="preserve">Provide supporting documentation. </t>
  </si>
  <si>
    <t>Input any offsetting amounts as negative figures (e.g. inter-network payments)</t>
  </si>
  <si>
    <t>Input any offsetting amounts as negative figures</t>
  </si>
  <si>
    <t>Pass through amounts</t>
  </si>
  <si>
    <t>WACC true-up</t>
  </si>
  <si>
    <t>Under/over-recovery adjustment (metering)</t>
  </si>
  <si>
    <t>Input table 7 | Unders and overs accounts</t>
  </si>
  <si>
    <t>Unders/overs opening balances</t>
  </si>
  <si>
    <t>Distribution</t>
  </si>
  <si>
    <t>DPPC</t>
  </si>
  <si>
    <t>JSA</t>
  </si>
  <si>
    <t>Input from previous model</t>
  </si>
  <si>
    <t>Unders/overs opening balance</t>
  </si>
  <si>
    <t>Metering x-factor</t>
  </si>
  <si>
    <t>Metering allowed smoothed revenue</t>
  </si>
  <si>
    <t>Deliberate under-recoveries</t>
  </si>
  <si>
    <t>Input table 9 | Revenue</t>
  </si>
  <si>
    <t>Input table 10 | Expenditure</t>
  </si>
  <si>
    <t>Year t forecasts</t>
  </si>
  <si>
    <t>Year t-1 estimates</t>
  </si>
  <si>
    <t>Total Forecast DPPC</t>
  </si>
  <si>
    <t>Total Estimate DPPC</t>
  </si>
  <si>
    <t>Input table 6 | Jurisdictional Scheme Amounts (JSA)</t>
  </si>
  <si>
    <t>Input table 5 | Designated Pricing Proposal Costs (DPPC)</t>
  </si>
  <si>
    <t>Total Estimate JSA</t>
  </si>
  <si>
    <t>Total Forecast JSA</t>
  </si>
  <si>
    <t>Distribution revenue</t>
  </si>
  <si>
    <t>RIN</t>
  </si>
  <si>
    <t>DPPC revenue</t>
  </si>
  <si>
    <t>Total should reflect total expenditure in 'Standard Control Services column'</t>
  </si>
  <si>
    <t>in table 8.1.1.2 of AR RIN</t>
  </si>
  <si>
    <t>From 'Standard Control Services' column in table 8.1.1.1 of AR RIN</t>
  </si>
  <si>
    <t>Residential customers energy deliveries</t>
  </si>
  <si>
    <t>Input table 11 | Operational data</t>
  </si>
  <si>
    <t>Non-residential customers not on demand tariffs energy deliveries</t>
  </si>
  <si>
    <t>Total JSA expenditure</t>
  </si>
  <si>
    <t>Total DPPC expenditure</t>
  </si>
  <si>
    <t>Breakdown to be provided where available</t>
  </si>
  <si>
    <t>Total energy delivered</t>
  </si>
  <si>
    <t>Non-residential LV demand tariff customers energy deliveries</t>
  </si>
  <si>
    <t>Non-residential HV demand tariff customers energy deliveries</t>
  </si>
  <si>
    <t>Other customer class energy deliveries</t>
  </si>
  <si>
    <t>kWh</t>
  </si>
  <si>
    <t>MWh</t>
  </si>
  <si>
    <t>GWh</t>
  </si>
  <si>
    <t>Cents</t>
  </si>
  <si>
    <t>cents</t>
  </si>
  <si>
    <t>day</t>
  </si>
  <si>
    <t>month</t>
  </si>
  <si>
    <t>year</t>
  </si>
  <si>
    <t>Monthly charges</t>
  </si>
  <si>
    <t>Daily charges</t>
  </si>
  <si>
    <t>Annual charges</t>
  </si>
  <si>
    <t>kW</t>
  </si>
  <si>
    <t>Kilowatts</t>
  </si>
  <si>
    <t>Kilowatt hours</t>
  </si>
  <si>
    <t>Megawatt hours</t>
  </si>
  <si>
    <t>Gigawatt hours</t>
  </si>
  <si>
    <t>Energy delivered where TOU is not a determinant</t>
  </si>
  <si>
    <t>Energy delivery at On-peak times</t>
  </si>
  <si>
    <t>Energy delivery at Shoulder times</t>
  </si>
  <si>
    <t>Energy delivery at Off-peak times</t>
  </si>
  <si>
    <t>Controlled load energy deliveries</t>
  </si>
  <si>
    <t>Energy delivery to unmetered supplies</t>
  </si>
  <si>
    <t>Residential customer numbers</t>
  </si>
  <si>
    <t>Non-residential customers not on demand tariff customer numbers</t>
  </si>
  <si>
    <t>LV demand tariff customer numbers</t>
  </si>
  <si>
    <t>HV demand tariff customer numbers</t>
  </si>
  <si>
    <t>Unmetered customer numbers</t>
  </si>
  <si>
    <t>Other customer numbers</t>
  </si>
  <si>
    <t>Total customer numbers</t>
  </si>
  <si>
    <t>Tariff class</t>
  </si>
  <si>
    <t>Time-of-use?</t>
  </si>
  <si>
    <t>Open/closed?</t>
  </si>
  <si>
    <t>Demand?</t>
  </si>
  <si>
    <t>Type of charge</t>
  </si>
  <si>
    <t>Unit 1</t>
  </si>
  <si>
    <t>Unit 2</t>
  </si>
  <si>
    <t>Unit 3</t>
  </si>
  <si>
    <t>Abbreviated</t>
  </si>
  <si>
    <t>Fixed</t>
  </si>
  <si>
    <t>Anytime</t>
  </si>
  <si>
    <t>Block 1</t>
  </si>
  <si>
    <t>Block 2</t>
  </si>
  <si>
    <t>Peak</t>
  </si>
  <si>
    <t>Shoulder</t>
  </si>
  <si>
    <t>Off-peak</t>
  </si>
  <si>
    <t>Export</t>
  </si>
  <si>
    <t>Residential</t>
  </si>
  <si>
    <t>Small business</t>
  </si>
  <si>
    <t>Combined</t>
  </si>
  <si>
    <t>Designated Pricing Proposal Costs</t>
  </si>
  <si>
    <t>Jurisdictional Scheme Amounts</t>
  </si>
  <si>
    <t>Materiality threshold for indicative price movements</t>
  </si>
  <si>
    <t>Description of tariffs</t>
  </si>
  <si>
    <t>Annual smoothed revenue</t>
  </si>
  <si>
    <t>Adjusted annual smoothed revenue</t>
  </si>
  <si>
    <t>I factor</t>
  </si>
  <si>
    <t>B factor</t>
  </si>
  <si>
    <t>C factor</t>
  </si>
  <si>
    <t>Leave blank where STPIS 1.2 does not apply</t>
  </si>
  <si>
    <t>Should apply from year 3 for NSW/ACT/Qld/SA and from year 1 for Vic</t>
  </si>
  <si>
    <t>Total allowed revenue</t>
  </si>
  <si>
    <t>Total cost pass-throughs</t>
  </si>
  <si>
    <t>Days per year</t>
  </si>
  <si>
    <t>Days for high season</t>
  </si>
  <si>
    <t>Days for low season</t>
  </si>
  <si>
    <t>Low season charges</t>
  </si>
  <si>
    <t>High season charges</t>
  </si>
  <si>
    <t>highsn</t>
  </si>
  <si>
    <t>lowsn</t>
  </si>
  <si>
    <t>Quantities</t>
  </si>
  <si>
    <t>Total</t>
  </si>
  <si>
    <t>Net</t>
  </si>
  <si>
    <t>units</t>
  </si>
  <si>
    <t>Consump. Type</t>
  </si>
  <si>
    <t>Opening balance</t>
  </si>
  <si>
    <t>Revenue from charges</t>
  </si>
  <si>
    <t>Interest on opening balance</t>
  </si>
  <si>
    <t>Interest on under/over-recovery for regulatory year</t>
  </si>
  <si>
    <t>Miscellaneous adjustment (e.g. COVID-19)</t>
  </si>
  <si>
    <t>Closing balance</t>
  </si>
  <si>
    <t>'Financial'!</t>
  </si>
  <si>
    <t>'Allowed revenue'!</t>
  </si>
  <si>
    <t>B factor, net of under/over-recovery adjustment</t>
  </si>
  <si>
    <t>Units</t>
  </si>
  <si>
    <t>Incremental revenues approach</t>
  </si>
  <si>
    <t>Permissable percentage</t>
  </si>
  <si>
    <t>Alternate approach</t>
  </si>
  <si>
    <t>Small customer?</t>
  </si>
  <si>
    <t>TOU?</t>
  </si>
  <si>
    <t>Prices</t>
  </si>
  <si>
    <t>Revenues</t>
  </si>
  <si>
    <t>Model index - inputs</t>
  </si>
  <si>
    <t>General</t>
  </si>
  <si>
    <t>Financial</t>
  </si>
  <si>
    <t>Actuals</t>
  </si>
  <si>
    <t>Tariffs</t>
  </si>
  <si>
    <t>Indicative prices</t>
  </si>
  <si>
    <t>Trial tariffs</t>
  </si>
  <si>
    <t>Tariff costs</t>
  </si>
  <si>
    <t>Inputs NSP name, regulatory years for the t, t-1, and t-2 years, inflation, day counts, etc.</t>
  </si>
  <si>
    <t>NER</t>
  </si>
  <si>
    <t>TSS</t>
  </si>
  <si>
    <t>Inputs actual revenues, demand, and customer numbers</t>
  </si>
  <si>
    <t>Inputs forecast, estimated, and actual quantities</t>
  </si>
  <si>
    <t>Inputs proposed prices for SCS</t>
  </si>
  <si>
    <t>Inputs historical prices for SCS for calculating estimated and actual revenues</t>
  </si>
  <si>
    <t>Inputs trial tariffs and relevant revenues (both forecast and historical)</t>
  </si>
  <si>
    <t>Inputs cost information related to standalone and avoidable costs</t>
  </si>
  <si>
    <t>Total quantities</t>
  </si>
  <si>
    <t>Accounts</t>
  </si>
  <si>
    <t>Side constraints revenue</t>
  </si>
  <si>
    <t>Movements</t>
  </si>
  <si>
    <t>Proposed prices</t>
  </si>
  <si>
    <t>Historical prices</t>
  </si>
  <si>
    <t>Calculates revenues for the t year for each tariff component</t>
  </si>
  <si>
    <t>Calculates revenues for the t-1 and t-2 years for each tariff component</t>
  </si>
  <si>
    <t>Totals revenues for each tariff, charging component, and tariff class</t>
  </si>
  <si>
    <t>Calculates demand for each charging component, tariff, and tariff class</t>
  </si>
  <si>
    <t>Calculates under/over-recovery and related data</t>
  </si>
  <si>
    <t>Calculates permissable percentage and revenue for side constraint mechanism</t>
  </si>
  <si>
    <t>Calculates network costs and consumption profiles for each residential and small business tariff</t>
  </si>
  <si>
    <t>Calculations</t>
  </si>
  <si>
    <t>Provides schedules of network prices</t>
  </si>
  <si>
    <t>Final determination AER input</t>
  </si>
  <si>
    <t>Annual AER input</t>
  </si>
  <si>
    <t>Updated AER input (e.g. placeholder updated for final submission)</t>
  </si>
  <si>
    <t>Annual DNSP input</t>
  </si>
  <si>
    <t>Updated DNSP input (e.g. placeholder updated for final submission)</t>
  </si>
  <si>
    <t>N/A</t>
  </si>
  <si>
    <t>Electicity Distribution Network Service Provider</t>
  </si>
  <si>
    <t>Version Record</t>
  </si>
  <si>
    <t>Date</t>
  </si>
  <si>
    <t>Description</t>
  </si>
  <si>
    <t>Draft version of new model - including inputs and calculations worksheets, as well as lookup worksheet</t>
  </si>
  <si>
    <t>Draft version of full model for feedback</t>
  </si>
  <si>
    <t>Final model for use in 2022/23 process</t>
  </si>
  <si>
    <t>Updated for issues arising in 2022/23 pricing proces, feedback from consultation with wider stakeholders</t>
  </si>
  <si>
    <t>Final updated model (from broader stakeholder consultation) for DNSP QA</t>
  </si>
  <si>
    <t>Final model for DNSP QA</t>
  </si>
  <si>
    <t>Final model for use in 2023/24 process</t>
  </si>
  <si>
    <t>Final model updated for 2024–29 determinations for use in 2024/25 initial pricing where applicable</t>
  </si>
  <si>
    <t>Updated for 2024–29 determinations for NSW/ACT/NT/Tas businesses to reflect changes in determination (e.g. side constraints application)</t>
  </si>
  <si>
    <t>'TAR'!</t>
  </si>
  <si>
    <t>Cost-reflective?</t>
  </si>
  <si>
    <t>Controlled load?</t>
  </si>
  <si>
    <t>%</t>
  </si>
  <si>
    <t>Customers</t>
  </si>
  <si>
    <t>Compliance</t>
  </si>
  <si>
    <t>Total revenue from distribution charges</t>
  </si>
  <si>
    <t>Total Allowable Revenue</t>
  </si>
  <si>
    <t>Metering (Vic only)</t>
  </si>
  <si>
    <t>Total revenue from JSA charges</t>
  </si>
  <si>
    <t>Total revenue from metering charges</t>
  </si>
  <si>
    <t>Enter any actual revenue for trial tariffs for years earlier than the current year</t>
  </si>
  <si>
    <t>Total trial tariffs</t>
  </si>
  <si>
    <t>Threshold</t>
  </si>
  <si>
    <t>Calculated revenue</t>
  </si>
  <si>
    <t>Standalone costs</t>
  </si>
  <si>
    <t>Avoidable costs</t>
  </si>
  <si>
    <t>Compliance table 2 | Unders/overs accounts</t>
  </si>
  <si>
    <t>Closing balances</t>
  </si>
  <si>
    <t>Outputs</t>
  </si>
  <si>
    <t>Compliance table 3 | Side constraints</t>
  </si>
  <si>
    <t>Compliance table 4 | Trial tariffs distribution revenue</t>
  </si>
  <si>
    <t>Movement</t>
  </si>
  <si>
    <t>Method for side constraints</t>
  </si>
  <si>
    <t>Incremental</t>
  </si>
  <si>
    <t>Alternate</t>
  </si>
  <si>
    <t>Total network prices</t>
  </si>
  <si>
    <t>Tariff schedule</t>
  </si>
  <si>
    <t>U1 conversion</t>
  </si>
  <si>
    <t>U3 conversion</t>
  </si>
  <si>
    <t>Tables</t>
  </si>
  <si>
    <t>Transitional S-factor adjustments (STPIS 1.2 to 2.0)</t>
  </si>
  <si>
    <t>Output table 2 | Allowable revenue breakdowns, including unders/overs accounts - NER 6.18.2(b)(6), 6.18.2(b)(6A), 6.18.2(b)(7)</t>
  </si>
  <si>
    <t>PFiT</t>
  </si>
  <si>
    <t>TFiT</t>
  </si>
  <si>
    <t>Distribution unders/overs account</t>
  </si>
  <si>
    <t>Forecast</t>
  </si>
  <si>
    <t>(A) Revenue from DUOS charges</t>
  </si>
  <si>
    <t>(B) Less TAR (net of unders/overs adjustment)</t>
  </si>
  <si>
    <t>(C) Revenue deliberately under-recovered</t>
  </si>
  <si>
    <t>Interest on under/over recovery</t>
  </si>
  <si>
    <t>DPPC unders/overs account</t>
  </si>
  <si>
    <t>JSA unders/overs account</t>
  </si>
  <si>
    <t>Metering unders/overs account</t>
  </si>
  <si>
    <t>(B) Less forecast DPPC</t>
  </si>
  <si>
    <t>(A) Revenue from TUOS charges</t>
  </si>
  <si>
    <t>(B) Less forecast JSA</t>
  </si>
  <si>
    <t>(A) Revenue from JUOS charges</t>
  </si>
  <si>
    <t>(A) Revenue from metering charges</t>
  </si>
  <si>
    <t>(B) Less TARM (net of unders/overs adjustment)</t>
  </si>
  <si>
    <t>Permissable Percentage</t>
  </si>
  <si>
    <t>NER permissable change</t>
  </si>
  <si>
    <t>Output table 4 | Standalone and avoidable costs - NER 6.18.5</t>
  </si>
  <si>
    <t>Forecast revenue</t>
  </si>
  <si>
    <t>Output table 5 | Energy consumption</t>
  </si>
  <si>
    <t>Total small customer</t>
  </si>
  <si>
    <t>Other identifier</t>
  </si>
  <si>
    <t>Input table 8 | Metering (Vic only)</t>
  </si>
  <si>
    <t>Multiplier</t>
  </si>
  <si>
    <t>Miscellaneous adjustment (e.g. COVID-19) - Distribution</t>
  </si>
  <si>
    <t>Dollars per Kilowatt hours</t>
  </si>
  <si>
    <t>$/kWh</t>
  </si>
  <si>
    <t>Unit for inputs and revenues</t>
  </si>
  <si>
    <t>Unit for output tables (from revenues)</t>
  </si>
  <si>
    <t>Unit for standalone/avoidable costs (from revenues)</t>
  </si>
  <si>
    <t>Unit for consumption totals and outputs</t>
  </si>
  <si>
    <t>NOTE - assumption that consumption tariffs use kWh as input</t>
  </si>
  <si>
    <t>Units for average consumption calculations</t>
  </si>
  <si>
    <t>Total Fixed</t>
  </si>
  <si>
    <t>Units for consumption profiles</t>
  </si>
  <si>
    <t>Residential consumption profile (calculated if blank)</t>
  </si>
  <si>
    <t>Small business consumption profile (calculated if blank)</t>
  </si>
  <si>
    <t>Block tariff</t>
  </si>
  <si>
    <t>Block 1 limit</t>
  </si>
  <si>
    <t>Block 2 limit</t>
  </si>
  <si>
    <t>Block 3</t>
  </si>
  <si>
    <t>Fixed charge?</t>
  </si>
  <si>
    <t>Block?</t>
  </si>
  <si>
    <t>Type of charging component</t>
  </si>
  <si>
    <t>Active consumption</t>
  </si>
  <si>
    <t>Forecast vs Actual consumption used for profiles</t>
  </si>
  <si>
    <t>Peak weighting override (calculated if blank)</t>
  </si>
  <si>
    <t>Off-peak weighting override (calculated if blank)</t>
  </si>
  <si>
    <t>Shoulder weighting override (calculated if blank)</t>
  </si>
  <si>
    <t>Output table 1 | Expected weighted average revenue - NER 6.18.2(b)(4)</t>
  </si>
  <si>
    <t>Tariff</t>
  </si>
  <si>
    <t>Output table 6 | Summary of movements (small customer only)</t>
  </si>
  <si>
    <t>$ change</t>
  </si>
  <si>
    <t>% change</t>
  </si>
  <si>
    <t>Metering tariff</t>
  </si>
  <si>
    <t>Metering tariffs list</t>
  </si>
  <si>
    <t>Meter tariff</t>
  </si>
  <si>
    <t>Contents</t>
  </si>
  <si>
    <t>Metering</t>
  </si>
  <si>
    <t>Inputs guide</t>
  </si>
  <si>
    <t>To be input by AER at beginning of regulatory control period:</t>
  </si>
  <si>
    <t>To be input by AER prior to annual pricing process each year:</t>
  </si>
  <si>
    <t>Month that year ends in (i.e. June for financial year)</t>
  </si>
  <si>
    <t>First year of regulatory control period</t>
  </si>
  <si>
    <t>December CPI value</t>
  </si>
  <si>
    <t>CPI measurement information</t>
  </si>
  <si>
    <t>Forecast inflation</t>
  </si>
  <si>
    <t>To be input by DNSP prior to submission each year:</t>
  </si>
  <si>
    <t>'Metering'!C7:C36</t>
  </si>
  <si>
    <t>Changelog (to detail completion of inputs, and any changes to inputs)</t>
  </si>
  <si>
    <t>Cost movements</t>
  </si>
  <si>
    <t>Provides output tables for use in pricing proposal documents</t>
  </si>
  <si>
    <t>Price comparisons</t>
  </si>
  <si>
    <t>'General'!F14</t>
  </si>
  <si>
    <t>'General'!F8</t>
  </si>
  <si>
    <t>'General'!F9</t>
  </si>
  <si>
    <t>'General'!F17:F18</t>
  </si>
  <si>
    <t>'General'!F19</t>
  </si>
  <si>
    <t>'General'!F20:F22</t>
  </si>
  <si>
    <t>Materiality thresholds for indicative prices and trial tariffs</t>
  </si>
  <si>
    <t>Days for seasonal charging components</t>
  </si>
  <si>
    <t>Approach for side constraints</t>
  </si>
  <si>
    <t>Units for inputs/outputs</t>
  </si>
  <si>
    <t>Units for cost movement consumption profiles</t>
  </si>
  <si>
    <t>Information for cost movement calculations</t>
  </si>
  <si>
    <t>'Financial'!C16:C23</t>
  </si>
  <si>
    <t>Incentive schemes (including STPIS 1.2 where applicable)</t>
  </si>
  <si>
    <t>'Financial'!C26:C28</t>
  </si>
  <si>
    <t>Any bespoke cost pass-throughs (as well as space for general)</t>
  </si>
  <si>
    <t>'Financial'!C31:C34</t>
  </si>
  <si>
    <t>Other annual adjustments under B factor</t>
  </si>
  <si>
    <t>'Financial'!J7:L7</t>
  </si>
  <si>
    <t>Historical real vanilla WACC</t>
  </si>
  <si>
    <t>Historical unders/overs accounts opening balances</t>
  </si>
  <si>
    <t>Historical allowed revenues</t>
  </si>
  <si>
    <t>'Financial'!M7:Q7</t>
  </si>
  <si>
    <t>'Financial'!N10:Q10</t>
  </si>
  <si>
    <t>Real vanilla WACC (from debt update)</t>
  </si>
  <si>
    <t>X-factor (from debt update)</t>
  </si>
  <si>
    <t>Allowed smoothed revenue (from debt update)</t>
  </si>
  <si>
    <t>'Financial'!M16:Q23</t>
  </si>
  <si>
    <t>Incentive scheme adjustments (including STPIS 1.2 where applicable)</t>
  </si>
  <si>
    <t>'Financial'!M26:Q28</t>
  </si>
  <si>
    <t>Cost pass-through adjustments</t>
  </si>
  <si>
    <t>'Financial'!M33:Q34</t>
  </si>
  <si>
    <t>Any bespoke adjustments to unders and overs account (i.e. smoothing)</t>
  </si>
  <si>
    <t>'Financial'!M32:Q32</t>
  </si>
  <si>
    <t>Types of DPPC</t>
  </si>
  <si>
    <t>Types of JSA</t>
  </si>
  <si>
    <t>Forecast DPPC</t>
  </si>
  <si>
    <t>Estimated current year DPPC</t>
  </si>
  <si>
    <t>Forecast JSA</t>
  </si>
  <si>
    <t>Estimated current year JSA</t>
  </si>
  <si>
    <t>Units for operational data from RIN</t>
  </si>
  <si>
    <t>Actual revenues from RIN</t>
  </si>
  <si>
    <t>Actual DPPC from RIN</t>
  </si>
  <si>
    <t>Actual JSA from RIN</t>
  </si>
  <si>
    <t>Operational data from RIN</t>
  </si>
  <si>
    <t>Historical metering unders/overs adjustments (Vic only)</t>
  </si>
  <si>
    <t>Historical metering unders/overs account opening balances (Vic only)</t>
  </si>
  <si>
    <t>Metering x-factor (from debt update) (Vic only)</t>
  </si>
  <si>
    <t>Allowed smoothed metering revenue (from debt update) (Vic only)</t>
  </si>
  <si>
    <t>Metering cost pass-through adjustments (Vic only)</t>
  </si>
  <si>
    <t>Deliberate under-recoveries (metering) (Vic only)</t>
  </si>
  <si>
    <t>Metering tariff names</t>
  </si>
  <si>
    <t>Code</t>
  </si>
  <si>
    <t>'Metering'!D7:D36</t>
  </si>
  <si>
    <t>Metering tariff codes</t>
  </si>
  <si>
    <t>'Metering'!F7:F36</t>
  </si>
  <si>
    <t>Metering price units</t>
  </si>
  <si>
    <t>'Metering'!C42:C48</t>
  </si>
  <si>
    <t>Metering tariff names (Vic only)</t>
  </si>
  <si>
    <t>'Metering'!D42:D48</t>
  </si>
  <si>
    <t>Metering tariff codes (Vic only)</t>
  </si>
  <si>
    <t>'Metering'!F42:F48</t>
  </si>
  <si>
    <t>Metering price units (Vic only)</t>
  </si>
  <si>
    <t>'Metering'!K42:M48</t>
  </si>
  <si>
    <t>Historical metering prices (Vic only)</t>
  </si>
  <si>
    <t>'Metering'!N7:R36</t>
  </si>
  <si>
    <t>Metering prices (where differ from price caps)</t>
  </si>
  <si>
    <t>'Metering'!N42:R48</t>
  </si>
  <si>
    <t>Metering prices (Vic only)</t>
  </si>
  <si>
    <t>'Metering'!K51:R57</t>
  </si>
  <si>
    <t>Metering foreceast/estimated/actual quantities (Vic only)</t>
  </si>
  <si>
    <t>'Tariffs'!C7:C17</t>
  </si>
  <si>
    <t>Tariff classes</t>
  </si>
  <si>
    <t>Charging component names and types</t>
  </si>
  <si>
    <t>Charging component abbreviation and charging units</t>
  </si>
  <si>
    <t>Other charging component information</t>
  </si>
  <si>
    <t>Other tariff information</t>
  </si>
  <si>
    <t>Proposed distribution prices</t>
  </si>
  <si>
    <t>Proposed DPPC prices</t>
  </si>
  <si>
    <t>Proposed JSA prices</t>
  </si>
  <si>
    <t>Previous regulatory year (t-3)</t>
  </si>
  <si>
    <t>Indicative tariffs from TSS</t>
  </si>
  <si>
    <t>'Trial tariffs'!C7:D26</t>
  </si>
  <si>
    <t>Trial tariff names and classes</t>
  </si>
  <si>
    <t>'Trial tariffs'!L7:L26</t>
  </si>
  <si>
    <t>'Trial tariffs'!H7:J26</t>
  </si>
  <si>
    <t>Description/notes relating to trial tariff or forecast revenues</t>
  </si>
  <si>
    <t>'Trial tariffs'!H218:O283</t>
  </si>
  <si>
    <t>Historical actual trial tariff revenues</t>
  </si>
  <si>
    <t>'Tariff costs'!L7:Q17</t>
  </si>
  <si>
    <t>'Tariff costs'!L21:Q31</t>
  </si>
  <si>
    <t>Provides links and guide to inputs required at each stage in process</t>
  </si>
  <si>
    <t>Charts</t>
  </si>
  <si>
    <t>Inputs indicative tariffs to update the schedule for the remainder of the regulatory control period (updates previous schedule for only remaining years)</t>
  </si>
  <si>
    <t>Output chart 1 | Total revenue movements</t>
  </si>
  <si>
    <t>Total movement</t>
  </si>
  <si>
    <t>Total network revenue</t>
  </si>
  <si>
    <t>Jurisdictional schemes</t>
  </si>
  <si>
    <t>Data point</t>
  </si>
  <si>
    <t>Blank base</t>
  </si>
  <si>
    <t>Base revenue</t>
  </si>
  <si>
    <t>Adjusted revenue</t>
  </si>
  <si>
    <t>Transmission</t>
  </si>
  <si>
    <t xml:space="preserve"> </t>
  </si>
  <si>
    <t>Provides output charts for revenue and cost movements (some editing of charts may be necessary for presentational issues)</t>
  </si>
  <si>
    <t>Provides cost movements summaries</t>
  </si>
  <si>
    <t>Incentive schemes</t>
  </si>
  <si>
    <t>Cost pass-throughs</t>
  </si>
  <si>
    <t>Total NUOS</t>
  </si>
  <si>
    <t>Transmission costs</t>
  </si>
  <si>
    <t>Jurisdictional scheme costs</t>
  </si>
  <si>
    <t>Under/over recoveries</t>
  </si>
  <si>
    <t>Output chart 3 | Residential cost movement waterfall charts</t>
  </si>
  <si>
    <t>NUoS</t>
  </si>
  <si>
    <t>Output chart 4 | Small business cost movement waterfall charts</t>
  </si>
  <si>
    <t>Output chart 2 | Revenue adjustments waterfall chart</t>
  </si>
  <si>
    <t>Designated pricing proposal costs</t>
  </si>
  <si>
    <t>Jurisdictional scheme amounts</t>
  </si>
  <si>
    <t>Output table 7 | Detailed cost movements</t>
  </si>
  <si>
    <t>Other adj./ rebalancing</t>
  </si>
  <si>
    <t>Mechanisms</t>
  </si>
  <si>
    <t>Provides applicable mechanisms</t>
  </si>
  <si>
    <t>Rules</t>
  </si>
  <si>
    <t>Provides Distribution Pricing Rules</t>
  </si>
  <si>
    <t>Compliance table 5 | Standalone and avoidable costs</t>
  </si>
  <si>
    <t>Estimated revenues</t>
  </si>
  <si>
    <t>Estimated t-1 revenues</t>
  </si>
  <si>
    <t>Historical estimated t-1 revenues</t>
  </si>
  <si>
    <t>ALL PRICES ARE EXCLUDING GST</t>
  </si>
  <si>
    <t>Total revenues</t>
  </si>
  <si>
    <t>Tariff identifier 1</t>
  </si>
  <si>
    <t>Tariff identifier 2</t>
  </si>
  <si>
    <t>Table 3.4.1.4 of EB RIN</t>
  </si>
  <si>
    <t>Table 3.4.1.1 of EB RIN</t>
  </si>
  <si>
    <t>Table 3.4.2.1 of EB RIN</t>
  </si>
  <si>
    <t>kVA</t>
  </si>
  <si>
    <t>LmpWtts</t>
  </si>
  <si>
    <t>Lamp Watts</t>
  </si>
  <si>
    <t>Kilovolt-amperes</t>
  </si>
  <si>
    <t>Other seasonal period</t>
  </si>
  <si>
    <t>Days for other seasonal period</t>
  </si>
  <si>
    <t>Tariff from previous RCP</t>
  </si>
  <si>
    <t>Calculation table 31 | Tariff information and multipliers</t>
  </si>
  <si>
    <t>Calculation table 36 | Consumption - residential</t>
  </si>
  <si>
    <t>Calculation table 37 | Consumption - small business</t>
  </si>
  <si>
    <t>Calculation table 38 | Proposed prices - residential</t>
  </si>
  <si>
    <t>Calculation table 39 | Proposed prices - small business</t>
  </si>
  <si>
    <t>Calculation table 40 | Current prices - residential</t>
  </si>
  <si>
    <t>Calculation table 41 | Current prices - small business</t>
  </si>
  <si>
    <t>Total revenue from charges</t>
  </si>
  <si>
    <t>Total deliberate under-recoveries</t>
  </si>
  <si>
    <t>Total opening balance</t>
  </si>
  <si>
    <t>Total interest on opening balance</t>
  </si>
  <si>
    <t>Total interest on under/over-recovery for regulatory year</t>
  </si>
  <si>
    <t>Total closing balance</t>
  </si>
  <si>
    <t>X-factor</t>
  </si>
  <si>
    <t>Cross-boundary revenue</t>
  </si>
  <si>
    <t>(A1) Cross-boundary revenue</t>
  </si>
  <si>
    <t>Compliance (not exceedng 0)</t>
  </si>
  <si>
    <t>Input with appropriate WACC calculations in formula</t>
  </si>
  <si>
    <t>Lookups</t>
  </si>
  <si>
    <t>'General'!F24:F27</t>
  </si>
  <si>
    <t>'General'!F29</t>
  </si>
  <si>
    <t>'General'!F30:F33</t>
  </si>
  <si>
    <t>'General'!F35:F36</t>
  </si>
  <si>
    <t>'General'!F37:F42</t>
  </si>
  <si>
    <t>'General'!F44:F45</t>
  </si>
  <si>
    <t>Extra tariff identifiers</t>
  </si>
  <si>
    <t>'Financial'!C44:C48</t>
  </si>
  <si>
    <t>'Financial'!C63:C66</t>
  </si>
  <si>
    <t>'Financial'!J16:L34</t>
  </si>
  <si>
    <t>Historical annual adjustments</t>
  </si>
  <si>
    <t>'Financial'!J40:L41</t>
  </si>
  <si>
    <t>Historical cross-boundary revenue forecasts/estimates</t>
  </si>
  <si>
    <t>'Financial'!J44:L57</t>
  </si>
  <si>
    <t>Historical DPPC forecasts, adjustments, and estimates</t>
  </si>
  <si>
    <t>'Financial'!J63:L74</t>
  </si>
  <si>
    <t>Historical JSA forecasts, adjustments, and estimates</t>
  </si>
  <si>
    <t>'Financial'!J90:L92</t>
  </si>
  <si>
    <t>'Financial'!J97:K99</t>
  </si>
  <si>
    <t>'Financial'!J109:L109</t>
  </si>
  <si>
    <t>Historical allowed metering revenues and estimates (Vic only)</t>
  </si>
  <si>
    <t>Historical metering allowed smoothed revenues (Vic only)</t>
  </si>
  <si>
    <t>Tariff names, classes, and identifiers</t>
  </si>
  <si>
    <t>'General'!F10</t>
  </si>
  <si>
    <t>Forecast regulatory year</t>
  </si>
  <si>
    <t>'Financial'!M11:Q11</t>
  </si>
  <si>
    <t>'Financial'!J94:Q94</t>
  </si>
  <si>
    <t>'Actuals'!J7:Q12</t>
  </si>
  <si>
    <t>'Actuals'!J16:Q20</t>
  </si>
  <si>
    <t>'Actuals'!J23:Q26</t>
  </si>
  <si>
    <t>'Actuals'!J31:Q51</t>
  </si>
  <si>
    <t>'Financial'!M40:Q41</t>
  </si>
  <si>
    <t>Cross-boundary revenue forecasts/estimates</t>
  </si>
  <si>
    <t>'Financial'!M44:Q48</t>
  </si>
  <si>
    <t>'Financial'!L53:Q57</t>
  </si>
  <si>
    <t>'Financial'!M63:Q66</t>
  </si>
  <si>
    <t>'Financial'!M71:Q74</t>
  </si>
  <si>
    <t>'Financial'!J85:Q87</t>
  </si>
  <si>
    <t>'Financial'!L97:Q99</t>
  </si>
  <si>
    <t>Estimated revenues (metering) (Vic only)</t>
  </si>
  <si>
    <t>Trial tariff identifiers</t>
  </si>
  <si>
    <t>'Trial tariffs'!E33:F52</t>
  </si>
  <si>
    <t>Proposed revenue</t>
  </si>
  <si>
    <t>Historical revenue</t>
  </si>
  <si>
    <t>Revenue summary</t>
  </si>
  <si>
    <t xml:space="preserve">Compliance checks against total allowable revenues, unders/overs closing balances, side constraint thresholds, trial tariff thresholds, and standalone and avoidable costs. </t>
  </si>
  <si>
    <t>Inputs relating to metering (prices for cost movements for non-Vic, prices and quantities for revenue caps for Vic)</t>
  </si>
  <si>
    <t>Input table 12 | Metering (price capped) - small customers</t>
  </si>
  <si>
    <t>Input table 13 | Metering (revenue caps - Vic only)</t>
  </si>
  <si>
    <t>Input table 14 | Tariff classes</t>
  </si>
  <si>
    <t>Input table 15 | Charging components</t>
  </si>
  <si>
    <t>Input table 32 | Historical trial tariffs revenue</t>
  </si>
  <si>
    <t>Input table 33 | Avoidable costs</t>
  </si>
  <si>
    <t>Input table 34 | Standalone costs</t>
  </si>
  <si>
    <t>Input table 29 | Historical trial tariffs quantities</t>
  </si>
  <si>
    <t>Total allowable revenue</t>
  </si>
  <si>
    <t>Total allowable revenue for unders/overs accounts</t>
  </si>
  <si>
    <t>Calculation table 4 | Allowable metering revenue (Vic only)</t>
  </si>
  <si>
    <t>Calculation table 3 | Allowable JSA revenue</t>
  </si>
  <si>
    <t>Calculation table 2 | Allowable DPPC revenue</t>
  </si>
  <si>
    <t>Calculation table 1 | Allowable distribution revenue</t>
  </si>
  <si>
    <t>Calculates total allowable revenues</t>
  </si>
  <si>
    <t>Compliance table 1 | Allowable revenues</t>
  </si>
  <si>
    <t>Balancing adjustment made when year was 't'</t>
  </si>
  <si>
    <t>Total under/over-recovery of revenue (inc. balancing adjustment)</t>
  </si>
  <si>
    <t>Compliance checks of proposed prices against relevant indicative prices from previous indicative schedule</t>
  </si>
  <si>
    <t>Inputs tariff information including charging components and tariff classes</t>
  </si>
  <si>
    <t>Total revenue from DPPC</t>
  </si>
  <si>
    <t>Calculation table 5 | WACC</t>
  </si>
  <si>
    <t>Calculation table 6 | Distribution unders/overs accounts</t>
  </si>
  <si>
    <t>Calculation table 7 | DPPC unders/overs accounts</t>
  </si>
  <si>
    <t>Calculation table 8 | JSA Unders/overs accounts</t>
  </si>
  <si>
    <t>Calculation table 9 | Metering Unders/overs accounts (Vic)</t>
  </si>
  <si>
    <t>Calculation table 10 | Total unders/overs account (for information only)</t>
  </si>
  <si>
    <t>Calculation table 11 | Tariff classes</t>
  </si>
  <si>
    <t>Calculation table 12 | Charging components ($)</t>
  </si>
  <si>
    <t>Calculation table 14 | Metering revenues (Vic)</t>
  </si>
  <si>
    <t>Calculation table 23 | Permissable percentage</t>
  </si>
  <si>
    <t>Calculation table 24 | Tariff class revenue</t>
  </si>
  <si>
    <t>Calculation table 26 | Metering side constraints (Vic)</t>
  </si>
  <si>
    <t>Calculation table 28 | Consumption - by tariff class</t>
  </si>
  <si>
    <t>CY Multiplier</t>
  </si>
  <si>
    <t>PY Multiplier</t>
  </si>
  <si>
    <t>Cross-boundary expenditure</t>
  </si>
  <si>
    <t>Net under/over-recovery of revenue</t>
  </si>
  <si>
    <t>Total balancing adjustments made when year was 't'</t>
  </si>
  <si>
    <t>Total net under/over-recovery of revenue</t>
  </si>
  <si>
    <t>Total under/over-recovery of revenue (inc. balancing adjustments)</t>
  </si>
  <si>
    <t>By component</t>
  </si>
  <si>
    <t>By adjustment</t>
  </si>
  <si>
    <t>'Financial'!J10:L11</t>
  </si>
  <si>
    <t>Historical X-factors and allowed smoothed revenue</t>
  </si>
  <si>
    <t>(B1) Balancing adjustment previously applied</t>
  </si>
  <si>
    <t>Net under/over recovery of revenue (A - (B + B1) + C)</t>
  </si>
  <si>
    <t>Total under/over recovery of revenue</t>
  </si>
  <si>
    <t>Net under/over recovery of revenue ((A +A1) - B + B1 + C)</t>
  </si>
  <si>
    <t>'Financial'!J80:M82</t>
  </si>
  <si>
    <t>'General'!F52:F93</t>
  </si>
  <si>
    <t>'Actuals'!E31:E52</t>
  </si>
  <si>
    <t>Input table 16 | Tariffs</t>
  </si>
  <si>
    <t>Input table 17 | CONFIDENTIAL tariffs</t>
  </si>
  <si>
    <t>Input table 18 | Quantities - Tariffs</t>
  </si>
  <si>
    <t>Input table 19 | Quantities - CONFIDENTIAL tariffs</t>
  </si>
  <si>
    <t>Input table 20 | Proposed prices - Tariffs</t>
  </si>
  <si>
    <t>Input table 21 | Proposed prices - CONFIDENTIAL tariffs</t>
  </si>
  <si>
    <t>Input table 26 | Indicative prices - Tariffs</t>
  </si>
  <si>
    <t>Input table 27 | Indicative prices - CONFIDENTIAL tariffs</t>
  </si>
  <si>
    <t>Calculation table 15 | CONFIDENTIAL tariffs ($)</t>
  </si>
  <si>
    <t>Calculation table 13 | Tariffs ($)</t>
  </si>
  <si>
    <t>Calculation table 16 | Proposed revenue - Tariffs</t>
  </si>
  <si>
    <t>Calculation table 17 | Proposed revenue - CONFIDENTIAL tariffs</t>
  </si>
  <si>
    <t>Calculation table 25 | PY SC Tariff revenue</t>
  </si>
  <si>
    <t>Calculation table 27 | PY SC CONFIDENTIAL tariff revenue</t>
  </si>
  <si>
    <t>Calculation table 29 | Consumption - Tariffs</t>
  </si>
  <si>
    <t>Calculation table 30 | Consumption - CONFIDENTIAL tariffs</t>
  </si>
  <si>
    <t>Past/active year?</t>
  </si>
  <si>
    <t>Threshold for individual trial tariff revenue</t>
  </si>
  <si>
    <t>Threshold for aggregate trial tariff revenue</t>
  </si>
  <si>
    <t>Output table 3 | Side constraints - NER 6.18.6</t>
  </si>
  <si>
    <t>Tariff names, classes, and identifiers (for confidential tariffs)</t>
  </si>
  <si>
    <t>Other tariff information (for confidential tariffs)</t>
  </si>
  <si>
    <t>Indicative tariffs from TSS (for confidential tariffs)</t>
  </si>
  <si>
    <t>Proposed distribution prices (for confidential tariffs)</t>
  </si>
  <si>
    <t>Proposed DPPC prices (for confidential tariffs)</t>
  </si>
  <si>
    <t>Proposed JSA prices (for confidential tariffs)</t>
  </si>
  <si>
    <t>Indicative tariffs (update only remaining years of regulatory control period)</t>
  </si>
  <si>
    <t>Indicative tariffs (for confidential tariffs – update only remaining years of regulatory control period)</t>
  </si>
  <si>
    <t>Overrides for cost movement calculations</t>
  </si>
  <si>
    <t>Allowed revenues (net of unders/overs adjustments)</t>
  </si>
  <si>
    <t>Allowed revenues (net of unders/overs adjustment)</t>
  </si>
  <si>
    <t>Allowed revenues set in forecast year, as used in unders/overs account</t>
  </si>
  <si>
    <t>'Financial'!J103:L103</t>
  </si>
  <si>
    <t>Historical metering X-factors (Vic only)</t>
  </si>
  <si>
    <t>Historical metering prices</t>
  </si>
  <si>
    <t>'Metering'!K7:M36</t>
  </si>
  <si>
    <t>Model update log</t>
  </si>
  <si>
    <t>Provides lookups for use throughout the model</t>
  </si>
  <si>
    <t>Version</t>
  </si>
  <si>
    <t>Cell range</t>
  </si>
  <si>
    <t>v1.01</t>
  </si>
  <si>
    <t>'Model update log'</t>
  </si>
  <si>
    <t>Added this update log, and relevant contents link on cover page</t>
  </si>
  <si>
    <t>General changes made to model template to correct errors and omissions identified during initial preparation and pre-fill of models</t>
  </si>
  <si>
    <t>'Inputs&gt; &gt;'!C40:E40</t>
  </si>
  <si>
    <t>Added historical metering X-factors to list of inputs</t>
  </si>
  <si>
    <t>'Inputs&gt; &gt;'!C57:E57</t>
  </si>
  <si>
    <t>Revised input to reflect only historical prices input</t>
  </si>
  <si>
    <t>'Inputs&gt; &gt;'!C68</t>
  </si>
  <si>
    <t>Revised link to reflect correct cell range</t>
  </si>
  <si>
    <t>'Inputs&gt; &gt;'!G39:I39</t>
  </si>
  <si>
    <t>Added annual pre-fill of metering price caps as default metering prices</t>
  </si>
  <si>
    <t>'General'!F24:27</t>
  </si>
  <si>
    <t>'General'!F24:K27</t>
  </si>
  <si>
    <t>Days for seasonal charging components (to account for leap years)</t>
  </si>
  <si>
    <t>'Inputs&gt; &gt;'!G24:I24</t>
  </si>
  <si>
    <t>Revised input to include updating forecast year inputs</t>
  </si>
  <si>
    <t>Changed colour of input to reflect day counts for forecast year to be updated in annual pre-fill</t>
  </si>
  <si>
    <t>'General'!F37:42</t>
  </si>
  <si>
    <t>Changed override inputs to gold shading to reflect override cell for use in cost movement analysis, and not an input at any stage (added cell shading to cover sheet key)</t>
  </si>
  <si>
    <t>'Financial'!C89</t>
  </si>
  <si>
    <t>Changed heading to reflect allowed revenues should be net of unders/overs adjustments as used for unders/overs accounts</t>
  </si>
  <si>
    <t>'Financial'!R90:R92</t>
  </si>
  <si>
    <t>Changed notes to reflect allowed revenues should be net of unders/overs adjustments as used for unders/overs accounts</t>
  </si>
  <si>
    <t>Changed label to reflect allowed revenues should be net of unders/overs adjustments as used for unders/overs accounts</t>
  </si>
  <si>
    <t>'Financial'!C112</t>
  </si>
  <si>
    <t>'Financial'!R112</t>
  </si>
  <si>
    <t>Added historical metering X-factors input for consistency with SCS (for information only)</t>
  </si>
  <si>
    <t>'Charts'!I84</t>
  </si>
  <si>
    <t>Revised formula to reflect reference to allowed distribution revenue in unders/overs account is net of unders/overs adjustment</t>
  </si>
  <si>
    <t>'Tariffs'!M150:900</t>
  </si>
  <si>
    <t>Removed excess column in tariff information</t>
  </si>
  <si>
    <t>'Accounts'!M19</t>
  </si>
  <si>
    <t>'Accounts'!M35</t>
  </si>
  <si>
    <t>'Accounts'!M49</t>
  </si>
  <si>
    <t>Adjusted formula to test if input is blank (i.e. =""), rather than 0 to ensure 0 opening balances are carried through where relevant (e.g. remittals)</t>
  </si>
  <si>
    <t>Provides log of updates made to the model template (rather than changes between preliminary and final model submissions)</t>
  </si>
  <si>
    <t>2022–23</t>
  </si>
  <si>
    <t>Placeholder revenues</t>
  </si>
  <si>
    <t xml:space="preserve">Goal seek to achieve -0.01 in unders/overs when quantities have not </t>
  </si>
  <si>
    <t>been filled for year t</t>
  </si>
  <si>
    <t>Placeholder revenue</t>
  </si>
  <si>
    <t>'Financial'!J108:L108</t>
  </si>
  <si>
    <t>'Financial'!J114:L114</t>
  </si>
  <si>
    <t>'Financial'!J115:K115</t>
  </si>
  <si>
    <t>'Financial'!J117:L118</t>
  </si>
  <si>
    <t>'Financial'!N108:Q108</t>
  </si>
  <si>
    <t>'Financial'!M109:Q109</t>
  </si>
  <si>
    <t>'Financial'!M111:Q112</t>
  </si>
  <si>
    <t>'Financial'!J116:Q116</t>
  </si>
  <si>
    <t>'Financial'!L118:Q118</t>
  </si>
  <si>
    <t>Tariff identifier 3</t>
  </si>
  <si>
    <t>General presentation changes, extra rows to allow more grouping levels, removing decimals for customer numbers in RINs, move metering revenue summary tables to allow grouping for non-Vics</t>
  </si>
  <si>
    <t>'Financial'!M31:Q31</t>
  </si>
  <si>
    <t>Added conditional formatting to reflect that the cells should be hard-coded as inputs after year=t.</t>
  </si>
  <si>
    <t>'Financial'!M50:Q50</t>
  </si>
  <si>
    <t>'Financial'!M68:Q68</t>
  </si>
  <si>
    <t>'Financial'!J102:Q104</t>
  </si>
  <si>
    <t>Added placeholder revenues for year=t before quantities are uploaded</t>
  </si>
  <si>
    <t>'Financial'!M114:Q114</t>
  </si>
  <si>
    <t>'Financial'!J119:Q119</t>
  </si>
  <si>
    <t>Added placeholder metering revenues for year=t before quantities are uploaded</t>
  </si>
  <si>
    <t>'Accounts'!J13:Q13</t>
  </si>
  <si>
    <t>Added allowance for placeholder in year=t when quantities are not yet input</t>
  </si>
  <si>
    <t>'Accounts'!J28:Q28</t>
  </si>
  <si>
    <t>'Accounts'!J43:Q43</t>
  </si>
  <si>
    <t>'Accounts'!J57:Q57</t>
  </si>
  <si>
    <t>DLF</t>
  </si>
  <si>
    <t>Added extra identifier column, and added to all relecant input, calculation, and output ranges</t>
  </si>
  <si>
    <t>'Tariffs'!G:G</t>
  </si>
  <si>
    <t>'Tariffs'!C22:D41</t>
  </si>
  <si>
    <t>'Tariffs'!T22:U41</t>
  </si>
  <si>
    <t>'Tariffs'!J22:L41</t>
  </si>
  <si>
    <t>'Tariffs'!C46:H120</t>
  </si>
  <si>
    <t>'Tariffs'!J46:V120</t>
  </si>
  <si>
    <t>'Tariffs'!C125:H224</t>
  </si>
  <si>
    <t>'Tariffs'!J125:N224</t>
  </si>
  <si>
    <t>'Indicative prices'!I8:AB394</t>
  </si>
  <si>
    <t>'Indicative prices'!I401:AB912</t>
  </si>
  <si>
    <t>'Hist. prices'!I8:AB82</t>
  </si>
  <si>
    <t>'Hist. prices'!I86:AB160</t>
  </si>
  <si>
    <t>'Hist. prices'!I164:AB238</t>
  </si>
  <si>
    <t>'Hist. prices'!I245:AB319</t>
  </si>
  <si>
    <t>'Hist. prices'!I323:AB397</t>
  </si>
  <si>
    <t>'Hist. prices'!I401:AB475</t>
  </si>
  <si>
    <t>'Hist. prices'!I482:AB581</t>
  </si>
  <si>
    <t>'Hist. prices'!I585:AB684</t>
  </si>
  <si>
    <t>'Hist. prices'!I688:AB787</t>
  </si>
  <si>
    <t>'Hist. prices'!I794:AB893</t>
  </si>
  <si>
    <t>'Hist. prices'!I897:AB996</t>
  </si>
  <si>
    <t>'Hist. prices'!I1000:AB1099</t>
  </si>
  <si>
    <t>'Qty'!I8:AF82</t>
  </si>
  <si>
    <t>'Qty'!I87:AF161</t>
  </si>
  <si>
    <t>'Qty'!I166:AF240</t>
  </si>
  <si>
    <t>'Qty'!I248:AF347</t>
  </si>
  <si>
    <t>'Qty'!I352:AB451</t>
  </si>
  <si>
    <t>'Qty'!I456:AF555</t>
  </si>
  <si>
    <t>'Prop. prices'!I8:AB82</t>
  </si>
  <si>
    <t>'Prop. prices'!I86:AB160</t>
  </si>
  <si>
    <t>'Prop. prices'!I245:AB344</t>
  </si>
  <si>
    <t>'Prop. prices'!I164:AB238</t>
  </si>
  <si>
    <t>'Prop. prices'!I348:AB447</t>
  </si>
  <si>
    <t>'Prop. prices'!I451:AB550</t>
  </si>
  <si>
    <t>'Trial tariffs'!H33:AC52</t>
  </si>
  <si>
    <t>'Trial tariffs'!H55:AC74</t>
  </si>
  <si>
    <t>'Trial tariffs'!H80:AC143</t>
  </si>
  <si>
    <t>'Trial tariffs'!H149:AC212</t>
  </si>
  <si>
    <t>Reduced capacity for charging components to 20 rows, including all relevant input, calculation, and output ranges</t>
  </si>
  <si>
    <t>Reduced capacity for tariff inputs to 75 rows, and all relavant input, calculation, and output ranges</t>
  </si>
  <si>
    <t>Reduced capacity for confidential tariff inputs to 100 rows, and all relavant input, calculaation, and output ranges</t>
  </si>
  <si>
    <t>'Qty'!J:J</t>
  </si>
  <si>
    <t>Added DLF column to allow for inclusion of DLFs where appropriate, and revised DPPC calculations on 'Prop. revenue' and 'Hist. revenue' worksheets</t>
  </si>
  <si>
    <t>Breakdown to be provided where available as per 7.10</t>
  </si>
  <si>
    <t>2019–20</t>
  </si>
  <si>
    <t>NA</t>
  </si>
  <si>
    <t>Trans. Node</t>
  </si>
  <si>
    <t>NB - Year references below relate to the year charges relate to. True amounts are applied on a one-year lag</t>
  </si>
  <si>
    <t>Input table 42 | National Electricity Market Charge (NEMC)</t>
  </si>
  <si>
    <t>Actual NEMC amount</t>
  </si>
  <si>
    <t>Provide supporting documentation</t>
  </si>
  <si>
    <t>Estimated NEMC amount (Real 2018-19)</t>
  </si>
  <si>
    <t>From Determination</t>
  </si>
  <si>
    <t>Estimated NEMC amount ($Nominal)</t>
  </si>
  <si>
    <t>NEMC true-up amount</t>
  </si>
  <si>
    <t>Input table 43 | Electrical Safety Inspection Service Charge (ESISC)</t>
  </si>
  <si>
    <t>Actual ESISC amount</t>
  </si>
  <si>
    <t>Estimated ESISC amount (Real 2018-19)</t>
  </si>
  <si>
    <t>Estimated ESISC amount ($Nominal)</t>
  </si>
  <si>
    <t>ESISC true-up amount</t>
  </si>
  <si>
    <t>NEMC true-up</t>
  </si>
  <si>
    <t>ESISC true-up</t>
  </si>
  <si>
    <t>From 'License Fees' worksheet, relates to t-1 year</t>
  </si>
  <si>
    <t>TUOS expenditure</t>
  </si>
  <si>
    <t>Avoided TUOS</t>
  </si>
  <si>
    <t>Business LV - Single Phase</t>
  </si>
  <si>
    <t>Business LV - Multi Phase</t>
  </si>
  <si>
    <t>Business LV - CT Meters</t>
  </si>
  <si>
    <t>Domestic LV - Single Phase</t>
  </si>
  <si>
    <t>Domestic LV - Multi Phase</t>
  </si>
  <si>
    <t>Domestic LV - CT Meters</t>
  </si>
  <si>
    <t>Other meters</t>
  </si>
  <si>
    <t>Irrigation</t>
  </si>
  <si>
    <t>Uncontrolled energy</t>
  </si>
  <si>
    <t>Controlled energy</t>
  </si>
  <si>
    <t>ITC</t>
  </si>
  <si>
    <t>Service charge</t>
  </si>
  <si>
    <t>Consumption</t>
  </si>
  <si>
    <t>Peak energy</t>
  </si>
  <si>
    <t>Consumption - TOU</t>
  </si>
  <si>
    <t>Off-peak energy</t>
  </si>
  <si>
    <t>Shoulder energy</t>
  </si>
  <si>
    <t>Demand</t>
  </si>
  <si>
    <t>All energy</t>
  </si>
  <si>
    <t>TAS31</t>
  </si>
  <si>
    <t>Residential time of use demand</t>
  </si>
  <si>
    <t>TAS87</t>
  </si>
  <si>
    <t>TAS92</t>
  </si>
  <si>
    <t>TAS93</t>
  </si>
  <si>
    <t>TAS97</t>
  </si>
  <si>
    <t>TAS101</t>
  </si>
  <si>
    <t>TAS22</t>
  </si>
  <si>
    <t>TAS88</t>
  </si>
  <si>
    <t>TAS94</t>
  </si>
  <si>
    <t>TAS98</t>
  </si>
  <si>
    <t>TAS82</t>
  </si>
  <si>
    <t>TAS89</t>
  </si>
  <si>
    <t>TASSDM</t>
  </si>
  <si>
    <t>TAS75</t>
  </si>
  <si>
    <t>TAS61</t>
  </si>
  <si>
    <t>TAS63</t>
  </si>
  <si>
    <t>TAS41</t>
  </si>
  <si>
    <t>TASUMS</t>
  </si>
  <si>
    <t>TASUMSSL</t>
  </si>
  <si>
    <t>open</t>
  </si>
  <si>
    <t>no</t>
  </si>
  <si>
    <t>yes</t>
  </si>
  <si>
    <t>closed</t>
  </si>
  <si>
    <t>Small Business LV</t>
  </si>
  <si>
    <t>Large Business LV</t>
  </si>
  <si>
    <t>Large Business HV</t>
  </si>
  <si>
    <t>Unmetered supplies</t>
  </si>
  <si>
    <t>Street lighting</t>
  </si>
  <si>
    <t>All energy (kWh)</t>
  </si>
  <si>
    <t>Peak energy (kWh)</t>
  </si>
  <si>
    <t>Shoulder energy (kWh)</t>
  </si>
  <si>
    <t>Off peak energy (kWh)</t>
  </si>
  <si>
    <t>All demand (kVA)</t>
  </si>
  <si>
    <t>Peak demand (kVA)</t>
  </si>
  <si>
    <t>Off peak demand (kVA)</t>
  </si>
  <si>
    <t>Specified daily demand (kVA)</t>
  </si>
  <si>
    <t>Excess daily demand (kVA)</t>
  </si>
  <si>
    <t>Daily demand connection charge (kVA)</t>
  </si>
  <si>
    <t>Excess daily demand connection charge (kVA)</t>
  </si>
  <si>
    <t>All demand (Lamps)</t>
  </si>
  <si>
    <t>All demand</t>
  </si>
  <si>
    <t>Specified demand</t>
  </si>
  <si>
    <t>Daily demand connection</t>
  </si>
  <si>
    <t>Excess daily demand connection</t>
  </si>
  <si>
    <t/>
  </si>
  <si>
    <t>Residential time of use consumption</t>
  </si>
  <si>
    <t>Residential general light and power</t>
  </si>
  <si>
    <t>Residential time of use demand DER</t>
  </si>
  <si>
    <t>Residential pay as you go</t>
  </si>
  <si>
    <t>Residential pay as you go time of use</t>
  </si>
  <si>
    <t>Small business time of use consumption</t>
  </si>
  <si>
    <t>Small business general light and power</t>
  </si>
  <si>
    <t>Small business time of use demand</t>
  </si>
  <si>
    <t>Small business time of use demand DER</t>
  </si>
  <si>
    <t>Large business kVA demand</t>
  </si>
  <si>
    <t>Large business time of use demand</t>
  </si>
  <si>
    <t>Irrigation time of use consumption</t>
  </si>
  <si>
    <t>Business HV kVA specified demand &lt;2MVA</t>
  </si>
  <si>
    <t>Business HV kVA specified demand &gt;2MVA</t>
  </si>
  <si>
    <t>Uncontrolled low voltage heating and hot water</t>
  </si>
  <si>
    <t>Controlled low voltage night period only</t>
  </si>
  <si>
    <t>Controlled low voltage off peak with afternoon boost</t>
  </si>
  <si>
    <t>Unmetered supply general</t>
  </si>
  <si>
    <t>All demand (lamps)</t>
  </si>
  <si>
    <t>Service</t>
  </si>
  <si>
    <t>Peak demand</t>
  </si>
  <si>
    <t>Off-peak demand</t>
  </si>
  <si>
    <t>Excess daily demand</t>
  </si>
  <si>
    <t>Inputs to calculate the true-up amounts for license fees</t>
  </si>
  <si>
    <t>License Fees</t>
  </si>
  <si>
    <t>TAS15*</t>
  </si>
  <si>
    <t xml:space="preserve">Due to rounding, there may be some discrepancies </t>
  </si>
  <si>
    <t xml:space="preserve">between the historical approved ACS prices and </t>
  </si>
  <si>
    <t>those presented in the ACS pricing model</t>
  </si>
  <si>
    <t>Estimate 2021–22</t>
  </si>
  <si>
    <t>Actual 2020–21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</si>
</sst>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&quot;$&quot;* #,##0.00_);_(&quot;$&quot;* \(#,##0.00\);_(&quot;$&quot;* &quot;-&quot;??_);_(@_)"/>
    <numFmt numFmtId="167" formatCode="dd\-mmm"/>
    <numFmt numFmtId="168" formatCode="mmmm"/>
    <numFmt numFmtId="169" formatCode="[$-C09]mmm\-yyyy;@"/>
    <numFmt numFmtId="170" formatCode="0.0"/>
    <numFmt numFmtId="171" formatCode="_-* #,##0.0_-;\-* #,##0.0_-;_-* &quot;-&quot;??_-;_-@_-"/>
    <numFmt numFmtId="172" formatCode="mmm\ yyyy"/>
    <numFmt numFmtId="173" formatCode="_(#,##0_);\(#,##0\);_(&quot;-&quot;_)"/>
    <numFmt numFmtId="174" formatCode="_(#,##0.00_);\(#,##0.00\);_(&quot;-&quot;_)"/>
    <numFmt numFmtId="175" formatCode="0.0%"/>
    <numFmt numFmtId="176" formatCode="[$-C09]dd\-mmm\-yy;@"/>
    <numFmt numFmtId="177" formatCode="0_ ;[Red]\-0\ "/>
    <numFmt numFmtId="178" formatCode="#,##0_ ;[Red]\-#,##0\ "/>
    <numFmt numFmtId="179" formatCode="#,##0.0000_ ;[Red]\-#,##0.0000\ "/>
    <numFmt numFmtId="180" formatCode="_-* #,##0.00%_-;\-* #,##0.00%_-;_-* &quot;-&quot;??_-;_-@_-"/>
    <numFmt numFmtId="181" formatCode=";;&quot;&quot;"/>
    <numFmt numFmtId="182" formatCode="_-* #,###_-;\-* #,###_-;_-* &quot;&quot;??_-;_-@_-"/>
    <numFmt numFmtId="183" formatCode=";;&quot;&quot;;_-@"/>
    <numFmt numFmtId="184" formatCode="_-* #,##0.00_-;\-* #,##0.00_-;_-* &quot;&quot;??_-;_-@_-"/>
    <numFmt numFmtId="185" formatCode="#,##0_ ;\-#,##0\ "/>
    <numFmt numFmtId="186" formatCode="_-* #,##0.0000_-;\-* #,##0.0000_-;_-* &quot;&quot;??_-;_-@_-"/>
    <numFmt numFmtId="187" formatCode="_-* #,##0.00%_-;\-* #,##0.00%_-;_-* &quot;&quot;??_-;_-@_-"/>
    <numFmt numFmtId="188" formatCode="_-* #,###.00_-;\-* #,###.00_-;_-* &quot;&quot;??_-;_-@_-"/>
    <numFmt numFmtId="189" formatCode="_-* \+#,##0.00_-;* \-#,##0.00_-;_-* &quot;&quot;??_-;_-@_-"/>
    <numFmt numFmtId="190" formatCode="_-* #,##0_-;\-* #,##0_-;_-* &quot;&quot;??_-;_-@_-"/>
    <numFmt numFmtId="191" formatCode="_-* #,##0.0000_-;\-* #,##0.0000_-;_-* &quot;-&quot;??_-;_-@_-"/>
    <numFmt numFmtId="192" formatCode="_-* #,###.000000_-;\-* #,###.000000_-;_-* &quot;&quot;??_-;_-@_-"/>
    <numFmt numFmtId="193" formatCode="_-* #,##0.000_-;\-* #,##0.000_-;_-* &quot;&quot;??_-;_-@_-"/>
    <numFmt numFmtId="194" formatCode="_-* #,##0.000_-;\-* #,##0.000_-;_-* &quot;-&quot;??_-;_-@_-"/>
    <numFmt numFmtId="195" formatCode="0.0000%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i/>
      <sz val="10"/>
      <color theme="1"/>
      <name val="Arial"/>
      <family val="2"/>
    </font>
    <font>
      <i/>
      <sz val="8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i/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8"/>
      <color theme="1"/>
      <name val="Arial"/>
      <family val="2"/>
    </font>
    <font>
      <b/>
      <i/>
      <sz val="8"/>
      <color theme="0"/>
      <name val="Arial"/>
      <family val="2"/>
    </font>
    <font>
      <b/>
      <i/>
      <sz val="8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i/>
      <u/>
      <sz val="10"/>
      <color indexed="12"/>
      <name val="Calibri"/>
      <family val="2"/>
    </font>
    <font>
      <sz val="8"/>
      <color theme="0"/>
      <name val="Arial"/>
      <family val="2"/>
    </font>
    <font>
      <sz val="8"/>
      <color theme="0" tint="-4.9989318521683403E-2"/>
      <name val="Arial"/>
      <family val="2"/>
    </font>
    <font>
      <sz val="8"/>
      <color theme="0" tint="-0.249977111117893"/>
      <name val="Arial"/>
      <family val="2"/>
    </font>
    <font>
      <i/>
      <sz val="8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i/>
      <sz val="8"/>
      <color theme="1"/>
      <name val="Arial"/>
      <family val="2"/>
    </font>
    <font>
      <vertAlign val="subscript"/>
      <sz val="8"/>
      <color indexed="8"/>
      <name val="Arial"/>
      <family val="2"/>
    </font>
    <font>
      <b/>
      <i/>
      <sz val="8"/>
      <color theme="0" tint="-0.14999847407452621"/>
      <name val="Arial"/>
      <family val="2"/>
    </font>
    <font>
      <b/>
      <sz val="8"/>
      <color rgb="FF000000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26"/>
      <color theme="1"/>
      <name val="Arial"/>
      <family val="2"/>
    </font>
    <font>
      <i/>
      <sz val="11"/>
      <color theme="1"/>
      <name val="Arial"/>
      <family val="2"/>
    </font>
    <font>
      <b/>
      <u/>
      <sz val="8"/>
      <color theme="10"/>
      <name val="Arial"/>
      <family val="2"/>
    </font>
    <font>
      <sz val="11"/>
      <color rgb="FF000000"/>
      <name val="Calibri"/>
      <family val="2"/>
      <scheme val="minor"/>
    </font>
    <font>
      <u/>
      <sz val="10"/>
      <color indexed="12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/>
    <xf numFmtId="9" fontId="2" fillId="0" borderId="0" applyFont="0" applyFill="0" applyBorder="0" applyAlignment="0" applyProtection="0"/>
    <xf numFmtId="173" fontId="19" fillId="0" borderId="6">
      <alignment horizontal="right" vertical="center"/>
      <protection locked="0"/>
    </xf>
    <xf numFmtId="43" fontId="1" fillId="0" borderId="0" applyFont="0" applyFill="0" applyBorder="0" applyAlignment="0" applyProtection="0"/>
  </cellStyleXfs>
  <cellXfs count="693">
    <xf numFmtId="0" fontId="0" fillId="0" borderId="0" xfId="0"/>
    <xf numFmtId="0" fontId="2" fillId="2" borderId="0" xfId="2" applyFill="1"/>
    <xf numFmtId="0" fontId="3" fillId="2" borderId="0" xfId="2" applyFont="1" applyFill="1" applyAlignment="1">
      <alignment horizontal="left" vertical="center"/>
    </xf>
    <xf numFmtId="0" fontId="3" fillId="2" borderId="0" xfId="2" applyFont="1" applyFill="1" applyAlignment="1">
      <alignment horizontal="left" indent="9"/>
    </xf>
    <xf numFmtId="0" fontId="4" fillId="2" borderId="0" xfId="2" applyFont="1" applyFill="1"/>
    <xf numFmtId="164" fontId="6" fillId="2" borderId="0" xfId="2" applyNumberFormat="1" applyFont="1" applyFill="1" applyAlignment="1">
      <alignment horizontal="center"/>
    </xf>
    <xf numFmtId="0" fontId="2" fillId="2" borderId="1" xfId="2" applyFill="1" applyBorder="1"/>
    <xf numFmtId="0" fontId="8" fillId="2" borderId="1" xfId="2" applyFont="1" applyFill="1" applyBorder="1" applyAlignment="1">
      <alignment horizontal="left"/>
    </xf>
    <xf numFmtId="0" fontId="8" fillId="2" borderId="1" xfId="2" applyFont="1" applyFill="1" applyBorder="1" applyAlignment="1">
      <alignment horizontal="left" indent="9"/>
    </xf>
    <xf numFmtId="165" fontId="5" fillId="3" borderId="0" xfId="2" applyNumberFormat="1" applyFont="1" applyFill="1"/>
    <xf numFmtId="165" fontId="9" fillId="3" borderId="0" xfId="2" applyNumberFormat="1" applyFont="1" applyFill="1" applyAlignment="1">
      <alignment horizontal="center"/>
    </xf>
    <xf numFmtId="0" fontId="2" fillId="4" borderId="2" xfId="2" applyFill="1" applyBorder="1"/>
    <xf numFmtId="0" fontId="6" fillId="4" borderId="2" xfId="2" applyFont="1" applyFill="1" applyBorder="1"/>
    <xf numFmtId="0" fontId="10" fillId="4" borderId="2" xfId="2" applyFont="1" applyFill="1" applyBorder="1" applyAlignment="1">
      <alignment vertical="center"/>
    </xf>
    <xf numFmtId="0" fontId="2" fillId="4" borderId="2" xfId="2" applyFill="1" applyBorder="1" applyAlignment="1">
      <alignment wrapText="1"/>
    </xf>
    <xf numFmtId="166" fontId="10" fillId="4" borderId="2" xfId="2" applyNumberFormat="1" applyFont="1" applyFill="1" applyBorder="1" applyAlignment="1">
      <alignment horizontal="center" wrapText="1"/>
    </xf>
    <xf numFmtId="0" fontId="2" fillId="3" borderId="0" xfId="2" applyFill="1" applyAlignment="1">
      <alignment wrapText="1"/>
    </xf>
    <xf numFmtId="0" fontId="2" fillId="3" borderId="0" xfId="2" applyFill="1"/>
    <xf numFmtId="0" fontId="2" fillId="0" borderId="0" xfId="2"/>
    <xf numFmtId="165" fontId="5" fillId="0" borderId="0" xfId="2" applyNumberFormat="1" applyFont="1"/>
    <xf numFmtId="165" fontId="9" fillId="0" borderId="0" xfId="2" applyNumberFormat="1" applyFont="1" applyAlignment="1">
      <alignment horizontal="center"/>
    </xf>
    <xf numFmtId="165" fontId="11" fillId="0" borderId="0" xfId="2" applyNumberFormat="1" applyFont="1"/>
    <xf numFmtId="165" fontId="12" fillId="0" borderId="0" xfId="2" applyNumberFormat="1" applyFont="1" applyAlignment="1">
      <alignment horizontal="center"/>
    </xf>
    <xf numFmtId="165" fontId="13" fillId="0" borderId="0" xfId="2" applyNumberFormat="1" applyFont="1" applyAlignment="1">
      <alignment horizontal="center"/>
    </xf>
    <xf numFmtId="165" fontId="13" fillId="0" borderId="0" xfId="2" applyNumberFormat="1" applyFont="1"/>
    <xf numFmtId="169" fontId="5" fillId="0" borderId="0" xfId="2" applyNumberFormat="1" applyFont="1" applyAlignment="1">
      <alignment horizontal="left"/>
    </xf>
    <xf numFmtId="10" fontId="5" fillId="0" borderId="0" xfId="4" applyNumberFormat="1" applyFont="1" applyAlignment="1" applyProtection="1">
      <alignment horizontal="center"/>
    </xf>
    <xf numFmtId="0" fontId="14" fillId="2" borderId="4" xfId="2" applyFont="1" applyFill="1" applyBorder="1"/>
    <xf numFmtId="0" fontId="15" fillId="2" borderId="4" xfId="2" applyFont="1" applyFill="1" applyBorder="1" applyAlignment="1">
      <alignment horizontal="center"/>
    </xf>
    <xf numFmtId="172" fontId="16" fillId="2" borderId="4" xfId="2" applyNumberFormat="1" applyFont="1" applyFill="1" applyBorder="1" applyAlignment="1">
      <alignment horizontal="left"/>
    </xf>
    <xf numFmtId="172" fontId="17" fillId="2" borderId="4" xfId="2" applyNumberFormat="1" applyFont="1" applyFill="1" applyBorder="1" applyAlignment="1">
      <alignment horizontal="center"/>
    </xf>
    <xf numFmtId="0" fontId="15" fillId="2" borderId="4" xfId="2" applyFont="1" applyFill="1" applyBorder="1"/>
    <xf numFmtId="0" fontId="16" fillId="4" borderId="2" xfId="2" applyFont="1" applyFill="1" applyBorder="1" applyAlignment="1">
      <alignment horizontal="center"/>
    </xf>
    <xf numFmtId="0" fontId="18" fillId="4" borderId="2" xfId="2" applyFont="1" applyFill="1" applyBorder="1" applyAlignment="1">
      <alignment horizontal="center" vertical="center"/>
    </xf>
    <xf numFmtId="0" fontId="18" fillId="4" borderId="2" xfId="2" applyFont="1" applyFill="1" applyBorder="1" applyAlignment="1">
      <alignment vertical="center"/>
    </xf>
    <xf numFmtId="172" fontId="16" fillId="4" borderId="2" xfId="2" applyNumberFormat="1" applyFont="1" applyFill="1" applyBorder="1" applyAlignment="1">
      <alignment horizontal="center" wrapText="1"/>
    </xf>
    <xf numFmtId="165" fontId="5" fillId="0" borderId="0" xfId="2" applyNumberFormat="1" applyFont="1" applyAlignment="1">
      <alignment horizontal="left" indent="1"/>
    </xf>
    <xf numFmtId="174" fontId="11" fillId="0" borderId="0" xfId="5" applyNumberFormat="1" applyFont="1" applyBorder="1" applyAlignment="1" applyProtection="1">
      <alignment horizontal="center" vertical="center"/>
    </xf>
    <xf numFmtId="165" fontId="9" fillId="0" borderId="0" xfId="2" applyNumberFormat="1" applyFont="1"/>
    <xf numFmtId="0" fontId="20" fillId="6" borderId="0" xfId="2" applyFont="1" applyFill="1"/>
    <xf numFmtId="0" fontId="20" fillId="6" borderId="0" xfId="2" applyFont="1" applyFill="1" applyAlignment="1">
      <alignment horizontal="right"/>
    </xf>
    <xf numFmtId="0" fontId="5" fillId="6" borderId="0" xfId="2" applyFont="1" applyFill="1" applyAlignment="1">
      <alignment horizontal="center"/>
    </xf>
    <xf numFmtId="0" fontId="5" fillId="6" borderId="0" xfId="2" applyFont="1" applyFill="1"/>
    <xf numFmtId="0" fontId="20" fillId="6" borderId="1" xfId="2" applyFont="1" applyFill="1" applyBorder="1"/>
    <xf numFmtId="165" fontId="21" fillId="0" borderId="0" xfId="2" applyNumberFormat="1" applyFont="1"/>
    <xf numFmtId="176" fontId="5" fillId="0" borderId="0" xfId="2" applyNumberFormat="1" applyFont="1"/>
    <xf numFmtId="164" fontId="11" fillId="0" borderId="0" xfId="2" applyNumberFormat="1" applyFont="1" applyAlignment="1">
      <alignment horizontal="center"/>
    </xf>
    <xf numFmtId="165" fontId="7" fillId="0" borderId="0" xfId="3" applyNumberFormat="1" applyAlignment="1" applyProtection="1"/>
    <xf numFmtId="165" fontId="12" fillId="0" borderId="0" xfId="2" applyNumberFormat="1" applyFont="1"/>
    <xf numFmtId="165" fontId="9" fillId="0" borderId="0" xfId="2" applyNumberFormat="1" applyFont="1" applyAlignment="1">
      <alignment horizontal="left"/>
    </xf>
    <xf numFmtId="165" fontId="5" fillId="3" borderId="0" xfId="2" applyNumberFormat="1" applyFont="1" applyFill="1" applyAlignment="1">
      <alignment horizontal="center"/>
    </xf>
    <xf numFmtId="0" fontId="5" fillId="0" borderId="0" xfId="2" applyFont="1"/>
    <xf numFmtId="165" fontId="9" fillId="0" borderId="10" xfId="2" applyNumberFormat="1" applyFont="1" applyBorder="1" applyAlignment="1">
      <alignment horizontal="center"/>
    </xf>
    <xf numFmtId="165" fontId="9" fillId="0" borderId="12" xfId="2" applyNumberFormat="1" applyFont="1" applyBorder="1" applyAlignment="1">
      <alignment horizontal="center"/>
    </xf>
    <xf numFmtId="0" fontId="2" fillId="4" borderId="2" xfId="2" applyFill="1" applyBorder="1" applyAlignment="1">
      <alignment horizontal="left"/>
    </xf>
    <xf numFmtId="0" fontId="19" fillId="4" borderId="2" xfId="2" applyFont="1" applyFill="1" applyBorder="1" applyAlignment="1">
      <alignment horizontal="left" vertical="center"/>
    </xf>
    <xf numFmtId="166" fontId="10" fillId="4" borderId="2" xfId="2" applyNumberFormat="1" applyFont="1" applyFill="1" applyBorder="1" applyAlignment="1">
      <alignment horizontal="left"/>
    </xf>
    <xf numFmtId="165" fontId="5" fillId="0" borderId="0" xfId="2" applyNumberFormat="1" applyFont="1" applyAlignment="1">
      <alignment wrapText="1"/>
    </xf>
    <xf numFmtId="165" fontId="9" fillId="0" borderId="0" xfId="2" applyNumberFormat="1" applyFont="1" applyAlignment="1">
      <alignment horizontal="center" wrapText="1"/>
    </xf>
    <xf numFmtId="0" fontId="2" fillId="0" borderId="0" xfId="2" applyAlignment="1">
      <alignment wrapText="1"/>
    </xf>
    <xf numFmtId="165" fontId="5" fillId="0" borderId="10" xfId="2" applyNumberFormat="1" applyFont="1" applyBorder="1" applyAlignment="1">
      <alignment horizontal="left" wrapText="1"/>
    </xf>
    <xf numFmtId="165" fontId="9" fillId="0" borderId="10" xfId="2" applyNumberFormat="1" applyFont="1" applyBorder="1" applyAlignment="1">
      <alignment horizontal="center" wrapText="1"/>
    </xf>
    <xf numFmtId="165" fontId="9" fillId="0" borderId="14" xfId="2" applyNumberFormat="1" applyFont="1" applyBorder="1" applyAlignment="1">
      <alignment horizontal="center"/>
    </xf>
    <xf numFmtId="0" fontId="18" fillId="4" borderId="2" xfId="2" applyFont="1" applyFill="1" applyBorder="1" applyAlignment="1">
      <alignment horizontal="right" vertical="center"/>
    </xf>
    <xf numFmtId="166" fontId="10" fillId="4" borderId="2" xfId="2" applyNumberFormat="1" applyFont="1" applyFill="1" applyBorder="1" applyAlignment="1">
      <alignment horizontal="left" wrapText="1"/>
    </xf>
    <xf numFmtId="165" fontId="13" fillId="0" borderId="0" xfId="2" applyNumberFormat="1" applyFont="1" applyAlignment="1">
      <alignment horizontal="left"/>
    </xf>
    <xf numFmtId="165" fontId="5" fillId="0" borderId="0" xfId="2" applyNumberFormat="1" applyFont="1" applyAlignment="1">
      <alignment horizontal="left" wrapText="1"/>
    </xf>
    <xf numFmtId="177" fontId="5" fillId="0" borderId="0" xfId="2" applyNumberFormat="1" applyFont="1" applyAlignment="1">
      <alignment horizontal="right" wrapText="1"/>
    </xf>
    <xf numFmtId="177" fontId="5" fillId="0" borderId="0" xfId="2" applyNumberFormat="1" applyFont="1" applyAlignment="1">
      <alignment horizontal="right"/>
    </xf>
    <xf numFmtId="177" fontId="19" fillId="0" borderId="0" xfId="5" applyNumberFormat="1" applyBorder="1" applyProtection="1">
      <alignment horizontal="right" vertical="center"/>
    </xf>
    <xf numFmtId="179" fontId="5" fillId="0" borderId="0" xfId="2" applyNumberFormat="1" applyFont="1" applyAlignment="1">
      <alignment horizontal="right"/>
    </xf>
    <xf numFmtId="179" fontId="5" fillId="0" borderId="0" xfId="2" applyNumberFormat="1" applyFont="1" applyAlignment="1">
      <alignment horizontal="right" wrapText="1"/>
    </xf>
    <xf numFmtId="179" fontId="19" fillId="0" borderId="0" xfId="5" applyNumberFormat="1" applyBorder="1" applyProtection="1">
      <alignment horizontal="right" vertical="center"/>
    </xf>
    <xf numFmtId="165" fontId="13" fillId="3" borderId="0" xfId="2" applyNumberFormat="1" applyFont="1" applyFill="1"/>
    <xf numFmtId="179" fontId="5" fillId="0" borderId="14" xfId="2" applyNumberFormat="1" applyFont="1" applyBorder="1" applyAlignment="1">
      <alignment horizontal="right"/>
    </xf>
    <xf numFmtId="179" fontId="5" fillId="0" borderId="14" xfId="2" applyNumberFormat="1" applyFont="1" applyBorder="1" applyAlignment="1">
      <alignment horizontal="right" wrapText="1"/>
    </xf>
    <xf numFmtId="0" fontId="18" fillId="4" borderId="2" xfId="2" applyFont="1" applyFill="1" applyBorder="1" applyAlignment="1">
      <alignment horizontal="left" vertical="center"/>
    </xf>
    <xf numFmtId="0" fontId="13" fillId="0" borderId="0" xfId="2" applyFont="1" applyAlignment="1">
      <alignment horizontal="left"/>
    </xf>
    <xf numFmtId="0" fontId="5" fillId="3" borderId="0" xfId="2" applyFont="1" applyFill="1"/>
    <xf numFmtId="0" fontId="5" fillId="0" borderId="0" xfId="2" applyFont="1" applyAlignment="1">
      <alignment horizontal="left" indent="1"/>
    </xf>
    <xf numFmtId="1" fontId="18" fillId="4" borderId="2" xfId="2" applyNumberFormat="1" applyFont="1" applyFill="1" applyBorder="1" applyAlignment="1">
      <alignment vertical="center"/>
    </xf>
    <xf numFmtId="1" fontId="16" fillId="4" borderId="2" xfId="2" applyNumberFormat="1" applyFont="1" applyFill="1" applyBorder="1" applyAlignment="1">
      <alignment horizontal="center"/>
    </xf>
    <xf numFmtId="0" fontId="13" fillId="0" borderId="0" xfId="2" applyFont="1"/>
    <xf numFmtId="177" fontId="9" fillId="0" borderId="0" xfId="2" applyNumberFormat="1" applyFont="1" applyAlignment="1">
      <alignment horizontal="center" wrapText="1"/>
    </xf>
    <xf numFmtId="177" fontId="9" fillId="0" borderId="0" xfId="2" applyNumberFormat="1" applyFont="1" applyAlignment="1">
      <alignment horizontal="center"/>
    </xf>
    <xf numFmtId="177" fontId="11" fillId="0" borderId="0" xfId="5" applyNumberFormat="1" applyFont="1" applyBorder="1" applyAlignment="1" applyProtection="1">
      <alignment horizontal="center" vertical="center"/>
    </xf>
    <xf numFmtId="177" fontId="5" fillId="0" borderId="0" xfId="2" applyNumberFormat="1" applyFont="1"/>
    <xf numFmtId="165" fontId="5" fillId="0" borderId="14" xfId="2" applyNumberFormat="1" applyFont="1" applyBorder="1" applyAlignment="1">
      <alignment horizontal="left" wrapText="1"/>
    </xf>
    <xf numFmtId="178" fontId="5" fillId="0" borderId="0" xfId="2" applyNumberFormat="1" applyFont="1" applyAlignment="1">
      <alignment horizontal="right"/>
    </xf>
    <xf numFmtId="178" fontId="5" fillId="0" borderId="14" xfId="2" applyNumberFormat="1" applyFont="1" applyBorder="1" applyAlignment="1">
      <alignment horizontal="right"/>
    </xf>
    <xf numFmtId="178" fontId="5" fillId="0" borderId="14" xfId="2" applyNumberFormat="1" applyFont="1" applyBorder="1" applyAlignment="1">
      <alignment horizontal="right" wrapText="1"/>
    </xf>
    <xf numFmtId="165" fontId="9" fillId="0" borderId="14" xfId="2" applyNumberFormat="1" applyFont="1" applyBorder="1" applyAlignment="1">
      <alignment horizontal="center" wrapText="1"/>
    </xf>
    <xf numFmtId="0" fontId="16" fillId="4" borderId="2" xfId="2" applyFont="1" applyFill="1" applyBorder="1" applyAlignment="1">
      <alignment horizontal="left"/>
    </xf>
    <xf numFmtId="165" fontId="9" fillId="0" borderId="7" xfId="2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65" fontId="9" fillId="8" borderId="3" xfId="2" applyNumberFormat="1" applyFont="1" applyFill="1" applyBorder="1" applyAlignment="1">
      <alignment horizontal="center"/>
    </xf>
    <xf numFmtId="165" fontId="22" fillId="0" borderId="0" xfId="2" applyNumberFormat="1" applyFont="1"/>
    <xf numFmtId="165" fontId="23" fillId="0" borderId="0" xfId="2" applyNumberFormat="1" applyFont="1"/>
    <xf numFmtId="165" fontId="23" fillId="0" borderId="0" xfId="2" applyNumberFormat="1" applyFont="1" applyAlignment="1">
      <alignment wrapText="1"/>
    </xf>
    <xf numFmtId="165" fontId="24" fillId="0" borderId="0" xfId="2" applyNumberFormat="1" applyFont="1"/>
    <xf numFmtId="165" fontId="24" fillId="0" borderId="0" xfId="2" applyNumberFormat="1" applyFont="1" applyAlignment="1">
      <alignment wrapText="1"/>
    </xf>
    <xf numFmtId="165" fontId="9" fillId="10" borderId="3" xfId="2" applyNumberFormat="1" applyFont="1" applyFill="1" applyBorder="1" applyAlignment="1">
      <alignment horizontal="center"/>
    </xf>
    <xf numFmtId="165" fontId="9" fillId="10" borderId="3" xfId="2" applyNumberFormat="1" applyFont="1" applyFill="1" applyBorder="1" applyAlignment="1">
      <alignment horizontal="center" wrapText="1"/>
    </xf>
    <xf numFmtId="179" fontId="5" fillId="13" borderId="8" xfId="2" applyNumberFormat="1" applyFont="1" applyFill="1" applyBorder="1" applyAlignment="1">
      <alignment horizontal="left"/>
    </xf>
    <xf numFmtId="179" fontId="5" fillId="13" borderId="11" xfId="2" applyNumberFormat="1" applyFont="1" applyFill="1" applyBorder="1" applyAlignment="1">
      <alignment horizontal="left"/>
    </xf>
    <xf numFmtId="179" fontId="5" fillId="13" borderId="9" xfId="2" applyNumberFormat="1" applyFont="1" applyFill="1" applyBorder="1" applyAlignment="1">
      <alignment horizontal="left"/>
    </xf>
    <xf numFmtId="179" fontId="5" fillId="13" borderId="8" xfId="2" applyNumberFormat="1" applyFont="1" applyFill="1" applyBorder="1" applyAlignment="1">
      <alignment horizontal="left" wrapText="1"/>
    </xf>
    <xf numFmtId="179" fontId="5" fillId="13" borderId="11" xfId="2" applyNumberFormat="1" applyFont="1" applyFill="1" applyBorder="1" applyAlignment="1">
      <alignment horizontal="left" wrapText="1"/>
    </xf>
    <xf numFmtId="179" fontId="5" fillId="13" borderId="9" xfId="2" applyNumberFormat="1" applyFont="1" applyFill="1" applyBorder="1" applyAlignment="1">
      <alignment horizontal="left" wrapText="1"/>
    </xf>
    <xf numFmtId="0" fontId="2" fillId="4" borderId="2" xfId="2" applyFill="1" applyBorder="1" applyAlignment="1">
      <alignment horizontal="center"/>
    </xf>
    <xf numFmtId="0" fontId="6" fillId="0" borderId="0" xfId="2" applyFont="1" applyAlignment="1">
      <alignment horizontal="center"/>
    </xf>
    <xf numFmtId="0" fontId="2" fillId="0" borderId="0" xfId="2" applyAlignment="1">
      <alignment horizontal="right"/>
    </xf>
    <xf numFmtId="0" fontId="5" fillId="0" borderId="0" xfId="2" applyFont="1" applyAlignment="1">
      <alignment horizontal="center"/>
    </xf>
    <xf numFmtId="164" fontId="6" fillId="0" borderId="0" xfId="2" applyNumberFormat="1" applyFont="1" applyAlignment="1">
      <alignment horizontal="center"/>
    </xf>
    <xf numFmtId="0" fontId="7" fillId="0" borderId="0" xfId="3" applyFill="1" applyBorder="1" applyAlignment="1" applyProtection="1">
      <alignment horizontal="right"/>
    </xf>
    <xf numFmtId="0" fontId="2" fillId="0" borderId="1" xfId="2" applyBorder="1"/>
    <xf numFmtId="0" fontId="8" fillId="0" borderId="1" xfId="2" applyFont="1" applyBorder="1" applyAlignment="1">
      <alignment horizontal="left" indent="9"/>
    </xf>
    <xf numFmtId="0" fontId="8" fillId="0" borderId="1" xfId="2" applyFont="1" applyBorder="1" applyAlignment="1">
      <alignment horizontal="left"/>
    </xf>
    <xf numFmtId="165" fontId="19" fillId="0" borderId="0" xfId="3" applyNumberFormat="1" applyFont="1" applyAlignment="1" applyProtection="1"/>
    <xf numFmtId="165" fontId="13" fillId="10" borderId="0" xfId="2" applyNumberFormat="1" applyFont="1" applyFill="1"/>
    <xf numFmtId="165" fontId="19" fillId="11" borderId="0" xfId="3" applyNumberFormat="1" applyFont="1" applyFill="1" applyAlignment="1" applyProtection="1"/>
    <xf numFmtId="165" fontId="19" fillId="12" borderId="0" xfId="3" applyNumberFormat="1" applyFont="1" applyFill="1" applyAlignment="1" applyProtection="1"/>
    <xf numFmtId="165" fontId="19" fillId="13" borderId="0" xfId="3" applyNumberFormat="1" applyFont="1" applyFill="1" applyAlignment="1" applyProtection="1"/>
    <xf numFmtId="165" fontId="19" fillId="14" borderId="0" xfId="3" applyNumberFormat="1" applyFont="1" applyFill="1" applyAlignment="1" applyProtection="1"/>
    <xf numFmtId="165" fontId="19" fillId="7" borderId="0" xfId="3" applyNumberFormat="1" applyFont="1" applyFill="1" applyAlignment="1" applyProtection="1"/>
    <xf numFmtId="165" fontId="19" fillId="8" borderId="0" xfId="3" applyNumberFormat="1" applyFont="1" applyFill="1" applyAlignment="1" applyProtection="1"/>
    <xf numFmtId="165" fontId="11" fillId="0" borderId="0" xfId="3" applyNumberFormat="1" applyFont="1" applyAlignment="1" applyProtection="1"/>
    <xf numFmtId="165" fontId="13" fillId="0" borderId="5" xfId="2" applyNumberFormat="1" applyFont="1" applyBorder="1"/>
    <xf numFmtId="165" fontId="5" fillId="0" borderId="5" xfId="2" applyNumberFormat="1" applyFont="1" applyBorder="1"/>
    <xf numFmtId="171" fontId="5" fillId="0" borderId="0" xfId="2" applyNumberFormat="1" applyFont="1"/>
    <xf numFmtId="17" fontId="5" fillId="0" borderId="0" xfId="2" applyNumberFormat="1" applyFont="1"/>
    <xf numFmtId="171" fontId="9" fillId="0" borderId="0" xfId="2" applyNumberFormat="1" applyFont="1"/>
    <xf numFmtId="17" fontId="9" fillId="0" borderId="0" xfId="2" applyNumberFormat="1" applyFont="1"/>
    <xf numFmtId="165" fontId="9" fillId="0" borderId="0" xfId="2" applyNumberFormat="1" applyFont="1" applyAlignment="1">
      <alignment wrapText="1"/>
    </xf>
    <xf numFmtId="165" fontId="9" fillId="3" borderId="7" xfId="2" applyNumberFormat="1" applyFont="1" applyFill="1" applyBorder="1" applyAlignment="1">
      <alignment horizontal="center"/>
    </xf>
    <xf numFmtId="165" fontId="5" fillId="3" borderId="7" xfId="2" applyNumberFormat="1" applyFont="1" applyFill="1" applyBorder="1" applyAlignment="1">
      <alignment horizontal="center"/>
    </xf>
    <xf numFmtId="165" fontId="5" fillId="0" borderId="7" xfId="2" applyNumberFormat="1" applyFont="1" applyBorder="1" applyAlignment="1">
      <alignment horizontal="center"/>
    </xf>
    <xf numFmtId="165" fontId="5" fillId="0" borderId="0" xfId="2" applyNumberFormat="1" applyFont="1" applyAlignment="1">
      <alignment horizontal="right" wrapText="1"/>
    </xf>
    <xf numFmtId="165" fontId="5" fillId="0" borderId="0" xfId="2" applyNumberFormat="1" applyFont="1" applyAlignment="1">
      <alignment horizontal="right"/>
    </xf>
    <xf numFmtId="165" fontId="19" fillId="0" borderId="0" xfId="5" applyNumberFormat="1" applyBorder="1" applyProtection="1">
      <alignment horizontal="right" vertical="center"/>
    </xf>
    <xf numFmtId="165" fontId="24" fillId="3" borderId="0" xfId="2" applyNumberFormat="1" applyFont="1" applyFill="1"/>
    <xf numFmtId="165" fontId="17" fillId="0" borderId="0" xfId="2" applyNumberFormat="1" applyFont="1" applyAlignment="1">
      <alignment horizontal="center"/>
    </xf>
    <xf numFmtId="165" fontId="5" fillId="0" borderId="15" xfId="2" applyNumberFormat="1" applyFont="1" applyBorder="1" applyAlignment="1">
      <alignment horizontal="right"/>
    </xf>
    <xf numFmtId="165" fontId="5" fillId="0" borderId="14" xfId="2" applyNumberFormat="1" applyFont="1" applyBorder="1" applyAlignment="1">
      <alignment horizontal="right"/>
    </xf>
    <xf numFmtId="179" fontId="5" fillId="0" borderId="14" xfId="2" applyNumberFormat="1" applyFont="1" applyBorder="1" applyAlignment="1">
      <alignment horizontal="left"/>
    </xf>
    <xf numFmtId="175" fontId="9" fillId="9" borderId="3" xfId="1" applyNumberFormat="1" applyFont="1" applyFill="1" applyBorder="1" applyAlignment="1" applyProtection="1">
      <alignment horizontal="center"/>
    </xf>
    <xf numFmtId="165" fontId="25" fillId="0" borderId="0" xfId="2" applyNumberFormat="1" applyFont="1" applyAlignment="1">
      <alignment horizontal="center"/>
    </xf>
    <xf numFmtId="165" fontId="26" fillId="0" borderId="0" xfId="2" applyNumberFormat="1" applyFont="1"/>
    <xf numFmtId="172" fontId="16" fillId="4" borderId="2" xfId="2" applyNumberFormat="1" applyFont="1" applyFill="1" applyBorder="1" applyAlignment="1">
      <alignment horizontal="center"/>
    </xf>
    <xf numFmtId="172" fontId="2" fillId="4" borderId="2" xfId="2" applyNumberFormat="1" applyFill="1" applyBorder="1" applyAlignment="1">
      <alignment wrapText="1"/>
    </xf>
    <xf numFmtId="165" fontId="9" fillId="3" borderId="0" xfId="2" applyNumberFormat="1" applyFont="1" applyFill="1" applyAlignment="1">
      <alignment horizontal="center" wrapText="1"/>
    </xf>
    <xf numFmtId="0" fontId="27" fillId="0" borderId="0" xfId="2" applyFont="1" applyAlignment="1">
      <alignment horizontal="center"/>
    </xf>
    <xf numFmtId="165" fontId="28" fillId="0" borderId="0" xfId="2" applyNumberFormat="1" applyFont="1"/>
    <xf numFmtId="0" fontId="9" fillId="0" borderId="0" xfId="2" applyFont="1" applyAlignment="1">
      <alignment horizontal="center"/>
    </xf>
    <xf numFmtId="165" fontId="12" fillId="9" borderId="11" xfId="2" applyNumberFormat="1" applyFont="1" applyFill="1" applyBorder="1" applyAlignment="1">
      <alignment horizontal="center"/>
    </xf>
    <xf numFmtId="165" fontId="9" fillId="9" borderId="9" xfId="2" applyNumberFormat="1" applyFont="1" applyFill="1" applyBorder="1" applyAlignment="1">
      <alignment horizontal="center"/>
    </xf>
    <xf numFmtId="165" fontId="13" fillId="3" borderId="0" xfId="2" applyNumberFormat="1" applyFont="1" applyFill="1" applyAlignment="1">
      <alignment horizontal="left"/>
    </xf>
    <xf numFmtId="10" fontId="5" fillId="9" borderId="3" xfId="2" applyNumberFormat="1" applyFont="1" applyFill="1" applyBorder="1" applyAlignment="1">
      <alignment horizontal="center"/>
    </xf>
    <xf numFmtId="0" fontId="9" fillId="0" borderId="0" xfId="2" applyFont="1" applyAlignment="1">
      <alignment wrapText="1"/>
    </xf>
    <xf numFmtId="165" fontId="9" fillId="9" borderId="11" xfId="2" applyNumberFormat="1" applyFont="1" applyFill="1" applyBorder="1" applyAlignment="1">
      <alignment horizontal="center"/>
    </xf>
    <xf numFmtId="0" fontId="7" fillId="2" borderId="0" xfId="3" applyFill="1" applyBorder="1" applyAlignment="1" applyProtection="1"/>
    <xf numFmtId="0" fontId="7" fillId="0" borderId="0" xfId="3" applyFill="1" applyBorder="1" applyAlignment="1" applyProtection="1"/>
    <xf numFmtId="181" fontId="13" fillId="0" borderId="0" xfId="2" applyNumberFormat="1" applyFont="1"/>
    <xf numFmtId="164" fontId="9" fillId="0" borderId="0" xfId="2" applyNumberFormat="1" applyFont="1" applyAlignment="1">
      <alignment horizontal="center"/>
    </xf>
    <xf numFmtId="182" fontId="9" fillId="7" borderId="3" xfId="2" applyNumberFormat="1" applyFont="1" applyFill="1" applyBorder="1" applyAlignment="1">
      <alignment horizontal="center"/>
    </xf>
    <xf numFmtId="181" fontId="9" fillId="7" borderId="3" xfId="2" applyNumberFormat="1" applyFont="1" applyFill="1" applyBorder="1" applyAlignment="1">
      <alignment horizontal="center"/>
    </xf>
    <xf numFmtId="181" fontId="9" fillId="10" borderId="3" xfId="2" applyNumberFormat="1" applyFont="1" applyFill="1" applyBorder="1" applyAlignment="1">
      <alignment horizontal="center" wrapText="1"/>
    </xf>
    <xf numFmtId="181" fontId="13" fillId="0" borderId="0" xfId="2" applyNumberFormat="1" applyFont="1" applyAlignment="1">
      <alignment horizontal="left"/>
    </xf>
    <xf numFmtId="183" fontId="5" fillId="7" borderId="3" xfId="2" applyNumberFormat="1" applyFont="1" applyFill="1" applyBorder="1" applyAlignment="1">
      <alignment horizontal="left" wrapText="1"/>
    </xf>
    <xf numFmtId="181" fontId="18" fillId="4" borderId="2" xfId="2" applyNumberFormat="1" applyFont="1" applyFill="1" applyBorder="1" applyAlignment="1">
      <alignment horizontal="center" vertical="center"/>
    </xf>
    <xf numFmtId="181" fontId="12" fillId="0" borderId="0" xfId="2" applyNumberFormat="1" applyFont="1" applyAlignment="1">
      <alignment horizontal="center"/>
    </xf>
    <xf numFmtId="182" fontId="12" fillId="0" borderId="0" xfId="2" applyNumberFormat="1" applyFont="1" applyAlignment="1">
      <alignment horizontal="center"/>
    </xf>
    <xf numFmtId="182" fontId="5" fillId="13" borderId="3" xfId="2" applyNumberFormat="1" applyFont="1" applyFill="1" applyBorder="1" applyAlignment="1">
      <alignment horizontal="right"/>
    </xf>
    <xf numFmtId="182" fontId="5" fillId="0" borderId="0" xfId="2" applyNumberFormat="1" applyFont="1"/>
    <xf numFmtId="182" fontId="9" fillId="0" borderId="0" xfId="2" applyNumberFormat="1" applyFont="1" applyAlignment="1">
      <alignment horizontal="center" wrapText="1"/>
    </xf>
    <xf numFmtId="182" fontId="5" fillId="13" borderId="3" xfId="2" applyNumberFormat="1" applyFont="1" applyFill="1" applyBorder="1" applyAlignment="1">
      <alignment horizontal="right" wrapText="1"/>
    </xf>
    <xf numFmtId="182" fontId="5" fillId="0" borderId="0" xfId="2" applyNumberFormat="1" applyFont="1" applyAlignment="1">
      <alignment wrapText="1"/>
    </xf>
    <xf numFmtId="182" fontId="5" fillId="0" borderId="0" xfId="2" applyNumberFormat="1" applyFont="1" applyAlignment="1">
      <alignment horizontal="right" wrapText="1"/>
    </xf>
    <xf numFmtId="182" fontId="5" fillId="0" borderId="0" xfId="2" applyNumberFormat="1" applyFont="1" applyAlignment="1">
      <alignment horizontal="right"/>
    </xf>
    <xf numFmtId="182" fontId="19" fillId="0" borderId="0" xfId="5" applyNumberFormat="1" applyBorder="1" applyProtection="1">
      <alignment horizontal="right" vertical="center"/>
    </xf>
    <xf numFmtId="182" fontId="9" fillId="13" borderId="3" xfId="2" applyNumberFormat="1" applyFont="1" applyFill="1" applyBorder="1" applyAlignment="1">
      <alignment horizontal="center" wrapText="1"/>
    </xf>
    <xf numFmtId="182" fontId="9" fillId="0" borderId="0" xfId="2" applyNumberFormat="1" applyFont="1" applyAlignment="1">
      <alignment horizontal="center"/>
    </xf>
    <xf numFmtId="182" fontId="11" fillId="0" borderId="0" xfId="5" applyNumberFormat="1" applyFont="1" applyBorder="1" applyAlignment="1" applyProtection="1">
      <alignment horizontal="center" vertical="center"/>
    </xf>
    <xf numFmtId="181" fontId="16" fillId="4" borderId="2" xfId="2" applyNumberFormat="1" applyFont="1" applyFill="1" applyBorder="1" applyAlignment="1">
      <alignment horizontal="center"/>
    </xf>
    <xf numFmtId="184" fontId="5" fillId="9" borderId="3" xfId="2" applyNumberFormat="1" applyFont="1" applyFill="1" applyBorder="1"/>
    <xf numFmtId="186" fontId="5" fillId="13" borderId="3" xfId="2" applyNumberFormat="1" applyFont="1" applyFill="1" applyBorder="1" applyAlignment="1">
      <alignment horizontal="right" wrapText="1"/>
    </xf>
    <xf numFmtId="186" fontId="5" fillId="0" borderId="0" xfId="2" applyNumberFormat="1" applyFont="1" applyAlignment="1">
      <alignment horizontal="right" wrapText="1"/>
    </xf>
    <xf numFmtId="186" fontId="5" fillId="0" borderId="0" xfId="2" applyNumberFormat="1" applyFont="1" applyAlignment="1">
      <alignment horizontal="right"/>
    </xf>
    <xf numFmtId="186" fontId="19" fillId="0" borderId="0" xfId="5" applyNumberFormat="1" applyBorder="1" applyProtection="1">
      <alignment horizontal="right" vertical="center"/>
    </xf>
    <xf numFmtId="186" fontId="5" fillId="13" borderId="3" xfId="2" applyNumberFormat="1" applyFont="1" applyFill="1" applyBorder="1" applyAlignment="1">
      <alignment horizontal="right"/>
    </xf>
    <xf numFmtId="186" fontId="5" fillId="0" borderId="0" xfId="2" applyNumberFormat="1" applyFont="1"/>
    <xf numFmtId="186" fontId="5" fillId="11" borderId="3" xfId="2" applyNumberFormat="1" applyFont="1" applyFill="1" applyBorder="1" applyAlignment="1">
      <alignment horizontal="right"/>
    </xf>
    <xf numFmtId="186" fontId="9" fillId="0" borderId="0" xfId="2" applyNumberFormat="1" applyFont="1" applyAlignment="1">
      <alignment horizontal="center" wrapText="1"/>
    </xf>
    <xf numFmtId="186" fontId="9" fillId="0" borderId="0" xfId="2" applyNumberFormat="1" applyFont="1" applyAlignment="1">
      <alignment horizontal="center"/>
    </xf>
    <xf numFmtId="186" fontId="11" fillId="0" borderId="0" xfId="5" applyNumberFormat="1" applyFont="1" applyBorder="1" applyAlignment="1" applyProtection="1">
      <alignment horizontal="center" vertical="center"/>
    </xf>
    <xf numFmtId="184" fontId="9" fillId="7" borderId="3" xfId="2" applyNumberFormat="1" applyFont="1" applyFill="1" applyBorder="1" applyAlignment="1">
      <alignment horizontal="center"/>
    </xf>
    <xf numFmtId="188" fontId="29" fillId="0" borderId="0" xfId="2" applyNumberFormat="1" applyFont="1" applyAlignment="1">
      <alignment horizontal="center"/>
    </xf>
    <xf numFmtId="184" fontId="29" fillId="0" borderId="0" xfId="2" applyNumberFormat="1" applyFont="1" applyAlignment="1">
      <alignment horizontal="center"/>
    </xf>
    <xf numFmtId="182" fontId="5" fillId="7" borderId="3" xfId="2" applyNumberFormat="1" applyFont="1" applyFill="1" applyBorder="1" applyAlignment="1">
      <alignment horizontal="right"/>
    </xf>
    <xf numFmtId="182" fontId="9" fillId="9" borderId="3" xfId="2" applyNumberFormat="1" applyFont="1" applyFill="1" applyBorder="1" applyAlignment="1">
      <alignment horizontal="center"/>
    </xf>
    <xf numFmtId="182" fontId="9" fillId="3" borderId="0" xfId="2" applyNumberFormat="1" applyFont="1" applyFill="1" applyAlignment="1">
      <alignment horizontal="center"/>
    </xf>
    <xf numFmtId="182" fontId="9" fillId="0" borderId="10" xfId="2" applyNumberFormat="1" applyFont="1" applyBorder="1" applyAlignment="1">
      <alignment horizontal="center" wrapText="1"/>
    </xf>
    <xf numFmtId="182" fontId="11" fillId="0" borderId="0" xfId="5" applyNumberFormat="1" applyFont="1" applyBorder="1" applyAlignment="1" applyProtection="1">
      <alignment horizontal="center" vertical="center" wrapText="1"/>
    </xf>
    <xf numFmtId="182" fontId="5" fillId="3" borderId="0" xfId="2" applyNumberFormat="1" applyFont="1" applyFill="1" applyAlignment="1">
      <alignment horizontal="center"/>
    </xf>
    <xf numFmtId="166" fontId="11" fillId="4" borderId="2" xfId="2" applyNumberFormat="1" applyFont="1" applyFill="1" applyBorder="1" applyAlignment="1">
      <alignment horizontal="center" wrapText="1"/>
    </xf>
    <xf numFmtId="182" fontId="5" fillId="9" borderId="3" xfId="2" applyNumberFormat="1" applyFont="1" applyFill="1" applyBorder="1" applyAlignment="1">
      <alignment horizontal="right" wrapText="1"/>
    </xf>
    <xf numFmtId="182" fontId="5" fillId="9" borderId="3" xfId="2" applyNumberFormat="1" applyFont="1" applyFill="1" applyBorder="1" applyAlignment="1">
      <alignment horizontal="right"/>
    </xf>
    <xf numFmtId="182" fontId="5" fillId="0" borderId="15" xfId="2" applyNumberFormat="1" applyFont="1" applyBorder="1" applyAlignment="1">
      <alignment horizontal="right"/>
    </xf>
    <xf numFmtId="181" fontId="13" fillId="0" borderId="12" xfId="2" applyNumberFormat="1" applyFont="1" applyBorder="1"/>
    <xf numFmtId="187" fontId="9" fillId="8" borderId="3" xfId="2" applyNumberFormat="1" applyFont="1" applyFill="1" applyBorder="1" applyAlignment="1">
      <alignment horizontal="center"/>
    </xf>
    <xf numFmtId="187" fontId="5" fillId="9" borderId="3" xfId="1" applyNumberFormat="1" applyFont="1" applyFill="1" applyBorder="1" applyAlignment="1" applyProtection="1">
      <alignment horizontal="center"/>
    </xf>
    <xf numFmtId="187" fontId="9" fillId="0" borderId="10" xfId="2" applyNumberFormat="1" applyFont="1" applyBorder="1" applyAlignment="1">
      <alignment horizontal="center"/>
    </xf>
    <xf numFmtId="187" fontId="9" fillId="0" borderId="12" xfId="2" applyNumberFormat="1" applyFont="1" applyBorder="1" applyAlignment="1">
      <alignment horizontal="center"/>
    </xf>
    <xf numFmtId="182" fontId="5" fillId="7" borderId="3" xfId="2" applyNumberFormat="1" applyFont="1" applyFill="1" applyBorder="1" applyAlignment="1">
      <alignment horizontal="center"/>
    </xf>
    <xf numFmtId="187" fontId="9" fillId="9" borderId="3" xfId="2" applyNumberFormat="1" applyFont="1" applyFill="1" applyBorder="1" applyAlignment="1">
      <alignment horizontal="center"/>
    </xf>
    <xf numFmtId="165" fontId="12" fillId="0" borderId="12" xfId="2" applyNumberFormat="1" applyFont="1" applyBorder="1" applyAlignment="1">
      <alignment horizontal="center"/>
    </xf>
    <xf numFmtId="165" fontId="29" fillId="0" borderId="0" xfId="2" applyNumberFormat="1" applyFont="1" applyAlignment="1">
      <alignment horizontal="center"/>
    </xf>
    <xf numFmtId="181" fontId="5" fillId="0" borderId="0" xfId="2" applyNumberFormat="1" applyFont="1" applyAlignment="1">
      <alignment horizontal="left" wrapText="1"/>
    </xf>
    <xf numFmtId="186" fontId="5" fillId="7" borderId="3" xfId="2" applyNumberFormat="1" applyFont="1" applyFill="1" applyBorder="1" applyAlignment="1">
      <alignment horizontal="right"/>
    </xf>
    <xf numFmtId="187" fontId="5" fillId="7" borderId="3" xfId="2" applyNumberFormat="1" applyFont="1" applyFill="1" applyBorder="1" applyAlignment="1">
      <alignment horizontal="right"/>
    </xf>
    <xf numFmtId="187" fontId="5" fillId="0" borderId="0" xfId="2" applyNumberFormat="1" applyFont="1" applyAlignment="1">
      <alignment horizontal="right"/>
    </xf>
    <xf numFmtId="182" fontId="5" fillId="0" borderId="14" xfId="2" applyNumberFormat="1" applyFont="1" applyBorder="1" applyAlignment="1">
      <alignment horizontal="right"/>
    </xf>
    <xf numFmtId="0" fontId="16" fillId="4" borderId="2" xfId="2" applyFont="1" applyFill="1" applyBorder="1" applyAlignment="1">
      <alignment wrapText="1"/>
    </xf>
    <xf numFmtId="183" fontId="5" fillId="0" borderId="0" xfId="2" applyNumberFormat="1" applyFont="1" applyAlignment="1">
      <alignment horizontal="left" wrapText="1"/>
    </xf>
    <xf numFmtId="183" fontId="5" fillId="9" borderId="3" xfId="2" applyNumberFormat="1" applyFont="1" applyFill="1" applyBorder="1" applyAlignment="1">
      <alignment horizontal="left" wrapText="1"/>
    </xf>
    <xf numFmtId="179" fontId="5" fillId="9" borderId="8" xfId="2" applyNumberFormat="1" applyFont="1" applyFill="1" applyBorder="1" applyAlignment="1">
      <alignment horizontal="left" wrapText="1"/>
    </xf>
    <xf numFmtId="179" fontId="5" fillId="9" borderId="11" xfId="2" applyNumberFormat="1" applyFont="1" applyFill="1" applyBorder="1" applyAlignment="1">
      <alignment horizontal="left" wrapText="1"/>
    </xf>
    <xf numFmtId="179" fontId="5" fillId="9" borderId="9" xfId="2" applyNumberFormat="1" applyFont="1" applyFill="1" applyBorder="1" applyAlignment="1">
      <alignment horizontal="left" wrapText="1"/>
    </xf>
    <xf numFmtId="183" fontId="13" fillId="9" borderId="3" xfId="2" applyNumberFormat="1" applyFont="1" applyFill="1" applyBorder="1" applyAlignment="1">
      <alignment horizontal="left" wrapText="1"/>
    </xf>
    <xf numFmtId="183" fontId="13" fillId="7" borderId="3" xfId="2" applyNumberFormat="1" applyFont="1" applyFill="1" applyBorder="1" applyAlignment="1">
      <alignment horizontal="left" wrapText="1"/>
    </xf>
    <xf numFmtId="181" fontId="5" fillId="0" borderId="0" xfId="2" applyNumberFormat="1" applyFont="1"/>
    <xf numFmtId="0" fontId="2" fillId="2" borderId="1" xfId="2" applyFill="1" applyBorder="1" applyAlignment="1">
      <alignment horizontal="center"/>
    </xf>
    <xf numFmtId="186" fontId="5" fillId="9" borderId="3" xfId="2" applyNumberFormat="1" applyFont="1" applyFill="1" applyBorder="1" applyAlignment="1">
      <alignment horizontal="right"/>
    </xf>
    <xf numFmtId="181" fontId="9" fillId="3" borderId="0" xfId="2" applyNumberFormat="1" applyFont="1" applyFill="1"/>
    <xf numFmtId="187" fontId="5" fillId="9" borderId="3" xfId="2" applyNumberFormat="1" applyFont="1" applyFill="1" applyBorder="1" applyAlignment="1">
      <alignment horizontal="center"/>
    </xf>
    <xf numFmtId="182" fontId="5" fillId="9" borderId="3" xfId="2" applyNumberFormat="1" applyFont="1" applyFill="1" applyBorder="1" applyAlignment="1">
      <alignment horizontal="center"/>
    </xf>
    <xf numFmtId="184" fontId="9" fillId="9" borderId="3" xfId="2" applyNumberFormat="1" applyFont="1" applyFill="1" applyBorder="1" applyAlignment="1">
      <alignment horizontal="center"/>
    </xf>
    <xf numFmtId="165" fontId="30" fillId="0" borderId="0" xfId="2" applyNumberFormat="1" applyFont="1"/>
    <xf numFmtId="184" fontId="5" fillId="7" borderId="3" xfId="2" applyNumberFormat="1" applyFont="1" applyFill="1" applyBorder="1" applyAlignment="1">
      <alignment horizontal="right"/>
    </xf>
    <xf numFmtId="184" fontId="5" fillId="0" borderId="15" xfId="2" applyNumberFormat="1" applyFont="1" applyBorder="1" applyAlignment="1">
      <alignment horizontal="right"/>
    </xf>
    <xf numFmtId="184" fontId="5" fillId="0" borderId="0" xfId="2" applyNumberFormat="1" applyFont="1" applyAlignment="1">
      <alignment horizontal="right"/>
    </xf>
    <xf numFmtId="184" fontId="19" fillId="0" borderId="0" xfId="5" applyNumberFormat="1" applyBorder="1" applyProtection="1">
      <alignment horizontal="right" vertical="center"/>
    </xf>
    <xf numFmtId="184" fontId="9" fillId="0" borderId="0" xfId="2" applyNumberFormat="1" applyFont="1" applyAlignment="1">
      <alignment horizontal="center"/>
    </xf>
    <xf numFmtId="184" fontId="11" fillId="0" borderId="0" xfId="5" applyNumberFormat="1" applyFont="1" applyBorder="1" applyAlignment="1" applyProtection="1">
      <alignment horizontal="center" vertical="center"/>
    </xf>
    <xf numFmtId="187" fontId="5" fillId="0" borderId="0" xfId="2" applyNumberFormat="1" applyFont="1" applyAlignment="1">
      <alignment horizontal="right" wrapText="1"/>
    </xf>
    <xf numFmtId="187" fontId="19" fillId="0" borderId="0" xfId="5" applyNumberFormat="1" applyBorder="1" applyProtection="1">
      <alignment horizontal="right" vertical="center"/>
    </xf>
    <xf numFmtId="182" fontId="25" fillId="0" borderId="0" xfId="2" applyNumberFormat="1" applyFont="1" applyAlignment="1">
      <alignment horizontal="center"/>
    </xf>
    <xf numFmtId="0" fontId="26" fillId="0" borderId="0" xfId="2" applyFont="1"/>
    <xf numFmtId="182" fontId="9" fillId="13" borderId="3" xfId="2" applyNumberFormat="1" applyFont="1" applyFill="1" applyBorder="1" applyAlignment="1">
      <alignment horizontal="center"/>
    </xf>
    <xf numFmtId="174" fontId="18" fillId="0" borderId="0" xfId="5" applyNumberFormat="1" applyFont="1" applyBorder="1" applyAlignment="1" applyProtection="1">
      <alignment horizontal="center" vertical="center"/>
    </xf>
    <xf numFmtId="182" fontId="32" fillId="10" borderId="3" xfId="2" applyNumberFormat="1" applyFont="1" applyFill="1" applyBorder="1" applyAlignment="1">
      <alignment horizontal="center" wrapText="1"/>
    </xf>
    <xf numFmtId="182" fontId="9" fillId="10" borderId="3" xfId="2" applyNumberFormat="1" applyFont="1" applyFill="1" applyBorder="1" applyAlignment="1">
      <alignment horizontal="center" wrapText="1"/>
    </xf>
    <xf numFmtId="182" fontId="26" fillId="0" borderId="14" xfId="2" applyNumberFormat="1" applyFont="1" applyBorder="1" applyAlignment="1">
      <alignment horizontal="right"/>
    </xf>
    <xf numFmtId="165" fontId="25" fillId="3" borderId="0" xfId="2" applyNumberFormat="1" applyFont="1" applyFill="1" applyAlignment="1">
      <alignment horizontal="center"/>
    </xf>
    <xf numFmtId="181" fontId="29" fillId="0" borderId="0" xfId="2" applyNumberFormat="1" applyFont="1" applyAlignment="1">
      <alignment horizontal="center"/>
    </xf>
    <xf numFmtId="165" fontId="13" fillId="0" borderId="0" xfId="2" applyNumberFormat="1" applyFont="1" applyAlignment="1">
      <alignment horizontal="left" indent="1"/>
    </xf>
    <xf numFmtId="181" fontId="5" fillId="0" borderId="0" xfId="2" applyNumberFormat="1" applyFont="1" applyAlignment="1">
      <alignment horizontal="left" indent="1"/>
    </xf>
    <xf numFmtId="181" fontId="18" fillId="0" borderId="0" xfId="2" applyNumberFormat="1" applyFont="1" applyAlignment="1">
      <alignment horizontal="center"/>
    </xf>
    <xf numFmtId="184" fontId="9" fillId="0" borderId="14" xfId="2" applyNumberFormat="1" applyFont="1" applyBorder="1" applyAlignment="1">
      <alignment horizontal="center"/>
    </xf>
    <xf numFmtId="165" fontId="12" fillId="0" borderId="5" xfId="2" applyNumberFormat="1" applyFont="1" applyBorder="1" applyAlignment="1">
      <alignment horizontal="center"/>
    </xf>
    <xf numFmtId="165" fontId="9" fillId="0" borderId="5" xfId="2" applyNumberFormat="1" applyFont="1" applyBorder="1" applyAlignment="1">
      <alignment horizontal="center"/>
    </xf>
    <xf numFmtId="165" fontId="5" fillId="0" borderId="0" xfId="2" applyNumberFormat="1" applyFont="1" applyAlignment="1">
      <alignment horizontal="left"/>
    </xf>
    <xf numFmtId="0" fontId="33" fillId="2" borderId="0" xfId="2" applyFont="1" applyFill="1" applyAlignment="1">
      <alignment horizontal="center" vertical="center"/>
    </xf>
    <xf numFmtId="0" fontId="34" fillId="2" borderId="1" xfId="2" applyFont="1" applyFill="1" applyBorder="1" applyAlignment="1">
      <alignment horizontal="center"/>
    </xf>
    <xf numFmtId="0" fontId="34" fillId="2" borderId="0" xfId="2" applyFont="1" applyFill="1" applyAlignment="1">
      <alignment horizontal="center"/>
    </xf>
    <xf numFmtId="0" fontId="8" fillId="2" borderId="0" xfId="2" applyFont="1" applyFill="1" applyAlignment="1">
      <alignment horizontal="left"/>
    </xf>
    <xf numFmtId="0" fontId="9" fillId="0" borderId="0" xfId="2" applyFont="1"/>
    <xf numFmtId="165" fontId="11" fillId="0" borderId="5" xfId="3" applyNumberFormat="1" applyFont="1" applyBorder="1" applyAlignment="1" applyProtection="1"/>
    <xf numFmtId="165" fontId="9" fillId="0" borderId="5" xfId="2" applyNumberFormat="1" applyFont="1" applyBorder="1"/>
    <xf numFmtId="171" fontId="13" fillId="0" borderId="5" xfId="2" applyNumberFormat="1" applyFont="1" applyBorder="1"/>
    <xf numFmtId="0" fontId="9" fillId="0" borderId="5" xfId="2" applyFont="1" applyBorder="1"/>
    <xf numFmtId="0" fontId="9" fillId="0" borderId="5" xfId="2" applyFont="1" applyBorder="1" applyAlignment="1">
      <alignment wrapText="1"/>
    </xf>
    <xf numFmtId="165" fontId="7" fillId="0" borderId="0" xfId="3" quotePrefix="1" applyNumberFormat="1" applyAlignment="1" applyProtection="1"/>
    <xf numFmtId="165" fontId="12" fillId="0" borderId="5" xfId="2" applyNumberFormat="1" applyFont="1" applyBorder="1"/>
    <xf numFmtId="165" fontId="7" fillId="0" borderId="0" xfId="3" applyNumberFormat="1"/>
    <xf numFmtId="0" fontId="35" fillId="0" borderId="0" xfId="3" applyNumberFormat="1" applyFont="1" applyAlignment="1" applyProtection="1">
      <alignment horizontal="left"/>
    </xf>
    <xf numFmtId="0" fontId="35" fillId="0" borderId="0" xfId="3" applyNumberFormat="1" applyFont="1" applyAlignment="1" applyProtection="1"/>
    <xf numFmtId="0" fontId="7" fillId="0" borderId="0" xfId="3" applyNumberFormat="1" applyAlignment="1" applyProtection="1">
      <alignment horizontal="left" indent="3"/>
    </xf>
    <xf numFmtId="171" fontId="7" fillId="0" borderId="0" xfId="3" quotePrefix="1" applyNumberFormat="1"/>
    <xf numFmtId="165" fontId="7" fillId="0" borderId="0" xfId="3" quotePrefix="1" applyNumberFormat="1"/>
    <xf numFmtId="0" fontId="4" fillId="0" borderId="0" xfId="2" applyFont="1"/>
    <xf numFmtId="0" fontId="20" fillId="0" borderId="0" xfId="2" applyFont="1"/>
    <xf numFmtId="0" fontId="20" fillId="0" borderId="0" xfId="2" applyFont="1" applyAlignment="1">
      <alignment horizontal="right"/>
    </xf>
    <xf numFmtId="0" fontId="20" fillId="0" borderId="1" xfId="2" applyFont="1" applyBorder="1"/>
    <xf numFmtId="165" fontId="9" fillId="0" borderId="0" xfId="2" applyNumberFormat="1" applyFont="1" applyAlignment="1">
      <alignment horizontal="left" indent="2"/>
    </xf>
    <xf numFmtId="0" fontId="32" fillId="0" borderId="0" xfId="3" applyNumberFormat="1" applyFont="1" applyAlignment="1" applyProtection="1">
      <alignment horizontal="left" indent="2"/>
    </xf>
    <xf numFmtId="0" fontId="18" fillId="0" borderId="0" xfId="3" applyNumberFormat="1" applyFont="1" applyAlignment="1" applyProtection="1">
      <alignment horizontal="left"/>
    </xf>
    <xf numFmtId="172" fontId="17" fillId="2" borderId="0" xfId="2" applyNumberFormat="1" applyFont="1" applyFill="1" applyAlignment="1">
      <alignment horizontal="center"/>
    </xf>
    <xf numFmtId="165" fontId="5" fillId="3" borderId="5" xfId="2" applyNumberFormat="1" applyFont="1" applyFill="1" applyBorder="1" applyAlignment="1">
      <alignment horizontal="center"/>
    </xf>
    <xf numFmtId="0" fontId="6" fillId="0" borderId="0" xfId="2" applyFont="1"/>
    <xf numFmtId="165" fontId="5" fillId="3" borderId="5" xfId="2" applyNumberFormat="1" applyFont="1" applyFill="1" applyBorder="1"/>
    <xf numFmtId="172" fontId="16" fillId="2" borderId="0" xfId="2" applyNumberFormat="1" applyFont="1" applyFill="1" applyAlignment="1">
      <alignment horizontal="left"/>
    </xf>
    <xf numFmtId="0" fontId="8" fillId="2" borderId="0" xfId="2" applyFont="1" applyFill="1" applyAlignment="1">
      <alignment horizontal="left" indent="9"/>
    </xf>
    <xf numFmtId="0" fontId="15" fillId="2" borderId="0" xfId="2" applyFont="1" applyFill="1" applyAlignment="1">
      <alignment horizontal="center"/>
    </xf>
    <xf numFmtId="165" fontId="9" fillId="3" borderId="5" xfId="2" applyNumberFormat="1" applyFont="1" applyFill="1" applyBorder="1" applyAlignment="1">
      <alignment horizontal="center"/>
    </xf>
    <xf numFmtId="0" fontId="2" fillId="0" borderId="5" xfId="2" applyBorder="1"/>
    <xf numFmtId="0" fontId="19" fillId="2" borderId="4" xfId="2" applyFont="1" applyFill="1" applyBorder="1"/>
    <xf numFmtId="0" fontId="2" fillId="2" borderId="1" xfId="2" applyFill="1" applyBorder="1" applyAlignment="1">
      <alignment horizontal="left"/>
    </xf>
    <xf numFmtId="182" fontId="5" fillId="0" borderId="0" xfId="2" applyNumberFormat="1" applyFont="1" applyAlignment="1">
      <alignment horizontal="center"/>
    </xf>
    <xf numFmtId="181" fontId="9" fillId="0" borderId="0" xfId="2" applyNumberFormat="1" applyFont="1"/>
    <xf numFmtId="183" fontId="5" fillId="0" borderId="0" xfId="2" applyNumberFormat="1" applyFont="1"/>
    <xf numFmtId="187" fontId="5" fillId="0" borderId="0" xfId="2" applyNumberFormat="1" applyFont="1" applyAlignment="1">
      <alignment horizontal="center"/>
    </xf>
    <xf numFmtId="10" fontId="5" fillId="0" borderId="0" xfId="2" applyNumberFormat="1" applyFont="1" applyAlignment="1">
      <alignment horizontal="center"/>
    </xf>
    <xf numFmtId="184" fontId="9" fillId="0" borderId="12" xfId="2" applyNumberFormat="1" applyFont="1" applyBorder="1" applyAlignment="1">
      <alignment horizontal="center"/>
    </xf>
    <xf numFmtId="189" fontId="9" fillId="9" borderId="3" xfId="2" applyNumberFormat="1" applyFont="1" applyFill="1" applyBorder="1" applyAlignment="1">
      <alignment horizontal="center"/>
    </xf>
    <xf numFmtId="0" fontId="5" fillId="0" borderId="12" xfId="2" applyFont="1" applyBorder="1"/>
    <xf numFmtId="184" fontId="5" fillId="9" borderId="3" xfId="2" applyNumberFormat="1" applyFont="1" applyFill="1" applyBorder="1" applyAlignment="1">
      <alignment horizontal="center"/>
    </xf>
    <xf numFmtId="184" fontId="5" fillId="0" borderId="11" xfId="2" applyNumberFormat="1" applyFont="1" applyBorder="1" applyAlignment="1">
      <alignment horizontal="center"/>
    </xf>
    <xf numFmtId="187" fontId="5" fillId="0" borderId="11" xfId="2" applyNumberFormat="1" applyFont="1" applyBorder="1" applyAlignment="1">
      <alignment horizontal="center"/>
    </xf>
    <xf numFmtId="0" fontId="5" fillId="9" borderId="3" xfId="2" applyFont="1" applyFill="1" applyBorder="1"/>
    <xf numFmtId="184" fontId="12" fillId="9" borderId="3" xfId="2" applyNumberFormat="1" applyFont="1" applyFill="1" applyBorder="1" applyAlignment="1">
      <alignment horizontal="center"/>
    </xf>
    <xf numFmtId="189" fontId="5" fillId="9" borderId="3" xfId="2" applyNumberFormat="1" applyFont="1" applyFill="1" applyBorder="1"/>
    <xf numFmtId="184" fontId="5" fillId="9" borderId="3" xfId="2" applyNumberFormat="1" applyFont="1" applyFill="1" applyBorder="1" applyAlignment="1">
      <alignment horizontal="left"/>
    </xf>
    <xf numFmtId="184" fontId="2" fillId="9" borderId="3" xfId="2" applyNumberFormat="1" applyFill="1" applyBorder="1"/>
    <xf numFmtId="0" fontId="9" fillId="0" borderId="0" xfId="2" applyFont="1" applyAlignment="1">
      <alignment horizontal="center" wrapText="1"/>
    </xf>
    <xf numFmtId="184" fontId="9" fillId="9" borderId="3" xfId="2" applyNumberFormat="1" applyFont="1" applyFill="1" applyBorder="1" applyAlignment="1">
      <alignment horizontal="center" wrapText="1"/>
    </xf>
    <xf numFmtId="181" fontId="5" fillId="9" borderId="3" xfId="2" applyNumberFormat="1" applyFont="1" applyFill="1" applyBorder="1"/>
    <xf numFmtId="181" fontId="5" fillId="9" borderId="3" xfId="2" applyNumberFormat="1" applyFont="1" applyFill="1" applyBorder="1" applyAlignment="1">
      <alignment wrapText="1"/>
    </xf>
    <xf numFmtId="184" fontId="9" fillId="0" borderId="0" xfId="2" applyNumberFormat="1" applyFont="1" applyAlignment="1">
      <alignment horizontal="center" wrapText="1"/>
    </xf>
    <xf numFmtId="187" fontId="9" fillId="0" borderId="0" xfId="2" applyNumberFormat="1" applyFont="1" applyAlignment="1">
      <alignment horizontal="center" wrapText="1"/>
    </xf>
    <xf numFmtId="182" fontId="12" fillId="9" borderId="3" xfId="2" applyNumberFormat="1" applyFont="1" applyFill="1" applyBorder="1" applyAlignment="1">
      <alignment horizontal="center"/>
    </xf>
    <xf numFmtId="165" fontId="13" fillId="0" borderId="0" xfId="2" applyNumberFormat="1" applyFont="1" applyAlignment="1">
      <alignment horizontal="left" wrapText="1"/>
    </xf>
    <xf numFmtId="181" fontId="35" fillId="0" borderId="0" xfId="3" applyNumberFormat="1" applyFont="1" applyAlignment="1" applyProtection="1"/>
    <xf numFmtId="182" fontId="13" fillId="9" borderId="3" xfId="2" applyNumberFormat="1" applyFont="1" applyFill="1" applyBorder="1" applyAlignment="1">
      <alignment horizontal="center"/>
    </xf>
    <xf numFmtId="182" fontId="13" fillId="0" borderId="0" xfId="2" applyNumberFormat="1" applyFont="1" applyAlignment="1">
      <alignment horizontal="center" wrapText="1"/>
    </xf>
    <xf numFmtId="182" fontId="13" fillId="0" borderId="0" xfId="2" applyNumberFormat="1" applyFont="1"/>
    <xf numFmtId="183" fontId="9" fillId="0" borderId="0" xfId="2" applyNumberFormat="1" applyFont="1" applyAlignment="1">
      <alignment horizontal="center"/>
    </xf>
    <xf numFmtId="165" fontId="26" fillId="0" borderId="0" xfId="2" applyNumberFormat="1" applyFont="1" applyAlignment="1">
      <alignment horizontal="center"/>
    </xf>
    <xf numFmtId="0" fontId="4" fillId="2" borderId="0" xfId="2" applyFont="1" applyFill="1" applyAlignment="1">
      <alignment horizontal="right"/>
    </xf>
    <xf numFmtId="0" fontId="8" fillId="2" borderId="1" xfId="2" applyFont="1" applyFill="1" applyBorder="1" applyAlignment="1">
      <alignment horizontal="right" indent="9"/>
    </xf>
    <xf numFmtId="0" fontId="15" fillId="2" borderId="4" xfId="2" applyFont="1" applyFill="1" applyBorder="1" applyAlignment="1">
      <alignment horizontal="right"/>
    </xf>
    <xf numFmtId="165" fontId="9" fillId="3" borderId="0" xfId="2" applyNumberFormat="1" applyFont="1" applyFill="1" applyAlignment="1">
      <alignment horizontal="right"/>
    </xf>
    <xf numFmtId="165" fontId="12" fillId="0" borderId="0" xfId="2" applyNumberFormat="1" applyFont="1" applyAlignment="1">
      <alignment horizontal="right"/>
    </xf>
    <xf numFmtId="185" fontId="26" fillId="0" borderId="0" xfId="2" applyNumberFormat="1" applyFont="1" applyAlignment="1">
      <alignment horizontal="right"/>
    </xf>
    <xf numFmtId="165" fontId="9" fillId="0" borderId="0" xfId="2" applyNumberFormat="1" applyFont="1" applyAlignment="1">
      <alignment horizontal="right" wrapText="1"/>
    </xf>
    <xf numFmtId="0" fontId="16" fillId="4" borderId="2" xfId="2" applyFont="1" applyFill="1" applyBorder="1" applyAlignment="1">
      <alignment horizontal="right"/>
    </xf>
    <xf numFmtId="0" fontId="10" fillId="4" borderId="2" xfId="2" applyFont="1" applyFill="1" applyBorder="1" applyAlignment="1">
      <alignment horizontal="right" vertical="center"/>
    </xf>
    <xf numFmtId="0" fontId="19" fillId="10" borderId="3" xfId="2" applyFont="1" applyFill="1" applyBorder="1" applyAlignment="1">
      <alignment horizontal="center"/>
    </xf>
    <xf numFmtId="0" fontId="18" fillId="2" borderId="4" xfId="2" applyFont="1" applyFill="1" applyBorder="1" applyAlignment="1">
      <alignment horizontal="center"/>
    </xf>
    <xf numFmtId="165" fontId="29" fillId="0" borderId="0" xfId="2" applyNumberFormat="1" applyFont="1"/>
    <xf numFmtId="166" fontId="18" fillId="4" borderId="2" xfId="2" applyNumberFormat="1" applyFont="1" applyFill="1" applyBorder="1" applyAlignment="1">
      <alignment horizontal="left" wrapText="1"/>
    </xf>
    <xf numFmtId="165" fontId="12" fillId="9" borderId="0" xfId="2" applyNumberFormat="1" applyFont="1" applyFill="1" applyAlignment="1">
      <alignment horizontal="center"/>
    </xf>
    <xf numFmtId="165" fontId="9" fillId="9" borderId="0" xfId="2" applyNumberFormat="1" applyFont="1" applyFill="1" applyAlignment="1">
      <alignment horizontal="center"/>
    </xf>
    <xf numFmtId="187" fontId="9" fillId="0" borderId="0" xfId="2" applyNumberFormat="1" applyFont="1" applyAlignment="1">
      <alignment horizontal="center"/>
    </xf>
    <xf numFmtId="1" fontId="18" fillId="4" borderId="2" xfId="2" applyNumberFormat="1" applyFont="1" applyFill="1" applyBorder="1" applyAlignment="1">
      <alignment horizontal="center" vertical="center"/>
    </xf>
    <xf numFmtId="184" fontId="5" fillId="0" borderId="0" xfId="2" applyNumberFormat="1" applyFont="1"/>
    <xf numFmtId="184" fontId="16" fillId="4" borderId="2" xfId="2" applyNumberFormat="1" applyFont="1" applyFill="1" applyBorder="1" applyAlignment="1">
      <alignment horizontal="center" wrapText="1"/>
    </xf>
    <xf numFmtId="184" fontId="9" fillId="3" borderId="0" xfId="2" applyNumberFormat="1" applyFont="1" applyFill="1" applyAlignment="1">
      <alignment horizontal="center"/>
    </xf>
    <xf numFmtId="183" fontId="9" fillId="7" borderId="3" xfId="4" applyNumberFormat="1" applyFont="1" applyFill="1" applyBorder="1" applyAlignment="1" applyProtection="1">
      <alignment horizontal="center"/>
    </xf>
    <xf numFmtId="0" fontId="5" fillId="7" borderId="3" xfId="2" applyFont="1" applyFill="1" applyBorder="1" applyAlignment="1">
      <alignment horizontal="left" indent="1"/>
    </xf>
    <xf numFmtId="187" fontId="5" fillId="7" borderId="3" xfId="1" applyNumberFormat="1" applyFont="1" applyFill="1" applyBorder="1" applyAlignment="1" applyProtection="1">
      <alignment horizontal="right"/>
    </xf>
    <xf numFmtId="10" fontId="5" fillId="0" borderId="10" xfId="1" applyNumberFormat="1" applyFont="1" applyFill="1" applyBorder="1" applyAlignment="1" applyProtection="1">
      <alignment horizontal="center"/>
    </xf>
    <xf numFmtId="10" fontId="5" fillId="0" borderId="16" xfId="1" applyNumberFormat="1" applyFont="1" applyFill="1" applyBorder="1" applyAlignment="1" applyProtection="1">
      <alignment horizontal="center"/>
    </xf>
    <xf numFmtId="187" fontId="5" fillId="8" borderId="3" xfId="1" applyNumberFormat="1" applyFont="1" applyFill="1" applyBorder="1" applyAlignment="1" applyProtection="1">
      <alignment horizontal="center"/>
    </xf>
    <xf numFmtId="187" fontId="5" fillId="7" borderId="3" xfId="1" applyNumberFormat="1" applyFont="1" applyFill="1" applyBorder="1" applyAlignment="1" applyProtection="1">
      <alignment horizontal="center"/>
    </xf>
    <xf numFmtId="10" fontId="5" fillId="0" borderId="0" xfId="1" applyNumberFormat="1" applyFont="1" applyFill="1" applyBorder="1" applyAlignment="1" applyProtection="1">
      <alignment horizontal="center"/>
    </xf>
    <xf numFmtId="10" fontId="5" fillId="0" borderId="13" xfId="1" applyNumberFormat="1" applyFont="1" applyFill="1" applyBorder="1" applyAlignment="1" applyProtection="1">
      <alignment horizontal="center"/>
    </xf>
    <xf numFmtId="10" fontId="5" fillId="0" borderId="11" xfId="1" applyNumberFormat="1" applyFont="1" applyFill="1" applyBorder="1" applyAlignment="1" applyProtection="1">
      <alignment horizontal="center"/>
    </xf>
    <xf numFmtId="184" fontId="5" fillId="7" borderId="3" xfId="1" applyNumberFormat="1" applyFont="1" applyFill="1" applyBorder="1" applyAlignment="1" applyProtection="1">
      <alignment horizontal="center"/>
    </xf>
    <xf numFmtId="184" fontId="5" fillId="0" borderId="11" xfId="1" applyNumberFormat="1" applyFont="1" applyFill="1" applyBorder="1" applyAlignment="1" applyProtection="1">
      <alignment horizontal="center"/>
    </xf>
    <xf numFmtId="0" fontId="13" fillId="7" borderId="3" xfId="2" applyFont="1" applyFill="1" applyBorder="1" applyAlignment="1">
      <alignment horizontal="left" indent="1"/>
    </xf>
    <xf numFmtId="2" fontId="5" fillId="0" borderId="0" xfId="2" applyNumberFormat="1" applyFont="1" applyAlignment="1">
      <alignment horizontal="center"/>
    </xf>
    <xf numFmtId="2" fontId="5" fillId="0" borderId="13" xfId="2" applyNumberFormat="1" applyFont="1" applyBorder="1" applyAlignment="1">
      <alignment horizontal="center"/>
    </xf>
    <xf numFmtId="184" fontId="5" fillId="7" borderId="3" xfId="2" applyNumberFormat="1" applyFont="1" applyFill="1" applyBorder="1" applyAlignment="1">
      <alignment horizontal="center"/>
    </xf>
    <xf numFmtId="182" fontId="5" fillId="8" borderId="3" xfId="2" applyNumberFormat="1" applyFont="1" applyFill="1" applyBorder="1" applyAlignment="1">
      <alignment horizontal="center"/>
    </xf>
    <xf numFmtId="184" fontId="5" fillId="7" borderId="18" xfId="2" applyNumberFormat="1" applyFont="1" applyFill="1" applyBorder="1" applyAlignment="1">
      <alignment horizontal="center"/>
    </xf>
    <xf numFmtId="184" fontId="5" fillId="7" borderId="17" xfId="2" applyNumberFormat="1" applyFont="1" applyFill="1" applyBorder="1" applyAlignment="1">
      <alignment horizontal="center"/>
    </xf>
    <xf numFmtId="49" fontId="5" fillId="0" borderId="3" xfId="2" applyNumberFormat="1" applyFont="1" applyBorder="1" applyAlignment="1">
      <alignment horizontal="left" indent="1"/>
    </xf>
    <xf numFmtId="49" fontId="13" fillId="0" borderId="3" xfId="2" applyNumberFormat="1" applyFont="1" applyBorder="1" applyAlignment="1">
      <alignment horizontal="left" indent="1"/>
    </xf>
    <xf numFmtId="184" fontId="5" fillId="0" borderId="3" xfId="2" applyNumberFormat="1" applyFont="1" applyBorder="1" applyAlignment="1">
      <alignment horizontal="center"/>
    </xf>
    <xf numFmtId="49" fontId="13" fillId="0" borderId="11" xfId="2" applyNumberFormat="1" applyFont="1" applyBorder="1" applyAlignment="1">
      <alignment horizontal="left" indent="1"/>
    </xf>
    <xf numFmtId="183" fontId="9" fillId="0" borderId="0" xfId="4" applyNumberFormat="1" applyFont="1" applyFill="1" applyBorder="1" applyAlignment="1" applyProtection="1">
      <alignment horizontal="center"/>
    </xf>
    <xf numFmtId="184" fontId="7" fillId="2" borderId="0" xfId="3" applyNumberFormat="1" applyFill="1" applyBorder="1" applyAlignment="1" applyProtection="1"/>
    <xf numFmtId="184" fontId="2" fillId="0" borderId="0" xfId="2" applyNumberFormat="1" applyAlignment="1">
      <alignment horizontal="right"/>
    </xf>
    <xf numFmtId="184" fontId="5" fillId="0" borderId="0" xfId="2" applyNumberFormat="1" applyFont="1" applyAlignment="1">
      <alignment horizontal="center"/>
    </xf>
    <xf numFmtId="184" fontId="2" fillId="0" borderId="0" xfId="2" applyNumberFormat="1"/>
    <xf numFmtId="184" fontId="6" fillId="0" borderId="0" xfId="2" applyNumberFormat="1" applyFont="1" applyAlignment="1">
      <alignment horizontal="center"/>
    </xf>
    <xf numFmtId="184" fontId="8" fillId="0" borderId="1" xfId="2" applyNumberFormat="1" applyFont="1" applyBorder="1" applyAlignment="1">
      <alignment horizontal="left" indent="9"/>
    </xf>
    <xf numFmtId="184" fontId="2" fillId="0" borderId="1" xfId="2" applyNumberFormat="1" applyBorder="1"/>
    <xf numFmtId="184" fontId="15" fillId="2" borderId="4" xfId="2" applyNumberFormat="1" applyFont="1" applyFill="1" applyBorder="1" applyAlignment="1">
      <alignment horizontal="center"/>
    </xf>
    <xf numFmtId="184" fontId="16" fillId="2" borderId="4" xfId="2" applyNumberFormat="1" applyFont="1" applyFill="1" applyBorder="1" applyAlignment="1">
      <alignment horizontal="left"/>
    </xf>
    <xf numFmtId="184" fontId="17" fillId="2" borderId="4" xfId="2" applyNumberFormat="1" applyFont="1" applyFill="1" applyBorder="1" applyAlignment="1">
      <alignment horizontal="center"/>
    </xf>
    <xf numFmtId="184" fontId="5" fillId="3" borderId="0" xfId="2" applyNumberFormat="1" applyFont="1" applyFill="1" applyAlignment="1">
      <alignment horizontal="center"/>
    </xf>
    <xf numFmtId="184" fontId="18" fillId="4" borderId="2" xfId="2" applyNumberFormat="1" applyFont="1" applyFill="1" applyBorder="1" applyAlignment="1">
      <alignment horizontal="center" vertical="center"/>
    </xf>
    <xf numFmtId="184" fontId="12" fillId="0" borderId="0" xfId="2" applyNumberFormat="1" applyFont="1" applyAlignment="1">
      <alignment horizontal="center"/>
    </xf>
    <xf numFmtId="184" fontId="5" fillId="0" borderId="0" xfId="2" applyNumberFormat="1" applyFont="1" applyAlignment="1">
      <alignment horizontal="right" wrapText="1"/>
    </xf>
    <xf numFmtId="184" fontId="16" fillId="4" borderId="2" xfId="2" applyNumberFormat="1" applyFont="1" applyFill="1" applyBorder="1" applyAlignment="1">
      <alignment horizontal="center"/>
    </xf>
    <xf numFmtId="184" fontId="10" fillId="4" borderId="2" xfId="2" applyNumberFormat="1" applyFont="1" applyFill="1" applyBorder="1" applyAlignment="1">
      <alignment vertical="center"/>
    </xf>
    <xf numFmtId="184" fontId="2" fillId="4" borderId="2" xfId="2" applyNumberFormat="1" applyFill="1" applyBorder="1" applyAlignment="1">
      <alignment wrapText="1"/>
    </xf>
    <xf numFmtId="184" fontId="10" fillId="4" borderId="2" xfId="2" applyNumberFormat="1" applyFont="1" applyFill="1" applyBorder="1" applyAlignment="1">
      <alignment horizontal="center" wrapText="1"/>
    </xf>
    <xf numFmtId="0" fontId="5" fillId="10" borderId="3" xfId="2" applyFont="1" applyFill="1" applyBorder="1" applyAlignment="1">
      <alignment horizontal="center"/>
    </xf>
    <xf numFmtId="168" fontId="5" fillId="10" borderId="3" xfId="2" applyNumberFormat="1" applyFont="1" applyFill="1" applyBorder="1" applyAlignment="1">
      <alignment horizontal="center"/>
    </xf>
    <xf numFmtId="0" fontId="5" fillId="11" borderId="3" xfId="2" applyFont="1" applyFill="1" applyBorder="1" applyAlignment="1">
      <alignment horizontal="center"/>
    </xf>
    <xf numFmtId="1" fontId="5" fillId="7" borderId="3" xfId="2" applyNumberFormat="1" applyFont="1" applyFill="1" applyBorder="1" applyAlignment="1">
      <alignment horizontal="center"/>
    </xf>
    <xf numFmtId="1" fontId="5" fillId="10" borderId="3" xfId="2" applyNumberFormat="1" applyFont="1" applyFill="1" applyBorder="1" applyAlignment="1">
      <alignment horizontal="center"/>
    </xf>
    <xf numFmtId="1" fontId="5" fillId="0" borderId="11" xfId="2" applyNumberFormat="1" applyFont="1" applyBorder="1" applyAlignment="1">
      <alignment horizontal="center"/>
    </xf>
    <xf numFmtId="10" fontId="5" fillId="10" borderId="3" xfId="1" applyNumberFormat="1" applyFont="1" applyFill="1" applyBorder="1" applyAlignment="1" applyProtection="1">
      <alignment horizontal="center"/>
    </xf>
    <xf numFmtId="1" fontId="5" fillId="7" borderId="3" xfId="1" applyNumberFormat="1" applyFont="1" applyFill="1" applyBorder="1" applyAlignment="1" applyProtection="1">
      <alignment horizontal="center"/>
    </xf>
    <xf numFmtId="185" fontId="5" fillId="10" borderId="3" xfId="1" applyNumberFormat="1" applyFont="1" applyFill="1" applyBorder="1" applyAlignment="1" applyProtection="1">
      <alignment horizontal="center"/>
    </xf>
    <xf numFmtId="185" fontId="5" fillId="0" borderId="11" xfId="1" applyNumberFormat="1" applyFont="1" applyFill="1" applyBorder="1" applyAlignment="1" applyProtection="1">
      <alignment horizontal="center"/>
    </xf>
    <xf numFmtId="187" fontId="19" fillId="10" borderId="3" xfId="1" applyNumberFormat="1" applyFont="1" applyFill="1" applyBorder="1" applyAlignment="1" applyProtection="1">
      <alignment horizontal="center"/>
    </xf>
    <xf numFmtId="1" fontId="5" fillId="0" borderId="0" xfId="2" applyNumberFormat="1" applyFont="1" applyAlignment="1">
      <alignment horizontal="center"/>
    </xf>
    <xf numFmtId="1" fontId="13" fillId="0" borderId="0" xfId="2" applyNumberFormat="1" applyFont="1" applyAlignment="1">
      <alignment horizontal="center"/>
    </xf>
    <xf numFmtId="1" fontId="9" fillId="0" borderId="0" xfId="2" applyNumberFormat="1" applyFont="1" applyAlignment="1">
      <alignment horizontal="center"/>
    </xf>
    <xf numFmtId="170" fontId="5" fillId="11" borderId="3" xfId="2" applyNumberFormat="1" applyFont="1" applyFill="1" applyBorder="1" applyAlignment="1">
      <alignment horizontal="center"/>
    </xf>
    <xf numFmtId="171" fontId="13" fillId="0" borderId="0" xfId="2" applyNumberFormat="1" applyFont="1"/>
    <xf numFmtId="0" fontId="7" fillId="0" borderId="0" xfId="3" applyProtection="1"/>
    <xf numFmtId="180" fontId="5" fillId="10" borderId="3" xfId="1" applyNumberFormat="1" applyFont="1" applyFill="1" applyBorder="1" applyAlignment="1" applyProtection="1">
      <alignment horizontal="center"/>
    </xf>
    <xf numFmtId="180" fontId="5" fillId="11" borderId="3" xfId="1" applyNumberFormat="1" applyFont="1" applyFill="1" applyBorder="1" applyAlignment="1" applyProtection="1">
      <alignment horizontal="center"/>
    </xf>
    <xf numFmtId="180" fontId="5" fillId="7" borderId="3" xfId="1" applyNumberFormat="1" applyFont="1" applyFill="1" applyBorder="1" applyAlignment="1" applyProtection="1">
      <alignment horizontal="center"/>
    </xf>
    <xf numFmtId="2" fontId="5" fillId="8" borderId="3" xfId="2" applyNumberFormat="1" applyFont="1" applyFill="1" applyBorder="1" applyAlignment="1">
      <alignment horizontal="center"/>
    </xf>
    <xf numFmtId="182" fontId="5" fillId="0" borderId="3" xfId="2" applyNumberFormat="1" applyFont="1" applyBorder="1" applyAlignment="1">
      <alignment horizontal="center"/>
    </xf>
    <xf numFmtId="49" fontId="5" fillId="10" borderId="3" xfId="2" applyNumberFormat="1" applyFont="1" applyFill="1" applyBorder="1" applyAlignment="1">
      <alignment horizontal="left" indent="1"/>
    </xf>
    <xf numFmtId="180" fontId="5" fillId="11" borderId="3" xfId="2" applyNumberFormat="1" applyFont="1" applyFill="1" applyBorder="1" applyAlignment="1">
      <alignment horizontal="center"/>
    </xf>
    <xf numFmtId="49" fontId="5" fillId="0" borderId="11" xfId="2" applyNumberFormat="1" applyFont="1" applyBorder="1" applyAlignment="1">
      <alignment horizontal="left" indent="1"/>
    </xf>
    <xf numFmtId="2" fontId="5" fillId="0" borderId="11" xfId="2" applyNumberFormat="1" applyFont="1" applyBorder="1" applyAlignment="1">
      <alignment horizontal="center"/>
    </xf>
    <xf numFmtId="182" fontId="5" fillId="13" borderId="3" xfId="2" applyNumberFormat="1" applyFont="1" applyFill="1" applyBorder="1" applyAlignment="1">
      <alignment horizontal="center"/>
    </xf>
    <xf numFmtId="49" fontId="5" fillId="0" borderId="10" xfId="2" applyNumberFormat="1" applyFont="1" applyBorder="1" applyAlignment="1">
      <alignment horizontal="left" indent="1"/>
    </xf>
    <xf numFmtId="49" fontId="13" fillId="0" borderId="12" xfId="2" applyNumberFormat="1" applyFont="1" applyBorder="1" applyAlignment="1">
      <alignment horizontal="left"/>
    </xf>
    <xf numFmtId="181" fontId="5" fillId="0" borderId="3" xfId="2" applyNumberFormat="1" applyFont="1" applyBorder="1" applyAlignment="1">
      <alignment horizontal="left" indent="1"/>
    </xf>
    <xf numFmtId="49" fontId="5" fillId="0" borderId="0" xfId="2" applyNumberFormat="1" applyFont="1" applyAlignment="1">
      <alignment horizontal="left" indent="1"/>
    </xf>
    <xf numFmtId="180" fontId="5" fillId="8" borderId="3" xfId="2" applyNumberFormat="1" applyFont="1" applyFill="1" applyBorder="1" applyAlignment="1">
      <alignment horizontal="center"/>
    </xf>
    <xf numFmtId="184" fontId="9" fillId="10" borderId="3" xfId="2" applyNumberFormat="1" applyFont="1" applyFill="1" applyBorder="1" applyAlignment="1">
      <alignment horizontal="center"/>
    </xf>
    <xf numFmtId="184" fontId="5" fillId="11" borderId="3" xfId="2" applyNumberFormat="1" applyFont="1" applyFill="1" applyBorder="1" applyAlignment="1">
      <alignment horizontal="center"/>
    </xf>
    <xf numFmtId="184" fontId="5" fillId="8" borderId="3" xfId="2" applyNumberFormat="1" applyFont="1" applyFill="1" applyBorder="1" applyAlignment="1">
      <alignment horizontal="center"/>
    </xf>
    <xf numFmtId="184" fontId="5" fillId="10" borderId="3" xfId="2" applyNumberFormat="1" applyFont="1" applyFill="1" applyBorder="1" applyAlignment="1">
      <alignment horizontal="center"/>
    </xf>
    <xf numFmtId="184" fontId="5" fillId="13" borderId="3" xfId="2" applyNumberFormat="1" applyFont="1" applyFill="1" applyBorder="1" applyAlignment="1">
      <alignment horizontal="center"/>
    </xf>
    <xf numFmtId="184" fontId="5" fillId="0" borderId="10" xfId="2" applyNumberFormat="1" applyFont="1" applyBorder="1" applyAlignment="1">
      <alignment horizontal="center"/>
    </xf>
    <xf numFmtId="184" fontId="5" fillId="0" borderId="12" xfId="2" applyNumberFormat="1" applyFont="1" applyBorder="1" applyAlignment="1">
      <alignment horizontal="center"/>
    </xf>
    <xf numFmtId="184" fontId="5" fillId="0" borderId="14" xfId="2" applyNumberFormat="1" applyFont="1" applyBorder="1" applyAlignment="1">
      <alignment horizontal="center"/>
    </xf>
    <xf numFmtId="184" fontId="5" fillId="10" borderId="3" xfId="4" applyNumberFormat="1" applyFont="1" applyFill="1" applyBorder="1" applyAlignment="1" applyProtection="1">
      <alignment horizontal="center"/>
    </xf>
    <xf numFmtId="184" fontId="5" fillId="7" borderId="3" xfId="4" applyNumberFormat="1" applyFont="1" applyFill="1" applyBorder="1" applyAlignment="1" applyProtection="1">
      <alignment horizontal="center"/>
    </xf>
    <xf numFmtId="184" fontId="5" fillId="10" borderId="17" xfId="2" applyNumberFormat="1" applyFont="1" applyFill="1" applyBorder="1" applyAlignment="1">
      <alignment horizontal="center"/>
    </xf>
    <xf numFmtId="184" fontId="5" fillId="11" borderId="3" xfId="1" applyNumberFormat="1" applyFont="1" applyFill="1" applyBorder="1" applyAlignment="1" applyProtection="1">
      <alignment horizontal="center"/>
    </xf>
    <xf numFmtId="181" fontId="5" fillId="10" borderId="3" xfId="2" applyNumberFormat="1" applyFont="1" applyFill="1" applyBorder="1" applyAlignment="1">
      <alignment horizontal="left"/>
    </xf>
    <xf numFmtId="181" fontId="5" fillId="10" borderId="3" xfId="2" applyNumberFormat="1" applyFont="1" applyFill="1" applyBorder="1" applyAlignment="1">
      <alignment horizontal="left" indent="1"/>
    </xf>
    <xf numFmtId="164" fontId="5" fillId="13" borderId="3" xfId="2" applyNumberFormat="1" applyFont="1" applyFill="1" applyBorder="1" applyAlignment="1">
      <alignment horizontal="center"/>
    </xf>
    <xf numFmtId="164" fontId="5" fillId="0" borderId="0" xfId="2" applyNumberFormat="1" applyFont="1" applyAlignment="1">
      <alignment horizontal="center"/>
    </xf>
    <xf numFmtId="181" fontId="5" fillId="7" borderId="3" xfId="2" applyNumberFormat="1" applyFont="1" applyFill="1" applyBorder="1" applyAlignment="1">
      <alignment horizontal="left"/>
    </xf>
    <xf numFmtId="184" fontId="5" fillId="13" borderId="3" xfId="2" applyNumberFormat="1" applyFont="1" applyFill="1" applyBorder="1" applyAlignment="1">
      <alignment horizontal="right"/>
    </xf>
    <xf numFmtId="184" fontId="5" fillId="13" borderId="3" xfId="2" applyNumberFormat="1" applyFont="1" applyFill="1" applyBorder="1" applyAlignment="1">
      <alignment horizontal="right" wrapText="1"/>
    </xf>
    <xf numFmtId="184" fontId="5" fillId="9" borderId="3" xfId="2" applyNumberFormat="1" applyFont="1" applyFill="1" applyBorder="1" applyAlignment="1">
      <alignment horizontal="right" wrapText="1"/>
    </xf>
    <xf numFmtId="184" fontId="5" fillId="7" borderId="3" xfId="2" applyNumberFormat="1" applyFont="1" applyFill="1" applyBorder="1" applyAlignment="1">
      <alignment horizontal="right" wrapText="1"/>
    </xf>
    <xf numFmtId="184" fontId="5" fillId="13" borderId="3" xfId="1" applyNumberFormat="1" applyFont="1" applyFill="1" applyBorder="1" applyAlignment="1" applyProtection="1">
      <alignment horizontal="center"/>
    </xf>
    <xf numFmtId="0" fontId="6" fillId="0" borderId="1" xfId="2" applyFont="1" applyBorder="1"/>
    <xf numFmtId="183" fontId="5" fillId="7" borderId="3" xfId="2" applyNumberFormat="1" applyFont="1" applyFill="1" applyBorder="1" applyAlignment="1">
      <alignment horizontal="left" indent="1"/>
    </xf>
    <xf numFmtId="2" fontId="5" fillId="0" borderId="0" xfId="2" applyNumberFormat="1" applyFont="1"/>
    <xf numFmtId="182" fontId="5" fillId="0" borderId="14" xfId="1" applyNumberFormat="1" applyFont="1" applyFill="1" applyBorder="1" applyAlignment="1" applyProtection="1">
      <alignment horizontal="center"/>
    </xf>
    <xf numFmtId="182" fontId="5" fillId="0" borderId="0" xfId="1" applyNumberFormat="1" applyFont="1" applyFill="1" applyBorder="1" applyAlignment="1" applyProtection="1">
      <alignment horizontal="center"/>
    </xf>
    <xf numFmtId="0" fontId="5" fillId="0" borderId="10" xfId="2" applyFont="1" applyBorder="1" applyAlignment="1">
      <alignment horizontal="left" indent="1"/>
    </xf>
    <xf numFmtId="172" fontId="9" fillId="0" borderId="10" xfId="4" applyNumberFormat="1" applyFont="1" applyFill="1" applyBorder="1" applyAlignment="1" applyProtection="1">
      <alignment horizontal="center"/>
    </xf>
    <xf numFmtId="10" fontId="13" fillId="0" borderId="0" xfId="1" applyNumberFormat="1" applyFont="1" applyFill="1" applyBorder="1" applyAlignment="1" applyProtection="1">
      <alignment horizontal="center"/>
    </xf>
    <xf numFmtId="181" fontId="13" fillId="0" borderId="12" xfId="2" applyNumberFormat="1" applyFont="1" applyBorder="1" applyAlignment="1">
      <alignment horizontal="left"/>
    </xf>
    <xf numFmtId="165" fontId="5" fillId="0" borderId="0" xfId="1" applyNumberFormat="1" applyFont="1" applyFill="1" applyBorder="1" applyAlignment="1" applyProtection="1">
      <alignment horizontal="center"/>
    </xf>
    <xf numFmtId="181" fontId="5" fillId="0" borderId="0" xfId="2" applyNumberFormat="1" applyFont="1" applyAlignment="1">
      <alignment horizontal="center"/>
    </xf>
    <xf numFmtId="172" fontId="9" fillId="0" borderId="0" xfId="4" applyNumberFormat="1" applyFont="1" applyFill="1" applyBorder="1" applyAlignment="1" applyProtection="1">
      <alignment horizontal="center"/>
    </xf>
    <xf numFmtId="0" fontId="13" fillId="0" borderId="0" xfId="2" applyFont="1" applyAlignment="1">
      <alignment horizontal="left" indent="1"/>
    </xf>
    <xf numFmtId="187" fontId="5" fillId="7" borderId="3" xfId="2" applyNumberFormat="1" applyFont="1" applyFill="1" applyBorder="1" applyAlignment="1">
      <alignment horizontal="center"/>
    </xf>
    <xf numFmtId="181" fontId="9" fillId="7" borderId="3" xfId="4" applyNumberFormat="1" applyFont="1" applyFill="1" applyBorder="1" applyAlignment="1" applyProtection="1">
      <alignment horizontal="center"/>
    </xf>
    <xf numFmtId="184" fontId="13" fillId="0" borderId="0" xfId="1" applyNumberFormat="1" applyFont="1" applyFill="1" applyBorder="1" applyAlignment="1" applyProtection="1">
      <alignment horizontal="center"/>
    </xf>
    <xf numFmtId="184" fontId="5" fillId="0" borderId="0" xfId="1" applyNumberFormat="1" applyFont="1" applyFill="1" applyBorder="1" applyAlignment="1" applyProtection="1">
      <alignment horizontal="center"/>
    </xf>
    <xf numFmtId="2" fontId="9" fillId="0" borderId="0" xfId="2" applyNumberFormat="1" applyFont="1" applyAlignment="1">
      <alignment horizontal="center"/>
    </xf>
    <xf numFmtId="184" fontId="13" fillId="7" borderId="3" xfId="4" applyNumberFormat="1" applyFont="1" applyFill="1" applyBorder="1" applyAlignment="1" applyProtection="1">
      <alignment horizontal="center"/>
    </xf>
    <xf numFmtId="187" fontId="5" fillId="7" borderId="3" xfId="4" applyNumberFormat="1" applyFont="1" applyFill="1" applyBorder="1" applyAlignment="1" applyProtection="1">
      <alignment horizontal="center"/>
    </xf>
    <xf numFmtId="184" fontId="5" fillId="9" borderId="3" xfId="4" applyNumberFormat="1" applyFont="1" applyFill="1" applyBorder="1" applyAlignment="1" applyProtection="1">
      <alignment horizontal="center"/>
    </xf>
    <xf numFmtId="165" fontId="5" fillId="9" borderId="9" xfId="2" applyNumberFormat="1" applyFont="1" applyFill="1" applyBorder="1" applyAlignment="1">
      <alignment horizontal="center"/>
    </xf>
    <xf numFmtId="184" fontId="5" fillId="0" borderId="0" xfId="4" applyNumberFormat="1" applyFont="1" applyFill="1" applyBorder="1" applyAlignment="1" applyProtection="1">
      <alignment horizontal="center"/>
    </xf>
    <xf numFmtId="165" fontId="13" fillId="0" borderId="0" xfId="4" applyNumberFormat="1" applyFont="1" applyFill="1" applyBorder="1" applyAlignment="1" applyProtection="1">
      <alignment horizontal="center"/>
    </xf>
    <xf numFmtId="184" fontId="13" fillId="0" borderId="0" xfId="4" applyNumberFormat="1" applyFont="1" applyFill="1" applyBorder="1" applyAlignment="1" applyProtection="1">
      <alignment horizontal="center"/>
    </xf>
    <xf numFmtId="187" fontId="5" fillId="0" borderId="0" xfId="4" applyNumberFormat="1" applyFont="1" applyFill="1" applyBorder="1" applyAlignment="1" applyProtection="1">
      <alignment horizontal="center"/>
    </xf>
    <xf numFmtId="0" fontId="5" fillId="0" borderId="0" xfId="2" applyFont="1" applyAlignment="1">
      <alignment horizontal="left"/>
    </xf>
    <xf numFmtId="0" fontId="5" fillId="9" borderId="3" xfId="2" applyFont="1" applyFill="1" applyBorder="1" applyAlignment="1">
      <alignment horizontal="left"/>
    </xf>
    <xf numFmtId="181" fontId="5" fillId="9" borderId="3" xfId="2" applyNumberFormat="1" applyFont="1" applyFill="1" applyBorder="1" applyAlignment="1">
      <alignment horizontal="left"/>
    </xf>
    <xf numFmtId="184" fontId="9" fillId="9" borderId="3" xfId="4" applyNumberFormat="1" applyFont="1" applyFill="1" applyBorder="1" applyAlignment="1" applyProtection="1">
      <alignment horizontal="center"/>
    </xf>
    <xf numFmtId="183" fontId="5" fillId="0" borderId="0" xfId="2" applyNumberFormat="1" applyFont="1" applyAlignment="1">
      <alignment horizontal="left"/>
    </xf>
    <xf numFmtId="184" fontId="9" fillId="0" borderId="0" xfId="4" applyNumberFormat="1" applyFont="1" applyFill="1" applyBorder="1" applyAlignment="1" applyProtection="1">
      <alignment horizontal="center"/>
    </xf>
    <xf numFmtId="182" fontId="5" fillId="0" borderId="0" xfId="4" applyNumberFormat="1" applyFont="1" applyFill="1" applyBorder="1" applyAlignment="1" applyProtection="1">
      <alignment horizontal="center"/>
    </xf>
    <xf numFmtId="183" fontId="13" fillId="0" borderId="0" xfId="2" applyNumberFormat="1" applyFont="1" applyAlignment="1">
      <alignment horizontal="left"/>
    </xf>
    <xf numFmtId="165" fontId="5" fillId="0" borderId="3" xfId="2" applyNumberFormat="1" applyFont="1" applyBorder="1"/>
    <xf numFmtId="165" fontId="5" fillId="7" borderId="3" xfId="2" applyNumberFormat="1" applyFont="1" applyFill="1" applyBorder="1"/>
    <xf numFmtId="165" fontId="5" fillId="8" borderId="3" xfId="2" applyNumberFormat="1" applyFont="1" applyFill="1" applyBorder="1"/>
    <xf numFmtId="165" fontId="9" fillId="3" borderId="0" xfId="2" applyNumberFormat="1" applyFont="1" applyFill="1"/>
    <xf numFmtId="167" fontId="5" fillId="7" borderId="3" xfId="2" applyNumberFormat="1" applyFont="1" applyFill="1" applyBorder="1" applyAlignment="1">
      <alignment horizontal="center"/>
    </xf>
    <xf numFmtId="165" fontId="2" fillId="0" borderId="0" xfId="2" applyNumberFormat="1"/>
    <xf numFmtId="168" fontId="5" fillId="7" borderId="3" xfId="2" applyNumberFormat="1" applyFont="1" applyFill="1" applyBorder="1" applyAlignment="1">
      <alignment horizontal="center"/>
    </xf>
    <xf numFmtId="172" fontId="5" fillId="0" borderId="0" xfId="2" applyNumberFormat="1" applyFont="1" applyAlignment="1">
      <alignment horizontal="left" indent="1"/>
    </xf>
    <xf numFmtId="172" fontId="5" fillId="0" borderId="3" xfId="2" applyNumberFormat="1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1" fontId="5" fillId="0" borderId="3" xfId="2" applyNumberFormat="1" applyFont="1" applyBorder="1" applyAlignment="1">
      <alignment horizontal="center"/>
    </xf>
    <xf numFmtId="172" fontId="5" fillId="7" borderId="3" xfId="2" applyNumberFormat="1" applyFont="1" applyFill="1" applyBorder="1" applyAlignment="1">
      <alignment horizontal="center"/>
    </xf>
    <xf numFmtId="172" fontId="5" fillId="0" borderId="0" xfId="2" applyNumberFormat="1" applyFont="1" applyAlignment="1">
      <alignment horizontal="center"/>
    </xf>
    <xf numFmtId="165" fontId="5" fillId="0" borderId="0" xfId="2" quotePrefix="1" applyNumberFormat="1" applyFont="1"/>
    <xf numFmtId="181" fontId="5" fillId="9" borderId="3" xfId="2" applyNumberFormat="1" applyFont="1" applyFill="1" applyBorder="1" applyAlignment="1">
      <alignment horizontal="left" indent="1"/>
    </xf>
    <xf numFmtId="0" fontId="5" fillId="7" borderId="8" xfId="2" applyFont="1" applyFill="1" applyBorder="1" applyAlignment="1">
      <alignment horizontal="left"/>
    </xf>
    <xf numFmtId="0" fontId="5" fillId="7" borderId="9" xfId="2" applyFont="1" applyFill="1" applyBorder="1" applyAlignment="1">
      <alignment horizontal="left"/>
    </xf>
    <xf numFmtId="0" fontId="9" fillId="0" borderId="0" xfId="4" applyNumberFormat="1" applyFont="1" applyFill="1" applyBorder="1" applyAlignment="1" applyProtection="1">
      <alignment horizontal="center"/>
    </xf>
    <xf numFmtId="0" fontId="5" fillId="0" borderId="10" xfId="2" applyFont="1" applyBorder="1" applyAlignment="1">
      <alignment horizontal="left"/>
    </xf>
    <xf numFmtId="184" fontId="5" fillId="0" borderId="10" xfId="4" applyNumberFormat="1" applyFont="1" applyFill="1" applyBorder="1" applyAlignment="1" applyProtection="1">
      <alignment horizontal="center"/>
    </xf>
    <xf numFmtId="184" fontId="9" fillId="0" borderId="10" xfId="2" applyNumberFormat="1" applyFont="1" applyBorder="1" applyAlignment="1">
      <alignment horizontal="center"/>
    </xf>
    <xf numFmtId="184" fontId="5" fillId="0" borderId="10" xfId="2" applyNumberFormat="1" applyFont="1" applyBorder="1" applyAlignment="1">
      <alignment horizontal="left"/>
    </xf>
    <xf numFmtId="165" fontId="13" fillId="15" borderId="0" xfId="2" applyNumberFormat="1" applyFont="1" applyFill="1" applyAlignment="1">
      <alignment horizontal="center"/>
    </xf>
    <xf numFmtId="184" fontId="5" fillId="0" borderId="0" xfId="2" applyNumberFormat="1" applyFont="1" applyAlignment="1">
      <alignment horizontal="left"/>
    </xf>
    <xf numFmtId="0" fontId="9" fillId="0" borderId="12" xfId="4" applyNumberFormat="1" applyFont="1" applyFill="1" applyBorder="1" applyAlignment="1" applyProtection="1">
      <alignment horizontal="center"/>
    </xf>
    <xf numFmtId="0" fontId="9" fillId="0" borderId="12" xfId="2" applyFont="1" applyBorder="1" applyAlignment="1">
      <alignment horizontal="center" wrapText="1"/>
    </xf>
    <xf numFmtId="10" fontId="9" fillId="0" borderId="0" xfId="1" applyNumberFormat="1" applyFont="1" applyAlignment="1" applyProtection="1">
      <alignment horizontal="center"/>
    </xf>
    <xf numFmtId="181" fontId="5" fillId="7" borderId="3" xfId="2" applyNumberFormat="1" applyFont="1" applyFill="1" applyBorder="1" applyAlignment="1">
      <alignment horizontal="left" wrapText="1"/>
    </xf>
    <xf numFmtId="181" fontId="5" fillId="7" borderId="3" xfId="2" applyNumberFormat="1" applyFont="1" applyFill="1" applyBorder="1" applyAlignment="1">
      <alignment horizontal="left" wrapText="1" indent="1"/>
    </xf>
    <xf numFmtId="181" fontId="13" fillId="7" borderId="3" xfId="2" applyNumberFormat="1" applyFont="1" applyFill="1" applyBorder="1" applyAlignment="1">
      <alignment horizontal="left"/>
    </xf>
    <xf numFmtId="181" fontId="5" fillId="7" borderId="3" xfId="2" applyNumberFormat="1" applyFont="1" applyFill="1" applyBorder="1" applyAlignment="1">
      <alignment horizontal="left" indent="1"/>
    </xf>
    <xf numFmtId="181" fontId="13" fillId="7" borderId="3" xfId="2" applyNumberFormat="1" applyFont="1" applyFill="1" applyBorder="1" applyAlignment="1">
      <alignment horizontal="left" indent="1"/>
    </xf>
    <xf numFmtId="181" fontId="9" fillId="0" borderId="10" xfId="4" applyNumberFormat="1" applyFont="1" applyFill="1" applyBorder="1" applyAlignment="1" applyProtection="1">
      <alignment horizontal="center"/>
    </xf>
    <xf numFmtId="181" fontId="9" fillId="0" borderId="12" xfId="4" applyNumberFormat="1" applyFont="1" applyFill="1" applyBorder="1" applyAlignment="1" applyProtection="1">
      <alignment horizontal="center"/>
    </xf>
    <xf numFmtId="181" fontId="9" fillId="0" borderId="0" xfId="2" applyNumberFormat="1" applyFont="1" applyAlignment="1">
      <alignment horizontal="center"/>
    </xf>
    <xf numFmtId="181" fontId="9" fillId="0" borderId="0" xfId="4" applyNumberFormat="1" applyFont="1" applyFill="1" applyBorder="1" applyAlignment="1" applyProtection="1">
      <alignment horizontal="center"/>
    </xf>
    <xf numFmtId="181" fontId="13" fillId="0" borderId="0" xfId="2" applyNumberFormat="1" applyFont="1" applyAlignment="1">
      <alignment horizontal="left" indent="1"/>
    </xf>
    <xf numFmtId="181" fontId="13" fillId="9" borderId="3" xfId="2" applyNumberFormat="1" applyFont="1" applyFill="1" applyBorder="1"/>
    <xf numFmtId="181" fontId="5" fillId="9" borderId="8" xfId="2" applyNumberFormat="1" applyFont="1" applyFill="1" applyBorder="1" applyAlignment="1">
      <alignment horizontal="left" indent="1"/>
    </xf>
    <xf numFmtId="181" fontId="13" fillId="9" borderId="8" xfId="2" applyNumberFormat="1" applyFont="1" applyFill="1" applyBorder="1" applyAlignment="1">
      <alignment horizontal="left"/>
    </xf>
    <xf numFmtId="181" fontId="2" fillId="0" borderId="0" xfId="2" applyNumberFormat="1"/>
    <xf numFmtId="181" fontId="5" fillId="9" borderId="8" xfId="2" applyNumberFormat="1" applyFont="1" applyFill="1" applyBorder="1" applyAlignment="1">
      <alignment horizontal="left" indent="2"/>
    </xf>
    <xf numFmtId="181" fontId="13" fillId="9" borderId="3" xfId="2" applyNumberFormat="1" applyFont="1" applyFill="1" applyBorder="1" applyAlignment="1">
      <alignment horizontal="left"/>
    </xf>
    <xf numFmtId="181" fontId="13" fillId="9" borderId="3" xfId="2" applyNumberFormat="1" applyFont="1" applyFill="1" applyBorder="1" applyAlignment="1">
      <alignment horizontal="left" indent="1"/>
    </xf>
    <xf numFmtId="181" fontId="13" fillId="9" borderId="8" xfId="2" applyNumberFormat="1" applyFont="1" applyFill="1" applyBorder="1" applyAlignment="1">
      <alignment horizontal="left" indent="1"/>
    </xf>
    <xf numFmtId="181" fontId="5" fillId="7" borderId="8" xfId="2" applyNumberFormat="1" applyFont="1" applyFill="1" applyBorder="1" applyAlignment="1">
      <alignment horizontal="left" indent="1"/>
    </xf>
    <xf numFmtId="181" fontId="5" fillId="0" borderId="11" xfId="2" applyNumberFormat="1" applyFont="1" applyBorder="1" applyAlignment="1">
      <alignment horizontal="left" indent="1"/>
    </xf>
    <xf numFmtId="181" fontId="11" fillId="0" borderId="0" xfId="2" applyNumberFormat="1" applyFont="1"/>
    <xf numFmtId="181" fontId="9" fillId="0" borderId="3" xfId="4" applyNumberFormat="1" applyFont="1" applyFill="1" applyBorder="1" applyAlignment="1" applyProtection="1">
      <alignment horizontal="center"/>
    </xf>
    <xf numFmtId="181" fontId="9" fillId="0" borderId="3" xfId="2" applyNumberFormat="1" applyFont="1" applyBorder="1" applyAlignment="1">
      <alignment horizontal="center"/>
    </xf>
    <xf numFmtId="181" fontId="9" fillId="0" borderId="11" xfId="2" applyNumberFormat="1" applyFont="1" applyBorder="1" applyAlignment="1">
      <alignment horizontal="center"/>
    </xf>
    <xf numFmtId="181" fontId="9" fillId="0" borderId="10" xfId="2" applyNumberFormat="1" applyFont="1" applyBorder="1" applyAlignment="1">
      <alignment horizontal="center"/>
    </xf>
    <xf numFmtId="181" fontId="9" fillId="0" borderId="12" xfId="2" applyNumberFormat="1" applyFont="1" applyBorder="1" applyAlignment="1">
      <alignment horizontal="center"/>
    </xf>
    <xf numFmtId="181" fontId="9" fillId="0" borderId="11" xfId="4" applyNumberFormat="1" applyFont="1" applyFill="1" applyBorder="1" applyAlignment="1" applyProtection="1">
      <alignment horizontal="center"/>
    </xf>
    <xf numFmtId="181" fontId="9" fillId="10" borderId="3" xfId="4" applyNumberFormat="1" applyFont="1" applyFill="1" applyBorder="1" applyAlignment="1" applyProtection="1">
      <alignment horizontal="center"/>
    </xf>
    <xf numFmtId="181" fontId="5" fillId="10" borderId="3" xfId="2" applyNumberFormat="1" applyFont="1" applyFill="1" applyBorder="1" applyAlignment="1">
      <alignment horizontal="left" indent="2"/>
    </xf>
    <xf numFmtId="0" fontId="5" fillId="0" borderId="0" xfId="2" applyFont="1" applyAlignment="1">
      <alignment horizontal="left" indent="2"/>
    </xf>
    <xf numFmtId="181" fontId="9" fillId="10" borderId="3" xfId="2" applyNumberFormat="1" applyFont="1" applyFill="1" applyBorder="1" applyAlignment="1">
      <alignment horizontal="center"/>
    </xf>
    <xf numFmtId="181" fontId="9" fillId="0" borderId="0" xfId="2" applyNumberFormat="1" applyFont="1" applyAlignment="1">
      <alignment horizontal="center" wrapText="1"/>
    </xf>
    <xf numFmtId="181" fontId="5" fillId="10" borderId="3" xfId="2" applyNumberFormat="1" applyFont="1" applyFill="1" applyBorder="1" applyAlignment="1">
      <alignment horizontal="left" wrapText="1" indent="1"/>
    </xf>
    <xf numFmtId="181" fontId="5" fillId="0" borderId="0" xfId="2" applyNumberFormat="1" applyFont="1" applyAlignment="1">
      <alignment horizontal="left" wrapText="1" indent="1"/>
    </xf>
    <xf numFmtId="181" fontId="13" fillId="7" borderId="3" xfId="2" applyNumberFormat="1" applyFont="1" applyFill="1" applyBorder="1" applyAlignment="1">
      <alignment horizontal="left" wrapText="1"/>
    </xf>
    <xf numFmtId="181" fontId="5" fillId="13" borderId="3" xfId="2" applyNumberFormat="1" applyFont="1" applyFill="1" applyBorder="1" applyAlignment="1">
      <alignment horizontal="left" wrapText="1"/>
    </xf>
    <xf numFmtId="181" fontId="5" fillId="13" borderId="3" xfId="2" applyNumberFormat="1" applyFont="1" applyFill="1" applyBorder="1" applyAlignment="1">
      <alignment horizontal="left" wrapText="1" indent="1"/>
    </xf>
    <xf numFmtId="181" fontId="5" fillId="9" borderId="3" xfId="2" applyNumberFormat="1" applyFont="1" applyFill="1" applyBorder="1" applyAlignment="1">
      <alignment horizontal="left" wrapText="1"/>
    </xf>
    <xf numFmtId="181" fontId="5" fillId="13" borderId="3" xfId="2" applyNumberFormat="1" applyFont="1" applyFill="1" applyBorder="1" applyAlignment="1">
      <alignment horizontal="left"/>
    </xf>
    <xf numFmtId="181" fontId="5" fillId="9" borderId="3" xfId="2" applyNumberFormat="1" applyFont="1" applyFill="1" applyBorder="1" applyAlignment="1">
      <alignment horizontal="left" wrapText="1" indent="1"/>
    </xf>
    <xf numFmtId="181" fontId="5" fillId="0" borderId="15" xfId="2" applyNumberFormat="1" applyFont="1" applyBorder="1" applyAlignment="1">
      <alignment horizontal="left" indent="1"/>
    </xf>
    <xf numFmtId="181" fontId="5" fillId="7" borderId="18" xfId="2" applyNumberFormat="1" applyFont="1" applyFill="1" applyBorder="1" applyAlignment="1">
      <alignment horizontal="left" indent="1"/>
    </xf>
    <xf numFmtId="181" fontId="5" fillId="7" borderId="17" xfId="2" applyNumberFormat="1" applyFont="1" applyFill="1" applyBorder="1" applyAlignment="1">
      <alignment horizontal="left" indent="1"/>
    </xf>
    <xf numFmtId="181" fontId="13" fillId="0" borderId="11" xfId="2" applyNumberFormat="1" applyFont="1" applyBorder="1" applyAlignment="1">
      <alignment horizontal="left" indent="1"/>
    </xf>
    <xf numFmtId="181" fontId="13" fillId="0" borderId="3" xfId="2" applyNumberFormat="1" applyFont="1" applyBorder="1" applyAlignment="1">
      <alignment horizontal="left"/>
    </xf>
    <xf numFmtId="181" fontId="9" fillId="0" borderId="0" xfId="2" quotePrefix="1" applyNumberFormat="1" applyFont="1" applyAlignment="1">
      <alignment horizontal="center"/>
    </xf>
    <xf numFmtId="181" fontId="9" fillId="9" borderId="3" xfId="2" applyNumberFormat="1" applyFont="1" applyFill="1" applyBorder="1" applyAlignment="1">
      <alignment horizontal="center"/>
    </xf>
    <xf numFmtId="181" fontId="9" fillId="7" borderId="3" xfId="2" applyNumberFormat="1" applyFont="1" applyFill="1" applyBorder="1" applyAlignment="1">
      <alignment horizontal="center" wrapText="1"/>
    </xf>
    <xf numFmtId="181" fontId="13" fillId="9" borderId="3" xfId="2" applyNumberFormat="1" applyFont="1" applyFill="1" applyBorder="1" applyAlignment="1">
      <alignment horizontal="left" wrapText="1"/>
    </xf>
    <xf numFmtId="181" fontId="9" fillId="9" borderId="3" xfId="2" applyNumberFormat="1" applyFont="1" applyFill="1" applyBorder="1" applyAlignment="1">
      <alignment horizontal="center" wrapText="1"/>
    </xf>
    <xf numFmtId="181" fontId="5" fillId="0" borderId="10" xfId="2" applyNumberFormat="1" applyFont="1" applyBorder="1"/>
    <xf numFmtId="181" fontId="9" fillId="0" borderId="15" xfId="2" quotePrefix="1" applyNumberFormat="1" applyFont="1" applyBorder="1" applyAlignment="1">
      <alignment horizontal="center"/>
    </xf>
    <xf numFmtId="181" fontId="9" fillId="0" borderId="15" xfId="2" applyNumberFormat="1" applyFont="1" applyBorder="1" applyAlignment="1">
      <alignment horizontal="center"/>
    </xf>
    <xf numFmtId="181" fontId="5" fillId="0" borderId="10" xfId="2" applyNumberFormat="1" applyFont="1" applyBorder="1" applyAlignment="1">
      <alignment horizontal="left" wrapText="1"/>
    </xf>
    <xf numFmtId="181" fontId="9" fillId="0" borderId="10" xfId="2" applyNumberFormat="1" applyFont="1" applyBorder="1" applyAlignment="1">
      <alignment horizontal="center" wrapText="1"/>
    </xf>
    <xf numFmtId="181" fontId="5" fillId="0" borderId="10" xfId="2" applyNumberFormat="1" applyFont="1" applyBorder="1" applyAlignment="1">
      <alignment horizontal="left" wrapText="1" indent="1"/>
    </xf>
    <xf numFmtId="181" fontId="5" fillId="0" borderId="10" xfId="2" applyNumberFormat="1" applyFont="1" applyBorder="1" applyAlignment="1">
      <alignment horizontal="left" indent="1"/>
    </xf>
    <xf numFmtId="181" fontId="5" fillId="0" borderId="0" xfId="2" applyNumberFormat="1" applyFont="1" applyAlignment="1">
      <alignment horizontal="left"/>
    </xf>
    <xf numFmtId="181" fontId="5" fillId="0" borderId="10" xfId="2" applyNumberFormat="1" applyFont="1" applyBorder="1" applyAlignment="1">
      <alignment horizontal="left"/>
    </xf>
    <xf numFmtId="181" fontId="19" fillId="0" borderId="0" xfId="5" applyNumberFormat="1" applyBorder="1" applyAlignment="1" applyProtection="1">
      <alignment horizontal="left" vertical="center"/>
    </xf>
    <xf numFmtId="185" fontId="5" fillId="0" borderId="3" xfId="2" applyNumberFormat="1" applyFont="1" applyBorder="1" applyAlignment="1">
      <alignment horizontal="center"/>
    </xf>
    <xf numFmtId="165" fontId="26" fillId="0" borderId="0" xfId="2" applyNumberFormat="1" applyFont="1" applyAlignment="1">
      <alignment wrapText="1"/>
    </xf>
    <xf numFmtId="165" fontId="5" fillId="11" borderId="3" xfId="2" applyNumberFormat="1" applyFont="1" applyFill="1" applyBorder="1"/>
    <xf numFmtId="185" fontId="5" fillId="11" borderId="3" xfId="1" applyNumberFormat="1" applyFont="1" applyFill="1" applyBorder="1" applyAlignment="1" applyProtection="1">
      <alignment horizontal="center"/>
    </xf>
    <xf numFmtId="10" fontId="5" fillId="15" borderId="3" xfId="1" applyNumberFormat="1" applyFont="1" applyFill="1" applyBorder="1" applyAlignment="1" applyProtection="1">
      <alignment horizontal="center"/>
    </xf>
    <xf numFmtId="187" fontId="5" fillId="15" borderId="3" xfId="1" applyNumberFormat="1" applyFont="1" applyFill="1" applyBorder="1" applyAlignment="1" applyProtection="1">
      <alignment horizontal="center"/>
    </xf>
    <xf numFmtId="165" fontId="19" fillId="15" borderId="0" xfId="3" applyNumberFormat="1" applyFont="1" applyFill="1" applyAlignment="1" applyProtection="1"/>
    <xf numFmtId="171" fontId="9" fillId="0" borderId="5" xfId="2" applyNumberFormat="1" applyFont="1" applyBorder="1"/>
    <xf numFmtId="165" fontId="37" fillId="0" borderId="0" xfId="2" applyNumberFormat="1" applyFont="1"/>
    <xf numFmtId="184" fontId="5" fillId="5" borderId="3" xfId="2" applyNumberFormat="1" applyFont="1" applyFill="1" applyBorder="1" applyAlignment="1">
      <alignment horizontal="center"/>
    </xf>
    <xf numFmtId="184" fontId="5" fillId="10" borderId="18" xfId="2" applyNumberFormat="1" applyFont="1" applyFill="1" applyBorder="1" applyAlignment="1">
      <alignment horizontal="center"/>
    </xf>
    <xf numFmtId="165" fontId="9" fillId="11" borderId="3" xfId="2" applyNumberFormat="1" applyFont="1" applyFill="1" applyBorder="1" applyAlignment="1">
      <alignment horizontal="center"/>
    </xf>
    <xf numFmtId="190" fontId="5" fillId="11" borderId="3" xfId="2" applyNumberFormat="1" applyFont="1" applyFill="1" applyBorder="1" applyAlignment="1">
      <alignment horizontal="center"/>
    </xf>
    <xf numFmtId="190" fontId="5" fillId="7" borderId="3" xfId="2" applyNumberFormat="1" applyFont="1" applyFill="1" applyBorder="1" applyAlignment="1">
      <alignment horizontal="center"/>
    </xf>
    <xf numFmtId="165" fontId="13" fillId="0" borderId="0" xfId="2" quotePrefix="1" applyNumberFormat="1" applyFont="1"/>
    <xf numFmtId="165" fontId="12" fillId="13" borderId="3" xfId="2" applyNumberFormat="1" applyFont="1" applyFill="1" applyBorder="1" applyAlignment="1">
      <alignment horizontal="center"/>
    </xf>
    <xf numFmtId="165" fontId="9" fillId="13" borderId="3" xfId="2" applyNumberFormat="1" applyFont="1" applyFill="1" applyBorder="1" applyAlignment="1">
      <alignment horizontal="center" wrapText="1"/>
    </xf>
    <xf numFmtId="187" fontId="5" fillId="0" borderId="14" xfId="2" applyNumberFormat="1" applyFont="1" applyBorder="1" applyAlignment="1">
      <alignment horizontal="right"/>
    </xf>
    <xf numFmtId="172" fontId="9" fillId="7" borderId="3" xfId="4" applyNumberFormat="1" applyFont="1" applyFill="1" applyBorder="1" applyAlignment="1" applyProtection="1">
      <alignment horizontal="center"/>
    </xf>
    <xf numFmtId="0" fontId="5" fillId="0" borderId="15" xfId="2" applyFont="1" applyBorder="1" applyAlignment="1" applyProtection="1">
      <alignment horizontal="left" indent="1"/>
      <protection locked="0"/>
    </xf>
    <xf numFmtId="180" fontId="5" fillId="8" borderId="3" xfId="1" applyNumberFormat="1" applyFont="1" applyFill="1" applyBorder="1" applyAlignment="1" applyProtection="1">
      <alignment horizontal="center"/>
    </xf>
    <xf numFmtId="43" fontId="5" fillId="0" borderId="0" xfId="2" applyNumberFormat="1" applyFont="1"/>
    <xf numFmtId="43" fontId="5" fillId="0" borderId="0" xfId="6" applyFont="1" applyFill="1" applyBorder="1" applyAlignment="1" applyProtection="1"/>
    <xf numFmtId="184" fontId="5" fillId="0" borderId="0" xfId="2" quotePrefix="1" applyNumberFormat="1" applyFont="1" applyAlignment="1">
      <alignment horizontal="left"/>
    </xf>
    <xf numFmtId="10" fontId="5" fillId="0" borderId="0" xfId="1" applyNumberFormat="1" applyFont="1" applyFill="1" applyBorder="1" applyAlignment="1" applyProtection="1"/>
    <xf numFmtId="43" fontId="5" fillId="0" borderId="0" xfId="6" applyFont="1" applyFill="1" applyBorder="1" applyAlignment="1" applyProtection="1">
      <alignment horizontal="center"/>
    </xf>
    <xf numFmtId="43" fontId="2" fillId="0" borderId="0" xfId="6" applyFont="1" applyFill="1" applyBorder="1" applyProtection="1"/>
    <xf numFmtId="43" fontId="9" fillId="0" borderId="0" xfId="6" applyFont="1" applyFill="1" applyBorder="1" applyAlignment="1" applyProtection="1">
      <alignment horizontal="center"/>
    </xf>
    <xf numFmtId="191" fontId="9" fillId="0" borderId="0" xfId="2" applyNumberFormat="1" applyFont="1" applyAlignment="1">
      <alignment horizontal="center"/>
    </xf>
    <xf numFmtId="43" fontId="5" fillId="0" borderId="0" xfId="6" applyFont="1" applyProtection="1"/>
    <xf numFmtId="188" fontId="5" fillId="0" borderId="3" xfId="2" applyNumberFormat="1" applyFont="1" applyBorder="1" applyAlignment="1">
      <alignment horizontal="center"/>
    </xf>
    <xf numFmtId="192" fontId="9" fillId="3" borderId="0" xfId="2" applyNumberFormat="1" applyFont="1" applyFill="1" applyAlignment="1">
      <alignment horizontal="center"/>
    </xf>
    <xf numFmtId="181" fontId="18" fillId="4" borderId="2" xfId="2" applyNumberFormat="1" applyFont="1" applyFill="1" applyBorder="1" applyAlignment="1">
      <alignment horizontal="center" vertical="center" wrapText="1"/>
    </xf>
    <xf numFmtId="0" fontId="2" fillId="0" borderId="0" xfId="2" quotePrefix="1"/>
    <xf numFmtId="0" fontId="16" fillId="4" borderId="2" xfId="2" applyFont="1" applyFill="1" applyBorder="1" applyAlignment="1">
      <alignment horizontal="center" wrapText="1"/>
    </xf>
    <xf numFmtId="193" fontId="5" fillId="9" borderId="3" xfId="2" applyNumberFormat="1" applyFont="1" applyFill="1" applyBorder="1" applyAlignment="1">
      <alignment horizontal="center"/>
    </xf>
    <xf numFmtId="194" fontId="5" fillId="0" borderId="0" xfId="2" applyNumberFormat="1" applyFont="1"/>
    <xf numFmtId="0" fontId="7" fillId="2" borderId="0" xfId="3" quotePrefix="1" applyFill="1"/>
    <xf numFmtId="181" fontId="16" fillId="4" borderId="2" xfId="2" applyNumberFormat="1" applyFont="1" applyFill="1" applyBorder="1" applyAlignment="1">
      <alignment horizontal="center" wrapText="1"/>
    </xf>
    <xf numFmtId="10" fontId="5" fillId="0" borderId="0" xfId="1" applyNumberFormat="1" applyFont="1" applyProtection="1"/>
    <xf numFmtId="195" fontId="5" fillId="0" borderId="14" xfId="1" applyNumberFormat="1" applyFont="1" applyFill="1" applyBorder="1" applyAlignment="1" applyProtection="1">
      <alignment horizontal="center"/>
    </xf>
    <xf numFmtId="165" fontId="5" fillId="8" borderId="0" xfId="2" applyNumberFormat="1" applyFont="1" applyFill="1"/>
    <xf numFmtId="181" fontId="5" fillId="8" borderId="3" xfId="2" applyNumberFormat="1" applyFont="1" applyFill="1" applyBorder="1" applyAlignment="1">
      <alignment horizontal="left" wrapText="1" indent="1"/>
    </xf>
    <xf numFmtId="181" fontId="5" fillId="8" borderId="3" xfId="2" applyNumberFormat="1" applyFont="1" applyFill="1" applyBorder="1" applyAlignment="1">
      <alignment horizontal="left" wrapText="1"/>
    </xf>
    <xf numFmtId="165" fontId="9" fillId="8" borderId="0" xfId="2" applyNumberFormat="1" applyFont="1" applyFill="1" applyAlignment="1">
      <alignment horizontal="center" wrapText="1"/>
    </xf>
    <xf numFmtId="186" fontId="5" fillId="8" borderId="3" xfId="2" applyNumberFormat="1" applyFont="1" applyFill="1" applyBorder="1" applyAlignment="1">
      <alignment horizontal="right"/>
    </xf>
    <xf numFmtId="179" fontId="5" fillId="8" borderId="0" xfId="2" applyNumberFormat="1" applyFont="1" applyFill="1" applyAlignment="1">
      <alignment horizontal="right"/>
    </xf>
    <xf numFmtId="0" fontId="2" fillId="8" borderId="0" xfId="2" applyFill="1"/>
    <xf numFmtId="165" fontId="5" fillId="8" borderId="0" xfId="2" applyNumberFormat="1" applyFont="1" applyFill="1" applyAlignment="1">
      <alignment horizontal="left" wrapText="1"/>
    </xf>
    <xf numFmtId="179" fontId="5" fillId="8" borderId="0" xfId="2" applyNumberFormat="1" applyFont="1" applyFill="1" applyAlignment="1">
      <alignment horizontal="right" wrapText="1"/>
    </xf>
    <xf numFmtId="179" fontId="19" fillId="8" borderId="0" xfId="5" applyNumberFormat="1" applyFill="1" applyBorder="1" applyProtection="1">
      <alignment horizontal="right" vertical="center"/>
    </xf>
    <xf numFmtId="181" fontId="13" fillId="8" borderId="0" xfId="2" applyNumberFormat="1" applyFont="1" applyFill="1" applyAlignment="1">
      <alignment horizontal="left"/>
    </xf>
    <xf numFmtId="165" fontId="9" fillId="8" borderId="0" xfId="2" applyNumberFormat="1" applyFont="1" applyFill="1" applyAlignment="1">
      <alignment horizontal="center"/>
    </xf>
    <xf numFmtId="165" fontId="12" fillId="8" borderId="0" xfId="2" applyNumberFormat="1" applyFont="1" applyFill="1" applyAlignment="1">
      <alignment horizontal="center"/>
    </xf>
    <xf numFmtId="194" fontId="9" fillId="8" borderId="0" xfId="2" applyNumberFormat="1" applyFont="1" applyFill="1" applyAlignment="1">
      <alignment horizontal="center" wrapText="1"/>
    </xf>
    <xf numFmtId="165" fontId="5" fillId="8" borderId="10" xfId="2" applyNumberFormat="1" applyFont="1" applyFill="1" applyBorder="1" applyAlignment="1">
      <alignment horizontal="left" wrapText="1"/>
    </xf>
    <xf numFmtId="165" fontId="9" fillId="8" borderId="10" xfId="2" applyNumberFormat="1" applyFont="1" applyFill="1" applyBorder="1" applyAlignment="1">
      <alignment horizontal="center" wrapText="1"/>
    </xf>
    <xf numFmtId="174" fontId="11" fillId="8" borderId="0" xfId="5" applyNumberFormat="1" applyFont="1" applyFill="1" applyBorder="1" applyAlignment="1" applyProtection="1">
      <alignment horizontal="center" vertical="center"/>
    </xf>
    <xf numFmtId="165" fontId="5" fillId="8" borderId="0" xfId="2" applyNumberFormat="1" applyFont="1" applyFill="1" applyAlignment="1">
      <alignment horizontal="left" indent="1"/>
    </xf>
    <xf numFmtId="185" fontId="26" fillId="8" borderId="0" xfId="2" applyNumberFormat="1" applyFont="1" applyFill="1" applyAlignment="1">
      <alignment horizontal="right"/>
    </xf>
    <xf numFmtId="187" fontId="5" fillId="8" borderId="3" xfId="2" applyNumberFormat="1" applyFont="1" applyFill="1" applyBorder="1" applyAlignment="1">
      <alignment horizontal="right"/>
    </xf>
    <xf numFmtId="187" fontId="5" fillId="8" borderId="0" xfId="2" applyNumberFormat="1" applyFont="1" applyFill="1" applyAlignment="1">
      <alignment horizontal="right"/>
    </xf>
    <xf numFmtId="165" fontId="9" fillId="8" borderId="0" xfId="2" applyNumberFormat="1" applyFont="1" applyFill="1" applyAlignment="1">
      <alignment horizontal="right" wrapText="1"/>
    </xf>
    <xf numFmtId="187" fontId="5" fillId="8" borderId="0" xfId="2" applyNumberFormat="1" applyFont="1" applyFill="1" applyAlignment="1">
      <alignment horizontal="right" wrapText="1"/>
    </xf>
    <xf numFmtId="187" fontId="19" fillId="8" borderId="0" xfId="5" applyNumberFormat="1" applyFill="1" applyBorder="1" applyProtection="1">
      <alignment horizontal="right" vertical="center"/>
    </xf>
    <xf numFmtId="181" fontId="5" fillId="8" borderId="3" xfId="2" applyNumberFormat="1" applyFont="1" applyFill="1" applyBorder="1" applyAlignment="1">
      <alignment horizontal="left" indent="1"/>
    </xf>
    <xf numFmtId="181" fontId="9" fillId="8" borderId="3" xfId="2" applyNumberFormat="1" applyFont="1" applyFill="1" applyBorder="1" applyAlignment="1">
      <alignment horizontal="center" wrapText="1"/>
    </xf>
    <xf numFmtId="182" fontId="9" fillId="8" borderId="3" xfId="2" applyNumberFormat="1" applyFont="1" applyFill="1" applyBorder="1" applyAlignment="1">
      <alignment horizontal="center"/>
    </xf>
    <xf numFmtId="182" fontId="9" fillId="8" borderId="0" xfId="2" applyNumberFormat="1" applyFont="1" applyFill="1" applyAlignment="1">
      <alignment horizontal="center"/>
    </xf>
    <xf numFmtId="182" fontId="11" fillId="8" borderId="0" xfId="5" applyNumberFormat="1" applyFont="1" applyFill="1" applyBorder="1" applyAlignment="1" applyProtection="1">
      <alignment horizontal="center" vertical="center"/>
    </xf>
    <xf numFmtId="182" fontId="9" fillId="8" borderId="10" xfId="2" applyNumberFormat="1" applyFont="1" applyFill="1" applyBorder="1" applyAlignment="1">
      <alignment horizontal="center" wrapText="1"/>
    </xf>
    <xf numFmtId="182" fontId="9" fillId="8" borderId="0" xfId="2" applyNumberFormat="1" applyFont="1" applyFill="1" applyAlignment="1">
      <alignment horizontal="center" wrapText="1"/>
    </xf>
    <xf numFmtId="182" fontId="5" fillId="8" borderId="3" xfId="2" applyNumberFormat="1" applyFont="1" applyFill="1" applyBorder="1" applyAlignment="1">
      <alignment horizontal="right"/>
    </xf>
    <xf numFmtId="181" fontId="13" fillId="8" borderId="3" xfId="2" applyNumberFormat="1" applyFont="1" applyFill="1" applyBorder="1" applyAlignment="1">
      <alignment horizontal="left" wrapText="1"/>
    </xf>
    <xf numFmtId="182" fontId="5" fillId="8" borderId="3" xfId="2" applyNumberFormat="1" applyFont="1" applyFill="1" applyBorder="1" applyAlignment="1">
      <alignment horizontal="right" wrapText="1"/>
    </xf>
    <xf numFmtId="177" fontId="5" fillId="8" borderId="0" xfId="2" applyNumberFormat="1" applyFont="1" applyFill="1" applyAlignment="1">
      <alignment horizontal="right"/>
    </xf>
    <xf numFmtId="177" fontId="5" fillId="8" borderId="0" xfId="2" applyNumberFormat="1" applyFont="1" applyFill="1" applyAlignment="1">
      <alignment horizontal="right" wrapText="1"/>
    </xf>
    <xf numFmtId="177" fontId="19" fillId="8" borderId="0" xfId="5" applyNumberFormat="1" applyFill="1" applyBorder="1" applyProtection="1">
      <alignment horizontal="right" vertical="center"/>
    </xf>
    <xf numFmtId="177" fontId="9" fillId="8" borderId="0" xfId="2" applyNumberFormat="1" applyFont="1" applyFill="1" applyAlignment="1">
      <alignment horizontal="center" wrapText="1"/>
    </xf>
    <xf numFmtId="177" fontId="9" fillId="8" borderId="0" xfId="2" applyNumberFormat="1" applyFont="1" applyFill="1" applyAlignment="1">
      <alignment horizontal="center"/>
    </xf>
    <xf numFmtId="177" fontId="11" fillId="8" borderId="0" xfId="5" applyNumberFormat="1" applyFont="1" applyFill="1" applyBorder="1" applyAlignment="1" applyProtection="1">
      <alignment horizontal="center" vertical="center"/>
    </xf>
    <xf numFmtId="177" fontId="5" fillId="8" borderId="0" xfId="2" applyNumberFormat="1" applyFont="1" applyFill="1"/>
    <xf numFmtId="178" fontId="5" fillId="8" borderId="0" xfId="2" applyNumberFormat="1" applyFont="1" applyFill="1" applyAlignment="1">
      <alignment horizontal="right"/>
    </xf>
    <xf numFmtId="178" fontId="5" fillId="8" borderId="0" xfId="2" applyNumberFormat="1" applyFont="1" applyFill="1" applyAlignment="1">
      <alignment horizontal="right" wrapText="1"/>
    </xf>
    <xf numFmtId="178" fontId="19" fillId="8" borderId="0" xfId="5" applyNumberFormat="1" applyFill="1" applyBorder="1" applyProtection="1">
      <alignment horizontal="right" vertical="center"/>
    </xf>
    <xf numFmtId="184" fontId="5" fillId="8" borderId="3" xfId="2" applyNumberFormat="1" applyFont="1" applyFill="1" applyBorder="1" applyAlignment="1">
      <alignment horizontal="right"/>
    </xf>
    <xf numFmtId="184" fontId="5" fillId="8" borderId="15" xfId="2" applyNumberFormat="1" applyFont="1" applyFill="1" applyBorder="1" applyAlignment="1">
      <alignment horizontal="right"/>
    </xf>
    <xf numFmtId="178" fontId="5" fillId="8" borderId="14" xfId="2" applyNumberFormat="1" applyFont="1" applyFill="1" applyBorder="1" applyAlignment="1">
      <alignment horizontal="right" wrapText="1"/>
    </xf>
    <xf numFmtId="184" fontId="5" fillId="8" borderId="0" xfId="2" applyNumberFormat="1" applyFont="1" applyFill="1" applyAlignment="1">
      <alignment horizontal="right" wrapText="1"/>
    </xf>
    <xf numFmtId="184" fontId="5" fillId="8" borderId="0" xfId="2" applyNumberFormat="1" applyFont="1" applyFill="1" applyAlignment="1">
      <alignment horizontal="right"/>
    </xf>
    <xf numFmtId="184" fontId="19" fillId="8" borderId="0" xfId="5" applyNumberFormat="1" applyFill="1" applyBorder="1" applyProtection="1">
      <alignment horizontal="right" vertical="center"/>
    </xf>
    <xf numFmtId="184" fontId="9" fillId="8" borderId="0" xfId="2" applyNumberFormat="1" applyFont="1" applyFill="1" applyAlignment="1">
      <alignment horizontal="center" wrapText="1"/>
    </xf>
    <xf numFmtId="184" fontId="9" fillId="8" borderId="0" xfId="2" applyNumberFormat="1" applyFont="1" applyFill="1" applyAlignment="1">
      <alignment horizontal="center"/>
    </xf>
    <xf numFmtId="184" fontId="11" fillId="8" borderId="0" xfId="5" applyNumberFormat="1" applyFont="1" applyFill="1" applyBorder="1" applyAlignment="1" applyProtection="1">
      <alignment horizontal="center" vertical="center"/>
    </xf>
    <xf numFmtId="184" fontId="12" fillId="8" borderId="0" xfId="2" applyNumberFormat="1" applyFont="1" applyFill="1" applyAlignment="1">
      <alignment horizontal="center"/>
    </xf>
    <xf numFmtId="186" fontId="5" fillId="8" borderId="3" xfId="2" applyNumberFormat="1" applyFont="1" applyFill="1" applyBorder="1" applyAlignment="1">
      <alignment horizontal="right" wrapText="1"/>
    </xf>
    <xf numFmtId="186" fontId="5" fillId="8" borderId="0" xfId="2" applyNumberFormat="1" applyFont="1" applyFill="1" applyAlignment="1">
      <alignment horizontal="right"/>
    </xf>
    <xf numFmtId="186" fontId="5" fillId="8" borderId="0" xfId="2" applyNumberFormat="1" applyFont="1" applyFill="1" applyAlignment="1">
      <alignment horizontal="right" wrapText="1"/>
    </xf>
    <xf numFmtId="186" fontId="19" fillId="8" borderId="0" xfId="5" applyNumberFormat="1" applyFill="1" applyBorder="1" applyProtection="1">
      <alignment horizontal="right" vertical="center"/>
    </xf>
    <xf numFmtId="186" fontId="9" fillId="8" borderId="0" xfId="2" applyNumberFormat="1" applyFont="1" applyFill="1" applyAlignment="1">
      <alignment horizontal="center" wrapText="1"/>
    </xf>
    <xf numFmtId="186" fontId="9" fillId="8" borderId="0" xfId="2" applyNumberFormat="1" applyFont="1" applyFill="1" applyAlignment="1">
      <alignment horizontal="center"/>
    </xf>
    <xf numFmtId="186" fontId="11" fillId="8" borderId="0" xfId="5" applyNumberFormat="1" applyFont="1" applyFill="1" applyBorder="1" applyAlignment="1" applyProtection="1">
      <alignment horizontal="center" vertical="center"/>
    </xf>
    <xf numFmtId="186" fontId="5" fillId="8" borderId="0" xfId="2" applyNumberFormat="1" applyFont="1" applyFill="1"/>
    <xf numFmtId="188" fontId="5" fillId="8" borderId="3" xfId="2" applyNumberFormat="1" applyFont="1" applyFill="1" applyBorder="1" applyAlignment="1">
      <alignment horizontal="right" wrapText="1"/>
    </xf>
    <xf numFmtId="182" fontId="5" fillId="8" borderId="0" xfId="2" applyNumberFormat="1" applyFont="1" applyFill="1"/>
    <xf numFmtId="182" fontId="13" fillId="8" borderId="3" xfId="2" applyNumberFormat="1" applyFont="1" applyFill="1" applyBorder="1" applyAlignment="1">
      <alignment horizontal="center"/>
    </xf>
    <xf numFmtId="182" fontId="13" fillId="8" borderId="0" xfId="2" applyNumberFormat="1" applyFont="1" applyFill="1" applyAlignment="1">
      <alignment horizontal="center" wrapText="1"/>
    </xf>
    <xf numFmtId="182" fontId="13" fillId="8" borderId="0" xfId="2" applyNumberFormat="1" applyFont="1" applyFill="1"/>
    <xf numFmtId="182" fontId="5" fillId="8" borderId="0" xfId="2" applyNumberFormat="1" applyFont="1" applyFill="1" applyAlignment="1">
      <alignment horizontal="right" wrapText="1"/>
    </xf>
    <xf numFmtId="182" fontId="5" fillId="8" borderId="0" xfId="2" applyNumberFormat="1" applyFont="1" applyFill="1" applyAlignment="1">
      <alignment horizontal="right"/>
    </xf>
    <xf numFmtId="182" fontId="19" fillId="8" borderId="0" xfId="5" applyNumberFormat="1" applyFill="1" applyBorder="1" applyProtection="1">
      <alignment horizontal="right" vertical="center"/>
    </xf>
    <xf numFmtId="182" fontId="12" fillId="8" borderId="0" xfId="2" applyNumberFormat="1" applyFont="1" applyFill="1" applyAlignment="1">
      <alignment horizontal="center"/>
    </xf>
    <xf numFmtId="165" fontId="9" fillId="8" borderId="3" xfId="2" applyNumberFormat="1" applyFont="1" applyFill="1" applyBorder="1" applyAlignment="1">
      <alignment horizontal="center" wrapText="1"/>
    </xf>
    <xf numFmtId="181" fontId="9" fillId="8" borderId="14" xfId="2" applyNumberFormat="1" applyFont="1" applyFill="1" applyBorder="1" applyAlignment="1">
      <alignment horizontal="center" wrapText="1"/>
    </xf>
    <xf numFmtId="181" fontId="5" fillId="8" borderId="3" xfId="2" quotePrefix="1" applyNumberFormat="1" applyFont="1" applyFill="1" applyBorder="1" applyAlignment="1">
      <alignment horizontal="left" wrapText="1" indent="1"/>
    </xf>
    <xf numFmtId="0" fontId="9" fillId="0" borderId="0" xfId="2" applyFont="1" applyAlignment="1">
      <alignment wrapText="1"/>
    </xf>
    <xf numFmtId="0" fontId="5" fillId="0" borderId="7" xfId="2" applyFont="1" applyBorder="1" applyAlignment="1">
      <alignment wrapText="1"/>
    </xf>
    <xf numFmtId="0" fontId="5" fillId="0" borderId="0" xfId="2" applyFont="1" applyAlignment="1">
      <alignment wrapText="1"/>
    </xf>
    <xf numFmtId="165" fontId="9" fillId="0" borderId="0" xfId="2" applyNumberFormat="1" applyFont="1" applyAlignment="1">
      <alignment horizontal="center"/>
    </xf>
    <xf numFmtId="0" fontId="9" fillId="0" borderId="0" xfId="2" applyFont="1" applyAlignment="1">
      <alignment horizontal="center"/>
    </xf>
    <xf numFmtId="0" fontId="13" fillId="15" borderId="3" xfId="2" applyFont="1" applyFill="1" applyBorder="1" applyAlignment="1">
      <alignment horizontal="center"/>
    </xf>
    <xf numFmtId="165" fontId="13" fillId="15" borderId="3" xfId="2" applyNumberFormat="1" applyFont="1" applyFill="1" applyBorder="1" applyAlignment="1">
      <alignment horizontal="center"/>
    </xf>
    <xf numFmtId="184" fontId="9" fillId="0" borderId="0" xfId="2" applyNumberFormat="1" applyFont="1" applyAlignment="1">
      <alignment horizontal="center"/>
    </xf>
    <xf numFmtId="187" fontId="9" fillId="0" borderId="0" xfId="2" applyNumberFormat="1" applyFont="1" applyAlignment="1">
      <alignment horizontal="center"/>
    </xf>
    <xf numFmtId="1" fontId="18" fillId="4" borderId="2" xfId="2" applyNumberFormat="1" applyFont="1" applyFill="1" applyBorder="1" applyAlignment="1">
      <alignment horizontal="center" vertical="center"/>
    </xf>
    <xf numFmtId="0" fontId="18" fillId="4" borderId="2" xfId="2" applyFont="1" applyFill="1" applyBorder="1" applyAlignment="1">
      <alignment horizontal="center" vertical="center"/>
    </xf>
    <xf numFmtId="0" fontId="5" fillId="7" borderId="8" xfId="2" applyFont="1" applyFill="1" applyBorder="1" applyAlignment="1">
      <alignment horizontal="left"/>
    </xf>
    <xf numFmtId="0" fontId="5" fillId="7" borderId="9" xfId="2" applyFont="1" applyFill="1" applyBorder="1" applyAlignment="1">
      <alignment horizontal="left"/>
    </xf>
  </cellXfs>
  <cellStyles count="7">
    <cellStyle name="Assumptions Right Number" xfId="5" xr:uid="{00000000-0005-0000-0000-000000000000}"/>
    <cellStyle name="Comma" xfId="6" builtinId="3"/>
    <cellStyle name="Hyperlink" xfId="3" builtinId="8"/>
    <cellStyle name="Normal" xfId="0" builtinId="0"/>
    <cellStyle name="Normal 2" xfId="2" xr:uid="{00000000-0005-0000-0000-000004000000}"/>
    <cellStyle name="Per cent" xfId="1" builtinId="5"/>
    <cellStyle name="Percent 2" xfId="4" xr:uid="{00000000-0005-0000-0000-000006000000}"/>
  </cellStyles>
  <dxfs count="51"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ill>
        <patternFill>
          <bgColor theme="9" tint="0.79998168889431442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fill>
        <patternFill>
          <bgColor rgb="FFFF6565"/>
        </patternFill>
      </fill>
    </dxf>
    <dxf>
      <font>
        <b/>
        <i val="0"/>
      </font>
      <fill>
        <patternFill>
          <bgColor rgb="FFFF6565"/>
        </patternFill>
      </fill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</font>
      <border>
        <left style="thin">
          <color rgb="FFFF0000"/>
        </left>
        <right style="thin">
          <color rgb="FFFF0000"/>
        </right>
        <vertical/>
        <horizontal/>
      </border>
    </dxf>
    <dxf>
      <font>
        <b/>
        <i val="0"/>
        <color rgb="FF00CC00"/>
      </font>
      <fill>
        <patternFill>
          <bgColor theme="9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  <dxf>
      <font>
        <b/>
        <i val="0"/>
        <color rgb="FF00CC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DAEEF3"/>
      <color rgb="FFFF6565"/>
      <color rgb="FFFF6D6D"/>
      <color rgb="FFFFFF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Charts!$C$38</c:f>
          <c:strCache>
            <c:ptCount val="1"/>
            <c:pt idx="0">
              <c:v>TasNetworks - Total revenue movements ($m)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Charts!$C$39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Charts!$D$37:$J$38</c:f>
              <c:multiLvlStrCache>
                <c:ptCount val="7"/>
                <c:lvl>
                  <c:pt idx="0">
                    <c:v> Base revenue </c:v>
                  </c:pt>
                  <c:pt idx="1">
                    <c:v> Adjusted revenue </c:v>
                  </c:pt>
                  <c:pt idx="3">
                    <c:v> Total movement </c:v>
                  </c:pt>
                  <c:pt idx="5">
                    <c:v> Base revenue </c:v>
                  </c:pt>
                  <c:pt idx="6">
                    <c:v> Adjusted revenue </c:v>
                  </c:pt>
                </c:lvl>
                <c:lvl>
                  <c:pt idx="0">
                    <c:v> 2021–22 </c:v>
                  </c:pt>
                  <c:pt idx="2">
                    <c:v>   </c:v>
                  </c:pt>
                  <c:pt idx="5">
                    <c:v> 2022–23 </c:v>
                  </c:pt>
                </c:lvl>
              </c:multiLvlStrCache>
            </c:multiLvlStrRef>
          </c:cat>
          <c:val>
            <c:numRef>
              <c:f>Charts!$D$39:$J$39</c:f>
              <c:numCache>
                <c:formatCode>_-* #,##0.00_-;\-* #,##0.00_-;_-* ""??_-;_-@_-</c:formatCode>
                <c:ptCount val="7"/>
                <c:pt idx="3">
                  <c:v>314.80839747209052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E-4CA1-AE88-34E90E5EB3FD}"/>
            </c:ext>
          </c:extLst>
        </c:ser>
        <c:ser>
          <c:idx val="1"/>
          <c:order val="1"/>
          <c:tx>
            <c:strRef>
              <c:f>Charts!$C$41</c:f>
              <c:strCache>
                <c:ptCount val="1"/>
                <c:pt idx="0">
                  <c:v>Distribution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FCE-4CA1-AE88-34E90E5EB3F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CE-4CA1-AE88-34E90E5EB3FD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Charts!$D$37:$J$38</c:f>
              <c:multiLvlStrCache>
                <c:ptCount val="7"/>
                <c:lvl>
                  <c:pt idx="0">
                    <c:v> Base revenue </c:v>
                  </c:pt>
                  <c:pt idx="1">
                    <c:v> Adjusted revenue </c:v>
                  </c:pt>
                  <c:pt idx="3">
                    <c:v> Total movement </c:v>
                  </c:pt>
                  <c:pt idx="5">
                    <c:v> Base revenue </c:v>
                  </c:pt>
                  <c:pt idx="6">
                    <c:v> Adjusted revenue </c:v>
                  </c:pt>
                </c:lvl>
                <c:lvl>
                  <c:pt idx="0">
                    <c:v> 2021–22 </c:v>
                  </c:pt>
                  <c:pt idx="2">
                    <c:v>   </c:v>
                  </c:pt>
                  <c:pt idx="5">
                    <c:v> 2022–23 </c:v>
                  </c:pt>
                </c:lvl>
              </c:multiLvlStrCache>
            </c:multiLvlStrRef>
          </c:cat>
          <c:val>
            <c:numRef>
              <c:f>Charts!$D$41:$J$41</c:f>
              <c:numCache>
                <c:formatCode>_-* #,##0.00_-;\-* #,##0.00_-;_-* ""??_-;_-@_-</c:formatCode>
                <c:ptCount val="7"/>
                <c:pt idx="0">
                  <c:v>253.12573754545227</c:v>
                </c:pt>
                <c:pt idx="1">
                  <c:v>248.57253765621934</c:v>
                </c:pt>
                <c:pt idx="5">
                  <c:v>261.39297518910541</c:v>
                </c:pt>
                <c:pt idx="6">
                  <c:v>256.99123490627989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CE-4CA1-AE88-34E90E5EB3FD}"/>
            </c:ext>
          </c:extLst>
        </c:ser>
        <c:ser>
          <c:idx val="3"/>
          <c:order val="3"/>
          <c:tx>
            <c:strRef>
              <c:f>Charts!$C$43</c:f>
              <c:strCache>
                <c:ptCount val="1"/>
                <c:pt idx="0">
                  <c:v>Transmission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Charts!$D$37:$J$38</c:f>
              <c:multiLvlStrCache>
                <c:ptCount val="7"/>
                <c:lvl>
                  <c:pt idx="0">
                    <c:v> Base revenue </c:v>
                  </c:pt>
                  <c:pt idx="1">
                    <c:v> Adjusted revenue </c:v>
                  </c:pt>
                  <c:pt idx="3">
                    <c:v> Total movement </c:v>
                  </c:pt>
                  <c:pt idx="5">
                    <c:v> Base revenue </c:v>
                  </c:pt>
                  <c:pt idx="6">
                    <c:v> Adjusted revenue </c:v>
                  </c:pt>
                </c:lvl>
                <c:lvl>
                  <c:pt idx="0">
                    <c:v> 2021–22 </c:v>
                  </c:pt>
                  <c:pt idx="2">
                    <c:v>   </c:v>
                  </c:pt>
                  <c:pt idx="5">
                    <c:v> 2022–23 </c:v>
                  </c:pt>
                </c:lvl>
              </c:multiLvlStrCache>
            </c:multiLvlStrRef>
          </c:cat>
          <c:val>
            <c:numRef>
              <c:f>Charts!$D$43:$J$43</c:f>
              <c:numCache>
                <c:formatCode>_-* #,##0.00_-;\-* #,##0.00_-;_-* ""??_-;_-@_-</c:formatCode>
                <c:ptCount val="7"/>
                <c:pt idx="1">
                  <c:v>66.235859815871152</c:v>
                </c:pt>
                <c:pt idx="6">
                  <c:v>72.405911086327919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CE-4CA1-AE88-34E90E5EB3FD}"/>
            </c:ext>
          </c:extLst>
        </c:ser>
        <c:ser>
          <c:idx val="5"/>
          <c:order val="5"/>
          <c:tx>
            <c:strRef>
              <c:f>Charts!$C$46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chemeClr val="tx1"/>
              </a:solidFill>
              <a:prstDash val="dash"/>
            </a:ln>
            <a:effectLst/>
          </c:spPr>
          <c:invertIfNegative val="0"/>
          <c:dLbls>
            <c:dLbl>
              <c:idx val="3"/>
              <c:layout>
                <c:manualLayout>
                  <c:x val="-8.8154269972451783E-3"/>
                  <c:y val="2.1164021164021135E-2"/>
                </c:manualLayout>
              </c:layout>
              <c:tx>
                <c:strRef>
                  <c:f>Charts!$G$40</c:f>
                  <c:strCache>
                    <c:ptCount val="1"/>
                    <c:pt idx="0">
                      <c:v> +14.59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{4B6D1843-C239-43F1-9C6A-55A3AAF7BB90}</c15:txfldGUID>
                      <c15:f>Charts!$G$40</c15:f>
                      <c15:dlblFieldTableCache>
                        <c:ptCount val="1"/>
                        <c:pt idx="0">
                          <c:v> +14.59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FCE-4CA1-AE88-34E90E5EB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Charts!$D$37:$J$38</c:f>
              <c:multiLvlStrCache>
                <c:ptCount val="7"/>
                <c:lvl>
                  <c:pt idx="0">
                    <c:v> Base revenue </c:v>
                  </c:pt>
                  <c:pt idx="1">
                    <c:v> Adjusted revenue </c:v>
                  </c:pt>
                  <c:pt idx="3">
                    <c:v> Total movement </c:v>
                  </c:pt>
                  <c:pt idx="5">
                    <c:v> Base revenue </c:v>
                  </c:pt>
                  <c:pt idx="6">
                    <c:v> Adjusted revenue </c:v>
                  </c:pt>
                </c:lvl>
                <c:lvl>
                  <c:pt idx="0">
                    <c:v> 2021–22 </c:v>
                  </c:pt>
                  <c:pt idx="2">
                    <c:v>   </c:v>
                  </c:pt>
                  <c:pt idx="5">
                    <c:v> 2022–23 </c:v>
                  </c:pt>
                </c:lvl>
              </c:multiLvlStrCache>
            </c:multiLvlStrRef>
          </c:cat>
          <c:val>
            <c:numRef>
              <c:f>Charts!$D$46:$J$46</c:f>
              <c:numCache>
                <c:formatCode>_-* #,##0.00_-;\-* #,##0.00_-;_-* ""??_-;_-@_-</c:formatCode>
                <c:ptCount val="7"/>
                <c:pt idx="3">
                  <c:v>14.588748520517299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FCE-4CA1-AE88-34E90E5EB3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669244608"/>
        <c:axId val="66924395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Charts!$C$42</c15:sqref>
                        </c15:formulaRef>
                      </c:ext>
                    </c:extLst>
                    <c:strCache>
                      <c:ptCount val="1"/>
                      <c:pt idx="0">
                        <c:v>Metering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2FCE-4CA1-AE88-34E90E5EB3FD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2FCE-4CA1-AE88-34E90E5EB3FD}"/>
                    </c:ext>
                  </c:extLst>
                </c:dPt>
                <c:dLbls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Charts!$D$37:$J$38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 Base revenue </c:v>
                        </c:pt>
                        <c:pt idx="1">
                          <c:v> Adjusted revenue </c:v>
                        </c:pt>
                        <c:pt idx="3">
                          <c:v> Total movement </c:v>
                        </c:pt>
                        <c:pt idx="5">
                          <c:v> Base revenue </c:v>
                        </c:pt>
                        <c:pt idx="6">
                          <c:v> Adjusted revenue </c:v>
                        </c:pt>
                      </c:lvl>
                      <c:lvl>
                        <c:pt idx="0">
                          <c:v> 2021–22 </c:v>
                        </c:pt>
                        <c:pt idx="2">
                          <c:v>   </c:v>
                        </c:pt>
                        <c:pt idx="5">
                          <c:v> 2022–23 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Charts!$D$42:$J$42</c15:sqref>
                        </c15:formulaRef>
                      </c:ext>
                    </c:extLst>
                    <c:numCache>
                      <c:formatCode>_-* #,##0.00_-;\-* #,##0.00_-;_-* ""??_-;_-@_-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E-2FCE-4CA1-AE88-34E90E5EB3F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Charts!$C$44</c15:sqref>
                        </c15:formulaRef>
                      </c:ext>
                    </c:extLst>
                    <c:strCache>
                      <c:ptCount val="1"/>
                      <c:pt idx="0">
                        <c:v>Jurisdictional schemes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numFmt formatCode="#,##0" sourceLinked="0"/>
                  <c:spPr>
                    <a:solidFill>
                      <a:schemeClr val="bg1">
                        <a:alpha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0" tIns="0" rIns="0" bIns="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rect">
                          <a:avLst/>
                        </a:prstGeom>
                      </c15:spPr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Charts!$D$37:$J$38</c15:sqref>
                        </c15:formulaRef>
                      </c:ext>
                    </c:extLst>
                    <c:multiLvlStrCache>
                      <c:ptCount val="7"/>
                      <c:lvl>
                        <c:pt idx="0">
                          <c:v> Base revenue </c:v>
                        </c:pt>
                        <c:pt idx="1">
                          <c:v> Adjusted revenue </c:v>
                        </c:pt>
                        <c:pt idx="3">
                          <c:v> Total movement </c:v>
                        </c:pt>
                        <c:pt idx="5">
                          <c:v> Base revenue </c:v>
                        </c:pt>
                        <c:pt idx="6">
                          <c:v> Adjusted revenue </c:v>
                        </c:pt>
                      </c:lvl>
                      <c:lvl>
                        <c:pt idx="0">
                          <c:v> 2021–22 </c:v>
                        </c:pt>
                        <c:pt idx="2">
                          <c:v>   </c:v>
                        </c:pt>
                        <c:pt idx="5">
                          <c:v> 2022–23 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Charts!$D$44:$J$44</c15:sqref>
                        </c15:formulaRef>
                      </c:ext>
                    </c:extLst>
                    <c:numCache>
                      <c:formatCode>_-* #,##0.00_-;\-* #,##0.00_-;_-* ""??_-;_-@_-</c:formatCode>
                      <c:ptCount val="7"/>
                      <c:pt idx="1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2FCE-4CA1-AE88-34E90E5EB3FD}"/>
                  </c:ext>
                </c:extLst>
              </c15:ser>
            </c15:filteredBarSeries>
          </c:ext>
        </c:extLst>
      </c:barChart>
      <c:catAx>
        <c:axId val="66924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243952"/>
        <c:crosses val="autoZero"/>
        <c:auto val="1"/>
        <c:lblAlgn val="ctr"/>
        <c:lblOffset val="100"/>
        <c:noMultiLvlLbl val="0"/>
      </c:catAx>
      <c:valAx>
        <c:axId val="6692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24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Charts!$C$296</c:f>
          <c:strCache>
            <c:ptCount val="1"/>
            <c:pt idx="0">
              <c:v>TasNetworks - Small business general light and power ($)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Charts!$C$297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Charts!$D$296:$M$296</c15:sqref>
                  </c15:fullRef>
                </c:ext>
              </c:extLst>
              <c:f>(Charts!$D$296:$F$296,Charts!$H$296:$M$296)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Charts!$D$297:$M$297</c15:sqref>
                  </c15:fullRef>
                </c:ext>
              </c:extLst>
              <c:f>(Charts!$D$297:$F$297,Charts!$H$297:$M$297)</c:f>
              <c:numCache>
                <c:formatCode>_-* #,##0.00_-;\-* #,##0.00_-;_-* ""??_-;_-@_-</c:formatCode>
                <c:ptCount val="9"/>
                <c:pt idx="1">
                  <c:v>1038.7470509113534</c:v>
                </c:pt>
                <c:pt idx="2">
                  <c:v>1066.0257664427247</c:v>
                </c:pt>
                <c:pt idx="3">
                  <c:v>1081.5536494380879</c:v>
                </c:pt>
                <c:pt idx="4">
                  <c:v>1064.1755543485476</c:v>
                </c:pt>
                <c:pt idx="5">
                  <c:v>1064.1755543485476</c:v>
                </c:pt>
                <c:pt idx="6">
                  <c:v>1045.0136890162771</c:v>
                </c:pt>
                <c:pt idx="7">
                  <c:v>1038.7470509113534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E-4786-92A1-5DDC385D49F6}"/>
            </c:ext>
          </c:extLst>
        </c:ser>
        <c:ser>
          <c:idx val="11"/>
          <c:order val="1"/>
          <c:tx>
            <c:strRef>
              <c:f>Charts!$C$299</c:f>
              <c:strCache>
                <c:ptCount val="1"/>
                <c:pt idx="0">
                  <c:v>Base revenue (debt update)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3.2697528976504478E-2"/>
                </c:manualLayout>
              </c:layout>
              <c:tx>
                <c:strRef>
                  <c:f>Charts!$E$298</c:f>
                  <c:strCache>
                    <c:ptCount val="1"/>
                    <c:pt idx="0">
                      <c:v> +27.28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{6C9A5006-F688-465D-AF86-ADB1DC95B3D5}</c15:txfldGUID>
                      <c15:f>Charts!$E$298</c15:f>
                      <c15:dlblFieldTableCache>
                        <c:ptCount val="1"/>
                        <c:pt idx="0">
                          <c:v> +27.28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85E-4786-92A1-5DDC385D49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Charts!$D$296:$M$296</c15:sqref>
                  </c15:fullRef>
                </c:ext>
              </c:extLst>
              <c:f>(Charts!$D$296:$F$296,Charts!$H$296:$M$296)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Charts!$D$299:$M$299</c15:sqref>
                  </c15:fullRef>
                </c:ext>
              </c:extLst>
              <c:f>(Charts!$D$299:$F$299,Charts!$H$299:$M$299)</c:f>
              <c:numCache>
                <c:formatCode>_-* #,##0.00_-;\-* #,##0.00_-;_-* ""??_-;_-@_-</c:formatCode>
                <c:ptCount val="9"/>
                <c:pt idx="1">
                  <c:v>27.278715531371322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E-4786-92A1-5DDC385D49F6}"/>
            </c:ext>
          </c:extLst>
        </c:ser>
        <c:ser>
          <c:idx val="12"/>
          <c:order val="2"/>
          <c:tx>
            <c:strRef>
              <c:f>Charts!$C$300</c:f>
              <c:strCache>
                <c:ptCount val="1"/>
                <c:pt idx="0">
                  <c:v>Transmission costs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-1.5910896972432512E-3"/>
                  <c:y val="3.9963646526838585E-2"/>
                </c:manualLayout>
              </c:layout>
              <c:tx>
                <c:strRef>
                  <c:f>Charts!$F$298</c:f>
                  <c:strCache>
                    <c:ptCount val="1"/>
                    <c:pt idx="0">
                      <c:v> +15.53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{C36D6658-7D76-4AC6-800D-6B1B2BA3722E}</c15:txfldGUID>
                      <c15:f>Charts!$F$298</c15:f>
                      <c15:dlblFieldTableCache>
                        <c:ptCount val="1"/>
                        <c:pt idx="0">
                          <c:v> +15.53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85E-4786-92A1-5DDC385D49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Charts!$D$296:$M$296</c15:sqref>
                  </c15:fullRef>
                </c:ext>
              </c:extLst>
              <c:f>(Charts!$D$296:$F$296,Charts!$H$296:$M$296)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Charts!$D$300:$M$300</c15:sqref>
                  </c15:fullRef>
                </c:ext>
              </c:extLst>
              <c:f>(Charts!$D$300:$F$300,Charts!$H$300:$M$300)</c:f>
              <c:numCache>
                <c:formatCode>_-* #,##0.00_-;\-* #,##0.00_-;_-* ""??_-;_-@_-</c:formatCode>
                <c:ptCount val="9"/>
                <c:pt idx="2">
                  <c:v>15.527882995363251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E-4786-92A1-5DDC385D49F6}"/>
            </c:ext>
          </c:extLst>
        </c:ser>
        <c:ser>
          <c:idx val="14"/>
          <c:order val="4"/>
          <c:tx>
            <c:strRef>
              <c:f>Charts!$C$302</c:f>
              <c:strCache>
                <c:ptCount val="1"/>
                <c:pt idx="0">
                  <c:v>Under/over recoveries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Lbl>
              <c:idx val="3"/>
              <c:layout>
                <c:manualLayout>
                  <c:x val="-5.8339281625224114E-17"/>
                  <c:y val="5.4495881627507348E-2"/>
                </c:manualLayout>
              </c:layout>
              <c:tx>
                <c:strRef>
                  <c:f>Charts!$H$298</c:f>
                  <c:strCache>
                    <c:ptCount val="1"/>
                    <c:pt idx="0">
                      <c:v> +1.68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{7485048C-7388-40F8-B4B6-CBFBDDDE39F4}</c15:txfldGUID>
                      <c15:f>Charts!$H$298</c15:f>
                      <c15:dlblFieldTableCache>
                        <c:ptCount val="1"/>
                        <c:pt idx="0">
                          <c:v> +1.68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85E-4786-92A1-5DDC385D49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Charts!$D$296:$M$296</c15:sqref>
                  </c15:fullRef>
                </c:ext>
              </c:extLst>
              <c:f>(Charts!$D$296:$F$296,Charts!$H$296:$M$296)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Charts!$D$302:$M$302</c15:sqref>
                  </c15:fullRef>
                </c:ext>
              </c:extLst>
              <c:f>(Charts!$D$302:$F$302,Charts!$H$302:$M$302)</c:f>
              <c:numCache>
                <c:formatCode>_-* #,##0.00_-;\-* #,##0.00_-;_-* ""??_-;_-@_-</c:formatCode>
                <c:ptCount val="9"/>
                <c:pt idx="3">
                  <c:v>1.6806876003070423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5E-4786-92A1-5DDC385D49F6}"/>
            </c:ext>
          </c:extLst>
        </c:ser>
        <c:ser>
          <c:idx val="15"/>
          <c:order val="5"/>
          <c:tx>
            <c:strRef>
              <c:f>Charts!$C$303</c:f>
              <c:strCache>
                <c:ptCount val="1"/>
                <c:pt idx="0">
                  <c:v>Incentive schemes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4"/>
              <c:layout>
                <c:manualLayout>
                  <c:x val="-1.1667856325044823E-16"/>
                  <c:y val="6.1761999177841663E-2"/>
                </c:manualLayout>
              </c:layout>
              <c:tx>
                <c:strRef>
                  <c:f>Charts!$I$298</c:f>
                  <c:strCache>
                    <c:ptCount val="1"/>
                    <c:pt idx="0">
                      <c:v>-19.06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{6BA792E2-82BE-4C49-BD50-81AE00ED8DC6}</c15:txfldGUID>
                      <c15:f>Charts!$I$298</c15:f>
                      <c15:dlblFieldTableCache>
                        <c:ptCount val="1"/>
                        <c:pt idx="0">
                          <c:v>-19.06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85E-4786-92A1-5DDC385D49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Charts!$D$296:$M$296</c15:sqref>
                  </c15:fullRef>
                </c:ext>
              </c:extLst>
              <c:f>(Charts!$D$296:$F$296,Charts!$H$296:$M$296)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Charts!$D$303:$M$303</c15:sqref>
                  </c15:fullRef>
                </c:ext>
              </c:extLst>
              <c:f>(Charts!$D$303:$F$303,Charts!$H$303:$M$303)</c:f>
              <c:numCache>
                <c:formatCode>_-* #,##0.00_-;\-* #,##0.00_-;_-* ""??_-;_-@_-</c:formatCode>
                <c:ptCount val="9"/>
                <c:pt idx="4">
                  <c:v>19.058782689847153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5E-4786-92A1-5DDC385D49F6}"/>
            </c:ext>
          </c:extLst>
        </c:ser>
        <c:ser>
          <c:idx val="16"/>
          <c:order val="6"/>
          <c:tx>
            <c:strRef>
              <c:f>Charts!$C$304</c:f>
              <c:strCache>
                <c:ptCount val="1"/>
                <c:pt idx="0">
                  <c:v>Cost pass-throughs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5"/>
              <c:layout>
                <c:manualLayout>
                  <c:x val="0"/>
                  <c:y val="6.5395057953008789E-2"/>
                </c:manualLayout>
              </c:layout>
              <c:tx>
                <c:strRef>
                  <c:f>Charts!$J$298</c:f>
                  <c:strCache>
                    <c:ptCount val="1"/>
                    <c:pt idx="0">
                      <c:v>   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{904A2FE0-A34F-4466-993B-100B60E8160F}</c15:txfldGUID>
                      <c15:f>Charts!$J$298</c15:f>
                      <c15:dlblFieldTableCache>
                        <c:ptCount val="1"/>
                        <c:pt idx="0">
                          <c:v>   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F85E-4786-92A1-5DDC385D49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Charts!$D$296:$M$296</c15:sqref>
                  </c15:fullRef>
                </c:ext>
              </c:extLst>
              <c:f>(Charts!$D$296:$F$296,Charts!$H$296:$M$296)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Charts!$D$304:$M$304</c15:sqref>
                  </c15:fullRef>
                </c:ext>
              </c:extLst>
              <c:f>(Charts!$D$304:$F$304,Charts!$H$304:$M$304)</c:f>
              <c:numCache>
                <c:formatCode>_-* #,##0.00_-;\-* #,##0.00_-;_-* ""??_-;_-@_-</c:formatCode>
                <c:ptCount val="9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5E-4786-92A1-5DDC385D49F6}"/>
            </c:ext>
          </c:extLst>
        </c:ser>
        <c:ser>
          <c:idx val="17"/>
          <c:order val="7"/>
          <c:tx>
            <c:strRef>
              <c:f>Charts!$C$305</c:f>
              <c:strCache>
                <c:ptCount val="1"/>
                <c:pt idx="0">
                  <c:v>Other adj./ rebalancing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6"/>
              <c:layout>
                <c:manualLayout>
                  <c:x val="-1.1667856325044823E-16"/>
                  <c:y val="0.1089917632550147"/>
                </c:manualLayout>
              </c:layout>
              <c:tx>
                <c:strRef>
                  <c:f>Charts!$K$298</c:f>
                  <c:strCache>
                    <c:ptCount val="1"/>
                    <c:pt idx="0">
                      <c:v>-19.16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{D26E37B8-56E5-44C1-9BEF-7CF37989C5EB}</c15:txfldGUID>
                      <c15:f>Charts!$K$298</c15:f>
                      <c15:dlblFieldTableCache>
                        <c:ptCount val="1"/>
                        <c:pt idx="0">
                          <c:v>-19.16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85E-4786-92A1-5DDC385D49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Charts!$D$296:$M$296</c15:sqref>
                  </c15:fullRef>
                </c:ext>
              </c:extLst>
              <c:f>(Charts!$D$296:$F$296,Charts!$H$296:$M$296)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Charts!$D$305:$M$305</c15:sqref>
                  </c15:fullRef>
                </c:ext>
              </c:extLst>
              <c:f>(Charts!$D$305:$F$305,Charts!$H$305:$M$305)</c:f>
              <c:numCache>
                <c:formatCode>_-* #,##0.00_-;\-* #,##0.00_-;_-* ""??_-;_-@_-</c:formatCode>
                <c:ptCount val="9"/>
                <c:pt idx="6">
                  <c:v>19.161865332270555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5E-4786-92A1-5DDC385D49F6}"/>
            </c:ext>
          </c:extLst>
        </c:ser>
        <c:ser>
          <c:idx val="18"/>
          <c:order val="8"/>
          <c:tx>
            <c:strRef>
              <c:f>Charts!$C$306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ysClr val="windowText" lastClr="000000"/>
              </a:solidFill>
              <a:prstDash val="dash"/>
            </a:ln>
          </c:spPr>
          <c:invertIfNegative val="0"/>
          <c:dLbls>
            <c:dLbl>
              <c:idx val="7"/>
              <c:layout>
                <c:manualLayout>
                  <c:x val="-1.1667856325044823E-16"/>
                  <c:y val="9.8092586929513156E-2"/>
                </c:manualLayout>
              </c:layout>
              <c:tx>
                <c:strRef>
                  <c:f>Charts!$L$298</c:f>
                  <c:strCache>
                    <c:ptCount val="1"/>
                    <c:pt idx="0">
                      <c:v> +6.27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{D71928CC-2F00-4BBB-8C78-FEC39E948B26}</c15:txfldGUID>
                      <c15:f>Charts!$L$298</c15:f>
                      <c15:dlblFieldTableCache>
                        <c:ptCount val="1"/>
                        <c:pt idx="0">
                          <c:v> +6.27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85E-4786-92A1-5DDC385D49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Charts!$D$296:$M$296</c15:sqref>
                  </c15:fullRef>
                </c:ext>
              </c:extLst>
              <c:f>(Charts!$D$296:$F$296,Charts!$H$296:$M$296)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Charts!$D$306:$M$306</c15:sqref>
                  </c15:fullRef>
                </c:ext>
              </c:extLst>
              <c:f>(Charts!$D$306:$F$306,Charts!$H$306:$M$306)</c:f>
              <c:numCache>
                <c:formatCode>_-* #,##0.00_-;\-* #,##0.00_-;_-* ""??_-;_-@_-</c:formatCode>
                <c:ptCount val="9"/>
                <c:pt idx="7">
                  <c:v>6.2666381049239135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85E-4786-92A1-5DDC385D49F6}"/>
            </c:ext>
          </c:extLst>
        </c:ser>
        <c:ser>
          <c:idx val="19"/>
          <c:order val="9"/>
          <c:tx>
            <c:strRef>
              <c:f>Charts!$C$307</c:f>
              <c:strCache>
                <c:ptCount val="1"/>
                <c:pt idx="0">
                  <c:v>Total NUOS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Charts!$D$296:$M$296</c15:sqref>
                  </c15:fullRef>
                </c:ext>
              </c:extLst>
              <c:f>(Charts!$D$296:$F$296,Charts!$H$296:$M$296)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Charts!$D$307:$M$307</c15:sqref>
                  </c15:fullRef>
                </c:ext>
              </c:extLst>
              <c:f>(Charts!$D$307:$F$307,Charts!$H$307:$M$307)</c:f>
              <c:numCache>
                <c:formatCode>_-* #,##0.00_-;\-* #,##0.00_-;_-* ""??_-;_-@_-</c:formatCode>
                <c:ptCount val="9"/>
                <c:pt idx="0">
                  <c:v>1038.7470509113534</c:v>
                </c:pt>
                <c:pt idx="8">
                  <c:v>1045.0136890162773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5E-4786-92A1-5DDC385D49F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12789880"/>
        <c:axId val="1312790208"/>
        <c:extLst>
          <c:ext xmlns:c15="http://schemas.microsoft.com/office/drawing/2012/chart" uri="{02D57815-91ED-43cb-92C2-25804820EDAC}">
            <c15:filteredBarSeries>
              <c15:ser>
                <c:idx val="13"/>
                <c:order val="3"/>
                <c:tx>
                  <c:strRef>
                    <c:extLst>
                      <c:ext uri="{02D57815-91ED-43cb-92C2-25804820EDAC}">
                        <c15:formulaRef>
                          <c15:sqref>Charts!$C$301</c15:sqref>
                        </c15:formulaRef>
                      </c:ext>
                    </c:extLst>
                    <c:strCache>
                      <c:ptCount val="1"/>
                      <c:pt idx="0">
                        <c:v>Jurisdictional scheme costs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Charts!$D$296:$M$296</c15:sqref>
                        </c15:fullRef>
                        <c15:formulaRef>
                          <c15:sqref>(Charts!$D$296:$F$296,Charts!$H$296:$M$296)</c15:sqref>
                        </c15:formulaRef>
                      </c:ext>
                    </c:extLst>
                    <c:strCache>
                      <c:ptCount val="9"/>
                      <c:pt idx="0">
                        <c:v>2021–22</c:v>
                      </c:pt>
                      <c:pt idx="1">
                        <c:v>Base revenue (debt update)</c:v>
                      </c:pt>
                      <c:pt idx="2">
                        <c:v>Transmission costs</c:v>
                      </c:pt>
                      <c:pt idx="3">
                        <c:v>Under/over recoveries</c:v>
                      </c:pt>
                      <c:pt idx="4">
                        <c:v>Incentive schemes</c:v>
                      </c:pt>
                      <c:pt idx="5">
                        <c:v>Cost pass-throughs</c:v>
                      </c:pt>
                      <c:pt idx="6">
                        <c:v>Other adj./ rebalancing</c:v>
                      </c:pt>
                      <c:pt idx="7">
                        <c:v>Total movement</c:v>
                      </c:pt>
                      <c:pt idx="8">
                        <c:v>2022–23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Charts!$D$301:$M$301</c15:sqref>
                        </c15:fullRef>
                        <c15:formulaRef>
                          <c15:sqref>(Charts!$D$301:$F$301,Charts!$H$301:$M$301)</c15:sqref>
                        </c15:formulaRef>
                      </c:ext>
                    </c:extLst>
                    <c:numCache>
                      <c:formatCode>_-* #,##0.00_-;\-* #,##0.00_-;_-* ""??_-;_-@_-</c:formatCode>
                      <c:ptCount val="9"/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Charts!$G$301</c15:sqref>
                        <c15:dLbl>
                          <c:idx val="2"/>
                          <c:layout>
                            <c:manualLayout>
                              <c:x val="-5.8339281625224114E-17"/>
                              <c:y val="4.3596705302005878E-2"/>
                            </c:manualLayout>
                          </c:layout>
                          <c:tx>
                            <c:strRef>
                              <c:f>Charts!$G$298</c:f>
                              <c:strCache>
                                <c:ptCount val="1"/>
                                <c:pt idx="0">
                                  <c:v>    </c:v>
                                </c:pt>
                              </c:strCache>
                            </c:strRef>
                          </c:tx>
                          <c:dLblPos val="ctr"/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>
                              <c15:dlblFieldTable>
                                <c15:dlblFTEntry>
                                  <c15:txfldGUID>{3E4DB8FA-646E-495B-9E94-A6F6D85EB1FE}</c15:txfldGUID>
                                  <c15:f>Charts!$G$298</c15:f>
                                  <c15:dlblFieldTableCache>
                                    <c:ptCount val="1"/>
                                    <c:pt idx="0">
                                      <c:v>    </c:v>
                                    </c:pt>
                                  </c15:dlblFieldTableCache>
                                </c15:dlblFTEntry>
                              </c15:dlblFieldTable>
                              <c15:showDataLabelsRange val="0"/>
                            </c:ext>
                            <c:ext xmlns:c16="http://schemas.microsoft.com/office/drawing/2014/chart" uri="{C3380CC4-5D6E-409C-BE32-E72D297353CC}">
                              <c16:uniqueId val="{00000000-A4B0-4CE0-89A8-D011F5AFC4E9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6-F85E-4786-92A1-5DDC385D49F6}"/>
                  </c:ext>
                </c:extLst>
              </c15:ser>
            </c15:filteredBarSeries>
          </c:ext>
        </c:extLst>
      </c:barChart>
      <c:catAx>
        <c:axId val="131278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90208"/>
        <c:crosses val="autoZero"/>
        <c:auto val="1"/>
        <c:lblAlgn val="ctr"/>
        <c:lblOffset val="100"/>
        <c:noMultiLvlLbl val="0"/>
      </c:catAx>
      <c:valAx>
        <c:axId val="131279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8988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Charts!$C$82</c:f>
          <c:strCache>
            <c:ptCount val="1"/>
            <c:pt idx="0">
              <c:v>TasNetworks - Revenue adjustments ($m)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Charts!$C$83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Charts!$D$82:$M$82</c15:sqref>
                  </c15:fullRef>
                </c:ext>
              </c:extLst>
              <c:f>(Charts!$D$82:$F$82,Charts!$H$82:$M$82)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Charts!$D$83:$M$83</c15:sqref>
                  </c15:fullRef>
                </c:ext>
              </c:extLst>
              <c:f>(Charts!$D$83:$F$83,Charts!$H$83:$M$83)</c:f>
              <c:numCache>
                <c:formatCode>_-* #,##0.00_-;\-* #,##0.00_-;_-* ""??_-;_-@_-</c:formatCode>
                <c:ptCount val="9"/>
                <c:pt idx="1">
                  <c:v>314.80839747209052</c:v>
                </c:pt>
                <c:pt idx="2">
                  <c:v>323.07563511574369</c:v>
                </c:pt>
                <c:pt idx="3">
                  <c:v>327.78160078622682</c:v>
                </c:pt>
                <c:pt idx="4">
                  <c:v>322.51489965676905</c:v>
                </c:pt>
                <c:pt idx="5">
                  <c:v>322.51489965676905</c:v>
                </c:pt>
                <c:pt idx="6">
                  <c:v>322.51489965676905</c:v>
                </c:pt>
                <c:pt idx="7">
                  <c:v>314.80839747209052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C7-468E-9432-8AB56260A385}"/>
            </c:ext>
          </c:extLst>
        </c:ser>
        <c:ser>
          <c:idx val="1"/>
          <c:order val="1"/>
          <c:tx>
            <c:strRef>
              <c:f>Charts!$C$85</c:f>
              <c:strCache>
                <c:ptCount val="1"/>
                <c:pt idx="0">
                  <c:v>Base revenue (debt update)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7645466443838424E-17"/>
                  <c:y val="6.1130873016255034E-2"/>
                </c:manualLayout>
              </c:layout>
              <c:tx>
                <c:strRef>
                  <c:f>Charts!$E$84</c:f>
                  <c:strCache>
                    <c:ptCount val="1"/>
                    <c:pt idx="0">
                      <c:v> +8.27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{BA5F2A4A-CBF5-4202-ACA3-D9016DF34DF2}</c15:txfldGUID>
                      <c15:f>Charts!$E$84</c15:f>
                      <c15:dlblFieldTableCache>
                        <c:ptCount val="1"/>
                        <c:pt idx="0">
                          <c:v> +8.27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0BC7-468E-9432-8AB56260A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Charts!$D$82:$M$82</c15:sqref>
                  </c15:fullRef>
                </c:ext>
              </c:extLst>
              <c:f>(Charts!$D$82:$F$82,Charts!$H$82:$M$82)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Charts!$D$85:$M$85</c15:sqref>
                  </c15:fullRef>
                </c:ext>
              </c:extLst>
              <c:f>(Charts!$D$85:$F$85,Charts!$H$85:$M$85)</c:f>
              <c:numCache>
                <c:formatCode>_-* #,##0.00_-;\-* #,##0.00_-;_-* ""??_-;_-@_-</c:formatCode>
                <c:ptCount val="9"/>
                <c:pt idx="1">
                  <c:v>8.2672376436531465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C7-468E-9432-8AB56260A385}"/>
            </c:ext>
          </c:extLst>
        </c:ser>
        <c:ser>
          <c:idx val="9"/>
          <c:order val="2"/>
          <c:tx>
            <c:strRef>
              <c:f>Charts!$C$86</c:f>
              <c:strCache>
                <c:ptCount val="1"/>
                <c:pt idx="0">
                  <c:v>Transmission costs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5079519530886833E-3"/>
                  <c:y val="2.3287951625239986E-2"/>
                </c:manualLayout>
              </c:layout>
              <c:tx>
                <c:strRef>
                  <c:f>Charts!$F$84</c:f>
                  <c:strCache>
                    <c:ptCount val="1"/>
                    <c:pt idx="0">
                      <c:v> +4.71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{1472C17C-47A2-4C8C-9B53-C534046C60A4}</c15:txfldGUID>
                      <c15:f>Charts!$F$84</c15:f>
                      <c15:dlblFieldTableCache>
                        <c:ptCount val="1"/>
                        <c:pt idx="0">
                          <c:v> +4.71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0BC7-468E-9432-8AB56260A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Charts!$D$82:$M$82</c15:sqref>
                  </c15:fullRef>
                </c:ext>
              </c:extLst>
              <c:f>(Charts!$D$82:$F$82,Charts!$H$82:$M$82)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Charts!$D$86:$M$86</c15:sqref>
                  </c15:fullRef>
                </c:ext>
              </c:extLst>
              <c:f>(Charts!$D$86:$F$86,Charts!$H$86:$M$86)</c:f>
              <c:numCache>
                <c:formatCode>_-* #,##0.00_-;\-* #,##0.00_-;_-* ""??_-;_-@_-</c:formatCode>
                <c:ptCount val="9"/>
                <c:pt idx="2">
                  <c:v>4.7059656704831383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BC7-468E-9432-8AB56260A385}"/>
            </c:ext>
          </c:extLst>
        </c:ser>
        <c:ser>
          <c:idx val="3"/>
          <c:order val="4"/>
          <c:tx>
            <c:strRef>
              <c:f>Charts!$C$88</c:f>
              <c:strCache>
                <c:ptCount val="1"/>
                <c:pt idx="0">
                  <c:v>Under/over recoveries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5.5290932887676847E-17"/>
                  <c:y val="3.2020933484705021E-2"/>
                </c:manualLayout>
              </c:layout>
              <c:tx>
                <c:strRef>
                  <c:f>Charts!$H$84</c:f>
                  <c:strCache>
                    <c:ptCount val="1"/>
                    <c:pt idx="0">
                      <c:v> +0.51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{B1BD26D5-07D8-45AB-9E33-382C6F2BE195}</c15:txfldGUID>
                      <c15:f>Charts!$H$84</c15:f>
                      <c15:dlblFieldTableCache>
                        <c:ptCount val="1"/>
                        <c:pt idx="0">
                          <c:v> +0.51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0BC7-468E-9432-8AB56260A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Charts!$D$82:$M$82</c15:sqref>
                  </c15:fullRef>
                </c:ext>
              </c:extLst>
              <c:f>(Charts!$D$82:$F$82,Charts!$H$82:$M$82)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Charts!$D$88:$M$88</c15:sqref>
                  </c15:fullRef>
                </c:ext>
              </c:extLst>
              <c:f>(Charts!$D$88:$F$88,Charts!$H$88:$M$88)</c:f>
              <c:numCache>
                <c:formatCode>_-* #,##0.00_-;\-* #,##0.00_-;_-* ""??_-;_-@_-</c:formatCode>
                <c:ptCount val="9"/>
                <c:pt idx="3">
                  <c:v>0.5093584329694778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C7-468E-9432-8AB56260A385}"/>
            </c:ext>
          </c:extLst>
        </c:ser>
        <c:ser>
          <c:idx val="4"/>
          <c:order val="5"/>
          <c:tx>
            <c:strRef>
              <c:f>Charts!$C$89</c:f>
              <c:strCache>
                <c:ptCount val="1"/>
                <c:pt idx="0">
                  <c:v>Incentive schemes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2.0376957672084986E-2"/>
                </c:manualLayout>
              </c:layout>
              <c:tx>
                <c:strRef>
                  <c:f>Charts!$I$84</c:f>
                  <c:strCache>
                    <c:ptCount val="1"/>
                    <c:pt idx="0">
                      <c:v>-5.78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{AA6D2D99-1260-4D89-A202-CEBED25C75D2}</c15:txfldGUID>
                      <c15:f>Charts!$I$84</c15:f>
                      <c15:dlblFieldTableCache>
                        <c:ptCount val="1"/>
                        <c:pt idx="0">
                          <c:v>-5.78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0BC7-468E-9432-8AB56260A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Charts!$D$82:$M$82</c15:sqref>
                  </c15:fullRef>
                </c:ext>
              </c:extLst>
              <c:f>(Charts!$D$82:$F$82,Charts!$H$82:$M$82)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Charts!$D$89:$M$89</c15:sqref>
                  </c15:fullRef>
                </c:ext>
              </c:extLst>
              <c:f>(Charts!$D$89:$F$89,Charts!$H$89:$M$89)</c:f>
              <c:numCache>
                <c:formatCode>_-* #,##0.00_-;\-* #,##0.00_-;_-* ""??_-;_-@_-</c:formatCode>
                <c:ptCount val="9"/>
                <c:pt idx="4">
                  <c:v>5.7760595624272231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C7-468E-9432-8AB56260A385}"/>
            </c:ext>
          </c:extLst>
        </c:ser>
        <c:ser>
          <c:idx val="5"/>
          <c:order val="6"/>
          <c:tx>
            <c:strRef>
              <c:f>Charts!$C$90</c:f>
              <c:strCache>
                <c:ptCount val="1"/>
                <c:pt idx="0">
                  <c:v>Cost pass-throughs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2.0376957672085014E-2"/>
                </c:manualLayout>
              </c:layout>
              <c:tx>
                <c:strRef>
                  <c:f>Charts!$J$84</c:f>
                  <c:strCache>
                    <c:ptCount val="1"/>
                    <c:pt idx="0">
                      <c:v>   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{BEC75CEA-C874-4AC1-9300-DCA64823E848}</c15:txfldGUID>
                      <c15:f>Charts!$J$84</c15:f>
                      <c15:dlblFieldTableCache>
                        <c:ptCount val="1"/>
                        <c:pt idx="0">
                          <c:v>   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0BC7-468E-9432-8AB56260A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Charts!$D$82:$M$82</c15:sqref>
                  </c15:fullRef>
                </c:ext>
              </c:extLst>
              <c:f>(Charts!$D$82:$F$82,Charts!$H$82:$M$82)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Charts!$D$90:$M$90</c15:sqref>
                  </c15:fullRef>
                </c:ext>
              </c:extLst>
              <c:f>(Charts!$D$90:$F$90,Charts!$H$90:$M$90)</c:f>
              <c:numCache>
                <c:formatCode>_-* #,##0.00_-;\-* #,##0.00_-;_-* ""??_-;_-@_-</c:formatCode>
                <c:ptCount val="9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C7-468E-9432-8AB56260A385}"/>
            </c:ext>
          </c:extLst>
        </c:ser>
        <c:ser>
          <c:idx val="6"/>
          <c:order val="7"/>
          <c:tx>
            <c:strRef>
              <c:f>Charts!$C$91</c:f>
              <c:strCache>
                <c:ptCount val="1"/>
                <c:pt idx="0">
                  <c:v>Other adj./ rebalancing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0"/>
                  <c:y val="2.3287951625240014E-2"/>
                </c:manualLayout>
              </c:layout>
              <c:tx>
                <c:strRef>
                  <c:f>Charts!$K$84</c:f>
                  <c:strCache>
                    <c:ptCount val="1"/>
                    <c:pt idx="0">
                      <c:v> +6.88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{14836C7C-2FA2-40A2-B5E3-FDEA13BC697B}</c15:txfldGUID>
                      <c15:f>Charts!$K$84</c15:f>
                      <c15:dlblFieldTableCache>
                        <c:ptCount val="1"/>
                        <c:pt idx="0">
                          <c:v> +6.88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0BC7-468E-9432-8AB56260A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Charts!$D$82:$M$82</c15:sqref>
                  </c15:fullRef>
                </c:ext>
              </c:extLst>
              <c:f>(Charts!$D$82:$F$82,Charts!$H$82:$M$82)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Charts!$D$91:$M$91</c15:sqref>
                  </c15:fullRef>
                </c:ext>
              </c:extLst>
              <c:f>(Charts!$D$91:$F$91,Charts!$H$91:$M$91)</c:f>
              <c:numCache>
                <c:formatCode>_-* #,##0.00_-;\-* #,##0.00_-;_-* ""??_-;_-@_-</c:formatCode>
                <c:ptCount val="9"/>
                <c:pt idx="6">
                  <c:v>6.8822463358387598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C7-468E-9432-8AB56260A385}"/>
            </c:ext>
          </c:extLst>
        </c:ser>
        <c:ser>
          <c:idx val="7"/>
          <c:order val="8"/>
          <c:tx>
            <c:strRef>
              <c:f>Charts!$C$92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chemeClr val="tx1"/>
              </a:solidFill>
              <a:prstDash val="dash"/>
            </a:ln>
            <a:effectLst/>
          </c:spPr>
          <c:invertIfNegative val="0"/>
          <c:dLbls>
            <c:dLbl>
              <c:idx val="7"/>
              <c:layout>
                <c:manualLayout>
                  <c:x val="-1.5079519530887939E-3"/>
                  <c:y val="4.3664909297325E-2"/>
                </c:manualLayout>
              </c:layout>
              <c:tx>
                <c:strRef>
                  <c:f>Charts!$L$84</c:f>
                  <c:strCache>
                    <c:ptCount val="1"/>
                    <c:pt idx="0">
                      <c:v> +14.59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{D71410A2-4DA4-437F-BFDE-1E562235F0E3}</c15:txfldGUID>
                      <c15:f>Charts!$L$84</c15:f>
                      <c15:dlblFieldTableCache>
                        <c:ptCount val="1"/>
                        <c:pt idx="0">
                          <c:v> +14.59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0BC7-468E-9432-8AB56260A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800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Charts!$D$82:$M$82</c15:sqref>
                  </c15:fullRef>
                </c:ext>
              </c:extLst>
              <c:f>(Charts!$D$82:$F$82,Charts!$H$82:$M$82)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Charts!$D$92:$M$92</c15:sqref>
                  </c15:fullRef>
                </c:ext>
              </c:extLst>
              <c:f>(Charts!$D$92:$F$92,Charts!$H$92:$M$92)</c:f>
              <c:numCache>
                <c:formatCode>_-* #,##0.00_-;\-* #,##0.00_-;_-* ""??_-;_-@_-</c:formatCode>
                <c:ptCount val="9"/>
                <c:pt idx="7">
                  <c:v>14.588748520517299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C7-468E-9432-8AB56260A385}"/>
            </c:ext>
          </c:extLst>
        </c:ser>
        <c:ser>
          <c:idx val="8"/>
          <c:order val="9"/>
          <c:tx>
            <c:strRef>
              <c:f>Charts!$C$93</c:f>
              <c:strCache>
                <c:ptCount val="1"/>
                <c:pt idx="0">
                  <c:v>Total NUOS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Charts!$D$82:$M$82</c15:sqref>
                  </c15:fullRef>
                </c:ext>
              </c:extLst>
              <c:f>(Charts!$D$82:$F$82,Charts!$H$82:$M$82)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Charts!$D$93:$M$93</c15:sqref>
                  </c15:fullRef>
                </c:ext>
              </c:extLst>
              <c:f>(Charts!$D$93:$F$93,Charts!$H$93:$M$93)</c:f>
              <c:numCache>
                <c:formatCode>_-* #,##0.00_-;\-* #,##0.00_-;_-* ""??_-;_-@_-</c:formatCode>
                <c:ptCount val="9"/>
                <c:pt idx="0">
                  <c:v>314.80839747209052</c:v>
                </c:pt>
                <c:pt idx="8">
                  <c:v>329.39714599260782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BC7-468E-9432-8AB56260A38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12789880"/>
        <c:axId val="1312790208"/>
        <c:extLst>
          <c:ext xmlns:c15="http://schemas.microsoft.com/office/drawing/2012/chart" uri="{02D57815-91ED-43cb-92C2-25804820EDAC}">
            <c15:filteredBar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Charts!$C$87</c15:sqref>
                        </c15:formulaRef>
                      </c:ext>
                    </c:extLst>
                    <c:strCache>
                      <c:ptCount val="1"/>
                      <c:pt idx="0">
                        <c:v>Jurisdictional scheme costs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Charts!$D$82:$M$82</c15:sqref>
                        </c15:fullRef>
                        <c15:formulaRef>
                          <c15:sqref>(Charts!$D$82:$F$82,Charts!$H$82:$M$82)</c15:sqref>
                        </c15:formulaRef>
                      </c:ext>
                    </c:extLst>
                    <c:strCache>
                      <c:ptCount val="9"/>
                      <c:pt idx="0">
                        <c:v>2021–22</c:v>
                      </c:pt>
                      <c:pt idx="1">
                        <c:v>Base revenue (debt update)</c:v>
                      </c:pt>
                      <c:pt idx="2">
                        <c:v>Transmission costs</c:v>
                      </c:pt>
                      <c:pt idx="3">
                        <c:v>Under/over recoveries</c:v>
                      </c:pt>
                      <c:pt idx="4">
                        <c:v>Incentive schemes</c:v>
                      </c:pt>
                      <c:pt idx="5">
                        <c:v>Cost pass-throughs</c:v>
                      </c:pt>
                      <c:pt idx="6">
                        <c:v>Other adj./ rebalancing</c:v>
                      </c:pt>
                      <c:pt idx="7">
                        <c:v>Total movement</c:v>
                      </c:pt>
                      <c:pt idx="8">
                        <c:v>2022–23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Charts!$D$87:$M$87</c15:sqref>
                        </c15:fullRef>
                        <c15:formulaRef>
                          <c15:sqref>(Charts!$D$87:$F$87,Charts!$H$87:$M$87)</c15:sqref>
                        </c15:formulaRef>
                      </c:ext>
                    </c:extLst>
                    <c:numCache>
                      <c:formatCode>_-* #,##0.00_-;\-* #,##0.00_-;_-* ""??_-;_-@_-</c:formatCode>
                      <c:ptCount val="9"/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Charts!$G$87</c15:sqref>
                        <c15:dLbl>
                          <c:idx val="2"/>
                          <c:layout>
                            <c:manualLayout>
                              <c:x val="0"/>
                              <c:y val="2.0376957672084986E-2"/>
                            </c:manualLayout>
                          </c:layout>
                          <c:tx>
                            <c:strRef>
                              <c:f>Charts!$G$84</c:f>
                              <c:strCache>
                                <c:ptCount val="1"/>
                                <c:pt idx="0">
                                  <c:v>    </c:v>
                                </c:pt>
                              </c:strCache>
                            </c:strRef>
                          </c:tx>
                          <c:dLblPos val="ctr"/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>
                              <c15:dlblFieldTable>
                                <c15:dlblFTEntry>
                                  <c15:txfldGUID>{0BEF03A0-A7DA-4376-A49E-2F37DCC24527}</c15:txfldGUID>
                                  <c15:f>Charts!$G$84</c15:f>
                                  <c15:dlblFieldTableCache>
                                    <c:ptCount val="1"/>
                                    <c:pt idx="0">
                                      <c:v>    </c:v>
                                    </c:pt>
                                  </c15:dlblFieldTableCache>
                                </c15:dlblFTEntry>
                              </c15:dlblFieldTable>
                              <c15:showDataLabelsRange val="0"/>
                            </c:ext>
                            <c:ext xmlns:c16="http://schemas.microsoft.com/office/drawing/2014/chart" uri="{C3380CC4-5D6E-409C-BE32-E72D297353CC}">
                              <c16:uniqueId val="{00000000-19A0-480E-9FA0-C40836700137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8-0BC7-468E-9432-8AB56260A385}"/>
                  </c:ext>
                </c:extLst>
              </c15:ser>
            </c15:filteredBarSeries>
          </c:ext>
        </c:extLst>
      </c:barChart>
      <c:catAx>
        <c:axId val="131278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90208"/>
        <c:crosses val="autoZero"/>
        <c:auto val="1"/>
        <c:lblAlgn val="ctr"/>
        <c:lblOffset val="100"/>
        <c:noMultiLvlLbl val="0"/>
      </c:catAx>
      <c:valAx>
        <c:axId val="131279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89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Charts!$C$127</c:f>
          <c:strCache>
            <c:ptCount val="1"/>
            <c:pt idx="0">
              <c:v>TasNetworks - Residential time of use consumption ($)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Charts!$C$128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Charts!$D$127:$J$127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Charts!$D$128:$J$128</c:f>
              <c:numCache>
                <c:formatCode>_-* #,##0.00_-;\-* #,##0.00_-;_-* ""??_-;_-@_-</c:formatCode>
                <c:ptCount val="7"/>
                <c:pt idx="1">
                  <c:v>751.36034181432126</c:v>
                </c:pt>
                <c:pt idx="2">
                  <c:v>751.36034181432126</c:v>
                </c:pt>
                <c:pt idx="3">
                  <c:v>759.43880385486204</c:v>
                </c:pt>
                <c:pt idx="4">
                  <c:v>759.43880385486204</c:v>
                </c:pt>
                <c:pt idx="5">
                  <c:v>756.82669188341129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7-4B9C-AE8F-2F3F6F3B92A1}"/>
            </c:ext>
          </c:extLst>
        </c:ser>
        <c:ser>
          <c:idx val="1"/>
          <c:order val="1"/>
          <c:tx>
            <c:strRef>
              <c:f>Charts!$C$130</c:f>
              <c:strCache>
                <c:ptCount val="1"/>
                <c:pt idx="0">
                  <c:v>Distribution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3.5172401696522179E-2"/>
                </c:manualLayout>
              </c:layout>
              <c:tx>
                <c:strRef>
                  <c:f>Charts!$E$129</c:f>
                  <c:strCache>
                    <c:ptCount val="1"/>
                    <c:pt idx="0">
                      <c:v>-5.47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{9AD7A7EF-DAF0-4933-85B1-457F11CFB073}</c15:txfldGUID>
                      <c15:f>Charts!$E$129</c15:f>
                      <c15:dlblFieldTableCache>
                        <c:ptCount val="1"/>
                        <c:pt idx="0">
                          <c:v>-5.47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067-4B9C-AE8F-2F3F6F3B92A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Charts!$D$127:$J$127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Charts!$D$130:$J$130</c:f>
              <c:numCache>
                <c:formatCode>_-* #,##0.00_-;\-* #,##0.00_-;_-* ""??_-;_-@_-</c:formatCode>
                <c:ptCount val="7"/>
                <c:pt idx="0">
                  <c:v>608.29173427366663</c:v>
                </c:pt>
                <c:pt idx="1">
                  <c:v>5.4663500690900264</c:v>
                </c:pt>
                <c:pt idx="6">
                  <c:v>602.82538420457661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67-4B9C-AE8F-2F3F6F3B92A1}"/>
            </c:ext>
          </c:extLst>
        </c:ser>
        <c:ser>
          <c:idx val="2"/>
          <c:order val="2"/>
          <c:tx>
            <c:strRef>
              <c:f>Charts!$C$131</c:f>
              <c:strCache>
                <c:ptCount val="1"/>
                <c:pt idx="0">
                  <c:v>Transmission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9.1936004557447258E-17"/>
                  <c:y val="3.5172401696522179E-2"/>
                </c:manualLayout>
              </c:layout>
              <c:tx>
                <c:strRef>
                  <c:f>Charts!$F$129</c:f>
                  <c:strCache>
                    <c:ptCount val="1"/>
                    <c:pt idx="0">
                      <c:v> +8.08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{1C207273-E9C2-46FD-8338-4D6C19A9200A}</c15:txfldGUID>
                      <c15:f>Charts!$F$129</c15:f>
                      <c15:dlblFieldTableCache>
                        <c:ptCount val="1"/>
                        <c:pt idx="0">
                          <c:v> +8.08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1067-4B9C-AE8F-2F3F6F3B92A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Charts!$D$127:$J$127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Charts!$D$131:$J$131</c:f>
              <c:numCache>
                <c:formatCode>_-* #,##0.00_-;\-* #,##0.00_-;_-* ""??_-;_-@_-</c:formatCode>
                <c:ptCount val="7"/>
                <c:pt idx="0">
                  <c:v>123.94490760974463</c:v>
                </c:pt>
                <c:pt idx="2">
                  <c:v>8.0784620405408418</c:v>
                </c:pt>
                <c:pt idx="6">
                  <c:v>132.02336965028547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67-4B9C-AE8F-2F3F6F3B92A1}"/>
            </c:ext>
          </c:extLst>
        </c:ser>
        <c:ser>
          <c:idx val="3"/>
          <c:order val="3"/>
          <c:tx>
            <c:strRef>
              <c:f>Charts!$C$132</c:f>
              <c:strCache>
                <c:ptCount val="1"/>
                <c:pt idx="0">
                  <c:v>Jurisdictional schemes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9.7701115823672649E-2"/>
                </c:manualLayout>
              </c:layout>
              <c:tx>
                <c:strRef>
                  <c:f>Charts!$G$129</c:f>
                  <c:strCache>
                    <c:ptCount val="1"/>
                    <c:pt idx="0">
                      <c:v>   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{06006A99-987B-4DE8-A9B6-FEDC51D17EDB}</c15:txfldGUID>
                      <c15:f>Charts!$G$129</c15:f>
                      <c15:dlblFieldTableCache>
                        <c:ptCount val="1"/>
                        <c:pt idx="0">
                          <c:v>   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067-4B9C-AE8F-2F3F6F3B92A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Charts!$D$127:$J$127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Charts!$D$132:$J$132</c:f>
              <c:numCache>
                <c:formatCode>_-* #,##0.00_-;\-* #,##0.00_-;_-* ""??_-;_-@_-</c:formatCode>
                <c:ptCount val="7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67-4B9C-AE8F-2F3F6F3B92A1}"/>
            </c:ext>
          </c:extLst>
        </c:ser>
        <c:ser>
          <c:idx val="4"/>
          <c:order val="4"/>
          <c:tx>
            <c:strRef>
              <c:f>Charts!$C$133</c:f>
              <c:strCache>
                <c:ptCount val="1"/>
                <c:pt idx="0">
                  <c:v>Metering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2.5073745439095577E-3"/>
                  <c:y val="2.3448267797681416E-2"/>
                </c:manualLayout>
              </c:layout>
              <c:tx>
                <c:strRef>
                  <c:f>Charts!$H$129</c:f>
                  <c:strCache>
                    <c:ptCount val="1"/>
                    <c:pt idx="0">
                      <c:v> +1.21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{57201E90-547E-4C10-83ED-571D5D305FF1}</c15:txfldGUID>
                      <c15:f>Charts!$H$129</c15:f>
                      <c15:dlblFieldTableCache>
                        <c:ptCount val="1"/>
                        <c:pt idx="0">
                          <c:v> +1.21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067-4B9C-AE8F-2F3F6F3B92A1}"/>
                </c:ext>
              </c:extLst>
            </c:dLbl>
            <c:numFmt formatCode="#,##0" sourceLinked="0"/>
            <c:spPr>
              <a:solidFill>
                <a:schemeClr val="bg1"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Charts!$D$127:$J$127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Charts!$D$133:$J$133</c:f>
              <c:numCache>
                <c:formatCode>_-* #,##0.00_-;\-* #,##0.00_-;_-* ""??_-;_-@_-</c:formatCode>
                <c:ptCount val="7"/>
                <c:pt idx="0">
                  <c:v>24.590050000000002</c:v>
                </c:pt>
                <c:pt idx="4">
                  <c:v>1.2099499999999956</c:v>
                </c:pt>
                <c:pt idx="6">
                  <c:v>25.799999999999997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67-4B9C-AE8F-2F3F6F3B92A1}"/>
            </c:ext>
          </c:extLst>
        </c:ser>
        <c:ser>
          <c:idx val="5"/>
          <c:order val="5"/>
          <c:tx>
            <c:strRef>
              <c:f>Charts!$C$134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chemeClr val="tx1"/>
              </a:solidFill>
              <a:prstDash val="dash"/>
            </a:ln>
            <a:effectLst/>
          </c:spPr>
          <c:invertIfNegative val="0"/>
          <c:dLbls>
            <c:dLbl>
              <c:idx val="5"/>
              <c:layout>
                <c:manualLayout>
                  <c:x val="9.1936004557447258E-17"/>
                  <c:y val="0.11191285860540651"/>
                </c:manualLayout>
              </c:layout>
              <c:tx>
                <c:strRef>
                  <c:f>Charts!$I$129</c:f>
                  <c:strCache>
                    <c:ptCount val="1"/>
                    <c:pt idx="0">
                      <c:v> +3.82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{A791C2F2-28BA-4EBF-BE89-4FDDCA06CFC7}</c15:txfldGUID>
                      <c15:f>Charts!$I$129</c15:f>
                      <c15:dlblFieldTableCache>
                        <c:ptCount val="1"/>
                        <c:pt idx="0">
                          <c:v> +3.82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067-4B9C-AE8F-2F3F6F3B9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Charts!$D$127:$J$127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Charts!$D$134:$J$134</c:f>
              <c:numCache>
                <c:formatCode>_-* #,##0.00_-;\-* #,##0.00_-;_-* ""??_-;_-@_-</c:formatCode>
                <c:ptCount val="7"/>
                <c:pt idx="5">
                  <c:v>3.8220619714506938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067-4B9C-AE8F-2F3F6F3B92A1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95298015"/>
        <c:axId val="295298671"/>
      </c:barChart>
      <c:catAx>
        <c:axId val="295298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98671"/>
        <c:crosses val="autoZero"/>
        <c:auto val="1"/>
        <c:lblAlgn val="ctr"/>
        <c:lblOffset val="100"/>
        <c:noMultiLvlLbl val="0"/>
      </c:catAx>
      <c:valAx>
        <c:axId val="2952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98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Charts!$C$137</c:f>
          <c:strCache>
            <c:ptCount val="1"/>
            <c:pt idx="0">
              <c:v>TasNetworks - Residential general light and power ($)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Charts!$C$138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Charts!$D$137:$J$137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Charts!$D$138:$J$138</c:f>
              <c:numCache>
                <c:formatCode>_-* #,##0.00_-;\-* #,##0.00_-;_-* ""??_-;_-@_-</c:formatCode>
                <c:ptCount val="7"/>
                <c:pt idx="1">
                  <c:v>497.77013581039711</c:v>
                </c:pt>
                <c:pt idx="2">
                  <c:v>497.77013581039711</c:v>
                </c:pt>
                <c:pt idx="3">
                  <c:v>501.42545924521011</c:v>
                </c:pt>
                <c:pt idx="4">
                  <c:v>501.42545924521011</c:v>
                </c:pt>
                <c:pt idx="5">
                  <c:v>502.63540924521004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4-4DFA-AC69-BDE2A49460C4}"/>
            </c:ext>
          </c:extLst>
        </c:ser>
        <c:ser>
          <c:idx val="1"/>
          <c:order val="1"/>
          <c:tx>
            <c:strRef>
              <c:f>Charts!$C$140</c:f>
              <c:strCache>
                <c:ptCount val="1"/>
                <c:pt idx="0">
                  <c:v>Distribution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3.5172401696522179E-2"/>
                </c:manualLayout>
              </c:layout>
              <c:tx>
                <c:strRef>
                  <c:f>Charts!$E$139</c:f>
                  <c:strCache>
                    <c:ptCount val="1"/>
                    <c:pt idx="0">
                      <c:v>-14.09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{3AAA281B-F261-4265-B65C-23D080A67D2C}</c15:txfldGUID>
                      <c15:f>Charts!$E$139</c15:f>
                      <c15:dlblFieldTableCache>
                        <c:ptCount val="1"/>
                        <c:pt idx="0">
                          <c:v>-14.09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2C4-4DFA-AC69-BDE2A49460C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Charts!$D$137:$J$137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Charts!$D$140:$J$140</c:f>
              <c:numCache>
                <c:formatCode>_-* #,##0.00_-;\-* #,##0.00_-;_-* ""??_-;_-@_-</c:formatCode>
                <c:ptCount val="7"/>
                <c:pt idx="0">
                  <c:v>421.89362957883145</c:v>
                </c:pt>
                <c:pt idx="1">
                  <c:v>14.087597506435998</c:v>
                </c:pt>
                <c:pt idx="6">
                  <c:v>407.80603207239545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C4-4DFA-AC69-BDE2A49460C4}"/>
            </c:ext>
          </c:extLst>
        </c:ser>
        <c:ser>
          <c:idx val="2"/>
          <c:order val="2"/>
          <c:tx>
            <c:strRef>
              <c:f>Charts!$C$141</c:f>
              <c:strCache>
                <c:ptCount val="1"/>
                <c:pt idx="0">
                  <c:v>Transmission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9.1936004557447258E-17"/>
                  <c:y val="3.5172401696522179E-2"/>
                </c:manualLayout>
              </c:layout>
              <c:tx>
                <c:strRef>
                  <c:f>Charts!$F$139</c:f>
                  <c:strCache>
                    <c:ptCount val="1"/>
                    <c:pt idx="0">
                      <c:v> +3.66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{4E9991D3-062C-460B-AB34-A758FFDF485D}</c15:txfldGUID>
                      <c15:f>Charts!$F$139</c15:f>
                      <c15:dlblFieldTableCache>
                        <c:ptCount val="1"/>
                        <c:pt idx="0">
                          <c:v> +3.66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2C4-4DFA-AC69-BDE2A49460C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Charts!$D$137:$J$137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Charts!$D$141:$J$141</c:f>
              <c:numCache>
                <c:formatCode>_-* #,##0.00_-;\-* #,##0.00_-;_-* ""??_-;_-@_-</c:formatCode>
                <c:ptCount val="7"/>
                <c:pt idx="0">
                  <c:v>65.374053738001606</c:v>
                </c:pt>
                <c:pt idx="2">
                  <c:v>3.655323434812999</c:v>
                </c:pt>
                <c:pt idx="6">
                  <c:v>69.029377172814606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C4-4DFA-AC69-BDE2A49460C4}"/>
            </c:ext>
          </c:extLst>
        </c:ser>
        <c:ser>
          <c:idx val="3"/>
          <c:order val="3"/>
          <c:tx>
            <c:strRef>
              <c:f>Charts!$C$142</c:f>
              <c:strCache>
                <c:ptCount val="1"/>
                <c:pt idx="0">
                  <c:v>Jurisdictional schemes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9.7701115823672649E-2"/>
                </c:manualLayout>
              </c:layout>
              <c:tx>
                <c:strRef>
                  <c:f>Charts!$G$139</c:f>
                  <c:strCache>
                    <c:ptCount val="1"/>
                    <c:pt idx="0">
                      <c:v>   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{DCB92AB4-439E-4CA2-9CCB-B34D34391B27}</c15:txfldGUID>
                      <c15:f>Charts!$G$139</c15:f>
                      <c15:dlblFieldTableCache>
                        <c:ptCount val="1"/>
                        <c:pt idx="0">
                          <c:v>   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72C4-4DFA-AC69-BDE2A49460C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Charts!$D$137:$J$137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Charts!$D$142:$J$142</c:f>
              <c:numCache>
                <c:formatCode>_-* #,##0.00_-;\-* #,##0.00_-;_-* ""??_-;_-@_-</c:formatCode>
                <c:ptCount val="7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C4-4DFA-AC69-BDE2A49460C4}"/>
            </c:ext>
          </c:extLst>
        </c:ser>
        <c:ser>
          <c:idx val="4"/>
          <c:order val="4"/>
          <c:tx>
            <c:strRef>
              <c:f>Charts!$C$143</c:f>
              <c:strCache>
                <c:ptCount val="1"/>
                <c:pt idx="0">
                  <c:v>Metering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9.1936004557447258E-17"/>
                  <c:y val="2.3448267797681416E-2"/>
                </c:manualLayout>
              </c:layout>
              <c:tx>
                <c:strRef>
                  <c:f>Charts!$H$139</c:f>
                  <c:strCache>
                    <c:ptCount val="1"/>
                    <c:pt idx="0">
                      <c:v> +1.21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{D461D978-BF3E-4A45-82C3-46CE00A00DEC}</c15:txfldGUID>
                      <c15:f>Charts!$H$139</c15:f>
                      <c15:dlblFieldTableCache>
                        <c:ptCount val="1"/>
                        <c:pt idx="0">
                          <c:v> +1.21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2C4-4DFA-AC69-BDE2A49460C4}"/>
                </c:ext>
              </c:extLst>
            </c:dLbl>
            <c:numFmt formatCode="#,##0" sourceLinked="0"/>
            <c:spPr>
              <a:solidFill>
                <a:schemeClr val="bg1"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Charts!$D$137:$J$137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Charts!$D$143:$J$143</c:f>
              <c:numCache>
                <c:formatCode>_-* #,##0.00_-;\-* #,##0.00_-;_-* ""??_-;_-@_-</c:formatCode>
                <c:ptCount val="7"/>
                <c:pt idx="0">
                  <c:v>24.590050000000002</c:v>
                </c:pt>
                <c:pt idx="4">
                  <c:v>1.2099499999999956</c:v>
                </c:pt>
                <c:pt idx="6">
                  <c:v>25.799999999999997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C4-4DFA-AC69-BDE2A49460C4}"/>
            </c:ext>
          </c:extLst>
        </c:ser>
        <c:ser>
          <c:idx val="5"/>
          <c:order val="5"/>
          <c:tx>
            <c:strRef>
              <c:f>Charts!$C$144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chemeClr val="tx1"/>
              </a:solidFill>
              <a:prstDash val="dash"/>
            </a:ln>
            <a:effectLst/>
          </c:spPr>
          <c:invertIfNegative val="0"/>
          <c:dLbls>
            <c:dLbl>
              <c:idx val="5"/>
              <c:layout>
                <c:manualLayout>
                  <c:x val="-5.0147490878190235E-3"/>
                  <c:y val="0.11191285860540651"/>
                </c:manualLayout>
              </c:layout>
              <c:tx>
                <c:strRef>
                  <c:f>Charts!$I$139</c:f>
                  <c:strCache>
                    <c:ptCount val="1"/>
                    <c:pt idx="0">
                      <c:v>-9.22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{3E832297-42FE-464F-9935-0F43B06491D8}</c15:txfldGUID>
                      <c15:f>Charts!$I$139</c15:f>
                      <c15:dlblFieldTableCache>
                        <c:ptCount val="1"/>
                        <c:pt idx="0">
                          <c:v>-9.22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2C4-4DFA-AC69-BDE2A4946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Charts!$D$137:$J$137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Charts!$D$144:$J$144</c:f>
              <c:numCache>
                <c:formatCode>_-* #,##0.00_-;\-* #,##0.00_-;_-* ""??_-;_-@_-</c:formatCode>
                <c:ptCount val="7"/>
                <c:pt idx="5">
                  <c:v>9.2223240716230634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C4-4DFA-AC69-BDE2A49460C4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95298015"/>
        <c:axId val="295298671"/>
      </c:barChart>
      <c:catAx>
        <c:axId val="295298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98671"/>
        <c:crosses val="autoZero"/>
        <c:auto val="1"/>
        <c:lblAlgn val="ctr"/>
        <c:lblOffset val="100"/>
        <c:noMultiLvlLbl val="0"/>
      </c:catAx>
      <c:valAx>
        <c:axId val="2952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98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Charts!$C$234</c:f>
          <c:strCache>
            <c:ptCount val="1"/>
            <c:pt idx="0">
              <c:v>TasNetworks - Small business time of use consumption ($)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Charts!$C$235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Charts!$D$234:$J$234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Charts!$D$235:$J$235</c:f>
              <c:numCache>
                <c:formatCode>_-* #,##0.00_-;\-* #,##0.00_-;_-* ""??_-;_-@_-</c:formatCode>
                <c:ptCount val="7"/>
                <c:pt idx="1">
                  <c:v>4315.2743622477874</c:v>
                </c:pt>
                <c:pt idx="2">
                  <c:v>4333.8022576759249</c:v>
                </c:pt>
                <c:pt idx="3">
                  <c:v>4385.1220179877346</c:v>
                </c:pt>
                <c:pt idx="4">
                  <c:v>4385.1220179877346</c:v>
                </c:pt>
                <c:pt idx="5">
                  <c:v>4315.2743622477874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1-4E19-8EFE-3852D02DB0CF}"/>
            </c:ext>
          </c:extLst>
        </c:ser>
        <c:ser>
          <c:idx val="1"/>
          <c:order val="1"/>
          <c:tx>
            <c:strRef>
              <c:f>Charts!$C$237</c:f>
              <c:strCache>
                <c:ptCount val="1"/>
                <c:pt idx="0">
                  <c:v>Distribution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3.12643570635752E-2"/>
                </c:manualLayout>
              </c:layout>
              <c:tx>
                <c:strRef>
                  <c:f>Charts!$E$236</c:f>
                  <c:strCache>
                    <c:ptCount val="1"/>
                    <c:pt idx="0">
                      <c:v> +18.53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{CA8BE4FD-3126-4E32-9057-9942A2C3C27B}</c15:txfldGUID>
                      <c15:f>Charts!$E$236</c15:f>
                      <c15:dlblFieldTableCache>
                        <c:ptCount val="1"/>
                        <c:pt idx="0">
                          <c:v> +18.53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431-4E19-8EFE-3852D02DB0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Charts!$D$234:$J$234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Charts!$D$237:$J$237</c:f>
              <c:numCache>
                <c:formatCode>_-* #,##0.00_-;\-* #,##0.00_-;_-* ""??_-;_-@_-</c:formatCode>
                <c:ptCount val="7"/>
                <c:pt idx="0">
                  <c:v>3402.4291693728392</c:v>
                </c:pt>
                <c:pt idx="1">
                  <c:v>18.527895428137072</c:v>
                </c:pt>
                <c:pt idx="6">
                  <c:v>3420.9570648009762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31-4E19-8EFE-3852D02DB0CF}"/>
            </c:ext>
          </c:extLst>
        </c:ser>
        <c:ser>
          <c:idx val="2"/>
          <c:order val="2"/>
          <c:tx>
            <c:strRef>
              <c:f>Charts!$C$238</c:f>
              <c:strCache>
                <c:ptCount val="1"/>
                <c:pt idx="0">
                  <c:v>Transmission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9.1936004557447258E-17"/>
                  <c:y val="3.517240169652211E-2"/>
                </c:manualLayout>
              </c:layout>
              <c:tx>
                <c:strRef>
                  <c:f>Charts!$F$236</c:f>
                  <c:strCache>
                    <c:ptCount val="1"/>
                    <c:pt idx="0">
                      <c:v> +51.32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{53DD19FC-909B-4508-B86E-ED9A35131597}</c15:txfldGUID>
                      <c15:f>Charts!$F$236</c15:f>
                      <c15:dlblFieldTableCache>
                        <c:ptCount val="1"/>
                        <c:pt idx="0">
                          <c:v> +51.32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431-4E19-8EFE-3852D02DB0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Charts!$D$234:$J$234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Charts!$D$238:$J$238</c:f>
              <c:numCache>
                <c:formatCode>_-* #,##0.00_-;\-* #,##0.00_-;_-* ""??_-;_-@_-</c:formatCode>
                <c:ptCount val="7"/>
                <c:pt idx="0">
                  <c:v>888.25514287494877</c:v>
                </c:pt>
                <c:pt idx="2">
                  <c:v>51.319760311809432</c:v>
                </c:pt>
                <c:pt idx="6">
                  <c:v>939.57490318675821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31-4E19-8EFE-3852D02DB0CF}"/>
            </c:ext>
          </c:extLst>
        </c:ser>
        <c:ser>
          <c:idx val="3"/>
          <c:order val="3"/>
          <c:tx>
            <c:strRef>
              <c:f>Charts!$C$239</c:f>
              <c:strCache>
                <c:ptCount val="1"/>
                <c:pt idx="0">
                  <c:v>Jurisdictional schemes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5073745439096497E-3"/>
                  <c:y val="9.7701115823672718E-2"/>
                </c:manualLayout>
              </c:layout>
              <c:tx>
                <c:strRef>
                  <c:f>Charts!$G$236</c:f>
                  <c:strCache>
                    <c:ptCount val="1"/>
                    <c:pt idx="0">
                      <c:v>   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{330E957E-C8B1-4B5F-A314-17E25953D072}</c15:txfldGUID>
                      <c15:f>Charts!$G$236</c15:f>
                      <c15:dlblFieldTableCache>
                        <c:ptCount val="1"/>
                        <c:pt idx="0">
                          <c:v>   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3431-4E19-8EFE-3852D02DB0C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Charts!$D$234:$J$234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Charts!$D$239:$J$239</c:f>
              <c:numCache>
                <c:formatCode>_-* #,##0.00_-;\-* #,##0.00_-;_-* ""??_-;_-@_-</c:formatCode>
                <c:ptCount val="7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31-4E19-8EFE-3852D02DB0CF}"/>
            </c:ext>
          </c:extLst>
        </c:ser>
        <c:ser>
          <c:idx val="4"/>
          <c:order val="4"/>
          <c:tx>
            <c:strRef>
              <c:f>Charts!$C$240</c:f>
              <c:strCache>
                <c:ptCount val="1"/>
                <c:pt idx="0">
                  <c:v>Metering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3.1264357063575235E-2"/>
                </c:manualLayout>
              </c:layout>
              <c:tx>
                <c:strRef>
                  <c:f>Charts!$H$236</c:f>
                  <c:strCache>
                    <c:ptCount val="1"/>
                    <c:pt idx="0">
                      <c:v> +1.21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{09C07715-8458-4E05-80F5-A0504F3E7AA0}</c15:txfldGUID>
                      <c15:f>Charts!$H$236</c15:f>
                      <c15:dlblFieldTableCache>
                        <c:ptCount val="1"/>
                        <c:pt idx="0">
                          <c:v> +1.21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431-4E19-8EFE-3852D02DB0CF}"/>
                </c:ext>
              </c:extLst>
            </c:dLbl>
            <c:dLbl>
              <c:idx val="6"/>
              <c:numFmt formatCode="#,##0" sourceLinked="0"/>
              <c:spPr>
                <a:solidFill>
                  <a:schemeClr val="bg1">
                    <a:alpha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ln>
                        <a:noFill/>
                      </a:ln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C-3431-4E19-8EFE-3852D02DB0CF}"/>
                </c:ext>
              </c:extLst>
            </c:dLbl>
            <c:numFmt formatCode="#,##0" sourceLinked="0"/>
            <c:spPr>
              <a:solidFill>
                <a:schemeClr val="bg1"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Charts!$D$234:$J$234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Charts!$D$240:$J$240</c:f>
              <c:numCache>
                <c:formatCode>_-* #,##0.00_-;\-* #,##0.00_-;_-* ""??_-;_-@_-</c:formatCode>
                <c:ptCount val="7"/>
                <c:pt idx="0">
                  <c:v>24.590050000000002</c:v>
                </c:pt>
                <c:pt idx="4">
                  <c:v>1.2099499999999956</c:v>
                </c:pt>
                <c:pt idx="6">
                  <c:v>25.799999999999997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31-4E19-8EFE-3852D02DB0CF}"/>
            </c:ext>
          </c:extLst>
        </c:ser>
        <c:ser>
          <c:idx val="5"/>
          <c:order val="5"/>
          <c:tx>
            <c:strRef>
              <c:f>Charts!$C$241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chemeClr val="tx1"/>
              </a:solidFill>
              <a:prstDash val="dash"/>
            </a:ln>
            <a:effectLst/>
          </c:spPr>
          <c:invertIfNegative val="0"/>
          <c:dLbls>
            <c:dLbl>
              <c:idx val="5"/>
              <c:layout>
                <c:manualLayout>
                  <c:x val="-5.0147490878192074E-3"/>
                  <c:y val="0.11759429388557184"/>
                </c:manualLayout>
              </c:layout>
              <c:tx>
                <c:strRef>
                  <c:f>Charts!$I$236</c:f>
                  <c:strCache>
                    <c:ptCount val="1"/>
                    <c:pt idx="0">
                      <c:v> +71.06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{40E3D32C-9736-43CC-A075-DE075EA0C85F}</c15:txfldGUID>
                      <c15:f>Charts!$I$236</c15:f>
                      <c15:dlblFieldTableCache>
                        <c:ptCount val="1"/>
                        <c:pt idx="0">
                          <c:v> +71.06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431-4E19-8EFE-3852D02DB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Charts!$D$234:$J$234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Charts!$D$241:$J$241</c:f>
              <c:numCache>
                <c:formatCode>_-* #,##0.00_-;\-* #,##0.00_-;_-* ""??_-;_-@_-</c:formatCode>
                <c:ptCount val="7"/>
                <c:pt idx="5">
                  <c:v>71.057605739947576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31-4E19-8EFE-3852D02DB0CF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95298015"/>
        <c:axId val="295298671"/>
      </c:barChart>
      <c:catAx>
        <c:axId val="295298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98671"/>
        <c:crosses val="autoZero"/>
        <c:auto val="1"/>
        <c:lblAlgn val="ctr"/>
        <c:lblOffset val="100"/>
        <c:noMultiLvlLbl val="0"/>
      </c:catAx>
      <c:valAx>
        <c:axId val="2952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98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Charts!$C$244</c:f>
          <c:strCache>
            <c:ptCount val="1"/>
            <c:pt idx="0">
              <c:v>TasNetworks - Small business general light and power ($)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Charts!$C$245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Charts!$D$244:$J$244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Charts!$D$245:$J$245</c:f>
              <c:numCache>
                <c:formatCode>_-* #,##0.00_-;\-* #,##0.00_-;_-* ""??_-;_-@_-</c:formatCode>
                <c:ptCount val="7"/>
                <c:pt idx="1">
                  <c:v>1034.3444843802883</c:v>
                </c:pt>
                <c:pt idx="2">
                  <c:v>1034.3444843802883</c:v>
                </c:pt>
                <c:pt idx="3">
                  <c:v>1043.7605390162773</c:v>
                </c:pt>
                <c:pt idx="4">
                  <c:v>1043.7605390162773</c:v>
                </c:pt>
                <c:pt idx="5">
                  <c:v>1038.7470509113534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7-4253-A57F-D67A197B0DBA}"/>
            </c:ext>
          </c:extLst>
        </c:ser>
        <c:ser>
          <c:idx val="1"/>
          <c:order val="1"/>
          <c:tx>
            <c:strRef>
              <c:f>Charts!$C$247</c:f>
              <c:strCache>
                <c:ptCount val="1"/>
                <c:pt idx="0">
                  <c:v>Distribution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5073745439095577E-3"/>
                  <c:y val="3.517240169652211E-2"/>
                </c:manualLayout>
              </c:layout>
              <c:tx>
                <c:strRef>
                  <c:f>Charts!$E$246</c:f>
                  <c:strCache>
                    <c:ptCount val="1"/>
                    <c:pt idx="0">
                      <c:v>-4.40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{6FF83619-4C7C-45F8-AF5D-D680A75B1D0B}</c15:txfldGUID>
                      <c15:f>Charts!$E$246</c15:f>
                      <c15:dlblFieldTableCache>
                        <c:ptCount val="1"/>
                        <c:pt idx="0">
                          <c:v>-4.40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427-4253-A57F-D67A197B0DB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Charts!$D$244:$J$244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Charts!$D$247:$J$247</c:f>
              <c:numCache>
                <c:formatCode>_-* #,##0.00_-;\-* #,##0.00_-;_-* ""??_-;_-@_-</c:formatCode>
                <c:ptCount val="7"/>
                <c:pt idx="0">
                  <c:v>844.90768530616424</c:v>
                </c:pt>
                <c:pt idx="1">
                  <c:v>4.4025665310650766</c:v>
                </c:pt>
                <c:pt idx="6">
                  <c:v>840.50511877509916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27-4253-A57F-D67A197B0DBA}"/>
            </c:ext>
          </c:extLst>
        </c:ser>
        <c:ser>
          <c:idx val="2"/>
          <c:order val="2"/>
          <c:tx>
            <c:strRef>
              <c:f>Charts!$C$248</c:f>
              <c:strCache>
                <c:ptCount val="1"/>
                <c:pt idx="0">
                  <c:v>Transmission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9.1936004557447258E-17"/>
                  <c:y val="3.517240169652211E-2"/>
                </c:manualLayout>
              </c:layout>
              <c:tx>
                <c:strRef>
                  <c:f>Charts!$F$246</c:f>
                  <c:strCache>
                    <c:ptCount val="1"/>
                    <c:pt idx="0">
                      <c:v> +9.42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{271A45FE-159F-4903-9AB3-9EADFD76AEDD}</c15:txfldGUID>
                      <c15:f>Charts!$F$246</c15:f>
                      <c15:dlblFieldTableCache>
                        <c:ptCount val="1"/>
                        <c:pt idx="0">
                          <c:v> +9.42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427-4253-A57F-D67A197B0DB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Charts!$D$244:$J$244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Charts!$D$248:$J$248</c:f>
              <c:numCache>
                <c:formatCode>_-* #,##0.00_-;\-* #,##0.00_-;_-* ""??_-;_-@_-</c:formatCode>
                <c:ptCount val="7"/>
                <c:pt idx="0">
                  <c:v>168.40251560518914</c:v>
                </c:pt>
                <c:pt idx="2">
                  <c:v>9.4160546359890702</c:v>
                </c:pt>
                <c:pt idx="6">
                  <c:v>177.81857024117821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27-4253-A57F-D67A197B0DBA}"/>
            </c:ext>
          </c:extLst>
        </c:ser>
        <c:ser>
          <c:idx val="3"/>
          <c:order val="3"/>
          <c:tx>
            <c:strRef>
              <c:f>Charts!$C$249</c:f>
              <c:strCache>
                <c:ptCount val="1"/>
                <c:pt idx="0">
                  <c:v>Jurisdictional schemes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5073745439096497E-3"/>
                  <c:y val="9.3793071190725816E-2"/>
                </c:manualLayout>
              </c:layout>
              <c:tx>
                <c:strRef>
                  <c:f>Charts!$G$246</c:f>
                  <c:strCache>
                    <c:ptCount val="1"/>
                    <c:pt idx="0">
                      <c:v>   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{E1E6C08A-0E57-46C1-9091-9F572B74E3C8}</c15:txfldGUID>
                      <c15:f>Charts!$G$246</c15:f>
                      <c15:dlblFieldTableCache>
                        <c:ptCount val="1"/>
                        <c:pt idx="0">
                          <c:v>   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3427-4253-A57F-D67A197B0DB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Charts!$D$244:$J$244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Charts!$D$249:$J$249</c:f>
              <c:numCache>
                <c:formatCode>_-* #,##0.00_-;\-* #,##0.00_-;_-* ""??_-;_-@_-</c:formatCode>
                <c:ptCount val="7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27-4253-A57F-D67A197B0DBA}"/>
            </c:ext>
          </c:extLst>
        </c:ser>
        <c:ser>
          <c:idx val="4"/>
          <c:order val="4"/>
          <c:tx>
            <c:strRef>
              <c:f>Charts!$C$250</c:f>
              <c:strCache>
                <c:ptCount val="1"/>
                <c:pt idx="0">
                  <c:v>Metering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2.3448267797681416E-2"/>
                </c:manualLayout>
              </c:layout>
              <c:tx>
                <c:strRef>
                  <c:f>Charts!$H$246</c:f>
                  <c:strCache>
                    <c:ptCount val="1"/>
                    <c:pt idx="0">
                      <c:v> +1.25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{1987C1F9-45E9-46CC-BBF3-ADBE6BE52BCC}</c15:txfldGUID>
                      <c15:f>Charts!$H$246</c15:f>
                      <c15:dlblFieldTableCache>
                        <c:ptCount val="1"/>
                        <c:pt idx="0">
                          <c:v> +1.25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427-4253-A57F-D67A197B0DBA}"/>
                </c:ext>
              </c:extLst>
            </c:dLbl>
            <c:numFmt formatCode="#,##0" sourceLinked="0"/>
            <c:spPr>
              <a:solidFill>
                <a:schemeClr val="bg1"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Charts!$D$244:$J$244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Charts!$D$250:$J$250</c:f>
              <c:numCache>
                <c:formatCode>_-* #,##0.00_-;\-* #,##0.00_-;_-* ""??_-;_-@_-</c:formatCode>
                <c:ptCount val="7"/>
                <c:pt idx="0">
                  <c:v>25.436849999999996</c:v>
                </c:pt>
                <c:pt idx="4">
                  <c:v>1.2531500000000015</c:v>
                </c:pt>
                <c:pt idx="6">
                  <c:v>26.689999999999998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27-4253-A57F-D67A197B0DBA}"/>
            </c:ext>
          </c:extLst>
        </c:ser>
        <c:ser>
          <c:idx val="5"/>
          <c:order val="5"/>
          <c:tx>
            <c:strRef>
              <c:f>Charts!$C$251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chemeClr val="tx1"/>
              </a:solidFill>
              <a:prstDash val="dash"/>
            </a:ln>
            <a:effectLst/>
          </c:spPr>
          <c:invertIfNegative val="0"/>
          <c:dLbls>
            <c:dLbl>
              <c:idx val="5"/>
              <c:layout>
                <c:manualLayout>
                  <c:x val="9.1936004557447258E-17"/>
                  <c:y val="0.11368624925262492"/>
                </c:manualLayout>
              </c:layout>
              <c:tx>
                <c:strRef>
                  <c:f>Charts!$I$246</c:f>
                  <c:strCache>
                    <c:ptCount val="1"/>
                    <c:pt idx="0">
                      <c:v> +6.27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{63701852-3614-40BC-9C55-F5108F65BD88}</c15:txfldGUID>
                      <c15:f>Charts!$I$246</c15:f>
                      <c15:dlblFieldTableCache>
                        <c:ptCount val="1"/>
                        <c:pt idx="0">
                          <c:v> +6.27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427-4253-A57F-D67A197B0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Charts!$D$244:$J$244</c:f>
              <c:strCache>
                <c:ptCount val="7"/>
                <c:pt idx="0">
                  <c:v> 2021–22 </c:v>
                </c:pt>
                <c:pt idx="1">
                  <c:v> Distribution </c:v>
                </c:pt>
                <c:pt idx="2">
                  <c:v> Transmission </c:v>
                </c:pt>
                <c:pt idx="3">
                  <c:v> Jurisdictional schemes </c:v>
                </c:pt>
                <c:pt idx="4">
                  <c:v> Metering </c:v>
                </c:pt>
                <c:pt idx="5">
                  <c:v> Total movement </c:v>
                </c:pt>
                <c:pt idx="6">
                  <c:v> 2022–23 </c:v>
                </c:pt>
              </c:strCache>
            </c:strRef>
          </c:cat>
          <c:val>
            <c:numRef>
              <c:f>Charts!$D$251:$J$251</c:f>
              <c:numCache>
                <c:formatCode>_-* #,##0.00_-;\-* #,##0.00_-;_-* ""??_-;_-@_-</c:formatCode>
                <c:ptCount val="7"/>
                <c:pt idx="5">
                  <c:v>6.2666381049239135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27-4253-A57F-D67A197B0DB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95298015"/>
        <c:axId val="295298671"/>
      </c:barChart>
      <c:catAx>
        <c:axId val="295298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98671"/>
        <c:crosses val="autoZero"/>
        <c:auto val="1"/>
        <c:lblAlgn val="ctr"/>
        <c:lblOffset val="100"/>
        <c:noMultiLvlLbl val="0"/>
      </c:catAx>
      <c:valAx>
        <c:axId val="2952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98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Charts!$C$175</c:f>
          <c:strCache>
            <c:ptCount val="1"/>
            <c:pt idx="0">
              <c:v>TasNetworks - Residential time of use consumption ($)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Charts!$C$176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Charts!$D$175:$M$175</c15:sqref>
                  </c15:fullRef>
                </c:ext>
              </c:extLst>
              <c:f>(Charts!$D$175:$F$175,Charts!$H$175:$M$175)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Charts!$D$176:$M$176</c15:sqref>
                  </c15:fullRef>
                </c:ext>
              </c:extLst>
              <c:f>(Charts!$D$176:$F$176,Charts!$H$176:$M$176)</c:f>
              <c:numCache>
                <c:formatCode>_-* #,##0.00_-;\-* #,##0.00_-;_-* ""??_-;_-@_-</c:formatCode>
                <c:ptCount val="9"/>
                <c:pt idx="1">
                  <c:v>756.82669188341129</c:v>
                </c:pt>
                <c:pt idx="2">
                  <c:v>776.70184822327587</c:v>
                </c:pt>
                <c:pt idx="3">
                  <c:v>788.01539785889008</c:v>
                </c:pt>
                <c:pt idx="4">
                  <c:v>775.35379154548309</c:v>
                </c:pt>
                <c:pt idx="5">
                  <c:v>775.35379154548309</c:v>
                </c:pt>
                <c:pt idx="6">
                  <c:v>760.64875385486198</c:v>
                </c:pt>
                <c:pt idx="7">
                  <c:v>756.82669188341129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BA22-498D-84C8-3DEBE97DBBE3}"/>
            </c:ext>
          </c:extLst>
        </c:ser>
        <c:ser>
          <c:idx val="11"/>
          <c:order val="1"/>
          <c:tx>
            <c:strRef>
              <c:f>Charts!$C$178</c:f>
              <c:strCache>
                <c:ptCount val="1"/>
                <c:pt idx="0">
                  <c:v>Base revenue (debt update)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1"/>
              <c:layout>
                <c:manualLayout>
                  <c:x val="-1.5891936831678361E-3"/>
                  <c:y val="5.0862881053233527E-2"/>
                </c:manualLayout>
              </c:layout>
              <c:tx>
                <c:strRef>
                  <c:f>Charts!$E$177</c:f>
                  <c:strCache>
                    <c:ptCount val="1"/>
                    <c:pt idx="0">
                      <c:v> +19.88 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{565CA10F-F4F5-45F2-80C9-A7620B34E801}</c15:txfldGUID>
                      <c15:f>Charts!$E$177</c15:f>
                      <c15:dlblFieldTableCache>
                        <c:ptCount val="1"/>
                        <c:pt idx="0">
                          <c:v> +19.88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9-BA22-498D-84C8-3DEBE97DBBE3}"/>
                </c:ext>
              </c:extLst>
            </c:dLbl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Charts!$D$175:$M$175</c15:sqref>
                  </c15:fullRef>
                </c:ext>
              </c:extLst>
              <c:f>(Charts!$D$175:$F$175,Charts!$H$175:$M$175)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Charts!$D$178:$M$178</c15:sqref>
                  </c15:fullRef>
                </c:ext>
              </c:extLst>
              <c:f>(Charts!$D$178:$F$178,Charts!$H$178:$M$178)</c:f>
              <c:numCache>
                <c:formatCode>_-* #,##0.00_-;\-* #,##0.00_-;_-* ""??_-;_-@_-</c:formatCode>
                <c:ptCount val="9"/>
                <c:pt idx="1">
                  <c:v>19.875156339864549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A22-498D-84C8-3DEBE97DBBE3}"/>
            </c:ext>
          </c:extLst>
        </c:ser>
        <c:ser>
          <c:idx val="12"/>
          <c:order val="2"/>
          <c:tx>
            <c:strRef>
              <c:f>Charts!$C$179</c:f>
              <c:strCache>
                <c:ptCount val="1"/>
                <c:pt idx="0">
                  <c:v>Transmission costs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5.4495943985607413E-2"/>
                </c:manualLayout>
              </c:layout>
              <c:tx>
                <c:strRef>
                  <c:f>Charts!$F$177</c:f>
                  <c:strCache>
                    <c:ptCount val="1"/>
                    <c:pt idx="0">
                      <c:v> +11.31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{E9F4B5C6-4121-4D12-99F7-86E087C6A672}</c15:txfldGUID>
                      <c15:f>Charts!$F$177</c15:f>
                      <c15:dlblFieldTableCache>
                        <c:ptCount val="1"/>
                        <c:pt idx="0">
                          <c:v> +11.31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A-BA22-498D-84C8-3DEBE97DBBE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Charts!$D$175:$M$175</c15:sqref>
                  </c15:fullRef>
                </c:ext>
              </c:extLst>
              <c:f>(Charts!$D$175:$F$175,Charts!$H$175:$M$175)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Charts!$D$179:$M$179</c15:sqref>
                  </c15:fullRef>
                </c:ext>
              </c:extLst>
              <c:f>(Charts!$D$179:$F$179,Charts!$H$179:$M$179)</c:f>
              <c:numCache>
                <c:formatCode>_-* #,##0.00_-;\-* #,##0.00_-;_-* ""??_-;_-@_-</c:formatCode>
                <c:ptCount val="9"/>
                <c:pt idx="2">
                  <c:v>11.313549635614178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A22-498D-84C8-3DEBE97DBBE3}"/>
            </c:ext>
          </c:extLst>
        </c:ser>
        <c:ser>
          <c:idx val="14"/>
          <c:order val="4"/>
          <c:tx>
            <c:strRef>
              <c:f>Charts!$C$181</c:f>
              <c:strCache>
                <c:ptCount val="1"/>
                <c:pt idx="0">
                  <c:v>Under/over recoveries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3"/>
              <c:layout>
                <c:manualLayout>
                  <c:x val="-1.5891936831678945E-3"/>
                  <c:y val="5.4495943985607281E-2"/>
                </c:manualLayout>
              </c:layout>
              <c:tx>
                <c:strRef>
                  <c:f>Charts!$H$177</c:f>
                  <c:strCache>
                    <c:ptCount val="1"/>
                    <c:pt idx="0">
                      <c:v> +1.22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{EFF6B848-4AA5-4151-873A-9CB5DA88C01B}</c15:txfldGUID>
                      <c15:f>Charts!$H$177</c15:f>
                      <c15:dlblFieldTableCache>
                        <c:ptCount val="1"/>
                        <c:pt idx="0">
                          <c:v> +1.22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C-BA22-498D-84C8-3DEBE97DBBE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Charts!$D$175:$M$175</c15:sqref>
                  </c15:fullRef>
                </c:ext>
              </c:extLst>
              <c:f>(Charts!$D$175:$F$175,Charts!$H$175:$M$175)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Charts!$D$181:$M$181</c15:sqref>
                  </c15:fullRef>
                </c:ext>
              </c:extLst>
              <c:f>(Charts!$D$181:$F$181,Charts!$H$181:$M$181)</c:f>
              <c:numCache>
                <c:formatCode>_-* #,##0.00_-;\-* #,##0.00_-;_-* ""??_-;_-@_-</c:formatCode>
                <c:ptCount val="9"/>
                <c:pt idx="3">
                  <c:v>1.2245418511791273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BA22-498D-84C8-3DEBE97DBBE3}"/>
            </c:ext>
          </c:extLst>
        </c:ser>
        <c:ser>
          <c:idx val="15"/>
          <c:order val="5"/>
          <c:tx>
            <c:strRef>
              <c:f>Charts!$C$182</c:f>
              <c:strCache>
                <c:ptCount val="1"/>
                <c:pt idx="0">
                  <c:v>Incentive schemes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4"/>
              <c:layout>
                <c:manualLayout>
                  <c:x val="-1.1653952382445072E-16"/>
                  <c:y val="5.0862881053233527E-2"/>
                </c:manualLayout>
              </c:layout>
              <c:tx>
                <c:strRef>
                  <c:f>Charts!$I$177</c:f>
                  <c:strCache>
                    <c:ptCount val="1"/>
                    <c:pt idx="0">
                      <c:v>-13.89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{0010C943-0425-4E15-9420-0CD6BB13C63E}</c15:txfldGUID>
                      <c15:f>Charts!$I$177</c15:f>
                      <c15:dlblFieldTableCache>
                        <c:ptCount val="1"/>
                        <c:pt idx="0">
                          <c:v>-13.89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D-BA22-498D-84C8-3DEBE97DBBE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Charts!$D$175:$M$175</c15:sqref>
                  </c15:fullRef>
                </c:ext>
              </c:extLst>
              <c:f>(Charts!$D$175:$F$175,Charts!$H$175:$M$175)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Charts!$D$182:$M$182</c15:sqref>
                  </c15:fullRef>
                </c:ext>
              </c:extLst>
              <c:f>(Charts!$D$182:$F$182,Charts!$H$182:$M$182)</c:f>
              <c:numCache>
                <c:formatCode>_-* #,##0.00_-;\-* #,##0.00_-;_-* ""??_-;_-@_-</c:formatCode>
                <c:ptCount val="9"/>
                <c:pt idx="4">
                  <c:v>13.886148164586031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BA22-498D-84C8-3DEBE97DBBE3}"/>
            </c:ext>
          </c:extLst>
        </c:ser>
        <c:ser>
          <c:idx val="16"/>
          <c:order val="6"/>
          <c:tx>
            <c:strRef>
              <c:f>Charts!$C$183</c:f>
              <c:strCache>
                <c:ptCount val="1"/>
                <c:pt idx="0">
                  <c:v>Cost pass-throughs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5"/>
              <c:layout>
                <c:manualLayout>
                  <c:x val="-1.1653952382445072E-16"/>
                  <c:y val="4.7229818120859739E-2"/>
                </c:manualLayout>
              </c:layout>
              <c:tx>
                <c:strRef>
                  <c:f>Charts!$J$177</c:f>
                  <c:strCache>
                    <c:ptCount val="1"/>
                    <c:pt idx="0">
                      <c:v>   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{F99A6656-8CE4-4A61-86F1-4B0D8ED08189}</c15:txfldGUID>
                      <c15:f>Charts!$J$177</c15:f>
                      <c15:dlblFieldTableCache>
                        <c:ptCount val="1"/>
                        <c:pt idx="0">
                          <c:v>   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E-BA22-498D-84C8-3DEBE97DBBE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Charts!$D$175:$M$175</c15:sqref>
                  </c15:fullRef>
                </c:ext>
              </c:extLst>
              <c:f>(Charts!$D$175:$F$175,Charts!$H$175:$M$175)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Charts!$D$183:$M$183</c15:sqref>
                  </c15:fullRef>
                </c:ext>
              </c:extLst>
              <c:f>(Charts!$D$183:$F$183,Charts!$H$183:$M$183)</c:f>
              <c:numCache>
                <c:formatCode>_-* #,##0.00_-;\-* #,##0.00_-;_-* ""??_-;_-@_-</c:formatCode>
                <c:ptCount val="9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BA22-498D-84C8-3DEBE97DBBE3}"/>
            </c:ext>
          </c:extLst>
        </c:ser>
        <c:ser>
          <c:idx val="17"/>
          <c:order val="7"/>
          <c:tx>
            <c:strRef>
              <c:f>Charts!$C$184</c:f>
              <c:strCache>
                <c:ptCount val="1"/>
                <c:pt idx="0">
                  <c:v>Other adj./ rebalancing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0.13442332849783145"/>
                </c:manualLayout>
              </c:layout>
              <c:tx>
                <c:strRef>
                  <c:f>Charts!$K$177</c:f>
                  <c:strCache>
                    <c:ptCount val="1"/>
                    <c:pt idx="0">
                      <c:v>-14.71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{CE08CD78-6DF2-48EE-823B-8A095DB1B2AC}</c15:txfldGUID>
                      <c15:f>Charts!$K$177</c15:f>
                      <c15:dlblFieldTableCache>
                        <c:ptCount val="1"/>
                        <c:pt idx="0">
                          <c:v>-14.71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F-BA22-498D-84C8-3DEBE97DBBE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Charts!$D$175:$M$175</c15:sqref>
                  </c15:fullRef>
                </c:ext>
              </c:extLst>
              <c:f>(Charts!$D$175:$F$175,Charts!$H$175:$M$175)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Charts!$D$184:$M$184</c15:sqref>
                  </c15:fullRef>
                </c:ext>
              </c:extLst>
              <c:f>(Charts!$D$184:$F$184,Charts!$H$184:$M$184)</c:f>
              <c:numCache>
                <c:formatCode>_-* #,##0.00_-;\-* #,##0.00_-;_-* ""??_-;_-@_-</c:formatCode>
                <c:ptCount val="9"/>
                <c:pt idx="6">
                  <c:v>14.705037690621126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A22-498D-84C8-3DEBE97DBBE3}"/>
            </c:ext>
          </c:extLst>
        </c:ser>
        <c:ser>
          <c:idx val="18"/>
          <c:order val="8"/>
          <c:tx>
            <c:strRef>
              <c:f>Charts!$C$185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chemeClr val="tx1"/>
              </a:solidFill>
              <a:prstDash val="dash"/>
            </a:ln>
          </c:spPr>
          <c:invertIfNegative val="0"/>
          <c:dLbls>
            <c:dLbl>
              <c:idx val="7"/>
              <c:layout>
                <c:manualLayout>
                  <c:x val="0"/>
                  <c:y val="8.3560447444597938E-2"/>
                </c:manualLayout>
              </c:layout>
              <c:tx>
                <c:strRef>
                  <c:f>Charts!$L$177</c:f>
                  <c:strCache>
                    <c:ptCount val="1"/>
                    <c:pt idx="0">
                      <c:v> +3.82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{12552E01-E4F9-4E0C-B367-551852869A29}</c15:txfldGUID>
                      <c15:f>Charts!$L$177</c15:f>
                      <c15:dlblFieldTableCache>
                        <c:ptCount val="1"/>
                        <c:pt idx="0">
                          <c:v> +3.82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40-BA22-498D-84C8-3DEBE97DBBE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Charts!$D$175:$M$175</c15:sqref>
                  </c15:fullRef>
                </c:ext>
              </c:extLst>
              <c:f>(Charts!$D$175:$F$175,Charts!$H$175:$M$175)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Charts!$D$185:$M$185</c15:sqref>
                  </c15:fullRef>
                </c:ext>
              </c:extLst>
              <c:f>(Charts!$D$185:$F$185,Charts!$H$185:$M$185)</c:f>
              <c:numCache>
                <c:formatCode>_-* #,##0.00_-;\-* #,##0.00_-;_-* ""??_-;_-@_-</c:formatCode>
                <c:ptCount val="9"/>
                <c:pt idx="7">
                  <c:v>3.8220619714506938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BA22-498D-84C8-3DEBE97DBBE3}"/>
            </c:ext>
          </c:extLst>
        </c:ser>
        <c:ser>
          <c:idx val="19"/>
          <c:order val="9"/>
          <c:tx>
            <c:strRef>
              <c:f>Charts!$C$186</c:f>
              <c:strCache>
                <c:ptCount val="1"/>
                <c:pt idx="0">
                  <c:v>Total NUOS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Charts!$D$175:$M$175</c15:sqref>
                  </c15:fullRef>
                </c:ext>
              </c:extLst>
              <c:f>(Charts!$D$175:$F$175,Charts!$H$175:$M$175)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Charts!$D$186:$M$186</c15:sqref>
                  </c15:fullRef>
                </c:ext>
              </c:extLst>
              <c:f>(Charts!$D$186:$F$186,Charts!$H$186:$M$186)</c:f>
              <c:numCache>
                <c:formatCode>_-* #,##0.00_-;\-* #,##0.00_-;_-* ""??_-;_-@_-</c:formatCode>
                <c:ptCount val="9"/>
                <c:pt idx="0">
                  <c:v>756.82669188341129</c:v>
                </c:pt>
                <c:pt idx="8">
                  <c:v>760.64875385486198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BA22-498D-84C8-3DEBE97DBB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12789880"/>
        <c:axId val="1312790208"/>
        <c:extLst>
          <c:ext xmlns:c15="http://schemas.microsoft.com/office/drawing/2012/chart" uri="{02D57815-91ED-43cb-92C2-25804820EDAC}">
            <c15:filteredBarSeries>
              <c15:ser>
                <c:idx val="13"/>
                <c:order val="3"/>
                <c:tx>
                  <c:strRef>
                    <c:extLst>
                      <c:ext uri="{02D57815-91ED-43cb-92C2-25804820EDAC}">
                        <c15:formulaRef>
                          <c15:sqref>Charts!$C$180</c15:sqref>
                        </c15:formulaRef>
                      </c:ext>
                    </c:extLst>
                    <c:strCache>
                      <c:ptCount val="1"/>
                      <c:pt idx="0">
                        <c:v>Jurisdictional scheme costs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Charts!$D$175:$M$175</c15:sqref>
                        </c15:fullRef>
                        <c15:formulaRef>
                          <c15:sqref>(Charts!$D$175:$F$175,Charts!$H$175:$M$175)</c15:sqref>
                        </c15:formulaRef>
                      </c:ext>
                    </c:extLst>
                    <c:strCache>
                      <c:ptCount val="9"/>
                      <c:pt idx="0">
                        <c:v>2021–22</c:v>
                      </c:pt>
                      <c:pt idx="1">
                        <c:v>Base revenue (debt update)</c:v>
                      </c:pt>
                      <c:pt idx="2">
                        <c:v>Transmission costs</c:v>
                      </c:pt>
                      <c:pt idx="3">
                        <c:v>Under/over recoveries</c:v>
                      </c:pt>
                      <c:pt idx="4">
                        <c:v>Incentive schemes</c:v>
                      </c:pt>
                      <c:pt idx="5">
                        <c:v>Cost pass-throughs</c:v>
                      </c:pt>
                      <c:pt idx="6">
                        <c:v>Other adj./ rebalancing</c:v>
                      </c:pt>
                      <c:pt idx="7">
                        <c:v>Total movement</c:v>
                      </c:pt>
                      <c:pt idx="8">
                        <c:v>2022–23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Charts!$D$180:$M$180</c15:sqref>
                        </c15:fullRef>
                        <c15:formulaRef>
                          <c15:sqref>(Charts!$D$180:$F$180,Charts!$H$180:$M$180)</c15:sqref>
                        </c15:formulaRef>
                      </c:ext>
                    </c:extLst>
                    <c:numCache>
                      <c:formatCode>_-* #,##0.00_-;\-* #,##0.00_-;_-* ""??_-;_-@_-</c:formatCode>
                      <c:ptCount val="9"/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Charts!$G$180</c15:sqref>
                        <c15:dLbl>
                          <c:idx val="2"/>
                          <c:layout>
                            <c:manualLayout>
                              <c:x val="-1.5891936831678945E-3"/>
                              <c:y val="5.4495943985607351E-2"/>
                            </c:manualLayout>
                          </c:layout>
                          <c:tx>
                            <c:strRef>
                              <c:f>Charts!$G$177</c:f>
                              <c:strCache>
                                <c:ptCount val="1"/>
                                <c:pt idx="0">
                                  <c:v>    </c:v>
                                </c:pt>
                              </c:strCache>
                            </c:strRef>
                          </c:tx>
                          <c:dLblPos val="ctr"/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>
                              <c15:dlblFieldTable>
                                <c15:dlblFTEntry>
                                  <c15:txfldGUID>{CE858E4A-9C1D-48E4-B56D-EEC4072F1214}</c15:txfldGUID>
                                  <c15:f>Charts!$G$177</c15:f>
                                  <c15:dlblFieldTableCache>
                                    <c:ptCount val="1"/>
                                    <c:pt idx="0">
                                      <c:v>    </c:v>
                                    </c:pt>
                                  </c15:dlblFieldTableCache>
                                </c15:dlblFTEntry>
                              </c15:dlblFieldTable>
                              <c15:showDataLabelsRange val="0"/>
                            </c:ext>
                            <c:ext xmlns:c16="http://schemas.microsoft.com/office/drawing/2014/chart" uri="{C3380CC4-5D6E-409C-BE32-E72D297353CC}">
                              <c16:uniqueId val="{00000000-6952-4C5F-B47A-73AD3511CDDC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2-BA22-498D-84C8-3DEBE97DBBE3}"/>
                  </c:ext>
                </c:extLst>
              </c15:ser>
            </c15:filteredBarSeries>
          </c:ext>
        </c:extLst>
      </c:barChart>
      <c:catAx>
        <c:axId val="131278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90208"/>
        <c:crosses val="autoZero"/>
        <c:auto val="1"/>
        <c:lblAlgn val="ctr"/>
        <c:lblOffset val="100"/>
        <c:noMultiLvlLbl val="0"/>
      </c:catAx>
      <c:valAx>
        <c:axId val="131279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8988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Charts!$C$189</c:f>
          <c:strCache>
            <c:ptCount val="1"/>
            <c:pt idx="0">
              <c:v>TasNetworks - Residential general light and power ($)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Charts!$C$190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Charts!$D$189:$M$189</c15:sqref>
                  </c15:fullRef>
                </c:ext>
              </c:extLst>
              <c:f>(Charts!$D$189:$F$189,Charts!$H$189:$M$189)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Charts!$D$190:$M$190</c15:sqref>
                  </c15:fullRef>
                </c:ext>
              </c:extLst>
              <c:f>(Charts!$D$190:$F$190,Charts!$H$190:$M$190)</c:f>
              <c:numCache>
                <c:formatCode>_-* #,##0.00_-;\-* #,##0.00_-;_-* ""??_-;_-@_-</c:formatCode>
                <c:ptCount val="9"/>
                <c:pt idx="1">
                  <c:v>511.85773331683311</c:v>
                </c:pt>
                <c:pt idx="2">
                  <c:v>525.29971756837153</c:v>
                </c:pt>
                <c:pt idx="3">
                  <c:v>532.95130799767026</c:v>
                </c:pt>
                <c:pt idx="4">
                  <c:v>524.38799862019266</c:v>
                </c:pt>
                <c:pt idx="5">
                  <c:v>524.38799862019266</c:v>
                </c:pt>
                <c:pt idx="6">
                  <c:v>502.63540924520998</c:v>
                </c:pt>
                <c:pt idx="7">
                  <c:v>502.63540924521004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8-43DF-8FB8-84A82161B0EA}"/>
            </c:ext>
          </c:extLst>
        </c:ser>
        <c:ser>
          <c:idx val="11"/>
          <c:order val="1"/>
          <c:tx>
            <c:strRef>
              <c:f>Charts!$C$192</c:f>
              <c:strCache>
                <c:ptCount val="1"/>
                <c:pt idx="0">
                  <c:v>Base revenue (debt update)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5.4495881627507278E-2"/>
                </c:manualLayout>
              </c:layout>
              <c:tx>
                <c:strRef>
                  <c:f>Charts!$E$191</c:f>
                  <c:strCache>
                    <c:ptCount val="1"/>
                    <c:pt idx="0">
                      <c:v> +13.44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{EB9C1BDC-D25B-4F02-B8AE-65D5CEE84252}</c15:txfldGUID>
                      <c15:f>Charts!$E$191</c15:f>
                      <c15:dlblFieldTableCache>
                        <c:ptCount val="1"/>
                        <c:pt idx="0">
                          <c:v> +13.44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2468-43DF-8FB8-84A82161B0E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Charts!$D$189:$M$189</c15:sqref>
                  </c15:fullRef>
                </c:ext>
              </c:extLst>
              <c:f>(Charts!$D$189:$F$189,Charts!$H$189:$M$189)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Charts!$D$192:$M$192</c15:sqref>
                  </c15:fullRef>
                </c:ext>
              </c:extLst>
              <c:f>(Charts!$D$192:$F$192,Charts!$H$192:$M$192)</c:f>
              <c:numCache>
                <c:formatCode>_-* #,##0.00_-;\-* #,##0.00_-;_-* ""??_-;_-@_-</c:formatCode>
                <c:ptCount val="9"/>
                <c:pt idx="1">
                  <c:v>13.441984251538445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8-43DF-8FB8-84A82161B0EA}"/>
            </c:ext>
          </c:extLst>
        </c:ser>
        <c:ser>
          <c:idx val="12"/>
          <c:order val="2"/>
          <c:tx>
            <c:strRef>
              <c:f>Charts!$C$193</c:f>
              <c:strCache>
                <c:ptCount val="1"/>
                <c:pt idx="0">
                  <c:v>Transmission costs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-1.5910896972432512E-3"/>
                  <c:y val="4.7229764077173032E-2"/>
                </c:manualLayout>
              </c:layout>
              <c:tx>
                <c:strRef>
                  <c:f>Charts!$F$191</c:f>
                  <c:strCache>
                    <c:ptCount val="1"/>
                    <c:pt idx="0">
                      <c:v> +7.65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{FC5FD985-DF1A-4176-8F78-A5507F0E83A0}</c15:txfldGUID>
                      <c15:f>Charts!$F$191</c15:f>
                      <c15:dlblFieldTableCache>
                        <c:ptCount val="1"/>
                        <c:pt idx="0">
                          <c:v> +7.65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468-43DF-8FB8-84A82161B0E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Charts!$D$189:$M$189</c15:sqref>
                  </c15:fullRef>
                </c:ext>
              </c:extLst>
              <c:f>(Charts!$D$189:$F$189,Charts!$H$189:$M$189)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Charts!$D$193:$M$193</c15:sqref>
                  </c15:fullRef>
                </c:ext>
              </c:extLst>
              <c:f>(Charts!$D$193:$F$193,Charts!$H$193:$M$193)</c:f>
              <c:numCache>
                <c:formatCode>_-* #,##0.00_-;\-* #,##0.00_-;_-* ""??_-;_-@_-</c:formatCode>
                <c:ptCount val="9"/>
                <c:pt idx="2">
                  <c:v>7.6515904292987669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8-43DF-8FB8-84A82161B0EA}"/>
            </c:ext>
          </c:extLst>
        </c:ser>
        <c:ser>
          <c:idx val="14"/>
          <c:order val="4"/>
          <c:tx>
            <c:strRef>
              <c:f>Charts!$C$195</c:f>
              <c:strCache>
                <c:ptCount val="1"/>
                <c:pt idx="0">
                  <c:v>Under/over recoveries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Lbl>
              <c:idx val="3"/>
              <c:layout>
                <c:manualLayout>
                  <c:x val="-5.8339281625224114E-17"/>
                  <c:y val="5.4495881627507348E-2"/>
                </c:manualLayout>
              </c:layout>
              <c:tx>
                <c:strRef>
                  <c:f>Charts!$H$191</c:f>
                  <c:strCache>
                    <c:ptCount val="1"/>
                    <c:pt idx="0">
                      <c:v> +0.83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{25EDA301-11F3-4E6E-9049-05D6CD34002D}</c15:txfldGUID>
                      <c15:f>Charts!$H$191</c15:f>
                      <c15:dlblFieldTableCache>
                        <c:ptCount val="1"/>
                        <c:pt idx="0">
                          <c:v> +0.83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468-43DF-8FB8-84A82161B0E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Charts!$D$189:$M$189</c15:sqref>
                  </c15:fullRef>
                </c:ext>
              </c:extLst>
              <c:f>(Charts!$D$189:$F$189,Charts!$H$189:$M$189)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Charts!$D$195:$M$195</c15:sqref>
                  </c15:fullRef>
                </c:ext>
              </c:extLst>
              <c:f>(Charts!$D$195:$F$195,Charts!$H$195:$M$195)</c:f>
              <c:numCache>
                <c:formatCode>_-* #,##0.00_-;\-* #,##0.00_-;_-* ""??_-;_-@_-</c:formatCode>
                <c:ptCount val="9"/>
                <c:pt idx="3">
                  <c:v>0.82818328557669796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68-43DF-8FB8-84A82161B0EA}"/>
            </c:ext>
          </c:extLst>
        </c:ser>
        <c:ser>
          <c:idx val="15"/>
          <c:order val="5"/>
          <c:tx>
            <c:strRef>
              <c:f>Charts!$C$196</c:f>
              <c:strCache>
                <c:ptCount val="1"/>
                <c:pt idx="0">
                  <c:v>Incentive schemes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4"/>
              <c:layout>
                <c:manualLayout>
                  <c:x val="-1.1667856325044823E-16"/>
                  <c:y val="5.0862822852340193E-2"/>
                </c:manualLayout>
              </c:layout>
              <c:tx>
                <c:strRef>
                  <c:f>Charts!$I$191</c:f>
                  <c:strCache>
                    <c:ptCount val="1"/>
                    <c:pt idx="0">
                      <c:v>-9.39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{890C8F62-6849-43A4-A156-DB8A69179B80}</c15:txfldGUID>
                      <c15:f>Charts!$I$191</c15:f>
                      <c15:dlblFieldTableCache>
                        <c:ptCount val="1"/>
                        <c:pt idx="0">
                          <c:v>-9.39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468-43DF-8FB8-84A82161B0E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Charts!$D$189:$M$189</c15:sqref>
                  </c15:fullRef>
                </c:ext>
              </c:extLst>
              <c:f>(Charts!$D$189:$F$189,Charts!$H$189:$M$189)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Charts!$D$196:$M$196</c15:sqref>
                  </c15:fullRef>
                </c:ext>
              </c:extLst>
              <c:f>(Charts!$D$196:$F$196,Charts!$H$196:$M$196)</c:f>
              <c:numCache>
                <c:formatCode>_-* #,##0.00_-;\-* #,##0.00_-;_-* ""??_-;_-@_-</c:formatCode>
                <c:ptCount val="9"/>
                <c:pt idx="4">
                  <c:v>9.3914926630542919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68-43DF-8FB8-84A82161B0EA}"/>
            </c:ext>
          </c:extLst>
        </c:ser>
        <c:ser>
          <c:idx val="16"/>
          <c:order val="6"/>
          <c:tx>
            <c:strRef>
              <c:f>Charts!$C$197</c:f>
              <c:strCache>
                <c:ptCount val="1"/>
                <c:pt idx="0">
                  <c:v>Cost pass-throughs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5"/>
              <c:layout>
                <c:manualLayout>
                  <c:x val="-1.5910896972431928E-3"/>
                  <c:y val="4.7229764077173067E-2"/>
                </c:manualLayout>
              </c:layout>
              <c:tx>
                <c:strRef>
                  <c:f>Charts!$J$191</c:f>
                  <c:strCache>
                    <c:ptCount val="1"/>
                    <c:pt idx="0">
                      <c:v>   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{ADB80781-505A-410F-BA92-BBDD6A1D390D}</c15:txfldGUID>
                      <c15:f>Charts!$J$191</c15:f>
                      <c15:dlblFieldTableCache>
                        <c:ptCount val="1"/>
                        <c:pt idx="0">
                          <c:v>   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468-43DF-8FB8-84A82161B0E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Charts!$D$189:$M$189</c15:sqref>
                  </c15:fullRef>
                </c:ext>
              </c:extLst>
              <c:f>(Charts!$D$189:$F$189,Charts!$H$189:$M$189)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Charts!$D$197:$M$197</c15:sqref>
                  </c15:fullRef>
                </c:ext>
              </c:extLst>
              <c:f>(Charts!$D$197:$F$197,Charts!$H$197:$M$197)</c:f>
              <c:numCache>
                <c:formatCode>_-* #,##0.00_-;\-* #,##0.00_-;_-* ""??_-;_-@_-</c:formatCode>
                <c:ptCount val="9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68-43DF-8FB8-84A82161B0EA}"/>
            </c:ext>
          </c:extLst>
        </c:ser>
        <c:ser>
          <c:idx val="17"/>
          <c:order val="7"/>
          <c:tx>
            <c:strRef>
              <c:f>Charts!$C$198</c:f>
              <c:strCache>
                <c:ptCount val="1"/>
                <c:pt idx="0">
                  <c:v>Other adj./ rebalancing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6"/>
              <c:layout>
                <c:manualLayout>
                  <c:x val="-1.1667856325044823E-16"/>
                  <c:y val="0.13442317468118478"/>
                </c:manualLayout>
              </c:layout>
              <c:tx>
                <c:strRef>
                  <c:f>Charts!$K$191</c:f>
                  <c:strCache>
                    <c:ptCount val="1"/>
                    <c:pt idx="0">
                      <c:v>-21.75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{5D6E3546-EF3D-4E35-ADB8-E16EF1184B7F}</c15:txfldGUID>
                      <c15:f>Charts!$K$191</c15:f>
                      <c15:dlblFieldTableCache>
                        <c:ptCount val="1"/>
                        <c:pt idx="0">
                          <c:v>-21.75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2468-43DF-8FB8-84A82161B0E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Charts!$D$189:$M$189</c15:sqref>
                  </c15:fullRef>
                </c:ext>
              </c:extLst>
              <c:f>(Charts!$D$189:$F$189,Charts!$H$189:$M$189)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Charts!$D$198:$M$198</c15:sqref>
                  </c15:fullRef>
                </c:ext>
              </c:extLst>
              <c:f>(Charts!$D$198:$F$198,Charts!$H$198:$M$198)</c:f>
              <c:numCache>
                <c:formatCode>_-* #,##0.00_-;\-* #,##0.00_-;_-* ""??_-;_-@_-</c:formatCode>
                <c:ptCount val="9"/>
                <c:pt idx="6">
                  <c:v>21.752589374982684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68-43DF-8FB8-84A82161B0EA}"/>
            </c:ext>
          </c:extLst>
        </c:ser>
        <c:ser>
          <c:idx val="18"/>
          <c:order val="8"/>
          <c:tx>
            <c:strRef>
              <c:f>Charts!$C$199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ysClr val="windowText" lastClr="000000"/>
              </a:solidFill>
              <a:prstDash val="dash"/>
            </a:ln>
          </c:spPr>
          <c:invertIfNegative val="0"/>
          <c:dLbls>
            <c:dLbl>
              <c:idx val="7"/>
              <c:layout>
                <c:manualLayout>
                  <c:x val="-1.1667856325044823E-16"/>
                  <c:y val="8.7193410604011756E-2"/>
                </c:manualLayout>
              </c:layout>
              <c:tx>
                <c:strRef>
                  <c:f>Charts!$L$191</c:f>
                  <c:strCache>
                    <c:ptCount val="1"/>
                    <c:pt idx="0">
                      <c:v>-9.22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{F817C316-D529-4042-97F8-3CAB62AF2D6B}</c15:txfldGUID>
                      <c15:f>Charts!$L$191</c15:f>
                      <c15:dlblFieldTableCache>
                        <c:ptCount val="1"/>
                        <c:pt idx="0">
                          <c:v>-9.22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4-2468-43DF-8FB8-84A82161B0E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Charts!$D$189:$M$189</c15:sqref>
                  </c15:fullRef>
                </c:ext>
              </c:extLst>
              <c:f>(Charts!$D$189:$F$189,Charts!$H$189:$M$189)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Charts!$D$199:$M$199</c15:sqref>
                  </c15:fullRef>
                </c:ext>
              </c:extLst>
              <c:f>(Charts!$D$199:$F$199,Charts!$H$199:$M$199)</c:f>
              <c:numCache>
                <c:formatCode>_-* #,##0.00_-;\-* #,##0.00_-;_-* ""??_-;_-@_-</c:formatCode>
                <c:ptCount val="9"/>
                <c:pt idx="7">
                  <c:v>9.2223240716230634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68-43DF-8FB8-84A82161B0EA}"/>
            </c:ext>
          </c:extLst>
        </c:ser>
        <c:ser>
          <c:idx val="19"/>
          <c:order val="9"/>
          <c:tx>
            <c:strRef>
              <c:f>Charts!$C$200</c:f>
              <c:strCache>
                <c:ptCount val="1"/>
                <c:pt idx="0">
                  <c:v>Total NUOS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Charts!$D$189:$M$189</c15:sqref>
                  </c15:fullRef>
                </c:ext>
              </c:extLst>
              <c:f>(Charts!$D$189:$F$189,Charts!$H$189:$M$189)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Charts!$D$200:$M$200</c15:sqref>
                  </c15:fullRef>
                </c:ext>
              </c:extLst>
              <c:f>(Charts!$D$200:$F$200,Charts!$H$200:$M$200)</c:f>
              <c:numCache>
                <c:formatCode>_-* #,##0.00_-;\-* #,##0.00_-;_-* ""??_-;_-@_-</c:formatCode>
                <c:ptCount val="9"/>
                <c:pt idx="0">
                  <c:v>511.85773331683311</c:v>
                </c:pt>
                <c:pt idx="8">
                  <c:v>502.63540924521004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468-43DF-8FB8-84A82161B0E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12789880"/>
        <c:axId val="1312790208"/>
        <c:extLst>
          <c:ext xmlns:c15="http://schemas.microsoft.com/office/drawing/2012/chart" uri="{02D57815-91ED-43cb-92C2-25804820EDAC}">
            <c15:filteredBarSeries>
              <c15:ser>
                <c:idx val="13"/>
                <c:order val="3"/>
                <c:tx>
                  <c:strRef>
                    <c:extLst>
                      <c:ext uri="{02D57815-91ED-43cb-92C2-25804820EDAC}">
                        <c15:formulaRef>
                          <c15:sqref>Charts!$C$194</c15:sqref>
                        </c15:formulaRef>
                      </c:ext>
                    </c:extLst>
                    <c:strCache>
                      <c:ptCount val="1"/>
                      <c:pt idx="0">
                        <c:v>Jurisdictional scheme costs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Charts!$D$189:$M$189</c15:sqref>
                        </c15:fullRef>
                        <c15:formulaRef>
                          <c15:sqref>(Charts!$D$189:$F$189,Charts!$H$189:$M$189)</c15:sqref>
                        </c15:formulaRef>
                      </c:ext>
                    </c:extLst>
                    <c:strCache>
                      <c:ptCount val="9"/>
                      <c:pt idx="0">
                        <c:v>2021–22</c:v>
                      </c:pt>
                      <c:pt idx="1">
                        <c:v>Base revenue (debt update)</c:v>
                      </c:pt>
                      <c:pt idx="2">
                        <c:v>Transmission costs</c:v>
                      </c:pt>
                      <c:pt idx="3">
                        <c:v>Under/over recoveries</c:v>
                      </c:pt>
                      <c:pt idx="4">
                        <c:v>Incentive schemes</c:v>
                      </c:pt>
                      <c:pt idx="5">
                        <c:v>Cost pass-throughs</c:v>
                      </c:pt>
                      <c:pt idx="6">
                        <c:v>Other adj./ rebalancing</c:v>
                      </c:pt>
                      <c:pt idx="7">
                        <c:v>Total movement</c:v>
                      </c:pt>
                      <c:pt idx="8">
                        <c:v>2022–23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Charts!$D$194:$M$194</c15:sqref>
                        </c15:fullRef>
                        <c15:formulaRef>
                          <c15:sqref>(Charts!$D$194:$F$194,Charts!$H$194:$M$194)</c15:sqref>
                        </c15:formulaRef>
                      </c:ext>
                    </c:extLst>
                    <c:numCache>
                      <c:formatCode>_-* #,##0.00_-;\-* #,##0.00_-;_-* ""??_-;_-@_-</c:formatCode>
                      <c:ptCount val="9"/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Charts!$G$194</c15:sqref>
                        <c15:dLbl>
                          <c:idx val="2"/>
                          <c:layout>
                            <c:manualLayout>
                              <c:x val="-5.8339281625224114E-17"/>
                              <c:y val="4.7229764077173032E-2"/>
                            </c:manualLayout>
                          </c:layout>
                          <c:tx>
                            <c:strRef>
                              <c:f>Charts!$G$191</c:f>
                              <c:strCache>
                                <c:ptCount val="1"/>
                                <c:pt idx="0">
                                  <c:v>    </c:v>
                                </c:pt>
                              </c:strCache>
                            </c:strRef>
                          </c:tx>
                          <c:dLblPos val="ctr"/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>
                              <c15:dlblFieldTable>
                                <c15:dlblFTEntry>
                                  <c15:txfldGUID>{B042C81F-A752-4FAD-9F49-76A747996F27}</c15:txfldGUID>
                                  <c15:f>Charts!$G$191</c15:f>
                                  <c15:dlblFieldTableCache>
                                    <c:ptCount val="1"/>
                                    <c:pt idx="0">
                                      <c:v>    </c:v>
                                    </c:pt>
                                  </c15:dlblFieldTableCache>
                                </c15:dlblFTEntry>
                              </c15:dlblFieldTable>
                              <c15:showDataLabelsRange val="0"/>
                            </c:ext>
                            <c:ext xmlns:c16="http://schemas.microsoft.com/office/drawing/2014/chart" uri="{C3380CC4-5D6E-409C-BE32-E72D297353CC}">
                              <c16:uniqueId val="{00000000-CE15-4A8B-A752-7BB53C6C6CF2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3-2468-43DF-8FB8-84A82161B0EA}"/>
                  </c:ext>
                </c:extLst>
              </c15:ser>
            </c15:filteredBarSeries>
          </c:ext>
        </c:extLst>
      </c:barChart>
      <c:catAx>
        <c:axId val="131278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90208"/>
        <c:crosses val="autoZero"/>
        <c:auto val="1"/>
        <c:lblAlgn val="ctr"/>
        <c:lblOffset val="100"/>
        <c:noMultiLvlLbl val="0"/>
      </c:catAx>
      <c:valAx>
        <c:axId val="131279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8988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Charts!$C$282</c:f>
          <c:strCache>
            <c:ptCount val="1"/>
            <c:pt idx="0">
              <c:v>TasNetworks - Small business time of use consumption ($)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Charts!$C$283</c:f>
              <c:strCache>
                <c:ptCount val="1"/>
                <c:pt idx="0">
                  <c:v>Blank base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Charts!$D$282:$M$282</c15:sqref>
                  </c15:fullRef>
                </c:ext>
              </c:extLst>
              <c:f>(Charts!$D$282:$F$282,Charts!$H$282:$M$282)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Charts!$D$283:$M$283</c15:sqref>
                  </c15:fullRef>
                </c:ext>
              </c:extLst>
              <c:f>(Charts!$D$283:$F$283,Charts!$H$283:$M$283)</c:f>
              <c:numCache>
                <c:formatCode>_-* #,##0.00_-;\-* #,##0.00_-;_-* ""??_-;_-@_-</c:formatCode>
                <c:ptCount val="9"/>
                <c:pt idx="1">
                  <c:v>4315.2743622477874</c:v>
                </c:pt>
                <c:pt idx="2">
                  <c:v>4428.5985268404074</c:v>
                </c:pt>
                <c:pt idx="3">
                  <c:v>4493.1061231133262</c:v>
                </c:pt>
                <c:pt idx="4">
                  <c:v>4420.9121773988218</c:v>
                </c:pt>
                <c:pt idx="5">
                  <c:v>4420.9121773988218</c:v>
                </c:pt>
                <c:pt idx="6">
                  <c:v>4386.3319679877359</c:v>
                </c:pt>
                <c:pt idx="7">
                  <c:v>4315.2743622477874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822-915D-5717756E0028}"/>
            </c:ext>
          </c:extLst>
        </c:ser>
        <c:ser>
          <c:idx val="11"/>
          <c:order val="1"/>
          <c:tx>
            <c:strRef>
              <c:f>Charts!$C$285</c:f>
              <c:strCache>
                <c:ptCount val="1"/>
                <c:pt idx="0">
                  <c:v>Base revenue (debt update)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3.269756639136441E-2"/>
                </c:manualLayout>
              </c:layout>
              <c:tx>
                <c:strRef>
                  <c:f>Charts!$E$284</c:f>
                  <c:strCache>
                    <c:ptCount val="1"/>
                    <c:pt idx="0">
                      <c:v> +113.32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{7FD17287-72E3-4F2A-939C-21A7FF849EC2}</c15:txfldGUID>
                      <c15:f>Charts!$E$284</c15:f>
                      <c15:dlblFieldTableCache>
                        <c:ptCount val="1"/>
                        <c:pt idx="0">
                          <c:v> +113.32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804-4822-915D-5717756E002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Charts!$D$282:$M$282</c15:sqref>
                  </c15:fullRef>
                </c:ext>
              </c:extLst>
              <c:f>(Charts!$D$282:$F$282,Charts!$H$282:$M$282)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Charts!$D$285:$M$285</c15:sqref>
                  </c15:fullRef>
                </c:ext>
              </c:extLst>
              <c:f>(Charts!$D$285:$F$285,Charts!$H$285:$M$285)</c:f>
              <c:numCache>
                <c:formatCode>_-* #,##0.00_-;\-* #,##0.00_-;_-* ""??_-;_-@_-</c:formatCode>
                <c:ptCount val="9"/>
                <c:pt idx="1">
                  <c:v>113.32416459262033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04-4822-915D-5717756E0028}"/>
            </c:ext>
          </c:extLst>
        </c:ser>
        <c:ser>
          <c:idx val="12"/>
          <c:order val="2"/>
          <c:tx>
            <c:strRef>
              <c:f>Charts!$C$286</c:f>
              <c:strCache>
                <c:ptCount val="1"/>
                <c:pt idx="0">
                  <c:v>Transmission costs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3.6330629323738164E-2"/>
                </c:manualLayout>
              </c:layout>
              <c:tx>
                <c:strRef>
                  <c:f>Charts!$F$284</c:f>
                  <c:strCache>
                    <c:ptCount val="1"/>
                    <c:pt idx="0">
                      <c:v> +64.51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{C0A7DCC4-DA5D-45AA-9FB6-D07EC39EB171}</c15:txfldGUID>
                      <c15:f>Charts!$F$284</c15:f>
                      <c15:dlblFieldTableCache>
                        <c:ptCount val="1"/>
                        <c:pt idx="0">
                          <c:v> +64.51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804-4822-915D-5717756E002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Charts!$D$282:$M$282</c15:sqref>
                  </c15:fullRef>
                </c:ext>
              </c:extLst>
              <c:f>(Charts!$D$282:$F$282,Charts!$H$282:$M$282)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Charts!$D$286:$M$286</c15:sqref>
                  </c15:fullRef>
                </c:ext>
              </c:extLst>
              <c:f>(Charts!$D$286:$F$286,Charts!$H$286:$M$286)</c:f>
              <c:numCache>
                <c:formatCode>_-* #,##0.00_-;\-* #,##0.00_-;_-* ""??_-;_-@_-</c:formatCode>
                <c:ptCount val="9"/>
                <c:pt idx="2">
                  <c:v>64.507596272918605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04-4822-915D-5717756E0028}"/>
            </c:ext>
          </c:extLst>
        </c:ser>
        <c:ser>
          <c:idx val="14"/>
          <c:order val="4"/>
          <c:tx>
            <c:strRef>
              <c:f>Charts!$C$288</c:f>
              <c:strCache>
                <c:ptCount val="1"/>
                <c:pt idx="0">
                  <c:v>Under/over recoveries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Lbl>
              <c:idx val="3"/>
              <c:layout>
                <c:manualLayout>
                  <c:x val="-5.8269761912225362E-17"/>
                  <c:y val="5.0862881053233527E-2"/>
                </c:manualLayout>
              </c:layout>
              <c:tx>
                <c:strRef>
                  <c:f>Charts!$H$284</c:f>
                  <c:strCache>
                    <c:ptCount val="1"/>
                    <c:pt idx="0">
                      <c:v> +6.98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{7D62B248-1711-4B86-B02C-6D5E82FC8B8D}</c15:txfldGUID>
                      <c15:f>Charts!$H$284</c15:f>
                      <c15:dlblFieldTableCache>
                        <c:ptCount val="1"/>
                        <c:pt idx="0">
                          <c:v> +6.98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804-4822-915D-5717756E002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Charts!$D$282:$M$282</c15:sqref>
                  </c15:fullRef>
                </c:ext>
              </c:extLst>
              <c:f>(Charts!$D$282:$F$282,Charts!$H$282:$M$282)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Charts!$D$288:$M$288</c15:sqref>
                  </c15:fullRef>
                </c:ext>
              </c:extLst>
              <c:f>(Charts!$D$288:$F$288,Charts!$H$288:$M$288)</c:f>
              <c:numCache>
                <c:formatCode>_-* #,##0.00_-;\-* #,##0.00_-;_-* ""??_-;_-@_-</c:formatCode>
                <c:ptCount val="9"/>
                <c:pt idx="3">
                  <c:v>6.9820926145490203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04-4822-915D-5717756E0028}"/>
            </c:ext>
          </c:extLst>
        </c:ser>
        <c:ser>
          <c:idx val="15"/>
          <c:order val="5"/>
          <c:tx>
            <c:strRef>
              <c:f>Charts!$C$289</c:f>
              <c:strCache>
                <c:ptCount val="1"/>
                <c:pt idx="0">
                  <c:v>Incentive schemes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4"/>
              <c:layout>
                <c:manualLayout>
                  <c:x val="-1.5891936831678361E-3"/>
                  <c:y val="5.8129006917981174E-2"/>
                </c:manualLayout>
              </c:layout>
              <c:tx>
                <c:strRef>
                  <c:f>Charts!$I$284</c:f>
                  <c:strCache>
                    <c:ptCount val="1"/>
                    <c:pt idx="0">
                      <c:v>-79.18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{50D0D2E1-F353-4177-9441-6CC9B7882DF3}</c15:txfldGUID>
                      <c15:f>Charts!$I$284</c15:f>
                      <c15:dlblFieldTableCache>
                        <c:ptCount val="1"/>
                        <c:pt idx="0">
                          <c:v>-79.18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804-4822-915D-5717756E002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Charts!$D$282:$M$282</c15:sqref>
                  </c15:fullRef>
                </c:ext>
              </c:extLst>
              <c:f>(Charts!$D$282:$F$282,Charts!$H$282:$M$282)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Charts!$D$289:$M$289</c15:sqref>
                  </c15:fullRef>
                </c:ext>
              </c:extLst>
              <c:f>(Charts!$D$289:$F$289,Charts!$H$289:$M$289)</c:f>
              <c:numCache>
                <c:formatCode>_-* #,##0.00_-;\-* #,##0.00_-;_-* ""??_-;_-@_-</c:formatCode>
                <c:ptCount val="9"/>
                <c:pt idx="4">
                  <c:v>79.176038329054208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04-4822-915D-5717756E0028}"/>
            </c:ext>
          </c:extLst>
        </c:ser>
        <c:ser>
          <c:idx val="16"/>
          <c:order val="6"/>
          <c:tx>
            <c:strRef>
              <c:f>Charts!$C$290</c:f>
              <c:strCache>
                <c:ptCount val="1"/>
                <c:pt idx="0">
                  <c:v>Cost pass-throughs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5"/>
              <c:layout>
                <c:manualLayout>
                  <c:x val="-1.1653952382445072E-16"/>
                  <c:y val="5.4495943985607316E-2"/>
                </c:manualLayout>
              </c:layout>
              <c:tx>
                <c:strRef>
                  <c:f>Charts!$J$284</c:f>
                  <c:strCache>
                    <c:ptCount val="1"/>
                    <c:pt idx="0">
                      <c:v>   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{38D402A0-9E55-4191-8C8D-623FB403D739}</c15:txfldGUID>
                      <c15:f>Charts!$J$284</c15:f>
                      <c15:dlblFieldTableCache>
                        <c:ptCount val="1"/>
                        <c:pt idx="0">
                          <c:v>   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804-4822-915D-5717756E002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Charts!$D$282:$M$282</c15:sqref>
                  </c15:fullRef>
                </c:ext>
              </c:extLst>
              <c:f>(Charts!$D$282:$F$282,Charts!$H$282:$M$282)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Charts!$D$290:$M$290</c15:sqref>
                  </c15:fullRef>
                </c:ext>
              </c:extLst>
              <c:f>(Charts!$D$290:$F$290,Charts!$H$290:$M$290)</c:f>
              <c:numCache>
                <c:formatCode>_-* #,##0.00_-;\-* #,##0.00_-;_-* ""??_-;_-@_-</c:formatCode>
                <c:ptCount val="9"/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04-4822-915D-5717756E0028}"/>
            </c:ext>
          </c:extLst>
        </c:ser>
        <c:ser>
          <c:idx val="17"/>
          <c:order val="7"/>
          <c:tx>
            <c:strRef>
              <c:f>Charts!$C$291</c:f>
              <c:strCache>
                <c:ptCount val="1"/>
                <c:pt idx="0">
                  <c:v>Other adj./ rebalancing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8.7193510376971761E-2"/>
                </c:manualLayout>
              </c:layout>
              <c:tx>
                <c:strRef>
                  <c:f>Charts!$K$284</c:f>
                  <c:strCache>
                    <c:ptCount val="1"/>
                    <c:pt idx="0">
                      <c:v>-34.58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{CE7DE3EF-E793-4866-8926-E3E9737A5B91}</c15:txfldGUID>
                      <c15:f>Charts!$K$284</c15:f>
                      <c15:dlblFieldTableCache>
                        <c:ptCount val="1"/>
                        <c:pt idx="0">
                          <c:v>-34.58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804-4822-915D-5717756E002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Charts!$D$282:$M$282</c15:sqref>
                  </c15:fullRef>
                </c:ext>
              </c:extLst>
              <c:f>(Charts!$D$282:$F$282,Charts!$H$282:$M$282)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Charts!$D$291:$M$291</c15:sqref>
                  </c15:fullRef>
                </c:ext>
              </c:extLst>
              <c:f>(Charts!$D$291:$F$291,Charts!$H$291:$M$291)</c:f>
              <c:numCache>
                <c:formatCode>_-* #,##0.00_-;\-* #,##0.00_-;_-* ""??_-;_-@_-</c:formatCode>
                <c:ptCount val="9"/>
                <c:pt idx="6">
                  <c:v>34.580209411086187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804-4822-915D-5717756E0028}"/>
            </c:ext>
          </c:extLst>
        </c:ser>
        <c:ser>
          <c:idx val="18"/>
          <c:order val="8"/>
          <c:tx>
            <c:strRef>
              <c:f>Charts!$C$292</c:f>
              <c:strCache>
                <c:ptCount val="1"/>
                <c:pt idx="0">
                  <c:v>Total movement</c:v>
                </c:pt>
              </c:strCache>
            </c:strRef>
          </c:tx>
          <c:spPr>
            <a:noFill/>
            <a:ln>
              <a:solidFill>
                <a:sysClr val="windowText" lastClr="000000"/>
              </a:solidFill>
              <a:prstDash val="dash"/>
            </a:ln>
          </c:spPr>
          <c:invertIfNegative val="0"/>
          <c:dLbls>
            <c:dLbl>
              <c:idx val="7"/>
              <c:layout>
                <c:manualLayout>
                  <c:x val="0"/>
                  <c:y val="7.6294321579850291E-2"/>
                </c:manualLayout>
              </c:layout>
              <c:tx>
                <c:strRef>
                  <c:f>Charts!$L$284</c:f>
                  <c:strCache>
                    <c:ptCount val="1"/>
                    <c:pt idx="0">
                      <c:v> +71.06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{FC05F056-306F-4E60-8D57-65C162F23940}</c15:txfldGUID>
                      <c15:f>Charts!$L$284</c15:f>
                      <c15:dlblFieldTableCache>
                        <c:ptCount val="1"/>
                        <c:pt idx="0">
                          <c:v> +71.06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804-4822-915D-5717756E002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Charts!$D$282:$M$282</c15:sqref>
                  </c15:fullRef>
                </c:ext>
              </c:extLst>
              <c:f>(Charts!$D$282:$F$282,Charts!$H$282:$M$282)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Charts!$D$292:$M$292</c15:sqref>
                  </c15:fullRef>
                </c:ext>
              </c:extLst>
              <c:f>(Charts!$D$292:$F$292,Charts!$H$292:$M$292)</c:f>
              <c:numCache>
                <c:formatCode>_-* #,##0.00_-;\-* #,##0.00_-;_-* ""??_-;_-@_-</c:formatCode>
                <c:ptCount val="9"/>
                <c:pt idx="7">
                  <c:v>71.057605739947576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804-4822-915D-5717756E0028}"/>
            </c:ext>
          </c:extLst>
        </c:ser>
        <c:ser>
          <c:idx val="19"/>
          <c:order val="9"/>
          <c:tx>
            <c:strRef>
              <c:f>Charts!$C$293</c:f>
              <c:strCache>
                <c:ptCount val="1"/>
                <c:pt idx="0">
                  <c:v>Total NUOS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Charts!$D$282:$M$282</c15:sqref>
                  </c15:fullRef>
                </c:ext>
              </c:extLst>
              <c:f>(Charts!$D$282:$F$282,Charts!$H$282:$M$282)</c:f>
              <c:strCache>
                <c:ptCount val="9"/>
                <c:pt idx="0">
                  <c:v>2021–22</c:v>
                </c:pt>
                <c:pt idx="1">
                  <c:v>Base revenue (debt update)</c:v>
                </c:pt>
                <c:pt idx="2">
                  <c:v>Transmission costs</c:v>
                </c:pt>
                <c:pt idx="3">
                  <c:v>Under/over recoveries</c:v>
                </c:pt>
                <c:pt idx="4">
                  <c:v>Incentive schemes</c:v>
                </c:pt>
                <c:pt idx="5">
                  <c:v>Cost pass-throughs</c:v>
                </c:pt>
                <c:pt idx="6">
                  <c:v>Other adj./ rebalancing</c:v>
                </c:pt>
                <c:pt idx="7">
                  <c:v>Total movement</c:v>
                </c:pt>
                <c:pt idx="8">
                  <c:v>2022–23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Charts!$D$293:$M$293</c15:sqref>
                  </c15:fullRef>
                </c:ext>
              </c:extLst>
              <c:f>(Charts!$D$293:$F$293,Charts!$H$293:$M$293)</c:f>
              <c:numCache>
                <c:formatCode>_-* #,##0.00_-;\-* #,##0.00_-;_-* ""??_-;_-@_-</c:formatCode>
                <c:ptCount val="9"/>
                <c:pt idx="0">
                  <c:v>4315.2743622477874</c:v>
                </c:pt>
                <c:pt idx="8">
                  <c:v>4386.331967987735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04-4822-915D-5717756E00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12789880"/>
        <c:axId val="1312790208"/>
        <c:extLst>
          <c:ext xmlns:c15="http://schemas.microsoft.com/office/drawing/2012/chart" uri="{02D57815-91ED-43cb-92C2-25804820EDAC}">
            <c15:filteredBarSeries>
              <c15:ser>
                <c:idx val="13"/>
                <c:order val="3"/>
                <c:tx>
                  <c:strRef>
                    <c:extLst>
                      <c:ext uri="{02D57815-91ED-43cb-92C2-25804820EDAC}">
                        <c15:formulaRef>
                          <c15:sqref>Charts!$C$287</c15:sqref>
                        </c15:formulaRef>
                      </c:ext>
                    </c:extLst>
                    <c:strCache>
                      <c:ptCount val="1"/>
                      <c:pt idx="0">
                        <c:v>Jurisdictional scheme costs</c:v>
                      </c:pt>
                    </c:strCache>
                  </c:strRef>
                </c:tx>
                <c:spPr>
                  <a:solidFill>
                    <a:schemeClr val="bg1">
                      <a:lumMod val="65000"/>
                    </a:schemeClr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Charts!$D$282:$M$282</c15:sqref>
                        </c15:fullRef>
                        <c15:formulaRef>
                          <c15:sqref>(Charts!$D$282:$F$282,Charts!$H$282:$M$282)</c15:sqref>
                        </c15:formulaRef>
                      </c:ext>
                    </c:extLst>
                    <c:strCache>
                      <c:ptCount val="9"/>
                      <c:pt idx="0">
                        <c:v>2021–22</c:v>
                      </c:pt>
                      <c:pt idx="1">
                        <c:v>Base revenue (debt update)</c:v>
                      </c:pt>
                      <c:pt idx="2">
                        <c:v>Transmission costs</c:v>
                      </c:pt>
                      <c:pt idx="3">
                        <c:v>Under/over recoveries</c:v>
                      </c:pt>
                      <c:pt idx="4">
                        <c:v>Incentive schemes</c:v>
                      </c:pt>
                      <c:pt idx="5">
                        <c:v>Cost pass-throughs</c:v>
                      </c:pt>
                      <c:pt idx="6">
                        <c:v>Other adj./ rebalancing</c:v>
                      </c:pt>
                      <c:pt idx="7">
                        <c:v>Total movement</c:v>
                      </c:pt>
                      <c:pt idx="8">
                        <c:v>2022–23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Charts!$D$287:$M$287</c15:sqref>
                        </c15:fullRef>
                        <c15:formulaRef>
                          <c15:sqref>(Charts!$D$287:$F$287,Charts!$H$287:$M$287)</c15:sqref>
                        </c15:formulaRef>
                      </c:ext>
                    </c:extLst>
                    <c:numCache>
                      <c:formatCode>_-* #,##0.00_-;\-* #,##0.00_-;_-* ""??_-;_-@_-</c:formatCode>
                      <c:ptCount val="9"/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Charts!$G$287</c15:sqref>
                        <c15:dLbl>
                          <c:idx val="2"/>
                          <c:layout>
                            <c:manualLayout>
                              <c:x val="-5.8269761912225362E-17"/>
                              <c:y val="4.3596755188485881E-2"/>
                            </c:manualLayout>
                          </c:layout>
                          <c:tx>
                            <c:strRef>
                              <c:f>Charts!$G$284</c:f>
                              <c:strCache>
                                <c:ptCount val="1"/>
                                <c:pt idx="0">
                                  <c:v>    </c:v>
                                </c:pt>
                              </c:strCache>
                            </c:strRef>
                          </c:tx>
                          <c:dLblPos val="ctr"/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>
                              <c15:dlblFieldTable>
                                <c15:dlblFTEntry>
                                  <c15:txfldGUID>{4A78CB9A-619C-4C4A-AE53-EDF1705688FE}</c15:txfldGUID>
                                  <c15:f>Charts!$G$284</c15:f>
                                  <c15:dlblFieldTableCache>
                                    <c:ptCount val="1"/>
                                    <c:pt idx="0">
                                      <c:v>    </c:v>
                                    </c:pt>
                                  </c15:dlblFieldTableCache>
                                </c15:dlblFTEntry>
                              </c15:dlblFieldTable>
                              <c15:showDataLabelsRange val="0"/>
                            </c:ext>
                            <c:ext xmlns:c16="http://schemas.microsoft.com/office/drawing/2014/chart" uri="{C3380CC4-5D6E-409C-BE32-E72D297353CC}">
                              <c16:uniqueId val="{00000000-A59C-4B7F-BDD6-51B413E18C04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6-9804-4822-915D-5717756E0028}"/>
                  </c:ext>
                </c:extLst>
              </c15:ser>
            </c15:filteredBarSeries>
          </c:ext>
        </c:extLst>
      </c:barChart>
      <c:catAx>
        <c:axId val="131278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90208"/>
        <c:crosses val="autoZero"/>
        <c:auto val="1"/>
        <c:lblAlgn val="ctr"/>
        <c:lblOffset val="100"/>
        <c:noMultiLvlLbl val="0"/>
      </c:catAx>
      <c:valAx>
        <c:axId val="131279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_-;\-* #,##0.00_-;_-* &quot;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278988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2400300</xdr:colOff>
          <xdr:row>1</xdr:row>
          <xdr:rowOff>209550</xdr:rowOff>
        </xdr:from>
        <xdr:to>
          <xdr:col>8</xdr:col>
          <xdr:colOff>5943600</xdr:colOff>
          <xdr:row>2</xdr:row>
          <xdr:rowOff>390525</xdr:rowOff>
        </xdr:to>
        <xdr:sp macro="" textlink="">
          <xdr:nvSpPr>
            <xdr:cNvPr id="169985" name="Button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FD77115D-7EC7-48A6-8F5B-ED770CFB15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A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Redact individual tariff information for PUBLIC version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876300</xdr:colOff>
      <xdr:row>6</xdr:row>
      <xdr:rowOff>19050</xdr:rowOff>
    </xdr:from>
    <xdr:to>
      <xdr:col>8</xdr:col>
      <xdr:colOff>19050</xdr:colOff>
      <xdr:row>35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6B3EDE-5683-4551-8DA3-6E4FA7AAE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49</xdr:row>
      <xdr:rowOff>0</xdr:rowOff>
    </xdr:from>
    <xdr:to>
      <xdr:col>10</xdr:col>
      <xdr:colOff>30494</xdr:colOff>
      <xdr:row>79</xdr:row>
      <xdr:rowOff>76521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2C47C36-CD3D-4A8F-9E83-3A8DAF3DB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161925</xdr:colOff>
      <xdr:row>101</xdr:row>
      <xdr:rowOff>0</xdr:rowOff>
    </xdr:from>
    <xdr:to>
      <xdr:col>6</xdr:col>
      <xdr:colOff>378759</xdr:colOff>
      <xdr:row>123</xdr:row>
      <xdr:rowOff>106457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53AA158-C8CF-4D10-957D-CB3B396AF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333375</xdr:colOff>
      <xdr:row>101</xdr:row>
      <xdr:rowOff>9525</xdr:rowOff>
    </xdr:from>
    <xdr:to>
      <xdr:col>13</xdr:col>
      <xdr:colOff>369234</xdr:colOff>
      <xdr:row>123</xdr:row>
      <xdr:rowOff>115982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5D972A-D28F-4824-8060-A8F6683E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161925</xdr:colOff>
      <xdr:row>208</xdr:row>
      <xdr:rowOff>0</xdr:rowOff>
    </xdr:from>
    <xdr:to>
      <xdr:col>6</xdr:col>
      <xdr:colOff>378759</xdr:colOff>
      <xdr:row>230</xdr:row>
      <xdr:rowOff>106457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5B52477-22A7-4C3A-99BF-7B490178B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333375</xdr:colOff>
      <xdr:row>208</xdr:row>
      <xdr:rowOff>9525</xdr:rowOff>
    </xdr:from>
    <xdr:to>
      <xdr:col>13</xdr:col>
      <xdr:colOff>369234</xdr:colOff>
      <xdr:row>230</xdr:row>
      <xdr:rowOff>115982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F4F7D83-48AC-48DE-91CA-3BD4E6D82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9526</xdr:colOff>
      <xdr:row>148</xdr:row>
      <xdr:rowOff>28577</xdr:rowOff>
    </xdr:from>
    <xdr:to>
      <xdr:col>9</xdr:col>
      <xdr:colOff>514350</xdr:colOff>
      <xdr:row>173</xdr:row>
      <xdr:rowOff>9525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26A3F01-A895-443D-ADB5-876A67D47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485774</xdr:colOff>
      <xdr:row>148</xdr:row>
      <xdr:rowOff>28573</xdr:rowOff>
    </xdr:from>
    <xdr:to>
      <xdr:col>17</xdr:col>
      <xdr:colOff>219075</xdr:colOff>
      <xdr:row>173</xdr:row>
      <xdr:rowOff>76200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E16D269-6537-4AAA-A580-D5647BBB8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9526</xdr:colOff>
      <xdr:row>255</xdr:row>
      <xdr:rowOff>28577</xdr:rowOff>
    </xdr:from>
    <xdr:to>
      <xdr:col>9</xdr:col>
      <xdr:colOff>571500</xdr:colOff>
      <xdr:row>280</xdr:row>
      <xdr:rowOff>95250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A96D78E-7C38-450E-AEAC-248250D9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485774</xdr:colOff>
      <xdr:row>255</xdr:row>
      <xdr:rowOff>28573</xdr:rowOff>
    </xdr:from>
    <xdr:to>
      <xdr:col>17</xdr:col>
      <xdr:colOff>247650</xdr:colOff>
      <xdr:row>280</xdr:row>
      <xdr:rowOff>114300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2CB44D16-C302-4527-B17B-8E95AE9A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0</xdr:rowOff>
    </xdr:from>
    <xdr:to>
      <xdr:col>5</xdr:col>
      <xdr:colOff>628025</xdr:colOff>
      <xdr:row>71</xdr:row>
      <xdr:rowOff>132423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000375"/>
          <a:ext cx="5000000" cy="741904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20</xdr:row>
      <xdr:rowOff>57150</xdr:rowOff>
    </xdr:from>
    <xdr:to>
      <xdr:col>16</xdr:col>
      <xdr:colOff>484861</xdr:colOff>
      <xdr:row>1048576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3057525"/>
          <a:ext cx="5142586" cy="74009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29</xdr:col>
      <xdr:colOff>380223</xdr:colOff>
      <xdr:row>56</xdr:row>
      <xdr:rowOff>75565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48975" y="3143250"/>
          <a:ext cx="6219048" cy="50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NAD\Share\SFBS\NWRegulatory\Pricing%20-%20Annual\Dx\2022-23\2022-23_Feb_Board\2022-23%20AER%20SCS%20Pricing%20Model%20Template%20v2.0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 model"/>
      <sheetName val="Outputs&gt;&gt;"/>
      <sheetName val="Tariff schedule"/>
      <sheetName val="Compliance"/>
      <sheetName val="Price comparisons"/>
      <sheetName val="Tables"/>
      <sheetName val="Cost movements"/>
      <sheetName val="Charts"/>
      <sheetName val="Table for Board Reports"/>
      <sheetName val="Inputs&gt;&gt;"/>
      <sheetName val="General"/>
      <sheetName val="Financial"/>
      <sheetName val="Actuals"/>
      <sheetName val="Metering"/>
      <sheetName val="Tariffs"/>
      <sheetName val="Qty"/>
      <sheetName val="Prop. prices"/>
      <sheetName val="Hist. prices"/>
      <sheetName val="Indicative prices"/>
      <sheetName val="Trial tariffs"/>
      <sheetName val="Tariff costs"/>
      <sheetName val="License Fees"/>
      <sheetName val="Calculations&gt;&gt;"/>
      <sheetName val="TAR"/>
      <sheetName val="Accounts"/>
      <sheetName val="Rev. summary"/>
      <sheetName val="Prop. revenue"/>
      <sheetName val="Hist. revenue"/>
      <sheetName val="SC revenue"/>
      <sheetName val="Total qty"/>
      <sheetName val="Movement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6">
    <tabColor rgb="FF7030A0"/>
  </sheetPr>
  <dimension ref="A1:AJ86"/>
  <sheetViews>
    <sheetView showGridLines="0" zoomScaleNormal="100" workbookViewId="0"/>
  </sheetViews>
  <sheetFormatPr defaultColWidth="0" defaultRowHeight="0" customHeight="1" zeroHeight="1" x14ac:dyDescent="0.2"/>
  <cols>
    <col min="1" max="2" width="1.28515625" style="19" customWidth="1"/>
    <col min="3" max="3" width="24.5703125" style="19" customWidth="1"/>
    <col min="4" max="4" width="5.28515625" style="19" customWidth="1"/>
    <col min="5" max="5" width="40.85546875" style="19" customWidth="1"/>
    <col min="6" max="6" width="12.85546875" style="19" customWidth="1"/>
    <col min="7" max="7" width="17" style="19" customWidth="1"/>
    <col min="8" max="8" width="11.140625" style="19" customWidth="1"/>
    <col min="9" max="9" width="95.7109375" style="19" customWidth="1"/>
    <col min="10" max="10" width="4.140625" style="19" customWidth="1"/>
    <col min="11" max="11" width="5.5703125" style="19" customWidth="1"/>
    <col min="12" max="12" width="8" style="19" hidden="1" customWidth="1"/>
    <col min="13" max="20" width="8.42578125" style="19" hidden="1" customWidth="1"/>
    <col min="21" max="21" width="1.28515625" style="19" hidden="1" customWidth="1"/>
    <col min="22" max="22" width="9" style="19" hidden="1" customWidth="1"/>
    <col min="23" max="23" width="1.28515625" style="19" hidden="1" customWidth="1"/>
    <col min="24" max="16384" width="9" style="19" hidden="1"/>
  </cols>
  <sheetData>
    <row r="1" spans="1:36" ht="11.25" customHeight="1" x14ac:dyDescent="0.2"/>
    <row r="2" spans="1:36" s="39" customFormat="1" ht="33.75" x14ac:dyDescent="0.2">
      <c r="A2" s="1"/>
      <c r="B2" s="1"/>
      <c r="C2" s="1"/>
      <c r="D2" s="1"/>
      <c r="E2" s="1"/>
      <c r="F2" s="1"/>
      <c r="G2" s="262" t="s">
        <v>75</v>
      </c>
      <c r="H2" s="2"/>
      <c r="I2" s="1"/>
      <c r="J2" s="1"/>
      <c r="K2" s="1"/>
      <c r="M2" s="40"/>
      <c r="N2" s="41"/>
      <c r="O2" s="42"/>
    </row>
    <row r="3" spans="1:36" s="39" customFormat="1" ht="33.75" x14ac:dyDescent="0.2">
      <c r="A3" s="1"/>
      <c r="B3" s="1"/>
      <c r="C3" s="1"/>
      <c r="D3" s="1"/>
      <c r="E3" s="1"/>
      <c r="F3" s="1"/>
      <c r="G3" s="262" t="str">
        <f>DNSP&amp;" "&amp;forecastyear</f>
        <v>TasNetworks 2022–23</v>
      </c>
      <c r="H3" s="2"/>
      <c r="I3" s="1"/>
      <c r="J3" s="1"/>
      <c r="K3" s="1"/>
      <c r="M3" s="40"/>
      <c r="N3" s="41"/>
      <c r="O3" s="42"/>
    </row>
    <row r="4" spans="1:36" s="43" customFormat="1" ht="13.5" customHeight="1" thickBot="1" x14ac:dyDescent="0.25">
      <c r="A4" s="6"/>
      <c r="B4" s="6"/>
      <c r="C4" s="6"/>
      <c r="D4" s="6"/>
      <c r="E4" s="6"/>
      <c r="F4" s="6"/>
      <c r="G4" s="263" t="s">
        <v>299</v>
      </c>
      <c r="H4" s="7"/>
      <c r="I4" s="6"/>
      <c r="J4" s="6"/>
      <c r="K4" s="6"/>
    </row>
    <row r="5" spans="1:36" s="39" customFormat="1" ht="13.5" customHeight="1" x14ac:dyDescent="0.2">
      <c r="A5" s="1"/>
      <c r="B5" s="1"/>
      <c r="C5" s="1"/>
      <c r="D5" s="1"/>
      <c r="E5" s="1"/>
      <c r="F5" s="1"/>
      <c r="G5" s="264"/>
      <c r="H5" s="265"/>
      <c r="I5" s="1"/>
      <c r="J5" s="1"/>
      <c r="K5" s="1"/>
    </row>
    <row r="6" spans="1:36" s="9" customFormat="1" ht="3" customHeight="1" x14ac:dyDescent="0.2"/>
    <row r="7" spans="1:36" s="18" customFormat="1" ht="12.75" x14ac:dyDescent="0.2">
      <c r="A7" s="11"/>
      <c r="B7" s="12"/>
      <c r="C7" s="11"/>
      <c r="D7" s="11"/>
      <c r="E7" s="11"/>
      <c r="F7" s="11"/>
      <c r="G7" s="11"/>
      <c r="H7" s="11"/>
      <c r="I7" s="11"/>
      <c r="J7" s="11"/>
      <c r="K7" s="11"/>
      <c r="L7" s="13"/>
      <c r="M7" s="13"/>
      <c r="N7" s="13"/>
      <c r="O7" s="13"/>
      <c r="P7" s="14"/>
      <c r="Q7" s="15"/>
      <c r="R7" s="14"/>
      <c r="S7" s="15"/>
      <c r="T7" s="14"/>
      <c r="U7" s="14"/>
      <c r="V7" s="14"/>
      <c r="W7" s="14"/>
      <c r="X7" s="14"/>
      <c r="Y7" s="14"/>
      <c r="Z7" s="14"/>
      <c r="AA7" s="14"/>
      <c r="AB7" s="15"/>
      <c r="AC7" s="15"/>
      <c r="AD7" s="16"/>
      <c r="AE7" s="16"/>
      <c r="AF7" s="16"/>
      <c r="AG7" s="16"/>
      <c r="AH7" s="16"/>
      <c r="AI7" s="17"/>
      <c r="AJ7" s="17"/>
    </row>
    <row r="8" spans="1:36" ht="11.25" x14ac:dyDescent="0.2"/>
    <row r="9" spans="1:36" ht="11.25" x14ac:dyDescent="0.2">
      <c r="C9" s="126" t="s">
        <v>1</v>
      </c>
      <c r="D9" s="38"/>
      <c r="E9" s="38"/>
      <c r="F9" s="38"/>
      <c r="G9" s="127" t="s">
        <v>300</v>
      </c>
      <c r="H9" s="128" t="s">
        <v>301</v>
      </c>
      <c r="I9" s="128" t="s">
        <v>302</v>
      </c>
      <c r="J9" s="128"/>
    </row>
    <row r="10" spans="1:36" ht="11.25" x14ac:dyDescent="0.2">
      <c r="C10" s="119"/>
      <c r="D10" s="24"/>
      <c r="E10" s="19" t="s">
        <v>293</v>
      </c>
      <c r="F10" s="24"/>
      <c r="G10" s="129">
        <v>0.1</v>
      </c>
      <c r="H10" s="130">
        <v>44409</v>
      </c>
      <c r="I10" s="681" t="s">
        <v>303</v>
      </c>
      <c r="J10" s="681"/>
    </row>
    <row r="11" spans="1:36" ht="11.25" x14ac:dyDescent="0.2">
      <c r="C11" s="120"/>
      <c r="D11" s="38"/>
      <c r="E11" s="19" t="s">
        <v>294</v>
      </c>
      <c r="F11" s="38"/>
      <c r="G11" s="129">
        <v>0.2</v>
      </c>
      <c r="H11" s="130">
        <v>44470</v>
      </c>
      <c r="I11" s="682" t="s">
        <v>304</v>
      </c>
      <c r="J11" s="682"/>
    </row>
    <row r="12" spans="1:36" ht="11.25" x14ac:dyDescent="0.2">
      <c r="C12" s="121"/>
      <c r="D12" s="38"/>
      <c r="E12" s="19" t="s">
        <v>295</v>
      </c>
      <c r="F12" s="38"/>
      <c r="G12" s="129">
        <v>0.3</v>
      </c>
      <c r="H12" s="130">
        <v>44501</v>
      </c>
      <c r="I12" s="682" t="s">
        <v>308</v>
      </c>
      <c r="J12" s="682"/>
    </row>
    <row r="13" spans="1:36" ht="11.25" x14ac:dyDescent="0.2">
      <c r="C13" s="122"/>
      <c r="D13" s="38"/>
      <c r="E13" s="19" t="s">
        <v>296</v>
      </c>
      <c r="F13" s="38"/>
      <c r="G13" s="129">
        <v>1</v>
      </c>
      <c r="H13" s="130">
        <v>44531</v>
      </c>
      <c r="I13" s="682" t="s">
        <v>305</v>
      </c>
      <c r="J13" s="682"/>
    </row>
    <row r="14" spans="1:36" ht="11.25" customHeight="1" x14ac:dyDescent="0.2">
      <c r="C14" s="123"/>
      <c r="D14" s="38"/>
      <c r="E14" s="19" t="s">
        <v>297</v>
      </c>
      <c r="F14" s="38"/>
      <c r="G14" s="131">
        <v>1.1000000000000001</v>
      </c>
      <c r="H14" s="132">
        <v>44805</v>
      </c>
      <c r="I14" s="680" t="s">
        <v>306</v>
      </c>
      <c r="J14" s="680"/>
    </row>
    <row r="15" spans="1:36" ht="11.25" customHeight="1" x14ac:dyDescent="0.2">
      <c r="C15" s="124"/>
      <c r="D15" s="38"/>
      <c r="E15" s="19" t="s">
        <v>105</v>
      </c>
      <c r="F15" s="38"/>
      <c r="G15" s="131">
        <v>1.2</v>
      </c>
      <c r="H15" s="132">
        <v>44866</v>
      </c>
      <c r="I15" s="680" t="s">
        <v>307</v>
      </c>
      <c r="J15" s="680"/>
    </row>
    <row r="16" spans="1:36" ht="11.25" x14ac:dyDescent="0.2">
      <c r="C16" s="125"/>
      <c r="D16" s="38"/>
      <c r="E16" s="19" t="s">
        <v>298</v>
      </c>
      <c r="F16" s="38"/>
      <c r="G16" s="131">
        <v>2</v>
      </c>
      <c r="H16" s="132">
        <v>44896</v>
      </c>
      <c r="I16" s="680" t="s">
        <v>309</v>
      </c>
      <c r="J16" s="680"/>
    </row>
    <row r="17" spans="1:36" ht="11.25" x14ac:dyDescent="0.2">
      <c r="C17" s="571"/>
      <c r="D17" s="38"/>
      <c r="E17" s="19" t="s">
        <v>708</v>
      </c>
      <c r="F17" s="38"/>
      <c r="G17" s="131">
        <v>2.1</v>
      </c>
      <c r="H17" s="132">
        <v>45200</v>
      </c>
      <c r="I17" s="680" t="s">
        <v>311</v>
      </c>
      <c r="J17" s="680"/>
    </row>
    <row r="18" spans="1:36" ht="11.25" customHeight="1" x14ac:dyDescent="0.2">
      <c r="C18" s="118"/>
      <c r="D18" s="38"/>
      <c r="E18" s="38"/>
      <c r="F18" s="38"/>
      <c r="G18" s="131">
        <v>3</v>
      </c>
      <c r="H18" s="132">
        <v>45383</v>
      </c>
      <c r="I18" s="680" t="s">
        <v>310</v>
      </c>
      <c r="J18" s="680"/>
    </row>
    <row r="19" spans="1:36" ht="11.25" x14ac:dyDescent="0.2">
      <c r="C19" s="118"/>
      <c r="D19" s="38"/>
      <c r="E19" s="38"/>
      <c r="F19" s="38"/>
      <c r="G19" s="131"/>
      <c r="H19" s="266"/>
      <c r="I19" s="158"/>
      <c r="J19" s="158"/>
    </row>
    <row r="20" spans="1:36" s="18" customFormat="1" ht="12.75" x14ac:dyDescent="0.2">
      <c r="A20" s="11"/>
      <c r="B20" s="12"/>
      <c r="C20" s="12" t="s">
        <v>404</v>
      </c>
      <c r="D20" s="11"/>
      <c r="E20" s="11"/>
      <c r="F20" s="11"/>
      <c r="G20" s="11"/>
      <c r="H20" s="11"/>
      <c r="I20" s="11"/>
      <c r="J20" s="11"/>
      <c r="K20" s="11"/>
      <c r="L20" s="13"/>
      <c r="M20" s="13"/>
      <c r="N20" s="13"/>
      <c r="O20" s="13"/>
      <c r="P20" s="14"/>
      <c r="Q20" s="15"/>
      <c r="R20" s="14"/>
      <c r="S20" s="15"/>
      <c r="T20" s="14"/>
      <c r="U20" s="14"/>
      <c r="V20" s="14"/>
      <c r="W20" s="14"/>
      <c r="X20" s="14"/>
      <c r="Y20" s="14"/>
      <c r="Z20" s="14"/>
      <c r="AA20" s="14"/>
      <c r="AB20" s="15"/>
      <c r="AC20" s="15"/>
      <c r="AD20" s="16"/>
      <c r="AE20" s="16"/>
      <c r="AF20" s="16"/>
      <c r="AG20" s="16"/>
      <c r="AH20" s="16"/>
      <c r="AI20" s="17"/>
      <c r="AJ20" s="17"/>
    </row>
    <row r="21" spans="1:36" ht="11.25" x14ac:dyDescent="0.2">
      <c r="C21" s="118"/>
      <c r="D21" s="38"/>
      <c r="E21" s="38"/>
      <c r="F21" s="38"/>
      <c r="G21" s="131"/>
      <c r="H21" s="266"/>
      <c r="I21" s="158"/>
      <c r="J21" s="158"/>
    </row>
    <row r="22" spans="1:36" ht="11.25" x14ac:dyDescent="0.2">
      <c r="C22" s="322" t="s">
        <v>542</v>
      </c>
      <c r="D22" s="38"/>
      <c r="E22" s="48" t="s">
        <v>543</v>
      </c>
      <c r="F22" s="38"/>
      <c r="G22" s="131"/>
      <c r="H22" s="266"/>
      <c r="I22" s="158"/>
      <c r="J22" s="158"/>
    </row>
    <row r="23" spans="1:36" ht="11.25" x14ac:dyDescent="0.2">
      <c r="C23" s="322" t="s">
        <v>540</v>
      </c>
      <c r="D23" s="38"/>
      <c r="E23" s="48" t="s">
        <v>541</v>
      </c>
      <c r="F23" s="38"/>
      <c r="G23" s="131"/>
      <c r="H23" s="266"/>
      <c r="I23" s="158"/>
      <c r="J23" s="158"/>
    </row>
    <row r="24" spans="1:36" ht="11.25" x14ac:dyDescent="0.2">
      <c r="C24" s="276" t="s">
        <v>331</v>
      </c>
      <c r="D24" s="38"/>
      <c r="E24" s="284"/>
      <c r="F24" s="38"/>
      <c r="G24" s="131"/>
      <c r="H24" s="266"/>
      <c r="I24" s="158"/>
      <c r="J24" s="158"/>
    </row>
    <row r="25" spans="1:36" ht="11.25" x14ac:dyDescent="0.2">
      <c r="C25" s="277" t="str">
        <f>'Outputs&gt;&gt;'!C7</f>
        <v>Tariff schedule</v>
      </c>
      <c r="E25" s="285" t="str">
        <f>'Outputs&gt;&gt;'!D7</f>
        <v>Provides schedules of network prices</v>
      </c>
      <c r="F25" s="38"/>
      <c r="G25" s="131"/>
      <c r="H25" s="266"/>
      <c r="I25" s="158"/>
      <c r="J25" s="158"/>
    </row>
    <row r="26" spans="1:36" ht="11.25" x14ac:dyDescent="0.2">
      <c r="C26" s="277" t="str">
        <f>'Outputs&gt;&gt;'!C8</f>
        <v>Compliance</v>
      </c>
      <c r="E26" s="285" t="str">
        <f>'Outputs&gt;&gt;'!D8</f>
        <v xml:space="preserve">Compliance checks against total allowable revenues, unders/overs closing balances, side constraint thresholds, trial tariff thresholds, and standalone and avoidable costs. </v>
      </c>
      <c r="F26" s="38"/>
      <c r="G26" s="131"/>
      <c r="H26" s="266"/>
      <c r="I26" s="158"/>
      <c r="J26" s="158"/>
    </row>
    <row r="27" spans="1:36" ht="11.25" x14ac:dyDescent="0.2">
      <c r="C27" s="277" t="str">
        <f>'Outputs&gt;&gt;'!C9</f>
        <v>Price comparisons</v>
      </c>
      <c r="E27" s="285" t="str">
        <f>'Outputs&gt;&gt;'!D9</f>
        <v>Compliance checks of proposed prices against relevant indicative prices from previous indicative schedule</v>
      </c>
      <c r="F27" s="38"/>
      <c r="G27" s="131"/>
      <c r="H27" s="266"/>
      <c r="I27" s="158"/>
      <c r="J27" s="158"/>
    </row>
    <row r="28" spans="1:36" ht="11.25" x14ac:dyDescent="0.2">
      <c r="C28" s="277" t="str">
        <f>'Outputs&gt;&gt;'!C10</f>
        <v>Tables</v>
      </c>
      <c r="E28" s="285" t="str">
        <f>'Outputs&gt;&gt;'!D10</f>
        <v>Provides output tables for use in pricing proposal documents</v>
      </c>
      <c r="F28" s="38"/>
      <c r="G28" s="131"/>
      <c r="H28" s="266"/>
      <c r="I28" s="158"/>
      <c r="J28" s="158"/>
    </row>
    <row r="29" spans="1:36" ht="11.25" x14ac:dyDescent="0.2">
      <c r="C29" s="277" t="str">
        <f>'Outputs&gt;&gt;'!C11</f>
        <v>Cost movements</v>
      </c>
      <c r="E29" s="285" t="str">
        <f>'Outputs&gt;&gt;'!D11</f>
        <v>Provides cost movements summaries</v>
      </c>
      <c r="F29" s="38"/>
      <c r="G29" s="131"/>
      <c r="H29" s="266"/>
      <c r="I29" s="158"/>
      <c r="J29" s="158"/>
    </row>
    <row r="30" spans="1:36" ht="11.25" x14ac:dyDescent="0.2">
      <c r="C30" s="277" t="str">
        <f>'Outputs&gt;&gt;'!C12</f>
        <v>Charts</v>
      </c>
      <c r="E30" s="285" t="str">
        <f>'Outputs&gt;&gt;'!D12</f>
        <v>Provides output charts for revenue and cost movements (some editing of charts may be necessary for presentational issues)</v>
      </c>
      <c r="F30" s="38"/>
      <c r="G30" s="131"/>
      <c r="H30" s="266"/>
      <c r="I30" s="158"/>
      <c r="J30" s="158"/>
    </row>
    <row r="31" spans="1:36" ht="11.25" x14ac:dyDescent="0.2">
      <c r="C31" s="275" t="s">
        <v>2</v>
      </c>
      <c r="D31" s="38"/>
      <c r="E31" s="286" t="s">
        <v>511</v>
      </c>
      <c r="F31" s="38"/>
      <c r="G31" s="131"/>
      <c r="H31" s="266"/>
      <c r="I31" s="158"/>
      <c r="J31" s="158"/>
    </row>
    <row r="32" spans="1:36" ht="11.25" x14ac:dyDescent="0.2">
      <c r="C32" s="277" t="str">
        <f>'Inputs&gt;&gt;'!C7</f>
        <v>General</v>
      </c>
      <c r="D32" s="38"/>
      <c r="E32" s="285" t="str">
        <f>'Inputs&gt;&gt;'!D7</f>
        <v>Inputs NSP name, regulatory years for the t, t-1, and t-2 years, inflation, day counts, etc.</v>
      </c>
      <c r="F32" s="38"/>
      <c r="G32" s="131"/>
      <c r="H32" s="266"/>
      <c r="I32" s="158"/>
      <c r="J32" s="158"/>
    </row>
    <row r="33" spans="3:10" ht="11.25" x14ac:dyDescent="0.2">
      <c r="C33" s="277" t="str">
        <f>'Inputs&gt;&gt;'!C8</f>
        <v>Financial</v>
      </c>
      <c r="D33" s="38"/>
      <c r="E33" s="285" t="str">
        <f>'Inputs&gt;&gt;'!D8</f>
        <v>Inputs the WACC, x-factors, allowed revenues, and annual adjustments</v>
      </c>
      <c r="F33" s="38"/>
      <c r="G33" s="131"/>
      <c r="H33" s="266"/>
      <c r="I33" s="158"/>
      <c r="J33" s="158"/>
    </row>
    <row r="34" spans="3:10" ht="11.25" x14ac:dyDescent="0.2">
      <c r="C34" s="277" t="str">
        <f>'Inputs&gt;&gt;'!C9</f>
        <v>Actuals</v>
      </c>
      <c r="D34" s="38"/>
      <c r="E34" s="285" t="str">
        <f>'Inputs&gt;&gt;'!D9</f>
        <v>Inputs actual revenues, demand, and customer numbers</v>
      </c>
      <c r="F34" s="38"/>
      <c r="G34" s="131"/>
      <c r="H34" s="266"/>
      <c r="I34" s="158"/>
      <c r="J34" s="158"/>
    </row>
    <row r="35" spans="3:10" ht="11.25" x14ac:dyDescent="0.2">
      <c r="C35" s="277" t="str">
        <f>'Inputs&gt;&gt;'!C10</f>
        <v>Metering</v>
      </c>
      <c r="D35" s="38"/>
      <c r="E35" s="285" t="str">
        <f>'Inputs&gt;&gt;'!D10</f>
        <v>Inputs relating to metering (prices for cost movements for non-Vic, prices and quantities for revenue caps for Vic)</v>
      </c>
      <c r="F35" s="38"/>
      <c r="G35" s="131"/>
      <c r="H35" s="266"/>
      <c r="I35" s="158"/>
      <c r="J35" s="158"/>
    </row>
    <row r="36" spans="3:10" ht="11.25" x14ac:dyDescent="0.2">
      <c r="C36" s="277" t="str">
        <f>'Inputs&gt;&gt;'!C11</f>
        <v>Tariffs</v>
      </c>
      <c r="D36" s="38"/>
      <c r="E36" s="285" t="str">
        <f>'Inputs&gt;&gt;'!D11</f>
        <v>Inputs tariff information including charging components and tariff classes</v>
      </c>
      <c r="F36" s="38"/>
      <c r="G36" s="131"/>
      <c r="H36" s="266"/>
      <c r="I36" s="158"/>
      <c r="J36" s="158"/>
    </row>
    <row r="37" spans="3:10" ht="11.25" x14ac:dyDescent="0.2">
      <c r="C37" s="277" t="str">
        <f>'Inputs&gt;&gt;'!C12</f>
        <v>Quantities</v>
      </c>
      <c r="D37" s="38"/>
      <c r="E37" s="285" t="str">
        <f>'Inputs&gt;&gt;'!D12</f>
        <v>Inputs forecast, estimated, and actual quantities</v>
      </c>
      <c r="F37" s="38"/>
      <c r="G37" s="131"/>
      <c r="H37" s="266"/>
      <c r="I37" s="158"/>
      <c r="J37" s="158"/>
    </row>
    <row r="38" spans="3:10" ht="11.25" x14ac:dyDescent="0.2">
      <c r="C38" s="277" t="str">
        <f>'Inputs&gt;&gt;'!C13</f>
        <v>Proposed prices</v>
      </c>
      <c r="D38" s="38"/>
      <c r="E38" s="285" t="str">
        <f>'Inputs&gt;&gt;'!D13</f>
        <v>Inputs proposed prices for SCS</v>
      </c>
      <c r="F38" s="38"/>
      <c r="G38" s="131"/>
      <c r="H38" s="266"/>
      <c r="I38" s="158"/>
      <c r="J38" s="158"/>
    </row>
    <row r="39" spans="3:10" ht="11.25" x14ac:dyDescent="0.2">
      <c r="C39" s="277" t="str">
        <f>'Inputs&gt;&gt;'!C14</f>
        <v>Historical prices</v>
      </c>
      <c r="D39" s="38"/>
      <c r="E39" s="285" t="str">
        <f>'Inputs&gt;&gt;'!D14</f>
        <v>Inputs historical prices for SCS for calculating estimated and actual revenues</v>
      </c>
      <c r="F39" s="38"/>
      <c r="G39" s="131"/>
      <c r="H39" s="266"/>
      <c r="I39" s="158"/>
      <c r="J39" s="158"/>
    </row>
    <row r="40" spans="3:10" ht="11.25" x14ac:dyDescent="0.2">
      <c r="C40" s="277" t="str">
        <f>'Inputs&gt;&gt;'!C15</f>
        <v>Indicative prices</v>
      </c>
      <c r="D40" s="38"/>
      <c r="E40" s="285" t="str">
        <f>'Inputs&gt;&gt;'!D15</f>
        <v>Inputs indicative tariffs to update the schedule for the remainder of the regulatory control period (updates previous schedule for only remaining years)</v>
      </c>
      <c r="F40" s="38"/>
      <c r="G40" s="131"/>
      <c r="H40" s="266"/>
      <c r="I40" s="158"/>
      <c r="J40" s="158"/>
    </row>
    <row r="41" spans="3:10" ht="11.25" x14ac:dyDescent="0.2">
      <c r="C41" s="277" t="str">
        <f>'Inputs&gt;&gt;'!C16</f>
        <v>Trial tariffs</v>
      </c>
      <c r="D41" s="38"/>
      <c r="E41" s="285" t="str">
        <f>'Inputs&gt;&gt;'!D16</f>
        <v>Inputs trial tariffs and relevant revenues (both forecast and historical)</v>
      </c>
      <c r="F41" s="38"/>
      <c r="G41" s="131"/>
      <c r="H41" s="266"/>
      <c r="I41" s="158"/>
      <c r="J41" s="158"/>
    </row>
    <row r="42" spans="3:10" ht="11.25" x14ac:dyDescent="0.2">
      <c r="C42" s="277" t="str">
        <f>'Inputs&gt;&gt;'!C17</f>
        <v>Tariff costs</v>
      </c>
      <c r="D42" s="38"/>
      <c r="E42" s="285" t="str">
        <f>'Inputs&gt;&gt;'!D17</f>
        <v>Inputs cost information related to standalone and avoidable costs</v>
      </c>
      <c r="F42" s="38"/>
      <c r="G42" s="131"/>
      <c r="H42" s="266"/>
      <c r="I42" s="158"/>
      <c r="J42" s="158"/>
    </row>
    <row r="43" spans="3:10" ht="11.25" x14ac:dyDescent="0.2">
      <c r="C43" s="276" t="s">
        <v>291</v>
      </c>
      <c r="D43" s="38"/>
      <c r="E43" s="284"/>
      <c r="F43" s="38"/>
      <c r="G43" s="131"/>
      <c r="H43" s="266"/>
      <c r="I43" s="158"/>
      <c r="J43" s="158"/>
    </row>
    <row r="44" spans="3:10" ht="11.25" x14ac:dyDescent="0.2">
      <c r="C44" s="277" t="str">
        <f>'Calculations&gt;&gt;'!C7</f>
        <v>Total allowable revenue</v>
      </c>
      <c r="D44" s="38"/>
      <c r="E44" s="285" t="str">
        <f>'Calculations&gt;&gt;'!D7</f>
        <v>Calculates total allowable revenues</v>
      </c>
      <c r="F44" s="38"/>
      <c r="G44" s="131"/>
      <c r="H44" s="266"/>
      <c r="I44" s="158"/>
      <c r="J44" s="158"/>
    </row>
    <row r="45" spans="3:10" ht="11.25" x14ac:dyDescent="0.2">
      <c r="C45" s="277" t="str">
        <f>'Calculations&gt;&gt;'!C8</f>
        <v>Accounts</v>
      </c>
      <c r="D45" s="38"/>
      <c r="E45" s="285" t="str">
        <f>'Calculations&gt;&gt;'!D8</f>
        <v>Calculates under/over-recovery and related data</v>
      </c>
      <c r="F45" s="38"/>
      <c r="G45" s="131"/>
      <c r="H45" s="266"/>
      <c r="I45" s="158"/>
      <c r="J45" s="158"/>
    </row>
    <row r="46" spans="3:10" ht="11.25" x14ac:dyDescent="0.2">
      <c r="C46" s="277" t="str">
        <f>'Calculations&gt;&gt;'!C9</f>
        <v>Revenue summary</v>
      </c>
      <c r="D46" s="38"/>
      <c r="E46" s="285" t="str">
        <f>'Calculations&gt;&gt;'!D9</f>
        <v>Totals revenues for each tariff, charging component, and tariff class</v>
      </c>
      <c r="F46" s="38"/>
      <c r="G46" s="131"/>
      <c r="H46" s="266"/>
      <c r="I46" s="158"/>
      <c r="J46" s="158"/>
    </row>
    <row r="47" spans="3:10" ht="11.25" x14ac:dyDescent="0.2">
      <c r="C47" s="277" t="str">
        <f>'Calculations&gt;&gt;'!C10</f>
        <v>Proposed revenue</v>
      </c>
      <c r="D47" s="38"/>
      <c r="E47" s="285" t="str">
        <f>'Calculations&gt;&gt;'!D10</f>
        <v>Calculates revenues for the t year for each tariff component</v>
      </c>
      <c r="F47" s="38"/>
      <c r="G47" s="131"/>
      <c r="H47" s="266"/>
      <c r="I47" s="158"/>
      <c r="J47" s="158"/>
    </row>
    <row r="48" spans="3:10" ht="11.25" x14ac:dyDescent="0.2">
      <c r="C48" s="277" t="str">
        <f>'Calculations&gt;&gt;'!C11</f>
        <v>Historical revenue</v>
      </c>
      <c r="D48" s="38"/>
      <c r="E48" s="285" t="str">
        <f>'Calculations&gt;&gt;'!D11</f>
        <v>Calculates revenues for the t-1 and t-2 years for each tariff component</v>
      </c>
      <c r="F48" s="38"/>
      <c r="G48" s="131"/>
      <c r="H48" s="266"/>
      <c r="I48" s="158"/>
      <c r="J48" s="158"/>
    </row>
    <row r="49" spans="1:36" ht="11.25" x14ac:dyDescent="0.2">
      <c r="C49" s="277" t="str">
        <f>'Calculations&gt;&gt;'!C12</f>
        <v>Side constraints revenue</v>
      </c>
      <c r="D49" s="38"/>
      <c r="E49" s="285" t="str">
        <f>'Calculations&gt;&gt;'!D12</f>
        <v>Calculates permissable percentage and revenue for side constraint mechanism</v>
      </c>
      <c r="F49" s="38"/>
      <c r="G49" s="131"/>
      <c r="H49" s="266"/>
      <c r="I49" s="158"/>
      <c r="J49" s="158"/>
    </row>
    <row r="50" spans="1:36" ht="11.25" x14ac:dyDescent="0.2">
      <c r="C50" s="277" t="str">
        <f>'Calculations&gt;&gt;'!C13</f>
        <v>Total quantities</v>
      </c>
      <c r="D50" s="38"/>
      <c r="E50" s="285" t="str">
        <f>'Calculations&gt;&gt;'!D13</f>
        <v>Calculates demand for each charging component, tariff, and tariff class</v>
      </c>
      <c r="F50" s="38"/>
      <c r="G50" s="131"/>
      <c r="H50" s="266"/>
      <c r="I50" s="158"/>
      <c r="J50" s="158"/>
    </row>
    <row r="51" spans="1:36" ht="11.25" x14ac:dyDescent="0.2">
      <c r="C51" s="277" t="str">
        <f>'Calculations&gt;&gt;'!C14</f>
        <v>Movements</v>
      </c>
      <c r="D51" s="38"/>
      <c r="E51" s="285" t="str">
        <f>'Calculations&gt;&gt;'!D14</f>
        <v>Calculates network costs and consumption profiles for each residential and small business tariff</v>
      </c>
      <c r="F51" s="38"/>
      <c r="G51" s="131"/>
      <c r="H51" s="266"/>
      <c r="I51" s="158"/>
      <c r="J51" s="158"/>
    </row>
    <row r="52" spans="1:36" ht="11.25" x14ac:dyDescent="0.2">
      <c r="C52" s="275" t="s">
        <v>580</v>
      </c>
      <c r="D52" s="38"/>
      <c r="E52" s="286" t="s">
        <v>717</v>
      </c>
      <c r="F52" s="38"/>
      <c r="G52" s="131"/>
      <c r="H52" s="266"/>
      <c r="I52" s="158"/>
      <c r="J52" s="158"/>
    </row>
    <row r="53" spans="1:36" ht="11.25" x14ac:dyDescent="0.2">
      <c r="C53" s="275" t="s">
        <v>716</v>
      </c>
      <c r="D53" s="38"/>
      <c r="E53" s="286" t="s">
        <v>756</v>
      </c>
      <c r="F53" s="38"/>
      <c r="G53" s="131"/>
      <c r="H53" s="266"/>
      <c r="I53" s="158"/>
      <c r="J53" s="158"/>
    </row>
    <row r="54" spans="1:36" ht="11.25" x14ac:dyDescent="0.2">
      <c r="C54" s="118"/>
      <c r="D54" s="38"/>
      <c r="E54" s="38"/>
      <c r="F54" s="38"/>
      <c r="G54" s="131"/>
      <c r="H54" s="266"/>
      <c r="I54" s="158"/>
      <c r="J54" s="158"/>
    </row>
    <row r="55" spans="1:36" s="18" customFormat="1" ht="12.75" x14ac:dyDescent="0.2">
      <c r="A55" s="11"/>
      <c r="B55" s="12"/>
      <c r="C55" s="12" t="s">
        <v>416</v>
      </c>
      <c r="D55" s="11"/>
      <c r="E55" s="11"/>
      <c r="F55" s="11"/>
      <c r="G55" s="11"/>
      <c r="H55" s="11"/>
      <c r="I55" s="11"/>
      <c r="J55" s="11"/>
      <c r="K55" s="11"/>
      <c r="L55" s="13"/>
      <c r="M55" s="13"/>
      <c r="N55" s="13"/>
      <c r="O55" s="13"/>
      <c r="P55" s="14"/>
      <c r="Q55" s="15"/>
      <c r="R55" s="14"/>
      <c r="S55" s="15"/>
      <c r="T55" s="14"/>
      <c r="U55" s="14"/>
      <c r="V55" s="14"/>
      <c r="W55" s="14"/>
      <c r="X55" s="14"/>
      <c r="Y55" s="14"/>
      <c r="Z55" s="14"/>
      <c r="AA55" s="14"/>
      <c r="AB55" s="15"/>
      <c r="AC55" s="15"/>
      <c r="AD55" s="16"/>
      <c r="AE55" s="16"/>
      <c r="AF55" s="16"/>
      <c r="AG55" s="16"/>
      <c r="AH55" s="16"/>
      <c r="AI55" s="17"/>
      <c r="AJ55" s="17"/>
    </row>
    <row r="56" spans="1:36" ht="11.25" x14ac:dyDescent="0.2">
      <c r="C56" s="118"/>
      <c r="D56" s="38"/>
      <c r="E56" s="38"/>
      <c r="F56" s="38"/>
      <c r="G56" s="131"/>
      <c r="H56" s="266"/>
      <c r="I56" s="158"/>
      <c r="J56" s="158"/>
    </row>
    <row r="57" spans="1:36" ht="11.25" x14ac:dyDescent="0.2">
      <c r="C57" s="267" t="s">
        <v>301</v>
      </c>
      <c r="D57" s="273"/>
      <c r="E57" s="273" t="s">
        <v>302</v>
      </c>
      <c r="F57" s="268"/>
      <c r="G57" s="131"/>
      <c r="H57" s="266"/>
      <c r="I57" s="158"/>
      <c r="J57" s="158"/>
    </row>
    <row r="58" spans="1:36" ht="11.25" x14ac:dyDescent="0.2">
      <c r="C58" s="118"/>
      <c r="D58" s="38"/>
      <c r="E58" s="38"/>
      <c r="F58" s="38"/>
      <c r="G58" s="131"/>
      <c r="H58" s="266"/>
      <c r="I58" s="158"/>
      <c r="J58" s="158"/>
    </row>
    <row r="59" spans="1:36" ht="11.25" x14ac:dyDescent="0.2">
      <c r="C59" s="118"/>
      <c r="D59" s="38"/>
      <c r="E59" s="38"/>
      <c r="F59" s="38"/>
      <c r="G59" s="131"/>
      <c r="H59" s="266"/>
      <c r="I59" s="158"/>
      <c r="J59" s="158"/>
    </row>
    <row r="60" spans="1:36" ht="11.25" x14ac:dyDescent="0.2">
      <c r="C60" s="118"/>
      <c r="D60" s="38"/>
      <c r="E60" s="38"/>
      <c r="F60" s="38"/>
      <c r="G60" s="131"/>
      <c r="H60" s="266"/>
      <c r="I60" s="158"/>
      <c r="J60" s="158"/>
    </row>
    <row r="61" spans="1:36" ht="11.25" x14ac:dyDescent="0.2">
      <c r="C61" s="118"/>
      <c r="D61" s="38"/>
      <c r="E61" s="38"/>
      <c r="F61" s="38"/>
      <c r="G61" s="131"/>
      <c r="H61" s="266"/>
      <c r="I61" s="158"/>
      <c r="J61" s="158"/>
    </row>
    <row r="62" spans="1:36" ht="11.25" x14ac:dyDescent="0.2">
      <c r="C62" s="118"/>
      <c r="D62" s="38"/>
      <c r="E62" s="38"/>
      <c r="F62" s="38"/>
      <c r="G62" s="131"/>
      <c r="H62" s="266"/>
      <c r="I62" s="158"/>
      <c r="J62" s="158"/>
    </row>
    <row r="63" spans="1:36" ht="11.25" x14ac:dyDescent="0.2">
      <c r="C63" s="118"/>
      <c r="D63" s="38"/>
      <c r="E63" s="38"/>
      <c r="F63" s="38"/>
      <c r="G63" s="131"/>
      <c r="H63" s="266"/>
      <c r="I63" s="158"/>
      <c r="J63" s="158"/>
    </row>
    <row r="64" spans="1:36" ht="11.25" x14ac:dyDescent="0.2">
      <c r="C64" s="118"/>
      <c r="D64" s="38"/>
      <c r="E64" s="38"/>
      <c r="F64" s="38"/>
      <c r="G64" s="131"/>
      <c r="H64" s="266"/>
      <c r="I64" s="158"/>
      <c r="J64" s="158"/>
    </row>
    <row r="65" spans="1:36" ht="11.25" x14ac:dyDescent="0.2">
      <c r="C65" s="118"/>
      <c r="D65" s="38"/>
      <c r="E65" s="38"/>
      <c r="F65" s="38"/>
      <c r="G65" s="131"/>
      <c r="H65" s="266"/>
      <c r="I65" s="158"/>
      <c r="J65" s="158"/>
    </row>
    <row r="66" spans="1:36" ht="11.25" x14ac:dyDescent="0.2">
      <c r="C66" s="118"/>
      <c r="D66" s="38"/>
      <c r="E66" s="38"/>
      <c r="F66" s="38"/>
      <c r="G66" s="131"/>
      <c r="H66" s="266"/>
      <c r="I66" s="158"/>
      <c r="J66" s="158"/>
    </row>
    <row r="67" spans="1:36" ht="11.25" x14ac:dyDescent="0.2">
      <c r="C67" s="118"/>
      <c r="D67" s="38"/>
      <c r="E67" s="38"/>
      <c r="F67" s="38"/>
      <c r="G67" s="131"/>
      <c r="H67" s="266"/>
      <c r="I67" s="158"/>
      <c r="J67" s="158"/>
    </row>
    <row r="68" spans="1:36" ht="11.25" x14ac:dyDescent="0.2">
      <c r="C68" s="118"/>
      <c r="D68" s="38"/>
      <c r="E68" s="38"/>
      <c r="F68" s="38"/>
      <c r="G68" s="131"/>
      <c r="H68" s="266"/>
      <c r="I68" s="158"/>
      <c r="J68" s="158"/>
    </row>
    <row r="69" spans="1:36" ht="11.25" x14ac:dyDescent="0.2">
      <c r="C69" s="118"/>
      <c r="D69" s="38"/>
      <c r="E69" s="38"/>
      <c r="F69" s="38"/>
      <c r="G69" s="131"/>
      <c r="H69" s="266"/>
      <c r="I69" s="158"/>
      <c r="J69" s="158"/>
    </row>
    <row r="70" spans="1:36" ht="11.25" x14ac:dyDescent="0.2">
      <c r="C70" s="118"/>
      <c r="D70" s="38"/>
      <c r="E70" s="38"/>
      <c r="F70" s="38"/>
      <c r="G70" s="131"/>
      <c r="H70" s="266"/>
      <c r="I70" s="158"/>
      <c r="J70" s="158"/>
    </row>
    <row r="71" spans="1:36" ht="12.75" x14ac:dyDescent="0.2">
      <c r="C71" s="44"/>
      <c r="D71" s="38"/>
      <c r="E71" s="38"/>
      <c r="F71" s="38"/>
      <c r="G71" s="38"/>
      <c r="H71" s="38"/>
      <c r="I71" s="133"/>
      <c r="J71" s="133"/>
    </row>
    <row r="72" spans="1:36" s="18" customFormat="1" ht="12.75" x14ac:dyDescent="0.2">
      <c r="A72" s="11"/>
      <c r="B72" s="12" t="s">
        <v>8</v>
      </c>
      <c r="C72" s="11"/>
      <c r="D72" s="11"/>
      <c r="E72" s="11"/>
      <c r="F72" s="11"/>
      <c r="G72" s="11"/>
      <c r="H72" s="11"/>
      <c r="I72" s="11"/>
      <c r="J72" s="11"/>
      <c r="K72" s="11"/>
      <c r="L72" s="13"/>
      <c r="M72" s="13"/>
      <c r="N72" s="13"/>
      <c r="O72" s="13"/>
      <c r="P72" s="14"/>
      <c r="Q72" s="15"/>
      <c r="R72" s="14"/>
      <c r="S72" s="15"/>
      <c r="T72" s="14"/>
      <c r="U72" s="14"/>
      <c r="V72" s="14"/>
      <c r="W72" s="14"/>
      <c r="X72" s="14"/>
      <c r="Y72" s="14"/>
      <c r="Z72" s="14"/>
      <c r="AA72" s="14"/>
      <c r="AB72" s="15"/>
      <c r="AC72" s="15"/>
      <c r="AD72" s="16"/>
      <c r="AE72" s="16"/>
      <c r="AF72" s="16"/>
      <c r="AG72" s="16"/>
      <c r="AH72" s="16"/>
      <c r="AI72" s="17"/>
      <c r="AJ72" s="17"/>
    </row>
    <row r="73" spans="1:36" ht="11.25" hidden="1" x14ac:dyDescent="0.2">
      <c r="D73" s="38"/>
      <c r="E73" s="38"/>
      <c r="F73" s="38"/>
      <c r="G73" s="38"/>
      <c r="H73" s="38"/>
      <c r="I73" s="38"/>
      <c r="J73" s="38"/>
      <c r="L73" s="45"/>
    </row>
    <row r="74" spans="1:36" ht="11.25" hidden="1" x14ac:dyDescent="0.2">
      <c r="D74" s="38"/>
      <c r="E74" s="38"/>
      <c r="F74" s="38"/>
      <c r="G74" s="38"/>
      <c r="H74" s="38"/>
      <c r="I74" s="38"/>
      <c r="J74" s="38"/>
      <c r="L74" s="45"/>
    </row>
    <row r="75" spans="1:36" ht="11.25" hidden="1" x14ac:dyDescent="0.2">
      <c r="D75" s="38"/>
      <c r="E75" s="38"/>
      <c r="F75" s="38"/>
      <c r="G75" s="38"/>
      <c r="H75" s="38"/>
      <c r="I75" s="38"/>
      <c r="J75" s="38"/>
      <c r="L75" s="45"/>
    </row>
    <row r="76" spans="1:36" ht="11.25" hidden="1" x14ac:dyDescent="0.2">
      <c r="D76" s="38"/>
      <c r="E76" s="38"/>
      <c r="F76" s="38"/>
      <c r="G76" s="38"/>
      <c r="H76" s="38"/>
      <c r="I76" s="38"/>
      <c r="J76" s="38"/>
      <c r="L76" s="45"/>
    </row>
    <row r="77" spans="1:36" ht="11.25" hidden="1" x14ac:dyDescent="0.2">
      <c r="D77" s="38"/>
      <c r="E77" s="38"/>
      <c r="F77" s="38"/>
      <c r="G77" s="38"/>
      <c r="H77" s="38"/>
      <c r="I77" s="38"/>
      <c r="J77" s="38"/>
      <c r="L77" s="45"/>
    </row>
    <row r="78" spans="1:36" ht="11.25" hidden="1" x14ac:dyDescent="0.2">
      <c r="C78" s="38"/>
      <c r="D78" s="38"/>
      <c r="E78" s="38"/>
      <c r="F78" s="38"/>
      <c r="G78" s="38"/>
      <c r="H78" s="38"/>
      <c r="I78" s="38"/>
      <c r="J78" s="38"/>
      <c r="L78" s="45"/>
    </row>
    <row r="79" spans="1:36" ht="11.25" hidden="1" x14ac:dyDescent="0.2">
      <c r="C79" s="38"/>
      <c r="D79" s="38"/>
      <c r="E79" s="38"/>
      <c r="F79" s="38"/>
      <c r="G79" s="38"/>
      <c r="H79" s="38"/>
      <c r="I79" s="38"/>
      <c r="J79" s="38"/>
      <c r="L79" s="45"/>
    </row>
    <row r="80" spans="1:36" ht="11.25" hidden="1" x14ac:dyDescent="0.2">
      <c r="C80" s="38"/>
      <c r="D80" s="38"/>
      <c r="E80" s="38"/>
      <c r="F80" s="38"/>
      <c r="G80" s="38"/>
      <c r="H80" s="38"/>
      <c r="I80" s="38"/>
      <c r="J80" s="38"/>
    </row>
    <row r="81" spans="3:10" ht="11.25" hidden="1" x14ac:dyDescent="0.2">
      <c r="D81" s="38"/>
      <c r="E81" s="38"/>
      <c r="F81" s="38"/>
      <c r="G81" s="38"/>
      <c r="H81" s="38"/>
      <c r="I81" s="38"/>
      <c r="J81" s="38"/>
    </row>
    <row r="82" spans="3:10" ht="11.25" hidden="1" x14ac:dyDescent="0.2">
      <c r="D82" s="38"/>
      <c r="E82" s="38"/>
      <c r="F82" s="38"/>
      <c r="G82" s="38"/>
      <c r="H82" s="38"/>
      <c r="I82" s="38"/>
      <c r="J82" s="38"/>
    </row>
    <row r="83" spans="3:10" ht="11.25" hidden="1" x14ac:dyDescent="0.2">
      <c r="D83" s="38"/>
      <c r="E83" s="38"/>
      <c r="F83" s="38"/>
      <c r="G83" s="38"/>
      <c r="H83" s="38"/>
      <c r="I83" s="38"/>
      <c r="J83" s="38"/>
    </row>
    <row r="84" spans="3:10" ht="11.25" hidden="1" x14ac:dyDescent="0.2">
      <c r="D84" s="38"/>
      <c r="E84" s="38"/>
      <c r="F84" s="38"/>
      <c r="G84" s="38"/>
      <c r="H84" s="38"/>
      <c r="I84" s="38"/>
      <c r="J84" s="38"/>
    </row>
    <row r="85" spans="3:10" ht="11.25" hidden="1" x14ac:dyDescent="0.2">
      <c r="D85" s="38"/>
      <c r="E85" s="38"/>
      <c r="F85" s="38"/>
      <c r="G85" s="38"/>
      <c r="H85" s="38"/>
      <c r="I85" s="38"/>
      <c r="J85" s="38"/>
    </row>
    <row r="86" spans="3:10" ht="12.75" hidden="1" x14ac:dyDescent="0.2">
      <c r="C86" s="44"/>
      <c r="D86" s="38"/>
      <c r="E86" s="38"/>
      <c r="F86" s="38"/>
      <c r="G86" s="38"/>
      <c r="H86" s="38"/>
      <c r="I86" s="38"/>
      <c r="J86" s="38"/>
    </row>
  </sheetData>
  <mergeCells count="9">
    <mergeCell ref="I16:J16"/>
    <mergeCell ref="I17:J17"/>
    <mergeCell ref="I18:J18"/>
    <mergeCell ref="I10:J10"/>
    <mergeCell ref="I11:J11"/>
    <mergeCell ref="I12:J12"/>
    <mergeCell ref="I13:J13"/>
    <mergeCell ref="I14:J14"/>
    <mergeCell ref="I15:J15"/>
  </mergeCells>
  <phoneticPr fontId="31" type="noConversion"/>
  <hyperlinks>
    <hyperlink ref="C24" location="'Outputs&gt;&gt;'!A1" display="Outputs" xr:uid="{00000000-0004-0000-0000-000000000000}"/>
    <hyperlink ref="C43" location="'Calculations&gt;&gt;'!A1" display="Calculations" xr:uid="{00000000-0004-0000-0000-000001000000}"/>
    <hyperlink ref="C31" location="'Inputs&gt;&gt;'!A1" display="Inputs" xr:uid="{00000000-0004-0000-0000-000002000000}"/>
    <hyperlink ref="C52" location="Lookups!A1" display="Lookups" xr:uid="{00000000-0004-0000-0000-000003000000}"/>
    <hyperlink ref="C26" location="Compliance!A1" display="Compliance!A1" xr:uid="{00000000-0004-0000-0000-000004000000}"/>
    <hyperlink ref="C27" location="'Price comparisons'!A1" display="'Price comparisons'!A1" xr:uid="{00000000-0004-0000-0000-000005000000}"/>
    <hyperlink ref="C25" location="'Tariff schedule'!A1" display="'Tariff schedule'!A1" xr:uid="{00000000-0004-0000-0000-000006000000}"/>
    <hyperlink ref="C28" location="Tables!A1" display="Tables!A1" xr:uid="{00000000-0004-0000-0000-000007000000}"/>
    <hyperlink ref="C29" location="'Cost movements'!A1" display="'Cost movements'!A1" xr:uid="{00000000-0004-0000-0000-000008000000}"/>
    <hyperlink ref="C44" location="TAR!A1" display="TAR!A1" xr:uid="{00000000-0004-0000-0000-000009000000}"/>
    <hyperlink ref="C47" location="'Prop. revenue'!A1" display="'Prop. revenue'!A1" xr:uid="{00000000-0004-0000-0000-00000A000000}"/>
    <hyperlink ref="C48" location="'Hist. revenue'!A1" display="'Hist. revenue'!A1" xr:uid="{00000000-0004-0000-0000-00000B000000}"/>
    <hyperlink ref="C46" location="'Rev. summary'!A1" display="'Rev. summary'!A1" xr:uid="{00000000-0004-0000-0000-00000C000000}"/>
    <hyperlink ref="C50" location="'Total qty'!A1" display="'Total qty'!A1" xr:uid="{00000000-0004-0000-0000-00000D000000}"/>
    <hyperlink ref="C45" location="Accounts!A1" display="Accounts!A1" xr:uid="{00000000-0004-0000-0000-00000E000000}"/>
    <hyperlink ref="C49" location="'SC revenue'!A1" display="'SC revenue'!A1" xr:uid="{00000000-0004-0000-0000-00000F000000}"/>
    <hyperlink ref="C51" location="Movements!A1" display="Movements!A1" xr:uid="{00000000-0004-0000-0000-000010000000}"/>
    <hyperlink ref="C32" location="General!A1" display="General!A1" xr:uid="{00000000-0004-0000-0000-000011000000}"/>
    <hyperlink ref="C33" location="Financial!A1" display="Financial!A1" xr:uid="{00000000-0004-0000-0000-000012000000}"/>
    <hyperlink ref="C34" location="Actuals!A1" display="Actuals!A1" xr:uid="{00000000-0004-0000-0000-000013000000}"/>
    <hyperlink ref="C35" location="Metering!A1" display="Metering!A1" xr:uid="{00000000-0004-0000-0000-000014000000}"/>
    <hyperlink ref="C36" location="Tariffs!A1" display="Tariffs!A1" xr:uid="{00000000-0004-0000-0000-000015000000}"/>
    <hyperlink ref="C37" location="Qty!A1" display="Qty!A1" xr:uid="{00000000-0004-0000-0000-000016000000}"/>
    <hyperlink ref="C38" location="'Prop. prices'!A1" display="'Prop. prices'!A1" xr:uid="{00000000-0004-0000-0000-000017000000}"/>
    <hyperlink ref="C39" location="'Hist. prices'!A1" display="'Hist. prices'!A1" xr:uid="{00000000-0004-0000-0000-000018000000}"/>
    <hyperlink ref="C40" location="'Indicative prices'!A1" display="'Indicative prices'!A1" xr:uid="{00000000-0004-0000-0000-000019000000}"/>
    <hyperlink ref="C41" location="'Trial tariffs'!A1" display="'Trial tariffs'!A1" xr:uid="{00000000-0004-0000-0000-00001A000000}"/>
    <hyperlink ref="C42" location="'Tariff costs'!A1" display="'Tariff costs'!A1" xr:uid="{00000000-0004-0000-0000-00001B000000}"/>
    <hyperlink ref="C30" location="Charts!A1" display="Charts!A1" xr:uid="{00000000-0004-0000-0000-00001C000000}"/>
    <hyperlink ref="C23" location="Mechanisms!A1" display="Mechanisms" xr:uid="{00000000-0004-0000-0000-00001D000000}"/>
    <hyperlink ref="C22" location="Rules!A1" display="Rules" xr:uid="{00000000-0004-0000-0000-00001E000000}"/>
    <hyperlink ref="C53" location="'Model update log'!A1" display="Model update log" xr:uid="{00000000-0004-0000-0000-00001F000000}"/>
  </hyperlinks>
  <pageMargins left="0.7" right="0.7" top="0.75" bottom="0.75" header="0.3" footer="0.3"/>
  <pageSetup paperSize="9" orientation="portrait" verticalDpi="4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4" name="Button 1">
              <controlPr defaultSize="0" print="0" autoFill="0" autoPict="0" macro="[0]!Redact">
                <anchor moveWithCells="1" sizeWithCells="1">
                  <from>
                    <xdr:col>8</xdr:col>
                    <xdr:colOff>2400300</xdr:colOff>
                    <xdr:row>1</xdr:row>
                    <xdr:rowOff>209550</xdr:rowOff>
                  </from>
                  <to>
                    <xdr:col>8</xdr:col>
                    <xdr:colOff>5943600</xdr:colOff>
                    <xdr:row>2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tabColor theme="9" tint="0.79998168889431442"/>
  </sheetPr>
  <dimension ref="A1:AD106"/>
  <sheetViews>
    <sheetView showGridLines="0" zoomScaleNormal="100" workbookViewId="0">
      <selection activeCell="D23" sqref="D23"/>
    </sheetView>
  </sheetViews>
  <sheetFormatPr defaultColWidth="0" defaultRowHeight="11.25" customHeight="1" zeroHeight="1" outlineLevelRow="1" x14ac:dyDescent="0.2"/>
  <cols>
    <col min="1" max="2" width="1.28515625" style="19" customWidth="1"/>
    <col min="3" max="3" width="40" style="19" customWidth="1"/>
    <col min="4" max="4" width="14" style="20" customWidth="1"/>
    <col min="5" max="5" width="2.7109375" style="20" customWidth="1"/>
    <col min="6" max="6" width="12.5703125" style="20" customWidth="1"/>
    <col min="7" max="7" width="15.28515625" style="20" customWidth="1"/>
    <col min="8" max="9" width="2.85546875" style="20" customWidth="1"/>
    <col min="10" max="13" width="9.28515625" style="19" customWidth="1"/>
    <col min="14" max="14" width="2.85546875" style="19" customWidth="1"/>
    <col min="15" max="17" width="2.28515625" style="19" customWidth="1"/>
    <col min="18" max="18" width="9.28515625" style="19" customWidth="1"/>
    <col min="19" max="20" width="9.28515625" style="19" hidden="1" customWidth="1"/>
    <col min="21" max="23" width="1.85546875" style="19" hidden="1" customWidth="1"/>
    <col min="24" max="38" width="9" style="19" hidden="1" customWidth="1"/>
    <col min="39" max="16384" width="9" style="19" hidden="1"/>
  </cols>
  <sheetData>
    <row r="1" spans="1:30" s="1" customFormat="1" ht="15.75" x14ac:dyDescent="0.25">
      <c r="B1" s="2" t="str">
        <f>'Inputs&gt;&gt;'!B1</f>
        <v>AER pricing model - TasNetworks 2022–23</v>
      </c>
      <c r="C1" s="2"/>
      <c r="D1" s="2"/>
      <c r="E1" s="2"/>
      <c r="F1" s="3"/>
      <c r="G1" s="160" t="s">
        <v>0</v>
      </c>
      <c r="H1" s="3"/>
      <c r="I1" s="3"/>
      <c r="J1" s="160"/>
      <c r="K1" s="160"/>
      <c r="L1" s="161"/>
      <c r="M1" s="161"/>
      <c r="N1" s="51"/>
      <c r="O1" s="51"/>
      <c r="P1" s="18"/>
      <c r="Q1" s="18"/>
      <c r="R1" s="111"/>
      <c r="S1" s="113"/>
      <c r="T1" s="18"/>
      <c r="U1" s="114"/>
      <c r="V1" s="113"/>
      <c r="W1" s="18"/>
    </row>
    <row r="2" spans="1:30" s="6" customFormat="1" ht="13.5" thickBot="1" x14ac:dyDescent="0.25">
      <c r="B2" s="7" t="str">
        <f>'Inputs&gt;&gt;'!C7</f>
        <v>General</v>
      </c>
      <c r="C2" s="7"/>
      <c r="D2" s="7"/>
      <c r="E2" s="7"/>
      <c r="F2" s="8"/>
      <c r="G2" s="8"/>
      <c r="H2" s="8"/>
      <c r="I2" s="8"/>
    </row>
    <row r="3" spans="1:30" s="9" customFormat="1" ht="12" thickBot="1" x14ac:dyDescent="0.25">
      <c r="B3" s="297" t="str">
        <f>'Inputs&gt;&gt;'!D7</f>
        <v>Inputs NSP name, regulatory years for the t, t-1, and t-2 years, inflation, day counts, etc.</v>
      </c>
      <c r="D3" s="10"/>
      <c r="E3" s="10"/>
      <c r="F3" s="10"/>
      <c r="G3" s="10"/>
      <c r="H3" s="10"/>
      <c r="I3" s="10"/>
    </row>
    <row r="4" spans="1:30" s="9" customFormat="1" x14ac:dyDescent="0.2">
      <c r="D4" s="10"/>
      <c r="E4" s="10"/>
      <c r="F4" s="10"/>
      <c r="G4" s="10"/>
      <c r="H4" s="10"/>
      <c r="I4" s="10"/>
    </row>
    <row r="5" spans="1:30" s="18" customFormat="1" ht="12.75" x14ac:dyDescent="0.2">
      <c r="A5" s="11">
        <v>1</v>
      </c>
      <c r="B5" s="12" t="s">
        <v>108</v>
      </c>
      <c r="C5" s="11"/>
      <c r="D5" s="11"/>
      <c r="E5" s="11"/>
      <c r="F5" s="13"/>
      <c r="G5" s="13"/>
      <c r="H5" s="13"/>
      <c r="I5" s="13"/>
      <c r="J5" s="14"/>
      <c r="K5" s="15"/>
      <c r="L5" s="14"/>
      <c r="M5" s="15"/>
      <c r="N5" s="14"/>
      <c r="O5" s="14"/>
      <c r="P5" s="14"/>
      <c r="Q5" s="14"/>
      <c r="R5" s="14"/>
      <c r="S5" s="14"/>
      <c r="T5" s="14"/>
      <c r="U5" s="14"/>
      <c r="V5" s="15"/>
      <c r="W5" s="15"/>
      <c r="X5" s="16"/>
      <c r="Y5" s="16"/>
      <c r="Z5" s="16"/>
      <c r="AA5" s="16"/>
      <c r="AB5" s="16"/>
      <c r="AC5" s="17"/>
      <c r="AD5" s="17"/>
    </row>
    <row r="6" spans="1:30" x14ac:dyDescent="0.2"/>
    <row r="7" spans="1:30" x14ac:dyDescent="0.2">
      <c r="C7" s="525" t="s">
        <v>2</v>
      </c>
      <c r="D7" s="22" t="s">
        <v>3</v>
      </c>
      <c r="E7" s="22"/>
      <c r="F7" s="23" t="s">
        <v>4</v>
      </c>
      <c r="H7" s="23"/>
      <c r="I7" s="19"/>
      <c r="J7" s="24"/>
    </row>
    <row r="8" spans="1:30" x14ac:dyDescent="0.2">
      <c r="C8" s="256" t="s">
        <v>61</v>
      </c>
      <c r="D8" s="20" t="s">
        <v>6</v>
      </c>
      <c r="E8" s="19"/>
      <c r="F8" s="390" t="s">
        <v>73</v>
      </c>
      <c r="H8" s="19"/>
      <c r="I8" s="19"/>
      <c r="S8" s="46"/>
    </row>
    <row r="9" spans="1:30" x14ac:dyDescent="0.2">
      <c r="C9" s="256" t="s">
        <v>7</v>
      </c>
      <c r="D9" s="20" t="str">
        <f>D8</f>
        <v>AER</v>
      </c>
      <c r="E9" s="19"/>
      <c r="F9" s="391">
        <v>36678</v>
      </c>
      <c r="H9" s="19"/>
      <c r="I9" s="19"/>
      <c r="S9" s="46"/>
    </row>
    <row r="10" spans="1:30" x14ac:dyDescent="0.2">
      <c r="C10" s="256" t="s">
        <v>77</v>
      </c>
      <c r="D10" s="20" t="str">
        <f>D8</f>
        <v>AER</v>
      </c>
      <c r="E10" s="19"/>
      <c r="F10" s="392" t="s">
        <v>757</v>
      </c>
      <c r="G10" s="19"/>
      <c r="H10" s="19"/>
      <c r="I10" s="19"/>
      <c r="S10" s="46"/>
    </row>
    <row r="11" spans="1:30" x14ac:dyDescent="0.2">
      <c r="C11" s="256" t="s">
        <v>76</v>
      </c>
      <c r="D11" s="20" t="s">
        <v>10</v>
      </c>
      <c r="E11" s="19"/>
      <c r="F11" s="393" t="str" cm="1">
        <f t="array" ref="F11">IF(INDEX(Lookups!I127:I141,MATCH(DNSP,Lookups!G127:G141,0))="Vic",
INDEX(Lookups!L54:L80,MATCH(forecastyear,Lookups!I54:I80,0)-1),
INDEX(Lookups!I54:I80,MATCH(forecastyear,Lookups!I54:I80,0)-1))</f>
        <v>2021–22</v>
      </c>
      <c r="G11" s="19"/>
      <c r="H11" s="19"/>
      <c r="I11" s="19"/>
      <c r="S11" s="46"/>
    </row>
    <row r="12" spans="1:30" x14ac:dyDescent="0.2">
      <c r="C12" s="256" t="s">
        <v>78</v>
      </c>
      <c r="D12" s="20" t="s">
        <v>10</v>
      </c>
      <c r="E12" s="19"/>
      <c r="F12" s="393" t="str" cm="1">
        <f t="array" ref="F12">IF(INDEX(Lookups!I127:I141,MATCH(DNSP,Lookups!G127:G141,0))="Vic",
INDEX(Lookups!L54:L80,MATCH(forecastyear,Lookups!I54:I80,0)-2),
INDEX(Lookups!I54:I80,MATCH(forecastyear,Lookups!I54:I80,0)-2))</f>
        <v>2020–21</v>
      </c>
      <c r="G12" s="19"/>
      <c r="H12" s="19"/>
      <c r="I12" s="19"/>
      <c r="S12" s="46"/>
    </row>
    <row r="13" spans="1:30" x14ac:dyDescent="0.2">
      <c r="C13" s="256" t="s">
        <v>500</v>
      </c>
      <c r="D13" s="20" t="s">
        <v>10</v>
      </c>
      <c r="E13" s="19"/>
      <c r="F13" s="393" t="str" cm="1">
        <f t="array" ref="F13">IF(INDEX(Lookups!I127:I141,MATCH(DNSP,Lookups!G127:G141,0))="Vic",
INDEX(Lookups!L54:L80,MATCH(forecastyear,Lookups!I54:I80,0)-3),
INDEX(Lookups!I54:I80,MATCH(forecastyear,Lookups!I54:I80,0)-3))</f>
        <v>2019–20</v>
      </c>
      <c r="G13" s="19"/>
      <c r="H13" s="19"/>
      <c r="I13" s="19"/>
      <c r="S13" s="46"/>
    </row>
    <row r="14" spans="1:30" x14ac:dyDescent="0.2">
      <c r="C14" s="256" t="s">
        <v>80</v>
      </c>
      <c r="D14" s="20" t="str">
        <f>D8</f>
        <v>AER</v>
      </c>
      <c r="E14" s="19"/>
      <c r="F14" s="394" t="s">
        <v>833</v>
      </c>
      <c r="G14" s="19"/>
      <c r="H14" s="19"/>
      <c r="I14" s="19"/>
      <c r="S14" s="46"/>
    </row>
    <row r="15" spans="1:30" x14ac:dyDescent="0.2">
      <c r="C15" s="256" t="s">
        <v>79</v>
      </c>
      <c r="D15" s="20" t="s">
        <v>10</v>
      </c>
      <c r="E15" s="19"/>
      <c r="F15" s="393" t="str">
        <f>Lookups!G89</f>
        <v>2023–24</v>
      </c>
      <c r="G15" s="19"/>
      <c r="H15" s="19"/>
      <c r="I15" s="19"/>
      <c r="S15" s="46"/>
    </row>
    <row r="16" spans="1:30" x14ac:dyDescent="0.2">
      <c r="C16" s="256"/>
      <c r="E16" s="19"/>
      <c r="F16" s="395"/>
      <c r="G16" s="19"/>
      <c r="H16" s="19"/>
      <c r="I16" s="19"/>
      <c r="S16" s="46"/>
    </row>
    <row r="17" spans="3:19" x14ac:dyDescent="0.2">
      <c r="C17" s="256" t="s">
        <v>82</v>
      </c>
      <c r="D17" s="20" t="str">
        <f>D8</f>
        <v>AER</v>
      </c>
      <c r="E17" s="19"/>
      <c r="F17" s="391">
        <v>36861</v>
      </c>
      <c r="G17" s="19"/>
      <c r="H17" s="19"/>
      <c r="I17" s="19"/>
      <c r="S17" s="46"/>
    </row>
    <row r="18" spans="3:19" x14ac:dyDescent="0.2">
      <c r="C18" s="256" t="s">
        <v>83</v>
      </c>
      <c r="D18" s="20" t="str">
        <f>D8</f>
        <v>AER</v>
      </c>
      <c r="E18" s="19"/>
      <c r="F18" s="391">
        <v>36861</v>
      </c>
      <c r="G18" s="19"/>
      <c r="H18" s="19"/>
      <c r="I18" s="19"/>
      <c r="S18" s="46"/>
    </row>
    <row r="19" spans="3:19" x14ac:dyDescent="0.2">
      <c r="C19" s="256" t="s">
        <v>85</v>
      </c>
      <c r="D19" s="20" t="s">
        <v>87</v>
      </c>
      <c r="E19" s="19"/>
      <c r="F19" s="396">
        <v>2.4248746575396697E-2</v>
      </c>
      <c r="G19" s="19"/>
      <c r="H19" s="19"/>
      <c r="I19" s="19"/>
      <c r="S19" s="46"/>
    </row>
    <row r="20" spans="3:19" x14ac:dyDescent="0.2">
      <c r="C20" s="256" t="s">
        <v>221</v>
      </c>
      <c r="D20" s="20" t="s">
        <v>6</v>
      </c>
      <c r="E20" s="19"/>
      <c r="F20" s="396">
        <v>0.05</v>
      </c>
      <c r="G20" s="19"/>
      <c r="H20" s="19"/>
      <c r="I20" s="19"/>
      <c r="S20" s="46"/>
    </row>
    <row r="21" spans="3:19" x14ac:dyDescent="0.2">
      <c r="C21" s="256" t="s">
        <v>697</v>
      </c>
      <c r="D21" s="20" t="s">
        <v>270</v>
      </c>
      <c r="E21" s="19"/>
      <c r="F21" s="396">
        <v>0.01</v>
      </c>
      <c r="G21" s="19"/>
      <c r="H21" s="19"/>
      <c r="I21" s="19"/>
      <c r="S21" s="46"/>
    </row>
    <row r="22" spans="3:19" x14ac:dyDescent="0.2">
      <c r="C22" s="256" t="s">
        <v>698</v>
      </c>
      <c r="D22" s="20" t="s">
        <v>270</v>
      </c>
      <c r="E22" s="19"/>
      <c r="F22" s="396">
        <v>0.05</v>
      </c>
      <c r="G22" s="19"/>
      <c r="H22" s="19"/>
      <c r="I22" s="19"/>
      <c r="J22" s="478" t="str">
        <f>currentyear</f>
        <v>2021–22</v>
      </c>
      <c r="K22" s="478" t="str">
        <f>previousyear</f>
        <v>2020–21</v>
      </c>
      <c r="S22" s="46"/>
    </row>
    <row r="23" spans="3:19" x14ac:dyDescent="0.2">
      <c r="C23" s="256" t="s">
        <v>232</v>
      </c>
      <c r="D23" s="20" t="s">
        <v>10</v>
      </c>
      <c r="E23" s="19"/>
      <c r="F23" s="397">
        <f>_xlfn.DAYS(INDEX(Lookups!H54:H80,MATCH(forecastyear,Lookups!I54:I80)),INDEX(Lookups!H54:H80,MATCH(forecastyear,Lookups!I54:I80)-1))</f>
        <v>365</v>
      </c>
      <c r="G23" s="19"/>
      <c r="H23" s="19"/>
      <c r="I23" s="19"/>
      <c r="J23" s="479">
        <f>_xlfn.DAYS(INDEX(Lookups!H54:H80,MATCH(currentyear,Lookups!I54:I80)),INDEX(Lookups!H54:H80,MATCH(currentyear,Lookups!I54:I80)-1))</f>
        <v>365</v>
      </c>
      <c r="K23" s="479">
        <f>_xlfn.DAYS(INDEX(Lookups!H54:H80,MATCH(previousyear,Lookups!I54:I80)),INDEX(Lookups!H54:H80,MATCH(previousyear,Lookups!I54:I80)-1))</f>
        <v>365</v>
      </c>
      <c r="S23" s="46"/>
    </row>
    <row r="24" spans="3:19" x14ac:dyDescent="0.2">
      <c r="C24" s="256" t="s">
        <v>233</v>
      </c>
      <c r="D24" s="20" t="s">
        <v>271</v>
      </c>
      <c r="E24" s="19"/>
      <c r="F24" s="568"/>
      <c r="G24" s="19"/>
      <c r="H24" s="19"/>
      <c r="I24" s="19"/>
      <c r="J24" s="567"/>
      <c r="K24" s="567"/>
    </row>
    <row r="25" spans="3:19" x14ac:dyDescent="0.2">
      <c r="C25" s="256" t="s">
        <v>234</v>
      </c>
      <c r="D25" s="20" t="s">
        <v>271</v>
      </c>
      <c r="E25" s="19"/>
      <c r="F25" s="568"/>
      <c r="G25" s="19"/>
      <c r="H25" s="19"/>
      <c r="I25" s="19"/>
      <c r="J25" s="567"/>
      <c r="K25" s="567"/>
    </row>
    <row r="26" spans="3:19" x14ac:dyDescent="0.2">
      <c r="C26" s="256" t="s">
        <v>559</v>
      </c>
      <c r="D26" s="20" t="s">
        <v>271</v>
      </c>
      <c r="E26" s="19"/>
      <c r="F26" s="398" t="s">
        <v>834</v>
      </c>
      <c r="G26" s="19"/>
      <c r="H26" s="19"/>
      <c r="I26" s="19"/>
      <c r="J26" s="480"/>
      <c r="K26" s="480"/>
    </row>
    <row r="27" spans="3:19" x14ac:dyDescent="0.2">
      <c r="C27" s="256" t="s">
        <v>560</v>
      </c>
      <c r="D27" s="20" t="s">
        <v>271</v>
      </c>
      <c r="E27" s="19"/>
      <c r="F27" s="568"/>
      <c r="G27" s="19"/>
      <c r="H27" s="19"/>
      <c r="I27" s="19"/>
      <c r="J27" s="567"/>
      <c r="K27" s="567"/>
    </row>
    <row r="28" spans="3:19" x14ac:dyDescent="0.2">
      <c r="C28" s="256"/>
      <c r="E28" s="19"/>
      <c r="F28" s="399"/>
      <c r="G28" s="19"/>
      <c r="H28" s="19"/>
      <c r="I28" s="19"/>
    </row>
    <row r="29" spans="3:19" x14ac:dyDescent="0.2">
      <c r="C29" s="256" t="s">
        <v>335</v>
      </c>
      <c r="D29" s="20" t="s">
        <v>6</v>
      </c>
      <c r="E29" s="19"/>
      <c r="F29" s="396" t="s">
        <v>336</v>
      </c>
      <c r="G29" s="19"/>
      <c r="H29" s="19"/>
      <c r="I29" s="19"/>
    </row>
    <row r="30" spans="3:19" x14ac:dyDescent="0.2">
      <c r="C30" s="256" t="s">
        <v>374</v>
      </c>
      <c r="D30" s="20" t="s">
        <v>6</v>
      </c>
      <c r="E30" s="19"/>
      <c r="F30" s="396" t="s">
        <v>15</v>
      </c>
      <c r="G30" s="247">
        <f>IF(revenueunits=millions,0.000001,IF(revenueunits=thousands,0.001,IF(revenueunits=dollars,1,0)))</f>
        <v>9.9999999999999995E-7</v>
      </c>
      <c r="H30" s="19"/>
      <c r="I30" s="19"/>
    </row>
    <row r="31" spans="3:19" x14ac:dyDescent="0.2">
      <c r="C31" s="256" t="s">
        <v>375</v>
      </c>
      <c r="D31" s="20" t="s">
        <v>6</v>
      </c>
      <c r="E31" s="19"/>
      <c r="F31" s="396" t="s">
        <v>15</v>
      </c>
      <c r="G31" s="247">
        <f>IF(outputtableunits=millions,0.000001,IF(outputtableunits=thousands,0.001,IF(outputtableunits=dollars,1,0)))/revenuemultiplier</f>
        <v>1</v>
      </c>
      <c r="H31" s="19"/>
      <c r="I31" s="19"/>
    </row>
    <row r="32" spans="3:19" x14ac:dyDescent="0.2">
      <c r="C32" s="256" t="s">
        <v>376</v>
      </c>
      <c r="D32" s="20" t="s">
        <v>6</v>
      </c>
      <c r="E32" s="19"/>
      <c r="F32" s="396" t="s">
        <v>15</v>
      </c>
      <c r="G32" s="247">
        <f>IF(saaunits=millions,0.000001,IF(saaunits=thousands,0.001,IF(saaunits=Lookups!G30,1,IF(saaunits=dollars,1,0))))/revenuemultiplier</f>
        <v>1</v>
      </c>
      <c r="H32" s="19"/>
      <c r="I32" s="19"/>
    </row>
    <row r="33" spans="1:30" x14ac:dyDescent="0.2">
      <c r="C33" s="256" t="s">
        <v>377</v>
      </c>
      <c r="D33" s="20" t="s">
        <v>6</v>
      </c>
      <c r="E33" s="19"/>
      <c r="F33" s="396" t="s">
        <v>172</v>
      </c>
      <c r="G33" s="247">
        <f>IF(consoutputs=Lookups!G18,1,IF(consoutputs=Lookups!G19,0.001,IF(consoutputs=Lookups!G20,0.000001,0)))</f>
        <v>9.9999999999999995E-7</v>
      </c>
      <c r="H33" s="19"/>
      <c r="I33" s="19"/>
      <c r="J33" s="237" t="s">
        <v>378</v>
      </c>
    </row>
    <row r="34" spans="1:30" x14ac:dyDescent="0.2">
      <c r="C34" s="256"/>
      <c r="E34" s="19"/>
      <c r="F34" s="355"/>
      <c r="G34" s="247"/>
      <c r="H34" s="19"/>
      <c r="I34" s="19"/>
      <c r="J34" s="237"/>
    </row>
    <row r="35" spans="1:30" x14ac:dyDescent="0.2">
      <c r="C35" s="256" t="s">
        <v>379</v>
      </c>
      <c r="D35" s="20" t="s">
        <v>6</v>
      </c>
      <c r="E35" s="19"/>
      <c r="F35" s="396" t="s">
        <v>316</v>
      </c>
      <c r="G35" s="247"/>
      <c r="H35" s="19"/>
      <c r="I35" s="19"/>
      <c r="J35" s="237"/>
    </row>
    <row r="36" spans="1:30" x14ac:dyDescent="0.2">
      <c r="C36" s="256" t="s">
        <v>381</v>
      </c>
      <c r="D36" s="20" t="s">
        <v>6</v>
      </c>
      <c r="E36" s="19"/>
      <c r="F36" s="396" t="s">
        <v>170</v>
      </c>
      <c r="G36" s="247">
        <f>IF(consprofile=Lookups!G18,1,IF(consprofile=Lookups!G19,0.001,IF(consprofile=Lookups!G20,0.000001,0)))/consmultiplier</f>
        <v>1000000</v>
      </c>
      <c r="H36" s="19"/>
      <c r="I36" s="19"/>
      <c r="J36" s="237"/>
    </row>
    <row r="37" spans="1:30" x14ac:dyDescent="0.2">
      <c r="C37" s="256" t="s">
        <v>382</v>
      </c>
      <c r="D37" s="20" t="s">
        <v>6</v>
      </c>
      <c r="E37" s="19"/>
      <c r="F37" s="569"/>
      <c r="G37" s="247"/>
      <c r="H37" s="19"/>
      <c r="I37" s="19"/>
      <c r="J37" s="237"/>
    </row>
    <row r="38" spans="1:30" x14ac:dyDescent="0.2">
      <c r="C38" s="256" t="s">
        <v>383</v>
      </c>
      <c r="D38" s="20" t="s">
        <v>6</v>
      </c>
      <c r="E38" s="19"/>
      <c r="F38" s="569"/>
      <c r="G38" s="247"/>
      <c r="H38" s="19"/>
      <c r="I38" s="19"/>
      <c r="J38" s="237"/>
    </row>
    <row r="39" spans="1:30" x14ac:dyDescent="0.2">
      <c r="C39" s="256" t="s">
        <v>392</v>
      </c>
      <c r="D39" s="20" t="s">
        <v>6</v>
      </c>
      <c r="E39" s="19"/>
      <c r="F39" s="396" t="s">
        <v>348</v>
      </c>
      <c r="G39" s="247"/>
      <c r="H39" s="19"/>
      <c r="I39" s="19"/>
      <c r="J39" s="237"/>
    </row>
    <row r="40" spans="1:30" x14ac:dyDescent="0.2">
      <c r="C40" s="256" t="s">
        <v>393</v>
      </c>
      <c r="D40" s="20" t="s">
        <v>6</v>
      </c>
      <c r="E40" s="19"/>
      <c r="F40" s="570"/>
      <c r="G40" s="247"/>
      <c r="H40" s="19"/>
      <c r="I40" s="19"/>
      <c r="J40" s="237"/>
    </row>
    <row r="41" spans="1:30" x14ac:dyDescent="0.2">
      <c r="C41" s="256" t="s">
        <v>394</v>
      </c>
      <c r="D41" s="20" t="s">
        <v>6</v>
      </c>
      <c r="E41" s="19"/>
      <c r="F41" s="570"/>
      <c r="G41" s="247"/>
      <c r="H41" s="19"/>
      <c r="I41" s="19"/>
      <c r="J41" s="237"/>
    </row>
    <row r="42" spans="1:30" x14ac:dyDescent="0.2">
      <c r="C42" s="256" t="s">
        <v>395</v>
      </c>
      <c r="D42" s="20" t="s">
        <v>6</v>
      </c>
      <c r="E42" s="19"/>
      <c r="F42" s="570"/>
      <c r="G42" s="247"/>
      <c r="H42" s="19"/>
      <c r="I42" s="19"/>
      <c r="J42" s="237"/>
    </row>
    <row r="43" spans="1:30" x14ac:dyDescent="0.2">
      <c r="C43" s="256"/>
      <c r="E43" s="19"/>
      <c r="F43" s="247"/>
      <c r="G43" s="247"/>
      <c r="H43" s="19"/>
      <c r="I43" s="19"/>
      <c r="J43" s="237"/>
    </row>
    <row r="44" spans="1:30" x14ac:dyDescent="0.2">
      <c r="C44" s="256" t="s">
        <v>550</v>
      </c>
      <c r="D44" s="20" t="s">
        <v>6</v>
      </c>
      <c r="E44" s="19"/>
      <c r="F44" s="337" t="s">
        <v>472</v>
      </c>
      <c r="G44" s="247"/>
      <c r="H44" s="19"/>
      <c r="I44" s="19"/>
      <c r="J44" s="237"/>
    </row>
    <row r="45" spans="1:30" x14ac:dyDescent="0.2">
      <c r="C45" s="256" t="s">
        <v>551</v>
      </c>
      <c r="D45" s="20" t="s">
        <v>6</v>
      </c>
      <c r="E45" s="19"/>
      <c r="F45" s="400" t="s">
        <v>835</v>
      </c>
      <c r="G45" s="247"/>
      <c r="H45" s="19"/>
      <c r="I45" s="19"/>
      <c r="J45" s="237"/>
    </row>
    <row r="46" spans="1:30" x14ac:dyDescent="0.2">
      <c r="C46" s="256" t="s">
        <v>771</v>
      </c>
      <c r="D46" s="20" t="s">
        <v>6</v>
      </c>
      <c r="E46" s="19"/>
      <c r="F46" s="400" t="s">
        <v>368</v>
      </c>
      <c r="G46" s="247"/>
      <c r="H46" s="19"/>
      <c r="I46" s="19"/>
      <c r="J46" s="237"/>
    </row>
    <row r="47" spans="1:30" x14ac:dyDescent="0.2">
      <c r="E47" s="19"/>
      <c r="F47" s="19"/>
      <c r="G47" s="401"/>
      <c r="H47" s="19"/>
      <c r="I47" s="19"/>
      <c r="S47" s="46"/>
    </row>
    <row r="48" spans="1:30" s="18" customFormat="1" ht="12.75" x14ac:dyDescent="0.2">
      <c r="A48" s="11"/>
      <c r="B48" s="12" t="s">
        <v>109</v>
      </c>
      <c r="C48" s="11"/>
      <c r="D48" s="11"/>
      <c r="E48" s="11"/>
      <c r="F48" s="13"/>
      <c r="G48" s="13"/>
      <c r="H48" s="13"/>
      <c r="I48" s="13"/>
      <c r="J48" s="14"/>
      <c r="K48" s="15"/>
      <c r="L48" s="14"/>
      <c r="M48" s="15"/>
      <c r="N48" s="14"/>
      <c r="O48" s="14"/>
      <c r="P48" s="14"/>
      <c r="Q48" s="14"/>
      <c r="R48" s="14"/>
      <c r="S48" s="14"/>
      <c r="T48" s="14"/>
      <c r="U48" s="14"/>
      <c r="V48" s="15"/>
      <c r="W48" s="15"/>
      <c r="X48" s="16"/>
      <c r="Y48" s="16"/>
      <c r="Z48" s="16"/>
      <c r="AA48" s="16"/>
      <c r="AB48" s="16"/>
      <c r="AC48" s="17"/>
      <c r="AD48" s="17"/>
    </row>
    <row r="49" spans="3:19" x14ac:dyDescent="0.2">
      <c r="E49" s="19"/>
      <c r="F49" s="19"/>
      <c r="G49" s="401"/>
      <c r="H49" s="19"/>
      <c r="I49" s="19"/>
      <c r="S49" s="46"/>
    </row>
    <row r="50" spans="3:19" x14ac:dyDescent="0.2">
      <c r="E50" s="19"/>
      <c r="F50" s="23" t="s">
        <v>84</v>
      </c>
      <c r="G50" s="402" t="s">
        <v>89</v>
      </c>
      <c r="H50" s="19"/>
      <c r="I50" s="19"/>
      <c r="K50" s="23" t="s">
        <v>107</v>
      </c>
      <c r="N50" s="23"/>
      <c r="S50" s="46"/>
    </row>
    <row r="51" spans="3:19" x14ac:dyDescent="0.2">
      <c r="C51" s="48" t="s">
        <v>3</v>
      </c>
      <c r="E51" s="19"/>
      <c r="F51" s="20" t="s">
        <v>9</v>
      </c>
      <c r="G51" s="403" t="s">
        <v>10</v>
      </c>
      <c r="H51" s="19"/>
      <c r="I51" s="19"/>
      <c r="S51" s="46"/>
    </row>
    <row r="52" spans="3:19" x14ac:dyDescent="0.2">
      <c r="C52" s="48" t="s">
        <v>11</v>
      </c>
      <c r="E52" s="19"/>
      <c r="F52" s="20" t="s">
        <v>12</v>
      </c>
      <c r="G52" s="403" t="s">
        <v>13</v>
      </c>
      <c r="H52" s="19"/>
      <c r="I52" s="19"/>
      <c r="N52" s="24"/>
      <c r="S52" s="46"/>
    </row>
    <row r="53" spans="3:19" hidden="1" outlineLevel="1" x14ac:dyDescent="0.2">
      <c r="C53" s="25">
        <v>42004</v>
      </c>
      <c r="E53" s="19"/>
      <c r="F53" s="404">
        <v>106.6</v>
      </c>
      <c r="G53" s="26" t="str">
        <f>IF(MATCH(C53,$C$53:$C$94,0)&lt;=4,"",IF(AND(C53&gt;=IF(INDEX(Lookups!$I$127:$I$141,MATCH(DNSP,Lookups!$G$127:$G$141,0))="Vic",(INDEX(Lookups!$K$54:$K$80,MATCH(currentyear,Lookups!$L$54:$L$80,0))),(INDEX(Lookups!$H$54:$H$80,MATCH(currentyear,Lookups!$I$54:$I$80,0)))),C53&lt;=Lookups!$H$88),General!$F$19,IF(ISBLANK(F53),"",IF(AND(INDEX(Lookups!$I$127:$I$141,MATCH(DNSP,Lookups!$G$127:$G$141,0))="Vic",K53="HY21"),F53/F51-1,IF(C53&gt;DATE(Lookups!$G$57,MONTH($F$17),31),F53/F52-1,F53/F49-1)))))</f>
        <v/>
      </c>
      <c r="H53" s="19"/>
      <c r="I53" s="19"/>
      <c r="N53" s="24"/>
      <c r="S53" s="46"/>
    </row>
    <row r="54" spans="3:19" hidden="1" outlineLevel="1" x14ac:dyDescent="0.2">
      <c r="C54" s="25">
        <v>42094</v>
      </c>
      <c r="D54" s="19"/>
      <c r="E54" s="19"/>
      <c r="F54" s="404">
        <v>106.8</v>
      </c>
      <c r="G54" s="26" t="str">
        <f>IF(MATCH(C54,$C$53:$C$94,0)&lt;=4,"",IF(AND(C54&gt;=IF(INDEX(Lookups!$I$127:$I$141,MATCH(DNSP,Lookups!$G$127:$G$141,0))="Vic",(INDEX(Lookups!$K$54:$K$80,MATCH(currentyear,Lookups!$L$54:$L$80,0))),(INDEX(Lookups!$H$54:$H$80,MATCH(currentyear,Lookups!$I$54:$I$80,0)))),C54&lt;=Lookups!$H$88),General!$F$19,IF(ISBLANK(F54),"",IF(AND(INDEX(Lookups!$I$127:$I$141,MATCH(DNSP,Lookups!$G$127:$G$141,0))="Vic",K54="HY21"),F54/F52-1,IF(C54&gt;DATE(Lookups!$G$57,MONTH($F$17),31),F54/F53-1,F54/F50-1)))))</f>
        <v/>
      </c>
      <c r="H54" s="129"/>
      <c r="I54" s="19"/>
      <c r="K54" s="51" t="str">
        <f>IF(MONTH(C54)=MONTH($F$18),
IF(INDEX(Lookups!$I$127:$I$141,MATCH(DNSP,Lookups!$G$127:$G$141,0))="Vic",INDEX(Lookups!$L$54:$L$80,MATCH(EDATE(C54,18),Lookups!$H$54:$H$80)),INDEX(Lookups!$I$54:$I$80,MATCH(EDATE(C54,18),Lookups!$H$54:$H$80))),"")</f>
        <v/>
      </c>
      <c r="S54" s="46"/>
    </row>
    <row r="55" spans="3:19" hidden="1" outlineLevel="1" x14ac:dyDescent="0.2">
      <c r="C55" s="25">
        <v>42185</v>
      </c>
      <c r="D55" s="19"/>
      <c r="E55" s="19"/>
      <c r="F55" s="404">
        <v>107.5</v>
      </c>
      <c r="G55" s="26" t="str">
        <f>IF(MATCH(C55,$C$53:$C$94,0)&lt;=4,"",IF(AND(C55&gt;=IF(INDEX(Lookups!$I$127:$I$141,MATCH(DNSP,Lookups!$G$127:$G$141,0))="Vic",(INDEX(Lookups!$K$54:$K$80,MATCH(currentyear,Lookups!$L$54:$L$80,0))),(INDEX(Lookups!$H$54:$H$80,MATCH(currentyear,Lookups!$I$54:$I$80,0)))),C55&lt;=Lookups!$H$88),General!$F$19,IF(ISBLANK(F55),"",IF(AND(INDEX(Lookups!$I$127:$I$141,MATCH(DNSP,Lookups!$G$127:$G$141,0))="Vic",K55="HY21"),F55/F53-1,IF(C55&gt;DATE(Lookups!$G$57,MONTH($F$17),31),F55/F54-1,F55/F51-1)))))</f>
        <v/>
      </c>
      <c r="H55" s="129"/>
      <c r="I55" s="19"/>
      <c r="K55" s="51" t="str">
        <f>IF(MONTH(C55)=MONTH($F$18),
IF(INDEX(Lookups!$I$127:$I$141,MATCH(DNSP,Lookups!$G$127:$G$141,0))="Vic",INDEX(Lookups!$L$54:$L$80,MATCH(EDATE(C55,18),Lookups!$H$54:$H$80)),INDEX(Lookups!$I$54:$I$80,MATCH(EDATE(C55,18),Lookups!$H$54:$H$80))),"")</f>
        <v/>
      </c>
      <c r="S55" s="46"/>
    </row>
    <row r="56" spans="3:19" hidden="1" outlineLevel="1" x14ac:dyDescent="0.2">
      <c r="C56" s="25">
        <v>42277</v>
      </c>
      <c r="D56" s="19"/>
      <c r="E56" s="19"/>
      <c r="F56" s="404">
        <v>108</v>
      </c>
      <c r="G56" s="26" t="str">
        <f>IF(MATCH(C56,$C$53:$C$94,0)&lt;=4,"",IF(AND(C56&gt;=IF(INDEX(Lookups!$I$127:$I$141,MATCH(DNSP,Lookups!$G$127:$G$141,0))="Vic",(INDEX(Lookups!$K$54:$K$80,MATCH(currentyear,Lookups!$L$54:$L$80,0))),(INDEX(Lookups!$H$54:$H$80,MATCH(currentyear,Lookups!$I$54:$I$80,0)))),C56&lt;=Lookups!$H$88),General!$F$19,IF(ISBLANK(F56),"",IF(AND(INDEX(Lookups!$I$127:$I$141,MATCH(DNSP,Lookups!$G$127:$G$141,0))="Vic",K56="HY21"),F56/F54-1,IF(C56&gt;DATE(Lookups!$G$57,MONTH($F$17),31),F56/F55-1,F56/F52-1)))))</f>
        <v/>
      </c>
      <c r="H56" s="129"/>
      <c r="I56" s="19"/>
      <c r="K56" s="51" t="str">
        <f>IF(MONTH(C56)=MONTH($F$18),
IF(INDEX(Lookups!$I$127:$I$141,MATCH(DNSP,Lookups!$G$127:$G$141,0))="Vic",INDEX(Lookups!$L$54:$L$80,MATCH(EDATE(C56,18),Lookups!$H$54:$H$80)),INDEX(Lookups!$I$54:$I$80,MATCH(EDATE(C56,18),Lookups!$H$54:$H$80))),"")</f>
        <v/>
      </c>
      <c r="S56" s="46"/>
    </row>
    <row r="57" spans="3:19" hidden="1" outlineLevel="1" x14ac:dyDescent="0.2">
      <c r="C57" s="25">
        <v>42369</v>
      </c>
      <c r="D57" s="19"/>
      <c r="E57" s="19"/>
      <c r="F57" s="404">
        <v>108.4</v>
      </c>
      <c r="G57" s="26">
        <f>IF(MATCH(C57,$C$53:$C$94,0)&lt;=4,"",IF(AND(C57&gt;=IF(INDEX(Lookups!$I$127:$I$141,MATCH(DNSP,Lookups!$G$127:$G$141,0))="Vic",(INDEX(Lookups!$K$54:$K$80,MATCH(currentyear,Lookups!$L$54:$L$80,0))),(INDEX(Lookups!$H$54:$H$80,MATCH(currentyear,Lookups!$I$54:$I$80,0)))),C57&lt;=Lookups!$H$88),General!$F$19,IF(ISBLANK(F57),"",IF(AND(INDEX(Lookups!$I$127:$I$141,MATCH(DNSP,Lookups!$G$127:$G$141,0))="Vic",K57="HY21"),F57/F55-1,IF(C57&gt;DATE(Lookups!$G$57,MONTH($F$17),31),F57/F56-1,F57/F53-1)))))</f>
        <v>1.6885553470919357E-2</v>
      </c>
      <c r="H57" s="129"/>
      <c r="I57" s="19"/>
      <c r="K57" s="51" t="str">
        <f>IF(MONTH(C57)=MONTH($F$18),
IF(INDEX(Lookups!$I$127:$I$141,MATCH(DNSP,Lookups!$G$127:$G$141,0))="Vic",INDEX(Lookups!$L$54:$L$80,MATCH(EDATE(C57,18),Lookups!$H$54:$H$80)),INDEX(Lookups!$I$54:$I$80,MATCH(EDATE(C57,18),Lookups!$H$54:$H$80))),"")</f>
        <v>2016–17</v>
      </c>
      <c r="S57" s="46"/>
    </row>
    <row r="58" spans="3:19" hidden="1" outlineLevel="1" x14ac:dyDescent="0.2">
      <c r="C58" s="25">
        <v>42460</v>
      </c>
      <c r="D58" s="19"/>
      <c r="E58" s="19"/>
      <c r="F58" s="404">
        <v>108.2</v>
      </c>
      <c r="G58" s="26">
        <f>IF(MATCH(C58,$C$54:$C$94,0)&lt;=4,"",IF(AND(C58&gt;=IF(INDEX(Lookups!$I$127:$I$141,MATCH(DNSP,Lookups!$G$127:$G$141,0))="Vic",(INDEX(Lookups!$K$54:$K$80,MATCH(currentyear,Lookups!$L$54:$L$80,0))),(INDEX(Lookups!$H$54:$H$80,MATCH(currentyear,Lookups!$I$54:$I$80,0)))),C58&lt;=Lookups!$H$88),General!$F$19,IF(ISBLANK(F58),"",IF(AND(INDEX(Lookups!$I$127:$I$141,MATCH(DNSP,Lookups!$G$127:$G$141,0))="Vic",K58="HY21"),F58/F56-1,IF(C58&gt;DATE(Lookups!$G$57,MONTH($F$17),31),F58/F57-1,F58/F54-1)))))</f>
        <v>1.3108614232209881E-2</v>
      </c>
      <c r="H58" s="129"/>
      <c r="I58" s="19"/>
      <c r="K58" s="51" t="str">
        <f>IF(MONTH(C58)=MONTH($F$18),
IF(INDEX(Lookups!$I$127:$I$141,MATCH(DNSP,Lookups!$G$127:$G$141,0))="Vic",INDEX(Lookups!$L$54:$L$80,MATCH(EDATE(C58,18),Lookups!$H$54:$H$80)),INDEX(Lookups!$I$54:$I$80,MATCH(EDATE(C58,18),Lookups!$H$54:$H$80))),"")</f>
        <v/>
      </c>
      <c r="S58" s="46"/>
    </row>
    <row r="59" spans="3:19" hidden="1" outlineLevel="1" x14ac:dyDescent="0.2">
      <c r="C59" s="25">
        <v>42551</v>
      </c>
      <c r="D59" s="19"/>
      <c r="E59" s="19"/>
      <c r="F59" s="404">
        <v>108.6</v>
      </c>
      <c r="G59" s="26">
        <f>IF(MATCH(C59,$C$54:$C$94,0)&lt;=4,"",IF(AND(C59&gt;=IF(INDEX(Lookups!$I$127:$I$141,MATCH(DNSP,Lookups!$G$127:$G$141,0))="Vic",(INDEX(Lookups!$K$54:$K$80,MATCH(currentyear,Lookups!$L$54:$L$80,0))),(INDEX(Lookups!$H$54:$H$80,MATCH(currentyear,Lookups!$I$54:$I$80,0)))),C59&lt;=Lookups!$H$88),General!$F$19,IF(ISBLANK(F59),"",IF(AND(INDEX(Lookups!$I$127:$I$141,MATCH(DNSP,Lookups!$G$127:$G$141,0))="Vic",K59="HY21"),F59/F57-1,IF(C59&gt;DATE(Lookups!$G$57,MONTH($F$17),31),F59/F58-1,F59/F55-1)))))</f>
        <v>1.0232558139534831E-2</v>
      </c>
      <c r="H59" s="129"/>
      <c r="I59" s="19"/>
      <c r="K59" s="51" t="str">
        <f>IF(MONTH(C59)=MONTH($F$18),
IF(INDEX(Lookups!$I$127:$I$141,MATCH(DNSP,Lookups!$G$127:$G$141,0))="Vic",INDEX(Lookups!$L$54:$L$80,MATCH(EDATE(C59,18),Lookups!$H$54:$H$80)),INDEX(Lookups!$I$54:$I$80,MATCH(EDATE(C59,18),Lookups!$H$54:$H$80))),"")</f>
        <v/>
      </c>
      <c r="S59" s="46"/>
    </row>
    <row r="60" spans="3:19" hidden="1" outlineLevel="1" x14ac:dyDescent="0.2">
      <c r="C60" s="25">
        <v>42643</v>
      </c>
      <c r="D60" s="19"/>
      <c r="E60" s="19"/>
      <c r="F60" s="404">
        <v>109.4</v>
      </c>
      <c r="G60" s="26">
        <f>IF(MATCH(C60,$C$54:$C$94,0)&lt;=4,"",IF(AND(C60&gt;=IF(INDEX(Lookups!$I$127:$I$141,MATCH(DNSP,Lookups!$G$127:$G$141,0))="Vic",(INDEX(Lookups!$K$54:$K$80,MATCH(currentyear,Lookups!$L$54:$L$80,0))),(INDEX(Lookups!$H$54:$H$80,MATCH(currentyear,Lookups!$I$54:$I$80,0)))),C60&lt;=Lookups!$H$88),General!$F$19,IF(ISBLANK(F60),"",IF(AND(INDEX(Lookups!$I$127:$I$141,MATCH(DNSP,Lookups!$G$127:$G$141,0))="Vic",K60="HY21"),F60/F58-1,IF(C60&gt;DATE(Lookups!$G$57,MONTH($F$17),31),F60/F59-1,F60/F56-1)))))</f>
        <v>1.2962962962963065E-2</v>
      </c>
      <c r="H60" s="129"/>
      <c r="I60" s="19"/>
      <c r="K60" s="51" t="str">
        <f>IF(MONTH(C60)=MONTH($F$18),
IF(INDEX(Lookups!$I$127:$I$141,MATCH(DNSP,Lookups!$G$127:$G$141,0))="Vic",INDEX(Lookups!$L$54:$L$80,MATCH(EDATE(C60,18),Lookups!$H$54:$H$80)),INDEX(Lookups!$I$54:$I$80,MATCH(EDATE(C60,18),Lookups!$H$54:$H$80))),"")</f>
        <v/>
      </c>
      <c r="S60" s="46"/>
    </row>
    <row r="61" spans="3:19" hidden="1" outlineLevel="1" x14ac:dyDescent="0.2">
      <c r="C61" s="25">
        <v>42735</v>
      </c>
      <c r="D61" s="19"/>
      <c r="E61" s="19"/>
      <c r="F61" s="404">
        <v>110</v>
      </c>
      <c r="G61" s="26">
        <f>IF(MATCH(C61,$C$54:$C$94,0)&lt;=4,"",IF(AND(C61&gt;=IF(INDEX(Lookups!$I$127:$I$141,MATCH(DNSP,Lookups!$G$127:$G$141,0))="Vic",(INDEX(Lookups!$K$54:$K$80,MATCH(currentyear,Lookups!$L$54:$L$80,0))),(INDEX(Lookups!$H$54:$H$80,MATCH(currentyear,Lookups!$I$54:$I$80,0)))),C61&lt;=Lookups!$H$88),General!$F$19,IF(ISBLANK(F61),"",IF(AND(INDEX(Lookups!$I$127:$I$141,MATCH(DNSP,Lookups!$G$127:$G$141,0))="Vic",K61="HY21"),F61/F59-1,IF(C61&gt;DATE(Lookups!$G$57,MONTH($F$17),31),F61/F60-1,F61/F57-1)))))</f>
        <v>1.4760147601476037E-2</v>
      </c>
      <c r="H61" s="129"/>
      <c r="I61" s="19"/>
      <c r="K61" s="51" t="str">
        <f>IF(MONTH(C61)=MONTH($F$18),
IF(INDEX(Lookups!$I$127:$I$141,MATCH(DNSP,Lookups!$G$127:$G$141,0))="Vic",INDEX(Lookups!$L$54:$L$80,MATCH(EDATE(C61,18),Lookups!$H$54:$H$80)),INDEX(Lookups!$I$54:$I$80,MATCH(EDATE(C61,18),Lookups!$H$54:$H$80))),"")</f>
        <v>2017–18</v>
      </c>
      <c r="S61" s="46"/>
    </row>
    <row r="62" spans="3:19" hidden="1" outlineLevel="1" x14ac:dyDescent="0.2">
      <c r="C62" s="25">
        <v>42825</v>
      </c>
      <c r="D62" s="19"/>
      <c r="E62" s="19"/>
      <c r="F62" s="404">
        <v>110.5</v>
      </c>
      <c r="G62" s="26">
        <f>IF(MATCH(C62,$C$54:$C$94,0)&lt;=4,"",IF(AND(C62&gt;=IF(INDEX(Lookups!$I$127:$I$141,MATCH(DNSP,Lookups!$G$127:$G$141,0))="Vic",(INDEX(Lookups!$K$54:$K$80,MATCH(currentyear,Lookups!$L$54:$L$80,0))),(INDEX(Lookups!$H$54:$H$80,MATCH(currentyear,Lookups!$I$54:$I$80,0)))),C62&lt;=Lookups!$H$88),General!$F$19,IF(ISBLANK(F62),"",IF(AND(INDEX(Lookups!$I$127:$I$141,MATCH(DNSP,Lookups!$G$127:$G$141,0))="Vic",K62="HY21"),F62/F60-1,IF(C62&gt;DATE(Lookups!$G$57,MONTH($F$17),31),F62/F61-1,F62/F58-1)))))</f>
        <v>2.1256931608133023E-2</v>
      </c>
      <c r="H62" s="129"/>
      <c r="I62" s="19"/>
      <c r="K62" s="51" t="str">
        <f>IF(MONTH(C62)=MONTH($F$18),
IF(INDEX(Lookups!$I$127:$I$141,MATCH(DNSP,Lookups!$G$127:$G$141,0))="Vic",INDEX(Lookups!$L$54:$L$80,MATCH(EDATE(C62,18),Lookups!$H$54:$H$80)),INDEX(Lookups!$I$54:$I$80,MATCH(EDATE(C62,18),Lookups!$H$54:$H$80))),"")</f>
        <v/>
      </c>
      <c r="S62" s="46"/>
    </row>
    <row r="63" spans="3:19" hidden="1" outlineLevel="1" x14ac:dyDescent="0.2">
      <c r="C63" s="25">
        <v>42916</v>
      </c>
      <c r="D63" s="19"/>
      <c r="E63" s="19"/>
      <c r="F63" s="404">
        <v>110.7</v>
      </c>
      <c r="G63" s="26">
        <f>IF(MATCH(C63,$C$54:$C$94,0)&lt;=4,"",IF(AND(C63&gt;=IF(INDEX(Lookups!$I$127:$I$141,MATCH(DNSP,Lookups!$G$127:$G$141,0))="Vic",(INDEX(Lookups!$K$54:$K$80,MATCH(currentyear,Lookups!$L$54:$L$80,0))),(INDEX(Lookups!$H$54:$H$80,MATCH(currentyear,Lookups!$I$54:$I$80,0)))),C63&lt;=Lookups!$H$88),General!$F$19,IF(ISBLANK(F63),"",IF(AND(INDEX(Lookups!$I$127:$I$141,MATCH(DNSP,Lookups!$G$127:$G$141,0))="Vic",K63="HY21"),F63/F61-1,IF(C63&gt;DATE(Lookups!$G$57,MONTH($F$17),31),F63/F62-1,F63/F59-1)))))</f>
        <v>1.9337016574585641E-2</v>
      </c>
      <c r="H63" s="405"/>
      <c r="I63" s="19"/>
      <c r="K63" s="51" t="str">
        <f>IF(MONTH(C63)=MONTH($F$18),
IF(INDEX(Lookups!$I$127:$I$141,MATCH(DNSP,Lookups!$G$127:$G$141,0))="Vic",INDEX(Lookups!$L$54:$L$80,MATCH(EDATE(C63,18),Lookups!$H$54:$H$80)),INDEX(Lookups!$I$54:$I$80,MATCH(EDATE(C63,18),Lookups!$H$54:$H$80))),"")</f>
        <v/>
      </c>
      <c r="S63" s="46"/>
    </row>
    <row r="64" spans="3:19" hidden="1" outlineLevel="1" x14ac:dyDescent="0.2">
      <c r="C64" s="25">
        <v>43008</v>
      </c>
      <c r="D64" s="19"/>
      <c r="E64" s="19"/>
      <c r="F64" s="404">
        <v>111.4</v>
      </c>
      <c r="G64" s="26">
        <f>IF(MATCH(C64,$C$54:$C$94,0)&lt;=4,"",IF(AND(C64&gt;=IF(INDEX(Lookups!$I$127:$I$141,MATCH(DNSP,Lookups!$G$127:$G$141,0))="Vic",(INDEX(Lookups!$K$54:$K$80,MATCH(currentyear,Lookups!$L$54:$L$80,0))),(INDEX(Lookups!$H$54:$H$80,MATCH(currentyear,Lookups!$I$54:$I$80,0)))),C64&lt;=Lookups!$H$88),General!$F$19,IF(ISBLANK(F64),"",IF(AND(INDEX(Lookups!$I$127:$I$141,MATCH(DNSP,Lookups!$G$127:$G$141,0))="Vic",K64="HY21"),F64/F62-1,IF(C64&gt;DATE(Lookups!$G$57,MONTH($F$17),31),F64/F63-1,F64/F60-1)))))</f>
        <v>1.8281535648994485E-2</v>
      </c>
      <c r="H64" s="129"/>
      <c r="I64" s="19"/>
      <c r="K64" s="51" t="str">
        <f>IF(MONTH(C64)=MONTH($F$18),
IF(INDEX(Lookups!$I$127:$I$141,MATCH(DNSP,Lookups!$G$127:$G$141,0))="Vic",INDEX(Lookups!$L$54:$L$80,MATCH(EDATE(C64,18),Lookups!$H$54:$H$80)),INDEX(Lookups!$I$54:$I$80,MATCH(EDATE(C64,18),Lookups!$H$54:$H$80))),"")</f>
        <v/>
      </c>
      <c r="S64" s="46"/>
    </row>
    <row r="65" spans="3:19" hidden="1" outlineLevel="1" x14ac:dyDescent="0.2">
      <c r="C65" s="25">
        <v>43100</v>
      </c>
      <c r="D65" s="19"/>
      <c r="E65" s="19"/>
      <c r="F65" s="404">
        <v>112.1</v>
      </c>
      <c r="G65" s="26">
        <f>IF(MATCH(C65,$C$54:$C$94,0)&lt;=4,"",IF(AND(C65&gt;=IF(INDEX(Lookups!$I$127:$I$141,MATCH(DNSP,Lookups!$G$127:$G$141,0))="Vic",(INDEX(Lookups!$K$54:$K$80,MATCH(currentyear,Lookups!$L$54:$L$80,0))),(INDEX(Lookups!$H$54:$H$80,MATCH(currentyear,Lookups!$I$54:$I$80,0)))),C65&lt;=Lookups!$H$88),General!$F$19,IF(ISBLANK(F65),"",IF(AND(INDEX(Lookups!$I$127:$I$141,MATCH(DNSP,Lookups!$G$127:$G$141,0))="Vic",K65="HY21"),F65/F63-1,IF(C65&gt;DATE(Lookups!$G$57,MONTH($F$17),31),F65/F64-1,F65/F61-1)))))</f>
        <v>1.9090909090909047E-2</v>
      </c>
      <c r="H65" s="129"/>
      <c r="I65" s="19"/>
      <c r="K65" s="51" t="str">
        <f>IF(MONTH(C65)=MONTH($F$18),
IF(INDEX(Lookups!$I$127:$I$141,MATCH(DNSP,Lookups!$G$127:$G$141,0))="Vic",INDEX(Lookups!$L$54:$L$80,MATCH(EDATE(C65,18),Lookups!$H$54:$H$80)),INDEX(Lookups!$I$54:$I$80,MATCH(EDATE(C65,18),Lookups!$H$54:$H$80))),"")</f>
        <v>2018–19</v>
      </c>
      <c r="S65" s="46"/>
    </row>
    <row r="66" spans="3:19" hidden="1" outlineLevel="1" x14ac:dyDescent="0.2">
      <c r="C66" s="25">
        <v>43190</v>
      </c>
      <c r="D66" s="19"/>
      <c r="E66" s="19"/>
      <c r="F66" s="404">
        <v>112.6</v>
      </c>
      <c r="G66" s="26">
        <f>IF(MATCH(C66,$C$54:$C$94,0)&lt;=4,"",IF(AND(C66&gt;=IF(INDEX(Lookups!$I$127:$I$141,MATCH(DNSP,Lookups!$G$127:$G$141,0))="Vic",(INDEX(Lookups!$K$54:$K$80,MATCH(currentyear,Lookups!$L$54:$L$80,0))),(INDEX(Lookups!$H$54:$H$80,MATCH(currentyear,Lookups!$I$54:$I$80,0)))),C66&lt;=Lookups!$H$88),General!$F$19,IF(ISBLANK(F66),"",IF(AND(INDEX(Lookups!$I$127:$I$141,MATCH(DNSP,Lookups!$G$127:$G$141,0))="Vic",K66="HY21"),F66/F64-1,IF(C66&gt;DATE(Lookups!$G$57,MONTH($F$17),31),F66/F65-1,F66/F62-1)))))</f>
        <v>1.9004524886877761E-2</v>
      </c>
      <c r="H66" s="129"/>
      <c r="I66" s="19"/>
      <c r="K66" s="51" t="str">
        <f>IF(MONTH(C66)=MONTH($F$18),
IF(INDEX(Lookups!$I$127:$I$141,MATCH(DNSP,Lookups!$G$127:$G$141,0))="Vic",INDEX(Lookups!$L$54:$L$80,MATCH(EDATE(C66,18),Lookups!$H$54:$H$80)),INDEX(Lookups!$I$54:$I$80,MATCH(EDATE(C66,18),Lookups!$H$54:$H$80))),"")</f>
        <v/>
      </c>
      <c r="S66" s="46"/>
    </row>
    <row r="67" spans="3:19" collapsed="1" x14ac:dyDescent="0.2">
      <c r="C67" s="25">
        <v>43281</v>
      </c>
      <c r="D67" s="19"/>
      <c r="E67" s="19"/>
      <c r="F67" s="404">
        <v>113</v>
      </c>
      <c r="G67" s="26">
        <f>IF(MATCH(C67,$C$54:$C$94,0)&lt;=4,"",IF(AND(C67&gt;=IF(INDEX(Lookups!$I$127:$I$141,MATCH(DNSP,Lookups!$G$127:$G$141,0))="Vic",(INDEX(Lookups!$K$54:$K$80,MATCH(currentyear,Lookups!$L$54:$L$80,0))),(INDEX(Lookups!$H$54:$H$80,MATCH(currentyear,Lookups!$I$54:$I$80,0)))),C67&lt;=Lookups!$H$88),General!$F$19,IF(ISBLANK(F67),"",IF(AND(INDEX(Lookups!$I$127:$I$141,MATCH(DNSP,Lookups!$G$127:$G$141,0))="Vic",K67="HY21"),F67/F65-1,IF(C67&gt;DATE(Lookups!$G$57,MONTH($F$17),31),F67/F66-1,F67/F63-1)))))</f>
        <v>2.0776874435411097E-2</v>
      </c>
      <c r="H67" s="129"/>
      <c r="I67" s="19"/>
      <c r="K67" s="51" t="str">
        <f>IF(MONTH(C67)=MONTH($F$18),
IF(INDEX(Lookups!$I$127:$I$141,MATCH(DNSP,Lookups!$G$127:$G$141,0))="Vic",INDEX(Lookups!$L$54:$L$80,MATCH(EDATE(C67,18),Lookups!$H$54:$H$80)),INDEX(Lookups!$I$54:$I$80,MATCH(EDATE(C67,18),Lookups!$H$54:$H$80))),"")</f>
        <v/>
      </c>
      <c r="S67" s="46"/>
    </row>
    <row r="68" spans="3:19" x14ac:dyDescent="0.2">
      <c r="C68" s="25">
        <v>43373</v>
      </c>
      <c r="D68" s="19"/>
      <c r="E68" s="19"/>
      <c r="F68" s="404">
        <v>113.5</v>
      </c>
      <c r="G68" s="26">
        <f>IF(MATCH(C68,$C$54:$C$94,0)&lt;=4,"",IF(AND(C68&gt;=IF(INDEX(Lookups!$I$127:$I$141,MATCH(DNSP,Lookups!$G$127:$G$141,0))="Vic",(INDEX(Lookups!$K$54:$K$80,MATCH(currentyear,Lookups!$L$54:$L$80,0))),(INDEX(Lookups!$H$54:$H$80,MATCH(currentyear,Lookups!$I$54:$I$80,0)))),C68&lt;=Lookups!$H$88),General!$F$19,IF(ISBLANK(F68),"",IF(AND(INDEX(Lookups!$I$127:$I$141,MATCH(DNSP,Lookups!$G$127:$G$141,0))="Vic",K68="HY21"),F68/F66-1,IF(C68&gt;DATE(Lookups!$G$57,MONTH($F$17),31),F68/F67-1,F68/F64-1)))))</f>
        <v>1.8850987432674993E-2</v>
      </c>
      <c r="H68" s="129"/>
      <c r="I68" s="406"/>
      <c r="K68" s="51" t="str">
        <f>IF(MONTH(C68)=MONTH($F$18),
IF(INDEX(Lookups!$I$127:$I$141,MATCH(DNSP,Lookups!$G$127:$G$141,0))="Vic",INDEX(Lookups!$L$54:$L$80,MATCH(EDATE(C68,18),Lookups!$H$54:$H$80)),INDEX(Lookups!$I$54:$I$80,MATCH(EDATE(C68,18),Lookups!$H$54:$H$80))),"")</f>
        <v/>
      </c>
      <c r="S68" s="46"/>
    </row>
    <row r="69" spans="3:19" x14ac:dyDescent="0.2">
      <c r="C69" s="25">
        <v>43465</v>
      </c>
      <c r="D69" s="19"/>
      <c r="E69" s="19"/>
      <c r="F69" s="404">
        <v>114.1</v>
      </c>
      <c r="G69" s="26">
        <f>IF(MATCH(C69,$C$54:$C$94,0)&lt;=4,"",IF(AND(C69&gt;=IF(INDEX(Lookups!$I$127:$I$141,MATCH(DNSP,Lookups!$G$127:$G$141,0))="Vic",(INDEX(Lookups!$K$54:$K$80,MATCH(currentyear,Lookups!$L$54:$L$80,0))),(INDEX(Lookups!$H$54:$H$80,MATCH(currentyear,Lookups!$I$54:$I$80,0)))),C69&lt;=Lookups!$H$88),General!$F$19,IF(ISBLANK(F69),"",IF(AND(INDEX(Lookups!$I$127:$I$141,MATCH(DNSP,Lookups!$G$127:$G$141,0))="Vic",K69="HY21"),F69/F67-1,IF(C69&gt;DATE(Lookups!$G$57,MONTH($F$17),31),F69/F68-1,F69/F65-1)))))</f>
        <v>1.7841213202497874E-2</v>
      </c>
      <c r="H69" s="129"/>
      <c r="K69" s="51" t="str">
        <f>IF(MONTH(C69)=MONTH($F$18),
IF(INDEX(Lookups!$I$127:$I$141,MATCH(DNSP,Lookups!$G$127:$G$141,0))="Vic",INDEX(Lookups!$L$54:$L$80,MATCH(EDATE(C69,18),Lookups!$H$54:$H$80)),INDEX(Lookups!$I$54:$I$80,MATCH(EDATE(C69,18),Lookups!$H$54:$H$80))),"")</f>
        <v>2019–20</v>
      </c>
      <c r="S69" s="46"/>
    </row>
    <row r="70" spans="3:19" x14ac:dyDescent="0.2">
      <c r="C70" s="25">
        <v>43555</v>
      </c>
      <c r="D70" s="19"/>
      <c r="E70" s="19"/>
      <c r="F70" s="404">
        <v>114.1</v>
      </c>
      <c r="G70" s="26">
        <f>IF(MATCH(C70,$C$54:$C$94,0)&lt;=4,"",IF(AND(C70&gt;=IF(INDEX(Lookups!$I$127:$I$141,MATCH(DNSP,Lookups!$G$127:$G$141,0))="Vic",(INDEX(Lookups!$K$54:$K$80,MATCH(currentyear,Lookups!$L$54:$L$80,0))),(INDEX(Lookups!$H$54:$H$80,MATCH(currentyear,Lookups!$I$54:$I$80,0)))),C70&lt;=Lookups!$H$88),General!$F$19,IF(ISBLANK(F70),"",IF(AND(INDEX(Lookups!$I$127:$I$141,MATCH(DNSP,Lookups!$G$127:$G$141,0))="Vic",K70="HY21"),F70/F68-1,IF(C70&gt;DATE(Lookups!$G$57,MONTH($F$17),31),F70/F69-1,F70/F66-1)))))</f>
        <v>1.3321492007104752E-2</v>
      </c>
      <c r="H70" s="129"/>
      <c r="I70" s="19"/>
      <c r="K70" s="51" t="str">
        <f>IF(MONTH(C70)=MONTH($F$18),
IF(INDEX(Lookups!$I$127:$I$141,MATCH(DNSP,Lookups!$G$127:$G$141,0))="Vic",INDEX(Lookups!$L$54:$L$80,MATCH(EDATE(C70,18),Lookups!$H$54:$H$80)),INDEX(Lookups!$I$54:$I$80,MATCH(EDATE(C70,18),Lookups!$H$54:$H$80))),"")</f>
        <v/>
      </c>
      <c r="S70" s="46"/>
    </row>
    <row r="71" spans="3:19" x14ac:dyDescent="0.2">
      <c r="C71" s="25">
        <v>43646</v>
      </c>
      <c r="D71" s="19"/>
      <c r="E71" s="19"/>
      <c r="F71" s="404">
        <v>114.8</v>
      </c>
      <c r="G71" s="26">
        <f>IF(MATCH(C71,$C$54:$C$94,0)&lt;=4,"",IF(AND(C71&gt;=IF(INDEX(Lookups!$I$127:$I$141,MATCH(DNSP,Lookups!$G$127:$G$141,0))="Vic",(INDEX(Lookups!$K$54:$K$80,MATCH(currentyear,Lookups!$L$54:$L$80,0))),(INDEX(Lookups!$H$54:$H$80,MATCH(currentyear,Lookups!$I$54:$I$80,0)))),C71&lt;=Lookups!$H$88),General!$F$19,IF(ISBLANK(F71),"",IF(AND(INDEX(Lookups!$I$127:$I$141,MATCH(DNSP,Lookups!$G$127:$G$141,0))="Vic",K71="HY21"),F71/F69-1,IF(C71&gt;DATE(Lookups!$G$57,MONTH($F$17),31),F71/F70-1,F71/F67-1)))))</f>
        <v>1.5929203539823078E-2</v>
      </c>
      <c r="I71" s="19"/>
      <c r="K71" s="51" t="str">
        <f>IF(MONTH(C71)=MONTH($F$18),
IF(INDEX(Lookups!$I$127:$I$141,MATCH(DNSP,Lookups!$G$127:$G$141,0))="Vic",INDEX(Lookups!$L$54:$L$80,MATCH(EDATE(C71,18),Lookups!$H$54:$H$80)),INDEX(Lookups!$I$54:$I$80,MATCH(EDATE(C71,18),Lookups!$H$54:$H$80))),"")</f>
        <v/>
      </c>
      <c r="S71" s="46"/>
    </row>
    <row r="72" spans="3:19" x14ac:dyDescent="0.2">
      <c r="C72" s="25">
        <v>43738</v>
      </c>
      <c r="D72" s="19"/>
      <c r="E72" s="19"/>
      <c r="F72" s="404">
        <v>115.4</v>
      </c>
      <c r="G72" s="26">
        <f>IF(MATCH(C72,$C$54:$C$94,0)&lt;=4,"",IF(AND(C72&gt;=IF(INDEX(Lookups!$I$127:$I$141,MATCH(DNSP,Lookups!$G$127:$G$141,0))="Vic",(INDEX(Lookups!$K$54:$K$80,MATCH(currentyear,Lookups!$L$54:$L$80,0))),(INDEX(Lookups!$H$54:$H$80,MATCH(currentyear,Lookups!$I$54:$I$80,0)))),C72&lt;=Lookups!$H$88),General!$F$19,IF(ISBLANK(F72),"",IF(AND(INDEX(Lookups!$I$127:$I$141,MATCH(DNSP,Lookups!$G$127:$G$141,0))="Vic",K72="HY21"),F72/F70-1,IF(C72&gt;DATE(Lookups!$G$57,MONTH($F$17),31),F72/F71-1,F72/F68-1)))))</f>
        <v>1.6740088105726914E-2</v>
      </c>
      <c r="H72" s="129"/>
      <c r="I72" s="19"/>
      <c r="K72" s="51" t="str">
        <f>IF(MONTH(C72)=MONTH($F$18),
IF(INDEX(Lookups!$I$127:$I$141,MATCH(DNSP,Lookups!$G$127:$G$141,0))="Vic",INDEX(Lookups!$L$54:$L$80,MATCH(EDATE(C72,18),Lookups!$H$54:$H$80)),INDEX(Lookups!$I$54:$I$80,MATCH(EDATE(C72,18),Lookups!$H$54:$H$80))),"")</f>
        <v/>
      </c>
      <c r="S72" s="46"/>
    </row>
    <row r="73" spans="3:19" x14ac:dyDescent="0.2">
      <c r="C73" s="25">
        <v>43830</v>
      </c>
      <c r="D73" s="49" t="s">
        <v>88</v>
      </c>
      <c r="E73" s="19"/>
      <c r="F73" s="404">
        <v>116.2</v>
      </c>
      <c r="G73" s="26">
        <f>IF(MATCH(C73,$C$54:$C$94,0)&lt;=4,"",IF(AND(C73&gt;=IF(INDEX(Lookups!$I$127:$I$141,MATCH(DNSP,Lookups!$G$127:$G$141,0))="Vic",(INDEX(Lookups!$K$54:$K$80,MATCH(currentyear,Lookups!$L$54:$L$80,0))),(INDEX(Lookups!$H$54:$H$80,MATCH(currentyear,Lookups!$I$54:$I$80,0)))),C73&lt;=Lookups!$H$88),General!$F$19,IF(ISBLANK(F73),"",IF(AND(INDEX(Lookups!$I$127:$I$141,MATCH(DNSP,Lookups!$G$127:$G$141,0))="Vic",K73="HY21"),F73/F71-1,IF(C73&gt;DATE(Lookups!$G$57,MONTH($F$17),31),F73/F72-1,F73/F69-1)))))</f>
        <v>1.8404907975460238E-2</v>
      </c>
      <c r="H73" s="129"/>
      <c r="I73" s="19"/>
      <c r="K73" s="51" t="str">
        <f>IF(INDEX(Lookups!$I$127:$I$141,MATCH(DNSP,Lookups!$G$127:$G$141))="Vic",INDEX(Lookups!$L$54:$L$80,MATCH(EDATE(C73,18),Lookups!$H$54:$H$80)),INDEX(Lookups!$I$54:$I$80,MATCH(EDATE(C73,18),Lookups!$H$54:$H$80)))</f>
        <v>2020–21</v>
      </c>
      <c r="N73" s="406"/>
      <c r="S73" s="46"/>
    </row>
    <row r="74" spans="3:19" x14ac:dyDescent="0.2">
      <c r="C74" s="25">
        <v>44196</v>
      </c>
      <c r="D74" s="19"/>
      <c r="E74" s="19"/>
      <c r="F74" s="404">
        <v>117.2</v>
      </c>
      <c r="G74" s="26">
        <f>IF(MATCH(C74,$C$54:$C$94,0)&lt;=4,"",IF(AND(C74&gt;=IF(INDEX(Lookups!$I$127:$I$141,MATCH(DNSP,Lookups!$G$127:$G$141,0))="Vic",(INDEX(Lookups!$K$54:$K$80,MATCH(currentyear,Lookups!$L$54:$L$80,0))),(INDEX(Lookups!$H$54:$H$80,MATCH(currentyear,Lookups!$I$54:$I$80,0)))),C74&lt;=Lookups!$H$88),General!$F$19,IF(ISBLANK(F74),"",IF(AND(INDEX(Lookups!$I$127:$I$141,MATCH(DNSP,Lookups!$G$127:$G$141,0))="Vic",K74="HY21"),F74/F72-1,IF(C74&gt;DATE(Lookups!$G$57,MONTH($F$17),31),F74/F73-1,F74/F70-1)))))</f>
        <v>8.6058519793459354E-3</v>
      </c>
      <c r="H74" s="129"/>
      <c r="I74" s="19"/>
      <c r="K74" s="51" t="str">
        <f>IF(INDEX(Lookups!$I$127:$I$141,MATCH(DNSP,Lookups!$G$127:$G$141))="Vic",INDEX(Lookups!$L$54:$L$80,MATCH(EDATE(C74,18),Lookups!$H$54:$H$80)),INDEX(Lookups!$I$54:$I$80,MATCH(EDATE(C74,18),Lookups!$H$54:$H$80)))</f>
        <v>2021–22</v>
      </c>
      <c r="S74" s="46"/>
    </row>
    <row r="75" spans="3:19" x14ac:dyDescent="0.2">
      <c r="C75" s="25">
        <v>44561</v>
      </c>
      <c r="E75" s="19"/>
      <c r="F75" s="404">
        <v>121.3</v>
      </c>
      <c r="G75" s="26">
        <f>IF(MATCH(C75,$C$54:$C$94,0)&lt;=4,"",IF(AND(C75&gt;=IF(INDEX(Lookups!$I$127:$I$141,MATCH(DNSP,Lookups!$G$127:$G$141,0))="Vic",(INDEX(Lookups!$K$54:$K$80,MATCH(currentyear,Lookups!$L$54:$L$80,0))),(INDEX(Lookups!$H$54:$H$80,MATCH(currentyear,Lookups!$I$54:$I$80,0)))),C75&lt;=Lookups!$H$88),General!$F$19,IF(ISBLANK(F75),"",IF(AND(INDEX(Lookups!$I$127:$I$141,MATCH(DNSP,Lookups!$G$127:$G$141,0))="Vic",K75="HY21"),F75/F73-1,IF(C75&gt;DATE(Lookups!$G$57,MONTH($F$17),31),F75/F74-1,F75/F71-1)))))</f>
        <v>3.4982935153583528E-2</v>
      </c>
      <c r="H75" s="19"/>
      <c r="I75" s="19"/>
      <c r="K75" s="51" t="str">
        <f>IF(INDEX(Lookups!$I$127:$I$141,MATCH(DNSP,Lookups!$G$127:$G$141))="Vic",INDEX(Lookups!$L$54:$L$80,MATCH(EDATE(C75,18),Lookups!$H$54:$H$80)),INDEX(Lookups!$I$54:$I$80,MATCH(EDATE(C75,18),Lookups!$H$54:$H$80)))</f>
        <v>2022–23</v>
      </c>
      <c r="S75" s="46"/>
    </row>
    <row r="76" spans="3:19" x14ac:dyDescent="0.2">
      <c r="C76" s="25">
        <v>44926</v>
      </c>
      <c r="E76" s="19"/>
      <c r="F76" s="404"/>
      <c r="G76" s="26">
        <f>IF(MATCH(C76,$C$54:$C$94,0)&lt;=4,"",IF(AND(C76&gt;=IF(INDEX(Lookups!$I$127:$I$141,MATCH(DNSP,Lookups!$G$127:$G$141,0))="Vic",(INDEX(Lookups!$K$54:$K$80,MATCH(currentyear,Lookups!$L$54:$L$80,0))),(INDEX(Lookups!$H$54:$H$80,MATCH(currentyear,Lookups!$I$54:$I$80,0)))),C76&lt;=Lookups!$H$88),General!$F$19,IF(ISBLANK(F76),"",IF(AND(INDEX(Lookups!$I$127:$I$141,MATCH(DNSP,Lookups!$G$127:$G$141,0))="Vic",K76="HY21"),F76/F74-1,IF(C76&gt;DATE(Lookups!$G$57,MONTH($F$17),31),F76/F75-1,F76/F72-1)))))</f>
        <v>2.4248746575396697E-2</v>
      </c>
      <c r="H76" s="19"/>
      <c r="I76" s="19"/>
      <c r="K76" s="51" t="str">
        <f>IF(INDEX(Lookups!$I$127:$I$141,MATCH(DNSP,Lookups!$G$127:$G$141))="Vic",INDEX(Lookups!$L$54:$L$80,MATCH(EDATE(C76,18),Lookups!$H$54:$H$80)),INDEX(Lookups!$I$54:$I$80,MATCH(EDATE(C76,18),Lookups!$H$54:$H$80)))</f>
        <v>2023–24</v>
      </c>
      <c r="S76" s="46"/>
    </row>
    <row r="77" spans="3:19" x14ac:dyDescent="0.2">
      <c r="C77" s="25">
        <v>45291</v>
      </c>
      <c r="E77" s="19"/>
      <c r="F77" s="404"/>
      <c r="G77" s="26" t="str">
        <f>IF(MATCH(C77,$C$54:$C$94,0)&lt;=4,"",IF(AND(C77&gt;=IF(INDEX(Lookups!$I$127:$I$141,MATCH(DNSP,Lookups!$G$127:$G$141,0))="Vic",(INDEX(Lookups!$K$54:$K$80,MATCH(currentyear,Lookups!$L$54:$L$80,0))),(INDEX(Lookups!$H$54:$H$80,MATCH(currentyear,Lookups!$I$54:$I$80,0)))),C77&lt;=Lookups!$H$88),General!$F$19,IF(ISBLANK(F77),"",IF(AND(INDEX(Lookups!$I$127:$I$141,MATCH(DNSP,Lookups!$G$127:$G$141,0))="Vic",K77="HY21"),F77/F75-1,IF(C77&gt;DATE(Lookups!$G$57,MONTH($F$17),31),F77/F76-1,F77/F73-1)))))</f>
        <v/>
      </c>
      <c r="H77" s="19"/>
      <c r="I77" s="19"/>
      <c r="K77" s="51" t="str">
        <f>IF(INDEX(Lookups!$I$127:$I$141,MATCH(DNSP,Lookups!$G$127:$G$141))="Vic",INDEX(Lookups!$L$54:$L$80,MATCH(EDATE(C77,18),Lookups!$H$54:$H$80)),INDEX(Lookups!$I$54:$I$80,MATCH(EDATE(C77,18),Lookups!$H$54:$H$80)))</f>
        <v>2024–25</v>
      </c>
      <c r="S77" s="46"/>
    </row>
    <row r="78" spans="3:19" x14ac:dyDescent="0.2">
      <c r="C78" s="25">
        <v>45657</v>
      </c>
      <c r="E78" s="19"/>
      <c r="F78" s="404"/>
      <c r="G78" s="26" t="str">
        <f>IF(MATCH(C78,$C$54:$C$94,0)&lt;=4,"",IF(AND(C78&gt;=IF(INDEX(Lookups!$I$127:$I$141,MATCH(DNSP,Lookups!$G$127:$G$141,0))="Vic",(INDEX(Lookups!$K$54:$K$80,MATCH(currentyear,Lookups!$L$54:$L$80,0))),(INDEX(Lookups!$H$54:$H$80,MATCH(currentyear,Lookups!$I$54:$I$80,0)))),C78&lt;=Lookups!$H$88),General!$F$19,IF(ISBLANK(F78),"",IF(AND(INDEX(Lookups!$I$127:$I$141,MATCH(DNSP,Lookups!$G$127:$G$141,0))="Vic",K78="HY21"),F78/F76-1,IF(C78&gt;DATE(Lookups!$G$57,MONTH($F$17),31),F78/F77-1,F78/F74-1)))))</f>
        <v/>
      </c>
      <c r="H78" s="19"/>
      <c r="I78" s="19"/>
      <c r="K78" s="51" t="str">
        <f>IF(INDEX(Lookups!$I$127:$I$141,MATCH(DNSP,Lookups!$G$127:$G$141))="Vic",INDEX(Lookups!$L$54:$L$80,MATCH(EDATE(C78,18),Lookups!$H$54:$H$80)),INDEX(Lookups!$I$54:$I$80,MATCH(EDATE(C78,18),Lookups!$H$54:$H$80)))</f>
        <v>2025–26</v>
      </c>
      <c r="S78" s="46"/>
    </row>
    <row r="79" spans="3:19" x14ac:dyDescent="0.2">
      <c r="C79" s="25">
        <v>46022</v>
      </c>
      <c r="E79" s="19"/>
      <c r="F79" s="404"/>
      <c r="G79" s="26" t="str">
        <f>IF(MATCH(C79,$C$54:$C$94,0)&lt;=4,"",IF(AND(C79&gt;=IF(INDEX(Lookups!$I$127:$I$141,MATCH(DNSP,Lookups!$G$127:$G$141,0))="Vic",(INDEX(Lookups!$K$54:$K$80,MATCH(currentyear,Lookups!$L$54:$L$80,0))),(INDEX(Lookups!$H$54:$H$80,MATCH(currentyear,Lookups!$I$54:$I$80,0)))),C79&lt;=Lookups!$H$88),General!$F$19,IF(ISBLANK(F79),"",IF(AND(INDEX(Lookups!$I$127:$I$141,MATCH(DNSP,Lookups!$G$127:$G$141,0))="Vic",K79="HY21"),F79/F77-1,IF(C79&gt;DATE(Lookups!$G$57,MONTH($F$17),31),F79/F78-1,F79/F75-1)))))</f>
        <v/>
      </c>
      <c r="H79" s="19"/>
      <c r="I79" s="19"/>
      <c r="K79" s="51" t="str">
        <f>IF(INDEX(Lookups!$I$127:$I$141,MATCH(DNSP,Lookups!$G$127:$G$141))="Vic",INDEX(Lookups!$L$54:$L$80,MATCH(EDATE(C79,18),Lookups!$H$54:$H$80)),INDEX(Lookups!$I$54:$I$80,MATCH(EDATE(C79,18),Lookups!$H$54:$H$80)))</f>
        <v>2026–27</v>
      </c>
      <c r="S79" s="46"/>
    </row>
    <row r="80" spans="3:19" hidden="1" outlineLevel="1" x14ac:dyDescent="0.2">
      <c r="C80" s="25">
        <v>46387</v>
      </c>
      <c r="E80" s="19"/>
      <c r="F80" s="404"/>
      <c r="G80" s="26" t="str">
        <f>IF(MATCH(C80,$C$54:$C$94,0)&lt;=4,"",IF(AND(C80&gt;=IF(INDEX(Lookups!$I$127:$I$141,MATCH(DNSP,Lookups!$G$127:$G$141,0))="Vic",(INDEX(Lookups!$K$54:$K$80,MATCH(currentyear,Lookups!$L$54:$L$80,0))),(INDEX(Lookups!$H$54:$H$80,MATCH(currentyear,Lookups!$I$54:$I$80,0)))),C80&lt;=Lookups!$H$88),General!$F$19,IF(ISBLANK(F80),"",IF(AND(INDEX(Lookups!$I$127:$I$141,MATCH(DNSP,Lookups!$G$127:$G$141,0))="Vic",K80="HY21"),F80/F78-1,IF(C80&gt;DATE(Lookups!$G$57,MONTH($F$17),31),F80/F79-1,F80/F76-1)))))</f>
        <v/>
      </c>
      <c r="H80" s="19"/>
      <c r="I80" s="19"/>
      <c r="K80" s="51" t="str">
        <f>IF(INDEX(Lookups!$I$127:$I$141,MATCH(DNSP,Lookups!$G$127:$G$141))="Vic",INDEX(Lookups!$L$54:$L$80,MATCH(EDATE(C80,18),Lookups!$H$54:$H$80)),INDEX(Lookups!$I$54:$I$80,MATCH(EDATE(C80,18),Lookups!$H$54:$H$80)))</f>
        <v>2027–28</v>
      </c>
      <c r="S80" s="46"/>
    </row>
    <row r="81" spans="1:30" hidden="1" outlineLevel="1" x14ac:dyDescent="0.2">
      <c r="C81" s="25">
        <v>46752</v>
      </c>
      <c r="E81" s="19"/>
      <c r="F81" s="404"/>
      <c r="G81" s="26" t="str">
        <f>IF(MATCH(C81,$C$54:$C$94,0)&lt;=4,"",IF(AND(C81&gt;=IF(INDEX(Lookups!$I$127:$I$141,MATCH(DNSP,Lookups!$G$127:$G$141,0))="Vic",(INDEX(Lookups!$K$54:$K$80,MATCH(currentyear,Lookups!$L$54:$L$80,0))),(INDEX(Lookups!$H$54:$H$80,MATCH(currentyear,Lookups!$I$54:$I$80,0)))),C81&lt;=Lookups!$H$88),General!$F$19,IF(ISBLANK(F81),"",IF(AND(INDEX(Lookups!$I$127:$I$141,MATCH(DNSP,Lookups!$G$127:$G$141,0))="Vic",K81="HY21"),F81/F79-1,IF(C81&gt;DATE(Lookups!$G$57,MONTH($F$17),31),F81/F80-1,F81/F77-1)))))</f>
        <v/>
      </c>
      <c r="H81" s="19"/>
      <c r="I81" s="19"/>
      <c r="K81" s="51" t="str">
        <f>IF(INDEX(Lookups!$I$127:$I$141,MATCH(DNSP,Lookups!$G$127:$G$141))="Vic",INDEX(Lookups!$L$54:$L$80,MATCH(EDATE(C81,18),Lookups!$H$54:$H$80)),INDEX(Lookups!$I$54:$I$80,MATCH(EDATE(C81,18),Lookups!$H$54:$H$80)))</f>
        <v>2028–29</v>
      </c>
      <c r="S81" s="46"/>
    </row>
    <row r="82" spans="1:30" hidden="1" outlineLevel="1" x14ac:dyDescent="0.2">
      <c r="C82" s="25">
        <v>47118</v>
      </c>
      <c r="E82" s="19"/>
      <c r="F82" s="404"/>
      <c r="G82" s="26" t="str">
        <f>IF(MATCH(C82,$C$54:$C$94,0)&lt;=4,"",IF(AND(C82&gt;=IF(INDEX(Lookups!$I$127:$I$141,MATCH(DNSP,Lookups!$G$127:$G$141,0))="Vic",(INDEX(Lookups!$K$54:$K$80,MATCH(currentyear,Lookups!$L$54:$L$80,0))),(INDEX(Lookups!$H$54:$H$80,MATCH(currentyear,Lookups!$I$54:$I$80,0)))),C82&lt;=Lookups!$H$88),General!$F$19,IF(ISBLANK(F82),"",IF(AND(INDEX(Lookups!$I$127:$I$141,MATCH(DNSP,Lookups!$G$127:$G$141,0))="Vic",K82="HY21"),F82/F80-1,IF(C82&gt;DATE(Lookups!$G$57,MONTH($F$17),31),F82/F81-1,F82/F78-1)))))</f>
        <v/>
      </c>
      <c r="H82" s="19"/>
      <c r="I82" s="19"/>
      <c r="K82" s="51" t="str">
        <f>IF(INDEX(Lookups!$I$127:$I$141,MATCH(DNSP,Lookups!$G$127:$G$141))="Vic",INDEX(Lookups!$L$54:$L$80,MATCH(EDATE(C82,18),Lookups!$H$54:$H$80)),INDEX(Lookups!$I$54:$I$80,MATCH(EDATE(C82,18),Lookups!$H$54:$H$80)))</f>
        <v>2029–30</v>
      </c>
      <c r="S82" s="46"/>
    </row>
    <row r="83" spans="1:30" hidden="1" outlineLevel="1" x14ac:dyDescent="0.2">
      <c r="C83" s="25">
        <v>47483</v>
      </c>
      <c r="E83" s="19"/>
      <c r="F83" s="404"/>
      <c r="G83" s="26" t="str">
        <f>IF(MATCH(C83,$C$54:$C$94,0)&lt;=4,"",IF(AND(C83&gt;=IF(INDEX(Lookups!$I$127:$I$141,MATCH(DNSP,Lookups!$G$127:$G$141,0))="Vic",(INDEX(Lookups!$K$54:$K$80,MATCH(currentyear,Lookups!$L$54:$L$80,0))),(INDEX(Lookups!$H$54:$H$80,MATCH(currentyear,Lookups!$I$54:$I$80,0)))),C83&lt;=Lookups!$H$88),General!$F$19,IF(ISBLANK(F83),"",IF(AND(INDEX(Lookups!$I$127:$I$141,MATCH(DNSP,Lookups!$G$127:$G$141,0))="Vic",K83="HY21"),F83/F81-1,IF(C83&gt;DATE(Lookups!$G$57,MONTH($F$17),31),F83/F82-1,F83/F79-1)))))</f>
        <v/>
      </c>
      <c r="H83" s="19"/>
      <c r="I83" s="19"/>
      <c r="K83" s="51" t="str">
        <f>IF(INDEX(Lookups!$I$127:$I$141,MATCH(DNSP,Lookups!$G$127:$G$141))="Vic",INDEX(Lookups!$L$54:$L$80,MATCH(EDATE(C83,18),Lookups!$H$54:$H$80)),INDEX(Lookups!$I$54:$I$80,MATCH(EDATE(C83,18),Lookups!$H$54:$H$80)))</f>
        <v>2030–31</v>
      </c>
      <c r="S83" s="46"/>
    </row>
    <row r="84" spans="1:30" hidden="1" outlineLevel="1" x14ac:dyDescent="0.2">
      <c r="C84" s="25">
        <v>47848</v>
      </c>
      <c r="E84" s="19"/>
      <c r="F84" s="404"/>
      <c r="G84" s="26" t="str">
        <f>IF(MATCH(C84,$C$54:$C$94,0)&lt;=4,"",IF(AND(C84&gt;=IF(INDEX(Lookups!$I$127:$I$141,MATCH(DNSP,Lookups!$G$127:$G$141,0))="Vic",(INDEX(Lookups!$K$54:$K$80,MATCH(currentyear,Lookups!$L$54:$L$80,0))),(INDEX(Lookups!$H$54:$H$80,MATCH(currentyear,Lookups!$I$54:$I$80,0)))),C84&lt;=Lookups!$H$88),General!$F$19,IF(ISBLANK(F84),"",IF(AND(INDEX(Lookups!$I$127:$I$141,MATCH(DNSP,Lookups!$G$127:$G$141,0))="Vic",K84="HY21"),F84/F82-1,IF(C84&gt;DATE(Lookups!$G$57,MONTH($F$17),31),F84/F83-1,F84/F80-1)))))</f>
        <v/>
      </c>
      <c r="H84" s="19"/>
      <c r="I84" s="19"/>
      <c r="K84" s="51" t="str">
        <f>IF(INDEX(Lookups!$I$127:$I$141,MATCH(DNSP,Lookups!$G$127:$G$141))="Vic",INDEX(Lookups!$L$54:$L$80,MATCH(EDATE(C84,18),Lookups!$H$54:$H$80)),INDEX(Lookups!$I$54:$I$80,MATCH(EDATE(C84,18),Lookups!$H$54:$H$80)))</f>
        <v>2031–32</v>
      </c>
      <c r="S84" s="46"/>
    </row>
    <row r="85" spans="1:30" hidden="1" outlineLevel="1" x14ac:dyDescent="0.2">
      <c r="C85" s="25">
        <v>48213</v>
      </c>
      <c r="E85" s="19"/>
      <c r="F85" s="404"/>
      <c r="G85" s="26" t="str">
        <f>IF(MATCH(C85,$C$54:$C$94,0)&lt;=4,"",IF(AND(C85&gt;=IF(INDEX(Lookups!$I$127:$I$141,MATCH(DNSP,Lookups!$G$127:$G$141,0))="Vic",(INDEX(Lookups!$K$54:$K$80,MATCH(currentyear,Lookups!$L$54:$L$80,0))),(INDEX(Lookups!$H$54:$H$80,MATCH(currentyear,Lookups!$I$54:$I$80,0)))),C85&lt;=Lookups!$H$88),General!$F$19,IF(ISBLANK(F85),"",IF(AND(INDEX(Lookups!$I$127:$I$141,MATCH(DNSP,Lookups!$G$127:$G$141,0))="Vic",K85="HY21"),F85/F83-1,IF(C85&gt;DATE(Lookups!$G$57,MONTH($F$17),31),F85/F84-1,F85/F81-1)))))</f>
        <v/>
      </c>
      <c r="H85" s="19"/>
      <c r="I85" s="19"/>
      <c r="K85" s="51" t="str">
        <f>IF(INDEX(Lookups!$I$127:$I$141,MATCH(DNSP,Lookups!$G$127:$G$141))="Vic",INDEX(Lookups!$L$54:$L$80,MATCH(EDATE(C85,18),Lookups!$H$54:$H$80)),INDEX(Lookups!$I$54:$I$80,MATCH(EDATE(C85,18),Lookups!$H$54:$H$80)))</f>
        <v>2032–33</v>
      </c>
      <c r="S85" s="46"/>
    </row>
    <row r="86" spans="1:30" hidden="1" outlineLevel="1" x14ac:dyDescent="0.2">
      <c r="C86" s="25">
        <v>48579</v>
      </c>
      <c r="E86" s="19"/>
      <c r="F86" s="404"/>
      <c r="G86" s="26" t="str">
        <f>IF(MATCH(C86,$C$54:$C$94,0)&lt;=4,"",IF(AND(C86&gt;=IF(INDEX(Lookups!$I$127:$I$141,MATCH(DNSP,Lookups!$G$127:$G$141,0))="Vic",(INDEX(Lookups!$K$54:$K$80,MATCH(currentyear,Lookups!$L$54:$L$80,0))),(INDEX(Lookups!$H$54:$H$80,MATCH(currentyear,Lookups!$I$54:$I$80,0)))),C86&lt;=Lookups!$H$88),General!$F$19,IF(ISBLANK(F86),"",IF(AND(INDEX(Lookups!$I$127:$I$141,MATCH(DNSP,Lookups!$G$127:$G$141,0))="Vic",K86="HY21"),F86/F84-1,IF(C86&gt;DATE(Lookups!$G$57,MONTH($F$17),31),F86/F85-1,F86/F82-1)))))</f>
        <v/>
      </c>
      <c r="H86" s="19"/>
      <c r="I86" s="19"/>
      <c r="K86" s="51" t="str">
        <f>IF(INDEX(Lookups!$I$127:$I$141,MATCH(DNSP,Lookups!$G$127:$G$141))="Vic",INDEX(Lookups!$L$54:$L$80,MATCH(EDATE(C86,18),Lookups!$H$54:$H$80)),INDEX(Lookups!$I$54:$I$80,MATCH(EDATE(C86,18),Lookups!$H$54:$H$80)))</f>
        <v>2033–34</v>
      </c>
      <c r="S86" s="46"/>
    </row>
    <row r="87" spans="1:30" hidden="1" outlineLevel="1" x14ac:dyDescent="0.2">
      <c r="C87" s="25">
        <v>48944</v>
      </c>
      <c r="E87" s="19"/>
      <c r="F87" s="404"/>
      <c r="G87" s="26" t="str">
        <f>IF(MATCH(C87,$C$54:$C$94,0)&lt;=4,"",IF(AND(C87&gt;=IF(INDEX(Lookups!$I$127:$I$141,MATCH(DNSP,Lookups!$G$127:$G$141,0))="Vic",(INDEX(Lookups!$K$54:$K$80,MATCH(currentyear,Lookups!$L$54:$L$80,0))),(INDEX(Lookups!$H$54:$H$80,MATCH(currentyear,Lookups!$I$54:$I$80,0)))),C87&lt;=Lookups!$H$88),General!$F$19,IF(ISBLANK(F87),"",IF(AND(INDEX(Lookups!$I$127:$I$141,MATCH(DNSP,Lookups!$G$127:$G$141,0))="Vic",K87="HY21"),F87/F85-1,IF(C87&gt;DATE(Lookups!$G$57,MONTH($F$17),31),F87/F86-1,F87/F83-1)))))</f>
        <v/>
      </c>
      <c r="H87" s="19"/>
      <c r="I87" s="19"/>
      <c r="K87" s="51" t="str">
        <f>IF(INDEX(Lookups!$I$127:$I$141,MATCH(DNSP,Lookups!$G$127:$G$141))="Vic",INDEX(Lookups!$L$54:$L$80,MATCH(EDATE(C87,18),Lookups!$H$54:$H$80)),INDEX(Lookups!$I$54:$I$80,MATCH(EDATE(C87,18),Lookups!$H$54:$H$80)))</f>
        <v>2034–35</v>
      </c>
      <c r="S87" s="46"/>
    </row>
    <row r="88" spans="1:30" hidden="1" outlineLevel="1" x14ac:dyDescent="0.2">
      <c r="C88" s="25">
        <v>49309</v>
      </c>
      <c r="E88" s="19"/>
      <c r="F88" s="404"/>
      <c r="G88" s="26" t="str">
        <f>IF(MATCH(C88,$C$54:$C$94,0)&lt;=4,"",IF(AND(C88&gt;=IF(INDEX(Lookups!$I$127:$I$141,MATCH(DNSP,Lookups!$G$127:$G$141,0))="Vic",(INDEX(Lookups!$K$54:$K$80,MATCH(currentyear,Lookups!$L$54:$L$80,0))),(INDEX(Lookups!$H$54:$H$80,MATCH(currentyear,Lookups!$I$54:$I$80,0)))),C88&lt;=Lookups!$H$88),General!$F$19,IF(ISBLANK(F88),"",IF(AND(INDEX(Lookups!$I$127:$I$141,MATCH(DNSP,Lookups!$G$127:$G$141,0))="Vic",K88="HY21"),F88/F86-1,IF(C88&gt;DATE(Lookups!$G$57,MONTH($F$17),31),F88/F87-1,F88/F84-1)))))</f>
        <v/>
      </c>
      <c r="H88" s="19"/>
      <c r="I88" s="19"/>
      <c r="K88" s="51" t="str">
        <f>IF(INDEX(Lookups!$I$127:$I$141,MATCH(DNSP,Lookups!$G$127:$G$141))="Vic",INDEX(Lookups!$L$54:$L$80,MATCH(EDATE(C88,18),Lookups!$H$54:$H$80)),INDEX(Lookups!$I$54:$I$80,MATCH(EDATE(C88,18),Lookups!$H$54:$H$80)))</f>
        <v>2035–36</v>
      </c>
      <c r="S88" s="46"/>
    </row>
    <row r="89" spans="1:30" hidden="1" outlineLevel="1" x14ac:dyDescent="0.2">
      <c r="C89" s="25">
        <v>49674</v>
      </c>
      <c r="E89" s="19"/>
      <c r="F89" s="404"/>
      <c r="G89" s="26" t="str">
        <f>IF(MATCH(C89,$C$54:$C$94,0)&lt;=4,"",IF(AND(C89&gt;=IF(INDEX(Lookups!$I$127:$I$141,MATCH(DNSP,Lookups!$G$127:$G$141,0))="Vic",(INDEX(Lookups!$K$54:$K$80,MATCH(currentyear,Lookups!$L$54:$L$80,0))),(INDEX(Lookups!$H$54:$H$80,MATCH(currentyear,Lookups!$I$54:$I$80,0)))),C89&lt;=Lookups!$H$88),General!$F$19,IF(ISBLANK(F89),"",IF(AND(INDEX(Lookups!$I$127:$I$141,MATCH(DNSP,Lookups!$G$127:$G$141,0))="Vic",K89="HY21"),F89/F87-1,IF(C89&gt;DATE(Lookups!$G$57,MONTH($F$17),31),F89/F88-1,F89/F85-1)))))</f>
        <v/>
      </c>
      <c r="H89" s="19"/>
      <c r="I89" s="19"/>
      <c r="K89" s="51" t="str">
        <f>IF(INDEX(Lookups!$I$127:$I$141,MATCH(DNSP,Lookups!$G$127:$G$141))="Vic",INDEX(Lookups!$L$54:$L$80,MATCH(EDATE(C89,18),Lookups!$H$54:$H$80)),INDEX(Lookups!$I$54:$I$80,MATCH(EDATE(C89,18),Lookups!$H$54:$H$80)))</f>
        <v>2036–37</v>
      </c>
      <c r="S89" s="46"/>
    </row>
    <row r="90" spans="1:30" hidden="1" outlineLevel="1" x14ac:dyDescent="0.2">
      <c r="C90" s="25">
        <v>50040</v>
      </c>
      <c r="E90" s="19"/>
      <c r="F90" s="404"/>
      <c r="G90" s="26" t="str">
        <f>IF(MATCH(C90,$C$54:$C$94,0)&lt;=4,"",IF(AND(C90&gt;=IF(INDEX(Lookups!$I$127:$I$141,MATCH(DNSP,Lookups!$G$127:$G$141,0))="Vic",(INDEX(Lookups!$K$54:$K$80,MATCH(currentyear,Lookups!$L$54:$L$80,0))),(INDEX(Lookups!$H$54:$H$80,MATCH(currentyear,Lookups!$I$54:$I$80,0)))),C90&lt;=Lookups!$H$88),General!$F$19,IF(ISBLANK(F90),"",IF(AND(INDEX(Lookups!$I$127:$I$141,MATCH(DNSP,Lookups!$G$127:$G$141,0))="Vic",K90="HY21"),F90/F88-1,IF(C90&gt;DATE(Lookups!$G$57,MONTH($F$17),31),F90/F89-1,F90/F86-1)))))</f>
        <v/>
      </c>
      <c r="H90" s="19"/>
      <c r="I90" s="19"/>
      <c r="K90" s="51" t="str">
        <f>IF(INDEX(Lookups!$I$127:$I$141,MATCH(DNSP,Lookups!$G$127:$G$141))="Vic",INDEX(Lookups!$L$54:$L$80,MATCH(EDATE(C90,18),Lookups!$H$54:$H$80)),INDEX(Lookups!$I$54:$I$80,MATCH(EDATE(C90,18),Lookups!$H$54:$H$80)))</f>
        <v>2037–38</v>
      </c>
      <c r="S90" s="46"/>
    </row>
    <row r="91" spans="1:30" hidden="1" outlineLevel="1" x14ac:dyDescent="0.2">
      <c r="C91" s="25">
        <v>50405</v>
      </c>
      <c r="E91" s="19"/>
      <c r="F91" s="404"/>
      <c r="G91" s="26" t="str">
        <f>IF(MATCH(C91,$C$54:$C$94,0)&lt;=4,"",IF(AND(C91&gt;=IF(INDEX(Lookups!$I$127:$I$141,MATCH(DNSP,Lookups!$G$127:$G$141,0))="Vic",(INDEX(Lookups!$K$54:$K$80,MATCH(currentyear,Lookups!$L$54:$L$80,0))),(INDEX(Lookups!$H$54:$H$80,MATCH(currentyear,Lookups!$I$54:$I$80,0)))),C91&lt;=Lookups!$H$88),General!$F$19,IF(ISBLANK(F91),"",IF(AND(INDEX(Lookups!$I$127:$I$141,MATCH(DNSP,Lookups!$G$127:$G$141,0))="Vic",K91="HY21"),F91/F89-1,IF(C91&gt;DATE(Lookups!$G$57,MONTH($F$17),31),F91/F90-1,F91/F87-1)))))</f>
        <v/>
      </c>
      <c r="H91" s="19"/>
      <c r="I91" s="19"/>
      <c r="K91" s="51" t="str">
        <f>IF(INDEX(Lookups!$I$127:$I$141,MATCH(DNSP,Lookups!$G$127:$G$141))="Vic",INDEX(Lookups!$L$54:$L$80,MATCH(EDATE(C91,18),Lookups!$H$54:$H$80)),INDEX(Lookups!$I$54:$I$80,MATCH(EDATE(C91,18),Lookups!$H$54:$H$80)))</f>
        <v>2038–39</v>
      </c>
      <c r="S91" s="46"/>
    </row>
    <row r="92" spans="1:30" hidden="1" outlineLevel="1" x14ac:dyDescent="0.2">
      <c r="C92" s="25">
        <v>50770</v>
      </c>
      <c r="E92" s="19"/>
      <c r="F92" s="404"/>
      <c r="G92" s="26" t="str">
        <f>IF(MATCH(C92,$C$54:$C$94,0)&lt;=4,"",IF(AND(C92&gt;=IF(INDEX(Lookups!$I$127:$I$141,MATCH(DNSP,Lookups!$G$127:$G$141,0))="Vic",(INDEX(Lookups!$K$54:$K$80,MATCH(currentyear,Lookups!$L$54:$L$80,0))),(INDEX(Lookups!$H$54:$H$80,MATCH(currentyear,Lookups!$I$54:$I$80,0)))),C92&lt;=Lookups!$H$88),General!$F$19,IF(ISBLANK(F92),"",IF(AND(INDEX(Lookups!$I$127:$I$141,MATCH(DNSP,Lookups!$G$127:$G$141,0))="Vic",K92="HY21"),F92/F90-1,IF(C92&gt;DATE(Lookups!$G$57,MONTH($F$17),31),F92/F91-1,F92/F88-1)))))</f>
        <v/>
      </c>
      <c r="H92" s="19"/>
      <c r="I92" s="19"/>
      <c r="K92" s="51" t="str">
        <f>IF(INDEX(Lookups!$I$127:$I$141,MATCH(DNSP,Lookups!$G$127:$G$141))="Vic",INDEX(Lookups!$L$54:$L$80,MATCH(EDATE(C92,18),Lookups!$H$54:$H$80)),INDEX(Lookups!$I$54:$I$80,MATCH(EDATE(C92,18),Lookups!$H$54:$H$80)))</f>
        <v>2039–40</v>
      </c>
      <c r="S92" s="46"/>
    </row>
    <row r="93" spans="1:30" hidden="1" outlineLevel="1" x14ac:dyDescent="0.2">
      <c r="C93" s="25">
        <v>51135</v>
      </c>
      <c r="E93" s="19"/>
      <c r="F93" s="404"/>
      <c r="G93" s="26" t="str">
        <f>IF(MATCH(C93,$C$54:$C$94,0)&lt;=4,"",IF(AND(C93&gt;=IF(INDEX(Lookups!$I$127:$I$141,MATCH(DNSP,Lookups!$G$127:$G$141,0))="Vic",(INDEX(Lookups!$K$54:$K$80,MATCH(currentyear,Lookups!$L$54:$L$80,0))),(INDEX(Lookups!$H$54:$H$80,MATCH(currentyear,Lookups!$I$54:$I$80,0)))),C93&lt;=Lookups!$H$88),General!$F$19,IF(ISBLANK(F93),"",IF(AND(INDEX(Lookups!$I$127:$I$141,MATCH(DNSP,Lookups!$G$127:$G$141,0))="Vic",K93="HY21"),F93/F91-1,IF(C93&gt;DATE(Lookups!$G$57,MONTH($F$17),31),F93/F92-1,F93/F89-1)))))</f>
        <v/>
      </c>
      <c r="H93" s="19"/>
      <c r="I93" s="19"/>
      <c r="K93" s="51" t="str">
        <f>IF(INDEX(Lookups!$I$127:$I$141,MATCH(DNSP,Lookups!$G$127:$G$141))="Vic",INDEX(Lookups!$L$54:$L$80,MATCH(EDATE(C93,18),Lookups!$H$54:$H$80)),INDEX(Lookups!$I$54:$I$80,MATCH(EDATE(C93,18),Lookups!$H$54:$H$80)))</f>
        <v>2040–41</v>
      </c>
      <c r="S93" s="46"/>
    </row>
    <row r="94" spans="1:30" hidden="1" outlineLevel="1" x14ac:dyDescent="0.2">
      <c r="C94" s="25">
        <v>51501</v>
      </c>
      <c r="E94" s="19"/>
      <c r="F94" s="404"/>
      <c r="G94" s="26" t="str">
        <f>IF(MATCH(C94,$C$54:$C$94,0)&lt;=4,"",IF(AND(C94&gt;=IF(INDEX(Lookups!$I$127:$I$141,MATCH(DNSP,Lookups!$G$127:$G$141,0))="Vic",(INDEX(Lookups!$K$54:$K$80,MATCH(currentyear,Lookups!$L$54:$L$80,0))),(INDEX(Lookups!$H$54:$H$80,MATCH(currentyear,Lookups!$I$54:$I$80,0)))),C94&lt;=Lookups!$H$88),General!$F$19,IF(ISBLANK(F94),"",IF(AND(INDEX(Lookups!$I$127:$I$141,MATCH(DNSP,Lookups!$G$127:$G$141,0))="Vic",K94="HY21"),F94/F92-1,IF(C94&gt;DATE(Lookups!$G$57,MONTH($F$17),31),F94/F93-1,F94/F90-1)))))</f>
        <v/>
      </c>
      <c r="H94" s="19"/>
      <c r="I94" s="19"/>
      <c r="K94" s="51" t="str">
        <f>IF(INDEX(Lookups!$I$127:$I$141,MATCH(DNSP,Lookups!$G$127:$G$141))="Vic",INDEX(Lookups!$L$54:$L$80,MATCH(EDATE(C94,18),Lookups!$H$54:$H$80)),INDEX(Lookups!$I$54:$I$80,MATCH(EDATE(C94,18),Lookups!$H$54:$H$80)))</f>
        <v>2041–42</v>
      </c>
      <c r="S94" s="46"/>
    </row>
    <row r="95" spans="1:30" collapsed="1" x14ac:dyDescent="0.2">
      <c r="D95" s="19"/>
      <c r="E95" s="19"/>
      <c r="F95" s="19"/>
      <c r="G95" s="19"/>
      <c r="H95" s="19"/>
      <c r="I95" s="19"/>
    </row>
    <row r="96" spans="1:30" s="18" customFormat="1" ht="12.75" x14ac:dyDescent="0.2">
      <c r="A96" s="11"/>
      <c r="B96" s="12" t="s">
        <v>8</v>
      </c>
      <c r="C96" s="11"/>
      <c r="D96" s="11"/>
      <c r="E96" s="11"/>
      <c r="F96" s="13"/>
      <c r="G96" s="13"/>
      <c r="H96" s="13"/>
      <c r="I96" s="13"/>
      <c r="J96" s="14"/>
      <c r="K96" s="15"/>
      <c r="L96" s="14"/>
      <c r="M96" s="15"/>
      <c r="N96" s="14"/>
      <c r="O96" s="14"/>
      <c r="P96" s="14"/>
      <c r="Q96" s="14"/>
      <c r="R96" s="14"/>
      <c r="S96" s="14"/>
      <c r="T96" s="14"/>
      <c r="U96" s="14"/>
      <c r="V96" s="15"/>
      <c r="W96" s="15"/>
      <c r="X96" s="16"/>
      <c r="Y96" s="16"/>
      <c r="Z96" s="16"/>
      <c r="AA96" s="16"/>
      <c r="AB96" s="16"/>
      <c r="AC96" s="17"/>
      <c r="AD96" s="17"/>
    </row>
    <row r="97" spans="7:8" hidden="1" x14ac:dyDescent="0.2">
      <c r="G97" s="22"/>
      <c r="H97" s="22"/>
    </row>
    <row r="98" spans="7:8" hidden="1" x14ac:dyDescent="0.2">
      <c r="G98" s="22"/>
      <c r="H98" s="22"/>
    </row>
    <row r="99" spans="7:8" hidden="1" x14ac:dyDescent="0.2">
      <c r="G99" s="22"/>
      <c r="H99" s="22"/>
    </row>
    <row r="100" spans="7:8" hidden="1" x14ac:dyDescent="0.2">
      <c r="G100" s="22"/>
      <c r="H100" s="22"/>
    </row>
    <row r="101" spans="7:8" hidden="1" x14ac:dyDescent="0.2">
      <c r="G101" s="22"/>
      <c r="H101" s="22"/>
    </row>
    <row r="102" spans="7:8" hidden="1" x14ac:dyDescent="0.2">
      <c r="G102" s="22"/>
      <c r="H102" s="22"/>
    </row>
    <row r="103" spans="7:8" hidden="1" x14ac:dyDescent="0.2">
      <c r="G103" s="22"/>
      <c r="H103" s="22"/>
    </row>
    <row r="104" spans="7:8" hidden="1" x14ac:dyDescent="0.2">
      <c r="G104" s="22"/>
      <c r="H104" s="22"/>
    </row>
    <row r="105" spans="7:8" hidden="1" x14ac:dyDescent="0.2">
      <c r="G105" s="22"/>
      <c r="H105" s="22"/>
    </row>
    <row r="106" spans="7:8" hidden="1" x14ac:dyDescent="0.2">
      <c r="G106" s="22"/>
      <c r="H106" s="22"/>
    </row>
  </sheetData>
  <sheetProtection formatColumns="0" formatRows="0"/>
  <dataConsolidate/>
  <dataValidations count="5">
    <dataValidation type="list" allowBlank="1" showInputMessage="1" showErrorMessage="1" sqref="I14:I47 I49:I53 I75:I95" xr:uid="{00000000-0002-0000-0900-000000000000}">
      <formula1>#REF!</formula1>
    </dataValidation>
    <dataValidation type="list" allowBlank="1" showInputMessage="1" showErrorMessage="1" sqref="F95" xr:uid="{00000000-0002-0000-0900-000001000000}">
      <formula1>"Real 2010,Real 2011,Real 2012,Real 2013,Real 2014,Real 2015,Nominal"</formula1>
    </dataValidation>
    <dataValidation type="list" allowBlank="1" showInputMessage="1" showErrorMessage="1" sqref="F29" xr:uid="{00000000-0002-0000-0900-000002000000}">
      <formula1>"Incremental,Alternate"</formula1>
    </dataValidation>
    <dataValidation type="list" allowBlank="1" showInputMessage="1" showErrorMessage="1" sqref="F35" xr:uid="{00000000-0002-0000-0900-000003000000}">
      <formula1>"Customers,Fixed charges"</formula1>
    </dataValidation>
    <dataValidation type="list" allowBlank="1" showInputMessage="1" showErrorMessage="1" sqref="F39" xr:uid="{00000000-0002-0000-0900-000004000000}">
      <formula1>"Forecast,Actual"</formula1>
    </dataValidation>
  </dataValidations>
  <hyperlinks>
    <hyperlink ref="G1" location="'Pricing model'!A51" display="Back to Index" xr:uid="{00000000-0004-0000-0900-000000000000}"/>
  </hyperlinks>
  <pageMargins left="0.7" right="0.7" top="0.75" bottom="0.75" header="0.3" footer="0.3"/>
  <pageSetup paperSize="9" orientation="portrait" verticalDpi="4" r:id="rId1"/>
  <ignoredErrors>
    <ignoredError sqref="F20 F15" unlockedFormula="1"/>
    <ignoredError sqref="G73" formula="1"/>
  </ignoredError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900-000005000000}">
          <x14:formula1>
            <xm:f>Lookups!$G$38:$G$49</xm:f>
          </x14:formula1>
          <xm:sqref>F9 F17:F18</xm:sqref>
        </x14:dataValidation>
        <x14:dataValidation type="list" allowBlank="1" showInputMessage="1" showErrorMessage="1" xr:uid="{00000000-0002-0000-0900-000006000000}">
          <x14:formula1>
            <xm:f>Lookups!$G$127:$G$141</xm:f>
          </x14:formula1>
          <xm:sqref>F8</xm:sqref>
        </x14:dataValidation>
        <x14:dataValidation type="list" allowBlank="1" showInputMessage="1" showErrorMessage="1" xr:uid="{00000000-0002-0000-0900-000007000000}">
          <x14:formula1>
            <xm:f>Lookups!$I$58:$I$68</xm:f>
          </x14:formula1>
          <xm:sqref>F10</xm:sqref>
        </x14:dataValidation>
        <x14:dataValidation type="list" allowBlank="1" showInputMessage="1" showErrorMessage="1" xr:uid="{00000000-0002-0000-0900-000008000000}">
          <x14:formula1>
            <xm:f>Lookups!$I$58:$I$80</xm:f>
          </x14:formula1>
          <xm:sqref>F14</xm:sqref>
        </x14:dataValidation>
        <x14:dataValidation type="list" allowBlank="1" showInputMessage="1" showErrorMessage="1" xr:uid="{00000000-0002-0000-0900-000009000000}">
          <x14:formula1>
            <xm:f>Lookups!$G$8:$G$29</xm:f>
          </x14:formula1>
          <xm:sqref>F30:F31</xm:sqref>
        </x14:dataValidation>
        <x14:dataValidation type="list" allowBlank="1" showInputMessage="1" showErrorMessage="1" xr:uid="{00000000-0002-0000-0900-00000A000000}">
          <x14:formula1>
            <xm:f>Lookups!$G$8:$G$30</xm:f>
          </x14:formula1>
          <xm:sqref>F32:F33 F36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>
    <tabColor theme="4" tint="0.79998168889431442"/>
  </sheetPr>
  <dimension ref="A1:XEM121"/>
  <sheetViews>
    <sheetView showGridLines="0" zoomScaleNormal="100" workbookViewId="0">
      <pane xSplit="5" ySplit="5" topLeftCell="L6" activePane="bottomRight" state="frozen"/>
      <selection pane="topRight" activeCell="F1" sqref="F1"/>
      <selection pane="bottomLeft" activeCell="A6" sqref="A6"/>
      <selection pane="bottomRight" activeCell="O53" sqref="O53:O54"/>
    </sheetView>
  </sheetViews>
  <sheetFormatPr defaultColWidth="0" defaultRowHeight="11.25" zeroHeight="1" outlineLevelRow="2" x14ac:dyDescent="0.2"/>
  <cols>
    <col min="1" max="2" width="1.42578125" style="18" customWidth="1"/>
    <col min="3" max="3" width="42.7109375" style="18" bestFit="1" customWidth="1"/>
    <col min="4" max="6" width="11.42578125" style="18" customWidth="1"/>
    <col min="7" max="9" width="2.85546875" style="18" customWidth="1"/>
    <col min="10" max="23" width="9.28515625" style="18" customWidth="1"/>
    <col min="24" max="25" width="8" style="18" customWidth="1"/>
    <col min="26" max="16367" width="8" style="18" hidden="1"/>
    <col min="16368" max="16384" width="3.28515625" style="18" hidden="1"/>
  </cols>
  <sheetData>
    <row r="1" spans="1:24" ht="15.75" x14ac:dyDescent="0.25">
      <c r="A1" s="1"/>
      <c r="B1" s="2" t="str">
        <f>'Inputs&gt;&gt;'!B1</f>
        <v>AER pricing model - TasNetworks 2022–23</v>
      </c>
      <c r="C1" s="2"/>
      <c r="D1" s="2"/>
      <c r="E1" s="2"/>
      <c r="F1" s="3"/>
      <c r="G1" s="3"/>
      <c r="H1" s="3"/>
      <c r="I1" s="3"/>
      <c r="J1" s="160" t="s">
        <v>0</v>
      </c>
      <c r="K1" s="1"/>
      <c r="L1" s="111"/>
      <c r="M1" s="112"/>
      <c r="N1" s="112"/>
      <c r="O1" s="51"/>
      <c r="R1" s="111"/>
      <c r="S1" s="113"/>
      <c r="U1" s="114"/>
      <c r="V1" s="113"/>
    </row>
    <row r="2" spans="1:24" ht="13.5" thickBot="1" x14ac:dyDescent="0.25">
      <c r="A2" s="6"/>
      <c r="B2" s="7" t="str">
        <f>'Inputs&gt;&gt;'!C8</f>
        <v>Financial</v>
      </c>
      <c r="C2" s="7"/>
      <c r="D2" s="7"/>
      <c r="E2" s="7"/>
      <c r="F2" s="8"/>
      <c r="G2" s="8"/>
      <c r="H2" s="8"/>
      <c r="I2" s="8"/>
      <c r="J2" s="6"/>
      <c r="K2" s="6"/>
      <c r="R2" s="289"/>
      <c r="S2" s="115"/>
      <c r="T2" s="115"/>
      <c r="U2" s="115"/>
      <c r="V2" s="115"/>
      <c r="W2" s="115"/>
    </row>
    <row r="3" spans="1:24" x14ac:dyDescent="0.2">
      <c r="A3" s="27"/>
      <c r="B3" s="296" t="str">
        <f>'Inputs&gt;&gt;'!D8</f>
        <v>Inputs the WACC, x-factors, allowed revenues, and annual adjustments</v>
      </c>
      <c r="C3" s="27"/>
      <c r="D3" s="28"/>
      <c r="E3" s="28"/>
      <c r="F3" s="28"/>
      <c r="G3" s="28"/>
      <c r="H3" s="28"/>
      <c r="I3" s="28"/>
      <c r="J3" s="29"/>
      <c r="K3" s="30"/>
      <c r="L3" s="287"/>
      <c r="M3" s="287"/>
      <c r="N3" s="287"/>
      <c r="O3" s="287"/>
      <c r="P3" s="287"/>
      <c r="Q3" s="287"/>
      <c r="R3" s="287"/>
      <c r="S3" s="30"/>
      <c r="T3" s="31"/>
      <c r="U3" s="31"/>
      <c r="V3" s="31"/>
      <c r="W3" s="31"/>
    </row>
    <row r="4" spans="1:24" x14ac:dyDescent="0.2">
      <c r="A4" s="9"/>
      <c r="B4" s="9"/>
      <c r="C4" s="9"/>
      <c r="D4" s="10"/>
      <c r="E4" s="10"/>
      <c r="F4" s="10"/>
      <c r="G4" s="10"/>
      <c r="H4" s="10"/>
      <c r="I4" s="10"/>
      <c r="J4" s="50"/>
      <c r="K4" s="50"/>
      <c r="L4" s="288"/>
      <c r="M4" s="288"/>
      <c r="N4" s="288"/>
      <c r="O4" s="288"/>
      <c r="P4" s="288"/>
      <c r="Q4" s="288"/>
      <c r="R4" s="290"/>
      <c r="S4" s="9"/>
      <c r="T4" s="9"/>
      <c r="U4" s="9"/>
      <c r="V4" s="9"/>
      <c r="W4" s="9"/>
      <c r="X4" s="9"/>
    </row>
    <row r="5" spans="1:24" ht="12.75" x14ac:dyDescent="0.2">
      <c r="A5" s="11"/>
      <c r="B5" s="12" t="s">
        <v>110</v>
      </c>
      <c r="C5" s="11"/>
      <c r="D5" s="32" t="s">
        <v>3</v>
      </c>
      <c r="E5" s="32" t="s">
        <v>11</v>
      </c>
      <c r="F5" s="33"/>
      <c r="G5" s="34"/>
      <c r="H5" s="34"/>
      <c r="I5" s="34"/>
      <c r="J5" s="33" t="str" cm="1">
        <f t="array" ref="J5">IF(INDEX(Lookups!I127:I141,MATCH(DNSP,Lookups!G127:G141,0))="Vic",
INDEX(Lookups!L54:L80,MATCH(M5,Lookups!I54:I80,0)-3),
INDEX(Lookups!I54:I80,MATCH(M5,Lookups!I54:I80,0)-3))</f>
        <v>2016–17</v>
      </c>
      <c r="K5" s="33" t="str" cm="1">
        <f t="array" ref="K5">IF(INDEX(Lookups!I127:I141,MATCH(DNSP,Lookups!G127:G141,0))="Vic",
INDEX(Lookups!L54:L80,MATCH(M5,Lookups!I54:I80,0)-2),
INDEX(Lookups!I54:I80,MATCH(M5,Lookups!I54:I80,0)-2))</f>
        <v>2017–18</v>
      </c>
      <c r="L5" s="33" t="str" cm="1">
        <f t="array" ref="L5">IF(INDEX(Lookups!I127:I141,MATCH(DNSP,Lookups!G127:G141,0))="Vic",
INDEX(Lookups!L54:L80,MATCH(M5,Lookups!I54:I80,0)-1),
INDEX(Lookups!I54:I80,MATCH(M5,Lookups!I54:I80,0)-1))</f>
        <v>2018–19</v>
      </c>
      <c r="M5" s="35" t="str">
        <f>RCP_firstyear</f>
        <v>2019–20</v>
      </c>
      <c r="N5" s="35" t="str">
        <f>RCP_secondyear</f>
        <v>2020–21</v>
      </c>
      <c r="O5" s="35" t="str">
        <f>RCP_thirdyear</f>
        <v>2021–22</v>
      </c>
      <c r="P5" s="35" t="str">
        <f>RCP_fourthyear</f>
        <v>2022–23</v>
      </c>
      <c r="Q5" s="35" t="str">
        <f>RCP_lastyear</f>
        <v>2023–24</v>
      </c>
      <c r="R5" s="14" t="s">
        <v>14</v>
      </c>
      <c r="S5" s="14"/>
      <c r="T5" s="15"/>
      <c r="U5" s="15"/>
      <c r="V5" s="15"/>
      <c r="W5" s="15"/>
      <c r="X5" s="15"/>
    </row>
    <row r="6" spans="1:24" x14ac:dyDescent="0.2">
      <c r="A6" s="19"/>
      <c r="B6" s="19"/>
      <c r="C6" s="36"/>
      <c r="D6" s="20"/>
      <c r="E6" s="20"/>
      <c r="F6" s="22"/>
      <c r="G6" s="22"/>
      <c r="H6" s="22"/>
      <c r="I6" s="20"/>
      <c r="J6" s="20"/>
      <c r="K6" s="20"/>
      <c r="L6" s="20"/>
      <c r="M6" s="37"/>
      <c r="N6" s="37"/>
      <c r="O6" s="37"/>
      <c r="P6" s="37"/>
      <c r="Q6" s="37"/>
      <c r="R6" s="19"/>
      <c r="S6" s="19"/>
      <c r="T6" s="19"/>
      <c r="U6" s="19"/>
      <c r="V6" s="19"/>
      <c r="W6" s="19"/>
      <c r="X6" s="19"/>
    </row>
    <row r="7" spans="1:24" x14ac:dyDescent="0.2">
      <c r="A7" s="19"/>
      <c r="B7" s="19"/>
      <c r="C7" s="367" t="s">
        <v>100</v>
      </c>
      <c r="D7" s="20" t="s">
        <v>103</v>
      </c>
      <c r="E7" s="526" t="s">
        <v>19</v>
      </c>
      <c r="F7" s="22"/>
      <c r="G7" s="22"/>
      <c r="H7" s="22"/>
      <c r="I7" s="20"/>
      <c r="J7" s="407">
        <v>6.4819926199261579E-2</v>
      </c>
      <c r="K7" s="407">
        <v>3.4825089898214492E-2</v>
      </c>
      <c r="L7" s="407">
        <v>3.4505789792495328E-2</v>
      </c>
      <c r="M7" s="408">
        <v>2.7916820608240925E-2</v>
      </c>
      <c r="N7" s="408">
        <v>2.6403971429877649E-2</v>
      </c>
      <c r="O7" s="408">
        <v>2.4818673990555418E-2</v>
      </c>
      <c r="P7" s="408">
        <v>2.4176463172639818E-2</v>
      </c>
      <c r="Q7" s="408"/>
      <c r="R7" s="19"/>
      <c r="S7" s="19"/>
      <c r="T7" s="19"/>
      <c r="U7" s="19"/>
      <c r="V7" s="19"/>
      <c r="W7" s="19"/>
      <c r="X7" s="19"/>
    </row>
    <row r="8" spans="1:24" x14ac:dyDescent="0.2">
      <c r="A8" s="19"/>
      <c r="B8" s="19"/>
      <c r="C8" s="367" t="s">
        <v>89</v>
      </c>
      <c r="D8" s="20" t="s">
        <v>106</v>
      </c>
      <c r="E8" s="526" t="s">
        <v>19</v>
      </c>
      <c r="F8" s="22"/>
      <c r="G8" s="22"/>
      <c r="H8" s="22"/>
      <c r="I8" s="20"/>
      <c r="J8" s="409">
        <f>INDEX(General!$G$54:$G$94,MATCH(Financial!J5,General!$K$54:$K$94,0))</f>
        <v>1.6885553470919357E-2</v>
      </c>
      <c r="K8" s="409">
        <f>INDEX(General!$G$54:$G$94,MATCH(Financial!K5,General!$K$54:$K$94,0))</f>
        <v>1.4760147601476037E-2</v>
      </c>
      <c r="L8" s="409">
        <f>INDEX(General!$G$54:$G$94,MATCH(Financial!L5,General!$K$54:$K$94,0))</f>
        <v>1.9090909090909047E-2</v>
      </c>
      <c r="M8" s="409">
        <f>INDEX(General!$G$54:$G$94,MATCH(Financial!M5,General!$K$54:$K$94,0))</f>
        <v>1.7841213202497874E-2</v>
      </c>
      <c r="N8" s="409">
        <f>INDEX(General!$G$54:$G$94,MATCH(Financial!N5,General!$K$54:$K$94,0))</f>
        <v>1.8404907975460238E-2</v>
      </c>
      <c r="O8" s="409">
        <f>INDEX(General!$G$54:$G$94,MATCH(Financial!O5,General!$K$54:$K$94,0))</f>
        <v>8.6058519793459354E-3</v>
      </c>
      <c r="P8" s="409">
        <f>INDEX(General!$G$54:$G$94,MATCH(Financial!P5,General!$K$54:$K$94,0))</f>
        <v>3.4982935153583528E-2</v>
      </c>
      <c r="Q8" s="409">
        <f>INDEX(General!$G$54:$G$94,MATCH(Financial!Q5,General!$K$54:$K$94,0))</f>
        <v>2.4248746575396697E-2</v>
      </c>
      <c r="R8" s="19"/>
      <c r="S8" s="19"/>
      <c r="T8" s="19"/>
      <c r="U8" s="19"/>
      <c r="V8" s="19"/>
      <c r="W8" s="19"/>
      <c r="X8" s="19"/>
    </row>
    <row r="9" spans="1:24" x14ac:dyDescent="0.2">
      <c r="A9" s="19"/>
      <c r="B9" s="19"/>
      <c r="C9" s="367" t="s">
        <v>104</v>
      </c>
      <c r="D9" s="20" t="s">
        <v>105</v>
      </c>
      <c r="E9" s="526" t="s">
        <v>19</v>
      </c>
      <c r="F9" s="22"/>
      <c r="G9" s="22"/>
      <c r="H9" s="22"/>
      <c r="I9" s="20"/>
      <c r="J9" s="409">
        <f>((1+J7)*(1+J8)-1)</f>
        <v>8.2799999999999763E-2</v>
      </c>
      <c r="K9" s="409">
        <f t="shared" ref="K9:Q9" si="0">((1+K7)*(1+K8)-1)</f>
        <v>5.0099260966822934E-2</v>
      </c>
      <c r="L9" s="409">
        <f t="shared" si="0"/>
        <v>5.4255445779443079E-2</v>
      </c>
      <c r="M9" s="409">
        <f t="shared" si="0"/>
        <v>4.6256103759146461E-2</v>
      </c>
      <c r="N9" s="409">
        <f t="shared" si="0"/>
        <v>4.5294842069691477E-2</v>
      </c>
      <c r="O9" s="409">
        <f t="shared" si="0"/>
        <v>3.3638111804587645E-2</v>
      </c>
      <c r="P9" s="409">
        <f t="shared" si="0"/>
        <v>6.0005161969634679E-2</v>
      </c>
      <c r="Q9" s="409">
        <f t="shared" si="0"/>
        <v>2.4248746575396662E-2</v>
      </c>
      <c r="R9" s="19"/>
      <c r="S9" s="19"/>
      <c r="T9" s="19"/>
      <c r="U9" s="19"/>
      <c r="V9" s="19"/>
      <c r="W9" s="19"/>
      <c r="X9" s="19"/>
    </row>
    <row r="10" spans="1:24" x14ac:dyDescent="0.2">
      <c r="A10" s="19"/>
      <c r="B10" s="19"/>
      <c r="C10" s="367" t="s">
        <v>575</v>
      </c>
      <c r="D10" s="20" t="s">
        <v>103</v>
      </c>
      <c r="E10" s="526" t="s">
        <v>19</v>
      </c>
      <c r="F10" s="22"/>
      <c r="G10" s="22"/>
      <c r="H10" s="22"/>
      <c r="I10" s="20"/>
      <c r="J10" s="407"/>
      <c r="K10" s="585"/>
      <c r="L10" s="407">
        <v>2.2760949642359751E-3</v>
      </c>
      <c r="M10" s="410"/>
      <c r="N10" s="408">
        <v>-1.4130548336114239E-2</v>
      </c>
      <c r="O10" s="408">
        <v>-1.0875956896914439E-2</v>
      </c>
      <c r="P10" s="408">
        <v>-8.2127024447308968E-3</v>
      </c>
      <c r="Q10" s="408"/>
      <c r="R10" s="19"/>
      <c r="S10" s="19"/>
      <c r="T10" s="19"/>
      <c r="U10" s="19"/>
      <c r="V10" s="19"/>
      <c r="W10" s="19"/>
      <c r="X10" s="19"/>
    </row>
    <row r="11" spans="1:24" x14ac:dyDescent="0.2">
      <c r="A11" s="19"/>
      <c r="B11" s="19"/>
      <c r="C11" s="367" t="s">
        <v>102</v>
      </c>
      <c r="D11" s="20" t="s">
        <v>103</v>
      </c>
      <c r="E11" s="458" t="str">
        <f>IF(C11=0,0,revenueunits)</f>
        <v>$millions</v>
      </c>
      <c r="F11" s="22"/>
      <c r="G11" s="22"/>
      <c r="H11" s="22"/>
      <c r="I11" s="20"/>
      <c r="J11" s="422"/>
      <c r="K11" s="425">
        <v>235.78300069180688</v>
      </c>
      <c r="L11" s="425">
        <v>241.00961243025361</v>
      </c>
      <c r="M11" s="423">
        <v>235.36056146627897</v>
      </c>
      <c r="N11" s="423">
        <v>244.47417971113808</v>
      </c>
      <c r="O11" s="423">
        <v>253.12573754545227</v>
      </c>
      <c r="P11" s="423">
        <v>261.39297518910541</v>
      </c>
      <c r="Q11" s="423"/>
      <c r="R11" s="19"/>
      <c r="S11" s="19"/>
      <c r="T11" s="19"/>
      <c r="U11" s="19"/>
      <c r="V11" s="19"/>
      <c r="W11" s="19"/>
      <c r="X11" s="19"/>
    </row>
    <row r="12" spans="1:24" x14ac:dyDescent="0.2">
      <c r="A12" s="19"/>
      <c r="B12" s="19"/>
      <c r="C12" s="367"/>
      <c r="D12" s="20"/>
      <c r="E12" s="458">
        <f>IF(C12=0,0,revenueunits)</f>
        <v>0</v>
      </c>
      <c r="F12" s="22"/>
      <c r="G12" s="22"/>
      <c r="H12" s="22"/>
      <c r="I12" s="20"/>
      <c r="J12" s="20"/>
      <c r="K12" s="20"/>
      <c r="L12" s="20"/>
      <c r="M12" s="411"/>
      <c r="N12" s="411"/>
      <c r="O12" s="411"/>
      <c r="P12" s="595"/>
      <c r="Q12" s="411"/>
      <c r="R12" s="19"/>
      <c r="S12" s="19"/>
      <c r="T12" s="19"/>
      <c r="U12" s="19"/>
      <c r="V12" s="19"/>
      <c r="W12" s="19"/>
      <c r="X12" s="19"/>
    </row>
    <row r="13" spans="1:24" x14ac:dyDescent="0.2">
      <c r="A13" s="19"/>
      <c r="B13" s="19"/>
      <c r="C13" s="19"/>
      <c r="D13" s="20"/>
      <c r="E13" s="20"/>
      <c r="F13" s="22"/>
      <c r="G13" s="22"/>
      <c r="H13" s="22"/>
      <c r="I13" s="20"/>
      <c r="J13" s="20"/>
      <c r="K13" s="20"/>
      <c r="L13" s="20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</row>
    <row r="14" spans="1:24" ht="12.75" x14ac:dyDescent="0.2">
      <c r="A14" s="11"/>
      <c r="B14" s="12" t="s">
        <v>111</v>
      </c>
      <c r="C14" s="11"/>
      <c r="D14" s="32" t="str">
        <f>D5</f>
        <v>Source</v>
      </c>
      <c r="E14" s="32" t="str">
        <f>E5</f>
        <v>Unit</v>
      </c>
      <c r="F14" s="33"/>
      <c r="G14" s="34"/>
      <c r="H14" s="34"/>
      <c r="I14" s="34"/>
      <c r="J14" s="33" t="str">
        <f>RCPminus3</f>
        <v>2016–17</v>
      </c>
      <c r="K14" s="33" t="str">
        <f>RCPminus2</f>
        <v>2017–18</v>
      </c>
      <c r="L14" s="33" t="str">
        <f>RCPminus1</f>
        <v>2018–19</v>
      </c>
      <c r="M14" s="35" t="str">
        <f>RCP_firstyear</f>
        <v>2019–20</v>
      </c>
      <c r="N14" s="35" t="str">
        <f>RCP_secondyear</f>
        <v>2020–21</v>
      </c>
      <c r="O14" s="35" t="str">
        <f>RCP_thirdyear</f>
        <v>2021–22</v>
      </c>
      <c r="P14" s="35" t="str">
        <f>RCP_fourthyear</f>
        <v>2022–23</v>
      </c>
      <c r="Q14" s="35" t="str">
        <f>RCP_lastyear</f>
        <v>2023–24</v>
      </c>
      <c r="R14" s="14" t="s">
        <v>14</v>
      </c>
      <c r="S14" s="14"/>
      <c r="T14" s="15"/>
      <c r="U14" s="15"/>
      <c r="V14" s="15"/>
      <c r="W14" s="15"/>
      <c r="X14" s="15"/>
    </row>
    <row r="15" spans="1:24" x14ac:dyDescent="0.2">
      <c r="A15" s="19"/>
      <c r="B15" s="19"/>
      <c r="C15" s="19"/>
      <c r="D15" s="20"/>
      <c r="E15" s="20"/>
      <c r="F15" s="20"/>
      <c r="G15" s="20"/>
      <c r="H15" s="20"/>
      <c r="I15" s="20"/>
      <c r="J15" s="20"/>
      <c r="K15" s="20"/>
      <c r="L15" s="20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</row>
    <row r="16" spans="1:24" x14ac:dyDescent="0.2">
      <c r="A16" s="19"/>
      <c r="B16" s="19"/>
      <c r="C16" s="412" t="s">
        <v>112</v>
      </c>
      <c r="D16" s="20" t="s">
        <v>6</v>
      </c>
      <c r="E16" s="527" t="s">
        <v>19</v>
      </c>
      <c r="F16" s="20"/>
      <c r="G16" s="22"/>
      <c r="H16" s="22"/>
      <c r="I16" s="20"/>
      <c r="J16" s="407"/>
      <c r="K16" s="407">
        <v>8.4000000000000012E-3</v>
      </c>
      <c r="L16" s="407">
        <v>3.3668058131308465E-2</v>
      </c>
      <c r="M16" s="413">
        <v>7.1210477177840702E-3</v>
      </c>
      <c r="N16" s="413">
        <v>2.4363429288367655E-3</v>
      </c>
      <c r="O16" s="413">
        <v>1.6328688179711337E-2</v>
      </c>
      <c r="P16" s="413">
        <v>-6.9560159287476164E-3</v>
      </c>
      <c r="Q16" s="413"/>
      <c r="R16" s="19" t="s">
        <v>228</v>
      </c>
      <c r="S16" s="19"/>
      <c r="T16" s="19"/>
      <c r="U16" s="19"/>
      <c r="V16" s="19"/>
      <c r="W16" s="19"/>
      <c r="X16" s="19"/>
    </row>
    <row r="17" spans="1:24" x14ac:dyDescent="0.2">
      <c r="A17" s="19"/>
      <c r="B17" s="19"/>
      <c r="C17" s="414"/>
      <c r="D17" s="20"/>
      <c r="E17" s="528"/>
      <c r="F17" s="20"/>
      <c r="G17" s="22"/>
      <c r="H17" s="22"/>
      <c r="I17" s="20"/>
      <c r="J17" s="94"/>
      <c r="K17" s="94"/>
      <c r="L17" s="94"/>
      <c r="M17" s="415"/>
      <c r="N17" s="415"/>
      <c r="O17" s="415"/>
      <c r="P17" s="415"/>
      <c r="Q17" s="415"/>
      <c r="R17" s="19"/>
      <c r="S17" s="19"/>
      <c r="T17" s="19"/>
      <c r="U17" s="19"/>
      <c r="V17" s="19"/>
      <c r="W17" s="19"/>
      <c r="X17" s="19"/>
    </row>
    <row r="18" spans="1:24" outlineLevel="1" x14ac:dyDescent="0.2">
      <c r="A18" s="19"/>
      <c r="B18" s="19"/>
      <c r="C18" s="412" t="s">
        <v>113</v>
      </c>
      <c r="D18" s="20" t="s">
        <v>6</v>
      </c>
      <c r="E18" s="458" t="str">
        <f t="shared" ref="E18:E24" si="1">IF(C18=0,0,revenueunits)</f>
        <v>$millions</v>
      </c>
      <c r="F18" s="20"/>
      <c r="G18" s="22"/>
      <c r="H18" s="22"/>
      <c r="I18" s="20"/>
      <c r="J18" s="425"/>
      <c r="K18" s="425"/>
      <c r="L18" s="425"/>
      <c r="M18" s="423"/>
      <c r="N18" s="423"/>
      <c r="O18" s="423"/>
      <c r="P18" s="423"/>
      <c r="Q18" s="423"/>
      <c r="R18" s="19" t="s">
        <v>229</v>
      </c>
      <c r="S18" s="19"/>
      <c r="T18" s="19"/>
      <c r="U18" s="19"/>
      <c r="V18" s="19"/>
      <c r="W18" s="19"/>
      <c r="X18" s="19"/>
    </row>
    <row r="19" spans="1:24" outlineLevel="1" x14ac:dyDescent="0.2">
      <c r="A19" s="19"/>
      <c r="B19" s="19"/>
      <c r="C19" s="412" t="s">
        <v>114</v>
      </c>
      <c r="D19" s="20" t="s">
        <v>6</v>
      </c>
      <c r="E19" s="458" t="str">
        <f t="shared" si="1"/>
        <v>$millions</v>
      </c>
      <c r="F19" s="20"/>
      <c r="G19" s="22"/>
      <c r="H19" s="22"/>
      <c r="I19" s="20"/>
      <c r="J19" s="425"/>
      <c r="K19" s="425"/>
      <c r="L19" s="425"/>
      <c r="M19" s="423"/>
      <c r="N19" s="423"/>
      <c r="O19" s="423"/>
      <c r="P19" s="423"/>
      <c r="Q19" s="423"/>
      <c r="R19" s="19"/>
      <c r="S19" s="19"/>
      <c r="T19" s="19"/>
      <c r="U19" s="19"/>
      <c r="V19" s="19"/>
      <c r="W19" s="19"/>
      <c r="X19" s="19"/>
    </row>
    <row r="20" spans="1:24" outlineLevel="1" x14ac:dyDescent="0.2">
      <c r="A20" s="19"/>
      <c r="B20" s="19"/>
      <c r="C20" s="412" t="s">
        <v>115</v>
      </c>
      <c r="D20" s="20" t="s">
        <v>6</v>
      </c>
      <c r="E20" s="458" t="str">
        <f t="shared" si="1"/>
        <v>$millions</v>
      </c>
      <c r="F20" s="20"/>
      <c r="G20" s="22"/>
      <c r="H20" s="22"/>
      <c r="I20" s="20"/>
      <c r="J20" s="425"/>
      <c r="K20" s="425"/>
      <c r="L20" s="425"/>
      <c r="M20" s="423"/>
      <c r="N20" s="423"/>
      <c r="O20" s="423"/>
      <c r="P20" s="423"/>
      <c r="Q20" s="423"/>
      <c r="R20" s="19"/>
      <c r="S20" s="19"/>
      <c r="T20" s="19"/>
      <c r="U20" s="19"/>
      <c r="V20" s="19"/>
      <c r="W20" s="19"/>
      <c r="X20" s="19"/>
    </row>
    <row r="21" spans="1:24" outlineLevel="1" x14ac:dyDescent="0.2">
      <c r="A21" s="19"/>
      <c r="B21" s="19"/>
      <c r="C21" s="412" t="s">
        <v>116</v>
      </c>
      <c r="D21" s="20" t="s">
        <v>6</v>
      </c>
      <c r="E21" s="458" t="str">
        <f t="shared" si="1"/>
        <v>$millions</v>
      </c>
      <c r="F21" s="20"/>
      <c r="G21" s="22"/>
      <c r="H21" s="22"/>
      <c r="I21" s="20"/>
      <c r="J21" s="425"/>
      <c r="K21" s="425"/>
      <c r="L21" s="425">
        <v>-0.12267501845227401</v>
      </c>
      <c r="M21" s="423"/>
      <c r="N21" s="423"/>
      <c r="O21" s="423"/>
      <c r="P21" s="423"/>
      <c r="Q21" s="423"/>
      <c r="R21" s="19"/>
      <c r="S21" s="19"/>
      <c r="T21" s="586"/>
      <c r="U21" s="19"/>
      <c r="V21" s="19"/>
      <c r="W21" s="19"/>
      <c r="X21" s="19"/>
    </row>
    <row r="22" spans="1:24" outlineLevel="1" x14ac:dyDescent="0.2">
      <c r="A22" s="19"/>
      <c r="B22" s="19"/>
      <c r="C22" s="412"/>
      <c r="D22" s="20" t="s">
        <v>6</v>
      </c>
      <c r="E22" s="458">
        <f t="shared" si="1"/>
        <v>0</v>
      </c>
      <c r="F22" s="20"/>
      <c r="G22" s="22"/>
      <c r="H22" s="22"/>
      <c r="I22" s="20"/>
      <c r="J22" s="425"/>
      <c r="K22" s="425"/>
      <c r="L22" s="425"/>
      <c r="M22" s="423"/>
      <c r="N22" s="423"/>
      <c r="O22" s="423"/>
      <c r="P22" s="423"/>
      <c r="Q22" s="423"/>
      <c r="R22" s="19"/>
      <c r="S22" s="19"/>
      <c r="T22" s="19"/>
      <c r="U22" s="19"/>
      <c r="V22" s="19"/>
      <c r="W22" s="19"/>
      <c r="X22" s="19"/>
    </row>
    <row r="23" spans="1:24" outlineLevel="1" x14ac:dyDescent="0.2">
      <c r="A23" s="19"/>
      <c r="B23" s="19"/>
      <c r="C23" s="412"/>
      <c r="D23" s="20"/>
      <c r="E23" s="458">
        <f t="shared" si="1"/>
        <v>0</v>
      </c>
      <c r="F23" s="20"/>
      <c r="G23" s="22"/>
      <c r="H23" s="22"/>
      <c r="I23" s="20"/>
      <c r="J23" s="425"/>
      <c r="K23" s="425"/>
      <c r="L23" s="425"/>
      <c r="M23" s="423"/>
      <c r="N23" s="423"/>
      <c r="O23" s="423"/>
      <c r="P23" s="423"/>
      <c r="Q23" s="423"/>
      <c r="R23" s="19"/>
      <c r="S23" s="19"/>
      <c r="T23" s="19"/>
      <c r="U23" s="19"/>
      <c r="V23" s="19"/>
      <c r="W23" s="19"/>
      <c r="X23" s="19"/>
    </row>
    <row r="24" spans="1:24" x14ac:dyDescent="0.2">
      <c r="A24" s="19"/>
      <c r="B24" s="19"/>
      <c r="C24" s="368" t="s">
        <v>117</v>
      </c>
      <c r="D24" s="20" t="s">
        <v>105</v>
      </c>
      <c r="E24" s="458" t="str">
        <f t="shared" si="1"/>
        <v>$millions</v>
      </c>
      <c r="F24" s="20"/>
      <c r="G24" s="22"/>
      <c r="H24" s="22"/>
      <c r="I24" s="20"/>
      <c r="J24" s="363">
        <f t="shared" ref="J24:Q24" si="2">SUM(J18:J23)</f>
        <v>0</v>
      </c>
      <c r="K24" s="363">
        <f t="shared" si="2"/>
        <v>0</v>
      </c>
      <c r="L24" s="363">
        <f t="shared" si="2"/>
        <v>-0.12267501845227401</v>
      </c>
      <c r="M24" s="363">
        <f t="shared" si="2"/>
        <v>0</v>
      </c>
      <c r="N24" s="363">
        <f t="shared" si="2"/>
        <v>0</v>
      </c>
      <c r="O24" s="363">
        <f t="shared" si="2"/>
        <v>0</v>
      </c>
      <c r="P24" s="363">
        <f t="shared" si="2"/>
        <v>0</v>
      </c>
      <c r="Q24" s="363">
        <f t="shared" si="2"/>
        <v>0</v>
      </c>
      <c r="R24" s="19"/>
      <c r="S24" s="19"/>
      <c r="T24" s="19"/>
      <c r="U24" s="19"/>
      <c r="V24" s="19"/>
      <c r="W24" s="19"/>
      <c r="X24" s="19"/>
    </row>
    <row r="25" spans="1:24" x14ac:dyDescent="0.2">
      <c r="A25" s="19"/>
      <c r="B25" s="19"/>
      <c r="C25" s="370"/>
      <c r="D25" s="20"/>
      <c r="E25" s="528"/>
      <c r="F25" s="20"/>
      <c r="G25" s="22"/>
      <c r="H25" s="22"/>
      <c r="I25" s="20"/>
      <c r="J25" s="374"/>
      <c r="K25" s="374"/>
      <c r="L25" s="374"/>
      <c r="M25" s="307"/>
      <c r="N25" s="307"/>
      <c r="O25" s="307"/>
      <c r="P25" s="307"/>
      <c r="Q25" s="307"/>
      <c r="R25" s="19"/>
      <c r="S25" s="19"/>
      <c r="T25" s="19"/>
      <c r="U25" s="19"/>
      <c r="V25" s="19"/>
      <c r="W25" s="19"/>
      <c r="X25" s="19"/>
    </row>
    <row r="26" spans="1:24" outlineLevel="1" x14ac:dyDescent="0.2">
      <c r="A26" s="19"/>
      <c r="B26" s="19"/>
      <c r="C26" s="412" t="s">
        <v>119</v>
      </c>
      <c r="D26" s="20" t="s">
        <v>6</v>
      </c>
      <c r="E26" s="458" t="str">
        <f>IF(C26=0,0,revenueunits)</f>
        <v>$millions</v>
      </c>
      <c r="F26" s="20"/>
      <c r="G26" s="22"/>
      <c r="H26" s="22"/>
      <c r="I26" s="20"/>
      <c r="J26" s="425"/>
      <c r="K26" s="425"/>
      <c r="L26" s="425"/>
      <c r="M26" s="423"/>
      <c r="N26" s="423"/>
      <c r="O26" s="423"/>
      <c r="P26" s="423"/>
      <c r="Q26" s="423"/>
      <c r="R26" s="19"/>
      <c r="S26" s="19"/>
      <c r="T26" s="19"/>
      <c r="U26" s="19"/>
      <c r="V26" s="19"/>
      <c r="W26" s="19"/>
      <c r="X26" s="19"/>
    </row>
    <row r="27" spans="1:24" outlineLevel="1" x14ac:dyDescent="0.2">
      <c r="A27" s="19"/>
      <c r="B27" s="19"/>
      <c r="C27" s="412" t="s">
        <v>120</v>
      </c>
      <c r="D27" s="20" t="s">
        <v>6</v>
      </c>
      <c r="E27" s="458" t="str">
        <f>IF(C27=0,0,revenueunits)</f>
        <v>$millions</v>
      </c>
      <c r="F27" s="20"/>
      <c r="G27" s="22"/>
      <c r="H27" s="22"/>
      <c r="I27" s="20"/>
      <c r="J27" s="425"/>
      <c r="K27" s="425"/>
      <c r="L27" s="425"/>
      <c r="M27" s="423"/>
      <c r="N27" s="423"/>
      <c r="O27" s="423"/>
      <c r="P27" s="423"/>
      <c r="Q27" s="423"/>
      <c r="R27" s="19"/>
      <c r="S27" s="19"/>
      <c r="T27" s="19"/>
      <c r="U27" s="19"/>
      <c r="V27" s="19"/>
      <c r="W27" s="19"/>
      <c r="X27" s="19"/>
    </row>
    <row r="28" spans="1:24" outlineLevel="1" x14ac:dyDescent="0.2">
      <c r="A28" s="19"/>
      <c r="B28" s="19"/>
      <c r="C28" s="412"/>
      <c r="D28" s="20" t="s">
        <v>6</v>
      </c>
      <c r="E28" s="458">
        <f>IF(C28=0,0,revenueunits)</f>
        <v>0</v>
      </c>
      <c r="F28" s="20"/>
      <c r="G28" s="22"/>
      <c r="H28" s="22"/>
      <c r="I28" s="20"/>
      <c r="J28" s="425"/>
      <c r="K28" s="425"/>
      <c r="L28" s="425"/>
      <c r="M28" s="423"/>
      <c r="N28" s="423"/>
      <c r="O28" s="423"/>
      <c r="P28" s="423"/>
      <c r="Q28" s="423"/>
      <c r="R28" s="19"/>
      <c r="S28" s="19"/>
      <c r="T28" s="19"/>
      <c r="U28" s="19"/>
      <c r="V28" s="19"/>
      <c r="W28" s="19"/>
      <c r="X28" s="19"/>
    </row>
    <row r="29" spans="1:24" x14ac:dyDescent="0.2">
      <c r="A29" s="19"/>
      <c r="B29" s="19"/>
      <c r="C29" s="368" t="s">
        <v>118</v>
      </c>
      <c r="D29" s="20" t="s">
        <v>105</v>
      </c>
      <c r="E29" s="458" t="str">
        <f>IF(C29=0,0,revenueunits)</f>
        <v>$millions</v>
      </c>
      <c r="F29" s="20"/>
      <c r="G29" s="22"/>
      <c r="H29" s="22"/>
      <c r="I29" s="20"/>
      <c r="J29" s="363">
        <f t="shared" ref="J29:Q29" si="3">SUM(J26:J28)</f>
        <v>0</v>
      </c>
      <c r="K29" s="363">
        <f t="shared" si="3"/>
        <v>0</v>
      </c>
      <c r="L29" s="363">
        <f t="shared" si="3"/>
        <v>0</v>
      </c>
      <c r="M29" s="363">
        <f t="shared" si="3"/>
        <v>0</v>
      </c>
      <c r="N29" s="363">
        <f t="shared" si="3"/>
        <v>0</v>
      </c>
      <c r="O29" s="363">
        <f t="shared" si="3"/>
        <v>0</v>
      </c>
      <c r="P29" s="363">
        <f t="shared" si="3"/>
        <v>0</v>
      </c>
      <c r="Q29" s="363">
        <f t="shared" si="3"/>
        <v>0</v>
      </c>
      <c r="R29" s="19"/>
      <c r="S29" s="19"/>
      <c r="T29" s="19"/>
      <c r="U29" s="19"/>
      <c r="V29" s="19"/>
      <c r="W29" s="19"/>
      <c r="X29" s="19"/>
    </row>
    <row r="30" spans="1:24" x14ac:dyDescent="0.2">
      <c r="A30" s="19"/>
      <c r="B30" s="19"/>
      <c r="C30" s="414"/>
      <c r="D30" s="20"/>
      <c r="E30" s="528"/>
      <c r="F30" s="20"/>
      <c r="G30" s="22"/>
      <c r="H30" s="22"/>
      <c r="I30" s="20"/>
      <c r="J30" s="374"/>
      <c r="K30" s="374"/>
      <c r="L30" s="374"/>
      <c r="M30" s="307"/>
      <c r="N30" s="307"/>
      <c r="O30" s="307"/>
      <c r="P30" s="307"/>
      <c r="Q30" s="307"/>
      <c r="R30" s="19"/>
      <c r="S30" s="19"/>
      <c r="T30" s="19"/>
      <c r="U30" s="19"/>
      <c r="V30" s="19"/>
      <c r="W30" s="19"/>
      <c r="X30" s="19"/>
    </row>
    <row r="31" spans="1:24" outlineLevel="1" x14ac:dyDescent="0.2">
      <c r="A31" s="19"/>
      <c r="B31" s="19"/>
      <c r="C31" s="412" t="s">
        <v>121</v>
      </c>
      <c r="D31" s="20" t="s">
        <v>6</v>
      </c>
      <c r="E31" s="458" t="str">
        <f>IF(C31=0,0,revenueunits)</f>
        <v>$millions</v>
      </c>
      <c r="F31" s="20"/>
      <c r="G31" s="22"/>
      <c r="H31" s="22"/>
      <c r="I31" s="20"/>
      <c r="J31" s="425"/>
      <c r="K31" s="425">
        <v>-6.9405210102422528</v>
      </c>
      <c r="L31" s="425">
        <v>-8.9039255233451158</v>
      </c>
      <c r="M31" s="363">
        <v>-2.8468453099754769</v>
      </c>
      <c r="N31" s="363">
        <v>-11.171360465098264</v>
      </c>
      <c r="O31" s="363">
        <v>-6.0402190308146499</v>
      </c>
      <c r="P31" s="363">
        <f>-Accounts!P19*(1+P$9)^0.5</f>
        <v>-6.9949461978187992</v>
      </c>
      <c r="Q31" s="363">
        <f>-Accounts!Q19*(1+Q$9)^0.5</f>
        <v>0</v>
      </c>
      <c r="R31" s="19" t="s">
        <v>124</v>
      </c>
      <c r="S31" s="19"/>
      <c r="T31" s="19"/>
      <c r="U31" s="19"/>
      <c r="V31" s="19"/>
      <c r="W31" s="19"/>
      <c r="X31" s="19"/>
    </row>
    <row r="32" spans="1:24" outlineLevel="1" x14ac:dyDescent="0.2">
      <c r="A32" s="19"/>
      <c r="B32" s="19"/>
      <c r="C32" s="412" t="s">
        <v>849</v>
      </c>
      <c r="D32" s="20" t="s">
        <v>81</v>
      </c>
      <c r="E32" s="458" t="str">
        <f>IF(C32=0,0,revenueunits)</f>
        <v>$millions</v>
      </c>
      <c r="F32" s="20"/>
      <c r="G32" s="22"/>
      <c r="H32" s="22"/>
      <c r="I32" s="20"/>
      <c r="J32" s="363"/>
      <c r="K32" s="363">
        <f>'License Fees'!J10*(1+K9)</f>
        <v>0</v>
      </c>
      <c r="L32" s="363">
        <f>'License Fees'!K10*(1+L9)</f>
        <v>0</v>
      </c>
      <c r="M32" s="363">
        <f>'License Fees'!L10*(1+M9)</f>
        <v>0.24737822055955314</v>
      </c>
      <c r="N32" s="363">
        <f>'License Fees'!M10*(1+N9)</f>
        <v>5.0907843762196765E-2</v>
      </c>
      <c r="O32" s="363">
        <f>'License Fees'!N10*(1+O9)</f>
        <v>7.9782132839581882E-3</v>
      </c>
      <c r="P32" s="363">
        <f>'License Fees'!O10*(1+P9)</f>
        <v>2.0890844484284306E-2</v>
      </c>
      <c r="Q32" s="363">
        <f>'License Fees'!P10*(1+Q9)</f>
        <v>0</v>
      </c>
      <c r="R32" s="19" t="s">
        <v>851</v>
      </c>
      <c r="S32" s="19"/>
      <c r="T32" s="19"/>
      <c r="U32" s="19"/>
      <c r="V32" s="19"/>
      <c r="W32" s="19"/>
      <c r="X32" s="19"/>
    </row>
    <row r="33" spans="1:24" outlineLevel="1" x14ac:dyDescent="0.2">
      <c r="A33" s="19"/>
      <c r="B33" s="19"/>
      <c r="C33" s="412" t="s">
        <v>850</v>
      </c>
      <c r="D33" s="20" t="s">
        <v>6</v>
      </c>
      <c r="E33" s="458" t="str">
        <f>IF(C33=0,0,revenueunits)</f>
        <v>$millions</v>
      </c>
      <c r="F33" s="20"/>
      <c r="G33" s="22"/>
      <c r="H33" s="22"/>
      <c r="I33" s="20"/>
      <c r="J33" s="363"/>
      <c r="K33" s="363">
        <f>'License Fees'!J17*(1+K9)</f>
        <v>0</v>
      </c>
      <c r="L33" s="363">
        <f>'License Fees'!K17*(1+L9)</f>
        <v>0</v>
      </c>
      <c r="M33" s="363">
        <f>'License Fees'!L17*(1+M9)</f>
        <v>1.94345696075792</v>
      </c>
      <c r="N33" s="363">
        <f>'License Fees'!M17*(1+N9)</f>
        <v>0.25244995247451252</v>
      </c>
      <c r="O33" s="363">
        <f>'License Fees'!N17*(1+O9)</f>
        <v>0.30847252542003356</v>
      </c>
      <c r="P33" s="363">
        <f>'License Fees'!O17*(1+P9)</f>
        <v>0.45723843930678176</v>
      </c>
      <c r="Q33" s="363">
        <f>'License Fees'!P17*(1+Q9)</f>
        <v>0</v>
      </c>
      <c r="R33" s="19" t="s">
        <v>851</v>
      </c>
      <c r="S33" s="19"/>
      <c r="T33" s="19"/>
      <c r="U33" s="19"/>
      <c r="V33" s="19"/>
      <c r="W33" s="19"/>
      <c r="X33" s="19"/>
    </row>
    <row r="34" spans="1:24" outlineLevel="1" x14ac:dyDescent="0.2">
      <c r="A34" s="19"/>
      <c r="B34" s="19"/>
      <c r="C34" s="412"/>
      <c r="D34" s="20"/>
      <c r="E34" s="458">
        <f>IF(C34=0,0,revenueunits)</f>
        <v>0</v>
      </c>
      <c r="F34" s="20"/>
      <c r="G34" s="22"/>
      <c r="H34" s="22"/>
      <c r="I34" s="20"/>
      <c r="J34" s="425"/>
      <c r="K34" s="425"/>
      <c r="L34" s="425"/>
      <c r="M34" s="423"/>
      <c r="N34" s="423"/>
      <c r="O34" s="423"/>
      <c r="P34" s="423"/>
      <c r="Q34" s="423"/>
      <c r="R34" s="19" t="s">
        <v>579</v>
      </c>
      <c r="S34" s="19"/>
      <c r="T34" s="19"/>
      <c r="U34" s="19"/>
      <c r="V34" s="19"/>
      <c r="W34" s="19"/>
      <c r="X34" s="19"/>
    </row>
    <row r="35" spans="1:24" x14ac:dyDescent="0.2">
      <c r="A35" s="19"/>
      <c r="B35" s="19"/>
      <c r="C35" s="368" t="s">
        <v>123</v>
      </c>
      <c r="D35" s="20" t="s">
        <v>105</v>
      </c>
      <c r="E35" s="458" t="str">
        <f>IF(C35=0,0,revenueunits)</f>
        <v>$millions</v>
      </c>
      <c r="F35" s="20"/>
      <c r="G35" s="22"/>
      <c r="H35" s="22"/>
      <c r="I35" s="20"/>
      <c r="J35" s="363">
        <f t="shared" ref="J35:Q35" si="4">SUM(J31:J34)</f>
        <v>0</v>
      </c>
      <c r="K35" s="363">
        <f t="shared" si="4"/>
        <v>-6.9405210102422528</v>
      </c>
      <c r="L35" s="363">
        <f t="shared" si="4"/>
        <v>-8.9039255233451158</v>
      </c>
      <c r="M35" s="363">
        <f t="shared" si="4"/>
        <v>-0.65601012865800379</v>
      </c>
      <c r="N35" s="363">
        <f t="shared" si="4"/>
        <v>-10.868002668861555</v>
      </c>
      <c r="O35" s="363">
        <f t="shared" si="4"/>
        <v>-5.7237682921106581</v>
      </c>
      <c r="P35" s="363">
        <f t="shared" si="4"/>
        <v>-6.5168169140277339</v>
      </c>
      <c r="Q35" s="363">
        <f t="shared" si="4"/>
        <v>0</v>
      </c>
      <c r="R35" s="19"/>
      <c r="S35" s="19"/>
      <c r="T35" s="19"/>
      <c r="U35" s="19"/>
      <c r="V35" s="19"/>
      <c r="W35" s="19"/>
      <c r="X35" s="19"/>
    </row>
    <row r="36" spans="1:24" x14ac:dyDescent="0.2">
      <c r="A36" s="19"/>
      <c r="B36" s="19"/>
      <c r="C36" s="19"/>
      <c r="D36" s="20"/>
      <c r="E36" s="20"/>
      <c r="F36" s="20"/>
      <c r="G36" s="22"/>
      <c r="H36" s="22"/>
      <c r="I36" s="20"/>
      <c r="J36" s="20"/>
      <c r="K36" s="20"/>
      <c r="L36" s="20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</row>
    <row r="37" spans="1:24" ht="12.75" x14ac:dyDescent="0.2">
      <c r="A37" s="11"/>
      <c r="B37" s="12" t="s">
        <v>151</v>
      </c>
      <c r="C37" s="11"/>
      <c r="D37" s="32" t="str">
        <f>D5</f>
        <v>Source</v>
      </c>
      <c r="E37" s="32" t="str">
        <f>E5</f>
        <v>Unit</v>
      </c>
      <c r="F37" s="33"/>
      <c r="G37" s="34"/>
      <c r="H37" s="34"/>
      <c r="I37" s="34"/>
      <c r="J37" s="33" t="str">
        <f>RCPminus3</f>
        <v>2016–17</v>
      </c>
      <c r="K37" s="33" t="str">
        <f>RCPminus2</f>
        <v>2017–18</v>
      </c>
      <c r="L37" s="33" t="str">
        <f>RCPminus1</f>
        <v>2018–19</v>
      </c>
      <c r="M37" s="35" t="str">
        <f>RCP_firstyear</f>
        <v>2019–20</v>
      </c>
      <c r="N37" s="35" t="str">
        <f>RCP_secondyear</f>
        <v>2020–21</v>
      </c>
      <c r="O37" s="35" t="str">
        <f>RCP_thirdyear</f>
        <v>2021–22</v>
      </c>
      <c r="P37" s="35" t="str">
        <f>RCP_fourthyear</f>
        <v>2022–23</v>
      </c>
      <c r="Q37" s="35" t="str">
        <f>RCP_lastyear</f>
        <v>2023–24</v>
      </c>
      <c r="R37" s="14" t="s">
        <v>14</v>
      </c>
      <c r="S37" s="14"/>
      <c r="T37" s="56"/>
      <c r="U37" s="15"/>
      <c r="V37" s="15"/>
      <c r="W37" s="15"/>
      <c r="X37" s="15"/>
    </row>
    <row r="38" spans="1:24" x14ac:dyDescent="0.2">
      <c r="A38" s="19"/>
      <c r="B38" s="19"/>
      <c r="C38" s="19"/>
      <c r="D38" s="20"/>
      <c r="E38" s="20"/>
      <c r="F38" s="20"/>
      <c r="G38" s="20"/>
      <c r="H38" s="20"/>
      <c r="I38" s="20"/>
      <c r="J38" s="20"/>
      <c r="K38" s="20"/>
      <c r="L38" s="20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</row>
    <row r="39" spans="1:24" x14ac:dyDescent="0.2">
      <c r="A39" s="19"/>
      <c r="B39" s="19"/>
      <c r="C39" s="162" t="s">
        <v>576</v>
      </c>
      <c r="D39" s="20"/>
      <c r="E39" s="20"/>
      <c r="F39" s="20"/>
      <c r="G39" s="20"/>
      <c r="H39" s="20"/>
      <c r="I39" s="20"/>
      <c r="J39" s="20"/>
      <c r="K39" s="20"/>
      <c r="L39" s="20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</row>
    <row r="40" spans="1:24" x14ac:dyDescent="0.2">
      <c r="A40" s="19"/>
      <c r="B40" s="19"/>
      <c r="C40" s="367" t="s">
        <v>146</v>
      </c>
      <c r="D40" s="20" t="s">
        <v>81</v>
      </c>
      <c r="E40" s="458" t="str">
        <f>IF(C40=0,0,revenueunits)</f>
        <v>$millions</v>
      </c>
      <c r="F40" s="22"/>
      <c r="G40" s="22"/>
      <c r="H40" s="22"/>
      <c r="I40" s="22"/>
      <c r="J40" s="425"/>
      <c r="K40" s="425"/>
      <c r="L40" s="425"/>
      <c r="M40" s="426"/>
      <c r="N40" s="426"/>
      <c r="O40" s="426"/>
      <c r="P40" s="426"/>
      <c r="Q40" s="426"/>
      <c r="R40" s="19"/>
      <c r="S40" s="19"/>
      <c r="T40" s="19"/>
      <c r="U40" s="19"/>
      <c r="V40" s="19"/>
      <c r="W40" s="19"/>
      <c r="X40" s="19"/>
    </row>
    <row r="41" spans="1:24" x14ac:dyDescent="0.2">
      <c r="A41" s="19"/>
      <c r="B41" s="19"/>
      <c r="C41" s="367" t="s">
        <v>147</v>
      </c>
      <c r="D41" s="20" t="s">
        <v>81</v>
      </c>
      <c r="E41" s="458" t="str">
        <f>IF(C41=0,0,revenueunits)</f>
        <v>$millions</v>
      </c>
      <c r="F41" s="22"/>
      <c r="G41" s="22"/>
      <c r="H41" s="22"/>
      <c r="I41" s="22"/>
      <c r="J41" s="425"/>
      <c r="K41" s="425"/>
      <c r="L41" s="574"/>
      <c r="M41" s="426"/>
      <c r="N41" s="426"/>
      <c r="O41" s="426"/>
      <c r="P41" s="426"/>
      <c r="Q41" s="426"/>
      <c r="R41" s="19"/>
      <c r="S41" s="19"/>
      <c r="T41" s="19"/>
      <c r="U41" s="19"/>
      <c r="V41" s="19"/>
      <c r="W41" s="19"/>
      <c r="X41" s="19"/>
    </row>
    <row r="42" spans="1:24" x14ac:dyDescent="0.2">
      <c r="A42" s="19"/>
      <c r="B42" s="19"/>
      <c r="C42" s="19"/>
      <c r="D42" s="20"/>
      <c r="E42" s="512"/>
      <c r="F42" s="20"/>
      <c r="G42" s="20"/>
      <c r="H42" s="20"/>
      <c r="I42" s="20"/>
      <c r="J42" s="374"/>
      <c r="K42" s="374"/>
      <c r="L42" s="374"/>
      <c r="M42" s="345"/>
      <c r="N42" s="345"/>
      <c r="O42" s="345"/>
      <c r="P42" s="345"/>
      <c r="Q42" s="345"/>
      <c r="R42" s="19"/>
      <c r="S42" s="19"/>
      <c r="T42" s="19"/>
      <c r="U42" s="19"/>
      <c r="V42" s="19"/>
      <c r="W42" s="19"/>
      <c r="X42" s="19"/>
    </row>
    <row r="43" spans="1:24" x14ac:dyDescent="0.2">
      <c r="A43" s="19"/>
      <c r="B43" s="19"/>
      <c r="C43" s="162" t="s">
        <v>146</v>
      </c>
      <c r="D43" s="20"/>
      <c r="E43" s="512"/>
      <c r="F43" s="20"/>
      <c r="G43" s="20"/>
      <c r="H43" s="20"/>
      <c r="I43" s="20"/>
      <c r="J43" s="374"/>
      <c r="K43" s="374"/>
      <c r="L43" s="374"/>
      <c r="M43" s="345"/>
      <c r="N43" s="345"/>
      <c r="O43" s="345"/>
      <c r="P43" s="345"/>
      <c r="Q43" s="345"/>
      <c r="R43" s="19"/>
      <c r="S43" s="19"/>
      <c r="T43" s="19"/>
      <c r="U43" s="19"/>
      <c r="V43" s="19"/>
      <c r="W43" s="19"/>
      <c r="X43" s="19"/>
    </row>
    <row r="44" spans="1:24" outlineLevel="1" x14ac:dyDescent="0.2">
      <c r="A44" s="19"/>
      <c r="B44" s="19"/>
      <c r="C44" s="412" t="s">
        <v>852</v>
      </c>
      <c r="D44" s="20" t="s">
        <v>81</v>
      </c>
      <c r="E44" s="458" t="str">
        <f t="shared" ref="E44:E50" si="5">IF(C44=0,0,revenueunits)</f>
        <v>$millions</v>
      </c>
      <c r="F44" s="22"/>
      <c r="G44" s="22"/>
      <c r="H44" s="22"/>
      <c r="I44" s="22"/>
      <c r="J44" s="425"/>
      <c r="K44" s="425">
        <v>95.092338999999996</v>
      </c>
      <c r="L44" s="425">
        <v>86.459856786635086</v>
      </c>
      <c r="M44" s="426">
        <v>80.739999999999995</v>
      </c>
      <c r="N44" s="426">
        <v>76.192543170000008</v>
      </c>
      <c r="O44" s="426">
        <v>69.516267818680078</v>
      </c>
      <c r="P44" s="426">
        <v>74.222233489163216</v>
      </c>
      <c r="Q44" s="426"/>
      <c r="R44" s="19" t="s">
        <v>128</v>
      </c>
      <c r="S44" s="19"/>
      <c r="T44" s="19"/>
      <c r="U44" s="19"/>
      <c r="V44" s="19"/>
      <c r="W44" s="19"/>
      <c r="X44" s="19"/>
    </row>
    <row r="45" spans="1:24" outlineLevel="1" x14ac:dyDescent="0.2">
      <c r="A45" s="19"/>
      <c r="B45" s="19"/>
      <c r="C45" s="412" t="s">
        <v>853</v>
      </c>
      <c r="D45" s="20" t="s">
        <v>81</v>
      </c>
      <c r="E45" s="458" t="str">
        <f t="shared" si="5"/>
        <v>$millions</v>
      </c>
      <c r="F45" s="22"/>
      <c r="G45" s="22"/>
      <c r="H45" s="22"/>
      <c r="I45" s="22"/>
      <c r="J45" s="425"/>
      <c r="K45" s="425">
        <v>0</v>
      </c>
      <c r="L45" s="425">
        <v>0</v>
      </c>
      <c r="M45" s="426">
        <v>0.08</v>
      </c>
      <c r="N45" s="426">
        <v>0.16948567</v>
      </c>
      <c r="O45" s="426">
        <v>0.12465224</v>
      </c>
      <c r="P45" s="426">
        <v>0.12465224</v>
      </c>
      <c r="Q45" s="426"/>
      <c r="R45" s="19" t="s">
        <v>129</v>
      </c>
      <c r="S45" s="19"/>
      <c r="T45" s="19"/>
      <c r="U45" s="19"/>
      <c r="V45" s="19"/>
      <c r="W45" s="19"/>
      <c r="X45" s="19"/>
    </row>
    <row r="46" spans="1:24" outlineLevel="1" x14ac:dyDescent="0.2">
      <c r="A46" s="19"/>
      <c r="B46" s="19"/>
      <c r="C46" s="412" t="s">
        <v>664</v>
      </c>
      <c r="D46" s="20" t="s">
        <v>81</v>
      </c>
      <c r="E46" s="458" t="str">
        <f t="shared" si="5"/>
        <v>$millions</v>
      </c>
      <c r="F46" s="22"/>
      <c r="G46" s="22"/>
      <c r="H46" s="22"/>
      <c r="I46" s="22"/>
      <c r="J46" s="425"/>
      <c r="K46" s="425"/>
      <c r="L46" s="425"/>
      <c r="M46" s="426"/>
      <c r="N46" s="426"/>
      <c r="O46" s="426"/>
      <c r="P46" s="426"/>
      <c r="Q46" s="426"/>
      <c r="R46" s="24"/>
      <c r="S46" s="19"/>
      <c r="T46" s="19"/>
      <c r="U46" s="19"/>
      <c r="V46" s="19"/>
      <c r="W46" s="19"/>
      <c r="X46" s="19"/>
    </row>
    <row r="47" spans="1:24" outlineLevel="1" x14ac:dyDescent="0.2">
      <c r="A47" s="19"/>
      <c r="B47" s="19"/>
      <c r="C47" s="412"/>
      <c r="D47" s="20" t="s">
        <v>81</v>
      </c>
      <c r="E47" s="458">
        <f t="shared" si="5"/>
        <v>0</v>
      </c>
      <c r="F47" s="22"/>
      <c r="G47" s="22"/>
      <c r="H47" s="22"/>
      <c r="I47" s="22"/>
      <c r="J47" s="425"/>
      <c r="K47" s="425"/>
      <c r="L47" s="425"/>
      <c r="M47" s="426"/>
      <c r="N47" s="426"/>
      <c r="O47" s="426"/>
      <c r="P47" s="426"/>
      <c r="Q47" s="426"/>
      <c r="R47" s="24"/>
      <c r="S47" s="19"/>
      <c r="T47" s="19"/>
      <c r="U47" s="19"/>
      <c r="V47" s="19"/>
      <c r="W47" s="19"/>
      <c r="X47" s="19"/>
    </row>
    <row r="48" spans="1:24" outlineLevel="1" x14ac:dyDescent="0.2">
      <c r="A48" s="19"/>
      <c r="B48" s="19"/>
      <c r="C48" s="412"/>
      <c r="D48" s="20"/>
      <c r="E48" s="458">
        <f t="shared" si="5"/>
        <v>0</v>
      </c>
      <c r="F48" s="22"/>
      <c r="G48" s="22"/>
      <c r="H48" s="22"/>
      <c r="I48" s="22"/>
      <c r="J48" s="425"/>
      <c r="K48" s="425"/>
      <c r="L48" s="425"/>
      <c r="M48" s="426"/>
      <c r="N48" s="426"/>
      <c r="O48" s="426"/>
      <c r="P48" s="426"/>
      <c r="Q48" s="426"/>
      <c r="R48" s="24"/>
      <c r="S48" s="19"/>
      <c r="T48" s="19"/>
      <c r="U48" s="19"/>
      <c r="V48" s="19"/>
      <c r="W48" s="19"/>
      <c r="X48" s="19"/>
    </row>
    <row r="49" spans="1:24" x14ac:dyDescent="0.2">
      <c r="A49" s="19"/>
      <c r="B49" s="19"/>
      <c r="C49" s="368" t="s">
        <v>148</v>
      </c>
      <c r="D49" s="20" t="s">
        <v>105</v>
      </c>
      <c r="E49" s="458" t="str">
        <f t="shared" si="5"/>
        <v>$millions</v>
      </c>
      <c r="F49" s="22"/>
      <c r="G49" s="22"/>
      <c r="H49" s="22"/>
      <c r="I49" s="22"/>
      <c r="J49" s="306">
        <f>SUM(J44:J48)</f>
        <v>0</v>
      </c>
      <c r="K49" s="306">
        <f t="shared" ref="K49:Q49" si="6">SUM(K44:K48)</f>
        <v>95.092338999999996</v>
      </c>
      <c r="L49" s="306">
        <f t="shared" si="6"/>
        <v>86.459856786635086</v>
      </c>
      <c r="M49" s="363">
        <f t="shared" si="6"/>
        <v>80.819999999999993</v>
      </c>
      <c r="N49" s="363">
        <f t="shared" si="6"/>
        <v>76.362028840000008</v>
      </c>
      <c r="O49" s="363">
        <f t="shared" si="6"/>
        <v>69.640920058680081</v>
      </c>
      <c r="P49" s="363">
        <f t="shared" si="6"/>
        <v>74.346885729163219</v>
      </c>
      <c r="Q49" s="363">
        <f t="shared" si="6"/>
        <v>0</v>
      </c>
      <c r="R49" s="24"/>
      <c r="S49" s="19"/>
      <c r="T49" s="19"/>
      <c r="U49" s="19"/>
      <c r="V49" s="19"/>
      <c r="W49" s="19"/>
      <c r="X49" s="19"/>
    </row>
    <row r="50" spans="1:24" x14ac:dyDescent="0.2">
      <c r="A50" s="19"/>
      <c r="B50" s="19"/>
      <c r="C50" s="367" t="s">
        <v>125</v>
      </c>
      <c r="D50" s="20" t="s">
        <v>6</v>
      </c>
      <c r="E50" s="458" t="str">
        <f t="shared" si="5"/>
        <v>$millions</v>
      </c>
      <c r="F50" s="22"/>
      <c r="G50" s="22"/>
      <c r="H50" s="22"/>
      <c r="I50" s="22"/>
      <c r="J50" s="425"/>
      <c r="K50" s="425"/>
      <c r="L50" s="425"/>
      <c r="M50" s="363">
        <f>-Accounts!M35*(1+M$9)^0.5</f>
        <v>-6.2892145135907702</v>
      </c>
      <c r="N50" s="363">
        <f>-Accounts!N35*(1+N$9)^0.5</f>
        <v>-4.9806653902046101</v>
      </c>
      <c r="O50" s="363">
        <f>-Accounts!O35*(1+O$9)^0.5</f>
        <v>-3.4050602428089234</v>
      </c>
      <c r="P50" s="363">
        <f>-Accounts!P35*(1+P$9)^0.5</f>
        <v>-1.940974642835295</v>
      </c>
      <c r="Q50" s="363">
        <f>-Accounts!Q35*(1+Q$9)^0.5</f>
        <v>0</v>
      </c>
      <c r="R50" s="19" t="s">
        <v>124</v>
      </c>
      <c r="S50" s="19"/>
      <c r="T50" s="19"/>
      <c r="U50" s="19"/>
      <c r="V50" s="19"/>
      <c r="W50" s="19"/>
      <c r="X50" s="19"/>
    </row>
    <row r="51" spans="1:24" x14ac:dyDescent="0.2">
      <c r="A51" s="19"/>
      <c r="B51" s="19"/>
      <c r="C51" s="417"/>
      <c r="D51" s="20"/>
      <c r="E51" s="529"/>
      <c r="F51" s="22"/>
      <c r="G51" s="22"/>
      <c r="H51" s="22"/>
      <c r="I51" s="22"/>
      <c r="J51" s="374"/>
      <c r="K51" s="374"/>
      <c r="L51" s="374"/>
      <c r="M51" s="427"/>
      <c r="N51" s="427"/>
      <c r="O51" s="427"/>
      <c r="P51" s="427"/>
      <c r="Q51" s="427"/>
      <c r="R51" s="24"/>
      <c r="S51" s="19"/>
      <c r="T51" s="19"/>
      <c r="U51" s="19"/>
      <c r="V51" s="19"/>
      <c r="W51" s="19"/>
      <c r="X51" s="19"/>
    </row>
    <row r="52" spans="1:24" x14ac:dyDescent="0.2">
      <c r="A52" s="19"/>
      <c r="B52" s="19"/>
      <c r="C52" s="418" t="s">
        <v>147</v>
      </c>
      <c r="D52" s="20"/>
      <c r="E52" s="530"/>
      <c r="F52" s="22"/>
      <c r="G52" s="22"/>
      <c r="H52" s="22"/>
      <c r="I52" s="22"/>
      <c r="J52" s="374"/>
      <c r="K52" s="374"/>
      <c r="L52" s="374"/>
      <c r="M52" s="428"/>
      <c r="N52" s="428"/>
      <c r="O52" s="428"/>
      <c r="P52" s="428"/>
      <c r="Q52" s="428"/>
      <c r="R52" s="24"/>
      <c r="S52" s="19"/>
      <c r="T52" s="19"/>
      <c r="U52" s="19"/>
      <c r="V52" s="19"/>
      <c r="W52" s="19"/>
      <c r="X52" s="19"/>
    </row>
    <row r="53" spans="1:24" outlineLevel="1" x14ac:dyDescent="0.2">
      <c r="A53" s="19"/>
      <c r="B53" s="19"/>
      <c r="C53" s="419" t="str">
        <f>C44</f>
        <v>TUOS expenditure</v>
      </c>
      <c r="D53" s="20" t="s">
        <v>81</v>
      </c>
      <c r="E53" s="458" t="str">
        <f t="shared" ref="E53:E58" si="7">IF(C53=0,0,revenueunits)</f>
        <v>$millions</v>
      </c>
      <c r="F53" s="22"/>
      <c r="G53" s="22"/>
      <c r="H53" s="22"/>
      <c r="I53" s="22"/>
      <c r="J53" s="425">
        <v>97.230046152781242</v>
      </c>
      <c r="K53" s="425">
        <v>95.092338999999996</v>
      </c>
      <c r="L53" s="426">
        <v>86.459856786635086</v>
      </c>
      <c r="M53" s="426">
        <v>80.518642</v>
      </c>
      <c r="N53" s="426">
        <v>75.796303618720287</v>
      </c>
      <c r="O53" s="426">
        <v>69.516267818680078</v>
      </c>
      <c r="P53" s="426"/>
      <c r="Q53" s="426"/>
      <c r="R53" s="19" t="s">
        <v>128</v>
      </c>
      <c r="S53" s="19"/>
      <c r="T53" s="19"/>
      <c r="U53" s="19"/>
      <c r="V53" s="19"/>
      <c r="W53" s="19"/>
      <c r="X53" s="19"/>
    </row>
    <row r="54" spans="1:24" outlineLevel="1" x14ac:dyDescent="0.2">
      <c r="A54" s="19"/>
      <c r="B54" s="19"/>
      <c r="C54" s="419" t="str">
        <f>C45</f>
        <v>Avoided TUOS</v>
      </c>
      <c r="D54" s="20" t="s">
        <v>81</v>
      </c>
      <c r="E54" s="458" t="str">
        <f t="shared" si="7"/>
        <v>$millions</v>
      </c>
      <c r="F54" s="22"/>
      <c r="G54" s="22"/>
      <c r="H54" s="22"/>
      <c r="I54" s="22"/>
      <c r="J54" s="425">
        <v>0.12661107999999999</v>
      </c>
      <c r="K54" s="425">
        <v>0.11432572000000001</v>
      </c>
      <c r="L54" s="426">
        <v>0.10730663999999999</v>
      </c>
      <c r="M54" s="426">
        <v>8.3373179999999991E-2</v>
      </c>
      <c r="N54" s="426">
        <v>0.16948567</v>
      </c>
      <c r="O54" s="426">
        <v>0.12465224</v>
      </c>
      <c r="P54" s="426"/>
      <c r="Q54" s="426"/>
      <c r="R54" s="19" t="s">
        <v>129</v>
      </c>
      <c r="S54" s="19"/>
      <c r="T54" s="19"/>
      <c r="U54" s="19"/>
      <c r="V54" s="19"/>
      <c r="W54" s="19"/>
      <c r="X54" s="19"/>
    </row>
    <row r="55" spans="1:24" outlineLevel="1" x14ac:dyDescent="0.2">
      <c r="A55" s="19"/>
      <c r="B55" s="19"/>
      <c r="C55" s="419" t="str">
        <f>C46</f>
        <v>Cross-boundary expenditure</v>
      </c>
      <c r="D55" s="20" t="s">
        <v>81</v>
      </c>
      <c r="E55" s="458" t="str">
        <f t="shared" si="7"/>
        <v>$millions</v>
      </c>
      <c r="F55" s="22"/>
      <c r="G55" s="22"/>
      <c r="H55" s="22"/>
      <c r="I55" s="22"/>
      <c r="J55" s="425"/>
      <c r="K55" s="425"/>
      <c r="L55" s="426"/>
      <c r="M55" s="426"/>
      <c r="N55" s="426"/>
      <c r="O55" s="426"/>
      <c r="P55" s="426"/>
      <c r="Q55" s="426"/>
      <c r="R55" s="24"/>
      <c r="S55" s="19"/>
      <c r="T55" s="19"/>
      <c r="U55" s="19"/>
      <c r="V55" s="19"/>
      <c r="W55" s="19"/>
      <c r="X55" s="19"/>
    </row>
    <row r="56" spans="1:24" outlineLevel="1" x14ac:dyDescent="0.2">
      <c r="A56" s="19"/>
      <c r="B56" s="19"/>
      <c r="C56" s="419">
        <f>C47</f>
        <v>0</v>
      </c>
      <c r="D56" s="20" t="s">
        <v>81</v>
      </c>
      <c r="E56" s="458">
        <f t="shared" si="7"/>
        <v>0</v>
      </c>
      <c r="F56" s="22"/>
      <c r="G56" s="22"/>
      <c r="H56" s="22"/>
      <c r="I56" s="22"/>
      <c r="J56" s="425"/>
      <c r="K56" s="425"/>
      <c r="L56" s="426"/>
      <c r="M56" s="426"/>
      <c r="N56" s="426"/>
      <c r="O56" s="426"/>
      <c r="P56" s="426"/>
      <c r="Q56" s="426"/>
      <c r="R56" s="24"/>
      <c r="S56" s="19"/>
      <c r="T56" s="19"/>
      <c r="U56" s="19"/>
      <c r="V56" s="19"/>
      <c r="W56" s="19"/>
      <c r="X56" s="19"/>
    </row>
    <row r="57" spans="1:24" outlineLevel="1" x14ac:dyDescent="0.2">
      <c r="A57" s="19"/>
      <c r="B57" s="19"/>
      <c r="C57" s="419">
        <f>C48</f>
        <v>0</v>
      </c>
      <c r="D57" s="20"/>
      <c r="E57" s="458">
        <f t="shared" si="7"/>
        <v>0</v>
      </c>
      <c r="F57" s="22"/>
      <c r="G57" s="22"/>
      <c r="H57" s="22"/>
      <c r="I57" s="22"/>
      <c r="J57" s="425"/>
      <c r="K57" s="425"/>
      <c r="L57" s="426"/>
      <c r="M57" s="426"/>
      <c r="N57" s="426"/>
      <c r="O57" s="426"/>
      <c r="P57" s="426"/>
      <c r="Q57" s="426"/>
      <c r="R57" s="24"/>
      <c r="S57" s="19"/>
      <c r="T57" s="19"/>
      <c r="U57" s="19"/>
      <c r="V57" s="19"/>
      <c r="W57" s="19"/>
      <c r="X57" s="19"/>
    </row>
    <row r="58" spans="1:24" x14ac:dyDescent="0.2">
      <c r="A58" s="19"/>
      <c r="B58" s="19"/>
      <c r="C58" s="368" t="s">
        <v>149</v>
      </c>
      <c r="D58" s="20" t="s">
        <v>105</v>
      </c>
      <c r="E58" s="458" t="str">
        <f t="shared" si="7"/>
        <v>$millions</v>
      </c>
      <c r="F58" s="22"/>
      <c r="G58" s="22"/>
      <c r="H58" s="22"/>
      <c r="I58" s="22"/>
      <c r="J58" s="306">
        <f>SUM(J53:J57)</f>
        <v>97.356657232781245</v>
      </c>
      <c r="K58" s="306">
        <f t="shared" ref="K58:Q58" si="8">SUM(K53:K57)</f>
        <v>95.206664719999992</v>
      </c>
      <c r="L58" s="306">
        <f t="shared" si="8"/>
        <v>86.567163426635091</v>
      </c>
      <c r="M58" s="363">
        <f t="shared" si="8"/>
        <v>80.602015179999995</v>
      </c>
      <c r="N58" s="363">
        <f t="shared" si="8"/>
        <v>75.965789288720288</v>
      </c>
      <c r="O58" s="363">
        <f t="shared" si="8"/>
        <v>69.640920058680081</v>
      </c>
      <c r="P58" s="363">
        <f t="shared" si="8"/>
        <v>0</v>
      </c>
      <c r="Q58" s="363">
        <f t="shared" si="8"/>
        <v>0</v>
      </c>
      <c r="R58" s="24"/>
      <c r="S58" s="19"/>
      <c r="T58" s="19"/>
      <c r="U58" s="19"/>
      <c r="V58" s="19"/>
      <c r="W58" s="19"/>
    </row>
    <row r="59" spans="1:24" x14ac:dyDescent="0.2">
      <c r="A59" s="19"/>
      <c r="B59" s="19"/>
      <c r="C59" s="36"/>
      <c r="D59" s="20"/>
      <c r="E59" s="20"/>
      <c r="F59" s="20"/>
      <c r="G59" s="22"/>
      <c r="H59" s="22"/>
      <c r="I59" s="20"/>
      <c r="J59" s="20"/>
      <c r="K59" s="20"/>
      <c r="L59" s="20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</row>
    <row r="60" spans="1:24" ht="12.75" x14ac:dyDescent="0.2">
      <c r="A60" s="11"/>
      <c r="B60" s="12" t="s">
        <v>150</v>
      </c>
      <c r="C60" s="11"/>
      <c r="D60" s="32" t="str">
        <f>D5</f>
        <v>Source</v>
      </c>
      <c r="E60" s="32" t="str">
        <f>E5</f>
        <v>Unit</v>
      </c>
      <c r="F60" s="32"/>
      <c r="G60" s="32"/>
      <c r="H60" s="32"/>
      <c r="I60" s="32"/>
      <c r="J60" s="33" t="str">
        <f>RCPminus3</f>
        <v>2016–17</v>
      </c>
      <c r="K60" s="33" t="str">
        <f>RCPminus2</f>
        <v>2017–18</v>
      </c>
      <c r="L60" s="33" t="str">
        <f>RCPminus1</f>
        <v>2018–19</v>
      </c>
      <c r="M60" s="35" t="str">
        <f>RCP_firstyear</f>
        <v>2019–20</v>
      </c>
      <c r="N60" s="35" t="str">
        <f>RCP_secondyear</f>
        <v>2020–21</v>
      </c>
      <c r="O60" s="35" t="str">
        <f>RCP_thirdyear</f>
        <v>2021–22</v>
      </c>
      <c r="P60" s="35" t="str">
        <f>RCP_fourthyear</f>
        <v>2022–23</v>
      </c>
      <c r="Q60" s="35" t="str">
        <f>RCP_lastyear</f>
        <v>2023–24</v>
      </c>
      <c r="R60" s="54" t="s">
        <v>14</v>
      </c>
      <c r="S60" s="14"/>
      <c r="T60" s="15"/>
      <c r="U60" s="15"/>
      <c r="V60" s="15"/>
      <c r="W60" s="15"/>
      <c r="X60" s="15"/>
    </row>
    <row r="61" spans="1:24" hidden="1" outlineLevel="1" x14ac:dyDescent="0.2">
      <c r="A61" s="19"/>
      <c r="B61" s="19"/>
      <c r="C61" s="19"/>
      <c r="D61" s="20"/>
      <c r="E61" s="20"/>
      <c r="F61" s="20"/>
      <c r="G61" s="20"/>
      <c r="H61" s="20"/>
      <c r="I61" s="20"/>
      <c r="J61" s="20"/>
      <c r="K61" s="20"/>
      <c r="L61" s="20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</row>
    <row r="62" spans="1:24" hidden="1" outlineLevel="1" x14ac:dyDescent="0.2">
      <c r="A62" s="19"/>
      <c r="B62" s="19"/>
      <c r="C62" s="162" t="s">
        <v>146</v>
      </c>
      <c r="D62" s="20"/>
      <c r="E62" s="20"/>
      <c r="F62" s="20"/>
      <c r="G62" s="20"/>
      <c r="H62" s="20"/>
      <c r="I62" s="20"/>
      <c r="J62" s="20"/>
      <c r="K62" s="20"/>
      <c r="L62" s="20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</row>
    <row r="63" spans="1:24" hidden="1" outlineLevel="2" x14ac:dyDescent="0.2">
      <c r="A63" s="19"/>
      <c r="B63" s="19"/>
      <c r="C63" s="412" t="s">
        <v>345</v>
      </c>
      <c r="D63" s="20" t="s">
        <v>81</v>
      </c>
      <c r="E63" s="458" t="str">
        <f t="shared" ref="E63:E68" si="9">IF(C63=0,0,revenueunits)</f>
        <v>$millions</v>
      </c>
      <c r="F63" s="22"/>
      <c r="G63" s="22"/>
      <c r="H63" s="22"/>
      <c r="I63" s="22"/>
      <c r="J63" s="425"/>
      <c r="K63" s="425"/>
      <c r="L63" s="425"/>
      <c r="M63" s="426"/>
      <c r="N63" s="426"/>
      <c r="O63" s="426"/>
      <c r="P63" s="426"/>
      <c r="Q63" s="426"/>
      <c r="R63" s="19" t="s">
        <v>128</v>
      </c>
      <c r="S63" s="19"/>
      <c r="T63" s="19"/>
      <c r="U63" s="19"/>
      <c r="V63" s="19"/>
      <c r="W63" s="19"/>
      <c r="X63" s="19"/>
    </row>
    <row r="64" spans="1:24" hidden="1" outlineLevel="2" x14ac:dyDescent="0.2">
      <c r="A64" s="19"/>
      <c r="B64" s="19"/>
      <c r="C64" s="412" t="s">
        <v>346</v>
      </c>
      <c r="D64" s="20" t="s">
        <v>81</v>
      </c>
      <c r="E64" s="458" t="str">
        <f t="shared" si="9"/>
        <v>$millions</v>
      </c>
      <c r="F64" s="22"/>
      <c r="G64" s="22"/>
      <c r="H64" s="22"/>
      <c r="I64" s="22"/>
      <c r="J64" s="425"/>
      <c r="K64" s="425"/>
      <c r="L64" s="425"/>
      <c r="M64" s="426"/>
      <c r="N64" s="426"/>
      <c r="O64" s="426"/>
      <c r="P64" s="426"/>
      <c r="Q64" s="426"/>
      <c r="R64" s="19" t="s">
        <v>130</v>
      </c>
      <c r="S64" s="19"/>
      <c r="T64" s="19"/>
      <c r="U64" s="19"/>
      <c r="V64" s="19"/>
      <c r="W64" s="19"/>
      <c r="X64" s="19"/>
    </row>
    <row r="65" spans="1:24" hidden="1" outlineLevel="2" x14ac:dyDescent="0.2">
      <c r="A65" s="19"/>
      <c r="B65" s="19"/>
      <c r="C65" s="412" t="s">
        <v>126</v>
      </c>
      <c r="D65" s="20" t="s">
        <v>81</v>
      </c>
      <c r="E65" s="458" t="str">
        <f t="shared" si="9"/>
        <v>$millions</v>
      </c>
      <c r="F65" s="22"/>
      <c r="G65" s="22"/>
      <c r="H65" s="22"/>
      <c r="I65" s="22"/>
      <c r="J65" s="425"/>
      <c r="K65" s="425"/>
      <c r="L65" s="425"/>
      <c r="M65" s="426"/>
      <c r="N65" s="426"/>
      <c r="O65" s="426"/>
      <c r="P65" s="426"/>
      <c r="Q65" s="426"/>
      <c r="R65" s="24"/>
      <c r="S65" s="19"/>
      <c r="T65" s="19"/>
      <c r="U65" s="19"/>
      <c r="V65" s="19"/>
      <c r="W65" s="19"/>
      <c r="X65" s="19"/>
    </row>
    <row r="66" spans="1:24" hidden="1" outlineLevel="2" x14ac:dyDescent="0.2">
      <c r="A66" s="19"/>
      <c r="B66" s="19"/>
      <c r="C66" s="412"/>
      <c r="D66" s="20"/>
      <c r="E66" s="458">
        <f t="shared" si="9"/>
        <v>0</v>
      </c>
      <c r="F66" s="22"/>
      <c r="G66" s="22"/>
      <c r="H66" s="22"/>
      <c r="I66" s="22"/>
      <c r="J66" s="425"/>
      <c r="K66" s="425"/>
      <c r="L66" s="425"/>
      <c r="M66" s="426"/>
      <c r="N66" s="426"/>
      <c r="O66" s="426"/>
      <c r="P66" s="426"/>
      <c r="Q66" s="426"/>
      <c r="R66" s="24"/>
      <c r="S66" s="19"/>
      <c r="T66" s="19"/>
      <c r="U66" s="19"/>
      <c r="V66" s="19"/>
      <c r="W66" s="19"/>
      <c r="X66" s="19"/>
    </row>
    <row r="67" spans="1:24" hidden="1" outlineLevel="1" x14ac:dyDescent="0.2">
      <c r="A67" s="19"/>
      <c r="B67" s="19"/>
      <c r="C67" s="368" t="s">
        <v>153</v>
      </c>
      <c r="D67" s="20" t="s">
        <v>105</v>
      </c>
      <c r="E67" s="458" t="str">
        <f t="shared" si="9"/>
        <v>$millions</v>
      </c>
      <c r="F67" s="22"/>
      <c r="G67" s="22"/>
      <c r="H67" s="22"/>
      <c r="I67" s="22"/>
      <c r="J67" s="306">
        <f t="shared" ref="J67:Q67" si="10">SUM(J63:J66)</f>
        <v>0</v>
      </c>
      <c r="K67" s="306">
        <f t="shared" si="10"/>
        <v>0</v>
      </c>
      <c r="L67" s="306">
        <f t="shared" si="10"/>
        <v>0</v>
      </c>
      <c r="M67" s="363">
        <f t="shared" si="10"/>
        <v>0</v>
      </c>
      <c r="N67" s="363">
        <f t="shared" si="10"/>
        <v>0</v>
      </c>
      <c r="O67" s="363">
        <f t="shared" si="10"/>
        <v>0</v>
      </c>
      <c r="P67" s="363">
        <f t="shared" si="10"/>
        <v>0</v>
      </c>
      <c r="Q67" s="363">
        <f t="shared" si="10"/>
        <v>0</v>
      </c>
      <c r="R67" s="24"/>
      <c r="S67" s="19"/>
      <c r="T67" s="19"/>
      <c r="U67" s="19"/>
      <c r="V67" s="19"/>
      <c r="W67" s="19"/>
      <c r="X67" s="19"/>
    </row>
    <row r="68" spans="1:24" hidden="1" outlineLevel="1" x14ac:dyDescent="0.2">
      <c r="A68" s="19"/>
      <c r="B68" s="19"/>
      <c r="C68" s="367" t="s">
        <v>127</v>
      </c>
      <c r="D68" s="20" t="s">
        <v>6</v>
      </c>
      <c r="E68" s="458" t="str">
        <f t="shared" si="9"/>
        <v>$millions</v>
      </c>
      <c r="F68" s="22"/>
      <c r="G68" s="22"/>
      <c r="H68" s="22"/>
      <c r="I68" s="22"/>
      <c r="J68" s="425"/>
      <c r="K68" s="425"/>
      <c r="L68" s="425"/>
      <c r="M68" s="363">
        <f>-Accounts!M49*(1+M$9)^0.5</f>
        <v>0</v>
      </c>
      <c r="N68" s="363">
        <f>-Accounts!N49*(1+N$9)^0.5</f>
        <v>0</v>
      </c>
      <c r="O68" s="363">
        <f>-Accounts!O49*(1+O$9)^0.5</f>
        <v>0</v>
      </c>
      <c r="P68" s="363">
        <f>-Accounts!P49*(1+P$9)^0.5</f>
        <v>0</v>
      </c>
      <c r="Q68" s="363">
        <f>-Accounts!Q49*(1+Q$9)^0.5</f>
        <v>0</v>
      </c>
      <c r="R68" s="19" t="s">
        <v>124</v>
      </c>
      <c r="S68" s="19"/>
      <c r="T68" s="19"/>
      <c r="U68" s="19"/>
      <c r="V68" s="19"/>
      <c r="W68" s="19"/>
      <c r="X68" s="19"/>
    </row>
    <row r="69" spans="1:24" hidden="1" outlineLevel="1" x14ac:dyDescent="0.2">
      <c r="A69" s="19"/>
      <c r="B69" s="19"/>
      <c r="C69" s="417"/>
      <c r="D69" s="20"/>
      <c r="E69" s="529"/>
      <c r="F69" s="22"/>
      <c r="G69" s="22"/>
      <c r="H69" s="22"/>
      <c r="I69" s="22"/>
      <c r="J69" s="374"/>
      <c r="K69" s="374"/>
      <c r="L69" s="374"/>
      <c r="M69" s="427"/>
      <c r="N69" s="427"/>
      <c r="O69" s="427"/>
      <c r="P69" s="427"/>
      <c r="Q69" s="427"/>
      <c r="R69" s="24"/>
      <c r="S69" s="19"/>
      <c r="T69" s="19"/>
      <c r="U69" s="19"/>
      <c r="V69" s="19"/>
      <c r="W69" s="19"/>
      <c r="X69" s="19"/>
    </row>
    <row r="70" spans="1:24" hidden="1" outlineLevel="1" x14ac:dyDescent="0.2">
      <c r="A70" s="19"/>
      <c r="B70" s="19"/>
      <c r="C70" s="418" t="s">
        <v>147</v>
      </c>
      <c r="D70" s="20"/>
      <c r="E70" s="530"/>
      <c r="F70" s="22"/>
      <c r="G70" s="22"/>
      <c r="H70" s="22"/>
      <c r="I70" s="22"/>
      <c r="J70" s="374"/>
      <c r="K70" s="374"/>
      <c r="L70" s="374"/>
      <c r="M70" s="428"/>
      <c r="N70" s="428"/>
      <c r="O70" s="428"/>
      <c r="P70" s="428"/>
      <c r="Q70" s="428"/>
      <c r="R70" s="24"/>
      <c r="S70" s="19"/>
      <c r="T70" s="19"/>
      <c r="U70" s="19"/>
      <c r="V70" s="19"/>
      <c r="W70" s="19"/>
      <c r="X70" s="19"/>
    </row>
    <row r="71" spans="1:24" hidden="1" outlineLevel="2" x14ac:dyDescent="0.2">
      <c r="A71" s="19"/>
      <c r="B71" s="19"/>
      <c r="C71" s="419" t="str">
        <f>C63</f>
        <v>PFiT</v>
      </c>
      <c r="D71" s="20" t="s">
        <v>81</v>
      </c>
      <c r="E71" s="458" t="str">
        <f>IF(C71=0,0,revenueunits)</f>
        <v>$millions</v>
      </c>
      <c r="F71" s="22"/>
      <c r="G71" s="22"/>
      <c r="H71" s="22"/>
      <c r="I71" s="22"/>
      <c r="J71" s="425"/>
      <c r="K71" s="425"/>
      <c r="L71" s="426"/>
      <c r="M71" s="426"/>
      <c r="N71" s="426"/>
      <c r="O71" s="426"/>
      <c r="P71" s="426"/>
      <c r="Q71" s="426"/>
      <c r="R71" s="19" t="s">
        <v>128</v>
      </c>
      <c r="S71" s="19"/>
      <c r="T71" s="19"/>
      <c r="U71" s="19"/>
      <c r="V71" s="19"/>
      <c r="W71" s="19"/>
      <c r="X71" s="19"/>
    </row>
    <row r="72" spans="1:24" hidden="1" outlineLevel="2" x14ac:dyDescent="0.2">
      <c r="A72" s="19"/>
      <c r="B72" s="19"/>
      <c r="C72" s="419" t="str">
        <f>C64</f>
        <v>TFiT</v>
      </c>
      <c r="D72" s="20" t="s">
        <v>81</v>
      </c>
      <c r="E72" s="458" t="str">
        <f>IF(C72=0,0,revenueunits)</f>
        <v>$millions</v>
      </c>
      <c r="F72" s="22"/>
      <c r="G72" s="22"/>
      <c r="H72" s="22"/>
      <c r="I72" s="22"/>
      <c r="J72" s="425"/>
      <c r="K72" s="425"/>
      <c r="L72" s="426"/>
      <c r="M72" s="426"/>
      <c r="N72" s="426"/>
      <c r="O72" s="426"/>
      <c r="P72" s="426"/>
      <c r="Q72" s="426"/>
      <c r="R72" s="19" t="s">
        <v>130</v>
      </c>
      <c r="S72" s="19"/>
      <c r="T72" s="19"/>
      <c r="U72" s="19"/>
      <c r="V72" s="19"/>
      <c r="W72" s="19"/>
      <c r="X72" s="19"/>
    </row>
    <row r="73" spans="1:24" hidden="1" outlineLevel="2" x14ac:dyDescent="0.2">
      <c r="A73" s="19"/>
      <c r="B73" s="19"/>
      <c r="C73" s="419" t="str">
        <f>C65</f>
        <v>ESV levy</v>
      </c>
      <c r="D73" s="20" t="s">
        <v>81</v>
      </c>
      <c r="E73" s="458" t="str">
        <f>IF(C73=0,0,revenueunits)</f>
        <v>$millions</v>
      </c>
      <c r="F73" s="22"/>
      <c r="G73" s="22"/>
      <c r="H73" s="22"/>
      <c r="I73" s="22"/>
      <c r="J73" s="425"/>
      <c r="K73" s="425"/>
      <c r="L73" s="426"/>
      <c r="M73" s="426"/>
      <c r="N73" s="426"/>
      <c r="O73" s="426"/>
      <c r="P73" s="426"/>
      <c r="Q73" s="426"/>
      <c r="R73" s="24"/>
      <c r="S73" s="19"/>
      <c r="T73" s="19"/>
      <c r="U73" s="19"/>
      <c r="V73" s="19"/>
      <c r="W73" s="19"/>
      <c r="X73" s="19"/>
    </row>
    <row r="74" spans="1:24" hidden="1" outlineLevel="2" x14ac:dyDescent="0.2">
      <c r="A74" s="19"/>
      <c r="B74" s="19"/>
      <c r="C74" s="419">
        <f>C66</f>
        <v>0</v>
      </c>
      <c r="D74" s="20"/>
      <c r="E74" s="458">
        <f>IF(C74=0,0,revenueunits)</f>
        <v>0</v>
      </c>
      <c r="F74" s="22"/>
      <c r="G74" s="22"/>
      <c r="H74" s="22"/>
      <c r="I74" s="22"/>
      <c r="J74" s="425"/>
      <c r="K74" s="425"/>
      <c r="L74" s="426"/>
      <c r="M74" s="426"/>
      <c r="N74" s="426"/>
      <c r="O74" s="426"/>
      <c r="P74" s="426"/>
      <c r="Q74" s="426"/>
      <c r="R74" s="24"/>
      <c r="S74" s="19"/>
      <c r="T74" s="19"/>
      <c r="U74" s="19"/>
      <c r="V74" s="19"/>
      <c r="W74" s="19"/>
      <c r="X74" s="19"/>
    </row>
    <row r="75" spans="1:24" hidden="1" outlineLevel="1" x14ac:dyDescent="0.2">
      <c r="A75" s="19"/>
      <c r="B75" s="19"/>
      <c r="C75" s="368" t="s">
        <v>152</v>
      </c>
      <c r="D75" s="20" t="s">
        <v>105</v>
      </c>
      <c r="E75" s="458" t="str">
        <f>IF(C75=0,0,revenueunits)</f>
        <v>$millions</v>
      </c>
      <c r="F75" s="22"/>
      <c r="G75" s="22"/>
      <c r="H75" s="22"/>
      <c r="I75" s="22"/>
      <c r="J75" s="306">
        <f t="shared" ref="J75:Q75" si="11">SUM(J71:J74)</f>
        <v>0</v>
      </c>
      <c r="K75" s="306">
        <f t="shared" si="11"/>
        <v>0</v>
      </c>
      <c r="L75" s="306">
        <f t="shared" si="11"/>
        <v>0</v>
      </c>
      <c r="M75" s="363">
        <f t="shared" si="11"/>
        <v>0</v>
      </c>
      <c r="N75" s="363">
        <f t="shared" si="11"/>
        <v>0</v>
      </c>
      <c r="O75" s="363">
        <f t="shared" si="11"/>
        <v>0</v>
      </c>
      <c r="P75" s="363">
        <f t="shared" si="11"/>
        <v>0</v>
      </c>
      <c r="Q75" s="363">
        <f t="shared" si="11"/>
        <v>0</v>
      </c>
      <c r="R75" s="24"/>
      <c r="S75" s="19"/>
      <c r="T75" s="19"/>
      <c r="U75" s="19"/>
      <c r="V75" s="19"/>
      <c r="W75" s="19"/>
      <c r="X75" s="19"/>
    </row>
    <row r="76" spans="1:24" collapsed="1" x14ac:dyDescent="0.2">
      <c r="A76" s="19"/>
      <c r="B76" s="19"/>
      <c r="C76" s="36"/>
      <c r="D76" s="20"/>
      <c r="E76" s="20"/>
      <c r="F76" s="20"/>
      <c r="G76" s="22"/>
      <c r="H76" s="22"/>
      <c r="I76" s="20"/>
      <c r="J76" s="20"/>
      <c r="K76" s="20"/>
      <c r="L76" s="20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</row>
    <row r="77" spans="1:24" ht="12.75" x14ac:dyDescent="0.2">
      <c r="A77" s="11"/>
      <c r="B77" s="12" t="s">
        <v>134</v>
      </c>
      <c r="C77" s="11"/>
      <c r="D77" s="32" t="str">
        <f>D5</f>
        <v>Source</v>
      </c>
      <c r="E77" s="32" t="str">
        <f>E5</f>
        <v>Unit</v>
      </c>
      <c r="F77" s="33"/>
      <c r="G77" s="34"/>
      <c r="H77" s="34"/>
      <c r="I77" s="34"/>
      <c r="J77" s="33" t="str">
        <f>RCPminus3</f>
        <v>2016–17</v>
      </c>
      <c r="K77" s="33" t="str">
        <f>RCPminus2</f>
        <v>2017–18</v>
      </c>
      <c r="L77" s="33" t="str">
        <f>RCPminus1</f>
        <v>2018–19</v>
      </c>
      <c r="M77" s="35" t="str">
        <f>RCP_firstyear</f>
        <v>2019–20</v>
      </c>
      <c r="N77" s="35" t="str">
        <f>RCP_secondyear</f>
        <v>2020–21</v>
      </c>
      <c r="O77" s="35" t="str">
        <f>RCP_thirdyear</f>
        <v>2021–22</v>
      </c>
      <c r="P77" s="35" t="str">
        <f>RCP_fourthyear</f>
        <v>2022–23</v>
      </c>
      <c r="Q77" s="35" t="str">
        <f>RCP_lastyear</f>
        <v>2023–24</v>
      </c>
      <c r="R77" s="55" t="s">
        <v>14</v>
      </c>
      <c r="S77" s="14"/>
      <c r="T77" s="15"/>
      <c r="U77" s="15"/>
      <c r="V77" s="15"/>
      <c r="W77" s="15"/>
      <c r="X77" s="15"/>
    </row>
    <row r="78" spans="1:24" x14ac:dyDescent="0.2">
      <c r="A78" s="19"/>
      <c r="B78" s="19"/>
      <c r="C78" s="19"/>
      <c r="D78" s="20"/>
      <c r="E78" s="20"/>
      <c r="F78" s="20"/>
      <c r="G78" s="20"/>
      <c r="H78" s="20"/>
      <c r="I78" s="20"/>
      <c r="J78" s="20"/>
      <c r="K78" s="20"/>
      <c r="L78" s="20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</row>
    <row r="79" spans="1:24" x14ac:dyDescent="0.2">
      <c r="A79" s="19"/>
      <c r="B79" s="19"/>
      <c r="C79" s="162" t="s">
        <v>135</v>
      </c>
      <c r="D79" s="20"/>
      <c r="E79" s="20"/>
      <c r="F79" s="20"/>
      <c r="G79" s="20"/>
      <c r="H79" s="20"/>
      <c r="I79" s="20"/>
      <c r="J79" s="20"/>
      <c r="K79" s="20"/>
      <c r="L79" s="20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</row>
    <row r="80" spans="1:24" x14ac:dyDescent="0.2">
      <c r="A80" s="19"/>
      <c r="B80" s="19"/>
      <c r="C80" s="367" t="s">
        <v>136</v>
      </c>
      <c r="D80" s="20" t="s">
        <v>6</v>
      </c>
      <c r="E80" s="458" t="str">
        <f>IF(C80=0,0,revenueunits)</f>
        <v>$millions</v>
      </c>
      <c r="F80" s="22"/>
      <c r="G80" s="22"/>
      <c r="H80" s="22"/>
      <c r="I80" s="22"/>
      <c r="J80" s="425">
        <v>4.0336880333660048</v>
      </c>
      <c r="K80" s="425">
        <v>9.0012765199383207</v>
      </c>
      <c r="L80" s="425">
        <v>14.166390685431971</v>
      </c>
      <c r="M80" s="425">
        <v>5.1763264994919584</v>
      </c>
      <c r="N80" s="374"/>
      <c r="O80" s="374"/>
      <c r="P80" s="374"/>
      <c r="Q80" s="374"/>
      <c r="R80" s="19" t="s">
        <v>139</v>
      </c>
      <c r="S80" s="19"/>
      <c r="T80" s="19"/>
      <c r="U80" s="19"/>
      <c r="V80" s="19"/>
      <c r="W80" s="19"/>
      <c r="X80" s="19"/>
    </row>
    <row r="81" spans="1:24" x14ac:dyDescent="0.2">
      <c r="A81" s="19"/>
      <c r="B81" s="19"/>
      <c r="C81" s="367" t="s">
        <v>137</v>
      </c>
      <c r="D81" s="20" t="s">
        <v>6</v>
      </c>
      <c r="E81" s="458" t="str">
        <f>IF(C81=0,0,revenueunits)</f>
        <v>$millions</v>
      </c>
      <c r="F81" s="22"/>
      <c r="G81" s="22"/>
      <c r="H81" s="22"/>
      <c r="I81" s="22"/>
      <c r="J81" s="425">
        <v>5.7063899544506196</v>
      </c>
      <c r="K81" s="425">
        <v>8.6679326255591338</v>
      </c>
      <c r="L81" s="425">
        <v>9.4209273761231813</v>
      </c>
      <c r="M81" s="425">
        <v>6.1486164924880757</v>
      </c>
      <c r="N81" s="374"/>
      <c r="O81" s="374"/>
      <c r="P81" s="374"/>
      <c r="Q81" s="374"/>
      <c r="R81" s="19"/>
      <c r="S81" s="19"/>
      <c r="T81" s="19"/>
      <c r="U81" s="19"/>
      <c r="V81" s="19"/>
      <c r="W81" s="19"/>
      <c r="X81" s="19"/>
    </row>
    <row r="82" spans="1:24" hidden="1" outlineLevel="1" x14ac:dyDescent="0.2">
      <c r="A82" s="19"/>
      <c r="B82" s="19"/>
      <c r="C82" s="367" t="s">
        <v>138</v>
      </c>
      <c r="D82" s="20" t="s">
        <v>6</v>
      </c>
      <c r="E82" s="458" t="str">
        <f>IF(C82=0,0,revenueunits)</f>
        <v>$millions</v>
      </c>
      <c r="F82" s="22"/>
      <c r="G82" s="22"/>
      <c r="H82" s="22"/>
      <c r="I82" s="22"/>
      <c r="J82" s="425"/>
      <c r="K82" s="425"/>
      <c r="L82" s="425"/>
      <c r="M82" s="425"/>
      <c r="N82" s="374"/>
      <c r="O82" s="374"/>
      <c r="P82" s="374"/>
      <c r="Q82" s="374"/>
      <c r="R82" s="19"/>
      <c r="S82" s="19"/>
      <c r="T82" s="19"/>
      <c r="U82" s="19"/>
      <c r="V82" s="19"/>
      <c r="W82" s="19"/>
      <c r="X82" s="19"/>
    </row>
    <row r="83" spans="1:24" collapsed="1" x14ac:dyDescent="0.2">
      <c r="A83" s="19"/>
      <c r="B83" s="19"/>
      <c r="C83" s="417"/>
      <c r="D83" s="20"/>
      <c r="E83" s="529"/>
      <c r="F83" s="22"/>
      <c r="G83" s="22"/>
      <c r="H83" s="22"/>
      <c r="I83" s="22"/>
      <c r="J83" s="374"/>
      <c r="K83" s="374"/>
      <c r="L83" s="374"/>
      <c r="M83" s="374"/>
      <c r="N83" s="374"/>
      <c r="O83" s="374"/>
      <c r="P83" s="374"/>
      <c r="Q83" s="374"/>
      <c r="R83" s="19"/>
      <c r="S83" s="19"/>
      <c r="T83" s="19"/>
      <c r="U83" s="19"/>
      <c r="V83" s="19"/>
      <c r="W83" s="19"/>
      <c r="X83" s="19"/>
    </row>
    <row r="84" spans="1:24" x14ac:dyDescent="0.2">
      <c r="A84" s="19"/>
      <c r="B84" s="19"/>
      <c r="C84" s="418" t="s">
        <v>143</v>
      </c>
      <c r="D84" s="20"/>
      <c r="E84" s="530"/>
      <c r="F84" s="22"/>
      <c r="G84" s="22"/>
      <c r="H84" s="22"/>
      <c r="I84" s="22"/>
      <c r="J84" s="374"/>
      <c r="K84" s="374"/>
      <c r="L84" s="374"/>
      <c r="M84" s="428"/>
      <c r="N84" s="428"/>
      <c r="O84" s="428"/>
      <c r="P84" s="428"/>
      <c r="Q84" s="428"/>
      <c r="R84" s="19"/>
      <c r="S84" s="19"/>
      <c r="T84" s="19"/>
      <c r="U84" s="19"/>
      <c r="V84" s="19"/>
      <c r="W84" s="19"/>
      <c r="X84" s="19"/>
    </row>
    <row r="85" spans="1:24" x14ac:dyDescent="0.2">
      <c r="A85" s="19"/>
      <c r="B85" s="19"/>
      <c r="C85" s="367" t="s">
        <v>136</v>
      </c>
      <c r="D85" s="20" t="s">
        <v>81</v>
      </c>
      <c r="E85" s="458" t="str">
        <f>IF(C85=0,0,revenueunits)</f>
        <v>$millions</v>
      </c>
      <c r="F85" s="22"/>
      <c r="G85" s="22"/>
      <c r="H85" s="22"/>
      <c r="I85" s="22"/>
      <c r="J85" s="426"/>
      <c r="K85" s="426"/>
      <c r="L85" s="426">
        <v>0.98664647022000007</v>
      </c>
      <c r="M85" s="426">
        <v>0.98031112425</v>
      </c>
      <c r="N85" s="426">
        <v>0.67133707266666698</v>
      </c>
      <c r="O85" s="426">
        <v>0.61528853869156119</v>
      </c>
      <c r="P85" s="426">
        <v>0.44438634010355171</v>
      </c>
      <c r="Q85" s="426"/>
      <c r="R85" s="19"/>
      <c r="S85" s="19"/>
      <c r="T85" s="19"/>
      <c r="U85" s="19"/>
      <c r="V85" s="19"/>
      <c r="W85" s="19"/>
      <c r="X85" s="19"/>
    </row>
    <row r="86" spans="1:24" x14ac:dyDescent="0.2">
      <c r="A86" s="19"/>
      <c r="B86" s="19"/>
      <c r="C86" s="367" t="s">
        <v>137</v>
      </c>
      <c r="D86" s="20" t="s">
        <v>81</v>
      </c>
      <c r="E86" s="458" t="str">
        <f>IF(C86=0,0,revenueunits)</f>
        <v>$millions</v>
      </c>
      <c r="F86" s="22"/>
      <c r="G86" s="22"/>
      <c r="H86" s="22"/>
      <c r="I86" s="22"/>
      <c r="J86" s="426"/>
      <c r="K86" s="426"/>
      <c r="L86" s="426">
        <v>0.30305988900000003</v>
      </c>
      <c r="M86" s="426">
        <v>0.27543036947999999</v>
      </c>
      <c r="N86" s="426">
        <v>0.18493027553333333</v>
      </c>
      <c r="O86" s="426">
        <v>0.14735878827560842</v>
      </c>
      <c r="P86" s="426">
        <v>0.1125822477840485</v>
      </c>
      <c r="Q86" s="426"/>
      <c r="R86" s="19"/>
      <c r="S86" s="19"/>
      <c r="T86" s="19"/>
      <c r="U86" s="19"/>
      <c r="V86" s="19"/>
      <c r="W86" s="19"/>
      <c r="X86" s="19"/>
    </row>
    <row r="87" spans="1:24" hidden="1" outlineLevel="1" x14ac:dyDescent="0.2">
      <c r="A87" s="19"/>
      <c r="B87" s="19"/>
      <c r="C87" s="367" t="s">
        <v>138</v>
      </c>
      <c r="D87" s="20" t="s">
        <v>81</v>
      </c>
      <c r="E87" s="458" t="str">
        <f>IF(C87=0,0,revenueunits)</f>
        <v>$millions</v>
      </c>
      <c r="F87" s="22"/>
      <c r="G87" s="22"/>
      <c r="H87" s="22"/>
      <c r="I87" s="22"/>
      <c r="J87" s="426"/>
      <c r="K87" s="426"/>
      <c r="L87" s="426"/>
      <c r="M87" s="426"/>
      <c r="N87" s="426"/>
      <c r="O87" s="426"/>
      <c r="P87" s="426"/>
      <c r="Q87" s="426"/>
      <c r="R87" s="19"/>
      <c r="S87" s="19"/>
      <c r="T87" s="19"/>
      <c r="U87" s="19"/>
      <c r="V87" s="19"/>
      <c r="W87" s="19"/>
      <c r="X87" s="19"/>
    </row>
    <row r="88" spans="1:24" collapsed="1" x14ac:dyDescent="0.2">
      <c r="A88" s="19"/>
      <c r="B88" s="19"/>
      <c r="C88" s="420"/>
      <c r="D88" s="20"/>
      <c r="E88" s="512"/>
      <c r="F88" s="22"/>
      <c r="G88" s="22"/>
      <c r="H88" s="22"/>
      <c r="I88" s="22"/>
      <c r="J88" s="374"/>
      <c r="K88" s="374"/>
      <c r="L88" s="374"/>
      <c r="M88" s="374"/>
      <c r="N88" s="374"/>
      <c r="O88" s="374"/>
      <c r="P88" s="374"/>
      <c r="Q88" s="374"/>
      <c r="R88" s="19"/>
      <c r="S88" s="19"/>
      <c r="T88" s="19"/>
      <c r="U88" s="19"/>
      <c r="V88" s="19"/>
      <c r="W88" s="19"/>
      <c r="X88" s="19"/>
    </row>
    <row r="89" spans="1:24" x14ac:dyDescent="0.2">
      <c r="A89" s="19"/>
      <c r="B89" s="19"/>
      <c r="C89" s="418" t="s">
        <v>709</v>
      </c>
      <c r="D89" s="20"/>
      <c r="E89" s="530"/>
      <c r="F89" s="22"/>
      <c r="G89" s="22"/>
      <c r="H89" s="22"/>
      <c r="I89" s="22"/>
      <c r="J89" s="374"/>
      <c r="K89" s="374"/>
      <c r="L89" s="374"/>
      <c r="M89" s="374"/>
      <c r="N89" s="374"/>
      <c r="O89" s="374"/>
      <c r="P89" s="374"/>
      <c r="Q89" s="374"/>
      <c r="R89" s="19"/>
      <c r="S89" s="19"/>
      <c r="T89" s="19"/>
      <c r="U89" s="19"/>
      <c r="V89" s="19"/>
      <c r="W89" s="19"/>
      <c r="X89" s="19"/>
    </row>
    <row r="90" spans="1:24" x14ac:dyDescent="0.2">
      <c r="A90" s="19"/>
      <c r="B90" s="19"/>
      <c r="C90" s="367" t="s">
        <v>136</v>
      </c>
      <c r="D90" s="20" t="s">
        <v>6</v>
      </c>
      <c r="E90" s="458" t="str">
        <f>IF(C90=0,0,revenueunits)</f>
        <v>$millions</v>
      </c>
      <c r="F90" s="22"/>
      <c r="G90" s="22"/>
      <c r="H90" s="22"/>
      <c r="I90" s="22"/>
      <c r="J90" s="425">
        <v>295.10875900994807</v>
      </c>
      <c r="K90" s="425">
        <v>229.01605730765593</v>
      </c>
      <c r="L90" s="425">
        <v>251.84024273999998</v>
      </c>
      <c r="M90" s="429"/>
      <c r="N90" s="374"/>
      <c r="O90" s="374"/>
      <c r="P90" s="374"/>
      <c r="Q90" s="374"/>
      <c r="R90" s="19" t="s">
        <v>711</v>
      </c>
      <c r="S90" s="19"/>
      <c r="T90" s="19"/>
      <c r="U90" s="19"/>
      <c r="V90" s="19"/>
      <c r="W90" s="19"/>
      <c r="X90" s="19"/>
    </row>
    <row r="91" spans="1:24" x14ac:dyDescent="0.2">
      <c r="A91" s="19"/>
      <c r="B91" s="19"/>
      <c r="C91" s="367" t="s">
        <v>137</v>
      </c>
      <c r="D91" s="20" t="s">
        <v>6</v>
      </c>
      <c r="E91" s="458" t="str">
        <f>IF(C91=0,0,revenueunits)</f>
        <v>$millions</v>
      </c>
      <c r="F91" s="22"/>
      <c r="G91" s="22"/>
      <c r="H91" s="22"/>
      <c r="I91" s="22"/>
      <c r="J91" s="425">
        <v>97.230046152781242</v>
      </c>
      <c r="K91" s="425">
        <v>95.092338999999996</v>
      </c>
      <c r="L91" s="425">
        <v>86.459856786635086</v>
      </c>
      <c r="M91" s="429"/>
      <c r="N91" s="374"/>
      <c r="O91" s="374"/>
      <c r="P91" s="374"/>
      <c r="Q91" s="374"/>
      <c r="R91" s="19" t="s">
        <v>711</v>
      </c>
      <c r="S91" s="19"/>
      <c r="T91" s="19"/>
      <c r="U91" s="19"/>
      <c r="V91" s="19"/>
      <c r="W91" s="19"/>
      <c r="X91" s="19"/>
    </row>
    <row r="92" spans="1:24" hidden="1" outlineLevel="1" x14ac:dyDescent="0.2">
      <c r="A92" s="19"/>
      <c r="B92" s="19"/>
      <c r="C92" s="367" t="s">
        <v>138</v>
      </c>
      <c r="D92" s="20" t="s">
        <v>6</v>
      </c>
      <c r="E92" s="458" t="str">
        <f>IF(C92=0,0,revenueunits)</f>
        <v>$millions</v>
      </c>
      <c r="F92" s="22"/>
      <c r="G92" s="22"/>
      <c r="H92" s="22"/>
      <c r="I92" s="22"/>
      <c r="J92" s="425"/>
      <c r="K92" s="425"/>
      <c r="L92" s="425"/>
      <c r="M92" s="429"/>
      <c r="N92" s="374"/>
      <c r="O92" s="374"/>
      <c r="P92" s="374"/>
      <c r="Q92" s="374"/>
      <c r="R92" s="19" t="s">
        <v>711</v>
      </c>
      <c r="S92" s="19"/>
      <c r="T92" s="19"/>
      <c r="U92" s="19"/>
      <c r="V92" s="19"/>
      <c r="W92" s="19"/>
      <c r="X92" s="19"/>
    </row>
    <row r="93" spans="1:24" collapsed="1" x14ac:dyDescent="0.2">
      <c r="A93" s="19"/>
      <c r="B93" s="19"/>
      <c r="C93" s="36"/>
      <c r="D93" s="20"/>
      <c r="E93" s="512"/>
      <c r="F93" s="20"/>
      <c r="G93" s="22"/>
      <c r="H93" s="22"/>
      <c r="I93" s="20"/>
      <c r="J93" s="374"/>
      <c r="K93" s="374"/>
      <c r="L93" s="374"/>
      <c r="M93" s="345"/>
      <c r="N93" s="345"/>
      <c r="O93" s="345"/>
      <c r="P93" s="345"/>
      <c r="Q93" s="345"/>
      <c r="R93" s="19"/>
      <c r="S93" s="19"/>
      <c r="T93" s="19"/>
      <c r="U93" s="19"/>
      <c r="V93" s="19"/>
      <c r="W93" s="19"/>
      <c r="X93" s="19"/>
    </row>
    <row r="94" spans="1:24" x14ac:dyDescent="0.2">
      <c r="A94" s="19"/>
      <c r="B94" s="19"/>
      <c r="C94" s="367" t="s">
        <v>371</v>
      </c>
      <c r="D94" s="20" t="s">
        <v>6</v>
      </c>
      <c r="E94" s="458" t="str">
        <f>IF(C94=0,0,revenueunits)</f>
        <v>$millions</v>
      </c>
      <c r="F94" s="20"/>
      <c r="G94" s="22"/>
      <c r="H94" s="22"/>
      <c r="I94" s="20"/>
      <c r="J94" s="423"/>
      <c r="K94" s="423"/>
      <c r="L94" s="423"/>
      <c r="M94" s="423"/>
      <c r="N94" s="423"/>
      <c r="O94" s="423"/>
      <c r="P94" s="423"/>
      <c r="Q94" s="423"/>
      <c r="R94" s="19"/>
      <c r="S94" s="19"/>
      <c r="T94" s="19"/>
      <c r="U94" s="19"/>
      <c r="V94" s="19"/>
      <c r="W94" s="19"/>
      <c r="X94" s="19"/>
    </row>
    <row r="95" spans="1:24" x14ac:dyDescent="0.2">
      <c r="A95" s="19"/>
      <c r="B95" s="19"/>
      <c r="C95" s="36"/>
      <c r="D95" s="20"/>
      <c r="E95" s="512"/>
      <c r="F95" s="20"/>
      <c r="G95" s="22"/>
      <c r="H95" s="22"/>
      <c r="I95" s="20"/>
      <c r="J95" s="374"/>
      <c r="K95" s="374"/>
      <c r="L95" s="374"/>
      <c r="M95" s="345"/>
      <c r="N95" s="345"/>
      <c r="O95" s="345"/>
      <c r="P95" s="345"/>
      <c r="Q95" s="345"/>
      <c r="R95" s="19"/>
      <c r="S95" s="19"/>
      <c r="T95" s="19"/>
      <c r="U95" s="19"/>
      <c r="V95" s="19"/>
      <c r="W95" s="19"/>
      <c r="X95" s="19"/>
    </row>
    <row r="96" spans="1:24" x14ac:dyDescent="0.2">
      <c r="A96" s="19"/>
      <c r="B96" s="19"/>
      <c r="C96" s="418" t="s">
        <v>545</v>
      </c>
      <c r="D96" s="20"/>
      <c r="E96" s="530"/>
      <c r="F96" s="22"/>
      <c r="G96" s="22"/>
      <c r="H96" s="22"/>
      <c r="I96" s="22"/>
      <c r="J96" s="374"/>
      <c r="K96" s="374"/>
      <c r="L96" s="374"/>
      <c r="M96" s="428"/>
      <c r="N96" s="428"/>
      <c r="O96" s="428"/>
      <c r="P96" s="428"/>
      <c r="Q96" s="428"/>
      <c r="R96" s="19"/>
      <c r="S96" s="19"/>
      <c r="T96" s="19"/>
      <c r="U96" s="19"/>
      <c r="V96" s="19"/>
      <c r="W96" s="19"/>
      <c r="X96" s="19"/>
    </row>
    <row r="97" spans="1:24" x14ac:dyDescent="0.2">
      <c r="A97" s="19"/>
      <c r="B97" s="19"/>
      <c r="C97" s="367" t="s">
        <v>136</v>
      </c>
      <c r="D97" s="20" t="s">
        <v>81</v>
      </c>
      <c r="E97" s="458" t="str">
        <f>IF(C97=0,0,revenueunits)</f>
        <v>$millions</v>
      </c>
      <c r="F97" s="22"/>
      <c r="G97" s="22"/>
      <c r="H97" s="22"/>
      <c r="I97" s="22"/>
      <c r="J97" s="425">
        <v>297.48486134437132</v>
      </c>
      <c r="K97" s="425">
        <v>236.97226058007024</v>
      </c>
      <c r="L97" s="426">
        <v>239.39037521337704</v>
      </c>
      <c r="M97" s="426">
        <v>243.6353134126627</v>
      </c>
      <c r="N97" s="426">
        <v>239.46245142390038</v>
      </c>
      <c r="O97" s="426"/>
      <c r="P97" s="426"/>
      <c r="Q97" s="426"/>
      <c r="R97" s="19"/>
      <c r="S97" s="19"/>
      <c r="T97" s="19"/>
      <c r="U97" s="19"/>
      <c r="V97" s="19"/>
      <c r="W97" s="19"/>
      <c r="X97" s="19"/>
    </row>
    <row r="98" spans="1:24" x14ac:dyDescent="0.2">
      <c r="A98" s="19"/>
      <c r="B98" s="19"/>
      <c r="C98" s="367" t="s">
        <v>137</v>
      </c>
      <c r="D98" s="20" t="s">
        <v>81</v>
      </c>
      <c r="E98" s="458" t="str">
        <f>IF(C98=0,0,revenueunits)</f>
        <v>$millions</v>
      </c>
      <c r="F98" s="22"/>
      <c r="G98" s="22"/>
      <c r="H98" s="22"/>
      <c r="I98" s="22"/>
      <c r="J98" s="425">
        <v>94.471288024248366</v>
      </c>
      <c r="K98" s="425">
        <v>93.009411694489984</v>
      </c>
      <c r="L98" s="426">
        <v>80.049218948767518</v>
      </c>
      <c r="M98" s="426">
        <v>78.018027580520013</v>
      </c>
      <c r="N98" s="426">
        <v>73.735183329341183</v>
      </c>
      <c r="O98" s="426"/>
      <c r="P98" s="426"/>
      <c r="Q98" s="426"/>
      <c r="R98" s="19"/>
      <c r="S98" s="19"/>
      <c r="T98" s="19"/>
      <c r="U98" s="19"/>
      <c r="V98" s="19"/>
      <c r="W98" s="19"/>
      <c r="X98" s="19"/>
    </row>
    <row r="99" spans="1:24" hidden="1" outlineLevel="1" x14ac:dyDescent="0.2">
      <c r="A99" s="19"/>
      <c r="B99" s="19"/>
      <c r="C99" s="367" t="s">
        <v>138</v>
      </c>
      <c r="D99" s="20" t="s">
        <v>81</v>
      </c>
      <c r="E99" s="458" t="str">
        <f>IF(C99=0,0,revenueunits)</f>
        <v>$millions</v>
      </c>
      <c r="F99" s="22"/>
      <c r="G99" s="22"/>
      <c r="H99" s="22"/>
      <c r="I99" s="22"/>
      <c r="J99" s="425"/>
      <c r="K99" s="425"/>
      <c r="L99" s="426"/>
      <c r="M99" s="426"/>
      <c r="N99" s="426"/>
      <c r="O99" s="426"/>
      <c r="P99" s="426"/>
      <c r="Q99" s="426"/>
      <c r="R99" s="19"/>
      <c r="S99" s="19"/>
      <c r="T99" s="19"/>
      <c r="U99" s="19"/>
      <c r="V99" s="19"/>
      <c r="W99" s="19"/>
      <c r="X99" s="19"/>
    </row>
    <row r="100" spans="1:24" collapsed="1" x14ac:dyDescent="0.2">
      <c r="A100" s="19"/>
      <c r="B100" s="19"/>
      <c r="C100" s="36"/>
      <c r="D100" s="20"/>
      <c r="E100" s="20"/>
      <c r="F100" s="20"/>
      <c r="G100" s="22"/>
      <c r="H100" s="22"/>
      <c r="I100" s="20"/>
      <c r="J100" s="20"/>
      <c r="K100" s="20"/>
      <c r="L100" s="20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</row>
    <row r="101" spans="1:24" x14ac:dyDescent="0.2">
      <c r="A101" s="19"/>
      <c r="B101" s="19"/>
      <c r="C101" s="418" t="s">
        <v>758</v>
      </c>
      <c r="D101" s="20"/>
      <c r="E101" s="530"/>
      <c r="F101" s="20"/>
      <c r="G101" s="22"/>
      <c r="H101" s="22"/>
      <c r="I101" s="20"/>
      <c r="J101" s="20"/>
      <c r="K101" s="20"/>
      <c r="L101" s="20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</row>
    <row r="102" spans="1:24" x14ac:dyDescent="0.2">
      <c r="A102" s="19"/>
      <c r="B102" s="19"/>
      <c r="C102" s="367" t="s">
        <v>136</v>
      </c>
      <c r="D102" s="20" t="s">
        <v>6</v>
      </c>
      <c r="E102" s="458" t="str">
        <f>IF(C102=0,0,revenueunits)</f>
        <v>$millions</v>
      </c>
      <c r="F102" s="20"/>
      <c r="G102" s="22"/>
      <c r="H102" s="22"/>
      <c r="I102" s="20"/>
      <c r="J102" s="576"/>
      <c r="K102" s="576"/>
      <c r="L102" s="576"/>
      <c r="M102" s="567"/>
      <c r="N102" s="567"/>
      <c r="O102" s="567"/>
      <c r="P102" s="567">
        <v>265.98603131345772</v>
      </c>
      <c r="Q102" s="567"/>
      <c r="R102" s="19" t="s">
        <v>759</v>
      </c>
      <c r="S102" s="19"/>
      <c r="T102" s="19"/>
      <c r="U102" s="19"/>
      <c r="V102" s="19"/>
      <c r="W102" s="19"/>
      <c r="X102" s="19"/>
    </row>
    <row r="103" spans="1:24" x14ac:dyDescent="0.2">
      <c r="A103" s="19"/>
      <c r="B103" s="19"/>
      <c r="C103" s="367" t="s">
        <v>137</v>
      </c>
      <c r="D103" s="20" t="s">
        <v>6</v>
      </c>
      <c r="E103" s="458" t="str">
        <f>IF(C103=0,0,revenueunits)</f>
        <v>$millions</v>
      </c>
      <c r="F103" s="20"/>
      <c r="G103" s="22"/>
      <c r="H103" s="22"/>
      <c r="I103" s="20"/>
      <c r="J103" s="576"/>
      <c r="K103" s="576"/>
      <c r="L103" s="576"/>
      <c r="M103" s="567"/>
      <c r="N103" s="567"/>
      <c r="O103" s="567"/>
      <c r="P103" s="567">
        <v>64.549838112978463</v>
      </c>
      <c r="Q103" s="567"/>
      <c r="R103" s="19" t="s">
        <v>760</v>
      </c>
      <c r="S103" s="19"/>
      <c r="T103" s="19"/>
      <c r="U103" s="19"/>
      <c r="V103" s="19"/>
      <c r="W103" s="19"/>
      <c r="X103" s="19"/>
    </row>
    <row r="104" spans="1:24" hidden="1" outlineLevel="1" x14ac:dyDescent="0.2">
      <c r="A104" s="19"/>
      <c r="B104" s="19"/>
      <c r="C104" s="367" t="s">
        <v>138</v>
      </c>
      <c r="D104" s="20" t="s">
        <v>6</v>
      </c>
      <c r="E104" s="458" t="str">
        <f>IF(C104=0,0,revenueunits)</f>
        <v>$millions</v>
      </c>
      <c r="F104" s="20"/>
      <c r="G104" s="22"/>
      <c r="H104" s="22"/>
      <c r="I104" s="20"/>
      <c r="J104" s="576"/>
      <c r="K104" s="576"/>
      <c r="L104" s="576"/>
      <c r="M104" s="567"/>
      <c r="N104" s="567"/>
      <c r="O104" s="567"/>
      <c r="P104" s="567"/>
      <c r="Q104" s="567"/>
      <c r="R104" s="19"/>
      <c r="S104" s="19"/>
      <c r="T104" s="19"/>
      <c r="U104" s="19"/>
      <c r="V104" s="19"/>
      <c r="W104" s="19"/>
      <c r="X104" s="19"/>
    </row>
    <row r="105" spans="1:24" collapsed="1" x14ac:dyDescent="0.2">
      <c r="A105" s="19"/>
      <c r="B105" s="19"/>
      <c r="C105" s="36"/>
      <c r="D105" s="20"/>
      <c r="E105" s="20"/>
      <c r="F105" s="20"/>
      <c r="G105" s="22"/>
      <c r="H105" s="22"/>
      <c r="I105" s="20"/>
      <c r="J105" s="20"/>
      <c r="K105" s="20"/>
      <c r="L105" s="20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</row>
    <row r="106" spans="1:24" ht="12.75" x14ac:dyDescent="0.2">
      <c r="A106" s="11"/>
      <c r="B106" s="12" t="s">
        <v>369</v>
      </c>
      <c r="C106" s="11"/>
      <c r="D106" s="32" t="str">
        <f>D5</f>
        <v>Source</v>
      </c>
      <c r="E106" s="32" t="str">
        <f>E5</f>
        <v>Unit</v>
      </c>
      <c r="F106" s="32"/>
      <c r="G106" s="32"/>
      <c r="H106" s="32"/>
      <c r="I106" s="32"/>
      <c r="J106" s="33" t="str">
        <f>RCPminus3</f>
        <v>2016–17</v>
      </c>
      <c r="K106" s="33" t="str">
        <f>RCPminus2</f>
        <v>2017–18</v>
      </c>
      <c r="L106" s="33" t="str">
        <f>RCPminus1</f>
        <v>2018–19</v>
      </c>
      <c r="M106" s="35" t="str">
        <f>RCP_firstyear</f>
        <v>2019–20</v>
      </c>
      <c r="N106" s="35" t="str">
        <f>RCP_secondyear</f>
        <v>2020–21</v>
      </c>
      <c r="O106" s="35" t="str">
        <f>RCP_thirdyear</f>
        <v>2021–22</v>
      </c>
      <c r="P106" s="35" t="str">
        <f>RCP_fourthyear</f>
        <v>2022–23</v>
      </c>
      <c r="Q106" s="35" t="str">
        <f>RCP_lastyear</f>
        <v>2023–24</v>
      </c>
      <c r="R106" s="54" t="s">
        <v>14</v>
      </c>
      <c r="S106" s="14"/>
      <c r="T106" s="15"/>
      <c r="U106" s="15"/>
      <c r="V106" s="15"/>
      <c r="W106" s="15"/>
      <c r="X106" s="15"/>
    </row>
    <row r="107" spans="1:24" x14ac:dyDescent="0.2">
      <c r="A107" s="19"/>
      <c r="B107" s="19"/>
      <c r="C107" s="36"/>
      <c r="D107" s="20"/>
      <c r="E107" s="20"/>
      <c r="F107" s="22"/>
      <c r="G107" s="22"/>
      <c r="H107" s="22"/>
      <c r="I107" s="20"/>
      <c r="J107" s="20"/>
      <c r="K107" s="20"/>
      <c r="L107" s="20"/>
      <c r="M107" s="37"/>
      <c r="N107" s="37"/>
      <c r="O107" s="37"/>
      <c r="P107" s="37"/>
      <c r="Q107" s="37"/>
      <c r="R107" s="19"/>
      <c r="S107" s="19"/>
      <c r="T107" s="19"/>
      <c r="U107" s="19"/>
      <c r="V107" s="19"/>
      <c r="W107" s="19"/>
      <c r="X107" s="19"/>
    </row>
    <row r="108" spans="1:24" hidden="1" outlineLevel="1" x14ac:dyDescent="0.2">
      <c r="A108" s="19"/>
      <c r="B108" s="19"/>
      <c r="C108" s="367" t="s">
        <v>141</v>
      </c>
      <c r="D108" s="20" t="s">
        <v>103</v>
      </c>
      <c r="E108" s="526" t="s">
        <v>19</v>
      </c>
      <c r="F108" s="22"/>
      <c r="G108" s="22"/>
      <c r="H108" s="22"/>
      <c r="I108" s="22"/>
      <c r="J108" s="407"/>
      <c r="K108" s="407"/>
      <c r="L108" s="407"/>
      <c r="M108" s="421"/>
      <c r="N108" s="413"/>
      <c r="O108" s="413"/>
      <c r="P108" s="413"/>
      <c r="Q108" s="413"/>
      <c r="R108" s="19"/>
      <c r="S108" s="19"/>
      <c r="T108" s="19"/>
      <c r="U108" s="19"/>
      <c r="V108" s="19"/>
      <c r="W108" s="19"/>
      <c r="X108" s="19"/>
    </row>
    <row r="109" spans="1:24" hidden="1" outlineLevel="1" x14ac:dyDescent="0.2">
      <c r="A109" s="19"/>
      <c r="B109" s="19"/>
      <c r="C109" s="367" t="s">
        <v>142</v>
      </c>
      <c r="D109" s="20" t="s">
        <v>103</v>
      </c>
      <c r="E109" s="458" t="str">
        <f>IF(C109=0,0,revenueunits)</f>
        <v>$millions</v>
      </c>
      <c r="F109" s="22"/>
      <c r="G109" s="22"/>
      <c r="H109" s="22"/>
      <c r="I109" s="22"/>
      <c r="J109" s="425"/>
      <c r="K109" s="425"/>
      <c r="L109" s="425"/>
      <c r="M109" s="423"/>
      <c r="N109" s="423"/>
      <c r="O109" s="423"/>
      <c r="P109" s="423"/>
      <c r="Q109" s="423"/>
      <c r="R109" s="19"/>
      <c r="S109" s="19"/>
      <c r="T109" s="19"/>
      <c r="U109" s="19"/>
      <c r="V109" s="19"/>
      <c r="W109" s="19"/>
      <c r="X109" s="19"/>
    </row>
    <row r="110" spans="1:24" hidden="1" outlineLevel="1" x14ac:dyDescent="0.2">
      <c r="A110" s="19"/>
      <c r="B110" s="19"/>
      <c r="C110" s="414"/>
      <c r="D110" s="20"/>
      <c r="E110" s="531"/>
      <c r="F110" s="22"/>
      <c r="G110" s="22"/>
      <c r="H110" s="22"/>
      <c r="I110" s="22"/>
      <c r="J110" s="374"/>
      <c r="K110" s="374"/>
      <c r="L110" s="374"/>
      <c r="M110" s="307"/>
      <c r="N110" s="307"/>
      <c r="O110" s="307"/>
      <c r="P110" s="307"/>
      <c r="Q110" s="307"/>
      <c r="R110" s="19"/>
      <c r="S110" s="19"/>
      <c r="T110" s="19"/>
      <c r="U110" s="19"/>
      <c r="V110" s="19"/>
      <c r="W110" s="19"/>
      <c r="X110" s="19"/>
    </row>
    <row r="111" spans="1:24" hidden="1" outlineLevel="1" x14ac:dyDescent="0.2">
      <c r="A111" s="19"/>
      <c r="B111" s="19"/>
      <c r="C111" s="367" t="s">
        <v>131</v>
      </c>
      <c r="D111" s="20" t="s">
        <v>6</v>
      </c>
      <c r="E111" s="458" t="str">
        <f t="shared" ref="E111:E119" si="12">IF(C111=0,0,revenueunits)</f>
        <v>$millions</v>
      </c>
      <c r="F111" s="22"/>
      <c r="G111" s="22"/>
      <c r="H111" s="22"/>
      <c r="I111" s="22"/>
      <c r="J111" s="374"/>
      <c r="K111" s="374"/>
      <c r="L111" s="374"/>
      <c r="M111" s="423"/>
      <c r="N111" s="423"/>
      <c r="O111" s="423"/>
      <c r="P111" s="423"/>
      <c r="Q111" s="423"/>
      <c r="R111" s="19"/>
      <c r="S111" s="19"/>
      <c r="T111" s="19"/>
      <c r="U111" s="19"/>
      <c r="V111" s="19"/>
      <c r="W111" s="19"/>
      <c r="X111" s="19"/>
    </row>
    <row r="112" spans="1:24" hidden="1" outlineLevel="1" x14ac:dyDescent="0.2">
      <c r="A112" s="19"/>
      <c r="B112" s="19"/>
      <c r="C112" s="367" t="s">
        <v>132</v>
      </c>
      <c r="D112" s="20" t="s">
        <v>6</v>
      </c>
      <c r="E112" s="458" t="str">
        <f t="shared" si="12"/>
        <v>$millions</v>
      </c>
      <c r="F112" s="22"/>
      <c r="G112" s="22"/>
      <c r="H112" s="22"/>
      <c r="I112" s="22"/>
      <c r="J112" s="374"/>
      <c r="K112" s="374"/>
      <c r="L112" s="374"/>
      <c r="M112" s="423"/>
      <c r="N112" s="424"/>
      <c r="O112" s="424"/>
      <c r="P112" s="424"/>
      <c r="Q112" s="424"/>
      <c r="R112" s="19"/>
      <c r="S112" s="19"/>
      <c r="T112" s="19"/>
      <c r="U112" s="19"/>
      <c r="V112" s="19"/>
      <c r="W112" s="19"/>
      <c r="X112" s="19"/>
    </row>
    <row r="113" spans="1:24" hidden="1" outlineLevel="1" x14ac:dyDescent="0.2">
      <c r="A113" s="19"/>
      <c r="B113" s="19"/>
      <c r="C113" s="368" t="s">
        <v>231</v>
      </c>
      <c r="D113" s="20" t="s">
        <v>105</v>
      </c>
      <c r="E113" s="458" t="str">
        <f t="shared" si="12"/>
        <v>$millions</v>
      </c>
      <c r="F113" s="22"/>
      <c r="G113" s="22"/>
      <c r="H113" s="22"/>
      <c r="I113" s="22"/>
      <c r="J113" s="374"/>
      <c r="K113" s="374"/>
      <c r="L113" s="374"/>
      <c r="M113" s="363">
        <f>SUM(M111:M112)</f>
        <v>0</v>
      </c>
      <c r="N113" s="363">
        <f>SUM(N111:N112)</f>
        <v>0</v>
      </c>
      <c r="O113" s="363">
        <f>SUM(O111:O112)</f>
        <v>0</v>
      </c>
      <c r="P113" s="363">
        <f>SUM(P111:P112)</f>
        <v>0</v>
      </c>
      <c r="Q113" s="363">
        <f>SUM(Q111:Q112)</f>
        <v>0</v>
      </c>
      <c r="R113" s="24"/>
      <c r="S113" s="19"/>
      <c r="T113" s="19"/>
      <c r="U113" s="19"/>
      <c r="V113" s="19"/>
      <c r="W113" s="19"/>
      <c r="X113" s="19"/>
    </row>
    <row r="114" spans="1:24" hidden="1" outlineLevel="1" x14ac:dyDescent="0.2">
      <c r="A114" s="19"/>
      <c r="B114" s="19"/>
      <c r="C114" s="367" t="s">
        <v>133</v>
      </c>
      <c r="D114" s="20" t="s">
        <v>6</v>
      </c>
      <c r="E114" s="458" t="str">
        <f t="shared" si="12"/>
        <v>$millions</v>
      </c>
      <c r="F114" s="22"/>
      <c r="G114" s="22"/>
      <c r="H114" s="22"/>
      <c r="I114" s="22"/>
      <c r="J114" s="430"/>
      <c r="K114" s="430"/>
      <c r="L114" s="430"/>
      <c r="M114" s="431">
        <f>-Accounts!M63*(1+M$9)^0.5</f>
        <v>0</v>
      </c>
      <c r="N114" s="431">
        <f>-Accounts!N63*(1+N$9)^0.5</f>
        <v>0</v>
      </c>
      <c r="O114" s="431">
        <f>-Accounts!O63*(1+O$9)^0.5</f>
        <v>0</v>
      </c>
      <c r="P114" s="431">
        <f>-Accounts!P63*(1+P$9)^0.5</f>
        <v>0</v>
      </c>
      <c r="Q114" s="431">
        <f>-Accounts!Q63*(1+Q$9)^0.5</f>
        <v>0</v>
      </c>
      <c r="R114" s="19"/>
      <c r="S114" s="19"/>
      <c r="T114" s="19"/>
      <c r="U114" s="19"/>
      <c r="V114" s="19"/>
      <c r="W114" s="19"/>
      <c r="X114" s="19"/>
    </row>
    <row r="115" spans="1:24" hidden="1" outlineLevel="1" x14ac:dyDescent="0.2">
      <c r="A115" s="19"/>
      <c r="B115" s="19"/>
      <c r="C115" s="367" t="s">
        <v>140</v>
      </c>
      <c r="D115" s="20" t="s">
        <v>6</v>
      </c>
      <c r="E115" s="458" t="str">
        <f t="shared" si="12"/>
        <v>$millions</v>
      </c>
      <c r="F115" s="22"/>
      <c r="G115" s="22"/>
      <c r="H115" s="22"/>
      <c r="I115" s="22"/>
      <c r="J115" s="575"/>
      <c r="K115" s="575"/>
      <c r="L115" s="374"/>
      <c r="M115" s="374"/>
      <c r="N115" s="374"/>
      <c r="O115" s="374"/>
      <c r="P115" s="374"/>
      <c r="Q115" s="374"/>
      <c r="R115" s="19"/>
      <c r="S115" s="19"/>
      <c r="T115" s="19"/>
      <c r="U115" s="19"/>
      <c r="V115" s="19"/>
      <c r="W115" s="19"/>
      <c r="X115" s="19"/>
    </row>
    <row r="116" spans="1:24" hidden="1" outlineLevel="1" x14ac:dyDescent="0.2">
      <c r="A116" s="19"/>
      <c r="B116" s="19"/>
      <c r="C116" s="367" t="s">
        <v>143</v>
      </c>
      <c r="D116" s="20" t="s">
        <v>81</v>
      </c>
      <c r="E116" s="458" t="str">
        <f t="shared" si="12"/>
        <v>$millions</v>
      </c>
      <c r="F116" s="22"/>
      <c r="G116" s="22"/>
      <c r="H116" s="22"/>
      <c r="I116" s="22"/>
      <c r="J116" s="426"/>
      <c r="K116" s="426"/>
      <c r="L116" s="426"/>
      <c r="M116" s="426"/>
      <c r="N116" s="426"/>
      <c r="O116" s="426"/>
      <c r="P116" s="426"/>
      <c r="Q116" s="426"/>
      <c r="R116" s="19"/>
      <c r="S116" s="19"/>
      <c r="T116" s="19"/>
      <c r="U116" s="19"/>
      <c r="V116" s="19"/>
      <c r="W116" s="19"/>
      <c r="X116" s="19"/>
    </row>
    <row r="117" spans="1:24" hidden="1" outlineLevel="1" x14ac:dyDescent="0.2">
      <c r="A117" s="19"/>
      <c r="B117" s="19"/>
      <c r="C117" s="367" t="s">
        <v>710</v>
      </c>
      <c r="D117" s="20" t="s">
        <v>6</v>
      </c>
      <c r="E117" s="458" t="str">
        <f t="shared" si="12"/>
        <v>$millions</v>
      </c>
      <c r="F117" s="22"/>
      <c r="G117" s="22"/>
      <c r="H117" s="22"/>
      <c r="I117" s="22"/>
      <c r="J117" s="432"/>
      <c r="K117" s="432"/>
      <c r="L117" s="432"/>
      <c r="M117" s="429"/>
      <c r="N117" s="374"/>
      <c r="O117" s="374"/>
      <c r="P117" s="374"/>
      <c r="Q117" s="374"/>
      <c r="R117" s="19" t="s">
        <v>711</v>
      </c>
      <c r="S117" s="19"/>
      <c r="T117" s="19"/>
      <c r="U117" s="19"/>
      <c r="V117" s="19"/>
      <c r="W117" s="19"/>
      <c r="X117" s="19"/>
    </row>
    <row r="118" spans="1:24" hidden="1" outlineLevel="1" x14ac:dyDescent="0.2">
      <c r="A118" s="19"/>
      <c r="B118" s="19"/>
      <c r="C118" s="367" t="s">
        <v>545</v>
      </c>
      <c r="D118" s="20" t="s">
        <v>81</v>
      </c>
      <c r="E118" s="458" t="str">
        <f t="shared" si="12"/>
        <v>$millions</v>
      </c>
      <c r="F118" s="22"/>
      <c r="G118" s="22"/>
      <c r="H118" s="22"/>
      <c r="I118" s="22"/>
      <c r="J118" s="425"/>
      <c r="K118" s="425"/>
      <c r="L118" s="426"/>
      <c r="M118" s="426"/>
      <c r="N118" s="426"/>
      <c r="O118" s="426"/>
      <c r="P118" s="426"/>
      <c r="Q118" s="426"/>
      <c r="R118" s="19"/>
      <c r="S118" s="19"/>
      <c r="T118" s="19"/>
      <c r="U118" s="19"/>
      <c r="V118" s="19"/>
      <c r="W118" s="19"/>
      <c r="X118" s="19"/>
    </row>
    <row r="119" spans="1:24" hidden="1" outlineLevel="1" x14ac:dyDescent="0.2">
      <c r="A119" s="19"/>
      <c r="B119" s="19"/>
      <c r="C119" s="367" t="s">
        <v>761</v>
      </c>
      <c r="D119" s="20" t="s">
        <v>6</v>
      </c>
      <c r="E119" s="458" t="str">
        <f t="shared" si="12"/>
        <v>$millions</v>
      </c>
      <c r="F119" s="22"/>
      <c r="G119" s="22"/>
      <c r="H119" s="22"/>
      <c r="I119" s="22"/>
      <c r="J119" s="423"/>
      <c r="K119" s="423"/>
      <c r="L119" s="423"/>
      <c r="M119" s="423"/>
      <c r="N119" s="423"/>
      <c r="O119" s="423"/>
      <c r="P119" s="423"/>
      <c r="Q119" s="423"/>
      <c r="R119" s="19"/>
      <c r="S119" s="19"/>
      <c r="T119" s="19"/>
      <c r="U119" s="19"/>
      <c r="V119" s="19"/>
      <c r="W119" s="19"/>
      <c r="X119" s="19"/>
    </row>
    <row r="120" spans="1:24" collapsed="1" x14ac:dyDescent="0.2">
      <c r="A120" s="19"/>
      <c r="B120" s="19"/>
      <c r="C120" s="19"/>
      <c r="D120" s="20"/>
      <c r="E120" s="20"/>
      <c r="F120" s="22"/>
      <c r="G120" s="22"/>
      <c r="H120" s="22"/>
      <c r="I120" s="20"/>
      <c r="J120" s="20"/>
      <c r="K120" s="20"/>
      <c r="L120" s="20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</row>
    <row r="121" spans="1:24" ht="12.75" x14ac:dyDescent="0.2">
      <c r="A121" s="11"/>
      <c r="B121" s="12" t="s">
        <v>8</v>
      </c>
      <c r="C121" s="11"/>
      <c r="D121" s="32"/>
      <c r="E121" s="32"/>
      <c r="F121" s="33"/>
      <c r="G121" s="34"/>
      <c r="H121" s="34"/>
      <c r="I121" s="34"/>
      <c r="J121" s="33"/>
      <c r="K121" s="33"/>
      <c r="L121" s="33"/>
      <c r="M121" s="35"/>
      <c r="N121" s="35"/>
      <c r="O121" s="35"/>
      <c r="P121" s="35"/>
      <c r="Q121" s="35"/>
      <c r="R121" s="14"/>
      <c r="S121" s="14"/>
      <c r="T121" s="15"/>
      <c r="U121" s="15"/>
      <c r="V121" s="15"/>
      <c r="W121" s="15"/>
      <c r="X121" s="15"/>
    </row>
  </sheetData>
  <sheetProtection formatColumns="0" formatRows="0"/>
  <conditionalFormatting sqref="M42:Q1048576 M1:Q39">
    <cfRule type="expression" dxfId="13" priority="50">
      <formula>M$5=forecastyear</formula>
    </cfRule>
  </conditionalFormatting>
  <conditionalFormatting sqref="M40:Q41">
    <cfRule type="expression" dxfId="12" priority="8">
      <formula>M$5=forecastyear</formula>
    </cfRule>
  </conditionalFormatting>
  <conditionalFormatting sqref="M31:Q31 M50:Q50 M68:Q68 M114:Q114">
    <cfRule type="expression" dxfId="11" priority="7">
      <formula>M$14&lt;forecastyear</formula>
    </cfRule>
  </conditionalFormatting>
  <dataValidations disablePrompts="1" count="1">
    <dataValidation type="list" allowBlank="1" showInputMessage="1" showErrorMessage="1" sqref="E69:E70 E17 E51:E52 E83:E84 E88:E89 E96" xr:uid="{00000000-0002-0000-0A00-000000000000}">
      <formula1>$G$11:$G$18</formula1>
    </dataValidation>
  </dataValidations>
  <hyperlinks>
    <hyperlink ref="J1" location="'Pricing model'!A51" display="Back to Index" xr:uid="{00000000-0004-0000-0A00-000000000000}"/>
  </hyperlink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A00-000001000000}">
          <x14:formula1>
            <xm:f>Lookups!$G$9:$G$16</xm:f>
          </x14:formula1>
          <xm:sqref>E110 E7:E10 E108</xm:sqref>
        </x14:dataValidation>
        <x14:dataValidation type="list" allowBlank="1" showInputMessage="1" showErrorMessage="1" xr:uid="{00000000-0002-0000-0A00-000002000000}">
          <x14:formula1>
            <xm:f>Lookups!$G$8:$G$16</xm:f>
          </x14:formula1>
          <xm:sqref>E16 E30 E25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tabColor theme="9" tint="0.79998168889431442"/>
  </sheetPr>
  <dimension ref="A1:XES54"/>
  <sheetViews>
    <sheetView showGridLines="0" zoomScaleNormal="100" workbookViewId="0"/>
  </sheetViews>
  <sheetFormatPr defaultColWidth="0" defaultRowHeight="0" customHeight="1" zeroHeight="1" outlineLevelRow="1" x14ac:dyDescent="0.2"/>
  <cols>
    <col min="1" max="2" width="1.42578125" style="18" customWidth="1"/>
    <col min="3" max="3" width="42.7109375" style="18" bestFit="1" customWidth="1"/>
    <col min="4" max="6" width="11.42578125" style="18" customWidth="1"/>
    <col min="7" max="9" width="2.85546875" style="18" customWidth="1"/>
    <col min="10" max="23" width="9.28515625" style="18" customWidth="1"/>
    <col min="24" max="25" width="8" style="18" customWidth="1"/>
    <col min="26" max="16373" width="8" style="18" hidden="1"/>
    <col min="16374" max="16384" width="2.7109375" style="18" hidden="1"/>
  </cols>
  <sheetData>
    <row r="1" spans="1:24" ht="15.75" x14ac:dyDescent="0.25">
      <c r="A1" s="1"/>
      <c r="B1" s="2" t="str">
        <f>'Inputs&gt;&gt;'!B1</f>
        <v>AER pricing model - TasNetworks 2022–23</v>
      </c>
      <c r="C1" s="2"/>
      <c r="D1" s="2"/>
      <c r="E1" s="2"/>
      <c r="F1" s="3"/>
      <c r="G1" s="3"/>
      <c r="H1" s="3"/>
      <c r="I1" s="3"/>
      <c r="J1" s="160" t="s">
        <v>0</v>
      </c>
      <c r="K1" s="1"/>
      <c r="L1" s="111"/>
      <c r="M1" s="112"/>
      <c r="N1" s="112"/>
      <c r="O1" s="51"/>
      <c r="R1" s="111"/>
      <c r="S1" s="113"/>
      <c r="U1" s="114"/>
      <c r="V1" s="113"/>
      <c r="W1" s="1"/>
    </row>
    <row r="2" spans="1:24" ht="13.5" thickBot="1" x14ac:dyDescent="0.25">
      <c r="A2" s="6"/>
      <c r="B2" s="7" t="str">
        <f>'Inputs&gt;&gt;'!C9</f>
        <v>Actuals</v>
      </c>
      <c r="C2" s="7"/>
      <c r="D2" s="7"/>
      <c r="E2" s="7"/>
      <c r="F2" s="8"/>
      <c r="G2" s="8"/>
      <c r="H2" s="8"/>
      <c r="I2" s="8"/>
      <c r="J2" s="6"/>
      <c r="K2" s="1"/>
      <c r="L2" s="1"/>
      <c r="M2" s="1"/>
      <c r="N2" s="1"/>
      <c r="O2" s="1"/>
      <c r="P2" s="1"/>
      <c r="Q2" s="1"/>
      <c r="R2" s="1"/>
      <c r="S2" s="6"/>
      <c r="T2" s="6"/>
      <c r="U2" s="6"/>
      <c r="V2" s="6"/>
      <c r="W2" s="6"/>
    </row>
    <row r="3" spans="1:24" ht="11.25" x14ac:dyDescent="0.2">
      <c r="A3" s="27"/>
      <c r="B3" s="296" t="str">
        <f>'Inputs&gt;&gt;'!D9</f>
        <v>Inputs actual revenues, demand, and customer numbers</v>
      </c>
      <c r="C3" s="27"/>
      <c r="D3" s="28"/>
      <c r="E3" s="28"/>
      <c r="F3" s="28"/>
      <c r="G3" s="28"/>
      <c r="H3" s="28"/>
      <c r="I3" s="28"/>
      <c r="J3" s="29"/>
      <c r="K3" s="287"/>
      <c r="L3" s="287"/>
      <c r="M3" s="287"/>
      <c r="N3" s="287"/>
      <c r="O3" s="287"/>
      <c r="P3" s="287"/>
      <c r="Q3" s="287"/>
      <c r="R3" s="287"/>
      <c r="S3" s="30"/>
      <c r="T3" s="31"/>
      <c r="U3" s="31"/>
      <c r="V3" s="31"/>
      <c r="W3" s="31"/>
    </row>
    <row r="4" spans="1:24" ht="11.25" x14ac:dyDescent="0.2">
      <c r="A4" s="9"/>
      <c r="B4" s="9"/>
      <c r="C4" s="9"/>
      <c r="D4" s="10"/>
      <c r="E4" s="10"/>
      <c r="F4" s="10"/>
      <c r="G4" s="10"/>
      <c r="H4" s="10"/>
      <c r="I4" s="10"/>
      <c r="J4" s="50"/>
      <c r="K4" s="288"/>
      <c r="L4" s="288"/>
      <c r="M4" s="288"/>
      <c r="N4" s="288"/>
      <c r="O4" s="288"/>
      <c r="P4" s="288"/>
      <c r="Q4" s="288"/>
      <c r="R4" s="290"/>
      <c r="S4" s="9"/>
      <c r="T4" s="9"/>
      <c r="U4" s="9"/>
      <c r="V4" s="9"/>
      <c r="W4" s="9"/>
      <c r="X4" s="9"/>
    </row>
    <row r="5" spans="1:24" ht="12.75" x14ac:dyDescent="0.2">
      <c r="A5" s="11"/>
      <c r="B5" s="12" t="s">
        <v>144</v>
      </c>
      <c r="C5" s="11"/>
      <c r="D5" s="32" t="s">
        <v>3</v>
      </c>
      <c r="E5" s="32" t="s">
        <v>11</v>
      </c>
      <c r="F5" s="33"/>
      <c r="G5" s="34"/>
      <c r="H5" s="34"/>
      <c r="I5" s="34"/>
      <c r="J5" s="33" t="str">
        <f>RCPminus3</f>
        <v>2016–17</v>
      </c>
      <c r="K5" s="33" t="str">
        <f>RCPminus2</f>
        <v>2017–18</v>
      </c>
      <c r="L5" s="33" t="str">
        <f>RCPminus1</f>
        <v>2018–19</v>
      </c>
      <c r="M5" s="35" t="str">
        <f>RCP_firstyear</f>
        <v>2019–20</v>
      </c>
      <c r="N5" s="35" t="str">
        <f>RCP_secondyear</f>
        <v>2020–21</v>
      </c>
      <c r="O5" s="35" t="str">
        <f>RCP_thirdyear</f>
        <v>2021–22</v>
      </c>
      <c r="P5" s="35" t="str">
        <f>RCP_fourthyear</f>
        <v>2022–23</v>
      </c>
      <c r="Q5" s="35" t="str">
        <f>RCP_lastyear</f>
        <v>2023–24</v>
      </c>
      <c r="R5" s="14" t="s">
        <v>14</v>
      </c>
      <c r="S5" s="14"/>
      <c r="T5" s="15"/>
      <c r="U5" s="15"/>
      <c r="V5" s="15"/>
      <c r="W5" s="15"/>
      <c r="X5" s="15"/>
    </row>
    <row r="6" spans="1:24" ht="11.25" x14ac:dyDescent="0.2">
      <c r="A6" s="19"/>
      <c r="B6" s="19"/>
      <c r="C6" s="36"/>
      <c r="D6" s="20"/>
      <c r="E6" s="20"/>
      <c r="F6" s="22"/>
      <c r="G6" s="22"/>
      <c r="H6" s="22"/>
      <c r="I6" s="20"/>
      <c r="J6" s="20"/>
      <c r="K6" s="20"/>
      <c r="L6" s="20"/>
      <c r="M6" s="37"/>
      <c r="N6" s="37"/>
      <c r="O6" s="37"/>
      <c r="P6" s="37"/>
      <c r="Q6" s="37"/>
      <c r="R6" s="19"/>
      <c r="S6" s="19"/>
      <c r="T6" s="19"/>
      <c r="U6" s="19"/>
      <c r="V6" s="19"/>
      <c r="W6" s="19"/>
      <c r="X6" s="19"/>
    </row>
    <row r="7" spans="1:24" ht="11.25" x14ac:dyDescent="0.2">
      <c r="A7" s="19"/>
      <c r="B7" s="19"/>
      <c r="C7" s="367" t="s">
        <v>154</v>
      </c>
      <c r="D7" s="20" t="s">
        <v>155</v>
      </c>
      <c r="E7" s="458" t="str">
        <f t="shared" ref="E7:E12" si="0">IF(C7=0,0,revenueunits)</f>
        <v>$millions</v>
      </c>
      <c r="F7" s="22"/>
      <c r="G7" s="22"/>
      <c r="H7" s="22"/>
      <c r="I7" s="20"/>
      <c r="J7" s="433">
        <v>299.38755148000007</v>
      </c>
      <c r="K7" s="433">
        <v>242.84039820961854</v>
      </c>
      <c r="L7" s="433">
        <v>241.349379</v>
      </c>
      <c r="M7" s="433">
        <v>243.88357341</v>
      </c>
      <c r="N7" s="433">
        <v>239.24927549186</v>
      </c>
      <c r="O7" s="433"/>
      <c r="P7" s="433"/>
      <c r="Q7" s="433"/>
      <c r="R7" s="19" t="s">
        <v>159</v>
      </c>
      <c r="S7" s="19"/>
      <c r="T7" s="19"/>
      <c r="U7" s="19"/>
      <c r="V7" s="19"/>
      <c r="W7" s="19"/>
      <c r="X7" s="19"/>
    </row>
    <row r="8" spans="1:24" ht="11.25" x14ac:dyDescent="0.2">
      <c r="A8" s="19"/>
      <c r="B8" s="19"/>
      <c r="C8" s="367" t="s">
        <v>156</v>
      </c>
      <c r="D8" s="20" t="s">
        <v>155</v>
      </c>
      <c r="E8" s="458" t="str">
        <f t="shared" si="0"/>
        <v>$millions</v>
      </c>
      <c r="F8" s="22"/>
      <c r="G8" s="22"/>
      <c r="H8" s="22"/>
      <c r="I8" s="20"/>
      <c r="J8" s="433">
        <v>96.807086060000003</v>
      </c>
      <c r="K8" s="433">
        <v>95.748692980381449</v>
      </c>
      <c r="L8" s="433">
        <v>82.682723044960767</v>
      </c>
      <c r="M8" s="433">
        <v>79.01662072000002</v>
      </c>
      <c r="N8" s="433">
        <v>74.472261539999991</v>
      </c>
      <c r="O8" s="433"/>
      <c r="P8" s="433"/>
      <c r="Q8" s="433"/>
      <c r="R8" s="19"/>
      <c r="S8" s="19"/>
      <c r="T8" s="19"/>
      <c r="U8" s="19"/>
      <c r="V8" s="19"/>
      <c r="W8" s="19"/>
      <c r="X8" s="19"/>
    </row>
    <row r="9" spans="1:24" ht="11.25" x14ac:dyDescent="0.2">
      <c r="A9" s="19"/>
      <c r="B9" s="19"/>
      <c r="C9" s="367" t="s">
        <v>576</v>
      </c>
      <c r="D9" s="20" t="s">
        <v>155</v>
      </c>
      <c r="E9" s="458" t="str">
        <f t="shared" si="0"/>
        <v>$millions</v>
      </c>
      <c r="F9" s="22"/>
      <c r="G9" s="22"/>
      <c r="H9" s="22"/>
      <c r="I9" s="20"/>
      <c r="J9" s="433"/>
      <c r="K9" s="433"/>
      <c r="L9" s="433"/>
      <c r="M9" s="433"/>
      <c r="N9" s="433"/>
      <c r="O9" s="433"/>
      <c r="P9" s="433"/>
      <c r="Q9" s="433"/>
      <c r="R9" s="19"/>
      <c r="S9" s="19"/>
      <c r="T9" s="19"/>
      <c r="U9" s="19"/>
      <c r="V9" s="19"/>
      <c r="W9" s="19"/>
      <c r="X9" s="19"/>
    </row>
    <row r="10" spans="1:24" ht="11.25" x14ac:dyDescent="0.2">
      <c r="A10" s="19"/>
      <c r="B10" s="19"/>
      <c r="C10" s="367"/>
      <c r="D10" s="20" t="s">
        <v>155</v>
      </c>
      <c r="E10" s="458">
        <f t="shared" si="0"/>
        <v>0</v>
      </c>
      <c r="F10" s="22"/>
      <c r="G10" s="22"/>
      <c r="H10" s="22"/>
      <c r="I10" s="20"/>
      <c r="J10" s="433"/>
      <c r="K10" s="433"/>
      <c r="L10" s="433"/>
      <c r="M10" s="433"/>
      <c r="N10" s="433"/>
      <c r="O10" s="433"/>
      <c r="P10" s="433"/>
      <c r="Q10" s="433"/>
      <c r="R10" s="19"/>
      <c r="S10" s="19"/>
      <c r="T10" s="19"/>
      <c r="U10" s="19"/>
      <c r="V10" s="19"/>
      <c r="W10" s="19"/>
      <c r="X10" s="19"/>
    </row>
    <row r="11" spans="1:24" ht="11.25" x14ac:dyDescent="0.2">
      <c r="A11" s="19"/>
      <c r="B11" s="19"/>
      <c r="C11" s="367"/>
      <c r="D11" s="20" t="s">
        <v>155</v>
      </c>
      <c r="E11" s="458">
        <f t="shared" si="0"/>
        <v>0</v>
      </c>
      <c r="F11" s="22"/>
      <c r="G11" s="22"/>
      <c r="H11" s="22"/>
      <c r="I11" s="20"/>
      <c r="J11" s="433"/>
      <c r="K11" s="433"/>
      <c r="L11" s="433"/>
      <c r="M11" s="433"/>
      <c r="N11" s="433"/>
      <c r="O11" s="433"/>
      <c r="P11" s="433"/>
      <c r="Q11" s="433"/>
      <c r="R11" s="19"/>
      <c r="S11" s="19"/>
      <c r="T11" s="19"/>
      <c r="U11" s="19"/>
      <c r="V11" s="19"/>
      <c r="W11" s="19"/>
      <c r="X11" s="19"/>
    </row>
    <row r="12" spans="1:24" ht="11.25" x14ac:dyDescent="0.2">
      <c r="A12" s="19"/>
      <c r="B12" s="19"/>
      <c r="C12" s="367"/>
      <c r="D12" s="20"/>
      <c r="E12" s="458">
        <f t="shared" si="0"/>
        <v>0</v>
      </c>
      <c r="F12" s="22"/>
      <c r="G12" s="22"/>
      <c r="H12" s="22"/>
      <c r="I12" s="20"/>
      <c r="J12" s="433"/>
      <c r="K12" s="433"/>
      <c r="L12" s="433"/>
      <c r="M12" s="433"/>
      <c r="N12" s="433"/>
      <c r="O12" s="433"/>
      <c r="P12" s="433"/>
      <c r="Q12" s="433"/>
      <c r="R12" s="19"/>
      <c r="S12" s="19"/>
      <c r="T12" s="19"/>
      <c r="U12" s="19"/>
      <c r="V12" s="19"/>
      <c r="W12" s="19"/>
      <c r="X12" s="19"/>
    </row>
    <row r="13" spans="1:24" ht="11.25" x14ac:dyDescent="0.2">
      <c r="A13" s="19"/>
      <c r="B13" s="19"/>
      <c r="C13" s="19"/>
      <c r="D13" s="20"/>
      <c r="E13" s="20"/>
      <c r="F13" s="22"/>
      <c r="G13" s="22"/>
      <c r="H13" s="22"/>
      <c r="I13" s="20"/>
      <c r="J13" s="242"/>
      <c r="K13" s="242"/>
      <c r="L13" s="242"/>
      <c r="M13" s="345"/>
      <c r="N13" s="345"/>
      <c r="O13" s="345"/>
      <c r="P13" s="345"/>
      <c r="Q13" s="345"/>
      <c r="R13" s="19"/>
      <c r="S13" s="19"/>
      <c r="T13" s="19"/>
      <c r="U13" s="19"/>
      <c r="V13" s="19"/>
      <c r="W13" s="19"/>
      <c r="X13" s="19"/>
    </row>
    <row r="14" spans="1:24" ht="12.75" x14ac:dyDescent="0.2">
      <c r="A14" s="11"/>
      <c r="B14" s="12" t="s">
        <v>145</v>
      </c>
      <c r="C14" s="11"/>
      <c r="D14" s="32" t="str">
        <f>D5</f>
        <v>Source</v>
      </c>
      <c r="E14" s="32" t="str">
        <f>E5</f>
        <v>Unit</v>
      </c>
      <c r="F14" s="33"/>
      <c r="G14" s="34"/>
      <c r="H14" s="34"/>
      <c r="I14" s="34"/>
      <c r="J14" s="33" t="str">
        <f>RCPminus3</f>
        <v>2016–17</v>
      </c>
      <c r="K14" s="33" t="str">
        <f>RCPminus2</f>
        <v>2017–18</v>
      </c>
      <c r="L14" s="33" t="str">
        <f>RCPminus1</f>
        <v>2018–19</v>
      </c>
      <c r="M14" s="35" t="str">
        <f>RCP_firstyear</f>
        <v>2019–20</v>
      </c>
      <c r="N14" s="346" t="str">
        <f>RCP_secondyear</f>
        <v>2020–21</v>
      </c>
      <c r="O14" s="346" t="str">
        <f>RCP_thirdyear</f>
        <v>2021–22</v>
      </c>
      <c r="P14" s="346" t="str">
        <f>RCP_fourthyear</f>
        <v>2022–23</v>
      </c>
      <c r="Q14" s="346" t="str">
        <f>RCP_lastyear</f>
        <v>2023–24</v>
      </c>
      <c r="R14" s="14" t="s">
        <v>14</v>
      </c>
      <c r="S14" s="14"/>
      <c r="T14" s="15"/>
      <c r="U14" s="15"/>
      <c r="V14" s="15"/>
      <c r="W14" s="15"/>
      <c r="X14" s="15"/>
    </row>
    <row r="15" spans="1:24" ht="11.25" x14ac:dyDescent="0.2">
      <c r="A15" s="19"/>
      <c r="B15" s="19"/>
      <c r="C15" s="19"/>
      <c r="D15" s="20"/>
      <c r="E15" s="20"/>
      <c r="F15" s="20"/>
      <c r="G15" s="20"/>
      <c r="H15" s="20"/>
      <c r="I15" s="20"/>
      <c r="J15" s="242"/>
      <c r="K15" s="242"/>
      <c r="L15" s="242"/>
      <c r="M15" s="345"/>
      <c r="N15" s="345"/>
      <c r="O15" s="345"/>
      <c r="P15" s="345"/>
      <c r="Q15" s="345"/>
      <c r="R15" s="19"/>
      <c r="S15" s="19"/>
      <c r="T15" s="19"/>
      <c r="U15" s="19"/>
      <c r="V15" s="19"/>
      <c r="W15" s="19"/>
      <c r="X15" s="19"/>
    </row>
    <row r="16" spans="1:24" ht="11.25" x14ac:dyDescent="0.2">
      <c r="A16" s="19"/>
      <c r="B16" s="19"/>
      <c r="C16" s="419" t="str">
        <f>Financial!C44</f>
        <v>TUOS expenditure</v>
      </c>
      <c r="D16" s="20" t="s">
        <v>155</v>
      </c>
      <c r="E16" s="458" t="str">
        <f t="shared" ref="E16:E21" si="1">IF(C16=0,0,revenueunits)</f>
        <v>$millions</v>
      </c>
      <c r="F16" s="20"/>
      <c r="G16" s="22"/>
      <c r="H16" s="22"/>
      <c r="I16" s="20"/>
      <c r="J16" s="423">
        <v>94.381755380000001</v>
      </c>
      <c r="K16" s="423">
        <v>95.108850710000013</v>
      </c>
      <c r="L16" s="423">
        <v>86.563283630000001</v>
      </c>
      <c r="M16" s="423">
        <v>80.735239209999989</v>
      </c>
      <c r="N16" s="423">
        <v>76.192543170000008</v>
      </c>
      <c r="O16" s="423"/>
      <c r="P16" s="423"/>
      <c r="Q16" s="423"/>
      <c r="R16" s="19" t="s">
        <v>157</v>
      </c>
      <c r="S16" s="19"/>
      <c r="T16" s="19"/>
      <c r="U16" s="19"/>
      <c r="V16" s="19"/>
      <c r="W16" s="19"/>
      <c r="X16" s="19"/>
    </row>
    <row r="17" spans="1:24" ht="11.25" x14ac:dyDescent="0.2">
      <c r="A17" s="19"/>
      <c r="B17" s="19"/>
      <c r="C17" s="419" t="str">
        <f>Financial!C45</f>
        <v>Avoided TUOS</v>
      </c>
      <c r="D17" s="20" t="s">
        <v>155</v>
      </c>
      <c r="E17" s="458" t="str">
        <f t="shared" si="1"/>
        <v>$millions</v>
      </c>
      <c r="F17" s="20"/>
      <c r="G17" s="22"/>
      <c r="H17" s="22"/>
      <c r="I17" s="20"/>
      <c r="J17" s="423">
        <v>0.12661107999999999</v>
      </c>
      <c r="K17" s="423">
        <v>0.11432572000000001</v>
      </c>
      <c r="L17" s="423">
        <v>0.10730663999999999</v>
      </c>
      <c r="M17" s="423">
        <v>8.3373179999999991E-2</v>
      </c>
      <c r="N17" s="423">
        <v>0.16948567</v>
      </c>
      <c r="O17" s="423"/>
      <c r="P17" s="423"/>
      <c r="Q17" s="423"/>
      <c r="R17" s="19" t="s">
        <v>158</v>
      </c>
      <c r="S17" s="19"/>
      <c r="T17" s="19"/>
      <c r="U17" s="19"/>
      <c r="V17" s="19"/>
      <c r="W17" s="19"/>
      <c r="X17" s="19"/>
    </row>
    <row r="18" spans="1:24" ht="11.25" x14ac:dyDescent="0.2">
      <c r="A18" s="19"/>
      <c r="B18" s="19"/>
      <c r="C18" s="419" t="str">
        <f>Financial!C46</f>
        <v>Cross-boundary expenditure</v>
      </c>
      <c r="D18" s="20" t="s">
        <v>155</v>
      </c>
      <c r="E18" s="458" t="str">
        <f t="shared" si="1"/>
        <v>$millions</v>
      </c>
      <c r="F18" s="20"/>
      <c r="G18" s="22"/>
      <c r="H18" s="22"/>
      <c r="I18" s="20"/>
      <c r="J18" s="423"/>
      <c r="K18" s="423"/>
      <c r="L18" s="423"/>
      <c r="M18" s="423"/>
      <c r="N18" s="423"/>
      <c r="O18" s="423"/>
      <c r="P18" s="423"/>
      <c r="Q18" s="423"/>
      <c r="R18" s="19" t="s">
        <v>165</v>
      </c>
      <c r="S18" s="19"/>
      <c r="T18" s="19"/>
      <c r="U18" s="19"/>
      <c r="V18" s="19"/>
      <c r="W18" s="19"/>
      <c r="X18" s="19"/>
    </row>
    <row r="19" spans="1:24" ht="11.25" x14ac:dyDescent="0.2">
      <c r="A19" s="19"/>
      <c r="B19" s="19"/>
      <c r="C19" s="419">
        <f>Financial!C47</f>
        <v>0</v>
      </c>
      <c r="D19" s="20" t="s">
        <v>155</v>
      </c>
      <c r="E19" s="458">
        <f t="shared" si="1"/>
        <v>0</v>
      </c>
      <c r="F19" s="20"/>
      <c r="G19" s="22"/>
      <c r="H19" s="22"/>
      <c r="I19" s="20"/>
      <c r="J19" s="423"/>
      <c r="K19" s="423"/>
      <c r="L19" s="423"/>
      <c r="M19" s="423"/>
      <c r="N19" s="423"/>
      <c r="O19" s="423"/>
      <c r="P19" s="423"/>
      <c r="Q19" s="423"/>
      <c r="R19" s="19"/>
      <c r="S19" s="19"/>
      <c r="T19" s="19"/>
      <c r="U19" s="19"/>
      <c r="V19" s="19"/>
      <c r="W19" s="19"/>
      <c r="X19" s="19"/>
    </row>
    <row r="20" spans="1:24" ht="11.25" x14ac:dyDescent="0.2">
      <c r="A20" s="19"/>
      <c r="B20" s="19"/>
      <c r="C20" s="419">
        <f>Financial!C48</f>
        <v>0</v>
      </c>
      <c r="D20" s="20"/>
      <c r="E20" s="458">
        <f t="shared" si="1"/>
        <v>0</v>
      </c>
      <c r="F20" s="20"/>
      <c r="G20" s="22"/>
      <c r="H20" s="22"/>
      <c r="I20" s="20"/>
      <c r="J20" s="423"/>
      <c r="K20" s="423"/>
      <c r="L20" s="423"/>
      <c r="M20" s="423"/>
      <c r="N20" s="423"/>
      <c r="O20" s="423"/>
      <c r="P20" s="423"/>
      <c r="Q20" s="423"/>
      <c r="R20" s="19"/>
      <c r="S20" s="19"/>
      <c r="T20" s="19"/>
      <c r="U20" s="19"/>
      <c r="V20" s="19"/>
      <c r="W20" s="19"/>
      <c r="X20" s="19"/>
    </row>
    <row r="21" spans="1:24" ht="11.25" collapsed="1" x14ac:dyDescent="0.2">
      <c r="A21" s="19"/>
      <c r="B21" s="19"/>
      <c r="C21" s="368" t="s">
        <v>164</v>
      </c>
      <c r="D21" s="20" t="s">
        <v>105</v>
      </c>
      <c r="E21" s="458" t="str">
        <f t="shared" si="1"/>
        <v>$millions</v>
      </c>
      <c r="F21" s="20"/>
      <c r="G21" s="22"/>
      <c r="H21" s="22"/>
      <c r="I21" s="20"/>
      <c r="J21" s="363">
        <f>SUM(J16:J20)</f>
        <v>94.508366460000005</v>
      </c>
      <c r="K21" s="363">
        <f t="shared" ref="K21:Q21" si="2">SUM(K16:K20)</f>
        <v>95.223176430000009</v>
      </c>
      <c r="L21" s="363">
        <f t="shared" si="2"/>
        <v>86.670590270000005</v>
      </c>
      <c r="M21" s="363">
        <f t="shared" si="2"/>
        <v>80.818612389999984</v>
      </c>
      <c r="N21" s="363">
        <f t="shared" si="2"/>
        <v>76.362028840000008</v>
      </c>
      <c r="O21" s="363">
        <f t="shared" si="2"/>
        <v>0</v>
      </c>
      <c r="P21" s="363">
        <f t="shared" si="2"/>
        <v>0</v>
      </c>
      <c r="Q21" s="363">
        <f t="shared" si="2"/>
        <v>0</v>
      </c>
      <c r="R21" s="19"/>
      <c r="S21" s="19"/>
      <c r="T21" s="19"/>
      <c r="U21" s="19"/>
      <c r="V21" s="19"/>
      <c r="W21" s="19"/>
      <c r="X21" s="19"/>
    </row>
    <row r="22" spans="1:24" ht="11.25" hidden="1" outlineLevel="1" x14ac:dyDescent="0.2">
      <c r="A22" s="19"/>
      <c r="B22" s="19"/>
      <c r="C22" s="370"/>
      <c r="D22" s="20"/>
      <c r="E22" s="528"/>
      <c r="F22" s="20"/>
      <c r="G22" s="22"/>
      <c r="H22" s="22"/>
      <c r="I22" s="20"/>
      <c r="J22" s="242"/>
      <c r="K22" s="242"/>
      <c r="L22" s="242"/>
      <c r="M22" s="307"/>
      <c r="N22" s="307"/>
      <c r="O22" s="307"/>
      <c r="P22" s="307"/>
      <c r="Q22" s="307"/>
      <c r="R22" s="19"/>
      <c r="S22" s="19"/>
      <c r="T22" s="19"/>
      <c r="U22" s="19"/>
      <c r="V22" s="19"/>
      <c r="W22" s="19"/>
      <c r="X22" s="19"/>
    </row>
    <row r="23" spans="1:24" ht="11.25" hidden="1" outlineLevel="1" x14ac:dyDescent="0.2">
      <c r="A23" s="19"/>
      <c r="B23" s="19"/>
      <c r="C23" s="419" t="str">
        <f>Financial!C63</f>
        <v>PFiT</v>
      </c>
      <c r="D23" s="20" t="s">
        <v>155</v>
      </c>
      <c r="E23" s="458" t="str">
        <f>IF(C23=0,0,revenueunits)</f>
        <v>$millions</v>
      </c>
      <c r="F23" s="20"/>
      <c r="G23" s="22"/>
      <c r="H23" s="22"/>
      <c r="I23" s="20"/>
      <c r="J23" s="423"/>
      <c r="K23" s="423"/>
      <c r="L23" s="423"/>
      <c r="M23" s="423"/>
      <c r="N23" s="423"/>
      <c r="O23" s="423"/>
      <c r="P23" s="423"/>
      <c r="Q23" s="423"/>
      <c r="R23" s="19" t="s">
        <v>157</v>
      </c>
      <c r="S23" s="19"/>
      <c r="T23" s="19"/>
      <c r="U23" s="19"/>
      <c r="V23" s="19"/>
      <c r="W23" s="19"/>
      <c r="X23" s="19"/>
    </row>
    <row r="24" spans="1:24" ht="11.25" hidden="1" outlineLevel="1" x14ac:dyDescent="0.2">
      <c r="A24" s="19"/>
      <c r="B24" s="19"/>
      <c r="C24" s="419" t="str">
        <f>Financial!C64</f>
        <v>TFiT</v>
      </c>
      <c r="D24" s="20" t="s">
        <v>155</v>
      </c>
      <c r="E24" s="458" t="str">
        <f>IF(C24=0,0,revenueunits)</f>
        <v>$millions</v>
      </c>
      <c r="F24" s="20"/>
      <c r="G24" s="22"/>
      <c r="H24" s="22"/>
      <c r="I24" s="20"/>
      <c r="J24" s="423"/>
      <c r="K24" s="423"/>
      <c r="L24" s="423"/>
      <c r="M24" s="423"/>
      <c r="N24" s="423"/>
      <c r="O24" s="423"/>
      <c r="P24" s="423"/>
      <c r="Q24" s="423"/>
      <c r="R24" s="19" t="s">
        <v>158</v>
      </c>
      <c r="S24" s="19"/>
      <c r="T24" s="19"/>
      <c r="U24" s="19"/>
      <c r="V24" s="19"/>
      <c r="W24" s="19"/>
      <c r="X24" s="19"/>
    </row>
    <row r="25" spans="1:24" ht="11.25" hidden="1" outlineLevel="1" x14ac:dyDescent="0.2">
      <c r="A25" s="19"/>
      <c r="B25" s="19"/>
      <c r="C25" s="419" t="str">
        <f>Financial!C65</f>
        <v>ESV levy</v>
      </c>
      <c r="D25" s="20" t="s">
        <v>155</v>
      </c>
      <c r="E25" s="458" t="str">
        <f>IF(C25=0,0,revenueunits)</f>
        <v>$millions</v>
      </c>
      <c r="F25" s="20"/>
      <c r="G25" s="22"/>
      <c r="H25" s="22"/>
      <c r="I25" s="20"/>
      <c r="J25" s="423"/>
      <c r="K25" s="423"/>
      <c r="L25" s="423"/>
      <c r="M25" s="423"/>
      <c r="N25" s="423"/>
      <c r="O25" s="423"/>
      <c r="P25" s="423"/>
      <c r="Q25" s="423"/>
      <c r="R25" s="19" t="s">
        <v>832</v>
      </c>
      <c r="S25" s="19"/>
      <c r="T25" s="19"/>
      <c r="U25" s="19"/>
      <c r="V25" s="19"/>
      <c r="W25" s="19"/>
      <c r="X25" s="19"/>
    </row>
    <row r="26" spans="1:24" ht="11.25" hidden="1" outlineLevel="1" x14ac:dyDescent="0.2">
      <c r="A26" s="19"/>
      <c r="B26" s="19"/>
      <c r="C26" s="419">
        <f>Financial!C66</f>
        <v>0</v>
      </c>
      <c r="D26" s="20"/>
      <c r="E26" s="458">
        <f>IF(C26=0,0,revenueunits)</f>
        <v>0</v>
      </c>
      <c r="F26" s="20"/>
      <c r="G26" s="22"/>
      <c r="H26" s="22"/>
      <c r="I26" s="20"/>
      <c r="J26" s="423"/>
      <c r="K26" s="423"/>
      <c r="L26" s="423"/>
      <c r="M26" s="423"/>
      <c r="N26" s="423"/>
      <c r="O26" s="423"/>
      <c r="P26" s="423"/>
      <c r="Q26" s="423"/>
      <c r="R26" s="19"/>
      <c r="S26" s="19"/>
      <c r="T26" s="19"/>
      <c r="U26" s="19"/>
      <c r="V26" s="19"/>
      <c r="W26" s="19"/>
      <c r="X26" s="19"/>
    </row>
    <row r="27" spans="1:24" ht="11.25" hidden="1" outlineLevel="1" collapsed="1" x14ac:dyDescent="0.2">
      <c r="A27" s="19"/>
      <c r="B27" s="19"/>
      <c r="C27" s="368" t="s">
        <v>163</v>
      </c>
      <c r="D27" s="20" t="s">
        <v>105</v>
      </c>
      <c r="E27" s="458" t="str">
        <f>IF(C27=0,0,revenueunits)</f>
        <v>$millions</v>
      </c>
      <c r="F27" s="20"/>
      <c r="G27" s="22"/>
      <c r="H27" s="22"/>
      <c r="I27" s="20"/>
      <c r="J27" s="363">
        <f>SUM(J23:J26)</f>
        <v>0</v>
      </c>
      <c r="K27" s="363">
        <f t="shared" ref="K27:Q27" si="3">SUM(K23:K26)</f>
        <v>0</v>
      </c>
      <c r="L27" s="363">
        <f t="shared" si="3"/>
        <v>0</v>
      </c>
      <c r="M27" s="363">
        <f t="shared" si="3"/>
        <v>0</v>
      </c>
      <c r="N27" s="363">
        <f t="shared" si="3"/>
        <v>0</v>
      </c>
      <c r="O27" s="363">
        <f t="shared" si="3"/>
        <v>0</v>
      </c>
      <c r="P27" s="363">
        <f t="shared" si="3"/>
        <v>0</v>
      </c>
      <c r="Q27" s="363">
        <f t="shared" si="3"/>
        <v>0</v>
      </c>
      <c r="R27" s="19"/>
      <c r="S27" s="19"/>
      <c r="T27" s="19"/>
      <c r="U27" s="19"/>
      <c r="V27" s="19"/>
      <c r="W27" s="19"/>
      <c r="X27" s="19"/>
    </row>
    <row r="28" spans="1:24" ht="11.25" collapsed="1" x14ac:dyDescent="0.2">
      <c r="A28" s="19"/>
      <c r="B28" s="19"/>
      <c r="C28" s="19"/>
      <c r="D28" s="20"/>
      <c r="E28" s="20"/>
      <c r="F28" s="20"/>
      <c r="G28" s="22"/>
      <c r="H28" s="22"/>
      <c r="I28" s="20"/>
      <c r="J28" s="20"/>
      <c r="K28" s="20"/>
      <c r="L28" s="20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</row>
    <row r="29" spans="1:24" ht="12.75" x14ac:dyDescent="0.2">
      <c r="A29" s="11"/>
      <c r="B29" s="12" t="s">
        <v>161</v>
      </c>
      <c r="C29" s="11"/>
      <c r="D29" s="32" t="str">
        <f>D5</f>
        <v>Source</v>
      </c>
      <c r="E29" s="32" t="str">
        <f>E5</f>
        <v>Unit</v>
      </c>
      <c r="F29" s="33"/>
      <c r="G29" s="34"/>
      <c r="H29" s="34"/>
      <c r="I29" s="34"/>
      <c r="J29" s="33" t="str">
        <f>RCPminus3</f>
        <v>2016–17</v>
      </c>
      <c r="K29" s="33" t="str">
        <f>RCPminus2</f>
        <v>2017–18</v>
      </c>
      <c r="L29" s="33" t="str">
        <f>RCPminus1</f>
        <v>2018–19</v>
      </c>
      <c r="M29" s="35" t="str">
        <f>RCP_firstyear</f>
        <v>2019–20</v>
      </c>
      <c r="N29" s="35" t="str">
        <f>RCP_secondyear</f>
        <v>2020–21</v>
      </c>
      <c r="O29" s="35" t="str">
        <f>RCP_thirdyear</f>
        <v>2021–22</v>
      </c>
      <c r="P29" s="35" t="str">
        <f>RCP_fourthyear</f>
        <v>2022–23</v>
      </c>
      <c r="Q29" s="35" t="str">
        <f>RCP_lastyear</f>
        <v>2023–24</v>
      </c>
      <c r="R29" s="14" t="s">
        <v>14</v>
      </c>
      <c r="S29" s="14"/>
      <c r="T29" s="15"/>
      <c r="U29" s="15"/>
      <c r="V29" s="15"/>
      <c r="W29" s="15"/>
      <c r="X29" s="15"/>
    </row>
    <row r="30" spans="1:24" ht="11.25" x14ac:dyDescent="0.2">
      <c r="A30" s="19"/>
      <c r="B30" s="19"/>
      <c r="C30" s="19"/>
      <c r="D30" s="20"/>
      <c r="E30" s="20"/>
      <c r="F30" s="20"/>
      <c r="G30" s="20"/>
      <c r="H30" s="20"/>
      <c r="I30" s="20"/>
      <c r="J30" s="20"/>
      <c r="K30" s="20"/>
      <c r="L30" s="20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</row>
    <row r="31" spans="1:24" ht="11.25" x14ac:dyDescent="0.2">
      <c r="A31" s="19"/>
      <c r="B31" s="19"/>
      <c r="C31" s="367" t="s">
        <v>160</v>
      </c>
      <c r="D31" s="20" t="s">
        <v>155</v>
      </c>
      <c r="E31" s="532" t="s">
        <v>172</v>
      </c>
      <c r="F31" s="22"/>
      <c r="G31" s="22"/>
      <c r="H31" s="22"/>
      <c r="I31" s="22"/>
      <c r="J31" s="423">
        <v>1931.21725043843</v>
      </c>
      <c r="K31" s="423">
        <v>1948.2733575300001</v>
      </c>
      <c r="L31" s="423">
        <v>1967.90189562867</v>
      </c>
      <c r="M31" s="423">
        <v>2048.6633162933399</v>
      </c>
      <c r="N31" s="423">
        <v>2145.5309555180002</v>
      </c>
      <c r="O31" s="423"/>
      <c r="P31" s="423"/>
      <c r="Q31" s="423"/>
      <c r="R31" s="19" t="s">
        <v>552</v>
      </c>
      <c r="S31" s="19"/>
      <c r="T31" s="19"/>
      <c r="U31" s="19"/>
      <c r="V31" s="19"/>
      <c r="W31" s="19"/>
      <c r="X31" s="19"/>
    </row>
    <row r="32" spans="1:24" ht="11.25" x14ac:dyDescent="0.2">
      <c r="A32" s="19"/>
      <c r="B32" s="19"/>
      <c r="C32" s="367" t="s">
        <v>162</v>
      </c>
      <c r="D32" s="20" t="s">
        <v>155</v>
      </c>
      <c r="E32" s="532" t="s">
        <v>172</v>
      </c>
      <c r="F32" s="22"/>
      <c r="G32" s="22"/>
      <c r="H32" s="22"/>
      <c r="I32" s="22"/>
      <c r="J32" s="423">
        <v>910.07613456156605</v>
      </c>
      <c r="K32" s="423">
        <v>935.73705247800001</v>
      </c>
      <c r="L32" s="423">
        <v>901.01453051399994</v>
      </c>
      <c r="M32" s="423">
        <v>888.47329683682995</v>
      </c>
      <c r="N32" s="423">
        <v>840.50265872199998</v>
      </c>
      <c r="O32" s="423"/>
      <c r="P32" s="423"/>
      <c r="Q32" s="423"/>
      <c r="R32" s="19"/>
      <c r="S32" s="19"/>
      <c r="T32" s="19"/>
      <c r="U32" s="19"/>
      <c r="V32" s="19"/>
      <c r="W32" s="19"/>
      <c r="X32" s="19"/>
    </row>
    <row r="33" spans="1:24" ht="11.25" x14ac:dyDescent="0.2">
      <c r="A33" s="19"/>
      <c r="B33" s="19"/>
      <c r="C33" s="367" t="s">
        <v>167</v>
      </c>
      <c r="D33" s="20" t="s">
        <v>155</v>
      </c>
      <c r="E33" s="532" t="s">
        <v>172</v>
      </c>
      <c r="F33" s="22"/>
      <c r="G33" s="22"/>
      <c r="H33" s="22"/>
      <c r="I33" s="22"/>
      <c r="J33" s="423">
        <v>519.47305800000004</v>
      </c>
      <c r="K33" s="423">
        <v>577.396104068</v>
      </c>
      <c r="L33" s="423">
        <v>599.98080658100002</v>
      </c>
      <c r="M33" s="423">
        <v>603.10625321199996</v>
      </c>
      <c r="N33" s="423">
        <v>600.68915136099997</v>
      </c>
      <c r="O33" s="423"/>
      <c r="P33" s="423"/>
      <c r="Q33" s="423"/>
      <c r="R33" s="24"/>
      <c r="S33" s="19"/>
      <c r="T33" s="19"/>
      <c r="U33" s="19"/>
      <c r="V33" s="19"/>
      <c r="W33" s="19"/>
      <c r="X33" s="19"/>
    </row>
    <row r="34" spans="1:24" ht="11.25" x14ac:dyDescent="0.2">
      <c r="A34" s="19"/>
      <c r="B34" s="19"/>
      <c r="C34" s="367" t="s">
        <v>168</v>
      </c>
      <c r="D34" s="20" t="s">
        <v>155</v>
      </c>
      <c r="E34" s="532" t="s">
        <v>172</v>
      </c>
      <c r="F34" s="22"/>
      <c r="G34" s="22"/>
      <c r="H34" s="22"/>
      <c r="I34" s="22"/>
      <c r="J34" s="423">
        <v>800.60980300000006</v>
      </c>
      <c r="K34" s="423">
        <v>801.778061654</v>
      </c>
      <c r="L34" s="423">
        <v>823.26538289899997</v>
      </c>
      <c r="M34" s="423">
        <v>834.30579200299997</v>
      </c>
      <c r="N34" s="423">
        <v>871.35263828400002</v>
      </c>
      <c r="O34" s="423"/>
      <c r="P34" s="423"/>
      <c r="Q34" s="423"/>
      <c r="R34" s="24"/>
      <c r="S34" s="19"/>
      <c r="T34" s="19"/>
      <c r="U34" s="19"/>
      <c r="V34" s="19"/>
      <c r="W34" s="19"/>
      <c r="X34" s="19"/>
    </row>
    <row r="35" spans="1:24" ht="11.25" x14ac:dyDescent="0.2">
      <c r="A35" s="19"/>
      <c r="B35" s="19"/>
      <c r="C35" s="367" t="s">
        <v>169</v>
      </c>
      <c r="D35" s="20" t="s">
        <v>155</v>
      </c>
      <c r="E35" s="532" t="s">
        <v>172</v>
      </c>
      <c r="F35" s="22"/>
      <c r="G35" s="22"/>
      <c r="H35" s="22"/>
      <c r="I35" s="22"/>
      <c r="J35" s="423">
        <v>31.368756000000001</v>
      </c>
      <c r="K35" s="423">
        <v>29.859867718</v>
      </c>
      <c r="L35" s="423">
        <v>28.611281872999999</v>
      </c>
      <c r="M35" s="423">
        <v>26.587609984</v>
      </c>
      <c r="N35" s="423">
        <v>24.509356841999999</v>
      </c>
      <c r="O35" s="423"/>
      <c r="P35" s="423"/>
      <c r="Q35" s="423"/>
      <c r="R35" s="24"/>
      <c r="S35" s="19"/>
      <c r="T35" s="19"/>
      <c r="U35" s="19"/>
      <c r="V35" s="19"/>
      <c r="W35" s="19"/>
      <c r="X35" s="19"/>
    </row>
    <row r="36" spans="1:24" ht="11.25" collapsed="1" x14ac:dyDescent="0.2">
      <c r="A36" s="19"/>
      <c r="B36" s="19"/>
      <c r="C36" s="368" t="s">
        <v>166</v>
      </c>
      <c r="D36" s="20" t="s">
        <v>105</v>
      </c>
      <c r="E36" s="532" t="s">
        <v>172</v>
      </c>
      <c r="F36" s="22"/>
      <c r="G36" s="22"/>
      <c r="H36" s="22"/>
      <c r="I36" s="22"/>
      <c r="J36" s="363">
        <f>SUM(J31:J35)</f>
        <v>4192.745001999996</v>
      </c>
      <c r="K36" s="363">
        <f t="shared" ref="K36:Q36" si="4">SUM(K31:K35)</f>
        <v>4293.0444434480005</v>
      </c>
      <c r="L36" s="363">
        <f t="shared" si="4"/>
        <v>4320.7738974956692</v>
      </c>
      <c r="M36" s="363">
        <f t="shared" si="4"/>
        <v>4401.1362683291691</v>
      </c>
      <c r="N36" s="363">
        <f t="shared" si="4"/>
        <v>4482.5847607269998</v>
      </c>
      <c r="O36" s="363">
        <f t="shared" si="4"/>
        <v>0</v>
      </c>
      <c r="P36" s="363">
        <f t="shared" si="4"/>
        <v>0</v>
      </c>
      <c r="Q36" s="363">
        <f t="shared" si="4"/>
        <v>0</v>
      </c>
      <c r="R36" s="24"/>
      <c r="S36" s="19"/>
      <c r="T36" s="19"/>
      <c r="U36" s="19"/>
      <c r="V36" s="19"/>
      <c r="W36" s="19"/>
      <c r="X36" s="19"/>
    </row>
    <row r="37" spans="1:24" ht="11.25" x14ac:dyDescent="0.2">
      <c r="A37" s="19"/>
      <c r="B37" s="19"/>
      <c r="C37" s="414"/>
      <c r="D37" s="20"/>
      <c r="E37" s="528"/>
      <c r="F37" s="22"/>
      <c r="G37" s="22"/>
      <c r="H37" s="22"/>
      <c r="I37" s="22"/>
      <c r="J37" s="384"/>
      <c r="K37" s="384"/>
      <c r="L37" s="384"/>
      <c r="M37" s="307"/>
      <c r="N37" s="307"/>
      <c r="O37" s="307"/>
      <c r="P37" s="307"/>
      <c r="Q37" s="307"/>
      <c r="R37" s="24"/>
      <c r="S37" s="19"/>
      <c r="T37" s="19"/>
      <c r="U37" s="19"/>
      <c r="V37" s="19"/>
      <c r="W37" s="19"/>
      <c r="X37" s="19"/>
    </row>
    <row r="38" spans="1:24" ht="11.25" x14ac:dyDescent="0.2">
      <c r="A38" s="19"/>
      <c r="B38" s="19"/>
      <c r="C38" s="367" t="s">
        <v>186</v>
      </c>
      <c r="D38" s="20" t="s">
        <v>155</v>
      </c>
      <c r="E38" s="532" t="s">
        <v>172</v>
      </c>
      <c r="F38" s="22"/>
      <c r="G38" s="22"/>
      <c r="H38" s="22"/>
      <c r="I38" s="22"/>
      <c r="J38" s="423">
        <v>2770.8641069999999</v>
      </c>
      <c r="K38" s="423">
        <v>2723.5177372909998</v>
      </c>
      <c r="L38" s="423">
        <v>2558.0355414422202</v>
      </c>
      <c r="M38" s="423">
        <v>2376.8650471706101</v>
      </c>
      <c r="N38" s="423">
        <v>2307.91003817</v>
      </c>
      <c r="O38" s="423"/>
      <c r="P38" s="423"/>
      <c r="Q38" s="423"/>
      <c r="R38" s="19" t="s">
        <v>553</v>
      </c>
      <c r="S38" s="19"/>
      <c r="T38" s="19"/>
      <c r="U38" s="19"/>
      <c r="V38" s="19"/>
      <c r="W38" s="19"/>
      <c r="X38" s="19"/>
    </row>
    <row r="39" spans="1:24" ht="11.25" x14ac:dyDescent="0.2">
      <c r="A39" s="19"/>
      <c r="B39" s="19"/>
      <c r="C39" s="367" t="s">
        <v>187</v>
      </c>
      <c r="D39" s="20" t="s">
        <v>155</v>
      </c>
      <c r="E39" s="532" t="s">
        <v>172</v>
      </c>
      <c r="F39" s="22"/>
      <c r="G39" s="22"/>
      <c r="H39" s="22"/>
      <c r="I39" s="22"/>
      <c r="J39" s="423">
        <v>644.148957</v>
      </c>
      <c r="K39" s="423">
        <v>675.59662536099995</v>
      </c>
      <c r="L39" s="423">
        <v>728.56840778444905</v>
      </c>
      <c r="M39" s="423">
        <v>801.29468532128305</v>
      </c>
      <c r="N39" s="423">
        <v>872.33304040500002</v>
      </c>
      <c r="O39" s="423"/>
      <c r="P39" s="423"/>
      <c r="Q39" s="423"/>
      <c r="R39" s="24"/>
      <c r="S39" s="19"/>
      <c r="T39" s="19"/>
      <c r="U39" s="19"/>
      <c r="V39" s="19"/>
      <c r="W39" s="19"/>
      <c r="X39" s="19"/>
    </row>
    <row r="40" spans="1:24" ht="11.25" x14ac:dyDescent="0.2">
      <c r="A40" s="19"/>
      <c r="B40" s="19"/>
      <c r="C40" s="367" t="s">
        <v>188</v>
      </c>
      <c r="D40" s="20" t="s">
        <v>155</v>
      </c>
      <c r="E40" s="532" t="s">
        <v>172</v>
      </c>
      <c r="F40" s="22"/>
      <c r="G40" s="22"/>
      <c r="H40" s="22"/>
      <c r="I40" s="22"/>
      <c r="J40" s="423">
        <v>227.02210500000001</v>
      </c>
      <c r="K40" s="423">
        <v>246.28164415399999</v>
      </c>
      <c r="L40" s="423">
        <v>254.00785330799999</v>
      </c>
      <c r="M40" s="423">
        <v>259.31478399600002</v>
      </c>
      <c r="N40" s="423">
        <v>252.367549594</v>
      </c>
      <c r="O40" s="423"/>
      <c r="P40" s="423"/>
      <c r="Q40" s="423"/>
      <c r="R40" s="24"/>
      <c r="S40" s="19"/>
      <c r="T40" s="19"/>
      <c r="U40" s="19"/>
      <c r="V40" s="19"/>
      <c r="W40" s="19"/>
      <c r="X40" s="19"/>
    </row>
    <row r="41" spans="1:24" ht="11.25" x14ac:dyDescent="0.2">
      <c r="A41" s="19"/>
      <c r="B41" s="19"/>
      <c r="C41" s="367" t="s">
        <v>189</v>
      </c>
      <c r="D41" s="20" t="s">
        <v>155</v>
      </c>
      <c r="E41" s="532" t="s">
        <v>172</v>
      </c>
      <c r="F41" s="22"/>
      <c r="G41" s="22"/>
      <c r="H41" s="22"/>
      <c r="I41" s="22"/>
      <c r="J41" s="423">
        <v>466.15405299999998</v>
      </c>
      <c r="K41" s="423">
        <v>568.78972160499995</v>
      </c>
      <c r="L41" s="423">
        <v>707.40462319255096</v>
      </c>
      <c r="M41" s="423">
        <v>895.497048236718</v>
      </c>
      <c r="N41" s="423">
        <v>986.33385722499895</v>
      </c>
      <c r="O41" s="423"/>
      <c r="P41" s="423"/>
      <c r="Q41" s="423"/>
      <c r="R41" s="24"/>
      <c r="S41" s="19"/>
      <c r="T41" s="19"/>
      <c r="U41" s="19"/>
      <c r="V41" s="19"/>
      <c r="W41" s="19"/>
      <c r="X41" s="19"/>
    </row>
    <row r="42" spans="1:24" ht="11.25" x14ac:dyDescent="0.2">
      <c r="A42" s="19"/>
      <c r="B42" s="19"/>
      <c r="C42" s="367" t="s">
        <v>190</v>
      </c>
      <c r="D42" s="20" t="s">
        <v>155</v>
      </c>
      <c r="E42" s="532" t="s">
        <v>172</v>
      </c>
      <c r="F42" s="22"/>
      <c r="G42" s="22"/>
      <c r="H42" s="22"/>
      <c r="I42" s="22"/>
      <c r="J42" s="423">
        <v>53.187024000000001</v>
      </c>
      <c r="K42" s="423">
        <v>48.998847318999999</v>
      </c>
      <c r="L42" s="423">
        <v>44.145556280443998</v>
      </c>
      <c r="M42" s="423">
        <v>41.577093620555999</v>
      </c>
      <c r="N42" s="423">
        <v>39.181717528999997</v>
      </c>
      <c r="O42" s="423"/>
      <c r="P42" s="423"/>
      <c r="Q42" s="423"/>
      <c r="R42" s="24"/>
      <c r="S42" s="19"/>
      <c r="T42" s="19"/>
      <c r="U42" s="19"/>
      <c r="V42" s="19"/>
      <c r="W42" s="19"/>
      <c r="X42" s="19"/>
    </row>
    <row r="43" spans="1:24" ht="11.25" x14ac:dyDescent="0.2">
      <c r="A43" s="19"/>
      <c r="B43" s="19"/>
      <c r="C43" s="367" t="s">
        <v>191</v>
      </c>
      <c r="D43" s="20" t="s">
        <v>155</v>
      </c>
      <c r="E43" s="532" t="s">
        <v>172</v>
      </c>
      <c r="F43" s="22"/>
      <c r="G43" s="22"/>
      <c r="H43" s="22"/>
      <c r="I43" s="22"/>
      <c r="J43" s="423">
        <v>31.368756000000001</v>
      </c>
      <c r="K43" s="423">
        <v>29.859867718</v>
      </c>
      <c r="L43" s="423">
        <v>28.611281872999999</v>
      </c>
      <c r="M43" s="423">
        <v>26.587609984</v>
      </c>
      <c r="N43" s="423">
        <v>24.509356841999999</v>
      </c>
      <c r="O43" s="423"/>
      <c r="P43" s="423"/>
      <c r="Q43" s="423"/>
      <c r="R43" s="24"/>
      <c r="S43" s="19"/>
      <c r="T43" s="19"/>
      <c r="U43" s="19"/>
      <c r="V43" s="19"/>
      <c r="W43" s="19"/>
      <c r="X43" s="19"/>
    </row>
    <row r="44" spans="1:24" ht="11.25" x14ac:dyDescent="0.2">
      <c r="A44" s="19"/>
      <c r="B44" s="19"/>
      <c r="C44" s="368" t="s">
        <v>166</v>
      </c>
      <c r="D44" s="20" t="s">
        <v>105</v>
      </c>
      <c r="E44" s="532" t="s">
        <v>172</v>
      </c>
      <c r="F44" s="22"/>
      <c r="G44" s="22"/>
      <c r="H44" s="22"/>
      <c r="I44" s="22"/>
      <c r="J44" s="363">
        <f>SUM(J38:J43)</f>
        <v>4192.7450019999997</v>
      </c>
      <c r="K44" s="363">
        <f t="shared" ref="K44:Q44" si="5">SUM(K38:K43)</f>
        <v>4293.0444434479987</v>
      </c>
      <c r="L44" s="363">
        <f t="shared" si="5"/>
        <v>4320.7732638806638</v>
      </c>
      <c r="M44" s="363">
        <f t="shared" si="5"/>
        <v>4401.1362683291673</v>
      </c>
      <c r="N44" s="363">
        <f t="shared" si="5"/>
        <v>4482.635559764999</v>
      </c>
      <c r="O44" s="363">
        <f t="shared" si="5"/>
        <v>0</v>
      </c>
      <c r="P44" s="363">
        <f t="shared" si="5"/>
        <v>0</v>
      </c>
      <c r="Q44" s="363">
        <f t="shared" si="5"/>
        <v>0</v>
      </c>
      <c r="R44" s="24"/>
      <c r="S44" s="19"/>
      <c r="T44" s="19"/>
      <c r="U44" s="19"/>
      <c r="V44" s="19"/>
      <c r="W44" s="19"/>
      <c r="X44" s="19"/>
    </row>
    <row r="45" spans="1:24" ht="11.25" x14ac:dyDescent="0.2">
      <c r="A45" s="19"/>
      <c r="B45" s="19"/>
      <c r="C45" s="370"/>
      <c r="D45" s="20"/>
      <c r="E45" s="528"/>
      <c r="F45" s="22"/>
      <c r="G45" s="22"/>
      <c r="H45" s="22"/>
      <c r="I45" s="22"/>
      <c r="J45" s="384"/>
      <c r="K45" s="384"/>
      <c r="L45" s="384"/>
      <c r="M45" s="307"/>
      <c r="N45" s="307"/>
      <c r="O45" s="307"/>
      <c r="P45" s="307"/>
      <c r="Q45" s="307"/>
      <c r="R45" s="24"/>
      <c r="S45" s="19"/>
      <c r="T45" s="19"/>
      <c r="U45" s="19"/>
      <c r="V45" s="19"/>
      <c r="W45" s="19"/>
      <c r="X45" s="19"/>
    </row>
    <row r="46" spans="1:24" ht="11.25" x14ac:dyDescent="0.2">
      <c r="A46" s="19"/>
      <c r="B46" s="19"/>
      <c r="C46" s="367" t="s">
        <v>192</v>
      </c>
      <c r="D46" s="20" t="s">
        <v>155</v>
      </c>
      <c r="E46" s="532" t="s">
        <v>29</v>
      </c>
      <c r="F46" s="22"/>
      <c r="G46" s="22"/>
      <c r="H46" s="22"/>
      <c r="I46" s="22"/>
      <c r="J46" s="577">
        <v>241954.89490000001</v>
      </c>
      <c r="K46" s="577">
        <v>244282</v>
      </c>
      <c r="L46" s="577">
        <v>246751</v>
      </c>
      <c r="M46" s="577">
        <v>249805</v>
      </c>
      <c r="N46" s="577">
        <v>253137</v>
      </c>
      <c r="O46" s="577"/>
      <c r="P46" s="577"/>
      <c r="Q46" s="577"/>
      <c r="R46" s="19" t="s">
        <v>554</v>
      </c>
      <c r="S46" s="19"/>
      <c r="T46" s="19"/>
      <c r="U46" s="19"/>
      <c r="V46" s="19"/>
      <c r="W46" s="19"/>
      <c r="X46" s="19"/>
    </row>
    <row r="47" spans="1:24" ht="11.25" x14ac:dyDescent="0.2">
      <c r="A47" s="19"/>
      <c r="B47" s="19"/>
      <c r="C47" s="367" t="s">
        <v>193</v>
      </c>
      <c r="D47" s="20" t="s">
        <v>155</v>
      </c>
      <c r="E47" s="532" t="s">
        <v>29</v>
      </c>
      <c r="F47" s="22"/>
      <c r="G47" s="22"/>
      <c r="H47" s="22"/>
      <c r="I47" s="22"/>
      <c r="J47" s="577">
        <v>40714.249499999998</v>
      </c>
      <c r="K47" s="577">
        <v>40387</v>
      </c>
      <c r="L47" s="577">
        <v>40249</v>
      </c>
      <c r="M47" s="577">
        <v>40024</v>
      </c>
      <c r="N47" s="577">
        <v>39970</v>
      </c>
      <c r="O47" s="577"/>
      <c r="P47" s="577"/>
      <c r="Q47" s="577"/>
      <c r="R47" s="19"/>
      <c r="S47" s="19"/>
      <c r="T47" s="19"/>
      <c r="U47" s="19"/>
      <c r="V47" s="19"/>
      <c r="W47" s="19"/>
      <c r="X47" s="19"/>
    </row>
    <row r="48" spans="1:24" ht="11.25" x14ac:dyDescent="0.2">
      <c r="A48" s="19"/>
      <c r="B48" s="19"/>
      <c r="C48" s="367" t="s">
        <v>194</v>
      </c>
      <c r="D48" s="20" t="s">
        <v>155</v>
      </c>
      <c r="E48" s="532" t="s">
        <v>29</v>
      </c>
      <c r="F48" s="22"/>
      <c r="G48" s="22"/>
      <c r="H48" s="22"/>
      <c r="I48" s="22"/>
      <c r="J48" s="577">
        <v>999.97280000000001</v>
      </c>
      <c r="K48" s="577">
        <v>1164</v>
      </c>
      <c r="L48" s="577">
        <v>1381</v>
      </c>
      <c r="M48" s="577">
        <v>1599</v>
      </c>
      <c r="N48" s="577">
        <v>1594</v>
      </c>
      <c r="O48" s="577"/>
      <c r="P48" s="577"/>
      <c r="Q48" s="577"/>
      <c r="R48" s="19"/>
      <c r="S48" s="19"/>
      <c r="T48" s="19"/>
      <c r="U48" s="19"/>
      <c r="V48" s="19"/>
      <c r="W48" s="19"/>
      <c r="X48" s="19"/>
    </row>
    <row r="49" spans="1:24" ht="11.25" x14ac:dyDescent="0.2">
      <c r="A49" s="19"/>
      <c r="B49" s="19"/>
      <c r="C49" s="367" t="s">
        <v>195</v>
      </c>
      <c r="D49" s="20" t="s">
        <v>155</v>
      </c>
      <c r="E49" s="532" t="s">
        <v>29</v>
      </c>
      <c r="F49" s="22"/>
      <c r="G49" s="22"/>
      <c r="H49" s="22"/>
      <c r="I49" s="22"/>
      <c r="J49" s="577">
        <v>124.0587</v>
      </c>
      <c r="K49" s="577">
        <v>126</v>
      </c>
      <c r="L49" s="577">
        <v>128</v>
      </c>
      <c r="M49" s="577">
        <v>132</v>
      </c>
      <c r="N49" s="577">
        <v>136</v>
      </c>
      <c r="O49" s="577"/>
      <c r="P49" s="577"/>
      <c r="Q49" s="577"/>
      <c r="R49" s="19"/>
      <c r="S49" s="19"/>
      <c r="T49" s="19"/>
      <c r="U49" s="19"/>
      <c r="V49" s="19"/>
      <c r="W49" s="19"/>
      <c r="X49" s="19"/>
    </row>
    <row r="50" spans="1:24" ht="11.25" x14ac:dyDescent="0.2">
      <c r="A50" s="19"/>
      <c r="B50" s="19"/>
      <c r="C50" s="367" t="s">
        <v>196</v>
      </c>
      <c r="D50" s="20" t="s">
        <v>155</v>
      </c>
      <c r="E50" s="532" t="s">
        <v>29</v>
      </c>
      <c r="F50" s="22"/>
      <c r="G50" s="22"/>
      <c r="H50" s="22"/>
      <c r="I50" s="22"/>
      <c r="J50" s="577">
        <v>3858.3242</v>
      </c>
      <c r="K50" s="577">
        <v>1977</v>
      </c>
      <c r="L50" s="577">
        <v>1937</v>
      </c>
      <c r="M50" s="577">
        <v>2389</v>
      </c>
      <c r="N50" s="577">
        <v>2819</v>
      </c>
      <c r="O50" s="577"/>
      <c r="P50" s="577"/>
      <c r="Q50" s="577"/>
      <c r="R50" s="24"/>
      <c r="S50" s="19"/>
      <c r="T50" s="19"/>
      <c r="U50" s="19"/>
      <c r="V50" s="19"/>
      <c r="W50" s="19"/>
      <c r="X50" s="19"/>
    </row>
    <row r="51" spans="1:24" ht="11.25" x14ac:dyDescent="0.2">
      <c r="A51" s="19"/>
      <c r="B51" s="19"/>
      <c r="C51" s="367" t="s">
        <v>197</v>
      </c>
      <c r="D51" s="20" t="s">
        <v>155</v>
      </c>
      <c r="E51" s="532" t="s">
        <v>29</v>
      </c>
      <c r="F51" s="22"/>
      <c r="G51" s="22"/>
      <c r="H51" s="22"/>
      <c r="I51" s="22"/>
      <c r="J51" s="577">
        <v>0</v>
      </c>
      <c r="K51" s="577">
        <v>0</v>
      </c>
      <c r="L51" s="577">
        <v>0</v>
      </c>
      <c r="M51" s="577">
        <v>0</v>
      </c>
      <c r="N51" s="577">
        <v>0</v>
      </c>
      <c r="O51" s="577"/>
      <c r="P51" s="577"/>
      <c r="Q51" s="577"/>
      <c r="R51" s="24"/>
      <c r="S51" s="19"/>
      <c r="T51" s="19"/>
      <c r="U51" s="19"/>
      <c r="V51" s="19"/>
      <c r="W51" s="19"/>
      <c r="X51" s="19"/>
    </row>
    <row r="52" spans="1:24" ht="11.25" collapsed="1" x14ac:dyDescent="0.2">
      <c r="A52" s="19"/>
      <c r="B52" s="19"/>
      <c r="C52" s="368" t="s">
        <v>198</v>
      </c>
      <c r="D52" s="20" t="s">
        <v>105</v>
      </c>
      <c r="E52" s="532" t="s">
        <v>29</v>
      </c>
      <c r="F52" s="22"/>
      <c r="G52" s="22"/>
      <c r="H52" s="22"/>
      <c r="I52" s="22"/>
      <c r="J52" s="578">
        <f>SUM(J46:J51)</f>
        <v>287651.50009999995</v>
      </c>
      <c r="K52" s="578">
        <f t="shared" ref="K52:Q52" si="6">SUM(K46:K51)</f>
        <v>287936</v>
      </c>
      <c r="L52" s="578">
        <f t="shared" si="6"/>
        <v>290446</v>
      </c>
      <c r="M52" s="578">
        <f t="shared" si="6"/>
        <v>293949</v>
      </c>
      <c r="N52" s="578">
        <f t="shared" si="6"/>
        <v>297656</v>
      </c>
      <c r="O52" s="578">
        <f t="shared" si="6"/>
        <v>0</v>
      </c>
      <c r="P52" s="578">
        <f t="shared" si="6"/>
        <v>0</v>
      </c>
      <c r="Q52" s="578">
        <f t="shared" si="6"/>
        <v>0</v>
      </c>
      <c r="R52" s="24"/>
      <c r="S52" s="19"/>
      <c r="T52" s="19"/>
      <c r="U52" s="19"/>
      <c r="V52" s="19"/>
      <c r="W52" s="19"/>
      <c r="X52" s="19"/>
    </row>
    <row r="53" spans="1:24" ht="11.25" x14ac:dyDescent="0.2">
      <c r="A53" s="19"/>
      <c r="B53" s="19"/>
      <c r="C53" s="36"/>
      <c r="D53" s="20"/>
      <c r="E53" s="20"/>
      <c r="F53" s="20"/>
      <c r="G53" s="22"/>
      <c r="H53" s="22"/>
      <c r="I53" s="20"/>
      <c r="J53" s="20"/>
      <c r="K53" s="20"/>
      <c r="L53" s="20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</row>
    <row r="54" spans="1:24" ht="12.75" x14ac:dyDescent="0.2">
      <c r="A54" s="11"/>
      <c r="B54" s="12" t="s">
        <v>8</v>
      </c>
      <c r="C54" s="11"/>
      <c r="D54" s="11"/>
      <c r="E54" s="11"/>
      <c r="F54" s="13"/>
      <c r="G54" s="13"/>
      <c r="H54" s="13"/>
      <c r="I54" s="13"/>
      <c r="J54" s="13"/>
      <c r="K54" s="13"/>
      <c r="L54" s="13"/>
      <c r="M54" s="14"/>
      <c r="N54" s="15"/>
      <c r="O54" s="14"/>
      <c r="P54" s="15"/>
      <c r="Q54" s="14"/>
      <c r="R54" s="14"/>
      <c r="S54" s="14"/>
      <c r="T54" s="15"/>
      <c r="U54" s="15"/>
      <c r="V54" s="15"/>
      <c r="W54" s="15"/>
      <c r="X54" s="15"/>
    </row>
  </sheetData>
  <sheetProtection formatColumns="0" formatRows="0"/>
  <conditionalFormatting sqref="J1:Q1048576">
    <cfRule type="expression" dxfId="10" priority="5">
      <formula>J$5=previousyear</formula>
    </cfRule>
  </conditionalFormatting>
  <dataValidations disablePrompts="1" count="1">
    <dataValidation type="list" allowBlank="1" showInputMessage="1" showErrorMessage="1" sqref="E37 E45 E22" xr:uid="{00000000-0002-0000-0B00-000000000000}">
      <formula1>$G$12:$G$19</formula1>
    </dataValidation>
  </dataValidations>
  <hyperlinks>
    <hyperlink ref="J1" location="'Pricing model'!A51" display="Back to Index" xr:uid="{00000000-0004-0000-0B00-000000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B00-000001000000}">
          <x14:formula1>
            <xm:f>Lookups!$G$9:$G$20</xm:f>
          </x14:formula1>
          <xm:sqref>E31:E36 E46:E52 E38:E44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>
    <tabColor theme="4" tint="0.79998168889431442"/>
  </sheetPr>
  <dimension ref="A1:Y60"/>
  <sheetViews>
    <sheetView showGridLines="0" zoomScaleNormal="100" workbookViewId="0">
      <selection activeCell="G7" sqref="G7"/>
    </sheetView>
  </sheetViews>
  <sheetFormatPr defaultColWidth="0" defaultRowHeight="0" customHeight="1" zeroHeight="1" outlineLevelRow="2" x14ac:dyDescent="0.2"/>
  <cols>
    <col min="1" max="2" width="1.42578125" style="18" customWidth="1"/>
    <col min="3" max="3" width="42.7109375" style="18" bestFit="1" customWidth="1"/>
    <col min="4" max="4" width="13.85546875" style="18" customWidth="1"/>
    <col min="5" max="5" width="11.7109375" style="18" customWidth="1"/>
    <col min="6" max="6" width="11.42578125" style="18" customWidth="1"/>
    <col min="7" max="10" width="2.28515625" style="18" customWidth="1"/>
    <col min="11" max="21" width="9.28515625" style="18" customWidth="1"/>
    <col min="22" max="24" width="2.5703125" style="18" customWidth="1"/>
    <col min="25" max="25" width="8" style="18" customWidth="1"/>
    <col min="26" max="16384" width="8" style="18" hidden="1"/>
  </cols>
  <sheetData>
    <row r="1" spans="1:24" ht="15.75" x14ac:dyDescent="0.25">
      <c r="A1" s="1"/>
      <c r="B1" s="2" t="str">
        <f>'Inputs&gt;&gt;'!B1</f>
        <v>AER pricing model - TasNetworks 2022–23</v>
      </c>
      <c r="C1" s="2"/>
      <c r="D1" s="2"/>
      <c r="E1" s="2"/>
      <c r="F1" s="2"/>
      <c r="G1" s="3"/>
      <c r="H1" s="3"/>
      <c r="I1" s="3"/>
      <c r="J1" s="3"/>
      <c r="K1" s="160" t="s">
        <v>0</v>
      </c>
      <c r="M1" s="111"/>
      <c r="N1" s="112"/>
      <c r="O1" s="51"/>
      <c r="P1" s="51"/>
      <c r="S1" s="111"/>
      <c r="T1" s="113"/>
      <c r="V1" s="114"/>
      <c r="W1" s="113"/>
      <c r="X1" s="1"/>
    </row>
    <row r="2" spans="1:24" ht="13.5" thickBot="1" x14ac:dyDescent="0.25">
      <c r="A2" s="6"/>
      <c r="B2" s="7" t="str">
        <f>'Inputs&gt;&gt;'!C10</f>
        <v>Metering</v>
      </c>
      <c r="C2" s="7"/>
      <c r="D2" s="7"/>
      <c r="E2" s="7"/>
      <c r="F2" s="7"/>
      <c r="G2" s="8"/>
      <c r="H2" s="8"/>
      <c r="I2" s="8"/>
      <c r="J2" s="8"/>
      <c r="K2" s="6"/>
      <c r="S2" s="289"/>
      <c r="T2" s="115"/>
      <c r="U2" s="115"/>
      <c r="V2" s="115"/>
      <c r="W2" s="115"/>
      <c r="X2" s="6"/>
    </row>
    <row r="3" spans="1:24" ht="11.25" x14ac:dyDescent="0.2">
      <c r="A3" s="27"/>
      <c r="B3" s="296" t="str">
        <f>'Inputs&gt;&gt;'!D10</f>
        <v>Inputs relating to metering (prices for cost movements for non-Vic, prices and quantities for revenue caps for Vic)</v>
      </c>
      <c r="C3" s="27"/>
      <c r="D3" s="27"/>
      <c r="E3" s="28"/>
      <c r="F3" s="28"/>
      <c r="G3" s="28"/>
      <c r="H3" s="28"/>
      <c r="I3" s="28"/>
      <c r="J3" s="28"/>
      <c r="K3" s="29"/>
      <c r="L3" s="287"/>
      <c r="M3" s="287"/>
      <c r="N3" s="287"/>
      <c r="O3" s="287"/>
      <c r="P3" s="287"/>
      <c r="Q3" s="287"/>
      <c r="R3" s="287"/>
      <c r="S3" s="287"/>
      <c r="T3" s="30"/>
      <c r="U3" s="31"/>
      <c r="V3" s="31"/>
      <c r="W3" s="31"/>
      <c r="X3" s="31"/>
    </row>
    <row r="4" spans="1:24" ht="11.25" x14ac:dyDescent="0.2">
      <c r="A4" s="9"/>
      <c r="B4" s="9"/>
      <c r="C4" s="78"/>
      <c r="D4" s="78"/>
      <c r="E4" s="10"/>
      <c r="F4" s="10"/>
      <c r="G4" s="10"/>
      <c r="H4" s="10"/>
      <c r="I4" s="10"/>
      <c r="J4" s="10"/>
      <c r="K4" s="50"/>
      <c r="L4" s="288"/>
      <c r="M4" s="288"/>
      <c r="N4" s="288"/>
      <c r="O4" s="288"/>
      <c r="P4" s="288"/>
      <c r="Q4" s="288"/>
      <c r="R4" s="288"/>
      <c r="S4" s="290"/>
      <c r="T4" s="9"/>
      <c r="U4" s="9"/>
      <c r="V4" s="9"/>
      <c r="W4" s="9"/>
      <c r="X4" s="9"/>
    </row>
    <row r="5" spans="1:24" ht="12.75" x14ac:dyDescent="0.2">
      <c r="A5" s="11"/>
      <c r="B5" s="12" t="s">
        <v>628</v>
      </c>
      <c r="C5" s="11"/>
      <c r="D5" s="32" t="s">
        <v>472</v>
      </c>
      <c r="E5" s="32" t="s">
        <v>3</v>
      </c>
      <c r="F5" s="32" t="s">
        <v>11</v>
      </c>
      <c r="G5" s="33"/>
      <c r="H5" s="34"/>
      <c r="I5" s="34"/>
      <c r="J5" s="34"/>
      <c r="K5" s="33" t="str">
        <f>RCPminus3</f>
        <v>2016–17</v>
      </c>
      <c r="L5" s="33" t="str">
        <f>RCPminus2</f>
        <v>2017–18</v>
      </c>
      <c r="M5" s="33" t="str">
        <f>RCPminus1</f>
        <v>2018–19</v>
      </c>
      <c r="N5" s="344" t="str">
        <f>RCP_firstyear</f>
        <v>2019–20</v>
      </c>
      <c r="O5" s="35" t="str">
        <f>RCP_secondyear</f>
        <v>2020–21</v>
      </c>
      <c r="P5" s="35" t="str">
        <f>RCP_thirdyear</f>
        <v>2021–22</v>
      </c>
      <c r="Q5" s="35" t="str">
        <f>RCP_fourthyear</f>
        <v>2022–23</v>
      </c>
      <c r="R5" s="35" t="str">
        <f>RCP_lastyear</f>
        <v>2023–24</v>
      </c>
      <c r="S5" s="14" t="s">
        <v>14</v>
      </c>
      <c r="T5" s="14"/>
      <c r="U5" s="15"/>
      <c r="V5" s="15"/>
      <c r="W5" s="15"/>
      <c r="X5" s="15"/>
    </row>
    <row r="6" spans="1:24" ht="11.25" outlineLevel="1" x14ac:dyDescent="0.2">
      <c r="A6" s="19"/>
      <c r="B6" s="19"/>
      <c r="C6" s="51"/>
      <c r="D6" s="51"/>
      <c r="E6" s="20"/>
      <c r="F6" s="20"/>
      <c r="G6" s="20"/>
      <c r="H6" s="20"/>
      <c r="I6" s="20"/>
      <c r="J6" s="20"/>
      <c r="K6" s="20"/>
      <c r="L6" s="20"/>
      <c r="M6" s="20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</row>
    <row r="7" spans="1:24" ht="11.25" outlineLevel="1" x14ac:dyDescent="0.2">
      <c r="A7" s="19"/>
      <c r="B7" s="19"/>
      <c r="C7" s="435" t="s">
        <v>854</v>
      </c>
      <c r="D7" s="434"/>
      <c r="E7" s="20" t="s">
        <v>81</v>
      </c>
      <c r="F7" s="535" t="s">
        <v>23</v>
      </c>
      <c r="G7" s="22"/>
      <c r="H7" s="22"/>
      <c r="I7" s="22"/>
      <c r="J7" s="22"/>
      <c r="K7" s="425"/>
      <c r="L7" s="425"/>
      <c r="M7" s="425"/>
      <c r="N7" s="426">
        <v>24.309720000000002</v>
      </c>
      <c r="O7" s="426">
        <v>24.954565315349516</v>
      </c>
      <c r="P7" s="426">
        <v>25.436849999999996</v>
      </c>
      <c r="Q7" s="426">
        <v>26.689999999999998</v>
      </c>
      <c r="R7" s="426"/>
      <c r="S7" s="19" t="s">
        <v>945</v>
      </c>
      <c r="T7" s="19"/>
      <c r="U7" s="19"/>
      <c r="V7" s="19"/>
      <c r="W7" s="19"/>
      <c r="X7" s="19"/>
    </row>
    <row r="8" spans="1:24" ht="11.25" outlineLevel="1" x14ac:dyDescent="0.2">
      <c r="A8" s="19"/>
      <c r="B8" s="19"/>
      <c r="C8" s="435" t="s">
        <v>855</v>
      </c>
      <c r="D8" s="434"/>
      <c r="E8" s="20" t="s">
        <v>81</v>
      </c>
      <c r="F8" s="535" t="s">
        <v>23</v>
      </c>
      <c r="G8" s="22"/>
      <c r="H8" s="22"/>
      <c r="I8" s="22"/>
      <c r="J8" s="22"/>
      <c r="K8" s="425"/>
      <c r="L8" s="425"/>
      <c r="M8" s="425"/>
      <c r="N8" s="426">
        <v>48.630420000000001</v>
      </c>
      <c r="O8" s="426">
        <v>49.920401888745708</v>
      </c>
      <c r="P8" s="426">
        <v>50.888300000000001</v>
      </c>
      <c r="Q8" s="426">
        <v>53.38</v>
      </c>
      <c r="R8" s="426"/>
      <c r="S8" s="19" t="s">
        <v>946</v>
      </c>
      <c r="T8" s="19"/>
      <c r="U8" s="19"/>
      <c r="V8" s="19"/>
      <c r="W8" s="19"/>
      <c r="X8" s="19"/>
    </row>
    <row r="9" spans="1:24" ht="11.25" outlineLevel="1" x14ac:dyDescent="0.2">
      <c r="A9" s="19"/>
      <c r="B9" s="19"/>
      <c r="C9" s="435" t="s">
        <v>856</v>
      </c>
      <c r="D9" s="434"/>
      <c r="E9" s="20" t="s">
        <v>81</v>
      </c>
      <c r="F9" s="535" t="s">
        <v>23</v>
      </c>
      <c r="G9" s="22"/>
      <c r="H9" s="22"/>
      <c r="I9" s="22"/>
      <c r="J9" s="22"/>
      <c r="K9" s="425"/>
      <c r="L9" s="425"/>
      <c r="M9" s="425"/>
      <c r="N9" s="426">
        <v>62.882460000000009</v>
      </c>
      <c r="O9" s="426">
        <v>64.550494833336359</v>
      </c>
      <c r="P9" s="426">
        <v>65.802199999999999</v>
      </c>
      <c r="Q9" s="426">
        <v>69.050000000000011</v>
      </c>
      <c r="R9" s="426"/>
      <c r="S9" s="19" t="s">
        <v>947</v>
      </c>
      <c r="T9" s="19"/>
      <c r="U9" s="19"/>
      <c r="V9" s="19"/>
      <c r="W9" s="19"/>
      <c r="X9" s="19"/>
    </row>
    <row r="10" spans="1:24" ht="11.25" outlineLevel="1" x14ac:dyDescent="0.2">
      <c r="A10" s="19"/>
      <c r="B10" s="19"/>
      <c r="C10" s="435" t="s">
        <v>857</v>
      </c>
      <c r="D10" s="434"/>
      <c r="E10" s="20" t="s">
        <v>81</v>
      </c>
      <c r="F10" s="535" t="s">
        <v>23</v>
      </c>
      <c r="G10" s="22"/>
      <c r="H10" s="22"/>
      <c r="I10" s="22"/>
      <c r="J10" s="22"/>
      <c r="K10" s="425"/>
      <c r="L10" s="425"/>
      <c r="M10" s="425"/>
      <c r="N10" s="426">
        <v>23.500860000000003</v>
      </c>
      <c r="O10" s="426">
        <v>24.124249305910759</v>
      </c>
      <c r="P10" s="426">
        <v>24.590050000000002</v>
      </c>
      <c r="Q10" s="426">
        <v>25.799999999999997</v>
      </c>
      <c r="R10" s="426"/>
      <c r="S10" s="19"/>
      <c r="T10" s="19"/>
      <c r="U10" s="19"/>
      <c r="V10" s="19"/>
      <c r="W10" s="19"/>
      <c r="X10" s="19"/>
    </row>
    <row r="11" spans="1:24" ht="11.25" outlineLevel="1" x14ac:dyDescent="0.2">
      <c r="A11" s="19"/>
      <c r="B11" s="19"/>
      <c r="C11" s="435" t="s">
        <v>858</v>
      </c>
      <c r="D11" s="434"/>
      <c r="E11" s="20" t="s">
        <v>81</v>
      </c>
      <c r="F11" s="535" t="s">
        <v>23</v>
      </c>
      <c r="G11" s="22"/>
      <c r="H11" s="22"/>
      <c r="I11" s="22"/>
      <c r="J11" s="22"/>
      <c r="K11" s="425"/>
      <c r="L11" s="425"/>
      <c r="M11" s="425"/>
      <c r="N11" s="426">
        <v>48.769500000000001</v>
      </c>
      <c r="O11" s="426">
        <v>50.063171157336996</v>
      </c>
      <c r="P11" s="426">
        <v>51.034299999999995</v>
      </c>
      <c r="Q11" s="426">
        <v>53.53</v>
      </c>
      <c r="R11" s="426"/>
      <c r="S11" s="19"/>
      <c r="T11" s="19"/>
      <c r="U11" s="19"/>
      <c r="V11" s="19"/>
      <c r="W11" s="19"/>
      <c r="X11" s="19"/>
    </row>
    <row r="12" spans="1:24" ht="11.25" outlineLevel="1" x14ac:dyDescent="0.2">
      <c r="A12" s="19"/>
      <c r="B12" s="19"/>
      <c r="C12" s="435" t="s">
        <v>859</v>
      </c>
      <c r="D12" s="434"/>
      <c r="E12" s="20" t="s">
        <v>81</v>
      </c>
      <c r="F12" s="535" t="s">
        <v>23</v>
      </c>
      <c r="G12" s="22"/>
      <c r="H12" s="22"/>
      <c r="I12" s="22"/>
      <c r="J12" s="22"/>
      <c r="K12" s="425"/>
      <c r="L12" s="425"/>
      <c r="M12" s="425"/>
      <c r="N12" s="426">
        <v>60.353399999999993</v>
      </c>
      <c r="O12" s="426">
        <v>61.954348396584393</v>
      </c>
      <c r="P12" s="426">
        <v>63.155950000000004</v>
      </c>
      <c r="Q12" s="426">
        <v>66.25</v>
      </c>
      <c r="R12" s="426"/>
      <c r="S12" s="19"/>
      <c r="T12" s="19"/>
      <c r="U12" s="19"/>
      <c r="V12" s="19"/>
      <c r="W12" s="19"/>
      <c r="X12" s="19"/>
    </row>
    <row r="13" spans="1:24" ht="11.25" outlineLevel="1" x14ac:dyDescent="0.2">
      <c r="A13" s="19"/>
      <c r="B13" s="19"/>
      <c r="C13" s="435" t="s">
        <v>860</v>
      </c>
      <c r="D13" s="434"/>
      <c r="E13" s="20" t="s">
        <v>81</v>
      </c>
      <c r="F13" s="535" t="s">
        <v>23</v>
      </c>
      <c r="G13" s="22"/>
      <c r="H13" s="22"/>
      <c r="I13" s="22"/>
      <c r="J13" s="22"/>
      <c r="K13" s="425"/>
      <c r="L13" s="425"/>
      <c r="M13" s="425"/>
      <c r="N13" s="426">
        <v>42.913499999999999</v>
      </c>
      <c r="O13" s="426">
        <v>44.051833532440995</v>
      </c>
      <c r="P13" s="426">
        <v>44.902299999999997</v>
      </c>
      <c r="Q13" s="426">
        <v>47.11</v>
      </c>
      <c r="R13" s="426"/>
      <c r="S13" s="19"/>
      <c r="T13" s="19"/>
      <c r="U13" s="19"/>
      <c r="V13" s="19"/>
      <c r="W13" s="19"/>
      <c r="X13" s="19"/>
    </row>
    <row r="14" spans="1:24" ht="11.25" hidden="1" outlineLevel="2" x14ac:dyDescent="0.2">
      <c r="A14" s="19"/>
      <c r="B14" s="19"/>
      <c r="C14" s="533"/>
      <c r="D14" s="434"/>
      <c r="E14" s="20" t="s">
        <v>81</v>
      </c>
      <c r="F14" s="535" t="s">
        <v>23</v>
      </c>
      <c r="G14" s="22"/>
      <c r="H14" s="22"/>
      <c r="I14" s="22"/>
      <c r="J14" s="22"/>
      <c r="K14" s="425"/>
      <c r="L14" s="425"/>
      <c r="M14" s="425"/>
      <c r="N14" s="436"/>
      <c r="O14" s="436"/>
      <c r="P14" s="436"/>
      <c r="Q14" s="436"/>
      <c r="R14" s="436"/>
      <c r="S14" s="19"/>
      <c r="T14" s="19"/>
      <c r="U14" s="19"/>
      <c r="V14" s="19"/>
      <c r="W14" s="19"/>
      <c r="X14" s="19"/>
    </row>
    <row r="15" spans="1:24" ht="11.25" hidden="1" outlineLevel="2" x14ac:dyDescent="0.2">
      <c r="A15" s="19"/>
      <c r="B15" s="19"/>
      <c r="C15" s="533"/>
      <c r="D15" s="434"/>
      <c r="E15" s="20" t="s">
        <v>81</v>
      </c>
      <c r="F15" s="535" t="s">
        <v>23</v>
      </c>
      <c r="G15" s="22"/>
      <c r="H15" s="22"/>
      <c r="I15" s="22"/>
      <c r="J15" s="22"/>
      <c r="K15" s="425"/>
      <c r="L15" s="425"/>
      <c r="M15" s="425"/>
      <c r="N15" s="436"/>
      <c r="O15" s="436"/>
      <c r="P15" s="436"/>
      <c r="Q15" s="436"/>
      <c r="R15" s="436"/>
      <c r="S15" s="19"/>
      <c r="T15" s="19"/>
      <c r="U15" s="19"/>
      <c r="V15" s="19"/>
      <c r="W15" s="19"/>
      <c r="X15" s="19"/>
    </row>
    <row r="16" spans="1:24" ht="11.25" hidden="1" outlineLevel="2" x14ac:dyDescent="0.2">
      <c r="A16" s="19"/>
      <c r="B16" s="19"/>
      <c r="C16" s="533"/>
      <c r="D16" s="434"/>
      <c r="E16" s="20" t="s">
        <v>81</v>
      </c>
      <c r="F16" s="535" t="s">
        <v>23</v>
      </c>
      <c r="G16" s="22"/>
      <c r="H16" s="22"/>
      <c r="I16" s="22"/>
      <c r="J16" s="22"/>
      <c r="K16" s="425"/>
      <c r="L16" s="425"/>
      <c r="M16" s="425"/>
      <c r="N16" s="436"/>
      <c r="O16" s="436"/>
      <c r="P16" s="436"/>
      <c r="Q16" s="436"/>
      <c r="R16" s="436"/>
      <c r="S16" s="19"/>
      <c r="T16" s="19"/>
      <c r="U16" s="19"/>
      <c r="V16" s="19"/>
      <c r="W16" s="19"/>
      <c r="X16" s="19"/>
    </row>
    <row r="17" spans="1:24" ht="11.25" hidden="1" outlineLevel="2" x14ac:dyDescent="0.2">
      <c r="A17" s="19"/>
      <c r="B17" s="19"/>
      <c r="C17" s="533"/>
      <c r="D17" s="434"/>
      <c r="E17" s="20" t="s">
        <v>81</v>
      </c>
      <c r="F17" s="535" t="s">
        <v>23</v>
      </c>
      <c r="G17" s="22"/>
      <c r="H17" s="22"/>
      <c r="I17" s="22"/>
      <c r="J17" s="22"/>
      <c r="K17" s="425"/>
      <c r="L17" s="425"/>
      <c r="M17" s="425"/>
      <c r="N17" s="436"/>
      <c r="O17" s="436"/>
      <c r="P17" s="436"/>
      <c r="Q17" s="436"/>
      <c r="R17" s="436"/>
      <c r="S17" s="19"/>
      <c r="T17" s="19"/>
      <c r="U17" s="19"/>
      <c r="V17" s="19"/>
      <c r="W17" s="19"/>
      <c r="X17" s="19"/>
    </row>
    <row r="18" spans="1:24" ht="11.25" hidden="1" outlineLevel="2" x14ac:dyDescent="0.2">
      <c r="A18" s="19"/>
      <c r="B18" s="19"/>
      <c r="C18" s="533"/>
      <c r="D18" s="434"/>
      <c r="E18" s="20" t="s">
        <v>81</v>
      </c>
      <c r="F18" s="535" t="s">
        <v>23</v>
      </c>
      <c r="G18" s="22"/>
      <c r="H18" s="22"/>
      <c r="I18" s="22"/>
      <c r="J18" s="22"/>
      <c r="K18" s="425"/>
      <c r="L18" s="425"/>
      <c r="M18" s="425"/>
      <c r="N18" s="436"/>
      <c r="O18" s="436"/>
      <c r="P18" s="436"/>
      <c r="Q18" s="436"/>
      <c r="R18" s="436"/>
      <c r="S18" s="19"/>
      <c r="T18" s="19"/>
      <c r="U18" s="19"/>
      <c r="V18" s="19"/>
      <c r="W18" s="19"/>
      <c r="X18" s="19"/>
    </row>
    <row r="19" spans="1:24" ht="11.25" hidden="1" outlineLevel="2" x14ac:dyDescent="0.2">
      <c r="A19" s="19"/>
      <c r="B19" s="19"/>
      <c r="C19" s="533"/>
      <c r="D19" s="434"/>
      <c r="E19" s="20" t="s">
        <v>81</v>
      </c>
      <c r="F19" s="535" t="s">
        <v>23</v>
      </c>
      <c r="G19" s="22"/>
      <c r="H19" s="22"/>
      <c r="I19" s="22"/>
      <c r="J19" s="22"/>
      <c r="K19" s="425"/>
      <c r="L19" s="425"/>
      <c r="M19" s="425"/>
      <c r="N19" s="436"/>
      <c r="O19" s="436"/>
      <c r="P19" s="436"/>
      <c r="Q19" s="436"/>
      <c r="R19" s="436"/>
      <c r="S19" s="19"/>
      <c r="T19" s="19"/>
      <c r="U19" s="19"/>
      <c r="V19" s="19"/>
      <c r="W19" s="19"/>
      <c r="X19" s="19"/>
    </row>
    <row r="20" spans="1:24" ht="11.25" hidden="1" outlineLevel="2" x14ac:dyDescent="0.2">
      <c r="A20" s="19"/>
      <c r="B20" s="19"/>
      <c r="C20" s="533"/>
      <c r="D20" s="434"/>
      <c r="E20" s="20" t="s">
        <v>81</v>
      </c>
      <c r="F20" s="535" t="s">
        <v>23</v>
      </c>
      <c r="G20" s="22"/>
      <c r="H20" s="22"/>
      <c r="I20" s="22"/>
      <c r="J20" s="22"/>
      <c r="K20" s="425"/>
      <c r="L20" s="425"/>
      <c r="M20" s="425"/>
      <c r="N20" s="436"/>
      <c r="O20" s="436"/>
      <c r="P20" s="436"/>
      <c r="Q20" s="436"/>
      <c r="R20" s="436"/>
      <c r="S20" s="19"/>
      <c r="T20" s="19"/>
      <c r="U20" s="19"/>
      <c r="V20" s="19"/>
      <c r="W20" s="19"/>
      <c r="X20" s="19"/>
    </row>
    <row r="21" spans="1:24" ht="11.25" hidden="1" outlineLevel="2" x14ac:dyDescent="0.2">
      <c r="A21" s="19"/>
      <c r="B21" s="19"/>
      <c r="C21" s="533"/>
      <c r="D21" s="434"/>
      <c r="E21" s="20" t="s">
        <v>81</v>
      </c>
      <c r="F21" s="535" t="s">
        <v>23</v>
      </c>
      <c r="G21" s="22"/>
      <c r="H21" s="22"/>
      <c r="I21" s="22"/>
      <c r="J21" s="22"/>
      <c r="K21" s="425"/>
      <c r="L21" s="425"/>
      <c r="M21" s="425"/>
      <c r="N21" s="436"/>
      <c r="O21" s="436"/>
      <c r="P21" s="436"/>
      <c r="Q21" s="436"/>
      <c r="R21" s="436"/>
      <c r="S21" s="19"/>
      <c r="T21" s="19"/>
      <c r="U21" s="19"/>
      <c r="V21" s="19"/>
      <c r="W21" s="19"/>
      <c r="X21" s="19"/>
    </row>
    <row r="22" spans="1:24" ht="11.25" hidden="1" outlineLevel="2" x14ac:dyDescent="0.2">
      <c r="A22" s="19"/>
      <c r="B22" s="19"/>
      <c r="C22" s="533"/>
      <c r="D22" s="434"/>
      <c r="E22" s="20" t="s">
        <v>81</v>
      </c>
      <c r="F22" s="535" t="s">
        <v>23</v>
      </c>
      <c r="G22" s="22"/>
      <c r="H22" s="22"/>
      <c r="I22" s="22"/>
      <c r="J22" s="22"/>
      <c r="K22" s="425"/>
      <c r="L22" s="425"/>
      <c r="M22" s="425"/>
      <c r="N22" s="436"/>
      <c r="O22" s="436"/>
      <c r="P22" s="436"/>
      <c r="Q22" s="436"/>
      <c r="R22" s="436"/>
      <c r="S22" s="19"/>
      <c r="T22" s="19"/>
      <c r="U22" s="19"/>
      <c r="V22" s="19"/>
      <c r="W22" s="19"/>
      <c r="X22" s="19"/>
    </row>
    <row r="23" spans="1:24" ht="11.25" hidden="1" outlineLevel="2" x14ac:dyDescent="0.2">
      <c r="A23" s="19"/>
      <c r="B23" s="19"/>
      <c r="C23" s="533"/>
      <c r="D23" s="434"/>
      <c r="E23" s="20" t="s">
        <v>81</v>
      </c>
      <c r="F23" s="535" t="s">
        <v>23</v>
      </c>
      <c r="G23" s="22"/>
      <c r="H23" s="22"/>
      <c r="I23" s="22"/>
      <c r="J23" s="22"/>
      <c r="K23" s="425"/>
      <c r="L23" s="425"/>
      <c r="M23" s="425"/>
      <c r="N23" s="436"/>
      <c r="O23" s="436"/>
      <c r="P23" s="436"/>
      <c r="Q23" s="436"/>
      <c r="R23" s="436"/>
      <c r="S23" s="19"/>
      <c r="T23" s="19"/>
      <c r="U23" s="19"/>
      <c r="V23" s="19"/>
      <c r="W23" s="19"/>
      <c r="X23" s="19"/>
    </row>
    <row r="24" spans="1:24" ht="11.25" hidden="1" outlineLevel="2" x14ac:dyDescent="0.2">
      <c r="A24" s="19"/>
      <c r="B24" s="19"/>
      <c r="C24" s="533"/>
      <c r="D24" s="434"/>
      <c r="E24" s="20" t="s">
        <v>81</v>
      </c>
      <c r="F24" s="535" t="s">
        <v>23</v>
      </c>
      <c r="G24" s="22"/>
      <c r="H24" s="22"/>
      <c r="I24" s="22"/>
      <c r="J24" s="22"/>
      <c r="K24" s="425"/>
      <c r="L24" s="425"/>
      <c r="M24" s="425"/>
      <c r="N24" s="436"/>
      <c r="O24" s="436"/>
      <c r="P24" s="436"/>
      <c r="Q24" s="436"/>
      <c r="R24" s="436"/>
      <c r="S24" s="19"/>
      <c r="T24" s="19"/>
      <c r="U24" s="19"/>
      <c r="V24" s="19"/>
      <c r="W24" s="19"/>
      <c r="X24" s="19"/>
    </row>
    <row r="25" spans="1:24" ht="11.25" hidden="1" outlineLevel="2" x14ac:dyDescent="0.2">
      <c r="A25" s="19"/>
      <c r="B25" s="19"/>
      <c r="C25" s="533"/>
      <c r="D25" s="434"/>
      <c r="E25" s="20" t="s">
        <v>81</v>
      </c>
      <c r="F25" s="535" t="s">
        <v>23</v>
      </c>
      <c r="G25" s="22"/>
      <c r="H25" s="22"/>
      <c r="I25" s="22"/>
      <c r="J25" s="22"/>
      <c r="K25" s="425"/>
      <c r="L25" s="425"/>
      <c r="M25" s="425"/>
      <c r="N25" s="436"/>
      <c r="O25" s="436"/>
      <c r="P25" s="436"/>
      <c r="Q25" s="436"/>
      <c r="R25" s="436"/>
      <c r="S25" s="19"/>
      <c r="T25" s="19"/>
      <c r="U25" s="19"/>
      <c r="V25" s="19"/>
      <c r="W25" s="19"/>
      <c r="X25" s="19"/>
    </row>
    <row r="26" spans="1:24" ht="11.25" hidden="1" outlineLevel="2" x14ac:dyDescent="0.2">
      <c r="A26" s="19"/>
      <c r="B26" s="19"/>
      <c r="C26" s="533"/>
      <c r="D26" s="434"/>
      <c r="E26" s="20" t="s">
        <v>81</v>
      </c>
      <c r="F26" s="535" t="s">
        <v>23</v>
      </c>
      <c r="G26" s="22"/>
      <c r="H26" s="22"/>
      <c r="I26" s="22"/>
      <c r="J26" s="22"/>
      <c r="K26" s="425"/>
      <c r="L26" s="425"/>
      <c r="M26" s="425"/>
      <c r="N26" s="436"/>
      <c r="O26" s="436"/>
      <c r="P26" s="436"/>
      <c r="Q26" s="436"/>
      <c r="R26" s="436"/>
      <c r="S26" s="19"/>
      <c r="T26" s="19"/>
      <c r="U26" s="19"/>
      <c r="V26" s="19"/>
      <c r="W26" s="19"/>
      <c r="X26" s="19"/>
    </row>
    <row r="27" spans="1:24" ht="11.25" hidden="1" outlineLevel="2" x14ac:dyDescent="0.2">
      <c r="A27" s="19"/>
      <c r="B27" s="19"/>
      <c r="C27" s="533"/>
      <c r="D27" s="434"/>
      <c r="E27" s="20" t="s">
        <v>81</v>
      </c>
      <c r="F27" s="535" t="s">
        <v>23</v>
      </c>
      <c r="G27" s="22"/>
      <c r="H27" s="22"/>
      <c r="I27" s="22"/>
      <c r="J27" s="22"/>
      <c r="K27" s="425"/>
      <c r="L27" s="425"/>
      <c r="M27" s="425"/>
      <c r="N27" s="436"/>
      <c r="O27" s="436"/>
      <c r="P27" s="436"/>
      <c r="Q27" s="436"/>
      <c r="R27" s="436"/>
      <c r="S27" s="19"/>
      <c r="T27" s="19"/>
      <c r="U27" s="19"/>
      <c r="V27" s="19"/>
      <c r="W27" s="19"/>
      <c r="X27" s="19"/>
    </row>
    <row r="28" spans="1:24" ht="11.25" hidden="1" outlineLevel="2" x14ac:dyDescent="0.2">
      <c r="A28" s="19"/>
      <c r="B28" s="19"/>
      <c r="C28" s="533"/>
      <c r="D28" s="434"/>
      <c r="E28" s="20" t="s">
        <v>81</v>
      </c>
      <c r="F28" s="535" t="s">
        <v>23</v>
      </c>
      <c r="G28" s="22"/>
      <c r="H28" s="22"/>
      <c r="I28" s="22"/>
      <c r="J28" s="22"/>
      <c r="K28" s="425"/>
      <c r="L28" s="425"/>
      <c r="M28" s="425"/>
      <c r="N28" s="436"/>
      <c r="O28" s="436"/>
      <c r="P28" s="436"/>
      <c r="Q28" s="436"/>
      <c r="R28" s="436"/>
      <c r="S28" s="19"/>
      <c r="T28" s="19"/>
      <c r="U28" s="19"/>
      <c r="V28" s="19"/>
      <c r="W28" s="19"/>
      <c r="X28" s="19"/>
    </row>
    <row r="29" spans="1:24" ht="11.25" hidden="1" outlineLevel="2" x14ac:dyDescent="0.2">
      <c r="A29" s="19"/>
      <c r="B29" s="19"/>
      <c r="C29" s="533"/>
      <c r="D29" s="434"/>
      <c r="E29" s="20" t="s">
        <v>81</v>
      </c>
      <c r="F29" s="535" t="s">
        <v>23</v>
      </c>
      <c r="G29" s="22"/>
      <c r="H29" s="22"/>
      <c r="I29" s="22"/>
      <c r="J29" s="22"/>
      <c r="K29" s="425"/>
      <c r="L29" s="425"/>
      <c r="M29" s="425"/>
      <c r="N29" s="436"/>
      <c r="O29" s="436"/>
      <c r="P29" s="436"/>
      <c r="Q29" s="436"/>
      <c r="R29" s="436"/>
      <c r="S29" s="19"/>
      <c r="T29" s="19"/>
      <c r="U29" s="19"/>
      <c r="V29" s="19"/>
      <c r="W29" s="19"/>
      <c r="X29" s="19"/>
    </row>
    <row r="30" spans="1:24" ht="11.25" hidden="1" outlineLevel="2" x14ac:dyDescent="0.2">
      <c r="A30" s="19"/>
      <c r="B30" s="19"/>
      <c r="C30" s="533"/>
      <c r="D30" s="434"/>
      <c r="E30" s="20" t="s">
        <v>81</v>
      </c>
      <c r="F30" s="535" t="s">
        <v>23</v>
      </c>
      <c r="G30" s="22"/>
      <c r="H30" s="22"/>
      <c r="I30" s="22"/>
      <c r="J30" s="22"/>
      <c r="K30" s="425"/>
      <c r="L30" s="425"/>
      <c r="M30" s="425"/>
      <c r="N30" s="436"/>
      <c r="O30" s="436"/>
      <c r="P30" s="436"/>
      <c r="Q30" s="436"/>
      <c r="R30" s="436"/>
      <c r="S30" s="19"/>
      <c r="T30" s="19"/>
      <c r="U30" s="19"/>
      <c r="V30" s="19"/>
      <c r="W30" s="19"/>
      <c r="X30" s="19"/>
    </row>
    <row r="31" spans="1:24" ht="11.25" hidden="1" outlineLevel="2" x14ac:dyDescent="0.2">
      <c r="A31" s="19"/>
      <c r="B31" s="19"/>
      <c r="C31" s="533"/>
      <c r="D31" s="434"/>
      <c r="E31" s="20" t="s">
        <v>81</v>
      </c>
      <c r="F31" s="535" t="s">
        <v>23</v>
      </c>
      <c r="G31" s="22"/>
      <c r="H31" s="22"/>
      <c r="I31" s="22"/>
      <c r="J31" s="22"/>
      <c r="K31" s="425"/>
      <c r="L31" s="425"/>
      <c r="M31" s="425"/>
      <c r="N31" s="436"/>
      <c r="O31" s="436"/>
      <c r="P31" s="436"/>
      <c r="Q31" s="436"/>
      <c r="R31" s="436"/>
      <c r="S31" s="19"/>
      <c r="T31" s="19"/>
      <c r="U31" s="19"/>
      <c r="V31" s="19"/>
      <c r="W31" s="19"/>
      <c r="X31" s="19"/>
    </row>
    <row r="32" spans="1:24" ht="11.25" hidden="1" outlineLevel="2" x14ac:dyDescent="0.2">
      <c r="A32" s="19"/>
      <c r="B32" s="19"/>
      <c r="C32" s="533"/>
      <c r="D32" s="434"/>
      <c r="E32" s="20" t="s">
        <v>81</v>
      </c>
      <c r="F32" s="535" t="s">
        <v>23</v>
      </c>
      <c r="G32" s="22"/>
      <c r="H32" s="22"/>
      <c r="I32" s="22"/>
      <c r="J32" s="22"/>
      <c r="K32" s="425"/>
      <c r="L32" s="425"/>
      <c r="M32" s="425"/>
      <c r="N32" s="436"/>
      <c r="O32" s="436"/>
      <c r="P32" s="436"/>
      <c r="Q32" s="436"/>
      <c r="R32" s="436"/>
      <c r="S32" s="19"/>
      <c r="T32" s="19"/>
      <c r="U32" s="19"/>
      <c r="V32" s="19"/>
      <c r="W32" s="19"/>
      <c r="X32" s="19"/>
    </row>
    <row r="33" spans="1:24" ht="11.25" hidden="1" outlineLevel="2" x14ac:dyDescent="0.2">
      <c r="A33" s="19"/>
      <c r="B33" s="19"/>
      <c r="C33" s="533"/>
      <c r="D33" s="434"/>
      <c r="E33" s="20" t="s">
        <v>81</v>
      </c>
      <c r="F33" s="535" t="s">
        <v>23</v>
      </c>
      <c r="G33" s="22"/>
      <c r="H33" s="22"/>
      <c r="I33" s="22"/>
      <c r="J33" s="22"/>
      <c r="K33" s="425"/>
      <c r="L33" s="425"/>
      <c r="M33" s="425"/>
      <c r="N33" s="436"/>
      <c r="O33" s="436"/>
      <c r="P33" s="436"/>
      <c r="Q33" s="436"/>
      <c r="R33" s="436"/>
      <c r="S33" s="19"/>
      <c r="T33" s="19"/>
      <c r="U33" s="19"/>
      <c r="V33" s="19"/>
      <c r="W33" s="19"/>
      <c r="X33" s="19"/>
    </row>
    <row r="34" spans="1:24" ht="11.25" hidden="1" outlineLevel="2" x14ac:dyDescent="0.2">
      <c r="A34" s="19"/>
      <c r="B34" s="19"/>
      <c r="C34" s="533"/>
      <c r="D34" s="434"/>
      <c r="E34" s="20" t="s">
        <v>81</v>
      </c>
      <c r="F34" s="535" t="s">
        <v>23</v>
      </c>
      <c r="G34" s="22"/>
      <c r="H34" s="22"/>
      <c r="I34" s="22"/>
      <c r="J34" s="22"/>
      <c r="K34" s="425"/>
      <c r="L34" s="425"/>
      <c r="M34" s="425"/>
      <c r="N34" s="436"/>
      <c r="O34" s="436"/>
      <c r="P34" s="436"/>
      <c r="Q34" s="436"/>
      <c r="R34" s="436"/>
      <c r="S34" s="19"/>
      <c r="T34" s="19"/>
      <c r="U34" s="19"/>
      <c r="V34" s="19"/>
      <c r="W34" s="19"/>
      <c r="X34" s="19"/>
    </row>
    <row r="35" spans="1:24" ht="11.25" hidden="1" outlineLevel="2" x14ac:dyDescent="0.2">
      <c r="A35" s="19"/>
      <c r="B35" s="19"/>
      <c r="C35" s="533"/>
      <c r="D35" s="434"/>
      <c r="E35" s="20" t="s">
        <v>81</v>
      </c>
      <c r="F35" s="535" t="s">
        <v>23</v>
      </c>
      <c r="G35" s="22"/>
      <c r="H35" s="22"/>
      <c r="I35" s="22"/>
      <c r="J35" s="22"/>
      <c r="K35" s="425"/>
      <c r="L35" s="425"/>
      <c r="M35" s="425"/>
      <c r="N35" s="436"/>
      <c r="O35" s="436"/>
      <c r="P35" s="436"/>
      <c r="Q35" s="436"/>
      <c r="R35" s="436"/>
      <c r="S35" s="19"/>
      <c r="T35" s="19"/>
      <c r="U35" s="19"/>
      <c r="V35" s="19"/>
      <c r="W35" s="19"/>
      <c r="X35" s="19"/>
    </row>
    <row r="36" spans="1:24" ht="11.25" hidden="1" outlineLevel="2" x14ac:dyDescent="0.2">
      <c r="A36" s="19"/>
      <c r="B36" s="19"/>
      <c r="C36" s="533"/>
      <c r="D36" s="434"/>
      <c r="E36" s="20" t="s">
        <v>81</v>
      </c>
      <c r="F36" s="535" t="s">
        <v>23</v>
      </c>
      <c r="G36" s="22"/>
      <c r="H36" s="22"/>
      <c r="I36" s="22"/>
      <c r="J36" s="22"/>
      <c r="K36" s="425"/>
      <c r="L36" s="425"/>
      <c r="M36" s="425"/>
      <c r="N36" s="436"/>
      <c r="O36" s="436"/>
      <c r="P36" s="436"/>
      <c r="Q36" s="436"/>
      <c r="R36" s="436"/>
      <c r="S36" s="19"/>
      <c r="T36" s="19"/>
      <c r="U36" s="19"/>
      <c r="V36" s="19"/>
      <c r="W36" s="19"/>
      <c r="X36" s="19"/>
    </row>
    <row r="37" spans="1:24" ht="11.25" outlineLevel="1" collapsed="1" x14ac:dyDescent="0.2">
      <c r="A37" s="19"/>
      <c r="B37" s="19"/>
      <c r="C37" s="534"/>
      <c r="D37" s="79"/>
      <c r="E37" s="20"/>
      <c r="F37" s="512"/>
      <c r="G37" s="22"/>
      <c r="H37" s="22"/>
      <c r="I37" s="22"/>
      <c r="J37" s="22"/>
      <c r="K37" s="361"/>
      <c r="L37" s="361"/>
      <c r="M37" s="361"/>
      <c r="N37" s="163"/>
      <c r="O37" s="437"/>
      <c r="P37" s="437"/>
      <c r="Q37" s="437"/>
      <c r="R37" s="437"/>
      <c r="S37" s="19"/>
      <c r="T37" s="19"/>
      <c r="U37" s="19"/>
      <c r="V37" s="19"/>
      <c r="W37" s="19"/>
      <c r="X37" s="19"/>
    </row>
    <row r="38" spans="1:24" ht="11.25" x14ac:dyDescent="0.2">
      <c r="A38" s="19"/>
      <c r="B38" s="19"/>
      <c r="C38" s="79"/>
      <c r="D38" s="79"/>
      <c r="E38" s="20"/>
      <c r="F38" s="20"/>
      <c r="G38" s="20"/>
      <c r="H38" s="22"/>
      <c r="I38" s="22"/>
      <c r="J38" s="20"/>
      <c r="K38" s="20"/>
      <c r="L38" s="20"/>
      <c r="M38" s="20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</row>
    <row r="39" spans="1:24" ht="12.75" x14ac:dyDescent="0.2">
      <c r="A39" s="11"/>
      <c r="B39" s="12" t="s">
        <v>629</v>
      </c>
      <c r="C39" s="11"/>
      <c r="D39" s="11"/>
      <c r="E39" s="32" t="str">
        <f>E5</f>
        <v>Source</v>
      </c>
      <c r="F39" s="32" t="str">
        <f>F5</f>
        <v>Unit</v>
      </c>
      <c r="G39" s="32"/>
      <c r="H39" s="32"/>
      <c r="I39" s="32"/>
      <c r="J39" s="32"/>
      <c r="K39" s="81" t="str">
        <f>RCPminus3</f>
        <v>2016–17</v>
      </c>
      <c r="L39" s="81" t="str">
        <f>RCPminus2</f>
        <v>2017–18</v>
      </c>
      <c r="M39" s="81" t="str">
        <f>RCPminus1</f>
        <v>2018–19</v>
      </c>
      <c r="N39" s="344" t="str">
        <f>RCP_firstyear</f>
        <v>2019–20</v>
      </c>
      <c r="O39" s="35" t="str">
        <f>RCP_secondyear</f>
        <v>2020–21</v>
      </c>
      <c r="P39" s="35" t="str">
        <f>RCP_thirdyear</f>
        <v>2021–22</v>
      </c>
      <c r="Q39" s="35" t="str">
        <f>RCP_fourthyear</f>
        <v>2022–23</v>
      </c>
      <c r="R39" s="35" t="str">
        <f>RCP_lastyear</f>
        <v>2023–24</v>
      </c>
      <c r="S39" s="14" t="s">
        <v>14</v>
      </c>
      <c r="T39" s="14"/>
      <c r="U39" s="15"/>
      <c r="V39" s="15"/>
      <c r="W39" s="15"/>
      <c r="X39" s="15"/>
    </row>
    <row r="40" spans="1:24" ht="11.25" hidden="1" outlineLevel="1" x14ac:dyDescent="0.2">
      <c r="A40" s="19"/>
      <c r="B40" s="19"/>
      <c r="C40" s="51"/>
      <c r="D40" s="51"/>
      <c r="E40" s="20"/>
      <c r="F40" s="20"/>
      <c r="G40" s="20"/>
      <c r="H40" s="20"/>
      <c r="I40" s="20"/>
      <c r="J40" s="20"/>
      <c r="K40" s="20"/>
      <c r="L40" s="20"/>
      <c r="M40" s="20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</row>
    <row r="41" spans="1:24" ht="11.25" hidden="1" outlineLevel="1" x14ac:dyDescent="0.2">
      <c r="A41" s="19"/>
      <c r="B41" s="19"/>
      <c r="C41" s="82" t="s">
        <v>259</v>
      </c>
      <c r="D41" s="82"/>
      <c r="E41" s="20"/>
      <c r="F41" s="20"/>
      <c r="G41" s="20"/>
      <c r="H41" s="20"/>
      <c r="I41" s="20"/>
      <c r="J41" s="20"/>
      <c r="K41" s="20"/>
      <c r="L41" s="20"/>
      <c r="M41" s="20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</row>
    <row r="42" spans="1:24" ht="11.25" hidden="1" outlineLevel="1" x14ac:dyDescent="0.2">
      <c r="A42" s="19"/>
      <c r="B42" s="19"/>
      <c r="C42" s="435"/>
      <c r="D42" s="434"/>
      <c r="E42" s="20" t="s">
        <v>81</v>
      </c>
      <c r="F42" s="535" t="s">
        <v>23</v>
      </c>
      <c r="G42" s="22"/>
      <c r="H42" s="22"/>
      <c r="I42" s="22"/>
      <c r="J42" s="22"/>
      <c r="K42" s="425"/>
      <c r="L42" s="425"/>
      <c r="M42" s="425"/>
      <c r="N42" s="426"/>
      <c r="O42" s="426"/>
      <c r="P42" s="426"/>
      <c r="Q42" s="426"/>
      <c r="R42" s="426"/>
      <c r="S42" s="19"/>
      <c r="T42" s="19"/>
      <c r="U42" s="19"/>
      <c r="V42" s="19"/>
      <c r="W42" s="19"/>
      <c r="X42" s="19"/>
    </row>
    <row r="43" spans="1:24" ht="11.25" hidden="1" outlineLevel="1" x14ac:dyDescent="0.2">
      <c r="A43" s="19"/>
      <c r="B43" s="19"/>
      <c r="C43" s="435">
        <v>0</v>
      </c>
      <c r="D43" s="434"/>
      <c r="E43" s="20" t="s">
        <v>81</v>
      </c>
      <c r="F43" s="535" t="s">
        <v>23</v>
      </c>
      <c r="G43" s="22"/>
      <c r="H43" s="22"/>
      <c r="I43" s="22"/>
      <c r="J43" s="22"/>
      <c r="K43" s="425"/>
      <c r="L43" s="425"/>
      <c r="M43" s="425"/>
      <c r="N43" s="426"/>
      <c r="O43" s="426"/>
      <c r="P43" s="426"/>
      <c r="Q43" s="426"/>
      <c r="R43" s="426"/>
      <c r="S43" s="19"/>
      <c r="T43" s="19"/>
      <c r="U43" s="19"/>
      <c r="V43" s="19"/>
      <c r="W43" s="19"/>
      <c r="X43" s="19"/>
    </row>
    <row r="44" spans="1:24" ht="11.25" hidden="1" outlineLevel="1" x14ac:dyDescent="0.2">
      <c r="A44" s="19"/>
      <c r="B44" s="19"/>
      <c r="C44" s="435">
        <v>0</v>
      </c>
      <c r="D44" s="434"/>
      <c r="E44" s="20" t="s">
        <v>81</v>
      </c>
      <c r="F44" s="535" t="s">
        <v>23</v>
      </c>
      <c r="G44" s="22"/>
      <c r="H44" s="22"/>
      <c r="I44" s="22"/>
      <c r="J44" s="22"/>
      <c r="K44" s="425"/>
      <c r="L44" s="425"/>
      <c r="M44" s="425"/>
      <c r="N44" s="426"/>
      <c r="O44" s="426"/>
      <c r="P44" s="426"/>
      <c r="Q44" s="426"/>
      <c r="R44" s="426"/>
      <c r="S44" s="19"/>
      <c r="T44" s="19"/>
      <c r="U44" s="19"/>
      <c r="V44" s="19"/>
      <c r="W44" s="19"/>
      <c r="X44" s="19"/>
    </row>
    <row r="45" spans="1:24" ht="11.25" hidden="1" outlineLevel="1" x14ac:dyDescent="0.2">
      <c r="A45" s="19"/>
      <c r="B45" s="19"/>
      <c r="C45" s="435">
        <v>0</v>
      </c>
      <c r="D45" s="434"/>
      <c r="E45" s="20" t="s">
        <v>81</v>
      </c>
      <c r="F45" s="535" t="s">
        <v>23</v>
      </c>
      <c r="G45" s="22"/>
      <c r="H45" s="22"/>
      <c r="I45" s="22"/>
      <c r="J45" s="22"/>
      <c r="K45" s="425"/>
      <c r="L45" s="425"/>
      <c r="M45" s="425"/>
      <c r="N45" s="426"/>
      <c r="O45" s="426"/>
      <c r="P45" s="426"/>
      <c r="Q45" s="426"/>
      <c r="R45" s="426"/>
      <c r="S45" s="19"/>
      <c r="T45" s="19"/>
      <c r="U45" s="19"/>
      <c r="V45" s="19"/>
      <c r="W45" s="19"/>
      <c r="X45" s="19"/>
    </row>
    <row r="46" spans="1:24" ht="11.25" hidden="1" outlineLevel="1" x14ac:dyDescent="0.2">
      <c r="A46" s="19"/>
      <c r="B46" s="19"/>
      <c r="C46" s="435">
        <v>0</v>
      </c>
      <c r="D46" s="434"/>
      <c r="E46" s="20" t="s">
        <v>81</v>
      </c>
      <c r="F46" s="535" t="s">
        <v>23</v>
      </c>
      <c r="G46" s="22"/>
      <c r="H46" s="22"/>
      <c r="I46" s="22"/>
      <c r="J46" s="22"/>
      <c r="K46" s="425"/>
      <c r="L46" s="425"/>
      <c r="M46" s="425"/>
      <c r="N46" s="426"/>
      <c r="O46" s="426"/>
      <c r="P46" s="426"/>
      <c r="Q46" s="426"/>
      <c r="R46" s="426"/>
      <c r="S46" s="19"/>
      <c r="T46" s="19"/>
      <c r="U46" s="19"/>
      <c r="V46" s="19"/>
      <c r="W46" s="19"/>
      <c r="X46" s="19"/>
    </row>
    <row r="47" spans="1:24" ht="11.25" hidden="1" outlineLevel="1" x14ac:dyDescent="0.2">
      <c r="A47" s="19"/>
      <c r="B47" s="19"/>
      <c r="C47" s="435">
        <v>0</v>
      </c>
      <c r="D47" s="434"/>
      <c r="E47" s="20" t="s">
        <v>81</v>
      </c>
      <c r="F47" s="535" t="s">
        <v>23</v>
      </c>
      <c r="G47" s="22"/>
      <c r="H47" s="22"/>
      <c r="I47" s="22"/>
      <c r="J47" s="22"/>
      <c r="K47" s="425"/>
      <c r="L47" s="425"/>
      <c r="M47" s="425"/>
      <c r="N47" s="426"/>
      <c r="O47" s="426"/>
      <c r="P47" s="426"/>
      <c r="Q47" s="426"/>
      <c r="R47" s="426"/>
      <c r="S47" s="19"/>
      <c r="T47" s="19"/>
      <c r="U47" s="19"/>
      <c r="V47" s="19"/>
      <c r="W47" s="19"/>
      <c r="X47" s="19"/>
    </row>
    <row r="48" spans="1:24" ht="11.25" hidden="1" outlineLevel="1" x14ac:dyDescent="0.2">
      <c r="A48" s="19"/>
      <c r="B48" s="19"/>
      <c r="C48" s="435">
        <v>0</v>
      </c>
      <c r="D48" s="434"/>
      <c r="E48" s="20" t="s">
        <v>81</v>
      </c>
      <c r="F48" s="535" t="s">
        <v>23</v>
      </c>
      <c r="G48" s="22"/>
      <c r="H48" s="22"/>
      <c r="I48" s="22"/>
      <c r="J48" s="22"/>
      <c r="K48" s="425"/>
      <c r="L48" s="425"/>
      <c r="M48" s="425"/>
      <c r="N48" s="426"/>
      <c r="O48" s="426"/>
      <c r="P48" s="426"/>
      <c r="Q48" s="426"/>
      <c r="R48" s="426"/>
      <c r="S48" s="19"/>
      <c r="T48" s="19"/>
      <c r="U48" s="19"/>
      <c r="V48" s="19"/>
      <c r="W48" s="19"/>
      <c r="X48" s="19"/>
    </row>
    <row r="49" spans="1:24" ht="11.25" hidden="1" outlineLevel="1" x14ac:dyDescent="0.2">
      <c r="A49" s="19"/>
      <c r="B49" s="19"/>
      <c r="C49" s="79"/>
      <c r="D49" s="79"/>
      <c r="E49" s="20"/>
      <c r="F49" s="512"/>
      <c r="G49" s="22"/>
      <c r="H49" s="22"/>
      <c r="I49" s="22"/>
      <c r="J49" s="22"/>
      <c r="K49" s="298"/>
      <c r="L49" s="298"/>
      <c r="M49" s="298"/>
      <c r="N49" s="181"/>
      <c r="O49" s="298"/>
      <c r="P49" s="298"/>
      <c r="Q49" s="298"/>
      <c r="R49" s="298"/>
      <c r="S49" s="19"/>
      <c r="T49" s="19"/>
      <c r="U49" s="19"/>
      <c r="V49" s="19"/>
      <c r="W49" s="19"/>
      <c r="X49" s="19"/>
    </row>
    <row r="50" spans="1:24" ht="11.25" hidden="1" outlineLevel="1" x14ac:dyDescent="0.2">
      <c r="A50" s="19"/>
      <c r="B50" s="19"/>
      <c r="C50" s="82" t="s">
        <v>239</v>
      </c>
      <c r="D50" s="82"/>
      <c r="E50" s="20"/>
      <c r="F50" s="512"/>
      <c r="G50" s="20"/>
      <c r="H50" s="20"/>
      <c r="I50" s="20"/>
      <c r="J50" s="20"/>
      <c r="K50" s="181"/>
      <c r="L50" s="181"/>
      <c r="M50" s="181"/>
      <c r="N50" s="173"/>
      <c r="O50" s="173"/>
      <c r="P50" s="173"/>
      <c r="Q50" s="173"/>
      <c r="R50" s="173"/>
      <c r="S50" s="19"/>
      <c r="T50" s="19"/>
      <c r="U50" s="19"/>
      <c r="V50" s="19"/>
      <c r="W50" s="19"/>
      <c r="X50" s="19"/>
    </row>
    <row r="51" spans="1:24" ht="11.25" hidden="1" outlineLevel="1" x14ac:dyDescent="0.2">
      <c r="A51" s="19"/>
      <c r="B51" s="19"/>
      <c r="C51" s="508">
        <f>C42</f>
        <v>0</v>
      </c>
      <c r="D51" s="438">
        <f>D42</f>
        <v>0</v>
      </c>
      <c r="E51" s="20" t="s">
        <v>81</v>
      </c>
      <c r="F51" s="165" t="s">
        <v>27</v>
      </c>
      <c r="G51" s="22"/>
      <c r="H51" s="22"/>
      <c r="I51" s="22"/>
      <c r="J51" s="22"/>
      <c r="K51" s="416"/>
      <c r="L51" s="416"/>
      <c r="M51" s="416"/>
      <c r="N51" s="416"/>
      <c r="O51" s="416"/>
      <c r="P51" s="416"/>
      <c r="Q51" s="416"/>
      <c r="R51" s="416"/>
      <c r="S51" s="19"/>
      <c r="T51" s="19"/>
      <c r="U51" s="19"/>
      <c r="V51" s="19"/>
      <c r="W51" s="19"/>
      <c r="X51" s="19"/>
    </row>
    <row r="52" spans="1:24" ht="11.25" hidden="1" outlineLevel="1" x14ac:dyDescent="0.2">
      <c r="A52" s="19"/>
      <c r="B52" s="19"/>
      <c r="C52" s="508">
        <f t="shared" ref="C52:D57" si="0">C43</f>
        <v>0</v>
      </c>
      <c r="D52" s="438">
        <f t="shared" si="0"/>
        <v>0</v>
      </c>
      <c r="E52" s="20" t="s">
        <v>81</v>
      </c>
      <c r="F52" s="165" t="s">
        <v>27</v>
      </c>
      <c r="G52" s="22"/>
      <c r="H52" s="22"/>
      <c r="I52" s="22"/>
      <c r="J52" s="22"/>
      <c r="K52" s="416"/>
      <c r="L52" s="416"/>
      <c r="M52" s="416"/>
      <c r="N52" s="416"/>
      <c r="O52" s="416"/>
      <c r="P52" s="416"/>
      <c r="Q52" s="416"/>
      <c r="R52" s="416"/>
      <c r="S52" s="19"/>
      <c r="T52" s="19"/>
      <c r="U52" s="19"/>
      <c r="V52" s="19"/>
      <c r="W52" s="19"/>
      <c r="X52" s="19"/>
    </row>
    <row r="53" spans="1:24" ht="11.25" hidden="1" outlineLevel="1" x14ac:dyDescent="0.2">
      <c r="A53" s="19"/>
      <c r="B53" s="19"/>
      <c r="C53" s="508">
        <f t="shared" si="0"/>
        <v>0</v>
      </c>
      <c r="D53" s="438">
        <f t="shared" si="0"/>
        <v>0</v>
      </c>
      <c r="E53" s="20" t="s">
        <v>81</v>
      </c>
      <c r="F53" s="165" t="s">
        <v>27</v>
      </c>
      <c r="G53" s="22"/>
      <c r="H53" s="22"/>
      <c r="I53" s="22"/>
      <c r="J53" s="22"/>
      <c r="K53" s="416"/>
      <c r="L53" s="416"/>
      <c r="M53" s="416"/>
      <c r="N53" s="416"/>
      <c r="O53" s="416"/>
      <c r="P53" s="416"/>
      <c r="Q53" s="416"/>
      <c r="R53" s="416"/>
      <c r="S53" s="19"/>
      <c r="T53" s="19"/>
      <c r="U53" s="19"/>
      <c r="V53" s="19"/>
      <c r="W53" s="19"/>
      <c r="X53" s="19"/>
    </row>
    <row r="54" spans="1:24" ht="11.25" hidden="1" outlineLevel="1" x14ac:dyDescent="0.2">
      <c r="A54" s="19"/>
      <c r="B54" s="19"/>
      <c r="C54" s="508">
        <f t="shared" si="0"/>
        <v>0</v>
      </c>
      <c r="D54" s="438">
        <f t="shared" si="0"/>
        <v>0</v>
      </c>
      <c r="E54" s="20" t="s">
        <v>81</v>
      </c>
      <c r="F54" s="165" t="s">
        <v>27</v>
      </c>
      <c r="G54" s="22"/>
      <c r="H54" s="22"/>
      <c r="I54" s="22"/>
      <c r="J54" s="22"/>
      <c r="K54" s="416"/>
      <c r="L54" s="416"/>
      <c r="M54" s="416"/>
      <c r="N54" s="416"/>
      <c r="O54" s="416"/>
      <c r="P54" s="416"/>
      <c r="Q54" s="416"/>
      <c r="R54" s="416"/>
      <c r="S54" s="19"/>
      <c r="T54" s="19"/>
      <c r="U54" s="19"/>
      <c r="V54" s="19"/>
      <c r="W54" s="19"/>
      <c r="X54" s="19"/>
    </row>
    <row r="55" spans="1:24" ht="11.25" hidden="1" outlineLevel="1" x14ac:dyDescent="0.2">
      <c r="A55" s="19"/>
      <c r="B55" s="19"/>
      <c r="C55" s="508">
        <f t="shared" si="0"/>
        <v>0</v>
      </c>
      <c r="D55" s="438">
        <f t="shared" si="0"/>
        <v>0</v>
      </c>
      <c r="E55" s="20" t="s">
        <v>81</v>
      </c>
      <c r="F55" s="165" t="s">
        <v>27</v>
      </c>
      <c r="G55" s="22"/>
      <c r="H55" s="22"/>
      <c r="I55" s="22"/>
      <c r="J55" s="22"/>
      <c r="K55" s="416"/>
      <c r="L55" s="416"/>
      <c r="M55" s="416"/>
      <c r="N55" s="416"/>
      <c r="O55" s="416"/>
      <c r="P55" s="416"/>
      <c r="Q55" s="416"/>
      <c r="R55" s="416"/>
      <c r="S55" s="19"/>
      <c r="T55" s="19"/>
      <c r="U55" s="19"/>
      <c r="V55" s="19"/>
      <c r="W55" s="19"/>
      <c r="X55" s="19"/>
    </row>
    <row r="56" spans="1:24" ht="11.25" hidden="1" outlineLevel="1" x14ac:dyDescent="0.2">
      <c r="A56" s="19"/>
      <c r="B56" s="19"/>
      <c r="C56" s="508">
        <f t="shared" si="0"/>
        <v>0</v>
      </c>
      <c r="D56" s="438">
        <f t="shared" si="0"/>
        <v>0</v>
      </c>
      <c r="E56" s="20" t="s">
        <v>81</v>
      </c>
      <c r="F56" s="165" t="s">
        <v>27</v>
      </c>
      <c r="G56" s="22"/>
      <c r="H56" s="22"/>
      <c r="I56" s="22"/>
      <c r="J56" s="22"/>
      <c r="K56" s="416"/>
      <c r="L56" s="416"/>
      <c r="M56" s="416"/>
      <c r="N56" s="416"/>
      <c r="O56" s="416"/>
      <c r="P56" s="416"/>
      <c r="Q56" s="416"/>
      <c r="R56" s="416"/>
      <c r="S56" s="19"/>
      <c r="T56" s="19"/>
      <c r="U56" s="19"/>
      <c r="V56" s="19"/>
      <c r="W56" s="19"/>
      <c r="X56" s="19"/>
    </row>
    <row r="57" spans="1:24" ht="11.25" hidden="1" outlineLevel="1" x14ac:dyDescent="0.2">
      <c r="A57" s="19"/>
      <c r="B57" s="19"/>
      <c r="C57" s="508">
        <f t="shared" si="0"/>
        <v>0</v>
      </c>
      <c r="D57" s="438">
        <f t="shared" si="0"/>
        <v>0</v>
      </c>
      <c r="E57" s="20" t="s">
        <v>81</v>
      </c>
      <c r="F57" s="165" t="s">
        <v>27</v>
      </c>
      <c r="G57" s="22"/>
      <c r="H57" s="22"/>
      <c r="I57" s="22"/>
      <c r="J57" s="22"/>
      <c r="K57" s="416"/>
      <c r="L57" s="416"/>
      <c r="M57" s="416"/>
      <c r="N57" s="416"/>
      <c r="O57" s="416"/>
      <c r="P57" s="416"/>
      <c r="Q57" s="416"/>
      <c r="R57" s="416"/>
      <c r="S57" s="19"/>
      <c r="T57" s="19"/>
      <c r="U57" s="19"/>
      <c r="V57" s="19"/>
      <c r="W57" s="19"/>
      <c r="X57" s="19"/>
    </row>
    <row r="58" spans="1:24" ht="11.25" hidden="1" outlineLevel="1" x14ac:dyDescent="0.2">
      <c r="A58" s="19"/>
      <c r="B58" s="19"/>
      <c r="C58" s="79"/>
      <c r="D58" s="79"/>
      <c r="E58" s="20"/>
      <c r="F58" s="20"/>
      <c r="G58" s="22"/>
      <c r="H58" s="22"/>
      <c r="I58" s="22"/>
      <c r="J58" s="22"/>
      <c r="K58" s="361"/>
      <c r="L58" s="361"/>
      <c r="M58" s="361"/>
      <c r="N58" s="20"/>
      <c r="O58" s="361"/>
      <c r="P58" s="361"/>
      <c r="Q58" s="361"/>
      <c r="R58" s="361"/>
      <c r="S58" s="19"/>
      <c r="T58" s="19"/>
      <c r="U58" s="19"/>
      <c r="V58" s="19"/>
      <c r="W58" s="19"/>
      <c r="X58" s="19"/>
    </row>
    <row r="59" spans="1:24" ht="11.25" collapsed="1" x14ac:dyDescent="0.2">
      <c r="A59" s="19"/>
      <c r="B59" s="19"/>
      <c r="C59" s="79"/>
      <c r="D59" s="79"/>
      <c r="E59" s="20"/>
      <c r="F59" s="20"/>
      <c r="G59" s="20"/>
      <c r="H59" s="22"/>
      <c r="I59" s="22"/>
      <c r="J59" s="20"/>
      <c r="K59" s="20"/>
      <c r="L59" s="20"/>
      <c r="M59" s="20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</row>
    <row r="60" spans="1:24" ht="12.75" x14ac:dyDescent="0.2">
      <c r="A60" s="11"/>
      <c r="B60" s="12" t="s">
        <v>8</v>
      </c>
      <c r="C60" s="11"/>
      <c r="D60" s="11"/>
      <c r="E60" s="11"/>
      <c r="F60" s="11"/>
      <c r="G60" s="13"/>
      <c r="H60" s="13"/>
      <c r="I60" s="13"/>
      <c r="J60" s="13"/>
      <c r="K60" s="13"/>
      <c r="L60" s="13"/>
      <c r="M60" s="13"/>
      <c r="N60" s="14"/>
      <c r="O60" s="15"/>
      <c r="P60" s="14"/>
      <c r="Q60" s="15"/>
      <c r="R60" s="14"/>
      <c r="S60" s="14"/>
      <c r="T60" s="14"/>
      <c r="U60" s="15"/>
      <c r="V60" s="15"/>
      <c r="W60" s="15"/>
      <c r="X60" s="15"/>
    </row>
  </sheetData>
  <sheetProtection formatColumns="0" formatRows="0"/>
  <conditionalFormatting sqref="N1:R1048576">
    <cfRule type="expression" dxfId="9" priority="3">
      <formula>N$5=forecastyear</formula>
    </cfRule>
  </conditionalFormatting>
  <dataValidations disablePrompts="1" count="1">
    <dataValidation type="list" allowBlank="1" showInputMessage="1" showErrorMessage="1" sqref="N37 F58 N58 F49 N49 F37" xr:uid="{00000000-0002-0000-0C00-000000000000}">
      <formula1>#REF!</formula1>
    </dataValidation>
  </dataValidations>
  <hyperlinks>
    <hyperlink ref="K1" location="'Pricing model'!A51" display="Back to Index" xr:uid="{00000000-0004-0000-0C00-000000000000}"/>
  </hyperlinks>
  <pageMargins left="0.7" right="0.7" top="0.75" bottom="0.75" header="0.3" footer="0.3"/>
  <pageSetup paperSize="9" orientation="portrait" r:id="rId1"/>
  <ignoredErrors>
    <ignoredError sqref="C37 C49:C50" unlockedFormula="1"/>
  </ignoredError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C00-000001000000}">
          <x14:formula1>
            <xm:f>Lookups!$G$9:$G$16</xm:f>
          </x14:formula1>
          <xm:sqref>F51:F57 F7:F36 F42:F48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>
    <tabColor theme="5" tint="0.79998168889431442"/>
  </sheetPr>
  <dimension ref="A1:AE227"/>
  <sheetViews>
    <sheetView showGridLines="0" topLeftCell="A22" zoomScaleNormal="100" workbookViewId="0">
      <selection activeCell="A125" sqref="A125:Z225"/>
    </sheetView>
  </sheetViews>
  <sheetFormatPr defaultColWidth="0" defaultRowHeight="11.25" zeroHeight="1" outlineLevelRow="2" x14ac:dyDescent="0.2"/>
  <cols>
    <col min="1" max="2" width="1.42578125" style="18" customWidth="1"/>
    <col min="3" max="3" width="41.7109375" style="18" customWidth="1"/>
    <col min="4" max="4" width="18.85546875" style="18" customWidth="1"/>
    <col min="5" max="5" width="11.7109375" style="18" customWidth="1"/>
    <col min="6" max="6" width="10.85546875" style="18" bestFit="1" customWidth="1"/>
    <col min="7" max="7" width="13.85546875" style="18" bestFit="1" customWidth="1"/>
    <col min="8" max="8" width="21.42578125" style="18" hidden="1" customWidth="1"/>
    <col min="9" max="9" width="6" style="18" customWidth="1"/>
    <col min="10" max="10" width="12.5703125" style="18" customWidth="1"/>
    <col min="11" max="12" width="15" style="18" customWidth="1"/>
    <col min="13" max="13" width="13" style="18" customWidth="1"/>
    <col min="14" max="14" width="20.5703125" style="18" customWidth="1"/>
    <col min="15" max="21" width="13.28515625" style="18" customWidth="1"/>
    <col min="22" max="22" width="22.7109375" style="18" customWidth="1"/>
    <col min="23" max="24" width="4.140625" style="18" customWidth="1"/>
    <col min="25" max="26" width="1.42578125" style="18" customWidth="1"/>
    <col min="27" max="29" width="8" style="18" hidden="1" customWidth="1"/>
    <col min="30" max="31" width="0" style="18" hidden="1" customWidth="1"/>
    <col min="32" max="16384" width="8" style="18" hidden="1"/>
  </cols>
  <sheetData>
    <row r="1" spans="1:29" ht="15.75" x14ac:dyDescent="0.25">
      <c r="A1" s="1"/>
      <c r="B1" s="2" t="str">
        <f>'Inputs&gt;&gt;'!B1</f>
        <v>AER pricing model - TasNetworks 2022–23</v>
      </c>
      <c r="C1" s="2"/>
      <c r="D1" s="111"/>
      <c r="E1" s="111"/>
      <c r="F1" s="111"/>
      <c r="G1" s="111"/>
      <c r="H1" s="111"/>
      <c r="I1" s="4"/>
      <c r="J1" s="160" t="s">
        <v>0</v>
      </c>
      <c r="K1" s="51"/>
      <c r="L1" s="51"/>
      <c r="N1" s="111"/>
      <c r="O1" s="113"/>
      <c r="P1" s="113"/>
      <c r="Q1" s="113"/>
      <c r="R1" s="113"/>
      <c r="T1" s="114"/>
      <c r="W1" s="2"/>
      <c r="X1" s="1"/>
      <c r="Y1" s="3"/>
      <c r="Z1" s="1"/>
    </row>
    <row r="2" spans="1:29" ht="13.5" thickBot="1" x14ac:dyDescent="0.25">
      <c r="A2" s="6"/>
      <c r="B2" s="7" t="str">
        <f>'Inputs&gt;&gt;'!C11</f>
        <v>Tariffs</v>
      </c>
      <c r="C2" s="7"/>
      <c r="D2" s="7"/>
      <c r="E2" s="7"/>
      <c r="F2" s="7"/>
      <c r="G2" s="7"/>
      <c r="H2" s="7"/>
      <c r="I2" s="7"/>
      <c r="J2" s="8"/>
      <c r="K2" s="8"/>
      <c r="L2" s="8"/>
      <c r="M2" s="8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9" x14ac:dyDescent="0.2">
      <c r="A3" s="27"/>
      <c r="B3" s="296" t="str">
        <f>'Inputs&gt;&gt;'!D11</f>
        <v>Inputs tariff information including charging components and tariff classes</v>
      </c>
      <c r="C3" s="27"/>
      <c r="D3" s="28"/>
      <c r="E3" s="28"/>
      <c r="F3" s="28"/>
      <c r="G3" s="28"/>
      <c r="H3" s="28"/>
      <c r="I3" s="28"/>
      <c r="J3" s="28"/>
      <c r="K3" s="28"/>
      <c r="L3" s="28"/>
      <c r="M3" s="28"/>
      <c r="N3" s="29"/>
      <c r="O3" s="30"/>
      <c r="P3" s="30"/>
      <c r="Q3" s="30"/>
      <c r="R3" s="30"/>
      <c r="S3" s="30"/>
      <c r="T3" s="30"/>
      <c r="U3" s="30"/>
      <c r="V3" s="30"/>
      <c r="W3" s="30"/>
      <c r="X3" s="30"/>
      <c r="Y3" s="31"/>
      <c r="Z3" s="31"/>
    </row>
    <row r="4" spans="1:29" x14ac:dyDescent="0.2">
      <c r="A4" s="9"/>
      <c r="B4" s="9"/>
      <c r="C4" s="9"/>
      <c r="D4" s="10"/>
      <c r="E4" s="10"/>
      <c r="F4" s="10"/>
      <c r="G4" s="10"/>
      <c r="H4" s="10"/>
      <c r="I4" s="10"/>
      <c r="J4" s="10"/>
      <c r="K4" s="10"/>
      <c r="L4" s="10"/>
      <c r="M4" s="1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9"/>
      <c r="Z4" s="9"/>
      <c r="AA4" s="9"/>
      <c r="AB4" s="9"/>
      <c r="AC4" s="9"/>
    </row>
    <row r="5" spans="1:29" ht="12.75" x14ac:dyDescent="0.2">
      <c r="A5" s="11"/>
      <c r="B5" s="12" t="s">
        <v>630</v>
      </c>
      <c r="C5" s="11"/>
      <c r="D5" s="32"/>
      <c r="E5" s="32"/>
      <c r="F5" s="32"/>
      <c r="G5" s="32"/>
      <c r="H5" s="32"/>
      <c r="I5" s="32"/>
      <c r="J5" s="33"/>
      <c r="K5" s="34"/>
      <c r="L5" s="34"/>
      <c r="M5" s="34"/>
      <c r="N5" s="33"/>
      <c r="O5" s="33"/>
      <c r="P5" s="33"/>
      <c r="Q5" s="33"/>
      <c r="R5" s="33"/>
      <c r="S5" s="35"/>
      <c r="T5" s="33"/>
      <c r="U5" s="35"/>
      <c r="V5" s="35"/>
      <c r="W5" s="35"/>
      <c r="X5" s="35"/>
      <c r="Y5" s="15"/>
      <c r="Z5" s="15"/>
      <c r="AA5" s="15"/>
      <c r="AB5" s="15"/>
      <c r="AC5" s="15"/>
    </row>
    <row r="6" spans="1:29" outlineLevel="1" x14ac:dyDescent="0.2">
      <c r="A6" s="9"/>
      <c r="B6" s="9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9"/>
      <c r="Z6" s="9"/>
      <c r="AA6" s="9"/>
      <c r="AB6" s="9"/>
      <c r="AC6" s="9"/>
    </row>
    <row r="7" spans="1:29" outlineLevel="1" x14ac:dyDescent="0.2">
      <c r="A7" s="9"/>
      <c r="B7" s="9"/>
      <c r="C7" s="435" t="s">
        <v>216</v>
      </c>
      <c r="D7" s="62"/>
      <c r="E7" s="20"/>
      <c r="F7" s="20"/>
      <c r="G7" s="20"/>
      <c r="H7" s="20"/>
      <c r="I7" s="10"/>
      <c r="J7" s="10"/>
      <c r="K7" s="10"/>
      <c r="L7" s="10"/>
      <c r="M7" s="1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9"/>
      <c r="Z7" s="9"/>
      <c r="AA7" s="9"/>
      <c r="AB7" s="9"/>
      <c r="AC7" s="9"/>
    </row>
    <row r="8" spans="1:29" outlineLevel="1" x14ac:dyDescent="0.2">
      <c r="A8" s="9"/>
      <c r="B8" s="9"/>
      <c r="C8" s="435" t="s">
        <v>897</v>
      </c>
      <c r="D8" s="62"/>
      <c r="E8" s="20"/>
      <c r="F8" s="20"/>
      <c r="G8" s="20"/>
      <c r="H8" s="20"/>
      <c r="I8" s="10"/>
      <c r="J8" s="10"/>
      <c r="K8" s="10"/>
      <c r="L8" s="10"/>
      <c r="M8" s="1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9"/>
      <c r="Z8" s="9"/>
      <c r="AA8" s="9"/>
      <c r="AB8" s="9"/>
      <c r="AC8" s="9"/>
    </row>
    <row r="9" spans="1:29" outlineLevel="1" x14ac:dyDescent="0.2">
      <c r="A9" s="9"/>
      <c r="B9" s="9"/>
      <c r="C9" s="435" t="s">
        <v>898</v>
      </c>
      <c r="D9" s="62"/>
      <c r="E9" s="20"/>
      <c r="F9" s="20"/>
      <c r="G9" s="20"/>
      <c r="H9" s="20"/>
      <c r="I9" s="10"/>
      <c r="J9" s="10"/>
      <c r="K9" s="10"/>
      <c r="L9" s="10"/>
      <c r="M9" s="1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9"/>
      <c r="Z9" s="9"/>
      <c r="AA9" s="9"/>
      <c r="AB9" s="9"/>
      <c r="AC9" s="9"/>
    </row>
    <row r="10" spans="1:29" outlineLevel="1" x14ac:dyDescent="0.2">
      <c r="A10" s="9"/>
      <c r="B10" s="9"/>
      <c r="C10" s="435" t="s">
        <v>861</v>
      </c>
      <c r="D10" s="62"/>
      <c r="E10" s="20"/>
      <c r="F10" s="20"/>
      <c r="G10" s="20"/>
      <c r="H10" s="20"/>
      <c r="I10" s="10"/>
      <c r="J10" s="10"/>
      <c r="K10" s="10"/>
      <c r="L10" s="10"/>
      <c r="M10" s="1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9"/>
      <c r="Z10" s="9"/>
      <c r="AA10" s="9"/>
      <c r="AB10" s="9"/>
      <c r="AC10" s="9"/>
    </row>
    <row r="11" spans="1:29" outlineLevel="1" x14ac:dyDescent="0.2">
      <c r="A11" s="9"/>
      <c r="B11" s="9"/>
      <c r="C11" s="435" t="s">
        <v>899</v>
      </c>
      <c r="D11" s="62"/>
      <c r="E11" s="20"/>
      <c r="F11" s="20"/>
      <c r="G11" s="20"/>
      <c r="H11" s="20"/>
      <c r="I11" s="10"/>
      <c r="J11" s="10"/>
      <c r="K11" s="10"/>
      <c r="L11" s="10"/>
      <c r="M11" s="1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9"/>
      <c r="Z11" s="9"/>
      <c r="AA11" s="9"/>
      <c r="AB11" s="9"/>
      <c r="AC11" s="9"/>
    </row>
    <row r="12" spans="1:29" outlineLevel="1" x14ac:dyDescent="0.2">
      <c r="A12" s="9"/>
      <c r="B12" s="9"/>
      <c r="C12" s="435" t="s">
        <v>862</v>
      </c>
      <c r="D12" s="62"/>
      <c r="E12" s="20"/>
      <c r="F12" s="20"/>
      <c r="G12" s="20"/>
      <c r="H12" s="20"/>
      <c r="I12" s="10"/>
      <c r="J12" s="10"/>
      <c r="K12" s="10"/>
      <c r="L12" s="10"/>
      <c r="M12" s="1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9"/>
      <c r="Z12" s="9"/>
      <c r="AA12" s="9"/>
      <c r="AB12" s="9"/>
      <c r="AC12" s="9"/>
    </row>
    <row r="13" spans="1:29" outlineLevel="1" x14ac:dyDescent="0.2">
      <c r="A13" s="9"/>
      <c r="B13" s="9"/>
      <c r="C13" s="435" t="s">
        <v>863</v>
      </c>
      <c r="D13" s="62"/>
      <c r="E13" s="20"/>
      <c r="F13" s="20"/>
      <c r="G13" s="20"/>
      <c r="H13" s="20"/>
      <c r="I13" s="10"/>
      <c r="J13" s="10"/>
      <c r="K13" s="10"/>
      <c r="L13" s="10"/>
      <c r="M13" s="1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9"/>
      <c r="Z13" s="9"/>
      <c r="AA13" s="9"/>
      <c r="AB13" s="9"/>
      <c r="AC13" s="9"/>
    </row>
    <row r="14" spans="1:29" outlineLevel="1" x14ac:dyDescent="0.2">
      <c r="A14" s="9"/>
      <c r="B14" s="9"/>
      <c r="C14" s="435" t="s">
        <v>900</v>
      </c>
      <c r="D14" s="62"/>
      <c r="E14" s="20"/>
      <c r="F14" s="20"/>
      <c r="G14" s="20"/>
      <c r="H14" s="20"/>
      <c r="I14" s="10"/>
      <c r="J14" s="10"/>
      <c r="K14" s="10"/>
      <c r="L14" s="10"/>
      <c r="M14" s="1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9"/>
      <c r="Z14" s="9"/>
      <c r="AA14" s="9"/>
      <c r="AB14" s="9"/>
      <c r="AC14" s="9"/>
    </row>
    <row r="15" spans="1:29" outlineLevel="1" x14ac:dyDescent="0.2">
      <c r="A15" s="9"/>
      <c r="B15" s="9"/>
      <c r="C15" s="435" t="s">
        <v>901</v>
      </c>
      <c r="D15" s="62"/>
      <c r="E15" s="20"/>
      <c r="F15" s="20"/>
      <c r="G15" s="20"/>
      <c r="H15" s="20"/>
      <c r="I15" s="10"/>
      <c r="J15" s="10"/>
      <c r="K15" s="10"/>
      <c r="L15" s="10"/>
      <c r="M15" s="1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9"/>
      <c r="Z15" s="9"/>
      <c r="AA15" s="9"/>
      <c r="AB15" s="9"/>
      <c r="AC15" s="9"/>
    </row>
    <row r="16" spans="1:29" outlineLevel="1" x14ac:dyDescent="0.2">
      <c r="A16" s="9"/>
      <c r="B16" s="9"/>
      <c r="C16" s="435" t="s">
        <v>864</v>
      </c>
      <c r="D16" s="62"/>
      <c r="E16" s="20"/>
      <c r="F16" s="20"/>
      <c r="G16" s="20"/>
      <c r="H16" s="20"/>
      <c r="I16" s="10"/>
      <c r="J16" s="10"/>
      <c r="K16" s="10"/>
      <c r="L16" s="10"/>
      <c r="M16" s="1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9"/>
      <c r="Z16" s="9"/>
      <c r="AA16" s="9"/>
      <c r="AB16" s="9"/>
      <c r="AC16" s="9"/>
    </row>
    <row r="17" spans="1:29" outlineLevel="1" x14ac:dyDescent="0.2">
      <c r="A17" s="9"/>
      <c r="B17" s="9"/>
      <c r="C17" s="435"/>
      <c r="D17" s="62"/>
      <c r="E17" s="20"/>
      <c r="F17" s="20"/>
      <c r="G17" s="20"/>
      <c r="H17" s="20"/>
      <c r="I17" s="10"/>
      <c r="J17" s="10"/>
      <c r="K17" s="10"/>
      <c r="L17" s="10"/>
      <c r="M17" s="1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9"/>
      <c r="Z17" s="9"/>
      <c r="AA17" s="9"/>
      <c r="AB17" s="9"/>
      <c r="AC17" s="9"/>
    </row>
    <row r="18" spans="1:29" outlineLevel="1" x14ac:dyDescent="0.2">
      <c r="A18" s="9"/>
      <c r="B18" s="9"/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9"/>
      <c r="Z18" s="9"/>
      <c r="AA18" s="9"/>
      <c r="AB18" s="9"/>
      <c r="AC18" s="9"/>
    </row>
    <row r="19" spans="1:29" x14ac:dyDescent="0.2">
      <c r="A19" s="9"/>
      <c r="B19" s="9"/>
      <c r="C19" s="9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9"/>
      <c r="Z19" s="9"/>
      <c r="AA19" s="9"/>
      <c r="AB19" s="9"/>
      <c r="AC19" s="9"/>
    </row>
    <row r="20" spans="1:29" ht="12.75" x14ac:dyDescent="0.2">
      <c r="A20" s="11"/>
      <c r="B20" s="12" t="s">
        <v>631</v>
      </c>
      <c r="C20" s="11"/>
      <c r="D20" s="32" t="s">
        <v>203</v>
      </c>
      <c r="E20" s="32"/>
      <c r="F20" s="32"/>
      <c r="G20" s="32"/>
      <c r="H20" s="32"/>
      <c r="I20" s="32"/>
      <c r="J20" s="34" t="s">
        <v>207</v>
      </c>
      <c r="K20" s="33" t="s">
        <v>204</v>
      </c>
      <c r="L20" s="33" t="s">
        <v>205</v>
      </c>
      <c r="M20" s="33" t="s">
        <v>206</v>
      </c>
      <c r="N20" s="35" t="s">
        <v>340</v>
      </c>
      <c r="O20" s="33" t="s">
        <v>341</v>
      </c>
      <c r="P20" s="33" t="s">
        <v>370</v>
      </c>
      <c r="Q20" s="33" t="s">
        <v>662</v>
      </c>
      <c r="R20" s="33" t="s">
        <v>663</v>
      </c>
      <c r="S20" s="33" t="s">
        <v>218</v>
      </c>
      <c r="T20" s="35" t="s">
        <v>243</v>
      </c>
      <c r="U20" s="35" t="s">
        <v>388</v>
      </c>
      <c r="V20" s="35"/>
      <c r="W20" s="35"/>
      <c r="X20" s="35"/>
      <c r="Y20" s="15"/>
      <c r="Z20" s="15"/>
      <c r="AA20" s="15"/>
      <c r="AB20" s="15"/>
      <c r="AC20" s="15"/>
    </row>
    <row r="21" spans="1:29" outlineLevel="1" x14ac:dyDescent="0.2">
      <c r="A21" s="9"/>
      <c r="B21" s="9"/>
      <c r="C21" s="9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50"/>
      <c r="O21" s="50"/>
      <c r="P21" s="50"/>
      <c r="Q21" s="50"/>
      <c r="R21" s="50"/>
      <c r="S21" s="50"/>
      <c r="T21" s="50"/>
      <c r="U21" s="50"/>
      <c r="V21" s="50"/>
      <c r="W21" s="140">
        <f t="shared" ref="W21:W41" si="0">IF(AND(T21="",U21=""),W20+0,W20+1)</f>
        <v>0</v>
      </c>
      <c r="X21" s="50"/>
      <c r="Y21" s="9"/>
      <c r="Z21" s="9"/>
      <c r="AA21" s="9"/>
      <c r="AB21" s="9"/>
      <c r="AC21" s="9"/>
    </row>
    <row r="22" spans="1:29" outlineLevel="1" x14ac:dyDescent="0.2">
      <c r="A22" s="9"/>
      <c r="B22" s="9"/>
      <c r="C22" s="435" t="s">
        <v>865</v>
      </c>
      <c r="D22" s="535" t="s">
        <v>208</v>
      </c>
      <c r="E22" s="20"/>
      <c r="F22" s="20"/>
      <c r="G22" s="20"/>
      <c r="H22" s="20"/>
      <c r="I22" s="10"/>
      <c r="J22" s="101" t="s">
        <v>938</v>
      </c>
      <c r="K22" s="101" t="s">
        <v>174</v>
      </c>
      <c r="L22" s="101"/>
      <c r="M22" s="101" t="s">
        <v>175</v>
      </c>
      <c r="N22" s="164">
        <f t="shared" ref="N22:N41" si="1">IF(K22=cents,100,IF(K22=dollars,1,0))</f>
        <v>100</v>
      </c>
      <c r="O22" s="164">
        <f>IF(C22=0,0,IF(M22=day,daysperyear,IF(M22=month,12,IF(M22=highsn,daysperhighsn,IF(M22=lowsn,daysperlowsn,IF(M22=ossn,daysperossn,1))))))</f>
        <v>365</v>
      </c>
      <c r="P22" s="195">
        <f>IF(C22=0,0,1/N22*O22)</f>
        <v>3.65</v>
      </c>
      <c r="Q22" s="195">
        <f t="shared" ref="Q22:Q41" si="2">IF(C22=0,0,1/N22*IF(M22=day,daysperyear_currentyear,IF(M22=highsn,daysperhighsn_currentyear,IF(M22=lowsn,daysperlowsn_currentyear,IF(M22=ossn,daysperossn_currentyear,O22)))))</f>
        <v>3.65</v>
      </c>
      <c r="R22" s="195">
        <f t="shared" ref="R22:R41" si="3">IF(C22=0,0,1/N22*IF(M22=day,daysperyear_previousyear,IF(M22=highsn,daysperhighsn_previousyear,IF(M22=lowsn,daysperlowsn_previousyear,IF(M22=ossn,daysperossn_previousyear,O22)))))</f>
        <v>3.65</v>
      </c>
      <c r="S22" s="165" t="str">
        <f t="shared" ref="S22:S41" si="4">IF(K22=dollars,"$",K22)&amp;IF(ISBLANK(L22),"","/"&amp;L22)&amp;IF(ISBLANK(M22),"","/"&amp;M22)</f>
        <v>cents/day</v>
      </c>
      <c r="T22" s="101"/>
      <c r="U22" s="102" t="s">
        <v>208</v>
      </c>
      <c r="V22" s="50"/>
      <c r="W22" s="140">
        <f t="shared" si="0"/>
        <v>1</v>
      </c>
      <c r="X22" s="50"/>
      <c r="Y22" s="9"/>
      <c r="Z22" s="9"/>
      <c r="AA22" s="9"/>
      <c r="AB22" s="9"/>
      <c r="AC22" s="9"/>
    </row>
    <row r="23" spans="1:29" outlineLevel="1" x14ac:dyDescent="0.2">
      <c r="A23" s="9"/>
      <c r="B23" s="9"/>
      <c r="C23" s="435" t="s">
        <v>902</v>
      </c>
      <c r="D23" s="535" t="s">
        <v>866</v>
      </c>
      <c r="E23" s="20"/>
      <c r="F23" s="20"/>
      <c r="G23" s="20"/>
      <c r="H23" s="20"/>
      <c r="I23" s="10"/>
      <c r="J23" s="101" t="s">
        <v>872</v>
      </c>
      <c r="K23" s="101" t="s">
        <v>174</v>
      </c>
      <c r="L23" s="101" t="s">
        <v>170</v>
      </c>
      <c r="M23" s="101"/>
      <c r="N23" s="164">
        <f t="shared" si="1"/>
        <v>100</v>
      </c>
      <c r="O23" s="164">
        <f t="shared" ref="O23:O41" si="5">IF(C23=0,0,IF(M23=day,daysperyear,IF(M23=month,12,IF(M23=highsn,daysperhighsn,IF(M23=lowsn,daysperlowsn,IF(M23=ossn,daysperossn,1))))))</f>
        <v>1</v>
      </c>
      <c r="P23" s="195">
        <f t="shared" ref="P23:P41" si="6">IF(C23=0,0,1/N23*O23)</f>
        <v>0.01</v>
      </c>
      <c r="Q23" s="195">
        <f t="shared" si="2"/>
        <v>0.01</v>
      </c>
      <c r="R23" s="195">
        <f t="shared" si="3"/>
        <v>0.01</v>
      </c>
      <c r="S23" s="165" t="str">
        <f t="shared" si="4"/>
        <v>cents/kWh</v>
      </c>
      <c r="T23" s="101" t="s">
        <v>209</v>
      </c>
      <c r="U23" s="102" t="s">
        <v>918</v>
      </c>
      <c r="V23" s="50"/>
      <c r="W23" s="140">
        <f t="shared" si="0"/>
        <v>2</v>
      </c>
      <c r="X23" s="50"/>
      <c r="Y23" s="9"/>
      <c r="Z23" s="9"/>
      <c r="AA23" s="9"/>
      <c r="AB23" s="9"/>
      <c r="AC23" s="9"/>
    </row>
    <row r="24" spans="1:29" outlineLevel="1" x14ac:dyDescent="0.2">
      <c r="A24" s="9"/>
      <c r="B24" s="9"/>
      <c r="C24" s="435" t="s">
        <v>903</v>
      </c>
      <c r="D24" s="535" t="s">
        <v>868</v>
      </c>
      <c r="E24" s="20"/>
      <c r="F24" s="20"/>
      <c r="G24" s="20"/>
      <c r="H24" s="20"/>
      <c r="I24" s="10"/>
      <c r="J24" s="101" t="s">
        <v>867</v>
      </c>
      <c r="K24" s="101" t="s">
        <v>174</v>
      </c>
      <c r="L24" s="101" t="s">
        <v>170</v>
      </c>
      <c r="M24" s="101"/>
      <c r="N24" s="164">
        <f t="shared" si="1"/>
        <v>100</v>
      </c>
      <c r="O24" s="164">
        <f t="shared" si="5"/>
        <v>1</v>
      </c>
      <c r="P24" s="195">
        <f t="shared" si="6"/>
        <v>0.01</v>
      </c>
      <c r="Q24" s="195">
        <f t="shared" si="2"/>
        <v>0.01</v>
      </c>
      <c r="R24" s="195">
        <f t="shared" si="3"/>
        <v>0.01</v>
      </c>
      <c r="S24" s="165" t="str">
        <f t="shared" si="4"/>
        <v>cents/kWh</v>
      </c>
      <c r="T24" s="101" t="s">
        <v>212</v>
      </c>
      <c r="U24" s="102" t="s">
        <v>918</v>
      </c>
      <c r="V24" s="50"/>
      <c r="W24" s="140">
        <f t="shared" si="0"/>
        <v>3</v>
      </c>
      <c r="X24" s="50"/>
      <c r="Y24" s="9"/>
      <c r="Z24" s="9"/>
      <c r="AA24" s="9"/>
      <c r="AB24" s="9"/>
      <c r="AC24" s="9"/>
    </row>
    <row r="25" spans="1:29" outlineLevel="1" x14ac:dyDescent="0.2">
      <c r="A25" s="9"/>
      <c r="B25" s="9"/>
      <c r="C25" s="435" t="s">
        <v>904</v>
      </c>
      <c r="D25" s="535" t="s">
        <v>868</v>
      </c>
      <c r="E25" s="20"/>
      <c r="F25" s="20"/>
      <c r="G25" s="20"/>
      <c r="H25" s="20"/>
      <c r="I25" s="10"/>
      <c r="J25" s="101" t="s">
        <v>870</v>
      </c>
      <c r="K25" s="101" t="s">
        <v>174</v>
      </c>
      <c r="L25" s="101" t="s">
        <v>170</v>
      </c>
      <c r="M25" s="101"/>
      <c r="N25" s="164">
        <f t="shared" si="1"/>
        <v>100</v>
      </c>
      <c r="O25" s="164">
        <f t="shared" si="5"/>
        <v>1</v>
      </c>
      <c r="P25" s="195">
        <f t="shared" si="6"/>
        <v>0.01</v>
      </c>
      <c r="Q25" s="195">
        <f t="shared" si="2"/>
        <v>0.01</v>
      </c>
      <c r="R25" s="195">
        <f t="shared" si="3"/>
        <v>0.01</v>
      </c>
      <c r="S25" s="165" t="str">
        <f t="shared" si="4"/>
        <v>cents/kWh</v>
      </c>
      <c r="T25" s="101" t="s">
        <v>213</v>
      </c>
      <c r="U25" s="102" t="s">
        <v>918</v>
      </c>
      <c r="V25" s="50"/>
      <c r="W25" s="140">
        <f t="shared" si="0"/>
        <v>4</v>
      </c>
      <c r="X25" s="50"/>
      <c r="Y25" s="9"/>
      <c r="Z25" s="9"/>
      <c r="AA25" s="9"/>
      <c r="AB25" s="9"/>
      <c r="AC25" s="9"/>
    </row>
    <row r="26" spans="1:29" outlineLevel="1" x14ac:dyDescent="0.2">
      <c r="A26" s="9"/>
      <c r="B26" s="9"/>
      <c r="C26" s="435" t="s">
        <v>905</v>
      </c>
      <c r="D26" s="535" t="s">
        <v>868</v>
      </c>
      <c r="E26" s="20"/>
      <c r="F26" s="20"/>
      <c r="G26" s="20"/>
      <c r="H26" s="20"/>
      <c r="I26" s="10"/>
      <c r="J26" s="101" t="s">
        <v>869</v>
      </c>
      <c r="K26" s="101" t="s">
        <v>174</v>
      </c>
      <c r="L26" s="101" t="s">
        <v>170</v>
      </c>
      <c r="M26" s="101"/>
      <c r="N26" s="164">
        <f t="shared" si="1"/>
        <v>100</v>
      </c>
      <c r="O26" s="164">
        <f t="shared" si="5"/>
        <v>1</v>
      </c>
      <c r="P26" s="195">
        <f t="shared" si="6"/>
        <v>0.01</v>
      </c>
      <c r="Q26" s="195">
        <f t="shared" si="2"/>
        <v>0.01</v>
      </c>
      <c r="R26" s="195">
        <f t="shared" si="3"/>
        <v>0.01</v>
      </c>
      <c r="S26" s="165" t="str">
        <f t="shared" si="4"/>
        <v>cents/kWh</v>
      </c>
      <c r="T26" s="101" t="s">
        <v>214</v>
      </c>
      <c r="U26" s="102" t="s">
        <v>918</v>
      </c>
      <c r="V26" s="50"/>
      <c r="W26" s="140">
        <f t="shared" si="0"/>
        <v>5</v>
      </c>
      <c r="X26" s="50"/>
      <c r="Y26" s="9"/>
      <c r="Z26" s="9"/>
      <c r="AA26" s="9"/>
      <c r="AB26" s="9"/>
      <c r="AC26" s="9"/>
    </row>
    <row r="27" spans="1:29" outlineLevel="1" x14ac:dyDescent="0.2">
      <c r="A27" s="9"/>
      <c r="B27" s="9"/>
      <c r="C27" s="435" t="s">
        <v>906</v>
      </c>
      <c r="D27" s="535" t="s">
        <v>871</v>
      </c>
      <c r="E27" s="20"/>
      <c r="F27" s="20"/>
      <c r="G27" s="20"/>
      <c r="H27" s="20"/>
      <c r="I27" s="10"/>
      <c r="J27" s="101" t="s">
        <v>914</v>
      </c>
      <c r="K27" s="101" t="s">
        <v>174</v>
      </c>
      <c r="L27" s="101" t="s">
        <v>555</v>
      </c>
      <c r="M27" s="101"/>
      <c r="N27" s="164">
        <f t="shared" si="1"/>
        <v>100</v>
      </c>
      <c r="O27" s="164">
        <f t="shared" si="5"/>
        <v>1</v>
      </c>
      <c r="P27" s="195">
        <f t="shared" si="6"/>
        <v>0.01</v>
      </c>
      <c r="Q27" s="195">
        <f t="shared" si="2"/>
        <v>0.01</v>
      </c>
      <c r="R27" s="195">
        <f t="shared" si="3"/>
        <v>0.01</v>
      </c>
      <c r="S27" s="165" t="str">
        <f t="shared" si="4"/>
        <v>cents/kVA</v>
      </c>
      <c r="T27" s="101"/>
      <c r="U27" s="102" t="s">
        <v>918</v>
      </c>
      <c r="V27" s="50"/>
      <c r="W27" s="140">
        <f t="shared" si="0"/>
        <v>5</v>
      </c>
      <c r="X27" s="50"/>
      <c r="Y27" s="9"/>
      <c r="Z27" s="9"/>
      <c r="AA27" s="9"/>
      <c r="AB27" s="9"/>
      <c r="AC27" s="9"/>
    </row>
    <row r="28" spans="1:29" outlineLevel="1" x14ac:dyDescent="0.2">
      <c r="A28" s="9"/>
      <c r="B28" s="9"/>
      <c r="C28" s="435" t="s">
        <v>907</v>
      </c>
      <c r="D28" s="535" t="s">
        <v>871</v>
      </c>
      <c r="E28" s="20"/>
      <c r="F28" s="20"/>
      <c r="G28" s="20"/>
      <c r="H28" s="20"/>
      <c r="I28" s="10"/>
      <c r="J28" s="101" t="s">
        <v>939</v>
      </c>
      <c r="K28" s="101" t="s">
        <v>174</v>
      </c>
      <c r="L28" s="101" t="s">
        <v>555</v>
      </c>
      <c r="M28" s="101"/>
      <c r="N28" s="164">
        <f t="shared" si="1"/>
        <v>100</v>
      </c>
      <c r="O28" s="164">
        <f t="shared" si="5"/>
        <v>1</v>
      </c>
      <c r="P28" s="195">
        <f t="shared" si="6"/>
        <v>0.01</v>
      </c>
      <c r="Q28" s="195">
        <f t="shared" si="2"/>
        <v>0.01</v>
      </c>
      <c r="R28" s="195">
        <f t="shared" si="3"/>
        <v>0.01</v>
      </c>
      <c r="S28" s="165" t="str">
        <f t="shared" si="4"/>
        <v>cents/kVA</v>
      </c>
      <c r="T28" s="101"/>
      <c r="U28" s="102" t="s">
        <v>918</v>
      </c>
      <c r="V28" s="50"/>
      <c r="W28" s="140">
        <f t="shared" si="0"/>
        <v>5</v>
      </c>
      <c r="X28" s="50"/>
      <c r="Y28" s="9"/>
      <c r="Z28" s="9"/>
      <c r="AA28" s="9"/>
      <c r="AB28" s="9"/>
      <c r="AC28" s="9"/>
    </row>
    <row r="29" spans="1:29" outlineLevel="1" x14ac:dyDescent="0.2">
      <c r="A29" s="9"/>
      <c r="B29" s="9"/>
      <c r="C29" s="435" t="s">
        <v>908</v>
      </c>
      <c r="D29" s="535" t="s">
        <v>871</v>
      </c>
      <c r="E29" s="20"/>
      <c r="F29" s="20"/>
      <c r="G29" s="20"/>
      <c r="H29" s="20"/>
      <c r="I29" s="10"/>
      <c r="J29" s="101" t="s">
        <v>940</v>
      </c>
      <c r="K29" s="101" t="s">
        <v>174</v>
      </c>
      <c r="L29" s="101" t="s">
        <v>555</v>
      </c>
      <c r="M29" s="101"/>
      <c r="N29" s="164">
        <f t="shared" si="1"/>
        <v>100</v>
      </c>
      <c r="O29" s="164">
        <f t="shared" si="5"/>
        <v>1</v>
      </c>
      <c r="P29" s="195">
        <f t="shared" si="6"/>
        <v>0.01</v>
      </c>
      <c r="Q29" s="195">
        <f t="shared" si="2"/>
        <v>0.01</v>
      </c>
      <c r="R29" s="195">
        <f t="shared" si="3"/>
        <v>0.01</v>
      </c>
      <c r="S29" s="165" t="str">
        <f t="shared" si="4"/>
        <v>cents/kVA</v>
      </c>
      <c r="T29" s="101"/>
      <c r="U29" s="102" t="s">
        <v>918</v>
      </c>
      <c r="V29" s="50"/>
      <c r="W29" s="140">
        <f t="shared" si="0"/>
        <v>5</v>
      </c>
      <c r="X29" s="50"/>
      <c r="Y29" s="9"/>
      <c r="Z29" s="9"/>
      <c r="AA29" s="9"/>
      <c r="AB29" s="9"/>
      <c r="AC29" s="9"/>
    </row>
    <row r="30" spans="1:29" outlineLevel="1" x14ac:dyDescent="0.2">
      <c r="A30" s="9"/>
      <c r="B30" s="9"/>
      <c r="C30" s="435" t="s">
        <v>909</v>
      </c>
      <c r="D30" s="535" t="s">
        <v>871</v>
      </c>
      <c r="E30" s="20"/>
      <c r="F30" s="20"/>
      <c r="G30" s="20"/>
      <c r="H30" s="20"/>
      <c r="I30" s="10"/>
      <c r="J30" s="101" t="s">
        <v>915</v>
      </c>
      <c r="K30" s="101" t="s">
        <v>174</v>
      </c>
      <c r="L30" s="101" t="s">
        <v>555</v>
      </c>
      <c r="M30" s="101"/>
      <c r="N30" s="164">
        <f t="shared" si="1"/>
        <v>100</v>
      </c>
      <c r="O30" s="164">
        <f t="shared" si="5"/>
        <v>1</v>
      </c>
      <c r="P30" s="195">
        <f t="shared" si="6"/>
        <v>0.01</v>
      </c>
      <c r="Q30" s="195">
        <f t="shared" si="2"/>
        <v>0.01</v>
      </c>
      <c r="R30" s="195">
        <f t="shared" si="3"/>
        <v>0.01</v>
      </c>
      <c r="S30" s="165" t="str">
        <f t="shared" si="4"/>
        <v>cents/kVA</v>
      </c>
      <c r="T30" s="101"/>
      <c r="U30" s="102" t="s">
        <v>918</v>
      </c>
      <c r="V30" s="50"/>
      <c r="W30" s="140">
        <f t="shared" si="0"/>
        <v>5</v>
      </c>
      <c r="X30" s="50"/>
      <c r="Y30" s="9"/>
      <c r="Z30" s="9"/>
      <c r="AA30" s="9"/>
      <c r="AB30" s="9"/>
      <c r="AC30" s="9"/>
    </row>
    <row r="31" spans="1:29" outlineLevel="1" x14ac:dyDescent="0.2">
      <c r="A31" s="9"/>
      <c r="B31" s="9"/>
      <c r="C31" s="435" t="s">
        <v>910</v>
      </c>
      <c r="D31" s="535" t="s">
        <v>871</v>
      </c>
      <c r="E31" s="20"/>
      <c r="F31" s="20"/>
      <c r="G31" s="20"/>
      <c r="H31" s="20"/>
      <c r="I31" s="10"/>
      <c r="J31" s="101" t="s">
        <v>941</v>
      </c>
      <c r="K31" s="101" t="s">
        <v>174</v>
      </c>
      <c r="L31" s="101" t="s">
        <v>555</v>
      </c>
      <c r="M31" s="101"/>
      <c r="N31" s="164">
        <f t="shared" si="1"/>
        <v>100</v>
      </c>
      <c r="O31" s="164">
        <f t="shared" si="5"/>
        <v>1</v>
      </c>
      <c r="P31" s="195">
        <f t="shared" si="6"/>
        <v>0.01</v>
      </c>
      <c r="Q31" s="195">
        <f t="shared" si="2"/>
        <v>0.01</v>
      </c>
      <c r="R31" s="195">
        <f t="shared" si="3"/>
        <v>0.01</v>
      </c>
      <c r="S31" s="165" t="str">
        <f t="shared" si="4"/>
        <v>cents/kVA</v>
      </c>
      <c r="T31" s="101"/>
      <c r="U31" s="102" t="s">
        <v>918</v>
      </c>
      <c r="V31" s="50"/>
      <c r="W31" s="140">
        <f t="shared" si="0"/>
        <v>5</v>
      </c>
      <c r="X31" s="50"/>
      <c r="Y31" s="9"/>
      <c r="Z31" s="9"/>
      <c r="AA31" s="9"/>
      <c r="AB31" s="9"/>
      <c r="AC31" s="9"/>
    </row>
    <row r="32" spans="1:29" outlineLevel="1" x14ac:dyDescent="0.2">
      <c r="A32" s="9"/>
      <c r="B32" s="9"/>
      <c r="C32" s="435" t="s">
        <v>911</v>
      </c>
      <c r="D32" s="535" t="s">
        <v>871</v>
      </c>
      <c r="E32" s="20"/>
      <c r="F32" s="20"/>
      <c r="G32" s="20"/>
      <c r="H32" s="20"/>
      <c r="I32" s="10"/>
      <c r="J32" s="101" t="s">
        <v>916</v>
      </c>
      <c r="K32" s="101" t="s">
        <v>174</v>
      </c>
      <c r="L32" s="101" t="s">
        <v>555</v>
      </c>
      <c r="M32" s="101"/>
      <c r="N32" s="164">
        <f t="shared" si="1"/>
        <v>100</v>
      </c>
      <c r="O32" s="164">
        <f t="shared" si="5"/>
        <v>1</v>
      </c>
      <c r="P32" s="195">
        <f t="shared" si="6"/>
        <v>0.01</v>
      </c>
      <c r="Q32" s="195">
        <f t="shared" si="2"/>
        <v>0.01</v>
      </c>
      <c r="R32" s="195">
        <f t="shared" si="3"/>
        <v>0.01</v>
      </c>
      <c r="S32" s="165" t="str">
        <f t="shared" si="4"/>
        <v>cents/kVA</v>
      </c>
      <c r="T32" s="101"/>
      <c r="U32" s="102" t="s">
        <v>918</v>
      </c>
      <c r="V32" s="50"/>
      <c r="W32" s="140">
        <f t="shared" si="0"/>
        <v>5</v>
      </c>
      <c r="X32" s="50"/>
      <c r="Y32" s="9"/>
      <c r="Z32" s="9"/>
      <c r="AA32" s="9"/>
      <c r="AB32" s="9"/>
      <c r="AC32" s="9"/>
    </row>
    <row r="33" spans="1:29" outlineLevel="1" x14ac:dyDescent="0.2">
      <c r="A33" s="9"/>
      <c r="B33" s="9"/>
      <c r="C33" s="435" t="s">
        <v>912</v>
      </c>
      <c r="D33" s="535" t="s">
        <v>871</v>
      </c>
      <c r="E33" s="20"/>
      <c r="F33" s="20"/>
      <c r="G33" s="20"/>
      <c r="H33" s="20"/>
      <c r="I33" s="10"/>
      <c r="J33" s="101" t="s">
        <v>917</v>
      </c>
      <c r="K33" s="101" t="s">
        <v>174</v>
      </c>
      <c r="L33" s="101" t="s">
        <v>555</v>
      </c>
      <c r="M33" s="101"/>
      <c r="N33" s="164">
        <f t="shared" si="1"/>
        <v>100</v>
      </c>
      <c r="O33" s="164">
        <f t="shared" si="5"/>
        <v>1</v>
      </c>
      <c r="P33" s="195">
        <f t="shared" si="6"/>
        <v>0.01</v>
      </c>
      <c r="Q33" s="195">
        <f t="shared" si="2"/>
        <v>0.01</v>
      </c>
      <c r="R33" s="195">
        <f t="shared" si="3"/>
        <v>0.01</v>
      </c>
      <c r="S33" s="165" t="str">
        <f t="shared" si="4"/>
        <v>cents/kVA</v>
      </c>
      <c r="T33" s="101"/>
      <c r="U33" s="102" t="s">
        <v>918</v>
      </c>
      <c r="V33" s="50"/>
      <c r="W33" s="140">
        <f t="shared" si="0"/>
        <v>5</v>
      </c>
      <c r="X33" s="50"/>
      <c r="Y33" s="9"/>
      <c r="Z33" s="9"/>
      <c r="AA33" s="9"/>
      <c r="AB33" s="9"/>
      <c r="AC33" s="9"/>
    </row>
    <row r="34" spans="1:29" outlineLevel="1" x14ac:dyDescent="0.2">
      <c r="A34" s="9"/>
      <c r="B34" s="9"/>
      <c r="C34" s="435" t="s">
        <v>913</v>
      </c>
      <c r="D34" s="535" t="s">
        <v>871</v>
      </c>
      <c r="E34" s="20"/>
      <c r="F34" s="20"/>
      <c r="G34" s="20"/>
      <c r="H34" s="20"/>
      <c r="I34" s="10"/>
      <c r="J34" s="101" t="s">
        <v>937</v>
      </c>
      <c r="K34" s="101" t="s">
        <v>174</v>
      </c>
      <c r="L34" s="101" t="s">
        <v>556</v>
      </c>
      <c r="M34" s="101" t="s">
        <v>175</v>
      </c>
      <c r="N34" s="164">
        <f t="shared" si="1"/>
        <v>100</v>
      </c>
      <c r="O34" s="164">
        <f t="shared" si="5"/>
        <v>365</v>
      </c>
      <c r="P34" s="195">
        <f t="shared" si="6"/>
        <v>3.65</v>
      </c>
      <c r="Q34" s="195">
        <f t="shared" si="2"/>
        <v>3.65</v>
      </c>
      <c r="R34" s="195">
        <f t="shared" si="3"/>
        <v>3.65</v>
      </c>
      <c r="S34" s="165" t="str">
        <f t="shared" si="4"/>
        <v>cents/LmpWtts/day</v>
      </c>
      <c r="T34" s="101"/>
      <c r="U34" s="102" t="s">
        <v>918</v>
      </c>
      <c r="V34" s="50"/>
      <c r="W34" s="140">
        <f t="shared" si="0"/>
        <v>5</v>
      </c>
      <c r="X34" s="50"/>
      <c r="Y34" s="9"/>
      <c r="Z34" s="9"/>
      <c r="AA34" s="9"/>
      <c r="AB34" s="9"/>
      <c r="AC34" s="9"/>
    </row>
    <row r="35" spans="1:29" outlineLevel="1" x14ac:dyDescent="0.2">
      <c r="A35" s="9"/>
      <c r="B35" s="9"/>
      <c r="C35" s="435"/>
      <c r="D35" s="535"/>
      <c r="E35" s="20"/>
      <c r="F35" s="20"/>
      <c r="G35" s="20"/>
      <c r="H35" s="20"/>
      <c r="I35" s="10"/>
      <c r="J35" s="101"/>
      <c r="K35" s="101"/>
      <c r="L35" s="101"/>
      <c r="M35" s="101"/>
      <c r="N35" s="164">
        <f t="shared" si="1"/>
        <v>0</v>
      </c>
      <c r="O35" s="164">
        <f t="shared" si="5"/>
        <v>0</v>
      </c>
      <c r="P35" s="195">
        <f t="shared" si="6"/>
        <v>0</v>
      </c>
      <c r="Q35" s="195">
        <f t="shared" si="2"/>
        <v>0</v>
      </c>
      <c r="R35" s="195">
        <f t="shared" si="3"/>
        <v>0</v>
      </c>
      <c r="S35" s="165" t="str">
        <f t="shared" si="4"/>
        <v/>
      </c>
      <c r="T35" s="101"/>
      <c r="U35" s="102" t="str">
        <f t="shared" ref="U35:U41" si="7">IF(D35="Fixed","Fixed","")</f>
        <v/>
      </c>
      <c r="V35" s="50"/>
      <c r="W35" s="140">
        <f t="shared" si="0"/>
        <v>5</v>
      </c>
      <c r="X35" s="50"/>
      <c r="Y35" s="9"/>
      <c r="Z35" s="9"/>
      <c r="AA35" s="9"/>
      <c r="AB35" s="9"/>
      <c r="AC35" s="9"/>
    </row>
    <row r="36" spans="1:29" hidden="1" outlineLevel="2" x14ac:dyDescent="0.2">
      <c r="A36" s="9"/>
      <c r="B36" s="9"/>
      <c r="C36" s="435"/>
      <c r="D36" s="535"/>
      <c r="E36" s="20"/>
      <c r="F36" s="20"/>
      <c r="G36" s="20"/>
      <c r="H36" s="20"/>
      <c r="I36" s="10"/>
      <c r="J36" s="101"/>
      <c r="K36" s="101"/>
      <c r="L36" s="101"/>
      <c r="M36" s="101"/>
      <c r="N36" s="164">
        <f t="shared" si="1"/>
        <v>0</v>
      </c>
      <c r="O36" s="164">
        <f t="shared" si="5"/>
        <v>0</v>
      </c>
      <c r="P36" s="195">
        <f t="shared" si="6"/>
        <v>0</v>
      </c>
      <c r="Q36" s="195">
        <f t="shared" si="2"/>
        <v>0</v>
      </c>
      <c r="R36" s="195">
        <f t="shared" si="3"/>
        <v>0</v>
      </c>
      <c r="S36" s="165" t="str">
        <f t="shared" si="4"/>
        <v/>
      </c>
      <c r="T36" s="101"/>
      <c r="U36" s="102" t="str">
        <f t="shared" si="7"/>
        <v/>
      </c>
      <c r="V36" s="50"/>
      <c r="W36" s="140">
        <f t="shared" si="0"/>
        <v>5</v>
      </c>
      <c r="X36" s="50"/>
      <c r="Y36" s="9"/>
      <c r="Z36" s="9"/>
      <c r="AA36" s="9"/>
      <c r="AB36" s="9"/>
      <c r="AC36" s="9"/>
    </row>
    <row r="37" spans="1:29" hidden="1" outlineLevel="2" x14ac:dyDescent="0.2">
      <c r="A37" s="9"/>
      <c r="B37" s="9"/>
      <c r="C37" s="435"/>
      <c r="D37" s="535"/>
      <c r="E37" s="20"/>
      <c r="F37" s="20"/>
      <c r="G37" s="20"/>
      <c r="H37" s="20"/>
      <c r="I37" s="10"/>
      <c r="J37" s="101"/>
      <c r="K37" s="101"/>
      <c r="L37" s="101"/>
      <c r="M37" s="101"/>
      <c r="N37" s="164">
        <f t="shared" si="1"/>
        <v>0</v>
      </c>
      <c r="O37" s="164">
        <f t="shared" si="5"/>
        <v>0</v>
      </c>
      <c r="P37" s="195">
        <f t="shared" si="6"/>
        <v>0</v>
      </c>
      <c r="Q37" s="195">
        <f t="shared" si="2"/>
        <v>0</v>
      </c>
      <c r="R37" s="195">
        <f t="shared" si="3"/>
        <v>0</v>
      </c>
      <c r="S37" s="165" t="str">
        <f t="shared" si="4"/>
        <v/>
      </c>
      <c r="T37" s="101"/>
      <c r="U37" s="102" t="str">
        <f t="shared" si="7"/>
        <v/>
      </c>
      <c r="V37" s="50"/>
      <c r="W37" s="140">
        <f t="shared" si="0"/>
        <v>5</v>
      </c>
      <c r="X37" s="50"/>
      <c r="Y37" s="9"/>
      <c r="Z37" s="9"/>
      <c r="AA37" s="9"/>
      <c r="AB37" s="9"/>
      <c r="AC37" s="9"/>
    </row>
    <row r="38" spans="1:29" hidden="1" outlineLevel="2" x14ac:dyDescent="0.2">
      <c r="A38" s="9"/>
      <c r="B38" s="9"/>
      <c r="C38" s="435"/>
      <c r="D38" s="535"/>
      <c r="E38" s="20"/>
      <c r="F38" s="20"/>
      <c r="G38" s="20"/>
      <c r="H38" s="20"/>
      <c r="I38" s="10"/>
      <c r="J38" s="101"/>
      <c r="K38" s="101"/>
      <c r="L38" s="101"/>
      <c r="M38" s="101"/>
      <c r="N38" s="164">
        <f t="shared" si="1"/>
        <v>0</v>
      </c>
      <c r="O38" s="164">
        <f t="shared" si="5"/>
        <v>0</v>
      </c>
      <c r="P38" s="195">
        <f t="shared" si="6"/>
        <v>0</v>
      </c>
      <c r="Q38" s="195">
        <f t="shared" si="2"/>
        <v>0</v>
      </c>
      <c r="R38" s="195">
        <f t="shared" si="3"/>
        <v>0</v>
      </c>
      <c r="S38" s="165" t="str">
        <f t="shared" si="4"/>
        <v/>
      </c>
      <c r="T38" s="101"/>
      <c r="U38" s="102" t="str">
        <f t="shared" si="7"/>
        <v/>
      </c>
      <c r="V38" s="50"/>
      <c r="W38" s="140">
        <f t="shared" si="0"/>
        <v>5</v>
      </c>
      <c r="X38" s="50"/>
      <c r="Y38" s="9"/>
      <c r="Z38" s="9"/>
      <c r="AA38" s="9"/>
      <c r="AB38" s="9"/>
      <c r="AC38" s="9"/>
    </row>
    <row r="39" spans="1:29" hidden="1" outlineLevel="2" x14ac:dyDescent="0.2">
      <c r="A39" s="9"/>
      <c r="B39" s="9"/>
      <c r="C39" s="435"/>
      <c r="D39" s="535"/>
      <c r="E39" s="20"/>
      <c r="F39" s="20"/>
      <c r="G39" s="20"/>
      <c r="H39" s="20"/>
      <c r="I39" s="10"/>
      <c r="J39" s="101"/>
      <c r="K39" s="101"/>
      <c r="L39" s="101"/>
      <c r="M39" s="101"/>
      <c r="N39" s="164">
        <f t="shared" si="1"/>
        <v>0</v>
      </c>
      <c r="O39" s="164">
        <f t="shared" si="5"/>
        <v>0</v>
      </c>
      <c r="P39" s="195">
        <f t="shared" si="6"/>
        <v>0</v>
      </c>
      <c r="Q39" s="195">
        <f t="shared" si="2"/>
        <v>0</v>
      </c>
      <c r="R39" s="195">
        <f t="shared" si="3"/>
        <v>0</v>
      </c>
      <c r="S39" s="165" t="str">
        <f t="shared" si="4"/>
        <v/>
      </c>
      <c r="T39" s="101"/>
      <c r="U39" s="102" t="str">
        <f t="shared" si="7"/>
        <v/>
      </c>
      <c r="V39" s="50"/>
      <c r="W39" s="140">
        <f t="shared" si="0"/>
        <v>5</v>
      </c>
      <c r="X39" s="50"/>
      <c r="Y39" s="9"/>
      <c r="Z39" s="9"/>
      <c r="AA39" s="9"/>
      <c r="AB39" s="9"/>
      <c r="AC39" s="9"/>
    </row>
    <row r="40" spans="1:29" hidden="1" outlineLevel="2" x14ac:dyDescent="0.2">
      <c r="A40" s="9"/>
      <c r="B40" s="9"/>
      <c r="C40" s="435"/>
      <c r="D40" s="535"/>
      <c r="E40" s="20"/>
      <c r="F40" s="20"/>
      <c r="G40" s="20"/>
      <c r="H40" s="20"/>
      <c r="I40" s="10"/>
      <c r="J40" s="101"/>
      <c r="K40" s="101"/>
      <c r="L40" s="101"/>
      <c r="M40" s="101"/>
      <c r="N40" s="164">
        <f t="shared" si="1"/>
        <v>0</v>
      </c>
      <c r="O40" s="164">
        <f t="shared" si="5"/>
        <v>0</v>
      </c>
      <c r="P40" s="195">
        <f t="shared" si="6"/>
        <v>0</v>
      </c>
      <c r="Q40" s="195">
        <f t="shared" si="2"/>
        <v>0</v>
      </c>
      <c r="R40" s="195">
        <f t="shared" si="3"/>
        <v>0</v>
      </c>
      <c r="S40" s="165" t="str">
        <f t="shared" si="4"/>
        <v/>
      </c>
      <c r="T40" s="101"/>
      <c r="U40" s="102" t="str">
        <f t="shared" si="7"/>
        <v/>
      </c>
      <c r="V40" s="50"/>
      <c r="W40" s="140">
        <f t="shared" si="0"/>
        <v>5</v>
      </c>
      <c r="X40" s="50"/>
      <c r="Y40" s="9"/>
      <c r="Z40" s="9"/>
      <c r="AA40" s="9"/>
      <c r="AB40" s="9"/>
      <c r="AC40" s="9"/>
    </row>
    <row r="41" spans="1:29" hidden="1" outlineLevel="2" x14ac:dyDescent="0.2">
      <c r="A41" s="9"/>
      <c r="B41" s="9"/>
      <c r="C41" s="435"/>
      <c r="D41" s="535"/>
      <c r="E41" s="20"/>
      <c r="F41" s="20"/>
      <c r="G41" s="20"/>
      <c r="H41" s="20"/>
      <c r="I41" s="10"/>
      <c r="J41" s="101"/>
      <c r="K41" s="101"/>
      <c r="L41" s="101"/>
      <c r="M41" s="101"/>
      <c r="N41" s="164">
        <f t="shared" si="1"/>
        <v>0</v>
      </c>
      <c r="O41" s="164">
        <f t="shared" si="5"/>
        <v>0</v>
      </c>
      <c r="P41" s="195">
        <f t="shared" si="6"/>
        <v>0</v>
      </c>
      <c r="Q41" s="195">
        <f t="shared" si="2"/>
        <v>0</v>
      </c>
      <c r="R41" s="195">
        <f t="shared" si="3"/>
        <v>0</v>
      </c>
      <c r="S41" s="165" t="str">
        <f t="shared" si="4"/>
        <v/>
      </c>
      <c r="T41" s="101"/>
      <c r="U41" s="102" t="str">
        <f t="shared" si="7"/>
        <v/>
      </c>
      <c r="V41" s="50"/>
      <c r="W41" s="140">
        <f t="shared" si="0"/>
        <v>5</v>
      </c>
      <c r="X41" s="50"/>
      <c r="Y41" s="9"/>
      <c r="Z41" s="9"/>
      <c r="AA41" s="9"/>
      <c r="AB41" s="9"/>
      <c r="AC41" s="9"/>
    </row>
    <row r="42" spans="1:29" outlineLevel="1" collapsed="1" x14ac:dyDescent="0.2">
      <c r="A42" s="9"/>
      <c r="B42" s="9"/>
      <c r="C42" s="9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9"/>
      <c r="Z42" s="9"/>
      <c r="AA42" s="9"/>
      <c r="AB42" s="9"/>
      <c r="AC42" s="9"/>
    </row>
    <row r="43" spans="1:29" x14ac:dyDescent="0.2">
      <c r="A43" s="9"/>
      <c r="B43" s="9"/>
      <c r="C43" s="9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9"/>
      <c r="Z43" s="9"/>
      <c r="AA43" s="9"/>
      <c r="AB43" s="9"/>
      <c r="AC43" s="9"/>
    </row>
    <row r="44" spans="1:29" ht="12.75" x14ac:dyDescent="0.2">
      <c r="A44" s="11"/>
      <c r="B44" s="12" t="s">
        <v>680</v>
      </c>
      <c r="C44" s="11"/>
      <c r="D44" s="32" t="s">
        <v>199</v>
      </c>
      <c r="E44" s="32" t="str">
        <f>tariffid1</f>
        <v>Code</v>
      </c>
      <c r="F44" s="32" t="str">
        <f>tariffid2</f>
        <v>Trans. Node</v>
      </c>
      <c r="G44" s="32" t="str">
        <f>tariffid3</f>
        <v>Other identifier</v>
      </c>
      <c r="H44" s="32" t="s">
        <v>561</v>
      </c>
      <c r="I44" s="32"/>
      <c r="J44" s="33" t="s">
        <v>201</v>
      </c>
      <c r="K44" s="35" t="s">
        <v>314</v>
      </c>
      <c r="L44" s="35" t="s">
        <v>313</v>
      </c>
      <c r="M44" s="33" t="s">
        <v>200</v>
      </c>
      <c r="N44" s="33" t="s">
        <v>202</v>
      </c>
      <c r="O44" s="33" t="s">
        <v>257</v>
      </c>
      <c r="P44" s="33" t="s">
        <v>384</v>
      </c>
      <c r="Q44" s="33" t="s">
        <v>210</v>
      </c>
      <c r="R44" s="33" t="s">
        <v>211</v>
      </c>
      <c r="S44" s="35" t="s">
        <v>387</v>
      </c>
      <c r="T44" s="33" t="s">
        <v>385</v>
      </c>
      <c r="U44" s="35" t="s">
        <v>386</v>
      </c>
      <c r="V44" s="35" t="s">
        <v>401</v>
      </c>
      <c r="W44" s="35"/>
      <c r="X44" s="35"/>
      <c r="Y44" s="15"/>
      <c r="Z44" s="15"/>
      <c r="AA44" s="15"/>
      <c r="AB44" s="15"/>
      <c r="AC44" s="15"/>
    </row>
    <row r="45" spans="1:29" outlineLevel="1" x14ac:dyDescent="0.2">
      <c r="C45" s="36"/>
      <c r="D45" s="20"/>
      <c r="E45" s="20"/>
      <c r="F45" s="20"/>
      <c r="G45" s="20"/>
      <c r="H45" s="20"/>
      <c r="I45" s="20"/>
      <c r="J45" s="22"/>
      <c r="K45" s="20"/>
      <c r="L45" s="37"/>
      <c r="M45" s="22"/>
      <c r="N45" s="20"/>
      <c r="O45" s="20"/>
      <c r="P45" s="20"/>
      <c r="R45" s="20"/>
      <c r="S45" s="37"/>
      <c r="T45" s="22" t="s">
        <v>170</v>
      </c>
      <c r="U45" s="249" t="s">
        <v>170</v>
      </c>
      <c r="V45" s="249"/>
      <c r="W45" s="100">
        <v>0</v>
      </c>
      <c r="X45" s="100">
        <v>0</v>
      </c>
      <c r="Y45" s="19"/>
      <c r="Z45" s="19"/>
      <c r="AA45" s="19"/>
      <c r="AB45" s="19"/>
      <c r="AC45" s="19"/>
    </row>
    <row r="46" spans="1:29" s="59" customFormat="1" outlineLevel="1" x14ac:dyDescent="0.2">
      <c r="C46" s="537" t="s">
        <v>919</v>
      </c>
      <c r="D46" s="166" t="s">
        <v>216</v>
      </c>
      <c r="E46" s="537" t="s">
        <v>877</v>
      </c>
      <c r="F46" s="537"/>
      <c r="G46" s="537"/>
      <c r="H46" s="537"/>
      <c r="I46" s="58"/>
      <c r="J46" s="102" t="s">
        <v>893</v>
      </c>
      <c r="K46" s="102" t="s">
        <v>894</v>
      </c>
      <c r="L46" s="102" t="s">
        <v>895</v>
      </c>
      <c r="M46" s="102" t="s">
        <v>895</v>
      </c>
      <c r="N46" s="102" t="s">
        <v>894</v>
      </c>
      <c r="O46" s="102" t="s">
        <v>216</v>
      </c>
      <c r="P46" s="102"/>
      <c r="Q46" s="166"/>
      <c r="R46" s="166"/>
      <c r="S46" s="166"/>
      <c r="T46" s="250"/>
      <c r="U46" s="251"/>
      <c r="V46" s="251" t="s">
        <v>857</v>
      </c>
      <c r="W46" s="100">
        <f t="shared" ref="W46:W109" si="8">IF(forecastyear=RCP_firstyear,IF(AND(O46="Residential",N46&lt;&gt;"yes",H46&lt;&gt;"",H46&lt;&gt;0,H46&lt;&gt;"N/A"),W45+1,W45+0),IF(AND(O46="Residential",N46&lt;&gt;"yes"),W45+1,W45+0))</f>
        <v>1</v>
      </c>
      <c r="X46" s="100">
        <f t="shared" ref="X46:X109" si="9">IF(forecastyear=RCP_firstyear,IF(AND(O46="Small business",N46&lt;&gt;"yes",H46&lt;&gt;"",H46&lt;&gt;0,H46&lt;&gt;"N/A"),X45+1,X45+0),IF(AND(O46="Small business",N46&lt;&gt;"yes"),X45+1,X45+0))</f>
        <v>0</v>
      </c>
      <c r="Y46" s="57"/>
      <c r="Z46" s="57"/>
      <c r="AA46" s="57"/>
      <c r="AB46" s="57"/>
      <c r="AC46" s="57"/>
    </row>
    <row r="47" spans="1:29" outlineLevel="1" x14ac:dyDescent="0.2">
      <c r="C47" s="537" t="s">
        <v>920</v>
      </c>
      <c r="D47" s="166" t="s">
        <v>216</v>
      </c>
      <c r="E47" s="537" t="s">
        <v>873</v>
      </c>
      <c r="F47" s="537"/>
      <c r="G47" s="537"/>
      <c r="H47" s="537"/>
      <c r="I47" s="58"/>
      <c r="J47" s="102" t="s">
        <v>893</v>
      </c>
      <c r="K47" s="102" t="s">
        <v>894</v>
      </c>
      <c r="L47" s="102" t="s">
        <v>894</v>
      </c>
      <c r="M47" s="102" t="s">
        <v>894</v>
      </c>
      <c r="N47" s="102" t="s">
        <v>894</v>
      </c>
      <c r="O47" s="102" t="s">
        <v>216</v>
      </c>
      <c r="P47" s="102"/>
      <c r="Q47" s="166"/>
      <c r="R47" s="166"/>
      <c r="S47" s="166"/>
      <c r="T47" s="250"/>
      <c r="U47" s="251"/>
      <c r="V47" s="251" t="s">
        <v>857</v>
      </c>
      <c r="W47" s="100">
        <f t="shared" si="8"/>
        <v>2</v>
      </c>
      <c r="X47" s="100">
        <f t="shared" si="9"/>
        <v>0</v>
      </c>
      <c r="Y47" s="19"/>
      <c r="Z47" s="19"/>
      <c r="AA47" s="19"/>
      <c r="AB47" s="19"/>
      <c r="AC47" s="19"/>
    </row>
    <row r="48" spans="1:29" outlineLevel="1" x14ac:dyDescent="0.2">
      <c r="C48" s="537" t="s">
        <v>874</v>
      </c>
      <c r="D48" s="166" t="s">
        <v>216</v>
      </c>
      <c r="E48" s="537" t="s">
        <v>875</v>
      </c>
      <c r="F48" s="537"/>
      <c r="G48" s="537"/>
      <c r="H48" s="537"/>
      <c r="I48" s="58"/>
      <c r="J48" s="102" t="s">
        <v>893</v>
      </c>
      <c r="K48" s="102" t="s">
        <v>894</v>
      </c>
      <c r="L48" s="102" t="s">
        <v>895</v>
      </c>
      <c r="M48" s="102" t="s">
        <v>894</v>
      </c>
      <c r="N48" s="102" t="s">
        <v>895</v>
      </c>
      <c r="O48" s="102" t="s">
        <v>216</v>
      </c>
      <c r="P48" s="102"/>
      <c r="Q48" s="166"/>
      <c r="R48" s="166"/>
      <c r="S48" s="166"/>
      <c r="T48" s="250"/>
      <c r="U48" s="251"/>
      <c r="V48" s="251" t="s">
        <v>857</v>
      </c>
      <c r="W48" s="100">
        <f t="shared" si="8"/>
        <v>2</v>
      </c>
      <c r="X48" s="100">
        <f t="shared" si="9"/>
        <v>0</v>
      </c>
      <c r="Y48" s="19"/>
      <c r="Z48" s="19"/>
      <c r="AA48" s="19"/>
      <c r="AB48" s="19"/>
      <c r="AC48" s="19"/>
    </row>
    <row r="49" spans="3:29" outlineLevel="1" x14ac:dyDescent="0.2">
      <c r="C49" s="537" t="s">
        <v>921</v>
      </c>
      <c r="D49" s="166" t="s">
        <v>216</v>
      </c>
      <c r="E49" s="537" t="s">
        <v>878</v>
      </c>
      <c r="F49" s="537"/>
      <c r="G49" s="537"/>
      <c r="H49" s="537"/>
      <c r="I49" s="58"/>
      <c r="J49" s="102" t="s">
        <v>893</v>
      </c>
      <c r="K49" s="102" t="s">
        <v>894</v>
      </c>
      <c r="L49" s="102" t="s">
        <v>895</v>
      </c>
      <c r="M49" s="102" t="s">
        <v>894</v>
      </c>
      <c r="N49" s="102" t="s">
        <v>895</v>
      </c>
      <c r="O49" s="102" t="s">
        <v>216</v>
      </c>
      <c r="P49" s="102"/>
      <c r="Q49" s="166"/>
      <c r="R49" s="166"/>
      <c r="S49" s="166"/>
      <c r="T49" s="250"/>
      <c r="U49" s="251"/>
      <c r="V49" s="251" t="s">
        <v>857</v>
      </c>
      <c r="W49" s="100">
        <f t="shared" si="8"/>
        <v>2</v>
      </c>
      <c r="X49" s="100">
        <f t="shared" si="9"/>
        <v>0</v>
      </c>
      <c r="Y49" s="19"/>
      <c r="Z49" s="19"/>
      <c r="AA49" s="19"/>
      <c r="AB49" s="19"/>
      <c r="AC49" s="19"/>
    </row>
    <row r="50" spans="3:29" outlineLevel="1" x14ac:dyDescent="0.2">
      <c r="C50" s="537" t="s">
        <v>922</v>
      </c>
      <c r="D50" s="166" t="s">
        <v>216</v>
      </c>
      <c r="E50" s="537" t="s">
        <v>879</v>
      </c>
      <c r="F50" s="537"/>
      <c r="G50" s="537"/>
      <c r="H50" s="537"/>
      <c r="I50" s="58"/>
      <c r="J50" s="102" t="s">
        <v>893</v>
      </c>
      <c r="K50" s="102" t="s">
        <v>894</v>
      </c>
      <c r="L50" s="102" t="s">
        <v>894</v>
      </c>
      <c r="M50" s="102" t="s">
        <v>894</v>
      </c>
      <c r="N50" s="102" t="s">
        <v>894</v>
      </c>
      <c r="O50" s="102" t="s">
        <v>216</v>
      </c>
      <c r="P50" s="102"/>
      <c r="Q50" s="166"/>
      <c r="R50" s="166"/>
      <c r="S50" s="166"/>
      <c r="T50" s="250"/>
      <c r="U50" s="251"/>
      <c r="V50" s="251" t="s">
        <v>857</v>
      </c>
      <c r="W50" s="100">
        <f t="shared" si="8"/>
        <v>3</v>
      </c>
      <c r="X50" s="100">
        <f t="shared" si="9"/>
        <v>0</v>
      </c>
      <c r="Y50" s="19"/>
      <c r="Z50" s="19"/>
      <c r="AA50" s="19"/>
      <c r="AB50" s="19"/>
      <c r="AC50" s="19"/>
    </row>
    <row r="51" spans="3:29" outlineLevel="1" x14ac:dyDescent="0.2">
      <c r="C51" s="537" t="s">
        <v>923</v>
      </c>
      <c r="D51" s="166" t="s">
        <v>216</v>
      </c>
      <c r="E51" s="537" t="s">
        <v>876</v>
      </c>
      <c r="F51" s="537"/>
      <c r="G51" s="537"/>
      <c r="H51" s="537"/>
      <c r="I51" s="58"/>
      <c r="J51" s="102" t="s">
        <v>896</v>
      </c>
      <c r="K51" s="102" t="s">
        <v>894</v>
      </c>
      <c r="L51" s="102" t="s">
        <v>894</v>
      </c>
      <c r="M51" s="102" t="s">
        <v>894</v>
      </c>
      <c r="N51" s="102" t="s">
        <v>894</v>
      </c>
      <c r="O51" s="102" t="s">
        <v>216</v>
      </c>
      <c r="P51" s="102"/>
      <c r="Q51" s="166"/>
      <c r="R51" s="166"/>
      <c r="S51" s="166"/>
      <c r="T51" s="250"/>
      <c r="U51" s="251"/>
      <c r="V51" s="251" t="s">
        <v>857</v>
      </c>
      <c r="W51" s="100">
        <f t="shared" si="8"/>
        <v>4</v>
      </c>
      <c r="X51" s="100">
        <f t="shared" si="9"/>
        <v>0</v>
      </c>
      <c r="Y51" s="19"/>
      <c r="Z51" s="19"/>
      <c r="AA51" s="19"/>
      <c r="AB51" s="19"/>
      <c r="AC51" s="19"/>
    </row>
    <row r="52" spans="3:29" outlineLevel="1" x14ac:dyDescent="0.2">
      <c r="C52" s="537" t="s">
        <v>924</v>
      </c>
      <c r="D52" s="166" t="s">
        <v>897</v>
      </c>
      <c r="E52" s="537" t="s">
        <v>882</v>
      </c>
      <c r="F52" s="537"/>
      <c r="G52" s="537"/>
      <c r="H52" s="537"/>
      <c r="I52" s="58"/>
      <c r="J52" s="102" t="s">
        <v>893</v>
      </c>
      <c r="K52" s="102" t="s">
        <v>894</v>
      </c>
      <c r="L52" s="102" t="s">
        <v>895</v>
      </c>
      <c r="M52" s="102" t="s">
        <v>895</v>
      </c>
      <c r="N52" s="102" t="s">
        <v>894</v>
      </c>
      <c r="O52" s="102" t="s">
        <v>217</v>
      </c>
      <c r="P52" s="102"/>
      <c r="Q52" s="166"/>
      <c r="R52" s="166"/>
      <c r="S52" s="166"/>
      <c r="T52" s="250"/>
      <c r="U52" s="251"/>
      <c r="V52" s="251" t="s">
        <v>857</v>
      </c>
      <c r="W52" s="100">
        <f t="shared" si="8"/>
        <v>4</v>
      </c>
      <c r="X52" s="100">
        <f t="shared" si="9"/>
        <v>1</v>
      </c>
      <c r="Y52" s="19"/>
      <c r="Z52" s="19"/>
      <c r="AA52" s="19"/>
      <c r="AB52" s="19"/>
      <c r="AC52" s="19"/>
    </row>
    <row r="53" spans="3:29" outlineLevel="1" x14ac:dyDescent="0.2">
      <c r="C53" s="537" t="s">
        <v>925</v>
      </c>
      <c r="D53" s="166" t="s">
        <v>897</v>
      </c>
      <c r="E53" s="537" t="s">
        <v>880</v>
      </c>
      <c r="F53" s="537"/>
      <c r="G53" s="537"/>
      <c r="H53" s="537"/>
      <c r="I53" s="58"/>
      <c r="J53" s="102" t="s">
        <v>893</v>
      </c>
      <c r="K53" s="102" t="s">
        <v>894</v>
      </c>
      <c r="L53" s="102" t="s">
        <v>894</v>
      </c>
      <c r="M53" s="102" t="s">
        <v>894</v>
      </c>
      <c r="N53" s="102" t="s">
        <v>894</v>
      </c>
      <c r="O53" s="102" t="s">
        <v>217</v>
      </c>
      <c r="P53" s="102"/>
      <c r="Q53" s="166"/>
      <c r="R53" s="166"/>
      <c r="S53" s="166"/>
      <c r="T53" s="250"/>
      <c r="U53" s="251"/>
      <c r="V53" s="251" t="s">
        <v>854</v>
      </c>
      <c r="W53" s="100">
        <f t="shared" si="8"/>
        <v>4</v>
      </c>
      <c r="X53" s="100">
        <f t="shared" si="9"/>
        <v>2</v>
      </c>
      <c r="Y53" s="19"/>
      <c r="Z53" s="19"/>
      <c r="AA53" s="19"/>
      <c r="AB53" s="19"/>
      <c r="AC53" s="19"/>
    </row>
    <row r="54" spans="3:29" outlineLevel="1" x14ac:dyDescent="0.2">
      <c r="C54" s="537" t="s">
        <v>926</v>
      </c>
      <c r="D54" s="166" t="s">
        <v>897</v>
      </c>
      <c r="E54" s="537" t="s">
        <v>881</v>
      </c>
      <c r="F54" s="537"/>
      <c r="G54" s="537"/>
      <c r="H54" s="537"/>
      <c r="I54" s="58"/>
      <c r="J54" s="102" t="s">
        <v>893</v>
      </c>
      <c r="K54" s="102" t="s">
        <v>894</v>
      </c>
      <c r="L54" s="102" t="s">
        <v>895</v>
      </c>
      <c r="M54" s="102" t="s">
        <v>894</v>
      </c>
      <c r="N54" s="102" t="s">
        <v>895</v>
      </c>
      <c r="O54" s="102" t="s">
        <v>217</v>
      </c>
      <c r="P54" s="102"/>
      <c r="Q54" s="166"/>
      <c r="R54" s="166"/>
      <c r="S54" s="166"/>
      <c r="T54" s="250"/>
      <c r="U54" s="251"/>
      <c r="V54" s="251" t="s">
        <v>854</v>
      </c>
      <c r="W54" s="100">
        <f t="shared" si="8"/>
        <v>4</v>
      </c>
      <c r="X54" s="100">
        <f t="shared" si="9"/>
        <v>2</v>
      </c>
      <c r="Y54" s="19"/>
      <c r="Z54" s="19"/>
      <c r="AA54" s="19"/>
      <c r="AB54" s="19"/>
      <c r="AC54" s="19"/>
    </row>
    <row r="55" spans="3:29" outlineLevel="1" x14ac:dyDescent="0.2">
      <c r="C55" s="537" t="s">
        <v>927</v>
      </c>
      <c r="D55" s="166" t="s">
        <v>897</v>
      </c>
      <c r="E55" s="537" t="s">
        <v>883</v>
      </c>
      <c r="F55" s="537"/>
      <c r="G55" s="537"/>
      <c r="H55" s="537"/>
      <c r="I55" s="58"/>
      <c r="J55" s="102" t="s">
        <v>893</v>
      </c>
      <c r="K55" s="102" t="s">
        <v>894</v>
      </c>
      <c r="L55" s="102" t="s">
        <v>895</v>
      </c>
      <c r="M55" s="102" t="s">
        <v>894</v>
      </c>
      <c r="N55" s="102" t="s">
        <v>895</v>
      </c>
      <c r="O55" s="102" t="s">
        <v>217</v>
      </c>
      <c r="P55" s="102"/>
      <c r="Q55" s="166"/>
      <c r="R55" s="166"/>
      <c r="S55" s="166"/>
      <c r="T55" s="250"/>
      <c r="U55" s="251"/>
      <c r="V55" s="251" t="s">
        <v>854</v>
      </c>
      <c r="W55" s="100">
        <f t="shared" si="8"/>
        <v>4</v>
      </c>
      <c r="X55" s="100">
        <f t="shared" si="9"/>
        <v>2</v>
      </c>
      <c r="Y55" s="19"/>
      <c r="Z55" s="19"/>
      <c r="AA55" s="19"/>
      <c r="AB55" s="19"/>
      <c r="AC55" s="19"/>
    </row>
    <row r="56" spans="3:29" outlineLevel="1" x14ac:dyDescent="0.2">
      <c r="C56" s="537" t="s">
        <v>928</v>
      </c>
      <c r="D56" s="166" t="s">
        <v>898</v>
      </c>
      <c r="E56" s="537" t="s">
        <v>884</v>
      </c>
      <c r="F56" s="537"/>
      <c r="G56" s="537"/>
      <c r="H56" s="537"/>
      <c r="I56" s="58"/>
      <c r="J56" s="102" t="s">
        <v>893</v>
      </c>
      <c r="K56" s="102" t="s">
        <v>894</v>
      </c>
      <c r="L56" s="102" t="s">
        <v>895</v>
      </c>
      <c r="M56" s="102" t="s">
        <v>894</v>
      </c>
      <c r="N56" s="102" t="s">
        <v>895</v>
      </c>
      <c r="O56" s="102"/>
      <c r="P56" s="102"/>
      <c r="Q56" s="166"/>
      <c r="R56" s="166"/>
      <c r="S56" s="166"/>
      <c r="T56" s="250"/>
      <c r="U56" s="251"/>
      <c r="V56" s="251"/>
      <c r="W56" s="100">
        <f t="shared" si="8"/>
        <v>4</v>
      </c>
      <c r="X56" s="100">
        <f t="shared" si="9"/>
        <v>2</v>
      </c>
      <c r="Y56" s="19"/>
      <c r="Z56" s="19"/>
      <c r="AA56" s="19"/>
      <c r="AB56" s="19"/>
      <c r="AC56" s="19"/>
    </row>
    <row r="57" spans="3:29" outlineLevel="1" x14ac:dyDescent="0.2">
      <c r="C57" s="537" t="s">
        <v>929</v>
      </c>
      <c r="D57" s="166" t="s">
        <v>898</v>
      </c>
      <c r="E57" s="537" t="s">
        <v>885</v>
      </c>
      <c r="F57" s="537"/>
      <c r="G57" s="537"/>
      <c r="H57" s="537"/>
      <c r="I57" s="58"/>
      <c r="J57" s="102" t="s">
        <v>893</v>
      </c>
      <c r="K57" s="102" t="s">
        <v>894</v>
      </c>
      <c r="L57" s="102" t="s">
        <v>895</v>
      </c>
      <c r="M57" s="102" t="s">
        <v>894</v>
      </c>
      <c r="N57" s="102" t="s">
        <v>895</v>
      </c>
      <c r="O57" s="102"/>
      <c r="P57" s="102"/>
      <c r="Q57" s="166"/>
      <c r="R57" s="166"/>
      <c r="S57" s="166"/>
      <c r="T57" s="250"/>
      <c r="U57" s="251"/>
      <c r="V57" s="251"/>
      <c r="W57" s="100">
        <f t="shared" si="8"/>
        <v>4</v>
      </c>
      <c r="X57" s="100">
        <f t="shared" si="9"/>
        <v>2</v>
      </c>
      <c r="Y57" s="19"/>
      <c r="Z57" s="19"/>
      <c r="AA57" s="19"/>
      <c r="AB57" s="19"/>
      <c r="AC57" s="19"/>
    </row>
    <row r="58" spans="3:29" outlineLevel="1" x14ac:dyDescent="0.2">
      <c r="C58" s="537" t="s">
        <v>930</v>
      </c>
      <c r="D58" s="166" t="s">
        <v>861</v>
      </c>
      <c r="E58" s="537" t="s">
        <v>887</v>
      </c>
      <c r="F58" s="537"/>
      <c r="G58" s="537"/>
      <c r="H58" s="537"/>
      <c r="I58" s="58"/>
      <c r="J58" s="102" t="s">
        <v>893</v>
      </c>
      <c r="K58" s="102" t="s">
        <v>894</v>
      </c>
      <c r="L58" s="102" t="s">
        <v>895</v>
      </c>
      <c r="M58" s="102" t="s">
        <v>895</v>
      </c>
      <c r="N58" s="102" t="s">
        <v>894</v>
      </c>
      <c r="O58" s="102"/>
      <c r="P58" s="102"/>
      <c r="Q58" s="166"/>
      <c r="R58" s="166"/>
      <c r="S58" s="166"/>
      <c r="T58" s="250"/>
      <c r="U58" s="251"/>
      <c r="V58" s="251"/>
      <c r="W58" s="100">
        <f t="shared" si="8"/>
        <v>4</v>
      </c>
      <c r="X58" s="100">
        <f t="shared" si="9"/>
        <v>2</v>
      </c>
      <c r="Y58" s="19"/>
      <c r="Z58" s="19"/>
      <c r="AA58" s="19"/>
      <c r="AB58" s="19"/>
      <c r="AC58" s="19"/>
    </row>
    <row r="59" spans="3:29" outlineLevel="1" x14ac:dyDescent="0.2">
      <c r="C59" s="537" t="s">
        <v>931</v>
      </c>
      <c r="D59" s="166" t="s">
        <v>899</v>
      </c>
      <c r="E59" s="537" t="s">
        <v>886</v>
      </c>
      <c r="F59" s="537"/>
      <c r="G59" s="537"/>
      <c r="H59" s="537"/>
      <c r="I59" s="58"/>
      <c r="J59" s="102" t="s">
        <v>893</v>
      </c>
      <c r="K59" s="102" t="s">
        <v>894</v>
      </c>
      <c r="L59" s="102" t="s">
        <v>895</v>
      </c>
      <c r="M59" s="102" t="s">
        <v>895</v>
      </c>
      <c r="N59" s="102" t="s">
        <v>895</v>
      </c>
      <c r="O59" s="102"/>
      <c r="P59" s="102"/>
      <c r="Q59" s="166"/>
      <c r="R59" s="166"/>
      <c r="S59" s="166"/>
      <c r="T59" s="250"/>
      <c r="U59" s="251"/>
      <c r="V59" s="251"/>
      <c r="W59" s="100">
        <f t="shared" si="8"/>
        <v>4</v>
      </c>
      <c r="X59" s="100">
        <f t="shared" si="9"/>
        <v>2</v>
      </c>
      <c r="Y59" s="19"/>
      <c r="Z59" s="19"/>
      <c r="AA59" s="19"/>
      <c r="AB59" s="19"/>
      <c r="AC59" s="19"/>
    </row>
    <row r="60" spans="3:29" outlineLevel="1" x14ac:dyDescent="0.2">
      <c r="C60" s="537" t="s">
        <v>932</v>
      </c>
      <c r="D60" s="166" t="s">
        <v>899</v>
      </c>
      <c r="E60" s="537" t="s">
        <v>944</v>
      </c>
      <c r="F60" s="537"/>
      <c r="G60" s="537"/>
      <c r="H60" s="537"/>
      <c r="I60" s="58"/>
      <c r="J60" s="102" t="s">
        <v>893</v>
      </c>
      <c r="K60" s="102" t="s">
        <v>894</v>
      </c>
      <c r="L60" s="102" t="s">
        <v>895</v>
      </c>
      <c r="M60" s="102" t="s">
        <v>895</v>
      </c>
      <c r="N60" s="102"/>
      <c r="O60" s="102"/>
      <c r="P60" s="102"/>
      <c r="Q60" s="166"/>
      <c r="R60" s="166"/>
      <c r="S60" s="166"/>
      <c r="T60" s="250"/>
      <c r="U60" s="251"/>
      <c r="V60" s="251"/>
      <c r="W60" s="100">
        <f t="shared" si="8"/>
        <v>4</v>
      </c>
      <c r="X60" s="100">
        <f t="shared" si="9"/>
        <v>2</v>
      </c>
      <c r="Y60" s="19"/>
      <c r="Z60" s="19"/>
      <c r="AA60" s="19"/>
      <c r="AB60" s="19"/>
      <c r="AC60" s="19"/>
    </row>
    <row r="61" spans="3:29" outlineLevel="1" x14ac:dyDescent="0.2">
      <c r="C61" s="537" t="s">
        <v>933</v>
      </c>
      <c r="D61" s="166" t="s">
        <v>862</v>
      </c>
      <c r="E61" s="537" t="s">
        <v>890</v>
      </c>
      <c r="F61" s="537"/>
      <c r="G61" s="537"/>
      <c r="H61" s="537"/>
      <c r="I61" s="58"/>
      <c r="J61" s="102" t="s">
        <v>893</v>
      </c>
      <c r="K61" s="102" t="s">
        <v>894</v>
      </c>
      <c r="L61" s="102" t="s">
        <v>894</v>
      </c>
      <c r="M61" s="102" t="s">
        <v>894</v>
      </c>
      <c r="N61" s="102" t="s">
        <v>894</v>
      </c>
      <c r="O61" s="102"/>
      <c r="P61" s="102"/>
      <c r="Q61" s="166"/>
      <c r="R61" s="166"/>
      <c r="S61" s="166"/>
      <c r="T61" s="250"/>
      <c r="U61" s="251"/>
      <c r="V61" s="251"/>
      <c r="W61" s="100">
        <f t="shared" si="8"/>
        <v>4</v>
      </c>
      <c r="X61" s="100">
        <f t="shared" si="9"/>
        <v>2</v>
      </c>
      <c r="Y61" s="19"/>
      <c r="Z61" s="19"/>
      <c r="AA61" s="19"/>
      <c r="AB61" s="19"/>
      <c r="AC61" s="19"/>
    </row>
    <row r="62" spans="3:29" outlineLevel="1" x14ac:dyDescent="0.2">
      <c r="C62" s="537" t="s">
        <v>934</v>
      </c>
      <c r="D62" s="166" t="s">
        <v>863</v>
      </c>
      <c r="E62" s="537" t="s">
        <v>889</v>
      </c>
      <c r="F62" s="537"/>
      <c r="G62" s="537"/>
      <c r="H62" s="537"/>
      <c r="I62" s="58"/>
      <c r="J62" s="102" t="s">
        <v>893</v>
      </c>
      <c r="K62" s="102" t="s">
        <v>895</v>
      </c>
      <c r="L62" s="102" t="s">
        <v>895</v>
      </c>
      <c r="M62" s="102" t="s">
        <v>894</v>
      </c>
      <c r="N62" s="102" t="s">
        <v>894</v>
      </c>
      <c r="O62" s="102"/>
      <c r="P62" s="102"/>
      <c r="Q62" s="166"/>
      <c r="R62" s="166"/>
      <c r="S62" s="166"/>
      <c r="T62" s="250"/>
      <c r="U62" s="251"/>
      <c r="V62" s="251"/>
      <c r="W62" s="100"/>
      <c r="X62" s="100"/>
      <c r="Y62" s="19"/>
      <c r="Z62" s="19"/>
      <c r="AA62" s="19"/>
      <c r="AB62" s="19"/>
      <c r="AC62" s="19"/>
    </row>
    <row r="63" spans="3:29" outlineLevel="1" x14ac:dyDescent="0.2">
      <c r="C63" s="537" t="s">
        <v>935</v>
      </c>
      <c r="D63" s="166" t="s">
        <v>863</v>
      </c>
      <c r="E63" s="537" t="s">
        <v>888</v>
      </c>
      <c r="F63" s="537"/>
      <c r="G63" s="537"/>
      <c r="H63" s="537"/>
      <c r="I63" s="58"/>
      <c r="J63" s="102" t="s">
        <v>893</v>
      </c>
      <c r="K63" s="102" t="s">
        <v>895</v>
      </c>
      <c r="L63" s="102" t="s">
        <v>895</v>
      </c>
      <c r="M63" s="102" t="s">
        <v>894</v>
      </c>
      <c r="N63" s="102" t="s">
        <v>894</v>
      </c>
      <c r="O63" s="102"/>
      <c r="P63" s="102"/>
      <c r="Q63" s="166"/>
      <c r="R63" s="166"/>
      <c r="S63" s="166"/>
      <c r="T63" s="250"/>
      <c r="U63" s="251"/>
      <c r="V63" s="251"/>
      <c r="W63" s="100"/>
      <c r="X63" s="100"/>
      <c r="Y63" s="19"/>
      <c r="Z63" s="19"/>
      <c r="AA63" s="19"/>
      <c r="AB63" s="19"/>
      <c r="AC63" s="19"/>
    </row>
    <row r="64" spans="3:29" outlineLevel="1" x14ac:dyDescent="0.2">
      <c r="C64" s="537" t="s">
        <v>936</v>
      </c>
      <c r="D64" s="166" t="s">
        <v>900</v>
      </c>
      <c r="E64" s="537" t="s">
        <v>891</v>
      </c>
      <c r="F64" s="537"/>
      <c r="G64" s="537"/>
      <c r="H64" s="537"/>
      <c r="I64" s="58"/>
      <c r="J64" s="102" t="s">
        <v>893</v>
      </c>
      <c r="K64" s="102" t="s">
        <v>894</v>
      </c>
      <c r="L64" s="102" t="s">
        <v>894</v>
      </c>
      <c r="M64" s="102" t="s">
        <v>894</v>
      </c>
      <c r="N64" s="102" t="s">
        <v>894</v>
      </c>
      <c r="O64" s="102"/>
      <c r="P64" s="102"/>
      <c r="Q64" s="166"/>
      <c r="R64" s="166"/>
      <c r="S64" s="166"/>
      <c r="T64" s="250"/>
      <c r="U64" s="251"/>
      <c r="V64" s="251"/>
      <c r="W64" s="100"/>
      <c r="X64" s="100"/>
      <c r="Y64" s="19"/>
      <c r="Z64" s="19"/>
      <c r="AA64" s="19"/>
      <c r="AB64" s="19"/>
      <c r="AC64" s="19"/>
    </row>
    <row r="65" spans="3:29" outlineLevel="1" x14ac:dyDescent="0.2">
      <c r="C65" s="537" t="s">
        <v>901</v>
      </c>
      <c r="D65" s="166" t="s">
        <v>901</v>
      </c>
      <c r="E65" s="537" t="s">
        <v>892</v>
      </c>
      <c r="F65" s="537"/>
      <c r="G65" s="537"/>
      <c r="H65" s="537"/>
      <c r="I65" s="58"/>
      <c r="J65" s="102" t="s">
        <v>893</v>
      </c>
      <c r="K65" s="102" t="s">
        <v>894</v>
      </c>
      <c r="L65" s="102" t="s">
        <v>895</v>
      </c>
      <c r="M65" s="102" t="s">
        <v>894</v>
      </c>
      <c r="N65" s="102" t="s">
        <v>895</v>
      </c>
      <c r="O65" s="102"/>
      <c r="P65" s="102"/>
      <c r="Q65" s="166"/>
      <c r="R65" s="166"/>
      <c r="S65" s="166"/>
      <c r="T65" s="250"/>
      <c r="U65" s="251"/>
      <c r="V65" s="251"/>
      <c r="W65" s="100"/>
      <c r="X65" s="100"/>
      <c r="Y65" s="19"/>
      <c r="Z65" s="19"/>
      <c r="AA65" s="19"/>
      <c r="AB65" s="19"/>
      <c r="AC65" s="19"/>
    </row>
    <row r="66" spans="3:29" outlineLevel="1" x14ac:dyDescent="0.2">
      <c r="C66" s="537"/>
      <c r="D66" s="166"/>
      <c r="E66" s="537"/>
      <c r="F66" s="537"/>
      <c r="G66" s="537"/>
      <c r="H66" s="537"/>
      <c r="I66" s="58"/>
      <c r="J66" s="102"/>
      <c r="K66" s="102"/>
      <c r="L66" s="102"/>
      <c r="M66" s="102"/>
      <c r="N66" s="102"/>
      <c r="O66" s="102"/>
      <c r="P66" s="102"/>
      <c r="Q66" s="166"/>
      <c r="R66" s="166"/>
      <c r="S66" s="166"/>
      <c r="T66" s="250"/>
      <c r="U66" s="251"/>
      <c r="V66" s="251"/>
      <c r="W66" s="100"/>
      <c r="X66" s="100"/>
      <c r="Y66" s="19"/>
      <c r="Z66" s="19"/>
      <c r="AA66" s="19"/>
      <c r="AB66" s="19"/>
      <c r="AC66" s="19"/>
    </row>
    <row r="67" spans="3:29" hidden="1" outlineLevel="2" x14ac:dyDescent="0.2">
      <c r="C67" s="537"/>
      <c r="D67" s="166"/>
      <c r="E67" s="537"/>
      <c r="F67" s="537"/>
      <c r="G67" s="537"/>
      <c r="H67" s="537"/>
      <c r="I67" s="58"/>
      <c r="J67" s="102"/>
      <c r="K67" s="102"/>
      <c r="L67" s="102"/>
      <c r="M67" s="102"/>
      <c r="N67" s="102"/>
      <c r="O67" s="102"/>
      <c r="P67" s="102"/>
      <c r="Q67" s="166"/>
      <c r="R67" s="166"/>
      <c r="S67" s="166"/>
      <c r="T67" s="250"/>
      <c r="U67" s="251"/>
      <c r="V67" s="251"/>
      <c r="W67" s="100"/>
      <c r="X67" s="100"/>
      <c r="Y67" s="19"/>
      <c r="Z67" s="19"/>
      <c r="AA67" s="19"/>
      <c r="AB67" s="19"/>
      <c r="AC67" s="19"/>
    </row>
    <row r="68" spans="3:29" hidden="1" outlineLevel="2" x14ac:dyDescent="0.2">
      <c r="C68" s="537"/>
      <c r="D68" s="166"/>
      <c r="E68" s="537"/>
      <c r="F68" s="537"/>
      <c r="G68" s="537"/>
      <c r="H68" s="537"/>
      <c r="I68" s="58"/>
      <c r="J68" s="102"/>
      <c r="K68" s="102"/>
      <c r="L68" s="102"/>
      <c r="M68" s="102"/>
      <c r="N68" s="102"/>
      <c r="O68" s="102"/>
      <c r="P68" s="102"/>
      <c r="Q68" s="166"/>
      <c r="R68" s="166"/>
      <c r="S68" s="166"/>
      <c r="T68" s="250"/>
      <c r="U68" s="251"/>
      <c r="V68" s="251"/>
      <c r="W68" s="100"/>
      <c r="X68" s="100"/>
      <c r="Y68" s="19"/>
      <c r="Z68" s="19"/>
      <c r="AA68" s="19"/>
      <c r="AB68" s="19"/>
      <c r="AC68" s="19"/>
    </row>
    <row r="69" spans="3:29" hidden="1" outlineLevel="2" x14ac:dyDescent="0.2">
      <c r="C69" s="537"/>
      <c r="D69" s="166"/>
      <c r="E69" s="537"/>
      <c r="F69" s="537"/>
      <c r="G69" s="537"/>
      <c r="H69" s="537"/>
      <c r="I69" s="58"/>
      <c r="J69" s="102"/>
      <c r="K69" s="102"/>
      <c r="L69" s="102"/>
      <c r="M69" s="102"/>
      <c r="N69" s="102"/>
      <c r="O69" s="102"/>
      <c r="P69" s="102"/>
      <c r="Q69" s="166"/>
      <c r="R69" s="166"/>
      <c r="S69" s="166"/>
      <c r="T69" s="250"/>
      <c r="U69" s="251"/>
      <c r="V69" s="251"/>
      <c r="W69" s="100"/>
      <c r="X69" s="100"/>
      <c r="Y69" s="19"/>
      <c r="Z69" s="19"/>
      <c r="AA69" s="19"/>
      <c r="AB69" s="19"/>
      <c r="AC69" s="19"/>
    </row>
    <row r="70" spans="3:29" hidden="1" outlineLevel="2" x14ac:dyDescent="0.2">
      <c r="C70" s="537"/>
      <c r="D70" s="166"/>
      <c r="E70" s="537"/>
      <c r="F70" s="537"/>
      <c r="G70" s="537"/>
      <c r="H70" s="537"/>
      <c r="I70" s="58"/>
      <c r="J70" s="102"/>
      <c r="K70" s="102"/>
      <c r="L70" s="102"/>
      <c r="M70" s="102"/>
      <c r="N70" s="102"/>
      <c r="O70" s="102"/>
      <c r="P70" s="102"/>
      <c r="Q70" s="166"/>
      <c r="R70" s="166"/>
      <c r="S70" s="166"/>
      <c r="T70" s="250"/>
      <c r="U70" s="251"/>
      <c r="V70" s="251"/>
      <c r="W70" s="100"/>
      <c r="X70" s="100"/>
      <c r="Y70" s="19"/>
      <c r="Z70" s="19"/>
      <c r="AA70" s="19"/>
      <c r="AB70" s="19"/>
      <c r="AC70" s="19"/>
    </row>
    <row r="71" spans="3:29" hidden="1" outlineLevel="2" x14ac:dyDescent="0.2">
      <c r="C71" s="537"/>
      <c r="D71" s="166"/>
      <c r="E71" s="537"/>
      <c r="F71" s="537"/>
      <c r="G71" s="537"/>
      <c r="H71" s="537"/>
      <c r="I71" s="58"/>
      <c r="J71" s="102"/>
      <c r="K71" s="102"/>
      <c r="L71" s="102"/>
      <c r="M71" s="102"/>
      <c r="N71" s="102"/>
      <c r="O71" s="102"/>
      <c r="P71" s="102"/>
      <c r="Q71" s="166"/>
      <c r="R71" s="166"/>
      <c r="S71" s="166"/>
      <c r="T71" s="250"/>
      <c r="U71" s="251"/>
      <c r="V71" s="251"/>
      <c r="W71" s="100"/>
      <c r="X71" s="100"/>
      <c r="Y71" s="19"/>
      <c r="Z71" s="19"/>
      <c r="AA71" s="19"/>
      <c r="AB71" s="19"/>
      <c r="AC71" s="19"/>
    </row>
    <row r="72" spans="3:29" hidden="1" outlineLevel="2" x14ac:dyDescent="0.2">
      <c r="C72" s="537"/>
      <c r="D72" s="166"/>
      <c r="E72" s="537"/>
      <c r="F72" s="537"/>
      <c r="G72" s="537"/>
      <c r="H72" s="537"/>
      <c r="I72" s="58"/>
      <c r="J72" s="102"/>
      <c r="K72" s="102"/>
      <c r="L72" s="102"/>
      <c r="M72" s="102"/>
      <c r="N72" s="102"/>
      <c r="O72" s="102"/>
      <c r="P72" s="102"/>
      <c r="Q72" s="166"/>
      <c r="R72" s="166"/>
      <c r="S72" s="166"/>
      <c r="T72" s="250"/>
      <c r="U72" s="251"/>
      <c r="V72" s="251"/>
      <c r="W72" s="100"/>
      <c r="X72" s="100"/>
      <c r="Y72" s="19"/>
      <c r="Z72" s="19"/>
      <c r="AA72" s="19"/>
      <c r="AB72" s="19"/>
      <c r="AC72" s="19"/>
    </row>
    <row r="73" spans="3:29" hidden="1" outlineLevel="2" x14ac:dyDescent="0.2">
      <c r="C73" s="537"/>
      <c r="D73" s="166"/>
      <c r="E73" s="537"/>
      <c r="F73" s="537"/>
      <c r="G73" s="537"/>
      <c r="H73" s="537"/>
      <c r="I73" s="58"/>
      <c r="J73" s="102"/>
      <c r="K73" s="102"/>
      <c r="L73" s="102"/>
      <c r="M73" s="102"/>
      <c r="N73" s="102"/>
      <c r="O73" s="102"/>
      <c r="P73" s="102"/>
      <c r="Q73" s="166"/>
      <c r="R73" s="166"/>
      <c r="S73" s="166"/>
      <c r="T73" s="250"/>
      <c r="U73" s="251"/>
      <c r="V73" s="251"/>
      <c r="W73" s="100"/>
      <c r="X73" s="100"/>
      <c r="Y73" s="19"/>
      <c r="Z73" s="19"/>
      <c r="AA73" s="19"/>
      <c r="AB73" s="19"/>
      <c r="AC73" s="19"/>
    </row>
    <row r="74" spans="3:29" hidden="1" outlineLevel="2" x14ac:dyDescent="0.2">
      <c r="C74" s="537"/>
      <c r="D74" s="166"/>
      <c r="E74" s="537"/>
      <c r="F74" s="537"/>
      <c r="G74" s="537"/>
      <c r="H74" s="537"/>
      <c r="I74" s="58"/>
      <c r="J74" s="102"/>
      <c r="K74" s="102"/>
      <c r="L74" s="102"/>
      <c r="M74" s="102"/>
      <c r="N74" s="102"/>
      <c r="O74" s="102"/>
      <c r="P74" s="102"/>
      <c r="Q74" s="166"/>
      <c r="R74" s="166"/>
      <c r="S74" s="166"/>
      <c r="T74" s="250"/>
      <c r="U74" s="251"/>
      <c r="V74" s="251"/>
      <c r="W74" s="100"/>
      <c r="X74" s="100"/>
      <c r="Y74" s="19"/>
      <c r="Z74" s="19"/>
      <c r="AA74" s="19"/>
      <c r="AB74" s="19"/>
      <c r="AC74" s="19"/>
    </row>
    <row r="75" spans="3:29" hidden="1" outlineLevel="2" x14ac:dyDescent="0.2">
      <c r="C75" s="537"/>
      <c r="D75" s="166"/>
      <c r="E75" s="537"/>
      <c r="F75" s="537"/>
      <c r="G75" s="537"/>
      <c r="H75" s="537"/>
      <c r="I75" s="58"/>
      <c r="J75" s="102"/>
      <c r="K75" s="102"/>
      <c r="L75" s="102"/>
      <c r="M75" s="102"/>
      <c r="N75" s="102"/>
      <c r="O75" s="102"/>
      <c r="P75" s="102"/>
      <c r="Q75" s="166"/>
      <c r="R75" s="166"/>
      <c r="S75" s="166"/>
      <c r="T75" s="250"/>
      <c r="U75" s="251"/>
      <c r="V75" s="251"/>
      <c r="W75" s="100"/>
      <c r="X75" s="100"/>
      <c r="Y75" s="19"/>
      <c r="Z75" s="19"/>
      <c r="AA75" s="19"/>
      <c r="AB75" s="19"/>
      <c r="AC75" s="19"/>
    </row>
    <row r="76" spans="3:29" hidden="1" outlineLevel="2" x14ac:dyDescent="0.2">
      <c r="C76" s="537"/>
      <c r="D76" s="166"/>
      <c r="E76" s="537"/>
      <c r="F76" s="537"/>
      <c r="G76" s="537"/>
      <c r="H76" s="537"/>
      <c r="I76" s="58"/>
      <c r="J76" s="102"/>
      <c r="K76" s="102"/>
      <c r="L76" s="102"/>
      <c r="M76" s="102"/>
      <c r="N76" s="102"/>
      <c r="O76" s="102"/>
      <c r="P76" s="102"/>
      <c r="Q76" s="166"/>
      <c r="R76" s="166"/>
      <c r="S76" s="166"/>
      <c r="T76" s="250"/>
      <c r="U76" s="251"/>
      <c r="V76" s="251"/>
      <c r="W76" s="100"/>
      <c r="X76" s="100"/>
      <c r="Y76" s="19"/>
      <c r="Z76" s="19"/>
      <c r="AA76" s="19"/>
      <c r="AB76" s="19"/>
      <c r="AC76" s="19"/>
    </row>
    <row r="77" spans="3:29" hidden="1" outlineLevel="2" x14ac:dyDescent="0.2">
      <c r="C77" s="537"/>
      <c r="D77" s="166"/>
      <c r="E77" s="537"/>
      <c r="F77" s="537"/>
      <c r="G77" s="537"/>
      <c r="H77" s="537"/>
      <c r="I77" s="58"/>
      <c r="J77" s="102"/>
      <c r="K77" s="102"/>
      <c r="L77" s="102"/>
      <c r="M77" s="102"/>
      <c r="N77" s="102"/>
      <c r="O77" s="102"/>
      <c r="P77" s="102"/>
      <c r="Q77" s="166"/>
      <c r="R77" s="166"/>
      <c r="S77" s="166"/>
      <c r="T77" s="250"/>
      <c r="U77" s="251"/>
      <c r="V77" s="251"/>
      <c r="W77" s="100"/>
      <c r="X77" s="100"/>
      <c r="Y77" s="19"/>
      <c r="Z77" s="19"/>
      <c r="AA77" s="19"/>
      <c r="AB77" s="19"/>
      <c r="AC77" s="19"/>
    </row>
    <row r="78" spans="3:29" hidden="1" outlineLevel="2" x14ac:dyDescent="0.2">
      <c r="C78" s="537"/>
      <c r="D78" s="166"/>
      <c r="E78" s="537"/>
      <c r="F78" s="537"/>
      <c r="G78" s="537"/>
      <c r="H78" s="537"/>
      <c r="I78" s="58"/>
      <c r="J78" s="102"/>
      <c r="K78" s="102"/>
      <c r="L78" s="102"/>
      <c r="M78" s="102"/>
      <c r="N78" s="102"/>
      <c r="O78" s="102"/>
      <c r="P78" s="102"/>
      <c r="Q78" s="166"/>
      <c r="R78" s="166"/>
      <c r="S78" s="166"/>
      <c r="T78" s="250"/>
      <c r="U78" s="251"/>
      <c r="V78" s="251"/>
      <c r="W78" s="100"/>
      <c r="X78" s="100"/>
      <c r="Y78" s="19"/>
      <c r="Z78" s="19"/>
      <c r="AA78" s="19"/>
      <c r="AB78" s="19"/>
      <c r="AC78" s="19"/>
    </row>
    <row r="79" spans="3:29" hidden="1" outlineLevel="2" x14ac:dyDescent="0.2">
      <c r="C79" s="537"/>
      <c r="D79" s="166"/>
      <c r="E79" s="537"/>
      <c r="F79" s="537"/>
      <c r="G79" s="537"/>
      <c r="H79" s="537"/>
      <c r="I79" s="58"/>
      <c r="J79" s="102"/>
      <c r="K79" s="102"/>
      <c r="L79" s="102"/>
      <c r="M79" s="102"/>
      <c r="N79" s="102"/>
      <c r="O79" s="102"/>
      <c r="P79" s="102"/>
      <c r="Q79" s="166"/>
      <c r="R79" s="166"/>
      <c r="S79" s="166"/>
      <c r="T79" s="250"/>
      <c r="U79" s="251"/>
      <c r="V79" s="251"/>
      <c r="W79" s="100"/>
      <c r="X79" s="100"/>
      <c r="Y79" s="19"/>
      <c r="Z79" s="19"/>
      <c r="AA79" s="19"/>
      <c r="AB79" s="19"/>
      <c r="AC79" s="19"/>
    </row>
    <row r="80" spans="3:29" hidden="1" outlineLevel="2" x14ac:dyDescent="0.2">
      <c r="C80" s="537"/>
      <c r="D80" s="166"/>
      <c r="E80" s="537"/>
      <c r="F80" s="537"/>
      <c r="G80" s="537"/>
      <c r="H80" s="537"/>
      <c r="I80" s="58"/>
      <c r="J80" s="102"/>
      <c r="K80" s="102"/>
      <c r="L80" s="102"/>
      <c r="M80" s="102"/>
      <c r="N80" s="102"/>
      <c r="O80" s="102"/>
      <c r="P80" s="102"/>
      <c r="Q80" s="166"/>
      <c r="R80" s="166"/>
      <c r="S80" s="166"/>
      <c r="T80" s="250"/>
      <c r="U80" s="251"/>
      <c r="V80" s="251"/>
      <c r="W80" s="100"/>
      <c r="X80" s="100"/>
      <c r="Y80" s="19"/>
      <c r="Z80" s="19"/>
      <c r="AA80" s="19"/>
      <c r="AB80" s="19"/>
      <c r="AC80" s="19"/>
    </row>
    <row r="81" spans="3:29" hidden="1" outlineLevel="2" x14ac:dyDescent="0.2">
      <c r="C81" s="537"/>
      <c r="D81" s="166"/>
      <c r="E81" s="537"/>
      <c r="F81" s="537"/>
      <c r="G81" s="537"/>
      <c r="H81" s="537"/>
      <c r="I81" s="58"/>
      <c r="J81" s="102"/>
      <c r="K81" s="102"/>
      <c r="L81" s="102"/>
      <c r="M81" s="102"/>
      <c r="N81" s="102"/>
      <c r="O81" s="102"/>
      <c r="P81" s="102"/>
      <c r="Q81" s="166"/>
      <c r="R81" s="166"/>
      <c r="S81" s="166"/>
      <c r="T81" s="250"/>
      <c r="U81" s="251"/>
      <c r="V81" s="251"/>
      <c r="W81" s="100">
        <f t="shared" si="8"/>
        <v>0</v>
      </c>
      <c r="X81" s="100">
        <f t="shared" si="9"/>
        <v>0</v>
      </c>
      <c r="Y81" s="19"/>
      <c r="Z81" s="19"/>
      <c r="AA81" s="19"/>
      <c r="AB81" s="19"/>
      <c r="AC81" s="19"/>
    </row>
    <row r="82" spans="3:29" hidden="1" outlineLevel="2" x14ac:dyDescent="0.2">
      <c r="C82" s="537"/>
      <c r="D82" s="166"/>
      <c r="E82" s="537"/>
      <c r="F82" s="537"/>
      <c r="G82" s="537"/>
      <c r="H82" s="537"/>
      <c r="I82" s="58"/>
      <c r="J82" s="102"/>
      <c r="K82" s="102"/>
      <c r="L82" s="102"/>
      <c r="M82" s="102"/>
      <c r="N82" s="102"/>
      <c r="O82" s="102"/>
      <c r="P82" s="102"/>
      <c r="Q82" s="166"/>
      <c r="R82" s="166"/>
      <c r="S82" s="166"/>
      <c r="T82" s="250"/>
      <c r="U82" s="251"/>
      <c r="V82" s="251"/>
      <c r="W82" s="100">
        <f t="shared" si="8"/>
        <v>0</v>
      </c>
      <c r="X82" s="100">
        <f t="shared" si="9"/>
        <v>0</v>
      </c>
      <c r="Y82" s="19"/>
      <c r="Z82" s="19"/>
      <c r="AA82" s="19"/>
      <c r="AB82" s="19"/>
      <c r="AC82" s="19"/>
    </row>
    <row r="83" spans="3:29" hidden="1" outlineLevel="2" x14ac:dyDescent="0.2">
      <c r="C83" s="537"/>
      <c r="D83" s="166"/>
      <c r="E83" s="537"/>
      <c r="F83" s="537"/>
      <c r="G83" s="537"/>
      <c r="H83" s="537"/>
      <c r="I83" s="58"/>
      <c r="J83" s="102"/>
      <c r="K83" s="102"/>
      <c r="L83" s="102"/>
      <c r="M83" s="102"/>
      <c r="N83" s="102"/>
      <c r="O83" s="102"/>
      <c r="P83" s="102"/>
      <c r="Q83" s="166"/>
      <c r="R83" s="166"/>
      <c r="S83" s="166"/>
      <c r="T83" s="250"/>
      <c r="U83" s="251"/>
      <c r="V83" s="251"/>
      <c r="W83" s="100">
        <f t="shared" si="8"/>
        <v>0</v>
      </c>
      <c r="X83" s="100">
        <f t="shared" si="9"/>
        <v>0</v>
      </c>
      <c r="Y83" s="19"/>
      <c r="Z83" s="19"/>
      <c r="AA83" s="19"/>
      <c r="AB83" s="19"/>
      <c r="AC83" s="19"/>
    </row>
    <row r="84" spans="3:29" hidden="1" outlineLevel="2" x14ac:dyDescent="0.2">
      <c r="C84" s="537"/>
      <c r="D84" s="166"/>
      <c r="E84" s="537"/>
      <c r="F84" s="537"/>
      <c r="G84" s="537"/>
      <c r="H84" s="537"/>
      <c r="I84" s="58"/>
      <c r="J84" s="102"/>
      <c r="K84" s="102"/>
      <c r="L84" s="102"/>
      <c r="M84" s="102"/>
      <c r="N84" s="102"/>
      <c r="O84" s="102"/>
      <c r="P84" s="102"/>
      <c r="Q84" s="166"/>
      <c r="R84" s="166"/>
      <c r="S84" s="166"/>
      <c r="T84" s="250"/>
      <c r="U84" s="251"/>
      <c r="V84" s="251"/>
      <c r="W84" s="100">
        <f t="shared" si="8"/>
        <v>0</v>
      </c>
      <c r="X84" s="100">
        <f t="shared" si="9"/>
        <v>0</v>
      </c>
      <c r="Y84" s="19"/>
      <c r="Z84" s="19"/>
      <c r="AA84" s="19"/>
      <c r="AB84" s="19"/>
      <c r="AC84" s="19"/>
    </row>
    <row r="85" spans="3:29" hidden="1" outlineLevel="2" x14ac:dyDescent="0.2">
      <c r="C85" s="537"/>
      <c r="D85" s="166"/>
      <c r="E85" s="537"/>
      <c r="F85" s="537"/>
      <c r="G85" s="537"/>
      <c r="H85" s="537"/>
      <c r="I85" s="58"/>
      <c r="J85" s="102"/>
      <c r="K85" s="102"/>
      <c r="L85" s="102"/>
      <c r="M85" s="102"/>
      <c r="N85" s="102"/>
      <c r="O85" s="102"/>
      <c r="P85" s="102"/>
      <c r="Q85" s="166"/>
      <c r="R85" s="166"/>
      <c r="S85" s="166"/>
      <c r="T85" s="250"/>
      <c r="U85" s="251"/>
      <c r="V85" s="251"/>
      <c r="W85" s="100">
        <f t="shared" si="8"/>
        <v>0</v>
      </c>
      <c r="X85" s="100">
        <f t="shared" si="9"/>
        <v>0</v>
      </c>
      <c r="Y85" s="19"/>
      <c r="Z85" s="19"/>
      <c r="AA85" s="19"/>
      <c r="AB85" s="19"/>
      <c r="AC85" s="19"/>
    </row>
    <row r="86" spans="3:29" hidden="1" outlineLevel="2" x14ac:dyDescent="0.2">
      <c r="C86" s="537"/>
      <c r="D86" s="166"/>
      <c r="E86" s="537"/>
      <c r="F86" s="537"/>
      <c r="G86" s="537"/>
      <c r="H86" s="537"/>
      <c r="I86" s="58"/>
      <c r="J86" s="102"/>
      <c r="K86" s="102"/>
      <c r="L86" s="102"/>
      <c r="M86" s="102"/>
      <c r="N86" s="102"/>
      <c r="O86" s="102"/>
      <c r="P86" s="102"/>
      <c r="Q86" s="166"/>
      <c r="R86" s="166"/>
      <c r="S86" s="166"/>
      <c r="T86" s="250"/>
      <c r="U86" s="251"/>
      <c r="V86" s="251"/>
      <c r="W86" s="100">
        <f t="shared" si="8"/>
        <v>0</v>
      </c>
      <c r="X86" s="100">
        <f t="shared" si="9"/>
        <v>0</v>
      </c>
      <c r="Y86" s="19"/>
      <c r="Z86" s="19"/>
      <c r="AA86" s="19"/>
      <c r="AB86" s="19"/>
      <c r="AC86" s="19"/>
    </row>
    <row r="87" spans="3:29" hidden="1" outlineLevel="2" x14ac:dyDescent="0.2">
      <c r="C87" s="537"/>
      <c r="D87" s="166"/>
      <c r="E87" s="537"/>
      <c r="F87" s="537"/>
      <c r="G87" s="537"/>
      <c r="H87" s="537"/>
      <c r="I87" s="58"/>
      <c r="J87" s="102"/>
      <c r="K87" s="102"/>
      <c r="L87" s="102"/>
      <c r="M87" s="102"/>
      <c r="N87" s="102"/>
      <c r="O87" s="102"/>
      <c r="P87" s="102"/>
      <c r="Q87" s="166"/>
      <c r="R87" s="166"/>
      <c r="S87" s="166"/>
      <c r="T87" s="250"/>
      <c r="U87" s="251"/>
      <c r="V87" s="251"/>
      <c r="W87" s="100">
        <f t="shared" si="8"/>
        <v>0</v>
      </c>
      <c r="X87" s="100">
        <f t="shared" si="9"/>
        <v>0</v>
      </c>
      <c r="Y87" s="19"/>
      <c r="Z87" s="19"/>
      <c r="AA87" s="19"/>
      <c r="AB87" s="19"/>
      <c r="AC87" s="19"/>
    </row>
    <row r="88" spans="3:29" hidden="1" outlineLevel="2" x14ac:dyDescent="0.2">
      <c r="C88" s="537"/>
      <c r="D88" s="166"/>
      <c r="E88" s="537"/>
      <c r="F88" s="537"/>
      <c r="G88" s="537"/>
      <c r="H88" s="537"/>
      <c r="I88" s="58"/>
      <c r="J88" s="102"/>
      <c r="K88" s="102"/>
      <c r="L88" s="102"/>
      <c r="M88" s="102"/>
      <c r="N88" s="102"/>
      <c r="O88" s="102"/>
      <c r="P88" s="102"/>
      <c r="Q88" s="166"/>
      <c r="R88" s="166"/>
      <c r="S88" s="166"/>
      <c r="T88" s="250"/>
      <c r="U88" s="251"/>
      <c r="V88" s="251"/>
      <c r="W88" s="100">
        <f t="shared" si="8"/>
        <v>0</v>
      </c>
      <c r="X88" s="100">
        <f t="shared" si="9"/>
        <v>0</v>
      </c>
      <c r="Y88" s="19"/>
      <c r="Z88" s="19"/>
      <c r="AA88" s="19"/>
      <c r="AB88" s="19"/>
      <c r="AC88" s="19"/>
    </row>
    <row r="89" spans="3:29" hidden="1" outlineLevel="2" x14ac:dyDescent="0.2">
      <c r="C89" s="537"/>
      <c r="D89" s="166"/>
      <c r="E89" s="537"/>
      <c r="F89" s="537"/>
      <c r="G89" s="537"/>
      <c r="H89" s="537"/>
      <c r="I89" s="58"/>
      <c r="J89" s="102"/>
      <c r="K89" s="102"/>
      <c r="L89" s="102"/>
      <c r="M89" s="102"/>
      <c r="N89" s="102"/>
      <c r="O89" s="102"/>
      <c r="P89" s="102"/>
      <c r="Q89" s="166"/>
      <c r="R89" s="166"/>
      <c r="S89" s="166"/>
      <c r="T89" s="250"/>
      <c r="U89" s="251"/>
      <c r="V89" s="251"/>
      <c r="W89" s="100">
        <f t="shared" si="8"/>
        <v>0</v>
      </c>
      <c r="X89" s="100">
        <f t="shared" si="9"/>
        <v>0</v>
      </c>
      <c r="Y89" s="19"/>
      <c r="Z89" s="19"/>
      <c r="AA89" s="19"/>
      <c r="AB89" s="19"/>
      <c r="AC89" s="19"/>
    </row>
    <row r="90" spans="3:29" hidden="1" outlineLevel="2" x14ac:dyDescent="0.2">
      <c r="C90" s="537"/>
      <c r="D90" s="166"/>
      <c r="E90" s="537"/>
      <c r="F90" s="537"/>
      <c r="G90" s="537"/>
      <c r="H90" s="537"/>
      <c r="I90" s="58"/>
      <c r="J90" s="102"/>
      <c r="K90" s="102"/>
      <c r="L90" s="102"/>
      <c r="M90" s="102"/>
      <c r="N90" s="102"/>
      <c r="O90" s="102"/>
      <c r="P90" s="102"/>
      <c r="Q90" s="166"/>
      <c r="R90" s="166"/>
      <c r="S90" s="166"/>
      <c r="T90" s="250"/>
      <c r="U90" s="251"/>
      <c r="V90" s="251"/>
      <c r="W90" s="100">
        <f t="shared" si="8"/>
        <v>0</v>
      </c>
      <c r="X90" s="100">
        <f t="shared" si="9"/>
        <v>0</v>
      </c>
      <c r="Y90" s="19"/>
      <c r="Z90" s="19"/>
      <c r="AA90" s="19"/>
      <c r="AB90" s="19"/>
      <c r="AC90" s="19"/>
    </row>
    <row r="91" spans="3:29" hidden="1" outlineLevel="2" x14ac:dyDescent="0.2">
      <c r="C91" s="537"/>
      <c r="D91" s="166"/>
      <c r="E91" s="537"/>
      <c r="F91" s="537"/>
      <c r="G91" s="537"/>
      <c r="H91" s="537"/>
      <c r="I91" s="58"/>
      <c r="J91" s="102"/>
      <c r="K91" s="102"/>
      <c r="L91" s="102"/>
      <c r="M91" s="102"/>
      <c r="N91" s="102"/>
      <c r="O91" s="102"/>
      <c r="P91" s="102"/>
      <c r="Q91" s="166"/>
      <c r="R91" s="166"/>
      <c r="S91" s="166"/>
      <c r="T91" s="250"/>
      <c r="U91" s="251"/>
      <c r="V91" s="251"/>
      <c r="W91" s="100">
        <f t="shared" si="8"/>
        <v>0</v>
      </c>
      <c r="X91" s="100">
        <f t="shared" si="9"/>
        <v>0</v>
      </c>
      <c r="Y91" s="19"/>
      <c r="Z91" s="19"/>
      <c r="AA91" s="19"/>
      <c r="AB91" s="19"/>
      <c r="AC91" s="19"/>
    </row>
    <row r="92" spans="3:29" hidden="1" outlineLevel="2" x14ac:dyDescent="0.2">
      <c r="C92" s="537"/>
      <c r="D92" s="166"/>
      <c r="E92" s="537"/>
      <c r="F92" s="537"/>
      <c r="G92" s="537"/>
      <c r="H92" s="537"/>
      <c r="I92" s="58"/>
      <c r="J92" s="102"/>
      <c r="K92" s="102"/>
      <c r="L92" s="102"/>
      <c r="M92" s="102"/>
      <c r="N92" s="102"/>
      <c r="O92" s="102"/>
      <c r="P92" s="102"/>
      <c r="Q92" s="166"/>
      <c r="R92" s="166"/>
      <c r="S92" s="166"/>
      <c r="T92" s="250"/>
      <c r="U92" s="251"/>
      <c r="V92" s="251"/>
      <c r="W92" s="100">
        <f t="shared" si="8"/>
        <v>0</v>
      </c>
      <c r="X92" s="100">
        <f t="shared" si="9"/>
        <v>0</v>
      </c>
      <c r="Y92" s="19"/>
      <c r="Z92" s="19"/>
      <c r="AA92" s="19"/>
      <c r="AB92" s="19"/>
      <c r="AC92" s="19"/>
    </row>
    <row r="93" spans="3:29" hidden="1" outlineLevel="2" x14ac:dyDescent="0.2">
      <c r="C93" s="537"/>
      <c r="D93" s="166"/>
      <c r="E93" s="537"/>
      <c r="F93" s="537"/>
      <c r="G93" s="537"/>
      <c r="H93" s="537"/>
      <c r="I93" s="58"/>
      <c r="J93" s="102"/>
      <c r="K93" s="102"/>
      <c r="L93" s="102"/>
      <c r="M93" s="102"/>
      <c r="N93" s="102"/>
      <c r="O93" s="102"/>
      <c r="P93" s="102"/>
      <c r="Q93" s="166"/>
      <c r="R93" s="166"/>
      <c r="S93" s="166"/>
      <c r="T93" s="250"/>
      <c r="U93" s="251"/>
      <c r="V93" s="251"/>
      <c r="W93" s="100">
        <f t="shared" si="8"/>
        <v>0</v>
      </c>
      <c r="X93" s="100">
        <f t="shared" si="9"/>
        <v>0</v>
      </c>
      <c r="Y93" s="19"/>
      <c r="Z93" s="19"/>
      <c r="AA93" s="19"/>
      <c r="AB93" s="19"/>
      <c r="AC93" s="19"/>
    </row>
    <row r="94" spans="3:29" hidden="1" outlineLevel="2" x14ac:dyDescent="0.2">
      <c r="C94" s="537"/>
      <c r="D94" s="166"/>
      <c r="E94" s="537"/>
      <c r="F94" s="537"/>
      <c r="G94" s="537"/>
      <c r="H94" s="537"/>
      <c r="I94" s="58"/>
      <c r="J94" s="102"/>
      <c r="K94" s="102"/>
      <c r="L94" s="102"/>
      <c r="M94" s="102"/>
      <c r="N94" s="102"/>
      <c r="O94" s="102"/>
      <c r="P94" s="102"/>
      <c r="Q94" s="166"/>
      <c r="R94" s="166"/>
      <c r="S94" s="166"/>
      <c r="T94" s="250"/>
      <c r="U94" s="251"/>
      <c r="V94" s="251"/>
      <c r="W94" s="100">
        <f t="shared" si="8"/>
        <v>0</v>
      </c>
      <c r="X94" s="100">
        <f t="shared" si="9"/>
        <v>0</v>
      </c>
      <c r="Y94" s="19"/>
      <c r="Z94" s="19"/>
      <c r="AA94" s="19"/>
      <c r="AB94" s="19"/>
      <c r="AC94" s="19"/>
    </row>
    <row r="95" spans="3:29" hidden="1" outlineLevel="2" x14ac:dyDescent="0.2">
      <c r="C95" s="537"/>
      <c r="D95" s="166"/>
      <c r="E95" s="537"/>
      <c r="F95" s="537"/>
      <c r="G95" s="537"/>
      <c r="H95" s="537"/>
      <c r="I95" s="58"/>
      <c r="J95" s="102"/>
      <c r="K95" s="102"/>
      <c r="L95" s="102"/>
      <c r="M95" s="102"/>
      <c r="N95" s="102"/>
      <c r="O95" s="102"/>
      <c r="P95" s="102"/>
      <c r="Q95" s="166"/>
      <c r="R95" s="166"/>
      <c r="S95" s="166"/>
      <c r="T95" s="250"/>
      <c r="U95" s="251"/>
      <c r="V95" s="251"/>
      <c r="W95" s="100">
        <f t="shared" si="8"/>
        <v>0</v>
      </c>
      <c r="X95" s="100">
        <f t="shared" si="9"/>
        <v>0</v>
      </c>
      <c r="Y95" s="19"/>
      <c r="Z95" s="19"/>
      <c r="AA95" s="19"/>
      <c r="AB95" s="19"/>
      <c r="AC95" s="19"/>
    </row>
    <row r="96" spans="3:29" hidden="1" outlineLevel="2" x14ac:dyDescent="0.2">
      <c r="C96" s="537"/>
      <c r="D96" s="166"/>
      <c r="E96" s="537"/>
      <c r="F96" s="537"/>
      <c r="G96" s="537"/>
      <c r="H96" s="537"/>
      <c r="I96" s="58"/>
      <c r="J96" s="102"/>
      <c r="K96" s="102"/>
      <c r="L96" s="102"/>
      <c r="M96" s="102"/>
      <c r="N96" s="102"/>
      <c r="O96" s="102"/>
      <c r="P96" s="102"/>
      <c r="Q96" s="166"/>
      <c r="R96" s="166"/>
      <c r="S96" s="166"/>
      <c r="T96" s="250"/>
      <c r="U96" s="251"/>
      <c r="V96" s="251"/>
      <c r="W96" s="100">
        <f t="shared" si="8"/>
        <v>0</v>
      </c>
      <c r="X96" s="100">
        <f t="shared" si="9"/>
        <v>0</v>
      </c>
      <c r="Y96" s="19"/>
      <c r="Z96" s="19"/>
      <c r="AA96" s="19"/>
      <c r="AB96" s="19"/>
      <c r="AC96" s="19"/>
    </row>
    <row r="97" spans="3:29" hidden="1" outlineLevel="2" x14ac:dyDescent="0.2">
      <c r="C97" s="537"/>
      <c r="D97" s="166"/>
      <c r="E97" s="537"/>
      <c r="F97" s="537"/>
      <c r="G97" s="537"/>
      <c r="H97" s="537"/>
      <c r="I97" s="58"/>
      <c r="J97" s="102"/>
      <c r="K97" s="102"/>
      <c r="L97" s="102"/>
      <c r="M97" s="102"/>
      <c r="N97" s="102"/>
      <c r="O97" s="102"/>
      <c r="P97" s="102"/>
      <c r="Q97" s="166"/>
      <c r="R97" s="166"/>
      <c r="S97" s="166"/>
      <c r="T97" s="250"/>
      <c r="U97" s="251"/>
      <c r="V97" s="251"/>
      <c r="W97" s="100">
        <f t="shared" si="8"/>
        <v>0</v>
      </c>
      <c r="X97" s="100">
        <f t="shared" si="9"/>
        <v>0</v>
      </c>
      <c r="Y97" s="19"/>
      <c r="Z97" s="19"/>
      <c r="AA97" s="19"/>
      <c r="AB97" s="19"/>
      <c r="AC97" s="19"/>
    </row>
    <row r="98" spans="3:29" hidden="1" outlineLevel="2" x14ac:dyDescent="0.2">
      <c r="C98" s="537"/>
      <c r="D98" s="166"/>
      <c r="E98" s="537"/>
      <c r="F98" s="537"/>
      <c r="G98" s="537"/>
      <c r="H98" s="537"/>
      <c r="I98" s="58"/>
      <c r="J98" s="102"/>
      <c r="K98" s="102"/>
      <c r="L98" s="102"/>
      <c r="M98" s="102"/>
      <c r="N98" s="102"/>
      <c r="O98" s="102"/>
      <c r="P98" s="102"/>
      <c r="Q98" s="166"/>
      <c r="R98" s="166"/>
      <c r="S98" s="166"/>
      <c r="T98" s="250"/>
      <c r="U98" s="251"/>
      <c r="V98" s="251"/>
      <c r="W98" s="100">
        <f t="shared" si="8"/>
        <v>0</v>
      </c>
      <c r="X98" s="100">
        <f t="shared" si="9"/>
        <v>0</v>
      </c>
      <c r="Y98" s="19"/>
      <c r="Z98" s="19"/>
      <c r="AA98" s="19"/>
      <c r="AB98" s="19"/>
      <c r="AC98" s="19"/>
    </row>
    <row r="99" spans="3:29" hidden="1" outlineLevel="2" x14ac:dyDescent="0.2">
      <c r="C99" s="537"/>
      <c r="D99" s="166"/>
      <c r="E99" s="537"/>
      <c r="F99" s="537"/>
      <c r="G99" s="537"/>
      <c r="H99" s="537"/>
      <c r="I99" s="58"/>
      <c r="J99" s="102"/>
      <c r="K99" s="102"/>
      <c r="L99" s="102"/>
      <c r="M99" s="102"/>
      <c r="N99" s="102"/>
      <c r="O99" s="102"/>
      <c r="P99" s="102"/>
      <c r="Q99" s="166"/>
      <c r="R99" s="166"/>
      <c r="S99" s="166"/>
      <c r="T99" s="250"/>
      <c r="U99" s="251"/>
      <c r="V99" s="251"/>
      <c r="W99" s="100">
        <f t="shared" si="8"/>
        <v>0</v>
      </c>
      <c r="X99" s="100">
        <f t="shared" si="9"/>
        <v>0</v>
      </c>
      <c r="Y99" s="19"/>
      <c r="Z99" s="19"/>
      <c r="AA99" s="19"/>
      <c r="AB99" s="19"/>
      <c r="AC99" s="19"/>
    </row>
    <row r="100" spans="3:29" hidden="1" outlineLevel="2" x14ac:dyDescent="0.2">
      <c r="C100" s="537"/>
      <c r="D100" s="166"/>
      <c r="E100" s="537"/>
      <c r="F100" s="537"/>
      <c r="G100" s="537"/>
      <c r="H100" s="537"/>
      <c r="I100" s="58"/>
      <c r="J100" s="102"/>
      <c r="K100" s="102"/>
      <c r="L100" s="102"/>
      <c r="M100" s="102"/>
      <c r="N100" s="102"/>
      <c r="O100" s="102"/>
      <c r="P100" s="102"/>
      <c r="Q100" s="166"/>
      <c r="R100" s="166"/>
      <c r="S100" s="166"/>
      <c r="T100" s="250"/>
      <c r="U100" s="251"/>
      <c r="V100" s="251"/>
      <c r="W100" s="100">
        <f t="shared" si="8"/>
        <v>0</v>
      </c>
      <c r="X100" s="100">
        <f t="shared" si="9"/>
        <v>0</v>
      </c>
      <c r="Y100" s="19"/>
      <c r="Z100" s="19"/>
      <c r="AA100" s="19"/>
      <c r="AB100" s="19"/>
      <c r="AC100" s="19"/>
    </row>
    <row r="101" spans="3:29" hidden="1" outlineLevel="2" x14ac:dyDescent="0.2">
      <c r="C101" s="537"/>
      <c r="D101" s="166"/>
      <c r="E101" s="537"/>
      <c r="F101" s="537"/>
      <c r="G101" s="537"/>
      <c r="H101" s="537"/>
      <c r="I101" s="58"/>
      <c r="J101" s="102"/>
      <c r="K101" s="102"/>
      <c r="L101" s="102"/>
      <c r="M101" s="102"/>
      <c r="N101" s="102"/>
      <c r="O101" s="102"/>
      <c r="P101" s="102"/>
      <c r="Q101" s="166"/>
      <c r="R101" s="166"/>
      <c r="S101" s="166"/>
      <c r="T101" s="250"/>
      <c r="U101" s="251"/>
      <c r="V101" s="251"/>
      <c r="W101" s="100">
        <f t="shared" si="8"/>
        <v>0</v>
      </c>
      <c r="X101" s="100">
        <f t="shared" si="9"/>
        <v>0</v>
      </c>
      <c r="Y101" s="19"/>
      <c r="Z101" s="19"/>
      <c r="AA101" s="19"/>
      <c r="AB101" s="19"/>
      <c r="AC101" s="19"/>
    </row>
    <row r="102" spans="3:29" hidden="1" outlineLevel="2" x14ac:dyDescent="0.2">
      <c r="C102" s="537"/>
      <c r="D102" s="166"/>
      <c r="E102" s="537"/>
      <c r="F102" s="537"/>
      <c r="G102" s="537"/>
      <c r="H102" s="537"/>
      <c r="I102" s="58"/>
      <c r="J102" s="102"/>
      <c r="K102" s="102"/>
      <c r="L102" s="102"/>
      <c r="M102" s="102"/>
      <c r="N102" s="102"/>
      <c r="O102" s="102"/>
      <c r="P102" s="102"/>
      <c r="Q102" s="166"/>
      <c r="R102" s="166"/>
      <c r="S102" s="166"/>
      <c r="T102" s="250"/>
      <c r="U102" s="251"/>
      <c r="V102" s="251"/>
      <c r="W102" s="100">
        <f t="shared" si="8"/>
        <v>0</v>
      </c>
      <c r="X102" s="100">
        <f t="shared" si="9"/>
        <v>0</v>
      </c>
      <c r="Y102" s="19"/>
      <c r="Z102" s="19"/>
      <c r="AA102" s="19"/>
      <c r="AB102" s="19"/>
      <c r="AC102" s="19"/>
    </row>
    <row r="103" spans="3:29" hidden="1" outlineLevel="2" x14ac:dyDescent="0.2">
      <c r="C103" s="537"/>
      <c r="D103" s="166"/>
      <c r="E103" s="537"/>
      <c r="F103" s="537"/>
      <c r="G103" s="537"/>
      <c r="H103" s="537"/>
      <c r="I103" s="58"/>
      <c r="J103" s="102"/>
      <c r="K103" s="102"/>
      <c r="L103" s="102"/>
      <c r="M103" s="102"/>
      <c r="N103" s="102"/>
      <c r="O103" s="102"/>
      <c r="P103" s="102"/>
      <c r="Q103" s="166"/>
      <c r="R103" s="166"/>
      <c r="S103" s="166"/>
      <c r="T103" s="250"/>
      <c r="U103" s="251"/>
      <c r="V103" s="251"/>
      <c r="W103" s="100">
        <f t="shared" si="8"/>
        <v>0</v>
      </c>
      <c r="X103" s="100">
        <f t="shared" si="9"/>
        <v>0</v>
      </c>
      <c r="Y103" s="19"/>
      <c r="Z103" s="19"/>
      <c r="AA103" s="19"/>
      <c r="AB103" s="19"/>
      <c r="AC103" s="19"/>
    </row>
    <row r="104" spans="3:29" hidden="1" outlineLevel="2" x14ac:dyDescent="0.2">
      <c r="C104" s="537"/>
      <c r="D104" s="166"/>
      <c r="E104" s="537"/>
      <c r="F104" s="537"/>
      <c r="G104" s="537"/>
      <c r="H104" s="537"/>
      <c r="I104" s="58"/>
      <c r="J104" s="102"/>
      <c r="K104" s="102"/>
      <c r="L104" s="102"/>
      <c r="M104" s="102"/>
      <c r="N104" s="102"/>
      <c r="O104" s="102"/>
      <c r="P104" s="102"/>
      <c r="Q104" s="166"/>
      <c r="R104" s="166"/>
      <c r="S104" s="166"/>
      <c r="T104" s="250"/>
      <c r="U104" s="251"/>
      <c r="V104" s="251"/>
      <c r="W104" s="100">
        <f t="shared" si="8"/>
        <v>0</v>
      </c>
      <c r="X104" s="100">
        <f t="shared" si="9"/>
        <v>0</v>
      </c>
      <c r="Y104" s="19"/>
      <c r="Z104" s="19"/>
      <c r="AA104" s="19"/>
      <c r="AB104" s="19"/>
      <c r="AC104" s="19"/>
    </row>
    <row r="105" spans="3:29" hidden="1" outlineLevel="2" x14ac:dyDescent="0.2">
      <c r="C105" s="537"/>
      <c r="D105" s="166"/>
      <c r="E105" s="537"/>
      <c r="F105" s="537"/>
      <c r="G105" s="537"/>
      <c r="H105" s="537"/>
      <c r="I105" s="58"/>
      <c r="J105" s="102"/>
      <c r="K105" s="102"/>
      <c r="L105" s="102"/>
      <c r="M105" s="102"/>
      <c r="N105" s="102"/>
      <c r="O105" s="102"/>
      <c r="P105" s="102"/>
      <c r="Q105" s="166"/>
      <c r="R105" s="166"/>
      <c r="S105" s="166"/>
      <c r="T105" s="250"/>
      <c r="U105" s="251"/>
      <c r="V105" s="251"/>
      <c r="W105" s="100">
        <f t="shared" si="8"/>
        <v>0</v>
      </c>
      <c r="X105" s="100">
        <f t="shared" si="9"/>
        <v>0</v>
      </c>
      <c r="Y105" s="19"/>
      <c r="Z105" s="19"/>
      <c r="AA105" s="19"/>
      <c r="AB105" s="19"/>
      <c r="AC105" s="19"/>
    </row>
    <row r="106" spans="3:29" hidden="1" outlineLevel="2" x14ac:dyDescent="0.2">
      <c r="C106" s="537"/>
      <c r="D106" s="166"/>
      <c r="E106" s="537"/>
      <c r="F106" s="537"/>
      <c r="G106" s="537"/>
      <c r="H106" s="537"/>
      <c r="I106" s="58"/>
      <c r="J106" s="102"/>
      <c r="K106" s="102"/>
      <c r="L106" s="102"/>
      <c r="M106" s="102"/>
      <c r="N106" s="102"/>
      <c r="O106" s="102"/>
      <c r="P106" s="102"/>
      <c r="Q106" s="166"/>
      <c r="R106" s="166"/>
      <c r="S106" s="166"/>
      <c r="T106" s="250"/>
      <c r="U106" s="251"/>
      <c r="V106" s="251"/>
      <c r="W106" s="100">
        <f t="shared" si="8"/>
        <v>0</v>
      </c>
      <c r="X106" s="100">
        <f t="shared" si="9"/>
        <v>0</v>
      </c>
      <c r="Y106" s="19"/>
      <c r="Z106" s="19"/>
      <c r="AA106" s="19"/>
      <c r="AB106" s="19"/>
      <c r="AC106" s="19"/>
    </row>
    <row r="107" spans="3:29" hidden="1" outlineLevel="2" x14ac:dyDescent="0.2">
      <c r="C107" s="537"/>
      <c r="D107" s="166"/>
      <c r="E107" s="537"/>
      <c r="F107" s="537"/>
      <c r="G107" s="537"/>
      <c r="H107" s="537"/>
      <c r="I107" s="58"/>
      <c r="J107" s="102"/>
      <c r="K107" s="102"/>
      <c r="L107" s="102"/>
      <c r="M107" s="102"/>
      <c r="N107" s="102"/>
      <c r="O107" s="102"/>
      <c r="P107" s="102"/>
      <c r="Q107" s="166"/>
      <c r="R107" s="166"/>
      <c r="S107" s="166"/>
      <c r="T107" s="250"/>
      <c r="U107" s="251"/>
      <c r="V107" s="251"/>
      <c r="W107" s="100">
        <f t="shared" si="8"/>
        <v>0</v>
      </c>
      <c r="X107" s="100">
        <f t="shared" si="9"/>
        <v>0</v>
      </c>
      <c r="Y107" s="19"/>
      <c r="Z107" s="19"/>
      <c r="AA107" s="19"/>
      <c r="AB107" s="19"/>
      <c r="AC107" s="19"/>
    </row>
    <row r="108" spans="3:29" hidden="1" outlineLevel="2" x14ac:dyDescent="0.2">
      <c r="C108" s="537"/>
      <c r="D108" s="166"/>
      <c r="E108" s="537"/>
      <c r="F108" s="537"/>
      <c r="G108" s="537"/>
      <c r="H108" s="537"/>
      <c r="I108" s="58"/>
      <c r="J108" s="102"/>
      <c r="K108" s="102"/>
      <c r="L108" s="102"/>
      <c r="M108" s="102"/>
      <c r="N108" s="102"/>
      <c r="O108" s="102"/>
      <c r="P108" s="102"/>
      <c r="Q108" s="166"/>
      <c r="R108" s="166"/>
      <c r="S108" s="166"/>
      <c r="T108" s="250"/>
      <c r="U108" s="251"/>
      <c r="V108" s="251"/>
      <c r="W108" s="100">
        <f t="shared" si="8"/>
        <v>0</v>
      </c>
      <c r="X108" s="100">
        <f t="shared" si="9"/>
        <v>0</v>
      </c>
      <c r="Y108" s="19"/>
      <c r="Z108" s="19"/>
      <c r="AA108" s="19"/>
      <c r="AB108" s="19"/>
      <c r="AC108" s="19"/>
    </row>
    <row r="109" spans="3:29" hidden="1" outlineLevel="2" x14ac:dyDescent="0.2">
      <c r="C109" s="537"/>
      <c r="D109" s="166"/>
      <c r="E109" s="537"/>
      <c r="F109" s="537"/>
      <c r="G109" s="537"/>
      <c r="H109" s="537"/>
      <c r="I109" s="58"/>
      <c r="J109" s="102"/>
      <c r="K109" s="102"/>
      <c r="L109" s="102"/>
      <c r="M109" s="102"/>
      <c r="N109" s="102"/>
      <c r="O109" s="102"/>
      <c r="P109" s="102"/>
      <c r="Q109" s="166"/>
      <c r="R109" s="166"/>
      <c r="S109" s="166"/>
      <c r="T109" s="250"/>
      <c r="U109" s="251"/>
      <c r="V109" s="251"/>
      <c r="W109" s="100">
        <f t="shared" si="8"/>
        <v>0</v>
      </c>
      <c r="X109" s="100">
        <f t="shared" si="9"/>
        <v>0</v>
      </c>
      <c r="Y109" s="19"/>
      <c r="Z109" s="19"/>
      <c r="AA109" s="19"/>
      <c r="AB109" s="19"/>
      <c r="AC109" s="19"/>
    </row>
    <row r="110" spans="3:29" hidden="1" outlineLevel="2" x14ac:dyDescent="0.2">
      <c r="C110" s="537"/>
      <c r="D110" s="166"/>
      <c r="E110" s="537"/>
      <c r="F110" s="537"/>
      <c r="G110" s="537"/>
      <c r="H110" s="537"/>
      <c r="I110" s="58"/>
      <c r="J110" s="102"/>
      <c r="K110" s="102"/>
      <c r="L110" s="102"/>
      <c r="M110" s="102"/>
      <c r="N110" s="102"/>
      <c r="O110" s="102"/>
      <c r="P110" s="102"/>
      <c r="Q110" s="166"/>
      <c r="R110" s="166"/>
      <c r="S110" s="166"/>
      <c r="T110" s="250"/>
      <c r="U110" s="251"/>
      <c r="V110" s="251"/>
      <c r="W110" s="100">
        <f t="shared" ref="W110:W120" si="10">IF(forecastyear=RCP_firstyear,IF(AND(O110="Residential",N110&lt;&gt;"yes",H110&lt;&gt;"",H110&lt;&gt;0,H110&lt;&gt;"N/A"),W109+1,W109+0),IF(AND(O110="Residential",N110&lt;&gt;"yes"),W109+1,W109+0))</f>
        <v>0</v>
      </c>
      <c r="X110" s="100">
        <f t="shared" ref="X110:X120" si="11">IF(forecastyear=RCP_firstyear,IF(AND(O110="Small business",N110&lt;&gt;"yes",H110&lt;&gt;"",H110&lt;&gt;0,H110&lt;&gt;"N/A"),X109+1,X109+0),IF(AND(O110="Small business",N110&lt;&gt;"yes"),X109+1,X109+0))</f>
        <v>0</v>
      </c>
      <c r="Y110" s="19"/>
      <c r="Z110" s="19"/>
      <c r="AA110" s="19"/>
      <c r="AB110" s="19"/>
      <c r="AC110" s="19"/>
    </row>
    <row r="111" spans="3:29" hidden="1" outlineLevel="2" x14ac:dyDescent="0.2">
      <c r="C111" s="537"/>
      <c r="D111" s="166"/>
      <c r="E111" s="537"/>
      <c r="F111" s="537"/>
      <c r="G111" s="537"/>
      <c r="H111" s="537"/>
      <c r="I111" s="58"/>
      <c r="J111" s="102"/>
      <c r="K111" s="102"/>
      <c r="L111" s="102"/>
      <c r="M111" s="102"/>
      <c r="N111" s="102"/>
      <c r="O111" s="102"/>
      <c r="P111" s="102"/>
      <c r="Q111" s="166"/>
      <c r="R111" s="166"/>
      <c r="S111" s="166"/>
      <c r="T111" s="250"/>
      <c r="U111" s="251"/>
      <c r="V111" s="251"/>
      <c r="W111" s="100">
        <f t="shared" si="10"/>
        <v>0</v>
      </c>
      <c r="X111" s="100">
        <f t="shared" si="11"/>
        <v>0</v>
      </c>
      <c r="Y111" s="19"/>
      <c r="Z111" s="19"/>
      <c r="AA111" s="19"/>
      <c r="AB111" s="19"/>
      <c r="AC111" s="19"/>
    </row>
    <row r="112" spans="3:29" hidden="1" outlineLevel="2" x14ac:dyDescent="0.2">
      <c r="C112" s="537"/>
      <c r="D112" s="166"/>
      <c r="E112" s="537"/>
      <c r="F112" s="537"/>
      <c r="G112" s="537"/>
      <c r="H112" s="537"/>
      <c r="I112" s="58"/>
      <c r="J112" s="102"/>
      <c r="K112" s="102"/>
      <c r="L112" s="102"/>
      <c r="M112" s="102"/>
      <c r="N112" s="102"/>
      <c r="O112" s="102"/>
      <c r="P112" s="102"/>
      <c r="Q112" s="166"/>
      <c r="R112" s="166"/>
      <c r="S112" s="166"/>
      <c r="T112" s="250"/>
      <c r="U112" s="251"/>
      <c r="V112" s="251"/>
      <c r="W112" s="100">
        <f t="shared" si="10"/>
        <v>0</v>
      </c>
      <c r="X112" s="100">
        <f t="shared" si="11"/>
        <v>0</v>
      </c>
      <c r="Y112" s="19"/>
      <c r="Z112" s="19"/>
      <c r="AA112" s="19"/>
      <c r="AB112" s="19"/>
      <c r="AC112" s="19"/>
    </row>
    <row r="113" spans="1:29" hidden="1" outlineLevel="2" x14ac:dyDescent="0.2">
      <c r="C113" s="537"/>
      <c r="D113" s="166"/>
      <c r="E113" s="537"/>
      <c r="F113" s="537"/>
      <c r="G113" s="537"/>
      <c r="H113" s="537"/>
      <c r="I113" s="58"/>
      <c r="J113" s="102"/>
      <c r="K113" s="102"/>
      <c r="L113" s="102"/>
      <c r="M113" s="102"/>
      <c r="N113" s="102"/>
      <c r="O113" s="102"/>
      <c r="P113" s="102"/>
      <c r="Q113" s="166"/>
      <c r="R113" s="166"/>
      <c r="S113" s="166"/>
      <c r="T113" s="250"/>
      <c r="U113" s="251"/>
      <c r="V113" s="251"/>
      <c r="W113" s="100">
        <f t="shared" si="10"/>
        <v>0</v>
      </c>
      <c r="X113" s="100">
        <f t="shared" si="11"/>
        <v>0</v>
      </c>
      <c r="Y113" s="19"/>
      <c r="Z113" s="19"/>
      <c r="AA113" s="19"/>
      <c r="AB113" s="19"/>
      <c r="AC113" s="19"/>
    </row>
    <row r="114" spans="1:29" hidden="1" outlineLevel="2" x14ac:dyDescent="0.2">
      <c r="C114" s="537"/>
      <c r="D114" s="166"/>
      <c r="E114" s="537"/>
      <c r="F114" s="537"/>
      <c r="G114" s="537"/>
      <c r="H114" s="537"/>
      <c r="I114" s="58"/>
      <c r="J114" s="102"/>
      <c r="K114" s="102"/>
      <c r="L114" s="102"/>
      <c r="M114" s="102"/>
      <c r="N114" s="102"/>
      <c r="O114" s="102"/>
      <c r="P114" s="102"/>
      <c r="Q114" s="166"/>
      <c r="R114" s="166"/>
      <c r="S114" s="166"/>
      <c r="T114" s="250"/>
      <c r="U114" s="251"/>
      <c r="V114" s="251"/>
      <c r="W114" s="100">
        <f t="shared" si="10"/>
        <v>0</v>
      </c>
      <c r="X114" s="100">
        <f t="shared" si="11"/>
        <v>0</v>
      </c>
      <c r="Y114" s="19"/>
      <c r="Z114" s="19"/>
      <c r="AA114" s="19"/>
      <c r="AB114" s="19"/>
      <c r="AC114" s="19"/>
    </row>
    <row r="115" spans="1:29" hidden="1" outlineLevel="2" x14ac:dyDescent="0.2">
      <c r="C115" s="537"/>
      <c r="D115" s="166"/>
      <c r="E115" s="537"/>
      <c r="F115" s="537"/>
      <c r="G115" s="537"/>
      <c r="H115" s="537"/>
      <c r="I115" s="58"/>
      <c r="J115" s="102"/>
      <c r="K115" s="102"/>
      <c r="L115" s="102"/>
      <c r="M115" s="102"/>
      <c r="N115" s="102"/>
      <c r="O115" s="102"/>
      <c r="P115" s="102"/>
      <c r="Q115" s="166"/>
      <c r="R115" s="166"/>
      <c r="S115" s="166"/>
      <c r="T115" s="250"/>
      <c r="U115" s="251"/>
      <c r="V115" s="251"/>
      <c r="W115" s="100">
        <f t="shared" si="10"/>
        <v>0</v>
      </c>
      <c r="X115" s="100">
        <f t="shared" si="11"/>
        <v>0</v>
      </c>
      <c r="Y115" s="19"/>
      <c r="Z115" s="19"/>
      <c r="AA115" s="19"/>
      <c r="AB115" s="19"/>
      <c r="AC115" s="19"/>
    </row>
    <row r="116" spans="1:29" hidden="1" outlineLevel="2" x14ac:dyDescent="0.2">
      <c r="C116" s="537"/>
      <c r="D116" s="166"/>
      <c r="E116" s="537"/>
      <c r="F116" s="537"/>
      <c r="G116" s="537"/>
      <c r="H116" s="537"/>
      <c r="I116" s="58"/>
      <c r="J116" s="102"/>
      <c r="K116" s="102"/>
      <c r="L116" s="102"/>
      <c r="M116" s="102"/>
      <c r="N116" s="102"/>
      <c r="O116" s="102"/>
      <c r="P116" s="102"/>
      <c r="Q116" s="166"/>
      <c r="R116" s="166"/>
      <c r="S116" s="166"/>
      <c r="T116" s="250"/>
      <c r="U116" s="251"/>
      <c r="V116" s="251"/>
      <c r="W116" s="100">
        <f t="shared" si="10"/>
        <v>0</v>
      </c>
      <c r="X116" s="100">
        <f t="shared" si="11"/>
        <v>0</v>
      </c>
      <c r="Y116" s="19"/>
      <c r="Z116" s="19"/>
      <c r="AA116" s="19"/>
      <c r="AB116" s="19"/>
      <c r="AC116" s="19"/>
    </row>
    <row r="117" spans="1:29" hidden="1" outlineLevel="2" x14ac:dyDescent="0.2">
      <c r="C117" s="537"/>
      <c r="D117" s="166"/>
      <c r="E117" s="537"/>
      <c r="F117" s="537"/>
      <c r="G117" s="537"/>
      <c r="H117" s="537"/>
      <c r="I117" s="58"/>
      <c r="J117" s="102"/>
      <c r="K117" s="102"/>
      <c r="L117" s="102"/>
      <c r="M117" s="102"/>
      <c r="N117" s="102"/>
      <c r="O117" s="102"/>
      <c r="P117" s="102"/>
      <c r="Q117" s="166"/>
      <c r="R117" s="166"/>
      <c r="S117" s="166"/>
      <c r="T117" s="250"/>
      <c r="U117" s="251"/>
      <c r="V117" s="251"/>
      <c r="W117" s="100">
        <f t="shared" si="10"/>
        <v>0</v>
      </c>
      <c r="X117" s="100">
        <f t="shared" si="11"/>
        <v>0</v>
      </c>
      <c r="Y117" s="19"/>
      <c r="Z117" s="19"/>
      <c r="AA117" s="19"/>
      <c r="AB117" s="19"/>
      <c r="AC117" s="19"/>
    </row>
    <row r="118" spans="1:29" hidden="1" outlineLevel="2" x14ac:dyDescent="0.2">
      <c r="C118" s="537"/>
      <c r="D118" s="166"/>
      <c r="E118" s="537"/>
      <c r="F118" s="537"/>
      <c r="G118" s="537"/>
      <c r="H118" s="537"/>
      <c r="I118" s="58"/>
      <c r="J118" s="102"/>
      <c r="K118" s="102"/>
      <c r="L118" s="102"/>
      <c r="M118" s="102"/>
      <c r="N118" s="102"/>
      <c r="O118" s="102"/>
      <c r="P118" s="102"/>
      <c r="Q118" s="166"/>
      <c r="R118" s="166"/>
      <c r="S118" s="166"/>
      <c r="T118" s="250"/>
      <c r="U118" s="251"/>
      <c r="V118" s="251"/>
      <c r="W118" s="100">
        <f t="shared" si="10"/>
        <v>0</v>
      </c>
      <c r="X118" s="100">
        <f t="shared" si="11"/>
        <v>0</v>
      </c>
      <c r="Y118" s="19"/>
      <c r="Z118" s="19"/>
      <c r="AA118" s="19"/>
      <c r="AB118" s="19"/>
      <c r="AC118" s="19"/>
    </row>
    <row r="119" spans="1:29" hidden="1" outlineLevel="2" x14ac:dyDescent="0.2">
      <c r="C119" s="537"/>
      <c r="D119" s="166"/>
      <c r="E119" s="537"/>
      <c r="F119" s="537"/>
      <c r="G119" s="537"/>
      <c r="H119" s="537"/>
      <c r="I119" s="58"/>
      <c r="J119" s="102"/>
      <c r="K119" s="102"/>
      <c r="L119" s="102"/>
      <c r="M119" s="102"/>
      <c r="N119" s="102"/>
      <c r="O119" s="102"/>
      <c r="P119" s="102"/>
      <c r="Q119" s="166"/>
      <c r="R119" s="166"/>
      <c r="S119" s="166"/>
      <c r="T119" s="250"/>
      <c r="U119" s="251"/>
      <c r="V119" s="251"/>
      <c r="W119" s="100">
        <f t="shared" si="10"/>
        <v>0</v>
      </c>
      <c r="X119" s="100">
        <f t="shared" si="11"/>
        <v>0</v>
      </c>
      <c r="Y119" s="19"/>
      <c r="Z119" s="19"/>
      <c r="AA119" s="19"/>
      <c r="AB119" s="19"/>
      <c r="AC119" s="19"/>
    </row>
    <row r="120" spans="1:29" hidden="1" outlineLevel="2" x14ac:dyDescent="0.2">
      <c r="C120" s="537"/>
      <c r="D120" s="166"/>
      <c r="E120" s="537"/>
      <c r="F120" s="537"/>
      <c r="G120" s="537"/>
      <c r="H120" s="537"/>
      <c r="I120" s="58"/>
      <c r="J120" s="102"/>
      <c r="K120" s="102"/>
      <c r="L120" s="102"/>
      <c r="M120" s="102"/>
      <c r="N120" s="102"/>
      <c r="O120" s="102"/>
      <c r="P120" s="102"/>
      <c r="Q120" s="166"/>
      <c r="R120" s="166"/>
      <c r="S120" s="166"/>
      <c r="T120" s="250"/>
      <c r="U120" s="251"/>
      <c r="V120" s="251"/>
      <c r="W120" s="100">
        <f t="shared" si="10"/>
        <v>0</v>
      </c>
      <c r="X120" s="100">
        <f t="shared" si="11"/>
        <v>0</v>
      </c>
      <c r="Y120" s="19"/>
      <c r="Z120" s="19"/>
      <c r="AA120" s="19"/>
      <c r="AB120" s="19"/>
      <c r="AC120" s="19"/>
    </row>
    <row r="121" spans="1:29" outlineLevel="1" collapsed="1" x14ac:dyDescent="0.2">
      <c r="C121" s="538"/>
      <c r="D121" s="536"/>
      <c r="E121" s="217"/>
      <c r="F121" s="217"/>
      <c r="G121" s="217"/>
      <c r="H121" s="217"/>
      <c r="I121" s="58"/>
      <c r="J121" s="58"/>
      <c r="K121" s="20"/>
      <c r="L121" s="37"/>
      <c r="M121" s="58"/>
      <c r="N121" s="58"/>
      <c r="O121" s="20"/>
      <c r="P121" s="20"/>
      <c r="Q121" s="20"/>
      <c r="R121" s="20"/>
      <c r="S121" s="20"/>
      <c r="T121" s="20"/>
      <c r="U121" s="20"/>
      <c r="V121" s="20"/>
      <c r="W121" s="99"/>
      <c r="X121" s="99"/>
      <c r="Y121" s="19"/>
      <c r="Z121" s="19"/>
      <c r="AA121" s="19"/>
      <c r="AB121" s="19"/>
      <c r="AC121" s="19"/>
    </row>
    <row r="122" spans="1:29" x14ac:dyDescent="0.2">
      <c r="A122" s="96"/>
      <c r="B122" s="96"/>
      <c r="C122" s="36"/>
      <c r="D122" s="20"/>
      <c r="E122" s="20"/>
      <c r="F122" s="20"/>
      <c r="G122" s="20"/>
      <c r="H122" s="20"/>
      <c r="I122" s="20"/>
      <c r="J122" s="22"/>
      <c r="K122" s="22"/>
      <c r="L122" s="20"/>
      <c r="M122" s="20"/>
      <c r="N122" s="20"/>
      <c r="O122" s="20"/>
      <c r="P122" s="20"/>
      <c r="Q122" s="20"/>
      <c r="R122" s="20"/>
      <c r="S122" s="37"/>
      <c r="T122" s="37"/>
      <c r="U122" s="37"/>
      <c r="V122" s="37"/>
      <c r="W122" s="37"/>
      <c r="X122" s="37"/>
      <c r="Y122" s="19"/>
      <c r="Z122" s="19"/>
      <c r="AA122" s="19"/>
      <c r="AB122" s="19"/>
      <c r="AC122" s="19"/>
    </row>
    <row r="123" spans="1:29" ht="12.75" x14ac:dyDescent="0.2">
      <c r="A123" s="11"/>
      <c r="B123" s="12" t="s">
        <v>681</v>
      </c>
      <c r="C123" s="11"/>
      <c r="D123" s="32" t="str">
        <f>D44</f>
        <v>Tariff class</v>
      </c>
      <c r="E123" s="32" t="str">
        <f>tariffid1</f>
        <v>Code</v>
      </c>
      <c r="F123" s="32" t="str">
        <f>tariffid2</f>
        <v>Trans. Node</v>
      </c>
      <c r="G123" s="32" t="str">
        <f>G44</f>
        <v>Other identifier</v>
      </c>
      <c r="H123" s="32" t="s">
        <v>561</v>
      </c>
      <c r="I123" s="32"/>
      <c r="J123" s="32" t="str">
        <f>J44</f>
        <v>Open/closed?</v>
      </c>
      <c r="K123" s="32" t="s">
        <v>313</v>
      </c>
      <c r="L123" s="32" t="str">
        <f>M44</f>
        <v>Time-of-use?</v>
      </c>
      <c r="M123" s="32" t="str">
        <f>N44</f>
        <v>Demand?</v>
      </c>
      <c r="N123" s="92" t="s">
        <v>14</v>
      </c>
      <c r="O123" s="92"/>
      <c r="P123" s="92"/>
      <c r="Q123" s="92"/>
      <c r="R123" s="92"/>
      <c r="S123" s="32"/>
      <c r="T123" s="32"/>
      <c r="U123" s="32"/>
      <c r="V123" s="32"/>
      <c r="W123" s="32"/>
      <c r="X123" s="32"/>
      <c r="Y123" s="15"/>
      <c r="Z123" s="15"/>
      <c r="AA123" s="15"/>
      <c r="AB123" s="15"/>
      <c r="AC123" s="15"/>
    </row>
    <row r="124" spans="1:29" outlineLevel="1" x14ac:dyDescent="0.2">
      <c r="A124" s="19"/>
      <c r="B124" s="19"/>
      <c r="C124" s="36"/>
      <c r="D124" s="20"/>
      <c r="E124" s="20"/>
      <c r="F124" s="20"/>
      <c r="G124" s="20"/>
      <c r="H124" s="20"/>
      <c r="I124" s="20"/>
      <c r="J124" s="22"/>
      <c r="K124" s="20"/>
      <c r="L124" s="22"/>
      <c r="M124" s="20"/>
      <c r="N124" s="20"/>
      <c r="O124" s="20"/>
      <c r="P124" s="20"/>
      <c r="Q124" s="20"/>
      <c r="R124" s="20"/>
      <c r="S124" s="37"/>
      <c r="T124" s="37"/>
      <c r="U124" s="37"/>
      <c r="V124" s="37"/>
      <c r="W124" s="37"/>
      <c r="X124" s="37"/>
      <c r="Y124" s="19"/>
      <c r="Z124" s="19"/>
      <c r="AA124" s="19"/>
      <c r="AB124" s="19"/>
      <c r="AC124" s="19"/>
    </row>
    <row r="125" spans="1:29" outlineLevel="1" x14ac:dyDescent="0.2">
      <c r="A125" s="606"/>
      <c r="B125" s="606"/>
      <c r="C125" s="607"/>
      <c r="D125" s="631"/>
      <c r="E125" s="607"/>
      <c r="F125" s="607"/>
      <c r="G125" s="607"/>
      <c r="H125" s="607"/>
      <c r="I125" s="609"/>
      <c r="J125" s="677"/>
      <c r="K125" s="677"/>
      <c r="L125" s="677"/>
      <c r="M125" s="677"/>
      <c r="N125" s="678"/>
      <c r="O125" s="617"/>
      <c r="P125" s="617"/>
      <c r="Q125" s="617"/>
      <c r="R125" s="617"/>
      <c r="S125" s="622"/>
      <c r="T125" s="622"/>
      <c r="U125" s="622"/>
      <c r="V125" s="622"/>
      <c r="W125" s="622"/>
      <c r="X125" s="622"/>
      <c r="Y125" s="606"/>
      <c r="Z125" s="606"/>
      <c r="AA125" s="19"/>
      <c r="AB125" s="19"/>
      <c r="AC125" s="19"/>
    </row>
    <row r="126" spans="1:29" outlineLevel="1" x14ac:dyDescent="0.2">
      <c r="A126" s="606"/>
      <c r="B126" s="606"/>
      <c r="C126" s="607"/>
      <c r="D126" s="631"/>
      <c r="E126" s="607"/>
      <c r="F126" s="607"/>
      <c r="G126" s="607"/>
      <c r="H126" s="607"/>
      <c r="I126" s="609"/>
      <c r="J126" s="677"/>
      <c r="K126" s="677"/>
      <c r="L126" s="677"/>
      <c r="M126" s="677"/>
      <c r="N126" s="678"/>
      <c r="O126" s="617"/>
      <c r="P126" s="617"/>
      <c r="Q126" s="617"/>
      <c r="R126" s="617"/>
      <c r="S126" s="622"/>
      <c r="T126" s="622"/>
      <c r="U126" s="622"/>
      <c r="V126" s="622"/>
      <c r="W126" s="622"/>
      <c r="X126" s="622"/>
      <c r="Y126" s="606"/>
      <c r="Z126" s="606"/>
      <c r="AA126" s="19"/>
      <c r="AB126" s="19"/>
      <c r="AC126" s="19"/>
    </row>
    <row r="127" spans="1:29" outlineLevel="1" x14ac:dyDescent="0.2">
      <c r="A127" s="606"/>
      <c r="B127" s="606"/>
      <c r="C127" s="607"/>
      <c r="D127" s="631"/>
      <c r="E127" s="607"/>
      <c r="F127" s="607"/>
      <c r="G127" s="607"/>
      <c r="H127" s="607"/>
      <c r="I127" s="609"/>
      <c r="J127" s="677"/>
      <c r="K127" s="677"/>
      <c r="L127" s="677"/>
      <c r="M127" s="677"/>
      <c r="N127" s="678"/>
      <c r="O127" s="617"/>
      <c r="P127" s="617"/>
      <c r="Q127" s="617"/>
      <c r="R127" s="617"/>
      <c r="S127" s="622"/>
      <c r="T127" s="622"/>
      <c r="U127" s="622"/>
      <c r="V127" s="622"/>
      <c r="W127" s="622"/>
      <c r="X127" s="622"/>
      <c r="Y127" s="606"/>
      <c r="Z127" s="606"/>
      <c r="AA127" s="19"/>
      <c r="AB127" s="19"/>
      <c r="AC127" s="19"/>
    </row>
    <row r="128" spans="1:29" outlineLevel="1" x14ac:dyDescent="0.2">
      <c r="A128" s="606"/>
      <c r="B128" s="606"/>
      <c r="C128" s="607"/>
      <c r="D128" s="631"/>
      <c r="E128" s="607"/>
      <c r="F128" s="607"/>
      <c r="G128" s="607"/>
      <c r="H128" s="607"/>
      <c r="I128" s="609"/>
      <c r="J128" s="677"/>
      <c r="K128" s="677"/>
      <c r="L128" s="677"/>
      <c r="M128" s="677"/>
      <c r="N128" s="678"/>
      <c r="O128" s="617"/>
      <c r="P128" s="617"/>
      <c r="Q128" s="617"/>
      <c r="R128" s="617"/>
      <c r="S128" s="622"/>
      <c r="T128" s="622"/>
      <c r="U128" s="622"/>
      <c r="V128" s="622"/>
      <c r="W128" s="622"/>
      <c r="X128" s="622"/>
      <c r="Y128" s="606"/>
      <c r="Z128" s="606"/>
      <c r="AA128" s="19"/>
      <c r="AB128" s="19"/>
      <c r="AC128" s="19"/>
    </row>
    <row r="129" spans="1:29" outlineLevel="1" x14ac:dyDescent="0.2">
      <c r="A129" s="606"/>
      <c r="B129" s="606"/>
      <c r="C129" s="607"/>
      <c r="D129" s="631"/>
      <c r="E129" s="607"/>
      <c r="F129" s="607"/>
      <c r="G129" s="607"/>
      <c r="H129" s="607"/>
      <c r="I129" s="609"/>
      <c r="J129" s="677"/>
      <c r="K129" s="677"/>
      <c r="L129" s="677"/>
      <c r="M129" s="677"/>
      <c r="N129" s="678"/>
      <c r="O129" s="617"/>
      <c r="P129" s="617"/>
      <c r="Q129" s="617"/>
      <c r="R129" s="617"/>
      <c r="S129" s="622"/>
      <c r="T129" s="622"/>
      <c r="U129" s="622"/>
      <c r="V129" s="622"/>
      <c r="W129" s="622"/>
      <c r="X129" s="622"/>
      <c r="Y129" s="606"/>
      <c r="Z129" s="606"/>
      <c r="AA129" s="19"/>
      <c r="AB129" s="19"/>
      <c r="AC129" s="19"/>
    </row>
    <row r="130" spans="1:29" outlineLevel="1" x14ac:dyDescent="0.2">
      <c r="A130" s="606"/>
      <c r="B130" s="606"/>
      <c r="C130" s="607"/>
      <c r="D130" s="631"/>
      <c r="E130" s="607"/>
      <c r="F130" s="607"/>
      <c r="G130" s="607"/>
      <c r="H130" s="607"/>
      <c r="I130" s="609"/>
      <c r="J130" s="677"/>
      <c r="K130" s="677"/>
      <c r="L130" s="677"/>
      <c r="M130" s="677"/>
      <c r="N130" s="678"/>
      <c r="O130" s="617"/>
      <c r="P130" s="617"/>
      <c r="Q130" s="617"/>
      <c r="R130" s="617"/>
      <c r="S130" s="622"/>
      <c r="T130" s="622"/>
      <c r="U130" s="622"/>
      <c r="V130" s="622"/>
      <c r="W130" s="622"/>
      <c r="X130" s="622"/>
      <c r="Y130" s="606"/>
      <c r="Z130" s="606"/>
      <c r="AA130" s="19"/>
      <c r="AB130" s="19"/>
      <c r="AC130" s="19"/>
    </row>
    <row r="131" spans="1:29" outlineLevel="1" x14ac:dyDescent="0.2">
      <c r="A131" s="606"/>
      <c r="B131" s="606"/>
      <c r="C131" s="607"/>
      <c r="D131" s="631"/>
      <c r="E131" s="607"/>
      <c r="F131" s="607"/>
      <c r="G131" s="607"/>
      <c r="H131" s="607"/>
      <c r="I131" s="609"/>
      <c r="J131" s="677"/>
      <c r="K131" s="677"/>
      <c r="L131" s="677"/>
      <c r="M131" s="677"/>
      <c r="N131" s="678"/>
      <c r="O131" s="617"/>
      <c r="P131" s="617"/>
      <c r="Q131" s="617"/>
      <c r="R131" s="617"/>
      <c r="S131" s="622"/>
      <c r="T131" s="622"/>
      <c r="U131" s="622"/>
      <c r="V131" s="622"/>
      <c r="W131" s="622"/>
      <c r="X131" s="622"/>
      <c r="Y131" s="606"/>
      <c r="Z131" s="606"/>
      <c r="AA131" s="19"/>
      <c r="AB131" s="19"/>
      <c r="AC131" s="19"/>
    </row>
    <row r="132" spans="1:29" outlineLevel="1" x14ac:dyDescent="0.2">
      <c r="A132" s="606"/>
      <c r="B132" s="606"/>
      <c r="C132" s="607"/>
      <c r="D132" s="631"/>
      <c r="E132" s="607"/>
      <c r="F132" s="607"/>
      <c r="G132" s="607"/>
      <c r="H132" s="607"/>
      <c r="I132" s="609"/>
      <c r="J132" s="677"/>
      <c r="K132" s="677"/>
      <c r="L132" s="677"/>
      <c r="M132" s="677"/>
      <c r="N132" s="678"/>
      <c r="O132" s="617"/>
      <c r="P132" s="617"/>
      <c r="Q132" s="617"/>
      <c r="R132" s="617"/>
      <c r="S132" s="622"/>
      <c r="T132" s="622"/>
      <c r="U132" s="622"/>
      <c r="V132" s="622"/>
      <c r="W132" s="622"/>
      <c r="X132" s="622"/>
      <c r="Y132" s="606"/>
      <c r="Z132" s="606"/>
      <c r="AA132" s="19"/>
      <c r="AB132" s="19"/>
      <c r="AC132" s="19"/>
    </row>
    <row r="133" spans="1:29" outlineLevel="1" x14ac:dyDescent="0.2">
      <c r="A133" s="606"/>
      <c r="B133" s="606"/>
      <c r="C133" s="607"/>
      <c r="D133" s="631"/>
      <c r="E133" s="607"/>
      <c r="F133" s="607"/>
      <c r="G133" s="607"/>
      <c r="H133" s="607"/>
      <c r="I133" s="609"/>
      <c r="J133" s="677"/>
      <c r="K133" s="677"/>
      <c r="L133" s="677"/>
      <c r="M133" s="677"/>
      <c r="N133" s="678"/>
      <c r="O133" s="617"/>
      <c r="P133" s="617"/>
      <c r="Q133" s="617"/>
      <c r="R133" s="617"/>
      <c r="S133" s="622"/>
      <c r="T133" s="622"/>
      <c r="U133" s="622"/>
      <c r="V133" s="622"/>
      <c r="W133" s="622"/>
      <c r="X133" s="622"/>
      <c r="Y133" s="606"/>
      <c r="Z133" s="606"/>
      <c r="AA133" s="19"/>
      <c r="AB133" s="19"/>
      <c r="AC133" s="19"/>
    </row>
    <row r="134" spans="1:29" outlineLevel="1" x14ac:dyDescent="0.2">
      <c r="A134" s="606"/>
      <c r="B134" s="606"/>
      <c r="C134" s="607"/>
      <c r="D134" s="631"/>
      <c r="E134" s="607"/>
      <c r="F134" s="607"/>
      <c r="G134" s="607"/>
      <c r="H134" s="607"/>
      <c r="I134" s="609"/>
      <c r="J134" s="677"/>
      <c r="K134" s="677"/>
      <c r="L134" s="677"/>
      <c r="M134" s="677"/>
      <c r="N134" s="678"/>
      <c r="O134" s="617"/>
      <c r="P134" s="617"/>
      <c r="Q134" s="617"/>
      <c r="R134" s="617"/>
      <c r="S134" s="622"/>
      <c r="T134" s="622"/>
      <c r="U134" s="622"/>
      <c r="V134" s="622"/>
      <c r="W134" s="622"/>
      <c r="X134" s="622"/>
      <c r="Y134" s="606"/>
      <c r="Z134" s="606"/>
      <c r="AA134" s="19"/>
      <c r="AB134" s="19"/>
      <c r="AC134" s="19"/>
    </row>
    <row r="135" spans="1:29" outlineLevel="1" x14ac:dyDescent="0.2">
      <c r="A135" s="606"/>
      <c r="B135" s="606"/>
      <c r="C135" s="607"/>
      <c r="D135" s="631"/>
      <c r="E135" s="607"/>
      <c r="F135" s="607"/>
      <c r="G135" s="679"/>
      <c r="H135" s="607"/>
      <c r="I135" s="609"/>
      <c r="J135" s="677"/>
      <c r="K135" s="677"/>
      <c r="L135" s="677"/>
      <c r="M135" s="677"/>
      <c r="N135" s="678"/>
      <c r="O135" s="617"/>
      <c r="P135" s="617"/>
      <c r="Q135" s="617"/>
      <c r="R135" s="617"/>
      <c r="S135" s="622"/>
      <c r="T135" s="622"/>
      <c r="U135" s="622"/>
      <c r="V135" s="622"/>
      <c r="W135" s="622"/>
      <c r="X135" s="622"/>
      <c r="Y135" s="606"/>
      <c r="Z135" s="606"/>
      <c r="AA135" s="19"/>
      <c r="AB135" s="19"/>
      <c r="AC135" s="19"/>
    </row>
    <row r="136" spans="1:29" outlineLevel="1" x14ac:dyDescent="0.2">
      <c r="A136" s="606"/>
      <c r="B136" s="606"/>
      <c r="C136" s="607"/>
      <c r="D136" s="631"/>
      <c r="E136" s="607"/>
      <c r="F136" s="607"/>
      <c r="G136" s="679"/>
      <c r="H136" s="607"/>
      <c r="I136" s="609"/>
      <c r="J136" s="677"/>
      <c r="K136" s="677"/>
      <c r="L136" s="677"/>
      <c r="M136" s="677"/>
      <c r="N136" s="678"/>
      <c r="O136" s="617"/>
      <c r="P136" s="617"/>
      <c r="Q136" s="617"/>
      <c r="R136" s="617"/>
      <c r="S136" s="622"/>
      <c r="T136" s="622"/>
      <c r="U136" s="622"/>
      <c r="V136" s="622"/>
      <c r="W136" s="622"/>
      <c r="X136" s="622"/>
      <c r="Y136" s="606"/>
      <c r="Z136" s="606"/>
      <c r="AA136" s="19"/>
      <c r="AB136" s="19"/>
      <c r="AC136" s="19"/>
    </row>
    <row r="137" spans="1:29" outlineLevel="1" x14ac:dyDescent="0.2">
      <c r="A137" s="606"/>
      <c r="B137" s="606"/>
      <c r="C137" s="607"/>
      <c r="D137" s="631"/>
      <c r="E137" s="607"/>
      <c r="F137" s="607"/>
      <c r="G137" s="679"/>
      <c r="H137" s="607"/>
      <c r="I137" s="609"/>
      <c r="J137" s="677"/>
      <c r="K137" s="677"/>
      <c r="L137" s="677"/>
      <c r="M137" s="677"/>
      <c r="N137" s="678"/>
      <c r="O137" s="617"/>
      <c r="P137" s="617"/>
      <c r="Q137" s="617"/>
      <c r="R137" s="617"/>
      <c r="S137" s="622"/>
      <c r="T137" s="622"/>
      <c r="U137" s="622"/>
      <c r="V137" s="622"/>
      <c r="W137" s="622"/>
      <c r="X137" s="622"/>
      <c r="Y137" s="606"/>
      <c r="Z137" s="606"/>
      <c r="AA137" s="19"/>
      <c r="AB137" s="19"/>
      <c r="AC137" s="19"/>
    </row>
    <row r="138" spans="1:29" outlineLevel="1" x14ac:dyDescent="0.2">
      <c r="A138" s="606"/>
      <c r="B138" s="606"/>
      <c r="C138" s="607"/>
      <c r="D138" s="631"/>
      <c r="E138" s="607"/>
      <c r="F138" s="607"/>
      <c r="G138" s="679"/>
      <c r="H138" s="607"/>
      <c r="I138" s="609"/>
      <c r="J138" s="677"/>
      <c r="K138" s="677"/>
      <c r="L138" s="677"/>
      <c r="M138" s="677"/>
      <c r="N138" s="678"/>
      <c r="O138" s="617"/>
      <c r="P138" s="617"/>
      <c r="Q138" s="617"/>
      <c r="R138" s="617"/>
      <c r="S138" s="622"/>
      <c r="T138" s="622"/>
      <c r="U138" s="622"/>
      <c r="V138" s="622"/>
      <c r="W138" s="622"/>
      <c r="X138" s="622"/>
      <c r="Y138" s="606"/>
      <c r="Z138" s="606"/>
      <c r="AA138" s="19"/>
      <c r="AB138" s="19"/>
      <c r="AC138" s="19"/>
    </row>
    <row r="139" spans="1:29" outlineLevel="1" x14ac:dyDescent="0.2">
      <c r="A139" s="606"/>
      <c r="B139" s="606"/>
      <c r="C139" s="607"/>
      <c r="D139" s="631"/>
      <c r="E139" s="607"/>
      <c r="F139" s="607"/>
      <c r="G139" s="679"/>
      <c r="H139" s="607"/>
      <c r="I139" s="609"/>
      <c r="J139" s="677"/>
      <c r="K139" s="677"/>
      <c r="L139" s="677"/>
      <c r="M139" s="677"/>
      <c r="N139" s="678"/>
      <c r="O139" s="617"/>
      <c r="P139" s="617"/>
      <c r="Q139" s="617"/>
      <c r="R139" s="617"/>
      <c r="S139" s="622"/>
      <c r="T139" s="622"/>
      <c r="U139" s="622"/>
      <c r="V139" s="622"/>
      <c r="W139" s="622"/>
      <c r="X139" s="622"/>
      <c r="Y139" s="606"/>
      <c r="Z139" s="606"/>
      <c r="AA139" s="19"/>
      <c r="AB139" s="19"/>
      <c r="AC139" s="19"/>
    </row>
    <row r="140" spans="1:29" outlineLevel="1" x14ac:dyDescent="0.2">
      <c r="A140" s="606"/>
      <c r="B140" s="606"/>
      <c r="C140" s="607"/>
      <c r="D140" s="631"/>
      <c r="E140" s="607"/>
      <c r="F140" s="607"/>
      <c r="G140" s="679"/>
      <c r="H140" s="607"/>
      <c r="I140" s="609"/>
      <c r="J140" s="677"/>
      <c r="K140" s="677"/>
      <c r="L140" s="677"/>
      <c r="M140" s="677"/>
      <c r="N140" s="678"/>
      <c r="O140" s="617"/>
      <c r="P140" s="617"/>
      <c r="Q140" s="617"/>
      <c r="R140" s="617"/>
      <c r="S140" s="622"/>
      <c r="T140" s="622"/>
      <c r="U140" s="622"/>
      <c r="V140" s="622"/>
      <c r="W140" s="622"/>
      <c r="X140" s="622"/>
      <c r="Y140" s="606"/>
      <c r="Z140" s="606"/>
      <c r="AA140" s="19"/>
      <c r="AB140" s="19"/>
      <c r="AC140" s="19"/>
    </row>
    <row r="141" spans="1:29" outlineLevel="1" x14ac:dyDescent="0.2">
      <c r="A141" s="606"/>
      <c r="B141" s="606"/>
      <c r="C141" s="607"/>
      <c r="D141" s="631"/>
      <c r="E141" s="607"/>
      <c r="F141" s="607"/>
      <c r="G141" s="679"/>
      <c r="H141" s="607"/>
      <c r="I141" s="609"/>
      <c r="J141" s="677"/>
      <c r="K141" s="677"/>
      <c r="L141" s="677"/>
      <c r="M141" s="677"/>
      <c r="N141" s="678"/>
      <c r="O141" s="617"/>
      <c r="P141" s="617"/>
      <c r="Q141" s="617"/>
      <c r="R141" s="617"/>
      <c r="S141" s="622"/>
      <c r="T141" s="622"/>
      <c r="U141" s="622"/>
      <c r="V141" s="622"/>
      <c r="W141" s="622"/>
      <c r="X141" s="622"/>
      <c r="Y141" s="606"/>
      <c r="Z141" s="606"/>
      <c r="AA141" s="19"/>
      <c r="AB141" s="19"/>
      <c r="AC141" s="19"/>
    </row>
    <row r="142" spans="1:29" outlineLevel="1" x14ac:dyDescent="0.2">
      <c r="A142" s="606"/>
      <c r="B142" s="606"/>
      <c r="C142" s="607"/>
      <c r="D142" s="631"/>
      <c r="E142" s="607"/>
      <c r="F142" s="607"/>
      <c r="G142" s="679"/>
      <c r="H142" s="607"/>
      <c r="I142" s="609"/>
      <c r="J142" s="677"/>
      <c r="K142" s="677"/>
      <c r="L142" s="677"/>
      <c r="M142" s="677"/>
      <c r="N142" s="678"/>
      <c r="O142" s="617"/>
      <c r="P142" s="617"/>
      <c r="Q142" s="617"/>
      <c r="R142" s="617"/>
      <c r="S142" s="622"/>
      <c r="T142" s="622"/>
      <c r="U142" s="622"/>
      <c r="V142" s="622"/>
      <c r="W142" s="622"/>
      <c r="X142" s="622"/>
      <c r="Y142" s="606"/>
      <c r="Z142" s="606"/>
      <c r="AA142" s="19"/>
      <c r="AB142" s="19"/>
      <c r="AC142" s="19"/>
    </row>
    <row r="143" spans="1:29" outlineLevel="1" x14ac:dyDescent="0.2">
      <c r="A143" s="606"/>
      <c r="B143" s="606"/>
      <c r="C143" s="607"/>
      <c r="D143" s="631"/>
      <c r="E143" s="607"/>
      <c r="F143" s="607"/>
      <c r="G143" s="679"/>
      <c r="H143" s="607"/>
      <c r="I143" s="609"/>
      <c r="J143" s="677"/>
      <c r="K143" s="677"/>
      <c r="L143" s="677"/>
      <c r="M143" s="677"/>
      <c r="N143" s="678"/>
      <c r="O143" s="617"/>
      <c r="P143" s="617"/>
      <c r="Q143" s="617"/>
      <c r="R143" s="617"/>
      <c r="S143" s="622"/>
      <c r="T143" s="622"/>
      <c r="U143" s="622"/>
      <c r="V143" s="622"/>
      <c r="W143" s="622"/>
      <c r="X143" s="622"/>
      <c r="Y143" s="606"/>
      <c r="Z143" s="606"/>
      <c r="AA143" s="19"/>
      <c r="AB143" s="19"/>
      <c r="AC143" s="19"/>
    </row>
    <row r="144" spans="1:29" outlineLevel="1" x14ac:dyDescent="0.2">
      <c r="A144" s="606"/>
      <c r="B144" s="606"/>
      <c r="C144" s="607"/>
      <c r="D144" s="631"/>
      <c r="E144" s="607"/>
      <c r="F144" s="607"/>
      <c r="G144" s="679"/>
      <c r="H144" s="607"/>
      <c r="I144" s="609"/>
      <c r="J144" s="677"/>
      <c r="K144" s="677"/>
      <c r="L144" s="677"/>
      <c r="M144" s="677"/>
      <c r="N144" s="678"/>
      <c r="O144" s="617"/>
      <c r="P144" s="617"/>
      <c r="Q144" s="617"/>
      <c r="R144" s="617"/>
      <c r="S144" s="622"/>
      <c r="T144" s="622"/>
      <c r="U144" s="622"/>
      <c r="V144" s="622"/>
      <c r="W144" s="622"/>
      <c r="X144" s="622"/>
      <c r="Y144" s="606"/>
      <c r="Z144" s="606"/>
      <c r="AA144" s="19"/>
      <c r="AB144" s="19"/>
      <c r="AC144" s="19"/>
    </row>
    <row r="145" spans="1:29" outlineLevel="1" x14ac:dyDescent="0.2">
      <c r="A145" s="606"/>
      <c r="B145" s="606"/>
      <c r="C145" s="607"/>
      <c r="D145" s="631"/>
      <c r="E145" s="607"/>
      <c r="F145" s="607"/>
      <c r="G145" s="679"/>
      <c r="H145" s="607"/>
      <c r="I145" s="609"/>
      <c r="J145" s="677"/>
      <c r="K145" s="677"/>
      <c r="L145" s="677"/>
      <c r="M145" s="677"/>
      <c r="N145" s="678"/>
      <c r="O145" s="617"/>
      <c r="P145" s="617"/>
      <c r="Q145" s="617"/>
      <c r="R145" s="617"/>
      <c r="S145" s="622"/>
      <c r="T145" s="622"/>
      <c r="U145" s="622"/>
      <c r="V145" s="622"/>
      <c r="W145" s="622"/>
      <c r="X145" s="622"/>
      <c r="Y145" s="606"/>
      <c r="Z145" s="606"/>
      <c r="AA145" s="19"/>
      <c r="AB145" s="19"/>
      <c r="AC145" s="19"/>
    </row>
    <row r="146" spans="1:29" outlineLevel="1" x14ac:dyDescent="0.2">
      <c r="A146" s="606"/>
      <c r="B146" s="606"/>
      <c r="C146" s="607"/>
      <c r="D146" s="631"/>
      <c r="E146" s="607"/>
      <c r="F146" s="607"/>
      <c r="G146" s="679"/>
      <c r="H146" s="607"/>
      <c r="I146" s="609"/>
      <c r="J146" s="677"/>
      <c r="K146" s="677"/>
      <c r="L146" s="677"/>
      <c r="M146" s="677"/>
      <c r="N146" s="678"/>
      <c r="O146" s="617"/>
      <c r="P146" s="617"/>
      <c r="Q146" s="617"/>
      <c r="R146" s="617"/>
      <c r="S146" s="622"/>
      <c r="T146" s="622"/>
      <c r="U146" s="622"/>
      <c r="V146" s="622"/>
      <c r="W146" s="622"/>
      <c r="X146" s="622"/>
      <c r="Y146" s="606"/>
      <c r="Z146" s="606"/>
      <c r="AA146" s="19"/>
      <c r="AB146" s="19"/>
      <c r="AC146" s="19"/>
    </row>
    <row r="147" spans="1:29" outlineLevel="1" x14ac:dyDescent="0.2">
      <c r="A147" s="606"/>
      <c r="B147" s="606"/>
      <c r="C147" s="607"/>
      <c r="D147" s="631"/>
      <c r="E147" s="607"/>
      <c r="F147" s="607"/>
      <c r="G147" s="679"/>
      <c r="H147" s="607"/>
      <c r="I147" s="609"/>
      <c r="J147" s="677"/>
      <c r="K147" s="677"/>
      <c r="L147" s="677"/>
      <c r="M147" s="677"/>
      <c r="N147" s="678"/>
      <c r="O147" s="617"/>
      <c r="P147" s="617"/>
      <c r="Q147" s="617"/>
      <c r="R147" s="617"/>
      <c r="S147" s="622"/>
      <c r="T147" s="622"/>
      <c r="U147" s="622"/>
      <c r="V147" s="622"/>
      <c r="W147" s="622"/>
      <c r="X147" s="622"/>
      <c r="Y147" s="606"/>
      <c r="Z147" s="606"/>
      <c r="AA147" s="19"/>
      <c r="AB147" s="19"/>
      <c r="AC147" s="19"/>
    </row>
    <row r="148" spans="1:29" outlineLevel="1" x14ac:dyDescent="0.2">
      <c r="A148" s="606"/>
      <c r="B148" s="606"/>
      <c r="C148" s="607"/>
      <c r="D148" s="631"/>
      <c r="E148" s="607"/>
      <c r="F148" s="607"/>
      <c r="G148" s="679"/>
      <c r="H148" s="607"/>
      <c r="I148" s="609"/>
      <c r="J148" s="677"/>
      <c r="K148" s="677"/>
      <c r="L148" s="677"/>
      <c r="M148" s="677"/>
      <c r="N148" s="678"/>
      <c r="O148" s="617"/>
      <c r="P148" s="617"/>
      <c r="Q148" s="617"/>
      <c r="R148" s="617"/>
      <c r="S148" s="622"/>
      <c r="T148" s="622"/>
      <c r="U148" s="622"/>
      <c r="V148" s="622"/>
      <c r="W148" s="622"/>
      <c r="X148" s="622"/>
      <c r="Y148" s="606"/>
      <c r="Z148" s="606"/>
      <c r="AA148" s="19"/>
      <c r="AB148" s="19"/>
      <c r="AC148" s="19"/>
    </row>
    <row r="149" spans="1:29" outlineLevel="1" x14ac:dyDescent="0.2">
      <c r="A149" s="606"/>
      <c r="B149" s="606"/>
      <c r="C149" s="607"/>
      <c r="D149" s="631"/>
      <c r="E149" s="607"/>
      <c r="F149" s="607"/>
      <c r="G149" s="679"/>
      <c r="H149" s="607"/>
      <c r="I149" s="609"/>
      <c r="J149" s="677"/>
      <c r="K149" s="677"/>
      <c r="L149" s="677"/>
      <c r="M149" s="677"/>
      <c r="N149" s="678"/>
      <c r="O149" s="617"/>
      <c r="P149" s="617"/>
      <c r="Q149" s="617"/>
      <c r="R149" s="617"/>
      <c r="S149" s="622"/>
      <c r="T149" s="622"/>
      <c r="U149" s="622"/>
      <c r="V149" s="622"/>
      <c r="W149" s="622"/>
      <c r="X149" s="622"/>
      <c r="Y149" s="606"/>
      <c r="Z149" s="606"/>
      <c r="AA149" s="19"/>
      <c r="AB149" s="19"/>
      <c r="AC149" s="19"/>
    </row>
    <row r="150" spans="1:29" outlineLevel="1" x14ac:dyDescent="0.2">
      <c r="A150" s="606"/>
      <c r="B150" s="606"/>
      <c r="C150" s="607"/>
      <c r="D150" s="631"/>
      <c r="E150" s="607"/>
      <c r="F150" s="607"/>
      <c r="G150" s="679"/>
      <c r="H150" s="607"/>
      <c r="I150" s="609"/>
      <c r="J150" s="677"/>
      <c r="K150" s="677"/>
      <c r="L150" s="677"/>
      <c r="M150" s="677"/>
      <c r="N150" s="678"/>
      <c r="O150" s="617"/>
      <c r="P150" s="617"/>
      <c r="Q150" s="617"/>
      <c r="R150" s="617"/>
      <c r="S150" s="622"/>
      <c r="T150" s="622"/>
      <c r="U150" s="622"/>
      <c r="V150" s="622"/>
      <c r="W150" s="622"/>
      <c r="X150" s="622"/>
      <c r="Y150" s="606"/>
      <c r="Z150" s="606"/>
      <c r="AA150" s="19"/>
      <c r="AB150" s="19"/>
      <c r="AC150" s="19"/>
    </row>
    <row r="151" spans="1:29" outlineLevel="1" x14ac:dyDescent="0.2">
      <c r="A151" s="606"/>
      <c r="B151" s="606"/>
      <c r="C151" s="607"/>
      <c r="D151" s="631"/>
      <c r="E151" s="607"/>
      <c r="F151" s="607"/>
      <c r="G151" s="679"/>
      <c r="H151" s="607"/>
      <c r="I151" s="609"/>
      <c r="J151" s="677"/>
      <c r="K151" s="677"/>
      <c r="L151" s="677"/>
      <c r="M151" s="677"/>
      <c r="N151" s="678"/>
      <c r="O151" s="617"/>
      <c r="P151" s="617"/>
      <c r="Q151" s="617"/>
      <c r="R151" s="617"/>
      <c r="S151" s="622"/>
      <c r="T151" s="622"/>
      <c r="U151" s="622"/>
      <c r="V151" s="622"/>
      <c r="W151" s="622"/>
      <c r="X151" s="622"/>
      <c r="Y151" s="606"/>
      <c r="Z151" s="606"/>
      <c r="AA151" s="19"/>
      <c r="AB151" s="19"/>
      <c r="AC151" s="19"/>
    </row>
    <row r="152" spans="1:29" outlineLevel="1" x14ac:dyDescent="0.2">
      <c r="A152" s="606"/>
      <c r="B152" s="606"/>
      <c r="C152" s="607"/>
      <c r="D152" s="631"/>
      <c r="E152" s="607"/>
      <c r="F152" s="607"/>
      <c r="G152" s="679"/>
      <c r="H152" s="607"/>
      <c r="I152" s="609"/>
      <c r="J152" s="677"/>
      <c r="K152" s="677"/>
      <c r="L152" s="677"/>
      <c r="M152" s="677"/>
      <c r="N152" s="678"/>
      <c r="O152" s="617"/>
      <c r="P152" s="617"/>
      <c r="Q152" s="617"/>
      <c r="R152" s="617"/>
      <c r="S152" s="622"/>
      <c r="T152" s="622"/>
      <c r="U152" s="622"/>
      <c r="V152" s="622"/>
      <c r="W152" s="622"/>
      <c r="X152" s="622"/>
      <c r="Y152" s="606"/>
      <c r="Z152" s="606"/>
      <c r="AA152" s="19"/>
      <c r="AB152" s="19"/>
      <c r="AC152" s="19"/>
    </row>
    <row r="153" spans="1:29" outlineLevel="1" x14ac:dyDescent="0.2">
      <c r="A153" s="606"/>
      <c r="B153" s="606"/>
      <c r="C153" s="607"/>
      <c r="D153" s="631"/>
      <c r="E153" s="607"/>
      <c r="F153" s="607"/>
      <c r="G153" s="679"/>
      <c r="H153" s="607"/>
      <c r="I153" s="609"/>
      <c r="J153" s="677"/>
      <c r="K153" s="677"/>
      <c r="L153" s="677"/>
      <c r="M153" s="677"/>
      <c r="N153" s="678"/>
      <c r="O153" s="617"/>
      <c r="P153" s="617"/>
      <c r="Q153" s="617"/>
      <c r="R153" s="617"/>
      <c r="S153" s="622"/>
      <c r="T153" s="622"/>
      <c r="U153" s="622"/>
      <c r="V153" s="622"/>
      <c r="W153" s="622"/>
      <c r="X153" s="622"/>
      <c r="Y153" s="606"/>
      <c r="Z153" s="606"/>
      <c r="AA153" s="19"/>
      <c r="AB153" s="19"/>
      <c r="AC153" s="19"/>
    </row>
    <row r="154" spans="1:29" outlineLevel="1" x14ac:dyDescent="0.2">
      <c r="A154" s="606"/>
      <c r="B154" s="606"/>
      <c r="C154" s="607"/>
      <c r="D154" s="631"/>
      <c r="E154" s="607"/>
      <c r="F154" s="607"/>
      <c r="G154" s="679"/>
      <c r="H154" s="607"/>
      <c r="I154" s="609"/>
      <c r="J154" s="677"/>
      <c r="K154" s="677"/>
      <c r="L154" s="677"/>
      <c r="M154" s="677"/>
      <c r="N154" s="678"/>
      <c r="O154" s="617"/>
      <c r="P154" s="617"/>
      <c r="Q154" s="617"/>
      <c r="R154" s="617"/>
      <c r="S154" s="622"/>
      <c r="T154" s="622"/>
      <c r="U154" s="622"/>
      <c r="V154" s="622"/>
      <c r="W154" s="622"/>
      <c r="X154" s="622"/>
      <c r="Y154" s="606"/>
      <c r="Z154" s="606"/>
      <c r="AA154" s="19"/>
      <c r="AB154" s="19"/>
      <c r="AC154" s="19"/>
    </row>
    <row r="155" spans="1:29" outlineLevel="1" x14ac:dyDescent="0.2">
      <c r="A155" s="606"/>
      <c r="B155" s="606"/>
      <c r="C155" s="607"/>
      <c r="D155" s="631"/>
      <c r="E155" s="607"/>
      <c r="F155" s="607"/>
      <c r="G155" s="679"/>
      <c r="H155" s="607"/>
      <c r="I155" s="609"/>
      <c r="J155" s="677"/>
      <c r="K155" s="677"/>
      <c r="L155" s="677"/>
      <c r="M155" s="677"/>
      <c r="N155" s="678"/>
      <c r="O155" s="617"/>
      <c r="P155" s="617"/>
      <c r="Q155" s="617"/>
      <c r="R155" s="617"/>
      <c r="S155" s="622"/>
      <c r="T155" s="622"/>
      <c r="U155" s="622"/>
      <c r="V155" s="622"/>
      <c r="W155" s="622"/>
      <c r="X155" s="622"/>
      <c r="Y155" s="606"/>
      <c r="Z155" s="606"/>
      <c r="AA155" s="19"/>
      <c r="AB155" s="19"/>
      <c r="AC155" s="19"/>
    </row>
    <row r="156" spans="1:29" outlineLevel="2" x14ac:dyDescent="0.2">
      <c r="A156" s="606"/>
      <c r="B156" s="606"/>
      <c r="C156" s="607"/>
      <c r="D156" s="631"/>
      <c r="E156" s="607"/>
      <c r="F156" s="607"/>
      <c r="G156" s="679"/>
      <c r="H156" s="607"/>
      <c r="I156" s="609"/>
      <c r="J156" s="677"/>
      <c r="K156" s="677"/>
      <c r="L156" s="677"/>
      <c r="M156" s="677"/>
      <c r="N156" s="678"/>
      <c r="O156" s="617"/>
      <c r="P156" s="617"/>
      <c r="Q156" s="617"/>
      <c r="R156" s="617"/>
      <c r="S156" s="622"/>
      <c r="T156" s="622"/>
      <c r="U156" s="622"/>
      <c r="V156" s="622"/>
      <c r="W156" s="622"/>
      <c r="X156" s="622"/>
      <c r="Y156" s="606"/>
      <c r="Z156" s="606"/>
      <c r="AA156" s="19"/>
      <c r="AB156" s="19"/>
      <c r="AC156" s="19"/>
    </row>
    <row r="157" spans="1:29" outlineLevel="2" x14ac:dyDescent="0.2">
      <c r="A157" s="606"/>
      <c r="B157" s="606"/>
      <c r="C157" s="607"/>
      <c r="D157" s="631"/>
      <c r="E157" s="607"/>
      <c r="F157" s="607"/>
      <c r="G157" s="679"/>
      <c r="H157" s="607"/>
      <c r="I157" s="609"/>
      <c r="J157" s="677"/>
      <c r="K157" s="677"/>
      <c r="L157" s="677"/>
      <c r="M157" s="677"/>
      <c r="N157" s="678"/>
      <c r="O157" s="617"/>
      <c r="P157" s="617"/>
      <c r="Q157" s="617"/>
      <c r="R157" s="617"/>
      <c r="S157" s="622"/>
      <c r="T157" s="622"/>
      <c r="U157" s="622"/>
      <c r="V157" s="622"/>
      <c r="W157" s="622"/>
      <c r="X157" s="622"/>
      <c r="Y157" s="606"/>
      <c r="Z157" s="606"/>
      <c r="AA157" s="19"/>
      <c r="AB157" s="19"/>
      <c r="AC157" s="19"/>
    </row>
    <row r="158" spans="1:29" outlineLevel="2" x14ac:dyDescent="0.2">
      <c r="A158" s="606"/>
      <c r="B158" s="606"/>
      <c r="C158" s="607"/>
      <c r="D158" s="631"/>
      <c r="E158" s="607"/>
      <c r="F158" s="607"/>
      <c r="G158" s="679"/>
      <c r="H158" s="607"/>
      <c r="I158" s="609"/>
      <c r="J158" s="677"/>
      <c r="K158" s="677"/>
      <c r="L158" s="677"/>
      <c r="M158" s="677"/>
      <c r="N158" s="678"/>
      <c r="O158" s="617"/>
      <c r="P158" s="617"/>
      <c r="Q158" s="617"/>
      <c r="R158" s="617"/>
      <c r="S158" s="622"/>
      <c r="T158" s="622"/>
      <c r="U158" s="622"/>
      <c r="V158" s="622"/>
      <c r="W158" s="622"/>
      <c r="X158" s="622"/>
      <c r="Y158" s="606"/>
      <c r="Z158" s="606"/>
      <c r="AA158" s="19"/>
      <c r="AB158" s="19"/>
      <c r="AC158" s="19"/>
    </row>
    <row r="159" spans="1:29" outlineLevel="2" x14ac:dyDescent="0.2">
      <c r="A159" s="606"/>
      <c r="B159" s="606"/>
      <c r="C159" s="607"/>
      <c r="D159" s="631"/>
      <c r="E159" s="607"/>
      <c r="F159" s="607"/>
      <c r="G159" s="679"/>
      <c r="H159" s="607"/>
      <c r="I159" s="609"/>
      <c r="J159" s="677"/>
      <c r="K159" s="677"/>
      <c r="L159" s="677"/>
      <c r="M159" s="677"/>
      <c r="N159" s="678"/>
      <c r="O159" s="617"/>
      <c r="P159" s="617"/>
      <c r="Q159" s="617"/>
      <c r="R159" s="617"/>
      <c r="S159" s="622"/>
      <c r="T159" s="622"/>
      <c r="U159" s="622"/>
      <c r="V159" s="622"/>
      <c r="W159" s="622"/>
      <c r="X159" s="622"/>
      <c r="Y159" s="606"/>
      <c r="Z159" s="606"/>
      <c r="AA159" s="19"/>
      <c r="AB159" s="19"/>
      <c r="AC159" s="19"/>
    </row>
    <row r="160" spans="1:29" outlineLevel="2" x14ac:dyDescent="0.2">
      <c r="A160" s="606"/>
      <c r="B160" s="606"/>
      <c r="C160" s="607"/>
      <c r="D160" s="631"/>
      <c r="E160" s="607"/>
      <c r="F160" s="607"/>
      <c r="G160" s="679"/>
      <c r="H160" s="607"/>
      <c r="I160" s="609"/>
      <c r="J160" s="677"/>
      <c r="K160" s="677"/>
      <c r="L160" s="677"/>
      <c r="M160" s="677"/>
      <c r="N160" s="678"/>
      <c r="O160" s="617"/>
      <c r="P160" s="617"/>
      <c r="Q160" s="617"/>
      <c r="R160" s="617"/>
      <c r="S160" s="622"/>
      <c r="T160" s="622"/>
      <c r="U160" s="622"/>
      <c r="V160" s="622"/>
      <c r="W160" s="622"/>
      <c r="X160" s="622"/>
      <c r="Y160" s="606"/>
      <c r="Z160" s="606"/>
      <c r="AA160" s="19"/>
      <c r="AB160" s="19"/>
      <c r="AC160" s="19"/>
    </row>
    <row r="161" spans="1:29" outlineLevel="2" x14ac:dyDescent="0.2">
      <c r="A161" s="606"/>
      <c r="B161" s="606"/>
      <c r="C161" s="607"/>
      <c r="D161" s="631"/>
      <c r="E161" s="607"/>
      <c r="F161" s="607"/>
      <c r="G161" s="679"/>
      <c r="H161" s="607"/>
      <c r="I161" s="609"/>
      <c r="J161" s="677"/>
      <c r="K161" s="677"/>
      <c r="L161" s="677"/>
      <c r="M161" s="677"/>
      <c r="N161" s="678"/>
      <c r="O161" s="617"/>
      <c r="P161" s="617"/>
      <c r="Q161" s="617"/>
      <c r="R161" s="617"/>
      <c r="S161" s="622"/>
      <c r="T161" s="622"/>
      <c r="U161" s="622"/>
      <c r="V161" s="622"/>
      <c r="W161" s="622"/>
      <c r="X161" s="622"/>
      <c r="Y161" s="606"/>
      <c r="Z161" s="606"/>
      <c r="AA161" s="19"/>
      <c r="AB161" s="19"/>
      <c r="AC161" s="19"/>
    </row>
    <row r="162" spans="1:29" outlineLevel="2" x14ac:dyDescent="0.2">
      <c r="A162" s="606"/>
      <c r="B162" s="606"/>
      <c r="C162" s="607"/>
      <c r="D162" s="631"/>
      <c r="E162" s="607"/>
      <c r="F162" s="607"/>
      <c r="G162" s="679"/>
      <c r="H162" s="607"/>
      <c r="I162" s="609"/>
      <c r="J162" s="677"/>
      <c r="K162" s="677"/>
      <c r="L162" s="677"/>
      <c r="M162" s="677"/>
      <c r="N162" s="678"/>
      <c r="O162" s="617"/>
      <c r="P162" s="617"/>
      <c r="Q162" s="617"/>
      <c r="R162" s="617"/>
      <c r="S162" s="622"/>
      <c r="T162" s="622"/>
      <c r="U162" s="622"/>
      <c r="V162" s="622"/>
      <c r="W162" s="622"/>
      <c r="X162" s="622"/>
      <c r="Y162" s="606"/>
      <c r="Z162" s="606"/>
      <c r="AA162" s="19"/>
      <c r="AB162" s="19"/>
      <c r="AC162" s="19"/>
    </row>
    <row r="163" spans="1:29" outlineLevel="2" x14ac:dyDescent="0.2">
      <c r="A163" s="606"/>
      <c r="B163" s="606"/>
      <c r="C163" s="607"/>
      <c r="D163" s="631"/>
      <c r="E163" s="607"/>
      <c r="F163" s="607"/>
      <c r="G163" s="679"/>
      <c r="H163" s="607"/>
      <c r="I163" s="609"/>
      <c r="J163" s="677"/>
      <c r="K163" s="677"/>
      <c r="L163" s="677"/>
      <c r="M163" s="677"/>
      <c r="N163" s="678"/>
      <c r="O163" s="617"/>
      <c r="P163" s="617"/>
      <c r="Q163" s="617"/>
      <c r="R163" s="617"/>
      <c r="S163" s="622"/>
      <c r="T163" s="622"/>
      <c r="U163" s="622"/>
      <c r="V163" s="622"/>
      <c r="W163" s="622"/>
      <c r="X163" s="622"/>
      <c r="Y163" s="606"/>
      <c r="Z163" s="606"/>
      <c r="AA163" s="19"/>
      <c r="AB163" s="19"/>
      <c r="AC163" s="19"/>
    </row>
    <row r="164" spans="1:29" outlineLevel="2" x14ac:dyDescent="0.2">
      <c r="A164" s="606"/>
      <c r="B164" s="606"/>
      <c r="C164" s="607"/>
      <c r="D164" s="631"/>
      <c r="E164" s="607"/>
      <c r="F164" s="607"/>
      <c r="G164" s="679"/>
      <c r="H164" s="607"/>
      <c r="I164" s="609"/>
      <c r="J164" s="677"/>
      <c r="K164" s="677"/>
      <c r="L164" s="677"/>
      <c r="M164" s="677"/>
      <c r="N164" s="678"/>
      <c r="O164" s="617"/>
      <c r="P164" s="617"/>
      <c r="Q164" s="617"/>
      <c r="R164" s="617"/>
      <c r="S164" s="622"/>
      <c r="T164" s="622"/>
      <c r="U164" s="622"/>
      <c r="V164" s="622"/>
      <c r="W164" s="622"/>
      <c r="X164" s="622"/>
      <c r="Y164" s="606"/>
      <c r="Z164" s="606"/>
      <c r="AA164" s="19"/>
      <c r="AB164" s="19"/>
      <c r="AC164" s="19"/>
    </row>
    <row r="165" spans="1:29" outlineLevel="2" x14ac:dyDescent="0.2">
      <c r="A165" s="606"/>
      <c r="B165" s="606"/>
      <c r="C165" s="607"/>
      <c r="D165" s="631"/>
      <c r="E165" s="607"/>
      <c r="F165" s="607"/>
      <c r="G165" s="679"/>
      <c r="H165" s="607"/>
      <c r="I165" s="609"/>
      <c r="J165" s="677"/>
      <c r="K165" s="677"/>
      <c r="L165" s="677"/>
      <c r="M165" s="677"/>
      <c r="N165" s="678"/>
      <c r="O165" s="617"/>
      <c r="P165" s="617"/>
      <c r="Q165" s="617"/>
      <c r="R165" s="617"/>
      <c r="S165" s="622"/>
      <c r="T165" s="622"/>
      <c r="U165" s="622"/>
      <c r="V165" s="622"/>
      <c r="W165" s="622"/>
      <c r="X165" s="622"/>
      <c r="Y165" s="606"/>
      <c r="Z165" s="606"/>
      <c r="AA165" s="19"/>
      <c r="AB165" s="19"/>
      <c r="AC165" s="19"/>
    </row>
    <row r="166" spans="1:29" outlineLevel="2" x14ac:dyDescent="0.2">
      <c r="A166" s="606"/>
      <c r="B166" s="606"/>
      <c r="C166" s="607"/>
      <c r="D166" s="631"/>
      <c r="E166" s="607"/>
      <c r="F166" s="607"/>
      <c r="G166" s="679"/>
      <c r="H166" s="607"/>
      <c r="I166" s="609"/>
      <c r="J166" s="677"/>
      <c r="K166" s="677"/>
      <c r="L166" s="677"/>
      <c r="M166" s="677"/>
      <c r="N166" s="678"/>
      <c r="O166" s="617"/>
      <c r="P166" s="617"/>
      <c r="Q166" s="617"/>
      <c r="R166" s="617"/>
      <c r="S166" s="622"/>
      <c r="T166" s="622"/>
      <c r="U166" s="622"/>
      <c r="V166" s="622"/>
      <c r="W166" s="622"/>
      <c r="X166" s="622"/>
      <c r="Y166" s="606"/>
      <c r="Z166" s="606"/>
      <c r="AA166" s="19"/>
      <c r="AB166" s="19"/>
      <c r="AC166" s="19"/>
    </row>
    <row r="167" spans="1:29" outlineLevel="2" x14ac:dyDescent="0.2">
      <c r="A167" s="606"/>
      <c r="B167" s="606"/>
      <c r="C167" s="607"/>
      <c r="D167" s="631"/>
      <c r="E167" s="607"/>
      <c r="F167" s="607"/>
      <c r="G167" s="679"/>
      <c r="H167" s="607"/>
      <c r="I167" s="609"/>
      <c r="J167" s="677"/>
      <c r="K167" s="677"/>
      <c r="L167" s="677"/>
      <c r="M167" s="677"/>
      <c r="N167" s="678"/>
      <c r="O167" s="617"/>
      <c r="P167" s="617"/>
      <c r="Q167" s="617"/>
      <c r="R167" s="617"/>
      <c r="S167" s="622"/>
      <c r="T167" s="622"/>
      <c r="U167" s="622"/>
      <c r="V167" s="622"/>
      <c r="W167" s="622"/>
      <c r="X167" s="622"/>
      <c r="Y167" s="606"/>
      <c r="Z167" s="606"/>
      <c r="AA167" s="19"/>
      <c r="AB167" s="19"/>
      <c r="AC167" s="19"/>
    </row>
    <row r="168" spans="1:29" outlineLevel="2" x14ac:dyDescent="0.2">
      <c r="A168" s="606"/>
      <c r="B168" s="606"/>
      <c r="C168" s="607"/>
      <c r="D168" s="631"/>
      <c r="E168" s="607"/>
      <c r="F168" s="607"/>
      <c r="G168" s="679"/>
      <c r="H168" s="607"/>
      <c r="I168" s="609"/>
      <c r="J168" s="677"/>
      <c r="K168" s="677"/>
      <c r="L168" s="677"/>
      <c r="M168" s="677"/>
      <c r="N168" s="678"/>
      <c r="O168" s="617"/>
      <c r="P168" s="617"/>
      <c r="Q168" s="617"/>
      <c r="R168" s="617"/>
      <c r="S168" s="622"/>
      <c r="T168" s="622"/>
      <c r="U168" s="622"/>
      <c r="V168" s="622"/>
      <c r="W168" s="622"/>
      <c r="X168" s="622"/>
      <c r="Y168" s="606"/>
      <c r="Z168" s="606"/>
      <c r="AA168" s="19"/>
      <c r="AB168" s="19"/>
      <c r="AC168" s="19"/>
    </row>
    <row r="169" spans="1:29" outlineLevel="2" x14ac:dyDescent="0.2">
      <c r="A169" s="606"/>
      <c r="B169" s="606"/>
      <c r="C169" s="607"/>
      <c r="D169" s="631"/>
      <c r="E169" s="607"/>
      <c r="F169" s="607"/>
      <c r="G169" s="679"/>
      <c r="H169" s="607"/>
      <c r="I169" s="609"/>
      <c r="J169" s="677"/>
      <c r="K169" s="677"/>
      <c r="L169" s="677"/>
      <c r="M169" s="677"/>
      <c r="N169" s="678"/>
      <c r="O169" s="617"/>
      <c r="P169" s="617"/>
      <c r="Q169" s="617"/>
      <c r="R169" s="617"/>
      <c r="S169" s="622"/>
      <c r="T169" s="622"/>
      <c r="U169" s="622"/>
      <c r="V169" s="622"/>
      <c r="W169" s="622"/>
      <c r="X169" s="622"/>
      <c r="Y169" s="606"/>
      <c r="Z169" s="606"/>
      <c r="AA169" s="19"/>
      <c r="AB169" s="19"/>
      <c r="AC169" s="19"/>
    </row>
    <row r="170" spans="1:29" outlineLevel="2" x14ac:dyDescent="0.2">
      <c r="A170" s="606"/>
      <c r="B170" s="606"/>
      <c r="C170" s="607"/>
      <c r="D170" s="631"/>
      <c r="E170" s="607"/>
      <c r="F170" s="607"/>
      <c r="G170" s="679"/>
      <c r="H170" s="607"/>
      <c r="I170" s="609"/>
      <c r="J170" s="677"/>
      <c r="K170" s="677"/>
      <c r="L170" s="677"/>
      <c r="M170" s="677"/>
      <c r="N170" s="678"/>
      <c r="O170" s="617"/>
      <c r="P170" s="617"/>
      <c r="Q170" s="617"/>
      <c r="R170" s="617"/>
      <c r="S170" s="622"/>
      <c r="T170" s="622"/>
      <c r="U170" s="622"/>
      <c r="V170" s="622"/>
      <c r="W170" s="622"/>
      <c r="X170" s="622"/>
      <c r="Y170" s="606"/>
      <c r="Z170" s="606"/>
      <c r="AA170" s="19"/>
      <c r="AB170" s="19"/>
      <c r="AC170" s="19"/>
    </row>
    <row r="171" spans="1:29" outlineLevel="2" x14ac:dyDescent="0.2">
      <c r="A171" s="606"/>
      <c r="B171" s="606"/>
      <c r="C171" s="607"/>
      <c r="D171" s="631"/>
      <c r="E171" s="607"/>
      <c r="F171" s="607"/>
      <c r="G171" s="679"/>
      <c r="H171" s="607"/>
      <c r="I171" s="609"/>
      <c r="J171" s="677"/>
      <c r="K171" s="677"/>
      <c r="L171" s="677"/>
      <c r="M171" s="677"/>
      <c r="N171" s="678"/>
      <c r="O171" s="617"/>
      <c r="P171" s="617"/>
      <c r="Q171" s="617"/>
      <c r="R171" s="617"/>
      <c r="S171" s="622"/>
      <c r="T171" s="622"/>
      <c r="U171" s="622"/>
      <c r="V171" s="622"/>
      <c r="W171" s="622"/>
      <c r="X171" s="622"/>
      <c r="Y171" s="606"/>
      <c r="Z171" s="606"/>
      <c r="AA171" s="19"/>
      <c r="AB171" s="19"/>
      <c r="AC171" s="19"/>
    </row>
    <row r="172" spans="1:29" outlineLevel="2" x14ac:dyDescent="0.2">
      <c r="A172" s="606"/>
      <c r="B172" s="606"/>
      <c r="C172" s="607"/>
      <c r="D172" s="631"/>
      <c r="E172" s="607"/>
      <c r="F172" s="607"/>
      <c r="G172" s="679"/>
      <c r="H172" s="607"/>
      <c r="I172" s="609"/>
      <c r="J172" s="677"/>
      <c r="K172" s="677"/>
      <c r="L172" s="677"/>
      <c r="M172" s="677"/>
      <c r="N172" s="678"/>
      <c r="O172" s="617"/>
      <c r="P172" s="617"/>
      <c r="Q172" s="617"/>
      <c r="R172" s="617"/>
      <c r="S172" s="622"/>
      <c r="T172" s="622"/>
      <c r="U172" s="622"/>
      <c r="V172" s="622"/>
      <c r="W172" s="622"/>
      <c r="X172" s="622"/>
      <c r="Y172" s="606"/>
      <c r="Z172" s="606"/>
      <c r="AA172" s="19"/>
      <c r="AB172" s="19"/>
      <c r="AC172" s="19"/>
    </row>
    <row r="173" spans="1:29" outlineLevel="2" x14ac:dyDescent="0.2">
      <c r="A173" s="606"/>
      <c r="B173" s="606"/>
      <c r="C173" s="607"/>
      <c r="D173" s="631"/>
      <c r="E173" s="607"/>
      <c r="F173" s="607"/>
      <c r="G173" s="679"/>
      <c r="H173" s="607"/>
      <c r="I173" s="609"/>
      <c r="J173" s="677"/>
      <c r="K173" s="677"/>
      <c r="L173" s="677"/>
      <c r="M173" s="677"/>
      <c r="N173" s="678"/>
      <c r="O173" s="617"/>
      <c r="P173" s="617"/>
      <c r="Q173" s="617"/>
      <c r="R173" s="617"/>
      <c r="S173" s="622"/>
      <c r="T173" s="622"/>
      <c r="U173" s="622"/>
      <c r="V173" s="622"/>
      <c r="W173" s="622"/>
      <c r="X173" s="622"/>
      <c r="Y173" s="606"/>
      <c r="Z173" s="606"/>
      <c r="AA173" s="19"/>
      <c r="AB173" s="19"/>
      <c r="AC173" s="19"/>
    </row>
    <row r="174" spans="1:29" outlineLevel="2" x14ac:dyDescent="0.2">
      <c r="A174" s="606"/>
      <c r="B174" s="606"/>
      <c r="C174" s="607"/>
      <c r="D174" s="631"/>
      <c r="E174" s="607"/>
      <c r="F174" s="607"/>
      <c r="G174" s="679"/>
      <c r="H174" s="607"/>
      <c r="I174" s="609"/>
      <c r="J174" s="677"/>
      <c r="K174" s="677"/>
      <c r="L174" s="677"/>
      <c r="M174" s="677"/>
      <c r="N174" s="678"/>
      <c r="O174" s="617"/>
      <c r="P174" s="617"/>
      <c r="Q174" s="617"/>
      <c r="R174" s="617"/>
      <c r="S174" s="622"/>
      <c r="T174" s="622"/>
      <c r="U174" s="622"/>
      <c r="V174" s="622"/>
      <c r="W174" s="622"/>
      <c r="X174" s="622"/>
      <c r="Y174" s="606"/>
      <c r="Z174" s="606"/>
      <c r="AA174" s="19"/>
      <c r="AB174" s="19"/>
      <c r="AC174" s="19"/>
    </row>
    <row r="175" spans="1:29" outlineLevel="2" x14ac:dyDescent="0.2">
      <c r="A175" s="606"/>
      <c r="B175" s="606"/>
      <c r="C175" s="607"/>
      <c r="D175" s="631"/>
      <c r="E175" s="607"/>
      <c r="F175" s="607"/>
      <c r="G175" s="607"/>
      <c r="H175" s="607"/>
      <c r="I175" s="609"/>
      <c r="J175" s="677"/>
      <c r="K175" s="677"/>
      <c r="L175" s="677"/>
      <c r="M175" s="677"/>
      <c r="N175" s="678"/>
      <c r="O175" s="617"/>
      <c r="P175" s="617"/>
      <c r="Q175" s="617"/>
      <c r="R175" s="617"/>
      <c r="S175" s="622"/>
      <c r="T175" s="622"/>
      <c r="U175" s="622"/>
      <c r="V175" s="622"/>
      <c r="W175" s="622"/>
      <c r="X175" s="622"/>
      <c r="Y175" s="606"/>
      <c r="Z175" s="606"/>
      <c r="AA175" s="19"/>
      <c r="AB175" s="19"/>
      <c r="AC175" s="19"/>
    </row>
    <row r="176" spans="1:29" outlineLevel="2" x14ac:dyDescent="0.2">
      <c r="A176" s="606"/>
      <c r="B176" s="606"/>
      <c r="C176" s="607"/>
      <c r="D176" s="631"/>
      <c r="E176" s="607"/>
      <c r="F176" s="607"/>
      <c r="G176" s="607"/>
      <c r="H176" s="607"/>
      <c r="I176" s="609"/>
      <c r="J176" s="677"/>
      <c r="K176" s="677"/>
      <c r="L176" s="677"/>
      <c r="M176" s="677"/>
      <c r="N176" s="678"/>
      <c r="O176" s="617"/>
      <c r="P176" s="617"/>
      <c r="Q176" s="617"/>
      <c r="R176" s="617"/>
      <c r="S176" s="622"/>
      <c r="T176" s="622"/>
      <c r="U176" s="622"/>
      <c r="V176" s="622"/>
      <c r="W176" s="622"/>
      <c r="X176" s="622"/>
      <c r="Y176" s="606"/>
      <c r="Z176" s="606"/>
      <c r="AA176" s="19"/>
      <c r="AB176" s="19"/>
      <c r="AC176" s="19"/>
    </row>
    <row r="177" spans="1:29" outlineLevel="2" x14ac:dyDescent="0.2">
      <c r="A177" s="606"/>
      <c r="B177" s="606"/>
      <c r="C177" s="607"/>
      <c r="D177" s="631"/>
      <c r="E177" s="607"/>
      <c r="F177" s="607"/>
      <c r="G177" s="607"/>
      <c r="H177" s="607"/>
      <c r="I177" s="609"/>
      <c r="J177" s="677"/>
      <c r="K177" s="677"/>
      <c r="L177" s="677"/>
      <c r="M177" s="677"/>
      <c r="N177" s="678"/>
      <c r="O177" s="617"/>
      <c r="P177" s="617"/>
      <c r="Q177" s="617"/>
      <c r="R177" s="617"/>
      <c r="S177" s="622"/>
      <c r="T177" s="622"/>
      <c r="U177" s="622"/>
      <c r="V177" s="622"/>
      <c r="W177" s="622"/>
      <c r="X177" s="622"/>
      <c r="Y177" s="606"/>
      <c r="Z177" s="606"/>
      <c r="AA177" s="19"/>
      <c r="AB177" s="19"/>
      <c r="AC177" s="19"/>
    </row>
    <row r="178" spans="1:29" outlineLevel="2" x14ac:dyDescent="0.2">
      <c r="A178" s="606"/>
      <c r="B178" s="606"/>
      <c r="C178" s="607"/>
      <c r="D178" s="631"/>
      <c r="E178" s="607"/>
      <c r="F178" s="607"/>
      <c r="G178" s="607"/>
      <c r="H178" s="607"/>
      <c r="I178" s="609"/>
      <c r="J178" s="677"/>
      <c r="K178" s="677"/>
      <c r="L178" s="677"/>
      <c r="M178" s="677"/>
      <c r="N178" s="678"/>
      <c r="O178" s="617"/>
      <c r="P178" s="617"/>
      <c r="Q178" s="617"/>
      <c r="R178" s="617"/>
      <c r="S178" s="622"/>
      <c r="T178" s="622"/>
      <c r="U178" s="622"/>
      <c r="V178" s="622"/>
      <c r="W178" s="622"/>
      <c r="X178" s="622"/>
      <c r="Y178" s="606"/>
      <c r="Z178" s="606"/>
      <c r="AA178" s="19"/>
      <c r="AB178" s="19"/>
      <c r="AC178" s="19"/>
    </row>
    <row r="179" spans="1:29" outlineLevel="2" x14ac:dyDescent="0.2">
      <c r="A179" s="606"/>
      <c r="B179" s="606"/>
      <c r="C179" s="607"/>
      <c r="D179" s="631"/>
      <c r="E179" s="607"/>
      <c r="F179" s="607"/>
      <c r="G179" s="607"/>
      <c r="H179" s="607"/>
      <c r="I179" s="609"/>
      <c r="J179" s="677"/>
      <c r="K179" s="677"/>
      <c r="L179" s="677"/>
      <c r="M179" s="677"/>
      <c r="N179" s="678"/>
      <c r="O179" s="617"/>
      <c r="P179" s="617"/>
      <c r="Q179" s="617"/>
      <c r="R179" s="617"/>
      <c r="S179" s="622"/>
      <c r="T179" s="622"/>
      <c r="U179" s="622"/>
      <c r="V179" s="622"/>
      <c r="W179" s="622"/>
      <c r="X179" s="622"/>
      <c r="Y179" s="606"/>
      <c r="Z179" s="606"/>
      <c r="AA179" s="19"/>
      <c r="AB179" s="19"/>
      <c r="AC179" s="19"/>
    </row>
    <row r="180" spans="1:29" outlineLevel="2" x14ac:dyDescent="0.2">
      <c r="A180" s="606"/>
      <c r="B180" s="606"/>
      <c r="C180" s="607"/>
      <c r="D180" s="631"/>
      <c r="E180" s="607"/>
      <c r="F180" s="607"/>
      <c r="G180" s="607"/>
      <c r="H180" s="607"/>
      <c r="I180" s="609"/>
      <c r="J180" s="677"/>
      <c r="K180" s="677"/>
      <c r="L180" s="677"/>
      <c r="M180" s="677"/>
      <c r="N180" s="678"/>
      <c r="O180" s="617"/>
      <c r="P180" s="617"/>
      <c r="Q180" s="617"/>
      <c r="R180" s="617"/>
      <c r="S180" s="622"/>
      <c r="T180" s="622"/>
      <c r="U180" s="622"/>
      <c r="V180" s="622"/>
      <c r="W180" s="622"/>
      <c r="X180" s="622"/>
      <c r="Y180" s="606"/>
      <c r="Z180" s="606"/>
      <c r="AA180" s="19"/>
      <c r="AB180" s="19"/>
      <c r="AC180" s="19"/>
    </row>
    <row r="181" spans="1:29" outlineLevel="2" x14ac:dyDescent="0.2">
      <c r="A181" s="606"/>
      <c r="B181" s="606"/>
      <c r="C181" s="607"/>
      <c r="D181" s="631"/>
      <c r="E181" s="607"/>
      <c r="F181" s="607"/>
      <c r="G181" s="607"/>
      <c r="H181" s="607"/>
      <c r="I181" s="609"/>
      <c r="J181" s="677"/>
      <c r="K181" s="677"/>
      <c r="L181" s="677"/>
      <c r="M181" s="677"/>
      <c r="N181" s="678"/>
      <c r="O181" s="617"/>
      <c r="P181" s="617"/>
      <c r="Q181" s="617"/>
      <c r="R181" s="617"/>
      <c r="S181" s="622"/>
      <c r="T181" s="622"/>
      <c r="U181" s="622"/>
      <c r="V181" s="622"/>
      <c r="W181" s="622"/>
      <c r="X181" s="622"/>
      <c r="Y181" s="606"/>
      <c r="Z181" s="606"/>
      <c r="AA181" s="19"/>
      <c r="AB181" s="19"/>
      <c r="AC181" s="19"/>
    </row>
    <row r="182" spans="1:29" outlineLevel="2" x14ac:dyDescent="0.2">
      <c r="A182" s="606"/>
      <c r="B182" s="606"/>
      <c r="C182" s="607"/>
      <c r="D182" s="631"/>
      <c r="E182" s="607"/>
      <c r="F182" s="607"/>
      <c r="G182" s="607"/>
      <c r="H182" s="607"/>
      <c r="I182" s="609"/>
      <c r="J182" s="677"/>
      <c r="K182" s="677"/>
      <c r="L182" s="677"/>
      <c r="M182" s="677"/>
      <c r="N182" s="678"/>
      <c r="O182" s="617"/>
      <c r="P182" s="617"/>
      <c r="Q182" s="617"/>
      <c r="R182" s="617"/>
      <c r="S182" s="622"/>
      <c r="T182" s="622"/>
      <c r="U182" s="622"/>
      <c r="V182" s="622"/>
      <c r="W182" s="622"/>
      <c r="X182" s="622"/>
      <c r="Y182" s="606"/>
      <c r="Z182" s="606"/>
      <c r="AA182" s="19"/>
      <c r="AB182" s="19"/>
      <c r="AC182" s="19"/>
    </row>
    <row r="183" spans="1:29" outlineLevel="2" x14ac:dyDescent="0.2">
      <c r="A183" s="606"/>
      <c r="B183" s="606"/>
      <c r="C183" s="607"/>
      <c r="D183" s="631"/>
      <c r="E183" s="607"/>
      <c r="F183" s="607"/>
      <c r="G183" s="607"/>
      <c r="H183" s="607"/>
      <c r="I183" s="609"/>
      <c r="J183" s="677"/>
      <c r="K183" s="677"/>
      <c r="L183" s="677"/>
      <c r="M183" s="677"/>
      <c r="N183" s="678"/>
      <c r="O183" s="617"/>
      <c r="P183" s="617"/>
      <c r="Q183" s="617"/>
      <c r="R183" s="617"/>
      <c r="S183" s="622"/>
      <c r="T183" s="622"/>
      <c r="U183" s="622"/>
      <c r="V183" s="622"/>
      <c r="W183" s="622"/>
      <c r="X183" s="622"/>
      <c r="Y183" s="606"/>
      <c r="Z183" s="606"/>
      <c r="AA183" s="19"/>
      <c r="AB183" s="19"/>
      <c r="AC183" s="19"/>
    </row>
    <row r="184" spans="1:29" outlineLevel="2" x14ac:dyDescent="0.2">
      <c r="A184" s="606"/>
      <c r="B184" s="606"/>
      <c r="C184" s="607"/>
      <c r="D184" s="631"/>
      <c r="E184" s="607"/>
      <c r="F184" s="607"/>
      <c r="G184" s="607"/>
      <c r="H184" s="607"/>
      <c r="I184" s="609"/>
      <c r="J184" s="677"/>
      <c r="K184" s="677"/>
      <c r="L184" s="677"/>
      <c r="M184" s="677"/>
      <c r="N184" s="678"/>
      <c r="O184" s="617"/>
      <c r="P184" s="617"/>
      <c r="Q184" s="617"/>
      <c r="R184" s="617"/>
      <c r="S184" s="622"/>
      <c r="T184" s="622"/>
      <c r="U184" s="622"/>
      <c r="V184" s="622"/>
      <c r="W184" s="622"/>
      <c r="X184" s="622"/>
      <c r="Y184" s="606"/>
      <c r="Z184" s="606"/>
      <c r="AA184" s="19"/>
      <c r="AB184" s="19"/>
      <c r="AC184" s="19"/>
    </row>
    <row r="185" spans="1:29" outlineLevel="2" x14ac:dyDescent="0.2">
      <c r="A185" s="606"/>
      <c r="B185" s="606"/>
      <c r="C185" s="607"/>
      <c r="D185" s="631"/>
      <c r="E185" s="607"/>
      <c r="F185" s="607"/>
      <c r="G185" s="607"/>
      <c r="H185" s="607"/>
      <c r="I185" s="609"/>
      <c r="J185" s="677"/>
      <c r="K185" s="677"/>
      <c r="L185" s="677"/>
      <c r="M185" s="677"/>
      <c r="N185" s="678"/>
      <c r="O185" s="617"/>
      <c r="P185" s="617"/>
      <c r="Q185" s="617"/>
      <c r="R185" s="617"/>
      <c r="S185" s="622"/>
      <c r="T185" s="622"/>
      <c r="U185" s="622"/>
      <c r="V185" s="622"/>
      <c r="W185" s="622"/>
      <c r="X185" s="622"/>
      <c r="Y185" s="606"/>
      <c r="Z185" s="606"/>
      <c r="AA185" s="19"/>
      <c r="AB185" s="19"/>
      <c r="AC185" s="19"/>
    </row>
    <row r="186" spans="1:29" outlineLevel="2" x14ac:dyDescent="0.2">
      <c r="A186" s="606"/>
      <c r="B186" s="606"/>
      <c r="C186" s="607"/>
      <c r="D186" s="631"/>
      <c r="E186" s="607"/>
      <c r="F186" s="607"/>
      <c r="G186" s="607"/>
      <c r="H186" s="607"/>
      <c r="I186" s="609"/>
      <c r="J186" s="677"/>
      <c r="K186" s="677"/>
      <c r="L186" s="677"/>
      <c r="M186" s="677"/>
      <c r="N186" s="678"/>
      <c r="O186" s="617"/>
      <c r="P186" s="617"/>
      <c r="Q186" s="617"/>
      <c r="R186" s="617"/>
      <c r="S186" s="622"/>
      <c r="T186" s="622"/>
      <c r="U186" s="622"/>
      <c r="V186" s="622"/>
      <c r="W186" s="622"/>
      <c r="X186" s="622"/>
      <c r="Y186" s="606"/>
      <c r="Z186" s="606"/>
      <c r="AA186" s="19"/>
      <c r="AB186" s="19"/>
      <c r="AC186" s="19"/>
    </row>
    <row r="187" spans="1:29" outlineLevel="2" x14ac:dyDescent="0.2">
      <c r="A187" s="606"/>
      <c r="B187" s="606"/>
      <c r="C187" s="607"/>
      <c r="D187" s="631"/>
      <c r="E187" s="607"/>
      <c r="F187" s="607"/>
      <c r="G187" s="607"/>
      <c r="H187" s="607"/>
      <c r="I187" s="609"/>
      <c r="J187" s="677"/>
      <c r="K187" s="677"/>
      <c r="L187" s="677"/>
      <c r="M187" s="677"/>
      <c r="N187" s="678"/>
      <c r="O187" s="617"/>
      <c r="P187" s="617"/>
      <c r="Q187" s="617"/>
      <c r="R187" s="617"/>
      <c r="S187" s="622"/>
      <c r="T187" s="622"/>
      <c r="U187" s="622"/>
      <c r="V187" s="622"/>
      <c r="W187" s="622"/>
      <c r="X187" s="622"/>
      <c r="Y187" s="606"/>
      <c r="Z187" s="606"/>
      <c r="AA187" s="19"/>
      <c r="AB187" s="19"/>
      <c r="AC187" s="19"/>
    </row>
    <row r="188" spans="1:29" outlineLevel="2" x14ac:dyDescent="0.2">
      <c r="A188" s="606"/>
      <c r="B188" s="606"/>
      <c r="C188" s="607"/>
      <c r="D188" s="631"/>
      <c r="E188" s="607"/>
      <c r="F188" s="607"/>
      <c r="G188" s="607"/>
      <c r="H188" s="607"/>
      <c r="I188" s="609"/>
      <c r="J188" s="677"/>
      <c r="K188" s="677"/>
      <c r="L188" s="677"/>
      <c r="M188" s="677"/>
      <c r="N188" s="678"/>
      <c r="O188" s="617"/>
      <c r="P188" s="617"/>
      <c r="Q188" s="617"/>
      <c r="R188" s="617"/>
      <c r="S188" s="622"/>
      <c r="T188" s="622"/>
      <c r="U188" s="622"/>
      <c r="V188" s="622"/>
      <c r="W188" s="622"/>
      <c r="X188" s="622"/>
      <c r="Y188" s="606"/>
      <c r="Z188" s="606"/>
      <c r="AA188" s="19"/>
      <c r="AB188" s="19"/>
      <c r="AC188" s="19"/>
    </row>
    <row r="189" spans="1:29" outlineLevel="2" x14ac:dyDescent="0.2">
      <c r="A189" s="606"/>
      <c r="B189" s="606"/>
      <c r="C189" s="607"/>
      <c r="D189" s="631"/>
      <c r="E189" s="607"/>
      <c r="F189" s="607"/>
      <c r="G189" s="607"/>
      <c r="H189" s="607"/>
      <c r="I189" s="609"/>
      <c r="J189" s="677"/>
      <c r="K189" s="677"/>
      <c r="L189" s="677"/>
      <c r="M189" s="677"/>
      <c r="N189" s="678"/>
      <c r="O189" s="617"/>
      <c r="P189" s="617"/>
      <c r="Q189" s="617"/>
      <c r="R189" s="617"/>
      <c r="S189" s="622"/>
      <c r="T189" s="622"/>
      <c r="U189" s="622"/>
      <c r="V189" s="622"/>
      <c r="W189" s="622"/>
      <c r="X189" s="622"/>
      <c r="Y189" s="606"/>
      <c r="Z189" s="606"/>
      <c r="AA189" s="19"/>
      <c r="AB189" s="19"/>
      <c r="AC189" s="19"/>
    </row>
    <row r="190" spans="1:29" outlineLevel="2" x14ac:dyDescent="0.2">
      <c r="A190" s="606"/>
      <c r="B190" s="606"/>
      <c r="C190" s="607"/>
      <c r="D190" s="631"/>
      <c r="E190" s="607"/>
      <c r="F190" s="607"/>
      <c r="G190" s="607"/>
      <c r="H190" s="607"/>
      <c r="I190" s="609"/>
      <c r="J190" s="677"/>
      <c r="K190" s="677"/>
      <c r="L190" s="677"/>
      <c r="M190" s="677"/>
      <c r="N190" s="678"/>
      <c r="O190" s="617"/>
      <c r="P190" s="617"/>
      <c r="Q190" s="617"/>
      <c r="R190" s="617"/>
      <c r="S190" s="622"/>
      <c r="T190" s="622"/>
      <c r="U190" s="622"/>
      <c r="V190" s="622"/>
      <c r="W190" s="622"/>
      <c r="X190" s="622"/>
      <c r="Y190" s="606"/>
      <c r="Z190" s="606"/>
      <c r="AA190" s="19"/>
      <c r="AB190" s="19"/>
      <c r="AC190" s="19"/>
    </row>
    <row r="191" spans="1:29" outlineLevel="2" x14ac:dyDescent="0.2">
      <c r="A191" s="606"/>
      <c r="B191" s="606"/>
      <c r="C191" s="607"/>
      <c r="D191" s="631"/>
      <c r="E191" s="607"/>
      <c r="F191" s="607"/>
      <c r="G191" s="607"/>
      <c r="H191" s="607"/>
      <c r="I191" s="609"/>
      <c r="J191" s="677"/>
      <c r="K191" s="677"/>
      <c r="L191" s="677"/>
      <c r="M191" s="677"/>
      <c r="N191" s="678"/>
      <c r="O191" s="617"/>
      <c r="P191" s="617"/>
      <c r="Q191" s="617"/>
      <c r="R191" s="617"/>
      <c r="S191" s="622"/>
      <c r="T191" s="622"/>
      <c r="U191" s="622"/>
      <c r="V191" s="622"/>
      <c r="W191" s="622"/>
      <c r="X191" s="622"/>
      <c r="Y191" s="606"/>
      <c r="Z191" s="606"/>
      <c r="AA191" s="19"/>
      <c r="AB191" s="19"/>
      <c r="AC191" s="19"/>
    </row>
    <row r="192" spans="1:29" outlineLevel="2" x14ac:dyDescent="0.2">
      <c r="A192" s="606"/>
      <c r="B192" s="606"/>
      <c r="C192" s="607"/>
      <c r="D192" s="631"/>
      <c r="E192" s="607"/>
      <c r="F192" s="607"/>
      <c r="G192" s="607"/>
      <c r="H192" s="607"/>
      <c r="I192" s="609"/>
      <c r="J192" s="677"/>
      <c r="K192" s="677"/>
      <c r="L192" s="677"/>
      <c r="M192" s="677"/>
      <c r="N192" s="678"/>
      <c r="O192" s="617"/>
      <c r="P192" s="617"/>
      <c r="Q192" s="617"/>
      <c r="R192" s="617"/>
      <c r="S192" s="622"/>
      <c r="T192" s="622"/>
      <c r="U192" s="622"/>
      <c r="V192" s="622"/>
      <c r="W192" s="622"/>
      <c r="X192" s="622"/>
      <c r="Y192" s="606"/>
      <c r="Z192" s="606"/>
      <c r="AA192" s="19"/>
      <c r="AB192" s="19"/>
      <c r="AC192" s="19"/>
    </row>
    <row r="193" spans="1:29" outlineLevel="2" x14ac:dyDescent="0.2">
      <c r="A193" s="606"/>
      <c r="B193" s="606"/>
      <c r="C193" s="607"/>
      <c r="D193" s="631"/>
      <c r="E193" s="607"/>
      <c r="F193" s="607"/>
      <c r="G193" s="607"/>
      <c r="H193" s="607"/>
      <c r="I193" s="609"/>
      <c r="J193" s="677"/>
      <c r="K193" s="677"/>
      <c r="L193" s="677"/>
      <c r="M193" s="677"/>
      <c r="N193" s="678"/>
      <c r="O193" s="617"/>
      <c r="P193" s="617"/>
      <c r="Q193" s="617"/>
      <c r="R193" s="617"/>
      <c r="S193" s="622"/>
      <c r="T193" s="622"/>
      <c r="U193" s="622"/>
      <c r="V193" s="622"/>
      <c r="W193" s="622"/>
      <c r="X193" s="622"/>
      <c r="Y193" s="606"/>
      <c r="Z193" s="606"/>
      <c r="AA193" s="19"/>
      <c r="AB193" s="19"/>
      <c r="AC193" s="19"/>
    </row>
    <row r="194" spans="1:29" outlineLevel="2" x14ac:dyDescent="0.2">
      <c r="A194" s="606"/>
      <c r="B194" s="606"/>
      <c r="C194" s="607"/>
      <c r="D194" s="631"/>
      <c r="E194" s="607"/>
      <c r="F194" s="607"/>
      <c r="G194" s="607"/>
      <c r="H194" s="607"/>
      <c r="I194" s="609"/>
      <c r="J194" s="677"/>
      <c r="K194" s="677"/>
      <c r="L194" s="677"/>
      <c r="M194" s="677"/>
      <c r="N194" s="678"/>
      <c r="O194" s="617"/>
      <c r="P194" s="617"/>
      <c r="Q194" s="617"/>
      <c r="R194" s="617"/>
      <c r="S194" s="622"/>
      <c r="T194" s="622"/>
      <c r="U194" s="622"/>
      <c r="V194" s="622"/>
      <c r="W194" s="622"/>
      <c r="X194" s="622"/>
      <c r="Y194" s="606"/>
      <c r="Z194" s="606"/>
      <c r="AA194" s="19"/>
      <c r="AB194" s="19"/>
      <c r="AC194" s="19"/>
    </row>
    <row r="195" spans="1:29" outlineLevel="2" x14ac:dyDescent="0.2">
      <c r="A195" s="606"/>
      <c r="B195" s="606"/>
      <c r="C195" s="607"/>
      <c r="D195" s="631"/>
      <c r="E195" s="607"/>
      <c r="F195" s="607"/>
      <c r="G195" s="607"/>
      <c r="H195" s="607"/>
      <c r="I195" s="609"/>
      <c r="J195" s="677"/>
      <c r="K195" s="677"/>
      <c r="L195" s="677"/>
      <c r="M195" s="677"/>
      <c r="N195" s="678"/>
      <c r="O195" s="617"/>
      <c r="P195" s="617"/>
      <c r="Q195" s="617"/>
      <c r="R195" s="617"/>
      <c r="S195" s="622"/>
      <c r="T195" s="622"/>
      <c r="U195" s="622"/>
      <c r="V195" s="622"/>
      <c r="W195" s="622"/>
      <c r="X195" s="622"/>
      <c r="Y195" s="606"/>
      <c r="Z195" s="606"/>
      <c r="AA195" s="19"/>
      <c r="AB195" s="19"/>
      <c r="AC195" s="19"/>
    </row>
    <row r="196" spans="1:29" outlineLevel="2" x14ac:dyDescent="0.2">
      <c r="A196" s="606"/>
      <c r="B196" s="606"/>
      <c r="C196" s="607"/>
      <c r="D196" s="631"/>
      <c r="E196" s="607"/>
      <c r="F196" s="607"/>
      <c r="G196" s="607"/>
      <c r="H196" s="607"/>
      <c r="I196" s="609"/>
      <c r="J196" s="677"/>
      <c r="K196" s="677"/>
      <c r="L196" s="677"/>
      <c r="M196" s="677"/>
      <c r="N196" s="678"/>
      <c r="O196" s="617"/>
      <c r="P196" s="617"/>
      <c r="Q196" s="617"/>
      <c r="R196" s="617"/>
      <c r="S196" s="622"/>
      <c r="T196" s="622"/>
      <c r="U196" s="622"/>
      <c r="V196" s="622"/>
      <c r="W196" s="622"/>
      <c r="X196" s="622"/>
      <c r="Y196" s="606"/>
      <c r="Z196" s="606"/>
      <c r="AA196" s="19"/>
      <c r="AB196" s="19"/>
      <c r="AC196" s="19"/>
    </row>
    <row r="197" spans="1:29" outlineLevel="2" x14ac:dyDescent="0.2">
      <c r="A197" s="606"/>
      <c r="B197" s="606"/>
      <c r="C197" s="607"/>
      <c r="D197" s="631"/>
      <c r="E197" s="607"/>
      <c r="F197" s="607"/>
      <c r="G197" s="607"/>
      <c r="H197" s="607"/>
      <c r="I197" s="609"/>
      <c r="J197" s="677"/>
      <c r="K197" s="677"/>
      <c r="L197" s="677"/>
      <c r="M197" s="677"/>
      <c r="N197" s="678"/>
      <c r="O197" s="617"/>
      <c r="P197" s="617"/>
      <c r="Q197" s="617"/>
      <c r="R197" s="617"/>
      <c r="S197" s="622"/>
      <c r="T197" s="622"/>
      <c r="U197" s="622"/>
      <c r="V197" s="622"/>
      <c r="W197" s="622"/>
      <c r="X197" s="622"/>
      <c r="Y197" s="606"/>
      <c r="Z197" s="606"/>
      <c r="AA197" s="19"/>
      <c r="AB197" s="19"/>
      <c r="AC197" s="19"/>
    </row>
    <row r="198" spans="1:29" outlineLevel="2" x14ac:dyDescent="0.2">
      <c r="A198" s="606"/>
      <c r="B198" s="606"/>
      <c r="C198" s="607"/>
      <c r="D198" s="631"/>
      <c r="E198" s="607"/>
      <c r="F198" s="607"/>
      <c r="G198" s="607"/>
      <c r="H198" s="607"/>
      <c r="I198" s="609"/>
      <c r="J198" s="677"/>
      <c r="K198" s="677"/>
      <c r="L198" s="677"/>
      <c r="M198" s="677"/>
      <c r="N198" s="678"/>
      <c r="O198" s="617"/>
      <c r="P198" s="617"/>
      <c r="Q198" s="617"/>
      <c r="R198" s="617"/>
      <c r="S198" s="622"/>
      <c r="T198" s="622"/>
      <c r="U198" s="622"/>
      <c r="V198" s="622"/>
      <c r="W198" s="622"/>
      <c r="X198" s="622"/>
      <c r="Y198" s="606"/>
      <c r="Z198" s="606"/>
      <c r="AA198" s="19"/>
      <c r="AB198" s="19"/>
      <c r="AC198" s="19"/>
    </row>
    <row r="199" spans="1:29" outlineLevel="2" x14ac:dyDescent="0.2">
      <c r="A199" s="606"/>
      <c r="B199" s="606"/>
      <c r="C199" s="607"/>
      <c r="D199" s="631"/>
      <c r="E199" s="607"/>
      <c r="F199" s="607"/>
      <c r="G199" s="607"/>
      <c r="H199" s="607"/>
      <c r="I199" s="609"/>
      <c r="J199" s="677"/>
      <c r="K199" s="677"/>
      <c r="L199" s="677"/>
      <c r="M199" s="677"/>
      <c r="N199" s="678"/>
      <c r="O199" s="617"/>
      <c r="P199" s="617"/>
      <c r="Q199" s="617"/>
      <c r="R199" s="617"/>
      <c r="S199" s="622"/>
      <c r="T199" s="622"/>
      <c r="U199" s="622"/>
      <c r="V199" s="622"/>
      <c r="W199" s="622"/>
      <c r="X199" s="622"/>
      <c r="Y199" s="606"/>
      <c r="Z199" s="606"/>
      <c r="AA199" s="19"/>
      <c r="AB199" s="19"/>
      <c r="AC199" s="19"/>
    </row>
    <row r="200" spans="1:29" outlineLevel="2" x14ac:dyDescent="0.2">
      <c r="A200" s="606"/>
      <c r="B200" s="606"/>
      <c r="C200" s="607"/>
      <c r="D200" s="631"/>
      <c r="E200" s="607"/>
      <c r="F200" s="607"/>
      <c r="G200" s="607"/>
      <c r="H200" s="607"/>
      <c r="I200" s="609"/>
      <c r="J200" s="677"/>
      <c r="K200" s="677"/>
      <c r="L200" s="677"/>
      <c r="M200" s="677"/>
      <c r="N200" s="678"/>
      <c r="O200" s="617"/>
      <c r="P200" s="617"/>
      <c r="Q200" s="617"/>
      <c r="R200" s="617"/>
      <c r="S200" s="622"/>
      <c r="T200" s="622"/>
      <c r="U200" s="622"/>
      <c r="V200" s="622"/>
      <c r="W200" s="622"/>
      <c r="X200" s="622"/>
      <c r="Y200" s="606"/>
      <c r="Z200" s="606"/>
      <c r="AA200" s="19"/>
      <c r="AB200" s="19"/>
      <c r="AC200" s="19"/>
    </row>
    <row r="201" spans="1:29" outlineLevel="2" x14ac:dyDescent="0.2">
      <c r="A201" s="606"/>
      <c r="B201" s="606"/>
      <c r="C201" s="607"/>
      <c r="D201" s="631"/>
      <c r="E201" s="607"/>
      <c r="F201" s="607"/>
      <c r="G201" s="607"/>
      <c r="H201" s="607"/>
      <c r="I201" s="609"/>
      <c r="J201" s="677"/>
      <c r="K201" s="677"/>
      <c r="L201" s="677"/>
      <c r="M201" s="677"/>
      <c r="N201" s="678"/>
      <c r="O201" s="617"/>
      <c r="P201" s="617"/>
      <c r="Q201" s="617"/>
      <c r="R201" s="617"/>
      <c r="S201" s="622"/>
      <c r="T201" s="622"/>
      <c r="U201" s="622"/>
      <c r="V201" s="622"/>
      <c r="W201" s="622"/>
      <c r="X201" s="622"/>
      <c r="Y201" s="606"/>
      <c r="Z201" s="606"/>
      <c r="AA201" s="19"/>
      <c r="AB201" s="19"/>
      <c r="AC201" s="19"/>
    </row>
    <row r="202" spans="1:29" outlineLevel="2" x14ac:dyDescent="0.2">
      <c r="A202" s="606"/>
      <c r="B202" s="606"/>
      <c r="C202" s="607"/>
      <c r="D202" s="631"/>
      <c r="E202" s="607"/>
      <c r="F202" s="607"/>
      <c r="G202" s="607"/>
      <c r="H202" s="607"/>
      <c r="I202" s="609"/>
      <c r="J202" s="677"/>
      <c r="K202" s="677"/>
      <c r="L202" s="677"/>
      <c r="M202" s="677"/>
      <c r="N202" s="678"/>
      <c r="O202" s="617"/>
      <c r="P202" s="617"/>
      <c r="Q202" s="617"/>
      <c r="R202" s="617"/>
      <c r="S202" s="622"/>
      <c r="T202" s="622"/>
      <c r="U202" s="622"/>
      <c r="V202" s="622"/>
      <c r="W202" s="622"/>
      <c r="X202" s="622"/>
      <c r="Y202" s="606"/>
      <c r="Z202" s="606"/>
      <c r="AA202" s="19"/>
      <c r="AB202" s="19"/>
      <c r="AC202" s="19"/>
    </row>
    <row r="203" spans="1:29" outlineLevel="2" x14ac:dyDescent="0.2">
      <c r="A203" s="606"/>
      <c r="B203" s="606"/>
      <c r="C203" s="607"/>
      <c r="D203" s="631"/>
      <c r="E203" s="607"/>
      <c r="F203" s="607"/>
      <c r="G203" s="607"/>
      <c r="H203" s="607"/>
      <c r="I203" s="609"/>
      <c r="J203" s="677"/>
      <c r="K203" s="677"/>
      <c r="L203" s="677"/>
      <c r="M203" s="677"/>
      <c r="N203" s="678"/>
      <c r="O203" s="617"/>
      <c r="P203" s="617"/>
      <c r="Q203" s="617"/>
      <c r="R203" s="617"/>
      <c r="S203" s="622"/>
      <c r="T203" s="622"/>
      <c r="U203" s="622"/>
      <c r="V203" s="622"/>
      <c r="W203" s="622"/>
      <c r="X203" s="622"/>
      <c r="Y203" s="606"/>
      <c r="Z203" s="606"/>
      <c r="AA203" s="19"/>
      <c r="AB203" s="19"/>
      <c r="AC203" s="19"/>
    </row>
    <row r="204" spans="1:29" outlineLevel="2" x14ac:dyDescent="0.2">
      <c r="A204" s="606"/>
      <c r="B204" s="606"/>
      <c r="C204" s="607"/>
      <c r="D204" s="631"/>
      <c r="E204" s="607"/>
      <c r="F204" s="607"/>
      <c r="G204" s="607"/>
      <c r="H204" s="607"/>
      <c r="I204" s="609"/>
      <c r="J204" s="677"/>
      <c r="K204" s="677"/>
      <c r="L204" s="677"/>
      <c r="M204" s="677"/>
      <c r="N204" s="678"/>
      <c r="O204" s="617"/>
      <c r="P204" s="617"/>
      <c r="Q204" s="617"/>
      <c r="R204" s="617"/>
      <c r="S204" s="622"/>
      <c r="T204" s="622"/>
      <c r="U204" s="622"/>
      <c r="V204" s="622"/>
      <c r="W204" s="622"/>
      <c r="X204" s="622"/>
      <c r="Y204" s="606"/>
      <c r="Z204" s="606"/>
      <c r="AA204" s="19"/>
      <c r="AB204" s="19"/>
      <c r="AC204" s="19"/>
    </row>
    <row r="205" spans="1:29" outlineLevel="2" x14ac:dyDescent="0.2">
      <c r="A205" s="606"/>
      <c r="B205" s="606"/>
      <c r="C205" s="607"/>
      <c r="D205" s="631"/>
      <c r="E205" s="607"/>
      <c r="F205" s="607"/>
      <c r="G205" s="607"/>
      <c r="H205" s="607"/>
      <c r="I205" s="609"/>
      <c r="J205" s="677"/>
      <c r="K205" s="677"/>
      <c r="L205" s="677"/>
      <c r="M205" s="677"/>
      <c r="N205" s="678"/>
      <c r="O205" s="617"/>
      <c r="P205" s="617"/>
      <c r="Q205" s="617"/>
      <c r="R205" s="617"/>
      <c r="S205" s="622"/>
      <c r="T205" s="622"/>
      <c r="U205" s="622"/>
      <c r="V205" s="622"/>
      <c r="W205" s="622"/>
      <c r="X205" s="622"/>
      <c r="Y205" s="606"/>
      <c r="Z205" s="606"/>
      <c r="AA205" s="19"/>
      <c r="AB205" s="19"/>
      <c r="AC205" s="19"/>
    </row>
    <row r="206" spans="1:29" outlineLevel="2" x14ac:dyDescent="0.2">
      <c r="A206" s="606"/>
      <c r="B206" s="606"/>
      <c r="C206" s="607"/>
      <c r="D206" s="631"/>
      <c r="E206" s="607"/>
      <c r="F206" s="607"/>
      <c r="G206" s="607"/>
      <c r="H206" s="607"/>
      <c r="I206" s="609"/>
      <c r="J206" s="677"/>
      <c r="K206" s="677"/>
      <c r="L206" s="677"/>
      <c r="M206" s="677"/>
      <c r="N206" s="678"/>
      <c r="O206" s="617"/>
      <c r="P206" s="617"/>
      <c r="Q206" s="617"/>
      <c r="R206" s="617"/>
      <c r="S206" s="622"/>
      <c r="T206" s="622"/>
      <c r="U206" s="622"/>
      <c r="V206" s="622"/>
      <c r="W206" s="622"/>
      <c r="X206" s="622"/>
      <c r="Y206" s="606"/>
      <c r="Z206" s="606"/>
      <c r="AA206" s="19"/>
      <c r="AB206" s="19"/>
      <c r="AC206" s="19"/>
    </row>
    <row r="207" spans="1:29" outlineLevel="2" x14ac:dyDescent="0.2">
      <c r="A207" s="606"/>
      <c r="B207" s="606"/>
      <c r="C207" s="607"/>
      <c r="D207" s="631"/>
      <c r="E207" s="607"/>
      <c r="F207" s="607"/>
      <c r="G207" s="607"/>
      <c r="H207" s="607"/>
      <c r="I207" s="609"/>
      <c r="J207" s="677"/>
      <c r="K207" s="677"/>
      <c r="L207" s="677"/>
      <c r="M207" s="677"/>
      <c r="N207" s="678"/>
      <c r="O207" s="617"/>
      <c r="P207" s="617"/>
      <c r="Q207" s="617"/>
      <c r="R207" s="617"/>
      <c r="S207" s="622"/>
      <c r="T207" s="622"/>
      <c r="U207" s="622"/>
      <c r="V207" s="622"/>
      <c r="W207" s="622"/>
      <c r="X207" s="622"/>
      <c r="Y207" s="606"/>
      <c r="Z207" s="606"/>
      <c r="AA207" s="19"/>
      <c r="AB207" s="19"/>
      <c r="AC207" s="19"/>
    </row>
    <row r="208" spans="1:29" outlineLevel="2" x14ac:dyDescent="0.2">
      <c r="A208" s="606"/>
      <c r="B208" s="606"/>
      <c r="C208" s="607"/>
      <c r="D208" s="631"/>
      <c r="E208" s="607"/>
      <c r="F208" s="607"/>
      <c r="G208" s="607"/>
      <c r="H208" s="607"/>
      <c r="I208" s="609"/>
      <c r="J208" s="677"/>
      <c r="K208" s="677"/>
      <c r="L208" s="677"/>
      <c r="M208" s="677"/>
      <c r="N208" s="678"/>
      <c r="O208" s="617"/>
      <c r="P208" s="617"/>
      <c r="Q208" s="617"/>
      <c r="R208" s="617"/>
      <c r="S208" s="622"/>
      <c r="T208" s="622"/>
      <c r="U208" s="622"/>
      <c r="V208" s="622"/>
      <c r="W208" s="622"/>
      <c r="X208" s="622"/>
      <c r="Y208" s="606"/>
      <c r="Z208" s="606"/>
      <c r="AA208" s="19"/>
      <c r="AB208" s="19"/>
      <c r="AC208" s="19"/>
    </row>
    <row r="209" spans="1:29" outlineLevel="2" x14ac:dyDescent="0.2">
      <c r="A209" s="606"/>
      <c r="B209" s="606"/>
      <c r="C209" s="607"/>
      <c r="D209" s="631"/>
      <c r="E209" s="607"/>
      <c r="F209" s="607"/>
      <c r="G209" s="607"/>
      <c r="H209" s="607"/>
      <c r="I209" s="609"/>
      <c r="J209" s="677"/>
      <c r="K209" s="677"/>
      <c r="L209" s="677"/>
      <c r="M209" s="677"/>
      <c r="N209" s="678"/>
      <c r="O209" s="617"/>
      <c r="P209" s="617"/>
      <c r="Q209" s="617"/>
      <c r="R209" s="617"/>
      <c r="S209" s="622"/>
      <c r="T209" s="622"/>
      <c r="U209" s="622"/>
      <c r="V209" s="622"/>
      <c r="W209" s="622"/>
      <c r="X209" s="622"/>
      <c r="Y209" s="606"/>
      <c r="Z209" s="606"/>
      <c r="AA209" s="19"/>
      <c r="AB209" s="19"/>
      <c r="AC209" s="19"/>
    </row>
    <row r="210" spans="1:29" outlineLevel="2" x14ac:dyDescent="0.2">
      <c r="A210" s="606"/>
      <c r="B210" s="606"/>
      <c r="C210" s="607"/>
      <c r="D210" s="631"/>
      <c r="E210" s="607"/>
      <c r="F210" s="607"/>
      <c r="G210" s="607"/>
      <c r="H210" s="607"/>
      <c r="I210" s="609"/>
      <c r="J210" s="677"/>
      <c r="K210" s="677"/>
      <c r="L210" s="677"/>
      <c r="M210" s="677"/>
      <c r="N210" s="678"/>
      <c r="O210" s="617"/>
      <c r="P210" s="617"/>
      <c r="Q210" s="617"/>
      <c r="R210" s="617"/>
      <c r="S210" s="622"/>
      <c r="T210" s="622"/>
      <c r="U210" s="622"/>
      <c r="V210" s="622"/>
      <c r="W210" s="622"/>
      <c r="X210" s="622"/>
      <c r="Y210" s="606"/>
      <c r="Z210" s="606"/>
      <c r="AA210" s="19"/>
      <c r="AB210" s="19"/>
      <c r="AC210" s="19"/>
    </row>
    <row r="211" spans="1:29" outlineLevel="2" x14ac:dyDescent="0.2">
      <c r="A211" s="606"/>
      <c r="B211" s="606"/>
      <c r="C211" s="607"/>
      <c r="D211" s="631"/>
      <c r="E211" s="607"/>
      <c r="F211" s="607"/>
      <c r="G211" s="607"/>
      <c r="H211" s="607"/>
      <c r="I211" s="609"/>
      <c r="J211" s="677"/>
      <c r="K211" s="677"/>
      <c r="L211" s="677"/>
      <c r="M211" s="677"/>
      <c r="N211" s="678"/>
      <c r="O211" s="617"/>
      <c r="P211" s="617"/>
      <c r="Q211" s="617"/>
      <c r="R211" s="617"/>
      <c r="S211" s="622"/>
      <c r="T211" s="622"/>
      <c r="U211" s="622"/>
      <c r="V211" s="622"/>
      <c r="W211" s="622"/>
      <c r="X211" s="622"/>
      <c r="Y211" s="606"/>
      <c r="Z211" s="606"/>
      <c r="AA211" s="19"/>
      <c r="AB211" s="19"/>
      <c r="AC211" s="19"/>
    </row>
    <row r="212" spans="1:29" outlineLevel="2" x14ac:dyDescent="0.2">
      <c r="A212" s="606"/>
      <c r="B212" s="606"/>
      <c r="C212" s="607"/>
      <c r="D212" s="631"/>
      <c r="E212" s="607"/>
      <c r="F212" s="607"/>
      <c r="G212" s="607"/>
      <c r="H212" s="607"/>
      <c r="I212" s="609"/>
      <c r="J212" s="677"/>
      <c r="K212" s="677"/>
      <c r="L212" s="677"/>
      <c r="M212" s="677"/>
      <c r="N212" s="678"/>
      <c r="O212" s="617"/>
      <c r="P212" s="617"/>
      <c r="Q212" s="617"/>
      <c r="R212" s="617"/>
      <c r="S212" s="622"/>
      <c r="T212" s="622"/>
      <c r="U212" s="622"/>
      <c r="V212" s="622"/>
      <c r="W212" s="622"/>
      <c r="X212" s="622"/>
      <c r="Y212" s="606"/>
      <c r="Z212" s="606"/>
      <c r="AA212" s="19"/>
      <c r="AB212" s="19"/>
      <c r="AC212" s="19"/>
    </row>
    <row r="213" spans="1:29" outlineLevel="2" x14ac:dyDescent="0.2">
      <c r="A213" s="606"/>
      <c r="B213" s="606"/>
      <c r="C213" s="607"/>
      <c r="D213" s="631"/>
      <c r="E213" s="607"/>
      <c r="F213" s="607"/>
      <c r="G213" s="607"/>
      <c r="H213" s="607"/>
      <c r="I213" s="609"/>
      <c r="J213" s="677"/>
      <c r="K213" s="677"/>
      <c r="L213" s="677"/>
      <c r="M213" s="677"/>
      <c r="N213" s="678"/>
      <c r="O213" s="617"/>
      <c r="P213" s="617"/>
      <c r="Q213" s="617"/>
      <c r="R213" s="617"/>
      <c r="S213" s="622"/>
      <c r="T213" s="622"/>
      <c r="U213" s="622"/>
      <c r="V213" s="622"/>
      <c r="W213" s="622"/>
      <c r="X213" s="622"/>
      <c r="Y213" s="606"/>
      <c r="Z213" s="606"/>
      <c r="AA213" s="19"/>
      <c r="AB213" s="19"/>
      <c r="AC213" s="19"/>
    </row>
    <row r="214" spans="1:29" outlineLevel="2" x14ac:dyDescent="0.2">
      <c r="A214" s="606"/>
      <c r="B214" s="606"/>
      <c r="C214" s="607"/>
      <c r="D214" s="631"/>
      <c r="E214" s="607"/>
      <c r="F214" s="607"/>
      <c r="G214" s="607"/>
      <c r="H214" s="607"/>
      <c r="I214" s="609"/>
      <c r="J214" s="677"/>
      <c r="K214" s="677"/>
      <c r="L214" s="677"/>
      <c r="M214" s="677"/>
      <c r="N214" s="678"/>
      <c r="O214" s="617"/>
      <c r="P214" s="617"/>
      <c r="Q214" s="617"/>
      <c r="R214" s="617"/>
      <c r="S214" s="622"/>
      <c r="T214" s="622"/>
      <c r="U214" s="622"/>
      <c r="V214" s="622"/>
      <c r="W214" s="622"/>
      <c r="X214" s="622"/>
      <c r="Y214" s="606"/>
      <c r="Z214" s="606"/>
      <c r="AA214" s="19"/>
      <c r="AB214" s="19"/>
      <c r="AC214" s="19"/>
    </row>
    <row r="215" spans="1:29" outlineLevel="2" x14ac:dyDescent="0.2">
      <c r="A215" s="606"/>
      <c r="B215" s="606"/>
      <c r="C215" s="607"/>
      <c r="D215" s="631"/>
      <c r="E215" s="607"/>
      <c r="F215" s="607"/>
      <c r="G215" s="607"/>
      <c r="H215" s="607"/>
      <c r="I215" s="609"/>
      <c r="J215" s="677"/>
      <c r="K215" s="677"/>
      <c r="L215" s="677"/>
      <c r="M215" s="677"/>
      <c r="N215" s="678"/>
      <c r="O215" s="617"/>
      <c r="P215" s="617"/>
      <c r="Q215" s="617"/>
      <c r="R215" s="617"/>
      <c r="S215" s="622"/>
      <c r="T215" s="622"/>
      <c r="U215" s="622"/>
      <c r="V215" s="622"/>
      <c r="W215" s="622"/>
      <c r="X215" s="622"/>
      <c r="Y215" s="606"/>
      <c r="Z215" s="606"/>
      <c r="AA215" s="19"/>
      <c r="AB215" s="19"/>
      <c r="AC215" s="19"/>
    </row>
    <row r="216" spans="1:29" outlineLevel="2" x14ac:dyDescent="0.2">
      <c r="A216" s="606"/>
      <c r="B216" s="606"/>
      <c r="C216" s="607"/>
      <c r="D216" s="631"/>
      <c r="E216" s="607"/>
      <c r="F216" s="607"/>
      <c r="G216" s="607"/>
      <c r="H216" s="607"/>
      <c r="I216" s="609"/>
      <c r="J216" s="677"/>
      <c r="K216" s="677"/>
      <c r="L216" s="677"/>
      <c r="M216" s="677"/>
      <c r="N216" s="678"/>
      <c r="O216" s="617"/>
      <c r="P216" s="617"/>
      <c r="Q216" s="617"/>
      <c r="R216" s="617"/>
      <c r="S216" s="622"/>
      <c r="T216" s="622"/>
      <c r="U216" s="622"/>
      <c r="V216" s="622"/>
      <c r="W216" s="622"/>
      <c r="X216" s="622"/>
      <c r="Y216" s="606"/>
      <c r="Z216" s="606"/>
      <c r="AA216" s="19"/>
      <c r="AB216" s="19"/>
      <c r="AC216" s="19"/>
    </row>
    <row r="217" spans="1:29" outlineLevel="2" x14ac:dyDescent="0.2">
      <c r="A217" s="606"/>
      <c r="B217" s="606"/>
      <c r="C217" s="607"/>
      <c r="D217" s="631"/>
      <c r="E217" s="607"/>
      <c r="F217" s="607"/>
      <c r="G217" s="607"/>
      <c r="H217" s="607"/>
      <c r="I217" s="609"/>
      <c r="J217" s="677"/>
      <c r="K217" s="677"/>
      <c r="L217" s="677"/>
      <c r="M217" s="677"/>
      <c r="N217" s="678"/>
      <c r="O217" s="617"/>
      <c r="P217" s="617"/>
      <c r="Q217" s="617"/>
      <c r="R217" s="617"/>
      <c r="S217" s="622"/>
      <c r="T217" s="622"/>
      <c r="U217" s="622"/>
      <c r="V217" s="622"/>
      <c r="W217" s="622"/>
      <c r="X217" s="622"/>
      <c r="Y217" s="606"/>
      <c r="Z217" s="606"/>
      <c r="AA217" s="19"/>
      <c r="AB217" s="19"/>
      <c r="AC217" s="19"/>
    </row>
    <row r="218" spans="1:29" outlineLevel="2" x14ac:dyDescent="0.2">
      <c r="A218" s="606"/>
      <c r="B218" s="606"/>
      <c r="C218" s="607"/>
      <c r="D218" s="631"/>
      <c r="E218" s="607"/>
      <c r="F218" s="607"/>
      <c r="G218" s="607"/>
      <c r="H218" s="607"/>
      <c r="I218" s="609"/>
      <c r="J218" s="677"/>
      <c r="K218" s="677"/>
      <c r="L218" s="677"/>
      <c r="M218" s="677"/>
      <c r="N218" s="678"/>
      <c r="O218" s="617"/>
      <c r="P218" s="617"/>
      <c r="Q218" s="617"/>
      <c r="R218" s="617"/>
      <c r="S218" s="622"/>
      <c r="T218" s="622"/>
      <c r="U218" s="622"/>
      <c r="V218" s="622"/>
      <c r="W218" s="622"/>
      <c r="X218" s="622"/>
      <c r="Y218" s="606"/>
      <c r="Z218" s="606"/>
      <c r="AA218" s="19"/>
      <c r="AB218" s="19"/>
      <c r="AC218" s="19"/>
    </row>
    <row r="219" spans="1:29" outlineLevel="2" x14ac:dyDescent="0.2">
      <c r="A219" s="606"/>
      <c r="B219" s="606"/>
      <c r="C219" s="607"/>
      <c r="D219" s="631"/>
      <c r="E219" s="607"/>
      <c r="F219" s="607"/>
      <c r="G219" s="607"/>
      <c r="H219" s="607"/>
      <c r="I219" s="609"/>
      <c r="J219" s="677"/>
      <c r="K219" s="677"/>
      <c r="L219" s="677"/>
      <c r="M219" s="677"/>
      <c r="N219" s="678"/>
      <c r="O219" s="617"/>
      <c r="P219" s="617"/>
      <c r="Q219" s="617"/>
      <c r="R219" s="617"/>
      <c r="S219" s="622"/>
      <c r="T219" s="622"/>
      <c r="U219" s="622"/>
      <c r="V219" s="622"/>
      <c r="W219" s="622"/>
      <c r="X219" s="622"/>
      <c r="Y219" s="606"/>
      <c r="Z219" s="606"/>
      <c r="AA219" s="19"/>
      <c r="AB219" s="19"/>
      <c r="AC219" s="19"/>
    </row>
    <row r="220" spans="1:29" outlineLevel="2" x14ac:dyDescent="0.2">
      <c r="A220" s="606"/>
      <c r="B220" s="606"/>
      <c r="C220" s="607"/>
      <c r="D220" s="631"/>
      <c r="E220" s="607"/>
      <c r="F220" s="607"/>
      <c r="G220" s="607"/>
      <c r="H220" s="607"/>
      <c r="I220" s="609"/>
      <c r="J220" s="677"/>
      <c r="K220" s="677"/>
      <c r="L220" s="677"/>
      <c r="M220" s="677"/>
      <c r="N220" s="678"/>
      <c r="O220" s="617"/>
      <c r="P220" s="617"/>
      <c r="Q220" s="617"/>
      <c r="R220" s="617"/>
      <c r="S220" s="622"/>
      <c r="T220" s="622"/>
      <c r="U220" s="622"/>
      <c r="V220" s="622"/>
      <c r="W220" s="622"/>
      <c r="X220" s="622"/>
      <c r="Y220" s="606"/>
      <c r="Z220" s="606"/>
      <c r="AA220" s="19"/>
      <c r="AB220" s="19"/>
      <c r="AC220" s="19"/>
    </row>
    <row r="221" spans="1:29" outlineLevel="2" x14ac:dyDescent="0.2">
      <c r="A221" s="606"/>
      <c r="B221" s="606"/>
      <c r="C221" s="607"/>
      <c r="D221" s="631"/>
      <c r="E221" s="607"/>
      <c r="F221" s="607"/>
      <c r="G221" s="607"/>
      <c r="H221" s="607"/>
      <c r="I221" s="609"/>
      <c r="J221" s="677"/>
      <c r="K221" s="677"/>
      <c r="L221" s="677"/>
      <c r="M221" s="677"/>
      <c r="N221" s="678"/>
      <c r="O221" s="617"/>
      <c r="P221" s="617"/>
      <c r="Q221" s="617"/>
      <c r="R221" s="617"/>
      <c r="S221" s="622"/>
      <c r="T221" s="622"/>
      <c r="U221" s="622"/>
      <c r="V221" s="622"/>
      <c r="W221" s="622"/>
      <c r="X221" s="622"/>
      <c r="Y221" s="606"/>
      <c r="Z221" s="606"/>
      <c r="AA221" s="19"/>
      <c r="AB221" s="19"/>
      <c r="AC221" s="19"/>
    </row>
    <row r="222" spans="1:29" outlineLevel="2" x14ac:dyDescent="0.2">
      <c r="A222" s="606"/>
      <c r="B222" s="606"/>
      <c r="C222" s="607"/>
      <c r="D222" s="631"/>
      <c r="E222" s="607"/>
      <c r="F222" s="607"/>
      <c r="G222" s="607"/>
      <c r="H222" s="607"/>
      <c r="I222" s="609"/>
      <c r="J222" s="677"/>
      <c r="K222" s="677"/>
      <c r="L222" s="677"/>
      <c r="M222" s="677"/>
      <c r="N222" s="678"/>
      <c r="O222" s="617"/>
      <c r="P222" s="617"/>
      <c r="Q222" s="617"/>
      <c r="R222" s="617"/>
      <c r="S222" s="622"/>
      <c r="T222" s="622"/>
      <c r="U222" s="622"/>
      <c r="V222" s="622"/>
      <c r="W222" s="622"/>
      <c r="X222" s="622"/>
      <c r="Y222" s="606"/>
      <c r="Z222" s="606"/>
      <c r="AA222" s="19"/>
      <c r="AB222" s="19"/>
      <c r="AC222" s="19"/>
    </row>
    <row r="223" spans="1:29" outlineLevel="2" x14ac:dyDescent="0.2">
      <c r="A223" s="606"/>
      <c r="B223" s="606"/>
      <c r="C223" s="607"/>
      <c r="D223" s="631"/>
      <c r="E223" s="607"/>
      <c r="F223" s="607"/>
      <c r="G223" s="607"/>
      <c r="H223" s="607"/>
      <c r="I223" s="609"/>
      <c r="J223" s="677"/>
      <c r="K223" s="677"/>
      <c r="L223" s="677"/>
      <c r="M223" s="677"/>
      <c r="N223" s="678"/>
      <c r="O223" s="617"/>
      <c r="P223" s="617"/>
      <c r="Q223" s="617"/>
      <c r="R223" s="617"/>
      <c r="S223" s="622"/>
      <c r="T223" s="622"/>
      <c r="U223" s="622"/>
      <c r="V223" s="622"/>
      <c r="W223" s="622"/>
      <c r="X223" s="622"/>
      <c r="Y223" s="606"/>
      <c r="Z223" s="606"/>
      <c r="AA223" s="19"/>
      <c r="AB223" s="19"/>
      <c r="AC223" s="19"/>
    </row>
    <row r="224" spans="1:29" outlineLevel="2" x14ac:dyDescent="0.2">
      <c r="A224" s="606"/>
      <c r="B224" s="606"/>
      <c r="C224" s="607"/>
      <c r="D224" s="631"/>
      <c r="E224" s="607"/>
      <c r="F224" s="607"/>
      <c r="G224" s="607"/>
      <c r="H224" s="607"/>
      <c r="I224" s="609"/>
      <c r="J224" s="677"/>
      <c r="K224" s="677"/>
      <c r="L224" s="677"/>
      <c r="M224" s="677"/>
      <c r="N224" s="678"/>
      <c r="O224" s="617"/>
      <c r="P224" s="617"/>
      <c r="Q224" s="617"/>
      <c r="R224" s="617"/>
      <c r="S224" s="622"/>
      <c r="T224" s="622"/>
      <c r="U224" s="622"/>
      <c r="V224" s="622"/>
      <c r="W224" s="622"/>
      <c r="X224" s="622"/>
      <c r="Y224" s="606"/>
      <c r="Z224" s="606"/>
      <c r="AA224" s="19"/>
      <c r="AB224" s="19"/>
      <c r="AC224" s="19"/>
    </row>
    <row r="225" spans="1:29" outlineLevel="1" x14ac:dyDescent="0.2">
      <c r="A225" s="606"/>
      <c r="B225" s="606"/>
      <c r="C225" s="623"/>
      <c r="D225" s="617"/>
      <c r="E225" s="617"/>
      <c r="F225" s="617"/>
      <c r="G225" s="617"/>
      <c r="H225" s="617"/>
      <c r="I225" s="617"/>
      <c r="J225" s="618"/>
      <c r="K225" s="618"/>
      <c r="L225" s="617"/>
      <c r="M225" s="617"/>
      <c r="N225" s="617"/>
      <c r="O225" s="617"/>
      <c r="P225" s="617"/>
      <c r="Q225" s="617"/>
      <c r="R225" s="617"/>
      <c r="S225" s="622"/>
      <c r="T225" s="622"/>
      <c r="U225" s="622"/>
      <c r="V225" s="622"/>
      <c r="W225" s="622"/>
      <c r="X225" s="622"/>
      <c r="Y225" s="606"/>
      <c r="Z225" s="606"/>
      <c r="AA225" s="19"/>
      <c r="AB225" s="19"/>
      <c r="AC225" s="19"/>
    </row>
    <row r="226" spans="1:29" x14ac:dyDescent="0.2">
      <c r="A226" s="19"/>
      <c r="B226" s="19"/>
      <c r="C226" s="36"/>
      <c r="D226" s="20"/>
      <c r="E226" s="20"/>
      <c r="F226" s="20"/>
      <c r="G226" s="20"/>
      <c r="H226" s="20"/>
      <c r="I226" s="20"/>
      <c r="J226" s="22"/>
      <c r="K226" s="22"/>
      <c r="L226" s="20"/>
      <c r="M226" s="20"/>
      <c r="N226" s="20"/>
      <c r="O226" s="20"/>
      <c r="P226" s="20"/>
      <c r="Q226" s="20"/>
      <c r="R226" s="20"/>
      <c r="S226" s="37"/>
      <c r="T226" s="37"/>
      <c r="U226" s="37"/>
      <c r="V226" s="37"/>
      <c r="W226" s="37"/>
      <c r="X226" s="37"/>
      <c r="Y226" s="19"/>
      <c r="Z226" s="19"/>
      <c r="AA226" s="19"/>
      <c r="AB226" s="19"/>
      <c r="AC226" s="19"/>
    </row>
    <row r="227" spans="1:29" ht="12.75" x14ac:dyDescent="0.2">
      <c r="A227" s="11"/>
      <c r="B227" s="12" t="s">
        <v>8</v>
      </c>
      <c r="C227" s="11"/>
      <c r="D227" s="11"/>
      <c r="E227" s="11"/>
      <c r="F227" s="11"/>
      <c r="G227" s="11"/>
      <c r="H227" s="11"/>
      <c r="I227" s="11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4"/>
      <c r="U227" s="14"/>
      <c r="V227" s="14"/>
      <c r="W227" s="15"/>
      <c r="X227" s="14"/>
      <c r="Y227" s="15"/>
      <c r="Z227" s="15"/>
      <c r="AA227" s="15"/>
      <c r="AB227" s="15"/>
      <c r="AC227" s="15"/>
    </row>
  </sheetData>
  <sheetProtection formatColumns="0" formatRows="0"/>
  <dataValidations count="9">
    <dataValidation type="list" allowBlank="1" showInputMessage="1" showErrorMessage="1" sqref="P46:P120 M61:M121 K61:L120 N46:N121 K46:M60 K125:M224" xr:uid="{00000000-0002-0000-0D00-000000000000}">
      <formula1>"yes,no"</formula1>
    </dataValidation>
    <dataValidation type="list" allowBlank="1" showInputMessage="1" showErrorMessage="1" sqref="J46:J121 J125:J224" xr:uid="{00000000-0002-0000-0D00-000001000000}">
      <formula1>"open,closed"</formula1>
    </dataValidation>
    <dataValidation type="list" allowBlank="1" showInputMessage="1" showErrorMessage="1" sqref="D125:D224 D46:D120" xr:uid="{00000000-0002-0000-0D00-000002000000}">
      <formula1>$C$7:$C$17</formula1>
    </dataValidation>
    <dataValidation type="list" allowBlank="1" showInputMessage="1" showErrorMessage="1" sqref="D22:D41" xr:uid="{00000000-0002-0000-0D00-000003000000}">
      <formula1>"Fixed,Consumption,Consumption - TOU,Demand,Export"</formula1>
    </dataValidation>
    <dataValidation type="list" allowBlank="1" showInputMessage="1" showErrorMessage="1" sqref="T22:T41" xr:uid="{00000000-0002-0000-0D00-000004000000}">
      <formula1>"Anytime,Peak,Shoulder,Off-peak,Export"</formula1>
    </dataValidation>
    <dataValidation type="list" allowBlank="1" showInputMessage="1" showErrorMessage="1" sqref="O46:O120" xr:uid="{00000000-0002-0000-0D00-000005000000}">
      <formula1>"Residential,Small business"</formula1>
    </dataValidation>
    <dataValidation type="list" allowBlank="1" showInputMessage="1" showErrorMessage="1" sqref="Q46:S120" xr:uid="{00000000-0002-0000-0D00-000006000000}">
      <formula1>$J$22:$J$41</formula1>
    </dataValidation>
    <dataValidation type="whole" allowBlank="1" showInputMessage="1" showErrorMessage="1" sqref="T46:U120" xr:uid="{00000000-0002-0000-0D00-000007000000}">
      <formula1>0</formula1>
      <formula2>1000000</formula2>
    </dataValidation>
    <dataValidation type="list" allowBlank="1" showInputMessage="1" showErrorMessage="1" sqref="U22:U41" xr:uid="{00000000-0002-0000-0D00-000008000000}">
      <formula1>"Fixed"</formula1>
    </dataValidation>
  </dataValidations>
  <hyperlinks>
    <hyperlink ref="J1" location="'Pricing model'!A51" display="Back to Index" xr:uid="{00000000-0004-0000-0D00-000000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D00-000009000000}">
          <x14:formula1>
            <xm:f>Lookups!$G$18:$G$23</xm:f>
          </x14:formula1>
          <xm:sqref>L22:L41</xm:sqref>
        </x14:dataValidation>
        <x14:dataValidation type="list" allowBlank="1" showInputMessage="1" showErrorMessage="1" xr:uid="{00000000-0002-0000-0D00-00000A000000}">
          <x14:formula1>
            <xm:f>Lookups!$G$8:$G$9</xm:f>
          </x14:formula1>
          <xm:sqref>K22:K41</xm:sqref>
        </x14:dataValidation>
        <x14:dataValidation type="list" allowBlank="1" showInputMessage="1" showErrorMessage="1" xr:uid="{00000000-0002-0000-0D00-00000B000000}">
          <x14:formula1>
            <xm:f>Lookups!$G$24:$G$29</xm:f>
          </x14:formula1>
          <xm:sqref>M22:M26 M35:M41</xm:sqref>
        </x14:dataValidation>
        <x14:dataValidation type="list" allowBlank="1" showInputMessage="1" showErrorMessage="1" xr:uid="{00000000-0002-0000-0D00-00000C000000}">
          <x14:formula1>
            <xm:f>Lookups!$C$93:$C$122</xm:f>
          </x14:formula1>
          <xm:sqref>V46:V120</xm:sqref>
        </x14:dataValidation>
        <x14:dataValidation type="list" allowBlank="1" showInputMessage="1" showErrorMessage="1" xr:uid="{00000000-0002-0000-0D00-00000D000000}">
          <x14:formula1>
            <xm:f>'\\TNAD\Share\SFBS\NWRegulatory\Pricing - Annual\Dx\2022-23\2022-23_Feb_Board\[2022-23 AER SCS Pricing Model Template v2.0.xlsb]Lookups'!#REF!</xm:f>
          </x14:formula1>
          <xm:sqref>M27:M34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>
    <tabColor theme="4" tint="0.79998168889431442"/>
  </sheetPr>
  <dimension ref="A1:AX560"/>
  <sheetViews>
    <sheetView showGridLines="0" tabSelected="1" zoomScaleNormal="100" workbookViewId="0">
      <pane xSplit="7" ySplit="6" topLeftCell="H165" activePane="bottomRight" state="frozen"/>
      <selection pane="topRight" activeCell="H1" sqref="H1"/>
      <selection pane="bottomLeft" activeCell="A7" sqref="A7"/>
      <selection pane="bottomRight" activeCell="C180" sqref="C180"/>
    </sheetView>
  </sheetViews>
  <sheetFormatPr defaultColWidth="0" defaultRowHeight="11.25" zeroHeight="1" outlineLevelRow="3" outlineLevelCol="1" x14ac:dyDescent="0.2"/>
  <cols>
    <col min="1" max="2" width="1.42578125" style="18" customWidth="1"/>
    <col min="3" max="3" width="40.7109375" style="18" customWidth="1"/>
    <col min="4" max="4" width="16.85546875" style="18" customWidth="1"/>
    <col min="5" max="5" width="12.140625" style="18" customWidth="1"/>
    <col min="6" max="6" width="9.5703125" style="18" customWidth="1"/>
    <col min="7" max="7" width="12.85546875" style="18" customWidth="1"/>
    <col min="8" max="8" width="2.7109375" style="18" customWidth="1"/>
    <col min="9" max="9" width="10" style="18" customWidth="1"/>
    <col min="10" max="10" width="10" style="18" hidden="1" customWidth="1"/>
    <col min="11" max="11" width="10" style="18" customWidth="1"/>
    <col min="12" max="12" width="3.140625" style="18" customWidth="1"/>
    <col min="13" max="13" width="11.28515625" style="18" customWidth="1"/>
    <col min="14" max="14" width="11.85546875" style="18" customWidth="1"/>
    <col min="15" max="15" width="11.5703125" style="18" customWidth="1"/>
    <col min="16" max="16" width="11.7109375" style="18" customWidth="1"/>
    <col min="17" max="17" width="11.5703125" style="18" customWidth="1"/>
    <col min="18" max="26" width="11.28515625" style="18" customWidth="1"/>
    <col min="27" max="32" width="9.28515625" style="18" hidden="1" customWidth="1" outlineLevel="1"/>
    <col min="33" max="33" width="9.28515625" style="18" customWidth="1" collapsed="1"/>
    <col min="34" max="34" width="2.5703125" style="18" customWidth="1"/>
    <col min="35" max="35" width="2.5703125" style="18" hidden="1" customWidth="1"/>
    <col min="36" max="37" width="8" style="18" hidden="1" customWidth="1"/>
    <col min="38" max="47" width="9.28515625" style="18" hidden="1" customWidth="1"/>
    <col min="48" max="49" width="0" style="18" hidden="1" customWidth="1"/>
    <col min="50" max="50" width="2.5703125" style="18" hidden="1" customWidth="1"/>
    <col min="51" max="16384" width="8" style="18" hidden="1"/>
  </cols>
  <sheetData>
    <row r="1" spans="1:37" ht="15.75" x14ac:dyDescent="0.25">
      <c r="A1" s="1"/>
      <c r="B1" s="2" t="str">
        <f>'Inputs&gt;&gt;'!B1</f>
        <v>AER pricing model - TasNetworks 2022–23</v>
      </c>
      <c r="C1" s="2"/>
      <c r="D1" s="2"/>
      <c r="E1" s="2"/>
      <c r="F1" s="2"/>
      <c r="G1" s="2"/>
      <c r="H1" s="2"/>
      <c r="I1" s="160" t="s">
        <v>0</v>
      </c>
      <c r="J1" s="160"/>
      <c r="K1" s="3"/>
      <c r="L1" s="4"/>
      <c r="M1" s="1"/>
      <c r="N1" s="111"/>
      <c r="O1" s="112"/>
      <c r="P1" s="112"/>
      <c r="Q1" s="51"/>
      <c r="T1" s="111"/>
      <c r="U1" s="113"/>
      <c r="W1" s="114"/>
      <c r="X1" s="113"/>
      <c r="Y1" s="5"/>
      <c r="Z1" s="3"/>
      <c r="AA1" s="3"/>
      <c r="AB1" s="3"/>
      <c r="AC1" s="5"/>
      <c r="AD1" s="5"/>
      <c r="AE1" s="5"/>
      <c r="AF1" s="5"/>
      <c r="AG1" s="5"/>
      <c r="AH1" s="1"/>
    </row>
    <row r="2" spans="1:37" ht="13.5" thickBot="1" x14ac:dyDescent="0.25">
      <c r="A2" s="6"/>
      <c r="B2" s="7" t="str">
        <f>'Inputs&gt;&gt;'!C12</f>
        <v>Quantities</v>
      </c>
      <c r="C2" s="7"/>
      <c r="D2" s="7"/>
      <c r="E2" s="265"/>
      <c r="F2" s="265"/>
      <c r="G2" s="265"/>
      <c r="H2" s="73"/>
      <c r="I2" s="8"/>
      <c r="J2" s="8"/>
      <c r="K2" s="8"/>
      <c r="L2" s="8"/>
      <c r="M2" s="8"/>
      <c r="N2" s="8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</row>
    <row r="3" spans="1:37" x14ac:dyDescent="0.2">
      <c r="A3" s="27"/>
      <c r="B3" s="296" t="str">
        <f>'Inputs&gt;&gt;'!D12</f>
        <v>Inputs forecast, estimated, and actual quantities</v>
      </c>
      <c r="C3" s="27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9"/>
      <c r="P3" s="30"/>
      <c r="Q3" s="30"/>
      <c r="R3" s="30"/>
      <c r="S3" s="30"/>
      <c r="T3" s="30"/>
      <c r="U3" s="30"/>
      <c r="V3" s="30"/>
      <c r="W3" s="30"/>
      <c r="X3" s="30"/>
      <c r="Y3" s="31"/>
      <c r="Z3" s="31"/>
      <c r="AA3" s="31"/>
      <c r="AB3" s="31"/>
      <c r="AC3" s="31"/>
      <c r="AD3" s="31"/>
      <c r="AE3" s="31"/>
      <c r="AF3" s="31"/>
      <c r="AG3" s="31"/>
      <c r="AH3" s="31"/>
    </row>
    <row r="4" spans="1:37" x14ac:dyDescent="0.2">
      <c r="A4" s="9"/>
      <c r="B4" s="9"/>
      <c r="C4" s="9"/>
      <c r="D4" s="10"/>
      <c r="E4" s="10"/>
      <c r="F4" s="10"/>
      <c r="G4" s="10"/>
      <c r="H4" s="10"/>
      <c r="I4" s="50"/>
      <c r="J4" s="50"/>
      <c r="K4" s="50"/>
      <c r="L4" s="50"/>
      <c r="M4" s="50">
        <v>33</v>
      </c>
      <c r="N4" s="50">
        <v>37</v>
      </c>
      <c r="O4" s="50">
        <v>34</v>
      </c>
      <c r="P4" s="50">
        <v>35</v>
      </c>
      <c r="Q4" s="50">
        <v>36</v>
      </c>
      <c r="R4" s="50">
        <v>40</v>
      </c>
      <c r="S4" s="50">
        <v>38</v>
      </c>
      <c r="T4" s="50">
        <v>39</v>
      </c>
      <c r="U4" s="50">
        <v>42</v>
      </c>
      <c r="V4" s="50">
        <v>43</v>
      </c>
      <c r="W4" s="9">
        <v>44</v>
      </c>
      <c r="X4" s="9">
        <v>45</v>
      </c>
      <c r="Y4" s="9">
        <v>41</v>
      </c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</row>
    <row r="5" spans="1:37" ht="31.5" x14ac:dyDescent="0.2">
      <c r="A5" s="11"/>
      <c r="B5" s="12" t="s">
        <v>682</v>
      </c>
      <c r="C5" s="11"/>
      <c r="D5" s="32" t="s">
        <v>199</v>
      </c>
      <c r="E5" s="32" t="str">
        <f>tariffid1</f>
        <v>Code</v>
      </c>
      <c r="F5" s="32" t="str">
        <f>tariffid2</f>
        <v>Trans. Node</v>
      </c>
      <c r="G5" s="32" t="str">
        <f>tariffid3</f>
        <v>Other identifier</v>
      </c>
      <c r="H5" s="32"/>
      <c r="I5" s="63" t="s">
        <v>316</v>
      </c>
      <c r="J5" s="33" t="s">
        <v>787</v>
      </c>
      <c r="K5" s="63" t="s">
        <v>380</v>
      </c>
      <c r="L5" s="33"/>
      <c r="M5" s="597" t="str">
        <f>Tariffs!$J$22</f>
        <v>Service</v>
      </c>
      <c r="N5" s="597" t="str">
        <f>Tariffs!$J$23</f>
        <v>All energy</v>
      </c>
      <c r="O5" s="597" t="str">
        <f>Tariffs!$J$24</f>
        <v>Peak energy</v>
      </c>
      <c r="P5" s="597" t="str">
        <f>Tariffs!$J$25</f>
        <v>Shoulder energy</v>
      </c>
      <c r="Q5" s="597" t="str">
        <f>Tariffs!$J$26</f>
        <v>Off-peak energy</v>
      </c>
      <c r="R5" s="597" t="str">
        <f>Tariffs!$J$27</f>
        <v>All demand</v>
      </c>
      <c r="S5" s="597" t="str">
        <f>Tariffs!$J$28</f>
        <v>Peak demand</v>
      </c>
      <c r="T5" s="597" t="str">
        <f>Tariffs!$J$29</f>
        <v>Off-peak demand</v>
      </c>
      <c r="U5" s="597" t="str">
        <f>Tariffs!$J$30</f>
        <v>Specified demand</v>
      </c>
      <c r="V5" s="597" t="str">
        <f>Tariffs!$J$31</f>
        <v>Excess daily demand</v>
      </c>
      <c r="W5" s="597" t="str">
        <f>Tariffs!$J$32</f>
        <v>Daily demand connection</v>
      </c>
      <c r="X5" s="597" t="str">
        <f>Tariffs!$J$33</f>
        <v>Excess daily demand connection</v>
      </c>
      <c r="Y5" s="597" t="str">
        <f>Tariffs!$J$34</f>
        <v>All demand (lamps)</v>
      </c>
      <c r="Z5" s="169">
        <f>Tariffs!$J$35</f>
        <v>0</v>
      </c>
      <c r="AA5" s="169">
        <f>Tariffs!$J$36</f>
        <v>0</v>
      </c>
      <c r="AB5" s="169">
        <f>Tariffs!$J$37</f>
        <v>0</v>
      </c>
      <c r="AC5" s="169">
        <f>Tariffs!$J$38</f>
        <v>0</v>
      </c>
      <c r="AD5" s="169">
        <f>Tariffs!$J$39</f>
        <v>0</v>
      </c>
      <c r="AE5" s="169">
        <f>Tariffs!$J$40</f>
        <v>0</v>
      </c>
      <c r="AF5" s="169">
        <f>Tariffs!$J$41</f>
        <v>0</v>
      </c>
      <c r="AG5" s="64"/>
      <c r="AH5" s="15"/>
      <c r="AI5" s="15"/>
      <c r="AJ5" s="15"/>
      <c r="AK5" s="15"/>
    </row>
    <row r="6" spans="1:37" outlineLevel="1" x14ac:dyDescent="0.2">
      <c r="A6" s="19"/>
      <c r="B6" s="19"/>
      <c r="C6" s="36"/>
      <c r="D6" s="20"/>
      <c r="E6" s="20"/>
      <c r="F6" s="20"/>
      <c r="G6" s="20"/>
      <c r="H6" s="20"/>
      <c r="I6" s="22" t="str">
        <f>M6</f>
        <v>units</v>
      </c>
      <c r="J6" s="22"/>
      <c r="K6" s="22" t="s">
        <v>242</v>
      </c>
      <c r="L6" s="22"/>
      <c r="M6" s="170" t="str">
        <f>_xlfn.IFNA(IF(M5=0,0,IF(ISBLANK(Tariffs!$L$22),"units",Tariffs!$L$22)),0)</f>
        <v>units</v>
      </c>
      <c r="N6" s="170" t="str">
        <f>_xlfn.IFNA(IF(N5=0,0,IF(ISBLANK(Tariffs!$L$23),"units",Tariffs!$L$23)),0)</f>
        <v>kWh</v>
      </c>
      <c r="O6" s="170" t="str">
        <f>_xlfn.IFNA(IF(O5=0,0,IF(ISBLANK(Tariffs!$L$24),"units",Tariffs!$L$24)),0)</f>
        <v>kWh</v>
      </c>
      <c r="P6" s="170" t="str">
        <f>_xlfn.IFNA(IF(P5=0,0,IF(ISBLANK(Tariffs!$L$25),"units",Tariffs!$L$25)),0)</f>
        <v>kWh</v>
      </c>
      <c r="Q6" s="170" t="str">
        <f>_xlfn.IFNA(IF(Q5=0,0,IF(ISBLANK(Tariffs!$L$26),"units",Tariffs!$L$26)),0)</f>
        <v>kWh</v>
      </c>
      <c r="R6" s="170" t="str">
        <f>_xlfn.IFNA(IF(R5=0,0,IF(ISBLANK(Tariffs!$L$27),"units",Tariffs!$L$27)),0)</f>
        <v>kVA</v>
      </c>
      <c r="S6" s="170" t="str">
        <f>_xlfn.IFNA(IF(S5=0,0,IF(ISBLANK(Tariffs!$L$28),"units",Tariffs!$L$28)),0)</f>
        <v>kVA</v>
      </c>
      <c r="T6" s="170" t="str">
        <f>_xlfn.IFNA(IF(T5=0,0,IF(ISBLANK(Tariffs!$L$29),"units",Tariffs!$L$29)),0)</f>
        <v>kVA</v>
      </c>
      <c r="U6" s="170" t="str">
        <f>_xlfn.IFNA(IF(U5=0,0,IF(ISBLANK(Tariffs!$L$30),"units",Tariffs!$L$30)),0)</f>
        <v>kVA</v>
      </c>
      <c r="V6" s="170" t="str">
        <f>_xlfn.IFNA(IF(V5=0,0,IF(ISBLANK(Tariffs!$L$31),"units",Tariffs!$L$31)),0)</f>
        <v>kVA</v>
      </c>
      <c r="W6" s="170" t="str">
        <f>_xlfn.IFNA(IF(W5=0,0,IF(ISBLANK(Tariffs!$L$32),"units",Tariffs!$L$32)),0)</f>
        <v>kVA</v>
      </c>
      <c r="X6" s="170" t="str">
        <f>_xlfn.IFNA(IF(X5=0,0,IF(ISBLANK(Tariffs!$L$33),"units",Tariffs!$L$33)),0)</f>
        <v>kVA</v>
      </c>
      <c r="Y6" s="170" t="str">
        <f>_xlfn.IFNA(IF(Y5=0,0,IF(ISBLANK(Tariffs!$L$34),"units",Tariffs!$L$34)),0)</f>
        <v>LmpWtts</v>
      </c>
      <c r="Z6" s="170">
        <f>_xlfn.IFNA(IF(Z5=0,0,IF(ISBLANK(Tariffs!$L$35),"units",Tariffs!$L$35)),0)</f>
        <v>0</v>
      </c>
      <c r="AA6" s="170">
        <f>_xlfn.IFNA(IF(AA5=0,0,IF(ISBLANK(Tariffs!$L$36),"units",Tariffs!$L$36)),0)</f>
        <v>0</v>
      </c>
      <c r="AB6" s="170">
        <f>_xlfn.IFNA(IF(AB5=0,0,IF(ISBLANK(Tariffs!$L$37),"units",Tariffs!$L$37)),0)</f>
        <v>0</v>
      </c>
      <c r="AC6" s="170">
        <f>_xlfn.IFNA(IF(AC5=0,0,IF(ISBLANK(Tariffs!$L$38),"units",Tariffs!$L$38)),0)</f>
        <v>0</v>
      </c>
      <c r="AD6" s="170">
        <f>_xlfn.IFNA(IF(AD5=0,0,IF(ISBLANK(Tariffs!$L$39),"units",Tariffs!$L$39)),0)</f>
        <v>0</v>
      </c>
      <c r="AE6" s="170">
        <f>_xlfn.IFNA(IF(AE5=0,0,IF(ISBLANK(Tariffs!$L$40),"units",Tariffs!$L$40)),0)</f>
        <v>0</v>
      </c>
      <c r="AF6" s="170">
        <f>_xlfn.IFNA(IF(AF5=0,0,IF(ISBLANK(Tariffs!$L$41),"units",Tariffs!$L$41)),0)</f>
        <v>0</v>
      </c>
      <c r="AG6" s="19"/>
      <c r="AH6" s="19"/>
      <c r="AI6" s="19"/>
      <c r="AJ6" s="19"/>
      <c r="AK6" s="19"/>
    </row>
    <row r="7" spans="1:37" outlineLevel="1" x14ac:dyDescent="0.2">
      <c r="A7" s="19"/>
      <c r="B7" s="19"/>
      <c r="C7" s="167" t="str">
        <f>"Forecast "&amp;forecastyear</f>
        <v>Forecast 2022–23</v>
      </c>
      <c r="D7" s="20"/>
      <c r="E7" s="20"/>
      <c r="F7" s="20"/>
      <c r="G7" s="20"/>
      <c r="H7" s="20"/>
      <c r="I7" s="22"/>
      <c r="J7" s="22"/>
      <c r="K7" s="22"/>
      <c r="L7" s="22"/>
      <c r="M7" s="170">
        <f>_xlfn.IFNA(INDEX(Tariffs!$T$22:$T$41,MATCH(Qty!M$5,Tariffs!$J$22:$J$41,0)),0)</f>
        <v>0</v>
      </c>
      <c r="N7" s="170" t="str">
        <f>_xlfn.IFNA(INDEX(Tariffs!$T$22:$T$41,MATCH(Qty!N$5,Tariffs!$J$22:$J$41,0)),0)</f>
        <v>Anytime</v>
      </c>
      <c r="O7" s="170" t="str">
        <f>_xlfn.IFNA(INDEX(Tariffs!$T$22:$T$41,MATCH(Qty!O$5,Tariffs!$J$22:$J$41,0)),0)</f>
        <v>Peak</v>
      </c>
      <c r="P7" s="170" t="str">
        <f>_xlfn.IFNA(INDEX(Tariffs!$T$22:$T$41,MATCH(Qty!P$5,Tariffs!$J$22:$J$41,0)),0)</f>
        <v>Shoulder</v>
      </c>
      <c r="Q7" s="170" t="str">
        <f>_xlfn.IFNA(INDEX(Tariffs!$T$22:$T$41,MATCH(Qty!Q$5,Tariffs!$J$22:$J$41,0)),0)</f>
        <v>Off-peak</v>
      </c>
      <c r="R7" s="170">
        <f>_xlfn.IFNA(INDEX(Tariffs!$T$22:$T$41,MATCH(Qty!R$5,Tariffs!$J$22:$J$41,0)),0)</f>
        <v>0</v>
      </c>
      <c r="S7" s="170">
        <f>_xlfn.IFNA(INDEX(Tariffs!$T$22:$T$41,MATCH(Qty!S$5,Tariffs!$J$22:$J$41,0)),0)</f>
        <v>0</v>
      </c>
      <c r="T7" s="170">
        <f>_xlfn.IFNA(INDEX(Tariffs!$T$22:$T$41,MATCH(Qty!T$5,Tariffs!$J$22:$J$41,0)),0)</f>
        <v>0</v>
      </c>
      <c r="U7" s="170">
        <f>_xlfn.IFNA(INDEX(Tariffs!$T$22:$T$41,MATCH(Qty!U$5,Tariffs!$J$22:$J$41,0)),0)</f>
        <v>0</v>
      </c>
      <c r="V7" s="170">
        <f>_xlfn.IFNA(INDEX(Tariffs!$T$22:$T$41,MATCH(Qty!V$5,Tariffs!$J$22:$J$41,0)),0)</f>
        <v>0</v>
      </c>
      <c r="W7" s="170">
        <f>_xlfn.IFNA(INDEX(Tariffs!$T$22:$T$41,MATCH(Qty!W$5,Tariffs!$J$22:$J$41,0)),0)</f>
        <v>0</v>
      </c>
      <c r="X7" s="170">
        <f>_xlfn.IFNA(INDEX(Tariffs!$T$22:$T$41,MATCH(Qty!X$5,Tariffs!$J$22:$J$41,0)),0)</f>
        <v>0</v>
      </c>
      <c r="Y7" s="170">
        <f>_xlfn.IFNA(INDEX(Tariffs!$T$22:$T$41,MATCH(Qty!Y$5,Tariffs!$J$22:$J$41,0)),0)</f>
        <v>0</v>
      </c>
      <c r="Z7" s="170">
        <f>_xlfn.IFNA(INDEX(Tariffs!$T$22:$T$41,MATCH(Qty!Z$5,Tariffs!$J$22:$J$41,0)),0)</f>
        <v>0</v>
      </c>
      <c r="AA7" s="170">
        <f>_xlfn.IFNA(INDEX(Tariffs!$T$22:$T$41,MATCH(Qty!AA$5,Tariffs!$J$22:$J$41,0)),0)</f>
        <v>0</v>
      </c>
      <c r="AB7" s="170">
        <f>_xlfn.IFNA(INDEX(Tariffs!$T$22:$T$41,MATCH(Qty!AB$5,Tariffs!$J$22:$J$41,0)),0)</f>
        <v>0</v>
      </c>
      <c r="AC7" s="170">
        <f>_xlfn.IFNA(INDEX(Tariffs!$T$22:$T$41,MATCH(Qty!AC$5,Tariffs!$J$22:$J$41,0)),0)</f>
        <v>0</v>
      </c>
      <c r="AD7" s="170">
        <f>_xlfn.IFNA(INDEX(Tariffs!$T$22:$T$41,MATCH(Qty!AD$5,Tariffs!$J$22:$J$41,0)),0)</f>
        <v>0</v>
      </c>
      <c r="AE7" s="170">
        <f>_xlfn.IFNA(INDEX(Tariffs!$T$22:$T$41,MATCH(Qty!AE$5,Tariffs!$J$22:$J$41,0)),0)</f>
        <v>0</v>
      </c>
      <c r="AF7" s="170">
        <f>_xlfn.IFNA(INDEX(Tariffs!$T$22:$T$41,MATCH(Qty!AF$5,Tariffs!$J$22:$J$41,0)),0)</f>
        <v>0</v>
      </c>
      <c r="AG7" s="19"/>
      <c r="AH7" s="19"/>
      <c r="AI7" s="19"/>
      <c r="AJ7" s="19"/>
      <c r="AK7" s="19"/>
    </row>
    <row r="8" spans="1:37" outlineLevel="2" x14ac:dyDescent="0.2">
      <c r="A8" s="19"/>
      <c r="B8" s="19"/>
      <c r="C8" s="506" t="str">
        <f>Tariffs!C46</f>
        <v>Residential time of use consumption</v>
      </c>
      <c r="D8" s="505" t="str">
        <f>IF($C8=0,0,Tariffs!D46)</f>
        <v>Residential</v>
      </c>
      <c r="E8" s="505" t="str">
        <f>IF($C8=0,0,Tariffs!E46)</f>
        <v>TAS93</v>
      </c>
      <c r="F8" s="505">
        <f>IF($C8=0,0,Tariffs!F46)</f>
        <v>0</v>
      </c>
      <c r="G8" s="505">
        <f>IF($C8=0,0,Tariffs!G46)</f>
        <v>0</v>
      </c>
      <c r="H8" s="20"/>
      <c r="I8" s="248">
        <v>60833</v>
      </c>
      <c r="J8" s="248"/>
      <c r="K8" s="164">
        <f t="shared" ref="K8:K39" si="0">SUMIF($M$6:$AF$6,"units",M8:AF8)</f>
        <v>60833</v>
      </c>
      <c r="L8" s="171"/>
      <c r="M8" s="172">
        <v>60833</v>
      </c>
      <c r="N8" s="172">
        <v>0</v>
      </c>
      <c r="O8" s="172">
        <v>148781829.80789071</v>
      </c>
      <c r="P8" s="172">
        <v>0</v>
      </c>
      <c r="Q8" s="172">
        <v>336829724.12847883</v>
      </c>
      <c r="R8" s="172">
        <v>0</v>
      </c>
      <c r="S8" s="172">
        <v>0</v>
      </c>
      <c r="T8" s="172">
        <v>0</v>
      </c>
      <c r="U8" s="172">
        <v>0</v>
      </c>
      <c r="V8" s="172">
        <v>0</v>
      </c>
      <c r="W8" s="172">
        <v>0</v>
      </c>
      <c r="X8" s="172">
        <v>0</v>
      </c>
      <c r="Y8" s="172">
        <v>0</v>
      </c>
      <c r="Z8" s="172"/>
      <c r="AA8" s="172"/>
      <c r="AB8" s="172"/>
      <c r="AC8" s="172"/>
      <c r="AD8" s="172"/>
      <c r="AE8" s="172"/>
      <c r="AF8" s="172"/>
      <c r="AG8" s="173"/>
      <c r="AH8" s="19"/>
      <c r="AI8" s="19"/>
      <c r="AJ8" s="19"/>
      <c r="AK8" s="19"/>
    </row>
    <row r="9" spans="1:37" s="59" customFormat="1" outlineLevel="2" x14ac:dyDescent="0.2">
      <c r="A9" s="57"/>
      <c r="B9" s="57"/>
      <c r="C9" s="506" t="str">
        <f>Tariffs!C47</f>
        <v>Residential general light and power</v>
      </c>
      <c r="D9" s="505" t="str">
        <f>IF($C9=0,0,Tariffs!D47)</f>
        <v>Residential</v>
      </c>
      <c r="E9" s="505" t="str">
        <f>IF($C9=0,0,Tariffs!E47)</f>
        <v>TAS31</v>
      </c>
      <c r="F9" s="505">
        <f>IF($C9=0,0,Tariffs!F47)</f>
        <v>0</v>
      </c>
      <c r="G9" s="505">
        <f>IF($C9=0,0,Tariffs!G47)</f>
        <v>0</v>
      </c>
      <c r="H9" s="58"/>
      <c r="I9" s="248">
        <v>206984</v>
      </c>
      <c r="J9" s="248"/>
      <c r="K9" s="164">
        <f t="shared" si="0"/>
        <v>206984</v>
      </c>
      <c r="L9" s="174"/>
      <c r="M9" s="172">
        <v>206984</v>
      </c>
      <c r="N9" s="172">
        <v>727493717.1455121</v>
      </c>
      <c r="O9" s="172">
        <v>0</v>
      </c>
      <c r="P9" s="172">
        <v>0</v>
      </c>
      <c r="Q9" s="172">
        <v>0</v>
      </c>
      <c r="R9" s="172">
        <v>0</v>
      </c>
      <c r="S9" s="172">
        <v>0</v>
      </c>
      <c r="T9" s="172">
        <v>0</v>
      </c>
      <c r="U9" s="172">
        <v>0</v>
      </c>
      <c r="V9" s="172">
        <v>0</v>
      </c>
      <c r="W9" s="172">
        <v>0</v>
      </c>
      <c r="X9" s="172">
        <v>0</v>
      </c>
      <c r="Y9" s="172">
        <v>0</v>
      </c>
      <c r="Z9" s="175"/>
      <c r="AA9" s="175"/>
      <c r="AB9" s="175"/>
      <c r="AC9" s="175"/>
      <c r="AD9" s="175"/>
      <c r="AE9" s="175"/>
      <c r="AF9" s="175"/>
      <c r="AG9" s="176"/>
      <c r="AH9" s="57"/>
      <c r="AI9" s="57"/>
      <c r="AJ9" s="57"/>
      <c r="AK9" s="57"/>
    </row>
    <row r="10" spans="1:37" outlineLevel="2" x14ac:dyDescent="0.2">
      <c r="A10" s="19"/>
      <c r="B10" s="19"/>
      <c r="C10" s="506" t="str">
        <f>Tariffs!C48</f>
        <v>Residential time of use demand</v>
      </c>
      <c r="D10" s="505" t="str">
        <f>IF($C10=0,0,Tariffs!D48)</f>
        <v>Residential</v>
      </c>
      <c r="E10" s="505" t="str">
        <f>IF($C10=0,0,Tariffs!E48)</f>
        <v>TAS87</v>
      </c>
      <c r="F10" s="505">
        <f>IF($C10=0,0,Tariffs!F48)</f>
        <v>0</v>
      </c>
      <c r="G10" s="505">
        <f>IF($C10=0,0,Tariffs!G48)</f>
        <v>0</v>
      </c>
      <c r="H10" s="58"/>
      <c r="I10" s="248">
        <v>0</v>
      </c>
      <c r="J10" s="248"/>
      <c r="K10" s="164">
        <f t="shared" si="0"/>
        <v>0</v>
      </c>
      <c r="L10" s="174"/>
      <c r="M10" s="172">
        <v>0</v>
      </c>
      <c r="N10" s="172">
        <v>0</v>
      </c>
      <c r="O10" s="172">
        <v>0</v>
      </c>
      <c r="P10" s="172">
        <v>0</v>
      </c>
      <c r="Q10" s="172">
        <v>0</v>
      </c>
      <c r="R10" s="172">
        <v>0</v>
      </c>
      <c r="S10" s="172">
        <v>0</v>
      </c>
      <c r="T10" s="172">
        <v>0</v>
      </c>
      <c r="U10" s="172">
        <v>0</v>
      </c>
      <c r="V10" s="172">
        <v>0</v>
      </c>
      <c r="W10" s="172">
        <v>0</v>
      </c>
      <c r="X10" s="172">
        <v>0</v>
      </c>
      <c r="Y10" s="172">
        <v>0</v>
      </c>
      <c r="Z10" s="175"/>
      <c r="AA10" s="175"/>
      <c r="AB10" s="175"/>
      <c r="AC10" s="175"/>
      <c r="AD10" s="175"/>
      <c r="AE10" s="175"/>
      <c r="AF10" s="175"/>
      <c r="AG10" s="173"/>
      <c r="AH10" s="19"/>
      <c r="AI10" s="19"/>
      <c r="AJ10" s="19"/>
      <c r="AK10" s="19"/>
    </row>
    <row r="11" spans="1:37" outlineLevel="2" x14ac:dyDescent="0.2">
      <c r="A11" s="19"/>
      <c r="B11" s="19"/>
      <c r="C11" s="506" t="str">
        <f>Tariffs!C49</f>
        <v>Residential time of use demand DER</v>
      </c>
      <c r="D11" s="505" t="str">
        <f>IF($C11=0,0,Tariffs!D49)</f>
        <v>Residential</v>
      </c>
      <c r="E11" s="505" t="str">
        <f>IF($C11=0,0,Tariffs!E49)</f>
        <v>TAS97</v>
      </c>
      <c r="F11" s="505">
        <f>IF($C11=0,0,Tariffs!F49)</f>
        <v>0</v>
      </c>
      <c r="G11" s="505">
        <f>IF($C11=0,0,Tariffs!G49)</f>
        <v>0</v>
      </c>
      <c r="H11" s="58"/>
      <c r="I11" s="248">
        <v>0</v>
      </c>
      <c r="J11" s="248"/>
      <c r="K11" s="164">
        <f t="shared" si="0"/>
        <v>0</v>
      </c>
      <c r="L11" s="174"/>
      <c r="M11" s="172">
        <v>0</v>
      </c>
      <c r="N11" s="172">
        <v>0</v>
      </c>
      <c r="O11" s="172">
        <v>0</v>
      </c>
      <c r="P11" s="172">
        <v>0</v>
      </c>
      <c r="Q11" s="172">
        <v>0</v>
      </c>
      <c r="R11" s="172">
        <v>0</v>
      </c>
      <c r="S11" s="172">
        <v>0</v>
      </c>
      <c r="T11" s="172">
        <v>0</v>
      </c>
      <c r="U11" s="172">
        <v>0</v>
      </c>
      <c r="V11" s="172">
        <v>0</v>
      </c>
      <c r="W11" s="172">
        <v>0</v>
      </c>
      <c r="X11" s="172">
        <v>0</v>
      </c>
      <c r="Y11" s="172">
        <v>0</v>
      </c>
      <c r="Z11" s="175"/>
      <c r="AA11" s="175"/>
      <c r="AB11" s="175"/>
      <c r="AC11" s="175"/>
      <c r="AD11" s="175"/>
      <c r="AE11" s="175"/>
      <c r="AF11" s="175"/>
      <c r="AG11" s="173"/>
      <c r="AH11" s="19"/>
      <c r="AI11" s="19"/>
      <c r="AJ11" s="19"/>
      <c r="AK11" s="19"/>
    </row>
    <row r="12" spans="1:37" outlineLevel="2" x14ac:dyDescent="0.2">
      <c r="A12" s="19"/>
      <c r="B12" s="19"/>
      <c r="C12" s="506" t="str">
        <f>Tariffs!C50</f>
        <v>Residential pay as you go</v>
      </c>
      <c r="D12" s="505" t="str">
        <f>IF($C12=0,0,Tariffs!D50)</f>
        <v>Residential</v>
      </c>
      <c r="E12" s="505" t="str">
        <f>IF($C12=0,0,Tariffs!E50)</f>
        <v>TAS101</v>
      </c>
      <c r="F12" s="505">
        <f>IF($C12=0,0,Tariffs!F50)</f>
        <v>0</v>
      </c>
      <c r="G12" s="505">
        <f>IF($C12=0,0,Tariffs!G50)</f>
        <v>0</v>
      </c>
      <c r="H12" s="58"/>
      <c r="I12" s="248">
        <v>0</v>
      </c>
      <c r="J12" s="248"/>
      <c r="K12" s="164">
        <f t="shared" si="0"/>
        <v>0</v>
      </c>
      <c r="L12" s="174"/>
      <c r="M12" s="172">
        <v>0</v>
      </c>
      <c r="N12" s="172">
        <v>0</v>
      </c>
      <c r="O12" s="172">
        <v>0</v>
      </c>
      <c r="P12" s="172">
        <v>0</v>
      </c>
      <c r="Q12" s="172">
        <v>0</v>
      </c>
      <c r="R12" s="172">
        <v>0</v>
      </c>
      <c r="S12" s="172">
        <v>0</v>
      </c>
      <c r="T12" s="172">
        <v>0</v>
      </c>
      <c r="U12" s="172">
        <v>0</v>
      </c>
      <c r="V12" s="172">
        <v>0</v>
      </c>
      <c r="W12" s="172">
        <v>0</v>
      </c>
      <c r="X12" s="172">
        <v>0</v>
      </c>
      <c r="Y12" s="172">
        <v>0</v>
      </c>
      <c r="Z12" s="175"/>
      <c r="AA12" s="175"/>
      <c r="AB12" s="175"/>
      <c r="AC12" s="175"/>
      <c r="AD12" s="175"/>
      <c r="AE12" s="175"/>
      <c r="AF12" s="175"/>
      <c r="AG12" s="173"/>
      <c r="AH12" s="19"/>
      <c r="AI12" s="19"/>
      <c r="AJ12" s="19"/>
      <c r="AK12" s="19"/>
    </row>
    <row r="13" spans="1:37" outlineLevel="2" x14ac:dyDescent="0.2">
      <c r="A13" s="19"/>
      <c r="B13" s="19"/>
      <c r="C13" s="506" t="str">
        <f>Tariffs!C51</f>
        <v>Residential pay as you go time of use</v>
      </c>
      <c r="D13" s="505" t="str">
        <f>IF($C13=0,0,Tariffs!D51)</f>
        <v>Residential</v>
      </c>
      <c r="E13" s="505" t="str">
        <f>IF($C13=0,0,Tariffs!E51)</f>
        <v>TAS92</v>
      </c>
      <c r="F13" s="505">
        <f>IF($C13=0,0,Tariffs!F51)</f>
        <v>0</v>
      </c>
      <c r="G13" s="505">
        <f>IF($C13=0,0,Tariffs!G51)</f>
        <v>0</v>
      </c>
      <c r="H13" s="58"/>
      <c r="I13" s="248">
        <v>0</v>
      </c>
      <c r="J13" s="248"/>
      <c r="K13" s="164">
        <f t="shared" si="0"/>
        <v>0</v>
      </c>
      <c r="L13" s="174"/>
      <c r="M13" s="172">
        <v>0</v>
      </c>
      <c r="N13" s="172">
        <v>0</v>
      </c>
      <c r="O13" s="172">
        <v>0</v>
      </c>
      <c r="P13" s="172">
        <v>0</v>
      </c>
      <c r="Q13" s="172">
        <v>0</v>
      </c>
      <c r="R13" s="172">
        <v>0</v>
      </c>
      <c r="S13" s="172">
        <v>0</v>
      </c>
      <c r="T13" s="172">
        <v>0</v>
      </c>
      <c r="U13" s="172">
        <v>0</v>
      </c>
      <c r="V13" s="172">
        <v>0</v>
      </c>
      <c r="W13" s="172">
        <v>0</v>
      </c>
      <c r="X13" s="172">
        <v>0</v>
      </c>
      <c r="Y13" s="172">
        <v>0</v>
      </c>
      <c r="Z13" s="175"/>
      <c r="AA13" s="175"/>
      <c r="AB13" s="175"/>
      <c r="AC13" s="175"/>
      <c r="AD13" s="175"/>
      <c r="AE13" s="175"/>
      <c r="AF13" s="175"/>
      <c r="AG13" s="173"/>
      <c r="AH13" s="19"/>
      <c r="AI13" s="19"/>
      <c r="AJ13" s="19"/>
      <c r="AK13" s="19"/>
    </row>
    <row r="14" spans="1:37" outlineLevel="2" x14ac:dyDescent="0.2">
      <c r="A14" s="19"/>
      <c r="B14" s="19"/>
      <c r="C14" s="506" t="str">
        <f>Tariffs!C52</f>
        <v>Small business time of use consumption</v>
      </c>
      <c r="D14" s="505" t="str">
        <f>IF($C14=0,0,Tariffs!D52)</f>
        <v>Small Business LV</v>
      </c>
      <c r="E14" s="505" t="str">
        <f>IF($C14=0,0,Tariffs!E52)</f>
        <v>TAS94</v>
      </c>
      <c r="F14" s="505">
        <f>IF($C14=0,0,Tariffs!F52)</f>
        <v>0</v>
      </c>
      <c r="G14" s="505">
        <f>IF($C14=0,0,Tariffs!G52)</f>
        <v>0</v>
      </c>
      <c r="H14" s="58"/>
      <c r="I14" s="248">
        <v>8737</v>
      </c>
      <c r="J14" s="248"/>
      <c r="K14" s="164">
        <f t="shared" si="0"/>
        <v>8737</v>
      </c>
      <c r="L14" s="174"/>
      <c r="M14" s="172">
        <v>8737</v>
      </c>
      <c r="N14" s="172">
        <v>0</v>
      </c>
      <c r="O14" s="172">
        <v>286596436.70551741</v>
      </c>
      <c r="P14" s="172">
        <v>71918373.024062186</v>
      </c>
      <c r="Q14" s="172">
        <v>141470228.22594362</v>
      </c>
      <c r="R14" s="172">
        <v>0</v>
      </c>
      <c r="S14" s="172">
        <v>0</v>
      </c>
      <c r="T14" s="172">
        <v>0</v>
      </c>
      <c r="U14" s="172">
        <v>0</v>
      </c>
      <c r="V14" s="172">
        <v>0</v>
      </c>
      <c r="W14" s="172">
        <v>0</v>
      </c>
      <c r="X14" s="172">
        <v>0</v>
      </c>
      <c r="Y14" s="172">
        <v>0</v>
      </c>
      <c r="Z14" s="175"/>
      <c r="AA14" s="175"/>
      <c r="AB14" s="175"/>
      <c r="AC14" s="175"/>
      <c r="AD14" s="175"/>
      <c r="AE14" s="175"/>
      <c r="AF14" s="175"/>
      <c r="AG14" s="173"/>
      <c r="AH14" s="19"/>
      <c r="AI14" s="19"/>
      <c r="AJ14" s="19"/>
      <c r="AK14" s="19"/>
    </row>
    <row r="15" spans="1:37" outlineLevel="2" x14ac:dyDescent="0.2">
      <c r="A15" s="19"/>
      <c r="B15" s="19"/>
      <c r="C15" s="506" t="str">
        <f>Tariffs!C53</f>
        <v>Small business general light and power</v>
      </c>
      <c r="D15" s="505" t="str">
        <f>IF($C15=0,0,Tariffs!D53)</f>
        <v>Small Business LV</v>
      </c>
      <c r="E15" s="505" t="str">
        <f>IF($C15=0,0,Tariffs!E53)</f>
        <v>TAS22</v>
      </c>
      <c r="F15" s="505">
        <f>IF($C15=0,0,Tariffs!F53)</f>
        <v>0</v>
      </c>
      <c r="G15" s="505">
        <f>IF($C15=0,0,Tariffs!G53)</f>
        <v>0</v>
      </c>
      <c r="H15" s="58"/>
      <c r="I15" s="248">
        <v>26491</v>
      </c>
      <c r="J15" s="248"/>
      <c r="K15" s="164">
        <f t="shared" si="0"/>
        <v>26491</v>
      </c>
      <c r="L15" s="174"/>
      <c r="M15" s="172">
        <v>26491</v>
      </c>
      <c r="N15" s="172">
        <v>239846830.15575621</v>
      </c>
      <c r="O15" s="172">
        <v>0</v>
      </c>
      <c r="P15" s="172">
        <v>0</v>
      </c>
      <c r="Q15" s="172">
        <v>0</v>
      </c>
      <c r="R15" s="172">
        <v>0</v>
      </c>
      <c r="S15" s="172">
        <v>0</v>
      </c>
      <c r="T15" s="172">
        <v>0</v>
      </c>
      <c r="U15" s="172">
        <v>0</v>
      </c>
      <c r="V15" s="172">
        <v>0</v>
      </c>
      <c r="W15" s="172">
        <v>0</v>
      </c>
      <c r="X15" s="172">
        <v>0</v>
      </c>
      <c r="Y15" s="172">
        <v>0</v>
      </c>
      <c r="Z15" s="175"/>
      <c r="AA15" s="175"/>
      <c r="AB15" s="175"/>
      <c r="AC15" s="175"/>
      <c r="AD15" s="175"/>
      <c r="AE15" s="175"/>
      <c r="AF15" s="175"/>
      <c r="AG15" s="173"/>
      <c r="AH15" s="19"/>
      <c r="AI15" s="19"/>
      <c r="AJ15" s="19"/>
      <c r="AK15" s="19"/>
    </row>
    <row r="16" spans="1:37" outlineLevel="2" x14ac:dyDescent="0.2">
      <c r="A16" s="19"/>
      <c r="B16" s="19"/>
      <c r="C16" s="506" t="str">
        <f>Tariffs!C54</f>
        <v>Small business time of use demand</v>
      </c>
      <c r="D16" s="505" t="str">
        <f>IF($C16=0,0,Tariffs!D54)</f>
        <v>Small Business LV</v>
      </c>
      <c r="E16" s="505" t="str">
        <f>IF($C16=0,0,Tariffs!E54)</f>
        <v>TAS88</v>
      </c>
      <c r="F16" s="505">
        <f>IF($C16=0,0,Tariffs!F54)</f>
        <v>0</v>
      </c>
      <c r="G16" s="505">
        <f>IF($C16=0,0,Tariffs!G54)</f>
        <v>0</v>
      </c>
      <c r="H16" s="58"/>
      <c r="I16" s="248">
        <v>959</v>
      </c>
      <c r="J16" s="248"/>
      <c r="K16" s="164">
        <f t="shared" si="0"/>
        <v>959</v>
      </c>
      <c r="L16" s="174"/>
      <c r="M16" s="172">
        <v>959</v>
      </c>
      <c r="N16" s="172">
        <v>156738071.42478734</v>
      </c>
      <c r="O16" s="172">
        <v>0</v>
      </c>
      <c r="P16" s="172">
        <v>0</v>
      </c>
      <c r="Q16" s="172">
        <v>0</v>
      </c>
      <c r="R16" s="172">
        <v>0</v>
      </c>
      <c r="S16" s="172">
        <v>11965698.048659418</v>
      </c>
      <c r="T16" s="172">
        <v>12398616.367962852</v>
      </c>
      <c r="U16" s="172">
        <v>0</v>
      </c>
      <c r="V16" s="172">
        <v>0</v>
      </c>
      <c r="W16" s="172">
        <v>0</v>
      </c>
      <c r="X16" s="172">
        <v>0</v>
      </c>
      <c r="Y16" s="172">
        <v>0</v>
      </c>
      <c r="Z16" s="175"/>
      <c r="AA16" s="175"/>
      <c r="AB16" s="175"/>
      <c r="AC16" s="175"/>
      <c r="AD16" s="175"/>
      <c r="AE16" s="175"/>
      <c r="AF16" s="175"/>
      <c r="AG16" s="173"/>
      <c r="AH16" s="19"/>
      <c r="AI16" s="19"/>
      <c r="AJ16" s="19"/>
      <c r="AK16" s="19"/>
    </row>
    <row r="17" spans="1:37" outlineLevel="2" x14ac:dyDescent="0.2">
      <c r="A17" s="19"/>
      <c r="B17" s="19"/>
      <c r="C17" s="506" t="str">
        <f>Tariffs!C55</f>
        <v>Small business time of use demand DER</v>
      </c>
      <c r="D17" s="505" t="str">
        <f>IF($C17=0,0,Tariffs!D55)</f>
        <v>Small Business LV</v>
      </c>
      <c r="E17" s="505" t="str">
        <f>IF($C17=0,0,Tariffs!E55)</f>
        <v>TAS98</v>
      </c>
      <c r="F17" s="505">
        <f>IF($C17=0,0,Tariffs!F55)</f>
        <v>0</v>
      </c>
      <c r="G17" s="505">
        <f>IF($C17=0,0,Tariffs!G55)</f>
        <v>0</v>
      </c>
      <c r="H17" s="58"/>
      <c r="I17" s="248">
        <v>94</v>
      </c>
      <c r="J17" s="248"/>
      <c r="K17" s="164">
        <f t="shared" si="0"/>
        <v>94</v>
      </c>
      <c r="L17" s="174"/>
      <c r="M17" s="172">
        <v>94</v>
      </c>
      <c r="N17" s="172">
        <v>24893775.233081341</v>
      </c>
      <c r="O17" s="172">
        <v>0</v>
      </c>
      <c r="P17" s="172">
        <v>0</v>
      </c>
      <c r="Q17" s="172">
        <v>0</v>
      </c>
      <c r="R17" s="172">
        <v>0</v>
      </c>
      <c r="S17" s="172">
        <v>2059134.5524486979</v>
      </c>
      <c r="T17" s="172">
        <v>2184576.3501781509</v>
      </c>
      <c r="U17" s="172">
        <v>0</v>
      </c>
      <c r="V17" s="172">
        <v>0</v>
      </c>
      <c r="W17" s="172">
        <v>0</v>
      </c>
      <c r="X17" s="172">
        <v>0</v>
      </c>
      <c r="Y17" s="172">
        <v>0</v>
      </c>
      <c r="Z17" s="175"/>
      <c r="AA17" s="175"/>
      <c r="AB17" s="175"/>
      <c r="AC17" s="175"/>
      <c r="AD17" s="175"/>
      <c r="AE17" s="175"/>
      <c r="AF17" s="175"/>
      <c r="AG17" s="173"/>
      <c r="AH17" s="19"/>
      <c r="AI17" s="19"/>
      <c r="AJ17" s="19"/>
      <c r="AK17" s="19"/>
    </row>
    <row r="18" spans="1:37" outlineLevel="2" x14ac:dyDescent="0.2">
      <c r="A18" s="19"/>
      <c r="B18" s="19"/>
      <c r="C18" s="506" t="str">
        <f>Tariffs!C56</f>
        <v>Large business kVA demand</v>
      </c>
      <c r="D18" s="505" t="str">
        <f>IF($C18=0,0,Tariffs!D56)</f>
        <v>Large Business LV</v>
      </c>
      <c r="E18" s="505" t="str">
        <f>IF($C18=0,0,Tariffs!E56)</f>
        <v>TAS82</v>
      </c>
      <c r="F18" s="505">
        <f>IF($C18=0,0,Tariffs!F56)</f>
        <v>0</v>
      </c>
      <c r="G18" s="505">
        <f>IF($C18=0,0,Tariffs!G56)</f>
        <v>0</v>
      </c>
      <c r="H18" s="58"/>
      <c r="I18" s="248">
        <v>525</v>
      </c>
      <c r="J18" s="248"/>
      <c r="K18" s="164">
        <f t="shared" si="0"/>
        <v>525</v>
      </c>
      <c r="L18" s="174"/>
      <c r="M18" s="172">
        <v>525</v>
      </c>
      <c r="N18" s="172">
        <v>199680496.76817563</v>
      </c>
      <c r="O18" s="172">
        <v>0</v>
      </c>
      <c r="P18" s="172">
        <v>0</v>
      </c>
      <c r="Q18" s="172">
        <v>0</v>
      </c>
      <c r="R18" s="172">
        <v>21895400.49077573</v>
      </c>
      <c r="S18" s="172">
        <v>0</v>
      </c>
      <c r="T18" s="172">
        <v>0</v>
      </c>
      <c r="U18" s="172">
        <v>0</v>
      </c>
      <c r="V18" s="172">
        <v>0</v>
      </c>
      <c r="W18" s="172">
        <v>0</v>
      </c>
      <c r="X18" s="172">
        <v>0</v>
      </c>
      <c r="Y18" s="172">
        <v>0</v>
      </c>
      <c r="Z18" s="175"/>
      <c r="AA18" s="175"/>
      <c r="AB18" s="175"/>
      <c r="AC18" s="175"/>
      <c r="AD18" s="175"/>
      <c r="AE18" s="175"/>
      <c r="AF18" s="175"/>
      <c r="AG18" s="173"/>
      <c r="AH18" s="19"/>
      <c r="AI18" s="19"/>
      <c r="AJ18" s="19"/>
      <c r="AK18" s="19"/>
    </row>
    <row r="19" spans="1:37" outlineLevel="2" x14ac:dyDescent="0.2">
      <c r="A19" s="19"/>
      <c r="B19" s="19"/>
      <c r="C19" s="506" t="str">
        <f>Tariffs!C57</f>
        <v>Large business time of use demand</v>
      </c>
      <c r="D19" s="505" t="str">
        <f>IF($C19=0,0,Tariffs!D57)</f>
        <v>Large Business LV</v>
      </c>
      <c r="E19" s="505" t="str">
        <f>IF($C19=0,0,Tariffs!E57)</f>
        <v>TAS89</v>
      </c>
      <c r="F19" s="505">
        <f>IF($C19=0,0,Tariffs!F57)</f>
        <v>0</v>
      </c>
      <c r="G19" s="505">
        <f>IF($C19=0,0,Tariffs!G57)</f>
        <v>0</v>
      </c>
      <c r="H19" s="58"/>
      <c r="I19" s="248">
        <v>220</v>
      </c>
      <c r="J19" s="248"/>
      <c r="K19" s="164">
        <f t="shared" si="0"/>
        <v>220</v>
      </c>
      <c r="L19" s="174"/>
      <c r="M19" s="172">
        <v>220</v>
      </c>
      <c r="N19" s="172">
        <v>246985259.00852564</v>
      </c>
      <c r="O19" s="172">
        <v>0</v>
      </c>
      <c r="P19" s="172">
        <v>0</v>
      </c>
      <c r="Q19" s="172">
        <v>0</v>
      </c>
      <c r="R19" s="172">
        <v>0</v>
      </c>
      <c r="S19" s="172">
        <v>16421485.543766119</v>
      </c>
      <c r="T19" s="172">
        <v>16734546.6711572</v>
      </c>
      <c r="U19" s="172">
        <v>0</v>
      </c>
      <c r="V19" s="172">
        <v>0</v>
      </c>
      <c r="W19" s="172">
        <v>0</v>
      </c>
      <c r="X19" s="172">
        <v>0</v>
      </c>
      <c r="Y19" s="172">
        <v>0</v>
      </c>
      <c r="Z19" s="175"/>
      <c r="AA19" s="175"/>
      <c r="AB19" s="175"/>
      <c r="AC19" s="175"/>
      <c r="AD19" s="175"/>
      <c r="AE19" s="175"/>
      <c r="AF19" s="175"/>
      <c r="AG19" s="173"/>
      <c r="AH19" s="19"/>
      <c r="AI19" s="19"/>
      <c r="AJ19" s="19"/>
      <c r="AK19" s="19"/>
    </row>
    <row r="20" spans="1:37" outlineLevel="2" x14ac:dyDescent="0.2">
      <c r="A20" s="19"/>
      <c r="B20" s="19"/>
      <c r="C20" s="506" t="str">
        <f>Tariffs!C58</f>
        <v>Irrigation time of use consumption</v>
      </c>
      <c r="D20" s="505" t="str">
        <f>IF($C20=0,0,Tariffs!D58)</f>
        <v>Irrigation</v>
      </c>
      <c r="E20" s="505" t="str">
        <f>IF($C20=0,0,Tariffs!E58)</f>
        <v>TAS75</v>
      </c>
      <c r="F20" s="505">
        <f>IF($C20=0,0,Tariffs!F58)</f>
        <v>0</v>
      </c>
      <c r="G20" s="505">
        <f>IF($C20=0,0,Tariffs!G58)</f>
        <v>0</v>
      </c>
      <c r="H20" s="58"/>
      <c r="I20" s="248">
        <v>4034</v>
      </c>
      <c r="J20" s="248"/>
      <c r="K20" s="164">
        <f t="shared" si="0"/>
        <v>4034</v>
      </c>
      <c r="L20" s="174"/>
      <c r="M20" s="172">
        <v>4034</v>
      </c>
      <c r="N20" s="172">
        <v>0</v>
      </c>
      <c r="O20" s="172">
        <v>8598232.082430739</v>
      </c>
      <c r="P20" s="172">
        <v>55443677.73508241</v>
      </c>
      <c r="Q20" s="172">
        <v>89494832.798114136</v>
      </c>
      <c r="R20" s="172">
        <v>0</v>
      </c>
      <c r="S20" s="172">
        <v>0</v>
      </c>
      <c r="T20" s="172">
        <v>0</v>
      </c>
      <c r="U20" s="172">
        <v>0</v>
      </c>
      <c r="V20" s="172">
        <v>0</v>
      </c>
      <c r="W20" s="172">
        <v>0</v>
      </c>
      <c r="X20" s="172">
        <v>0</v>
      </c>
      <c r="Y20" s="172">
        <v>0</v>
      </c>
      <c r="Z20" s="175"/>
      <c r="AA20" s="175"/>
      <c r="AB20" s="175"/>
      <c r="AC20" s="175"/>
      <c r="AD20" s="175"/>
      <c r="AE20" s="175"/>
      <c r="AF20" s="175"/>
      <c r="AG20" s="173"/>
      <c r="AH20" s="19"/>
      <c r="AI20" s="19"/>
      <c r="AJ20" s="19"/>
      <c r="AK20" s="19"/>
    </row>
    <row r="21" spans="1:37" outlineLevel="2" x14ac:dyDescent="0.2">
      <c r="A21" s="19"/>
      <c r="B21" s="19"/>
      <c r="C21" s="506" t="str">
        <f>Tariffs!C59</f>
        <v>Business HV kVA specified demand &lt;2MVA</v>
      </c>
      <c r="D21" s="505" t="str">
        <f>IF($C21=0,0,Tariffs!D59)</f>
        <v>Large Business HV</v>
      </c>
      <c r="E21" s="505" t="str">
        <f>IF($C21=0,0,Tariffs!E59)</f>
        <v>TASSDM</v>
      </c>
      <c r="F21" s="505">
        <f>IF($C21=0,0,Tariffs!F59)</f>
        <v>0</v>
      </c>
      <c r="G21" s="505">
        <f>IF($C21=0,0,Tariffs!G59)</f>
        <v>0</v>
      </c>
      <c r="H21" s="58"/>
      <c r="I21" s="248">
        <v>109</v>
      </c>
      <c r="J21" s="248"/>
      <c r="K21" s="164">
        <f t="shared" si="0"/>
        <v>109</v>
      </c>
      <c r="L21" s="174"/>
      <c r="M21" s="172">
        <v>109</v>
      </c>
      <c r="N21" s="172">
        <v>0</v>
      </c>
      <c r="O21" s="172">
        <v>84373013.619930744</v>
      </c>
      <c r="P21" s="172">
        <v>102518508.19356436</v>
      </c>
      <c r="Q21" s="172">
        <v>126929728.72368109</v>
      </c>
      <c r="R21" s="172">
        <v>0</v>
      </c>
      <c r="S21" s="172">
        <v>0</v>
      </c>
      <c r="T21" s="172">
        <v>0</v>
      </c>
      <c r="U21" s="172">
        <v>25210150.245070711</v>
      </c>
      <c r="V21" s="172">
        <v>154655.01050395033</v>
      </c>
      <c r="W21" s="172">
        <v>0</v>
      </c>
      <c r="X21" s="172">
        <v>0</v>
      </c>
      <c r="Y21" s="172">
        <v>0</v>
      </c>
      <c r="Z21" s="175"/>
      <c r="AA21" s="175"/>
      <c r="AB21" s="175"/>
      <c r="AC21" s="175"/>
      <c r="AD21" s="175"/>
      <c r="AE21" s="175"/>
      <c r="AF21" s="175"/>
      <c r="AG21" s="173"/>
      <c r="AH21" s="19"/>
      <c r="AI21" s="19"/>
      <c r="AJ21" s="19"/>
      <c r="AK21" s="19"/>
    </row>
    <row r="22" spans="1:37" outlineLevel="2" x14ac:dyDescent="0.2">
      <c r="A22" s="19"/>
      <c r="B22" s="19"/>
      <c r="C22" s="506" t="str">
        <f>Tariffs!C60</f>
        <v>Business HV kVA specified demand &gt;2MVA</v>
      </c>
      <c r="D22" s="505" t="str">
        <f>IF($C22=0,0,Tariffs!D60)</f>
        <v>Large Business HV</v>
      </c>
      <c r="E22" s="505" t="str">
        <f>IF($C22=0,0,Tariffs!E60)</f>
        <v>TAS15*</v>
      </c>
      <c r="F22" s="505">
        <f>IF($C22=0,0,Tariffs!F60)</f>
        <v>0</v>
      </c>
      <c r="G22" s="505">
        <f>IF($C22=0,0,Tariffs!G60)</f>
        <v>0</v>
      </c>
      <c r="H22" s="58"/>
      <c r="I22" s="248">
        <v>0</v>
      </c>
      <c r="J22" s="248"/>
      <c r="K22" s="164">
        <f>SUMIF($M$6:$AF$6,"units",M22:AF22)</f>
        <v>0</v>
      </c>
      <c r="L22" s="174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5"/>
      <c r="AA22" s="175"/>
      <c r="AB22" s="175"/>
      <c r="AC22" s="175"/>
      <c r="AD22" s="175"/>
      <c r="AE22" s="175"/>
      <c r="AF22" s="175"/>
      <c r="AG22" s="173"/>
      <c r="AH22" s="19"/>
      <c r="AI22" s="19"/>
      <c r="AJ22" s="19"/>
      <c r="AK22" s="19"/>
    </row>
    <row r="23" spans="1:37" outlineLevel="2" x14ac:dyDescent="0.2">
      <c r="A23" s="19"/>
      <c r="B23" s="19"/>
      <c r="C23" s="506" t="str">
        <f>Tariffs!C61</f>
        <v>Uncontrolled low voltage heating and hot water</v>
      </c>
      <c r="D23" s="505" t="str">
        <f>IF($C23=0,0,Tariffs!D61)</f>
        <v>Uncontrolled energy</v>
      </c>
      <c r="E23" s="505" t="str">
        <f>IF($C23=0,0,Tariffs!E61)</f>
        <v>TAS41</v>
      </c>
      <c r="F23" s="505">
        <f>IF($C23=0,0,Tariffs!F61)</f>
        <v>0</v>
      </c>
      <c r="G23" s="505">
        <f>IF($C23=0,0,Tariffs!G61)</f>
        <v>0</v>
      </c>
      <c r="H23" s="58"/>
      <c r="I23" s="248">
        <v>197277</v>
      </c>
      <c r="J23" s="248"/>
      <c r="K23" s="164">
        <f>SUMIF($M$6:$AF$6,"units",M23:AF23)</f>
        <v>197277</v>
      </c>
      <c r="L23" s="174"/>
      <c r="M23" s="172">
        <v>197277</v>
      </c>
      <c r="N23" s="172">
        <v>866707796.70236611</v>
      </c>
      <c r="O23" s="172">
        <v>0</v>
      </c>
      <c r="P23" s="172">
        <v>0</v>
      </c>
      <c r="Q23" s="172">
        <v>0</v>
      </c>
      <c r="R23" s="172">
        <v>0</v>
      </c>
      <c r="S23" s="172">
        <v>0</v>
      </c>
      <c r="T23" s="172">
        <v>0</v>
      </c>
      <c r="U23" s="172">
        <v>0</v>
      </c>
      <c r="V23" s="172">
        <v>0</v>
      </c>
      <c r="W23" s="172">
        <v>0</v>
      </c>
      <c r="X23" s="172">
        <v>0</v>
      </c>
      <c r="Y23" s="172">
        <v>0</v>
      </c>
      <c r="Z23" s="175"/>
      <c r="AA23" s="175"/>
      <c r="AB23" s="175"/>
      <c r="AC23" s="175"/>
      <c r="AD23" s="175"/>
      <c r="AE23" s="175"/>
      <c r="AF23" s="175"/>
      <c r="AG23" s="173"/>
      <c r="AH23" s="19"/>
      <c r="AI23" s="19"/>
      <c r="AJ23" s="19"/>
      <c r="AK23" s="19"/>
    </row>
    <row r="24" spans="1:37" outlineLevel="2" x14ac:dyDescent="0.2">
      <c r="A24" s="19"/>
      <c r="B24" s="19"/>
      <c r="C24" s="506" t="str">
        <f>Tariffs!C62</f>
        <v>Controlled low voltage night period only</v>
      </c>
      <c r="D24" s="505" t="str">
        <f>IF($C24=0,0,Tariffs!D62)</f>
        <v>Controlled energy</v>
      </c>
      <c r="E24" s="505" t="str">
        <f>IF($C24=0,0,Tariffs!E62)</f>
        <v>TAS63</v>
      </c>
      <c r="F24" s="505">
        <f>IF($C24=0,0,Tariffs!F62)</f>
        <v>0</v>
      </c>
      <c r="G24" s="505">
        <f>IF($C24=0,0,Tariffs!G62)</f>
        <v>0</v>
      </c>
      <c r="H24" s="58"/>
      <c r="I24" s="248">
        <v>813.71907438827566</v>
      </c>
      <c r="J24" s="248"/>
      <c r="K24" s="164">
        <f>SUMIF($M$6:$AF$6,"units",M24:AF24)</f>
        <v>813.71907438827566</v>
      </c>
      <c r="L24" s="174"/>
      <c r="M24" s="172">
        <v>813.71907438827566</v>
      </c>
      <c r="N24" s="172">
        <v>2188350.5608897316</v>
      </c>
      <c r="O24" s="172">
        <v>0</v>
      </c>
      <c r="P24" s="172">
        <v>0</v>
      </c>
      <c r="Q24" s="172">
        <v>0</v>
      </c>
      <c r="R24" s="172">
        <v>0</v>
      </c>
      <c r="S24" s="172">
        <v>0</v>
      </c>
      <c r="T24" s="172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0</v>
      </c>
      <c r="Z24" s="175"/>
      <c r="AA24" s="175"/>
      <c r="AB24" s="175"/>
      <c r="AC24" s="175"/>
      <c r="AD24" s="175"/>
      <c r="AE24" s="175"/>
      <c r="AF24" s="175"/>
      <c r="AG24" s="173"/>
      <c r="AH24" s="19"/>
      <c r="AI24" s="19"/>
      <c r="AJ24" s="19"/>
      <c r="AK24" s="19"/>
    </row>
    <row r="25" spans="1:37" outlineLevel="2" x14ac:dyDescent="0.2">
      <c r="A25" s="19"/>
      <c r="B25" s="19"/>
      <c r="C25" s="506" t="str">
        <f>Tariffs!C63</f>
        <v>Controlled low voltage off peak with afternoon boost</v>
      </c>
      <c r="D25" s="505" t="str">
        <f>IF($C25=0,0,Tariffs!D63)</f>
        <v>Controlled energy</v>
      </c>
      <c r="E25" s="505" t="str">
        <f>IF($C25=0,0,Tariffs!E63)</f>
        <v>TAS61</v>
      </c>
      <c r="F25" s="505">
        <f>IF($C25=0,0,Tariffs!F63)</f>
        <v>0</v>
      </c>
      <c r="G25" s="505">
        <f>IF($C25=0,0,Tariffs!G63)</f>
        <v>0</v>
      </c>
      <c r="H25" s="58"/>
      <c r="I25" s="248">
        <v>18989.595604758975</v>
      </c>
      <c r="J25" s="248"/>
      <c r="K25" s="164">
        <f>SUMIF($M$6:$AF$6,"units",M25:AF25)</f>
        <v>18989.595604758975</v>
      </c>
      <c r="L25" s="174"/>
      <c r="M25" s="172">
        <v>18989.595604758975</v>
      </c>
      <c r="N25" s="172">
        <v>33379379.711129375</v>
      </c>
      <c r="O25" s="172">
        <v>0</v>
      </c>
      <c r="P25" s="172">
        <v>0</v>
      </c>
      <c r="Q25" s="172">
        <v>0</v>
      </c>
      <c r="R25" s="172">
        <v>0</v>
      </c>
      <c r="S25" s="172">
        <v>0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0</v>
      </c>
      <c r="Z25" s="175"/>
      <c r="AA25" s="175"/>
      <c r="AB25" s="175"/>
      <c r="AC25" s="175"/>
      <c r="AD25" s="175"/>
      <c r="AE25" s="175"/>
      <c r="AF25" s="175"/>
      <c r="AG25" s="173"/>
      <c r="AH25" s="19"/>
      <c r="AI25" s="19"/>
      <c r="AJ25" s="19"/>
      <c r="AK25" s="19"/>
    </row>
    <row r="26" spans="1:37" outlineLevel="2" x14ac:dyDescent="0.2">
      <c r="A26" s="19"/>
      <c r="B26" s="19"/>
      <c r="C26" s="506" t="str">
        <f>Tariffs!C64</f>
        <v>Unmetered supply general</v>
      </c>
      <c r="D26" s="505" t="str">
        <f>IF($C26=0,0,Tariffs!D64)</f>
        <v>Unmetered supplies</v>
      </c>
      <c r="E26" s="505" t="str">
        <f>IF($C26=0,0,Tariffs!E64)</f>
        <v>TASUMS</v>
      </c>
      <c r="F26" s="505">
        <f>IF($C26=0,0,Tariffs!F64)</f>
        <v>0</v>
      </c>
      <c r="G26" s="505">
        <f>IF($C26=0,0,Tariffs!G64)</f>
        <v>0</v>
      </c>
      <c r="H26" s="58"/>
      <c r="I26" s="248">
        <v>1793</v>
      </c>
      <c r="J26" s="248"/>
      <c r="K26" s="164">
        <f>SUMIF($M$6:$AF$6,"units",M26:AF26)</f>
        <v>1793</v>
      </c>
      <c r="L26" s="174"/>
      <c r="M26" s="172">
        <v>1793</v>
      </c>
      <c r="N26" s="172">
        <v>6934307.1820168588</v>
      </c>
      <c r="O26" s="172">
        <v>0</v>
      </c>
      <c r="P26" s="172">
        <v>0</v>
      </c>
      <c r="Q26" s="172">
        <v>0</v>
      </c>
      <c r="R26" s="172">
        <v>0</v>
      </c>
      <c r="S26" s="172">
        <v>0</v>
      </c>
      <c r="T26" s="172">
        <v>0</v>
      </c>
      <c r="U26" s="172">
        <v>0</v>
      </c>
      <c r="V26" s="172">
        <v>0</v>
      </c>
      <c r="W26" s="172">
        <v>0</v>
      </c>
      <c r="X26" s="172">
        <v>0</v>
      </c>
      <c r="Y26" s="172">
        <v>0</v>
      </c>
      <c r="Z26" s="175"/>
      <c r="AA26" s="175"/>
      <c r="AB26" s="175"/>
      <c r="AC26" s="175"/>
      <c r="AD26" s="175"/>
      <c r="AE26" s="175"/>
      <c r="AF26" s="175"/>
      <c r="AG26" s="173"/>
      <c r="AH26" s="19"/>
      <c r="AI26" s="19"/>
      <c r="AJ26" s="19"/>
      <c r="AK26" s="19"/>
    </row>
    <row r="27" spans="1:37" outlineLevel="2" x14ac:dyDescent="0.2">
      <c r="A27" s="19"/>
      <c r="B27" s="19"/>
      <c r="C27" s="506" t="str">
        <f>Tariffs!C65</f>
        <v>Street lighting</v>
      </c>
      <c r="D27" s="505" t="str">
        <f>IF($C27=0,0,Tariffs!D65)</f>
        <v>Street lighting</v>
      </c>
      <c r="E27" s="505" t="str">
        <f>IF($C27=0,0,Tariffs!E65)</f>
        <v>TASUMSSL</v>
      </c>
      <c r="F27" s="505">
        <f>IF($C27=0,0,Tariffs!F65)</f>
        <v>0</v>
      </c>
      <c r="G27" s="505">
        <f>IF($C27=0,0,Tariffs!G65)</f>
        <v>0</v>
      </c>
      <c r="H27" s="58"/>
      <c r="I27" s="248"/>
      <c r="J27" s="248"/>
      <c r="K27" s="164"/>
      <c r="L27" s="174"/>
      <c r="M27" s="172">
        <v>0</v>
      </c>
      <c r="N27" s="172">
        <v>0</v>
      </c>
      <c r="O27" s="172">
        <v>0</v>
      </c>
      <c r="P27" s="172">
        <v>0</v>
      </c>
      <c r="Q27" s="172">
        <v>0</v>
      </c>
      <c r="R27" s="172">
        <v>0</v>
      </c>
      <c r="S27" s="172">
        <v>0</v>
      </c>
      <c r="T27" s="172">
        <v>0</v>
      </c>
      <c r="U27" s="172">
        <v>0</v>
      </c>
      <c r="V27" s="172">
        <v>0</v>
      </c>
      <c r="W27" s="172">
        <v>0</v>
      </c>
      <c r="X27" s="172">
        <v>0</v>
      </c>
      <c r="Y27" s="172">
        <v>3627058.5026313486</v>
      </c>
      <c r="Z27" s="175"/>
      <c r="AA27" s="175"/>
      <c r="AB27" s="175"/>
      <c r="AC27" s="175"/>
      <c r="AD27" s="175"/>
      <c r="AE27" s="175"/>
      <c r="AF27" s="175"/>
      <c r="AG27" s="173"/>
      <c r="AH27" s="19"/>
      <c r="AI27" s="19"/>
      <c r="AJ27" s="19"/>
      <c r="AK27" s="19"/>
    </row>
    <row r="28" spans="1:37" outlineLevel="2" x14ac:dyDescent="0.2">
      <c r="A28" s="19"/>
      <c r="B28" s="19"/>
      <c r="C28" s="506">
        <f>Tariffs!C66</f>
        <v>0</v>
      </c>
      <c r="D28" s="505">
        <f>IF($C28=0,0,Tariffs!D66)</f>
        <v>0</v>
      </c>
      <c r="E28" s="505">
        <f>IF($C28=0,0,Tariffs!E66)</f>
        <v>0</v>
      </c>
      <c r="F28" s="505">
        <f>IF($C28=0,0,Tariffs!F66)</f>
        <v>0</v>
      </c>
      <c r="G28" s="505">
        <f>IF($C28=0,0,Tariffs!G66)</f>
        <v>0</v>
      </c>
      <c r="H28" s="58"/>
      <c r="I28" s="248">
        <v>0</v>
      </c>
      <c r="J28" s="248"/>
      <c r="K28" s="164">
        <f t="shared" si="0"/>
        <v>0</v>
      </c>
      <c r="L28" s="174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3"/>
      <c r="AH28" s="19"/>
      <c r="AI28" s="19"/>
      <c r="AJ28" s="19"/>
      <c r="AK28" s="19"/>
    </row>
    <row r="29" spans="1:37" hidden="1" outlineLevel="3" x14ac:dyDescent="0.2">
      <c r="A29" s="19"/>
      <c r="B29" s="19"/>
      <c r="C29" s="506">
        <f>Tariffs!C67</f>
        <v>0</v>
      </c>
      <c r="D29" s="505">
        <f>IF($C29=0,0,Tariffs!D67)</f>
        <v>0</v>
      </c>
      <c r="E29" s="505">
        <f>IF($C29=0,0,Tariffs!E67)</f>
        <v>0</v>
      </c>
      <c r="F29" s="505">
        <f>IF($C29=0,0,Tariffs!F67)</f>
        <v>0</v>
      </c>
      <c r="G29" s="505">
        <f>IF($C29=0,0,Tariffs!G67)</f>
        <v>0</v>
      </c>
      <c r="H29" s="58"/>
      <c r="I29" s="248">
        <v>0</v>
      </c>
      <c r="J29" s="248"/>
      <c r="K29" s="164">
        <f t="shared" si="0"/>
        <v>0</v>
      </c>
      <c r="L29" s="174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3"/>
      <c r="AH29" s="19"/>
      <c r="AI29" s="19"/>
      <c r="AJ29" s="19"/>
      <c r="AK29" s="19"/>
    </row>
    <row r="30" spans="1:37" hidden="1" outlineLevel="3" x14ac:dyDescent="0.2">
      <c r="A30" s="19"/>
      <c r="B30" s="19"/>
      <c r="C30" s="506">
        <f>Tariffs!C68</f>
        <v>0</v>
      </c>
      <c r="D30" s="505">
        <f>IF($C30=0,0,Tariffs!D68)</f>
        <v>0</v>
      </c>
      <c r="E30" s="505">
        <f>IF($C30=0,0,Tariffs!E68)</f>
        <v>0</v>
      </c>
      <c r="F30" s="505">
        <f>IF($C30=0,0,Tariffs!F68)</f>
        <v>0</v>
      </c>
      <c r="G30" s="505">
        <f>IF($C30=0,0,Tariffs!G68)</f>
        <v>0</v>
      </c>
      <c r="H30" s="58"/>
      <c r="I30" s="248">
        <v>0</v>
      </c>
      <c r="J30" s="248"/>
      <c r="K30" s="164">
        <f t="shared" si="0"/>
        <v>0</v>
      </c>
      <c r="L30" s="174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3"/>
      <c r="AH30" s="19"/>
      <c r="AI30" s="19"/>
      <c r="AJ30" s="19"/>
      <c r="AK30" s="19"/>
    </row>
    <row r="31" spans="1:37" hidden="1" outlineLevel="3" x14ac:dyDescent="0.2">
      <c r="A31" s="19"/>
      <c r="B31" s="19"/>
      <c r="C31" s="506">
        <f>Tariffs!C69</f>
        <v>0</v>
      </c>
      <c r="D31" s="505">
        <f>IF($C31=0,0,Tariffs!D69)</f>
        <v>0</v>
      </c>
      <c r="E31" s="505">
        <f>IF($C31=0,0,Tariffs!E69)</f>
        <v>0</v>
      </c>
      <c r="F31" s="505">
        <f>IF($C31=0,0,Tariffs!F69)</f>
        <v>0</v>
      </c>
      <c r="G31" s="505">
        <f>IF($C31=0,0,Tariffs!G69)</f>
        <v>0</v>
      </c>
      <c r="H31" s="58"/>
      <c r="I31" s="248">
        <v>0</v>
      </c>
      <c r="J31" s="248"/>
      <c r="K31" s="164">
        <f t="shared" si="0"/>
        <v>0</v>
      </c>
      <c r="L31" s="174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3"/>
      <c r="AH31" s="19"/>
      <c r="AI31" s="19"/>
      <c r="AJ31" s="19"/>
      <c r="AK31" s="19"/>
    </row>
    <row r="32" spans="1:37" hidden="1" outlineLevel="3" x14ac:dyDescent="0.2">
      <c r="A32" s="19"/>
      <c r="B32" s="19"/>
      <c r="C32" s="506">
        <f>Tariffs!C70</f>
        <v>0</v>
      </c>
      <c r="D32" s="505">
        <f>IF($C32=0,0,Tariffs!D70)</f>
        <v>0</v>
      </c>
      <c r="E32" s="505">
        <f>IF($C32=0,0,Tariffs!E70)</f>
        <v>0</v>
      </c>
      <c r="F32" s="505">
        <f>IF($C32=0,0,Tariffs!F70)</f>
        <v>0</v>
      </c>
      <c r="G32" s="505">
        <f>IF($C32=0,0,Tariffs!G70)</f>
        <v>0</v>
      </c>
      <c r="H32" s="58"/>
      <c r="I32" s="248">
        <v>0</v>
      </c>
      <c r="J32" s="248"/>
      <c r="K32" s="164">
        <f t="shared" si="0"/>
        <v>0</v>
      </c>
      <c r="L32" s="174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3"/>
      <c r="AH32" s="19"/>
      <c r="AI32" s="19"/>
      <c r="AJ32" s="19"/>
      <c r="AK32" s="19"/>
    </row>
    <row r="33" spans="1:37" hidden="1" outlineLevel="3" x14ac:dyDescent="0.2">
      <c r="A33" s="19"/>
      <c r="B33" s="19"/>
      <c r="C33" s="506">
        <f>Tariffs!C71</f>
        <v>0</v>
      </c>
      <c r="D33" s="505">
        <f>IF($C33=0,0,Tariffs!D71)</f>
        <v>0</v>
      </c>
      <c r="E33" s="505">
        <f>IF($C33=0,0,Tariffs!E71)</f>
        <v>0</v>
      </c>
      <c r="F33" s="505">
        <f>IF($C33=0,0,Tariffs!F71)</f>
        <v>0</v>
      </c>
      <c r="G33" s="505">
        <f>IF($C33=0,0,Tariffs!G71)</f>
        <v>0</v>
      </c>
      <c r="H33" s="58"/>
      <c r="I33" s="248">
        <v>0</v>
      </c>
      <c r="J33" s="248"/>
      <c r="K33" s="164">
        <f t="shared" si="0"/>
        <v>0</v>
      </c>
      <c r="L33" s="174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3"/>
      <c r="AH33" s="19"/>
      <c r="AI33" s="19"/>
      <c r="AJ33" s="19"/>
      <c r="AK33" s="19"/>
    </row>
    <row r="34" spans="1:37" hidden="1" outlineLevel="3" x14ac:dyDescent="0.2">
      <c r="A34" s="19"/>
      <c r="B34" s="19"/>
      <c r="C34" s="506">
        <f>Tariffs!C72</f>
        <v>0</v>
      </c>
      <c r="D34" s="505">
        <f>IF($C34=0,0,Tariffs!D72)</f>
        <v>0</v>
      </c>
      <c r="E34" s="505">
        <f>IF($C34=0,0,Tariffs!E72)</f>
        <v>0</v>
      </c>
      <c r="F34" s="505">
        <f>IF($C34=0,0,Tariffs!F72)</f>
        <v>0</v>
      </c>
      <c r="G34" s="505">
        <f>IF($C34=0,0,Tariffs!G72)</f>
        <v>0</v>
      </c>
      <c r="H34" s="58"/>
      <c r="I34" s="248">
        <v>0</v>
      </c>
      <c r="J34" s="248"/>
      <c r="K34" s="164">
        <f t="shared" si="0"/>
        <v>0</v>
      </c>
      <c r="L34" s="174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3"/>
      <c r="AH34" s="19"/>
      <c r="AI34" s="19"/>
      <c r="AJ34" s="19"/>
      <c r="AK34" s="19"/>
    </row>
    <row r="35" spans="1:37" hidden="1" outlineLevel="3" x14ac:dyDescent="0.2">
      <c r="A35" s="19"/>
      <c r="B35" s="19"/>
      <c r="C35" s="506">
        <f>Tariffs!C73</f>
        <v>0</v>
      </c>
      <c r="D35" s="505">
        <f>IF($C35=0,0,Tariffs!D73)</f>
        <v>0</v>
      </c>
      <c r="E35" s="505">
        <f>IF($C35=0,0,Tariffs!E73)</f>
        <v>0</v>
      </c>
      <c r="F35" s="505">
        <f>IF($C35=0,0,Tariffs!F73)</f>
        <v>0</v>
      </c>
      <c r="G35" s="505">
        <f>IF($C35=0,0,Tariffs!G73)</f>
        <v>0</v>
      </c>
      <c r="H35" s="58"/>
      <c r="I35" s="248">
        <v>0</v>
      </c>
      <c r="J35" s="248"/>
      <c r="K35" s="164">
        <f t="shared" si="0"/>
        <v>0</v>
      </c>
      <c r="L35" s="174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3"/>
      <c r="AH35" s="19"/>
      <c r="AI35" s="19"/>
      <c r="AJ35" s="19"/>
      <c r="AK35" s="19"/>
    </row>
    <row r="36" spans="1:37" hidden="1" outlineLevel="3" x14ac:dyDescent="0.2">
      <c r="A36" s="19"/>
      <c r="B36" s="19"/>
      <c r="C36" s="506">
        <f>Tariffs!C74</f>
        <v>0</v>
      </c>
      <c r="D36" s="505">
        <f>IF($C36=0,0,Tariffs!D74)</f>
        <v>0</v>
      </c>
      <c r="E36" s="505">
        <f>IF($C36=0,0,Tariffs!E74)</f>
        <v>0</v>
      </c>
      <c r="F36" s="505">
        <f>IF($C36=0,0,Tariffs!F74)</f>
        <v>0</v>
      </c>
      <c r="G36" s="505">
        <f>IF($C36=0,0,Tariffs!G74)</f>
        <v>0</v>
      </c>
      <c r="H36" s="58"/>
      <c r="I36" s="248">
        <v>0</v>
      </c>
      <c r="J36" s="248"/>
      <c r="K36" s="164">
        <f t="shared" si="0"/>
        <v>0</v>
      </c>
      <c r="L36" s="174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3"/>
      <c r="AH36" s="19"/>
      <c r="AI36" s="19"/>
      <c r="AJ36" s="19"/>
      <c r="AK36" s="19"/>
    </row>
    <row r="37" spans="1:37" hidden="1" outlineLevel="3" x14ac:dyDescent="0.2">
      <c r="A37" s="19"/>
      <c r="B37" s="19"/>
      <c r="C37" s="506">
        <f>Tariffs!C75</f>
        <v>0</v>
      </c>
      <c r="D37" s="505">
        <f>IF($C37=0,0,Tariffs!D75)</f>
        <v>0</v>
      </c>
      <c r="E37" s="505">
        <f>IF($C37=0,0,Tariffs!E75)</f>
        <v>0</v>
      </c>
      <c r="F37" s="505">
        <f>IF($C37=0,0,Tariffs!F75)</f>
        <v>0</v>
      </c>
      <c r="G37" s="505">
        <f>IF($C37=0,0,Tariffs!G75)</f>
        <v>0</v>
      </c>
      <c r="H37" s="58"/>
      <c r="I37" s="248">
        <v>0</v>
      </c>
      <c r="J37" s="248"/>
      <c r="K37" s="164">
        <f t="shared" si="0"/>
        <v>0</v>
      </c>
      <c r="L37" s="174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3"/>
      <c r="AH37" s="19"/>
      <c r="AI37" s="19"/>
      <c r="AJ37" s="19"/>
      <c r="AK37" s="19"/>
    </row>
    <row r="38" spans="1:37" hidden="1" outlineLevel="3" x14ac:dyDescent="0.2">
      <c r="A38" s="19"/>
      <c r="B38" s="19"/>
      <c r="C38" s="506">
        <f>Tariffs!C76</f>
        <v>0</v>
      </c>
      <c r="D38" s="505">
        <f>IF($C38=0,0,Tariffs!D76)</f>
        <v>0</v>
      </c>
      <c r="E38" s="505">
        <f>IF($C38=0,0,Tariffs!E76)</f>
        <v>0</v>
      </c>
      <c r="F38" s="505">
        <f>IF($C38=0,0,Tariffs!F76)</f>
        <v>0</v>
      </c>
      <c r="G38" s="505">
        <f>IF($C38=0,0,Tariffs!G76)</f>
        <v>0</v>
      </c>
      <c r="H38" s="58"/>
      <c r="I38" s="248">
        <v>0</v>
      </c>
      <c r="J38" s="248"/>
      <c r="K38" s="164">
        <f t="shared" si="0"/>
        <v>0</v>
      </c>
      <c r="L38" s="174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3"/>
      <c r="AH38" s="19"/>
      <c r="AI38" s="19"/>
      <c r="AJ38" s="19"/>
      <c r="AK38" s="19"/>
    </row>
    <row r="39" spans="1:37" hidden="1" outlineLevel="3" x14ac:dyDescent="0.2">
      <c r="A39" s="19"/>
      <c r="B39" s="19"/>
      <c r="C39" s="506">
        <f>Tariffs!C77</f>
        <v>0</v>
      </c>
      <c r="D39" s="505">
        <f>IF($C39=0,0,Tariffs!D77)</f>
        <v>0</v>
      </c>
      <c r="E39" s="505">
        <f>IF($C39=0,0,Tariffs!E77)</f>
        <v>0</v>
      </c>
      <c r="F39" s="505">
        <f>IF($C39=0,0,Tariffs!F77)</f>
        <v>0</v>
      </c>
      <c r="G39" s="505">
        <f>IF($C39=0,0,Tariffs!G77)</f>
        <v>0</v>
      </c>
      <c r="H39" s="58"/>
      <c r="I39" s="248">
        <v>0</v>
      </c>
      <c r="J39" s="248"/>
      <c r="K39" s="164">
        <f t="shared" si="0"/>
        <v>0</v>
      </c>
      <c r="L39" s="174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3"/>
      <c r="AH39" s="19"/>
      <c r="AI39" s="19"/>
      <c r="AJ39" s="19"/>
      <c r="AK39" s="19"/>
    </row>
    <row r="40" spans="1:37" hidden="1" outlineLevel="3" x14ac:dyDescent="0.2">
      <c r="A40" s="19"/>
      <c r="B40" s="19"/>
      <c r="C40" s="506">
        <f>Tariffs!C78</f>
        <v>0</v>
      </c>
      <c r="D40" s="505">
        <f>IF($C40=0,0,Tariffs!D78)</f>
        <v>0</v>
      </c>
      <c r="E40" s="505">
        <f>IF($C40=0,0,Tariffs!E78)</f>
        <v>0</v>
      </c>
      <c r="F40" s="505">
        <f>IF($C40=0,0,Tariffs!F78)</f>
        <v>0</v>
      </c>
      <c r="G40" s="505">
        <f>IF($C40=0,0,Tariffs!G78)</f>
        <v>0</v>
      </c>
      <c r="H40" s="58"/>
      <c r="I40" s="248">
        <v>0</v>
      </c>
      <c r="J40" s="248"/>
      <c r="K40" s="164">
        <f t="shared" ref="K40:K71" si="1">SUMIF($M$6:$AF$6,"units",M40:AF40)</f>
        <v>0</v>
      </c>
      <c r="L40" s="174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3"/>
      <c r="AH40" s="19"/>
      <c r="AI40" s="19"/>
      <c r="AJ40" s="19"/>
      <c r="AK40" s="19"/>
    </row>
    <row r="41" spans="1:37" hidden="1" outlineLevel="3" x14ac:dyDescent="0.2">
      <c r="A41" s="19"/>
      <c r="B41" s="19"/>
      <c r="C41" s="506">
        <f>Tariffs!C79</f>
        <v>0</v>
      </c>
      <c r="D41" s="505">
        <f>IF($C41=0,0,Tariffs!D79)</f>
        <v>0</v>
      </c>
      <c r="E41" s="505">
        <f>IF($C41=0,0,Tariffs!E79)</f>
        <v>0</v>
      </c>
      <c r="F41" s="505">
        <f>IF($C41=0,0,Tariffs!F79)</f>
        <v>0</v>
      </c>
      <c r="G41" s="505">
        <f>IF($C41=0,0,Tariffs!G79)</f>
        <v>0</v>
      </c>
      <c r="H41" s="58"/>
      <c r="I41" s="248">
        <v>0</v>
      </c>
      <c r="J41" s="248"/>
      <c r="K41" s="164">
        <f t="shared" si="1"/>
        <v>0</v>
      </c>
      <c r="L41" s="174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3"/>
      <c r="AH41" s="19"/>
      <c r="AI41" s="19"/>
      <c r="AJ41" s="19"/>
      <c r="AK41" s="19"/>
    </row>
    <row r="42" spans="1:37" hidden="1" outlineLevel="3" x14ac:dyDescent="0.2">
      <c r="A42" s="19"/>
      <c r="B42" s="19"/>
      <c r="C42" s="506">
        <f>Tariffs!C80</f>
        <v>0</v>
      </c>
      <c r="D42" s="505">
        <f>IF($C42=0,0,Tariffs!D80)</f>
        <v>0</v>
      </c>
      <c r="E42" s="505">
        <f>IF($C42=0,0,Tariffs!E80)</f>
        <v>0</v>
      </c>
      <c r="F42" s="505">
        <f>IF($C42=0,0,Tariffs!F80)</f>
        <v>0</v>
      </c>
      <c r="G42" s="505">
        <f>IF($C42=0,0,Tariffs!G80)</f>
        <v>0</v>
      </c>
      <c r="H42" s="58"/>
      <c r="I42" s="248">
        <v>0</v>
      </c>
      <c r="J42" s="248"/>
      <c r="K42" s="164">
        <f t="shared" si="1"/>
        <v>0</v>
      </c>
      <c r="L42" s="174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3"/>
      <c r="AH42" s="19"/>
      <c r="AI42" s="19"/>
      <c r="AJ42" s="19"/>
      <c r="AK42" s="19"/>
    </row>
    <row r="43" spans="1:37" hidden="1" outlineLevel="3" x14ac:dyDescent="0.2">
      <c r="A43" s="19"/>
      <c r="B43" s="19"/>
      <c r="C43" s="506">
        <f>Tariffs!C81</f>
        <v>0</v>
      </c>
      <c r="D43" s="505">
        <f>IF($C43=0,0,Tariffs!D81)</f>
        <v>0</v>
      </c>
      <c r="E43" s="505">
        <f>IF($C43=0,0,Tariffs!E81)</f>
        <v>0</v>
      </c>
      <c r="F43" s="505">
        <f>IF($C43=0,0,Tariffs!F81)</f>
        <v>0</v>
      </c>
      <c r="G43" s="505">
        <f>IF($C43=0,0,Tariffs!G81)</f>
        <v>0</v>
      </c>
      <c r="H43" s="58"/>
      <c r="I43" s="248">
        <v>0</v>
      </c>
      <c r="J43" s="248"/>
      <c r="K43" s="164">
        <f t="shared" si="1"/>
        <v>0</v>
      </c>
      <c r="L43" s="174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3"/>
      <c r="AH43" s="19"/>
      <c r="AI43" s="19"/>
      <c r="AJ43" s="19"/>
      <c r="AK43" s="19"/>
    </row>
    <row r="44" spans="1:37" hidden="1" outlineLevel="3" x14ac:dyDescent="0.2">
      <c r="A44" s="19"/>
      <c r="B44" s="19"/>
      <c r="C44" s="506">
        <f>Tariffs!C82</f>
        <v>0</v>
      </c>
      <c r="D44" s="505">
        <f>IF($C44=0,0,Tariffs!D82)</f>
        <v>0</v>
      </c>
      <c r="E44" s="505">
        <f>IF($C44=0,0,Tariffs!E82)</f>
        <v>0</v>
      </c>
      <c r="F44" s="505">
        <f>IF($C44=0,0,Tariffs!F82)</f>
        <v>0</v>
      </c>
      <c r="G44" s="505">
        <f>IF($C44=0,0,Tariffs!G82)</f>
        <v>0</v>
      </c>
      <c r="H44" s="58"/>
      <c r="I44" s="248">
        <v>0</v>
      </c>
      <c r="J44" s="248"/>
      <c r="K44" s="164">
        <f t="shared" si="1"/>
        <v>0</v>
      </c>
      <c r="L44" s="174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3"/>
      <c r="AH44" s="19"/>
      <c r="AI44" s="19"/>
      <c r="AJ44" s="19"/>
      <c r="AK44" s="19"/>
    </row>
    <row r="45" spans="1:37" hidden="1" outlineLevel="3" x14ac:dyDescent="0.2">
      <c r="A45" s="19"/>
      <c r="B45" s="19"/>
      <c r="C45" s="506">
        <f>Tariffs!C83</f>
        <v>0</v>
      </c>
      <c r="D45" s="505">
        <f>IF($C45=0,0,Tariffs!D83)</f>
        <v>0</v>
      </c>
      <c r="E45" s="505">
        <f>IF($C45=0,0,Tariffs!E83)</f>
        <v>0</v>
      </c>
      <c r="F45" s="505">
        <f>IF($C45=0,0,Tariffs!F83)</f>
        <v>0</v>
      </c>
      <c r="G45" s="505">
        <f>IF($C45=0,0,Tariffs!G83)</f>
        <v>0</v>
      </c>
      <c r="H45" s="58"/>
      <c r="I45" s="248">
        <v>0</v>
      </c>
      <c r="J45" s="248"/>
      <c r="K45" s="164">
        <f t="shared" si="1"/>
        <v>0</v>
      </c>
      <c r="L45" s="174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3"/>
      <c r="AH45" s="19"/>
      <c r="AI45" s="19"/>
      <c r="AJ45" s="19"/>
      <c r="AK45" s="19"/>
    </row>
    <row r="46" spans="1:37" hidden="1" outlineLevel="3" x14ac:dyDescent="0.2">
      <c r="A46" s="19"/>
      <c r="B46" s="19"/>
      <c r="C46" s="506">
        <f>Tariffs!C84</f>
        <v>0</v>
      </c>
      <c r="D46" s="505">
        <f>IF($C46=0,0,Tariffs!D84)</f>
        <v>0</v>
      </c>
      <c r="E46" s="505">
        <f>IF($C46=0,0,Tariffs!E84)</f>
        <v>0</v>
      </c>
      <c r="F46" s="505">
        <f>IF($C46=0,0,Tariffs!F84)</f>
        <v>0</v>
      </c>
      <c r="G46" s="505">
        <f>IF($C46=0,0,Tariffs!G84)</f>
        <v>0</v>
      </c>
      <c r="H46" s="58"/>
      <c r="I46" s="248">
        <v>0</v>
      </c>
      <c r="J46" s="248"/>
      <c r="K46" s="164">
        <f t="shared" si="1"/>
        <v>0</v>
      </c>
      <c r="L46" s="174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3"/>
      <c r="AH46" s="19"/>
      <c r="AI46" s="19"/>
      <c r="AJ46" s="19"/>
      <c r="AK46" s="19"/>
    </row>
    <row r="47" spans="1:37" hidden="1" outlineLevel="3" x14ac:dyDescent="0.2">
      <c r="A47" s="19"/>
      <c r="B47" s="19"/>
      <c r="C47" s="506">
        <f>Tariffs!C85</f>
        <v>0</v>
      </c>
      <c r="D47" s="505">
        <f>IF($C47=0,0,Tariffs!D85)</f>
        <v>0</v>
      </c>
      <c r="E47" s="505">
        <f>IF($C47=0,0,Tariffs!E85)</f>
        <v>0</v>
      </c>
      <c r="F47" s="505">
        <f>IF($C47=0,0,Tariffs!F85)</f>
        <v>0</v>
      </c>
      <c r="G47" s="505">
        <f>IF($C47=0,0,Tariffs!G85)</f>
        <v>0</v>
      </c>
      <c r="H47" s="58"/>
      <c r="I47" s="248">
        <v>0</v>
      </c>
      <c r="J47" s="248"/>
      <c r="K47" s="164">
        <f t="shared" si="1"/>
        <v>0</v>
      </c>
      <c r="L47" s="174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3"/>
      <c r="AH47" s="19"/>
      <c r="AI47" s="19"/>
      <c r="AJ47" s="19"/>
      <c r="AK47" s="19"/>
    </row>
    <row r="48" spans="1:37" hidden="1" outlineLevel="3" x14ac:dyDescent="0.2">
      <c r="A48" s="19"/>
      <c r="B48" s="19"/>
      <c r="C48" s="506">
        <f>Tariffs!C86</f>
        <v>0</v>
      </c>
      <c r="D48" s="505">
        <f>IF($C48=0,0,Tariffs!D86)</f>
        <v>0</v>
      </c>
      <c r="E48" s="505">
        <f>IF($C48=0,0,Tariffs!E86)</f>
        <v>0</v>
      </c>
      <c r="F48" s="505">
        <f>IF($C48=0,0,Tariffs!F86)</f>
        <v>0</v>
      </c>
      <c r="G48" s="505">
        <f>IF($C48=0,0,Tariffs!G86)</f>
        <v>0</v>
      </c>
      <c r="H48" s="58"/>
      <c r="I48" s="248">
        <v>0</v>
      </c>
      <c r="J48" s="248"/>
      <c r="K48" s="164">
        <f t="shared" si="1"/>
        <v>0</v>
      </c>
      <c r="L48" s="174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3"/>
      <c r="AH48" s="19"/>
      <c r="AI48" s="19"/>
      <c r="AJ48" s="19"/>
      <c r="AK48" s="19"/>
    </row>
    <row r="49" spans="1:37" hidden="1" outlineLevel="3" x14ac:dyDescent="0.2">
      <c r="A49" s="19"/>
      <c r="B49" s="19"/>
      <c r="C49" s="506">
        <f>Tariffs!C87</f>
        <v>0</v>
      </c>
      <c r="D49" s="505">
        <f>IF($C49=0,0,Tariffs!D87)</f>
        <v>0</v>
      </c>
      <c r="E49" s="505">
        <f>IF($C49=0,0,Tariffs!E87)</f>
        <v>0</v>
      </c>
      <c r="F49" s="505">
        <f>IF($C49=0,0,Tariffs!F87)</f>
        <v>0</v>
      </c>
      <c r="G49" s="505">
        <f>IF($C49=0,0,Tariffs!G87)</f>
        <v>0</v>
      </c>
      <c r="H49" s="58"/>
      <c r="I49" s="248">
        <v>0</v>
      </c>
      <c r="J49" s="248"/>
      <c r="K49" s="164">
        <f t="shared" si="1"/>
        <v>0</v>
      </c>
      <c r="L49" s="174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3"/>
      <c r="AH49" s="19"/>
      <c r="AI49" s="19"/>
      <c r="AJ49" s="19"/>
      <c r="AK49" s="19"/>
    </row>
    <row r="50" spans="1:37" hidden="1" outlineLevel="3" x14ac:dyDescent="0.2">
      <c r="A50" s="19"/>
      <c r="B50" s="19"/>
      <c r="C50" s="506">
        <f>Tariffs!C88</f>
        <v>0</v>
      </c>
      <c r="D50" s="505">
        <f>IF($C50=0,0,Tariffs!D88)</f>
        <v>0</v>
      </c>
      <c r="E50" s="505">
        <f>IF($C50=0,0,Tariffs!E88)</f>
        <v>0</v>
      </c>
      <c r="F50" s="505">
        <f>IF($C50=0,0,Tariffs!F88)</f>
        <v>0</v>
      </c>
      <c r="G50" s="505">
        <f>IF($C50=0,0,Tariffs!G88)</f>
        <v>0</v>
      </c>
      <c r="H50" s="58"/>
      <c r="I50" s="248">
        <v>0</v>
      </c>
      <c r="J50" s="248"/>
      <c r="K50" s="164">
        <f t="shared" si="1"/>
        <v>0</v>
      </c>
      <c r="L50" s="174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3"/>
      <c r="AH50" s="19"/>
      <c r="AI50" s="19"/>
      <c r="AJ50" s="19"/>
      <c r="AK50" s="19"/>
    </row>
    <row r="51" spans="1:37" hidden="1" outlineLevel="3" x14ac:dyDescent="0.2">
      <c r="A51" s="19"/>
      <c r="B51" s="19"/>
      <c r="C51" s="506">
        <f>Tariffs!C89</f>
        <v>0</v>
      </c>
      <c r="D51" s="505">
        <f>IF($C51=0,0,Tariffs!D89)</f>
        <v>0</v>
      </c>
      <c r="E51" s="505">
        <f>IF($C51=0,0,Tariffs!E89)</f>
        <v>0</v>
      </c>
      <c r="F51" s="505">
        <f>IF($C51=0,0,Tariffs!F89)</f>
        <v>0</v>
      </c>
      <c r="G51" s="505">
        <f>IF($C51=0,0,Tariffs!G89)</f>
        <v>0</v>
      </c>
      <c r="H51" s="58"/>
      <c r="I51" s="248">
        <v>0</v>
      </c>
      <c r="J51" s="248"/>
      <c r="K51" s="164">
        <f t="shared" si="1"/>
        <v>0</v>
      </c>
      <c r="L51" s="174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3"/>
      <c r="AH51" s="19"/>
      <c r="AI51" s="19"/>
      <c r="AJ51" s="19"/>
      <c r="AK51" s="19"/>
    </row>
    <row r="52" spans="1:37" hidden="1" outlineLevel="3" x14ac:dyDescent="0.2">
      <c r="A52" s="19"/>
      <c r="B52" s="19"/>
      <c r="C52" s="506">
        <f>Tariffs!C90</f>
        <v>0</v>
      </c>
      <c r="D52" s="505">
        <f>IF($C52=0,0,Tariffs!D90)</f>
        <v>0</v>
      </c>
      <c r="E52" s="505">
        <f>IF($C52=0,0,Tariffs!E90)</f>
        <v>0</v>
      </c>
      <c r="F52" s="505">
        <f>IF($C52=0,0,Tariffs!F90)</f>
        <v>0</v>
      </c>
      <c r="G52" s="505">
        <f>IF($C52=0,0,Tariffs!G90)</f>
        <v>0</v>
      </c>
      <c r="H52" s="58"/>
      <c r="I52" s="248">
        <v>0</v>
      </c>
      <c r="J52" s="248"/>
      <c r="K52" s="164">
        <f t="shared" si="1"/>
        <v>0</v>
      </c>
      <c r="L52" s="174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3"/>
      <c r="AH52" s="19"/>
      <c r="AI52" s="19"/>
      <c r="AJ52" s="19"/>
      <c r="AK52" s="19"/>
    </row>
    <row r="53" spans="1:37" hidden="1" outlineLevel="3" x14ac:dyDescent="0.2">
      <c r="A53" s="19"/>
      <c r="B53" s="19"/>
      <c r="C53" s="506">
        <f>Tariffs!C91</f>
        <v>0</v>
      </c>
      <c r="D53" s="505">
        <f>IF($C53=0,0,Tariffs!D91)</f>
        <v>0</v>
      </c>
      <c r="E53" s="505">
        <f>IF($C53=0,0,Tariffs!E91)</f>
        <v>0</v>
      </c>
      <c r="F53" s="505">
        <f>IF($C53=0,0,Tariffs!F91)</f>
        <v>0</v>
      </c>
      <c r="G53" s="505">
        <f>IF($C53=0,0,Tariffs!G91)</f>
        <v>0</v>
      </c>
      <c r="H53" s="58"/>
      <c r="I53" s="248">
        <v>0</v>
      </c>
      <c r="J53" s="248"/>
      <c r="K53" s="164">
        <f t="shared" si="1"/>
        <v>0</v>
      </c>
      <c r="L53" s="174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3"/>
      <c r="AH53" s="19"/>
      <c r="AI53" s="19"/>
      <c r="AJ53" s="19"/>
      <c r="AK53" s="19"/>
    </row>
    <row r="54" spans="1:37" hidden="1" outlineLevel="3" x14ac:dyDescent="0.2">
      <c r="A54" s="19"/>
      <c r="B54" s="19"/>
      <c r="C54" s="506">
        <f>Tariffs!C92</f>
        <v>0</v>
      </c>
      <c r="D54" s="505">
        <f>IF($C54=0,0,Tariffs!D92)</f>
        <v>0</v>
      </c>
      <c r="E54" s="505">
        <f>IF($C54=0,0,Tariffs!E92)</f>
        <v>0</v>
      </c>
      <c r="F54" s="505">
        <f>IF($C54=0,0,Tariffs!F92)</f>
        <v>0</v>
      </c>
      <c r="G54" s="505">
        <f>IF($C54=0,0,Tariffs!G92)</f>
        <v>0</v>
      </c>
      <c r="H54" s="58"/>
      <c r="I54" s="248">
        <v>0</v>
      </c>
      <c r="J54" s="248"/>
      <c r="K54" s="164">
        <f t="shared" si="1"/>
        <v>0</v>
      </c>
      <c r="L54" s="174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3"/>
      <c r="AH54" s="19"/>
      <c r="AI54" s="19"/>
      <c r="AJ54" s="19"/>
      <c r="AK54" s="19"/>
    </row>
    <row r="55" spans="1:37" hidden="1" outlineLevel="3" x14ac:dyDescent="0.2">
      <c r="A55" s="19"/>
      <c r="B55" s="19"/>
      <c r="C55" s="506">
        <f>Tariffs!C93</f>
        <v>0</v>
      </c>
      <c r="D55" s="505">
        <f>IF($C55=0,0,Tariffs!D93)</f>
        <v>0</v>
      </c>
      <c r="E55" s="505">
        <f>IF($C55=0,0,Tariffs!E93)</f>
        <v>0</v>
      </c>
      <c r="F55" s="505">
        <f>IF($C55=0,0,Tariffs!F93)</f>
        <v>0</v>
      </c>
      <c r="G55" s="505">
        <f>IF($C55=0,0,Tariffs!G93)</f>
        <v>0</v>
      </c>
      <c r="H55" s="58"/>
      <c r="I55" s="248">
        <v>0</v>
      </c>
      <c r="J55" s="248"/>
      <c r="K55" s="164">
        <f t="shared" si="1"/>
        <v>0</v>
      </c>
      <c r="L55" s="174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3"/>
      <c r="AH55" s="19"/>
      <c r="AI55" s="19"/>
      <c r="AJ55" s="19"/>
      <c r="AK55" s="19"/>
    </row>
    <row r="56" spans="1:37" hidden="1" outlineLevel="3" x14ac:dyDescent="0.2">
      <c r="A56" s="19"/>
      <c r="B56" s="19"/>
      <c r="C56" s="506">
        <f>Tariffs!C94</f>
        <v>0</v>
      </c>
      <c r="D56" s="505">
        <f>IF($C56=0,0,Tariffs!D94)</f>
        <v>0</v>
      </c>
      <c r="E56" s="505">
        <f>IF($C56=0,0,Tariffs!E94)</f>
        <v>0</v>
      </c>
      <c r="F56" s="505">
        <f>IF($C56=0,0,Tariffs!F94)</f>
        <v>0</v>
      </c>
      <c r="G56" s="505">
        <f>IF($C56=0,0,Tariffs!G94)</f>
        <v>0</v>
      </c>
      <c r="H56" s="58"/>
      <c r="I56" s="248">
        <v>0</v>
      </c>
      <c r="J56" s="248"/>
      <c r="K56" s="164">
        <f t="shared" si="1"/>
        <v>0</v>
      </c>
      <c r="L56" s="174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3"/>
      <c r="AH56" s="19"/>
      <c r="AI56" s="19"/>
      <c r="AJ56" s="19"/>
      <c r="AK56" s="19"/>
    </row>
    <row r="57" spans="1:37" hidden="1" outlineLevel="3" x14ac:dyDescent="0.2">
      <c r="A57" s="19"/>
      <c r="B57" s="19"/>
      <c r="C57" s="506">
        <f>Tariffs!C95</f>
        <v>0</v>
      </c>
      <c r="D57" s="505">
        <f>IF($C57=0,0,Tariffs!D95)</f>
        <v>0</v>
      </c>
      <c r="E57" s="505">
        <f>IF($C57=0,0,Tariffs!E95)</f>
        <v>0</v>
      </c>
      <c r="F57" s="505">
        <f>IF($C57=0,0,Tariffs!F95)</f>
        <v>0</v>
      </c>
      <c r="G57" s="505">
        <f>IF($C57=0,0,Tariffs!G95)</f>
        <v>0</v>
      </c>
      <c r="H57" s="58"/>
      <c r="I57" s="248">
        <v>0</v>
      </c>
      <c r="J57" s="248"/>
      <c r="K57" s="164">
        <f t="shared" si="1"/>
        <v>0</v>
      </c>
      <c r="L57" s="174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3"/>
      <c r="AH57" s="19"/>
      <c r="AI57" s="19"/>
      <c r="AJ57" s="19"/>
      <c r="AK57" s="19"/>
    </row>
    <row r="58" spans="1:37" hidden="1" outlineLevel="3" x14ac:dyDescent="0.2">
      <c r="A58" s="19"/>
      <c r="B58" s="19"/>
      <c r="C58" s="506">
        <f>Tariffs!C96</f>
        <v>0</v>
      </c>
      <c r="D58" s="505">
        <f>IF($C58=0,0,Tariffs!D96)</f>
        <v>0</v>
      </c>
      <c r="E58" s="505">
        <f>IF($C58=0,0,Tariffs!E96)</f>
        <v>0</v>
      </c>
      <c r="F58" s="505">
        <f>IF($C58=0,0,Tariffs!F96)</f>
        <v>0</v>
      </c>
      <c r="G58" s="505">
        <f>IF($C58=0,0,Tariffs!G96)</f>
        <v>0</v>
      </c>
      <c r="H58" s="58"/>
      <c r="I58" s="248">
        <v>0</v>
      </c>
      <c r="J58" s="248"/>
      <c r="K58" s="164">
        <f t="shared" si="1"/>
        <v>0</v>
      </c>
      <c r="L58" s="174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3"/>
      <c r="AH58" s="19"/>
      <c r="AI58" s="19"/>
      <c r="AJ58" s="19"/>
      <c r="AK58" s="19"/>
    </row>
    <row r="59" spans="1:37" hidden="1" outlineLevel="3" x14ac:dyDescent="0.2">
      <c r="A59" s="19"/>
      <c r="B59" s="19"/>
      <c r="C59" s="506">
        <f>Tariffs!C97</f>
        <v>0</v>
      </c>
      <c r="D59" s="505">
        <f>IF($C59=0,0,Tariffs!D97)</f>
        <v>0</v>
      </c>
      <c r="E59" s="505">
        <f>IF($C59=0,0,Tariffs!E97)</f>
        <v>0</v>
      </c>
      <c r="F59" s="505">
        <f>IF($C59=0,0,Tariffs!F97)</f>
        <v>0</v>
      </c>
      <c r="G59" s="505">
        <f>IF($C59=0,0,Tariffs!G97)</f>
        <v>0</v>
      </c>
      <c r="H59" s="58"/>
      <c r="I59" s="248">
        <v>0</v>
      </c>
      <c r="J59" s="248"/>
      <c r="K59" s="164">
        <f t="shared" si="1"/>
        <v>0</v>
      </c>
      <c r="L59" s="174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3"/>
      <c r="AH59" s="19"/>
      <c r="AI59" s="19"/>
      <c r="AJ59" s="19"/>
      <c r="AK59" s="19"/>
    </row>
    <row r="60" spans="1:37" hidden="1" outlineLevel="3" x14ac:dyDescent="0.2">
      <c r="A60" s="19"/>
      <c r="B60" s="19"/>
      <c r="C60" s="506">
        <f>Tariffs!C98</f>
        <v>0</v>
      </c>
      <c r="D60" s="505">
        <f>IF($C60=0,0,Tariffs!D98)</f>
        <v>0</v>
      </c>
      <c r="E60" s="505">
        <f>IF($C60=0,0,Tariffs!E98)</f>
        <v>0</v>
      </c>
      <c r="F60" s="505">
        <f>IF($C60=0,0,Tariffs!F98)</f>
        <v>0</v>
      </c>
      <c r="G60" s="505">
        <f>IF($C60=0,0,Tariffs!G98)</f>
        <v>0</v>
      </c>
      <c r="H60" s="58"/>
      <c r="I60" s="248">
        <v>0</v>
      </c>
      <c r="J60" s="248"/>
      <c r="K60" s="164">
        <f t="shared" si="1"/>
        <v>0</v>
      </c>
      <c r="L60" s="174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3"/>
      <c r="AH60" s="19"/>
      <c r="AI60" s="19"/>
      <c r="AJ60" s="19"/>
      <c r="AK60" s="19"/>
    </row>
    <row r="61" spans="1:37" hidden="1" outlineLevel="3" x14ac:dyDescent="0.2">
      <c r="A61" s="19"/>
      <c r="B61" s="19"/>
      <c r="C61" s="506">
        <f>Tariffs!C99</f>
        <v>0</v>
      </c>
      <c r="D61" s="505">
        <f>IF($C61=0,0,Tariffs!D99)</f>
        <v>0</v>
      </c>
      <c r="E61" s="505">
        <f>IF($C61=0,0,Tariffs!E99)</f>
        <v>0</v>
      </c>
      <c r="F61" s="505">
        <f>IF($C61=0,0,Tariffs!F99)</f>
        <v>0</v>
      </c>
      <c r="G61" s="505">
        <f>IF($C61=0,0,Tariffs!G99)</f>
        <v>0</v>
      </c>
      <c r="H61" s="58"/>
      <c r="I61" s="248">
        <v>0</v>
      </c>
      <c r="J61" s="248"/>
      <c r="K61" s="164">
        <f t="shared" si="1"/>
        <v>0</v>
      </c>
      <c r="L61" s="174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3"/>
      <c r="AH61" s="19"/>
      <c r="AI61" s="19"/>
      <c r="AJ61" s="19"/>
      <c r="AK61" s="19"/>
    </row>
    <row r="62" spans="1:37" hidden="1" outlineLevel="3" x14ac:dyDescent="0.2">
      <c r="A62" s="19"/>
      <c r="B62" s="19"/>
      <c r="C62" s="506">
        <f>Tariffs!C100</f>
        <v>0</v>
      </c>
      <c r="D62" s="505">
        <f>IF($C62=0,0,Tariffs!D100)</f>
        <v>0</v>
      </c>
      <c r="E62" s="505">
        <f>IF($C62=0,0,Tariffs!E100)</f>
        <v>0</v>
      </c>
      <c r="F62" s="505">
        <f>IF($C62=0,0,Tariffs!F100)</f>
        <v>0</v>
      </c>
      <c r="G62" s="505">
        <f>IF($C62=0,0,Tariffs!G100)</f>
        <v>0</v>
      </c>
      <c r="H62" s="58"/>
      <c r="I62" s="248">
        <v>0</v>
      </c>
      <c r="J62" s="248"/>
      <c r="K62" s="164">
        <f t="shared" si="1"/>
        <v>0</v>
      </c>
      <c r="L62" s="174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3"/>
      <c r="AH62" s="19"/>
      <c r="AI62" s="19"/>
      <c r="AJ62" s="19"/>
      <c r="AK62" s="19"/>
    </row>
    <row r="63" spans="1:37" hidden="1" outlineLevel="3" x14ac:dyDescent="0.2">
      <c r="A63" s="19"/>
      <c r="B63" s="19"/>
      <c r="C63" s="506">
        <f>Tariffs!C101</f>
        <v>0</v>
      </c>
      <c r="D63" s="505">
        <f>IF($C63=0,0,Tariffs!D101)</f>
        <v>0</v>
      </c>
      <c r="E63" s="505">
        <f>IF($C63=0,0,Tariffs!E101)</f>
        <v>0</v>
      </c>
      <c r="F63" s="505">
        <f>IF($C63=0,0,Tariffs!F101)</f>
        <v>0</v>
      </c>
      <c r="G63" s="505">
        <f>IF($C63=0,0,Tariffs!G101)</f>
        <v>0</v>
      </c>
      <c r="H63" s="58"/>
      <c r="I63" s="248">
        <v>0</v>
      </c>
      <c r="J63" s="248"/>
      <c r="K63" s="164">
        <f t="shared" si="1"/>
        <v>0</v>
      </c>
      <c r="L63" s="174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3"/>
      <c r="AH63" s="19"/>
      <c r="AI63" s="19"/>
      <c r="AJ63" s="19"/>
      <c r="AK63" s="19"/>
    </row>
    <row r="64" spans="1:37" hidden="1" outlineLevel="3" x14ac:dyDescent="0.2">
      <c r="A64" s="19"/>
      <c r="B64" s="19"/>
      <c r="C64" s="506">
        <f>Tariffs!C102</f>
        <v>0</v>
      </c>
      <c r="D64" s="505">
        <f>IF($C64=0,0,Tariffs!D102)</f>
        <v>0</v>
      </c>
      <c r="E64" s="505">
        <f>IF($C64=0,0,Tariffs!E102)</f>
        <v>0</v>
      </c>
      <c r="F64" s="505">
        <f>IF($C64=0,0,Tariffs!F102)</f>
        <v>0</v>
      </c>
      <c r="G64" s="505">
        <f>IF($C64=0,0,Tariffs!G102)</f>
        <v>0</v>
      </c>
      <c r="H64" s="58"/>
      <c r="I64" s="248">
        <v>0</v>
      </c>
      <c r="J64" s="248"/>
      <c r="K64" s="164">
        <f t="shared" si="1"/>
        <v>0</v>
      </c>
      <c r="L64" s="174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3"/>
      <c r="AH64" s="19"/>
      <c r="AI64" s="19"/>
      <c r="AJ64" s="19"/>
      <c r="AK64" s="19"/>
    </row>
    <row r="65" spans="1:37" hidden="1" outlineLevel="3" x14ac:dyDescent="0.2">
      <c r="A65" s="19"/>
      <c r="B65" s="19"/>
      <c r="C65" s="506">
        <f>Tariffs!C103</f>
        <v>0</v>
      </c>
      <c r="D65" s="505">
        <f>IF($C65=0,0,Tariffs!D103)</f>
        <v>0</v>
      </c>
      <c r="E65" s="505">
        <f>IF($C65=0,0,Tariffs!E103)</f>
        <v>0</v>
      </c>
      <c r="F65" s="505">
        <f>IF($C65=0,0,Tariffs!F103)</f>
        <v>0</v>
      </c>
      <c r="G65" s="505">
        <f>IF($C65=0,0,Tariffs!G103)</f>
        <v>0</v>
      </c>
      <c r="H65" s="58"/>
      <c r="I65" s="248">
        <v>0</v>
      </c>
      <c r="J65" s="248"/>
      <c r="K65" s="164">
        <f t="shared" si="1"/>
        <v>0</v>
      </c>
      <c r="L65" s="174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3"/>
      <c r="AH65" s="19"/>
      <c r="AI65" s="19"/>
      <c r="AJ65" s="19"/>
      <c r="AK65" s="19"/>
    </row>
    <row r="66" spans="1:37" hidden="1" outlineLevel="3" x14ac:dyDescent="0.2">
      <c r="A66" s="19"/>
      <c r="B66" s="19"/>
      <c r="C66" s="506">
        <f>Tariffs!C104</f>
        <v>0</v>
      </c>
      <c r="D66" s="505">
        <f>IF($C66=0,0,Tariffs!D104)</f>
        <v>0</v>
      </c>
      <c r="E66" s="505">
        <f>IF($C66=0,0,Tariffs!E104)</f>
        <v>0</v>
      </c>
      <c r="F66" s="505">
        <f>IF($C66=0,0,Tariffs!F104)</f>
        <v>0</v>
      </c>
      <c r="G66" s="505">
        <f>IF($C66=0,0,Tariffs!G104)</f>
        <v>0</v>
      </c>
      <c r="H66" s="58"/>
      <c r="I66" s="248">
        <v>0</v>
      </c>
      <c r="J66" s="248"/>
      <c r="K66" s="164">
        <f t="shared" si="1"/>
        <v>0</v>
      </c>
      <c r="L66" s="174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3"/>
      <c r="AH66" s="19"/>
      <c r="AI66" s="19"/>
      <c r="AJ66" s="19"/>
      <c r="AK66" s="19"/>
    </row>
    <row r="67" spans="1:37" hidden="1" outlineLevel="3" x14ac:dyDescent="0.2">
      <c r="A67" s="19"/>
      <c r="B67" s="19"/>
      <c r="C67" s="506">
        <f>Tariffs!C105</f>
        <v>0</v>
      </c>
      <c r="D67" s="505">
        <f>IF($C67=0,0,Tariffs!D105)</f>
        <v>0</v>
      </c>
      <c r="E67" s="505">
        <f>IF($C67=0,0,Tariffs!E105)</f>
        <v>0</v>
      </c>
      <c r="F67" s="505">
        <f>IF($C67=0,0,Tariffs!F105)</f>
        <v>0</v>
      </c>
      <c r="G67" s="505">
        <f>IF($C67=0,0,Tariffs!G105)</f>
        <v>0</v>
      </c>
      <c r="H67" s="58"/>
      <c r="I67" s="248">
        <v>0</v>
      </c>
      <c r="J67" s="248"/>
      <c r="K67" s="164">
        <f t="shared" si="1"/>
        <v>0</v>
      </c>
      <c r="L67" s="174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3"/>
      <c r="AH67" s="19"/>
      <c r="AI67" s="19"/>
      <c r="AJ67" s="19"/>
      <c r="AK67" s="19"/>
    </row>
    <row r="68" spans="1:37" hidden="1" outlineLevel="3" x14ac:dyDescent="0.2">
      <c r="A68" s="19"/>
      <c r="B68" s="19"/>
      <c r="C68" s="506">
        <f>Tariffs!C106</f>
        <v>0</v>
      </c>
      <c r="D68" s="505">
        <f>IF($C68=0,0,Tariffs!D106)</f>
        <v>0</v>
      </c>
      <c r="E68" s="505">
        <f>IF($C68=0,0,Tariffs!E106)</f>
        <v>0</v>
      </c>
      <c r="F68" s="505">
        <f>IF($C68=0,0,Tariffs!F106)</f>
        <v>0</v>
      </c>
      <c r="G68" s="505">
        <f>IF($C68=0,0,Tariffs!G106)</f>
        <v>0</v>
      </c>
      <c r="H68" s="58"/>
      <c r="I68" s="248">
        <v>0</v>
      </c>
      <c r="J68" s="248"/>
      <c r="K68" s="164">
        <f t="shared" si="1"/>
        <v>0</v>
      </c>
      <c r="L68" s="174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3"/>
      <c r="AH68" s="19"/>
      <c r="AI68" s="19"/>
      <c r="AJ68" s="19"/>
      <c r="AK68" s="19"/>
    </row>
    <row r="69" spans="1:37" hidden="1" outlineLevel="3" x14ac:dyDescent="0.2">
      <c r="A69" s="19"/>
      <c r="B69" s="19"/>
      <c r="C69" s="506">
        <f>Tariffs!C107</f>
        <v>0</v>
      </c>
      <c r="D69" s="505">
        <f>IF($C69=0,0,Tariffs!D107)</f>
        <v>0</v>
      </c>
      <c r="E69" s="505">
        <f>IF($C69=0,0,Tariffs!E107)</f>
        <v>0</v>
      </c>
      <c r="F69" s="505">
        <f>IF($C69=0,0,Tariffs!F107)</f>
        <v>0</v>
      </c>
      <c r="G69" s="505">
        <f>IF($C69=0,0,Tariffs!G107)</f>
        <v>0</v>
      </c>
      <c r="H69" s="58"/>
      <c r="I69" s="248">
        <v>0</v>
      </c>
      <c r="J69" s="248"/>
      <c r="K69" s="164">
        <f t="shared" si="1"/>
        <v>0</v>
      </c>
      <c r="L69" s="174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3"/>
      <c r="AH69" s="19"/>
      <c r="AI69" s="19"/>
      <c r="AJ69" s="19"/>
      <c r="AK69" s="19"/>
    </row>
    <row r="70" spans="1:37" hidden="1" outlineLevel="3" x14ac:dyDescent="0.2">
      <c r="A70" s="19"/>
      <c r="B70" s="19"/>
      <c r="C70" s="506">
        <f>Tariffs!C108</f>
        <v>0</v>
      </c>
      <c r="D70" s="505">
        <f>IF($C70=0,0,Tariffs!D108)</f>
        <v>0</v>
      </c>
      <c r="E70" s="505">
        <f>IF($C70=0,0,Tariffs!E108)</f>
        <v>0</v>
      </c>
      <c r="F70" s="505">
        <f>IF($C70=0,0,Tariffs!F108)</f>
        <v>0</v>
      </c>
      <c r="G70" s="505">
        <f>IF($C70=0,0,Tariffs!G108)</f>
        <v>0</v>
      </c>
      <c r="H70" s="58"/>
      <c r="I70" s="248">
        <v>0</v>
      </c>
      <c r="J70" s="248"/>
      <c r="K70" s="164">
        <f t="shared" si="1"/>
        <v>0</v>
      </c>
      <c r="L70" s="174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3"/>
      <c r="AH70" s="19"/>
      <c r="AI70" s="19"/>
      <c r="AJ70" s="19"/>
      <c r="AK70" s="19"/>
    </row>
    <row r="71" spans="1:37" hidden="1" outlineLevel="3" x14ac:dyDescent="0.2">
      <c r="A71" s="19"/>
      <c r="B71" s="19"/>
      <c r="C71" s="506">
        <f>Tariffs!C109</f>
        <v>0</v>
      </c>
      <c r="D71" s="505">
        <f>IF($C71=0,0,Tariffs!D109)</f>
        <v>0</v>
      </c>
      <c r="E71" s="505">
        <f>IF($C71=0,0,Tariffs!E109)</f>
        <v>0</v>
      </c>
      <c r="F71" s="505">
        <f>IF($C71=0,0,Tariffs!F109)</f>
        <v>0</v>
      </c>
      <c r="G71" s="505">
        <f>IF($C71=0,0,Tariffs!G109)</f>
        <v>0</v>
      </c>
      <c r="H71" s="58"/>
      <c r="I71" s="248">
        <v>0</v>
      </c>
      <c r="J71" s="248"/>
      <c r="K71" s="164">
        <f t="shared" si="1"/>
        <v>0</v>
      </c>
      <c r="L71" s="174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3"/>
      <c r="AH71" s="19"/>
      <c r="AI71" s="19"/>
      <c r="AJ71" s="19"/>
      <c r="AK71" s="19"/>
    </row>
    <row r="72" spans="1:37" hidden="1" outlineLevel="3" x14ac:dyDescent="0.2">
      <c r="A72" s="19"/>
      <c r="B72" s="19"/>
      <c r="C72" s="506">
        <f>Tariffs!C110</f>
        <v>0</v>
      </c>
      <c r="D72" s="505">
        <f>IF($C72=0,0,Tariffs!D110)</f>
        <v>0</v>
      </c>
      <c r="E72" s="505">
        <f>IF($C72=0,0,Tariffs!E110)</f>
        <v>0</v>
      </c>
      <c r="F72" s="505">
        <f>IF($C72=0,0,Tariffs!F110)</f>
        <v>0</v>
      </c>
      <c r="G72" s="505">
        <f>IF($C72=0,0,Tariffs!G110)</f>
        <v>0</v>
      </c>
      <c r="H72" s="58"/>
      <c r="I72" s="248">
        <v>0</v>
      </c>
      <c r="J72" s="248"/>
      <c r="K72" s="164">
        <f t="shared" ref="K72:K82" si="2">SUMIF($M$6:$AF$6,"units",M72:AF72)</f>
        <v>0</v>
      </c>
      <c r="L72" s="174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3"/>
      <c r="AH72" s="19"/>
      <c r="AI72" s="19"/>
      <c r="AJ72" s="19"/>
      <c r="AK72" s="19"/>
    </row>
    <row r="73" spans="1:37" hidden="1" outlineLevel="3" x14ac:dyDescent="0.2">
      <c r="A73" s="19"/>
      <c r="B73" s="19"/>
      <c r="C73" s="506">
        <f>Tariffs!C111</f>
        <v>0</v>
      </c>
      <c r="D73" s="505">
        <f>IF($C73=0,0,Tariffs!D111)</f>
        <v>0</v>
      </c>
      <c r="E73" s="505">
        <f>IF($C73=0,0,Tariffs!E111)</f>
        <v>0</v>
      </c>
      <c r="F73" s="505">
        <f>IF($C73=0,0,Tariffs!F111)</f>
        <v>0</v>
      </c>
      <c r="G73" s="505">
        <f>IF($C73=0,0,Tariffs!G111)</f>
        <v>0</v>
      </c>
      <c r="H73" s="58"/>
      <c r="I73" s="248">
        <v>0</v>
      </c>
      <c r="J73" s="248"/>
      <c r="K73" s="164">
        <f t="shared" si="2"/>
        <v>0</v>
      </c>
      <c r="L73" s="174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3"/>
      <c r="AH73" s="19"/>
      <c r="AI73" s="19"/>
      <c r="AJ73" s="19"/>
      <c r="AK73" s="19"/>
    </row>
    <row r="74" spans="1:37" hidden="1" outlineLevel="3" x14ac:dyDescent="0.2">
      <c r="A74" s="19"/>
      <c r="B74" s="19"/>
      <c r="C74" s="506">
        <f>Tariffs!C112</f>
        <v>0</v>
      </c>
      <c r="D74" s="505">
        <f>IF($C74=0,0,Tariffs!D112)</f>
        <v>0</v>
      </c>
      <c r="E74" s="505">
        <f>IF($C74=0,0,Tariffs!E112)</f>
        <v>0</v>
      </c>
      <c r="F74" s="505">
        <f>IF($C74=0,0,Tariffs!F112)</f>
        <v>0</v>
      </c>
      <c r="G74" s="505">
        <f>IF($C74=0,0,Tariffs!G112)</f>
        <v>0</v>
      </c>
      <c r="H74" s="58"/>
      <c r="I74" s="248">
        <v>0</v>
      </c>
      <c r="J74" s="248"/>
      <c r="K74" s="164">
        <f t="shared" si="2"/>
        <v>0</v>
      </c>
      <c r="L74" s="174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3"/>
      <c r="AH74" s="19"/>
      <c r="AI74" s="19"/>
      <c r="AJ74" s="19"/>
      <c r="AK74" s="19"/>
    </row>
    <row r="75" spans="1:37" hidden="1" outlineLevel="3" x14ac:dyDescent="0.2">
      <c r="A75" s="19"/>
      <c r="B75" s="19"/>
      <c r="C75" s="506">
        <f>Tariffs!C113</f>
        <v>0</v>
      </c>
      <c r="D75" s="505">
        <f>IF($C75=0,0,Tariffs!D113)</f>
        <v>0</v>
      </c>
      <c r="E75" s="505">
        <f>IF($C75=0,0,Tariffs!E113)</f>
        <v>0</v>
      </c>
      <c r="F75" s="505">
        <f>IF($C75=0,0,Tariffs!F113)</f>
        <v>0</v>
      </c>
      <c r="G75" s="505">
        <f>IF($C75=0,0,Tariffs!G113)</f>
        <v>0</v>
      </c>
      <c r="H75" s="58"/>
      <c r="I75" s="248">
        <v>0</v>
      </c>
      <c r="J75" s="248"/>
      <c r="K75" s="164">
        <f t="shared" si="2"/>
        <v>0</v>
      </c>
      <c r="L75" s="174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3"/>
      <c r="AH75" s="19"/>
      <c r="AI75" s="19"/>
      <c r="AJ75" s="19"/>
      <c r="AK75" s="19"/>
    </row>
    <row r="76" spans="1:37" hidden="1" outlineLevel="3" x14ac:dyDescent="0.2">
      <c r="A76" s="19"/>
      <c r="B76" s="19"/>
      <c r="C76" s="506">
        <f>Tariffs!C114</f>
        <v>0</v>
      </c>
      <c r="D76" s="505">
        <f>IF($C76=0,0,Tariffs!D114)</f>
        <v>0</v>
      </c>
      <c r="E76" s="505">
        <f>IF($C76=0,0,Tariffs!E114)</f>
        <v>0</v>
      </c>
      <c r="F76" s="505">
        <f>IF($C76=0,0,Tariffs!F114)</f>
        <v>0</v>
      </c>
      <c r="G76" s="505">
        <f>IF($C76=0,0,Tariffs!G114)</f>
        <v>0</v>
      </c>
      <c r="H76" s="58"/>
      <c r="I76" s="248">
        <v>0</v>
      </c>
      <c r="J76" s="248"/>
      <c r="K76" s="164">
        <f t="shared" si="2"/>
        <v>0</v>
      </c>
      <c r="L76" s="174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3"/>
      <c r="AH76" s="19"/>
      <c r="AI76" s="19"/>
      <c r="AJ76" s="19"/>
      <c r="AK76" s="19"/>
    </row>
    <row r="77" spans="1:37" hidden="1" outlineLevel="3" x14ac:dyDescent="0.2">
      <c r="A77" s="19"/>
      <c r="B77" s="19"/>
      <c r="C77" s="506">
        <f>Tariffs!C115</f>
        <v>0</v>
      </c>
      <c r="D77" s="505">
        <f>IF($C77=0,0,Tariffs!D115)</f>
        <v>0</v>
      </c>
      <c r="E77" s="505">
        <f>IF($C77=0,0,Tariffs!E115)</f>
        <v>0</v>
      </c>
      <c r="F77" s="505">
        <f>IF($C77=0,0,Tariffs!F115)</f>
        <v>0</v>
      </c>
      <c r="G77" s="505">
        <f>IF($C77=0,0,Tariffs!G115)</f>
        <v>0</v>
      </c>
      <c r="H77" s="58"/>
      <c r="I77" s="248">
        <v>0</v>
      </c>
      <c r="J77" s="248"/>
      <c r="K77" s="164">
        <f t="shared" si="2"/>
        <v>0</v>
      </c>
      <c r="L77" s="174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3"/>
      <c r="AH77" s="19"/>
      <c r="AI77" s="19"/>
      <c r="AJ77" s="19"/>
      <c r="AK77" s="19"/>
    </row>
    <row r="78" spans="1:37" hidden="1" outlineLevel="3" x14ac:dyDescent="0.2">
      <c r="A78" s="19"/>
      <c r="B78" s="19"/>
      <c r="C78" s="506">
        <f>Tariffs!C116</f>
        <v>0</v>
      </c>
      <c r="D78" s="505">
        <f>IF($C78=0,0,Tariffs!D116)</f>
        <v>0</v>
      </c>
      <c r="E78" s="505">
        <f>IF($C78=0,0,Tariffs!E116)</f>
        <v>0</v>
      </c>
      <c r="F78" s="505">
        <f>IF($C78=0,0,Tariffs!F116)</f>
        <v>0</v>
      </c>
      <c r="G78" s="505">
        <f>IF($C78=0,0,Tariffs!G116)</f>
        <v>0</v>
      </c>
      <c r="H78" s="58"/>
      <c r="I78" s="248">
        <v>0</v>
      </c>
      <c r="J78" s="248"/>
      <c r="K78" s="164">
        <f t="shared" si="2"/>
        <v>0</v>
      </c>
      <c r="L78" s="174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3"/>
      <c r="AH78" s="19"/>
      <c r="AI78" s="19"/>
      <c r="AJ78" s="19"/>
      <c r="AK78" s="19"/>
    </row>
    <row r="79" spans="1:37" hidden="1" outlineLevel="3" x14ac:dyDescent="0.2">
      <c r="A79" s="19"/>
      <c r="B79" s="19"/>
      <c r="C79" s="506">
        <f>Tariffs!C117</f>
        <v>0</v>
      </c>
      <c r="D79" s="505">
        <f>IF($C79=0,0,Tariffs!D117)</f>
        <v>0</v>
      </c>
      <c r="E79" s="505">
        <f>IF($C79=0,0,Tariffs!E117)</f>
        <v>0</v>
      </c>
      <c r="F79" s="505">
        <f>IF($C79=0,0,Tariffs!F117)</f>
        <v>0</v>
      </c>
      <c r="G79" s="505">
        <f>IF($C79=0,0,Tariffs!G117)</f>
        <v>0</v>
      </c>
      <c r="H79" s="58"/>
      <c r="I79" s="248">
        <v>0</v>
      </c>
      <c r="J79" s="248"/>
      <c r="K79" s="164">
        <f t="shared" si="2"/>
        <v>0</v>
      </c>
      <c r="L79" s="174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3"/>
      <c r="AH79" s="19"/>
      <c r="AI79" s="19"/>
      <c r="AJ79" s="19"/>
      <c r="AK79" s="19"/>
    </row>
    <row r="80" spans="1:37" hidden="1" outlineLevel="3" x14ac:dyDescent="0.2">
      <c r="A80" s="19"/>
      <c r="B80" s="19"/>
      <c r="C80" s="506">
        <f>Tariffs!C118</f>
        <v>0</v>
      </c>
      <c r="D80" s="505">
        <f>IF($C80=0,0,Tariffs!D118)</f>
        <v>0</v>
      </c>
      <c r="E80" s="505">
        <f>IF($C80=0,0,Tariffs!E118)</f>
        <v>0</v>
      </c>
      <c r="F80" s="505">
        <f>IF($C80=0,0,Tariffs!F118)</f>
        <v>0</v>
      </c>
      <c r="G80" s="505">
        <f>IF($C80=0,0,Tariffs!G118)</f>
        <v>0</v>
      </c>
      <c r="H80" s="58"/>
      <c r="I80" s="248">
        <v>0</v>
      </c>
      <c r="J80" s="248"/>
      <c r="K80" s="164">
        <f t="shared" si="2"/>
        <v>0</v>
      </c>
      <c r="L80" s="174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3"/>
      <c r="AH80" s="19"/>
      <c r="AI80" s="19"/>
      <c r="AJ80" s="19"/>
      <c r="AK80" s="19"/>
    </row>
    <row r="81" spans="1:37" hidden="1" outlineLevel="3" x14ac:dyDescent="0.2">
      <c r="A81" s="19"/>
      <c r="B81" s="19"/>
      <c r="C81" s="506">
        <f>Tariffs!C119</f>
        <v>0</v>
      </c>
      <c r="D81" s="505">
        <f>IF($C81=0,0,Tariffs!D119)</f>
        <v>0</v>
      </c>
      <c r="E81" s="505">
        <f>IF($C81=0,0,Tariffs!E119)</f>
        <v>0</v>
      </c>
      <c r="F81" s="505">
        <f>IF($C81=0,0,Tariffs!F119)</f>
        <v>0</v>
      </c>
      <c r="G81" s="505">
        <f>IF($C81=0,0,Tariffs!G119)</f>
        <v>0</v>
      </c>
      <c r="H81" s="58"/>
      <c r="I81" s="248">
        <v>0</v>
      </c>
      <c r="J81" s="248"/>
      <c r="K81" s="164">
        <f t="shared" si="2"/>
        <v>0</v>
      </c>
      <c r="L81" s="174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3"/>
      <c r="AH81" s="19"/>
      <c r="AI81" s="19"/>
      <c r="AJ81" s="19"/>
      <c r="AK81" s="19"/>
    </row>
    <row r="82" spans="1:37" hidden="1" outlineLevel="3" x14ac:dyDescent="0.2">
      <c r="A82" s="19"/>
      <c r="B82" s="19"/>
      <c r="C82" s="506">
        <f>Tariffs!C120</f>
        <v>0</v>
      </c>
      <c r="D82" s="505">
        <f>IF($C82=0,0,Tariffs!D120)</f>
        <v>0</v>
      </c>
      <c r="E82" s="505">
        <f>IF($C82=0,0,Tariffs!E120)</f>
        <v>0</v>
      </c>
      <c r="F82" s="505">
        <f>IF($C82=0,0,Tariffs!F120)</f>
        <v>0</v>
      </c>
      <c r="G82" s="505">
        <f>IF($C82=0,0,Tariffs!G120)</f>
        <v>0</v>
      </c>
      <c r="H82" s="58"/>
      <c r="I82" s="248">
        <v>0</v>
      </c>
      <c r="J82" s="248"/>
      <c r="K82" s="164">
        <f t="shared" si="2"/>
        <v>0</v>
      </c>
      <c r="L82" s="174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3"/>
      <c r="AH82" s="19"/>
      <c r="AI82" s="19"/>
      <c r="AJ82" s="19"/>
      <c r="AK82" s="19"/>
    </row>
    <row r="83" spans="1:37" outlineLevel="2" collapsed="1" x14ac:dyDescent="0.2">
      <c r="A83" s="19"/>
      <c r="B83" s="19"/>
      <c r="C83" s="539" t="s">
        <v>240</v>
      </c>
      <c r="D83" s="505"/>
      <c r="E83" s="505"/>
      <c r="F83" s="505"/>
      <c r="G83" s="505"/>
      <c r="H83" s="58"/>
      <c r="I83" s="323">
        <v>527859.31467914721</v>
      </c>
      <c r="J83" s="323"/>
      <c r="K83" s="323">
        <f>SUM(K8:K82)</f>
        <v>527859.31467914721</v>
      </c>
      <c r="L83" s="324"/>
      <c r="M83" s="323">
        <f t="shared" ref="M83:AF83" si="3">SUM(M8:M82)</f>
        <v>527859.31467914721</v>
      </c>
      <c r="N83" s="323">
        <f t="shared" si="3"/>
        <v>2504847983.89224</v>
      </c>
      <c r="O83" s="323">
        <f t="shared" si="3"/>
        <v>528349512.21576959</v>
      </c>
      <c r="P83" s="323">
        <f t="shared" si="3"/>
        <v>229880558.95270896</v>
      </c>
      <c r="Q83" s="323">
        <f t="shared" si="3"/>
        <v>694724513.87621772</v>
      </c>
      <c r="R83" s="323">
        <f t="shared" si="3"/>
        <v>21895400.49077573</v>
      </c>
      <c r="S83" s="323">
        <f t="shared" si="3"/>
        <v>30446318.144874234</v>
      </c>
      <c r="T83" s="323">
        <f t="shared" si="3"/>
        <v>31317739.389298201</v>
      </c>
      <c r="U83" s="323">
        <f t="shared" si="3"/>
        <v>25210150.245070711</v>
      </c>
      <c r="V83" s="323">
        <f t="shared" si="3"/>
        <v>154655.01050395033</v>
      </c>
      <c r="W83" s="323">
        <f t="shared" si="3"/>
        <v>0</v>
      </c>
      <c r="X83" s="323">
        <f t="shared" si="3"/>
        <v>0</v>
      </c>
      <c r="Y83" s="323">
        <f t="shared" si="3"/>
        <v>3627058.5026313486</v>
      </c>
      <c r="Z83" s="323">
        <f t="shared" si="3"/>
        <v>0</v>
      </c>
      <c r="AA83" s="323">
        <f t="shared" si="3"/>
        <v>0</v>
      </c>
      <c r="AB83" s="323">
        <f t="shared" si="3"/>
        <v>0</v>
      </c>
      <c r="AC83" s="323">
        <f t="shared" si="3"/>
        <v>0</v>
      </c>
      <c r="AD83" s="323">
        <f t="shared" si="3"/>
        <v>0</v>
      </c>
      <c r="AE83" s="323">
        <f t="shared" si="3"/>
        <v>0</v>
      </c>
      <c r="AF83" s="323">
        <f t="shared" si="3"/>
        <v>0</v>
      </c>
      <c r="AG83" s="325"/>
      <c r="AH83" s="19"/>
      <c r="AI83" s="19"/>
      <c r="AJ83" s="19"/>
      <c r="AK83" s="19"/>
    </row>
    <row r="84" spans="1:37" outlineLevel="2" x14ac:dyDescent="0.2">
      <c r="A84" s="19"/>
      <c r="B84" s="19"/>
      <c r="C84" s="66"/>
      <c r="D84" s="58"/>
      <c r="E84" s="58"/>
      <c r="F84" s="58"/>
      <c r="G84" s="58"/>
      <c r="H84" s="58"/>
      <c r="I84" s="174"/>
      <c r="J84" s="174"/>
      <c r="K84" s="174"/>
      <c r="L84" s="174"/>
      <c r="M84" s="177"/>
      <c r="N84" s="177"/>
      <c r="O84" s="178"/>
      <c r="P84" s="178"/>
      <c r="Q84" s="178"/>
      <c r="R84" s="179"/>
      <c r="S84" s="179"/>
      <c r="T84" s="179"/>
      <c r="U84" s="179"/>
      <c r="V84" s="179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3"/>
      <c r="AH84" s="19"/>
      <c r="AI84" s="19"/>
      <c r="AJ84" s="19"/>
      <c r="AK84" s="19"/>
    </row>
    <row r="85" spans="1:37" outlineLevel="1" x14ac:dyDescent="0.2">
      <c r="A85" s="19"/>
      <c r="B85" s="19"/>
      <c r="C85" s="66"/>
      <c r="D85" s="58"/>
      <c r="E85" s="58"/>
      <c r="F85" s="58"/>
      <c r="G85" s="58"/>
      <c r="H85" s="58"/>
      <c r="I85" s="174"/>
      <c r="J85" s="174"/>
      <c r="K85" s="174"/>
      <c r="L85" s="174"/>
      <c r="M85" s="177"/>
      <c r="N85" s="177"/>
      <c r="O85" s="178"/>
      <c r="P85" s="178"/>
      <c r="Q85" s="178"/>
      <c r="R85" s="179"/>
      <c r="S85" s="179"/>
      <c r="T85" s="179"/>
      <c r="U85" s="179"/>
      <c r="V85" s="179"/>
      <c r="W85" s="178"/>
      <c r="X85" s="178"/>
      <c r="Y85" s="178"/>
      <c r="Z85" s="173"/>
      <c r="AA85" s="173"/>
      <c r="AB85" s="173"/>
      <c r="AC85" s="173"/>
      <c r="AD85" s="173"/>
      <c r="AE85" s="173"/>
      <c r="AF85" s="173"/>
      <c r="AG85" s="173"/>
      <c r="AH85" s="19"/>
      <c r="AI85" s="19"/>
      <c r="AJ85" s="19"/>
      <c r="AK85" s="19"/>
    </row>
    <row r="86" spans="1:37" outlineLevel="1" x14ac:dyDescent="0.2">
      <c r="A86" s="19"/>
      <c r="B86" s="19"/>
      <c r="C86" s="167" t="str">
        <f>"Estimate "&amp;currentyear</f>
        <v>Estimate 2021–22</v>
      </c>
      <c r="D86" s="20"/>
      <c r="E86" s="20"/>
      <c r="F86" s="20"/>
      <c r="G86" s="20"/>
      <c r="H86" s="20"/>
      <c r="I86" s="181"/>
      <c r="J86" s="181"/>
      <c r="K86" s="171"/>
      <c r="L86" s="171"/>
      <c r="M86" s="178">
        <v>19</v>
      </c>
      <c r="N86" s="178">
        <f>N4-14</f>
        <v>23</v>
      </c>
      <c r="O86" s="178">
        <f t="shared" ref="O86:Y86" si="4">O4-14</f>
        <v>20</v>
      </c>
      <c r="P86" s="178">
        <f t="shared" si="4"/>
        <v>21</v>
      </c>
      <c r="Q86" s="178">
        <f t="shared" si="4"/>
        <v>22</v>
      </c>
      <c r="R86" s="178">
        <f t="shared" si="4"/>
        <v>26</v>
      </c>
      <c r="S86" s="178">
        <f t="shared" si="4"/>
        <v>24</v>
      </c>
      <c r="T86" s="178">
        <f t="shared" si="4"/>
        <v>25</v>
      </c>
      <c r="U86" s="178">
        <f t="shared" si="4"/>
        <v>28</v>
      </c>
      <c r="V86" s="178">
        <f t="shared" si="4"/>
        <v>29</v>
      </c>
      <c r="W86" s="178">
        <f t="shared" si="4"/>
        <v>30</v>
      </c>
      <c r="X86" s="178">
        <f t="shared" si="4"/>
        <v>31</v>
      </c>
      <c r="Y86" s="178">
        <f t="shared" si="4"/>
        <v>27</v>
      </c>
      <c r="Z86" s="171"/>
      <c r="AA86" s="171"/>
      <c r="AB86" s="171"/>
      <c r="AC86" s="171"/>
      <c r="AD86" s="171"/>
      <c r="AE86" s="171"/>
      <c r="AF86" s="171"/>
      <c r="AG86" s="173"/>
      <c r="AH86" s="19"/>
      <c r="AI86" s="19"/>
      <c r="AJ86" s="19"/>
      <c r="AK86" s="19"/>
    </row>
    <row r="87" spans="1:37" outlineLevel="2" x14ac:dyDescent="0.2">
      <c r="A87" s="19"/>
      <c r="B87" s="19"/>
      <c r="C87" s="506" t="str">
        <f>IF(currentyear=RCPminus1,Tariffs!H46,C8)</f>
        <v>Residential time of use consumption</v>
      </c>
      <c r="D87" s="505" t="str">
        <f>IF($C87=0,0,Tariffs!D46)</f>
        <v>Residential</v>
      </c>
      <c r="E87" s="505" t="str">
        <f>IF($C87=0,0,Tariffs!E46)</f>
        <v>TAS93</v>
      </c>
      <c r="F87" s="505">
        <f>IF($C87=0,0,Tariffs!F46)</f>
        <v>0</v>
      </c>
      <c r="G87" s="505">
        <f>IF($C87=0,0,Tariffs!G46)</f>
        <v>0</v>
      </c>
      <c r="H87" s="20"/>
      <c r="I87" s="248">
        <v>50784.043879690267</v>
      </c>
      <c r="J87" s="248"/>
      <c r="K87" s="164">
        <f t="shared" ref="K87:K118" si="5">SUMIF($M$6:$AF$6,"units",M87:AF87)</f>
        <v>50784.043879690267</v>
      </c>
      <c r="L87" s="171"/>
      <c r="M87" s="172">
        <v>50784.043879690267</v>
      </c>
      <c r="N87" s="172">
        <v>0</v>
      </c>
      <c r="O87" s="172">
        <v>125330358.19116792</v>
      </c>
      <c r="P87" s="172">
        <v>0</v>
      </c>
      <c r="Q87" s="172">
        <v>283737537.23128116</v>
      </c>
      <c r="R87" s="172">
        <v>0</v>
      </c>
      <c r="S87" s="172">
        <v>0</v>
      </c>
      <c r="T87" s="172">
        <v>0</v>
      </c>
      <c r="U87" s="172">
        <v>0</v>
      </c>
      <c r="V87" s="172">
        <v>0</v>
      </c>
      <c r="W87" s="172">
        <v>0</v>
      </c>
      <c r="X87" s="172">
        <v>0</v>
      </c>
      <c r="Y87" s="172">
        <v>0</v>
      </c>
      <c r="Z87" s="172"/>
      <c r="AA87" s="172"/>
      <c r="AB87" s="172"/>
      <c r="AC87" s="172"/>
      <c r="AD87" s="172"/>
      <c r="AE87" s="172"/>
      <c r="AF87" s="172"/>
      <c r="AG87" s="173"/>
      <c r="AH87" s="19"/>
      <c r="AI87" s="19"/>
      <c r="AJ87" s="19"/>
      <c r="AK87" s="19"/>
    </row>
    <row r="88" spans="1:37" s="59" customFormat="1" outlineLevel="2" x14ac:dyDescent="0.2">
      <c r="A88" s="57"/>
      <c r="B88" s="57"/>
      <c r="C88" s="506" t="str">
        <f>IF(currentyear=RCPminus1,Tariffs!H47,C9)</f>
        <v>Residential general light and power</v>
      </c>
      <c r="D88" s="505" t="str">
        <f>IF($C88=0,0,Tariffs!D47)</f>
        <v>Residential</v>
      </c>
      <c r="E88" s="505" t="str">
        <f>IF($C88=0,0,Tariffs!E47)</f>
        <v>TAS31</v>
      </c>
      <c r="F88" s="505">
        <f>IF($C88=0,0,Tariffs!F47)</f>
        <v>0</v>
      </c>
      <c r="G88" s="505">
        <f>IF($C88=0,0,Tariffs!G47)</f>
        <v>0</v>
      </c>
      <c r="H88" s="58"/>
      <c r="I88" s="248">
        <v>213630.14716923854</v>
      </c>
      <c r="J88" s="248"/>
      <c r="K88" s="164">
        <f t="shared" si="5"/>
        <v>213630.14716923854</v>
      </c>
      <c r="L88" s="174"/>
      <c r="M88" s="172">
        <v>213630.14716923854</v>
      </c>
      <c r="N88" s="172">
        <v>757743088.64330792</v>
      </c>
      <c r="O88" s="172">
        <v>0</v>
      </c>
      <c r="P88" s="172">
        <v>0</v>
      </c>
      <c r="Q88" s="172">
        <v>0</v>
      </c>
      <c r="R88" s="172">
        <v>0</v>
      </c>
      <c r="S88" s="172">
        <v>0</v>
      </c>
      <c r="T88" s="172">
        <v>0</v>
      </c>
      <c r="U88" s="172">
        <v>0</v>
      </c>
      <c r="V88" s="172">
        <v>0</v>
      </c>
      <c r="W88" s="172">
        <v>0</v>
      </c>
      <c r="X88" s="172">
        <v>0</v>
      </c>
      <c r="Y88" s="172">
        <v>0</v>
      </c>
      <c r="Z88" s="175"/>
      <c r="AA88" s="175"/>
      <c r="AB88" s="175"/>
      <c r="AC88" s="175"/>
      <c r="AD88" s="175"/>
      <c r="AE88" s="175"/>
      <c r="AF88" s="175"/>
      <c r="AG88" s="176"/>
      <c r="AH88" s="57"/>
      <c r="AI88" s="57"/>
      <c r="AJ88" s="57"/>
      <c r="AK88" s="57"/>
    </row>
    <row r="89" spans="1:37" outlineLevel="2" x14ac:dyDescent="0.2">
      <c r="A89" s="19"/>
      <c r="B89" s="19"/>
      <c r="C89" s="506" t="str">
        <f>IF(currentyear=RCPminus1,Tariffs!H48,C10)</f>
        <v>Residential time of use demand</v>
      </c>
      <c r="D89" s="505" t="str">
        <f>IF($C89=0,0,Tariffs!D48)</f>
        <v>Residential</v>
      </c>
      <c r="E89" s="505" t="str">
        <f>IF($C89=0,0,Tariffs!E48)</f>
        <v>TAS87</v>
      </c>
      <c r="F89" s="505">
        <f>IF($C89=0,0,Tariffs!F48)</f>
        <v>0</v>
      </c>
      <c r="G89" s="505">
        <f>IF($C89=0,0,Tariffs!G48)</f>
        <v>0</v>
      </c>
      <c r="H89" s="58"/>
      <c r="I89" s="248">
        <v>1</v>
      </c>
      <c r="J89" s="248"/>
      <c r="K89" s="164">
        <f t="shared" si="5"/>
        <v>1</v>
      </c>
      <c r="L89" s="174"/>
      <c r="M89" s="172">
        <v>1</v>
      </c>
      <c r="N89" s="172">
        <v>151967.46404936427</v>
      </c>
      <c r="O89" s="172">
        <v>0</v>
      </c>
      <c r="P89" s="172">
        <v>0</v>
      </c>
      <c r="Q89" s="172">
        <v>0</v>
      </c>
      <c r="R89" s="172">
        <v>0</v>
      </c>
      <c r="S89" s="172">
        <v>14183.76496842332</v>
      </c>
      <c r="T89" s="172">
        <v>14175.429544949629</v>
      </c>
      <c r="U89" s="172">
        <v>0</v>
      </c>
      <c r="V89" s="172">
        <v>0</v>
      </c>
      <c r="W89" s="172">
        <v>0</v>
      </c>
      <c r="X89" s="172">
        <v>0</v>
      </c>
      <c r="Y89" s="172">
        <v>0</v>
      </c>
      <c r="Z89" s="175"/>
      <c r="AA89" s="175"/>
      <c r="AB89" s="175"/>
      <c r="AC89" s="175"/>
      <c r="AD89" s="175"/>
      <c r="AE89" s="175"/>
      <c r="AF89" s="175"/>
      <c r="AG89" s="173"/>
      <c r="AH89" s="19"/>
      <c r="AI89" s="19"/>
      <c r="AJ89" s="19"/>
      <c r="AK89" s="19"/>
    </row>
    <row r="90" spans="1:37" outlineLevel="2" x14ac:dyDescent="0.2">
      <c r="A90" s="19"/>
      <c r="B90" s="19"/>
      <c r="C90" s="506" t="str">
        <f>IF(currentyear=RCPminus1,Tariffs!H49,C11)</f>
        <v>Residential time of use demand DER</v>
      </c>
      <c r="D90" s="505" t="str">
        <f>IF($C90=0,0,Tariffs!D49)</f>
        <v>Residential</v>
      </c>
      <c r="E90" s="505" t="str">
        <f>IF($C90=0,0,Tariffs!E49)</f>
        <v>TAS97</v>
      </c>
      <c r="F90" s="505">
        <f>IF($C90=0,0,Tariffs!F49)</f>
        <v>0</v>
      </c>
      <c r="G90" s="505">
        <f>IF($C90=0,0,Tariffs!G49)</f>
        <v>0</v>
      </c>
      <c r="H90" s="58"/>
      <c r="I90" s="248">
        <v>0</v>
      </c>
      <c r="J90" s="248"/>
      <c r="K90" s="164">
        <f t="shared" si="5"/>
        <v>0</v>
      </c>
      <c r="L90" s="174"/>
      <c r="M90" s="172">
        <v>0</v>
      </c>
      <c r="N90" s="172">
        <v>0</v>
      </c>
      <c r="O90" s="172">
        <v>0</v>
      </c>
      <c r="P90" s="172">
        <v>0</v>
      </c>
      <c r="Q90" s="172">
        <v>0</v>
      </c>
      <c r="R90" s="172">
        <v>0</v>
      </c>
      <c r="S90" s="172">
        <v>0</v>
      </c>
      <c r="T90" s="172">
        <v>0</v>
      </c>
      <c r="U90" s="172">
        <v>0</v>
      </c>
      <c r="V90" s="172">
        <v>0</v>
      </c>
      <c r="W90" s="172">
        <v>0</v>
      </c>
      <c r="X90" s="172">
        <v>0</v>
      </c>
      <c r="Y90" s="172">
        <v>0</v>
      </c>
      <c r="Z90" s="175"/>
      <c r="AA90" s="175"/>
      <c r="AB90" s="175"/>
      <c r="AC90" s="175"/>
      <c r="AD90" s="175"/>
      <c r="AE90" s="175"/>
      <c r="AF90" s="175"/>
      <c r="AG90" s="173"/>
      <c r="AH90" s="19"/>
      <c r="AI90" s="19"/>
      <c r="AJ90" s="19"/>
      <c r="AK90" s="19"/>
    </row>
    <row r="91" spans="1:37" outlineLevel="2" x14ac:dyDescent="0.2">
      <c r="A91" s="19"/>
      <c r="B91" s="19"/>
      <c r="C91" s="506" t="str">
        <f>IF(currentyear=RCPminus1,Tariffs!H50,C12)</f>
        <v>Residential pay as you go</v>
      </c>
      <c r="D91" s="505" t="str">
        <f>IF($C91=0,0,Tariffs!D50)</f>
        <v>Residential</v>
      </c>
      <c r="E91" s="505" t="str">
        <f>IF($C91=0,0,Tariffs!E50)</f>
        <v>TAS101</v>
      </c>
      <c r="F91" s="505">
        <f>IF($C91=0,0,Tariffs!F50)</f>
        <v>0</v>
      </c>
      <c r="G91" s="505">
        <f>IF($C91=0,0,Tariffs!G50)</f>
        <v>0</v>
      </c>
      <c r="H91" s="58"/>
      <c r="I91" s="248">
        <v>10.689766478182589</v>
      </c>
      <c r="J91" s="248"/>
      <c r="K91" s="164">
        <f t="shared" si="5"/>
        <v>10.689766478182589</v>
      </c>
      <c r="L91" s="174"/>
      <c r="M91" s="172">
        <v>10.689766478182589</v>
      </c>
      <c r="N91" s="172">
        <v>78375.283398124855</v>
      </c>
      <c r="O91" s="172">
        <v>0</v>
      </c>
      <c r="P91" s="172">
        <v>0</v>
      </c>
      <c r="Q91" s="172">
        <v>0</v>
      </c>
      <c r="R91" s="172">
        <v>0</v>
      </c>
      <c r="S91" s="172">
        <v>0</v>
      </c>
      <c r="T91" s="172">
        <v>0</v>
      </c>
      <c r="U91" s="172">
        <v>0</v>
      </c>
      <c r="V91" s="172">
        <v>0</v>
      </c>
      <c r="W91" s="172">
        <v>0</v>
      </c>
      <c r="X91" s="172">
        <v>0</v>
      </c>
      <c r="Y91" s="172">
        <v>0</v>
      </c>
      <c r="Z91" s="175"/>
      <c r="AA91" s="175"/>
      <c r="AB91" s="175"/>
      <c r="AC91" s="175"/>
      <c r="AD91" s="175"/>
      <c r="AE91" s="175"/>
      <c r="AF91" s="175"/>
      <c r="AG91" s="173"/>
      <c r="AH91" s="19"/>
      <c r="AI91" s="19"/>
      <c r="AJ91" s="19"/>
      <c r="AK91" s="19"/>
    </row>
    <row r="92" spans="1:37" outlineLevel="2" x14ac:dyDescent="0.2">
      <c r="A92" s="19"/>
      <c r="B92" s="19"/>
      <c r="C92" s="506" t="str">
        <f>IF(currentyear=RCPminus1,Tariffs!H51,C13)</f>
        <v>Residential pay as you go time of use</v>
      </c>
      <c r="D92" s="505" t="str">
        <f>IF($C92=0,0,Tariffs!D51)</f>
        <v>Residential</v>
      </c>
      <c r="E92" s="505" t="str">
        <f>IF($C92=0,0,Tariffs!E51)</f>
        <v>TAS92</v>
      </c>
      <c r="F92" s="505">
        <f>IF($C92=0,0,Tariffs!F51)</f>
        <v>0</v>
      </c>
      <c r="G92" s="505">
        <f>IF($C92=0,0,Tariffs!G51)</f>
        <v>0</v>
      </c>
      <c r="H92" s="58"/>
      <c r="I92" s="248">
        <v>0</v>
      </c>
      <c r="J92" s="248"/>
      <c r="K92" s="164">
        <f t="shared" si="5"/>
        <v>0</v>
      </c>
      <c r="L92" s="174"/>
      <c r="M92" s="172">
        <v>0</v>
      </c>
      <c r="N92" s="172">
        <v>0</v>
      </c>
      <c r="O92" s="172">
        <v>0</v>
      </c>
      <c r="P92" s="172">
        <v>0</v>
      </c>
      <c r="Q92" s="172">
        <v>0</v>
      </c>
      <c r="R92" s="172">
        <v>0</v>
      </c>
      <c r="S92" s="172">
        <v>0</v>
      </c>
      <c r="T92" s="172">
        <v>0</v>
      </c>
      <c r="U92" s="172">
        <v>0</v>
      </c>
      <c r="V92" s="172">
        <v>0</v>
      </c>
      <c r="W92" s="172">
        <v>0</v>
      </c>
      <c r="X92" s="172">
        <v>0</v>
      </c>
      <c r="Y92" s="172">
        <v>0</v>
      </c>
      <c r="Z92" s="175"/>
      <c r="AA92" s="175"/>
      <c r="AB92" s="175"/>
      <c r="AC92" s="175"/>
      <c r="AD92" s="175"/>
      <c r="AE92" s="175"/>
      <c r="AF92" s="175"/>
      <c r="AG92" s="173"/>
      <c r="AH92" s="19"/>
      <c r="AI92" s="19"/>
      <c r="AJ92" s="19"/>
      <c r="AK92" s="19"/>
    </row>
    <row r="93" spans="1:37" outlineLevel="2" x14ac:dyDescent="0.2">
      <c r="A93" s="19"/>
      <c r="B93" s="19"/>
      <c r="C93" s="506" t="str">
        <f>IF(currentyear=RCPminus1,Tariffs!H52,C14)</f>
        <v>Small business time of use consumption</v>
      </c>
      <c r="D93" s="505" t="str">
        <f>IF($C93=0,0,Tariffs!D52)</f>
        <v>Small Business LV</v>
      </c>
      <c r="E93" s="505" t="str">
        <f>IF($C93=0,0,Tariffs!E52)</f>
        <v>TAS94</v>
      </c>
      <c r="F93" s="505">
        <f>IF($C93=0,0,Tariffs!F52)</f>
        <v>0</v>
      </c>
      <c r="G93" s="505">
        <f>IF($C93=0,0,Tariffs!G52)</f>
        <v>0</v>
      </c>
      <c r="H93" s="58"/>
      <c r="I93" s="248">
        <v>7954</v>
      </c>
      <c r="J93" s="248"/>
      <c r="K93" s="164">
        <f t="shared" si="5"/>
        <v>7954</v>
      </c>
      <c r="L93" s="174"/>
      <c r="M93" s="172">
        <v>7954</v>
      </c>
      <c r="N93" s="172">
        <v>0</v>
      </c>
      <c r="O93" s="172">
        <v>275618724.81443298</v>
      </c>
      <c r="P93" s="172">
        <v>69163631.242171451</v>
      </c>
      <c r="Q93" s="172">
        <v>136051391.11658305</v>
      </c>
      <c r="R93" s="172">
        <v>0</v>
      </c>
      <c r="S93" s="172">
        <v>0</v>
      </c>
      <c r="T93" s="172">
        <v>0</v>
      </c>
      <c r="U93" s="172">
        <v>0</v>
      </c>
      <c r="V93" s="172">
        <v>0</v>
      </c>
      <c r="W93" s="172">
        <v>0</v>
      </c>
      <c r="X93" s="172">
        <v>0</v>
      </c>
      <c r="Y93" s="172">
        <v>0</v>
      </c>
      <c r="Z93" s="175"/>
      <c r="AA93" s="175"/>
      <c r="AB93" s="175"/>
      <c r="AC93" s="175"/>
      <c r="AD93" s="175"/>
      <c r="AE93" s="175"/>
      <c r="AF93" s="175"/>
      <c r="AG93" s="173"/>
      <c r="AH93" s="19"/>
      <c r="AI93" s="19"/>
      <c r="AJ93" s="19"/>
      <c r="AK93" s="19"/>
    </row>
    <row r="94" spans="1:37" outlineLevel="2" x14ac:dyDescent="0.2">
      <c r="A94" s="19"/>
      <c r="B94" s="19"/>
      <c r="C94" s="506" t="str">
        <f>IF(currentyear=RCPminus1,Tariffs!H53,C15)</f>
        <v>Small business general light and power</v>
      </c>
      <c r="D94" s="505" t="str">
        <f>IF($C94=0,0,Tariffs!D53)</f>
        <v>Small Business LV</v>
      </c>
      <c r="E94" s="505" t="str">
        <f>IF($C94=0,0,Tariffs!E53)</f>
        <v>TAS22</v>
      </c>
      <c r="F94" s="505">
        <f>IF($C94=0,0,Tariffs!F53)</f>
        <v>0</v>
      </c>
      <c r="G94" s="505">
        <f>IF($C94=0,0,Tariffs!G53)</f>
        <v>0</v>
      </c>
      <c r="H94" s="58"/>
      <c r="I94" s="248">
        <v>27077</v>
      </c>
      <c r="J94" s="248"/>
      <c r="K94" s="164">
        <f t="shared" si="5"/>
        <v>27077</v>
      </c>
      <c r="L94" s="174"/>
      <c r="M94" s="172">
        <v>27077</v>
      </c>
      <c r="N94" s="172">
        <v>249680276.1544781</v>
      </c>
      <c r="O94" s="172">
        <v>0</v>
      </c>
      <c r="P94" s="172">
        <v>0</v>
      </c>
      <c r="Q94" s="172">
        <v>0</v>
      </c>
      <c r="R94" s="172">
        <v>0</v>
      </c>
      <c r="S94" s="172">
        <v>0</v>
      </c>
      <c r="T94" s="172">
        <v>0</v>
      </c>
      <c r="U94" s="172">
        <v>0</v>
      </c>
      <c r="V94" s="172">
        <v>0</v>
      </c>
      <c r="W94" s="172">
        <v>0</v>
      </c>
      <c r="X94" s="172">
        <v>0</v>
      </c>
      <c r="Y94" s="172">
        <v>0</v>
      </c>
      <c r="Z94" s="175"/>
      <c r="AA94" s="175"/>
      <c r="AB94" s="175"/>
      <c r="AC94" s="175"/>
      <c r="AD94" s="175"/>
      <c r="AE94" s="175"/>
      <c r="AF94" s="175"/>
      <c r="AG94" s="173"/>
      <c r="AH94" s="19"/>
      <c r="AI94" s="19"/>
      <c r="AJ94" s="19"/>
      <c r="AK94" s="19"/>
    </row>
    <row r="95" spans="1:37" outlineLevel="2" x14ac:dyDescent="0.2">
      <c r="A95" s="19"/>
      <c r="B95" s="19"/>
      <c r="C95" s="506" t="str">
        <f>IF(currentyear=RCPminus1,Tariffs!H54,C16)</f>
        <v>Small business time of use demand</v>
      </c>
      <c r="D95" s="505" t="str">
        <f>IF($C95=0,0,Tariffs!D54)</f>
        <v>Small Business LV</v>
      </c>
      <c r="E95" s="505" t="str">
        <f>IF($C95=0,0,Tariffs!E54)</f>
        <v>TAS88</v>
      </c>
      <c r="F95" s="505">
        <f>IF($C95=0,0,Tariffs!F54)</f>
        <v>0</v>
      </c>
      <c r="G95" s="505">
        <f>IF($C95=0,0,Tariffs!G54)</f>
        <v>0</v>
      </c>
      <c r="H95" s="58"/>
      <c r="I95" s="248">
        <v>894</v>
      </c>
      <c r="J95" s="248"/>
      <c r="K95" s="164">
        <f t="shared" si="5"/>
        <v>894</v>
      </c>
      <c r="L95" s="174"/>
      <c r="M95" s="172">
        <v>894</v>
      </c>
      <c r="N95" s="172">
        <v>149321331.76552615</v>
      </c>
      <c r="O95" s="172">
        <v>0</v>
      </c>
      <c r="P95" s="172">
        <v>0</v>
      </c>
      <c r="Q95" s="172">
        <v>0</v>
      </c>
      <c r="R95" s="172">
        <v>0</v>
      </c>
      <c r="S95" s="172">
        <v>11071964.031364227</v>
      </c>
      <c r="T95" s="172">
        <v>11472547.101432865</v>
      </c>
      <c r="U95" s="172">
        <v>0</v>
      </c>
      <c r="V95" s="172">
        <v>0</v>
      </c>
      <c r="W95" s="172">
        <v>0</v>
      </c>
      <c r="X95" s="172">
        <v>0</v>
      </c>
      <c r="Y95" s="172">
        <v>0</v>
      </c>
      <c r="Z95" s="175"/>
      <c r="AA95" s="175"/>
      <c r="AB95" s="175"/>
      <c r="AC95" s="175"/>
      <c r="AD95" s="175"/>
      <c r="AE95" s="175"/>
      <c r="AF95" s="175"/>
      <c r="AG95" s="173"/>
      <c r="AH95" s="19"/>
      <c r="AI95" s="19"/>
      <c r="AJ95" s="19"/>
      <c r="AK95" s="19"/>
    </row>
    <row r="96" spans="1:37" outlineLevel="2" x14ac:dyDescent="0.2">
      <c r="A96" s="19"/>
      <c r="B96" s="19"/>
      <c r="C96" s="506" t="str">
        <f>IF(currentyear=RCPminus1,Tariffs!H55,C17)</f>
        <v>Small business time of use demand DER</v>
      </c>
      <c r="D96" s="505" t="str">
        <f>IF($C96=0,0,Tariffs!D55)</f>
        <v>Small Business LV</v>
      </c>
      <c r="E96" s="505" t="str">
        <f>IF($C96=0,0,Tariffs!E55)</f>
        <v>TAS98</v>
      </c>
      <c r="F96" s="505">
        <f>IF($C96=0,0,Tariffs!F55)</f>
        <v>0</v>
      </c>
      <c r="G96" s="505">
        <f>IF($C96=0,0,Tariffs!G55)</f>
        <v>0</v>
      </c>
      <c r="H96" s="58"/>
      <c r="I96" s="248">
        <v>86</v>
      </c>
      <c r="J96" s="248"/>
      <c r="K96" s="164">
        <f t="shared" si="5"/>
        <v>86</v>
      </c>
      <c r="L96" s="174"/>
      <c r="M96" s="172">
        <v>86</v>
      </c>
      <c r="N96" s="172">
        <v>23247739.57625404</v>
      </c>
      <c r="O96" s="172">
        <v>0</v>
      </c>
      <c r="P96" s="172">
        <v>0</v>
      </c>
      <c r="Q96" s="172">
        <v>0</v>
      </c>
      <c r="R96" s="172">
        <v>0</v>
      </c>
      <c r="S96" s="172">
        <v>1869920.05341066</v>
      </c>
      <c r="T96" s="172">
        <v>1983834.966271136</v>
      </c>
      <c r="U96" s="172">
        <v>0</v>
      </c>
      <c r="V96" s="172">
        <v>0</v>
      </c>
      <c r="W96" s="172">
        <v>0</v>
      </c>
      <c r="X96" s="172">
        <v>0</v>
      </c>
      <c r="Y96" s="172">
        <v>0</v>
      </c>
      <c r="Z96" s="175"/>
      <c r="AA96" s="175"/>
      <c r="AB96" s="175"/>
      <c r="AC96" s="175"/>
      <c r="AD96" s="175"/>
      <c r="AE96" s="175"/>
      <c r="AF96" s="175"/>
      <c r="AG96" s="173"/>
      <c r="AH96" s="19"/>
      <c r="AI96" s="19"/>
      <c r="AJ96" s="19"/>
      <c r="AK96" s="19"/>
    </row>
    <row r="97" spans="1:37" outlineLevel="2" x14ac:dyDescent="0.2">
      <c r="A97" s="19"/>
      <c r="B97" s="19"/>
      <c r="C97" s="506" t="str">
        <f>IF(currentyear=RCPminus1,Tariffs!H56,C18)</f>
        <v>Large business kVA demand</v>
      </c>
      <c r="D97" s="505" t="str">
        <f>IF($C97=0,0,Tariffs!D56)</f>
        <v>Large Business LV</v>
      </c>
      <c r="E97" s="505" t="str">
        <f>IF($C97=0,0,Tariffs!E56)</f>
        <v>TAS82</v>
      </c>
      <c r="F97" s="505">
        <f>IF($C97=0,0,Tariffs!F56)</f>
        <v>0</v>
      </c>
      <c r="G97" s="505">
        <f>IF($C97=0,0,Tariffs!G56)</f>
        <v>0</v>
      </c>
      <c r="H97" s="58"/>
      <c r="I97" s="248">
        <v>549</v>
      </c>
      <c r="J97" s="248"/>
      <c r="K97" s="164">
        <f t="shared" si="5"/>
        <v>549</v>
      </c>
      <c r="L97" s="174"/>
      <c r="M97" s="172">
        <v>549</v>
      </c>
      <c r="N97" s="172">
        <v>215364678.3205961</v>
      </c>
      <c r="O97" s="172">
        <v>0</v>
      </c>
      <c r="P97" s="172">
        <v>0</v>
      </c>
      <c r="Q97" s="172">
        <v>0</v>
      </c>
      <c r="R97" s="172">
        <v>23033783.6277408</v>
      </c>
      <c r="S97" s="172">
        <v>0</v>
      </c>
      <c r="T97" s="172">
        <v>0</v>
      </c>
      <c r="U97" s="172">
        <v>0</v>
      </c>
      <c r="V97" s="172">
        <v>0</v>
      </c>
      <c r="W97" s="172">
        <v>0</v>
      </c>
      <c r="X97" s="172">
        <v>0</v>
      </c>
      <c r="Y97" s="172">
        <v>0</v>
      </c>
      <c r="Z97" s="175"/>
      <c r="AA97" s="175"/>
      <c r="AB97" s="175"/>
      <c r="AC97" s="175"/>
      <c r="AD97" s="175"/>
      <c r="AE97" s="175"/>
      <c r="AF97" s="175"/>
      <c r="AG97" s="173"/>
      <c r="AH97" s="19"/>
      <c r="AI97" s="19"/>
      <c r="AJ97" s="19"/>
      <c r="AK97" s="19"/>
    </row>
    <row r="98" spans="1:37" outlineLevel="2" x14ac:dyDescent="0.2">
      <c r="A98" s="19"/>
      <c r="B98" s="19"/>
      <c r="C98" s="506" t="str">
        <f>IF(currentyear=RCPminus1,Tariffs!H57,C19)</f>
        <v>Large business time of use demand</v>
      </c>
      <c r="D98" s="505" t="str">
        <f>IF($C98=0,0,Tariffs!D57)</f>
        <v>Large Business LV</v>
      </c>
      <c r="E98" s="505" t="str">
        <f>IF($C98=0,0,Tariffs!E57)</f>
        <v>TAS89</v>
      </c>
      <c r="F98" s="505">
        <f>IF($C98=0,0,Tariffs!F57)</f>
        <v>0</v>
      </c>
      <c r="G98" s="505">
        <f>IF($C98=0,0,Tariffs!G57)</f>
        <v>0</v>
      </c>
      <c r="H98" s="58"/>
      <c r="I98" s="248">
        <v>216</v>
      </c>
      <c r="J98" s="248"/>
      <c r="K98" s="164">
        <f t="shared" si="5"/>
        <v>216</v>
      </c>
      <c r="L98" s="174"/>
      <c r="M98" s="172">
        <v>216</v>
      </c>
      <c r="N98" s="172">
        <v>239537040.88501796</v>
      </c>
      <c r="O98" s="172">
        <v>0</v>
      </c>
      <c r="P98" s="172">
        <v>0</v>
      </c>
      <c r="Q98" s="172">
        <v>0</v>
      </c>
      <c r="R98" s="172">
        <v>0</v>
      </c>
      <c r="S98" s="172">
        <v>16003361.954061069</v>
      </c>
      <c r="T98" s="172">
        <v>16308451.924273165</v>
      </c>
      <c r="U98" s="172">
        <v>0</v>
      </c>
      <c r="V98" s="172">
        <v>0</v>
      </c>
      <c r="W98" s="172">
        <v>0</v>
      </c>
      <c r="X98" s="172">
        <v>0</v>
      </c>
      <c r="Y98" s="172">
        <v>0</v>
      </c>
      <c r="Z98" s="175"/>
      <c r="AA98" s="175"/>
      <c r="AB98" s="175"/>
      <c r="AC98" s="175"/>
      <c r="AD98" s="175"/>
      <c r="AE98" s="175"/>
      <c r="AF98" s="175"/>
      <c r="AG98" s="173"/>
      <c r="AH98" s="19"/>
      <c r="AI98" s="19"/>
      <c r="AJ98" s="19"/>
      <c r="AK98" s="19"/>
    </row>
    <row r="99" spans="1:37" outlineLevel="2" x14ac:dyDescent="0.2">
      <c r="A99" s="19"/>
      <c r="B99" s="19"/>
      <c r="C99" s="506" t="str">
        <f>IF(currentyear=RCPminus1,Tariffs!H58,C20)</f>
        <v>Irrigation time of use consumption</v>
      </c>
      <c r="D99" s="505" t="str">
        <f>IF($C99=0,0,Tariffs!D58)</f>
        <v>Irrigation</v>
      </c>
      <c r="E99" s="505" t="str">
        <f>IF($C99=0,0,Tariffs!E58)</f>
        <v>TAS75</v>
      </c>
      <c r="F99" s="505">
        <f>IF($C99=0,0,Tariffs!F58)</f>
        <v>0</v>
      </c>
      <c r="G99" s="505">
        <f>IF($C99=0,0,Tariffs!G58)</f>
        <v>0</v>
      </c>
      <c r="H99" s="58"/>
      <c r="I99" s="248">
        <v>3990</v>
      </c>
      <c r="J99" s="248"/>
      <c r="K99" s="164">
        <f t="shared" si="5"/>
        <v>3990</v>
      </c>
      <c r="L99" s="174"/>
      <c r="M99" s="172">
        <v>3990</v>
      </c>
      <c r="N99" s="172">
        <v>0</v>
      </c>
      <c r="O99" s="172">
        <v>11024490.08170278</v>
      </c>
      <c r="P99" s="172">
        <v>49138415.684475943</v>
      </c>
      <c r="Q99" s="172">
        <v>74091570.939021289</v>
      </c>
      <c r="R99" s="172">
        <v>0</v>
      </c>
      <c r="S99" s="172">
        <v>0</v>
      </c>
      <c r="T99" s="172">
        <v>0</v>
      </c>
      <c r="U99" s="172">
        <v>0</v>
      </c>
      <c r="V99" s="172">
        <v>0</v>
      </c>
      <c r="W99" s="172">
        <v>0</v>
      </c>
      <c r="X99" s="172">
        <v>0</v>
      </c>
      <c r="Y99" s="172">
        <v>0</v>
      </c>
      <c r="Z99" s="175"/>
      <c r="AA99" s="175"/>
      <c r="AB99" s="175"/>
      <c r="AC99" s="175"/>
      <c r="AD99" s="175"/>
      <c r="AE99" s="175"/>
      <c r="AF99" s="175"/>
      <c r="AG99" s="173"/>
      <c r="AH99" s="19"/>
      <c r="AI99" s="19"/>
      <c r="AJ99" s="19"/>
      <c r="AK99" s="19"/>
    </row>
    <row r="100" spans="1:37" outlineLevel="2" x14ac:dyDescent="0.2">
      <c r="A100" s="19"/>
      <c r="B100" s="19"/>
      <c r="C100" s="506" t="str">
        <f>IF(currentyear=RCPminus1,Tariffs!H59,C21)</f>
        <v>Business HV kVA specified demand &lt;2MVA</v>
      </c>
      <c r="D100" s="505" t="str">
        <f>IF($C100=0,0,Tariffs!D59)</f>
        <v>Large Business HV</v>
      </c>
      <c r="E100" s="505" t="str">
        <f>IF($C100=0,0,Tariffs!E59)</f>
        <v>TASSDM</v>
      </c>
      <c r="F100" s="505">
        <f>IF($C100=0,0,Tariffs!F59)</f>
        <v>0</v>
      </c>
      <c r="G100" s="505">
        <f>IF($C100=0,0,Tariffs!G59)</f>
        <v>0</v>
      </c>
      <c r="H100" s="58"/>
      <c r="I100" s="248">
        <v>108</v>
      </c>
      <c r="J100" s="248"/>
      <c r="K100" s="164">
        <f t="shared" si="5"/>
        <v>108</v>
      </c>
      <c r="L100" s="174"/>
      <c r="M100" s="172">
        <v>108</v>
      </c>
      <c r="N100" s="172">
        <v>0</v>
      </c>
      <c r="O100" s="172">
        <v>83297689.207564205</v>
      </c>
      <c r="P100" s="172">
        <v>101211921.5273996</v>
      </c>
      <c r="Q100" s="172">
        <v>125312023.84275225</v>
      </c>
      <c r="R100" s="172">
        <v>0</v>
      </c>
      <c r="S100" s="172">
        <v>0</v>
      </c>
      <c r="T100" s="172">
        <v>0</v>
      </c>
      <c r="U100" s="172">
        <v>25436064.576346245</v>
      </c>
      <c r="V100" s="172">
        <v>160547.3968482184</v>
      </c>
      <c r="W100" s="172">
        <v>0</v>
      </c>
      <c r="X100" s="172">
        <v>0</v>
      </c>
      <c r="Y100" s="172">
        <v>0</v>
      </c>
      <c r="Z100" s="175"/>
      <c r="AA100" s="175"/>
      <c r="AB100" s="175"/>
      <c r="AC100" s="175"/>
      <c r="AD100" s="175"/>
      <c r="AE100" s="175"/>
      <c r="AF100" s="175"/>
      <c r="AG100" s="173"/>
      <c r="AH100" s="19"/>
      <c r="AI100" s="19"/>
      <c r="AJ100" s="19"/>
      <c r="AK100" s="19"/>
    </row>
    <row r="101" spans="1:37" outlineLevel="2" x14ac:dyDescent="0.2">
      <c r="A101" s="19"/>
      <c r="B101" s="19"/>
      <c r="C101" s="506" t="str">
        <f>IF(currentyear=RCPminus1,Tariffs!H60,C22)</f>
        <v>Business HV kVA specified demand &gt;2MVA</v>
      </c>
      <c r="D101" s="505" t="str">
        <f>IF($C101=0,0,Tariffs!D60)</f>
        <v>Large Business HV</v>
      </c>
      <c r="E101" s="505" t="str">
        <f>IF($C101=0,0,Tariffs!E60)</f>
        <v>TAS15*</v>
      </c>
      <c r="F101" s="505">
        <f>IF($C101=0,0,Tariffs!F60)</f>
        <v>0</v>
      </c>
      <c r="G101" s="505">
        <f>IF($C101=0,0,Tariffs!G60)</f>
        <v>0</v>
      </c>
      <c r="H101" s="58"/>
      <c r="I101" s="248">
        <v>0</v>
      </c>
      <c r="J101" s="248"/>
      <c r="K101" s="164">
        <f t="shared" si="5"/>
        <v>0</v>
      </c>
      <c r="L101" s="174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5"/>
      <c r="AA101" s="175"/>
      <c r="AB101" s="175"/>
      <c r="AC101" s="175"/>
      <c r="AD101" s="175"/>
      <c r="AE101" s="175"/>
      <c r="AF101" s="175"/>
      <c r="AG101" s="173"/>
      <c r="AH101" s="19"/>
      <c r="AI101" s="19"/>
      <c r="AJ101" s="19"/>
      <c r="AK101" s="19"/>
    </row>
    <row r="102" spans="1:37" outlineLevel="2" x14ac:dyDescent="0.2">
      <c r="A102" s="19"/>
      <c r="B102" s="19"/>
      <c r="C102" s="506" t="str">
        <f>IF(currentyear=RCPminus1,Tariffs!H61,C23)</f>
        <v>Uncontrolled low voltage heating and hot water</v>
      </c>
      <c r="D102" s="505" t="str">
        <f>IF($C102=0,0,Tariffs!D61)</f>
        <v>Uncontrolled energy</v>
      </c>
      <c r="E102" s="505" t="str">
        <f>IF($C102=0,0,Tariffs!E61)</f>
        <v>TAS41</v>
      </c>
      <c r="F102" s="505">
        <f>IF($C102=0,0,Tariffs!F61)</f>
        <v>0</v>
      </c>
      <c r="G102" s="505">
        <f>IF($C102=0,0,Tariffs!G61)</f>
        <v>0</v>
      </c>
      <c r="H102" s="58"/>
      <c r="I102" s="248">
        <v>203265.28727857553</v>
      </c>
      <c r="J102" s="248"/>
      <c r="K102" s="164">
        <f t="shared" si="5"/>
        <v>203265.28727857553</v>
      </c>
      <c r="L102" s="174"/>
      <c r="M102" s="172">
        <v>203265.28727857553</v>
      </c>
      <c r="N102" s="172">
        <v>896873280.40335822</v>
      </c>
      <c r="O102" s="172">
        <v>0</v>
      </c>
      <c r="P102" s="172">
        <v>0</v>
      </c>
      <c r="Q102" s="172">
        <v>0</v>
      </c>
      <c r="R102" s="172">
        <v>0</v>
      </c>
      <c r="S102" s="172">
        <v>0</v>
      </c>
      <c r="T102" s="172">
        <v>0</v>
      </c>
      <c r="U102" s="172">
        <v>0</v>
      </c>
      <c r="V102" s="172">
        <v>0</v>
      </c>
      <c r="W102" s="172">
        <v>0</v>
      </c>
      <c r="X102" s="172">
        <v>0</v>
      </c>
      <c r="Y102" s="172">
        <v>0</v>
      </c>
      <c r="Z102" s="175"/>
      <c r="AA102" s="175"/>
      <c r="AB102" s="175"/>
      <c r="AC102" s="175"/>
      <c r="AD102" s="175"/>
      <c r="AE102" s="175"/>
      <c r="AF102" s="175"/>
      <c r="AG102" s="173"/>
      <c r="AH102" s="19"/>
      <c r="AI102" s="19"/>
      <c r="AJ102" s="19"/>
      <c r="AK102" s="19"/>
    </row>
    <row r="103" spans="1:37" outlineLevel="2" x14ac:dyDescent="0.2">
      <c r="A103" s="19"/>
      <c r="B103" s="19"/>
      <c r="C103" s="506" t="str">
        <f>IF(currentyear=RCPminus1,Tariffs!H62,C24)</f>
        <v>Controlled low voltage night period only</v>
      </c>
      <c r="D103" s="505" t="str">
        <f>IF($C103=0,0,Tariffs!D62)</f>
        <v>Controlled energy</v>
      </c>
      <c r="E103" s="505" t="str">
        <f>IF($C103=0,0,Tariffs!E62)</f>
        <v>TAS63</v>
      </c>
      <c r="F103" s="505">
        <f>IF($C103=0,0,Tariffs!F62)</f>
        <v>0</v>
      </c>
      <c r="G103" s="505">
        <f>IF($C103=0,0,Tariffs!G62)</f>
        <v>0</v>
      </c>
      <c r="H103" s="58"/>
      <c r="I103" s="248">
        <v>521.71907438827566</v>
      </c>
      <c r="J103" s="248"/>
      <c r="K103" s="164">
        <f t="shared" si="5"/>
        <v>521.71907438827566</v>
      </c>
      <c r="L103" s="174"/>
      <c r="M103" s="172">
        <v>521.71907438827566</v>
      </c>
      <c r="N103" s="172">
        <v>1412972.169829641</v>
      </c>
      <c r="O103" s="172">
        <v>0</v>
      </c>
      <c r="P103" s="172">
        <v>0</v>
      </c>
      <c r="Q103" s="172">
        <v>0</v>
      </c>
      <c r="R103" s="172">
        <v>0</v>
      </c>
      <c r="S103" s="172">
        <v>0</v>
      </c>
      <c r="T103" s="172">
        <v>0</v>
      </c>
      <c r="U103" s="172">
        <v>0</v>
      </c>
      <c r="V103" s="172">
        <v>0</v>
      </c>
      <c r="W103" s="172">
        <v>0</v>
      </c>
      <c r="X103" s="172">
        <v>0</v>
      </c>
      <c r="Y103" s="172">
        <v>0</v>
      </c>
      <c r="Z103" s="175"/>
      <c r="AA103" s="175"/>
      <c r="AB103" s="175"/>
      <c r="AC103" s="175"/>
      <c r="AD103" s="175"/>
      <c r="AE103" s="175"/>
      <c r="AF103" s="175"/>
      <c r="AG103" s="173"/>
      <c r="AH103" s="19"/>
      <c r="AI103" s="19"/>
      <c r="AJ103" s="19"/>
      <c r="AK103" s="19"/>
    </row>
    <row r="104" spans="1:37" outlineLevel="2" x14ac:dyDescent="0.2">
      <c r="A104" s="19"/>
      <c r="B104" s="19"/>
      <c r="C104" s="506" t="str">
        <f>IF(currentyear=RCPminus1,Tariffs!H63,C25)</f>
        <v>Controlled low voltage off peak with afternoon boost</v>
      </c>
      <c r="D104" s="505" t="str">
        <f>IF($C104=0,0,Tariffs!D63)</f>
        <v>Controlled energy</v>
      </c>
      <c r="E104" s="505" t="str">
        <f>IF($C104=0,0,Tariffs!E63)</f>
        <v>TAS61</v>
      </c>
      <c r="F104" s="505">
        <f>IF($C104=0,0,Tariffs!F63)</f>
        <v>0</v>
      </c>
      <c r="G104" s="505">
        <f>IF($C104=0,0,Tariffs!G63)</f>
        <v>0</v>
      </c>
      <c r="H104" s="58"/>
      <c r="I104" s="248">
        <v>19281.595604758975</v>
      </c>
      <c r="J104" s="248"/>
      <c r="K104" s="164">
        <f t="shared" si="5"/>
        <v>19281.595604758975</v>
      </c>
      <c r="L104" s="174"/>
      <c r="M104" s="172">
        <v>19281.595604758975</v>
      </c>
      <c r="N104" s="172">
        <v>34298022.107755855</v>
      </c>
      <c r="O104" s="172">
        <v>0</v>
      </c>
      <c r="P104" s="172">
        <v>0</v>
      </c>
      <c r="Q104" s="172">
        <v>0</v>
      </c>
      <c r="R104" s="172">
        <v>0</v>
      </c>
      <c r="S104" s="172">
        <v>0</v>
      </c>
      <c r="T104" s="172">
        <v>0</v>
      </c>
      <c r="U104" s="172">
        <v>0</v>
      </c>
      <c r="V104" s="172">
        <v>0</v>
      </c>
      <c r="W104" s="172">
        <v>0</v>
      </c>
      <c r="X104" s="172">
        <v>0</v>
      </c>
      <c r="Y104" s="172">
        <v>0</v>
      </c>
      <c r="Z104" s="175"/>
      <c r="AA104" s="175"/>
      <c r="AB104" s="175"/>
      <c r="AC104" s="175"/>
      <c r="AD104" s="175"/>
      <c r="AE104" s="175"/>
      <c r="AF104" s="175"/>
      <c r="AG104" s="173"/>
      <c r="AH104" s="19"/>
      <c r="AI104" s="19"/>
      <c r="AJ104" s="19"/>
      <c r="AK104" s="19"/>
    </row>
    <row r="105" spans="1:37" outlineLevel="2" x14ac:dyDescent="0.2">
      <c r="A105" s="19"/>
      <c r="B105" s="19"/>
      <c r="C105" s="506" t="str">
        <f>IF(currentyear=RCPminus1,Tariffs!H64,C26)</f>
        <v>Unmetered supply general</v>
      </c>
      <c r="D105" s="505" t="str">
        <f>IF($C105=0,0,Tariffs!D64)</f>
        <v>Unmetered supplies</v>
      </c>
      <c r="E105" s="505" t="str">
        <f>IF($C105=0,0,Tariffs!E64)</f>
        <v>TASUMS</v>
      </c>
      <c r="F105" s="505">
        <f>IF($C105=0,0,Tariffs!F64)</f>
        <v>0</v>
      </c>
      <c r="G105" s="505">
        <f>IF($C105=0,0,Tariffs!G64)</f>
        <v>0</v>
      </c>
      <c r="H105" s="58"/>
      <c r="I105" s="248">
        <v>1826</v>
      </c>
      <c r="J105" s="248"/>
      <c r="K105" s="164">
        <f t="shared" si="5"/>
        <v>1826</v>
      </c>
      <c r="L105" s="174"/>
      <c r="M105" s="172">
        <v>1826</v>
      </c>
      <c r="N105" s="172">
        <v>7087102.7519397698</v>
      </c>
      <c r="O105" s="172">
        <v>0</v>
      </c>
      <c r="P105" s="172">
        <v>0</v>
      </c>
      <c r="Q105" s="172">
        <v>0</v>
      </c>
      <c r="R105" s="172">
        <v>0</v>
      </c>
      <c r="S105" s="172">
        <v>0</v>
      </c>
      <c r="T105" s="172">
        <v>0</v>
      </c>
      <c r="U105" s="172">
        <v>0</v>
      </c>
      <c r="V105" s="172">
        <v>0</v>
      </c>
      <c r="W105" s="172">
        <v>0</v>
      </c>
      <c r="X105" s="172">
        <v>0</v>
      </c>
      <c r="Y105" s="172">
        <v>0</v>
      </c>
      <c r="Z105" s="175"/>
      <c r="AA105" s="175"/>
      <c r="AB105" s="175"/>
      <c r="AC105" s="175"/>
      <c r="AD105" s="175"/>
      <c r="AE105" s="175"/>
      <c r="AF105" s="175"/>
      <c r="AG105" s="173"/>
      <c r="AH105" s="19"/>
      <c r="AI105" s="19"/>
      <c r="AJ105" s="19"/>
      <c r="AK105" s="19"/>
    </row>
    <row r="106" spans="1:37" outlineLevel="2" x14ac:dyDescent="0.2">
      <c r="A106" s="19"/>
      <c r="B106" s="19"/>
      <c r="C106" s="506" t="str">
        <f>IF(currentyear=RCPminus1,Tariffs!H65,C27)</f>
        <v>Street lighting</v>
      </c>
      <c r="D106" s="505" t="str">
        <f>IF($C106=0,0,Tariffs!D65)</f>
        <v>Street lighting</v>
      </c>
      <c r="E106" s="505" t="str">
        <f>IF($C106=0,0,Tariffs!E65)</f>
        <v>TASUMSSL</v>
      </c>
      <c r="F106" s="505">
        <f>IF($C106=0,0,Tariffs!F65)</f>
        <v>0</v>
      </c>
      <c r="G106" s="505">
        <f>IF($C106=0,0,Tariffs!G65)</f>
        <v>0</v>
      </c>
      <c r="H106" s="58"/>
      <c r="I106" s="248">
        <v>0</v>
      </c>
      <c r="J106" s="248"/>
      <c r="K106" s="164">
        <f t="shared" si="5"/>
        <v>0</v>
      </c>
      <c r="L106" s="174"/>
      <c r="M106" s="172">
        <v>0</v>
      </c>
      <c r="N106" s="172">
        <v>0</v>
      </c>
      <c r="O106" s="172">
        <v>0</v>
      </c>
      <c r="P106" s="172">
        <v>0</v>
      </c>
      <c r="Q106" s="172">
        <v>0</v>
      </c>
      <c r="R106" s="172">
        <v>0</v>
      </c>
      <c r="S106" s="172">
        <v>0</v>
      </c>
      <c r="T106" s="172">
        <v>0</v>
      </c>
      <c r="U106" s="172">
        <v>0</v>
      </c>
      <c r="V106" s="172">
        <v>0</v>
      </c>
      <c r="W106" s="172">
        <v>0</v>
      </c>
      <c r="X106" s="172">
        <v>0</v>
      </c>
      <c r="Y106" s="172">
        <v>3748016.8646945246</v>
      </c>
      <c r="Z106" s="175"/>
      <c r="AA106" s="175"/>
      <c r="AB106" s="175"/>
      <c r="AC106" s="175"/>
      <c r="AD106" s="175"/>
      <c r="AE106" s="175"/>
      <c r="AF106" s="175"/>
      <c r="AG106" s="173"/>
      <c r="AH106" s="19"/>
      <c r="AI106" s="19"/>
      <c r="AJ106" s="19"/>
      <c r="AK106" s="19"/>
    </row>
    <row r="107" spans="1:37" outlineLevel="2" x14ac:dyDescent="0.2">
      <c r="A107" s="19"/>
      <c r="B107" s="19"/>
      <c r="C107" s="506">
        <f>IF(currentyear=RCPminus1,Tariffs!H66,C28)</f>
        <v>0</v>
      </c>
      <c r="D107" s="505">
        <f>IF($C107=0,0,Tariffs!D66)</f>
        <v>0</v>
      </c>
      <c r="E107" s="505">
        <f>IF($C107=0,0,Tariffs!E66)</f>
        <v>0</v>
      </c>
      <c r="F107" s="505">
        <f>IF($C107=0,0,Tariffs!F66)</f>
        <v>0</v>
      </c>
      <c r="G107" s="505">
        <f>IF($C107=0,0,Tariffs!G66)</f>
        <v>0</v>
      </c>
      <c r="H107" s="58"/>
      <c r="I107" s="248">
        <v>0</v>
      </c>
      <c r="J107" s="248"/>
      <c r="K107" s="164">
        <f t="shared" si="5"/>
        <v>0</v>
      </c>
      <c r="L107" s="174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3"/>
      <c r="AH107" s="19"/>
      <c r="AI107" s="19"/>
      <c r="AJ107" s="19"/>
      <c r="AK107" s="19"/>
    </row>
    <row r="108" spans="1:37" hidden="1" outlineLevel="3" x14ac:dyDescent="0.2">
      <c r="A108" s="19"/>
      <c r="B108" s="19"/>
      <c r="C108" s="506">
        <f>IF(currentyear=RCPminus1,Tariffs!H67,C29)</f>
        <v>0</v>
      </c>
      <c r="D108" s="505">
        <f>IF($C108=0,0,Tariffs!D67)</f>
        <v>0</v>
      </c>
      <c r="E108" s="505">
        <f>IF($C108=0,0,Tariffs!E67)</f>
        <v>0</v>
      </c>
      <c r="F108" s="505">
        <f>IF($C108=0,0,Tariffs!F67)</f>
        <v>0</v>
      </c>
      <c r="G108" s="505">
        <f>IF($C108=0,0,Tariffs!G67)</f>
        <v>0</v>
      </c>
      <c r="H108" s="58"/>
      <c r="I108" s="248">
        <v>0</v>
      </c>
      <c r="J108" s="248"/>
      <c r="K108" s="164">
        <f t="shared" si="5"/>
        <v>0</v>
      </c>
      <c r="L108" s="174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3"/>
      <c r="AH108" s="19"/>
      <c r="AI108" s="19"/>
      <c r="AJ108" s="19"/>
      <c r="AK108" s="19"/>
    </row>
    <row r="109" spans="1:37" hidden="1" outlineLevel="3" x14ac:dyDescent="0.2">
      <c r="A109" s="19"/>
      <c r="B109" s="19"/>
      <c r="C109" s="506">
        <f>IF(currentyear=RCPminus1,Tariffs!H68,C30)</f>
        <v>0</v>
      </c>
      <c r="D109" s="505">
        <f>IF($C109=0,0,Tariffs!D68)</f>
        <v>0</v>
      </c>
      <c r="E109" s="505">
        <f>IF($C109=0,0,Tariffs!E68)</f>
        <v>0</v>
      </c>
      <c r="F109" s="505">
        <f>IF($C109=0,0,Tariffs!F68)</f>
        <v>0</v>
      </c>
      <c r="G109" s="505">
        <f>IF($C109=0,0,Tariffs!G68)</f>
        <v>0</v>
      </c>
      <c r="H109" s="58"/>
      <c r="I109" s="248">
        <v>0</v>
      </c>
      <c r="J109" s="248"/>
      <c r="K109" s="164">
        <f t="shared" si="5"/>
        <v>0</v>
      </c>
      <c r="L109" s="174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3"/>
      <c r="AH109" s="19"/>
      <c r="AI109" s="19"/>
      <c r="AJ109" s="19"/>
      <c r="AK109" s="19"/>
    </row>
    <row r="110" spans="1:37" hidden="1" outlineLevel="3" x14ac:dyDescent="0.2">
      <c r="A110" s="19"/>
      <c r="B110" s="19"/>
      <c r="C110" s="506">
        <f>IF(currentyear=RCPminus1,Tariffs!H69,C31)</f>
        <v>0</v>
      </c>
      <c r="D110" s="505">
        <f>IF($C110=0,0,Tariffs!D69)</f>
        <v>0</v>
      </c>
      <c r="E110" s="505">
        <f>IF($C110=0,0,Tariffs!E69)</f>
        <v>0</v>
      </c>
      <c r="F110" s="505">
        <f>IF($C110=0,0,Tariffs!F69)</f>
        <v>0</v>
      </c>
      <c r="G110" s="505">
        <f>IF($C110=0,0,Tariffs!G69)</f>
        <v>0</v>
      </c>
      <c r="H110" s="58"/>
      <c r="I110" s="248">
        <v>0</v>
      </c>
      <c r="J110" s="248"/>
      <c r="K110" s="164">
        <f t="shared" si="5"/>
        <v>0</v>
      </c>
      <c r="L110" s="174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3"/>
      <c r="AH110" s="19"/>
      <c r="AI110" s="19"/>
      <c r="AJ110" s="19"/>
      <c r="AK110" s="19"/>
    </row>
    <row r="111" spans="1:37" hidden="1" outlineLevel="3" x14ac:dyDescent="0.2">
      <c r="A111" s="19"/>
      <c r="B111" s="19"/>
      <c r="C111" s="506">
        <f>IF(currentyear=RCPminus1,Tariffs!H70,C32)</f>
        <v>0</v>
      </c>
      <c r="D111" s="505">
        <f>IF($C111=0,0,Tariffs!D70)</f>
        <v>0</v>
      </c>
      <c r="E111" s="505">
        <f>IF($C111=0,0,Tariffs!E70)</f>
        <v>0</v>
      </c>
      <c r="F111" s="505">
        <f>IF($C111=0,0,Tariffs!F70)</f>
        <v>0</v>
      </c>
      <c r="G111" s="505">
        <f>IF($C111=0,0,Tariffs!G70)</f>
        <v>0</v>
      </c>
      <c r="H111" s="58"/>
      <c r="I111" s="248">
        <v>0</v>
      </c>
      <c r="J111" s="248"/>
      <c r="K111" s="164">
        <f t="shared" si="5"/>
        <v>0</v>
      </c>
      <c r="L111" s="174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3"/>
      <c r="AH111" s="19"/>
      <c r="AI111" s="19"/>
      <c r="AJ111" s="19"/>
      <c r="AK111" s="19"/>
    </row>
    <row r="112" spans="1:37" hidden="1" outlineLevel="3" x14ac:dyDescent="0.2">
      <c r="A112" s="19"/>
      <c r="B112" s="19"/>
      <c r="C112" s="506">
        <f>IF(currentyear=RCPminus1,Tariffs!H71,C33)</f>
        <v>0</v>
      </c>
      <c r="D112" s="505">
        <f>IF($C112=0,0,Tariffs!D71)</f>
        <v>0</v>
      </c>
      <c r="E112" s="505">
        <f>IF($C112=0,0,Tariffs!E71)</f>
        <v>0</v>
      </c>
      <c r="F112" s="505">
        <f>IF($C112=0,0,Tariffs!F71)</f>
        <v>0</v>
      </c>
      <c r="G112" s="505">
        <f>IF($C112=0,0,Tariffs!G71)</f>
        <v>0</v>
      </c>
      <c r="H112" s="58"/>
      <c r="I112" s="248">
        <v>0</v>
      </c>
      <c r="J112" s="248"/>
      <c r="K112" s="164">
        <f t="shared" si="5"/>
        <v>0</v>
      </c>
      <c r="L112" s="174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3"/>
      <c r="AH112" s="19"/>
      <c r="AI112" s="19"/>
      <c r="AJ112" s="19"/>
      <c r="AK112" s="19"/>
    </row>
    <row r="113" spans="1:37" hidden="1" outlineLevel="3" x14ac:dyDescent="0.2">
      <c r="A113" s="19"/>
      <c r="B113" s="19"/>
      <c r="C113" s="506">
        <f>IF(currentyear=RCPminus1,Tariffs!H72,C34)</f>
        <v>0</v>
      </c>
      <c r="D113" s="505">
        <f>IF($C113=0,0,Tariffs!D72)</f>
        <v>0</v>
      </c>
      <c r="E113" s="505">
        <f>IF($C113=0,0,Tariffs!E72)</f>
        <v>0</v>
      </c>
      <c r="F113" s="505">
        <f>IF($C113=0,0,Tariffs!F72)</f>
        <v>0</v>
      </c>
      <c r="G113" s="505">
        <f>IF($C113=0,0,Tariffs!G72)</f>
        <v>0</v>
      </c>
      <c r="H113" s="58"/>
      <c r="I113" s="248">
        <v>0</v>
      </c>
      <c r="J113" s="248"/>
      <c r="K113" s="164">
        <f t="shared" si="5"/>
        <v>0</v>
      </c>
      <c r="L113" s="174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3"/>
      <c r="AH113" s="19"/>
      <c r="AI113" s="19"/>
      <c r="AJ113" s="19"/>
      <c r="AK113" s="19"/>
    </row>
    <row r="114" spans="1:37" hidden="1" outlineLevel="3" x14ac:dyDescent="0.2">
      <c r="A114" s="19"/>
      <c r="B114" s="19"/>
      <c r="C114" s="506">
        <f>IF(currentyear=RCPminus1,Tariffs!H73,C35)</f>
        <v>0</v>
      </c>
      <c r="D114" s="505">
        <f>IF($C114=0,0,Tariffs!D73)</f>
        <v>0</v>
      </c>
      <c r="E114" s="505">
        <f>IF($C114=0,0,Tariffs!E73)</f>
        <v>0</v>
      </c>
      <c r="F114" s="505">
        <f>IF($C114=0,0,Tariffs!F73)</f>
        <v>0</v>
      </c>
      <c r="G114" s="505">
        <f>IF($C114=0,0,Tariffs!G73)</f>
        <v>0</v>
      </c>
      <c r="H114" s="58"/>
      <c r="I114" s="248">
        <v>0</v>
      </c>
      <c r="J114" s="248"/>
      <c r="K114" s="164">
        <f t="shared" si="5"/>
        <v>0</v>
      </c>
      <c r="L114" s="174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3"/>
      <c r="AH114" s="19"/>
      <c r="AI114" s="19"/>
      <c r="AJ114" s="19"/>
      <c r="AK114" s="19"/>
    </row>
    <row r="115" spans="1:37" hidden="1" outlineLevel="3" x14ac:dyDescent="0.2">
      <c r="A115" s="19"/>
      <c r="B115" s="19"/>
      <c r="C115" s="506">
        <f>IF(currentyear=RCPminus1,Tariffs!H74,C36)</f>
        <v>0</v>
      </c>
      <c r="D115" s="505">
        <f>IF($C115=0,0,Tariffs!D74)</f>
        <v>0</v>
      </c>
      <c r="E115" s="505">
        <f>IF($C115=0,0,Tariffs!E74)</f>
        <v>0</v>
      </c>
      <c r="F115" s="505">
        <f>IF($C115=0,0,Tariffs!F74)</f>
        <v>0</v>
      </c>
      <c r="G115" s="505">
        <f>IF($C115=0,0,Tariffs!G74)</f>
        <v>0</v>
      </c>
      <c r="H115" s="58"/>
      <c r="I115" s="248">
        <v>0</v>
      </c>
      <c r="J115" s="248"/>
      <c r="K115" s="164">
        <f t="shared" si="5"/>
        <v>0</v>
      </c>
      <c r="L115" s="174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3"/>
      <c r="AH115" s="19"/>
      <c r="AI115" s="19"/>
      <c r="AJ115" s="19"/>
      <c r="AK115" s="19"/>
    </row>
    <row r="116" spans="1:37" hidden="1" outlineLevel="3" x14ac:dyDescent="0.2">
      <c r="A116" s="19"/>
      <c r="B116" s="19"/>
      <c r="C116" s="506">
        <f>IF(currentyear=RCPminus1,Tariffs!H75,C37)</f>
        <v>0</v>
      </c>
      <c r="D116" s="505">
        <f>IF($C116=0,0,Tariffs!D75)</f>
        <v>0</v>
      </c>
      <c r="E116" s="505">
        <f>IF($C116=0,0,Tariffs!E75)</f>
        <v>0</v>
      </c>
      <c r="F116" s="505">
        <f>IF($C116=0,0,Tariffs!F75)</f>
        <v>0</v>
      </c>
      <c r="G116" s="505">
        <f>IF($C116=0,0,Tariffs!G75)</f>
        <v>0</v>
      </c>
      <c r="H116" s="58"/>
      <c r="I116" s="248">
        <v>0</v>
      </c>
      <c r="J116" s="248"/>
      <c r="K116" s="164">
        <f t="shared" si="5"/>
        <v>0</v>
      </c>
      <c r="L116" s="174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3"/>
      <c r="AH116" s="19"/>
      <c r="AI116" s="19"/>
      <c r="AJ116" s="19"/>
      <c r="AK116" s="19"/>
    </row>
    <row r="117" spans="1:37" hidden="1" outlineLevel="3" x14ac:dyDescent="0.2">
      <c r="A117" s="19"/>
      <c r="B117" s="19"/>
      <c r="C117" s="506">
        <f>IF(currentyear=RCPminus1,Tariffs!H76,C38)</f>
        <v>0</v>
      </c>
      <c r="D117" s="505">
        <f>IF($C117=0,0,Tariffs!D76)</f>
        <v>0</v>
      </c>
      <c r="E117" s="505">
        <f>IF($C117=0,0,Tariffs!E76)</f>
        <v>0</v>
      </c>
      <c r="F117" s="505">
        <f>IF($C117=0,0,Tariffs!F76)</f>
        <v>0</v>
      </c>
      <c r="G117" s="505">
        <f>IF($C117=0,0,Tariffs!G76)</f>
        <v>0</v>
      </c>
      <c r="H117" s="58"/>
      <c r="I117" s="248">
        <v>0</v>
      </c>
      <c r="J117" s="248"/>
      <c r="K117" s="164">
        <f t="shared" si="5"/>
        <v>0</v>
      </c>
      <c r="L117" s="174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3"/>
      <c r="AH117" s="19"/>
      <c r="AI117" s="19"/>
      <c r="AJ117" s="19"/>
      <c r="AK117" s="19"/>
    </row>
    <row r="118" spans="1:37" hidden="1" outlineLevel="3" x14ac:dyDescent="0.2">
      <c r="A118" s="19"/>
      <c r="B118" s="19"/>
      <c r="C118" s="506">
        <f>IF(currentyear=RCPminus1,Tariffs!H77,C39)</f>
        <v>0</v>
      </c>
      <c r="D118" s="505">
        <f>IF($C118=0,0,Tariffs!D77)</f>
        <v>0</v>
      </c>
      <c r="E118" s="505">
        <f>IF($C118=0,0,Tariffs!E77)</f>
        <v>0</v>
      </c>
      <c r="F118" s="505">
        <f>IF($C118=0,0,Tariffs!F77)</f>
        <v>0</v>
      </c>
      <c r="G118" s="505">
        <f>IF($C118=0,0,Tariffs!G77)</f>
        <v>0</v>
      </c>
      <c r="H118" s="58"/>
      <c r="I118" s="248">
        <v>0</v>
      </c>
      <c r="J118" s="248"/>
      <c r="K118" s="164">
        <f t="shared" si="5"/>
        <v>0</v>
      </c>
      <c r="L118" s="174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3"/>
      <c r="AH118" s="19"/>
      <c r="AI118" s="19"/>
      <c r="AJ118" s="19"/>
      <c r="AK118" s="19"/>
    </row>
    <row r="119" spans="1:37" hidden="1" outlineLevel="3" x14ac:dyDescent="0.2">
      <c r="A119" s="19"/>
      <c r="B119" s="19"/>
      <c r="C119" s="506">
        <f>IF(currentyear=RCPminus1,Tariffs!H78,C40)</f>
        <v>0</v>
      </c>
      <c r="D119" s="505">
        <f>IF($C119=0,0,Tariffs!D78)</f>
        <v>0</v>
      </c>
      <c r="E119" s="505">
        <f>IF($C119=0,0,Tariffs!E78)</f>
        <v>0</v>
      </c>
      <c r="F119" s="505">
        <f>IF($C119=0,0,Tariffs!F78)</f>
        <v>0</v>
      </c>
      <c r="G119" s="505">
        <f>IF($C119=0,0,Tariffs!G78)</f>
        <v>0</v>
      </c>
      <c r="H119" s="58"/>
      <c r="I119" s="248">
        <v>0</v>
      </c>
      <c r="J119" s="248"/>
      <c r="K119" s="164">
        <f t="shared" ref="K119:K150" si="6">SUMIF($M$6:$AF$6,"units",M119:AF119)</f>
        <v>0</v>
      </c>
      <c r="L119" s="174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3"/>
      <c r="AH119" s="19"/>
      <c r="AI119" s="19"/>
      <c r="AJ119" s="19"/>
      <c r="AK119" s="19"/>
    </row>
    <row r="120" spans="1:37" hidden="1" outlineLevel="3" x14ac:dyDescent="0.2">
      <c r="A120" s="19"/>
      <c r="B120" s="19"/>
      <c r="C120" s="506">
        <f>IF(currentyear=RCPminus1,Tariffs!H79,C41)</f>
        <v>0</v>
      </c>
      <c r="D120" s="505">
        <f>IF($C120=0,0,Tariffs!D79)</f>
        <v>0</v>
      </c>
      <c r="E120" s="505">
        <f>IF($C120=0,0,Tariffs!E79)</f>
        <v>0</v>
      </c>
      <c r="F120" s="505">
        <f>IF($C120=0,0,Tariffs!F79)</f>
        <v>0</v>
      </c>
      <c r="G120" s="505">
        <f>IF($C120=0,0,Tariffs!G79)</f>
        <v>0</v>
      </c>
      <c r="H120" s="58"/>
      <c r="I120" s="248">
        <v>0</v>
      </c>
      <c r="J120" s="248"/>
      <c r="K120" s="164">
        <f t="shared" si="6"/>
        <v>0</v>
      </c>
      <c r="L120" s="174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3"/>
      <c r="AH120" s="19"/>
      <c r="AI120" s="19"/>
      <c r="AJ120" s="19"/>
      <c r="AK120" s="19"/>
    </row>
    <row r="121" spans="1:37" hidden="1" outlineLevel="3" x14ac:dyDescent="0.2">
      <c r="A121" s="19"/>
      <c r="B121" s="19"/>
      <c r="C121" s="506">
        <f>IF(currentyear=RCPminus1,Tariffs!H80,C42)</f>
        <v>0</v>
      </c>
      <c r="D121" s="505">
        <f>IF($C121=0,0,Tariffs!D80)</f>
        <v>0</v>
      </c>
      <c r="E121" s="505">
        <f>IF($C121=0,0,Tariffs!E80)</f>
        <v>0</v>
      </c>
      <c r="F121" s="505">
        <f>IF($C121=0,0,Tariffs!F80)</f>
        <v>0</v>
      </c>
      <c r="G121" s="505">
        <f>IF($C121=0,0,Tariffs!G80)</f>
        <v>0</v>
      </c>
      <c r="H121" s="58"/>
      <c r="I121" s="248">
        <v>0</v>
      </c>
      <c r="J121" s="248"/>
      <c r="K121" s="164">
        <f t="shared" si="6"/>
        <v>0</v>
      </c>
      <c r="L121" s="174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3"/>
      <c r="AH121" s="19"/>
      <c r="AI121" s="19"/>
      <c r="AJ121" s="19"/>
      <c r="AK121" s="19"/>
    </row>
    <row r="122" spans="1:37" hidden="1" outlineLevel="3" x14ac:dyDescent="0.2">
      <c r="A122" s="19"/>
      <c r="B122" s="19"/>
      <c r="C122" s="506">
        <f>IF(currentyear=RCPminus1,Tariffs!H81,C43)</f>
        <v>0</v>
      </c>
      <c r="D122" s="505">
        <f>IF($C122=0,0,Tariffs!D81)</f>
        <v>0</v>
      </c>
      <c r="E122" s="505">
        <f>IF($C122=0,0,Tariffs!E81)</f>
        <v>0</v>
      </c>
      <c r="F122" s="505">
        <f>IF($C122=0,0,Tariffs!F81)</f>
        <v>0</v>
      </c>
      <c r="G122" s="505">
        <f>IF($C122=0,0,Tariffs!G81)</f>
        <v>0</v>
      </c>
      <c r="H122" s="58"/>
      <c r="I122" s="248">
        <v>0</v>
      </c>
      <c r="J122" s="248"/>
      <c r="K122" s="164">
        <f t="shared" si="6"/>
        <v>0</v>
      </c>
      <c r="L122" s="174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3"/>
      <c r="AH122" s="19"/>
      <c r="AI122" s="19"/>
      <c r="AJ122" s="19"/>
      <c r="AK122" s="19"/>
    </row>
    <row r="123" spans="1:37" hidden="1" outlineLevel="3" x14ac:dyDescent="0.2">
      <c r="A123" s="19"/>
      <c r="B123" s="19"/>
      <c r="C123" s="506">
        <f>IF(currentyear=RCPminus1,Tariffs!H82,C44)</f>
        <v>0</v>
      </c>
      <c r="D123" s="505">
        <f>IF($C123=0,0,Tariffs!D82)</f>
        <v>0</v>
      </c>
      <c r="E123" s="505">
        <f>IF($C123=0,0,Tariffs!E82)</f>
        <v>0</v>
      </c>
      <c r="F123" s="505">
        <f>IF($C123=0,0,Tariffs!F82)</f>
        <v>0</v>
      </c>
      <c r="G123" s="505">
        <f>IF($C123=0,0,Tariffs!G82)</f>
        <v>0</v>
      </c>
      <c r="H123" s="58"/>
      <c r="I123" s="248">
        <v>0</v>
      </c>
      <c r="J123" s="248"/>
      <c r="K123" s="164">
        <f t="shared" si="6"/>
        <v>0</v>
      </c>
      <c r="L123" s="174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3"/>
      <c r="AH123" s="19"/>
      <c r="AI123" s="19"/>
      <c r="AJ123" s="19"/>
      <c r="AK123" s="19"/>
    </row>
    <row r="124" spans="1:37" hidden="1" outlineLevel="3" x14ac:dyDescent="0.2">
      <c r="A124" s="19"/>
      <c r="B124" s="19"/>
      <c r="C124" s="506">
        <f>IF(currentyear=RCPminus1,Tariffs!H83,C45)</f>
        <v>0</v>
      </c>
      <c r="D124" s="505">
        <f>IF($C124=0,0,Tariffs!D83)</f>
        <v>0</v>
      </c>
      <c r="E124" s="505">
        <f>IF($C124=0,0,Tariffs!E83)</f>
        <v>0</v>
      </c>
      <c r="F124" s="505">
        <f>IF($C124=0,0,Tariffs!F83)</f>
        <v>0</v>
      </c>
      <c r="G124" s="505">
        <f>IF($C124=0,0,Tariffs!G83)</f>
        <v>0</v>
      </c>
      <c r="H124" s="58"/>
      <c r="I124" s="248">
        <v>0</v>
      </c>
      <c r="J124" s="248"/>
      <c r="K124" s="164">
        <f t="shared" si="6"/>
        <v>0</v>
      </c>
      <c r="L124" s="174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3"/>
      <c r="AH124" s="19"/>
      <c r="AI124" s="19"/>
      <c r="AJ124" s="19"/>
      <c r="AK124" s="19"/>
    </row>
    <row r="125" spans="1:37" hidden="1" outlineLevel="3" x14ac:dyDescent="0.2">
      <c r="A125" s="19"/>
      <c r="B125" s="19"/>
      <c r="C125" s="506">
        <f>IF(currentyear=RCPminus1,Tariffs!H84,C46)</f>
        <v>0</v>
      </c>
      <c r="D125" s="505">
        <f>IF($C125=0,0,Tariffs!D84)</f>
        <v>0</v>
      </c>
      <c r="E125" s="505">
        <f>IF($C125=0,0,Tariffs!E84)</f>
        <v>0</v>
      </c>
      <c r="F125" s="505">
        <f>IF($C125=0,0,Tariffs!F84)</f>
        <v>0</v>
      </c>
      <c r="G125" s="505">
        <f>IF($C125=0,0,Tariffs!G84)</f>
        <v>0</v>
      </c>
      <c r="H125" s="58"/>
      <c r="I125" s="248">
        <v>0</v>
      </c>
      <c r="J125" s="248"/>
      <c r="K125" s="164">
        <f t="shared" si="6"/>
        <v>0</v>
      </c>
      <c r="L125" s="174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3"/>
      <c r="AH125" s="19"/>
      <c r="AI125" s="19"/>
      <c r="AJ125" s="19"/>
      <c r="AK125" s="19"/>
    </row>
    <row r="126" spans="1:37" hidden="1" outlineLevel="3" x14ac:dyDescent="0.2">
      <c r="A126" s="19"/>
      <c r="B126" s="19"/>
      <c r="C126" s="506">
        <f>IF(currentyear=RCPminus1,Tariffs!H85,C47)</f>
        <v>0</v>
      </c>
      <c r="D126" s="505">
        <f>IF($C126=0,0,Tariffs!D85)</f>
        <v>0</v>
      </c>
      <c r="E126" s="505">
        <f>IF($C126=0,0,Tariffs!E85)</f>
        <v>0</v>
      </c>
      <c r="F126" s="505">
        <f>IF($C126=0,0,Tariffs!F85)</f>
        <v>0</v>
      </c>
      <c r="G126" s="505">
        <f>IF($C126=0,0,Tariffs!G85)</f>
        <v>0</v>
      </c>
      <c r="H126" s="58"/>
      <c r="I126" s="248">
        <v>0</v>
      </c>
      <c r="J126" s="248"/>
      <c r="K126" s="164">
        <f t="shared" si="6"/>
        <v>0</v>
      </c>
      <c r="L126" s="174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3"/>
      <c r="AH126" s="19"/>
      <c r="AI126" s="19"/>
      <c r="AJ126" s="19"/>
      <c r="AK126" s="19"/>
    </row>
    <row r="127" spans="1:37" hidden="1" outlineLevel="3" x14ac:dyDescent="0.2">
      <c r="A127" s="19"/>
      <c r="B127" s="19"/>
      <c r="C127" s="506">
        <f>IF(currentyear=RCPminus1,Tariffs!H86,C48)</f>
        <v>0</v>
      </c>
      <c r="D127" s="505">
        <f>IF($C127=0,0,Tariffs!D86)</f>
        <v>0</v>
      </c>
      <c r="E127" s="505">
        <f>IF($C127=0,0,Tariffs!E86)</f>
        <v>0</v>
      </c>
      <c r="F127" s="505">
        <f>IF($C127=0,0,Tariffs!F86)</f>
        <v>0</v>
      </c>
      <c r="G127" s="505">
        <f>IF($C127=0,0,Tariffs!G86)</f>
        <v>0</v>
      </c>
      <c r="H127" s="58"/>
      <c r="I127" s="248">
        <v>0</v>
      </c>
      <c r="J127" s="248"/>
      <c r="K127" s="164">
        <f t="shared" si="6"/>
        <v>0</v>
      </c>
      <c r="L127" s="174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3"/>
      <c r="AH127" s="19"/>
      <c r="AI127" s="19"/>
      <c r="AJ127" s="19"/>
      <c r="AK127" s="19"/>
    </row>
    <row r="128" spans="1:37" hidden="1" outlineLevel="3" x14ac:dyDescent="0.2">
      <c r="A128" s="19"/>
      <c r="B128" s="19"/>
      <c r="C128" s="506">
        <f>IF(currentyear=RCPminus1,Tariffs!H87,C49)</f>
        <v>0</v>
      </c>
      <c r="D128" s="505">
        <f>IF($C128=0,0,Tariffs!D87)</f>
        <v>0</v>
      </c>
      <c r="E128" s="505">
        <f>IF($C128=0,0,Tariffs!E87)</f>
        <v>0</v>
      </c>
      <c r="F128" s="505">
        <f>IF($C128=0,0,Tariffs!F87)</f>
        <v>0</v>
      </c>
      <c r="G128" s="505">
        <f>IF($C128=0,0,Tariffs!G87)</f>
        <v>0</v>
      </c>
      <c r="H128" s="58"/>
      <c r="I128" s="248">
        <v>0</v>
      </c>
      <c r="J128" s="248"/>
      <c r="K128" s="164">
        <f t="shared" si="6"/>
        <v>0</v>
      </c>
      <c r="L128" s="174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3"/>
      <c r="AH128" s="19"/>
      <c r="AI128" s="19"/>
      <c r="AJ128" s="19"/>
      <c r="AK128" s="19"/>
    </row>
    <row r="129" spans="1:37" hidden="1" outlineLevel="3" x14ac:dyDescent="0.2">
      <c r="A129" s="19"/>
      <c r="B129" s="19"/>
      <c r="C129" s="506">
        <f>IF(currentyear=RCPminus1,Tariffs!H88,C50)</f>
        <v>0</v>
      </c>
      <c r="D129" s="505">
        <f>IF($C129=0,0,Tariffs!D88)</f>
        <v>0</v>
      </c>
      <c r="E129" s="505">
        <f>IF($C129=0,0,Tariffs!E88)</f>
        <v>0</v>
      </c>
      <c r="F129" s="505">
        <f>IF($C129=0,0,Tariffs!F88)</f>
        <v>0</v>
      </c>
      <c r="G129" s="505">
        <f>IF($C129=0,0,Tariffs!G88)</f>
        <v>0</v>
      </c>
      <c r="H129" s="58"/>
      <c r="I129" s="248">
        <v>0</v>
      </c>
      <c r="J129" s="248"/>
      <c r="K129" s="164">
        <f t="shared" si="6"/>
        <v>0</v>
      </c>
      <c r="L129" s="174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3"/>
      <c r="AH129" s="19"/>
      <c r="AI129" s="19"/>
      <c r="AJ129" s="19"/>
      <c r="AK129" s="19"/>
    </row>
    <row r="130" spans="1:37" hidden="1" outlineLevel="3" x14ac:dyDescent="0.2">
      <c r="A130" s="19"/>
      <c r="B130" s="19"/>
      <c r="C130" s="506">
        <f>IF(currentyear=RCPminus1,Tariffs!H89,C51)</f>
        <v>0</v>
      </c>
      <c r="D130" s="505">
        <f>IF($C130=0,0,Tariffs!D89)</f>
        <v>0</v>
      </c>
      <c r="E130" s="505">
        <f>IF($C130=0,0,Tariffs!E89)</f>
        <v>0</v>
      </c>
      <c r="F130" s="505">
        <f>IF($C130=0,0,Tariffs!F89)</f>
        <v>0</v>
      </c>
      <c r="G130" s="505">
        <f>IF($C130=0,0,Tariffs!G89)</f>
        <v>0</v>
      </c>
      <c r="H130" s="58"/>
      <c r="I130" s="248">
        <v>0</v>
      </c>
      <c r="J130" s="248"/>
      <c r="K130" s="164">
        <f t="shared" si="6"/>
        <v>0</v>
      </c>
      <c r="L130" s="174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3"/>
      <c r="AH130" s="19"/>
      <c r="AI130" s="19"/>
      <c r="AJ130" s="19"/>
      <c r="AK130" s="19"/>
    </row>
    <row r="131" spans="1:37" hidden="1" outlineLevel="3" x14ac:dyDescent="0.2">
      <c r="A131" s="19"/>
      <c r="B131" s="19"/>
      <c r="C131" s="506">
        <f>IF(currentyear=RCPminus1,Tariffs!H90,C52)</f>
        <v>0</v>
      </c>
      <c r="D131" s="505">
        <f>IF($C131=0,0,Tariffs!D90)</f>
        <v>0</v>
      </c>
      <c r="E131" s="505">
        <f>IF($C131=0,0,Tariffs!E90)</f>
        <v>0</v>
      </c>
      <c r="F131" s="505">
        <f>IF($C131=0,0,Tariffs!F90)</f>
        <v>0</v>
      </c>
      <c r="G131" s="505">
        <f>IF($C131=0,0,Tariffs!G90)</f>
        <v>0</v>
      </c>
      <c r="H131" s="58"/>
      <c r="I131" s="248">
        <v>0</v>
      </c>
      <c r="J131" s="248"/>
      <c r="K131" s="164">
        <f t="shared" si="6"/>
        <v>0</v>
      </c>
      <c r="L131" s="174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3"/>
      <c r="AH131" s="19"/>
      <c r="AI131" s="19"/>
      <c r="AJ131" s="19"/>
      <c r="AK131" s="19"/>
    </row>
    <row r="132" spans="1:37" hidden="1" outlineLevel="3" x14ac:dyDescent="0.2">
      <c r="A132" s="19"/>
      <c r="B132" s="19"/>
      <c r="C132" s="506">
        <f>IF(currentyear=RCPminus1,Tariffs!H91,C53)</f>
        <v>0</v>
      </c>
      <c r="D132" s="505">
        <f>IF($C132=0,0,Tariffs!D91)</f>
        <v>0</v>
      </c>
      <c r="E132" s="505">
        <f>IF($C132=0,0,Tariffs!E91)</f>
        <v>0</v>
      </c>
      <c r="F132" s="505">
        <f>IF($C132=0,0,Tariffs!F91)</f>
        <v>0</v>
      </c>
      <c r="G132" s="505">
        <f>IF($C132=0,0,Tariffs!G91)</f>
        <v>0</v>
      </c>
      <c r="H132" s="58"/>
      <c r="I132" s="248">
        <v>0</v>
      </c>
      <c r="J132" s="248"/>
      <c r="K132" s="164">
        <f t="shared" si="6"/>
        <v>0</v>
      </c>
      <c r="L132" s="174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3"/>
      <c r="AH132" s="19"/>
      <c r="AI132" s="19"/>
      <c r="AJ132" s="19"/>
      <c r="AK132" s="19"/>
    </row>
    <row r="133" spans="1:37" hidden="1" outlineLevel="3" x14ac:dyDescent="0.2">
      <c r="A133" s="19"/>
      <c r="B133" s="19"/>
      <c r="C133" s="506">
        <f>IF(currentyear=RCPminus1,Tariffs!H92,C54)</f>
        <v>0</v>
      </c>
      <c r="D133" s="505">
        <f>IF($C133=0,0,Tariffs!D92)</f>
        <v>0</v>
      </c>
      <c r="E133" s="505">
        <f>IF($C133=0,0,Tariffs!E92)</f>
        <v>0</v>
      </c>
      <c r="F133" s="505">
        <f>IF($C133=0,0,Tariffs!F92)</f>
        <v>0</v>
      </c>
      <c r="G133" s="505">
        <f>IF($C133=0,0,Tariffs!G92)</f>
        <v>0</v>
      </c>
      <c r="H133" s="58"/>
      <c r="I133" s="248">
        <v>0</v>
      </c>
      <c r="J133" s="248"/>
      <c r="K133" s="164">
        <f t="shared" si="6"/>
        <v>0</v>
      </c>
      <c r="L133" s="174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3"/>
      <c r="AH133" s="19"/>
      <c r="AI133" s="19"/>
      <c r="AJ133" s="19"/>
      <c r="AK133" s="19"/>
    </row>
    <row r="134" spans="1:37" hidden="1" outlineLevel="3" x14ac:dyDescent="0.2">
      <c r="A134" s="19"/>
      <c r="B134" s="19"/>
      <c r="C134" s="506">
        <f>IF(currentyear=RCPminus1,Tariffs!H93,C55)</f>
        <v>0</v>
      </c>
      <c r="D134" s="505">
        <f>IF($C134=0,0,Tariffs!D93)</f>
        <v>0</v>
      </c>
      <c r="E134" s="505">
        <f>IF($C134=0,0,Tariffs!E93)</f>
        <v>0</v>
      </c>
      <c r="F134" s="505">
        <f>IF($C134=0,0,Tariffs!F93)</f>
        <v>0</v>
      </c>
      <c r="G134" s="505">
        <f>IF($C134=0,0,Tariffs!G93)</f>
        <v>0</v>
      </c>
      <c r="H134" s="58"/>
      <c r="I134" s="248">
        <v>0</v>
      </c>
      <c r="J134" s="248"/>
      <c r="K134" s="164">
        <f t="shared" si="6"/>
        <v>0</v>
      </c>
      <c r="L134" s="174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3"/>
      <c r="AH134" s="19"/>
      <c r="AI134" s="19"/>
      <c r="AJ134" s="19"/>
      <c r="AK134" s="19"/>
    </row>
    <row r="135" spans="1:37" hidden="1" outlineLevel="3" x14ac:dyDescent="0.2">
      <c r="A135" s="19"/>
      <c r="B135" s="19"/>
      <c r="C135" s="506">
        <f>IF(currentyear=RCPminus1,Tariffs!H94,C56)</f>
        <v>0</v>
      </c>
      <c r="D135" s="505">
        <f>IF($C135=0,0,Tariffs!D94)</f>
        <v>0</v>
      </c>
      <c r="E135" s="505">
        <f>IF($C135=0,0,Tariffs!E94)</f>
        <v>0</v>
      </c>
      <c r="F135" s="505">
        <f>IF($C135=0,0,Tariffs!F94)</f>
        <v>0</v>
      </c>
      <c r="G135" s="505">
        <f>IF($C135=0,0,Tariffs!G94)</f>
        <v>0</v>
      </c>
      <c r="H135" s="58"/>
      <c r="I135" s="248">
        <v>0</v>
      </c>
      <c r="J135" s="248"/>
      <c r="K135" s="164">
        <f t="shared" si="6"/>
        <v>0</v>
      </c>
      <c r="L135" s="174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3"/>
      <c r="AH135" s="19"/>
      <c r="AI135" s="19"/>
      <c r="AJ135" s="19"/>
      <c r="AK135" s="19"/>
    </row>
    <row r="136" spans="1:37" hidden="1" outlineLevel="3" x14ac:dyDescent="0.2">
      <c r="A136" s="19"/>
      <c r="B136" s="19"/>
      <c r="C136" s="506">
        <f>IF(currentyear=RCPminus1,Tariffs!H95,C57)</f>
        <v>0</v>
      </c>
      <c r="D136" s="505">
        <f>IF($C136=0,0,Tariffs!D95)</f>
        <v>0</v>
      </c>
      <c r="E136" s="505">
        <f>IF($C136=0,0,Tariffs!E95)</f>
        <v>0</v>
      </c>
      <c r="F136" s="505">
        <f>IF($C136=0,0,Tariffs!F95)</f>
        <v>0</v>
      </c>
      <c r="G136" s="505">
        <f>IF($C136=0,0,Tariffs!G95)</f>
        <v>0</v>
      </c>
      <c r="H136" s="58"/>
      <c r="I136" s="248">
        <v>0</v>
      </c>
      <c r="J136" s="248"/>
      <c r="K136" s="164">
        <f t="shared" si="6"/>
        <v>0</v>
      </c>
      <c r="L136" s="174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3"/>
      <c r="AH136" s="19"/>
      <c r="AI136" s="19"/>
      <c r="AJ136" s="19"/>
      <c r="AK136" s="19"/>
    </row>
    <row r="137" spans="1:37" hidden="1" outlineLevel="3" x14ac:dyDescent="0.2">
      <c r="A137" s="19"/>
      <c r="B137" s="19"/>
      <c r="C137" s="506">
        <f>IF(currentyear=RCPminus1,Tariffs!H96,C58)</f>
        <v>0</v>
      </c>
      <c r="D137" s="505">
        <f>IF($C137=0,0,Tariffs!D96)</f>
        <v>0</v>
      </c>
      <c r="E137" s="505">
        <f>IF($C137=0,0,Tariffs!E96)</f>
        <v>0</v>
      </c>
      <c r="F137" s="505">
        <f>IF($C137=0,0,Tariffs!F96)</f>
        <v>0</v>
      </c>
      <c r="G137" s="505">
        <f>IF($C137=0,0,Tariffs!G96)</f>
        <v>0</v>
      </c>
      <c r="H137" s="58"/>
      <c r="I137" s="248">
        <v>0</v>
      </c>
      <c r="J137" s="248"/>
      <c r="K137" s="164">
        <f t="shared" si="6"/>
        <v>0</v>
      </c>
      <c r="L137" s="174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3"/>
      <c r="AH137" s="19"/>
      <c r="AI137" s="19"/>
      <c r="AJ137" s="19"/>
      <c r="AK137" s="19"/>
    </row>
    <row r="138" spans="1:37" hidden="1" outlineLevel="3" x14ac:dyDescent="0.2">
      <c r="A138" s="19"/>
      <c r="B138" s="19"/>
      <c r="C138" s="506">
        <f>IF(currentyear=RCPminus1,Tariffs!H97,C59)</f>
        <v>0</v>
      </c>
      <c r="D138" s="505">
        <f>IF($C138=0,0,Tariffs!D97)</f>
        <v>0</v>
      </c>
      <c r="E138" s="505">
        <f>IF($C138=0,0,Tariffs!E97)</f>
        <v>0</v>
      </c>
      <c r="F138" s="505">
        <f>IF($C138=0,0,Tariffs!F97)</f>
        <v>0</v>
      </c>
      <c r="G138" s="505">
        <f>IF($C138=0,0,Tariffs!G97)</f>
        <v>0</v>
      </c>
      <c r="H138" s="58"/>
      <c r="I138" s="248">
        <v>0</v>
      </c>
      <c r="J138" s="248"/>
      <c r="K138" s="164">
        <f t="shared" si="6"/>
        <v>0</v>
      </c>
      <c r="L138" s="174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3"/>
      <c r="AH138" s="19"/>
      <c r="AI138" s="19"/>
      <c r="AJ138" s="19"/>
      <c r="AK138" s="19"/>
    </row>
    <row r="139" spans="1:37" hidden="1" outlineLevel="3" x14ac:dyDescent="0.2">
      <c r="A139" s="19"/>
      <c r="B139" s="19"/>
      <c r="C139" s="506">
        <f>IF(currentyear=RCPminus1,Tariffs!H98,C60)</f>
        <v>0</v>
      </c>
      <c r="D139" s="505">
        <f>IF($C139=0,0,Tariffs!D98)</f>
        <v>0</v>
      </c>
      <c r="E139" s="505">
        <f>IF($C139=0,0,Tariffs!E98)</f>
        <v>0</v>
      </c>
      <c r="F139" s="505">
        <f>IF($C139=0,0,Tariffs!F98)</f>
        <v>0</v>
      </c>
      <c r="G139" s="505">
        <f>IF($C139=0,0,Tariffs!G98)</f>
        <v>0</v>
      </c>
      <c r="H139" s="58"/>
      <c r="I139" s="248">
        <v>0</v>
      </c>
      <c r="J139" s="248"/>
      <c r="K139" s="164">
        <f t="shared" si="6"/>
        <v>0</v>
      </c>
      <c r="L139" s="174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3"/>
      <c r="AH139" s="19"/>
      <c r="AI139" s="19"/>
      <c r="AJ139" s="19"/>
      <c r="AK139" s="19"/>
    </row>
    <row r="140" spans="1:37" hidden="1" outlineLevel="3" x14ac:dyDescent="0.2">
      <c r="A140" s="19"/>
      <c r="B140" s="19"/>
      <c r="C140" s="506">
        <f>IF(currentyear=RCPminus1,Tariffs!H99,C61)</f>
        <v>0</v>
      </c>
      <c r="D140" s="505">
        <f>IF($C140=0,0,Tariffs!D99)</f>
        <v>0</v>
      </c>
      <c r="E140" s="505">
        <f>IF($C140=0,0,Tariffs!E99)</f>
        <v>0</v>
      </c>
      <c r="F140" s="505">
        <f>IF($C140=0,0,Tariffs!F99)</f>
        <v>0</v>
      </c>
      <c r="G140" s="505">
        <f>IF($C140=0,0,Tariffs!G99)</f>
        <v>0</v>
      </c>
      <c r="H140" s="58"/>
      <c r="I140" s="248">
        <v>0</v>
      </c>
      <c r="J140" s="248"/>
      <c r="K140" s="164">
        <f t="shared" si="6"/>
        <v>0</v>
      </c>
      <c r="L140" s="174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3"/>
      <c r="AH140" s="19"/>
      <c r="AI140" s="19"/>
      <c r="AJ140" s="19"/>
      <c r="AK140" s="19"/>
    </row>
    <row r="141" spans="1:37" hidden="1" outlineLevel="3" x14ac:dyDescent="0.2">
      <c r="A141" s="19"/>
      <c r="B141" s="19"/>
      <c r="C141" s="506">
        <f>IF(currentyear=RCPminus1,Tariffs!H100,C62)</f>
        <v>0</v>
      </c>
      <c r="D141" s="505">
        <f>IF($C141=0,0,Tariffs!D100)</f>
        <v>0</v>
      </c>
      <c r="E141" s="505">
        <f>IF($C141=0,0,Tariffs!E100)</f>
        <v>0</v>
      </c>
      <c r="F141" s="505">
        <f>IF($C141=0,0,Tariffs!F100)</f>
        <v>0</v>
      </c>
      <c r="G141" s="505">
        <f>IF($C141=0,0,Tariffs!G100)</f>
        <v>0</v>
      </c>
      <c r="H141" s="58"/>
      <c r="I141" s="248">
        <v>0</v>
      </c>
      <c r="J141" s="248"/>
      <c r="K141" s="164">
        <f t="shared" si="6"/>
        <v>0</v>
      </c>
      <c r="L141" s="174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3"/>
      <c r="AH141" s="19"/>
      <c r="AI141" s="19"/>
      <c r="AJ141" s="19"/>
      <c r="AK141" s="19"/>
    </row>
    <row r="142" spans="1:37" hidden="1" outlineLevel="3" x14ac:dyDescent="0.2">
      <c r="A142" s="19"/>
      <c r="B142" s="19"/>
      <c r="C142" s="506">
        <f>IF(currentyear=RCPminus1,Tariffs!H101,C63)</f>
        <v>0</v>
      </c>
      <c r="D142" s="505">
        <f>IF($C142=0,0,Tariffs!D101)</f>
        <v>0</v>
      </c>
      <c r="E142" s="505">
        <f>IF($C142=0,0,Tariffs!E101)</f>
        <v>0</v>
      </c>
      <c r="F142" s="505">
        <f>IF($C142=0,0,Tariffs!F101)</f>
        <v>0</v>
      </c>
      <c r="G142" s="505">
        <f>IF($C142=0,0,Tariffs!G101)</f>
        <v>0</v>
      </c>
      <c r="H142" s="58"/>
      <c r="I142" s="248">
        <v>0</v>
      </c>
      <c r="J142" s="248"/>
      <c r="K142" s="164">
        <f t="shared" si="6"/>
        <v>0</v>
      </c>
      <c r="L142" s="174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3"/>
      <c r="AH142" s="19"/>
      <c r="AI142" s="19"/>
      <c r="AJ142" s="19"/>
      <c r="AK142" s="19"/>
    </row>
    <row r="143" spans="1:37" hidden="1" outlineLevel="3" x14ac:dyDescent="0.2">
      <c r="A143" s="19"/>
      <c r="B143" s="19"/>
      <c r="C143" s="506">
        <f>IF(currentyear=RCPminus1,Tariffs!H102,C64)</f>
        <v>0</v>
      </c>
      <c r="D143" s="505">
        <f>IF($C143=0,0,Tariffs!D102)</f>
        <v>0</v>
      </c>
      <c r="E143" s="505">
        <f>IF($C143=0,0,Tariffs!E102)</f>
        <v>0</v>
      </c>
      <c r="F143" s="505">
        <f>IF($C143=0,0,Tariffs!F102)</f>
        <v>0</v>
      </c>
      <c r="G143" s="505">
        <f>IF($C143=0,0,Tariffs!G102)</f>
        <v>0</v>
      </c>
      <c r="H143" s="58"/>
      <c r="I143" s="248">
        <v>0</v>
      </c>
      <c r="J143" s="248"/>
      <c r="K143" s="164">
        <f t="shared" si="6"/>
        <v>0</v>
      </c>
      <c r="L143" s="174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3"/>
      <c r="AH143" s="19"/>
      <c r="AI143" s="19"/>
      <c r="AJ143" s="19"/>
      <c r="AK143" s="19"/>
    </row>
    <row r="144" spans="1:37" hidden="1" outlineLevel="3" x14ac:dyDescent="0.2">
      <c r="A144" s="19"/>
      <c r="B144" s="19"/>
      <c r="C144" s="506">
        <f>IF(currentyear=RCPminus1,Tariffs!H103,C65)</f>
        <v>0</v>
      </c>
      <c r="D144" s="505">
        <f>IF($C144=0,0,Tariffs!D103)</f>
        <v>0</v>
      </c>
      <c r="E144" s="505">
        <f>IF($C144=0,0,Tariffs!E103)</f>
        <v>0</v>
      </c>
      <c r="F144" s="505">
        <f>IF($C144=0,0,Tariffs!F103)</f>
        <v>0</v>
      </c>
      <c r="G144" s="505">
        <f>IF($C144=0,0,Tariffs!G103)</f>
        <v>0</v>
      </c>
      <c r="H144" s="58"/>
      <c r="I144" s="248">
        <v>0</v>
      </c>
      <c r="J144" s="248"/>
      <c r="K144" s="164">
        <f t="shared" si="6"/>
        <v>0</v>
      </c>
      <c r="L144" s="174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3"/>
      <c r="AH144" s="19"/>
      <c r="AI144" s="19"/>
      <c r="AJ144" s="19"/>
      <c r="AK144" s="19"/>
    </row>
    <row r="145" spans="1:37" hidden="1" outlineLevel="3" x14ac:dyDescent="0.2">
      <c r="A145" s="19"/>
      <c r="B145" s="19"/>
      <c r="C145" s="506">
        <f>IF(currentyear=RCPminus1,Tariffs!H104,C66)</f>
        <v>0</v>
      </c>
      <c r="D145" s="505">
        <f>IF($C145=0,0,Tariffs!D104)</f>
        <v>0</v>
      </c>
      <c r="E145" s="505">
        <f>IF($C145=0,0,Tariffs!E104)</f>
        <v>0</v>
      </c>
      <c r="F145" s="505">
        <f>IF($C145=0,0,Tariffs!F104)</f>
        <v>0</v>
      </c>
      <c r="G145" s="505">
        <f>IF($C145=0,0,Tariffs!G104)</f>
        <v>0</v>
      </c>
      <c r="H145" s="58"/>
      <c r="I145" s="248">
        <v>0</v>
      </c>
      <c r="J145" s="248"/>
      <c r="K145" s="164">
        <f t="shared" si="6"/>
        <v>0</v>
      </c>
      <c r="L145" s="174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3"/>
      <c r="AH145" s="19"/>
      <c r="AI145" s="19"/>
      <c r="AJ145" s="19"/>
      <c r="AK145" s="19"/>
    </row>
    <row r="146" spans="1:37" hidden="1" outlineLevel="3" x14ac:dyDescent="0.2">
      <c r="A146" s="19"/>
      <c r="B146" s="19"/>
      <c r="C146" s="506">
        <f>IF(currentyear=RCPminus1,Tariffs!H105,C67)</f>
        <v>0</v>
      </c>
      <c r="D146" s="505">
        <f>IF($C146=0,0,Tariffs!D105)</f>
        <v>0</v>
      </c>
      <c r="E146" s="505">
        <f>IF($C146=0,0,Tariffs!E105)</f>
        <v>0</v>
      </c>
      <c r="F146" s="505">
        <f>IF($C146=0,0,Tariffs!F105)</f>
        <v>0</v>
      </c>
      <c r="G146" s="505">
        <f>IF($C146=0,0,Tariffs!G105)</f>
        <v>0</v>
      </c>
      <c r="H146" s="58"/>
      <c r="I146" s="248">
        <v>0</v>
      </c>
      <c r="J146" s="248"/>
      <c r="K146" s="164">
        <f t="shared" si="6"/>
        <v>0</v>
      </c>
      <c r="L146" s="174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3"/>
      <c r="AH146" s="19"/>
      <c r="AI146" s="19"/>
      <c r="AJ146" s="19"/>
      <c r="AK146" s="19"/>
    </row>
    <row r="147" spans="1:37" hidden="1" outlineLevel="3" x14ac:dyDescent="0.2">
      <c r="A147" s="19"/>
      <c r="B147" s="19"/>
      <c r="C147" s="506">
        <f>IF(currentyear=RCPminus1,Tariffs!H106,C68)</f>
        <v>0</v>
      </c>
      <c r="D147" s="505">
        <f>IF($C147=0,0,Tariffs!D106)</f>
        <v>0</v>
      </c>
      <c r="E147" s="505">
        <f>IF($C147=0,0,Tariffs!E106)</f>
        <v>0</v>
      </c>
      <c r="F147" s="505">
        <f>IF($C147=0,0,Tariffs!F106)</f>
        <v>0</v>
      </c>
      <c r="G147" s="505">
        <f>IF($C147=0,0,Tariffs!G106)</f>
        <v>0</v>
      </c>
      <c r="H147" s="58"/>
      <c r="I147" s="248">
        <v>0</v>
      </c>
      <c r="J147" s="248"/>
      <c r="K147" s="164">
        <f t="shared" si="6"/>
        <v>0</v>
      </c>
      <c r="L147" s="174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3"/>
      <c r="AH147" s="19"/>
      <c r="AI147" s="19"/>
      <c r="AJ147" s="19"/>
      <c r="AK147" s="19"/>
    </row>
    <row r="148" spans="1:37" hidden="1" outlineLevel="3" x14ac:dyDescent="0.2">
      <c r="A148" s="19"/>
      <c r="B148" s="19"/>
      <c r="C148" s="506">
        <f>IF(currentyear=RCPminus1,Tariffs!H107,C69)</f>
        <v>0</v>
      </c>
      <c r="D148" s="505">
        <f>IF($C148=0,0,Tariffs!D107)</f>
        <v>0</v>
      </c>
      <c r="E148" s="505">
        <f>IF($C148=0,0,Tariffs!E107)</f>
        <v>0</v>
      </c>
      <c r="F148" s="505">
        <f>IF($C148=0,0,Tariffs!F107)</f>
        <v>0</v>
      </c>
      <c r="G148" s="505">
        <f>IF($C148=0,0,Tariffs!G107)</f>
        <v>0</v>
      </c>
      <c r="H148" s="58"/>
      <c r="I148" s="248">
        <v>0</v>
      </c>
      <c r="J148" s="248"/>
      <c r="K148" s="164">
        <f t="shared" si="6"/>
        <v>0</v>
      </c>
      <c r="L148" s="174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3"/>
      <c r="AH148" s="19"/>
      <c r="AI148" s="19"/>
      <c r="AJ148" s="19"/>
      <c r="AK148" s="19"/>
    </row>
    <row r="149" spans="1:37" hidden="1" outlineLevel="3" x14ac:dyDescent="0.2">
      <c r="A149" s="19"/>
      <c r="B149" s="19"/>
      <c r="C149" s="506">
        <f>IF(currentyear=RCPminus1,Tariffs!H108,C70)</f>
        <v>0</v>
      </c>
      <c r="D149" s="505">
        <f>IF($C149=0,0,Tariffs!D108)</f>
        <v>0</v>
      </c>
      <c r="E149" s="505">
        <f>IF($C149=0,0,Tariffs!E108)</f>
        <v>0</v>
      </c>
      <c r="F149" s="505">
        <f>IF($C149=0,0,Tariffs!F108)</f>
        <v>0</v>
      </c>
      <c r="G149" s="505">
        <f>IF($C149=0,0,Tariffs!G108)</f>
        <v>0</v>
      </c>
      <c r="H149" s="58"/>
      <c r="I149" s="248">
        <v>0</v>
      </c>
      <c r="J149" s="248"/>
      <c r="K149" s="164">
        <f t="shared" si="6"/>
        <v>0</v>
      </c>
      <c r="L149" s="174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3"/>
      <c r="AH149" s="19"/>
      <c r="AI149" s="19"/>
      <c r="AJ149" s="19"/>
      <c r="AK149" s="19"/>
    </row>
    <row r="150" spans="1:37" hidden="1" outlineLevel="3" x14ac:dyDescent="0.2">
      <c r="A150" s="19"/>
      <c r="B150" s="19"/>
      <c r="C150" s="506">
        <f>IF(currentyear=RCPminus1,Tariffs!H109,C71)</f>
        <v>0</v>
      </c>
      <c r="D150" s="505">
        <f>IF($C150=0,0,Tariffs!D109)</f>
        <v>0</v>
      </c>
      <c r="E150" s="505">
        <f>IF($C150=0,0,Tariffs!E109)</f>
        <v>0</v>
      </c>
      <c r="F150" s="505">
        <f>IF($C150=0,0,Tariffs!F109)</f>
        <v>0</v>
      </c>
      <c r="G150" s="505">
        <f>IF($C150=0,0,Tariffs!G109)</f>
        <v>0</v>
      </c>
      <c r="H150" s="58"/>
      <c r="I150" s="248">
        <v>0</v>
      </c>
      <c r="J150" s="248"/>
      <c r="K150" s="164">
        <f t="shared" si="6"/>
        <v>0</v>
      </c>
      <c r="L150" s="174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3"/>
      <c r="AH150" s="19"/>
      <c r="AI150" s="19"/>
      <c r="AJ150" s="19"/>
      <c r="AK150" s="19"/>
    </row>
    <row r="151" spans="1:37" hidden="1" outlineLevel="3" x14ac:dyDescent="0.2">
      <c r="A151" s="19"/>
      <c r="B151" s="19"/>
      <c r="C151" s="506">
        <f>IF(currentyear=RCPminus1,Tariffs!H110,C72)</f>
        <v>0</v>
      </c>
      <c r="D151" s="505">
        <f>IF($C151=0,0,Tariffs!D110)</f>
        <v>0</v>
      </c>
      <c r="E151" s="505">
        <f>IF($C151=0,0,Tariffs!E110)</f>
        <v>0</v>
      </c>
      <c r="F151" s="505">
        <f>IF($C151=0,0,Tariffs!F110)</f>
        <v>0</v>
      </c>
      <c r="G151" s="505">
        <f>IF($C151=0,0,Tariffs!G110)</f>
        <v>0</v>
      </c>
      <c r="H151" s="58"/>
      <c r="I151" s="248">
        <v>0</v>
      </c>
      <c r="J151" s="248"/>
      <c r="K151" s="164">
        <f t="shared" ref="K151:K161" si="7">SUMIF($M$6:$AF$6,"units",M151:AF151)</f>
        <v>0</v>
      </c>
      <c r="L151" s="174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3"/>
      <c r="AH151" s="19"/>
      <c r="AI151" s="19"/>
      <c r="AJ151" s="19"/>
      <c r="AK151" s="19"/>
    </row>
    <row r="152" spans="1:37" hidden="1" outlineLevel="3" x14ac:dyDescent="0.2">
      <c r="A152" s="19"/>
      <c r="B152" s="19"/>
      <c r="C152" s="506">
        <f>IF(currentyear=RCPminus1,Tariffs!H111,C73)</f>
        <v>0</v>
      </c>
      <c r="D152" s="505">
        <f>IF($C152=0,0,Tariffs!D111)</f>
        <v>0</v>
      </c>
      <c r="E152" s="505">
        <f>IF($C152=0,0,Tariffs!E111)</f>
        <v>0</v>
      </c>
      <c r="F152" s="505">
        <f>IF($C152=0,0,Tariffs!F111)</f>
        <v>0</v>
      </c>
      <c r="G152" s="505">
        <f>IF($C152=0,0,Tariffs!G111)</f>
        <v>0</v>
      </c>
      <c r="H152" s="58"/>
      <c r="I152" s="248">
        <v>0</v>
      </c>
      <c r="J152" s="248"/>
      <c r="K152" s="164">
        <f t="shared" si="7"/>
        <v>0</v>
      </c>
      <c r="L152" s="174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3"/>
      <c r="AH152" s="19"/>
      <c r="AI152" s="19"/>
      <c r="AJ152" s="19"/>
      <c r="AK152" s="19"/>
    </row>
    <row r="153" spans="1:37" hidden="1" outlineLevel="3" x14ac:dyDescent="0.2">
      <c r="A153" s="19"/>
      <c r="B153" s="19"/>
      <c r="C153" s="506">
        <f>IF(currentyear=RCPminus1,Tariffs!H112,C74)</f>
        <v>0</v>
      </c>
      <c r="D153" s="505">
        <f>IF($C153=0,0,Tariffs!D112)</f>
        <v>0</v>
      </c>
      <c r="E153" s="505">
        <f>IF($C153=0,0,Tariffs!E112)</f>
        <v>0</v>
      </c>
      <c r="F153" s="505">
        <f>IF($C153=0,0,Tariffs!F112)</f>
        <v>0</v>
      </c>
      <c r="G153" s="505">
        <f>IF($C153=0,0,Tariffs!G112)</f>
        <v>0</v>
      </c>
      <c r="H153" s="58"/>
      <c r="I153" s="248">
        <v>0</v>
      </c>
      <c r="J153" s="248"/>
      <c r="K153" s="164">
        <f t="shared" si="7"/>
        <v>0</v>
      </c>
      <c r="L153" s="174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3"/>
      <c r="AH153" s="19"/>
      <c r="AI153" s="19"/>
      <c r="AJ153" s="19"/>
      <c r="AK153" s="19"/>
    </row>
    <row r="154" spans="1:37" hidden="1" outlineLevel="3" x14ac:dyDescent="0.2">
      <c r="A154" s="19"/>
      <c r="B154" s="19"/>
      <c r="C154" s="506">
        <f>IF(currentyear=RCPminus1,Tariffs!H113,C75)</f>
        <v>0</v>
      </c>
      <c r="D154" s="505">
        <f>IF($C154=0,0,Tariffs!D113)</f>
        <v>0</v>
      </c>
      <c r="E154" s="505">
        <f>IF($C154=0,0,Tariffs!E113)</f>
        <v>0</v>
      </c>
      <c r="F154" s="505">
        <f>IF($C154=0,0,Tariffs!F113)</f>
        <v>0</v>
      </c>
      <c r="G154" s="505">
        <f>IF($C154=0,0,Tariffs!G113)</f>
        <v>0</v>
      </c>
      <c r="H154" s="58"/>
      <c r="I154" s="248">
        <v>0</v>
      </c>
      <c r="J154" s="248"/>
      <c r="K154" s="164">
        <f t="shared" si="7"/>
        <v>0</v>
      </c>
      <c r="L154" s="174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3"/>
      <c r="AH154" s="19"/>
      <c r="AI154" s="19"/>
      <c r="AJ154" s="19"/>
      <c r="AK154" s="19"/>
    </row>
    <row r="155" spans="1:37" hidden="1" outlineLevel="3" x14ac:dyDescent="0.2">
      <c r="A155" s="19"/>
      <c r="B155" s="19"/>
      <c r="C155" s="506">
        <f>IF(currentyear=RCPminus1,Tariffs!H114,C76)</f>
        <v>0</v>
      </c>
      <c r="D155" s="505">
        <f>IF($C155=0,0,Tariffs!D114)</f>
        <v>0</v>
      </c>
      <c r="E155" s="505">
        <f>IF($C155=0,0,Tariffs!E114)</f>
        <v>0</v>
      </c>
      <c r="F155" s="505">
        <f>IF($C155=0,0,Tariffs!F114)</f>
        <v>0</v>
      </c>
      <c r="G155" s="505">
        <f>IF($C155=0,0,Tariffs!G114)</f>
        <v>0</v>
      </c>
      <c r="H155" s="58"/>
      <c r="I155" s="248">
        <v>0</v>
      </c>
      <c r="J155" s="248"/>
      <c r="K155" s="164">
        <f t="shared" si="7"/>
        <v>0</v>
      </c>
      <c r="L155" s="174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3"/>
      <c r="AH155" s="19"/>
      <c r="AI155" s="19"/>
      <c r="AJ155" s="19"/>
      <c r="AK155" s="19"/>
    </row>
    <row r="156" spans="1:37" hidden="1" outlineLevel="3" x14ac:dyDescent="0.2">
      <c r="A156" s="19"/>
      <c r="B156" s="19"/>
      <c r="C156" s="506">
        <f>IF(currentyear=RCPminus1,Tariffs!H115,C77)</f>
        <v>0</v>
      </c>
      <c r="D156" s="505">
        <f>IF($C156=0,0,Tariffs!D115)</f>
        <v>0</v>
      </c>
      <c r="E156" s="505">
        <f>IF($C156=0,0,Tariffs!E115)</f>
        <v>0</v>
      </c>
      <c r="F156" s="505">
        <f>IF($C156=0,0,Tariffs!F115)</f>
        <v>0</v>
      </c>
      <c r="G156" s="505">
        <f>IF($C156=0,0,Tariffs!G115)</f>
        <v>0</v>
      </c>
      <c r="H156" s="58"/>
      <c r="I156" s="248">
        <v>0</v>
      </c>
      <c r="J156" s="248"/>
      <c r="K156" s="164">
        <f t="shared" si="7"/>
        <v>0</v>
      </c>
      <c r="L156" s="174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3"/>
      <c r="AH156" s="19"/>
      <c r="AI156" s="19"/>
      <c r="AJ156" s="19"/>
      <c r="AK156" s="19"/>
    </row>
    <row r="157" spans="1:37" hidden="1" outlineLevel="3" x14ac:dyDescent="0.2">
      <c r="A157" s="19"/>
      <c r="B157" s="19"/>
      <c r="C157" s="506">
        <f>IF(currentyear=RCPminus1,Tariffs!H116,C78)</f>
        <v>0</v>
      </c>
      <c r="D157" s="505">
        <f>IF($C157=0,0,Tariffs!D116)</f>
        <v>0</v>
      </c>
      <c r="E157" s="505">
        <f>IF($C157=0,0,Tariffs!E116)</f>
        <v>0</v>
      </c>
      <c r="F157" s="505">
        <f>IF($C157=0,0,Tariffs!F116)</f>
        <v>0</v>
      </c>
      <c r="G157" s="505">
        <f>IF($C157=0,0,Tariffs!G116)</f>
        <v>0</v>
      </c>
      <c r="H157" s="58"/>
      <c r="I157" s="248">
        <v>0</v>
      </c>
      <c r="J157" s="248"/>
      <c r="K157" s="164">
        <f t="shared" si="7"/>
        <v>0</v>
      </c>
      <c r="L157" s="174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  <c r="AG157" s="173"/>
      <c r="AH157" s="19"/>
      <c r="AI157" s="19"/>
      <c r="AJ157" s="19"/>
      <c r="AK157" s="19"/>
    </row>
    <row r="158" spans="1:37" hidden="1" outlineLevel="3" x14ac:dyDescent="0.2">
      <c r="A158" s="19"/>
      <c r="B158" s="19"/>
      <c r="C158" s="506">
        <f>IF(currentyear=RCPminus1,Tariffs!H117,C79)</f>
        <v>0</v>
      </c>
      <c r="D158" s="505">
        <f>IF($C158=0,0,Tariffs!D117)</f>
        <v>0</v>
      </c>
      <c r="E158" s="505">
        <f>IF($C158=0,0,Tariffs!E117)</f>
        <v>0</v>
      </c>
      <c r="F158" s="505">
        <f>IF($C158=0,0,Tariffs!F117)</f>
        <v>0</v>
      </c>
      <c r="G158" s="505">
        <f>IF($C158=0,0,Tariffs!G117)</f>
        <v>0</v>
      </c>
      <c r="H158" s="58"/>
      <c r="I158" s="248">
        <v>0</v>
      </c>
      <c r="J158" s="248"/>
      <c r="K158" s="164">
        <f t="shared" si="7"/>
        <v>0</v>
      </c>
      <c r="L158" s="174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3"/>
      <c r="AH158" s="19"/>
      <c r="AI158" s="19"/>
      <c r="AJ158" s="19"/>
      <c r="AK158" s="19"/>
    </row>
    <row r="159" spans="1:37" hidden="1" outlineLevel="3" x14ac:dyDescent="0.2">
      <c r="A159" s="19"/>
      <c r="B159" s="19"/>
      <c r="C159" s="506">
        <f>IF(currentyear=RCPminus1,Tariffs!H118,C80)</f>
        <v>0</v>
      </c>
      <c r="D159" s="505">
        <f>IF($C159=0,0,Tariffs!D118)</f>
        <v>0</v>
      </c>
      <c r="E159" s="505">
        <f>IF($C159=0,0,Tariffs!E118)</f>
        <v>0</v>
      </c>
      <c r="F159" s="505">
        <f>IF($C159=0,0,Tariffs!F118)</f>
        <v>0</v>
      </c>
      <c r="G159" s="505">
        <f>IF($C159=0,0,Tariffs!G118)</f>
        <v>0</v>
      </c>
      <c r="H159" s="58"/>
      <c r="I159" s="248">
        <v>0</v>
      </c>
      <c r="J159" s="248"/>
      <c r="K159" s="164">
        <f t="shared" si="7"/>
        <v>0</v>
      </c>
      <c r="L159" s="174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3"/>
      <c r="AH159" s="19"/>
      <c r="AI159" s="19"/>
      <c r="AJ159" s="19"/>
      <c r="AK159" s="19"/>
    </row>
    <row r="160" spans="1:37" hidden="1" outlineLevel="3" x14ac:dyDescent="0.2">
      <c r="A160" s="19"/>
      <c r="B160" s="19"/>
      <c r="C160" s="506">
        <f>IF(currentyear=RCPminus1,Tariffs!H119,C81)</f>
        <v>0</v>
      </c>
      <c r="D160" s="505">
        <f>IF($C160=0,0,Tariffs!D119)</f>
        <v>0</v>
      </c>
      <c r="E160" s="505">
        <f>IF($C160=0,0,Tariffs!E119)</f>
        <v>0</v>
      </c>
      <c r="F160" s="505">
        <f>IF($C160=0,0,Tariffs!F119)</f>
        <v>0</v>
      </c>
      <c r="G160" s="505">
        <f>IF($C160=0,0,Tariffs!G119)</f>
        <v>0</v>
      </c>
      <c r="H160" s="58"/>
      <c r="I160" s="248">
        <v>0</v>
      </c>
      <c r="J160" s="248"/>
      <c r="K160" s="164">
        <f t="shared" si="7"/>
        <v>0</v>
      </c>
      <c r="L160" s="174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3"/>
      <c r="AH160" s="19"/>
      <c r="AI160" s="19"/>
      <c r="AJ160" s="19"/>
      <c r="AK160" s="19"/>
    </row>
    <row r="161" spans="1:37" hidden="1" outlineLevel="3" x14ac:dyDescent="0.2">
      <c r="A161" s="19"/>
      <c r="B161" s="19"/>
      <c r="C161" s="506">
        <f>IF(currentyear=RCPminus1,Tariffs!H120,C82)</f>
        <v>0</v>
      </c>
      <c r="D161" s="505">
        <f>IF($C161=0,0,Tariffs!D120)</f>
        <v>0</v>
      </c>
      <c r="E161" s="505">
        <f>IF($C161=0,0,Tariffs!E120)</f>
        <v>0</v>
      </c>
      <c r="F161" s="505">
        <f>IF($C161=0,0,Tariffs!F120)</f>
        <v>0</v>
      </c>
      <c r="G161" s="505">
        <f>IF($C161=0,0,Tariffs!G120)</f>
        <v>0</v>
      </c>
      <c r="H161" s="58"/>
      <c r="I161" s="248">
        <v>0</v>
      </c>
      <c r="J161" s="248"/>
      <c r="K161" s="164">
        <f t="shared" si="7"/>
        <v>0</v>
      </c>
      <c r="L161" s="174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3"/>
      <c r="AH161" s="19"/>
      <c r="AI161" s="19"/>
      <c r="AJ161" s="19"/>
      <c r="AK161" s="19"/>
    </row>
    <row r="162" spans="1:37" outlineLevel="2" collapsed="1" x14ac:dyDescent="0.2">
      <c r="A162" s="19"/>
      <c r="B162" s="19"/>
      <c r="C162" s="539" t="s">
        <v>240</v>
      </c>
      <c r="D162" s="505"/>
      <c r="E162" s="505"/>
      <c r="F162" s="505"/>
      <c r="G162" s="505"/>
      <c r="H162" s="58"/>
      <c r="I162" s="323">
        <v>530194.48277312983</v>
      </c>
      <c r="J162" s="323"/>
      <c r="K162" s="323">
        <f>SUM(K87:K161)</f>
        <v>530194.48277312983</v>
      </c>
      <c r="L162" s="324"/>
      <c r="M162" s="323">
        <f t="shared" ref="M162:AF162" si="8">SUM(M87:M161)</f>
        <v>530194.48277312983</v>
      </c>
      <c r="N162" s="323">
        <f t="shared" si="8"/>
        <v>2574795875.5255113</v>
      </c>
      <c r="O162" s="323">
        <f t="shared" si="8"/>
        <v>495271262.29486787</v>
      </c>
      <c r="P162" s="323">
        <f t="shared" si="8"/>
        <v>219513968.45404699</v>
      </c>
      <c r="Q162" s="323">
        <f t="shared" si="8"/>
        <v>619192523.12963772</v>
      </c>
      <c r="R162" s="323">
        <f t="shared" si="8"/>
        <v>23033783.6277408</v>
      </c>
      <c r="S162" s="323">
        <f t="shared" si="8"/>
        <v>28959429.803804379</v>
      </c>
      <c r="T162" s="323">
        <f t="shared" si="8"/>
        <v>29779009.421522118</v>
      </c>
      <c r="U162" s="323">
        <f t="shared" si="8"/>
        <v>25436064.576346245</v>
      </c>
      <c r="V162" s="323">
        <f t="shared" si="8"/>
        <v>160547.3968482184</v>
      </c>
      <c r="W162" s="323">
        <f t="shared" si="8"/>
        <v>0</v>
      </c>
      <c r="X162" s="323">
        <f t="shared" si="8"/>
        <v>0</v>
      </c>
      <c r="Y162" s="323">
        <f t="shared" si="8"/>
        <v>3748016.8646945246</v>
      </c>
      <c r="Z162" s="323">
        <f t="shared" si="8"/>
        <v>0</v>
      </c>
      <c r="AA162" s="323">
        <f t="shared" si="8"/>
        <v>0</v>
      </c>
      <c r="AB162" s="323">
        <f t="shared" si="8"/>
        <v>0</v>
      </c>
      <c r="AC162" s="323">
        <f t="shared" si="8"/>
        <v>0</v>
      </c>
      <c r="AD162" s="323">
        <f t="shared" si="8"/>
        <v>0</v>
      </c>
      <c r="AE162" s="323">
        <f t="shared" si="8"/>
        <v>0</v>
      </c>
      <c r="AF162" s="323">
        <f t="shared" si="8"/>
        <v>0</v>
      </c>
      <c r="AG162" s="325"/>
      <c r="AH162" s="19"/>
      <c r="AI162" s="19"/>
      <c r="AJ162" s="19"/>
      <c r="AK162" s="19"/>
    </row>
    <row r="163" spans="1:37" outlineLevel="2" x14ac:dyDescent="0.2">
      <c r="A163" s="19"/>
      <c r="B163" s="19"/>
      <c r="C163" s="66"/>
      <c r="D163" s="58"/>
      <c r="E163" s="58"/>
      <c r="F163" s="58"/>
      <c r="G163" s="58"/>
      <c r="H163" s="58"/>
      <c r="I163" s="174"/>
      <c r="J163" s="174"/>
      <c r="K163" s="174"/>
      <c r="L163" s="174"/>
      <c r="M163" s="177"/>
      <c r="N163" s="177"/>
      <c r="O163" s="178"/>
      <c r="P163" s="178"/>
      <c r="Q163" s="178"/>
      <c r="R163" s="179"/>
      <c r="S163" s="179"/>
      <c r="T163" s="179"/>
      <c r="U163" s="179"/>
      <c r="V163" s="179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3"/>
      <c r="AH163" s="19"/>
      <c r="AI163" s="19"/>
      <c r="AJ163" s="19"/>
      <c r="AK163" s="19"/>
    </row>
    <row r="164" spans="1:37" outlineLevel="1" x14ac:dyDescent="0.2">
      <c r="A164" s="19"/>
      <c r="B164" s="19"/>
      <c r="C164" s="66"/>
      <c r="D164" s="58"/>
      <c r="E164" s="58"/>
      <c r="F164" s="58"/>
      <c r="G164" s="58"/>
      <c r="H164" s="58"/>
      <c r="I164" s="174"/>
      <c r="J164" s="174"/>
      <c r="K164" s="174"/>
      <c r="L164" s="174"/>
      <c r="M164" s="177"/>
      <c r="N164" s="177"/>
      <c r="O164" s="178"/>
      <c r="P164" s="178"/>
      <c r="Q164" s="178"/>
      <c r="R164" s="179"/>
      <c r="S164" s="179"/>
      <c r="T164" s="179"/>
      <c r="U164" s="179"/>
      <c r="V164" s="179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3"/>
      <c r="AH164" s="19"/>
      <c r="AI164" s="19"/>
      <c r="AJ164" s="19"/>
      <c r="AK164" s="19"/>
    </row>
    <row r="165" spans="1:37" outlineLevel="1" x14ac:dyDescent="0.2">
      <c r="A165" s="19"/>
      <c r="B165" s="19"/>
      <c r="C165" s="167" t="str">
        <f>"Actual "&amp;previousyear</f>
        <v>Actual 2020–21</v>
      </c>
      <c r="D165" s="20"/>
      <c r="E165" s="20"/>
      <c r="F165" s="20"/>
      <c r="G165" s="20"/>
      <c r="H165" s="20"/>
      <c r="I165" s="181"/>
      <c r="J165" s="181"/>
      <c r="K165" s="171"/>
      <c r="L165" s="171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3"/>
      <c r="AH165" s="19"/>
      <c r="AI165" s="19"/>
      <c r="AJ165" s="19"/>
      <c r="AK165" s="19"/>
    </row>
    <row r="166" spans="1:37" outlineLevel="2" x14ac:dyDescent="0.2">
      <c r="A166" s="19"/>
      <c r="B166" s="19"/>
      <c r="C166" s="506" t="str">
        <f>IF(OR(previousyear=RCPminus2,previousyear=RCPminus1),Tariffs!H46,C8)</f>
        <v>Residential time of use consumption</v>
      </c>
      <c r="D166" s="505" t="str">
        <f>IF($C166=0,0,Tariffs!D46)</f>
        <v>Residential</v>
      </c>
      <c r="E166" s="505" t="str">
        <f>IF($C166=0,0,Tariffs!E46)</f>
        <v>TAS93</v>
      </c>
      <c r="F166" s="505">
        <f>IF($C166=0,0,Tariffs!F46)</f>
        <v>0</v>
      </c>
      <c r="G166" s="505">
        <f>IF($C166=0,0,Tariffs!G46)</f>
        <v>0</v>
      </c>
      <c r="H166" s="20"/>
      <c r="I166" s="248">
        <v>34068.071232876711</v>
      </c>
      <c r="J166" s="248"/>
      <c r="K166" s="164">
        <f t="shared" ref="K166:K197" si="9">SUMIF($M$6:$AF$6,"units",M166:AF166)</f>
        <v>34068.071232876711</v>
      </c>
      <c r="L166" s="171"/>
      <c r="M166" s="172">
        <v>34068.071232876711</v>
      </c>
      <c r="N166" s="172">
        <v>0</v>
      </c>
      <c r="O166" s="172">
        <v>84440497.558743179</v>
      </c>
      <c r="P166" s="172">
        <v>0</v>
      </c>
      <c r="Q166" s="172">
        <v>195087793.69925576</v>
      </c>
      <c r="R166" s="172">
        <v>0</v>
      </c>
      <c r="S166" s="172">
        <v>0</v>
      </c>
      <c r="T166" s="172">
        <v>0</v>
      </c>
      <c r="U166" s="172">
        <v>0</v>
      </c>
      <c r="V166" s="172">
        <v>0</v>
      </c>
      <c r="W166" s="172">
        <v>0</v>
      </c>
      <c r="X166" s="172">
        <v>0</v>
      </c>
      <c r="Y166" s="172">
        <v>0</v>
      </c>
      <c r="Z166" s="172"/>
      <c r="AA166" s="172"/>
      <c r="AB166" s="172"/>
      <c r="AC166" s="172"/>
      <c r="AD166" s="172"/>
      <c r="AE166" s="172"/>
      <c r="AF166" s="172"/>
      <c r="AG166" s="173"/>
      <c r="AH166" s="19"/>
      <c r="AI166" s="19"/>
      <c r="AJ166" s="19"/>
      <c r="AK166" s="19"/>
    </row>
    <row r="167" spans="1:37" s="59" customFormat="1" outlineLevel="2" x14ac:dyDescent="0.2">
      <c r="A167" s="57"/>
      <c r="B167" s="57"/>
      <c r="C167" s="506" t="str">
        <f>IF(OR(previousyear=RCPminus2,previousyear=RCPminus1),Tariffs!H47,C9)</f>
        <v>Residential general light and power</v>
      </c>
      <c r="D167" s="505" t="str">
        <f>IF($C167=0,0,Tariffs!D47)</f>
        <v>Residential</v>
      </c>
      <c r="E167" s="505" t="str">
        <f>IF($C167=0,0,Tariffs!E47)</f>
        <v>TAS31</v>
      </c>
      <c r="F167" s="505">
        <f>IF($C167=0,0,Tariffs!F47)</f>
        <v>0</v>
      </c>
      <c r="G167" s="505">
        <f>IF($C167=0,0,Tariffs!G47)</f>
        <v>0</v>
      </c>
      <c r="H167" s="58"/>
      <c r="I167" s="248">
        <v>231256.7095890411</v>
      </c>
      <c r="J167" s="248"/>
      <c r="K167" s="164">
        <f t="shared" si="9"/>
        <v>231256.7095890411</v>
      </c>
      <c r="L167" s="174"/>
      <c r="M167" s="175">
        <v>231256.7095890411</v>
      </c>
      <c r="N167" s="175">
        <v>843502450.45699978</v>
      </c>
      <c r="O167" s="175">
        <v>0</v>
      </c>
      <c r="P167" s="175">
        <v>0</v>
      </c>
      <c r="Q167" s="175">
        <v>0</v>
      </c>
      <c r="R167" s="175">
        <v>0</v>
      </c>
      <c r="S167" s="175">
        <v>0</v>
      </c>
      <c r="T167" s="175">
        <v>0</v>
      </c>
      <c r="U167" s="175">
        <v>0</v>
      </c>
      <c r="V167" s="175">
        <v>0</v>
      </c>
      <c r="W167" s="175">
        <v>0</v>
      </c>
      <c r="X167" s="175">
        <v>0</v>
      </c>
      <c r="Y167" s="175">
        <v>0</v>
      </c>
      <c r="Z167" s="175"/>
      <c r="AA167" s="175"/>
      <c r="AB167" s="175"/>
      <c r="AC167" s="175"/>
      <c r="AD167" s="175"/>
      <c r="AE167" s="175"/>
      <c r="AF167" s="175"/>
      <c r="AG167" s="176"/>
      <c r="AH167" s="57"/>
      <c r="AI167" s="57"/>
      <c r="AJ167" s="57"/>
      <c r="AK167" s="57"/>
    </row>
    <row r="168" spans="1:37" outlineLevel="2" x14ac:dyDescent="0.2">
      <c r="A168" s="19"/>
      <c r="B168" s="19"/>
      <c r="C168" s="506" t="str">
        <f>IF(OR(previousyear=RCPminus2,previousyear=RCPminus1),Tariffs!H48,C10)</f>
        <v>Residential time of use demand</v>
      </c>
      <c r="D168" s="505" t="str">
        <f>IF($C168=0,0,Tariffs!D48)</f>
        <v>Residential</v>
      </c>
      <c r="E168" s="505" t="str">
        <f>IF($C168=0,0,Tariffs!E48)</f>
        <v>TAS87</v>
      </c>
      <c r="F168" s="505">
        <f>IF($C168=0,0,Tariffs!F48)</f>
        <v>0</v>
      </c>
      <c r="G168" s="505">
        <f>IF($C168=0,0,Tariffs!G48)</f>
        <v>0</v>
      </c>
      <c r="H168" s="58"/>
      <c r="I168" s="248">
        <v>1.0191780821917809</v>
      </c>
      <c r="J168" s="248"/>
      <c r="K168" s="164">
        <f t="shared" si="9"/>
        <v>1.0191780821917809</v>
      </c>
      <c r="L168" s="174"/>
      <c r="M168" s="175">
        <v>1.0191780821917809</v>
      </c>
      <c r="N168" s="175">
        <v>0</v>
      </c>
      <c r="O168" s="175">
        <v>0</v>
      </c>
      <c r="P168" s="175">
        <v>0</v>
      </c>
      <c r="Q168" s="175">
        <v>0</v>
      </c>
      <c r="R168" s="175">
        <v>0</v>
      </c>
      <c r="S168" s="175">
        <v>0</v>
      </c>
      <c r="T168" s="175">
        <v>0</v>
      </c>
      <c r="U168" s="175">
        <v>0</v>
      </c>
      <c r="V168" s="175">
        <v>0</v>
      </c>
      <c r="W168" s="175">
        <v>0</v>
      </c>
      <c r="X168" s="175">
        <v>0</v>
      </c>
      <c r="Y168" s="175">
        <v>0</v>
      </c>
      <c r="Z168" s="175"/>
      <c r="AA168" s="175"/>
      <c r="AB168" s="175"/>
      <c r="AC168" s="175"/>
      <c r="AD168" s="175"/>
      <c r="AE168" s="175"/>
      <c r="AF168" s="175"/>
      <c r="AG168" s="173"/>
      <c r="AH168" s="19"/>
      <c r="AI168" s="19"/>
      <c r="AJ168" s="19"/>
      <c r="AK168" s="19"/>
    </row>
    <row r="169" spans="1:37" outlineLevel="2" x14ac:dyDescent="0.2">
      <c r="A169" s="19"/>
      <c r="B169" s="19"/>
      <c r="C169" s="506" t="str">
        <f>IF(OR(previousyear=RCPminus2,previousyear=RCPminus1),Tariffs!H49,C11)</f>
        <v>Residential time of use demand DER</v>
      </c>
      <c r="D169" s="505" t="str">
        <f>IF($C169=0,0,Tariffs!D49)</f>
        <v>Residential</v>
      </c>
      <c r="E169" s="505" t="str">
        <f>IF($C169=0,0,Tariffs!E49)</f>
        <v>TAS97</v>
      </c>
      <c r="F169" s="505">
        <f>IF($C169=0,0,Tariffs!F49)</f>
        <v>0</v>
      </c>
      <c r="G169" s="505">
        <f>IF($C169=0,0,Tariffs!G49)</f>
        <v>0</v>
      </c>
      <c r="H169" s="58"/>
      <c r="I169" s="248">
        <v>0</v>
      </c>
      <c r="J169" s="248"/>
      <c r="K169" s="164">
        <f t="shared" si="9"/>
        <v>0</v>
      </c>
      <c r="L169" s="174"/>
      <c r="M169" s="175">
        <v>0</v>
      </c>
      <c r="N169" s="175">
        <v>0</v>
      </c>
      <c r="O169" s="175">
        <v>0</v>
      </c>
      <c r="P169" s="175">
        <v>0</v>
      </c>
      <c r="Q169" s="175">
        <v>0</v>
      </c>
      <c r="R169" s="175">
        <v>0</v>
      </c>
      <c r="S169" s="175">
        <v>0</v>
      </c>
      <c r="T169" s="175">
        <v>0</v>
      </c>
      <c r="U169" s="175">
        <v>0</v>
      </c>
      <c r="V169" s="175">
        <v>0</v>
      </c>
      <c r="W169" s="175">
        <v>0</v>
      </c>
      <c r="X169" s="175">
        <v>0</v>
      </c>
      <c r="Y169" s="175">
        <v>0</v>
      </c>
      <c r="Z169" s="175"/>
      <c r="AA169" s="175"/>
      <c r="AB169" s="175"/>
      <c r="AC169" s="175"/>
      <c r="AD169" s="175"/>
      <c r="AE169" s="175"/>
      <c r="AF169" s="175"/>
      <c r="AG169" s="173"/>
      <c r="AH169" s="19"/>
      <c r="AI169" s="19"/>
      <c r="AJ169" s="19"/>
      <c r="AK169" s="19"/>
    </row>
    <row r="170" spans="1:37" outlineLevel="2" x14ac:dyDescent="0.2">
      <c r="A170" s="19"/>
      <c r="B170" s="19"/>
      <c r="C170" s="506" t="str">
        <f>IF(OR(previousyear=RCPminus2,previousyear=RCPminus1),Tariffs!H50,C12)</f>
        <v>Residential pay as you go</v>
      </c>
      <c r="D170" s="505" t="str">
        <f>IF($C170=0,0,Tariffs!D50)</f>
        <v>Residential</v>
      </c>
      <c r="E170" s="505" t="str">
        <f>IF($C170=0,0,Tariffs!E50)</f>
        <v>TAS101</v>
      </c>
      <c r="F170" s="505">
        <f>IF($C170=0,0,Tariffs!F50)</f>
        <v>0</v>
      </c>
      <c r="G170" s="505">
        <f>IF($C170=0,0,Tariffs!G50)</f>
        <v>0</v>
      </c>
      <c r="H170" s="58"/>
      <c r="I170" s="248">
        <v>51.123287671232873</v>
      </c>
      <c r="J170" s="248"/>
      <c r="K170" s="164">
        <f t="shared" si="9"/>
        <v>51.123287671232873</v>
      </c>
      <c r="L170" s="174"/>
      <c r="M170" s="175">
        <v>51.123287671232873</v>
      </c>
      <c r="N170" s="175">
        <v>113754</v>
      </c>
      <c r="O170" s="175">
        <v>0</v>
      </c>
      <c r="P170" s="175">
        <v>0</v>
      </c>
      <c r="Q170" s="175">
        <v>0</v>
      </c>
      <c r="R170" s="175">
        <v>0</v>
      </c>
      <c r="S170" s="175">
        <v>0</v>
      </c>
      <c r="T170" s="175">
        <v>0</v>
      </c>
      <c r="U170" s="175">
        <v>0</v>
      </c>
      <c r="V170" s="175">
        <v>0</v>
      </c>
      <c r="W170" s="175">
        <v>0</v>
      </c>
      <c r="X170" s="175">
        <v>0</v>
      </c>
      <c r="Y170" s="175">
        <v>0</v>
      </c>
      <c r="Z170" s="175"/>
      <c r="AA170" s="175"/>
      <c r="AB170" s="175"/>
      <c r="AC170" s="175"/>
      <c r="AD170" s="175"/>
      <c r="AE170" s="175"/>
      <c r="AF170" s="175"/>
      <c r="AG170" s="173"/>
      <c r="AH170" s="19"/>
      <c r="AI170" s="19"/>
      <c r="AJ170" s="19"/>
      <c r="AK170" s="19"/>
    </row>
    <row r="171" spans="1:37" outlineLevel="2" x14ac:dyDescent="0.2">
      <c r="A171" s="19"/>
      <c r="B171" s="19"/>
      <c r="C171" s="506" t="str">
        <f>IF(OR(previousyear=RCPminus2,previousyear=RCPminus1),Tariffs!H51,C13)</f>
        <v>Residential pay as you go time of use</v>
      </c>
      <c r="D171" s="505" t="str">
        <f>IF($C171=0,0,Tariffs!D51)</f>
        <v>Residential</v>
      </c>
      <c r="E171" s="505" t="str">
        <f>IF($C171=0,0,Tariffs!E51)</f>
        <v>TAS92</v>
      </c>
      <c r="F171" s="505">
        <f>IF($C171=0,0,Tariffs!F51)</f>
        <v>0</v>
      </c>
      <c r="G171" s="505">
        <f>IF($C171=0,0,Tariffs!G51)</f>
        <v>0</v>
      </c>
      <c r="H171" s="58"/>
      <c r="I171" s="248">
        <v>0</v>
      </c>
      <c r="J171" s="248"/>
      <c r="K171" s="164">
        <f t="shared" si="9"/>
        <v>0</v>
      </c>
      <c r="L171" s="174"/>
      <c r="M171" s="175">
        <v>0</v>
      </c>
      <c r="N171" s="175">
        <v>0</v>
      </c>
      <c r="O171" s="175">
        <v>0</v>
      </c>
      <c r="P171" s="175">
        <v>0</v>
      </c>
      <c r="Q171" s="175">
        <v>0</v>
      </c>
      <c r="R171" s="175">
        <v>0</v>
      </c>
      <c r="S171" s="175">
        <v>0</v>
      </c>
      <c r="T171" s="175">
        <v>0</v>
      </c>
      <c r="U171" s="175">
        <v>0</v>
      </c>
      <c r="V171" s="175">
        <v>0</v>
      </c>
      <c r="W171" s="175">
        <v>0</v>
      </c>
      <c r="X171" s="175">
        <v>0</v>
      </c>
      <c r="Y171" s="175">
        <v>0</v>
      </c>
      <c r="Z171" s="175"/>
      <c r="AA171" s="175"/>
      <c r="AB171" s="175"/>
      <c r="AC171" s="175"/>
      <c r="AD171" s="175"/>
      <c r="AE171" s="175"/>
      <c r="AF171" s="175"/>
      <c r="AG171" s="173"/>
      <c r="AH171" s="19"/>
      <c r="AI171" s="19"/>
      <c r="AJ171" s="19"/>
      <c r="AK171" s="19"/>
    </row>
    <row r="172" spans="1:37" outlineLevel="2" x14ac:dyDescent="0.2">
      <c r="A172" s="19"/>
      <c r="B172" s="19"/>
      <c r="C172" s="506" t="str">
        <f>IF(OR(previousyear=RCPminus2,previousyear=RCPminus1),Tariffs!H52,C14)</f>
        <v>Small business time of use consumption</v>
      </c>
      <c r="D172" s="505" t="str">
        <f>IF($C172=0,0,Tariffs!D52)</f>
        <v>Small Business LV</v>
      </c>
      <c r="E172" s="505" t="str">
        <f>IF($C172=0,0,Tariffs!E52)</f>
        <v>TAS94</v>
      </c>
      <c r="F172" s="505">
        <f>IF($C172=0,0,Tariffs!F52)</f>
        <v>0</v>
      </c>
      <c r="G172" s="505">
        <f>IF($C172=0,0,Tariffs!G52)</f>
        <v>0</v>
      </c>
      <c r="H172" s="58"/>
      <c r="I172" s="248">
        <v>7102.6520547945202</v>
      </c>
      <c r="J172" s="248"/>
      <c r="K172" s="164">
        <f t="shared" si="9"/>
        <v>7102.6520547945202</v>
      </c>
      <c r="L172" s="174"/>
      <c r="M172" s="175">
        <v>7102.6520547945202</v>
      </c>
      <c r="N172" s="175">
        <v>0</v>
      </c>
      <c r="O172" s="175">
        <v>259155454.58300003</v>
      </c>
      <c r="P172" s="175">
        <v>65008259.274000004</v>
      </c>
      <c r="Q172" s="175">
        <v>128707308.918</v>
      </c>
      <c r="R172" s="175">
        <v>0</v>
      </c>
      <c r="S172" s="175">
        <v>0</v>
      </c>
      <c r="T172" s="175">
        <v>0</v>
      </c>
      <c r="U172" s="175">
        <v>0</v>
      </c>
      <c r="V172" s="175">
        <v>0</v>
      </c>
      <c r="W172" s="175">
        <v>0</v>
      </c>
      <c r="X172" s="175">
        <v>0</v>
      </c>
      <c r="Y172" s="175">
        <v>0</v>
      </c>
      <c r="Z172" s="175"/>
      <c r="AA172" s="175"/>
      <c r="AB172" s="175"/>
      <c r="AC172" s="175"/>
      <c r="AD172" s="175"/>
      <c r="AE172" s="175"/>
      <c r="AF172" s="175"/>
      <c r="AG172" s="173"/>
      <c r="AH172" s="19"/>
      <c r="AI172" s="19"/>
      <c r="AJ172" s="19"/>
      <c r="AK172" s="19"/>
    </row>
    <row r="173" spans="1:37" outlineLevel="2" x14ac:dyDescent="0.2">
      <c r="A173" s="19"/>
      <c r="B173" s="19"/>
      <c r="C173" s="506" t="str">
        <f>IF(OR(previousyear=RCPminus2,previousyear=RCPminus1),Tariffs!H53,C15)</f>
        <v>Small business general light and power</v>
      </c>
      <c r="D173" s="505" t="str">
        <f>IF($C173=0,0,Tariffs!D53)</f>
        <v>Small Business LV</v>
      </c>
      <c r="E173" s="505" t="str">
        <f>IF($C173=0,0,Tariffs!E53)</f>
        <v>TAS22</v>
      </c>
      <c r="F173" s="505">
        <f>IF($C173=0,0,Tariffs!F53)</f>
        <v>0</v>
      </c>
      <c r="G173" s="505">
        <f>IF($C173=0,0,Tariffs!G53)</f>
        <v>0</v>
      </c>
      <c r="H173" s="58"/>
      <c r="I173" s="248">
        <v>27744.956164383562</v>
      </c>
      <c r="J173" s="248"/>
      <c r="K173" s="164">
        <f t="shared" si="9"/>
        <v>27744.956164383562</v>
      </c>
      <c r="L173" s="174"/>
      <c r="M173" s="175">
        <v>27744.956164383562</v>
      </c>
      <c r="N173" s="175">
        <v>250621169.19399995</v>
      </c>
      <c r="O173" s="175">
        <v>0</v>
      </c>
      <c r="P173" s="175">
        <v>0</v>
      </c>
      <c r="Q173" s="175">
        <v>0</v>
      </c>
      <c r="R173" s="175">
        <v>0</v>
      </c>
      <c r="S173" s="175"/>
      <c r="T173" s="175"/>
      <c r="U173" s="175">
        <v>0</v>
      </c>
      <c r="V173" s="175">
        <v>0</v>
      </c>
      <c r="W173" s="175">
        <v>0</v>
      </c>
      <c r="X173" s="175">
        <v>0</v>
      </c>
      <c r="Y173" s="175">
        <v>0</v>
      </c>
      <c r="Z173" s="175"/>
      <c r="AA173" s="175"/>
      <c r="AB173" s="175"/>
      <c r="AC173" s="175"/>
      <c r="AD173" s="175"/>
      <c r="AE173" s="175"/>
      <c r="AF173" s="175"/>
      <c r="AG173" s="173"/>
      <c r="AH173" s="19"/>
      <c r="AI173" s="19"/>
      <c r="AJ173" s="19"/>
      <c r="AK173" s="19"/>
    </row>
    <row r="174" spans="1:37" outlineLevel="2" x14ac:dyDescent="0.2">
      <c r="A174" s="19"/>
      <c r="B174" s="19"/>
      <c r="C174" s="506" t="str">
        <f>IF(OR(previousyear=RCPminus2,previousyear=RCPminus1),Tariffs!H54,C16)</f>
        <v>Small business time of use demand</v>
      </c>
      <c r="D174" s="505" t="str">
        <f>IF($C174=0,0,Tariffs!D54)</f>
        <v>Small Business LV</v>
      </c>
      <c r="E174" s="505" t="str">
        <f>IF($C174=0,0,Tariffs!E54)</f>
        <v>TAS88</v>
      </c>
      <c r="F174" s="505">
        <f>IF($C174=0,0,Tariffs!F54)</f>
        <v>0</v>
      </c>
      <c r="G174" s="505">
        <f>IF($C174=0,0,Tariffs!G54)</f>
        <v>0</v>
      </c>
      <c r="H174" s="58"/>
      <c r="I174" s="248">
        <v>808.99726027397264</v>
      </c>
      <c r="J174" s="248"/>
      <c r="K174" s="164">
        <f t="shared" si="9"/>
        <v>808.99726027397264</v>
      </c>
      <c r="L174" s="174"/>
      <c r="M174" s="175">
        <v>808.99726027397264</v>
      </c>
      <c r="N174" s="175">
        <v>0</v>
      </c>
      <c r="O174" s="175">
        <v>0</v>
      </c>
      <c r="P174" s="175">
        <v>0</v>
      </c>
      <c r="Q174" s="175">
        <v>0</v>
      </c>
      <c r="R174" s="175">
        <v>0</v>
      </c>
      <c r="S174" s="175">
        <v>9622264</v>
      </c>
      <c r="T174" s="175">
        <v>9970397</v>
      </c>
      <c r="U174" s="175">
        <v>0</v>
      </c>
      <c r="V174" s="175">
        <v>0</v>
      </c>
      <c r="W174" s="175">
        <v>0</v>
      </c>
      <c r="X174" s="175">
        <v>0</v>
      </c>
      <c r="Y174" s="175">
        <v>0</v>
      </c>
      <c r="Z174" s="175"/>
      <c r="AA174" s="175"/>
      <c r="AB174" s="175"/>
      <c r="AC174" s="175"/>
      <c r="AD174" s="175"/>
      <c r="AE174" s="175"/>
      <c r="AF174" s="175"/>
      <c r="AG174" s="173"/>
      <c r="AH174" s="19"/>
      <c r="AI174" s="19"/>
      <c r="AJ174" s="19"/>
      <c r="AK174" s="19"/>
    </row>
    <row r="175" spans="1:37" outlineLevel="2" x14ac:dyDescent="0.2">
      <c r="A175" s="19"/>
      <c r="B175" s="19"/>
      <c r="C175" s="506" t="str">
        <f>IF(OR(previousyear=RCPminus2,previousyear=RCPminus1),Tariffs!H55,C17)</f>
        <v>Small business time of use demand DER</v>
      </c>
      <c r="D175" s="505" t="str">
        <f>IF($C175=0,0,Tariffs!D55)</f>
        <v>Small Business LV</v>
      </c>
      <c r="E175" s="505" t="str">
        <f>IF($C175=0,0,Tariffs!E55)</f>
        <v>TAS98</v>
      </c>
      <c r="F175" s="505">
        <f>IF($C175=0,0,Tariffs!F55)</f>
        <v>0</v>
      </c>
      <c r="G175" s="505">
        <f>IF($C175=0,0,Tariffs!G55)</f>
        <v>0</v>
      </c>
      <c r="H175" s="58"/>
      <c r="I175" s="248">
        <v>77.109589041095887</v>
      </c>
      <c r="J175" s="248"/>
      <c r="K175" s="164">
        <f t="shared" si="9"/>
        <v>77.109589041095887</v>
      </c>
      <c r="L175" s="174"/>
      <c r="M175" s="175">
        <v>77.109589041095887</v>
      </c>
      <c r="N175" s="175">
        <v>0</v>
      </c>
      <c r="O175" s="175">
        <v>0</v>
      </c>
      <c r="P175" s="175">
        <v>0</v>
      </c>
      <c r="Q175" s="175">
        <v>0</v>
      </c>
      <c r="R175" s="175"/>
      <c r="S175" s="175">
        <v>1610185.9999999998</v>
      </c>
      <c r="T175" s="175">
        <v>1708277.9999999998</v>
      </c>
      <c r="U175" s="175">
        <v>0</v>
      </c>
      <c r="V175" s="175">
        <v>0</v>
      </c>
      <c r="W175" s="175">
        <v>0</v>
      </c>
      <c r="X175" s="175">
        <v>0</v>
      </c>
      <c r="Y175" s="175">
        <v>0</v>
      </c>
      <c r="Z175" s="175"/>
      <c r="AA175" s="175"/>
      <c r="AB175" s="175"/>
      <c r="AC175" s="175"/>
      <c r="AD175" s="175"/>
      <c r="AE175" s="175"/>
      <c r="AF175" s="175"/>
      <c r="AG175" s="173"/>
      <c r="AH175" s="19"/>
      <c r="AI175" s="19"/>
      <c r="AJ175" s="19"/>
      <c r="AK175" s="19"/>
    </row>
    <row r="176" spans="1:37" outlineLevel="2" x14ac:dyDescent="0.2">
      <c r="A176" s="19"/>
      <c r="B176" s="19"/>
      <c r="C176" s="506" t="str">
        <f>IF(OR(previousyear=RCPminus2,previousyear=RCPminus1),Tariffs!H56,C18)</f>
        <v>Large business kVA demand</v>
      </c>
      <c r="D176" s="505" t="str">
        <f>IF($C176=0,0,Tariffs!D56)</f>
        <v>Large Business LV</v>
      </c>
      <c r="E176" s="505" t="str">
        <f>IF($C176=0,0,Tariffs!E56)</f>
        <v>TAS82</v>
      </c>
      <c r="F176" s="505">
        <f>IF($C176=0,0,Tariffs!F56)</f>
        <v>0</v>
      </c>
      <c r="G176" s="505">
        <f>IF($C176=0,0,Tariffs!G56)</f>
        <v>0</v>
      </c>
      <c r="H176" s="58"/>
      <c r="I176" s="248">
        <v>580.52876712328771</v>
      </c>
      <c r="J176" s="248"/>
      <c r="K176" s="164">
        <f t="shared" si="9"/>
        <v>580.52876712328771</v>
      </c>
      <c r="L176" s="174"/>
      <c r="M176" s="175">
        <v>580.52876712328771</v>
      </c>
      <c r="N176" s="175">
        <v>0</v>
      </c>
      <c r="O176" s="175">
        <v>0</v>
      </c>
      <c r="P176" s="175">
        <v>0</v>
      </c>
      <c r="Q176" s="175">
        <v>0</v>
      </c>
      <c r="R176" s="175">
        <v>22495805</v>
      </c>
      <c r="S176" s="175">
        <v>0</v>
      </c>
      <c r="T176" s="175">
        <v>0</v>
      </c>
      <c r="U176" s="175">
        <v>0</v>
      </c>
      <c r="V176" s="175">
        <v>0</v>
      </c>
      <c r="W176" s="175">
        <v>0</v>
      </c>
      <c r="X176" s="175">
        <v>0</v>
      </c>
      <c r="Y176" s="175">
        <v>0</v>
      </c>
      <c r="Z176" s="175"/>
      <c r="AA176" s="175"/>
      <c r="AB176" s="175"/>
      <c r="AC176" s="175"/>
      <c r="AD176" s="175"/>
      <c r="AE176" s="175"/>
      <c r="AF176" s="175"/>
      <c r="AG176" s="173"/>
      <c r="AH176" s="19"/>
      <c r="AI176" s="19"/>
      <c r="AJ176" s="19"/>
      <c r="AK176" s="19"/>
    </row>
    <row r="177" spans="1:37" outlineLevel="2" x14ac:dyDescent="0.2">
      <c r="A177" s="19"/>
      <c r="B177" s="19"/>
      <c r="C177" s="506" t="str">
        <f>IF(OR(previousyear=RCPminus2,previousyear=RCPminus1),Tariffs!H57,C19)</f>
        <v>Large business time of use demand</v>
      </c>
      <c r="D177" s="505" t="str">
        <f>IF($C177=0,0,Tariffs!D57)</f>
        <v>Large Business LV</v>
      </c>
      <c r="E177" s="505" t="str">
        <f>IF($C177=0,0,Tariffs!E57)</f>
        <v>TAS89</v>
      </c>
      <c r="F177" s="505">
        <f>IF($C177=0,0,Tariffs!F57)</f>
        <v>0</v>
      </c>
      <c r="G177" s="505">
        <f>IF($C177=0,0,Tariffs!G57)</f>
        <v>0</v>
      </c>
      <c r="H177" s="58"/>
      <c r="I177" s="248">
        <v>209.57808219178082</v>
      </c>
      <c r="J177" s="248"/>
      <c r="K177" s="164">
        <f t="shared" si="9"/>
        <v>209.57808219178082</v>
      </c>
      <c r="L177" s="174"/>
      <c r="M177" s="175">
        <v>209.57808219178082</v>
      </c>
      <c r="N177" s="175">
        <v>0</v>
      </c>
      <c r="O177" s="175">
        <v>0</v>
      </c>
      <c r="P177" s="175">
        <v>0</v>
      </c>
      <c r="Q177" s="175">
        <v>0</v>
      </c>
      <c r="R177" s="175">
        <v>0</v>
      </c>
      <c r="S177" s="175">
        <v>14912361.000000002</v>
      </c>
      <c r="T177" s="175">
        <v>15196652</v>
      </c>
      <c r="U177" s="175">
        <v>0</v>
      </c>
      <c r="V177" s="175">
        <v>0</v>
      </c>
      <c r="W177" s="175">
        <v>0</v>
      </c>
      <c r="X177" s="175">
        <v>0</v>
      </c>
      <c r="Y177" s="175">
        <v>0</v>
      </c>
      <c r="Z177" s="175"/>
      <c r="AA177" s="175"/>
      <c r="AB177" s="175"/>
      <c r="AC177" s="175"/>
      <c r="AD177" s="175"/>
      <c r="AE177" s="175"/>
      <c r="AF177" s="175"/>
      <c r="AG177" s="173"/>
      <c r="AH177" s="19"/>
      <c r="AI177" s="19"/>
      <c r="AJ177" s="19"/>
      <c r="AK177" s="19"/>
    </row>
    <row r="178" spans="1:37" outlineLevel="2" x14ac:dyDescent="0.2">
      <c r="A178" s="19"/>
      <c r="B178" s="19"/>
      <c r="C178" s="506" t="str">
        <f>IF(OR(previousyear=RCPminus2,previousyear=RCPminus1),Tariffs!H58,C20)</f>
        <v>Irrigation time of use consumption</v>
      </c>
      <c r="D178" s="505" t="str">
        <f>IF($C178=0,0,Tariffs!D58)</f>
        <v>Irrigation</v>
      </c>
      <c r="E178" s="505" t="str">
        <f>IF($C178=0,0,Tariffs!E58)</f>
        <v>TAS75</v>
      </c>
      <c r="F178" s="505">
        <f>IF($C178=0,0,Tariffs!F58)</f>
        <v>0</v>
      </c>
      <c r="G178" s="505">
        <f>IF($C178=0,0,Tariffs!G58)</f>
        <v>0</v>
      </c>
      <c r="H178" s="58"/>
      <c r="I178" s="248">
        <v>3945.682191780822</v>
      </c>
      <c r="J178" s="248"/>
      <c r="K178" s="164">
        <f t="shared" si="9"/>
        <v>3945.682191780822</v>
      </c>
      <c r="L178" s="174"/>
      <c r="M178" s="175">
        <v>3945.682191780822</v>
      </c>
      <c r="N178" s="175">
        <v>0</v>
      </c>
      <c r="O178" s="175">
        <v>10269904.280999999</v>
      </c>
      <c r="P178" s="175">
        <v>45775071.849999987</v>
      </c>
      <c r="Q178" s="175">
        <v>69020275.398999989</v>
      </c>
      <c r="R178" s="175">
        <v>0</v>
      </c>
      <c r="S178" s="175">
        <v>0</v>
      </c>
      <c r="T178" s="175">
        <v>0</v>
      </c>
      <c r="U178" s="175"/>
      <c r="V178" s="175"/>
      <c r="W178" s="175"/>
      <c r="X178" s="175"/>
      <c r="Y178" s="175">
        <v>0</v>
      </c>
      <c r="Z178" s="175"/>
      <c r="AA178" s="175"/>
      <c r="AB178" s="175"/>
      <c r="AC178" s="175"/>
      <c r="AD178" s="175"/>
      <c r="AE178" s="175"/>
      <c r="AF178" s="175"/>
      <c r="AG178" s="173"/>
      <c r="AH178" s="19"/>
      <c r="AI178" s="19"/>
      <c r="AJ178" s="19"/>
      <c r="AK178" s="19"/>
    </row>
    <row r="179" spans="1:37" outlineLevel="2" x14ac:dyDescent="0.2">
      <c r="A179" s="19"/>
      <c r="B179" s="19"/>
      <c r="C179" s="506" t="str">
        <f>IF(OR(previousyear=RCPminus2,previousyear=RCPminus1),Tariffs!H59,C21)</f>
        <v>Business HV kVA specified demand &lt;2MVA</v>
      </c>
      <c r="D179" s="505" t="str">
        <f>IF($C179=0,0,Tariffs!D59)</f>
        <v>Large Business HV</v>
      </c>
      <c r="E179" s="505" t="str">
        <f>IF($C179=0,0,Tariffs!E59)</f>
        <v>TASSDM</v>
      </c>
      <c r="F179" s="505">
        <f>IF($C179=0,0,Tariffs!F59)</f>
        <v>0</v>
      </c>
      <c r="G179" s="505">
        <f>IF($C179=0,0,Tariffs!G59)</f>
        <v>0</v>
      </c>
      <c r="H179" s="58"/>
      <c r="I179" s="248">
        <v>106.64931506849315</v>
      </c>
      <c r="J179" s="248"/>
      <c r="K179" s="164">
        <f t="shared" si="9"/>
        <v>106.64931506849315</v>
      </c>
      <c r="L179" s="174"/>
      <c r="M179" s="175">
        <v>106.64931506849315</v>
      </c>
      <c r="N179" s="175">
        <v>0</v>
      </c>
      <c r="O179" s="175">
        <v>76197655.104228377</v>
      </c>
      <c r="P179" s="175">
        <v>90284725.258759737</v>
      </c>
      <c r="Q179" s="175">
        <v>115057972.9460119</v>
      </c>
      <c r="R179" s="175">
        <v>0</v>
      </c>
      <c r="S179" s="175">
        <v>0</v>
      </c>
      <c r="T179" s="175">
        <v>0</v>
      </c>
      <c r="U179" s="175">
        <v>24722087</v>
      </c>
      <c r="V179" s="175">
        <v>325141</v>
      </c>
      <c r="W179" s="175">
        <v>24722087</v>
      </c>
      <c r="X179" s="175">
        <v>325141</v>
      </c>
      <c r="Y179" s="175">
        <v>0</v>
      </c>
      <c r="Z179" s="175"/>
      <c r="AA179" s="175"/>
      <c r="AB179" s="175"/>
      <c r="AC179" s="175"/>
      <c r="AD179" s="175"/>
      <c r="AE179" s="175"/>
      <c r="AF179" s="175"/>
      <c r="AG179" s="173"/>
      <c r="AH179" s="19"/>
      <c r="AI179" s="19"/>
      <c r="AJ179" s="19"/>
      <c r="AK179" s="19"/>
    </row>
    <row r="180" spans="1:37" outlineLevel="2" x14ac:dyDescent="0.2">
      <c r="A180" s="19"/>
      <c r="B180" s="19"/>
      <c r="C180" s="506" t="str">
        <f>IF(OR(previousyear=RCPminus2,previousyear=RCPminus1),Tariffs!H60,C22)</f>
        <v>Business HV kVA specified demand &gt;2MVA</v>
      </c>
      <c r="D180" s="505" t="str">
        <f>IF($C180=0,0,Tariffs!D60)</f>
        <v>Large Business HV</v>
      </c>
      <c r="E180" s="505" t="str">
        <f>IF($C180=0,0,Tariffs!E60)</f>
        <v>TAS15*</v>
      </c>
      <c r="F180" s="505">
        <f>IF($C180=0,0,Tariffs!F60)</f>
        <v>0</v>
      </c>
      <c r="G180" s="505">
        <f>IF($C180=0,0,Tariffs!G60)</f>
        <v>0</v>
      </c>
      <c r="H180" s="58"/>
      <c r="I180" s="248">
        <v>0</v>
      </c>
      <c r="J180" s="248"/>
      <c r="K180" s="164">
        <f t="shared" si="9"/>
        <v>0</v>
      </c>
      <c r="L180" s="174"/>
      <c r="M180" s="175">
        <v>0</v>
      </c>
      <c r="N180" s="175">
        <v>0</v>
      </c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3"/>
      <c r="AH180" s="19"/>
      <c r="AI180" s="19"/>
      <c r="AJ180" s="19"/>
      <c r="AK180" s="19"/>
    </row>
    <row r="181" spans="1:37" outlineLevel="2" x14ac:dyDescent="0.2">
      <c r="A181" s="19"/>
      <c r="B181" s="19"/>
      <c r="C181" s="506" t="str">
        <f>IF(OR(previousyear=RCPminus2,previousyear=RCPminus1),Tariffs!H61,C23)</f>
        <v>Uncontrolled low voltage heating and hot water</v>
      </c>
      <c r="D181" s="505" t="str">
        <f>IF($C181=0,0,Tariffs!D61)</f>
        <v>Uncontrolled energy</v>
      </c>
      <c r="E181" s="505" t="str">
        <f>IF($C181=0,0,Tariffs!E61)</f>
        <v>TAS41</v>
      </c>
      <c r="F181" s="505">
        <f>IF($C181=0,0,Tariffs!F61)</f>
        <v>0</v>
      </c>
      <c r="G181" s="505">
        <f>IF($C181=0,0,Tariffs!G61)</f>
        <v>0</v>
      </c>
      <c r="H181" s="58"/>
      <c r="I181" s="248">
        <v>217804.9917808219</v>
      </c>
      <c r="J181" s="248"/>
      <c r="K181" s="164">
        <f t="shared" si="9"/>
        <v>217804.9917808219</v>
      </c>
      <c r="L181" s="174"/>
      <c r="M181" s="175">
        <v>217804.9917808219</v>
      </c>
      <c r="N181" s="175">
        <v>994970036.23200011</v>
      </c>
      <c r="O181" s="175">
        <v>0</v>
      </c>
      <c r="P181" s="175">
        <v>0</v>
      </c>
      <c r="Q181" s="175">
        <v>0</v>
      </c>
      <c r="R181" s="175">
        <v>0</v>
      </c>
      <c r="S181" s="175">
        <v>0</v>
      </c>
      <c r="T181" s="175">
        <v>0</v>
      </c>
      <c r="U181" s="175">
        <v>0</v>
      </c>
      <c r="V181" s="175">
        <v>0</v>
      </c>
      <c r="W181" s="175">
        <v>0</v>
      </c>
      <c r="X181" s="175">
        <v>0</v>
      </c>
      <c r="Y181" s="175">
        <v>0</v>
      </c>
      <c r="Z181" s="175"/>
      <c r="AA181" s="175"/>
      <c r="AB181" s="175"/>
      <c r="AC181" s="175"/>
      <c r="AD181" s="175"/>
      <c r="AE181" s="175"/>
      <c r="AF181" s="175"/>
      <c r="AG181" s="173"/>
      <c r="AH181" s="19"/>
      <c r="AI181" s="19"/>
      <c r="AJ181" s="19"/>
      <c r="AK181" s="19"/>
    </row>
    <row r="182" spans="1:37" outlineLevel="2" x14ac:dyDescent="0.2">
      <c r="A182" s="19"/>
      <c r="B182" s="19"/>
      <c r="C182" s="506" t="str">
        <f>IF(OR(previousyear=RCPminus2,previousyear=RCPminus1),Tariffs!H62,C24)</f>
        <v>Controlled low voltage night period only</v>
      </c>
      <c r="D182" s="505" t="str">
        <f>IF($C182=0,0,Tariffs!D62)</f>
        <v>Controlled energy</v>
      </c>
      <c r="E182" s="505" t="str">
        <f>IF($C182=0,0,Tariffs!E62)</f>
        <v>TAS63</v>
      </c>
      <c r="F182" s="505">
        <f>IF($C182=0,0,Tariffs!F62)</f>
        <v>0</v>
      </c>
      <c r="G182" s="505">
        <f>IF($C182=0,0,Tariffs!G62)</f>
        <v>0</v>
      </c>
      <c r="H182" s="58"/>
      <c r="I182" s="248">
        <v>466.47671232876712</v>
      </c>
      <c r="J182" s="248"/>
      <c r="K182" s="164">
        <f t="shared" si="9"/>
        <v>466.47671232876712</v>
      </c>
      <c r="L182" s="174"/>
      <c r="M182" s="175">
        <v>466.47671232876712</v>
      </c>
      <c r="N182" s="175">
        <v>1292001.274</v>
      </c>
      <c r="O182" s="175">
        <v>0</v>
      </c>
      <c r="P182" s="175">
        <v>0</v>
      </c>
      <c r="Q182" s="175">
        <v>0</v>
      </c>
      <c r="R182" s="175">
        <v>0</v>
      </c>
      <c r="S182" s="175">
        <v>0</v>
      </c>
      <c r="T182" s="175">
        <v>0</v>
      </c>
      <c r="U182" s="175">
        <v>0</v>
      </c>
      <c r="V182" s="175">
        <v>0</v>
      </c>
      <c r="W182" s="175">
        <v>0</v>
      </c>
      <c r="X182" s="175">
        <v>0</v>
      </c>
      <c r="Y182" s="175">
        <v>0</v>
      </c>
      <c r="Z182" s="175"/>
      <c r="AA182" s="175"/>
      <c r="AB182" s="175"/>
      <c r="AC182" s="175"/>
      <c r="AD182" s="175"/>
      <c r="AE182" s="175"/>
      <c r="AF182" s="175"/>
      <c r="AG182" s="173"/>
      <c r="AH182" s="19"/>
      <c r="AI182" s="19"/>
      <c r="AJ182" s="19"/>
      <c r="AK182" s="19"/>
    </row>
    <row r="183" spans="1:37" outlineLevel="2" x14ac:dyDescent="0.2">
      <c r="A183" s="19"/>
      <c r="B183" s="19"/>
      <c r="C183" s="506" t="str">
        <f>IF(OR(previousyear=RCPminus2,previousyear=RCPminus1),Tariffs!H63,C25)</f>
        <v>Controlled low voltage off peak with afternoon boost</v>
      </c>
      <c r="D183" s="505" t="str">
        <f>IF($C183=0,0,Tariffs!D63)</f>
        <v>Controlled energy</v>
      </c>
      <c r="E183" s="505" t="str">
        <f>IF($C183=0,0,Tariffs!E63)</f>
        <v>TAS61</v>
      </c>
      <c r="F183" s="505">
        <f>IF($C183=0,0,Tariffs!F63)</f>
        <v>0</v>
      </c>
      <c r="G183" s="505">
        <f>IF($C183=0,0,Tariffs!G63)</f>
        <v>0</v>
      </c>
      <c r="H183" s="58"/>
      <c r="I183" s="248">
        <v>20828.556164383561</v>
      </c>
      <c r="J183" s="248"/>
      <c r="K183" s="164">
        <f t="shared" si="9"/>
        <v>20828.556164383561</v>
      </c>
      <c r="L183" s="174"/>
      <c r="M183" s="175">
        <v>20828.556164383561</v>
      </c>
      <c r="N183" s="175">
        <v>37889716.255000003</v>
      </c>
      <c r="O183" s="175">
        <v>0</v>
      </c>
      <c r="P183" s="175">
        <v>0</v>
      </c>
      <c r="Q183" s="175">
        <v>0</v>
      </c>
      <c r="R183" s="175">
        <v>0</v>
      </c>
      <c r="S183" s="175">
        <v>0</v>
      </c>
      <c r="T183" s="175">
        <v>0</v>
      </c>
      <c r="U183" s="175">
        <v>0</v>
      </c>
      <c r="V183" s="175">
        <v>0</v>
      </c>
      <c r="W183" s="175">
        <v>0</v>
      </c>
      <c r="X183" s="175">
        <v>0</v>
      </c>
      <c r="Y183" s="175">
        <v>0</v>
      </c>
      <c r="Z183" s="175"/>
      <c r="AA183" s="175"/>
      <c r="AB183" s="175"/>
      <c r="AC183" s="175"/>
      <c r="AD183" s="175"/>
      <c r="AE183" s="175"/>
      <c r="AF183" s="175"/>
      <c r="AG183" s="173"/>
      <c r="AH183" s="19"/>
      <c r="AI183" s="19"/>
      <c r="AJ183" s="19"/>
      <c r="AK183" s="19"/>
    </row>
    <row r="184" spans="1:37" outlineLevel="2" x14ac:dyDescent="0.2">
      <c r="A184" s="19"/>
      <c r="B184" s="19"/>
      <c r="C184" s="506" t="str">
        <f>IF(OR(previousyear=RCPminus2,previousyear=RCPminus1),Tariffs!H64,C26)</f>
        <v>Unmetered supply general</v>
      </c>
      <c r="D184" s="505" t="str">
        <f>IF($C184=0,0,Tariffs!D64)</f>
        <v>Unmetered supplies</v>
      </c>
      <c r="E184" s="505" t="str">
        <f>IF($C184=0,0,Tariffs!E64)</f>
        <v>TASUMS</v>
      </c>
      <c r="F184" s="505">
        <f>IF($C184=0,0,Tariffs!F64)</f>
        <v>0</v>
      </c>
      <c r="G184" s="505">
        <f>IF($C184=0,0,Tariffs!G64)</f>
        <v>0</v>
      </c>
      <c r="H184" s="58"/>
      <c r="I184" s="248">
        <v>1878.027397260274</v>
      </c>
      <c r="J184" s="248"/>
      <c r="K184" s="164">
        <f t="shared" si="9"/>
        <v>1878.027397260274</v>
      </c>
      <c r="L184" s="174"/>
      <c r="M184" s="175">
        <v>1878.027397260274</v>
      </c>
      <c r="N184" s="175">
        <v>7083931.862999999</v>
      </c>
      <c r="O184" s="175">
        <v>0</v>
      </c>
      <c r="P184" s="175">
        <v>0</v>
      </c>
      <c r="Q184" s="175">
        <v>0</v>
      </c>
      <c r="R184" s="175">
        <v>0</v>
      </c>
      <c r="S184" s="175">
        <v>0</v>
      </c>
      <c r="T184" s="175">
        <v>0</v>
      </c>
      <c r="U184" s="175">
        <v>0</v>
      </c>
      <c r="V184" s="175">
        <v>0</v>
      </c>
      <c r="W184" s="175">
        <v>0</v>
      </c>
      <c r="X184" s="175">
        <v>0</v>
      </c>
      <c r="Y184" s="175">
        <v>0</v>
      </c>
      <c r="Z184" s="175"/>
      <c r="AA184" s="175"/>
      <c r="AB184" s="175"/>
      <c r="AC184" s="175"/>
      <c r="AD184" s="175"/>
      <c r="AE184" s="175"/>
      <c r="AF184" s="175"/>
      <c r="AG184" s="173"/>
      <c r="AH184" s="19"/>
      <c r="AI184" s="19"/>
      <c r="AJ184" s="19"/>
      <c r="AK184" s="19"/>
    </row>
    <row r="185" spans="1:37" outlineLevel="2" x14ac:dyDescent="0.2">
      <c r="A185" s="19"/>
      <c r="B185" s="19"/>
      <c r="C185" s="506" t="str">
        <f>IF(OR(previousyear=RCPminus2,previousyear=RCPminus1),Tariffs!H65,C27)</f>
        <v>Street lighting</v>
      </c>
      <c r="D185" s="505" t="str">
        <f>IF($C185=0,0,Tariffs!D65)</f>
        <v>Street lighting</v>
      </c>
      <c r="E185" s="505" t="str">
        <f>IF($C185=0,0,Tariffs!E65)</f>
        <v>TASUMSSL</v>
      </c>
      <c r="F185" s="505">
        <f>IF($C185=0,0,Tariffs!F65)</f>
        <v>0</v>
      </c>
      <c r="G185" s="505">
        <f>IF($C185=0,0,Tariffs!G65)</f>
        <v>0</v>
      </c>
      <c r="H185" s="58"/>
      <c r="I185" s="248">
        <v>0</v>
      </c>
      <c r="J185" s="248"/>
      <c r="K185" s="164">
        <f t="shared" si="9"/>
        <v>0</v>
      </c>
      <c r="L185" s="174"/>
      <c r="M185" s="175">
        <v>0</v>
      </c>
      <c r="N185" s="175">
        <v>0</v>
      </c>
      <c r="O185" s="175">
        <v>0</v>
      </c>
      <c r="P185" s="175">
        <v>0</v>
      </c>
      <c r="Q185" s="175">
        <v>0</v>
      </c>
      <c r="R185" s="175">
        <v>0</v>
      </c>
      <c r="S185" s="175">
        <v>0</v>
      </c>
      <c r="T185" s="175">
        <v>0</v>
      </c>
      <c r="U185" s="175">
        <v>0</v>
      </c>
      <c r="V185" s="175">
        <v>0</v>
      </c>
      <c r="W185" s="175">
        <v>0</v>
      </c>
      <c r="X185" s="175">
        <v>0</v>
      </c>
      <c r="Y185" s="175">
        <v>3819271.2282739733</v>
      </c>
      <c r="Z185" s="175"/>
      <c r="AA185" s="175"/>
      <c r="AB185" s="175"/>
      <c r="AC185" s="175"/>
      <c r="AD185" s="175"/>
      <c r="AE185" s="175"/>
      <c r="AF185" s="175"/>
      <c r="AG185" s="173"/>
      <c r="AH185" s="19"/>
      <c r="AI185" s="19"/>
      <c r="AJ185" s="19"/>
      <c r="AK185" s="19"/>
    </row>
    <row r="186" spans="1:37" outlineLevel="2" x14ac:dyDescent="0.2">
      <c r="A186" s="19"/>
      <c r="B186" s="19"/>
      <c r="C186" s="506">
        <f>IF(OR(previousyear=RCPminus2,previousyear=RCPminus1),Tariffs!H66,C28)</f>
        <v>0</v>
      </c>
      <c r="D186" s="505">
        <f>IF($C186=0,0,Tariffs!D66)</f>
        <v>0</v>
      </c>
      <c r="E186" s="505">
        <f>IF($C186=0,0,Tariffs!E66)</f>
        <v>0</v>
      </c>
      <c r="F186" s="505">
        <f>IF($C186=0,0,Tariffs!F66)</f>
        <v>0</v>
      </c>
      <c r="G186" s="505">
        <f>IF($C186=0,0,Tariffs!G66)</f>
        <v>0</v>
      </c>
      <c r="H186" s="58"/>
      <c r="I186" s="248">
        <v>0</v>
      </c>
      <c r="J186" s="248"/>
      <c r="K186" s="164">
        <f t="shared" si="9"/>
        <v>0</v>
      </c>
      <c r="L186" s="174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3"/>
      <c r="AH186" s="19"/>
      <c r="AI186" s="19"/>
      <c r="AJ186" s="19"/>
      <c r="AK186" s="19"/>
    </row>
    <row r="187" spans="1:37" hidden="1" outlineLevel="3" x14ac:dyDescent="0.2">
      <c r="A187" s="19"/>
      <c r="B187" s="19"/>
      <c r="C187" s="506">
        <f>IF(OR(previousyear=RCPminus2,previousyear=RCPminus1),Tariffs!H67,C29)</f>
        <v>0</v>
      </c>
      <c r="D187" s="505">
        <f>IF($C187=0,0,Tariffs!D67)</f>
        <v>0</v>
      </c>
      <c r="E187" s="505">
        <f>IF($C187=0,0,Tariffs!E67)</f>
        <v>0</v>
      </c>
      <c r="F187" s="505">
        <f>IF($C187=0,0,Tariffs!F67)</f>
        <v>0</v>
      </c>
      <c r="G187" s="505">
        <f>IF($C187=0,0,Tariffs!G67)</f>
        <v>0</v>
      </c>
      <c r="H187" s="58"/>
      <c r="I187" s="248">
        <v>0</v>
      </c>
      <c r="J187" s="248"/>
      <c r="K187" s="164">
        <f t="shared" si="9"/>
        <v>0</v>
      </c>
      <c r="L187" s="174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3"/>
      <c r="AH187" s="19"/>
      <c r="AI187" s="19"/>
      <c r="AJ187" s="19"/>
      <c r="AK187" s="19"/>
    </row>
    <row r="188" spans="1:37" hidden="1" outlineLevel="3" x14ac:dyDescent="0.2">
      <c r="A188" s="19"/>
      <c r="B188" s="19"/>
      <c r="C188" s="506">
        <f>IF(OR(previousyear=RCPminus2,previousyear=RCPminus1),Tariffs!H68,C30)</f>
        <v>0</v>
      </c>
      <c r="D188" s="505">
        <f>IF($C188=0,0,Tariffs!D68)</f>
        <v>0</v>
      </c>
      <c r="E188" s="505">
        <f>IF($C188=0,0,Tariffs!E68)</f>
        <v>0</v>
      </c>
      <c r="F188" s="505">
        <f>IF($C188=0,0,Tariffs!F68)</f>
        <v>0</v>
      </c>
      <c r="G188" s="505">
        <f>IF($C188=0,0,Tariffs!G68)</f>
        <v>0</v>
      </c>
      <c r="H188" s="58"/>
      <c r="I188" s="248">
        <v>0</v>
      </c>
      <c r="J188" s="248"/>
      <c r="K188" s="164">
        <f t="shared" si="9"/>
        <v>0</v>
      </c>
      <c r="L188" s="174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3"/>
      <c r="AH188" s="19"/>
      <c r="AI188" s="19"/>
      <c r="AJ188" s="19"/>
      <c r="AK188" s="19"/>
    </row>
    <row r="189" spans="1:37" hidden="1" outlineLevel="3" x14ac:dyDescent="0.2">
      <c r="A189" s="19"/>
      <c r="B189" s="19"/>
      <c r="C189" s="506">
        <f>IF(OR(previousyear=RCPminus2,previousyear=RCPminus1),Tariffs!H69,C31)</f>
        <v>0</v>
      </c>
      <c r="D189" s="505">
        <f>IF($C189=0,0,Tariffs!D69)</f>
        <v>0</v>
      </c>
      <c r="E189" s="505">
        <f>IF($C189=0,0,Tariffs!E69)</f>
        <v>0</v>
      </c>
      <c r="F189" s="505">
        <f>IF($C189=0,0,Tariffs!F69)</f>
        <v>0</v>
      </c>
      <c r="G189" s="505">
        <f>IF($C189=0,0,Tariffs!G69)</f>
        <v>0</v>
      </c>
      <c r="H189" s="58"/>
      <c r="I189" s="248">
        <v>0</v>
      </c>
      <c r="J189" s="248"/>
      <c r="K189" s="164">
        <f t="shared" si="9"/>
        <v>0</v>
      </c>
      <c r="L189" s="174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3"/>
      <c r="AH189" s="19"/>
      <c r="AI189" s="19"/>
      <c r="AJ189" s="19"/>
      <c r="AK189" s="19"/>
    </row>
    <row r="190" spans="1:37" hidden="1" outlineLevel="3" x14ac:dyDescent="0.2">
      <c r="A190" s="19"/>
      <c r="B190" s="19"/>
      <c r="C190" s="506">
        <f>IF(OR(previousyear=RCPminus2,previousyear=RCPminus1),Tariffs!H70,C32)</f>
        <v>0</v>
      </c>
      <c r="D190" s="505">
        <f>IF($C190=0,0,Tariffs!D70)</f>
        <v>0</v>
      </c>
      <c r="E190" s="505">
        <f>IF($C190=0,0,Tariffs!E70)</f>
        <v>0</v>
      </c>
      <c r="F190" s="505">
        <f>IF($C190=0,0,Tariffs!F70)</f>
        <v>0</v>
      </c>
      <c r="G190" s="505">
        <f>IF($C190=0,0,Tariffs!G70)</f>
        <v>0</v>
      </c>
      <c r="H190" s="58"/>
      <c r="I190" s="248">
        <v>0</v>
      </c>
      <c r="J190" s="248"/>
      <c r="K190" s="164">
        <f t="shared" si="9"/>
        <v>0</v>
      </c>
      <c r="L190" s="174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3"/>
      <c r="AH190" s="19"/>
      <c r="AI190" s="19"/>
      <c r="AJ190" s="19"/>
      <c r="AK190" s="19"/>
    </row>
    <row r="191" spans="1:37" hidden="1" outlineLevel="3" x14ac:dyDescent="0.2">
      <c r="A191" s="19"/>
      <c r="B191" s="19"/>
      <c r="C191" s="506">
        <f>IF(OR(previousyear=RCPminus2,previousyear=RCPminus1),Tariffs!H71,C33)</f>
        <v>0</v>
      </c>
      <c r="D191" s="505">
        <f>IF($C191=0,0,Tariffs!D71)</f>
        <v>0</v>
      </c>
      <c r="E191" s="505">
        <f>IF($C191=0,0,Tariffs!E71)</f>
        <v>0</v>
      </c>
      <c r="F191" s="505">
        <f>IF($C191=0,0,Tariffs!F71)</f>
        <v>0</v>
      </c>
      <c r="G191" s="505">
        <f>IF($C191=0,0,Tariffs!G71)</f>
        <v>0</v>
      </c>
      <c r="H191" s="58"/>
      <c r="I191" s="248">
        <v>0</v>
      </c>
      <c r="J191" s="248"/>
      <c r="K191" s="164">
        <f t="shared" si="9"/>
        <v>0</v>
      </c>
      <c r="L191" s="174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3"/>
      <c r="AH191" s="19"/>
      <c r="AI191" s="19"/>
      <c r="AJ191" s="19"/>
      <c r="AK191" s="19"/>
    </row>
    <row r="192" spans="1:37" hidden="1" outlineLevel="3" x14ac:dyDescent="0.2">
      <c r="A192" s="19"/>
      <c r="B192" s="19"/>
      <c r="C192" s="506">
        <f>IF(OR(previousyear=RCPminus2,previousyear=RCPminus1),Tariffs!H72,C34)</f>
        <v>0</v>
      </c>
      <c r="D192" s="505">
        <f>IF($C192=0,0,Tariffs!D72)</f>
        <v>0</v>
      </c>
      <c r="E192" s="505">
        <f>IF($C192=0,0,Tariffs!E72)</f>
        <v>0</v>
      </c>
      <c r="F192" s="505">
        <f>IF($C192=0,0,Tariffs!F72)</f>
        <v>0</v>
      </c>
      <c r="G192" s="505">
        <f>IF($C192=0,0,Tariffs!G72)</f>
        <v>0</v>
      </c>
      <c r="H192" s="58"/>
      <c r="I192" s="248">
        <v>0</v>
      </c>
      <c r="J192" s="248"/>
      <c r="K192" s="164">
        <f t="shared" si="9"/>
        <v>0</v>
      </c>
      <c r="L192" s="174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3"/>
      <c r="AH192" s="19"/>
      <c r="AI192" s="19"/>
      <c r="AJ192" s="19"/>
      <c r="AK192" s="19"/>
    </row>
    <row r="193" spans="1:37" hidden="1" outlineLevel="3" x14ac:dyDescent="0.2">
      <c r="A193" s="19"/>
      <c r="B193" s="19"/>
      <c r="C193" s="506">
        <f>IF(OR(previousyear=RCPminus2,previousyear=RCPminus1),Tariffs!H73,C35)</f>
        <v>0</v>
      </c>
      <c r="D193" s="505">
        <f>IF($C193=0,0,Tariffs!D73)</f>
        <v>0</v>
      </c>
      <c r="E193" s="505">
        <f>IF($C193=0,0,Tariffs!E73)</f>
        <v>0</v>
      </c>
      <c r="F193" s="505">
        <f>IF($C193=0,0,Tariffs!F73)</f>
        <v>0</v>
      </c>
      <c r="G193" s="505">
        <f>IF($C193=0,0,Tariffs!G73)</f>
        <v>0</v>
      </c>
      <c r="H193" s="58"/>
      <c r="I193" s="248">
        <v>0</v>
      </c>
      <c r="J193" s="248"/>
      <c r="K193" s="164">
        <f t="shared" si="9"/>
        <v>0</v>
      </c>
      <c r="L193" s="174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3"/>
      <c r="AH193" s="19"/>
      <c r="AI193" s="19"/>
      <c r="AJ193" s="19"/>
      <c r="AK193" s="19"/>
    </row>
    <row r="194" spans="1:37" hidden="1" outlineLevel="3" x14ac:dyDescent="0.2">
      <c r="A194" s="19"/>
      <c r="B194" s="19"/>
      <c r="C194" s="506">
        <f>IF(OR(previousyear=RCPminus2,previousyear=RCPminus1),Tariffs!H74,C36)</f>
        <v>0</v>
      </c>
      <c r="D194" s="505">
        <f>IF($C194=0,0,Tariffs!D74)</f>
        <v>0</v>
      </c>
      <c r="E194" s="505">
        <f>IF($C194=0,0,Tariffs!E74)</f>
        <v>0</v>
      </c>
      <c r="F194" s="505">
        <f>IF($C194=0,0,Tariffs!F74)</f>
        <v>0</v>
      </c>
      <c r="G194" s="505">
        <f>IF($C194=0,0,Tariffs!G74)</f>
        <v>0</v>
      </c>
      <c r="H194" s="58"/>
      <c r="I194" s="248">
        <v>0</v>
      </c>
      <c r="J194" s="248"/>
      <c r="K194" s="164">
        <f t="shared" si="9"/>
        <v>0</v>
      </c>
      <c r="L194" s="174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3"/>
      <c r="AH194" s="19"/>
      <c r="AI194" s="19"/>
      <c r="AJ194" s="19"/>
      <c r="AK194" s="19"/>
    </row>
    <row r="195" spans="1:37" hidden="1" outlineLevel="3" x14ac:dyDescent="0.2">
      <c r="A195" s="19"/>
      <c r="B195" s="19"/>
      <c r="C195" s="506">
        <f>IF(OR(previousyear=RCPminus2,previousyear=RCPminus1),Tariffs!H75,C37)</f>
        <v>0</v>
      </c>
      <c r="D195" s="505">
        <f>IF($C195=0,0,Tariffs!D75)</f>
        <v>0</v>
      </c>
      <c r="E195" s="505">
        <f>IF($C195=0,0,Tariffs!E75)</f>
        <v>0</v>
      </c>
      <c r="F195" s="505">
        <f>IF($C195=0,0,Tariffs!F75)</f>
        <v>0</v>
      </c>
      <c r="G195" s="505">
        <f>IF($C195=0,0,Tariffs!G75)</f>
        <v>0</v>
      </c>
      <c r="H195" s="58"/>
      <c r="I195" s="248">
        <v>0</v>
      </c>
      <c r="J195" s="248"/>
      <c r="K195" s="164">
        <f t="shared" si="9"/>
        <v>0</v>
      </c>
      <c r="L195" s="174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3"/>
      <c r="AH195" s="19"/>
      <c r="AI195" s="19"/>
      <c r="AJ195" s="19"/>
      <c r="AK195" s="19"/>
    </row>
    <row r="196" spans="1:37" hidden="1" outlineLevel="3" x14ac:dyDescent="0.2">
      <c r="A196" s="19"/>
      <c r="B196" s="19"/>
      <c r="C196" s="506">
        <f>IF(OR(previousyear=RCPminus2,previousyear=RCPminus1),Tariffs!H76,C38)</f>
        <v>0</v>
      </c>
      <c r="D196" s="505">
        <f>IF($C196=0,0,Tariffs!D76)</f>
        <v>0</v>
      </c>
      <c r="E196" s="505">
        <f>IF($C196=0,0,Tariffs!E76)</f>
        <v>0</v>
      </c>
      <c r="F196" s="505">
        <f>IF($C196=0,0,Tariffs!F76)</f>
        <v>0</v>
      </c>
      <c r="G196" s="505">
        <f>IF($C196=0,0,Tariffs!G76)</f>
        <v>0</v>
      </c>
      <c r="H196" s="58"/>
      <c r="I196" s="248">
        <v>0</v>
      </c>
      <c r="J196" s="248"/>
      <c r="K196" s="164">
        <f t="shared" si="9"/>
        <v>0</v>
      </c>
      <c r="L196" s="174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3"/>
      <c r="AH196" s="19"/>
      <c r="AI196" s="19"/>
      <c r="AJ196" s="19"/>
      <c r="AK196" s="19"/>
    </row>
    <row r="197" spans="1:37" hidden="1" outlineLevel="3" x14ac:dyDescent="0.2">
      <c r="A197" s="19"/>
      <c r="B197" s="19"/>
      <c r="C197" s="506">
        <f>IF(OR(previousyear=RCPminus2,previousyear=RCPminus1),Tariffs!H77,C39)</f>
        <v>0</v>
      </c>
      <c r="D197" s="505">
        <f>IF($C197=0,0,Tariffs!D77)</f>
        <v>0</v>
      </c>
      <c r="E197" s="505">
        <f>IF($C197=0,0,Tariffs!E77)</f>
        <v>0</v>
      </c>
      <c r="F197" s="505">
        <f>IF($C197=0,0,Tariffs!F77)</f>
        <v>0</v>
      </c>
      <c r="G197" s="505">
        <f>IF($C197=0,0,Tariffs!G77)</f>
        <v>0</v>
      </c>
      <c r="H197" s="58"/>
      <c r="I197" s="248">
        <v>0</v>
      </c>
      <c r="J197" s="248"/>
      <c r="K197" s="164">
        <f t="shared" si="9"/>
        <v>0</v>
      </c>
      <c r="L197" s="174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3"/>
      <c r="AH197" s="19"/>
      <c r="AI197" s="19"/>
      <c r="AJ197" s="19"/>
      <c r="AK197" s="19"/>
    </row>
    <row r="198" spans="1:37" hidden="1" outlineLevel="3" x14ac:dyDescent="0.2">
      <c r="A198" s="19"/>
      <c r="B198" s="19"/>
      <c r="C198" s="506">
        <f>IF(OR(previousyear=RCPminus2,previousyear=RCPminus1),Tariffs!H78,C40)</f>
        <v>0</v>
      </c>
      <c r="D198" s="505">
        <f>IF($C198=0,0,Tariffs!D78)</f>
        <v>0</v>
      </c>
      <c r="E198" s="505">
        <f>IF($C198=0,0,Tariffs!E78)</f>
        <v>0</v>
      </c>
      <c r="F198" s="505">
        <f>IF($C198=0,0,Tariffs!F78)</f>
        <v>0</v>
      </c>
      <c r="G198" s="505">
        <f>IF($C198=0,0,Tariffs!G78)</f>
        <v>0</v>
      </c>
      <c r="H198" s="58"/>
      <c r="I198" s="248">
        <v>0</v>
      </c>
      <c r="J198" s="248"/>
      <c r="K198" s="164">
        <f t="shared" ref="K198:K229" si="10">SUMIF($M$6:$AF$6,"units",M198:AF198)</f>
        <v>0</v>
      </c>
      <c r="L198" s="174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3"/>
      <c r="AH198" s="19"/>
      <c r="AI198" s="19"/>
      <c r="AJ198" s="19"/>
      <c r="AK198" s="19"/>
    </row>
    <row r="199" spans="1:37" hidden="1" outlineLevel="3" x14ac:dyDescent="0.2">
      <c r="A199" s="19"/>
      <c r="B199" s="19"/>
      <c r="C199" s="506">
        <f>IF(OR(previousyear=RCPminus2,previousyear=RCPminus1),Tariffs!H79,C41)</f>
        <v>0</v>
      </c>
      <c r="D199" s="505">
        <f>IF($C199=0,0,Tariffs!D79)</f>
        <v>0</v>
      </c>
      <c r="E199" s="505">
        <f>IF($C199=0,0,Tariffs!E79)</f>
        <v>0</v>
      </c>
      <c r="F199" s="505">
        <f>IF($C199=0,0,Tariffs!F79)</f>
        <v>0</v>
      </c>
      <c r="G199" s="505">
        <f>IF($C199=0,0,Tariffs!G79)</f>
        <v>0</v>
      </c>
      <c r="H199" s="58"/>
      <c r="I199" s="248">
        <v>0</v>
      </c>
      <c r="J199" s="248"/>
      <c r="K199" s="164">
        <f t="shared" si="10"/>
        <v>0</v>
      </c>
      <c r="L199" s="174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3"/>
      <c r="AH199" s="19"/>
      <c r="AI199" s="19"/>
      <c r="AJ199" s="19"/>
      <c r="AK199" s="19"/>
    </row>
    <row r="200" spans="1:37" hidden="1" outlineLevel="3" x14ac:dyDescent="0.2">
      <c r="A200" s="19"/>
      <c r="B200" s="19"/>
      <c r="C200" s="506">
        <f>IF(OR(previousyear=RCPminus2,previousyear=RCPminus1),Tariffs!H80,C42)</f>
        <v>0</v>
      </c>
      <c r="D200" s="505">
        <f>IF($C200=0,0,Tariffs!D80)</f>
        <v>0</v>
      </c>
      <c r="E200" s="505">
        <f>IF($C200=0,0,Tariffs!E80)</f>
        <v>0</v>
      </c>
      <c r="F200" s="505">
        <f>IF($C200=0,0,Tariffs!F80)</f>
        <v>0</v>
      </c>
      <c r="G200" s="505">
        <f>IF($C200=0,0,Tariffs!G80)</f>
        <v>0</v>
      </c>
      <c r="H200" s="58"/>
      <c r="I200" s="248">
        <v>0</v>
      </c>
      <c r="J200" s="248"/>
      <c r="K200" s="164">
        <f t="shared" si="10"/>
        <v>0</v>
      </c>
      <c r="L200" s="174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3"/>
      <c r="AH200" s="19"/>
      <c r="AI200" s="19"/>
      <c r="AJ200" s="19"/>
      <c r="AK200" s="19"/>
    </row>
    <row r="201" spans="1:37" hidden="1" outlineLevel="3" x14ac:dyDescent="0.2">
      <c r="A201" s="19"/>
      <c r="B201" s="19"/>
      <c r="C201" s="506">
        <f>IF(OR(previousyear=RCPminus2,previousyear=RCPminus1),Tariffs!H81,C43)</f>
        <v>0</v>
      </c>
      <c r="D201" s="505">
        <f>IF($C201=0,0,Tariffs!D81)</f>
        <v>0</v>
      </c>
      <c r="E201" s="505">
        <f>IF($C201=0,0,Tariffs!E81)</f>
        <v>0</v>
      </c>
      <c r="F201" s="505">
        <f>IF($C201=0,0,Tariffs!F81)</f>
        <v>0</v>
      </c>
      <c r="G201" s="505">
        <f>IF($C201=0,0,Tariffs!G81)</f>
        <v>0</v>
      </c>
      <c r="H201" s="58"/>
      <c r="I201" s="248">
        <v>0</v>
      </c>
      <c r="J201" s="248"/>
      <c r="K201" s="164">
        <f t="shared" si="10"/>
        <v>0</v>
      </c>
      <c r="L201" s="174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  <c r="AG201" s="173"/>
      <c r="AH201" s="19"/>
      <c r="AI201" s="19"/>
      <c r="AJ201" s="19"/>
      <c r="AK201" s="19"/>
    </row>
    <row r="202" spans="1:37" hidden="1" outlineLevel="3" x14ac:dyDescent="0.2">
      <c r="A202" s="19"/>
      <c r="B202" s="19"/>
      <c r="C202" s="506">
        <f>IF(OR(previousyear=RCPminus2,previousyear=RCPminus1),Tariffs!H82,C44)</f>
        <v>0</v>
      </c>
      <c r="D202" s="505">
        <f>IF($C202=0,0,Tariffs!D82)</f>
        <v>0</v>
      </c>
      <c r="E202" s="505">
        <f>IF($C202=0,0,Tariffs!E82)</f>
        <v>0</v>
      </c>
      <c r="F202" s="505">
        <f>IF($C202=0,0,Tariffs!F82)</f>
        <v>0</v>
      </c>
      <c r="G202" s="505">
        <f>IF($C202=0,0,Tariffs!G82)</f>
        <v>0</v>
      </c>
      <c r="H202" s="58"/>
      <c r="I202" s="248">
        <v>0</v>
      </c>
      <c r="J202" s="248"/>
      <c r="K202" s="164">
        <f t="shared" si="10"/>
        <v>0</v>
      </c>
      <c r="L202" s="174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3"/>
      <c r="AH202" s="19"/>
      <c r="AI202" s="19"/>
      <c r="AJ202" s="19"/>
      <c r="AK202" s="19"/>
    </row>
    <row r="203" spans="1:37" hidden="1" outlineLevel="3" x14ac:dyDescent="0.2">
      <c r="A203" s="19"/>
      <c r="B203" s="19"/>
      <c r="C203" s="506">
        <f>IF(OR(previousyear=RCPminus2,previousyear=RCPminus1),Tariffs!H83,C45)</f>
        <v>0</v>
      </c>
      <c r="D203" s="505">
        <f>IF($C203=0,0,Tariffs!D83)</f>
        <v>0</v>
      </c>
      <c r="E203" s="505">
        <f>IF($C203=0,0,Tariffs!E83)</f>
        <v>0</v>
      </c>
      <c r="F203" s="505">
        <f>IF($C203=0,0,Tariffs!F83)</f>
        <v>0</v>
      </c>
      <c r="G203" s="505">
        <f>IF($C203=0,0,Tariffs!G83)</f>
        <v>0</v>
      </c>
      <c r="H203" s="58"/>
      <c r="I203" s="248">
        <v>0</v>
      </c>
      <c r="J203" s="248"/>
      <c r="K203" s="164">
        <f t="shared" si="10"/>
        <v>0</v>
      </c>
      <c r="L203" s="174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3"/>
      <c r="AH203" s="19"/>
      <c r="AI203" s="19"/>
      <c r="AJ203" s="19"/>
      <c r="AK203" s="19"/>
    </row>
    <row r="204" spans="1:37" hidden="1" outlineLevel="3" x14ac:dyDescent="0.2">
      <c r="A204" s="19"/>
      <c r="B204" s="19"/>
      <c r="C204" s="506">
        <f>IF(OR(previousyear=RCPminus2,previousyear=RCPminus1),Tariffs!H84,C46)</f>
        <v>0</v>
      </c>
      <c r="D204" s="505">
        <f>IF($C204=0,0,Tariffs!D84)</f>
        <v>0</v>
      </c>
      <c r="E204" s="505">
        <f>IF($C204=0,0,Tariffs!E84)</f>
        <v>0</v>
      </c>
      <c r="F204" s="505">
        <f>IF($C204=0,0,Tariffs!F84)</f>
        <v>0</v>
      </c>
      <c r="G204" s="505">
        <f>IF($C204=0,0,Tariffs!G84)</f>
        <v>0</v>
      </c>
      <c r="H204" s="58"/>
      <c r="I204" s="248">
        <v>0</v>
      </c>
      <c r="J204" s="248"/>
      <c r="K204" s="164">
        <f t="shared" si="10"/>
        <v>0</v>
      </c>
      <c r="L204" s="174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3"/>
      <c r="AH204" s="19"/>
      <c r="AI204" s="19"/>
      <c r="AJ204" s="19"/>
      <c r="AK204" s="19"/>
    </row>
    <row r="205" spans="1:37" hidden="1" outlineLevel="3" x14ac:dyDescent="0.2">
      <c r="A205" s="19"/>
      <c r="B205" s="19"/>
      <c r="C205" s="506">
        <f>IF(OR(previousyear=RCPminus2,previousyear=RCPminus1),Tariffs!H85,C47)</f>
        <v>0</v>
      </c>
      <c r="D205" s="505">
        <f>IF($C205=0,0,Tariffs!D85)</f>
        <v>0</v>
      </c>
      <c r="E205" s="505">
        <f>IF($C205=0,0,Tariffs!E85)</f>
        <v>0</v>
      </c>
      <c r="F205" s="505">
        <f>IF($C205=0,0,Tariffs!F85)</f>
        <v>0</v>
      </c>
      <c r="G205" s="505">
        <f>IF($C205=0,0,Tariffs!G85)</f>
        <v>0</v>
      </c>
      <c r="H205" s="58"/>
      <c r="I205" s="248">
        <v>0</v>
      </c>
      <c r="J205" s="248"/>
      <c r="K205" s="164">
        <f t="shared" si="10"/>
        <v>0</v>
      </c>
      <c r="L205" s="174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73"/>
      <c r="AH205" s="19"/>
      <c r="AI205" s="19"/>
      <c r="AJ205" s="19"/>
      <c r="AK205" s="19"/>
    </row>
    <row r="206" spans="1:37" hidden="1" outlineLevel="3" x14ac:dyDescent="0.2">
      <c r="A206" s="19"/>
      <c r="B206" s="19"/>
      <c r="C206" s="506">
        <f>IF(OR(previousyear=RCPminus2,previousyear=RCPminus1),Tariffs!H86,C48)</f>
        <v>0</v>
      </c>
      <c r="D206" s="505">
        <f>IF($C206=0,0,Tariffs!D86)</f>
        <v>0</v>
      </c>
      <c r="E206" s="505">
        <f>IF($C206=0,0,Tariffs!E86)</f>
        <v>0</v>
      </c>
      <c r="F206" s="505">
        <f>IF($C206=0,0,Tariffs!F86)</f>
        <v>0</v>
      </c>
      <c r="G206" s="505">
        <f>IF($C206=0,0,Tariffs!G86)</f>
        <v>0</v>
      </c>
      <c r="H206" s="58"/>
      <c r="I206" s="248">
        <v>0</v>
      </c>
      <c r="J206" s="248"/>
      <c r="K206" s="164">
        <f t="shared" si="10"/>
        <v>0</v>
      </c>
      <c r="L206" s="174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73"/>
      <c r="AH206" s="19"/>
      <c r="AI206" s="19"/>
      <c r="AJ206" s="19"/>
      <c r="AK206" s="19"/>
    </row>
    <row r="207" spans="1:37" hidden="1" outlineLevel="3" x14ac:dyDescent="0.2">
      <c r="A207" s="19"/>
      <c r="B207" s="19"/>
      <c r="C207" s="506">
        <f>IF(OR(previousyear=RCPminus2,previousyear=RCPminus1),Tariffs!H87,C49)</f>
        <v>0</v>
      </c>
      <c r="D207" s="505">
        <f>IF($C207=0,0,Tariffs!D87)</f>
        <v>0</v>
      </c>
      <c r="E207" s="505">
        <f>IF($C207=0,0,Tariffs!E87)</f>
        <v>0</v>
      </c>
      <c r="F207" s="505">
        <f>IF($C207=0,0,Tariffs!F87)</f>
        <v>0</v>
      </c>
      <c r="G207" s="505">
        <f>IF($C207=0,0,Tariffs!G87)</f>
        <v>0</v>
      </c>
      <c r="H207" s="58"/>
      <c r="I207" s="248">
        <v>0</v>
      </c>
      <c r="J207" s="248"/>
      <c r="K207" s="164">
        <f t="shared" si="10"/>
        <v>0</v>
      </c>
      <c r="L207" s="174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73"/>
      <c r="AH207" s="19"/>
      <c r="AI207" s="19"/>
      <c r="AJ207" s="19"/>
      <c r="AK207" s="19"/>
    </row>
    <row r="208" spans="1:37" hidden="1" outlineLevel="3" x14ac:dyDescent="0.2">
      <c r="A208" s="19"/>
      <c r="B208" s="19"/>
      <c r="C208" s="506">
        <f>IF(OR(previousyear=RCPminus2,previousyear=RCPminus1),Tariffs!H88,C50)</f>
        <v>0</v>
      </c>
      <c r="D208" s="505">
        <f>IF($C208=0,0,Tariffs!D88)</f>
        <v>0</v>
      </c>
      <c r="E208" s="505">
        <f>IF($C208=0,0,Tariffs!E88)</f>
        <v>0</v>
      </c>
      <c r="F208" s="505">
        <f>IF($C208=0,0,Tariffs!F88)</f>
        <v>0</v>
      </c>
      <c r="G208" s="505">
        <f>IF($C208=0,0,Tariffs!G88)</f>
        <v>0</v>
      </c>
      <c r="H208" s="58"/>
      <c r="I208" s="248">
        <v>0</v>
      </c>
      <c r="J208" s="248"/>
      <c r="K208" s="164">
        <f t="shared" si="10"/>
        <v>0</v>
      </c>
      <c r="L208" s="174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73"/>
      <c r="AH208" s="19"/>
      <c r="AI208" s="19"/>
      <c r="AJ208" s="19"/>
      <c r="AK208" s="19"/>
    </row>
    <row r="209" spans="1:37" hidden="1" outlineLevel="3" x14ac:dyDescent="0.2">
      <c r="A209" s="19"/>
      <c r="B209" s="19"/>
      <c r="C209" s="506">
        <f>IF(OR(previousyear=RCPminus2,previousyear=RCPminus1),Tariffs!H89,C51)</f>
        <v>0</v>
      </c>
      <c r="D209" s="505">
        <f>IF($C209=0,0,Tariffs!D89)</f>
        <v>0</v>
      </c>
      <c r="E209" s="505">
        <f>IF($C209=0,0,Tariffs!E89)</f>
        <v>0</v>
      </c>
      <c r="F209" s="505">
        <f>IF($C209=0,0,Tariffs!F89)</f>
        <v>0</v>
      </c>
      <c r="G209" s="505">
        <f>IF($C209=0,0,Tariffs!G89)</f>
        <v>0</v>
      </c>
      <c r="H209" s="58"/>
      <c r="I209" s="248">
        <v>0</v>
      </c>
      <c r="J209" s="248"/>
      <c r="K209" s="164">
        <f t="shared" si="10"/>
        <v>0</v>
      </c>
      <c r="L209" s="174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73"/>
      <c r="AH209" s="19"/>
      <c r="AI209" s="19"/>
      <c r="AJ209" s="19"/>
      <c r="AK209" s="19"/>
    </row>
    <row r="210" spans="1:37" hidden="1" outlineLevel="3" x14ac:dyDescent="0.2">
      <c r="A210" s="19"/>
      <c r="B210" s="19"/>
      <c r="C210" s="506">
        <f>IF(OR(previousyear=RCPminus2,previousyear=RCPminus1),Tariffs!H90,C52)</f>
        <v>0</v>
      </c>
      <c r="D210" s="505">
        <f>IF($C210=0,0,Tariffs!D90)</f>
        <v>0</v>
      </c>
      <c r="E210" s="505">
        <f>IF($C210=0,0,Tariffs!E90)</f>
        <v>0</v>
      </c>
      <c r="F210" s="505">
        <f>IF($C210=0,0,Tariffs!F90)</f>
        <v>0</v>
      </c>
      <c r="G210" s="505">
        <f>IF($C210=0,0,Tariffs!G90)</f>
        <v>0</v>
      </c>
      <c r="H210" s="58"/>
      <c r="I210" s="248">
        <v>0</v>
      </c>
      <c r="J210" s="248"/>
      <c r="K210" s="164">
        <f t="shared" si="10"/>
        <v>0</v>
      </c>
      <c r="L210" s="174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73"/>
      <c r="AH210" s="19"/>
      <c r="AI210" s="19"/>
      <c r="AJ210" s="19"/>
      <c r="AK210" s="19"/>
    </row>
    <row r="211" spans="1:37" hidden="1" outlineLevel="3" x14ac:dyDescent="0.2">
      <c r="A211" s="19"/>
      <c r="B211" s="19"/>
      <c r="C211" s="506">
        <f>IF(OR(previousyear=RCPminus2,previousyear=RCPminus1),Tariffs!H91,C53)</f>
        <v>0</v>
      </c>
      <c r="D211" s="505">
        <f>IF($C211=0,0,Tariffs!D91)</f>
        <v>0</v>
      </c>
      <c r="E211" s="505">
        <f>IF($C211=0,0,Tariffs!E91)</f>
        <v>0</v>
      </c>
      <c r="F211" s="505">
        <f>IF($C211=0,0,Tariffs!F91)</f>
        <v>0</v>
      </c>
      <c r="G211" s="505">
        <f>IF($C211=0,0,Tariffs!G91)</f>
        <v>0</v>
      </c>
      <c r="H211" s="58"/>
      <c r="I211" s="248">
        <v>0</v>
      </c>
      <c r="J211" s="248"/>
      <c r="K211" s="164">
        <f t="shared" si="10"/>
        <v>0</v>
      </c>
      <c r="L211" s="174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73"/>
      <c r="AH211" s="19"/>
      <c r="AI211" s="19"/>
      <c r="AJ211" s="19"/>
      <c r="AK211" s="19"/>
    </row>
    <row r="212" spans="1:37" hidden="1" outlineLevel="3" x14ac:dyDescent="0.2">
      <c r="A212" s="19"/>
      <c r="B212" s="19"/>
      <c r="C212" s="506">
        <f>IF(OR(previousyear=RCPminus2,previousyear=RCPminus1),Tariffs!H92,C54)</f>
        <v>0</v>
      </c>
      <c r="D212" s="505">
        <f>IF($C212=0,0,Tariffs!D92)</f>
        <v>0</v>
      </c>
      <c r="E212" s="505">
        <f>IF($C212=0,0,Tariffs!E92)</f>
        <v>0</v>
      </c>
      <c r="F212" s="505">
        <f>IF($C212=0,0,Tariffs!F92)</f>
        <v>0</v>
      </c>
      <c r="G212" s="505">
        <f>IF($C212=0,0,Tariffs!G92)</f>
        <v>0</v>
      </c>
      <c r="H212" s="58"/>
      <c r="I212" s="248">
        <v>0</v>
      </c>
      <c r="J212" s="248"/>
      <c r="K212" s="164">
        <f t="shared" si="10"/>
        <v>0</v>
      </c>
      <c r="L212" s="174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73"/>
      <c r="AH212" s="19"/>
      <c r="AI212" s="19"/>
      <c r="AJ212" s="19"/>
      <c r="AK212" s="19"/>
    </row>
    <row r="213" spans="1:37" hidden="1" outlineLevel="3" x14ac:dyDescent="0.2">
      <c r="A213" s="19"/>
      <c r="B213" s="19"/>
      <c r="C213" s="506">
        <f>IF(OR(previousyear=RCPminus2,previousyear=RCPminus1),Tariffs!H93,C55)</f>
        <v>0</v>
      </c>
      <c r="D213" s="505">
        <f>IF($C213=0,0,Tariffs!D93)</f>
        <v>0</v>
      </c>
      <c r="E213" s="505">
        <f>IF($C213=0,0,Tariffs!E93)</f>
        <v>0</v>
      </c>
      <c r="F213" s="505">
        <f>IF($C213=0,0,Tariffs!F93)</f>
        <v>0</v>
      </c>
      <c r="G213" s="505">
        <f>IF($C213=0,0,Tariffs!G93)</f>
        <v>0</v>
      </c>
      <c r="H213" s="58"/>
      <c r="I213" s="248">
        <v>0</v>
      </c>
      <c r="J213" s="248"/>
      <c r="K213" s="164">
        <f t="shared" si="10"/>
        <v>0</v>
      </c>
      <c r="L213" s="174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73"/>
      <c r="AH213" s="19"/>
      <c r="AI213" s="19"/>
      <c r="AJ213" s="19"/>
      <c r="AK213" s="19"/>
    </row>
    <row r="214" spans="1:37" hidden="1" outlineLevel="3" x14ac:dyDescent="0.2">
      <c r="A214" s="19"/>
      <c r="B214" s="19"/>
      <c r="C214" s="506">
        <f>IF(OR(previousyear=RCPminus2,previousyear=RCPminus1),Tariffs!H94,C56)</f>
        <v>0</v>
      </c>
      <c r="D214" s="505">
        <f>IF($C214=0,0,Tariffs!D94)</f>
        <v>0</v>
      </c>
      <c r="E214" s="505">
        <f>IF($C214=0,0,Tariffs!E94)</f>
        <v>0</v>
      </c>
      <c r="F214" s="505">
        <f>IF($C214=0,0,Tariffs!F94)</f>
        <v>0</v>
      </c>
      <c r="G214" s="505">
        <f>IF($C214=0,0,Tariffs!G94)</f>
        <v>0</v>
      </c>
      <c r="H214" s="58"/>
      <c r="I214" s="248">
        <v>0</v>
      </c>
      <c r="J214" s="248"/>
      <c r="K214" s="164">
        <f t="shared" si="10"/>
        <v>0</v>
      </c>
      <c r="L214" s="174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73"/>
      <c r="AH214" s="19"/>
      <c r="AI214" s="19"/>
      <c r="AJ214" s="19"/>
      <c r="AK214" s="19"/>
    </row>
    <row r="215" spans="1:37" hidden="1" outlineLevel="3" x14ac:dyDescent="0.2">
      <c r="A215" s="19"/>
      <c r="B215" s="19"/>
      <c r="C215" s="506">
        <f>IF(OR(previousyear=RCPminus2,previousyear=RCPminus1),Tariffs!H95,C57)</f>
        <v>0</v>
      </c>
      <c r="D215" s="505">
        <f>IF($C215=0,0,Tariffs!D95)</f>
        <v>0</v>
      </c>
      <c r="E215" s="505">
        <f>IF($C215=0,0,Tariffs!E95)</f>
        <v>0</v>
      </c>
      <c r="F215" s="505">
        <f>IF($C215=0,0,Tariffs!F95)</f>
        <v>0</v>
      </c>
      <c r="G215" s="505">
        <f>IF($C215=0,0,Tariffs!G95)</f>
        <v>0</v>
      </c>
      <c r="H215" s="58"/>
      <c r="I215" s="248">
        <v>0</v>
      </c>
      <c r="J215" s="248"/>
      <c r="K215" s="164">
        <f t="shared" si="10"/>
        <v>0</v>
      </c>
      <c r="L215" s="174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73"/>
      <c r="AH215" s="19"/>
      <c r="AI215" s="19"/>
      <c r="AJ215" s="19"/>
      <c r="AK215" s="19"/>
    </row>
    <row r="216" spans="1:37" hidden="1" outlineLevel="3" x14ac:dyDescent="0.2">
      <c r="A216" s="19"/>
      <c r="B216" s="19"/>
      <c r="C216" s="506">
        <f>IF(OR(previousyear=RCPminus2,previousyear=RCPminus1),Tariffs!H96,C58)</f>
        <v>0</v>
      </c>
      <c r="D216" s="505">
        <f>IF($C216=0,0,Tariffs!D96)</f>
        <v>0</v>
      </c>
      <c r="E216" s="505">
        <f>IF($C216=0,0,Tariffs!E96)</f>
        <v>0</v>
      </c>
      <c r="F216" s="505">
        <f>IF($C216=0,0,Tariffs!F96)</f>
        <v>0</v>
      </c>
      <c r="G216" s="505">
        <f>IF($C216=0,0,Tariffs!G96)</f>
        <v>0</v>
      </c>
      <c r="H216" s="58"/>
      <c r="I216" s="248">
        <v>0</v>
      </c>
      <c r="J216" s="248"/>
      <c r="K216" s="164">
        <f t="shared" si="10"/>
        <v>0</v>
      </c>
      <c r="L216" s="174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73"/>
      <c r="AH216" s="19"/>
      <c r="AI216" s="19"/>
      <c r="AJ216" s="19"/>
      <c r="AK216" s="19"/>
    </row>
    <row r="217" spans="1:37" hidden="1" outlineLevel="3" x14ac:dyDescent="0.2">
      <c r="A217" s="19"/>
      <c r="B217" s="19"/>
      <c r="C217" s="506">
        <f>IF(OR(previousyear=RCPminus2,previousyear=RCPminus1),Tariffs!H97,C59)</f>
        <v>0</v>
      </c>
      <c r="D217" s="505">
        <f>IF($C217=0,0,Tariffs!D97)</f>
        <v>0</v>
      </c>
      <c r="E217" s="505">
        <f>IF($C217=0,0,Tariffs!E97)</f>
        <v>0</v>
      </c>
      <c r="F217" s="505">
        <f>IF($C217=0,0,Tariffs!F97)</f>
        <v>0</v>
      </c>
      <c r="G217" s="505">
        <f>IF($C217=0,0,Tariffs!G97)</f>
        <v>0</v>
      </c>
      <c r="H217" s="58"/>
      <c r="I217" s="248">
        <v>0</v>
      </c>
      <c r="J217" s="248"/>
      <c r="K217" s="164">
        <f t="shared" si="10"/>
        <v>0</v>
      </c>
      <c r="L217" s="174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73"/>
      <c r="AH217" s="19"/>
      <c r="AI217" s="19"/>
      <c r="AJ217" s="19"/>
      <c r="AK217" s="19"/>
    </row>
    <row r="218" spans="1:37" hidden="1" outlineLevel="3" x14ac:dyDescent="0.2">
      <c r="A218" s="19"/>
      <c r="B218" s="19"/>
      <c r="C218" s="506">
        <f>IF(OR(previousyear=RCPminus2,previousyear=RCPminus1),Tariffs!H98,C60)</f>
        <v>0</v>
      </c>
      <c r="D218" s="505">
        <f>IF($C218=0,0,Tariffs!D98)</f>
        <v>0</v>
      </c>
      <c r="E218" s="505">
        <f>IF($C218=0,0,Tariffs!E98)</f>
        <v>0</v>
      </c>
      <c r="F218" s="505">
        <f>IF($C218=0,0,Tariffs!F98)</f>
        <v>0</v>
      </c>
      <c r="G218" s="505">
        <f>IF($C218=0,0,Tariffs!G98)</f>
        <v>0</v>
      </c>
      <c r="H218" s="58"/>
      <c r="I218" s="248">
        <v>0</v>
      </c>
      <c r="J218" s="248"/>
      <c r="K218" s="164">
        <f t="shared" si="10"/>
        <v>0</v>
      </c>
      <c r="L218" s="174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73"/>
      <c r="AH218" s="19"/>
      <c r="AI218" s="19"/>
      <c r="AJ218" s="19"/>
      <c r="AK218" s="19"/>
    </row>
    <row r="219" spans="1:37" hidden="1" outlineLevel="3" x14ac:dyDescent="0.2">
      <c r="A219" s="19"/>
      <c r="B219" s="19"/>
      <c r="C219" s="506">
        <f>IF(OR(previousyear=RCPminus2,previousyear=RCPminus1),Tariffs!H99,C61)</f>
        <v>0</v>
      </c>
      <c r="D219" s="505">
        <f>IF($C219=0,0,Tariffs!D99)</f>
        <v>0</v>
      </c>
      <c r="E219" s="505">
        <f>IF($C219=0,0,Tariffs!E99)</f>
        <v>0</v>
      </c>
      <c r="F219" s="505">
        <f>IF($C219=0,0,Tariffs!F99)</f>
        <v>0</v>
      </c>
      <c r="G219" s="505">
        <f>IF($C219=0,0,Tariffs!G99)</f>
        <v>0</v>
      </c>
      <c r="H219" s="58"/>
      <c r="I219" s="248">
        <v>0</v>
      </c>
      <c r="J219" s="248"/>
      <c r="K219" s="164">
        <f t="shared" si="10"/>
        <v>0</v>
      </c>
      <c r="L219" s="174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73"/>
      <c r="AH219" s="19"/>
      <c r="AI219" s="19"/>
      <c r="AJ219" s="19"/>
      <c r="AK219" s="19"/>
    </row>
    <row r="220" spans="1:37" hidden="1" outlineLevel="3" x14ac:dyDescent="0.2">
      <c r="A220" s="19"/>
      <c r="B220" s="19"/>
      <c r="C220" s="506">
        <f>IF(OR(previousyear=RCPminus2,previousyear=RCPminus1),Tariffs!H100,C62)</f>
        <v>0</v>
      </c>
      <c r="D220" s="505">
        <f>IF($C220=0,0,Tariffs!D100)</f>
        <v>0</v>
      </c>
      <c r="E220" s="505">
        <f>IF($C220=0,0,Tariffs!E100)</f>
        <v>0</v>
      </c>
      <c r="F220" s="505">
        <f>IF($C220=0,0,Tariffs!F100)</f>
        <v>0</v>
      </c>
      <c r="G220" s="505">
        <f>IF($C220=0,0,Tariffs!G100)</f>
        <v>0</v>
      </c>
      <c r="H220" s="58"/>
      <c r="I220" s="248">
        <v>0</v>
      </c>
      <c r="J220" s="248"/>
      <c r="K220" s="164">
        <f t="shared" si="10"/>
        <v>0</v>
      </c>
      <c r="L220" s="174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73"/>
      <c r="AH220" s="19"/>
      <c r="AI220" s="19"/>
      <c r="AJ220" s="19"/>
      <c r="AK220" s="19"/>
    </row>
    <row r="221" spans="1:37" hidden="1" outlineLevel="3" x14ac:dyDescent="0.2">
      <c r="A221" s="19"/>
      <c r="B221" s="19"/>
      <c r="C221" s="506">
        <f>IF(OR(previousyear=RCPminus2,previousyear=RCPminus1),Tariffs!H101,C63)</f>
        <v>0</v>
      </c>
      <c r="D221" s="505">
        <f>IF($C221=0,0,Tariffs!D101)</f>
        <v>0</v>
      </c>
      <c r="E221" s="505">
        <f>IF($C221=0,0,Tariffs!E101)</f>
        <v>0</v>
      </c>
      <c r="F221" s="505">
        <f>IF($C221=0,0,Tariffs!F101)</f>
        <v>0</v>
      </c>
      <c r="G221" s="505">
        <f>IF($C221=0,0,Tariffs!G101)</f>
        <v>0</v>
      </c>
      <c r="H221" s="58"/>
      <c r="I221" s="248">
        <v>0</v>
      </c>
      <c r="J221" s="248"/>
      <c r="K221" s="164">
        <f t="shared" si="10"/>
        <v>0</v>
      </c>
      <c r="L221" s="174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73"/>
      <c r="AH221" s="19"/>
      <c r="AI221" s="19"/>
      <c r="AJ221" s="19"/>
      <c r="AK221" s="19"/>
    </row>
    <row r="222" spans="1:37" hidden="1" outlineLevel="3" x14ac:dyDescent="0.2">
      <c r="A222" s="19"/>
      <c r="B222" s="19"/>
      <c r="C222" s="506">
        <f>IF(OR(previousyear=RCPminus2,previousyear=RCPminus1),Tariffs!H102,C64)</f>
        <v>0</v>
      </c>
      <c r="D222" s="505">
        <f>IF($C222=0,0,Tariffs!D102)</f>
        <v>0</v>
      </c>
      <c r="E222" s="505">
        <f>IF($C222=0,0,Tariffs!E102)</f>
        <v>0</v>
      </c>
      <c r="F222" s="505">
        <f>IF($C222=0,0,Tariffs!F102)</f>
        <v>0</v>
      </c>
      <c r="G222" s="505">
        <f>IF($C222=0,0,Tariffs!G102)</f>
        <v>0</v>
      </c>
      <c r="H222" s="58"/>
      <c r="I222" s="248">
        <v>0</v>
      </c>
      <c r="J222" s="248"/>
      <c r="K222" s="164">
        <f t="shared" si="10"/>
        <v>0</v>
      </c>
      <c r="L222" s="174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73"/>
      <c r="AH222" s="19"/>
      <c r="AI222" s="19"/>
      <c r="AJ222" s="19"/>
      <c r="AK222" s="19"/>
    </row>
    <row r="223" spans="1:37" hidden="1" outlineLevel="3" x14ac:dyDescent="0.2">
      <c r="A223" s="19"/>
      <c r="B223" s="19"/>
      <c r="C223" s="506">
        <f>IF(OR(previousyear=RCPminus2,previousyear=RCPminus1),Tariffs!H103,C65)</f>
        <v>0</v>
      </c>
      <c r="D223" s="505">
        <f>IF($C223=0,0,Tariffs!D103)</f>
        <v>0</v>
      </c>
      <c r="E223" s="505">
        <f>IF($C223=0,0,Tariffs!E103)</f>
        <v>0</v>
      </c>
      <c r="F223" s="505">
        <f>IF($C223=0,0,Tariffs!F103)</f>
        <v>0</v>
      </c>
      <c r="G223" s="505">
        <f>IF($C223=0,0,Tariffs!G103)</f>
        <v>0</v>
      </c>
      <c r="H223" s="58"/>
      <c r="I223" s="248">
        <v>0</v>
      </c>
      <c r="J223" s="248"/>
      <c r="K223" s="164">
        <f t="shared" si="10"/>
        <v>0</v>
      </c>
      <c r="L223" s="174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73"/>
      <c r="AH223" s="19"/>
      <c r="AI223" s="19"/>
      <c r="AJ223" s="19"/>
      <c r="AK223" s="19"/>
    </row>
    <row r="224" spans="1:37" hidden="1" outlineLevel="3" x14ac:dyDescent="0.2">
      <c r="A224" s="19"/>
      <c r="B224" s="19"/>
      <c r="C224" s="506">
        <f>IF(OR(previousyear=RCPminus2,previousyear=RCPminus1),Tariffs!H104,C66)</f>
        <v>0</v>
      </c>
      <c r="D224" s="505">
        <f>IF($C224=0,0,Tariffs!D104)</f>
        <v>0</v>
      </c>
      <c r="E224" s="505">
        <f>IF($C224=0,0,Tariffs!E104)</f>
        <v>0</v>
      </c>
      <c r="F224" s="505">
        <f>IF($C224=0,0,Tariffs!F104)</f>
        <v>0</v>
      </c>
      <c r="G224" s="505">
        <f>IF($C224=0,0,Tariffs!G104)</f>
        <v>0</v>
      </c>
      <c r="H224" s="58"/>
      <c r="I224" s="248">
        <v>0</v>
      </c>
      <c r="J224" s="248"/>
      <c r="K224" s="164">
        <f t="shared" si="10"/>
        <v>0</v>
      </c>
      <c r="L224" s="174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73"/>
      <c r="AH224" s="19"/>
      <c r="AI224" s="19"/>
      <c r="AJ224" s="19"/>
      <c r="AK224" s="19"/>
    </row>
    <row r="225" spans="1:37" hidden="1" outlineLevel="3" x14ac:dyDescent="0.2">
      <c r="A225" s="19"/>
      <c r="B225" s="19"/>
      <c r="C225" s="506">
        <f>IF(OR(previousyear=RCPminus2,previousyear=RCPminus1),Tariffs!H105,C67)</f>
        <v>0</v>
      </c>
      <c r="D225" s="505">
        <f>IF($C225=0,0,Tariffs!D105)</f>
        <v>0</v>
      </c>
      <c r="E225" s="505">
        <f>IF($C225=0,0,Tariffs!E105)</f>
        <v>0</v>
      </c>
      <c r="F225" s="505">
        <f>IF($C225=0,0,Tariffs!F105)</f>
        <v>0</v>
      </c>
      <c r="G225" s="505">
        <f>IF($C225=0,0,Tariffs!G105)</f>
        <v>0</v>
      </c>
      <c r="H225" s="58"/>
      <c r="I225" s="248">
        <v>0</v>
      </c>
      <c r="J225" s="248"/>
      <c r="K225" s="164">
        <f t="shared" si="10"/>
        <v>0</v>
      </c>
      <c r="L225" s="174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73"/>
      <c r="AH225" s="19"/>
      <c r="AI225" s="19"/>
      <c r="AJ225" s="19"/>
      <c r="AK225" s="19"/>
    </row>
    <row r="226" spans="1:37" hidden="1" outlineLevel="3" x14ac:dyDescent="0.2">
      <c r="A226" s="19"/>
      <c r="B226" s="19"/>
      <c r="C226" s="506">
        <f>IF(OR(previousyear=RCPminus2,previousyear=RCPminus1),Tariffs!H106,C68)</f>
        <v>0</v>
      </c>
      <c r="D226" s="505">
        <f>IF($C226=0,0,Tariffs!D106)</f>
        <v>0</v>
      </c>
      <c r="E226" s="505">
        <f>IF($C226=0,0,Tariffs!E106)</f>
        <v>0</v>
      </c>
      <c r="F226" s="505">
        <f>IF($C226=0,0,Tariffs!F106)</f>
        <v>0</v>
      </c>
      <c r="G226" s="505">
        <f>IF($C226=0,0,Tariffs!G106)</f>
        <v>0</v>
      </c>
      <c r="H226" s="58"/>
      <c r="I226" s="248">
        <v>0</v>
      </c>
      <c r="J226" s="248"/>
      <c r="K226" s="164">
        <f t="shared" si="10"/>
        <v>0</v>
      </c>
      <c r="L226" s="174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73"/>
      <c r="AH226" s="19"/>
      <c r="AI226" s="19"/>
      <c r="AJ226" s="19"/>
      <c r="AK226" s="19"/>
    </row>
    <row r="227" spans="1:37" hidden="1" outlineLevel="3" x14ac:dyDescent="0.2">
      <c r="A227" s="19"/>
      <c r="B227" s="19"/>
      <c r="C227" s="506">
        <f>IF(OR(previousyear=RCPminus2,previousyear=RCPminus1),Tariffs!H107,C69)</f>
        <v>0</v>
      </c>
      <c r="D227" s="505">
        <f>IF($C227=0,0,Tariffs!D107)</f>
        <v>0</v>
      </c>
      <c r="E227" s="505">
        <f>IF($C227=0,0,Tariffs!E107)</f>
        <v>0</v>
      </c>
      <c r="F227" s="505">
        <f>IF($C227=0,0,Tariffs!F107)</f>
        <v>0</v>
      </c>
      <c r="G227" s="505">
        <f>IF($C227=0,0,Tariffs!G107)</f>
        <v>0</v>
      </c>
      <c r="H227" s="58"/>
      <c r="I227" s="248">
        <v>0</v>
      </c>
      <c r="J227" s="248"/>
      <c r="K227" s="164">
        <f t="shared" si="10"/>
        <v>0</v>
      </c>
      <c r="L227" s="174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73"/>
      <c r="AH227" s="19"/>
      <c r="AI227" s="19"/>
      <c r="AJ227" s="19"/>
      <c r="AK227" s="19"/>
    </row>
    <row r="228" spans="1:37" hidden="1" outlineLevel="3" x14ac:dyDescent="0.2">
      <c r="A228" s="19"/>
      <c r="B228" s="19"/>
      <c r="C228" s="506">
        <f>IF(OR(previousyear=RCPminus2,previousyear=RCPminus1),Tariffs!H108,C70)</f>
        <v>0</v>
      </c>
      <c r="D228" s="505">
        <f>IF($C228=0,0,Tariffs!D108)</f>
        <v>0</v>
      </c>
      <c r="E228" s="505">
        <f>IF($C228=0,0,Tariffs!E108)</f>
        <v>0</v>
      </c>
      <c r="F228" s="505">
        <f>IF($C228=0,0,Tariffs!F108)</f>
        <v>0</v>
      </c>
      <c r="G228" s="505">
        <f>IF($C228=0,0,Tariffs!G108)</f>
        <v>0</v>
      </c>
      <c r="H228" s="58"/>
      <c r="I228" s="248">
        <v>0</v>
      </c>
      <c r="J228" s="248"/>
      <c r="K228" s="164">
        <f t="shared" si="10"/>
        <v>0</v>
      </c>
      <c r="L228" s="174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73"/>
      <c r="AH228" s="19"/>
      <c r="AI228" s="19"/>
      <c r="AJ228" s="19"/>
      <c r="AK228" s="19"/>
    </row>
    <row r="229" spans="1:37" hidden="1" outlineLevel="3" x14ac:dyDescent="0.2">
      <c r="A229" s="19"/>
      <c r="B229" s="19"/>
      <c r="C229" s="506">
        <f>IF(OR(previousyear=RCPminus2,previousyear=RCPminus1),Tariffs!H109,C71)</f>
        <v>0</v>
      </c>
      <c r="D229" s="505">
        <f>IF($C229=0,0,Tariffs!D109)</f>
        <v>0</v>
      </c>
      <c r="E229" s="505">
        <f>IF($C229=0,0,Tariffs!E109)</f>
        <v>0</v>
      </c>
      <c r="F229" s="505">
        <f>IF($C229=0,0,Tariffs!F109)</f>
        <v>0</v>
      </c>
      <c r="G229" s="505">
        <f>IF($C229=0,0,Tariffs!G109)</f>
        <v>0</v>
      </c>
      <c r="H229" s="58"/>
      <c r="I229" s="248">
        <v>0</v>
      </c>
      <c r="J229" s="248"/>
      <c r="K229" s="164">
        <f t="shared" si="10"/>
        <v>0</v>
      </c>
      <c r="L229" s="174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73"/>
      <c r="AH229" s="19"/>
      <c r="AI229" s="19"/>
      <c r="AJ229" s="19"/>
      <c r="AK229" s="19"/>
    </row>
    <row r="230" spans="1:37" hidden="1" outlineLevel="3" x14ac:dyDescent="0.2">
      <c r="A230" s="19"/>
      <c r="B230" s="19"/>
      <c r="C230" s="506">
        <f>IF(OR(previousyear=RCPminus2,previousyear=RCPminus1),Tariffs!H110,C72)</f>
        <v>0</v>
      </c>
      <c r="D230" s="505">
        <f>IF($C230=0,0,Tariffs!D110)</f>
        <v>0</v>
      </c>
      <c r="E230" s="505">
        <f>IF($C230=0,0,Tariffs!E110)</f>
        <v>0</v>
      </c>
      <c r="F230" s="505">
        <f>IF($C230=0,0,Tariffs!F110)</f>
        <v>0</v>
      </c>
      <c r="G230" s="505">
        <f>IF($C230=0,0,Tariffs!G110)</f>
        <v>0</v>
      </c>
      <c r="H230" s="58"/>
      <c r="I230" s="248">
        <v>0</v>
      </c>
      <c r="J230" s="248"/>
      <c r="K230" s="164">
        <f t="shared" ref="K230:K240" si="11">SUMIF($M$6:$AF$6,"units",M230:AF230)</f>
        <v>0</v>
      </c>
      <c r="L230" s="174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73"/>
      <c r="AH230" s="19"/>
      <c r="AI230" s="19"/>
      <c r="AJ230" s="19"/>
      <c r="AK230" s="19"/>
    </row>
    <row r="231" spans="1:37" hidden="1" outlineLevel="3" x14ac:dyDescent="0.2">
      <c r="A231" s="19"/>
      <c r="B231" s="19"/>
      <c r="C231" s="506">
        <f>IF(OR(previousyear=RCPminus2,previousyear=RCPminus1),Tariffs!H111,C73)</f>
        <v>0</v>
      </c>
      <c r="D231" s="505">
        <f>IF($C231=0,0,Tariffs!D111)</f>
        <v>0</v>
      </c>
      <c r="E231" s="505">
        <f>IF($C231=0,0,Tariffs!E111)</f>
        <v>0</v>
      </c>
      <c r="F231" s="505">
        <f>IF($C231=0,0,Tariffs!F111)</f>
        <v>0</v>
      </c>
      <c r="G231" s="505">
        <f>IF($C231=0,0,Tariffs!G111)</f>
        <v>0</v>
      </c>
      <c r="H231" s="58"/>
      <c r="I231" s="248">
        <v>0</v>
      </c>
      <c r="J231" s="248"/>
      <c r="K231" s="164">
        <f t="shared" si="11"/>
        <v>0</v>
      </c>
      <c r="L231" s="174"/>
      <c r="M231" s="180"/>
      <c r="N231" s="180"/>
      <c r="O231" s="180"/>
      <c r="P231" s="180"/>
      <c r="Q231" s="180"/>
      <c r="R231" s="180"/>
      <c r="S231" s="180"/>
      <c r="T231" s="180"/>
      <c r="U231" s="180"/>
      <c r="V231" s="180"/>
      <c r="W231" s="180"/>
      <c r="X231" s="180"/>
      <c r="Y231" s="180"/>
      <c r="Z231" s="180"/>
      <c r="AA231" s="180"/>
      <c r="AB231" s="180"/>
      <c r="AC231" s="180"/>
      <c r="AD231" s="180"/>
      <c r="AE231" s="180"/>
      <c r="AF231" s="180"/>
      <c r="AG231" s="173"/>
      <c r="AH231" s="19"/>
      <c r="AI231" s="19"/>
      <c r="AJ231" s="19"/>
      <c r="AK231" s="19"/>
    </row>
    <row r="232" spans="1:37" hidden="1" outlineLevel="3" x14ac:dyDescent="0.2">
      <c r="A232" s="19"/>
      <c r="B232" s="19"/>
      <c r="C232" s="506">
        <f>IF(OR(previousyear=RCPminus2,previousyear=RCPminus1),Tariffs!H112,C74)</f>
        <v>0</v>
      </c>
      <c r="D232" s="505">
        <f>IF($C232=0,0,Tariffs!D112)</f>
        <v>0</v>
      </c>
      <c r="E232" s="505">
        <f>IF($C232=0,0,Tariffs!E112)</f>
        <v>0</v>
      </c>
      <c r="F232" s="505">
        <f>IF($C232=0,0,Tariffs!F112)</f>
        <v>0</v>
      </c>
      <c r="G232" s="505">
        <f>IF($C232=0,0,Tariffs!G112)</f>
        <v>0</v>
      </c>
      <c r="H232" s="58"/>
      <c r="I232" s="248">
        <v>0</v>
      </c>
      <c r="J232" s="248"/>
      <c r="K232" s="164">
        <f t="shared" si="11"/>
        <v>0</v>
      </c>
      <c r="L232" s="174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73"/>
      <c r="AH232" s="19"/>
      <c r="AI232" s="19"/>
      <c r="AJ232" s="19"/>
      <c r="AK232" s="19"/>
    </row>
    <row r="233" spans="1:37" hidden="1" outlineLevel="3" x14ac:dyDescent="0.2">
      <c r="A233" s="19"/>
      <c r="B233" s="19"/>
      <c r="C233" s="506">
        <f>IF(OR(previousyear=RCPminus2,previousyear=RCPminus1),Tariffs!H113,C75)</f>
        <v>0</v>
      </c>
      <c r="D233" s="505">
        <f>IF($C233=0,0,Tariffs!D113)</f>
        <v>0</v>
      </c>
      <c r="E233" s="505">
        <f>IF($C233=0,0,Tariffs!E113)</f>
        <v>0</v>
      </c>
      <c r="F233" s="505">
        <f>IF($C233=0,0,Tariffs!F113)</f>
        <v>0</v>
      </c>
      <c r="G233" s="505">
        <f>IF($C233=0,0,Tariffs!G113)</f>
        <v>0</v>
      </c>
      <c r="H233" s="58"/>
      <c r="I233" s="248">
        <v>0</v>
      </c>
      <c r="J233" s="248"/>
      <c r="K233" s="164">
        <f t="shared" si="11"/>
        <v>0</v>
      </c>
      <c r="L233" s="174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73"/>
      <c r="AH233" s="19"/>
      <c r="AI233" s="19"/>
      <c r="AJ233" s="19"/>
      <c r="AK233" s="19"/>
    </row>
    <row r="234" spans="1:37" hidden="1" outlineLevel="3" x14ac:dyDescent="0.2">
      <c r="A234" s="19"/>
      <c r="B234" s="19"/>
      <c r="C234" s="506">
        <f>IF(OR(previousyear=RCPminus2,previousyear=RCPminus1),Tariffs!H114,C76)</f>
        <v>0</v>
      </c>
      <c r="D234" s="505">
        <f>IF($C234=0,0,Tariffs!D114)</f>
        <v>0</v>
      </c>
      <c r="E234" s="505">
        <f>IF($C234=0,0,Tariffs!E114)</f>
        <v>0</v>
      </c>
      <c r="F234" s="505">
        <f>IF($C234=0,0,Tariffs!F114)</f>
        <v>0</v>
      </c>
      <c r="G234" s="505">
        <f>IF($C234=0,0,Tariffs!G114)</f>
        <v>0</v>
      </c>
      <c r="H234" s="58"/>
      <c r="I234" s="248">
        <v>0</v>
      </c>
      <c r="J234" s="248"/>
      <c r="K234" s="164">
        <f t="shared" si="11"/>
        <v>0</v>
      </c>
      <c r="L234" s="174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73"/>
      <c r="AH234" s="19"/>
      <c r="AI234" s="19"/>
      <c r="AJ234" s="19"/>
      <c r="AK234" s="19"/>
    </row>
    <row r="235" spans="1:37" hidden="1" outlineLevel="3" x14ac:dyDescent="0.2">
      <c r="A235" s="19"/>
      <c r="B235" s="19"/>
      <c r="C235" s="506">
        <f>IF(OR(previousyear=RCPminus2,previousyear=RCPminus1),Tariffs!H115,C77)</f>
        <v>0</v>
      </c>
      <c r="D235" s="505">
        <f>IF($C235=0,0,Tariffs!D115)</f>
        <v>0</v>
      </c>
      <c r="E235" s="505">
        <f>IF($C235=0,0,Tariffs!E115)</f>
        <v>0</v>
      </c>
      <c r="F235" s="505">
        <f>IF($C235=0,0,Tariffs!F115)</f>
        <v>0</v>
      </c>
      <c r="G235" s="505">
        <f>IF($C235=0,0,Tariffs!G115)</f>
        <v>0</v>
      </c>
      <c r="H235" s="58"/>
      <c r="I235" s="248">
        <v>0</v>
      </c>
      <c r="J235" s="248"/>
      <c r="K235" s="164">
        <f t="shared" si="11"/>
        <v>0</v>
      </c>
      <c r="L235" s="174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73"/>
      <c r="AH235" s="19"/>
      <c r="AI235" s="19"/>
      <c r="AJ235" s="19"/>
      <c r="AK235" s="19"/>
    </row>
    <row r="236" spans="1:37" hidden="1" outlineLevel="3" x14ac:dyDescent="0.2">
      <c r="A236" s="19"/>
      <c r="B236" s="19"/>
      <c r="C236" s="506">
        <f>IF(OR(previousyear=RCPminus2,previousyear=RCPminus1),Tariffs!H116,C78)</f>
        <v>0</v>
      </c>
      <c r="D236" s="505">
        <f>IF($C236=0,0,Tariffs!D116)</f>
        <v>0</v>
      </c>
      <c r="E236" s="505">
        <f>IF($C236=0,0,Tariffs!E116)</f>
        <v>0</v>
      </c>
      <c r="F236" s="505">
        <f>IF($C236=0,0,Tariffs!F116)</f>
        <v>0</v>
      </c>
      <c r="G236" s="505">
        <f>IF($C236=0,0,Tariffs!G116)</f>
        <v>0</v>
      </c>
      <c r="H236" s="58"/>
      <c r="I236" s="248">
        <v>0</v>
      </c>
      <c r="J236" s="248"/>
      <c r="K236" s="164">
        <f t="shared" si="11"/>
        <v>0</v>
      </c>
      <c r="L236" s="174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  <c r="Z236" s="180"/>
      <c r="AA236" s="180"/>
      <c r="AB236" s="180"/>
      <c r="AC236" s="180"/>
      <c r="AD236" s="180"/>
      <c r="AE236" s="180"/>
      <c r="AF236" s="180"/>
      <c r="AG236" s="173"/>
      <c r="AH236" s="19"/>
      <c r="AI236" s="19"/>
      <c r="AJ236" s="19"/>
      <c r="AK236" s="19"/>
    </row>
    <row r="237" spans="1:37" hidden="1" outlineLevel="3" x14ac:dyDescent="0.2">
      <c r="A237" s="19"/>
      <c r="B237" s="19"/>
      <c r="C237" s="506">
        <f>IF(OR(previousyear=RCPminus2,previousyear=RCPminus1),Tariffs!H117,C79)</f>
        <v>0</v>
      </c>
      <c r="D237" s="505">
        <f>IF($C237=0,0,Tariffs!D117)</f>
        <v>0</v>
      </c>
      <c r="E237" s="505">
        <f>IF($C237=0,0,Tariffs!E117)</f>
        <v>0</v>
      </c>
      <c r="F237" s="505">
        <f>IF($C237=0,0,Tariffs!F117)</f>
        <v>0</v>
      </c>
      <c r="G237" s="505">
        <f>IF($C237=0,0,Tariffs!G117)</f>
        <v>0</v>
      </c>
      <c r="H237" s="58"/>
      <c r="I237" s="248">
        <v>0</v>
      </c>
      <c r="J237" s="248"/>
      <c r="K237" s="164">
        <f t="shared" si="11"/>
        <v>0</v>
      </c>
      <c r="L237" s="174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73"/>
      <c r="AH237" s="19"/>
      <c r="AI237" s="19"/>
      <c r="AJ237" s="19"/>
      <c r="AK237" s="19"/>
    </row>
    <row r="238" spans="1:37" hidden="1" outlineLevel="3" x14ac:dyDescent="0.2">
      <c r="A238" s="19"/>
      <c r="B238" s="19"/>
      <c r="C238" s="506">
        <f>IF(OR(previousyear=RCPminus2,previousyear=RCPminus1),Tariffs!H118,C80)</f>
        <v>0</v>
      </c>
      <c r="D238" s="505">
        <f>IF($C238=0,0,Tariffs!D118)</f>
        <v>0</v>
      </c>
      <c r="E238" s="505">
        <f>IF($C238=0,0,Tariffs!E118)</f>
        <v>0</v>
      </c>
      <c r="F238" s="505">
        <f>IF($C238=0,0,Tariffs!F118)</f>
        <v>0</v>
      </c>
      <c r="G238" s="505">
        <f>IF($C238=0,0,Tariffs!G118)</f>
        <v>0</v>
      </c>
      <c r="H238" s="58"/>
      <c r="I238" s="248">
        <v>0</v>
      </c>
      <c r="J238" s="248"/>
      <c r="K238" s="164">
        <f t="shared" si="11"/>
        <v>0</v>
      </c>
      <c r="L238" s="174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73"/>
      <c r="AH238" s="19"/>
      <c r="AI238" s="19"/>
      <c r="AJ238" s="19"/>
      <c r="AK238" s="19"/>
    </row>
    <row r="239" spans="1:37" hidden="1" outlineLevel="3" x14ac:dyDescent="0.2">
      <c r="A239" s="19"/>
      <c r="B239" s="19"/>
      <c r="C239" s="506">
        <f>IF(OR(previousyear=RCPminus2,previousyear=RCPminus1),Tariffs!H119,C81)</f>
        <v>0</v>
      </c>
      <c r="D239" s="505">
        <f>IF($C239=0,0,Tariffs!D119)</f>
        <v>0</v>
      </c>
      <c r="E239" s="505">
        <f>IF($C239=0,0,Tariffs!E119)</f>
        <v>0</v>
      </c>
      <c r="F239" s="505">
        <f>IF($C239=0,0,Tariffs!F119)</f>
        <v>0</v>
      </c>
      <c r="G239" s="505">
        <f>IF($C239=0,0,Tariffs!G119)</f>
        <v>0</v>
      </c>
      <c r="H239" s="58"/>
      <c r="I239" s="248">
        <v>0</v>
      </c>
      <c r="J239" s="248"/>
      <c r="K239" s="164">
        <f t="shared" si="11"/>
        <v>0</v>
      </c>
      <c r="L239" s="174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73"/>
      <c r="AH239" s="19"/>
      <c r="AI239" s="19"/>
      <c r="AJ239" s="19"/>
      <c r="AK239" s="19"/>
    </row>
    <row r="240" spans="1:37" hidden="1" outlineLevel="3" x14ac:dyDescent="0.2">
      <c r="A240" s="19"/>
      <c r="B240" s="19"/>
      <c r="C240" s="506">
        <f>IF(OR(previousyear=RCPminus2,previousyear=RCPminus1),Tariffs!H120,C82)</f>
        <v>0</v>
      </c>
      <c r="D240" s="505">
        <f>IF($C240=0,0,Tariffs!D120)</f>
        <v>0</v>
      </c>
      <c r="E240" s="505">
        <f>IF($C240=0,0,Tariffs!E120)</f>
        <v>0</v>
      </c>
      <c r="F240" s="505">
        <f>IF($C240=0,0,Tariffs!F120)</f>
        <v>0</v>
      </c>
      <c r="G240" s="505">
        <f>IF($C240=0,0,Tariffs!G120)</f>
        <v>0</v>
      </c>
      <c r="H240" s="58"/>
      <c r="I240" s="248">
        <v>0</v>
      </c>
      <c r="J240" s="248"/>
      <c r="K240" s="164">
        <f t="shared" si="11"/>
        <v>0</v>
      </c>
      <c r="L240" s="174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73"/>
      <c r="AH240" s="19"/>
      <c r="AI240" s="19"/>
      <c r="AJ240" s="19"/>
      <c r="AK240" s="19"/>
    </row>
    <row r="241" spans="1:37" outlineLevel="2" collapsed="1" x14ac:dyDescent="0.2">
      <c r="A241" s="19"/>
      <c r="B241" s="19"/>
      <c r="C241" s="539" t="s">
        <v>240</v>
      </c>
      <c r="D241" s="505"/>
      <c r="E241" s="505"/>
      <c r="F241" s="505"/>
      <c r="G241" s="505"/>
      <c r="H241" s="58"/>
      <c r="I241" s="323">
        <v>546931.12876712333</v>
      </c>
      <c r="J241" s="323"/>
      <c r="K241" s="323">
        <f>SUM(K166:K240)</f>
        <v>546931.12876712333</v>
      </c>
      <c r="L241" s="324"/>
      <c r="M241" s="323">
        <f t="shared" ref="M241:AF241" si="12">SUM(M166:M240)</f>
        <v>546931.12876712333</v>
      </c>
      <c r="N241" s="323">
        <f t="shared" si="12"/>
        <v>2135473059.2749999</v>
      </c>
      <c r="O241" s="323">
        <f t="shared" si="12"/>
        <v>430063511.52697158</v>
      </c>
      <c r="P241" s="323">
        <f t="shared" si="12"/>
        <v>201068056.38275972</v>
      </c>
      <c r="Q241" s="323">
        <f t="shared" si="12"/>
        <v>507873350.96226764</v>
      </c>
      <c r="R241" s="323">
        <f t="shared" si="12"/>
        <v>22495805</v>
      </c>
      <c r="S241" s="323">
        <f t="shared" si="12"/>
        <v>26144811</v>
      </c>
      <c r="T241" s="323">
        <f t="shared" si="12"/>
        <v>26875327</v>
      </c>
      <c r="U241" s="323">
        <f t="shared" si="12"/>
        <v>24722087</v>
      </c>
      <c r="V241" s="323">
        <f t="shared" si="12"/>
        <v>325141</v>
      </c>
      <c r="W241" s="323">
        <f t="shared" si="12"/>
        <v>24722087</v>
      </c>
      <c r="X241" s="323">
        <f t="shared" si="12"/>
        <v>325141</v>
      </c>
      <c r="Y241" s="323">
        <f t="shared" si="12"/>
        <v>3819271.2282739733</v>
      </c>
      <c r="Z241" s="323">
        <f t="shared" si="12"/>
        <v>0</v>
      </c>
      <c r="AA241" s="323">
        <f t="shared" si="12"/>
        <v>0</v>
      </c>
      <c r="AB241" s="323">
        <f t="shared" si="12"/>
        <v>0</v>
      </c>
      <c r="AC241" s="323">
        <f t="shared" si="12"/>
        <v>0</v>
      </c>
      <c r="AD241" s="323">
        <f t="shared" si="12"/>
        <v>0</v>
      </c>
      <c r="AE241" s="323">
        <f t="shared" si="12"/>
        <v>0</v>
      </c>
      <c r="AF241" s="323">
        <f t="shared" si="12"/>
        <v>0</v>
      </c>
      <c r="AG241" s="325"/>
      <c r="AH241" s="19"/>
      <c r="AI241" s="19"/>
      <c r="AJ241" s="19"/>
      <c r="AK241" s="19"/>
    </row>
    <row r="242" spans="1:37" outlineLevel="2" x14ac:dyDescent="0.2">
      <c r="A242" s="19"/>
      <c r="B242" s="19"/>
      <c r="C242" s="66"/>
      <c r="D242" s="58"/>
      <c r="E242" s="58"/>
      <c r="F242" s="58"/>
      <c r="G242" s="58"/>
      <c r="H242" s="58"/>
      <c r="I242" s="174"/>
      <c r="J242" s="174"/>
      <c r="K242" s="174"/>
      <c r="L242" s="174"/>
      <c r="M242" s="174"/>
      <c r="N242" s="174"/>
      <c r="O242" s="181"/>
      <c r="P242" s="181"/>
      <c r="Q242" s="181"/>
      <c r="R242" s="182"/>
      <c r="S242" s="182"/>
      <c r="T242" s="182"/>
      <c r="U242" s="182"/>
      <c r="V242" s="182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9"/>
      <c r="AI242" s="19"/>
      <c r="AJ242" s="19"/>
      <c r="AK242" s="19"/>
    </row>
    <row r="243" spans="1:37" outlineLevel="1" x14ac:dyDescent="0.2">
      <c r="A243" s="19"/>
      <c r="B243" s="19"/>
      <c r="C243" s="66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20"/>
      <c r="P243" s="20"/>
      <c r="Q243" s="20"/>
      <c r="R243" s="37"/>
      <c r="S243" s="37"/>
      <c r="T243" s="37"/>
      <c r="U243" s="37"/>
      <c r="V243" s="37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</row>
    <row r="244" spans="1:37" x14ac:dyDescent="0.2">
      <c r="A244" s="19"/>
      <c r="B244" s="19"/>
      <c r="C244" s="36"/>
      <c r="D244" s="20"/>
      <c r="E244" s="20"/>
      <c r="F244" s="20"/>
      <c r="G244" s="20"/>
      <c r="H244" s="20"/>
      <c r="I244" s="20"/>
      <c r="J244" s="20"/>
      <c r="K244" s="22"/>
      <c r="L244" s="22"/>
      <c r="M244" s="22"/>
      <c r="N244" s="20"/>
      <c r="O244" s="20"/>
      <c r="P244" s="20"/>
      <c r="Q244" s="20"/>
      <c r="R244" s="37"/>
      <c r="S244" s="37"/>
      <c r="T244" s="37"/>
      <c r="U244" s="37"/>
      <c r="V244" s="37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</row>
    <row r="245" spans="1:37" ht="12.75" x14ac:dyDescent="0.2">
      <c r="A245" s="11"/>
      <c r="B245" s="12" t="s">
        <v>683</v>
      </c>
      <c r="C245" s="11"/>
      <c r="D245" s="32" t="str">
        <f>D5</f>
        <v>Tariff class</v>
      </c>
      <c r="E245" s="32" t="str">
        <f>tariffid1</f>
        <v>Code</v>
      </c>
      <c r="F245" s="32" t="str">
        <f>tariffid2</f>
        <v>Trans. Node</v>
      </c>
      <c r="G245" s="32" t="str">
        <f>tariffid3</f>
        <v>Other identifier</v>
      </c>
      <c r="H245" s="32"/>
      <c r="I245" s="183" t="str">
        <f>I5</f>
        <v>Customers</v>
      </c>
      <c r="J245" s="183"/>
      <c r="K245" s="183" t="str">
        <f>K5</f>
        <v>Total Fixed</v>
      </c>
      <c r="L245" s="183"/>
      <c r="M245" s="183" t="str">
        <f t="shared" ref="M245:AF245" si="13">M5</f>
        <v>Service</v>
      </c>
      <c r="N245" s="183" t="str">
        <f t="shared" si="13"/>
        <v>All energy</v>
      </c>
      <c r="O245" s="183" t="str">
        <f t="shared" si="13"/>
        <v>Peak energy</v>
      </c>
      <c r="P245" s="183" t="str">
        <f t="shared" si="13"/>
        <v>Shoulder energy</v>
      </c>
      <c r="Q245" s="183" t="str">
        <f t="shared" si="13"/>
        <v>Off-peak energy</v>
      </c>
      <c r="R245" s="183" t="str">
        <f t="shared" si="13"/>
        <v>All demand</v>
      </c>
      <c r="S245" s="183" t="str">
        <f t="shared" si="13"/>
        <v>Peak demand</v>
      </c>
      <c r="T245" s="183" t="str">
        <f t="shared" si="13"/>
        <v>Off-peak demand</v>
      </c>
      <c r="U245" s="183" t="str">
        <f t="shared" si="13"/>
        <v>Specified demand</v>
      </c>
      <c r="V245" s="183" t="str">
        <f t="shared" si="13"/>
        <v>Excess daily demand</v>
      </c>
      <c r="W245" s="183" t="str">
        <f t="shared" si="13"/>
        <v>Daily demand connection</v>
      </c>
      <c r="X245" s="183" t="str">
        <f t="shared" si="13"/>
        <v>Excess daily demand connection</v>
      </c>
      <c r="Y245" s="183" t="str">
        <f t="shared" si="13"/>
        <v>All demand (lamps)</v>
      </c>
      <c r="Z245" s="183">
        <f t="shared" si="13"/>
        <v>0</v>
      </c>
      <c r="AA245" s="183">
        <f t="shared" si="13"/>
        <v>0</v>
      </c>
      <c r="AB245" s="183">
        <f t="shared" si="13"/>
        <v>0</v>
      </c>
      <c r="AC245" s="183">
        <f t="shared" si="13"/>
        <v>0</v>
      </c>
      <c r="AD245" s="183">
        <f t="shared" si="13"/>
        <v>0</v>
      </c>
      <c r="AE245" s="183">
        <f t="shared" si="13"/>
        <v>0</v>
      </c>
      <c r="AF245" s="183">
        <f t="shared" si="13"/>
        <v>0</v>
      </c>
      <c r="AG245" s="183"/>
      <c r="AH245" s="15"/>
      <c r="AI245" s="15"/>
      <c r="AJ245" s="15"/>
      <c r="AK245" s="15"/>
    </row>
    <row r="246" spans="1:37" outlineLevel="1" x14ac:dyDescent="0.2">
      <c r="A246" s="19"/>
      <c r="B246" s="19"/>
      <c r="C246" s="36"/>
      <c r="D246" s="20"/>
      <c r="E246" s="20"/>
      <c r="F246" s="20"/>
      <c r="G246" s="20"/>
      <c r="H246" s="20"/>
      <c r="I246" s="170" t="str">
        <f>I6</f>
        <v>units</v>
      </c>
      <c r="J246" s="170"/>
      <c r="K246" s="170" t="str">
        <f>K6</f>
        <v>units</v>
      </c>
      <c r="L246" s="170"/>
      <c r="M246" s="170" t="str">
        <f t="shared" ref="M246:AF246" si="14">M6</f>
        <v>units</v>
      </c>
      <c r="N246" s="170" t="str">
        <f t="shared" si="14"/>
        <v>kWh</v>
      </c>
      <c r="O246" s="170" t="str">
        <f t="shared" si="14"/>
        <v>kWh</v>
      </c>
      <c r="P246" s="170" t="str">
        <f t="shared" si="14"/>
        <v>kWh</v>
      </c>
      <c r="Q246" s="170" t="str">
        <f t="shared" si="14"/>
        <v>kWh</v>
      </c>
      <c r="R246" s="170" t="str">
        <f t="shared" si="14"/>
        <v>kVA</v>
      </c>
      <c r="S246" s="170" t="str">
        <f t="shared" si="14"/>
        <v>kVA</v>
      </c>
      <c r="T246" s="170" t="str">
        <f t="shared" si="14"/>
        <v>kVA</v>
      </c>
      <c r="U246" s="170" t="str">
        <f t="shared" si="14"/>
        <v>kVA</v>
      </c>
      <c r="V246" s="170" t="str">
        <f t="shared" si="14"/>
        <v>kVA</v>
      </c>
      <c r="W246" s="170" t="str">
        <f t="shared" si="14"/>
        <v>kVA</v>
      </c>
      <c r="X246" s="170" t="str">
        <f t="shared" si="14"/>
        <v>kVA</v>
      </c>
      <c r="Y246" s="170" t="str">
        <f t="shared" si="14"/>
        <v>LmpWtts</v>
      </c>
      <c r="Z246" s="170">
        <f t="shared" si="14"/>
        <v>0</v>
      </c>
      <c r="AA246" s="170">
        <f t="shared" si="14"/>
        <v>0</v>
      </c>
      <c r="AB246" s="170">
        <f t="shared" si="14"/>
        <v>0</v>
      </c>
      <c r="AC246" s="170">
        <f t="shared" si="14"/>
        <v>0</v>
      </c>
      <c r="AD246" s="170">
        <f t="shared" si="14"/>
        <v>0</v>
      </c>
      <c r="AE246" s="170">
        <f t="shared" si="14"/>
        <v>0</v>
      </c>
      <c r="AF246" s="170">
        <f t="shared" si="14"/>
        <v>0</v>
      </c>
      <c r="AG246" s="170"/>
      <c r="AH246" s="19"/>
      <c r="AI246" s="19"/>
      <c r="AJ246" s="19"/>
      <c r="AK246" s="19"/>
    </row>
    <row r="247" spans="1:37" outlineLevel="1" x14ac:dyDescent="0.2">
      <c r="A247" s="19"/>
      <c r="B247" s="19"/>
      <c r="C247" s="167" t="str">
        <f>C7</f>
        <v>Forecast 2022–23</v>
      </c>
      <c r="D247" s="20"/>
      <c r="E247" s="20"/>
      <c r="F247" s="20"/>
      <c r="G247" s="20"/>
      <c r="H247" s="20"/>
      <c r="I247" s="170"/>
      <c r="J247" s="170"/>
      <c r="K247" s="170"/>
      <c r="L247" s="170"/>
      <c r="M247" s="170">
        <f t="shared" ref="M247:AF247" si="15">M7</f>
        <v>0</v>
      </c>
      <c r="N247" s="170" t="str">
        <f t="shared" si="15"/>
        <v>Anytime</v>
      </c>
      <c r="O247" s="170" t="str">
        <f t="shared" si="15"/>
        <v>Peak</v>
      </c>
      <c r="P247" s="170" t="str">
        <f t="shared" si="15"/>
        <v>Shoulder</v>
      </c>
      <c r="Q247" s="170" t="str">
        <f t="shared" si="15"/>
        <v>Off-peak</v>
      </c>
      <c r="R247" s="170">
        <f t="shared" si="15"/>
        <v>0</v>
      </c>
      <c r="S247" s="170">
        <f t="shared" si="15"/>
        <v>0</v>
      </c>
      <c r="T247" s="170">
        <f t="shared" si="15"/>
        <v>0</v>
      </c>
      <c r="U247" s="170">
        <f t="shared" si="15"/>
        <v>0</v>
      </c>
      <c r="V247" s="170">
        <f t="shared" si="15"/>
        <v>0</v>
      </c>
      <c r="W247" s="170">
        <f t="shared" si="15"/>
        <v>0</v>
      </c>
      <c r="X247" s="170">
        <f t="shared" si="15"/>
        <v>0</v>
      </c>
      <c r="Y247" s="170">
        <f t="shared" si="15"/>
        <v>0</v>
      </c>
      <c r="Z247" s="170">
        <f t="shared" si="15"/>
        <v>0</v>
      </c>
      <c r="AA247" s="170">
        <f t="shared" si="15"/>
        <v>0</v>
      </c>
      <c r="AB247" s="170">
        <f t="shared" si="15"/>
        <v>0</v>
      </c>
      <c r="AC247" s="170">
        <f t="shared" si="15"/>
        <v>0</v>
      </c>
      <c r="AD247" s="170">
        <f t="shared" si="15"/>
        <v>0</v>
      </c>
      <c r="AE247" s="170">
        <f t="shared" si="15"/>
        <v>0</v>
      </c>
      <c r="AF247" s="170">
        <f t="shared" si="15"/>
        <v>0</v>
      </c>
      <c r="AG247" s="170"/>
      <c r="AH247" s="19"/>
      <c r="AI247" s="19"/>
      <c r="AJ247" s="19"/>
      <c r="AK247" s="19"/>
    </row>
    <row r="248" spans="1:37" outlineLevel="2" x14ac:dyDescent="0.2">
      <c r="A248" s="606"/>
      <c r="B248" s="606"/>
      <c r="C248" s="607"/>
      <c r="D248" s="608"/>
      <c r="E248" s="608"/>
      <c r="F248" s="608"/>
      <c r="G248" s="608"/>
      <c r="H248" s="609"/>
      <c r="I248" s="632"/>
      <c r="J248" s="632"/>
      <c r="K248" s="632"/>
      <c r="L248" s="636"/>
      <c r="M248" s="668"/>
      <c r="N248" s="639"/>
      <c r="O248" s="639"/>
      <c r="P248" s="639"/>
      <c r="Q248" s="639"/>
      <c r="R248" s="639"/>
      <c r="S248" s="639"/>
      <c r="T248" s="639"/>
      <c r="U248" s="639"/>
      <c r="V248" s="639"/>
      <c r="W248" s="639"/>
      <c r="X248" s="639"/>
      <c r="Y248" s="639"/>
      <c r="Z248" s="639"/>
      <c r="AA248" s="639"/>
      <c r="AB248" s="639"/>
      <c r="AC248" s="639"/>
      <c r="AD248" s="639"/>
      <c r="AE248" s="639"/>
      <c r="AF248" s="639"/>
      <c r="AG248" s="669"/>
      <c r="AH248" s="606"/>
      <c r="AI248" s="19"/>
      <c r="AJ248" s="19"/>
      <c r="AK248" s="19"/>
    </row>
    <row r="249" spans="1:37" outlineLevel="2" x14ac:dyDescent="0.2">
      <c r="A249" s="606"/>
      <c r="B249" s="606"/>
      <c r="C249" s="607"/>
      <c r="D249" s="608"/>
      <c r="E249" s="608"/>
      <c r="F249" s="608"/>
      <c r="G249" s="608"/>
      <c r="H249" s="609"/>
      <c r="I249" s="632"/>
      <c r="J249" s="632"/>
      <c r="K249" s="632"/>
      <c r="L249" s="636"/>
      <c r="M249" s="668"/>
      <c r="N249" s="639"/>
      <c r="O249" s="639"/>
      <c r="P249" s="639"/>
      <c r="Q249" s="639"/>
      <c r="R249" s="639"/>
      <c r="S249" s="639"/>
      <c r="T249" s="639"/>
      <c r="U249" s="639"/>
      <c r="V249" s="639"/>
      <c r="W249" s="639"/>
      <c r="X249" s="639"/>
      <c r="Y249" s="639"/>
      <c r="Z249" s="639"/>
      <c r="AA249" s="639"/>
      <c r="AB249" s="639"/>
      <c r="AC249" s="639"/>
      <c r="AD249" s="639"/>
      <c r="AE249" s="639"/>
      <c r="AF249" s="639"/>
      <c r="AG249" s="669"/>
      <c r="AH249" s="606"/>
      <c r="AI249" s="19"/>
      <c r="AJ249" s="19"/>
      <c r="AK249" s="19"/>
    </row>
    <row r="250" spans="1:37" outlineLevel="2" x14ac:dyDescent="0.2">
      <c r="A250" s="606"/>
      <c r="B250" s="606"/>
      <c r="C250" s="607"/>
      <c r="D250" s="608"/>
      <c r="E250" s="608"/>
      <c r="F250" s="608"/>
      <c r="G250" s="608"/>
      <c r="H250" s="609"/>
      <c r="I250" s="632"/>
      <c r="J250" s="632"/>
      <c r="K250" s="632"/>
      <c r="L250" s="636"/>
      <c r="M250" s="668"/>
      <c r="N250" s="639"/>
      <c r="O250" s="639"/>
      <c r="P250" s="639"/>
      <c r="Q250" s="639"/>
      <c r="R250" s="639"/>
      <c r="S250" s="639"/>
      <c r="T250" s="639"/>
      <c r="U250" s="639"/>
      <c r="V250" s="639"/>
      <c r="W250" s="639"/>
      <c r="X250" s="639"/>
      <c r="Y250" s="639"/>
      <c r="Z250" s="639"/>
      <c r="AA250" s="639"/>
      <c r="AB250" s="639"/>
      <c r="AC250" s="639"/>
      <c r="AD250" s="639"/>
      <c r="AE250" s="639"/>
      <c r="AF250" s="639"/>
      <c r="AG250" s="669"/>
      <c r="AH250" s="606"/>
      <c r="AI250" s="19"/>
      <c r="AJ250" s="19"/>
      <c r="AK250" s="19"/>
    </row>
    <row r="251" spans="1:37" outlineLevel="2" x14ac:dyDescent="0.2">
      <c r="A251" s="606"/>
      <c r="B251" s="606"/>
      <c r="C251" s="607"/>
      <c r="D251" s="608"/>
      <c r="E251" s="608"/>
      <c r="F251" s="608"/>
      <c r="G251" s="608"/>
      <c r="H251" s="609"/>
      <c r="I251" s="632"/>
      <c r="J251" s="632"/>
      <c r="K251" s="632"/>
      <c r="L251" s="636"/>
      <c r="M251" s="668"/>
      <c r="N251" s="639"/>
      <c r="O251" s="639"/>
      <c r="P251" s="639"/>
      <c r="Q251" s="639"/>
      <c r="R251" s="639"/>
      <c r="S251" s="639"/>
      <c r="T251" s="639"/>
      <c r="U251" s="639"/>
      <c r="V251" s="639"/>
      <c r="W251" s="639"/>
      <c r="X251" s="639"/>
      <c r="Y251" s="639"/>
      <c r="Z251" s="639"/>
      <c r="AA251" s="639"/>
      <c r="AB251" s="639"/>
      <c r="AC251" s="639"/>
      <c r="AD251" s="639"/>
      <c r="AE251" s="639"/>
      <c r="AF251" s="639"/>
      <c r="AG251" s="669"/>
      <c r="AH251" s="606"/>
      <c r="AI251" s="19"/>
      <c r="AJ251" s="19"/>
      <c r="AK251" s="19"/>
    </row>
    <row r="252" spans="1:37" outlineLevel="2" x14ac:dyDescent="0.2">
      <c r="A252" s="606"/>
      <c r="B252" s="606"/>
      <c r="C252" s="607"/>
      <c r="D252" s="608"/>
      <c r="E252" s="608"/>
      <c r="F252" s="608"/>
      <c r="G252" s="608"/>
      <c r="H252" s="609"/>
      <c r="I252" s="632"/>
      <c r="J252" s="632"/>
      <c r="K252" s="632"/>
      <c r="L252" s="636"/>
      <c r="M252" s="668"/>
      <c r="N252" s="639"/>
      <c r="O252" s="639"/>
      <c r="P252" s="639"/>
      <c r="Q252" s="639"/>
      <c r="R252" s="639"/>
      <c r="S252" s="639"/>
      <c r="T252" s="639"/>
      <c r="U252" s="639"/>
      <c r="V252" s="639"/>
      <c r="W252" s="639"/>
      <c r="X252" s="639"/>
      <c r="Y252" s="639"/>
      <c r="Z252" s="639"/>
      <c r="AA252" s="639"/>
      <c r="AB252" s="639"/>
      <c r="AC252" s="639"/>
      <c r="AD252" s="639"/>
      <c r="AE252" s="639"/>
      <c r="AF252" s="639"/>
      <c r="AG252" s="669"/>
      <c r="AH252" s="606"/>
      <c r="AI252" s="19"/>
      <c r="AJ252" s="19"/>
      <c r="AK252" s="19"/>
    </row>
    <row r="253" spans="1:37" outlineLevel="2" x14ac:dyDescent="0.2">
      <c r="A253" s="606"/>
      <c r="B253" s="606"/>
      <c r="C253" s="607"/>
      <c r="D253" s="608"/>
      <c r="E253" s="608"/>
      <c r="F253" s="608"/>
      <c r="G253" s="608"/>
      <c r="H253" s="609"/>
      <c r="I253" s="632"/>
      <c r="J253" s="632"/>
      <c r="K253" s="632"/>
      <c r="L253" s="636"/>
      <c r="M253" s="668"/>
      <c r="N253" s="639"/>
      <c r="O253" s="639"/>
      <c r="P253" s="639"/>
      <c r="Q253" s="639"/>
      <c r="R253" s="639"/>
      <c r="S253" s="639"/>
      <c r="T253" s="639"/>
      <c r="U253" s="639"/>
      <c r="V253" s="639"/>
      <c r="W253" s="639"/>
      <c r="X253" s="639"/>
      <c r="Y253" s="639"/>
      <c r="Z253" s="639"/>
      <c r="AA253" s="639"/>
      <c r="AB253" s="639"/>
      <c r="AC253" s="639"/>
      <c r="AD253" s="639"/>
      <c r="AE253" s="639"/>
      <c r="AF253" s="639"/>
      <c r="AG253" s="669"/>
      <c r="AH253" s="606"/>
      <c r="AI253" s="19"/>
      <c r="AJ253" s="19"/>
      <c r="AK253" s="19"/>
    </row>
    <row r="254" spans="1:37" outlineLevel="2" x14ac:dyDescent="0.2">
      <c r="A254" s="606"/>
      <c r="B254" s="606"/>
      <c r="C254" s="607"/>
      <c r="D254" s="608"/>
      <c r="E254" s="608"/>
      <c r="F254" s="608"/>
      <c r="G254" s="608"/>
      <c r="H254" s="609"/>
      <c r="I254" s="632"/>
      <c r="J254" s="632"/>
      <c r="K254" s="632"/>
      <c r="L254" s="636"/>
      <c r="M254" s="668"/>
      <c r="N254" s="639"/>
      <c r="O254" s="639"/>
      <c r="P254" s="639"/>
      <c r="Q254" s="639"/>
      <c r="R254" s="639"/>
      <c r="S254" s="639"/>
      <c r="T254" s="639"/>
      <c r="U254" s="639"/>
      <c r="V254" s="639"/>
      <c r="W254" s="639"/>
      <c r="X254" s="639"/>
      <c r="Y254" s="639"/>
      <c r="Z254" s="639"/>
      <c r="AA254" s="639"/>
      <c r="AB254" s="639"/>
      <c r="AC254" s="639"/>
      <c r="AD254" s="639"/>
      <c r="AE254" s="639"/>
      <c r="AF254" s="639"/>
      <c r="AG254" s="669"/>
      <c r="AH254" s="606"/>
      <c r="AI254" s="19"/>
      <c r="AJ254" s="19"/>
      <c r="AK254" s="19"/>
    </row>
    <row r="255" spans="1:37" outlineLevel="2" x14ac:dyDescent="0.2">
      <c r="A255" s="606"/>
      <c r="B255" s="606"/>
      <c r="C255" s="607"/>
      <c r="D255" s="608"/>
      <c r="E255" s="608"/>
      <c r="F255" s="608"/>
      <c r="G255" s="608"/>
      <c r="H255" s="609"/>
      <c r="I255" s="632"/>
      <c r="J255" s="632"/>
      <c r="K255" s="632"/>
      <c r="L255" s="636"/>
      <c r="M255" s="668"/>
      <c r="N255" s="639"/>
      <c r="O255" s="639"/>
      <c r="P255" s="639"/>
      <c r="Q255" s="639"/>
      <c r="R255" s="639"/>
      <c r="S255" s="639"/>
      <c r="T255" s="639"/>
      <c r="U255" s="639"/>
      <c r="V255" s="639"/>
      <c r="W255" s="639"/>
      <c r="X255" s="639"/>
      <c r="Y255" s="639"/>
      <c r="Z255" s="639"/>
      <c r="AA255" s="639"/>
      <c r="AB255" s="639"/>
      <c r="AC255" s="639"/>
      <c r="AD255" s="639"/>
      <c r="AE255" s="639"/>
      <c r="AF255" s="639"/>
      <c r="AG255" s="669"/>
      <c r="AH255" s="606"/>
      <c r="AI255" s="19"/>
      <c r="AJ255" s="19"/>
      <c r="AK255" s="19"/>
    </row>
    <row r="256" spans="1:37" outlineLevel="2" x14ac:dyDescent="0.2">
      <c r="A256" s="606"/>
      <c r="B256" s="606"/>
      <c r="C256" s="607"/>
      <c r="D256" s="608"/>
      <c r="E256" s="608"/>
      <c r="F256" s="608"/>
      <c r="G256" s="608"/>
      <c r="H256" s="609"/>
      <c r="I256" s="632"/>
      <c r="J256" s="632"/>
      <c r="K256" s="632"/>
      <c r="L256" s="636"/>
      <c r="M256" s="668"/>
      <c r="N256" s="639"/>
      <c r="O256" s="639"/>
      <c r="P256" s="639"/>
      <c r="Q256" s="639"/>
      <c r="R256" s="639"/>
      <c r="S256" s="639"/>
      <c r="T256" s="639"/>
      <c r="U256" s="639"/>
      <c r="V256" s="639"/>
      <c r="W256" s="639"/>
      <c r="X256" s="639"/>
      <c r="Y256" s="639"/>
      <c r="Z256" s="639"/>
      <c r="AA256" s="639"/>
      <c r="AB256" s="639"/>
      <c r="AC256" s="639"/>
      <c r="AD256" s="639"/>
      <c r="AE256" s="639"/>
      <c r="AF256" s="639"/>
      <c r="AG256" s="669"/>
      <c r="AH256" s="606"/>
      <c r="AI256" s="19"/>
      <c r="AJ256" s="19"/>
      <c r="AK256" s="19"/>
    </row>
    <row r="257" spans="1:37" outlineLevel="2" x14ac:dyDescent="0.2">
      <c r="A257" s="606"/>
      <c r="B257" s="606"/>
      <c r="C257" s="607"/>
      <c r="D257" s="608"/>
      <c r="E257" s="608"/>
      <c r="F257" s="608"/>
      <c r="G257" s="608"/>
      <c r="H257" s="609"/>
      <c r="I257" s="632"/>
      <c r="J257" s="632"/>
      <c r="K257" s="632"/>
      <c r="L257" s="636"/>
      <c r="M257" s="668"/>
      <c r="N257" s="639"/>
      <c r="O257" s="639"/>
      <c r="P257" s="639"/>
      <c r="Q257" s="639"/>
      <c r="R257" s="639"/>
      <c r="S257" s="639"/>
      <c r="T257" s="639"/>
      <c r="U257" s="639"/>
      <c r="V257" s="639"/>
      <c r="W257" s="639"/>
      <c r="X257" s="639"/>
      <c r="Y257" s="639"/>
      <c r="Z257" s="639"/>
      <c r="AA257" s="639"/>
      <c r="AB257" s="639"/>
      <c r="AC257" s="639"/>
      <c r="AD257" s="639"/>
      <c r="AE257" s="639"/>
      <c r="AF257" s="639"/>
      <c r="AG257" s="669"/>
      <c r="AH257" s="606"/>
      <c r="AI257" s="19"/>
      <c r="AJ257" s="19"/>
      <c r="AK257" s="19"/>
    </row>
    <row r="258" spans="1:37" outlineLevel="2" x14ac:dyDescent="0.2">
      <c r="A258" s="606"/>
      <c r="B258" s="606"/>
      <c r="C258" s="607"/>
      <c r="D258" s="608"/>
      <c r="E258" s="608"/>
      <c r="F258" s="608"/>
      <c r="G258" s="608"/>
      <c r="H258" s="609"/>
      <c r="I258" s="632"/>
      <c r="J258" s="632"/>
      <c r="K258" s="632"/>
      <c r="L258" s="636"/>
      <c r="M258" s="668"/>
      <c r="N258" s="639"/>
      <c r="O258" s="639"/>
      <c r="P258" s="639"/>
      <c r="Q258" s="639"/>
      <c r="R258" s="639"/>
      <c r="S258" s="639"/>
      <c r="T258" s="639"/>
      <c r="U258" s="639"/>
      <c r="V258" s="639"/>
      <c r="W258" s="639"/>
      <c r="X258" s="639"/>
      <c r="Y258" s="639"/>
      <c r="Z258" s="639"/>
      <c r="AA258" s="639"/>
      <c r="AB258" s="639"/>
      <c r="AC258" s="639"/>
      <c r="AD258" s="639"/>
      <c r="AE258" s="639"/>
      <c r="AF258" s="639"/>
      <c r="AG258" s="669"/>
      <c r="AH258" s="606"/>
      <c r="AI258" s="19"/>
      <c r="AJ258" s="19"/>
      <c r="AK258" s="19"/>
    </row>
    <row r="259" spans="1:37" outlineLevel="2" x14ac:dyDescent="0.2">
      <c r="A259" s="606"/>
      <c r="B259" s="606"/>
      <c r="C259" s="607"/>
      <c r="D259" s="608"/>
      <c r="E259" s="608"/>
      <c r="F259" s="608"/>
      <c r="G259" s="608"/>
      <c r="H259" s="609"/>
      <c r="I259" s="632"/>
      <c r="J259" s="632"/>
      <c r="K259" s="632"/>
      <c r="L259" s="636"/>
      <c r="M259" s="668"/>
      <c r="N259" s="639"/>
      <c r="O259" s="639"/>
      <c r="P259" s="639"/>
      <c r="Q259" s="639"/>
      <c r="R259" s="639"/>
      <c r="S259" s="639"/>
      <c r="T259" s="639"/>
      <c r="U259" s="639"/>
      <c r="V259" s="639"/>
      <c r="W259" s="639"/>
      <c r="X259" s="639"/>
      <c r="Y259" s="639"/>
      <c r="Z259" s="639"/>
      <c r="AA259" s="639"/>
      <c r="AB259" s="639"/>
      <c r="AC259" s="639"/>
      <c r="AD259" s="639"/>
      <c r="AE259" s="639"/>
      <c r="AF259" s="639"/>
      <c r="AG259" s="669"/>
      <c r="AH259" s="606"/>
      <c r="AI259" s="19"/>
      <c r="AJ259" s="19"/>
      <c r="AK259" s="19"/>
    </row>
    <row r="260" spans="1:37" outlineLevel="2" x14ac:dyDescent="0.2">
      <c r="A260" s="606"/>
      <c r="B260" s="606"/>
      <c r="C260" s="607"/>
      <c r="D260" s="608"/>
      <c r="E260" s="608"/>
      <c r="F260" s="608"/>
      <c r="G260" s="608"/>
      <c r="H260" s="609"/>
      <c r="I260" s="632"/>
      <c r="J260" s="632"/>
      <c r="K260" s="632"/>
      <c r="L260" s="636"/>
      <c r="M260" s="668"/>
      <c r="N260" s="639"/>
      <c r="O260" s="639"/>
      <c r="P260" s="639"/>
      <c r="Q260" s="639"/>
      <c r="R260" s="639"/>
      <c r="S260" s="639"/>
      <c r="T260" s="639"/>
      <c r="U260" s="639"/>
      <c r="V260" s="639"/>
      <c r="W260" s="639"/>
      <c r="X260" s="639"/>
      <c r="Y260" s="639"/>
      <c r="Z260" s="639"/>
      <c r="AA260" s="639"/>
      <c r="AB260" s="639"/>
      <c r="AC260" s="639"/>
      <c r="AD260" s="639"/>
      <c r="AE260" s="639"/>
      <c r="AF260" s="639"/>
      <c r="AG260" s="669"/>
      <c r="AH260" s="606"/>
      <c r="AI260" s="19"/>
      <c r="AJ260" s="19"/>
      <c r="AK260" s="19"/>
    </row>
    <row r="261" spans="1:37" outlineLevel="2" x14ac:dyDescent="0.2">
      <c r="A261" s="606"/>
      <c r="B261" s="606"/>
      <c r="C261" s="607"/>
      <c r="D261" s="608"/>
      <c r="E261" s="608"/>
      <c r="F261" s="608"/>
      <c r="G261" s="608"/>
      <c r="H261" s="609"/>
      <c r="I261" s="632"/>
      <c r="J261" s="632"/>
      <c r="K261" s="632"/>
      <c r="L261" s="636"/>
      <c r="M261" s="668"/>
      <c r="N261" s="639"/>
      <c r="O261" s="639"/>
      <c r="P261" s="639"/>
      <c r="Q261" s="639"/>
      <c r="R261" s="639"/>
      <c r="S261" s="639"/>
      <c r="T261" s="639"/>
      <c r="U261" s="639"/>
      <c r="V261" s="639"/>
      <c r="W261" s="639"/>
      <c r="X261" s="639"/>
      <c r="Y261" s="639"/>
      <c r="Z261" s="639"/>
      <c r="AA261" s="639"/>
      <c r="AB261" s="639"/>
      <c r="AC261" s="639"/>
      <c r="AD261" s="639"/>
      <c r="AE261" s="639"/>
      <c r="AF261" s="639"/>
      <c r="AG261" s="669"/>
      <c r="AH261" s="606"/>
      <c r="AI261" s="19"/>
      <c r="AJ261" s="19"/>
      <c r="AK261" s="19"/>
    </row>
    <row r="262" spans="1:37" outlineLevel="2" x14ac:dyDescent="0.2">
      <c r="A262" s="606"/>
      <c r="B262" s="606"/>
      <c r="C262" s="607"/>
      <c r="D262" s="608"/>
      <c r="E262" s="608"/>
      <c r="F262" s="608"/>
      <c r="G262" s="608"/>
      <c r="H262" s="609"/>
      <c r="I262" s="632"/>
      <c r="J262" s="632"/>
      <c r="K262" s="632"/>
      <c r="L262" s="636"/>
      <c r="M262" s="668"/>
      <c r="N262" s="639"/>
      <c r="O262" s="639"/>
      <c r="P262" s="639"/>
      <c r="Q262" s="639"/>
      <c r="R262" s="639"/>
      <c r="S262" s="639"/>
      <c r="T262" s="639"/>
      <c r="U262" s="639"/>
      <c r="V262" s="639"/>
      <c r="W262" s="639"/>
      <c r="X262" s="639"/>
      <c r="Y262" s="639"/>
      <c r="Z262" s="639"/>
      <c r="AA262" s="639"/>
      <c r="AB262" s="639"/>
      <c r="AC262" s="639"/>
      <c r="AD262" s="639"/>
      <c r="AE262" s="639"/>
      <c r="AF262" s="639"/>
      <c r="AG262" s="669"/>
      <c r="AH262" s="606"/>
      <c r="AI262" s="19"/>
      <c r="AJ262" s="19"/>
      <c r="AK262" s="19"/>
    </row>
    <row r="263" spans="1:37" outlineLevel="2" x14ac:dyDescent="0.2">
      <c r="A263" s="606"/>
      <c r="B263" s="606"/>
      <c r="C263" s="607"/>
      <c r="D263" s="608"/>
      <c r="E263" s="608"/>
      <c r="F263" s="608"/>
      <c r="G263" s="608"/>
      <c r="H263" s="609"/>
      <c r="I263" s="632"/>
      <c r="J263" s="632"/>
      <c r="K263" s="632"/>
      <c r="L263" s="636"/>
      <c r="M263" s="668"/>
      <c r="N263" s="639"/>
      <c r="O263" s="639"/>
      <c r="P263" s="639"/>
      <c r="Q263" s="639"/>
      <c r="R263" s="639"/>
      <c r="S263" s="639"/>
      <c r="T263" s="639"/>
      <c r="U263" s="639"/>
      <c r="V263" s="639"/>
      <c r="W263" s="639"/>
      <c r="X263" s="639"/>
      <c r="Y263" s="639"/>
      <c r="Z263" s="639"/>
      <c r="AA263" s="639"/>
      <c r="AB263" s="639"/>
      <c r="AC263" s="639"/>
      <c r="AD263" s="639"/>
      <c r="AE263" s="639"/>
      <c r="AF263" s="639"/>
      <c r="AG263" s="669"/>
      <c r="AH263" s="606"/>
      <c r="AI263" s="19"/>
      <c r="AJ263" s="19"/>
      <c r="AK263" s="19"/>
    </row>
    <row r="264" spans="1:37" outlineLevel="2" x14ac:dyDescent="0.2">
      <c r="A264" s="606"/>
      <c r="B264" s="606"/>
      <c r="C264" s="607"/>
      <c r="D264" s="608"/>
      <c r="E264" s="608"/>
      <c r="F264" s="608"/>
      <c r="G264" s="608"/>
      <c r="H264" s="609"/>
      <c r="I264" s="632"/>
      <c r="J264" s="632"/>
      <c r="K264" s="632"/>
      <c r="L264" s="636"/>
      <c r="M264" s="668"/>
      <c r="N264" s="639"/>
      <c r="O264" s="639"/>
      <c r="P264" s="639"/>
      <c r="Q264" s="639"/>
      <c r="R264" s="639"/>
      <c r="S264" s="639"/>
      <c r="T264" s="639"/>
      <c r="U264" s="639"/>
      <c r="V264" s="639"/>
      <c r="W264" s="639"/>
      <c r="X264" s="639"/>
      <c r="Y264" s="639"/>
      <c r="Z264" s="639"/>
      <c r="AA264" s="639"/>
      <c r="AB264" s="639"/>
      <c r="AC264" s="639"/>
      <c r="AD264" s="639"/>
      <c r="AE264" s="639"/>
      <c r="AF264" s="639"/>
      <c r="AG264" s="669"/>
      <c r="AH264" s="606"/>
      <c r="AI264" s="19"/>
      <c r="AJ264" s="19"/>
      <c r="AK264" s="19"/>
    </row>
    <row r="265" spans="1:37" outlineLevel="2" x14ac:dyDescent="0.2">
      <c r="A265" s="606"/>
      <c r="B265" s="606"/>
      <c r="C265" s="607"/>
      <c r="D265" s="608"/>
      <c r="E265" s="608"/>
      <c r="F265" s="608"/>
      <c r="G265" s="608"/>
      <c r="H265" s="609"/>
      <c r="I265" s="632"/>
      <c r="J265" s="632"/>
      <c r="K265" s="632"/>
      <c r="L265" s="636"/>
      <c r="M265" s="668"/>
      <c r="N265" s="639"/>
      <c r="O265" s="639"/>
      <c r="P265" s="639"/>
      <c r="Q265" s="639"/>
      <c r="R265" s="639"/>
      <c r="S265" s="639"/>
      <c r="T265" s="639"/>
      <c r="U265" s="639"/>
      <c r="V265" s="639"/>
      <c r="W265" s="639"/>
      <c r="X265" s="639"/>
      <c r="Y265" s="639"/>
      <c r="Z265" s="639"/>
      <c r="AA265" s="639"/>
      <c r="AB265" s="639"/>
      <c r="AC265" s="639"/>
      <c r="AD265" s="639"/>
      <c r="AE265" s="639"/>
      <c r="AF265" s="639"/>
      <c r="AG265" s="669"/>
      <c r="AH265" s="606"/>
      <c r="AI265" s="19"/>
      <c r="AJ265" s="19"/>
      <c r="AK265" s="19"/>
    </row>
    <row r="266" spans="1:37" outlineLevel="2" x14ac:dyDescent="0.2">
      <c r="A266" s="606"/>
      <c r="B266" s="606"/>
      <c r="C266" s="607"/>
      <c r="D266" s="608"/>
      <c r="E266" s="608"/>
      <c r="F266" s="608"/>
      <c r="G266" s="608"/>
      <c r="H266" s="609"/>
      <c r="I266" s="632"/>
      <c r="J266" s="632"/>
      <c r="K266" s="632"/>
      <c r="L266" s="636"/>
      <c r="M266" s="668"/>
      <c r="N266" s="639"/>
      <c r="O266" s="639"/>
      <c r="P266" s="639"/>
      <c r="Q266" s="639"/>
      <c r="R266" s="639"/>
      <c r="S266" s="639"/>
      <c r="T266" s="639"/>
      <c r="U266" s="639"/>
      <c r="V266" s="639"/>
      <c r="W266" s="639"/>
      <c r="X266" s="639"/>
      <c r="Y266" s="639"/>
      <c r="Z266" s="639"/>
      <c r="AA266" s="639"/>
      <c r="AB266" s="639"/>
      <c r="AC266" s="639"/>
      <c r="AD266" s="639"/>
      <c r="AE266" s="639"/>
      <c r="AF266" s="639"/>
      <c r="AG266" s="669"/>
      <c r="AH266" s="606"/>
      <c r="AI266" s="19"/>
      <c r="AJ266" s="19"/>
      <c r="AK266" s="19"/>
    </row>
    <row r="267" spans="1:37" outlineLevel="2" x14ac:dyDescent="0.2">
      <c r="A267" s="606"/>
      <c r="B267" s="606"/>
      <c r="C267" s="607"/>
      <c r="D267" s="608"/>
      <c r="E267" s="608"/>
      <c r="F267" s="608"/>
      <c r="G267" s="608"/>
      <c r="H267" s="609"/>
      <c r="I267" s="632"/>
      <c r="J267" s="632"/>
      <c r="K267" s="632"/>
      <c r="L267" s="636"/>
      <c r="M267" s="668"/>
      <c r="N267" s="639"/>
      <c r="O267" s="639"/>
      <c r="P267" s="639"/>
      <c r="Q267" s="639"/>
      <c r="R267" s="639"/>
      <c r="S267" s="639"/>
      <c r="T267" s="639"/>
      <c r="U267" s="639"/>
      <c r="V267" s="639"/>
      <c r="W267" s="639"/>
      <c r="X267" s="639"/>
      <c r="Y267" s="639"/>
      <c r="Z267" s="639"/>
      <c r="AA267" s="639"/>
      <c r="AB267" s="639"/>
      <c r="AC267" s="639"/>
      <c r="AD267" s="639"/>
      <c r="AE267" s="639"/>
      <c r="AF267" s="639"/>
      <c r="AG267" s="669"/>
      <c r="AH267" s="606"/>
      <c r="AI267" s="19"/>
      <c r="AJ267" s="19"/>
      <c r="AK267" s="19"/>
    </row>
    <row r="268" spans="1:37" outlineLevel="2" x14ac:dyDescent="0.2">
      <c r="A268" s="606"/>
      <c r="B268" s="606"/>
      <c r="C268" s="607"/>
      <c r="D268" s="608"/>
      <c r="E268" s="608"/>
      <c r="F268" s="608"/>
      <c r="G268" s="608"/>
      <c r="H268" s="609"/>
      <c r="I268" s="632"/>
      <c r="J268" s="632"/>
      <c r="K268" s="632"/>
      <c r="L268" s="636"/>
      <c r="M268" s="668"/>
      <c r="N268" s="639"/>
      <c r="O268" s="639"/>
      <c r="P268" s="639"/>
      <c r="Q268" s="639"/>
      <c r="R268" s="639"/>
      <c r="S268" s="639"/>
      <c r="T268" s="639"/>
      <c r="U268" s="639"/>
      <c r="V268" s="639"/>
      <c r="W268" s="639"/>
      <c r="X268" s="639"/>
      <c r="Y268" s="639"/>
      <c r="Z268" s="639"/>
      <c r="AA268" s="639"/>
      <c r="AB268" s="639"/>
      <c r="AC268" s="639"/>
      <c r="AD268" s="639"/>
      <c r="AE268" s="639"/>
      <c r="AF268" s="639"/>
      <c r="AG268" s="669"/>
      <c r="AH268" s="606"/>
      <c r="AI268" s="19"/>
      <c r="AJ268" s="19"/>
      <c r="AK268" s="19"/>
    </row>
    <row r="269" spans="1:37" outlineLevel="2" x14ac:dyDescent="0.2">
      <c r="A269" s="606"/>
      <c r="B269" s="606"/>
      <c r="C269" s="607"/>
      <c r="D269" s="608"/>
      <c r="E269" s="608"/>
      <c r="F269" s="608"/>
      <c r="G269" s="608"/>
      <c r="H269" s="609"/>
      <c r="I269" s="632"/>
      <c r="J269" s="632"/>
      <c r="K269" s="632"/>
      <c r="L269" s="636"/>
      <c r="M269" s="668"/>
      <c r="N269" s="639"/>
      <c r="O269" s="639"/>
      <c r="P269" s="639"/>
      <c r="Q269" s="639"/>
      <c r="R269" s="639"/>
      <c r="S269" s="639"/>
      <c r="T269" s="639"/>
      <c r="U269" s="639"/>
      <c r="V269" s="639"/>
      <c r="W269" s="639"/>
      <c r="X269" s="639"/>
      <c r="Y269" s="639"/>
      <c r="Z269" s="639"/>
      <c r="AA269" s="639"/>
      <c r="AB269" s="639"/>
      <c r="AC269" s="639"/>
      <c r="AD269" s="639"/>
      <c r="AE269" s="639"/>
      <c r="AF269" s="639"/>
      <c r="AG269" s="669"/>
      <c r="AH269" s="606"/>
      <c r="AI269" s="19"/>
      <c r="AJ269" s="19"/>
      <c r="AK269" s="19"/>
    </row>
    <row r="270" spans="1:37" outlineLevel="2" x14ac:dyDescent="0.2">
      <c r="A270" s="606"/>
      <c r="B270" s="606"/>
      <c r="C270" s="607"/>
      <c r="D270" s="608"/>
      <c r="E270" s="608"/>
      <c r="F270" s="608"/>
      <c r="G270" s="608"/>
      <c r="H270" s="609"/>
      <c r="I270" s="632"/>
      <c r="J270" s="632"/>
      <c r="K270" s="632"/>
      <c r="L270" s="636"/>
      <c r="M270" s="668"/>
      <c r="N270" s="639"/>
      <c r="O270" s="639"/>
      <c r="P270" s="639"/>
      <c r="Q270" s="639"/>
      <c r="R270" s="639"/>
      <c r="S270" s="639"/>
      <c r="T270" s="639"/>
      <c r="U270" s="639"/>
      <c r="V270" s="639"/>
      <c r="W270" s="639"/>
      <c r="X270" s="639"/>
      <c r="Y270" s="639"/>
      <c r="Z270" s="639"/>
      <c r="AA270" s="639"/>
      <c r="AB270" s="639"/>
      <c r="AC270" s="639"/>
      <c r="AD270" s="639"/>
      <c r="AE270" s="639"/>
      <c r="AF270" s="639"/>
      <c r="AG270" s="669"/>
      <c r="AH270" s="606"/>
      <c r="AI270" s="19"/>
      <c r="AJ270" s="19"/>
      <c r="AK270" s="19"/>
    </row>
    <row r="271" spans="1:37" outlineLevel="2" x14ac:dyDescent="0.2">
      <c r="A271" s="606"/>
      <c r="B271" s="606"/>
      <c r="C271" s="607"/>
      <c r="D271" s="608"/>
      <c r="E271" s="608"/>
      <c r="F271" s="608"/>
      <c r="G271" s="608"/>
      <c r="H271" s="609"/>
      <c r="I271" s="632"/>
      <c r="J271" s="632"/>
      <c r="K271" s="632"/>
      <c r="L271" s="636"/>
      <c r="M271" s="668"/>
      <c r="N271" s="639"/>
      <c r="O271" s="639"/>
      <c r="P271" s="639"/>
      <c r="Q271" s="639"/>
      <c r="R271" s="639"/>
      <c r="S271" s="639"/>
      <c r="T271" s="639"/>
      <c r="U271" s="639"/>
      <c r="V271" s="639"/>
      <c r="W271" s="639"/>
      <c r="X271" s="639"/>
      <c r="Y271" s="639"/>
      <c r="Z271" s="639"/>
      <c r="AA271" s="639"/>
      <c r="AB271" s="639"/>
      <c r="AC271" s="639"/>
      <c r="AD271" s="639"/>
      <c r="AE271" s="639"/>
      <c r="AF271" s="639"/>
      <c r="AG271" s="669"/>
      <c r="AH271" s="606"/>
      <c r="AI271" s="19"/>
      <c r="AJ271" s="19"/>
      <c r="AK271" s="19"/>
    </row>
    <row r="272" spans="1:37" outlineLevel="2" x14ac:dyDescent="0.2">
      <c r="A272" s="606"/>
      <c r="B272" s="606"/>
      <c r="C272" s="607"/>
      <c r="D272" s="608"/>
      <c r="E272" s="608"/>
      <c r="F272" s="608"/>
      <c r="G272" s="608"/>
      <c r="H272" s="609"/>
      <c r="I272" s="632"/>
      <c r="J272" s="632"/>
      <c r="K272" s="632"/>
      <c r="L272" s="636"/>
      <c r="M272" s="668"/>
      <c r="N272" s="639"/>
      <c r="O272" s="639"/>
      <c r="P272" s="639"/>
      <c r="Q272" s="639"/>
      <c r="R272" s="639"/>
      <c r="S272" s="639"/>
      <c r="T272" s="639"/>
      <c r="U272" s="639"/>
      <c r="V272" s="639"/>
      <c r="W272" s="639"/>
      <c r="X272" s="639"/>
      <c r="Y272" s="639"/>
      <c r="Z272" s="639"/>
      <c r="AA272" s="639"/>
      <c r="AB272" s="639"/>
      <c r="AC272" s="639"/>
      <c r="AD272" s="639"/>
      <c r="AE272" s="639"/>
      <c r="AF272" s="639"/>
      <c r="AG272" s="669"/>
      <c r="AH272" s="606"/>
      <c r="AI272" s="19"/>
      <c r="AJ272" s="19"/>
      <c r="AK272" s="19"/>
    </row>
    <row r="273" spans="1:37" outlineLevel="2" x14ac:dyDescent="0.2">
      <c r="A273" s="606"/>
      <c r="B273" s="606"/>
      <c r="C273" s="607"/>
      <c r="D273" s="608"/>
      <c r="E273" s="608"/>
      <c r="F273" s="608"/>
      <c r="G273" s="608"/>
      <c r="H273" s="609"/>
      <c r="I273" s="632"/>
      <c r="J273" s="632"/>
      <c r="K273" s="632"/>
      <c r="L273" s="636"/>
      <c r="M273" s="668"/>
      <c r="N273" s="639"/>
      <c r="O273" s="639"/>
      <c r="P273" s="639"/>
      <c r="Q273" s="639"/>
      <c r="R273" s="639"/>
      <c r="S273" s="639"/>
      <c r="T273" s="639"/>
      <c r="U273" s="639"/>
      <c r="V273" s="639"/>
      <c r="W273" s="639"/>
      <c r="X273" s="639"/>
      <c r="Y273" s="639"/>
      <c r="Z273" s="639"/>
      <c r="AA273" s="639"/>
      <c r="AB273" s="639"/>
      <c r="AC273" s="639"/>
      <c r="AD273" s="639"/>
      <c r="AE273" s="639"/>
      <c r="AF273" s="639"/>
      <c r="AG273" s="669"/>
      <c r="AH273" s="606"/>
      <c r="AI273" s="19"/>
      <c r="AJ273" s="19"/>
      <c r="AK273" s="19"/>
    </row>
    <row r="274" spans="1:37" outlineLevel="2" x14ac:dyDescent="0.2">
      <c r="A274" s="606"/>
      <c r="B274" s="606"/>
      <c r="C274" s="607"/>
      <c r="D274" s="608"/>
      <c r="E274" s="608"/>
      <c r="F274" s="608"/>
      <c r="G274" s="608"/>
      <c r="H274" s="609"/>
      <c r="I274" s="632"/>
      <c r="J274" s="632"/>
      <c r="K274" s="632"/>
      <c r="L274" s="636"/>
      <c r="M274" s="668"/>
      <c r="N274" s="639"/>
      <c r="O274" s="639"/>
      <c r="P274" s="639"/>
      <c r="Q274" s="639"/>
      <c r="R274" s="639"/>
      <c r="S274" s="639"/>
      <c r="T274" s="639"/>
      <c r="U274" s="639"/>
      <c r="V274" s="639"/>
      <c r="W274" s="639"/>
      <c r="X274" s="639"/>
      <c r="Y274" s="639"/>
      <c r="Z274" s="639"/>
      <c r="AA274" s="639"/>
      <c r="AB274" s="639"/>
      <c r="AC274" s="639"/>
      <c r="AD274" s="639"/>
      <c r="AE274" s="639"/>
      <c r="AF274" s="639"/>
      <c r="AG274" s="669"/>
      <c r="AH274" s="606"/>
      <c r="AI274" s="19"/>
      <c r="AJ274" s="19"/>
      <c r="AK274" s="19"/>
    </row>
    <row r="275" spans="1:37" outlineLevel="2" x14ac:dyDescent="0.2">
      <c r="A275" s="606"/>
      <c r="B275" s="606"/>
      <c r="C275" s="607"/>
      <c r="D275" s="608"/>
      <c r="E275" s="608"/>
      <c r="F275" s="608"/>
      <c r="G275" s="608"/>
      <c r="H275" s="609"/>
      <c r="I275" s="632"/>
      <c r="J275" s="632"/>
      <c r="K275" s="632"/>
      <c r="L275" s="636"/>
      <c r="M275" s="668"/>
      <c r="N275" s="639"/>
      <c r="O275" s="639"/>
      <c r="P275" s="639"/>
      <c r="Q275" s="639"/>
      <c r="R275" s="639"/>
      <c r="S275" s="639"/>
      <c r="T275" s="639"/>
      <c r="U275" s="639"/>
      <c r="V275" s="639"/>
      <c r="W275" s="639"/>
      <c r="X275" s="639"/>
      <c r="Y275" s="639"/>
      <c r="Z275" s="639"/>
      <c r="AA275" s="639"/>
      <c r="AB275" s="639"/>
      <c r="AC275" s="639"/>
      <c r="AD275" s="639"/>
      <c r="AE275" s="639"/>
      <c r="AF275" s="639"/>
      <c r="AG275" s="669"/>
      <c r="AH275" s="606"/>
      <c r="AI275" s="19"/>
      <c r="AJ275" s="19"/>
      <c r="AK275" s="19"/>
    </row>
    <row r="276" spans="1:37" outlineLevel="2" x14ac:dyDescent="0.2">
      <c r="A276" s="606"/>
      <c r="B276" s="606"/>
      <c r="C276" s="607"/>
      <c r="D276" s="608"/>
      <c r="E276" s="608"/>
      <c r="F276" s="608"/>
      <c r="G276" s="608"/>
      <c r="H276" s="609"/>
      <c r="I276" s="632"/>
      <c r="J276" s="632"/>
      <c r="K276" s="632"/>
      <c r="L276" s="636"/>
      <c r="M276" s="668"/>
      <c r="N276" s="639"/>
      <c r="O276" s="639"/>
      <c r="P276" s="639"/>
      <c r="Q276" s="639"/>
      <c r="R276" s="639"/>
      <c r="S276" s="639"/>
      <c r="T276" s="639"/>
      <c r="U276" s="639"/>
      <c r="V276" s="639"/>
      <c r="W276" s="639"/>
      <c r="X276" s="639"/>
      <c r="Y276" s="639"/>
      <c r="Z276" s="639"/>
      <c r="AA276" s="639"/>
      <c r="AB276" s="639"/>
      <c r="AC276" s="639"/>
      <c r="AD276" s="639"/>
      <c r="AE276" s="639"/>
      <c r="AF276" s="639"/>
      <c r="AG276" s="669"/>
      <c r="AH276" s="606"/>
      <c r="AI276" s="19"/>
      <c r="AJ276" s="19"/>
      <c r="AK276" s="19"/>
    </row>
    <row r="277" spans="1:37" outlineLevel="2" x14ac:dyDescent="0.2">
      <c r="A277" s="606"/>
      <c r="B277" s="606"/>
      <c r="C277" s="607"/>
      <c r="D277" s="608"/>
      <c r="E277" s="608"/>
      <c r="F277" s="608"/>
      <c r="G277" s="608"/>
      <c r="H277" s="609"/>
      <c r="I277" s="632"/>
      <c r="J277" s="632"/>
      <c r="K277" s="632"/>
      <c r="L277" s="636"/>
      <c r="M277" s="668"/>
      <c r="N277" s="639"/>
      <c r="O277" s="639"/>
      <c r="P277" s="639"/>
      <c r="Q277" s="639"/>
      <c r="R277" s="639"/>
      <c r="S277" s="639"/>
      <c r="T277" s="639"/>
      <c r="U277" s="639"/>
      <c r="V277" s="639"/>
      <c r="W277" s="639"/>
      <c r="X277" s="639"/>
      <c r="Y277" s="639"/>
      <c r="Z277" s="639"/>
      <c r="AA277" s="639"/>
      <c r="AB277" s="639"/>
      <c r="AC277" s="639"/>
      <c r="AD277" s="639"/>
      <c r="AE277" s="639"/>
      <c r="AF277" s="639"/>
      <c r="AG277" s="669"/>
      <c r="AH277" s="606"/>
      <c r="AI277" s="19"/>
      <c r="AJ277" s="19"/>
      <c r="AK277" s="19"/>
    </row>
    <row r="278" spans="1:37" outlineLevel="2" x14ac:dyDescent="0.2">
      <c r="A278" s="606"/>
      <c r="B278" s="606"/>
      <c r="C278" s="607"/>
      <c r="D278" s="608"/>
      <c r="E278" s="608"/>
      <c r="F278" s="608"/>
      <c r="G278" s="608"/>
      <c r="H278" s="609"/>
      <c r="I278" s="632"/>
      <c r="J278" s="632"/>
      <c r="K278" s="632"/>
      <c r="L278" s="636"/>
      <c r="M278" s="668"/>
      <c r="N278" s="639"/>
      <c r="O278" s="639"/>
      <c r="P278" s="639"/>
      <c r="Q278" s="639"/>
      <c r="R278" s="639"/>
      <c r="S278" s="639"/>
      <c r="T278" s="639"/>
      <c r="U278" s="639"/>
      <c r="V278" s="639"/>
      <c r="W278" s="639"/>
      <c r="X278" s="639"/>
      <c r="Y278" s="639"/>
      <c r="Z278" s="639"/>
      <c r="AA278" s="639"/>
      <c r="AB278" s="639"/>
      <c r="AC278" s="639"/>
      <c r="AD278" s="639"/>
      <c r="AE278" s="639"/>
      <c r="AF278" s="639"/>
      <c r="AG278" s="669"/>
      <c r="AH278" s="606"/>
      <c r="AI278" s="19"/>
      <c r="AJ278" s="19"/>
      <c r="AK278" s="19"/>
    </row>
    <row r="279" spans="1:37" hidden="1" outlineLevel="3" x14ac:dyDescent="0.2">
      <c r="A279" s="606"/>
      <c r="B279" s="606"/>
      <c r="C279" s="607"/>
      <c r="D279" s="608"/>
      <c r="E279" s="608"/>
      <c r="F279" s="608"/>
      <c r="G279" s="608"/>
      <c r="H279" s="609"/>
      <c r="I279" s="632"/>
      <c r="J279" s="632"/>
      <c r="K279" s="632"/>
      <c r="L279" s="636"/>
      <c r="M279" s="639"/>
      <c r="N279" s="639"/>
      <c r="O279" s="639"/>
      <c r="P279" s="639"/>
      <c r="Q279" s="639"/>
      <c r="R279" s="639"/>
      <c r="S279" s="639"/>
      <c r="T279" s="639"/>
      <c r="U279" s="639"/>
      <c r="V279" s="639"/>
      <c r="W279" s="639"/>
      <c r="X279" s="639"/>
      <c r="Y279" s="639"/>
      <c r="Z279" s="639"/>
      <c r="AA279" s="639"/>
      <c r="AB279" s="639"/>
      <c r="AC279" s="639"/>
      <c r="AD279" s="639"/>
      <c r="AE279" s="639"/>
      <c r="AF279" s="639"/>
      <c r="AG279" s="669"/>
      <c r="AH279" s="606"/>
      <c r="AI279" s="19"/>
      <c r="AJ279" s="19"/>
      <c r="AK279" s="19"/>
    </row>
    <row r="280" spans="1:37" hidden="1" outlineLevel="3" x14ac:dyDescent="0.2">
      <c r="A280" s="606"/>
      <c r="B280" s="606"/>
      <c r="C280" s="607"/>
      <c r="D280" s="608"/>
      <c r="E280" s="608"/>
      <c r="F280" s="608"/>
      <c r="G280" s="608"/>
      <c r="H280" s="609"/>
      <c r="I280" s="632"/>
      <c r="J280" s="632"/>
      <c r="K280" s="632"/>
      <c r="L280" s="636"/>
      <c r="M280" s="639"/>
      <c r="N280" s="639"/>
      <c r="O280" s="639"/>
      <c r="P280" s="639"/>
      <c r="Q280" s="639"/>
      <c r="R280" s="639"/>
      <c r="S280" s="639"/>
      <c r="T280" s="639"/>
      <c r="U280" s="639"/>
      <c r="V280" s="639"/>
      <c r="W280" s="639"/>
      <c r="X280" s="639"/>
      <c r="Y280" s="639"/>
      <c r="Z280" s="639"/>
      <c r="AA280" s="639"/>
      <c r="AB280" s="639"/>
      <c r="AC280" s="639"/>
      <c r="AD280" s="639"/>
      <c r="AE280" s="639"/>
      <c r="AF280" s="639"/>
      <c r="AG280" s="669"/>
      <c r="AH280" s="606"/>
      <c r="AI280" s="19"/>
      <c r="AJ280" s="19"/>
      <c r="AK280" s="19"/>
    </row>
    <row r="281" spans="1:37" hidden="1" outlineLevel="3" x14ac:dyDescent="0.2">
      <c r="A281" s="606"/>
      <c r="B281" s="606"/>
      <c r="C281" s="607"/>
      <c r="D281" s="608"/>
      <c r="E281" s="608"/>
      <c r="F281" s="608"/>
      <c r="G281" s="608"/>
      <c r="H281" s="609"/>
      <c r="I281" s="632"/>
      <c r="J281" s="632"/>
      <c r="K281" s="632"/>
      <c r="L281" s="636"/>
      <c r="M281" s="639"/>
      <c r="N281" s="639"/>
      <c r="O281" s="639"/>
      <c r="P281" s="639"/>
      <c r="Q281" s="639"/>
      <c r="R281" s="639"/>
      <c r="S281" s="639"/>
      <c r="T281" s="639"/>
      <c r="U281" s="639"/>
      <c r="V281" s="639"/>
      <c r="W281" s="639"/>
      <c r="X281" s="639"/>
      <c r="Y281" s="639"/>
      <c r="Z281" s="639"/>
      <c r="AA281" s="639"/>
      <c r="AB281" s="639"/>
      <c r="AC281" s="639"/>
      <c r="AD281" s="639"/>
      <c r="AE281" s="639"/>
      <c r="AF281" s="639"/>
      <c r="AG281" s="669"/>
      <c r="AH281" s="606"/>
      <c r="AI281" s="19"/>
      <c r="AJ281" s="19"/>
      <c r="AK281" s="19"/>
    </row>
    <row r="282" spans="1:37" hidden="1" outlineLevel="3" x14ac:dyDescent="0.2">
      <c r="A282" s="606"/>
      <c r="B282" s="606"/>
      <c r="C282" s="607"/>
      <c r="D282" s="608"/>
      <c r="E282" s="608"/>
      <c r="F282" s="608"/>
      <c r="G282" s="608"/>
      <c r="H282" s="609"/>
      <c r="I282" s="632"/>
      <c r="J282" s="632"/>
      <c r="K282" s="632"/>
      <c r="L282" s="636"/>
      <c r="M282" s="639"/>
      <c r="N282" s="639"/>
      <c r="O282" s="639"/>
      <c r="P282" s="639"/>
      <c r="Q282" s="639"/>
      <c r="R282" s="639"/>
      <c r="S282" s="639"/>
      <c r="T282" s="639"/>
      <c r="U282" s="639"/>
      <c r="V282" s="639"/>
      <c r="W282" s="639"/>
      <c r="X282" s="639"/>
      <c r="Y282" s="639"/>
      <c r="Z282" s="639"/>
      <c r="AA282" s="639"/>
      <c r="AB282" s="639"/>
      <c r="AC282" s="639"/>
      <c r="AD282" s="639"/>
      <c r="AE282" s="639"/>
      <c r="AF282" s="639"/>
      <c r="AG282" s="669"/>
      <c r="AH282" s="606"/>
      <c r="AI282" s="19"/>
      <c r="AJ282" s="19"/>
      <c r="AK282" s="19"/>
    </row>
    <row r="283" spans="1:37" hidden="1" outlineLevel="3" x14ac:dyDescent="0.2">
      <c r="A283" s="606"/>
      <c r="B283" s="606"/>
      <c r="C283" s="607"/>
      <c r="D283" s="608"/>
      <c r="E283" s="608"/>
      <c r="F283" s="608"/>
      <c r="G283" s="608"/>
      <c r="H283" s="609"/>
      <c r="I283" s="632"/>
      <c r="J283" s="632"/>
      <c r="K283" s="632"/>
      <c r="L283" s="636"/>
      <c r="M283" s="639"/>
      <c r="N283" s="639"/>
      <c r="O283" s="639"/>
      <c r="P283" s="639"/>
      <c r="Q283" s="639"/>
      <c r="R283" s="639"/>
      <c r="S283" s="639"/>
      <c r="T283" s="639"/>
      <c r="U283" s="639"/>
      <c r="V283" s="639"/>
      <c r="W283" s="639"/>
      <c r="X283" s="639"/>
      <c r="Y283" s="639"/>
      <c r="Z283" s="639"/>
      <c r="AA283" s="639"/>
      <c r="AB283" s="639"/>
      <c r="AC283" s="639"/>
      <c r="AD283" s="639"/>
      <c r="AE283" s="639"/>
      <c r="AF283" s="639"/>
      <c r="AG283" s="669"/>
      <c r="AH283" s="606"/>
      <c r="AI283" s="19"/>
      <c r="AJ283" s="19"/>
      <c r="AK283" s="19"/>
    </row>
    <row r="284" spans="1:37" hidden="1" outlineLevel="3" x14ac:dyDescent="0.2">
      <c r="A284" s="606"/>
      <c r="B284" s="606"/>
      <c r="C284" s="607"/>
      <c r="D284" s="608"/>
      <c r="E284" s="608"/>
      <c r="F284" s="608"/>
      <c r="G284" s="608"/>
      <c r="H284" s="609"/>
      <c r="I284" s="632"/>
      <c r="J284" s="632"/>
      <c r="K284" s="632"/>
      <c r="L284" s="636"/>
      <c r="M284" s="639"/>
      <c r="N284" s="639"/>
      <c r="O284" s="639"/>
      <c r="P284" s="639"/>
      <c r="Q284" s="639"/>
      <c r="R284" s="639"/>
      <c r="S284" s="639"/>
      <c r="T284" s="639"/>
      <c r="U284" s="639"/>
      <c r="V284" s="639"/>
      <c r="W284" s="639"/>
      <c r="X284" s="639"/>
      <c r="Y284" s="639"/>
      <c r="Z284" s="639"/>
      <c r="AA284" s="639"/>
      <c r="AB284" s="639"/>
      <c r="AC284" s="639"/>
      <c r="AD284" s="639"/>
      <c r="AE284" s="639"/>
      <c r="AF284" s="639"/>
      <c r="AG284" s="669"/>
      <c r="AH284" s="606"/>
      <c r="AI284" s="19"/>
      <c r="AJ284" s="19"/>
      <c r="AK284" s="19"/>
    </row>
    <row r="285" spans="1:37" hidden="1" outlineLevel="3" x14ac:dyDescent="0.2">
      <c r="A285" s="606"/>
      <c r="B285" s="606"/>
      <c r="C285" s="607"/>
      <c r="D285" s="608"/>
      <c r="E285" s="608"/>
      <c r="F285" s="608"/>
      <c r="G285" s="608"/>
      <c r="H285" s="609"/>
      <c r="I285" s="632"/>
      <c r="J285" s="632"/>
      <c r="K285" s="632"/>
      <c r="L285" s="636"/>
      <c r="M285" s="639"/>
      <c r="N285" s="639"/>
      <c r="O285" s="639"/>
      <c r="P285" s="639"/>
      <c r="Q285" s="639"/>
      <c r="R285" s="639"/>
      <c r="S285" s="639"/>
      <c r="T285" s="639"/>
      <c r="U285" s="639"/>
      <c r="V285" s="639"/>
      <c r="W285" s="639"/>
      <c r="X285" s="639"/>
      <c r="Y285" s="639"/>
      <c r="Z285" s="639"/>
      <c r="AA285" s="639"/>
      <c r="AB285" s="639"/>
      <c r="AC285" s="639"/>
      <c r="AD285" s="639"/>
      <c r="AE285" s="639"/>
      <c r="AF285" s="639"/>
      <c r="AG285" s="669"/>
      <c r="AH285" s="606"/>
      <c r="AI285" s="19"/>
      <c r="AJ285" s="19"/>
      <c r="AK285" s="19"/>
    </row>
    <row r="286" spans="1:37" hidden="1" outlineLevel="3" x14ac:dyDescent="0.2">
      <c r="A286" s="606"/>
      <c r="B286" s="606"/>
      <c r="C286" s="607"/>
      <c r="D286" s="608"/>
      <c r="E286" s="608"/>
      <c r="F286" s="608"/>
      <c r="G286" s="608"/>
      <c r="H286" s="609"/>
      <c r="I286" s="632"/>
      <c r="J286" s="632"/>
      <c r="K286" s="632"/>
      <c r="L286" s="636"/>
      <c r="M286" s="639"/>
      <c r="N286" s="639"/>
      <c r="O286" s="639"/>
      <c r="P286" s="639"/>
      <c r="Q286" s="639"/>
      <c r="R286" s="639"/>
      <c r="S286" s="639"/>
      <c r="T286" s="639"/>
      <c r="U286" s="639"/>
      <c r="V286" s="639"/>
      <c r="W286" s="639"/>
      <c r="X286" s="639"/>
      <c r="Y286" s="639"/>
      <c r="Z286" s="639"/>
      <c r="AA286" s="639"/>
      <c r="AB286" s="639"/>
      <c r="AC286" s="639"/>
      <c r="AD286" s="639"/>
      <c r="AE286" s="639"/>
      <c r="AF286" s="639"/>
      <c r="AG286" s="669"/>
      <c r="AH286" s="606"/>
      <c r="AI286" s="19"/>
      <c r="AJ286" s="19"/>
      <c r="AK286" s="19"/>
    </row>
    <row r="287" spans="1:37" hidden="1" outlineLevel="3" x14ac:dyDescent="0.2">
      <c r="A287" s="606"/>
      <c r="B287" s="606"/>
      <c r="C287" s="607"/>
      <c r="D287" s="608"/>
      <c r="E287" s="608"/>
      <c r="F287" s="608"/>
      <c r="G287" s="608"/>
      <c r="H287" s="609"/>
      <c r="I287" s="632"/>
      <c r="J287" s="632"/>
      <c r="K287" s="632"/>
      <c r="L287" s="636"/>
      <c r="M287" s="639"/>
      <c r="N287" s="639"/>
      <c r="O287" s="639"/>
      <c r="P287" s="639"/>
      <c r="Q287" s="639"/>
      <c r="R287" s="639"/>
      <c r="S287" s="639"/>
      <c r="T287" s="639"/>
      <c r="U287" s="639"/>
      <c r="V287" s="639"/>
      <c r="W287" s="639"/>
      <c r="X287" s="639"/>
      <c r="Y287" s="639"/>
      <c r="Z287" s="639"/>
      <c r="AA287" s="639"/>
      <c r="AB287" s="639"/>
      <c r="AC287" s="639"/>
      <c r="AD287" s="639"/>
      <c r="AE287" s="639"/>
      <c r="AF287" s="639"/>
      <c r="AG287" s="669"/>
      <c r="AH287" s="606"/>
      <c r="AI287" s="19"/>
      <c r="AJ287" s="19"/>
      <c r="AK287" s="19"/>
    </row>
    <row r="288" spans="1:37" hidden="1" outlineLevel="3" x14ac:dyDescent="0.2">
      <c r="A288" s="606"/>
      <c r="B288" s="606"/>
      <c r="C288" s="607"/>
      <c r="D288" s="608"/>
      <c r="E288" s="608"/>
      <c r="F288" s="608"/>
      <c r="G288" s="608"/>
      <c r="H288" s="609"/>
      <c r="I288" s="632"/>
      <c r="J288" s="632"/>
      <c r="K288" s="632"/>
      <c r="L288" s="636"/>
      <c r="M288" s="639"/>
      <c r="N288" s="639"/>
      <c r="O288" s="639"/>
      <c r="P288" s="639"/>
      <c r="Q288" s="639"/>
      <c r="R288" s="639"/>
      <c r="S288" s="639"/>
      <c r="T288" s="639"/>
      <c r="U288" s="639"/>
      <c r="V288" s="639"/>
      <c r="W288" s="639"/>
      <c r="X288" s="639"/>
      <c r="Y288" s="639"/>
      <c r="Z288" s="639"/>
      <c r="AA288" s="639"/>
      <c r="AB288" s="639"/>
      <c r="AC288" s="639"/>
      <c r="AD288" s="639"/>
      <c r="AE288" s="639"/>
      <c r="AF288" s="639"/>
      <c r="AG288" s="669"/>
      <c r="AH288" s="606"/>
      <c r="AI288" s="19"/>
      <c r="AJ288" s="19"/>
      <c r="AK288" s="19"/>
    </row>
    <row r="289" spans="1:37" hidden="1" outlineLevel="3" x14ac:dyDescent="0.2">
      <c r="A289" s="606"/>
      <c r="B289" s="606"/>
      <c r="C289" s="607"/>
      <c r="D289" s="608"/>
      <c r="E289" s="608"/>
      <c r="F289" s="608"/>
      <c r="G289" s="608"/>
      <c r="H289" s="609"/>
      <c r="I289" s="632"/>
      <c r="J289" s="632"/>
      <c r="K289" s="632"/>
      <c r="L289" s="636"/>
      <c r="M289" s="639"/>
      <c r="N289" s="639"/>
      <c r="O289" s="639"/>
      <c r="P289" s="639"/>
      <c r="Q289" s="639"/>
      <c r="R289" s="639"/>
      <c r="S289" s="639"/>
      <c r="T289" s="639"/>
      <c r="U289" s="639"/>
      <c r="V289" s="639"/>
      <c r="W289" s="639"/>
      <c r="X289" s="639"/>
      <c r="Y289" s="639"/>
      <c r="Z289" s="639"/>
      <c r="AA289" s="639"/>
      <c r="AB289" s="639"/>
      <c r="AC289" s="639"/>
      <c r="AD289" s="639"/>
      <c r="AE289" s="639"/>
      <c r="AF289" s="639"/>
      <c r="AG289" s="669"/>
      <c r="AH289" s="606"/>
      <c r="AI289" s="19"/>
      <c r="AJ289" s="19"/>
      <c r="AK289" s="19"/>
    </row>
    <row r="290" spans="1:37" hidden="1" outlineLevel="3" x14ac:dyDescent="0.2">
      <c r="A290" s="606"/>
      <c r="B290" s="606"/>
      <c r="C290" s="607"/>
      <c r="D290" s="608"/>
      <c r="E290" s="608"/>
      <c r="F290" s="608"/>
      <c r="G290" s="608"/>
      <c r="H290" s="609"/>
      <c r="I290" s="632"/>
      <c r="J290" s="632"/>
      <c r="K290" s="632"/>
      <c r="L290" s="636"/>
      <c r="M290" s="639"/>
      <c r="N290" s="639"/>
      <c r="O290" s="639"/>
      <c r="P290" s="639"/>
      <c r="Q290" s="639"/>
      <c r="R290" s="639"/>
      <c r="S290" s="639"/>
      <c r="T290" s="639"/>
      <c r="U290" s="639"/>
      <c r="V290" s="639"/>
      <c r="W290" s="639"/>
      <c r="X290" s="639"/>
      <c r="Y290" s="639"/>
      <c r="Z290" s="639"/>
      <c r="AA290" s="639"/>
      <c r="AB290" s="639"/>
      <c r="AC290" s="639"/>
      <c r="AD290" s="639"/>
      <c r="AE290" s="639"/>
      <c r="AF290" s="639"/>
      <c r="AG290" s="669"/>
      <c r="AH290" s="606"/>
      <c r="AI290" s="19"/>
      <c r="AJ290" s="19"/>
      <c r="AK290" s="19"/>
    </row>
    <row r="291" spans="1:37" hidden="1" outlineLevel="3" x14ac:dyDescent="0.2">
      <c r="A291" s="606"/>
      <c r="B291" s="606"/>
      <c r="C291" s="607"/>
      <c r="D291" s="608"/>
      <c r="E291" s="608"/>
      <c r="F291" s="608"/>
      <c r="G291" s="608"/>
      <c r="H291" s="609"/>
      <c r="I291" s="632"/>
      <c r="J291" s="632"/>
      <c r="K291" s="632"/>
      <c r="L291" s="636"/>
      <c r="M291" s="639"/>
      <c r="N291" s="639"/>
      <c r="O291" s="639"/>
      <c r="P291" s="639"/>
      <c r="Q291" s="639"/>
      <c r="R291" s="639"/>
      <c r="S291" s="639"/>
      <c r="T291" s="639"/>
      <c r="U291" s="639"/>
      <c r="V291" s="639"/>
      <c r="W291" s="639"/>
      <c r="X291" s="639"/>
      <c r="Y291" s="639"/>
      <c r="Z291" s="639"/>
      <c r="AA291" s="639"/>
      <c r="AB291" s="639"/>
      <c r="AC291" s="639"/>
      <c r="AD291" s="639"/>
      <c r="AE291" s="639"/>
      <c r="AF291" s="639"/>
      <c r="AG291" s="669"/>
      <c r="AH291" s="606"/>
      <c r="AI291" s="19"/>
      <c r="AJ291" s="19"/>
      <c r="AK291" s="19"/>
    </row>
    <row r="292" spans="1:37" hidden="1" outlineLevel="3" x14ac:dyDescent="0.2">
      <c r="A292" s="606"/>
      <c r="B292" s="606"/>
      <c r="C292" s="607"/>
      <c r="D292" s="608"/>
      <c r="E292" s="608"/>
      <c r="F292" s="608"/>
      <c r="G292" s="608"/>
      <c r="H292" s="609"/>
      <c r="I292" s="632"/>
      <c r="J292" s="632"/>
      <c r="K292" s="632"/>
      <c r="L292" s="636"/>
      <c r="M292" s="639"/>
      <c r="N292" s="639"/>
      <c r="O292" s="639"/>
      <c r="P292" s="639"/>
      <c r="Q292" s="639"/>
      <c r="R292" s="639"/>
      <c r="S292" s="639"/>
      <c r="T292" s="639"/>
      <c r="U292" s="639"/>
      <c r="V292" s="639"/>
      <c r="W292" s="639"/>
      <c r="X292" s="639"/>
      <c r="Y292" s="639"/>
      <c r="Z292" s="639"/>
      <c r="AA292" s="639"/>
      <c r="AB292" s="639"/>
      <c r="AC292" s="639"/>
      <c r="AD292" s="639"/>
      <c r="AE292" s="639"/>
      <c r="AF292" s="639"/>
      <c r="AG292" s="669"/>
      <c r="AH292" s="606"/>
      <c r="AI292" s="19"/>
      <c r="AJ292" s="19"/>
      <c r="AK292" s="19"/>
    </row>
    <row r="293" spans="1:37" hidden="1" outlineLevel="3" x14ac:dyDescent="0.2">
      <c r="A293" s="606"/>
      <c r="B293" s="606"/>
      <c r="C293" s="607"/>
      <c r="D293" s="608"/>
      <c r="E293" s="608"/>
      <c r="F293" s="608"/>
      <c r="G293" s="608"/>
      <c r="H293" s="609"/>
      <c r="I293" s="632"/>
      <c r="J293" s="632"/>
      <c r="K293" s="632"/>
      <c r="L293" s="636"/>
      <c r="M293" s="639"/>
      <c r="N293" s="639"/>
      <c r="O293" s="639"/>
      <c r="P293" s="639"/>
      <c r="Q293" s="639"/>
      <c r="R293" s="639"/>
      <c r="S293" s="639"/>
      <c r="T293" s="639"/>
      <c r="U293" s="639"/>
      <c r="V293" s="639"/>
      <c r="W293" s="639"/>
      <c r="X293" s="639"/>
      <c r="Y293" s="639"/>
      <c r="Z293" s="639"/>
      <c r="AA293" s="639"/>
      <c r="AB293" s="639"/>
      <c r="AC293" s="639"/>
      <c r="AD293" s="639"/>
      <c r="AE293" s="639"/>
      <c r="AF293" s="639"/>
      <c r="AG293" s="669"/>
      <c r="AH293" s="606"/>
      <c r="AI293" s="19"/>
      <c r="AJ293" s="19"/>
      <c r="AK293" s="19"/>
    </row>
    <row r="294" spans="1:37" hidden="1" outlineLevel="3" x14ac:dyDescent="0.2">
      <c r="A294" s="606"/>
      <c r="B294" s="606"/>
      <c r="C294" s="607"/>
      <c r="D294" s="608"/>
      <c r="E294" s="608"/>
      <c r="F294" s="608"/>
      <c r="G294" s="608"/>
      <c r="H294" s="609"/>
      <c r="I294" s="632"/>
      <c r="J294" s="632"/>
      <c r="K294" s="632"/>
      <c r="L294" s="636"/>
      <c r="M294" s="639"/>
      <c r="N294" s="639"/>
      <c r="O294" s="639"/>
      <c r="P294" s="639"/>
      <c r="Q294" s="639"/>
      <c r="R294" s="639"/>
      <c r="S294" s="639"/>
      <c r="T294" s="639"/>
      <c r="U294" s="639"/>
      <c r="V294" s="639"/>
      <c r="W294" s="639"/>
      <c r="X294" s="639"/>
      <c r="Y294" s="639"/>
      <c r="Z294" s="639"/>
      <c r="AA294" s="639"/>
      <c r="AB294" s="639"/>
      <c r="AC294" s="639"/>
      <c r="AD294" s="639"/>
      <c r="AE294" s="639"/>
      <c r="AF294" s="639"/>
      <c r="AG294" s="669"/>
      <c r="AH294" s="606"/>
      <c r="AI294" s="19"/>
      <c r="AJ294" s="19"/>
      <c r="AK294" s="19"/>
    </row>
    <row r="295" spans="1:37" hidden="1" outlineLevel="3" x14ac:dyDescent="0.2">
      <c r="A295" s="606"/>
      <c r="B295" s="606"/>
      <c r="C295" s="607"/>
      <c r="D295" s="608"/>
      <c r="E295" s="608"/>
      <c r="F295" s="608"/>
      <c r="G295" s="608"/>
      <c r="H295" s="609"/>
      <c r="I295" s="632"/>
      <c r="J295" s="632"/>
      <c r="K295" s="632"/>
      <c r="L295" s="636"/>
      <c r="M295" s="639"/>
      <c r="N295" s="639"/>
      <c r="O295" s="639"/>
      <c r="P295" s="639"/>
      <c r="Q295" s="639"/>
      <c r="R295" s="639"/>
      <c r="S295" s="639"/>
      <c r="T295" s="639"/>
      <c r="U295" s="639"/>
      <c r="V295" s="639"/>
      <c r="W295" s="639"/>
      <c r="X295" s="639"/>
      <c r="Y295" s="639"/>
      <c r="Z295" s="639"/>
      <c r="AA295" s="639"/>
      <c r="AB295" s="639"/>
      <c r="AC295" s="639"/>
      <c r="AD295" s="639"/>
      <c r="AE295" s="639"/>
      <c r="AF295" s="639"/>
      <c r="AG295" s="669"/>
      <c r="AH295" s="606"/>
      <c r="AI295" s="19"/>
      <c r="AJ295" s="19"/>
      <c r="AK295" s="19"/>
    </row>
    <row r="296" spans="1:37" hidden="1" outlineLevel="3" x14ac:dyDescent="0.2">
      <c r="A296" s="606"/>
      <c r="B296" s="606"/>
      <c r="C296" s="607"/>
      <c r="D296" s="608"/>
      <c r="E296" s="608"/>
      <c r="F296" s="608"/>
      <c r="G296" s="608"/>
      <c r="H296" s="609"/>
      <c r="I296" s="632"/>
      <c r="J296" s="632"/>
      <c r="K296" s="632"/>
      <c r="L296" s="636"/>
      <c r="M296" s="639"/>
      <c r="N296" s="639"/>
      <c r="O296" s="639"/>
      <c r="P296" s="639"/>
      <c r="Q296" s="639"/>
      <c r="R296" s="639"/>
      <c r="S296" s="639"/>
      <c r="T296" s="639"/>
      <c r="U296" s="639"/>
      <c r="V296" s="639"/>
      <c r="W296" s="639"/>
      <c r="X296" s="639"/>
      <c r="Y296" s="639"/>
      <c r="Z296" s="639"/>
      <c r="AA296" s="639"/>
      <c r="AB296" s="639"/>
      <c r="AC296" s="639"/>
      <c r="AD296" s="639"/>
      <c r="AE296" s="639"/>
      <c r="AF296" s="639"/>
      <c r="AG296" s="669"/>
      <c r="AH296" s="606"/>
      <c r="AI296" s="19"/>
      <c r="AJ296" s="19"/>
      <c r="AK296" s="19"/>
    </row>
    <row r="297" spans="1:37" hidden="1" outlineLevel="3" x14ac:dyDescent="0.2">
      <c r="A297" s="606"/>
      <c r="B297" s="606"/>
      <c r="C297" s="607"/>
      <c r="D297" s="608"/>
      <c r="E297" s="608"/>
      <c r="F297" s="608"/>
      <c r="G297" s="608"/>
      <c r="H297" s="609"/>
      <c r="I297" s="632"/>
      <c r="J297" s="632"/>
      <c r="K297" s="632"/>
      <c r="L297" s="636"/>
      <c r="M297" s="639"/>
      <c r="N297" s="639"/>
      <c r="O297" s="639"/>
      <c r="P297" s="639"/>
      <c r="Q297" s="639"/>
      <c r="R297" s="639"/>
      <c r="S297" s="639"/>
      <c r="T297" s="639"/>
      <c r="U297" s="639"/>
      <c r="V297" s="639"/>
      <c r="W297" s="639"/>
      <c r="X297" s="639"/>
      <c r="Y297" s="639"/>
      <c r="Z297" s="639"/>
      <c r="AA297" s="639"/>
      <c r="AB297" s="639"/>
      <c r="AC297" s="639"/>
      <c r="AD297" s="639"/>
      <c r="AE297" s="639"/>
      <c r="AF297" s="639"/>
      <c r="AG297" s="669"/>
      <c r="AH297" s="606"/>
      <c r="AI297" s="19"/>
      <c r="AJ297" s="19"/>
      <c r="AK297" s="19"/>
    </row>
    <row r="298" spans="1:37" hidden="1" outlineLevel="3" x14ac:dyDescent="0.2">
      <c r="A298" s="606"/>
      <c r="B298" s="606"/>
      <c r="C298" s="607"/>
      <c r="D298" s="608"/>
      <c r="E298" s="608"/>
      <c r="F298" s="608"/>
      <c r="G298" s="608"/>
      <c r="H298" s="609"/>
      <c r="I298" s="632"/>
      <c r="J298" s="632"/>
      <c r="K298" s="632"/>
      <c r="L298" s="636"/>
      <c r="M298" s="639"/>
      <c r="N298" s="639"/>
      <c r="O298" s="639"/>
      <c r="P298" s="639"/>
      <c r="Q298" s="639"/>
      <c r="R298" s="639"/>
      <c r="S298" s="639"/>
      <c r="T298" s="639"/>
      <c r="U298" s="639"/>
      <c r="V298" s="639"/>
      <c r="W298" s="639"/>
      <c r="X298" s="639"/>
      <c r="Y298" s="639"/>
      <c r="Z298" s="639"/>
      <c r="AA298" s="639"/>
      <c r="AB298" s="639"/>
      <c r="AC298" s="639"/>
      <c r="AD298" s="639"/>
      <c r="AE298" s="639"/>
      <c r="AF298" s="639"/>
      <c r="AG298" s="669"/>
      <c r="AH298" s="606"/>
      <c r="AI298" s="19"/>
      <c r="AJ298" s="19"/>
      <c r="AK298" s="19"/>
    </row>
    <row r="299" spans="1:37" hidden="1" outlineLevel="3" x14ac:dyDescent="0.2">
      <c r="A299" s="606"/>
      <c r="B299" s="606"/>
      <c r="C299" s="607"/>
      <c r="D299" s="608"/>
      <c r="E299" s="608"/>
      <c r="F299" s="608"/>
      <c r="G299" s="608"/>
      <c r="H299" s="609"/>
      <c r="I299" s="632"/>
      <c r="J299" s="632"/>
      <c r="K299" s="632"/>
      <c r="L299" s="636"/>
      <c r="M299" s="639"/>
      <c r="N299" s="639"/>
      <c r="O299" s="639"/>
      <c r="P299" s="639"/>
      <c r="Q299" s="639"/>
      <c r="R299" s="639"/>
      <c r="S299" s="639"/>
      <c r="T299" s="639"/>
      <c r="U299" s="639"/>
      <c r="V299" s="639"/>
      <c r="W299" s="639"/>
      <c r="X299" s="639"/>
      <c r="Y299" s="639"/>
      <c r="Z299" s="639"/>
      <c r="AA299" s="639"/>
      <c r="AB299" s="639"/>
      <c r="AC299" s="639"/>
      <c r="AD299" s="639"/>
      <c r="AE299" s="639"/>
      <c r="AF299" s="639"/>
      <c r="AG299" s="669"/>
      <c r="AH299" s="606"/>
      <c r="AI299" s="19"/>
      <c r="AJ299" s="19"/>
      <c r="AK299" s="19"/>
    </row>
    <row r="300" spans="1:37" hidden="1" outlineLevel="3" x14ac:dyDescent="0.2">
      <c r="A300" s="606"/>
      <c r="B300" s="606"/>
      <c r="C300" s="607"/>
      <c r="D300" s="608"/>
      <c r="E300" s="608"/>
      <c r="F300" s="608"/>
      <c r="G300" s="608"/>
      <c r="H300" s="609"/>
      <c r="I300" s="632"/>
      <c r="J300" s="632"/>
      <c r="K300" s="632"/>
      <c r="L300" s="636"/>
      <c r="M300" s="639"/>
      <c r="N300" s="639"/>
      <c r="O300" s="639"/>
      <c r="P300" s="639"/>
      <c r="Q300" s="639"/>
      <c r="R300" s="639"/>
      <c r="S300" s="639"/>
      <c r="T300" s="639"/>
      <c r="U300" s="639"/>
      <c r="V300" s="639"/>
      <c r="W300" s="639"/>
      <c r="X300" s="639"/>
      <c r="Y300" s="639"/>
      <c r="Z300" s="639"/>
      <c r="AA300" s="639"/>
      <c r="AB300" s="639"/>
      <c r="AC300" s="639"/>
      <c r="AD300" s="639"/>
      <c r="AE300" s="639"/>
      <c r="AF300" s="639"/>
      <c r="AG300" s="669"/>
      <c r="AH300" s="606"/>
      <c r="AI300" s="19"/>
      <c r="AJ300" s="19"/>
      <c r="AK300" s="19"/>
    </row>
    <row r="301" spans="1:37" hidden="1" outlineLevel="3" x14ac:dyDescent="0.2">
      <c r="A301" s="606"/>
      <c r="B301" s="606"/>
      <c r="C301" s="607"/>
      <c r="D301" s="608"/>
      <c r="E301" s="608"/>
      <c r="F301" s="608"/>
      <c r="G301" s="608"/>
      <c r="H301" s="609"/>
      <c r="I301" s="632"/>
      <c r="J301" s="632"/>
      <c r="K301" s="632"/>
      <c r="L301" s="636"/>
      <c r="M301" s="639"/>
      <c r="N301" s="639"/>
      <c r="O301" s="639"/>
      <c r="P301" s="639"/>
      <c r="Q301" s="639"/>
      <c r="R301" s="639"/>
      <c r="S301" s="639"/>
      <c r="T301" s="639"/>
      <c r="U301" s="639"/>
      <c r="V301" s="639"/>
      <c r="W301" s="639"/>
      <c r="X301" s="639"/>
      <c r="Y301" s="639"/>
      <c r="Z301" s="639"/>
      <c r="AA301" s="639"/>
      <c r="AB301" s="639"/>
      <c r="AC301" s="639"/>
      <c r="AD301" s="639"/>
      <c r="AE301" s="639"/>
      <c r="AF301" s="639"/>
      <c r="AG301" s="669"/>
      <c r="AH301" s="606"/>
      <c r="AI301" s="19"/>
      <c r="AJ301" s="19"/>
      <c r="AK301" s="19"/>
    </row>
    <row r="302" spans="1:37" hidden="1" outlineLevel="3" x14ac:dyDescent="0.2">
      <c r="A302" s="606"/>
      <c r="B302" s="606"/>
      <c r="C302" s="607"/>
      <c r="D302" s="608"/>
      <c r="E302" s="608"/>
      <c r="F302" s="608"/>
      <c r="G302" s="608"/>
      <c r="H302" s="609"/>
      <c r="I302" s="632"/>
      <c r="J302" s="632"/>
      <c r="K302" s="632"/>
      <c r="L302" s="636"/>
      <c r="M302" s="639"/>
      <c r="N302" s="639"/>
      <c r="O302" s="639"/>
      <c r="P302" s="639"/>
      <c r="Q302" s="639"/>
      <c r="R302" s="639"/>
      <c r="S302" s="639"/>
      <c r="T302" s="639"/>
      <c r="U302" s="639"/>
      <c r="V302" s="639"/>
      <c r="W302" s="639"/>
      <c r="X302" s="639"/>
      <c r="Y302" s="639"/>
      <c r="Z302" s="639"/>
      <c r="AA302" s="639"/>
      <c r="AB302" s="639"/>
      <c r="AC302" s="639"/>
      <c r="AD302" s="639"/>
      <c r="AE302" s="639"/>
      <c r="AF302" s="639"/>
      <c r="AG302" s="669"/>
      <c r="AH302" s="606"/>
      <c r="AI302" s="19"/>
      <c r="AJ302" s="19"/>
      <c r="AK302" s="19"/>
    </row>
    <row r="303" spans="1:37" hidden="1" outlineLevel="3" x14ac:dyDescent="0.2">
      <c r="A303" s="606"/>
      <c r="B303" s="606"/>
      <c r="C303" s="607"/>
      <c r="D303" s="608"/>
      <c r="E303" s="608"/>
      <c r="F303" s="608"/>
      <c r="G303" s="608"/>
      <c r="H303" s="609"/>
      <c r="I303" s="632"/>
      <c r="J303" s="632"/>
      <c r="K303" s="632"/>
      <c r="L303" s="636"/>
      <c r="M303" s="639"/>
      <c r="N303" s="639"/>
      <c r="O303" s="639"/>
      <c r="P303" s="639"/>
      <c r="Q303" s="639"/>
      <c r="R303" s="639"/>
      <c r="S303" s="639"/>
      <c r="T303" s="639"/>
      <c r="U303" s="639"/>
      <c r="V303" s="639"/>
      <c r="W303" s="639"/>
      <c r="X303" s="639"/>
      <c r="Y303" s="639"/>
      <c r="Z303" s="639"/>
      <c r="AA303" s="639"/>
      <c r="AB303" s="639"/>
      <c r="AC303" s="639"/>
      <c r="AD303" s="639"/>
      <c r="AE303" s="639"/>
      <c r="AF303" s="639"/>
      <c r="AG303" s="669"/>
      <c r="AH303" s="606"/>
      <c r="AI303" s="19"/>
      <c r="AJ303" s="19"/>
      <c r="AK303" s="19"/>
    </row>
    <row r="304" spans="1:37" hidden="1" outlineLevel="3" x14ac:dyDescent="0.2">
      <c r="A304" s="606"/>
      <c r="B304" s="606"/>
      <c r="C304" s="607"/>
      <c r="D304" s="608"/>
      <c r="E304" s="608"/>
      <c r="F304" s="608"/>
      <c r="G304" s="608"/>
      <c r="H304" s="609"/>
      <c r="I304" s="632"/>
      <c r="J304" s="632"/>
      <c r="K304" s="632"/>
      <c r="L304" s="636"/>
      <c r="M304" s="639"/>
      <c r="N304" s="639"/>
      <c r="O304" s="639"/>
      <c r="P304" s="639"/>
      <c r="Q304" s="639"/>
      <c r="R304" s="639"/>
      <c r="S304" s="639"/>
      <c r="T304" s="639"/>
      <c r="U304" s="639"/>
      <c r="V304" s="639"/>
      <c r="W304" s="639"/>
      <c r="X304" s="639"/>
      <c r="Y304" s="639"/>
      <c r="Z304" s="639"/>
      <c r="AA304" s="639"/>
      <c r="AB304" s="639"/>
      <c r="AC304" s="639"/>
      <c r="AD304" s="639"/>
      <c r="AE304" s="639"/>
      <c r="AF304" s="639"/>
      <c r="AG304" s="669"/>
      <c r="AH304" s="606"/>
      <c r="AI304" s="19"/>
      <c r="AJ304" s="19"/>
      <c r="AK304" s="19"/>
    </row>
    <row r="305" spans="1:37" hidden="1" outlineLevel="3" x14ac:dyDescent="0.2">
      <c r="A305" s="606"/>
      <c r="B305" s="606"/>
      <c r="C305" s="607"/>
      <c r="D305" s="608"/>
      <c r="E305" s="608"/>
      <c r="F305" s="608"/>
      <c r="G305" s="608"/>
      <c r="H305" s="609"/>
      <c r="I305" s="632"/>
      <c r="J305" s="632"/>
      <c r="K305" s="632"/>
      <c r="L305" s="636"/>
      <c r="M305" s="639"/>
      <c r="N305" s="639"/>
      <c r="O305" s="639"/>
      <c r="P305" s="639"/>
      <c r="Q305" s="639"/>
      <c r="R305" s="639"/>
      <c r="S305" s="639"/>
      <c r="T305" s="639"/>
      <c r="U305" s="639"/>
      <c r="V305" s="639"/>
      <c r="W305" s="639"/>
      <c r="X305" s="639"/>
      <c r="Y305" s="639"/>
      <c r="Z305" s="639"/>
      <c r="AA305" s="639"/>
      <c r="AB305" s="639"/>
      <c r="AC305" s="639"/>
      <c r="AD305" s="639"/>
      <c r="AE305" s="639"/>
      <c r="AF305" s="639"/>
      <c r="AG305" s="669"/>
      <c r="AH305" s="606"/>
      <c r="AI305" s="19"/>
      <c r="AJ305" s="19"/>
      <c r="AK305" s="19"/>
    </row>
    <row r="306" spans="1:37" hidden="1" outlineLevel="3" x14ac:dyDescent="0.2">
      <c r="A306" s="606"/>
      <c r="B306" s="606"/>
      <c r="C306" s="607"/>
      <c r="D306" s="608"/>
      <c r="E306" s="608"/>
      <c r="F306" s="608"/>
      <c r="G306" s="608"/>
      <c r="H306" s="609"/>
      <c r="I306" s="632"/>
      <c r="J306" s="632"/>
      <c r="K306" s="632"/>
      <c r="L306" s="636"/>
      <c r="M306" s="639"/>
      <c r="N306" s="639"/>
      <c r="O306" s="639"/>
      <c r="P306" s="639"/>
      <c r="Q306" s="639"/>
      <c r="R306" s="639"/>
      <c r="S306" s="639"/>
      <c r="T306" s="639"/>
      <c r="U306" s="639"/>
      <c r="V306" s="639"/>
      <c r="W306" s="639"/>
      <c r="X306" s="639"/>
      <c r="Y306" s="639"/>
      <c r="Z306" s="639"/>
      <c r="AA306" s="639"/>
      <c r="AB306" s="639"/>
      <c r="AC306" s="639"/>
      <c r="AD306" s="639"/>
      <c r="AE306" s="639"/>
      <c r="AF306" s="639"/>
      <c r="AG306" s="669"/>
      <c r="AH306" s="606"/>
      <c r="AI306" s="19"/>
      <c r="AJ306" s="19"/>
      <c r="AK306" s="19"/>
    </row>
    <row r="307" spans="1:37" hidden="1" outlineLevel="3" x14ac:dyDescent="0.2">
      <c r="A307" s="606"/>
      <c r="B307" s="606"/>
      <c r="C307" s="607"/>
      <c r="D307" s="608"/>
      <c r="E307" s="608"/>
      <c r="F307" s="608"/>
      <c r="G307" s="608"/>
      <c r="H307" s="609"/>
      <c r="I307" s="632"/>
      <c r="J307" s="632"/>
      <c r="K307" s="632"/>
      <c r="L307" s="636"/>
      <c r="M307" s="639"/>
      <c r="N307" s="639"/>
      <c r="O307" s="639"/>
      <c r="P307" s="639"/>
      <c r="Q307" s="639"/>
      <c r="R307" s="639"/>
      <c r="S307" s="639"/>
      <c r="T307" s="639"/>
      <c r="U307" s="639"/>
      <c r="V307" s="639"/>
      <c r="W307" s="639"/>
      <c r="X307" s="639"/>
      <c r="Y307" s="639"/>
      <c r="Z307" s="639"/>
      <c r="AA307" s="639"/>
      <c r="AB307" s="639"/>
      <c r="AC307" s="639"/>
      <c r="AD307" s="639"/>
      <c r="AE307" s="639"/>
      <c r="AF307" s="639"/>
      <c r="AG307" s="669"/>
      <c r="AH307" s="606"/>
      <c r="AI307" s="19"/>
      <c r="AJ307" s="19"/>
      <c r="AK307" s="19"/>
    </row>
    <row r="308" spans="1:37" hidden="1" outlineLevel="3" x14ac:dyDescent="0.2">
      <c r="A308" s="606"/>
      <c r="B308" s="606"/>
      <c r="C308" s="607"/>
      <c r="D308" s="608"/>
      <c r="E308" s="608"/>
      <c r="F308" s="608"/>
      <c r="G308" s="608"/>
      <c r="H308" s="609"/>
      <c r="I308" s="632"/>
      <c r="J308" s="632"/>
      <c r="K308" s="632"/>
      <c r="L308" s="636"/>
      <c r="M308" s="639"/>
      <c r="N308" s="639"/>
      <c r="O308" s="639"/>
      <c r="P308" s="639"/>
      <c r="Q308" s="639"/>
      <c r="R308" s="639"/>
      <c r="S308" s="639"/>
      <c r="T308" s="639"/>
      <c r="U308" s="639"/>
      <c r="V308" s="639"/>
      <c r="W308" s="639"/>
      <c r="X308" s="639"/>
      <c r="Y308" s="639"/>
      <c r="Z308" s="639"/>
      <c r="AA308" s="639"/>
      <c r="AB308" s="639"/>
      <c r="AC308" s="639"/>
      <c r="AD308" s="639"/>
      <c r="AE308" s="639"/>
      <c r="AF308" s="639"/>
      <c r="AG308" s="669"/>
      <c r="AH308" s="606"/>
      <c r="AI308" s="19"/>
      <c r="AJ308" s="19"/>
      <c r="AK308" s="19"/>
    </row>
    <row r="309" spans="1:37" hidden="1" outlineLevel="3" x14ac:dyDescent="0.2">
      <c r="A309" s="606"/>
      <c r="B309" s="606"/>
      <c r="C309" s="607"/>
      <c r="D309" s="608"/>
      <c r="E309" s="608"/>
      <c r="F309" s="608"/>
      <c r="G309" s="608"/>
      <c r="H309" s="609"/>
      <c r="I309" s="632"/>
      <c r="J309" s="632"/>
      <c r="K309" s="632"/>
      <c r="L309" s="636"/>
      <c r="M309" s="639"/>
      <c r="N309" s="639"/>
      <c r="O309" s="639"/>
      <c r="P309" s="639"/>
      <c r="Q309" s="639"/>
      <c r="R309" s="639"/>
      <c r="S309" s="639"/>
      <c r="T309" s="639"/>
      <c r="U309" s="639"/>
      <c r="V309" s="639"/>
      <c r="W309" s="639"/>
      <c r="X309" s="639"/>
      <c r="Y309" s="639"/>
      <c r="Z309" s="639"/>
      <c r="AA309" s="639"/>
      <c r="AB309" s="639"/>
      <c r="AC309" s="639"/>
      <c r="AD309" s="639"/>
      <c r="AE309" s="639"/>
      <c r="AF309" s="639"/>
      <c r="AG309" s="669"/>
      <c r="AH309" s="606"/>
      <c r="AI309" s="19"/>
      <c r="AJ309" s="19"/>
      <c r="AK309" s="19"/>
    </row>
    <row r="310" spans="1:37" hidden="1" outlineLevel="3" x14ac:dyDescent="0.2">
      <c r="A310" s="606"/>
      <c r="B310" s="606"/>
      <c r="C310" s="607"/>
      <c r="D310" s="608"/>
      <c r="E310" s="608"/>
      <c r="F310" s="608"/>
      <c r="G310" s="608"/>
      <c r="H310" s="609"/>
      <c r="I310" s="632"/>
      <c r="J310" s="632"/>
      <c r="K310" s="632"/>
      <c r="L310" s="636"/>
      <c r="M310" s="639"/>
      <c r="N310" s="639"/>
      <c r="O310" s="639"/>
      <c r="P310" s="639"/>
      <c r="Q310" s="639"/>
      <c r="R310" s="639"/>
      <c r="S310" s="639"/>
      <c r="T310" s="639"/>
      <c r="U310" s="639"/>
      <c r="V310" s="639"/>
      <c r="W310" s="639"/>
      <c r="X310" s="639"/>
      <c r="Y310" s="639"/>
      <c r="Z310" s="639"/>
      <c r="AA310" s="639"/>
      <c r="AB310" s="639"/>
      <c r="AC310" s="639"/>
      <c r="AD310" s="639"/>
      <c r="AE310" s="639"/>
      <c r="AF310" s="639"/>
      <c r="AG310" s="669"/>
      <c r="AH310" s="606"/>
      <c r="AI310" s="19"/>
      <c r="AJ310" s="19"/>
      <c r="AK310" s="19"/>
    </row>
    <row r="311" spans="1:37" hidden="1" outlineLevel="3" x14ac:dyDescent="0.2">
      <c r="A311" s="606"/>
      <c r="B311" s="606"/>
      <c r="C311" s="607"/>
      <c r="D311" s="608"/>
      <c r="E311" s="608"/>
      <c r="F311" s="608"/>
      <c r="G311" s="608"/>
      <c r="H311" s="609"/>
      <c r="I311" s="632"/>
      <c r="J311" s="632"/>
      <c r="K311" s="632"/>
      <c r="L311" s="636"/>
      <c r="M311" s="639"/>
      <c r="N311" s="639"/>
      <c r="O311" s="639"/>
      <c r="P311" s="639"/>
      <c r="Q311" s="639"/>
      <c r="R311" s="639"/>
      <c r="S311" s="639"/>
      <c r="T311" s="639"/>
      <c r="U311" s="639"/>
      <c r="V311" s="639"/>
      <c r="W311" s="639"/>
      <c r="X311" s="639"/>
      <c r="Y311" s="639"/>
      <c r="Z311" s="639"/>
      <c r="AA311" s="639"/>
      <c r="AB311" s="639"/>
      <c r="AC311" s="639"/>
      <c r="AD311" s="639"/>
      <c r="AE311" s="639"/>
      <c r="AF311" s="639"/>
      <c r="AG311" s="669"/>
      <c r="AH311" s="606"/>
      <c r="AI311" s="19"/>
      <c r="AJ311" s="19"/>
      <c r="AK311" s="19"/>
    </row>
    <row r="312" spans="1:37" hidden="1" outlineLevel="3" x14ac:dyDescent="0.2">
      <c r="A312" s="606"/>
      <c r="B312" s="606"/>
      <c r="C312" s="607"/>
      <c r="D312" s="608"/>
      <c r="E312" s="608"/>
      <c r="F312" s="608"/>
      <c r="G312" s="608"/>
      <c r="H312" s="609"/>
      <c r="I312" s="632"/>
      <c r="J312" s="632"/>
      <c r="K312" s="632"/>
      <c r="L312" s="636"/>
      <c r="M312" s="639"/>
      <c r="N312" s="639"/>
      <c r="O312" s="639"/>
      <c r="P312" s="639"/>
      <c r="Q312" s="639"/>
      <c r="R312" s="639"/>
      <c r="S312" s="639"/>
      <c r="T312" s="639"/>
      <c r="U312" s="639"/>
      <c r="V312" s="639"/>
      <c r="W312" s="639"/>
      <c r="X312" s="639"/>
      <c r="Y312" s="639"/>
      <c r="Z312" s="639"/>
      <c r="AA312" s="639"/>
      <c r="AB312" s="639"/>
      <c r="AC312" s="639"/>
      <c r="AD312" s="639"/>
      <c r="AE312" s="639"/>
      <c r="AF312" s="639"/>
      <c r="AG312" s="669"/>
      <c r="AH312" s="606"/>
      <c r="AI312" s="19"/>
      <c r="AJ312" s="19"/>
      <c r="AK312" s="19"/>
    </row>
    <row r="313" spans="1:37" hidden="1" outlineLevel="3" x14ac:dyDescent="0.2">
      <c r="A313" s="606"/>
      <c r="B313" s="606"/>
      <c r="C313" s="607"/>
      <c r="D313" s="608"/>
      <c r="E313" s="608"/>
      <c r="F313" s="608"/>
      <c r="G313" s="608"/>
      <c r="H313" s="609"/>
      <c r="I313" s="632"/>
      <c r="J313" s="632"/>
      <c r="K313" s="632"/>
      <c r="L313" s="636"/>
      <c r="M313" s="639"/>
      <c r="N313" s="639"/>
      <c r="O313" s="639"/>
      <c r="P313" s="639"/>
      <c r="Q313" s="639"/>
      <c r="R313" s="639"/>
      <c r="S313" s="639"/>
      <c r="T313" s="639"/>
      <c r="U313" s="639"/>
      <c r="V313" s="639"/>
      <c r="W313" s="639"/>
      <c r="X313" s="639"/>
      <c r="Y313" s="639"/>
      <c r="Z313" s="639"/>
      <c r="AA313" s="639"/>
      <c r="AB313" s="639"/>
      <c r="AC313" s="639"/>
      <c r="AD313" s="639"/>
      <c r="AE313" s="639"/>
      <c r="AF313" s="639"/>
      <c r="AG313" s="669"/>
      <c r="AH313" s="606"/>
      <c r="AI313" s="19"/>
      <c r="AJ313" s="19"/>
      <c r="AK313" s="19"/>
    </row>
    <row r="314" spans="1:37" hidden="1" outlineLevel="3" x14ac:dyDescent="0.2">
      <c r="A314" s="606"/>
      <c r="B314" s="606"/>
      <c r="C314" s="607"/>
      <c r="D314" s="608"/>
      <c r="E314" s="608"/>
      <c r="F314" s="608"/>
      <c r="G314" s="608"/>
      <c r="H314" s="609"/>
      <c r="I314" s="632"/>
      <c r="J314" s="632"/>
      <c r="K314" s="632"/>
      <c r="L314" s="636"/>
      <c r="M314" s="639"/>
      <c r="N314" s="639"/>
      <c r="O314" s="639"/>
      <c r="P314" s="639"/>
      <c r="Q314" s="639"/>
      <c r="R314" s="639"/>
      <c r="S314" s="639"/>
      <c r="T314" s="639"/>
      <c r="U314" s="639"/>
      <c r="V314" s="639"/>
      <c r="W314" s="639"/>
      <c r="X314" s="639"/>
      <c r="Y314" s="639"/>
      <c r="Z314" s="639"/>
      <c r="AA314" s="639"/>
      <c r="AB314" s="639"/>
      <c r="AC314" s="639"/>
      <c r="AD314" s="639"/>
      <c r="AE314" s="639"/>
      <c r="AF314" s="639"/>
      <c r="AG314" s="669"/>
      <c r="AH314" s="606"/>
      <c r="AI314" s="19"/>
      <c r="AJ314" s="19"/>
      <c r="AK314" s="19"/>
    </row>
    <row r="315" spans="1:37" hidden="1" outlineLevel="3" x14ac:dyDescent="0.2">
      <c r="A315" s="606"/>
      <c r="B315" s="606"/>
      <c r="C315" s="607"/>
      <c r="D315" s="608"/>
      <c r="E315" s="608"/>
      <c r="F315" s="608"/>
      <c r="G315" s="608"/>
      <c r="H315" s="609"/>
      <c r="I315" s="632"/>
      <c r="J315" s="632"/>
      <c r="K315" s="632"/>
      <c r="L315" s="636"/>
      <c r="M315" s="639"/>
      <c r="N315" s="639"/>
      <c r="O315" s="639"/>
      <c r="P315" s="639"/>
      <c r="Q315" s="639"/>
      <c r="R315" s="639"/>
      <c r="S315" s="639"/>
      <c r="T315" s="639"/>
      <c r="U315" s="639"/>
      <c r="V315" s="639"/>
      <c r="W315" s="639"/>
      <c r="X315" s="639"/>
      <c r="Y315" s="639"/>
      <c r="Z315" s="639"/>
      <c r="AA315" s="639"/>
      <c r="AB315" s="639"/>
      <c r="AC315" s="639"/>
      <c r="AD315" s="639"/>
      <c r="AE315" s="639"/>
      <c r="AF315" s="639"/>
      <c r="AG315" s="669"/>
      <c r="AH315" s="606"/>
      <c r="AI315" s="19"/>
      <c r="AJ315" s="19"/>
      <c r="AK315" s="19"/>
    </row>
    <row r="316" spans="1:37" hidden="1" outlineLevel="3" x14ac:dyDescent="0.2">
      <c r="A316" s="606"/>
      <c r="B316" s="606"/>
      <c r="C316" s="607"/>
      <c r="D316" s="608"/>
      <c r="E316" s="608"/>
      <c r="F316" s="608"/>
      <c r="G316" s="608"/>
      <c r="H316" s="609"/>
      <c r="I316" s="632"/>
      <c r="J316" s="632"/>
      <c r="K316" s="632"/>
      <c r="L316" s="636"/>
      <c r="M316" s="639"/>
      <c r="N316" s="639"/>
      <c r="O316" s="639"/>
      <c r="P316" s="639"/>
      <c r="Q316" s="639"/>
      <c r="R316" s="639"/>
      <c r="S316" s="639"/>
      <c r="T316" s="639"/>
      <c r="U316" s="639"/>
      <c r="V316" s="639"/>
      <c r="W316" s="639"/>
      <c r="X316" s="639"/>
      <c r="Y316" s="639"/>
      <c r="Z316" s="639"/>
      <c r="AA316" s="639"/>
      <c r="AB316" s="639"/>
      <c r="AC316" s="639"/>
      <c r="AD316" s="639"/>
      <c r="AE316" s="639"/>
      <c r="AF316" s="639"/>
      <c r="AG316" s="669"/>
      <c r="AH316" s="606"/>
      <c r="AI316" s="19"/>
      <c r="AJ316" s="19"/>
      <c r="AK316" s="19"/>
    </row>
    <row r="317" spans="1:37" hidden="1" outlineLevel="3" x14ac:dyDescent="0.2">
      <c r="A317" s="606"/>
      <c r="B317" s="606"/>
      <c r="C317" s="607"/>
      <c r="D317" s="608"/>
      <c r="E317" s="608"/>
      <c r="F317" s="608"/>
      <c r="G317" s="608"/>
      <c r="H317" s="609"/>
      <c r="I317" s="632"/>
      <c r="J317" s="632"/>
      <c r="K317" s="632"/>
      <c r="L317" s="636"/>
      <c r="M317" s="639"/>
      <c r="N317" s="639"/>
      <c r="O317" s="639"/>
      <c r="P317" s="639"/>
      <c r="Q317" s="639"/>
      <c r="R317" s="639"/>
      <c r="S317" s="639"/>
      <c r="T317" s="639"/>
      <c r="U317" s="639"/>
      <c r="V317" s="639"/>
      <c r="W317" s="639"/>
      <c r="X317" s="639"/>
      <c r="Y317" s="639"/>
      <c r="Z317" s="639"/>
      <c r="AA317" s="639"/>
      <c r="AB317" s="639"/>
      <c r="AC317" s="639"/>
      <c r="AD317" s="639"/>
      <c r="AE317" s="639"/>
      <c r="AF317" s="639"/>
      <c r="AG317" s="669"/>
      <c r="AH317" s="606"/>
      <c r="AI317" s="19"/>
      <c r="AJ317" s="19"/>
      <c r="AK317" s="19"/>
    </row>
    <row r="318" spans="1:37" hidden="1" outlineLevel="3" x14ac:dyDescent="0.2">
      <c r="A318" s="606"/>
      <c r="B318" s="606"/>
      <c r="C318" s="607"/>
      <c r="D318" s="608"/>
      <c r="E318" s="608"/>
      <c r="F318" s="608"/>
      <c r="G318" s="608"/>
      <c r="H318" s="609"/>
      <c r="I318" s="632"/>
      <c r="J318" s="632"/>
      <c r="K318" s="632"/>
      <c r="L318" s="636"/>
      <c r="M318" s="639"/>
      <c r="N318" s="639"/>
      <c r="O318" s="639"/>
      <c r="P318" s="639"/>
      <c r="Q318" s="639"/>
      <c r="R318" s="639"/>
      <c r="S318" s="639"/>
      <c r="T318" s="639"/>
      <c r="U318" s="639"/>
      <c r="V318" s="639"/>
      <c r="W318" s="639"/>
      <c r="X318" s="639"/>
      <c r="Y318" s="639"/>
      <c r="Z318" s="639"/>
      <c r="AA318" s="639"/>
      <c r="AB318" s="639"/>
      <c r="AC318" s="639"/>
      <c r="AD318" s="639"/>
      <c r="AE318" s="639"/>
      <c r="AF318" s="639"/>
      <c r="AG318" s="669"/>
      <c r="AH318" s="606"/>
      <c r="AI318" s="19"/>
      <c r="AJ318" s="19"/>
      <c r="AK318" s="19"/>
    </row>
    <row r="319" spans="1:37" hidden="1" outlineLevel="3" x14ac:dyDescent="0.2">
      <c r="A319" s="606"/>
      <c r="B319" s="606"/>
      <c r="C319" s="607"/>
      <c r="D319" s="608"/>
      <c r="E319" s="608"/>
      <c r="F319" s="608"/>
      <c r="G319" s="608"/>
      <c r="H319" s="609"/>
      <c r="I319" s="632"/>
      <c r="J319" s="632"/>
      <c r="K319" s="632"/>
      <c r="L319" s="636"/>
      <c r="M319" s="639"/>
      <c r="N319" s="639"/>
      <c r="O319" s="639"/>
      <c r="P319" s="639"/>
      <c r="Q319" s="639"/>
      <c r="R319" s="639"/>
      <c r="S319" s="639"/>
      <c r="T319" s="639"/>
      <c r="U319" s="639"/>
      <c r="V319" s="639"/>
      <c r="W319" s="639"/>
      <c r="X319" s="639"/>
      <c r="Y319" s="639"/>
      <c r="Z319" s="639"/>
      <c r="AA319" s="639"/>
      <c r="AB319" s="639"/>
      <c r="AC319" s="639"/>
      <c r="AD319" s="639"/>
      <c r="AE319" s="639"/>
      <c r="AF319" s="639"/>
      <c r="AG319" s="669"/>
      <c r="AH319" s="606"/>
      <c r="AI319" s="19"/>
      <c r="AJ319" s="19"/>
      <c r="AK319" s="19"/>
    </row>
    <row r="320" spans="1:37" hidden="1" outlineLevel="3" x14ac:dyDescent="0.2">
      <c r="A320" s="606"/>
      <c r="B320" s="606"/>
      <c r="C320" s="607"/>
      <c r="D320" s="608"/>
      <c r="E320" s="608"/>
      <c r="F320" s="608"/>
      <c r="G320" s="608"/>
      <c r="H320" s="609"/>
      <c r="I320" s="632"/>
      <c r="J320" s="632"/>
      <c r="K320" s="632"/>
      <c r="L320" s="636"/>
      <c r="M320" s="639"/>
      <c r="N320" s="639"/>
      <c r="O320" s="639"/>
      <c r="P320" s="639"/>
      <c r="Q320" s="639"/>
      <c r="R320" s="639"/>
      <c r="S320" s="639"/>
      <c r="T320" s="639"/>
      <c r="U320" s="639"/>
      <c r="V320" s="639"/>
      <c r="W320" s="639"/>
      <c r="X320" s="639"/>
      <c r="Y320" s="639"/>
      <c r="Z320" s="639"/>
      <c r="AA320" s="639"/>
      <c r="AB320" s="639"/>
      <c r="AC320" s="639"/>
      <c r="AD320" s="639"/>
      <c r="AE320" s="639"/>
      <c r="AF320" s="639"/>
      <c r="AG320" s="669"/>
      <c r="AH320" s="606"/>
      <c r="AI320" s="19"/>
      <c r="AJ320" s="19"/>
      <c r="AK320" s="19"/>
    </row>
    <row r="321" spans="1:37" hidden="1" outlineLevel="3" x14ac:dyDescent="0.2">
      <c r="A321" s="606"/>
      <c r="B321" s="606"/>
      <c r="C321" s="607"/>
      <c r="D321" s="608"/>
      <c r="E321" s="608"/>
      <c r="F321" s="608"/>
      <c r="G321" s="608"/>
      <c r="H321" s="609"/>
      <c r="I321" s="632"/>
      <c r="J321" s="632"/>
      <c r="K321" s="632"/>
      <c r="L321" s="636"/>
      <c r="M321" s="639"/>
      <c r="N321" s="639"/>
      <c r="O321" s="639"/>
      <c r="P321" s="639"/>
      <c r="Q321" s="639"/>
      <c r="R321" s="639"/>
      <c r="S321" s="639"/>
      <c r="T321" s="639"/>
      <c r="U321" s="639"/>
      <c r="V321" s="639"/>
      <c r="W321" s="639"/>
      <c r="X321" s="639"/>
      <c r="Y321" s="639"/>
      <c r="Z321" s="639"/>
      <c r="AA321" s="639"/>
      <c r="AB321" s="639"/>
      <c r="AC321" s="639"/>
      <c r="AD321" s="639"/>
      <c r="AE321" s="639"/>
      <c r="AF321" s="639"/>
      <c r="AG321" s="669"/>
      <c r="AH321" s="606"/>
      <c r="AI321" s="19"/>
      <c r="AJ321" s="19"/>
      <c r="AK321" s="19"/>
    </row>
    <row r="322" spans="1:37" hidden="1" outlineLevel="3" x14ac:dyDescent="0.2">
      <c r="A322" s="606"/>
      <c r="B322" s="606"/>
      <c r="C322" s="607"/>
      <c r="D322" s="608"/>
      <c r="E322" s="608"/>
      <c r="F322" s="608"/>
      <c r="G322" s="608"/>
      <c r="H322" s="609"/>
      <c r="I322" s="632"/>
      <c r="J322" s="632"/>
      <c r="K322" s="632"/>
      <c r="L322" s="636"/>
      <c r="M322" s="639"/>
      <c r="N322" s="639"/>
      <c r="O322" s="639"/>
      <c r="P322" s="639"/>
      <c r="Q322" s="639"/>
      <c r="R322" s="639"/>
      <c r="S322" s="639"/>
      <c r="T322" s="639"/>
      <c r="U322" s="639"/>
      <c r="V322" s="639"/>
      <c r="W322" s="639"/>
      <c r="X322" s="639"/>
      <c r="Y322" s="639"/>
      <c r="Z322" s="639"/>
      <c r="AA322" s="639"/>
      <c r="AB322" s="639"/>
      <c r="AC322" s="639"/>
      <c r="AD322" s="639"/>
      <c r="AE322" s="639"/>
      <c r="AF322" s="639"/>
      <c r="AG322" s="669"/>
      <c r="AH322" s="606"/>
      <c r="AI322" s="19"/>
      <c r="AJ322" s="19"/>
      <c r="AK322" s="19"/>
    </row>
    <row r="323" spans="1:37" hidden="1" outlineLevel="3" x14ac:dyDescent="0.2">
      <c r="A323" s="606"/>
      <c r="B323" s="606"/>
      <c r="C323" s="607"/>
      <c r="D323" s="608"/>
      <c r="E323" s="608"/>
      <c r="F323" s="608"/>
      <c r="G323" s="608"/>
      <c r="H323" s="609"/>
      <c r="I323" s="632"/>
      <c r="J323" s="632"/>
      <c r="K323" s="632"/>
      <c r="L323" s="636"/>
      <c r="M323" s="639"/>
      <c r="N323" s="639"/>
      <c r="O323" s="639"/>
      <c r="P323" s="639"/>
      <c r="Q323" s="639"/>
      <c r="R323" s="639"/>
      <c r="S323" s="639"/>
      <c r="T323" s="639"/>
      <c r="U323" s="639"/>
      <c r="V323" s="639"/>
      <c r="W323" s="639"/>
      <c r="X323" s="639"/>
      <c r="Y323" s="639"/>
      <c r="Z323" s="639"/>
      <c r="AA323" s="639"/>
      <c r="AB323" s="639"/>
      <c r="AC323" s="639"/>
      <c r="AD323" s="639"/>
      <c r="AE323" s="639"/>
      <c r="AF323" s="639"/>
      <c r="AG323" s="669"/>
      <c r="AH323" s="606"/>
      <c r="AI323" s="19"/>
      <c r="AJ323" s="19"/>
      <c r="AK323" s="19"/>
    </row>
    <row r="324" spans="1:37" hidden="1" outlineLevel="3" x14ac:dyDescent="0.2">
      <c r="A324" s="606"/>
      <c r="B324" s="606"/>
      <c r="C324" s="607"/>
      <c r="D324" s="608"/>
      <c r="E324" s="608"/>
      <c r="F324" s="608"/>
      <c r="G324" s="608"/>
      <c r="H324" s="609"/>
      <c r="I324" s="632"/>
      <c r="J324" s="632"/>
      <c r="K324" s="632"/>
      <c r="L324" s="636"/>
      <c r="M324" s="639"/>
      <c r="N324" s="639"/>
      <c r="O324" s="639"/>
      <c r="P324" s="639"/>
      <c r="Q324" s="639"/>
      <c r="R324" s="639"/>
      <c r="S324" s="639"/>
      <c r="T324" s="639"/>
      <c r="U324" s="639"/>
      <c r="V324" s="639"/>
      <c r="W324" s="639"/>
      <c r="X324" s="639"/>
      <c r="Y324" s="639"/>
      <c r="Z324" s="639"/>
      <c r="AA324" s="639"/>
      <c r="AB324" s="639"/>
      <c r="AC324" s="639"/>
      <c r="AD324" s="639"/>
      <c r="AE324" s="639"/>
      <c r="AF324" s="639"/>
      <c r="AG324" s="669"/>
      <c r="AH324" s="606"/>
      <c r="AI324" s="19"/>
      <c r="AJ324" s="19"/>
      <c r="AK324" s="19"/>
    </row>
    <row r="325" spans="1:37" hidden="1" outlineLevel="3" x14ac:dyDescent="0.2">
      <c r="A325" s="606"/>
      <c r="B325" s="606"/>
      <c r="C325" s="607"/>
      <c r="D325" s="608"/>
      <c r="E325" s="608"/>
      <c r="F325" s="608"/>
      <c r="G325" s="608"/>
      <c r="H325" s="609"/>
      <c r="I325" s="632"/>
      <c r="J325" s="632"/>
      <c r="K325" s="632"/>
      <c r="L325" s="636"/>
      <c r="M325" s="639"/>
      <c r="N325" s="639"/>
      <c r="O325" s="639"/>
      <c r="P325" s="639"/>
      <c r="Q325" s="639"/>
      <c r="R325" s="639"/>
      <c r="S325" s="639"/>
      <c r="T325" s="639"/>
      <c r="U325" s="639"/>
      <c r="V325" s="639"/>
      <c r="W325" s="639"/>
      <c r="X325" s="639"/>
      <c r="Y325" s="639"/>
      <c r="Z325" s="639"/>
      <c r="AA325" s="639"/>
      <c r="AB325" s="639"/>
      <c r="AC325" s="639"/>
      <c r="AD325" s="639"/>
      <c r="AE325" s="639"/>
      <c r="AF325" s="639"/>
      <c r="AG325" s="669"/>
      <c r="AH325" s="606"/>
      <c r="AI325" s="19"/>
      <c r="AJ325" s="19"/>
      <c r="AK325" s="19"/>
    </row>
    <row r="326" spans="1:37" hidden="1" outlineLevel="3" x14ac:dyDescent="0.2">
      <c r="A326" s="606"/>
      <c r="B326" s="606"/>
      <c r="C326" s="607"/>
      <c r="D326" s="608"/>
      <c r="E326" s="608"/>
      <c r="F326" s="608"/>
      <c r="G326" s="608"/>
      <c r="H326" s="609"/>
      <c r="I326" s="632"/>
      <c r="J326" s="632"/>
      <c r="K326" s="632"/>
      <c r="L326" s="636"/>
      <c r="M326" s="639"/>
      <c r="N326" s="639"/>
      <c r="O326" s="639"/>
      <c r="P326" s="639"/>
      <c r="Q326" s="639"/>
      <c r="R326" s="639"/>
      <c r="S326" s="639"/>
      <c r="T326" s="639"/>
      <c r="U326" s="639"/>
      <c r="V326" s="639"/>
      <c r="W326" s="639"/>
      <c r="X326" s="639"/>
      <c r="Y326" s="639"/>
      <c r="Z326" s="639"/>
      <c r="AA326" s="639"/>
      <c r="AB326" s="639"/>
      <c r="AC326" s="639"/>
      <c r="AD326" s="639"/>
      <c r="AE326" s="639"/>
      <c r="AF326" s="639"/>
      <c r="AG326" s="669"/>
      <c r="AH326" s="606"/>
      <c r="AI326" s="19"/>
      <c r="AJ326" s="19"/>
      <c r="AK326" s="19"/>
    </row>
    <row r="327" spans="1:37" hidden="1" outlineLevel="3" x14ac:dyDescent="0.2">
      <c r="A327" s="606"/>
      <c r="B327" s="606"/>
      <c r="C327" s="607"/>
      <c r="D327" s="608"/>
      <c r="E327" s="608"/>
      <c r="F327" s="608"/>
      <c r="G327" s="608"/>
      <c r="H327" s="609"/>
      <c r="I327" s="632"/>
      <c r="J327" s="632"/>
      <c r="K327" s="632"/>
      <c r="L327" s="636"/>
      <c r="M327" s="639"/>
      <c r="N327" s="639"/>
      <c r="O327" s="639"/>
      <c r="P327" s="639"/>
      <c r="Q327" s="639"/>
      <c r="R327" s="639"/>
      <c r="S327" s="639"/>
      <c r="T327" s="639"/>
      <c r="U327" s="639"/>
      <c r="V327" s="639"/>
      <c r="W327" s="639"/>
      <c r="X327" s="639"/>
      <c r="Y327" s="639"/>
      <c r="Z327" s="639"/>
      <c r="AA327" s="639"/>
      <c r="AB327" s="639"/>
      <c r="AC327" s="639"/>
      <c r="AD327" s="639"/>
      <c r="AE327" s="639"/>
      <c r="AF327" s="639"/>
      <c r="AG327" s="669"/>
      <c r="AH327" s="606"/>
      <c r="AI327" s="19"/>
      <c r="AJ327" s="19"/>
      <c r="AK327" s="19"/>
    </row>
    <row r="328" spans="1:37" hidden="1" outlineLevel="3" x14ac:dyDescent="0.2">
      <c r="A328" s="606"/>
      <c r="B328" s="606"/>
      <c r="C328" s="607"/>
      <c r="D328" s="608"/>
      <c r="E328" s="608"/>
      <c r="F328" s="608"/>
      <c r="G328" s="608"/>
      <c r="H328" s="609"/>
      <c r="I328" s="632"/>
      <c r="J328" s="632"/>
      <c r="K328" s="632"/>
      <c r="L328" s="636"/>
      <c r="M328" s="639"/>
      <c r="N328" s="639"/>
      <c r="O328" s="639"/>
      <c r="P328" s="639"/>
      <c r="Q328" s="639"/>
      <c r="R328" s="639"/>
      <c r="S328" s="639"/>
      <c r="T328" s="639"/>
      <c r="U328" s="639"/>
      <c r="V328" s="639"/>
      <c r="W328" s="639"/>
      <c r="X328" s="639"/>
      <c r="Y328" s="639"/>
      <c r="Z328" s="639"/>
      <c r="AA328" s="639"/>
      <c r="AB328" s="639"/>
      <c r="AC328" s="639"/>
      <c r="AD328" s="639"/>
      <c r="AE328" s="639"/>
      <c r="AF328" s="639"/>
      <c r="AG328" s="669"/>
      <c r="AH328" s="606"/>
      <c r="AI328" s="19"/>
      <c r="AJ328" s="19"/>
      <c r="AK328" s="19"/>
    </row>
    <row r="329" spans="1:37" hidden="1" outlineLevel="3" x14ac:dyDescent="0.2">
      <c r="A329" s="606"/>
      <c r="B329" s="606"/>
      <c r="C329" s="607"/>
      <c r="D329" s="608"/>
      <c r="E329" s="608"/>
      <c r="F329" s="608"/>
      <c r="G329" s="608"/>
      <c r="H329" s="609"/>
      <c r="I329" s="632"/>
      <c r="J329" s="632"/>
      <c r="K329" s="632"/>
      <c r="L329" s="636"/>
      <c r="M329" s="639"/>
      <c r="N329" s="639"/>
      <c r="O329" s="639"/>
      <c r="P329" s="639"/>
      <c r="Q329" s="639"/>
      <c r="R329" s="639"/>
      <c r="S329" s="639"/>
      <c r="T329" s="639"/>
      <c r="U329" s="639"/>
      <c r="V329" s="639"/>
      <c r="W329" s="639"/>
      <c r="X329" s="639"/>
      <c r="Y329" s="639"/>
      <c r="Z329" s="639"/>
      <c r="AA329" s="639"/>
      <c r="AB329" s="639"/>
      <c r="AC329" s="639"/>
      <c r="AD329" s="639"/>
      <c r="AE329" s="639"/>
      <c r="AF329" s="639"/>
      <c r="AG329" s="669"/>
      <c r="AH329" s="606"/>
      <c r="AI329" s="19"/>
      <c r="AJ329" s="19"/>
      <c r="AK329" s="19"/>
    </row>
    <row r="330" spans="1:37" hidden="1" outlineLevel="3" x14ac:dyDescent="0.2">
      <c r="A330" s="606"/>
      <c r="B330" s="606"/>
      <c r="C330" s="607"/>
      <c r="D330" s="608"/>
      <c r="E330" s="608"/>
      <c r="F330" s="608"/>
      <c r="G330" s="608"/>
      <c r="H330" s="609"/>
      <c r="I330" s="632"/>
      <c r="J330" s="632"/>
      <c r="K330" s="632"/>
      <c r="L330" s="636"/>
      <c r="M330" s="639"/>
      <c r="N330" s="639"/>
      <c r="O330" s="639"/>
      <c r="P330" s="639"/>
      <c r="Q330" s="639"/>
      <c r="R330" s="639"/>
      <c r="S330" s="639"/>
      <c r="T330" s="639"/>
      <c r="U330" s="639"/>
      <c r="V330" s="639"/>
      <c r="W330" s="639"/>
      <c r="X330" s="639"/>
      <c r="Y330" s="639"/>
      <c r="Z330" s="639"/>
      <c r="AA330" s="639"/>
      <c r="AB330" s="639"/>
      <c r="AC330" s="639"/>
      <c r="AD330" s="639"/>
      <c r="AE330" s="639"/>
      <c r="AF330" s="639"/>
      <c r="AG330" s="669"/>
      <c r="AH330" s="606"/>
      <c r="AI330" s="19"/>
      <c r="AJ330" s="19"/>
      <c r="AK330" s="19"/>
    </row>
    <row r="331" spans="1:37" hidden="1" outlineLevel="3" x14ac:dyDescent="0.2">
      <c r="A331" s="606"/>
      <c r="B331" s="606"/>
      <c r="C331" s="607"/>
      <c r="D331" s="608"/>
      <c r="E331" s="608"/>
      <c r="F331" s="608"/>
      <c r="G331" s="608"/>
      <c r="H331" s="609"/>
      <c r="I331" s="632"/>
      <c r="J331" s="632"/>
      <c r="K331" s="632"/>
      <c r="L331" s="636"/>
      <c r="M331" s="639"/>
      <c r="N331" s="639"/>
      <c r="O331" s="639"/>
      <c r="P331" s="639"/>
      <c r="Q331" s="639"/>
      <c r="R331" s="639"/>
      <c r="S331" s="639"/>
      <c r="T331" s="639"/>
      <c r="U331" s="639"/>
      <c r="V331" s="639"/>
      <c r="W331" s="639"/>
      <c r="X331" s="639"/>
      <c r="Y331" s="639"/>
      <c r="Z331" s="639"/>
      <c r="AA331" s="639"/>
      <c r="AB331" s="639"/>
      <c r="AC331" s="639"/>
      <c r="AD331" s="639"/>
      <c r="AE331" s="639"/>
      <c r="AF331" s="639"/>
      <c r="AG331" s="669"/>
      <c r="AH331" s="606"/>
      <c r="AI331" s="19"/>
      <c r="AJ331" s="19"/>
      <c r="AK331" s="19"/>
    </row>
    <row r="332" spans="1:37" hidden="1" outlineLevel="3" x14ac:dyDescent="0.2">
      <c r="A332" s="606"/>
      <c r="B332" s="606"/>
      <c r="C332" s="607"/>
      <c r="D332" s="608"/>
      <c r="E332" s="608"/>
      <c r="F332" s="608"/>
      <c r="G332" s="608"/>
      <c r="H332" s="609"/>
      <c r="I332" s="632"/>
      <c r="J332" s="632"/>
      <c r="K332" s="632"/>
      <c r="L332" s="636"/>
      <c r="M332" s="639"/>
      <c r="N332" s="639"/>
      <c r="O332" s="639"/>
      <c r="P332" s="639"/>
      <c r="Q332" s="639"/>
      <c r="R332" s="639"/>
      <c r="S332" s="639"/>
      <c r="T332" s="639"/>
      <c r="U332" s="639"/>
      <c r="V332" s="639"/>
      <c r="W332" s="639"/>
      <c r="X332" s="639"/>
      <c r="Y332" s="639"/>
      <c r="Z332" s="639"/>
      <c r="AA332" s="639"/>
      <c r="AB332" s="639"/>
      <c r="AC332" s="639"/>
      <c r="AD332" s="639"/>
      <c r="AE332" s="639"/>
      <c r="AF332" s="639"/>
      <c r="AG332" s="669"/>
      <c r="AH332" s="606"/>
      <c r="AI332" s="19"/>
      <c r="AJ332" s="19"/>
      <c r="AK332" s="19"/>
    </row>
    <row r="333" spans="1:37" hidden="1" outlineLevel="3" x14ac:dyDescent="0.2">
      <c r="A333" s="606"/>
      <c r="B333" s="606"/>
      <c r="C333" s="607"/>
      <c r="D333" s="608"/>
      <c r="E333" s="608"/>
      <c r="F333" s="608"/>
      <c r="G333" s="608"/>
      <c r="H333" s="609"/>
      <c r="I333" s="632"/>
      <c r="J333" s="632"/>
      <c r="K333" s="632"/>
      <c r="L333" s="636"/>
      <c r="M333" s="639"/>
      <c r="N333" s="639"/>
      <c r="O333" s="639"/>
      <c r="P333" s="639"/>
      <c r="Q333" s="639"/>
      <c r="R333" s="639"/>
      <c r="S333" s="639"/>
      <c r="T333" s="639"/>
      <c r="U333" s="639"/>
      <c r="V333" s="639"/>
      <c r="W333" s="639"/>
      <c r="X333" s="639"/>
      <c r="Y333" s="639"/>
      <c r="Z333" s="639"/>
      <c r="AA333" s="639"/>
      <c r="AB333" s="639"/>
      <c r="AC333" s="639"/>
      <c r="AD333" s="639"/>
      <c r="AE333" s="639"/>
      <c r="AF333" s="639"/>
      <c r="AG333" s="669"/>
      <c r="AH333" s="606"/>
      <c r="AI333" s="19"/>
      <c r="AJ333" s="19"/>
      <c r="AK333" s="19"/>
    </row>
    <row r="334" spans="1:37" hidden="1" outlineLevel="3" x14ac:dyDescent="0.2">
      <c r="A334" s="606"/>
      <c r="B334" s="606"/>
      <c r="C334" s="607"/>
      <c r="D334" s="608"/>
      <c r="E334" s="608"/>
      <c r="F334" s="608"/>
      <c r="G334" s="608"/>
      <c r="H334" s="609"/>
      <c r="I334" s="632"/>
      <c r="J334" s="632"/>
      <c r="K334" s="632"/>
      <c r="L334" s="636"/>
      <c r="M334" s="639"/>
      <c r="N334" s="639"/>
      <c r="O334" s="639"/>
      <c r="P334" s="639"/>
      <c r="Q334" s="639"/>
      <c r="R334" s="639"/>
      <c r="S334" s="639"/>
      <c r="T334" s="639"/>
      <c r="U334" s="639"/>
      <c r="V334" s="639"/>
      <c r="W334" s="639"/>
      <c r="X334" s="639"/>
      <c r="Y334" s="639"/>
      <c r="Z334" s="639"/>
      <c r="AA334" s="639"/>
      <c r="AB334" s="639"/>
      <c r="AC334" s="639"/>
      <c r="AD334" s="639"/>
      <c r="AE334" s="639"/>
      <c r="AF334" s="639"/>
      <c r="AG334" s="669"/>
      <c r="AH334" s="606"/>
      <c r="AI334" s="19"/>
      <c r="AJ334" s="19"/>
      <c r="AK334" s="19"/>
    </row>
    <row r="335" spans="1:37" hidden="1" outlineLevel="3" x14ac:dyDescent="0.2">
      <c r="A335" s="606"/>
      <c r="B335" s="606"/>
      <c r="C335" s="607"/>
      <c r="D335" s="608"/>
      <c r="E335" s="608"/>
      <c r="F335" s="608"/>
      <c r="G335" s="608"/>
      <c r="H335" s="609"/>
      <c r="I335" s="632"/>
      <c r="J335" s="632"/>
      <c r="K335" s="632"/>
      <c r="L335" s="636"/>
      <c r="M335" s="639"/>
      <c r="N335" s="639"/>
      <c r="O335" s="639"/>
      <c r="P335" s="639"/>
      <c r="Q335" s="639"/>
      <c r="R335" s="639"/>
      <c r="S335" s="639"/>
      <c r="T335" s="639"/>
      <c r="U335" s="639"/>
      <c r="V335" s="639"/>
      <c r="W335" s="639"/>
      <c r="X335" s="639"/>
      <c r="Y335" s="639"/>
      <c r="Z335" s="639"/>
      <c r="AA335" s="639"/>
      <c r="AB335" s="639"/>
      <c r="AC335" s="639"/>
      <c r="AD335" s="639"/>
      <c r="AE335" s="639"/>
      <c r="AF335" s="639"/>
      <c r="AG335" s="669"/>
      <c r="AH335" s="606"/>
      <c r="AI335" s="19"/>
      <c r="AJ335" s="19"/>
      <c r="AK335" s="19"/>
    </row>
    <row r="336" spans="1:37" hidden="1" outlineLevel="3" x14ac:dyDescent="0.2">
      <c r="A336" s="606"/>
      <c r="B336" s="606"/>
      <c r="C336" s="607"/>
      <c r="D336" s="608"/>
      <c r="E336" s="608"/>
      <c r="F336" s="608"/>
      <c r="G336" s="608"/>
      <c r="H336" s="609"/>
      <c r="I336" s="632"/>
      <c r="J336" s="632"/>
      <c r="K336" s="632"/>
      <c r="L336" s="636"/>
      <c r="M336" s="639"/>
      <c r="N336" s="639"/>
      <c r="O336" s="639"/>
      <c r="P336" s="639"/>
      <c r="Q336" s="639"/>
      <c r="R336" s="639"/>
      <c r="S336" s="639"/>
      <c r="T336" s="639"/>
      <c r="U336" s="639"/>
      <c r="V336" s="639"/>
      <c r="W336" s="639"/>
      <c r="X336" s="639"/>
      <c r="Y336" s="639"/>
      <c r="Z336" s="639"/>
      <c r="AA336" s="639"/>
      <c r="AB336" s="639"/>
      <c r="AC336" s="639"/>
      <c r="AD336" s="639"/>
      <c r="AE336" s="639"/>
      <c r="AF336" s="639"/>
      <c r="AG336" s="669"/>
      <c r="AH336" s="606"/>
      <c r="AI336" s="19"/>
      <c r="AJ336" s="19"/>
      <c r="AK336" s="19"/>
    </row>
    <row r="337" spans="1:37" hidden="1" outlineLevel="3" x14ac:dyDescent="0.2">
      <c r="A337" s="606"/>
      <c r="B337" s="606"/>
      <c r="C337" s="607"/>
      <c r="D337" s="608"/>
      <c r="E337" s="608"/>
      <c r="F337" s="608"/>
      <c r="G337" s="608"/>
      <c r="H337" s="609"/>
      <c r="I337" s="632"/>
      <c r="J337" s="632"/>
      <c r="K337" s="632"/>
      <c r="L337" s="636"/>
      <c r="M337" s="639"/>
      <c r="N337" s="639"/>
      <c r="O337" s="639"/>
      <c r="P337" s="639"/>
      <c r="Q337" s="639"/>
      <c r="R337" s="639"/>
      <c r="S337" s="639"/>
      <c r="T337" s="639"/>
      <c r="U337" s="639"/>
      <c r="V337" s="639"/>
      <c r="W337" s="639"/>
      <c r="X337" s="639"/>
      <c r="Y337" s="639"/>
      <c r="Z337" s="639"/>
      <c r="AA337" s="639"/>
      <c r="AB337" s="639"/>
      <c r="AC337" s="639"/>
      <c r="AD337" s="639"/>
      <c r="AE337" s="639"/>
      <c r="AF337" s="639"/>
      <c r="AG337" s="669"/>
      <c r="AH337" s="606"/>
      <c r="AI337" s="19"/>
      <c r="AJ337" s="19"/>
      <c r="AK337" s="19"/>
    </row>
    <row r="338" spans="1:37" hidden="1" outlineLevel="3" x14ac:dyDescent="0.2">
      <c r="A338" s="606"/>
      <c r="B338" s="606"/>
      <c r="C338" s="607"/>
      <c r="D338" s="608"/>
      <c r="E338" s="608"/>
      <c r="F338" s="608"/>
      <c r="G338" s="608"/>
      <c r="H338" s="609"/>
      <c r="I338" s="632"/>
      <c r="J338" s="632"/>
      <c r="K338" s="632"/>
      <c r="L338" s="636"/>
      <c r="M338" s="639"/>
      <c r="N338" s="639"/>
      <c r="O338" s="639"/>
      <c r="P338" s="639"/>
      <c r="Q338" s="639"/>
      <c r="R338" s="639"/>
      <c r="S338" s="639"/>
      <c r="T338" s="639"/>
      <c r="U338" s="639"/>
      <c r="V338" s="639"/>
      <c r="W338" s="639"/>
      <c r="X338" s="639"/>
      <c r="Y338" s="639"/>
      <c r="Z338" s="639"/>
      <c r="AA338" s="639"/>
      <c r="AB338" s="639"/>
      <c r="AC338" s="639"/>
      <c r="AD338" s="639"/>
      <c r="AE338" s="639"/>
      <c r="AF338" s="639"/>
      <c r="AG338" s="669"/>
      <c r="AH338" s="606"/>
      <c r="AI338" s="19"/>
      <c r="AJ338" s="19"/>
      <c r="AK338" s="19"/>
    </row>
    <row r="339" spans="1:37" hidden="1" outlineLevel="3" x14ac:dyDescent="0.2">
      <c r="A339" s="606"/>
      <c r="B339" s="606"/>
      <c r="C339" s="607"/>
      <c r="D339" s="608"/>
      <c r="E339" s="608"/>
      <c r="F339" s="608"/>
      <c r="G339" s="608"/>
      <c r="H339" s="609"/>
      <c r="I339" s="632"/>
      <c r="J339" s="632"/>
      <c r="K339" s="632"/>
      <c r="L339" s="636"/>
      <c r="M339" s="639"/>
      <c r="N339" s="639"/>
      <c r="O339" s="639"/>
      <c r="P339" s="639"/>
      <c r="Q339" s="639"/>
      <c r="R339" s="639"/>
      <c r="S339" s="639"/>
      <c r="T339" s="639"/>
      <c r="U339" s="639"/>
      <c r="V339" s="639"/>
      <c r="W339" s="639"/>
      <c r="X339" s="639"/>
      <c r="Y339" s="639"/>
      <c r="Z339" s="639"/>
      <c r="AA339" s="639"/>
      <c r="AB339" s="639"/>
      <c r="AC339" s="639"/>
      <c r="AD339" s="639"/>
      <c r="AE339" s="639"/>
      <c r="AF339" s="639"/>
      <c r="AG339" s="669"/>
      <c r="AH339" s="606"/>
      <c r="AI339" s="19"/>
      <c r="AJ339" s="19"/>
      <c r="AK339" s="19"/>
    </row>
    <row r="340" spans="1:37" hidden="1" outlineLevel="3" x14ac:dyDescent="0.2">
      <c r="A340" s="606"/>
      <c r="B340" s="606"/>
      <c r="C340" s="607"/>
      <c r="D340" s="608"/>
      <c r="E340" s="608"/>
      <c r="F340" s="608"/>
      <c r="G340" s="608"/>
      <c r="H340" s="609"/>
      <c r="I340" s="632"/>
      <c r="J340" s="632"/>
      <c r="K340" s="632"/>
      <c r="L340" s="636"/>
      <c r="M340" s="639"/>
      <c r="N340" s="639"/>
      <c r="O340" s="639"/>
      <c r="P340" s="639"/>
      <c r="Q340" s="639"/>
      <c r="R340" s="639"/>
      <c r="S340" s="639"/>
      <c r="T340" s="639"/>
      <c r="U340" s="639"/>
      <c r="V340" s="639"/>
      <c r="W340" s="639"/>
      <c r="X340" s="639"/>
      <c r="Y340" s="639"/>
      <c r="Z340" s="639"/>
      <c r="AA340" s="639"/>
      <c r="AB340" s="639"/>
      <c r="AC340" s="639"/>
      <c r="AD340" s="639"/>
      <c r="AE340" s="639"/>
      <c r="AF340" s="639"/>
      <c r="AG340" s="669"/>
      <c r="AH340" s="606"/>
      <c r="AI340" s="19"/>
      <c r="AJ340" s="19"/>
      <c r="AK340" s="19"/>
    </row>
    <row r="341" spans="1:37" hidden="1" outlineLevel="3" x14ac:dyDescent="0.2">
      <c r="A341" s="606"/>
      <c r="B341" s="606"/>
      <c r="C341" s="607"/>
      <c r="D341" s="608"/>
      <c r="E341" s="608"/>
      <c r="F341" s="608"/>
      <c r="G341" s="608"/>
      <c r="H341" s="609"/>
      <c r="I341" s="632"/>
      <c r="J341" s="632"/>
      <c r="K341" s="632"/>
      <c r="L341" s="636"/>
      <c r="M341" s="639"/>
      <c r="N341" s="639"/>
      <c r="O341" s="639"/>
      <c r="P341" s="639"/>
      <c r="Q341" s="639"/>
      <c r="R341" s="639"/>
      <c r="S341" s="639"/>
      <c r="T341" s="639"/>
      <c r="U341" s="639"/>
      <c r="V341" s="639"/>
      <c r="W341" s="639"/>
      <c r="X341" s="639"/>
      <c r="Y341" s="639"/>
      <c r="Z341" s="639"/>
      <c r="AA341" s="639"/>
      <c r="AB341" s="639"/>
      <c r="AC341" s="639"/>
      <c r="AD341" s="639"/>
      <c r="AE341" s="639"/>
      <c r="AF341" s="639"/>
      <c r="AG341" s="669"/>
      <c r="AH341" s="606"/>
      <c r="AI341" s="19"/>
      <c r="AJ341" s="19"/>
      <c r="AK341" s="19"/>
    </row>
    <row r="342" spans="1:37" hidden="1" outlineLevel="3" x14ac:dyDescent="0.2">
      <c r="A342" s="606"/>
      <c r="B342" s="606"/>
      <c r="C342" s="607"/>
      <c r="D342" s="608"/>
      <c r="E342" s="608"/>
      <c r="F342" s="608"/>
      <c r="G342" s="608"/>
      <c r="H342" s="609"/>
      <c r="I342" s="632"/>
      <c r="J342" s="632"/>
      <c r="K342" s="632"/>
      <c r="L342" s="636"/>
      <c r="M342" s="639"/>
      <c r="N342" s="639"/>
      <c r="O342" s="639"/>
      <c r="P342" s="639"/>
      <c r="Q342" s="639"/>
      <c r="R342" s="639"/>
      <c r="S342" s="639"/>
      <c r="T342" s="639"/>
      <c r="U342" s="639"/>
      <c r="V342" s="639"/>
      <c r="W342" s="639"/>
      <c r="X342" s="639"/>
      <c r="Y342" s="639"/>
      <c r="Z342" s="639"/>
      <c r="AA342" s="639"/>
      <c r="AB342" s="639"/>
      <c r="AC342" s="639"/>
      <c r="AD342" s="639"/>
      <c r="AE342" s="639"/>
      <c r="AF342" s="639"/>
      <c r="AG342" s="669"/>
      <c r="AH342" s="606"/>
      <c r="AI342" s="19"/>
      <c r="AJ342" s="19"/>
      <c r="AK342" s="19"/>
    </row>
    <row r="343" spans="1:37" hidden="1" outlineLevel="3" x14ac:dyDescent="0.2">
      <c r="A343" s="606"/>
      <c r="B343" s="606"/>
      <c r="C343" s="607"/>
      <c r="D343" s="608"/>
      <c r="E343" s="608"/>
      <c r="F343" s="608"/>
      <c r="G343" s="608"/>
      <c r="H343" s="609"/>
      <c r="I343" s="632"/>
      <c r="J343" s="632"/>
      <c r="K343" s="632"/>
      <c r="L343" s="636"/>
      <c r="M343" s="639"/>
      <c r="N343" s="639"/>
      <c r="O343" s="639"/>
      <c r="P343" s="639"/>
      <c r="Q343" s="639"/>
      <c r="R343" s="639"/>
      <c r="S343" s="639"/>
      <c r="T343" s="639"/>
      <c r="U343" s="639"/>
      <c r="V343" s="639"/>
      <c r="W343" s="639"/>
      <c r="X343" s="639"/>
      <c r="Y343" s="639"/>
      <c r="Z343" s="639"/>
      <c r="AA343" s="639"/>
      <c r="AB343" s="639"/>
      <c r="AC343" s="639"/>
      <c r="AD343" s="639"/>
      <c r="AE343" s="639"/>
      <c r="AF343" s="639"/>
      <c r="AG343" s="669"/>
      <c r="AH343" s="606"/>
      <c r="AI343" s="19"/>
      <c r="AJ343" s="19"/>
      <c r="AK343" s="19"/>
    </row>
    <row r="344" spans="1:37" hidden="1" outlineLevel="3" x14ac:dyDescent="0.2">
      <c r="A344" s="606"/>
      <c r="B344" s="606"/>
      <c r="C344" s="607"/>
      <c r="D344" s="608"/>
      <c r="E344" s="608"/>
      <c r="F344" s="608"/>
      <c r="G344" s="608"/>
      <c r="H344" s="609"/>
      <c r="I344" s="632"/>
      <c r="J344" s="632"/>
      <c r="K344" s="632"/>
      <c r="L344" s="636"/>
      <c r="M344" s="639"/>
      <c r="N344" s="639"/>
      <c r="O344" s="639"/>
      <c r="P344" s="639"/>
      <c r="Q344" s="639"/>
      <c r="R344" s="639"/>
      <c r="S344" s="639"/>
      <c r="T344" s="639"/>
      <c r="U344" s="639"/>
      <c r="V344" s="639"/>
      <c r="W344" s="639"/>
      <c r="X344" s="639"/>
      <c r="Y344" s="639"/>
      <c r="Z344" s="639"/>
      <c r="AA344" s="639"/>
      <c r="AB344" s="639"/>
      <c r="AC344" s="639"/>
      <c r="AD344" s="639"/>
      <c r="AE344" s="639"/>
      <c r="AF344" s="639"/>
      <c r="AG344" s="669"/>
      <c r="AH344" s="606"/>
      <c r="AI344" s="19"/>
      <c r="AJ344" s="19"/>
      <c r="AK344" s="19"/>
    </row>
    <row r="345" spans="1:37" hidden="1" outlineLevel="3" x14ac:dyDescent="0.2">
      <c r="A345" s="606"/>
      <c r="B345" s="606"/>
      <c r="C345" s="607"/>
      <c r="D345" s="608"/>
      <c r="E345" s="608"/>
      <c r="F345" s="608"/>
      <c r="G345" s="608"/>
      <c r="H345" s="609"/>
      <c r="I345" s="632"/>
      <c r="J345" s="632"/>
      <c r="K345" s="632"/>
      <c r="L345" s="636"/>
      <c r="M345" s="639"/>
      <c r="N345" s="639"/>
      <c r="O345" s="639"/>
      <c r="P345" s="639"/>
      <c r="Q345" s="639"/>
      <c r="R345" s="639"/>
      <c r="S345" s="639"/>
      <c r="T345" s="639"/>
      <c r="U345" s="639"/>
      <c r="V345" s="639"/>
      <c r="W345" s="639"/>
      <c r="X345" s="639"/>
      <c r="Y345" s="639"/>
      <c r="Z345" s="639"/>
      <c r="AA345" s="639"/>
      <c r="AB345" s="639"/>
      <c r="AC345" s="639"/>
      <c r="AD345" s="639"/>
      <c r="AE345" s="639"/>
      <c r="AF345" s="639"/>
      <c r="AG345" s="669"/>
      <c r="AH345" s="606"/>
      <c r="AI345" s="19"/>
      <c r="AJ345" s="19"/>
      <c r="AK345" s="19"/>
    </row>
    <row r="346" spans="1:37" hidden="1" outlineLevel="3" x14ac:dyDescent="0.2">
      <c r="A346" s="606"/>
      <c r="B346" s="606"/>
      <c r="C346" s="607"/>
      <c r="D346" s="608"/>
      <c r="E346" s="608"/>
      <c r="F346" s="608"/>
      <c r="G346" s="608"/>
      <c r="H346" s="609"/>
      <c r="I346" s="632"/>
      <c r="J346" s="632"/>
      <c r="K346" s="632"/>
      <c r="L346" s="636"/>
      <c r="M346" s="639"/>
      <c r="N346" s="639"/>
      <c r="O346" s="639"/>
      <c r="P346" s="639"/>
      <c r="Q346" s="639"/>
      <c r="R346" s="639"/>
      <c r="S346" s="639"/>
      <c r="T346" s="639"/>
      <c r="U346" s="639"/>
      <c r="V346" s="639"/>
      <c r="W346" s="639"/>
      <c r="X346" s="639"/>
      <c r="Y346" s="639"/>
      <c r="Z346" s="639"/>
      <c r="AA346" s="639"/>
      <c r="AB346" s="639"/>
      <c r="AC346" s="639"/>
      <c r="AD346" s="639"/>
      <c r="AE346" s="639"/>
      <c r="AF346" s="639"/>
      <c r="AG346" s="669"/>
      <c r="AH346" s="606"/>
      <c r="AI346" s="19"/>
      <c r="AJ346" s="19"/>
      <c r="AK346" s="19"/>
    </row>
    <row r="347" spans="1:37" hidden="1" outlineLevel="3" x14ac:dyDescent="0.2">
      <c r="A347" s="606"/>
      <c r="B347" s="606"/>
      <c r="C347" s="607"/>
      <c r="D347" s="608"/>
      <c r="E347" s="608"/>
      <c r="F347" s="608"/>
      <c r="G347" s="608"/>
      <c r="H347" s="609"/>
      <c r="I347" s="632"/>
      <c r="J347" s="632"/>
      <c r="K347" s="632"/>
      <c r="L347" s="636"/>
      <c r="M347" s="639"/>
      <c r="N347" s="639"/>
      <c r="O347" s="639"/>
      <c r="P347" s="639"/>
      <c r="Q347" s="639"/>
      <c r="R347" s="639"/>
      <c r="S347" s="639"/>
      <c r="T347" s="639"/>
      <c r="U347" s="639"/>
      <c r="V347" s="639"/>
      <c r="W347" s="639"/>
      <c r="X347" s="639"/>
      <c r="Y347" s="639"/>
      <c r="Z347" s="639"/>
      <c r="AA347" s="639"/>
      <c r="AB347" s="639"/>
      <c r="AC347" s="639"/>
      <c r="AD347" s="639"/>
      <c r="AE347" s="639"/>
      <c r="AF347" s="639"/>
      <c r="AG347" s="669"/>
      <c r="AH347" s="606"/>
      <c r="AI347" s="19"/>
      <c r="AJ347" s="19"/>
      <c r="AK347" s="19"/>
    </row>
    <row r="348" spans="1:37" outlineLevel="2" collapsed="1" x14ac:dyDescent="0.2">
      <c r="A348" s="606"/>
      <c r="B348" s="606"/>
      <c r="C348" s="638"/>
      <c r="D348" s="608"/>
      <c r="E348" s="608"/>
      <c r="F348" s="608"/>
      <c r="G348" s="608"/>
      <c r="H348" s="609"/>
      <c r="I348" s="670"/>
      <c r="J348" s="670"/>
      <c r="K348" s="670"/>
      <c r="L348" s="671"/>
      <c r="M348" s="670"/>
      <c r="N348" s="670"/>
      <c r="O348" s="670"/>
      <c r="P348" s="670"/>
      <c r="Q348" s="670"/>
      <c r="R348" s="670"/>
      <c r="S348" s="670"/>
      <c r="T348" s="670"/>
      <c r="U348" s="670"/>
      <c r="V348" s="670"/>
      <c r="W348" s="670"/>
      <c r="X348" s="670"/>
      <c r="Y348" s="670"/>
      <c r="Z348" s="670"/>
      <c r="AA348" s="670"/>
      <c r="AB348" s="670"/>
      <c r="AC348" s="670"/>
      <c r="AD348" s="670"/>
      <c r="AE348" s="670"/>
      <c r="AF348" s="670"/>
      <c r="AG348" s="672"/>
      <c r="AH348" s="606"/>
      <c r="AI348" s="19"/>
      <c r="AJ348" s="19"/>
      <c r="AK348" s="19"/>
    </row>
    <row r="349" spans="1:37" outlineLevel="2" x14ac:dyDescent="0.2">
      <c r="A349" s="606"/>
      <c r="B349" s="606"/>
      <c r="C349" s="613"/>
      <c r="D349" s="609"/>
      <c r="E349" s="609"/>
      <c r="F349" s="609"/>
      <c r="G349" s="609"/>
      <c r="H349" s="609"/>
      <c r="I349" s="636"/>
      <c r="J349" s="636"/>
      <c r="K349" s="636"/>
      <c r="L349" s="636"/>
      <c r="M349" s="673"/>
      <c r="N349" s="673"/>
      <c r="O349" s="674"/>
      <c r="P349" s="674"/>
      <c r="Q349" s="674"/>
      <c r="R349" s="675"/>
      <c r="S349" s="675"/>
      <c r="T349" s="675"/>
      <c r="U349" s="675"/>
      <c r="V349" s="675"/>
      <c r="W349" s="674"/>
      <c r="X349" s="674"/>
      <c r="Y349" s="674"/>
      <c r="Z349" s="674"/>
      <c r="AA349" s="674"/>
      <c r="AB349" s="674"/>
      <c r="AC349" s="674"/>
      <c r="AD349" s="674"/>
      <c r="AE349" s="674"/>
      <c r="AF349" s="674"/>
      <c r="AG349" s="669"/>
      <c r="AH349" s="606"/>
      <c r="AI349" s="19"/>
      <c r="AJ349" s="19"/>
      <c r="AK349" s="19"/>
    </row>
    <row r="350" spans="1:37" outlineLevel="1" x14ac:dyDescent="0.2">
      <c r="A350" s="606"/>
      <c r="B350" s="606"/>
      <c r="C350" s="613"/>
      <c r="D350" s="609"/>
      <c r="E350" s="609"/>
      <c r="F350" s="609"/>
      <c r="G350" s="609"/>
      <c r="H350" s="609"/>
      <c r="I350" s="636"/>
      <c r="J350" s="636"/>
      <c r="K350" s="636"/>
      <c r="L350" s="636"/>
      <c r="M350" s="673"/>
      <c r="N350" s="673"/>
      <c r="O350" s="674"/>
      <c r="P350" s="674"/>
      <c r="Q350" s="674"/>
      <c r="R350" s="675"/>
      <c r="S350" s="675"/>
      <c r="T350" s="675"/>
      <c r="U350" s="675"/>
      <c r="V350" s="675"/>
      <c r="W350" s="674"/>
      <c r="X350" s="674"/>
      <c r="Y350" s="674"/>
      <c r="Z350" s="674"/>
      <c r="AA350" s="674"/>
      <c r="AB350" s="674"/>
      <c r="AC350" s="674"/>
      <c r="AD350" s="674"/>
      <c r="AE350" s="674"/>
      <c r="AF350" s="674"/>
      <c r="AG350" s="669"/>
      <c r="AH350" s="606"/>
      <c r="AI350" s="19"/>
      <c r="AJ350" s="19"/>
      <c r="AK350" s="19"/>
    </row>
    <row r="351" spans="1:37" outlineLevel="1" x14ac:dyDescent="0.2">
      <c r="A351" s="606"/>
      <c r="B351" s="606"/>
      <c r="C351" s="616"/>
      <c r="D351" s="617"/>
      <c r="E351" s="617"/>
      <c r="F351" s="617"/>
      <c r="G351" s="617"/>
      <c r="H351" s="617"/>
      <c r="I351" s="633"/>
      <c r="J351" s="633"/>
      <c r="K351" s="676"/>
      <c r="L351" s="676"/>
      <c r="M351" s="674"/>
      <c r="N351" s="674"/>
      <c r="O351" s="674"/>
      <c r="P351" s="674"/>
      <c r="Q351" s="674"/>
      <c r="R351" s="674"/>
      <c r="S351" s="674"/>
      <c r="T351" s="674"/>
      <c r="U351" s="674"/>
      <c r="V351" s="674"/>
      <c r="W351" s="674"/>
      <c r="X351" s="674"/>
      <c r="Y351" s="674"/>
      <c r="Z351" s="674"/>
      <c r="AA351" s="674"/>
      <c r="AB351" s="674"/>
      <c r="AC351" s="674"/>
      <c r="AD351" s="674"/>
      <c r="AE351" s="674"/>
      <c r="AF351" s="674"/>
      <c r="AG351" s="676"/>
      <c r="AH351" s="606"/>
      <c r="AI351" s="19"/>
      <c r="AJ351" s="19"/>
      <c r="AK351" s="19"/>
    </row>
    <row r="352" spans="1:37" outlineLevel="2" x14ac:dyDescent="0.2">
      <c r="A352" s="606"/>
      <c r="B352" s="606"/>
      <c r="C352" s="607"/>
      <c r="D352" s="608"/>
      <c r="E352" s="608"/>
      <c r="F352" s="608"/>
      <c r="G352" s="608"/>
      <c r="H352" s="609"/>
      <c r="I352" s="632"/>
      <c r="J352" s="632"/>
      <c r="K352" s="632"/>
      <c r="L352" s="636"/>
      <c r="M352" s="668"/>
      <c r="N352" s="639"/>
      <c r="O352" s="639"/>
      <c r="P352" s="639"/>
      <c r="Q352" s="639"/>
      <c r="R352" s="639"/>
      <c r="S352" s="639"/>
      <c r="T352" s="639"/>
      <c r="U352" s="639"/>
      <c r="V352" s="639"/>
      <c r="W352" s="639"/>
      <c r="X352" s="639"/>
      <c r="Y352" s="639"/>
      <c r="Z352" s="639"/>
      <c r="AA352" s="639"/>
      <c r="AB352" s="639"/>
      <c r="AC352" s="639"/>
      <c r="AD352" s="639"/>
      <c r="AE352" s="639"/>
      <c r="AF352" s="639"/>
      <c r="AG352" s="669"/>
      <c r="AH352" s="606"/>
      <c r="AI352" s="19"/>
      <c r="AJ352" s="19"/>
      <c r="AK352" s="19"/>
    </row>
    <row r="353" spans="1:37" outlineLevel="2" x14ac:dyDescent="0.2">
      <c r="A353" s="606"/>
      <c r="B353" s="606"/>
      <c r="C353" s="607"/>
      <c r="D353" s="608"/>
      <c r="E353" s="608"/>
      <c r="F353" s="608"/>
      <c r="G353" s="608"/>
      <c r="H353" s="609"/>
      <c r="I353" s="632"/>
      <c r="J353" s="632"/>
      <c r="K353" s="632"/>
      <c r="L353" s="636"/>
      <c r="M353" s="668"/>
      <c r="N353" s="639"/>
      <c r="O353" s="639"/>
      <c r="P353" s="639"/>
      <c r="Q353" s="639"/>
      <c r="R353" s="639"/>
      <c r="S353" s="639"/>
      <c r="T353" s="639"/>
      <c r="U353" s="639"/>
      <c r="V353" s="639"/>
      <c r="W353" s="639"/>
      <c r="X353" s="639"/>
      <c r="Y353" s="639"/>
      <c r="Z353" s="639"/>
      <c r="AA353" s="639"/>
      <c r="AB353" s="639"/>
      <c r="AC353" s="639"/>
      <c r="AD353" s="639"/>
      <c r="AE353" s="639"/>
      <c r="AF353" s="639"/>
      <c r="AG353" s="669"/>
      <c r="AH353" s="606"/>
      <c r="AI353" s="19"/>
      <c r="AJ353" s="19"/>
      <c r="AK353" s="19"/>
    </row>
    <row r="354" spans="1:37" outlineLevel="2" x14ac:dyDescent="0.2">
      <c r="A354" s="606"/>
      <c r="B354" s="606"/>
      <c r="C354" s="607"/>
      <c r="D354" s="608"/>
      <c r="E354" s="608"/>
      <c r="F354" s="608"/>
      <c r="G354" s="608"/>
      <c r="H354" s="609"/>
      <c r="I354" s="632"/>
      <c r="J354" s="632"/>
      <c r="K354" s="632"/>
      <c r="L354" s="636"/>
      <c r="M354" s="668"/>
      <c r="N354" s="639"/>
      <c r="O354" s="639"/>
      <c r="P354" s="639"/>
      <c r="Q354" s="639"/>
      <c r="R354" s="639"/>
      <c r="S354" s="639"/>
      <c r="T354" s="639"/>
      <c r="U354" s="639"/>
      <c r="V354" s="639"/>
      <c r="W354" s="639"/>
      <c r="X354" s="639"/>
      <c r="Y354" s="639"/>
      <c r="Z354" s="639"/>
      <c r="AA354" s="639"/>
      <c r="AB354" s="639"/>
      <c r="AC354" s="639"/>
      <c r="AD354" s="639"/>
      <c r="AE354" s="639"/>
      <c r="AF354" s="639"/>
      <c r="AG354" s="669"/>
      <c r="AH354" s="606"/>
      <c r="AI354" s="19"/>
      <c r="AJ354" s="19"/>
      <c r="AK354" s="19"/>
    </row>
    <row r="355" spans="1:37" outlineLevel="2" x14ac:dyDescent="0.2">
      <c r="A355" s="606"/>
      <c r="B355" s="606"/>
      <c r="C355" s="607"/>
      <c r="D355" s="608"/>
      <c r="E355" s="608"/>
      <c r="F355" s="608"/>
      <c r="G355" s="608"/>
      <c r="H355" s="609"/>
      <c r="I355" s="632"/>
      <c r="J355" s="632"/>
      <c r="K355" s="632"/>
      <c r="L355" s="636"/>
      <c r="M355" s="668"/>
      <c r="N355" s="639"/>
      <c r="O355" s="639"/>
      <c r="P355" s="639"/>
      <c r="Q355" s="639"/>
      <c r="R355" s="639"/>
      <c r="S355" s="639"/>
      <c r="T355" s="639"/>
      <c r="U355" s="639"/>
      <c r="V355" s="639"/>
      <c r="W355" s="639"/>
      <c r="X355" s="639"/>
      <c r="Y355" s="639"/>
      <c r="Z355" s="639"/>
      <c r="AA355" s="639"/>
      <c r="AB355" s="639"/>
      <c r="AC355" s="639"/>
      <c r="AD355" s="639"/>
      <c r="AE355" s="639"/>
      <c r="AF355" s="639"/>
      <c r="AG355" s="669"/>
      <c r="AH355" s="606"/>
      <c r="AI355" s="19"/>
      <c r="AJ355" s="19"/>
      <c r="AK355" s="19"/>
    </row>
    <row r="356" spans="1:37" outlineLevel="2" x14ac:dyDescent="0.2">
      <c r="A356" s="606"/>
      <c r="B356" s="606"/>
      <c r="C356" s="607"/>
      <c r="D356" s="608"/>
      <c r="E356" s="608"/>
      <c r="F356" s="608"/>
      <c r="G356" s="608"/>
      <c r="H356" s="609"/>
      <c r="I356" s="632"/>
      <c r="J356" s="632"/>
      <c r="K356" s="632"/>
      <c r="L356" s="636"/>
      <c r="M356" s="668"/>
      <c r="N356" s="639"/>
      <c r="O356" s="639"/>
      <c r="P356" s="639"/>
      <c r="Q356" s="639"/>
      <c r="R356" s="639"/>
      <c r="S356" s="639"/>
      <c r="T356" s="639"/>
      <c r="U356" s="639"/>
      <c r="V356" s="639"/>
      <c r="W356" s="639"/>
      <c r="X356" s="639"/>
      <c r="Y356" s="639"/>
      <c r="Z356" s="639"/>
      <c r="AA356" s="639"/>
      <c r="AB356" s="639"/>
      <c r="AC356" s="639"/>
      <c r="AD356" s="639"/>
      <c r="AE356" s="639"/>
      <c r="AF356" s="639"/>
      <c r="AG356" s="669"/>
      <c r="AH356" s="606"/>
      <c r="AI356" s="19"/>
      <c r="AJ356" s="19"/>
      <c r="AK356" s="19"/>
    </row>
    <row r="357" spans="1:37" outlineLevel="2" x14ac:dyDescent="0.2">
      <c r="A357" s="606"/>
      <c r="B357" s="606"/>
      <c r="C357" s="607"/>
      <c r="D357" s="608"/>
      <c r="E357" s="608"/>
      <c r="F357" s="608"/>
      <c r="G357" s="608"/>
      <c r="H357" s="609"/>
      <c r="I357" s="632"/>
      <c r="J357" s="632"/>
      <c r="K357" s="632"/>
      <c r="L357" s="636"/>
      <c r="M357" s="668"/>
      <c r="N357" s="639"/>
      <c r="O357" s="639"/>
      <c r="P357" s="639"/>
      <c r="Q357" s="639"/>
      <c r="R357" s="639"/>
      <c r="S357" s="639"/>
      <c r="T357" s="639"/>
      <c r="U357" s="639"/>
      <c r="V357" s="639"/>
      <c r="W357" s="639"/>
      <c r="X357" s="639"/>
      <c r="Y357" s="639"/>
      <c r="Z357" s="639"/>
      <c r="AA357" s="639"/>
      <c r="AB357" s="639"/>
      <c r="AC357" s="639"/>
      <c r="AD357" s="639"/>
      <c r="AE357" s="639"/>
      <c r="AF357" s="639"/>
      <c r="AG357" s="669"/>
      <c r="AH357" s="606"/>
      <c r="AI357" s="19"/>
      <c r="AJ357" s="19"/>
      <c r="AK357" s="19"/>
    </row>
    <row r="358" spans="1:37" outlineLevel="2" x14ac:dyDescent="0.2">
      <c r="A358" s="606"/>
      <c r="B358" s="606"/>
      <c r="C358" s="607"/>
      <c r="D358" s="608"/>
      <c r="E358" s="608"/>
      <c r="F358" s="608"/>
      <c r="G358" s="608"/>
      <c r="H358" s="609"/>
      <c r="I358" s="632"/>
      <c r="J358" s="632"/>
      <c r="K358" s="632"/>
      <c r="L358" s="636"/>
      <c r="M358" s="668"/>
      <c r="N358" s="639"/>
      <c r="O358" s="639"/>
      <c r="P358" s="639"/>
      <c r="Q358" s="639"/>
      <c r="R358" s="639"/>
      <c r="S358" s="639"/>
      <c r="T358" s="639"/>
      <c r="U358" s="639"/>
      <c r="V358" s="639"/>
      <c r="W358" s="639"/>
      <c r="X358" s="639"/>
      <c r="Y358" s="639"/>
      <c r="Z358" s="639"/>
      <c r="AA358" s="639"/>
      <c r="AB358" s="639"/>
      <c r="AC358" s="639"/>
      <c r="AD358" s="639"/>
      <c r="AE358" s="639"/>
      <c r="AF358" s="639"/>
      <c r="AG358" s="669"/>
      <c r="AH358" s="606"/>
      <c r="AI358" s="19"/>
      <c r="AJ358" s="19"/>
      <c r="AK358" s="19"/>
    </row>
    <row r="359" spans="1:37" outlineLevel="2" x14ac:dyDescent="0.2">
      <c r="A359" s="606"/>
      <c r="B359" s="606"/>
      <c r="C359" s="607"/>
      <c r="D359" s="608"/>
      <c r="E359" s="608"/>
      <c r="F359" s="608"/>
      <c r="G359" s="608"/>
      <c r="H359" s="609"/>
      <c r="I359" s="632"/>
      <c r="J359" s="632"/>
      <c r="K359" s="632"/>
      <c r="L359" s="636"/>
      <c r="M359" s="668"/>
      <c r="N359" s="639"/>
      <c r="O359" s="639"/>
      <c r="P359" s="639"/>
      <c r="Q359" s="639"/>
      <c r="R359" s="639"/>
      <c r="S359" s="639"/>
      <c r="T359" s="639"/>
      <c r="U359" s="639"/>
      <c r="V359" s="639"/>
      <c r="W359" s="639"/>
      <c r="X359" s="639"/>
      <c r="Y359" s="639"/>
      <c r="Z359" s="639"/>
      <c r="AA359" s="639"/>
      <c r="AB359" s="639"/>
      <c r="AC359" s="639"/>
      <c r="AD359" s="639"/>
      <c r="AE359" s="639"/>
      <c r="AF359" s="639"/>
      <c r="AG359" s="669"/>
      <c r="AH359" s="606"/>
      <c r="AI359" s="19"/>
      <c r="AJ359" s="19"/>
      <c r="AK359" s="19"/>
    </row>
    <row r="360" spans="1:37" outlineLevel="2" x14ac:dyDescent="0.2">
      <c r="A360" s="606"/>
      <c r="B360" s="606"/>
      <c r="C360" s="607"/>
      <c r="D360" s="608"/>
      <c r="E360" s="608"/>
      <c r="F360" s="608"/>
      <c r="G360" s="608"/>
      <c r="H360" s="609"/>
      <c r="I360" s="632"/>
      <c r="J360" s="632"/>
      <c r="K360" s="632"/>
      <c r="L360" s="636"/>
      <c r="M360" s="668"/>
      <c r="N360" s="639"/>
      <c r="O360" s="639"/>
      <c r="P360" s="639"/>
      <c r="Q360" s="639"/>
      <c r="R360" s="639"/>
      <c r="S360" s="639"/>
      <c r="T360" s="639"/>
      <c r="U360" s="639"/>
      <c r="V360" s="639"/>
      <c r="W360" s="639"/>
      <c r="X360" s="639"/>
      <c r="Y360" s="639"/>
      <c r="Z360" s="639"/>
      <c r="AA360" s="639"/>
      <c r="AB360" s="639"/>
      <c r="AC360" s="639"/>
      <c r="AD360" s="639"/>
      <c r="AE360" s="639"/>
      <c r="AF360" s="639"/>
      <c r="AG360" s="669"/>
      <c r="AH360" s="606"/>
      <c r="AI360" s="19"/>
      <c r="AJ360" s="19"/>
      <c r="AK360" s="19"/>
    </row>
    <row r="361" spans="1:37" outlineLevel="2" x14ac:dyDescent="0.2">
      <c r="A361" s="606"/>
      <c r="B361" s="606"/>
      <c r="C361" s="607"/>
      <c r="D361" s="608"/>
      <c r="E361" s="608"/>
      <c r="F361" s="608"/>
      <c r="G361" s="608"/>
      <c r="H361" s="609"/>
      <c r="I361" s="632"/>
      <c r="J361" s="632"/>
      <c r="K361" s="632"/>
      <c r="L361" s="636"/>
      <c r="M361" s="668"/>
      <c r="N361" s="639"/>
      <c r="O361" s="639"/>
      <c r="P361" s="639"/>
      <c r="Q361" s="639"/>
      <c r="R361" s="639"/>
      <c r="S361" s="639"/>
      <c r="T361" s="639"/>
      <c r="U361" s="639"/>
      <c r="V361" s="639"/>
      <c r="W361" s="639"/>
      <c r="X361" s="639"/>
      <c r="Y361" s="639"/>
      <c r="Z361" s="639"/>
      <c r="AA361" s="639"/>
      <c r="AB361" s="639"/>
      <c r="AC361" s="639"/>
      <c r="AD361" s="639"/>
      <c r="AE361" s="639"/>
      <c r="AF361" s="639"/>
      <c r="AG361" s="669"/>
      <c r="AH361" s="606"/>
      <c r="AI361" s="19"/>
      <c r="AJ361" s="19"/>
      <c r="AK361" s="19"/>
    </row>
    <row r="362" spans="1:37" outlineLevel="2" x14ac:dyDescent="0.2">
      <c r="A362" s="606"/>
      <c r="B362" s="606"/>
      <c r="C362" s="607"/>
      <c r="D362" s="608"/>
      <c r="E362" s="608"/>
      <c r="F362" s="608"/>
      <c r="G362" s="608"/>
      <c r="H362" s="609"/>
      <c r="I362" s="632"/>
      <c r="J362" s="632"/>
      <c r="K362" s="632"/>
      <c r="L362" s="636"/>
      <c r="M362" s="668"/>
      <c r="N362" s="639"/>
      <c r="O362" s="639"/>
      <c r="P362" s="639"/>
      <c r="Q362" s="639"/>
      <c r="R362" s="639"/>
      <c r="S362" s="639"/>
      <c r="T362" s="639"/>
      <c r="U362" s="639"/>
      <c r="V362" s="639"/>
      <c r="W362" s="639"/>
      <c r="X362" s="639"/>
      <c r="Y362" s="639"/>
      <c r="Z362" s="639"/>
      <c r="AA362" s="639"/>
      <c r="AB362" s="639"/>
      <c r="AC362" s="639"/>
      <c r="AD362" s="639"/>
      <c r="AE362" s="639"/>
      <c r="AF362" s="639"/>
      <c r="AG362" s="669"/>
      <c r="AH362" s="606"/>
      <c r="AI362" s="19"/>
      <c r="AJ362" s="19"/>
      <c r="AK362" s="19"/>
    </row>
    <row r="363" spans="1:37" outlineLevel="2" x14ac:dyDescent="0.2">
      <c r="A363" s="606"/>
      <c r="B363" s="606"/>
      <c r="C363" s="607"/>
      <c r="D363" s="608"/>
      <c r="E363" s="608"/>
      <c r="F363" s="608"/>
      <c r="G363" s="608"/>
      <c r="H363" s="609"/>
      <c r="I363" s="632"/>
      <c r="J363" s="632"/>
      <c r="K363" s="632"/>
      <c r="L363" s="636"/>
      <c r="M363" s="668"/>
      <c r="N363" s="639"/>
      <c r="O363" s="639"/>
      <c r="P363" s="639"/>
      <c r="Q363" s="639"/>
      <c r="R363" s="639"/>
      <c r="S363" s="639"/>
      <c r="T363" s="639"/>
      <c r="U363" s="639"/>
      <c r="V363" s="639"/>
      <c r="W363" s="639"/>
      <c r="X363" s="639"/>
      <c r="Y363" s="639"/>
      <c r="Z363" s="639"/>
      <c r="AA363" s="639"/>
      <c r="AB363" s="639"/>
      <c r="AC363" s="639"/>
      <c r="AD363" s="639"/>
      <c r="AE363" s="639"/>
      <c r="AF363" s="639"/>
      <c r="AG363" s="669"/>
      <c r="AH363" s="606"/>
      <c r="AI363" s="19"/>
      <c r="AJ363" s="19"/>
      <c r="AK363" s="19"/>
    </row>
    <row r="364" spans="1:37" outlineLevel="2" x14ac:dyDescent="0.2">
      <c r="A364" s="606"/>
      <c r="B364" s="606"/>
      <c r="C364" s="607"/>
      <c r="D364" s="608"/>
      <c r="E364" s="608"/>
      <c r="F364" s="608"/>
      <c r="G364" s="608"/>
      <c r="H364" s="609"/>
      <c r="I364" s="632"/>
      <c r="J364" s="632"/>
      <c r="K364" s="632"/>
      <c r="L364" s="636"/>
      <c r="M364" s="668"/>
      <c r="N364" s="639"/>
      <c r="O364" s="639"/>
      <c r="P364" s="639"/>
      <c r="Q364" s="639"/>
      <c r="R364" s="639"/>
      <c r="S364" s="639"/>
      <c r="T364" s="639"/>
      <c r="U364" s="639"/>
      <c r="V364" s="639"/>
      <c r="W364" s="639"/>
      <c r="X364" s="639"/>
      <c r="Y364" s="639"/>
      <c r="Z364" s="639"/>
      <c r="AA364" s="639"/>
      <c r="AB364" s="639"/>
      <c r="AC364" s="639"/>
      <c r="AD364" s="639"/>
      <c r="AE364" s="639"/>
      <c r="AF364" s="639"/>
      <c r="AG364" s="669"/>
      <c r="AH364" s="606"/>
      <c r="AI364" s="19"/>
      <c r="AJ364" s="19"/>
      <c r="AK364" s="19"/>
    </row>
    <row r="365" spans="1:37" outlineLevel="2" x14ac:dyDescent="0.2">
      <c r="A365" s="606"/>
      <c r="B365" s="606"/>
      <c r="C365" s="607"/>
      <c r="D365" s="608"/>
      <c r="E365" s="608"/>
      <c r="F365" s="608"/>
      <c r="G365" s="608"/>
      <c r="H365" s="609"/>
      <c r="I365" s="632"/>
      <c r="J365" s="632"/>
      <c r="K365" s="632"/>
      <c r="L365" s="636"/>
      <c r="M365" s="668"/>
      <c r="N365" s="639"/>
      <c r="O365" s="639"/>
      <c r="P365" s="639"/>
      <c r="Q365" s="639"/>
      <c r="R365" s="639"/>
      <c r="S365" s="639"/>
      <c r="T365" s="639"/>
      <c r="U365" s="639"/>
      <c r="V365" s="639"/>
      <c r="W365" s="639"/>
      <c r="X365" s="639"/>
      <c r="Y365" s="639"/>
      <c r="Z365" s="639"/>
      <c r="AA365" s="639"/>
      <c r="AB365" s="639"/>
      <c r="AC365" s="639"/>
      <c r="AD365" s="639"/>
      <c r="AE365" s="639"/>
      <c r="AF365" s="639"/>
      <c r="AG365" s="669"/>
      <c r="AH365" s="606"/>
      <c r="AI365" s="19"/>
      <c r="AJ365" s="19"/>
      <c r="AK365" s="19"/>
    </row>
    <row r="366" spans="1:37" outlineLevel="2" x14ac:dyDescent="0.2">
      <c r="A366" s="606"/>
      <c r="B366" s="606"/>
      <c r="C366" s="607"/>
      <c r="D366" s="608"/>
      <c r="E366" s="608"/>
      <c r="F366" s="608"/>
      <c r="G366" s="608"/>
      <c r="H366" s="609"/>
      <c r="I366" s="632"/>
      <c r="J366" s="632"/>
      <c r="K366" s="632"/>
      <c r="L366" s="636"/>
      <c r="M366" s="668"/>
      <c r="N366" s="639"/>
      <c r="O366" s="639"/>
      <c r="P366" s="639"/>
      <c r="Q366" s="639"/>
      <c r="R366" s="639"/>
      <c r="S366" s="639"/>
      <c r="T366" s="639"/>
      <c r="U366" s="639"/>
      <c r="V366" s="639"/>
      <c r="W366" s="639"/>
      <c r="X366" s="639"/>
      <c r="Y366" s="639"/>
      <c r="Z366" s="639"/>
      <c r="AA366" s="639"/>
      <c r="AB366" s="639"/>
      <c r="AC366" s="639"/>
      <c r="AD366" s="639"/>
      <c r="AE366" s="639"/>
      <c r="AF366" s="639"/>
      <c r="AG366" s="669"/>
      <c r="AH366" s="606"/>
      <c r="AI366" s="19"/>
      <c r="AJ366" s="19"/>
      <c r="AK366" s="19"/>
    </row>
    <row r="367" spans="1:37" outlineLevel="2" x14ac:dyDescent="0.2">
      <c r="A367" s="606"/>
      <c r="B367" s="606"/>
      <c r="C367" s="607"/>
      <c r="D367" s="608"/>
      <c r="E367" s="608"/>
      <c r="F367" s="608"/>
      <c r="G367" s="608"/>
      <c r="H367" s="609"/>
      <c r="I367" s="632"/>
      <c r="J367" s="632"/>
      <c r="K367" s="632"/>
      <c r="L367" s="636"/>
      <c r="M367" s="668"/>
      <c r="N367" s="639"/>
      <c r="O367" s="639"/>
      <c r="P367" s="639"/>
      <c r="Q367" s="639"/>
      <c r="R367" s="639"/>
      <c r="S367" s="639"/>
      <c r="T367" s="639"/>
      <c r="U367" s="639"/>
      <c r="V367" s="639"/>
      <c r="W367" s="639"/>
      <c r="X367" s="639"/>
      <c r="Y367" s="639"/>
      <c r="Z367" s="639"/>
      <c r="AA367" s="639"/>
      <c r="AB367" s="639"/>
      <c r="AC367" s="639"/>
      <c r="AD367" s="639"/>
      <c r="AE367" s="639"/>
      <c r="AF367" s="639"/>
      <c r="AG367" s="669"/>
      <c r="AH367" s="606"/>
      <c r="AI367" s="19"/>
      <c r="AJ367" s="19"/>
      <c r="AK367" s="19"/>
    </row>
    <row r="368" spans="1:37" outlineLevel="2" x14ac:dyDescent="0.2">
      <c r="A368" s="606"/>
      <c r="B368" s="606"/>
      <c r="C368" s="607"/>
      <c r="D368" s="608"/>
      <c r="E368" s="608"/>
      <c r="F368" s="608"/>
      <c r="G368" s="608"/>
      <c r="H368" s="609"/>
      <c r="I368" s="632"/>
      <c r="J368" s="632"/>
      <c r="K368" s="632"/>
      <c r="L368" s="636"/>
      <c r="M368" s="668"/>
      <c r="N368" s="639"/>
      <c r="O368" s="639"/>
      <c r="P368" s="639"/>
      <c r="Q368" s="639"/>
      <c r="R368" s="639"/>
      <c r="S368" s="639"/>
      <c r="T368" s="639"/>
      <c r="U368" s="639"/>
      <c r="V368" s="639"/>
      <c r="W368" s="639"/>
      <c r="X368" s="639"/>
      <c r="Y368" s="639"/>
      <c r="Z368" s="639"/>
      <c r="AA368" s="639"/>
      <c r="AB368" s="639"/>
      <c r="AC368" s="639"/>
      <c r="AD368" s="639"/>
      <c r="AE368" s="639"/>
      <c r="AF368" s="639"/>
      <c r="AG368" s="669"/>
      <c r="AH368" s="606"/>
      <c r="AI368" s="19"/>
      <c r="AJ368" s="19"/>
      <c r="AK368" s="19"/>
    </row>
    <row r="369" spans="1:37" outlineLevel="2" x14ac:dyDescent="0.2">
      <c r="A369" s="606"/>
      <c r="B369" s="606"/>
      <c r="C369" s="607"/>
      <c r="D369" s="608"/>
      <c r="E369" s="608"/>
      <c r="F369" s="608"/>
      <c r="G369" s="608"/>
      <c r="H369" s="609"/>
      <c r="I369" s="632"/>
      <c r="J369" s="632"/>
      <c r="K369" s="632"/>
      <c r="L369" s="636"/>
      <c r="M369" s="668"/>
      <c r="N369" s="639"/>
      <c r="O369" s="639"/>
      <c r="P369" s="639"/>
      <c r="Q369" s="639"/>
      <c r="R369" s="639"/>
      <c r="S369" s="639"/>
      <c r="T369" s="639"/>
      <c r="U369" s="639"/>
      <c r="V369" s="639"/>
      <c r="W369" s="639"/>
      <c r="X369" s="639"/>
      <c r="Y369" s="639"/>
      <c r="Z369" s="639"/>
      <c r="AA369" s="639"/>
      <c r="AB369" s="639"/>
      <c r="AC369" s="639"/>
      <c r="AD369" s="639"/>
      <c r="AE369" s="639"/>
      <c r="AF369" s="639"/>
      <c r="AG369" s="669"/>
      <c r="AH369" s="606"/>
      <c r="AI369" s="19"/>
      <c r="AJ369" s="19"/>
      <c r="AK369" s="19"/>
    </row>
    <row r="370" spans="1:37" outlineLevel="2" x14ac:dyDescent="0.2">
      <c r="A370" s="606"/>
      <c r="B370" s="606"/>
      <c r="C370" s="607"/>
      <c r="D370" s="608"/>
      <c r="E370" s="608"/>
      <c r="F370" s="608"/>
      <c r="G370" s="608"/>
      <c r="H370" s="609"/>
      <c r="I370" s="632"/>
      <c r="J370" s="632"/>
      <c r="K370" s="632"/>
      <c r="L370" s="636"/>
      <c r="M370" s="668"/>
      <c r="N370" s="639"/>
      <c r="O370" s="639"/>
      <c r="P370" s="639"/>
      <c r="Q370" s="639"/>
      <c r="R370" s="639"/>
      <c r="S370" s="639"/>
      <c r="T370" s="639"/>
      <c r="U370" s="639"/>
      <c r="V370" s="639"/>
      <c r="W370" s="639"/>
      <c r="X370" s="639"/>
      <c r="Y370" s="639"/>
      <c r="Z370" s="639"/>
      <c r="AA370" s="639"/>
      <c r="AB370" s="639"/>
      <c r="AC370" s="639"/>
      <c r="AD370" s="639"/>
      <c r="AE370" s="639"/>
      <c r="AF370" s="639"/>
      <c r="AG370" s="669"/>
      <c r="AH370" s="606"/>
      <c r="AI370" s="19"/>
      <c r="AJ370" s="19"/>
      <c r="AK370" s="19"/>
    </row>
    <row r="371" spans="1:37" outlineLevel="2" x14ac:dyDescent="0.2">
      <c r="A371" s="606"/>
      <c r="B371" s="606"/>
      <c r="C371" s="607"/>
      <c r="D371" s="608"/>
      <c r="E371" s="608"/>
      <c r="F371" s="608"/>
      <c r="G371" s="608"/>
      <c r="H371" s="609"/>
      <c r="I371" s="632"/>
      <c r="J371" s="632"/>
      <c r="K371" s="632"/>
      <c r="L371" s="636"/>
      <c r="M371" s="668"/>
      <c r="N371" s="639"/>
      <c r="O371" s="639"/>
      <c r="P371" s="639"/>
      <c r="Q371" s="639"/>
      <c r="R371" s="639"/>
      <c r="S371" s="639"/>
      <c r="T371" s="639"/>
      <c r="U371" s="639"/>
      <c r="V371" s="639"/>
      <c r="W371" s="639"/>
      <c r="X371" s="639"/>
      <c r="Y371" s="639"/>
      <c r="Z371" s="639"/>
      <c r="AA371" s="639"/>
      <c r="AB371" s="639"/>
      <c r="AC371" s="639"/>
      <c r="AD371" s="639"/>
      <c r="AE371" s="639"/>
      <c r="AF371" s="639"/>
      <c r="AG371" s="669"/>
      <c r="AH371" s="606"/>
      <c r="AI371" s="19"/>
      <c r="AJ371" s="19"/>
      <c r="AK371" s="19"/>
    </row>
    <row r="372" spans="1:37" outlineLevel="2" x14ac:dyDescent="0.2">
      <c r="A372" s="606"/>
      <c r="B372" s="606"/>
      <c r="C372" s="607"/>
      <c r="D372" s="608"/>
      <c r="E372" s="608"/>
      <c r="F372" s="608"/>
      <c r="G372" s="608"/>
      <c r="H372" s="609"/>
      <c r="I372" s="632"/>
      <c r="J372" s="632"/>
      <c r="K372" s="632"/>
      <c r="L372" s="636"/>
      <c r="M372" s="668"/>
      <c r="N372" s="639"/>
      <c r="O372" s="639"/>
      <c r="P372" s="639"/>
      <c r="Q372" s="639"/>
      <c r="R372" s="639"/>
      <c r="S372" s="639"/>
      <c r="T372" s="639"/>
      <c r="U372" s="639"/>
      <c r="V372" s="639"/>
      <c r="W372" s="639"/>
      <c r="X372" s="639"/>
      <c r="Y372" s="639"/>
      <c r="Z372" s="639"/>
      <c r="AA372" s="639"/>
      <c r="AB372" s="639"/>
      <c r="AC372" s="639"/>
      <c r="AD372" s="639"/>
      <c r="AE372" s="639"/>
      <c r="AF372" s="639"/>
      <c r="AG372" s="669"/>
      <c r="AH372" s="606"/>
      <c r="AI372" s="19"/>
      <c r="AJ372" s="19"/>
      <c r="AK372" s="19"/>
    </row>
    <row r="373" spans="1:37" outlineLevel="2" x14ac:dyDescent="0.2">
      <c r="A373" s="606"/>
      <c r="B373" s="606"/>
      <c r="C373" s="607"/>
      <c r="D373" s="608"/>
      <c r="E373" s="608"/>
      <c r="F373" s="608"/>
      <c r="G373" s="608"/>
      <c r="H373" s="609"/>
      <c r="I373" s="632"/>
      <c r="J373" s="632"/>
      <c r="K373" s="632"/>
      <c r="L373" s="636"/>
      <c r="M373" s="668"/>
      <c r="N373" s="639"/>
      <c r="O373" s="639"/>
      <c r="P373" s="639"/>
      <c r="Q373" s="639"/>
      <c r="R373" s="639"/>
      <c r="S373" s="639"/>
      <c r="T373" s="639"/>
      <c r="U373" s="639"/>
      <c r="V373" s="639"/>
      <c r="W373" s="639"/>
      <c r="X373" s="639"/>
      <c r="Y373" s="639"/>
      <c r="Z373" s="639"/>
      <c r="AA373" s="639"/>
      <c r="AB373" s="639"/>
      <c r="AC373" s="639"/>
      <c r="AD373" s="639"/>
      <c r="AE373" s="639"/>
      <c r="AF373" s="639"/>
      <c r="AG373" s="669"/>
      <c r="AH373" s="606"/>
      <c r="AI373" s="19"/>
      <c r="AJ373" s="19"/>
      <c r="AK373" s="19"/>
    </row>
    <row r="374" spans="1:37" outlineLevel="2" x14ac:dyDescent="0.2">
      <c r="A374" s="606"/>
      <c r="B374" s="606"/>
      <c r="C374" s="607"/>
      <c r="D374" s="608"/>
      <c r="E374" s="608"/>
      <c r="F374" s="608"/>
      <c r="G374" s="608"/>
      <c r="H374" s="609"/>
      <c r="I374" s="632"/>
      <c r="J374" s="632"/>
      <c r="K374" s="632"/>
      <c r="L374" s="636"/>
      <c r="M374" s="668"/>
      <c r="N374" s="639"/>
      <c r="O374" s="639"/>
      <c r="P374" s="639"/>
      <c r="Q374" s="639"/>
      <c r="R374" s="639"/>
      <c r="S374" s="639"/>
      <c r="T374" s="639"/>
      <c r="U374" s="639"/>
      <c r="V374" s="639"/>
      <c r="W374" s="639"/>
      <c r="X374" s="639"/>
      <c r="Y374" s="639"/>
      <c r="Z374" s="639"/>
      <c r="AA374" s="639"/>
      <c r="AB374" s="639"/>
      <c r="AC374" s="639"/>
      <c r="AD374" s="639"/>
      <c r="AE374" s="639"/>
      <c r="AF374" s="639"/>
      <c r="AG374" s="669"/>
      <c r="AH374" s="606"/>
      <c r="AI374" s="19"/>
      <c r="AJ374" s="19"/>
      <c r="AK374" s="19"/>
    </row>
    <row r="375" spans="1:37" outlineLevel="2" x14ac:dyDescent="0.2">
      <c r="A375" s="606"/>
      <c r="B375" s="606"/>
      <c r="C375" s="607"/>
      <c r="D375" s="608"/>
      <c r="E375" s="608"/>
      <c r="F375" s="608"/>
      <c r="G375" s="608"/>
      <c r="H375" s="609"/>
      <c r="I375" s="632"/>
      <c r="J375" s="632"/>
      <c r="K375" s="632"/>
      <c r="L375" s="636"/>
      <c r="M375" s="668"/>
      <c r="N375" s="639"/>
      <c r="O375" s="639"/>
      <c r="P375" s="639"/>
      <c r="Q375" s="639"/>
      <c r="R375" s="639"/>
      <c r="S375" s="639"/>
      <c r="T375" s="639"/>
      <c r="U375" s="639"/>
      <c r="V375" s="639"/>
      <c r="W375" s="639"/>
      <c r="X375" s="639"/>
      <c r="Y375" s="639"/>
      <c r="Z375" s="639"/>
      <c r="AA375" s="639"/>
      <c r="AB375" s="639"/>
      <c r="AC375" s="639"/>
      <c r="AD375" s="639"/>
      <c r="AE375" s="639"/>
      <c r="AF375" s="639"/>
      <c r="AG375" s="669"/>
      <c r="AH375" s="606"/>
      <c r="AI375" s="19"/>
      <c r="AJ375" s="19"/>
      <c r="AK375" s="19"/>
    </row>
    <row r="376" spans="1:37" outlineLevel="2" x14ac:dyDescent="0.2">
      <c r="A376" s="606"/>
      <c r="B376" s="606"/>
      <c r="C376" s="607"/>
      <c r="D376" s="608"/>
      <c r="E376" s="608"/>
      <c r="F376" s="608"/>
      <c r="G376" s="608"/>
      <c r="H376" s="609"/>
      <c r="I376" s="632"/>
      <c r="J376" s="632"/>
      <c r="K376" s="632"/>
      <c r="L376" s="636"/>
      <c r="M376" s="668"/>
      <c r="N376" s="639"/>
      <c r="O376" s="639"/>
      <c r="P376" s="639"/>
      <c r="Q376" s="639"/>
      <c r="R376" s="639"/>
      <c r="S376" s="639"/>
      <c r="T376" s="639"/>
      <c r="U376" s="639"/>
      <c r="V376" s="639"/>
      <c r="W376" s="639"/>
      <c r="X376" s="639"/>
      <c r="Y376" s="639"/>
      <c r="Z376" s="639"/>
      <c r="AA376" s="639"/>
      <c r="AB376" s="639"/>
      <c r="AC376" s="639"/>
      <c r="AD376" s="639"/>
      <c r="AE376" s="639"/>
      <c r="AF376" s="639"/>
      <c r="AG376" s="669"/>
      <c r="AH376" s="606"/>
      <c r="AI376" s="19"/>
      <c r="AJ376" s="19"/>
      <c r="AK376" s="19"/>
    </row>
    <row r="377" spans="1:37" outlineLevel="2" x14ac:dyDescent="0.2">
      <c r="A377" s="606"/>
      <c r="B377" s="606"/>
      <c r="C377" s="607"/>
      <c r="D377" s="608"/>
      <c r="E377" s="608"/>
      <c r="F377" s="608"/>
      <c r="G377" s="608"/>
      <c r="H377" s="609"/>
      <c r="I377" s="632"/>
      <c r="J377" s="632"/>
      <c r="K377" s="632"/>
      <c r="L377" s="636"/>
      <c r="M377" s="668"/>
      <c r="N377" s="639"/>
      <c r="O377" s="639"/>
      <c r="P377" s="639"/>
      <c r="Q377" s="639"/>
      <c r="R377" s="639"/>
      <c r="S377" s="639"/>
      <c r="T377" s="639"/>
      <c r="U377" s="639"/>
      <c r="V377" s="639"/>
      <c r="W377" s="639"/>
      <c r="X377" s="639"/>
      <c r="Y377" s="639"/>
      <c r="Z377" s="639"/>
      <c r="AA377" s="639"/>
      <c r="AB377" s="639"/>
      <c r="AC377" s="639"/>
      <c r="AD377" s="639"/>
      <c r="AE377" s="639"/>
      <c r="AF377" s="639"/>
      <c r="AG377" s="669"/>
      <c r="AH377" s="606"/>
      <c r="AI377" s="19"/>
      <c r="AJ377" s="19"/>
      <c r="AK377" s="19"/>
    </row>
    <row r="378" spans="1:37" outlineLevel="2" x14ac:dyDescent="0.2">
      <c r="A378" s="606"/>
      <c r="B378" s="606"/>
      <c r="C378" s="607"/>
      <c r="D378" s="608"/>
      <c r="E378" s="608"/>
      <c r="F378" s="608"/>
      <c r="G378" s="608"/>
      <c r="H378" s="609"/>
      <c r="I378" s="632"/>
      <c r="J378" s="632"/>
      <c r="K378" s="632"/>
      <c r="L378" s="636"/>
      <c r="M378" s="668"/>
      <c r="N378" s="639"/>
      <c r="O378" s="639"/>
      <c r="P378" s="639"/>
      <c r="Q378" s="639"/>
      <c r="R378" s="639"/>
      <c r="S378" s="639"/>
      <c r="T378" s="639"/>
      <c r="U378" s="639"/>
      <c r="V378" s="639"/>
      <c r="W378" s="639"/>
      <c r="X378" s="639"/>
      <c r="Y378" s="639"/>
      <c r="Z378" s="639"/>
      <c r="AA378" s="639"/>
      <c r="AB378" s="639"/>
      <c r="AC378" s="639"/>
      <c r="AD378" s="639"/>
      <c r="AE378" s="639"/>
      <c r="AF378" s="639"/>
      <c r="AG378" s="669"/>
      <c r="AH378" s="606"/>
      <c r="AI378" s="19"/>
      <c r="AJ378" s="19"/>
      <c r="AK378" s="19"/>
    </row>
    <row r="379" spans="1:37" outlineLevel="2" x14ac:dyDescent="0.2">
      <c r="A379" s="606"/>
      <c r="B379" s="606"/>
      <c r="C379" s="607"/>
      <c r="D379" s="608"/>
      <c r="E379" s="608"/>
      <c r="F379" s="608"/>
      <c r="G379" s="608"/>
      <c r="H379" s="609"/>
      <c r="I379" s="632"/>
      <c r="J379" s="632"/>
      <c r="K379" s="632"/>
      <c r="L379" s="636"/>
      <c r="M379" s="668"/>
      <c r="N379" s="639"/>
      <c r="O379" s="639"/>
      <c r="P379" s="639"/>
      <c r="Q379" s="639"/>
      <c r="R379" s="639"/>
      <c r="S379" s="639"/>
      <c r="T379" s="639"/>
      <c r="U379" s="639"/>
      <c r="V379" s="639"/>
      <c r="W379" s="639"/>
      <c r="X379" s="639"/>
      <c r="Y379" s="639"/>
      <c r="Z379" s="639"/>
      <c r="AA379" s="639"/>
      <c r="AB379" s="639"/>
      <c r="AC379" s="639"/>
      <c r="AD379" s="639"/>
      <c r="AE379" s="639"/>
      <c r="AF379" s="639"/>
      <c r="AG379" s="669"/>
      <c r="AH379" s="606"/>
      <c r="AI379" s="19"/>
      <c r="AJ379" s="19"/>
      <c r="AK379" s="19"/>
    </row>
    <row r="380" spans="1:37" outlineLevel="2" x14ac:dyDescent="0.2">
      <c r="A380" s="606"/>
      <c r="B380" s="606"/>
      <c r="C380" s="607"/>
      <c r="D380" s="608"/>
      <c r="E380" s="608"/>
      <c r="F380" s="608"/>
      <c r="G380" s="608"/>
      <c r="H380" s="609"/>
      <c r="I380" s="632"/>
      <c r="J380" s="632"/>
      <c r="K380" s="632"/>
      <c r="L380" s="636"/>
      <c r="M380" s="668"/>
      <c r="N380" s="639"/>
      <c r="O380" s="639"/>
      <c r="P380" s="639"/>
      <c r="Q380" s="639"/>
      <c r="R380" s="639"/>
      <c r="S380" s="639"/>
      <c r="T380" s="639"/>
      <c r="U380" s="639"/>
      <c r="V380" s="639"/>
      <c r="W380" s="639"/>
      <c r="X380" s="639"/>
      <c r="Y380" s="639"/>
      <c r="Z380" s="639"/>
      <c r="AA380" s="639"/>
      <c r="AB380" s="639"/>
      <c r="AC380" s="639"/>
      <c r="AD380" s="639"/>
      <c r="AE380" s="639"/>
      <c r="AF380" s="639"/>
      <c r="AG380" s="669"/>
      <c r="AH380" s="606"/>
      <c r="AI380" s="19"/>
      <c r="AJ380" s="19"/>
      <c r="AK380" s="19"/>
    </row>
    <row r="381" spans="1:37" outlineLevel="2" x14ac:dyDescent="0.2">
      <c r="A381" s="606"/>
      <c r="B381" s="606"/>
      <c r="C381" s="607"/>
      <c r="D381" s="608"/>
      <c r="E381" s="608"/>
      <c r="F381" s="608"/>
      <c r="G381" s="608"/>
      <c r="H381" s="609"/>
      <c r="I381" s="632"/>
      <c r="J381" s="632"/>
      <c r="K381" s="632"/>
      <c r="L381" s="636"/>
      <c r="M381" s="668"/>
      <c r="N381" s="639"/>
      <c r="O381" s="639"/>
      <c r="P381" s="639"/>
      <c r="Q381" s="639"/>
      <c r="R381" s="639"/>
      <c r="S381" s="639"/>
      <c r="T381" s="639"/>
      <c r="U381" s="639"/>
      <c r="V381" s="639"/>
      <c r="W381" s="639"/>
      <c r="X381" s="639"/>
      <c r="Y381" s="639"/>
      <c r="Z381" s="639"/>
      <c r="AA381" s="639"/>
      <c r="AB381" s="639"/>
      <c r="AC381" s="639"/>
      <c r="AD381" s="639"/>
      <c r="AE381" s="639"/>
      <c r="AF381" s="639"/>
      <c r="AG381" s="669"/>
      <c r="AH381" s="606"/>
      <c r="AI381" s="19"/>
      <c r="AJ381" s="19"/>
      <c r="AK381" s="19"/>
    </row>
    <row r="382" spans="1:37" outlineLevel="2" x14ac:dyDescent="0.2">
      <c r="A382" s="606"/>
      <c r="B382" s="606"/>
      <c r="C382" s="607"/>
      <c r="D382" s="608"/>
      <c r="E382" s="608"/>
      <c r="F382" s="608"/>
      <c r="G382" s="608"/>
      <c r="H382" s="609"/>
      <c r="I382" s="632"/>
      <c r="J382" s="632"/>
      <c r="K382" s="632"/>
      <c r="L382" s="636"/>
      <c r="M382" s="668"/>
      <c r="N382" s="639"/>
      <c r="O382" s="639"/>
      <c r="P382" s="639"/>
      <c r="Q382" s="639"/>
      <c r="R382" s="639"/>
      <c r="S382" s="639"/>
      <c r="T382" s="639"/>
      <c r="U382" s="639"/>
      <c r="V382" s="639"/>
      <c r="W382" s="639"/>
      <c r="X382" s="639"/>
      <c r="Y382" s="639"/>
      <c r="Z382" s="639"/>
      <c r="AA382" s="639"/>
      <c r="AB382" s="639"/>
      <c r="AC382" s="639"/>
      <c r="AD382" s="639"/>
      <c r="AE382" s="639"/>
      <c r="AF382" s="639"/>
      <c r="AG382" s="669"/>
      <c r="AH382" s="606"/>
      <c r="AI382" s="19"/>
      <c r="AJ382" s="19"/>
      <c r="AK382" s="19"/>
    </row>
    <row r="383" spans="1:37" outlineLevel="2" x14ac:dyDescent="0.2">
      <c r="A383" s="606"/>
      <c r="B383" s="606"/>
      <c r="C383" s="607"/>
      <c r="D383" s="608"/>
      <c r="E383" s="608"/>
      <c r="F383" s="608"/>
      <c r="G383" s="608"/>
      <c r="H383" s="609"/>
      <c r="I383" s="632"/>
      <c r="J383" s="632"/>
      <c r="K383" s="632"/>
      <c r="L383" s="636"/>
      <c r="M383" s="639"/>
      <c r="N383" s="639"/>
      <c r="O383" s="639"/>
      <c r="P383" s="639"/>
      <c r="Q383" s="639"/>
      <c r="R383" s="639"/>
      <c r="S383" s="639"/>
      <c r="T383" s="639"/>
      <c r="U383" s="639"/>
      <c r="V383" s="639"/>
      <c r="W383" s="639"/>
      <c r="X383" s="639"/>
      <c r="Y383" s="639"/>
      <c r="Z383" s="639"/>
      <c r="AA383" s="639"/>
      <c r="AB383" s="639"/>
      <c r="AC383" s="639"/>
      <c r="AD383" s="639"/>
      <c r="AE383" s="639"/>
      <c r="AF383" s="639"/>
      <c r="AG383" s="669"/>
      <c r="AH383" s="606"/>
      <c r="AI383" s="19"/>
      <c r="AJ383" s="19"/>
      <c r="AK383" s="19"/>
    </row>
    <row r="384" spans="1:37" hidden="1" outlineLevel="3" x14ac:dyDescent="0.2">
      <c r="A384" s="606"/>
      <c r="B384" s="606"/>
      <c r="C384" s="607"/>
      <c r="D384" s="608"/>
      <c r="E384" s="608"/>
      <c r="F384" s="608"/>
      <c r="G384" s="608"/>
      <c r="H384" s="609"/>
      <c r="I384" s="632"/>
      <c r="J384" s="632"/>
      <c r="K384" s="632"/>
      <c r="L384" s="636"/>
      <c r="M384" s="639"/>
      <c r="N384" s="639"/>
      <c r="O384" s="639"/>
      <c r="P384" s="639"/>
      <c r="Q384" s="639"/>
      <c r="R384" s="639"/>
      <c r="S384" s="639"/>
      <c r="T384" s="639"/>
      <c r="U384" s="639"/>
      <c r="V384" s="639"/>
      <c r="W384" s="639"/>
      <c r="X384" s="639"/>
      <c r="Y384" s="639"/>
      <c r="Z384" s="639"/>
      <c r="AA384" s="639"/>
      <c r="AB384" s="639"/>
      <c r="AC384" s="639"/>
      <c r="AD384" s="639"/>
      <c r="AE384" s="639"/>
      <c r="AF384" s="639"/>
      <c r="AG384" s="669"/>
      <c r="AH384" s="606"/>
      <c r="AI384" s="19"/>
      <c r="AJ384" s="19"/>
      <c r="AK384" s="19"/>
    </row>
    <row r="385" spans="1:37" hidden="1" outlineLevel="3" x14ac:dyDescent="0.2">
      <c r="A385" s="606"/>
      <c r="B385" s="606"/>
      <c r="C385" s="607"/>
      <c r="D385" s="608"/>
      <c r="E385" s="608"/>
      <c r="F385" s="608"/>
      <c r="G385" s="608"/>
      <c r="H385" s="609"/>
      <c r="I385" s="632"/>
      <c r="J385" s="632"/>
      <c r="K385" s="632"/>
      <c r="L385" s="636"/>
      <c r="M385" s="639"/>
      <c r="N385" s="639"/>
      <c r="O385" s="639"/>
      <c r="P385" s="639"/>
      <c r="Q385" s="639"/>
      <c r="R385" s="639"/>
      <c r="S385" s="639"/>
      <c r="T385" s="639"/>
      <c r="U385" s="639"/>
      <c r="V385" s="639"/>
      <c r="W385" s="639"/>
      <c r="X385" s="639"/>
      <c r="Y385" s="639"/>
      <c r="Z385" s="639"/>
      <c r="AA385" s="639"/>
      <c r="AB385" s="639"/>
      <c r="AC385" s="639"/>
      <c r="AD385" s="639"/>
      <c r="AE385" s="639"/>
      <c r="AF385" s="639"/>
      <c r="AG385" s="669"/>
      <c r="AH385" s="606"/>
      <c r="AI385" s="19"/>
      <c r="AJ385" s="19"/>
      <c r="AK385" s="19"/>
    </row>
    <row r="386" spans="1:37" hidden="1" outlineLevel="3" x14ac:dyDescent="0.2">
      <c r="A386" s="606"/>
      <c r="B386" s="606"/>
      <c r="C386" s="607"/>
      <c r="D386" s="608"/>
      <c r="E386" s="608"/>
      <c r="F386" s="608"/>
      <c r="G386" s="608"/>
      <c r="H386" s="609"/>
      <c r="I386" s="632"/>
      <c r="J386" s="632"/>
      <c r="K386" s="632"/>
      <c r="L386" s="636"/>
      <c r="M386" s="639"/>
      <c r="N386" s="639"/>
      <c r="O386" s="639"/>
      <c r="P386" s="639"/>
      <c r="Q386" s="639"/>
      <c r="R386" s="639"/>
      <c r="S386" s="639"/>
      <c r="T386" s="639"/>
      <c r="U386" s="639"/>
      <c r="V386" s="639"/>
      <c r="W386" s="639"/>
      <c r="X386" s="639"/>
      <c r="Y386" s="639"/>
      <c r="Z386" s="639"/>
      <c r="AA386" s="639"/>
      <c r="AB386" s="639"/>
      <c r="AC386" s="639"/>
      <c r="AD386" s="639"/>
      <c r="AE386" s="639"/>
      <c r="AF386" s="639"/>
      <c r="AG386" s="669"/>
      <c r="AH386" s="606"/>
      <c r="AI386" s="19"/>
      <c r="AJ386" s="19"/>
      <c r="AK386" s="19"/>
    </row>
    <row r="387" spans="1:37" hidden="1" outlineLevel="3" x14ac:dyDescent="0.2">
      <c r="A387" s="606"/>
      <c r="B387" s="606"/>
      <c r="C387" s="607"/>
      <c r="D387" s="608"/>
      <c r="E387" s="608"/>
      <c r="F387" s="608"/>
      <c r="G387" s="608"/>
      <c r="H387" s="609"/>
      <c r="I387" s="632"/>
      <c r="J387" s="632"/>
      <c r="K387" s="632"/>
      <c r="L387" s="636"/>
      <c r="M387" s="639"/>
      <c r="N387" s="639"/>
      <c r="O387" s="639"/>
      <c r="P387" s="639"/>
      <c r="Q387" s="639"/>
      <c r="R387" s="639"/>
      <c r="S387" s="639"/>
      <c r="T387" s="639"/>
      <c r="U387" s="639"/>
      <c r="V387" s="639"/>
      <c r="W387" s="639"/>
      <c r="X387" s="639"/>
      <c r="Y387" s="639"/>
      <c r="Z387" s="639"/>
      <c r="AA387" s="639"/>
      <c r="AB387" s="639"/>
      <c r="AC387" s="639"/>
      <c r="AD387" s="639"/>
      <c r="AE387" s="639"/>
      <c r="AF387" s="639"/>
      <c r="AG387" s="669"/>
      <c r="AH387" s="606"/>
      <c r="AI387" s="19"/>
      <c r="AJ387" s="19"/>
      <c r="AK387" s="19"/>
    </row>
    <row r="388" spans="1:37" hidden="1" outlineLevel="3" x14ac:dyDescent="0.2">
      <c r="A388" s="606"/>
      <c r="B388" s="606"/>
      <c r="C388" s="607"/>
      <c r="D388" s="608"/>
      <c r="E388" s="608"/>
      <c r="F388" s="608"/>
      <c r="G388" s="608"/>
      <c r="H388" s="609"/>
      <c r="I388" s="632"/>
      <c r="J388" s="632"/>
      <c r="K388" s="632"/>
      <c r="L388" s="636"/>
      <c r="M388" s="639"/>
      <c r="N388" s="639"/>
      <c r="O388" s="639"/>
      <c r="P388" s="639"/>
      <c r="Q388" s="639"/>
      <c r="R388" s="639"/>
      <c r="S388" s="639"/>
      <c r="T388" s="639"/>
      <c r="U388" s="639"/>
      <c r="V388" s="639"/>
      <c r="W388" s="639"/>
      <c r="X388" s="639"/>
      <c r="Y388" s="639"/>
      <c r="Z388" s="639"/>
      <c r="AA388" s="639"/>
      <c r="AB388" s="639"/>
      <c r="AC388" s="639"/>
      <c r="AD388" s="639"/>
      <c r="AE388" s="639"/>
      <c r="AF388" s="639"/>
      <c r="AG388" s="669"/>
      <c r="AH388" s="606"/>
      <c r="AI388" s="19"/>
      <c r="AJ388" s="19"/>
      <c r="AK388" s="19"/>
    </row>
    <row r="389" spans="1:37" hidden="1" outlineLevel="3" x14ac:dyDescent="0.2">
      <c r="A389" s="606"/>
      <c r="B389" s="606"/>
      <c r="C389" s="607"/>
      <c r="D389" s="608"/>
      <c r="E389" s="608"/>
      <c r="F389" s="608"/>
      <c r="G389" s="608"/>
      <c r="H389" s="609"/>
      <c r="I389" s="632"/>
      <c r="J389" s="632"/>
      <c r="K389" s="632"/>
      <c r="L389" s="636"/>
      <c r="M389" s="639"/>
      <c r="N389" s="639"/>
      <c r="O389" s="639"/>
      <c r="P389" s="639"/>
      <c r="Q389" s="639"/>
      <c r="R389" s="639"/>
      <c r="S389" s="639"/>
      <c r="T389" s="639"/>
      <c r="U389" s="639"/>
      <c r="V389" s="639"/>
      <c r="W389" s="639"/>
      <c r="X389" s="639"/>
      <c r="Y389" s="639"/>
      <c r="Z389" s="639"/>
      <c r="AA389" s="639"/>
      <c r="AB389" s="639"/>
      <c r="AC389" s="639"/>
      <c r="AD389" s="639"/>
      <c r="AE389" s="639"/>
      <c r="AF389" s="639"/>
      <c r="AG389" s="669"/>
      <c r="AH389" s="606"/>
      <c r="AI389" s="19"/>
      <c r="AJ389" s="19"/>
      <c r="AK389" s="19"/>
    </row>
    <row r="390" spans="1:37" hidden="1" outlineLevel="3" x14ac:dyDescent="0.2">
      <c r="A390" s="606"/>
      <c r="B390" s="606"/>
      <c r="C390" s="607"/>
      <c r="D390" s="608"/>
      <c r="E390" s="608"/>
      <c r="F390" s="608"/>
      <c r="G390" s="608"/>
      <c r="H390" s="609"/>
      <c r="I390" s="632"/>
      <c r="J390" s="632"/>
      <c r="K390" s="632"/>
      <c r="L390" s="636"/>
      <c r="M390" s="639"/>
      <c r="N390" s="639"/>
      <c r="O390" s="639"/>
      <c r="P390" s="639"/>
      <c r="Q390" s="639"/>
      <c r="R390" s="639"/>
      <c r="S390" s="639"/>
      <c r="T390" s="639"/>
      <c r="U390" s="639"/>
      <c r="V390" s="639"/>
      <c r="W390" s="639"/>
      <c r="X390" s="639"/>
      <c r="Y390" s="639"/>
      <c r="Z390" s="639"/>
      <c r="AA390" s="639"/>
      <c r="AB390" s="639"/>
      <c r="AC390" s="639"/>
      <c r="AD390" s="639"/>
      <c r="AE390" s="639"/>
      <c r="AF390" s="639"/>
      <c r="AG390" s="669"/>
      <c r="AH390" s="606"/>
      <c r="AI390" s="19"/>
      <c r="AJ390" s="19"/>
      <c r="AK390" s="19"/>
    </row>
    <row r="391" spans="1:37" hidden="1" outlineLevel="3" x14ac:dyDescent="0.2">
      <c r="A391" s="606"/>
      <c r="B391" s="606"/>
      <c r="C391" s="607"/>
      <c r="D391" s="608"/>
      <c r="E391" s="608"/>
      <c r="F391" s="608"/>
      <c r="G391" s="608"/>
      <c r="H391" s="609"/>
      <c r="I391" s="632"/>
      <c r="J391" s="632"/>
      <c r="K391" s="632"/>
      <c r="L391" s="636"/>
      <c r="M391" s="639"/>
      <c r="N391" s="639"/>
      <c r="O391" s="639"/>
      <c r="P391" s="639"/>
      <c r="Q391" s="639"/>
      <c r="R391" s="639"/>
      <c r="S391" s="639"/>
      <c r="T391" s="639"/>
      <c r="U391" s="639"/>
      <c r="V391" s="639"/>
      <c r="W391" s="639"/>
      <c r="X391" s="639"/>
      <c r="Y391" s="639"/>
      <c r="Z391" s="639"/>
      <c r="AA391" s="639"/>
      <c r="AB391" s="639"/>
      <c r="AC391" s="639"/>
      <c r="AD391" s="639"/>
      <c r="AE391" s="639"/>
      <c r="AF391" s="639"/>
      <c r="AG391" s="669"/>
      <c r="AH391" s="606"/>
      <c r="AI391" s="19"/>
      <c r="AJ391" s="19"/>
      <c r="AK391" s="19"/>
    </row>
    <row r="392" spans="1:37" hidden="1" outlineLevel="3" x14ac:dyDescent="0.2">
      <c r="A392" s="606"/>
      <c r="B392" s="606"/>
      <c r="C392" s="607"/>
      <c r="D392" s="608"/>
      <c r="E392" s="608"/>
      <c r="F392" s="608"/>
      <c r="G392" s="608"/>
      <c r="H392" s="609"/>
      <c r="I392" s="632"/>
      <c r="J392" s="632"/>
      <c r="K392" s="632"/>
      <c r="L392" s="636"/>
      <c r="M392" s="639"/>
      <c r="N392" s="639"/>
      <c r="O392" s="639"/>
      <c r="P392" s="639"/>
      <c r="Q392" s="639"/>
      <c r="R392" s="639"/>
      <c r="S392" s="639"/>
      <c r="T392" s="639"/>
      <c r="U392" s="639"/>
      <c r="V392" s="639"/>
      <c r="W392" s="639"/>
      <c r="X392" s="639"/>
      <c r="Y392" s="639"/>
      <c r="Z392" s="639"/>
      <c r="AA392" s="639"/>
      <c r="AB392" s="639"/>
      <c r="AC392" s="639"/>
      <c r="AD392" s="639"/>
      <c r="AE392" s="639"/>
      <c r="AF392" s="639"/>
      <c r="AG392" s="669"/>
      <c r="AH392" s="606"/>
      <c r="AI392" s="19"/>
      <c r="AJ392" s="19"/>
      <c r="AK392" s="19"/>
    </row>
    <row r="393" spans="1:37" hidden="1" outlineLevel="3" x14ac:dyDescent="0.2">
      <c r="A393" s="606"/>
      <c r="B393" s="606"/>
      <c r="C393" s="607"/>
      <c r="D393" s="608"/>
      <c r="E393" s="608"/>
      <c r="F393" s="608"/>
      <c r="G393" s="608"/>
      <c r="H393" s="609"/>
      <c r="I393" s="632"/>
      <c r="J393" s="632"/>
      <c r="K393" s="632"/>
      <c r="L393" s="636"/>
      <c r="M393" s="639"/>
      <c r="N393" s="639"/>
      <c r="O393" s="639"/>
      <c r="P393" s="639"/>
      <c r="Q393" s="639"/>
      <c r="R393" s="639"/>
      <c r="S393" s="639"/>
      <c r="T393" s="639"/>
      <c r="U393" s="639"/>
      <c r="V393" s="639"/>
      <c r="W393" s="639"/>
      <c r="X393" s="639"/>
      <c r="Y393" s="639"/>
      <c r="Z393" s="639"/>
      <c r="AA393" s="639"/>
      <c r="AB393" s="639"/>
      <c r="AC393" s="639"/>
      <c r="AD393" s="639"/>
      <c r="AE393" s="639"/>
      <c r="AF393" s="639"/>
      <c r="AG393" s="669"/>
      <c r="AH393" s="606"/>
      <c r="AI393" s="19"/>
      <c r="AJ393" s="19"/>
      <c r="AK393" s="19"/>
    </row>
    <row r="394" spans="1:37" hidden="1" outlineLevel="3" x14ac:dyDescent="0.2">
      <c r="A394" s="606"/>
      <c r="B394" s="606"/>
      <c r="C394" s="607"/>
      <c r="D394" s="608"/>
      <c r="E394" s="608"/>
      <c r="F394" s="608"/>
      <c r="G394" s="608"/>
      <c r="H394" s="609"/>
      <c r="I394" s="632"/>
      <c r="J394" s="632"/>
      <c r="K394" s="632"/>
      <c r="L394" s="636"/>
      <c r="M394" s="639"/>
      <c r="N394" s="639"/>
      <c r="O394" s="639"/>
      <c r="P394" s="639"/>
      <c r="Q394" s="639"/>
      <c r="R394" s="639"/>
      <c r="S394" s="639"/>
      <c r="T394" s="639"/>
      <c r="U394" s="639"/>
      <c r="V394" s="639"/>
      <c r="W394" s="639"/>
      <c r="X394" s="639"/>
      <c r="Y394" s="639"/>
      <c r="Z394" s="639"/>
      <c r="AA394" s="639"/>
      <c r="AB394" s="639"/>
      <c r="AC394" s="639"/>
      <c r="AD394" s="639"/>
      <c r="AE394" s="639"/>
      <c r="AF394" s="639"/>
      <c r="AG394" s="669"/>
      <c r="AH394" s="606"/>
      <c r="AI394" s="19"/>
      <c r="AJ394" s="19"/>
      <c r="AK394" s="19"/>
    </row>
    <row r="395" spans="1:37" hidden="1" outlineLevel="3" x14ac:dyDescent="0.2">
      <c r="A395" s="606"/>
      <c r="B395" s="606"/>
      <c r="C395" s="607"/>
      <c r="D395" s="608"/>
      <c r="E395" s="608"/>
      <c r="F395" s="608"/>
      <c r="G395" s="608"/>
      <c r="H395" s="609"/>
      <c r="I395" s="632"/>
      <c r="J395" s="632"/>
      <c r="K395" s="632"/>
      <c r="L395" s="636"/>
      <c r="M395" s="639"/>
      <c r="N395" s="639"/>
      <c r="O395" s="639"/>
      <c r="P395" s="639"/>
      <c r="Q395" s="639"/>
      <c r="R395" s="639"/>
      <c r="S395" s="639"/>
      <c r="T395" s="639"/>
      <c r="U395" s="639"/>
      <c r="V395" s="639"/>
      <c r="W395" s="639"/>
      <c r="X395" s="639"/>
      <c r="Y395" s="639"/>
      <c r="Z395" s="639"/>
      <c r="AA395" s="639"/>
      <c r="AB395" s="639"/>
      <c r="AC395" s="639"/>
      <c r="AD395" s="639"/>
      <c r="AE395" s="639"/>
      <c r="AF395" s="639"/>
      <c r="AG395" s="669"/>
      <c r="AH395" s="606"/>
      <c r="AI395" s="19"/>
      <c r="AJ395" s="19"/>
      <c r="AK395" s="19"/>
    </row>
    <row r="396" spans="1:37" hidden="1" outlineLevel="3" x14ac:dyDescent="0.2">
      <c r="A396" s="606"/>
      <c r="B396" s="606"/>
      <c r="C396" s="607"/>
      <c r="D396" s="608"/>
      <c r="E396" s="608"/>
      <c r="F396" s="608"/>
      <c r="G396" s="608"/>
      <c r="H396" s="609"/>
      <c r="I396" s="632"/>
      <c r="J396" s="632"/>
      <c r="K396" s="632"/>
      <c r="L396" s="636"/>
      <c r="M396" s="639"/>
      <c r="N396" s="639"/>
      <c r="O396" s="639"/>
      <c r="P396" s="639"/>
      <c r="Q396" s="639"/>
      <c r="R396" s="639"/>
      <c r="S396" s="639"/>
      <c r="T396" s="639"/>
      <c r="U396" s="639"/>
      <c r="V396" s="639"/>
      <c r="W396" s="639"/>
      <c r="X396" s="639"/>
      <c r="Y396" s="639"/>
      <c r="Z396" s="639"/>
      <c r="AA396" s="639"/>
      <c r="AB396" s="639"/>
      <c r="AC396" s="639"/>
      <c r="AD396" s="639"/>
      <c r="AE396" s="639"/>
      <c r="AF396" s="639"/>
      <c r="AG396" s="669"/>
      <c r="AH396" s="606"/>
      <c r="AI396" s="19"/>
      <c r="AJ396" s="19"/>
      <c r="AK396" s="19"/>
    </row>
    <row r="397" spans="1:37" hidden="1" outlineLevel="3" x14ac:dyDescent="0.2">
      <c r="A397" s="606"/>
      <c r="B397" s="606"/>
      <c r="C397" s="607"/>
      <c r="D397" s="608"/>
      <c r="E397" s="608"/>
      <c r="F397" s="608"/>
      <c r="G397" s="608"/>
      <c r="H397" s="609"/>
      <c r="I397" s="632"/>
      <c r="J397" s="632"/>
      <c r="K397" s="632"/>
      <c r="L397" s="636"/>
      <c r="M397" s="639"/>
      <c r="N397" s="639"/>
      <c r="O397" s="639"/>
      <c r="P397" s="639"/>
      <c r="Q397" s="639"/>
      <c r="R397" s="639"/>
      <c r="S397" s="639"/>
      <c r="T397" s="639"/>
      <c r="U397" s="639"/>
      <c r="V397" s="639"/>
      <c r="W397" s="639"/>
      <c r="X397" s="639"/>
      <c r="Y397" s="639"/>
      <c r="Z397" s="639"/>
      <c r="AA397" s="639"/>
      <c r="AB397" s="639"/>
      <c r="AC397" s="639"/>
      <c r="AD397" s="639"/>
      <c r="AE397" s="639"/>
      <c r="AF397" s="639"/>
      <c r="AG397" s="669"/>
      <c r="AH397" s="606"/>
      <c r="AI397" s="19"/>
      <c r="AJ397" s="19"/>
      <c r="AK397" s="19"/>
    </row>
    <row r="398" spans="1:37" hidden="1" outlineLevel="3" x14ac:dyDescent="0.2">
      <c r="A398" s="606"/>
      <c r="B398" s="606"/>
      <c r="C398" s="607"/>
      <c r="D398" s="608"/>
      <c r="E398" s="608"/>
      <c r="F398" s="608"/>
      <c r="G398" s="608"/>
      <c r="H398" s="609"/>
      <c r="I398" s="632"/>
      <c r="J398" s="632"/>
      <c r="K398" s="632"/>
      <c r="L398" s="636"/>
      <c r="M398" s="639"/>
      <c r="N398" s="639"/>
      <c r="O398" s="639"/>
      <c r="P398" s="639"/>
      <c r="Q398" s="639"/>
      <c r="R398" s="639"/>
      <c r="S398" s="639"/>
      <c r="T398" s="639"/>
      <c r="U398" s="639"/>
      <c r="V398" s="639"/>
      <c r="W398" s="639"/>
      <c r="X398" s="639"/>
      <c r="Y398" s="639"/>
      <c r="Z398" s="639"/>
      <c r="AA398" s="639"/>
      <c r="AB398" s="639"/>
      <c r="AC398" s="639"/>
      <c r="AD398" s="639"/>
      <c r="AE398" s="639"/>
      <c r="AF398" s="639"/>
      <c r="AG398" s="669"/>
      <c r="AH398" s="606"/>
      <c r="AI398" s="19"/>
      <c r="AJ398" s="19"/>
      <c r="AK398" s="19"/>
    </row>
    <row r="399" spans="1:37" hidden="1" outlineLevel="3" x14ac:dyDescent="0.2">
      <c r="A399" s="606"/>
      <c r="B399" s="606"/>
      <c r="C399" s="607"/>
      <c r="D399" s="608"/>
      <c r="E399" s="608"/>
      <c r="F399" s="608"/>
      <c r="G399" s="608"/>
      <c r="H399" s="609"/>
      <c r="I399" s="632"/>
      <c r="J399" s="632"/>
      <c r="K399" s="632"/>
      <c r="L399" s="636"/>
      <c r="M399" s="639"/>
      <c r="N399" s="639"/>
      <c r="O399" s="639"/>
      <c r="P399" s="639"/>
      <c r="Q399" s="639"/>
      <c r="R399" s="639"/>
      <c r="S399" s="639"/>
      <c r="T399" s="639"/>
      <c r="U399" s="639"/>
      <c r="V399" s="639"/>
      <c r="W399" s="639"/>
      <c r="X399" s="639"/>
      <c r="Y399" s="639"/>
      <c r="Z399" s="639"/>
      <c r="AA399" s="639"/>
      <c r="AB399" s="639"/>
      <c r="AC399" s="639"/>
      <c r="AD399" s="639"/>
      <c r="AE399" s="639"/>
      <c r="AF399" s="639"/>
      <c r="AG399" s="669"/>
      <c r="AH399" s="606"/>
      <c r="AI399" s="19"/>
      <c r="AJ399" s="19"/>
      <c r="AK399" s="19"/>
    </row>
    <row r="400" spans="1:37" hidden="1" outlineLevel="3" x14ac:dyDescent="0.2">
      <c r="A400" s="606"/>
      <c r="B400" s="606"/>
      <c r="C400" s="607"/>
      <c r="D400" s="608"/>
      <c r="E400" s="608"/>
      <c r="F400" s="608"/>
      <c r="G400" s="608"/>
      <c r="H400" s="609"/>
      <c r="I400" s="632"/>
      <c r="J400" s="632"/>
      <c r="K400" s="632"/>
      <c r="L400" s="636"/>
      <c r="M400" s="639"/>
      <c r="N400" s="639"/>
      <c r="O400" s="639"/>
      <c r="P400" s="639"/>
      <c r="Q400" s="639"/>
      <c r="R400" s="639"/>
      <c r="S400" s="639"/>
      <c r="T400" s="639"/>
      <c r="U400" s="639"/>
      <c r="V400" s="639"/>
      <c r="W400" s="639"/>
      <c r="X400" s="639"/>
      <c r="Y400" s="639"/>
      <c r="Z400" s="639"/>
      <c r="AA400" s="639"/>
      <c r="AB400" s="639"/>
      <c r="AC400" s="639"/>
      <c r="AD400" s="639"/>
      <c r="AE400" s="639"/>
      <c r="AF400" s="639"/>
      <c r="AG400" s="669"/>
      <c r="AH400" s="606"/>
      <c r="AI400" s="19"/>
      <c r="AJ400" s="19"/>
      <c r="AK400" s="19"/>
    </row>
    <row r="401" spans="1:37" hidden="1" outlineLevel="3" x14ac:dyDescent="0.2">
      <c r="A401" s="606"/>
      <c r="B401" s="606"/>
      <c r="C401" s="607"/>
      <c r="D401" s="608"/>
      <c r="E401" s="608"/>
      <c r="F401" s="608"/>
      <c r="G401" s="608"/>
      <c r="H401" s="609"/>
      <c r="I401" s="632"/>
      <c r="J401" s="632"/>
      <c r="K401" s="632"/>
      <c r="L401" s="636"/>
      <c r="M401" s="639"/>
      <c r="N401" s="639"/>
      <c r="O401" s="639"/>
      <c r="P401" s="639"/>
      <c r="Q401" s="639"/>
      <c r="R401" s="639"/>
      <c r="S401" s="639"/>
      <c r="T401" s="639"/>
      <c r="U401" s="639"/>
      <c r="V401" s="639"/>
      <c r="W401" s="639"/>
      <c r="X401" s="639"/>
      <c r="Y401" s="639"/>
      <c r="Z401" s="639"/>
      <c r="AA401" s="639"/>
      <c r="AB401" s="639"/>
      <c r="AC401" s="639"/>
      <c r="AD401" s="639"/>
      <c r="AE401" s="639"/>
      <c r="AF401" s="639"/>
      <c r="AG401" s="669"/>
      <c r="AH401" s="606"/>
      <c r="AI401" s="19"/>
      <c r="AJ401" s="19"/>
      <c r="AK401" s="19"/>
    </row>
    <row r="402" spans="1:37" hidden="1" outlineLevel="3" x14ac:dyDescent="0.2">
      <c r="A402" s="606"/>
      <c r="B402" s="606"/>
      <c r="C402" s="607"/>
      <c r="D402" s="608"/>
      <c r="E402" s="608"/>
      <c r="F402" s="608"/>
      <c r="G402" s="608"/>
      <c r="H402" s="609"/>
      <c r="I402" s="632"/>
      <c r="J402" s="632"/>
      <c r="K402" s="632"/>
      <c r="L402" s="636"/>
      <c r="M402" s="639"/>
      <c r="N402" s="639"/>
      <c r="O402" s="639"/>
      <c r="P402" s="639"/>
      <c r="Q402" s="639"/>
      <c r="R402" s="639"/>
      <c r="S402" s="639"/>
      <c r="T402" s="639"/>
      <c r="U402" s="639"/>
      <c r="V402" s="639"/>
      <c r="W402" s="639"/>
      <c r="X402" s="639"/>
      <c r="Y402" s="639"/>
      <c r="Z402" s="639"/>
      <c r="AA402" s="639"/>
      <c r="AB402" s="639"/>
      <c r="AC402" s="639"/>
      <c r="AD402" s="639"/>
      <c r="AE402" s="639"/>
      <c r="AF402" s="639"/>
      <c r="AG402" s="669"/>
      <c r="AH402" s="606"/>
      <c r="AI402" s="19"/>
      <c r="AJ402" s="19"/>
      <c r="AK402" s="19"/>
    </row>
    <row r="403" spans="1:37" hidden="1" outlineLevel="3" x14ac:dyDescent="0.2">
      <c r="A403" s="606"/>
      <c r="B403" s="606"/>
      <c r="C403" s="607"/>
      <c r="D403" s="608"/>
      <c r="E403" s="608"/>
      <c r="F403" s="608"/>
      <c r="G403" s="608"/>
      <c r="H403" s="609"/>
      <c r="I403" s="632"/>
      <c r="J403" s="632"/>
      <c r="K403" s="632"/>
      <c r="L403" s="636"/>
      <c r="M403" s="639"/>
      <c r="N403" s="639"/>
      <c r="O403" s="639"/>
      <c r="P403" s="639"/>
      <c r="Q403" s="639"/>
      <c r="R403" s="639"/>
      <c r="S403" s="639"/>
      <c r="T403" s="639"/>
      <c r="U403" s="639"/>
      <c r="V403" s="639"/>
      <c r="W403" s="639"/>
      <c r="X403" s="639"/>
      <c r="Y403" s="639"/>
      <c r="Z403" s="639"/>
      <c r="AA403" s="639"/>
      <c r="AB403" s="639"/>
      <c r="AC403" s="639"/>
      <c r="AD403" s="639"/>
      <c r="AE403" s="639"/>
      <c r="AF403" s="639"/>
      <c r="AG403" s="669"/>
      <c r="AH403" s="606"/>
      <c r="AI403" s="19"/>
      <c r="AJ403" s="19"/>
      <c r="AK403" s="19"/>
    </row>
    <row r="404" spans="1:37" hidden="1" outlineLevel="3" x14ac:dyDescent="0.2">
      <c r="A404" s="606"/>
      <c r="B404" s="606"/>
      <c r="C404" s="607"/>
      <c r="D404" s="608"/>
      <c r="E404" s="608"/>
      <c r="F404" s="608"/>
      <c r="G404" s="608"/>
      <c r="H404" s="609"/>
      <c r="I404" s="632"/>
      <c r="J404" s="632"/>
      <c r="K404" s="632"/>
      <c r="L404" s="636"/>
      <c r="M404" s="639"/>
      <c r="N404" s="639"/>
      <c r="O404" s="639"/>
      <c r="P404" s="639"/>
      <c r="Q404" s="639"/>
      <c r="R404" s="639"/>
      <c r="S404" s="639"/>
      <c r="T404" s="639"/>
      <c r="U404" s="639"/>
      <c r="V404" s="639"/>
      <c r="W404" s="639"/>
      <c r="X404" s="639"/>
      <c r="Y404" s="639"/>
      <c r="Z404" s="639"/>
      <c r="AA404" s="639"/>
      <c r="AB404" s="639"/>
      <c r="AC404" s="639"/>
      <c r="AD404" s="639"/>
      <c r="AE404" s="639"/>
      <c r="AF404" s="639"/>
      <c r="AG404" s="669"/>
      <c r="AH404" s="606"/>
      <c r="AI404" s="19"/>
      <c r="AJ404" s="19"/>
      <c r="AK404" s="19"/>
    </row>
    <row r="405" spans="1:37" hidden="1" outlineLevel="3" x14ac:dyDescent="0.2">
      <c r="A405" s="606"/>
      <c r="B405" s="606"/>
      <c r="C405" s="607"/>
      <c r="D405" s="608"/>
      <c r="E405" s="608"/>
      <c r="F405" s="608"/>
      <c r="G405" s="608"/>
      <c r="H405" s="609"/>
      <c r="I405" s="632"/>
      <c r="J405" s="632"/>
      <c r="K405" s="632"/>
      <c r="L405" s="636"/>
      <c r="M405" s="639"/>
      <c r="N405" s="639"/>
      <c r="O405" s="639"/>
      <c r="P405" s="639"/>
      <c r="Q405" s="639"/>
      <c r="R405" s="639"/>
      <c r="S405" s="639"/>
      <c r="T405" s="639"/>
      <c r="U405" s="639"/>
      <c r="V405" s="639"/>
      <c r="W405" s="639"/>
      <c r="X405" s="639"/>
      <c r="Y405" s="639"/>
      <c r="Z405" s="639"/>
      <c r="AA405" s="639"/>
      <c r="AB405" s="639"/>
      <c r="AC405" s="639"/>
      <c r="AD405" s="639"/>
      <c r="AE405" s="639"/>
      <c r="AF405" s="639"/>
      <c r="AG405" s="669"/>
      <c r="AH405" s="606"/>
      <c r="AI405" s="19"/>
      <c r="AJ405" s="19"/>
      <c r="AK405" s="19"/>
    </row>
    <row r="406" spans="1:37" hidden="1" outlineLevel="3" x14ac:dyDescent="0.2">
      <c r="A406" s="606"/>
      <c r="B406" s="606"/>
      <c r="C406" s="607"/>
      <c r="D406" s="608"/>
      <c r="E406" s="608"/>
      <c r="F406" s="608"/>
      <c r="G406" s="608"/>
      <c r="H406" s="609"/>
      <c r="I406" s="632"/>
      <c r="J406" s="632"/>
      <c r="K406" s="632"/>
      <c r="L406" s="636"/>
      <c r="M406" s="639"/>
      <c r="N406" s="639"/>
      <c r="O406" s="639"/>
      <c r="P406" s="639"/>
      <c r="Q406" s="639"/>
      <c r="R406" s="639"/>
      <c r="S406" s="639"/>
      <c r="T406" s="639"/>
      <c r="U406" s="639"/>
      <c r="V406" s="639"/>
      <c r="W406" s="639"/>
      <c r="X406" s="639"/>
      <c r="Y406" s="639"/>
      <c r="Z406" s="639"/>
      <c r="AA406" s="639"/>
      <c r="AB406" s="639"/>
      <c r="AC406" s="639"/>
      <c r="AD406" s="639"/>
      <c r="AE406" s="639"/>
      <c r="AF406" s="639"/>
      <c r="AG406" s="669"/>
      <c r="AH406" s="606"/>
      <c r="AI406" s="19"/>
      <c r="AJ406" s="19"/>
      <c r="AK406" s="19"/>
    </row>
    <row r="407" spans="1:37" hidden="1" outlineLevel="3" x14ac:dyDescent="0.2">
      <c r="A407" s="606"/>
      <c r="B407" s="606"/>
      <c r="C407" s="607"/>
      <c r="D407" s="608"/>
      <c r="E407" s="608"/>
      <c r="F407" s="608"/>
      <c r="G407" s="608"/>
      <c r="H407" s="609"/>
      <c r="I407" s="632"/>
      <c r="J407" s="632"/>
      <c r="K407" s="632"/>
      <c r="L407" s="636"/>
      <c r="M407" s="639"/>
      <c r="N407" s="639"/>
      <c r="O407" s="639"/>
      <c r="P407" s="639"/>
      <c r="Q407" s="639"/>
      <c r="R407" s="639"/>
      <c r="S407" s="639"/>
      <c r="T407" s="639"/>
      <c r="U407" s="639"/>
      <c r="V407" s="639"/>
      <c r="W407" s="639"/>
      <c r="X407" s="639"/>
      <c r="Y407" s="639"/>
      <c r="Z407" s="639"/>
      <c r="AA407" s="639"/>
      <c r="AB407" s="639"/>
      <c r="AC407" s="639"/>
      <c r="AD407" s="639"/>
      <c r="AE407" s="639"/>
      <c r="AF407" s="639"/>
      <c r="AG407" s="669"/>
      <c r="AH407" s="606"/>
      <c r="AI407" s="19"/>
      <c r="AJ407" s="19"/>
      <c r="AK407" s="19"/>
    </row>
    <row r="408" spans="1:37" hidden="1" outlineLevel="3" x14ac:dyDescent="0.2">
      <c r="A408" s="606"/>
      <c r="B408" s="606"/>
      <c r="C408" s="607"/>
      <c r="D408" s="608"/>
      <c r="E408" s="608"/>
      <c r="F408" s="608"/>
      <c r="G408" s="608"/>
      <c r="H408" s="609"/>
      <c r="I408" s="632"/>
      <c r="J408" s="632"/>
      <c r="K408" s="632"/>
      <c r="L408" s="636"/>
      <c r="M408" s="639"/>
      <c r="N408" s="639"/>
      <c r="O408" s="639"/>
      <c r="P408" s="639"/>
      <c r="Q408" s="639"/>
      <c r="R408" s="639"/>
      <c r="S408" s="639"/>
      <c r="T408" s="639"/>
      <c r="U408" s="639"/>
      <c r="V408" s="639"/>
      <c r="W408" s="639"/>
      <c r="X408" s="639"/>
      <c r="Y408" s="639"/>
      <c r="Z408" s="639"/>
      <c r="AA408" s="639"/>
      <c r="AB408" s="639"/>
      <c r="AC408" s="639"/>
      <c r="AD408" s="639"/>
      <c r="AE408" s="639"/>
      <c r="AF408" s="639"/>
      <c r="AG408" s="669"/>
      <c r="AH408" s="606"/>
      <c r="AI408" s="19"/>
      <c r="AJ408" s="19"/>
      <c r="AK408" s="19"/>
    </row>
    <row r="409" spans="1:37" hidden="1" outlineLevel="3" x14ac:dyDescent="0.2">
      <c r="A409" s="606"/>
      <c r="B409" s="606"/>
      <c r="C409" s="607"/>
      <c r="D409" s="608"/>
      <c r="E409" s="608"/>
      <c r="F409" s="608"/>
      <c r="G409" s="608"/>
      <c r="H409" s="609"/>
      <c r="I409" s="632"/>
      <c r="J409" s="632"/>
      <c r="K409" s="632"/>
      <c r="L409" s="636"/>
      <c r="M409" s="639"/>
      <c r="N409" s="639"/>
      <c r="O409" s="639"/>
      <c r="P409" s="639"/>
      <c r="Q409" s="639"/>
      <c r="R409" s="639"/>
      <c r="S409" s="639"/>
      <c r="T409" s="639"/>
      <c r="U409" s="639"/>
      <c r="V409" s="639"/>
      <c r="W409" s="639"/>
      <c r="X409" s="639"/>
      <c r="Y409" s="639"/>
      <c r="Z409" s="639"/>
      <c r="AA409" s="639"/>
      <c r="AB409" s="639"/>
      <c r="AC409" s="639"/>
      <c r="AD409" s="639"/>
      <c r="AE409" s="639"/>
      <c r="AF409" s="639"/>
      <c r="AG409" s="669"/>
      <c r="AH409" s="606"/>
      <c r="AI409" s="19"/>
      <c r="AJ409" s="19"/>
      <c r="AK409" s="19"/>
    </row>
    <row r="410" spans="1:37" hidden="1" outlineLevel="3" x14ac:dyDescent="0.2">
      <c r="A410" s="606"/>
      <c r="B410" s="606"/>
      <c r="C410" s="607"/>
      <c r="D410" s="608"/>
      <c r="E410" s="608"/>
      <c r="F410" s="608"/>
      <c r="G410" s="608"/>
      <c r="H410" s="609"/>
      <c r="I410" s="632"/>
      <c r="J410" s="632"/>
      <c r="K410" s="632"/>
      <c r="L410" s="636"/>
      <c r="M410" s="639"/>
      <c r="N410" s="639"/>
      <c r="O410" s="639"/>
      <c r="P410" s="639"/>
      <c r="Q410" s="639"/>
      <c r="R410" s="639"/>
      <c r="S410" s="639"/>
      <c r="T410" s="639"/>
      <c r="U410" s="639"/>
      <c r="V410" s="639"/>
      <c r="W410" s="639"/>
      <c r="X410" s="639"/>
      <c r="Y410" s="639"/>
      <c r="Z410" s="639"/>
      <c r="AA410" s="639"/>
      <c r="AB410" s="639"/>
      <c r="AC410" s="639"/>
      <c r="AD410" s="639"/>
      <c r="AE410" s="639"/>
      <c r="AF410" s="639"/>
      <c r="AG410" s="669"/>
      <c r="AH410" s="606"/>
      <c r="AI410" s="19"/>
      <c r="AJ410" s="19"/>
      <c r="AK410" s="19"/>
    </row>
    <row r="411" spans="1:37" hidden="1" outlineLevel="3" x14ac:dyDescent="0.2">
      <c r="A411" s="606"/>
      <c r="B411" s="606"/>
      <c r="C411" s="607"/>
      <c r="D411" s="608"/>
      <c r="E411" s="608"/>
      <c r="F411" s="608"/>
      <c r="G411" s="608"/>
      <c r="H411" s="609"/>
      <c r="I411" s="632"/>
      <c r="J411" s="632"/>
      <c r="K411" s="632"/>
      <c r="L411" s="636"/>
      <c r="M411" s="639"/>
      <c r="N411" s="639"/>
      <c r="O411" s="639"/>
      <c r="P411" s="639"/>
      <c r="Q411" s="639"/>
      <c r="R411" s="639"/>
      <c r="S411" s="639"/>
      <c r="T411" s="639"/>
      <c r="U411" s="639"/>
      <c r="V411" s="639"/>
      <c r="W411" s="639"/>
      <c r="X411" s="639"/>
      <c r="Y411" s="639"/>
      <c r="Z411" s="639"/>
      <c r="AA411" s="639"/>
      <c r="AB411" s="639"/>
      <c r="AC411" s="639"/>
      <c r="AD411" s="639"/>
      <c r="AE411" s="639"/>
      <c r="AF411" s="639"/>
      <c r="AG411" s="669"/>
      <c r="AH411" s="606"/>
      <c r="AI411" s="19"/>
      <c r="AJ411" s="19"/>
      <c r="AK411" s="19"/>
    </row>
    <row r="412" spans="1:37" hidden="1" outlineLevel="3" x14ac:dyDescent="0.2">
      <c r="A412" s="606"/>
      <c r="B412" s="606"/>
      <c r="C412" s="607"/>
      <c r="D412" s="608"/>
      <c r="E412" s="608"/>
      <c r="F412" s="608"/>
      <c r="G412" s="608"/>
      <c r="H412" s="609"/>
      <c r="I412" s="632"/>
      <c r="J412" s="632"/>
      <c r="K412" s="632"/>
      <c r="L412" s="636"/>
      <c r="M412" s="639"/>
      <c r="N412" s="639"/>
      <c r="O412" s="639"/>
      <c r="P412" s="639"/>
      <c r="Q412" s="639"/>
      <c r="R412" s="639"/>
      <c r="S412" s="639"/>
      <c r="T412" s="639"/>
      <c r="U412" s="639"/>
      <c r="V412" s="639"/>
      <c r="W412" s="639"/>
      <c r="X412" s="639"/>
      <c r="Y412" s="639"/>
      <c r="Z412" s="639"/>
      <c r="AA412" s="639"/>
      <c r="AB412" s="639"/>
      <c r="AC412" s="639"/>
      <c r="AD412" s="639"/>
      <c r="AE412" s="639"/>
      <c r="AF412" s="639"/>
      <c r="AG412" s="669"/>
      <c r="AH412" s="606"/>
      <c r="AI412" s="19"/>
      <c r="AJ412" s="19"/>
      <c r="AK412" s="19"/>
    </row>
    <row r="413" spans="1:37" hidden="1" outlineLevel="3" x14ac:dyDescent="0.2">
      <c r="A413" s="606"/>
      <c r="B413" s="606"/>
      <c r="C413" s="607"/>
      <c r="D413" s="608"/>
      <c r="E413" s="608"/>
      <c r="F413" s="608"/>
      <c r="G413" s="608"/>
      <c r="H413" s="609"/>
      <c r="I413" s="632"/>
      <c r="J413" s="632"/>
      <c r="K413" s="632"/>
      <c r="L413" s="636"/>
      <c r="M413" s="639"/>
      <c r="N413" s="639"/>
      <c r="O413" s="639"/>
      <c r="P413" s="639"/>
      <c r="Q413" s="639"/>
      <c r="R413" s="639"/>
      <c r="S413" s="639"/>
      <c r="T413" s="639"/>
      <c r="U413" s="639"/>
      <c r="V413" s="639"/>
      <c r="W413" s="639"/>
      <c r="X413" s="639"/>
      <c r="Y413" s="639"/>
      <c r="Z413" s="639"/>
      <c r="AA413" s="639"/>
      <c r="AB413" s="639"/>
      <c r="AC413" s="639"/>
      <c r="AD413" s="639"/>
      <c r="AE413" s="639"/>
      <c r="AF413" s="639"/>
      <c r="AG413" s="669"/>
      <c r="AH413" s="606"/>
      <c r="AI413" s="19"/>
      <c r="AJ413" s="19"/>
      <c r="AK413" s="19"/>
    </row>
    <row r="414" spans="1:37" hidden="1" outlineLevel="3" x14ac:dyDescent="0.2">
      <c r="A414" s="606"/>
      <c r="B414" s="606"/>
      <c r="C414" s="607"/>
      <c r="D414" s="608"/>
      <c r="E414" s="608"/>
      <c r="F414" s="608"/>
      <c r="G414" s="608"/>
      <c r="H414" s="609"/>
      <c r="I414" s="632"/>
      <c r="J414" s="632"/>
      <c r="K414" s="632"/>
      <c r="L414" s="636"/>
      <c r="M414" s="639"/>
      <c r="N414" s="639"/>
      <c r="O414" s="639"/>
      <c r="P414" s="639"/>
      <c r="Q414" s="639"/>
      <c r="R414" s="639"/>
      <c r="S414" s="639"/>
      <c r="T414" s="639"/>
      <c r="U414" s="639"/>
      <c r="V414" s="639"/>
      <c r="W414" s="639"/>
      <c r="X414" s="639"/>
      <c r="Y414" s="639"/>
      <c r="Z414" s="639"/>
      <c r="AA414" s="639"/>
      <c r="AB414" s="639"/>
      <c r="AC414" s="639"/>
      <c r="AD414" s="639"/>
      <c r="AE414" s="639"/>
      <c r="AF414" s="639"/>
      <c r="AG414" s="669"/>
      <c r="AH414" s="606"/>
      <c r="AI414" s="19"/>
      <c r="AJ414" s="19"/>
      <c r="AK414" s="19"/>
    </row>
    <row r="415" spans="1:37" hidden="1" outlineLevel="3" x14ac:dyDescent="0.2">
      <c r="A415" s="606"/>
      <c r="B415" s="606"/>
      <c r="C415" s="607"/>
      <c r="D415" s="608"/>
      <c r="E415" s="608"/>
      <c r="F415" s="608"/>
      <c r="G415" s="608"/>
      <c r="H415" s="609"/>
      <c r="I415" s="632"/>
      <c r="J415" s="632"/>
      <c r="K415" s="632"/>
      <c r="L415" s="636"/>
      <c r="M415" s="639"/>
      <c r="N415" s="639"/>
      <c r="O415" s="639"/>
      <c r="P415" s="639"/>
      <c r="Q415" s="639"/>
      <c r="R415" s="639"/>
      <c r="S415" s="639"/>
      <c r="T415" s="639"/>
      <c r="U415" s="639"/>
      <c r="V415" s="639"/>
      <c r="W415" s="639"/>
      <c r="X415" s="639"/>
      <c r="Y415" s="639"/>
      <c r="Z415" s="639"/>
      <c r="AA415" s="639"/>
      <c r="AB415" s="639"/>
      <c r="AC415" s="639"/>
      <c r="AD415" s="639"/>
      <c r="AE415" s="639"/>
      <c r="AF415" s="639"/>
      <c r="AG415" s="669"/>
      <c r="AH415" s="606"/>
      <c r="AI415" s="19"/>
      <c r="AJ415" s="19"/>
      <c r="AK415" s="19"/>
    </row>
    <row r="416" spans="1:37" hidden="1" outlineLevel="3" x14ac:dyDescent="0.2">
      <c r="A416" s="606"/>
      <c r="B416" s="606"/>
      <c r="C416" s="607"/>
      <c r="D416" s="608"/>
      <c r="E416" s="608"/>
      <c r="F416" s="608"/>
      <c r="G416" s="608"/>
      <c r="H416" s="609"/>
      <c r="I416" s="632"/>
      <c r="J416" s="632"/>
      <c r="K416" s="632"/>
      <c r="L416" s="636"/>
      <c r="M416" s="639"/>
      <c r="N416" s="639"/>
      <c r="O416" s="639"/>
      <c r="P416" s="639"/>
      <c r="Q416" s="639"/>
      <c r="R416" s="639"/>
      <c r="S416" s="639"/>
      <c r="T416" s="639"/>
      <c r="U416" s="639"/>
      <c r="V416" s="639"/>
      <c r="W416" s="639"/>
      <c r="X416" s="639"/>
      <c r="Y416" s="639"/>
      <c r="Z416" s="639"/>
      <c r="AA416" s="639"/>
      <c r="AB416" s="639"/>
      <c r="AC416" s="639"/>
      <c r="AD416" s="639"/>
      <c r="AE416" s="639"/>
      <c r="AF416" s="639"/>
      <c r="AG416" s="669"/>
      <c r="AH416" s="606"/>
      <c r="AI416" s="19"/>
      <c r="AJ416" s="19"/>
      <c r="AK416" s="19"/>
    </row>
    <row r="417" spans="1:37" hidden="1" outlineLevel="3" x14ac:dyDescent="0.2">
      <c r="A417" s="606"/>
      <c r="B417" s="606"/>
      <c r="C417" s="607"/>
      <c r="D417" s="608"/>
      <c r="E417" s="608"/>
      <c r="F417" s="608"/>
      <c r="G417" s="608"/>
      <c r="H417" s="609"/>
      <c r="I417" s="632"/>
      <c r="J417" s="632"/>
      <c r="K417" s="632"/>
      <c r="L417" s="636"/>
      <c r="M417" s="639"/>
      <c r="N417" s="639"/>
      <c r="O417" s="639"/>
      <c r="P417" s="639"/>
      <c r="Q417" s="639"/>
      <c r="R417" s="639"/>
      <c r="S417" s="639"/>
      <c r="T417" s="639"/>
      <c r="U417" s="639"/>
      <c r="V417" s="639"/>
      <c r="W417" s="639"/>
      <c r="X417" s="639"/>
      <c r="Y417" s="639"/>
      <c r="Z417" s="639"/>
      <c r="AA417" s="639"/>
      <c r="AB417" s="639"/>
      <c r="AC417" s="639"/>
      <c r="AD417" s="639"/>
      <c r="AE417" s="639"/>
      <c r="AF417" s="639"/>
      <c r="AG417" s="669"/>
      <c r="AH417" s="606"/>
      <c r="AI417" s="19"/>
      <c r="AJ417" s="19"/>
      <c r="AK417" s="19"/>
    </row>
    <row r="418" spans="1:37" hidden="1" outlineLevel="3" x14ac:dyDescent="0.2">
      <c r="A418" s="606"/>
      <c r="B418" s="606"/>
      <c r="C418" s="607"/>
      <c r="D418" s="608"/>
      <c r="E418" s="608"/>
      <c r="F418" s="608"/>
      <c r="G418" s="608"/>
      <c r="H418" s="609"/>
      <c r="I418" s="632"/>
      <c r="J418" s="632"/>
      <c r="K418" s="632"/>
      <c r="L418" s="636"/>
      <c r="M418" s="639"/>
      <c r="N418" s="639"/>
      <c r="O418" s="639"/>
      <c r="P418" s="639"/>
      <c r="Q418" s="639"/>
      <c r="R418" s="639"/>
      <c r="S418" s="639"/>
      <c r="T418" s="639"/>
      <c r="U418" s="639"/>
      <c r="V418" s="639"/>
      <c r="W418" s="639"/>
      <c r="X418" s="639"/>
      <c r="Y418" s="639"/>
      <c r="Z418" s="639"/>
      <c r="AA418" s="639"/>
      <c r="AB418" s="639"/>
      <c r="AC418" s="639"/>
      <c r="AD418" s="639"/>
      <c r="AE418" s="639"/>
      <c r="AF418" s="639"/>
      <c r="AG418" s="669"/>
      <c r="AH418" s="606"/>
      <c r="AI418" s="19"/>
      <c r="AJ418" s="19"/>
      <c r="AK418" s="19"/>
    </row>
    <row r="419" spans="1:37" hidden="1" outlineLevel="3" x14ac:dyDescent="0.2">
      <c r="A419" s="606"/>
      <c r="B419" s="606"/>
      <c r="C419" s="607"/>
      <c r="D419" s="608"/>
      <c r="E419" s="608"/>
      <c r="F419" s="608"/>
      <c r="G419" s="608"/>
      <c r="H419" s="609"/>
      <c r="I419" s="632"/>
      <c r="J419" s="632"/>
      <c r="K419" s="632"/>
      <c r="L419" s="636"/>
      <c r="M419" s="639"/>
      <c r="N419" s="639"/>
      <c r="O419" s="639"/>
      <c r="P419" s="639"/>
      <c r="Q419" s="639"/>
      <c r="R419" s="639"/>
      <c r="S419" s="639"/>
      <c r="T419" s="639"/>
      <c r="U419" s="639"/>
      <c r="V419" s="639"/>
      <c r="W419" s="639"/>
      <c r="X419" s="639"/>
      <c r="Y419" s="639"/>
      <c r="Z419" s="639"/>
      <c r="AA419" s="639"/>
      <c r="AB419" s="639"/>
      <c r="AC419" s="639"/>
      <c r="AD419" s="639"/>
      <c r="AE419" s="639"/>
      <c r="AF419" s="639"/>
      <c r="AG419" s="669"/>
      <c r="AH419" s="606"/>
      <c r="AI419" s="19"/>
      <c r="AJ419" s="19"/>
      <c r="AK419" s="19"/>
    </row>
    <row r="420" spans="1:37" hidden="1" outlineLevel="3" x14ac:dyDescent="0.2">
      <c r="A420" s="606"/>
      <c r="B420" s="606"/>
      <c r="C420" s="607"/>
      <c r="D420" s="608"/>
      <c r="E420" s="608"/>
      <c r="F420" s="608"/>
      <c r="G420" s="608"/>
      <c r="H420" s="609"/>
      <c r="I420" s="632"/>
      <c r="J420" s="632"/>
      <c r="K420" s="632"/>
      <c r="L420" s="636"/>
      <c r="M420" s="639"/>
      <c r="N420" s="639"/>
      <c r="O420" s="639"/>
      <c r="P420" s="639"/>
      <c r="Q420" s="639"/>
      <c r="R420" s="639"/>
      <c r="S420" s="639"/>
      <c r="T420" s="639"/>
      <c r="U420" s="639"/>
      <c r="V420" s="639"/>
      <c r="W420" s="639"/>
      <c r="X420" s="639"/>
      <c r="Y420" s="639"/>
      <c r="Z420" s="639"/>
      <c r="AA420" s="639"/>
      <c r="AB420" s="639"/>
      <c r="AC420" s="639"/>
      <c r="AD420" s="639"/>
      <c r="AE420" s="639"/>
      <c r="AF420" s="639"/>
      <c r="AG420" s="669"/>
      <c r="AH420" s="606"/>
      <c r="AI420" s="19"/>
      <c r="AJ420" s="19"/>
      <c r="AK420" s="19"/>
    </row>
    <row r="421" spans="1:37" hidden="1" outlineLevel="3" x14ac:dyDescent="0.2">
      <c r="A421" s="606"/>
      <c r="B421" s="606"/>
      <c r="C421" s="607"/>
      <c r="D421" s="608"/>
      <c r="E421" s="608"/>
      <c r="F421" s="608"/>
      <c r="G421" s="608"/>
      <c r="H421" s="609"/>
      <c r="I421" s="632"/>
      <c r="J421" s="632"/>
      <c r="K421" s="632"/>
      <c r="L421" s="636"/>
      <c r="M421" s="639"/>
      <c r="N421" s="639"/>
      <c r="O421" s="639"/>
      <c r="P421" s="639"/>
      <c r="Q421" s="639"/>
      <c r="R421" s="639"/>
      <c r="S421" s="639"/>
      <c r="T421" s="639"/>
      <c r="U421" s="639"/>
      <c r="V421" s="639"/>
      <c r="W421" s="639"/>
      <c r="X421" s="639"/>
      <c r="Y421" s="639"/>
      <c r="Z421" s="639"/>
      <c r="AA421" s="639"/>
      <c r="AB421" s="639"/>
      <c r="AC421" s="639"/>
      <c r="AD421" s="639"/>
      <c r="AE421" s="639"/>
      <c r="AF421" s="639"/>
      <c r="AG421" s="669"/>
      <c r="AH421" s="606"/>
      <c r="AI421" s="19"/>
      <c r="AJ421" s="19"/>
      <c r="AK421" s="19"/>
    </row>
    <row r="422" spans="1:37" hidden="1" outlineLevel="3" x14ac:dyDescent="0.2">
      <c r="A422" s="606"/>
      <c r="B422" s="606"/>
      <c r="C422" s="607"/>
      <c r="D422" s="608"/>
      <c r="E422" s="608"/>
      <c r="F422" s="608"/>
      <c r="G422" s="608"/>
      <c r="H422" s="609"/>
      <c r="I422" s="632"/>
      <c r="J422" s="632"/>
      <c r="K422" s="632"/>
      <c r="L422" s="636"/>
      <c r="M422" s="639"/>
      <c r="N422" s="639"/>
      <c r="O422" s="639"/>
      <c r="P422" s="639"/>
      <c r="Q422" s="639"/>
      <c r="R422" s="639"/>
      <c r="S422" s="639"/>
      <c r="T422" s="639"/>
      <c r="U422" s="639"/>
      <c r="V422" s="639"/>
      <c r="W422" s="639"/>
      <c r="X422" s="639"/>
      <c r="Y422" s="639"/>
      <c r="Z422" s="639"/>
      <c r="AA422" s="639"/>
      <c r="AB422" s="639"/>
      <c r="AC422" s="639"/>
      <c r="AD422" s="639"/>
      <c r="AE422" s="639"/>
      <c r="AF422" s="639"/>
      <c r="AG422" s="669"/>
      <c r="AH422" s="606"/>
      <c r="AI422" s="19"/>
      <c r="AJ422" s="19"/>
      <c r="AK422" s="19"/>
    </row>
    <row r="423" spans="1:37" hidden="1" outlineLevel="3" x14ac:dyDescent="0.2">
      <c r="A423" s="606"/>
      <c r="B423" s="606"/>
      <c r="C423" s="607"/>
      <c r="D423" s="608"/>
      <c r="E423" s="608"/>
      <c r="F423" s="608"/>
      <c r="G423" s="608"/>
      <c r="H423" s="609"/>
      <c r="I423" s="632"/>
      <c r="J423" s="632"/>
      <c r="K423" s="632"/>
      <c r="L423" s="636"/>
      <c r="M423" s="639"/>
      <c r="N423" s="639"/>
      <c r="O423" s="639"/>
      <c r="P423" s="639"/>
      <c r="Q423" s="639"/>
      <c r="R423" s="639"/>
      <c r="S423" s="639"/>
      <c r="T423" s="639"/>
      <c r="U423" s="639"/>
      <c r="V423" s="639"/>
      <c r="W423" s="639"/>
      <c r="X423" s="639"/>
      <c r="Y423" s="639"/>
      <c r="Z423" s="639"/>
      <c r="AA423" s="639"/>
      <c r="AB423" s="639"/>
      <c r="AC423" s="639"/>
      <c r="AD423" s="639"/>
      <c r="AE423" s="639"/>
      <c r="AF423" s="639"/>
      <c r="AG423" s="669"/>
      <c r="AH423" s="606"/>
      <c r="AI423" s="19"/>
      <c r="AJ423" s="19"/>
      <c r="AK423" s="19"/>
    </row>
    <row r="424" spans="1:37" hidden="1" outlineLevel="3" x14ac:dyDescent="0.2">
      <c r="A424" s="606"/>
      <c r="B424" s="606"/>
      <c r="C424" s="607"/>
      <c r="D424" s="608"/>
      <c r="E424" s="608"/>
      <c r="F424" s="608"/>
      <c r="G424" s="608"/>
      <c r="H424" s="609"/>
      <c r="I424" s="632"/>
      <c r="J424" s="632"/>
      <c r="K424" s="632"/>
      <c r="L424" s="636"/>
      <c r="M424" s="639"/>
      <c r="N424" s="639"/>
      <c r="O424" s="639"/>
      <c r="P424" s="639"/>
      <c r="Q424" s="639"/>
      <c r="R424" s="639"/>
      <c r="S424" s="639"/>
      <c r="T424" s="639"/>
      <c r="U424" s="639"/>
      <c r="V424" s="639"/>
      <c r="W424" s="639"/>
      <c r="X424" s="639"/>
      <c r="Y424" s="639"/>
      <c r="Z424" s="639"/>
      <c r="AA424" s="639"/>
      <c r="AB424" s="639"/>
      <c r="AC424" s="639"/>
      <c r="AD424" s="639"/>
      <c r="AE424" s="639"/>
      <c r="AF424" s="639"/>
      <c r="AG424" s="669"/>
      <c r="AH424" s="606"/>
      <c r="AI424" s="19"/>
      <c r="AJ424" s="19"/>
      <c r="AK424" s="19"/>
    </row>
    <row r="425" spans="1:37" hidden="1" outlineLevel="3" x14ac:dyDescent="0.2">
      <c r="A425" s="606"/>
      <c r="B425" s="606"/>
      <c r="C425" s="607"/>
      <c r="D425" s="608"/>
      <c r="E425" s="608"/>
      <c r="F425" s="608"/>
      <c r="G425" s="608"/>
      <c r="H425" s="609"/>
      <c r="I425" s="632"/>
      <c r="J425" s="632"/>
      <c r="K425" s="632"/>
      <c r="L425" s="636"/>
      <c r="M425" s="639"/>
      <c r="N425" s="639"/>
      <c r="O425" s="639"/>
      <c r="P425" s="639"/>
      <c r="Q425" s="639"/>
      <c r="R425" s="639"/>
      <c r="S425" s="639"/>
      <c r="T425" s="639"/>
      <c r="U425" s="639"/>
      <c r="V425" s="639"/>
      <c r="W425" s="639"/>
      <c r="X425" s="639"/>
      <c r="Y425" s="639"/>
      <c r="Z425" s="639"/>
      <c r="AA425" s="639"/>
      <c r="AB425" s="639"/>
      <c r="AC425" s="639"/>
      <c r="AD425" s="639"/>
      <c r="AE425" s="639"/>
      <c r="AF425" s="639"/>
      <c r="AG425" s="669"/>
      <c r="AH425" s="606"/>
      <c r="AI425" s="19"/>
      <c r="AJ425" s="19"/>
      <c r="AK425" s="19"/>
    </row>
    <row r="426" spans="1:37" hidden="1" outlineLevel="3" x14ac:dyDescent="0.2">
      <c r="A426" s="606"/>
      <c r="B426" s="606"/>
      <c r="C426" s="607"/>
      <c r="D426" s="608"/>
      <c r="E426" s="608"/>
      <c r="F426" s="608"/>
      <c r="G426" s="608"/>
      <c r="H426" s="609"/>
      <c r="I426" s="632"/>
      <c r="J426" s="632"/>
      <c r="K426" s="632"/>
      <c r="L426" s="636"/>
      <c r="M426" s="639"/>
      <c r="N426" s="639"/>
      <c r="O426" s="639"/>
      <c r="P426" s="639"/>
      <c r="Q426" s="639"/>
      <c r="R426" s="639"/>
      <c r="S426" s="639"/>
      <c r="T426" s="639"/>
      <c r="U426" s="639"/>
      <c r="V426" s="639"/>
      <c r="W426" s="639"/>
      <c r="X426" s="639"/>
      <c r="Y426" s="639"/>
      <c r="Z426" s="639"/>
      <c r="AA426" s="639"/>
      <c r="AB426" s="639"/>
      <c r="AC426" s="639"/>
      <c r="AD426" s="639"/>
      <c r="AE426" s="639"/>
      <c r="AF426" s="639"/>
      <c r="AG426" s="669"/>
      <c r="AH426" s="606"/>
      <c r="AI426" s="19"/>
      <c r="AJ426" s="19"/>
      <c r="AK426" s="19"/>
    </row>
    <row r="427" spans="1:37" hidden="1" outlineLevel="3" x14ac:dyDescent="0.2">
      <c r="A427" s="606"/>
      <c r="B427" s="606"/>
      <c r="C427" s="607"/>
      <c r="D427" s="608"/>
      <c r="E427" s="608"/>
      <c r="F427" s="608"/>
      <c r="G427" s="608"/>
      <c r="H427" s="609"/>
      <c r="I427" s="632"/>
      <c r="J427" s="632"/>
      <c r="K427" s="632"/>
      <c r="L427" s="636"/>
      <c r="M427" s="639"/>
      <c r="N427" s="639"/>
      <c r="O427" s="639"/>
      <c r="P427" s="639"/>
      <c r="Q427" s="639"/>
      <c r="R427" s="639"/>
      <c r="S427" s="639"/>
      <c r="T427" s="639"/>
      <c r="U427" s="639"/>
      <c r="V427" s="639"/>
      <c r="W427" s="639"/>
      <c r="X427" s="639"/>
      <c r="Y427" s="639"/>
      <c r="Z427" s="639"/>
      <c r="AA427" s="639"/>
      <c r="AB427" s="639"/>
      <c r="AC427" s="639"/>
      <c r="AD427" s="639"/>
      <c r="AE427" s="639"/>
      <c r="AF427" s="639"/>
      <c r="AG427" s="669"/>
      <c r="AH427" s="606"/>
      <c r="AI427" s="19"/>
      <c r="AJ427" s="19"/>
      <c r="AK427" s="19"/>
    </row>
    <row r="428" spans="1:37" hidden="1" outlineLevel="3" x14ac:dyDescent="0.2">
      <c r="A428" s="606"/>
      <c r="B428" s="606"/>
      <c r="C428" s="607"/>
      <c r="D428" s="608"/>
      <c r="E428" s="608"/>
      <c r="F428" s="608"/>
      <c r="G428" s="608"/>
      <c r="H428" s="609"/>
      <c r="I428" s="632"/>
      <c r="J428" s="632"/>
      <c r="K428" s="632"/>
      <c r="L428" s="636"/>
      <c r="M428" s="639"/>
      <c r="N428" s="639"/>
      <c r="O428" s="639"/>
      <c r="P428" s="639"/>
      <c r="Q428" s="639"/>
      <c r="R428" s="639"/>
      <c r="S428" s="639"/>
      <c r="T428" s="639"/>
      <c r="U428" s="639"/>
      <c r="V428" s="639"/>
      <c r="W428" s="639"/>
      <c r="X428" s="639"/>
      <c r="Y428" s="639"/>
      <c r="Z428" s="639"/>
      <c r="AA428" s="639"/>
      <c r="AB428" s="639"/>
      <c r="AC428" s="639"/>
      <c r="AD428" s="639"/>
      <c r="AE428" s="639"/>
      <c r="AF428" s="639"/>
      <c r="AG428" s="669"/>
      <c r="AH428" s="606"/>
      <c r="AI428" s="19"/>
      <c r="AJ428" s="19"/>
      <c r="AK428" s="19"/>
    </row>
    <row r="429" spans="1:37" hidden="1" outlineLevel="3" x14ac:dyDescent="0.2">
      <c r="A429" s="606"/>
      <c r="B429" s="606"/>
      <c r="C429" s="607"/>
      <c r="D429" s="608"/>
      <c r="E429" s="608"/>
      <c r="F429" s="608"/>
      <c r="G429" s="608"/>
      <c r="H429" s="609"/>
      <c r="I429" s="632"/>
      <c r="J429" s="632"/>
      <c r="K429" s="632"/>
      <c r="L429" s="636"/>
      <c r="M429" s="639"/>
      <c r="N429" s="639"/>
      <c r="O429" s="639"/>
      <c r="P429" s="639"/>
      <c r="Q429" s="639"/>
      <c r="R429" s="639"/>
      <c r="S429" s="639"/>
      <c r="T429" s="639"/>
      <c r="U429" s="639"/>
      <c r="V429" s="639"/>
      <c r="W429" s="639"/>
      <c r="X429" s="639"/>
      <c r="Y429" s="639"/>
      <c r="Z429" s="639"/>
      <c r="AA429" s="639"/>
      <c r="AB429" s="639"/>
      <c r="AC429" s="639"/>
      <c r="AD429" s="639"/>
      <c r="AE429" s="639"/>
      <c r="AF429" s="639"/>
      <c r="AG429" s="669"/>
      <c r="AH429" s="606"/>
      <c r="AI429" s="19"/>
      <c r="AJ429" s="19"/>
      <c r="AK429" s="19"/>
    </row>
    <row r="430" spans="1:37" hidden="1" outlineLevel="3" x14ac:dyDescent="0.2">
      <c r="A430" s="606"/>
      <c r="B430" s="606"/>
      <c r="C430" s="607"/>
      <c r="D430" s="608"/>
      <c r="E430" s="608"/>
      <c r="F430" s="608"/>
      <c r="G430" s="608"/>
      <c r="H430" s="609"/>
      <c r="I430" s="632"/>
      <c r="J430" s="632"/>
      <c r="K430" s="632"/>
      <c r="L430" s="636"/>
      <c r="M430" s="639"/>
      <c r="N430" s="639"/>
      <c r="O430" s="639"/>
      <c r="P430" s="639"/>
      <c r="Q430" s="639"/>
      <c r="R430" s="639"/>
      <c r="S430" s="639"/>
      <c r="T430" s="639"/>
      <c r="U430" s="639"/>
      <c r="V430" s="639"/>
      <c r="W430" s="639"/>
      <c r="X430" s="639"/>
      <c r="Y430" s="639"/>
      <c r="Z430" s="639"/>
      <c r="AA430" s="639"/>
      <c r="AB430" s="639"/>
      <c r="AC430" s="639"/>
      <c r="AD430" s="639"/>
      <c r="AE430" s="639"/>
      <c r="AF430" s="639"/>
      <c r="AG430" s="669"/>
      <c r="AH430" s="606"/>
      <c r="AI430" s="19"/>
      <c r="AJ430" s="19"/>
      <c r="AK430" s="19"/>
    </row>
    <row r="431" spans="1:37" hidden="1" outlineLevel="3" x14ac:dyDescent="0.2">
      <c r="A431" s="606"/>
      <c r="B431" s="606"/>
      <c r="C431" s="607"/>
      <c r="D431" s="608"/>
      <c r="E431" s="608"/>
      <c r="F431" s="608"/>
      <c r="G431" s="608"/>
      <c r="H431" s="609"/>
      <c r="I431" s="632"/>
      <c r="J431" s="632"/>
      <c r="K431" s="632"/>
      <c r="L431" s="636"/>
      <c r="M431" s="639"/>
      <c r="N431" s="639"/>
      <c r="O431" s="639"/>
      <c r="P431" s="639"/>
      <c r="Q431" s="639"/>
      <c r="R431" s="639"/>
      <c r="S431" s="639"/>
      <c r="T431" s="639"/>
      <c r="U431" s="639"/>
      <c r="V431" s="639"/>
      <c r="W431" s="639"/>
      <c r="X431" s="639"/>
      <c r="Y431" s="639"/>
      <c r="Z431" s="639"/>
      <c r="AA431" s="639"/>
      <c r="AB431" s="639"/>
      <c r="AC431" s="639"/>
      <c r="AD431" s="639"/>
      <c r="AE431" s="639"/>
      <c r="AF431" s="639"/>
      <c r="AG431" s="669"/>
      <c r="AH431" s="606"/>
      <c r="AI431" s="19"/>
      <c r="AJ431" s="19"/>
      <c r="AK431" s="19"/>
    </row>
    <row r="432" spans="1:37" hidden="1" outlineLevel="3" x14ac:dyDescent="0.2">
      <c r="A432" s="606"/>
      <c r="B432" s="606"/>
      <c r="C432" s="607"/>
      <c r="D432" s="608"/>
      <c r="E432" s="608"/>
      <c r="F432" s="608"/>
      <c r="G432" s="608"/>
      <c r="H432" s="609"/>
      <c r="I432" s="632"/>
      <c r="J432" s="632"/>
      <c r="K432" s="632"/>
      <c r="L432" s="636"/>
      <c r="M432" s="639"/>
      <c r="N432" s="639"/>
      <c r="O432" s="639"/>
      <c r="P432" s="639"/>
      <c r="Q432" s="639"/>
      <c r="R432" s="639"/>
      <c r="S432" s="639"/>
      <c r="T432" s="639"/>
      <c r="U432" s="639"/>
      <c r="V432" s="639"/>
      <c r="W432" s="639"/>
      <c r="X432" s="639"/>
      <c r="Y432" s="639"/>
      <c r="Z432" s="639"/>
      <c r="AA432" s="639"/>
      <c r="AB432" s="639"/>
      <c r="AC432" s="639"/>
      <c r="AD432" s="639"/>
      <c r="AE432" s="639"/>
      <c r="AF432" s="639"/>
      <c r="AG432" s="669"/>
      <c r="AH432" s="606"/>
      <c r="AI432" s="19"/>
      <c r="AJ432" s="19"/>
      <c r="AK432" s="19"/>
    </row>
    <row r="433" spans="1:37" hidden="1" outlineLevel="3" x14ac:dyDescent="0.2">
      <c r="A433" s="606"/>
      <c r="B433" s="606"/>
      <c r="C433" s="607"/>
      <c r="D433" s="608"/>
      <c r="E433" s="608"/>
      <c r="F433" s="608"/>
      <c r="G433" s="608"/>
      <c r="H433" s="609"/>
      <c r="I433" s="632"/>
      <c r="J433" s="632"/>
      <c r="K433" s="632"/>
      <c r="L433" s="636"/>
      <c r="M433" s="639"/>
      <c r="N433" s="639"/>
      <c r="O433" s="639"/>
      <c r="P433" s="639"/>
      <c r="Q433" s="639"/>
      <c r="R433" s="639"/>
      <c r="S433" s="639"/>
      <c r="T433" s="639"/>
      <c r="U433" s="639"/>
      <c r="V433" s="639"/>
      <c r="W433" s="639"/>
      <c r="X433" s="639"/>
      <c r="Y433" s="639"/>
      <c r="Z433" s="639"/>
      <c r="AA433" s="639"/>
      <c r="AB433" s="639"/>
      <c r="AC433" s="639"/>
      <c r="AD433" s="639"/>
      <c r="AE433" s="639"/>
      <c r="AF433" s="639"/>
      <c r="AG433" s="669"/>
      <c r="AH433" s="606"/>
      <c r="AI433" s="19"/>
      <c r="AJ433" s="19"/>
      <c r="AK433" s="19"/>
    </row>
    <row r="434" spans="1:37" hidden="1" outlineLevel="3" x14ac:dyDescent="0.2">
      <c r="A434" s="606"/>
      <c r="B434" s="606"/>
      <c r="C434" s="607"/>
      <c r="D434" s="608"/>
      <c r="E434" s="608"/>
      <c r="F434" s="608"/>
      <c r="G434" s="608"/>
      <c r="H434" s="609"/>
      <c r="I434" s="632"/>
      <c r="J434" s="632"/>
      <c r="K434" s="632"/>
      <c r="L434" s="636"/>
      <c r="M434" s="639"/>
      <c r="N434" s="639"/>
      <c r="O434" s="639"/>
      <c r="P434" s="639"/>
      <c r="Q434" s="639"/>
      <c r="R434" s="639"/>
      <c r="S434" s="639"/>
      <c r="T434" s="639"/>
      <c r="U434" s="639"/>
      <c r="V434" s="639"/>
      <c r="W434" s="639"/>
      <c r="X434" s="639"/>
      <c r="Y434" s="639"/>
      <c r="Z434" s="639"/>
      <c r="AA434" s="639"/>
      <c r="AB434" s="639"/>
      <c r="AC434" s="639"/>
      <c r="AD434" s="639"/>
      <c r="AE434" s="639"/>
      <c r="AF434" s="639"/>
      <c r="AG434" s="669"/>
      <c r="AH434" s="606"/>
      <c r="AI434" s="19"/>
      <c r="AJ434" s="19"/>
      <c r="AK434" s="19"/>
    </row>
    <row r="435" spans="1:37" hidden="1" outlineLevel="3" x14ac:dyDescent="0.2">
      <c r="A435" s="606"/>
      <c r="B435" s="606"/>
      <c r="C435" s="607"/>
      <c r="D435" s="608"/>
      <c r="E435" s="608"/>
      <c r="F435" s="608"/>
      <c r="G435" s="608"/>
      <c r="H435" s="609"/>
      <c r="I435" s="632"/>
      <c r="J435" s="632"/>
      <c r="K435" s="632"/>
      <c r="L435" s="636"/>
      <c r="M435" s="639"/>
      <c r="N435" s="639"/>
      <c r="O435" s="639"/>
      <c r="P435" s="639"/>
      <c r="Q435" s="639"/>
      <c r="R435" s="639"/>
      <c r="S435" s="639"/>
      <c r="T435" s="639"/>
      <c r="U435" s="639"/>
      <c r="V435" s="639"/>
      <c r="W435" s="639"/>
      <c r="X435" s="639"/>
      <c r="Y435" s="639"/>
      <c r="Z435" s="639"/>
      <c r="AA435" s="639"/>
      <c r="AB435" s="639"/>
      <c r="AC435" s="639"/>
      <c r="AD435" s="639"/>
      <c r="AE435" s="639"/>
      <c r="AF435" s="639"/>
      <c r="AG435" s="669"/>
      <c r="AH435" s="606"/>
      <c r="AI435" s="19"/>
      <c r="AJ435" s="19"/>
      <c r="AK435" s="19"/>
    </row>
    <row r="436" spans="1:37" hidden="1" outlineLevel="3" x14ac:dyDescent="0.2">
      <c r="A436" s="606"/>
      <c r="B436" s="606"/>
      <c r="C436" s="607"/>
      <c r="D436" s="608"/>
      <c r="E436" s="608"/>
      <c r="F436" s="608"/>
      <c r="G436" s="608"/>
      <c r="H436" s="609"/>
      <c r="I436" s="632"/>
      <c r="J436" s="632"/>
      <c r="K436" s="632"/>
      <c r="L436" s="636"/>
      <c r="M436" s="639"/>
      <c r="N436" s="639"/>
      <c r="O436" s="639"/>
      <c r="P436" s="639"/>
      <c r="Q436" s="639"/>
      <c r="R436" s="639"/>
      <c r="S436" s="639"/>
      <c r="T436" s="639"/>
      <c r="U436" s="639"/>
      <c r="V436" s="639"/>
      <c r="W436" s="639"/>
      <c r="X436" s="639"/>
      <c r="Y436" s="639"/>
      <c r="Z436" s="639"/>
      <c r="AA436" s="639"/>
      <c r="AB436" s="639"/>
      <c r="AC436" s="639"/>
      <c r="AD436" s="639"/>
      <c r="AE436" s="639"/>
      <c r="AF436" s="639"/>
      <c r="AG436" s="669"/>
      <c r="AH436" s="606"/>
      <c r="AI436" s="19"/>
      <c r="AJ436" s="19"/>
      <c r="AK436" s="19"/>
    </row>
    <row r="437" spans="1:37" hidden="1" outlineLevel="3" x14ac:dyDescent="0.2">
      <c r="A437" s="606"/>
      <c r="B437" s="606"/>
      <c r="C437" s="607"/>
      <c r="D437" s="608"/>
      <c r="E437" s="608"/>
      <c r="F437" s="608"/>
      <c r="G437" s="608"/>
      <c r="H437" s="609"/>
      <c r="I437" s="632"/>
      <c r="J437" s="632"/>
      <c r="K437" s="632"/>
      <c r="L437" s="636"/>
      <c r="M437" s="639"/>
      <c r="N437" s="639"/>
      <c r="O437" s="639"/>
      <c r="P437" s="639"/>
      <c r="Q437" s="639"/>
      <c r="R437" s="639"/>
      <c r="S437" s="639"/>
      <c r="T437" s="639"/>
      <c r="U437" s="639"/>
      <c r="V437" s="639"/>
      <c r="W437" s="639"/>
      <c r="X437" s="639"/>
      <c r="Y437" s="639"/>
      <c r="Z437" s="639"/>
      <c r="AA437" s="639"/>
      <c r="AB437" s="639"/>
      <c r="AC437" s="639"/>
      <c r="AD437" s="639"/>
      <c r="AE437" s="639"/>
      <c r="AF437" s="639"/>
      <c r="AG437" s="669"/>
      <c r="AH437" s="606"/>
      <c r="AI437" s="19"/>
      <c r="AJ437" s="19"/>
      <c r="AK437" s="19"/>
    </row>
    <row r="438" spans="1:37" hidden="1" outlineLevel="3" x14ac:dyDescent="0.2">
      <c r="A438" s="606"/>
      <c r="B438" s="606"/>
      <c r="C438" s="607"/>
      <c r="D438" s="608"/>
      <c r="E438" s="608"/>
      <c r="F438" s="608"/>
      <c r="G438" s="608"/>
      <c r="H438" s="609"/>
      <c r="I438" s="632"/>
      <c r="J438" s="632"/>
      <c r="K438" s="632"/>
      <c r="L438" s="636"/>
      <c r="M438" s="639"/>
      <c r="N438" s="639"/>
      <c r="O438" s="639"/>
      <c r="P438" s="639"/>
      <c r="Q438" s="639"/>
      <c r="R438" s="639"/>
      <c r="S438" s="639"/>
      <c r="T438" s="639"/>
      <c r="U438" s="639"/>
      <c r="V438" s="639"/>
      <c r="W438" s="639"/>
      <c r="X438" s="639"/>
      <c r="Y438" s="639"/>
      <c r="Z438" s="639"/>
      <c r="AA438" s="639"/>
      <c r="AB438" s="639"/>
      <c r="AC438" s="639"/>
      <c r="AD438" s="639"/>
      <c r="AE438" s="639"/>
      <c r="AF438" s="639"/>
      <c r="AG438" s="669"/>
      <c r="AH438" s="606"/>
      <c r="AI438" s="19"/>
      <c r="AJ438" s="19"/>
      <c r="AK438" s="19"/>
    </row>
    <row r="439" spans="1:37" hidden="1" outlineLevel="3" x14ac:dyDescent="0.2">
      <c r="A439" s="606"/>
      <c r="B439" s="606"/>
      <c r="C439" s="607"/>
      <c r="D439" s="608"/>
      <c r="E439" s="608"/>
      <c r="F439" s="608"/>
      <c r="G439" s="608"/>
      <c r="H439" s="609"/>
      <c r="I439" s="632"/>
      <c r="J439" s="632"/>
      <c r="K439" s="632"/>
      <c r="L439" s="636"/>
      <c r="M439" s="639"/>
      <c r="N439" s="639"/>
      <c r="O439" s="639"/>
      <c r="P439" s="639"/>
      <c r="Q439" s="639"/>
      <c r="R439" s="639"/>
      <c r="S439" s="639"/>
      <c r="T439" s="639"/>
      <c r="U439" s="639"/>
      <c r="V439" s="639"/>
      <c r="W439" s="639"/>
      <c r="X439" s="639"/>
      <c r="Y439" s="639"/>
      <c r="Z439" s="639"/>
      <c r="AA439" s="639"/>
      <c r="AB439" s="639"/>
      <c r="AC439" s="639"/>
      <c r="AD439" s="639"/>
      <c r="AE439" s="639"/>
      <c r="AF439" s="639"/>
      <c r="AG439" s="669"/>
      <c r="AH439" s="606"/>
      <c r="AI439" s="19"/>
      <c r="AJ439" s="19"/>
      <c r="AK439" s="19"/>
    </row>
    <row r="440" spans="1:37" hidden="1" outlineLevel="3" x14ac:dyDescent="0.2">
      <c r="A440" s="606"/>
      <c r="B440" s="606"/>
      <c r="C440" s="607"/>
      <c r="D440" s="608"/>
      <c r="E440" s="608"/>
      <c r="F440" s="608"/>
      <c r="G440" s="608"/>
      <c r="H440" s="609"/>
      <c r="I440" s="632"/>
      <c r="J440" s="632"/>
      <c r="K440" s="632"/>
      <c r="L440" s="636"/>
      <c r="M440" s="639"/>
      <c r="N440" s="639"/>
      <c r="O440" s="639"/>
      <c r="P440" s="639"/>
      <c r="Q440" s="639"/>
      <c r="R440" s="639"/>
      <c r="S440" s="639"/>
      <c r="T440" s="639"/>
      <c r="U440" s="639"/>
      <c r="V440" s="639"/>
      <c r="W440" s="639"/>
      <c r="X440" s="639"/>
      <c r="Y440" s="639"/>
      <c r="Z440" s="639"/>
      <c r="AA440" s="639"/>
      <c r="AB440" s="639"/>
      <c r="AC440" s="639"/>
      <c r="AD440" s="639"/>
      <c r="AE440" s="639"/>
      <c r="AF440" s="639"/>
      <c r="AG440" s="669"/>
      <c r="AH440" s="606"/>
      <c r="AI440" s="19"/>
      <c r="AJ440" s="19"/>
      <c r="AK440" s="19"/>
    </row>
    <row r="441" spans="1:37" hidden="1" outlineLevel="3" x14ac:dyDescent="0.2">
      <c r="A441" s="606"/>
      <c r="B441" s="606"/>
      <c r="C441" s="607"/>
      <c r="D441" s="608"/>
      <c r="E441" s="608"/>
      <c r="F441" s="608"/>
      <c r="G441" s="608"/>
      <c r="H441" s="609"/>
      <c r="I441" s="632"/>
      <c r="J441" s="632"/>
      <c r="K441" s="632"/>
      <c r="L441" s="636"/>
      <c r="M441" s="639"/>
      <c r="N441" s="639"/>
      <c r="O441" s="639"/>
      <c r="P441" s="639"/>
      <c r="Q441" s="639"/>
      <c r="R441" s="639"/>
      <c r="S441" s="639"/>
      <c r="T441" s="639"/>
      <c r="U441" s="639"/>
      <c r="V441" s="639"/>
      <c r="W441" s="639"/>
      <c r="X441" s="639"/>
      <c r="Y441" s="639"/>
      <c r="Z441" s="639"/>
      <c r="AA441" s="639"/>
      <c r="AB441" s="639"/>
      <c r="AC441" s="639"/>
      <c r="AD441" s="639"/>
      <c r="AE441" s="639"/>
      <c r="AF441" s="639"/>
      <c r="AG441" s="669"/>
      <c r="AH441" s="606"/>
      <c r="AI441" s="19"/>
      <c r="AJ441" s="19"/>
      <c r="AK441" s="19"/>
    </row>
    <row r="442" spans="1:37" hidden="1" outlineLevel="3" x14ac:dyDescent="0.2">
      <c r="A442" s="606"/>
      <c r="B442" s="606"/>
      <c r="C442" s="607"/>
      <c r="D442" s="608"/>
      <c r="E442" s="608"/>
      <c r="F442" s="608"/>
      <c r="G442" s="608"/>
      <c r="H442" s="609"/>
      <c r="I442" s="632"/>
      <c r="J442" s="632"/>
      <c r="K442" s="632"/>
      <c r="L442" s="636"/>
      <c r="M442" s="639"/>
      <c r="N442" s="639"/>
      <c r="O442" s="639"/>
      <c r="P442" s="639"/>
      <c r="Q442" s="639"/>
      <c r="R442" s="639"/>
      <c r="S442" s="639"/>
      <c r="T442" s="639"/>
      <c r="U442" s="639"/>
      <c r="V442" s="639"/>
      <c r="W442" s="639"/>
      <c r="X442" s="639"/>
      <c r="Y442" s="639"/>
      <c r="Z442" s="639"/>
      <c r="AA442" s="639"/>
      <c r="AB442" s="639"/>
      <c r="AC442" s="639"/>
      <c r="AD442" s="639"/>
      <c r="AE442" s="639"/>
      <c r="AF442" s="639"/>
      <c r="AG442" s="669"/>
      <c r="AH442" s="606"/>
      <c r="AI442" s="19"/>
      <c r="AJ442" s="19"/>
      <c r="AK442" s="19"/>
    </row>
    <row r="443" spans="1:37" hidden="1" outlineLevel="3" x14ac:dyDescent="0.2">
      <c r="A443" s="606"/>
      <c r="B443" s="606"/>
      <c r="C443" s="607"/>
      <c r="D443" s="608"/>
      <c r="E443" s="608"/>
      <c r="F443" s="608"/>
      <c r="G443" s="608"/>
      <c r="H443" s="609"/>
      <c r="I443" s="632"/>
      <c r="J443" s="632"/>
      <c r="K443" s="632"/>
      <c r="L443" s="636"/>
      <c r="M443" s="639"/>
      <c r="N443" s="639"/>
      <c r="O443" s="639"/>
      <c r="P443" s="639"/>
      <c r="Q443" s="639"/>
      <c r="R443" s="639"/>
      <c r="S443" s="639"/>
      <c r="T443" s="639"/>
      <c r="U443" s="639"/>
      <c r="V443" s="639"/>
      <c r="W443" s="639"/>
      <c r="X443" s="639"/>
      <c r="Y443" s="639"/>
      <c r="Z443" s="639"/>
      <c r="AA443" s="639"/>
      <c r="AB443" s="639"/>
      <c r="AC443" s="639"/>
      <c r="AD443" s="639"/>
      <c r="AE443" s="639"/>
      <c r="AF443" s="639"/>
      <c r="AG443" s="669"/>
      <c r="AH443" s="606"/>
      <c r="AI443" s="19"/>
      <c r="AJ443" s="19"/>
      <c r="AK443" s="19"/>
    </row>
    <row r="444" spans="1:37" hidden="1" outlineLevel="3" x14ac:dyDescent="0.2">
      <c r="A444" s="606"/>
      <c r="B444" s="606"/>
      <c r="C444" s="607"/>
      <c r="D444" s="608"/>
      <c r="E444" s="608"/>
      <c r="F444" s="608"/>
      <c r="G444" s="608"/>
      <c r="H444" s="609"/>
      <c r="I444" s="632"/>
      <c r="J444" s="632"/>
      <c r="K444" s="632"/>
      <c r="L444" s="636"/>
      <c r="M444" s="639"/>
      <c r="N444" s="639"/>
      <c r="O444" s="639"/>
      <c r="P444" s="639"/>
      <c r="Q444" s="639"/>
      <c r="R444" s="639"/>
      <c r="S444" s="639"/>
      <c r="T444" s="639"/>
      <c r="U444" s="639"/>
      <c r="V444" s="639"/>
      <c r="W444" s="639"/>
      <c r="X444" s="639"/>
      <c r="Y444" s="639"/>
      <c r="Z444" s="639"/>
      <c r="AA444" s="639"/>
      <c r="AB444" s="639"/>
      <c r="AC444" s="639"/>
      <c r="AD444" s="639"/>
      <c r="AE444" s="639"/>
      <c r="AF444" s="639"/>
      <c r="AG444" s="669"/>
      <c r="AH444" s="606"/>
      <c r="AI444" s="19"/>
      <c r="AJ444" s="19"/>
      <c r="AK444" s="19"/>
    </row>
    <row r="445" spans="1:37" hidden="1" outlineLevel="3" x14ac:dyDescent="0.2">
      <c r="A445" s="606"/>
      <c r="B445" s="606"/>
      <c r="C445" s="607"/>
      <c r="D445" s="608"/>
      <c r="E445" s="608"/>
      <c r="F445" s="608"/>
      <c r="G445" s="608"/>
      <c r="H445" s="609"/>
      <c r="I445" s="632"/>
      <c r="J445" s="632"/>
      <c r="K445" s="632"/>
      <c r="L445" s="636"/>
      <c r="M445" s="639"/>
      <c r="N445" s="639"/>
      <c r="O445" s="639"/>
      <c r="P445" s="639"/>
      <c r="Q445" s="639"/>
      <c r="R445" s="639"/>
      <c r="S445" s="639"/>
      <c r="T445" s="639"/>
      <c r="U445" s="639"/>
      <c r="V445" s="639"/>
      <c r="W445" s="639"/>
      <c r="X445" s="639"/>
      <c r="Y445" s="639"/>
      <c r="Z445" s="639"/>
      <c r="AA445" s="639"/>
      <c r="AB445" s="639"/>
      <c r="AC445" s="639"/>
      <c r="AD445" s="639"/>
      <c r="AE445" s="639"/>
      <c r="AF445" s="639"/>
      <c r="AG445" s="669"/>
      <c r="AH445" s="606"/>
      <c r="AI445" s="19"/>
      <c r="AJ445" s="19"/>
      <c r="AK445" s="19"/>
    </row>
    <row r="446" spans="1:37" hidden="1" outlineLevel="3" x14ac:dyDescent="0.2">
      <c r="A446" s="606"/>
      <c r="B446" s="606"/>
      <c r="C446" s="607"/>
      <c r="D446" s="608"/>
      <c r="E446" s="608"/>
      <c r="F446" s="608"/>
      <c r="G446" s="608"/>
      <c r="H446" s="609"/>
      <c r="I446" s="632"/>
      <c r="J446" s="632"/>
      <c r="K446" s="632"/>
      <c r="L446" s="636"/>
      <c r="M446" s="639"/>
      <c r="N446" s="639"/>
      <c r="O446" s="639"/>
      <c r="P446" s="639"/>
      <c r="Q446" s="639"/>
      <c r="R446" s="639"/>
      <c r="S446" s="639"/>
      <c r="T446" s="639"/>
      <c r="U446" s="639"/>
      <c r="V446" s="639"/>
      <c r="W446" s="639"/>
      <c r="X446" s="639"/>
      <c r="Y446" s="639"/>
      <c r="Z446" s="639"/>
      <c r="AA446" s="639"/>
      <c r="AB446" s="639"/>
      <c r="AC446" s="639"/>
      <c r="AD446" s="639"/>
      <c r="AE446" s="639"/>
      <c r="AF446" s="639"/>
      <c r="AG446" s="669"/>
      <c r="AH446" s="606"/>
      <c r="AI446" s="19"/>
      <c r="AJ446" s="19"/>
      <c r="AK446" s="19"/>
    </row>
    <row r="447" spans="1:37" hidden="1" outlineLevel="3" x14ac:dyDescent="0.2">
      <c r="A447" s="606"/>
      <c r="B447" s="606"/>
      <c r="C447" s="607"/>
      <c r="D447" s="608"/>
      <c r="E447" s="608"/>
      <c r="F447" s="608"/>
      <c r="G447" s="608"/>
      <c r="H447" s="609"/>
      <c r="I447" s="632"/>
      <c r="J447" s="632"/>
      <c r="K447" s="632"/>
      <c r="L447" s="636"/>
      <c r="M447" s="639"/>
      <c r="N447" s="639"/>
      <c r="O447" s="639"/>
      <c r="P447" s="639"/>
      <c r="Q447" s="639"/>
      <c r="R447" s="639"/>
      <c r="S447" s="639"/>
      <c r="T447" s="639"/>
      <c r="U447" s="639"/>
      <c r="V447" s="639"/>
      <c r="W447" s="639"/>
      <c r="X447" s="639"/>
      <c r="Y447" s="639"/>
      <c r="Z447" s="639"/>
      <c r="AA447" s="639"/>
      <c r="AB447" s="639"/>
      <c r="AC447" s="639"/>
      <c r="AD447" s="639"/>
      <c r="AE447" s="639"/>
      <c r="AF447" s="639"/>
      <c r="AG447" s="669"/>
      <c r="AH447" s="606"/>
      <c r="AI447" s="19"/>
      <c r="AJ447" s="19"/>
      <c r="AK447" s="19"/>
    </row>
    <row r="448" spans="1:37" hidden="1" outlineLevel="3" x14ac:dyDescent="0.2">
      <c r="A448" s="606"/>
      <c r="B448" s="606"/>
      <c r="C448" s="607"/>
      <c r="D448" s="608"/>
      <c r="E448" s="608"/>
      <c r="F448" s="608"/>
      <c r="G448" s="608"/>
      <c r="H448" s="609"/>
      <c r="I448" s="632"/>
      <c r="J448" s="632"/>
      <c r="K448" s="632"/>
      <c r="L448" s="636"/>
      <c r="M448" s="639"/>
      <c r="N448" s="639"/>
      <c r="O448" s="639"/>
      <c r="P448" s="639"/>
      <c r="Q448" s="639"/>
      <c r="R448" s="639"/>
      <c r="S448" s="639"/>
      <c r="T448" s="639"/>
      <c r="U448" s="639"/>
      <c r="V448" s="639"/>
      <c r="W448" s="639"/>
      <c r="X448" s="639"/>
      <c r="Y448" s="639"/>
      <c r="Z448" s="639"/>
      <c r="AA448" s="639"/>
      <c r="AB448" s="639"/>
      <c r="AC448" s="639"/>
      <c r="AD448" s="639"/>
      <c r="AE448" s="639"/>
      <c r="AF448" s="639"/>
      <c r="AG448" s="669"/>
      <c r="AH448" s="606"/>
      <c r="AI448" s="19"/>
      <c r="AJ448" s="19"/>
      <c r="AK448" s="19"/>
    </row>
    <row r="449" spans="1:37" hidden="1" outlineLevel="3" x14ac:dyDescent="0.2">
      <c r="A449" s="606"/>
      <c r="B449" s="606"/>
      <c r="C449" s="607"/>
      <c r="D449" s="608"/>
      <c r="E449" s="608"/>
      <c r="F449" s="608"/>
      <c r="G449" s="608"/>
      <c r="H449" s="609"/>
      <c r="I449" s="632"/>
      <c r="J449" s="632"/>
      <c r="K449" s="632"/>
      <c r="L449" s="636"/>
      <c r="M449" s="639"/>
      <c r="N449" s="639"/>
      <c r="O449" s="639"/>
      <c r="P449" s="639"/>
      <c r="Q449" s="639"/>
      <c r="R449" s="639"/>
      <c r="S449" s="639"/>
      <c r="T449" s="639"/>
      <c r="U449" s="639"/>
      <c r="V449" s="639"/>
      <c r="W449" s="639"/>
      <c r="X449" s="639"/>
      <c r="Y449" s="639"/>
      <c r="Z449" s="639"/>
      <c r="AA449" s="639"/>
      <c r="AB449" s="639"/>
      <c r="AC449" s="639"/>
      <c r="AD449" s="639"/>
      <c r="AE449" s="639"/>
      <c r="AF449" s="639"/>
      <c r="AG449" s="669"/>
      <c r="AH449" s="606"/>
      <c r="AI449" s="19"/>
      <c r="AJ449" s="19"/>
      <c r="AK449" s="19"/>
    </row>
    <row r="450" spans="1:37" hidden="1" outlineLevel="3" x14ac:dyDescent="0.2">
      <c r="A450" s="606"/>
      <c r="B450" s="606"/>
      <c r="C450" s="607"/>
      <c r="D450" s="608"/>
      <c r="E450" s="608"/>
      <c r="F450" s="608"/>
      <c r="G450" s="608"/>
      <c r="H450" s="609"/>
      <c r="I450" s="632"/>
      <c r="J450" s="632"/>
      <c r="K450" s="632"/>
      <c r="L450" s="636"/>
      <c r="M450" s="639"/>
      <c r="N450" s="639"/>
      <c r="O450" s="639"/>
      <c r="P450" s="639"/>
      <c r="Q450" s="639"/>
      <c r="R450" s="639"/>
      <c r="S450" s="639"/>
      <c r="T450" s="639"/>
      <c r="U450" s="639"/>
      <c r="V450" s="639"/>
      <c r="W450" s="639"/>
      <c r="X450" s="639"/>
      <c r="Y450" s="639"/>
      <c r="Z450" s="639"/>
      <c r="AA450" s="639"/>
      <c r="AB450" s="639"/>
      <c r="AC450" s="639"/>
      <c r="AD450" s="639"/>
      <c r="AE450" s="639"/>
      <c r="AF450" s="639"/>
      <c r="AG450" s="669"/>
      <c r="AH450" s="606"/>
      <c r="AI450" s="19"/>
      <c r="AJ450" s="19"/>
      <c r="AK450" s="19"/>
    </row>
    <row r="451" spans="1:37" hidden="1" outlineLevel="3" x14ac:dyDescent="0.2">
      <c r="A451" s="606"/>
      <c r="B451" s="606"/>
      <c r="C451" s="607"/>
      <c r="D451" s="608"/>
      <c r="E451" s="608"/>
      <c r="F451" s="608"/>
      <c r="G451" s="608"/>
      <c r="H451" s="609"/>
      <c r="I451" s="632"/>
      <c r="J451" s="632"/>
      <c r="K451" s="632"/>
      <c r="L451" s="636"/>
      <c r="M451" s="639"/>
      <c r="N451" s="639"/>
      <c r="O451" s="639"/>
      <c r="P451" s="639"/>
      <c r="Q451" s="639"/>
      <c r="R451" s="639"/>
      <c r="S451" s="639"/>
      <c r="T451" s="639"/>
      <c r="U451" s="639"/>
      <c r="V451" s="639"/>
      <c r="W451" s="639"/>
      <c r="X451" s="639"/>
      <c r="Y451" s="639"/>
      <c r="Z451" s="639"/>
      <c r="AA451" s="639"/>
      <c r="AB451" s="639"/>
      <c r="AC451" s="639"/>
      <c r="AD451" s="639"/>
      <c r="AE451" s="639"/>
      <c r="AF451" s="639"/>
      <c r="AG451" s="669"/>
      <c r="AH451" s="606"/>
      <c r="AI451" s="19"/>
      <c r="AJ451" s="19"/>
      <c r="AK451" s="19"/>
    </row>
    <row r="452" spans="1:37" outlineLevel="2" collapsed="1" x14ac:dyDescent="0.2">
      <c r="A452" s="606"/>
      <c r="B452" s="606"/>
      <c r="C452" s="638"/>
      <c r="D452" s="608"/>
      <c r="E452" s="608"/>
      <c r="F452" s="608"/>
      <c r="G452" s="608"/>
      <c r="H452" s="609"/>
      <c r="I452" s="670"/>
      <c r="J452" s="670"/>
      <c r="K452" s="670"/>
      <c r="L452" s="671"/>
      <c r="M452" s="670"/>
      <c r="N452" s="670"/>
      <c r="O452" s="670"/>
      <c r="P452" s="670"/>
      <c r="Q452" s="670"/>
      <c r="R452" s="670"/>
      <c r="S452" s="670"/>
      <c r="T452" s="670"/>
      <c r="U452" s="670"/>
      <c r="V452" s="670"/>
      <c r="W452" s="670"/>
      <c r="X452" s="670"/>
      <c r="Y452" s="670"/>
      <c r="Z452" s="670"/>
      <c r="AA452" s="670"/>
      <c r="AB452" s="670"/>
      <c r="AC452" s="670"/>
      <c r="AD452" s="670"/>
      <c r="AE452" s="670"/>
      <c r="AF452" s="670"/>
      <c r="AG452" s="672"/>
      <c r="AH452" s="606"/>
      <c r="AI452" s="19"/>
      <c r="AJ452" s="19"/>
      <c r="AK452" s="19"/>
    </row>
    <row r="453" spans="1:37" outlineLevel="2" x14ac:dyDescent="0.2">
      <c r="A453" s="606"/>
      <c r="B453" s="606"/>
      <c r="C453" s="620"/>
      <c r="D453" s="621"/>
      <c r="E453" s="609"/>
      <c r="F453" s="609"/>
      <c r="G453" s="609"/>
      <c r="H453" s="609"/>
      <c r="I453" s="636"/>
      <c r="J453" s="636"/>
      <c r="K453" s="636"/>
      <c r="L453" s="636"/>
      <c r="M453" s="673"/>
      <c r="N453" s="673"/>
      <c r="O453" s="674"/>
      <c r="P453" s="674"/>
      <c r="Q453" s="674"/>
      <c r="R453" s="675"/>
      <c r="S453" s="675"/>
      <c r="T453" s="675"/>
      <c r="U453" s="675"/>
      <c r="V453" s="675"/>
      <c r="W453" s="674"/>
      <c r="X453" s="674"/>
      <c r="Y453" s="674"/>
      <c r="Z453" s="674"/>
      <c r="AA453" s="674"/>
      <c r="AB453" s="674"/>
      <c r="AC453" s="674"/>
      <c r="AD453" s="674"/>
      <c r="AE453" s="674"/>
      <c r="AF453" s="674"/>
      <c r="AG453" s="669"/>
      <c r="AH453" s="606"/>
      <c r="AI453" s="19"/>
      <c r="AJ453" s="19"/>
      <c r="AK453" s="19"/>
    </row>
    <row r="454" spans="1:37" outlineLevel="1" x14ac:dyDescent="0.2">
      <c r="A454" s="606"/>
      <c r="B454" s="606"/>
      <c r="C454" s="613"/>
      <c r="D454" s="609"/>
      <c r="E454" s="609"/>
      <c r="F454" s="609"/>
      <c r="G454" s="609"/>
      <c r="H454" s="609"/>
      <c r="I454" s="636"/>
      <c r="J454" s="636"/>
      <c r="K454" s="636"/>
      <c r="L454" s="636"/>
      <c r="M454" s="673"/>
      <c r="N454" s="673"/>
      <c r="O454" s="674"/>
      <c r="P454" s="674"/>
      <c r="Q454" s="674"/>
      <c r="R454" s="675"/>
      <c r="S454" s="675"/>
      <c r="T454" s="675"/>
      <c r="U454" s="675"/>
      <c r="V454" s="675"/>
      <c r="W454" s="674"/>
      <c r="X454" s="674"/>
      <c r="Y454" s="674"/>
      <c r="Z454" s="674"/>
      <c r="AA454" s="674"/>
      <c r="AB454" s="674"/>
      <c r="AC454" s="674"/>
      <c r="AD454" s="674"/>
      <c r="AE454" s="674"/>
      <c r="AF454" s="674"/>
      <c r="AG454" s="669"/>
      <c r="AH454" s="606"/>
      <c r="AI454" s="19"/>
      <c r="AJ454" s="19"/>
      <c r="AK454" s="19"/>
    </row>
    <row r="455" spans="1:37" outlineLevel="1" x14ac:dyDescent="0.2">
      <c r="A455" s="606"/>
      <c r="B455" s="606"/>
      <c r="C455" s="616"/>
      <c r="D455" s="617"/>
      <c r="E455" s="617"/>
      <c r="F455" s="617"/>
      <c r="G455" s="617"/>
      <c r="H455" s="617"/>
      <c r="I455" s="633"/>
      <c r="J455" s="633"/>
      <c r="K455" s="676"/>
      <c r="L455" s="676"/>
      <c r="M455" s="674"/>
      <c r="N455" s="674"/>
      <c r="O455" s="674"/>
      <c r="P455" s="674"/>
      <c r="Q455" s="674"/>
      <c r="R455" s="674"/>
      <c r="S455" s="674"/>
      <c r="T455" s="674"/>
      <c r="U455" s="674"/>
      <c r="V455" s="674"/>
      <c r="W455" s="674"/>
      <c r="X455" s="674"/>
      <c r="Y455" s="674"/>
      <c r="Z455" s="674"/>
      <c r="AA455" s="674"/>
      <c r="AB455" s="674"/>
      <c r="AC455" s="674"/>
      <c r="AD455" s="674"/>
      <c r="AE455" s="674"/>
      <c r="AF455" s="674"/>
      <c r="AG455" s="676"/>
      <c r="AH455" s="606"/>
      <c r="AI455" s="19"/>
      <c r="AJ455" s="19"/>
      <c r="AK455" s="19"/>
    </row>
    <row r="456" spans="1:37" outlineLevel="2" x14ac:dyDescent="0.2">
      <c r="A456" s="606"/>
      <c r="B456" s="606"/>
      <c r="C456" s="607"/>
      <c r="D456" s="608"/>
      <c r="E456" s="608"/>
      <c r="F456" s="608"/>
      <c r="G456" s="608"/>
      <c r="H456" s="609"/>
      <c r="I456" s="632"/>
      <c r="J456" s="632"/>
      <c r="K456" s="632"/>
      <c r="L456" s="636"/>
      <c r="M456" s="639"/>
      <c r="N456" s="639"/>
      <c r="O456" s="639"/>
      <c r="P456" s="639"/>
      <c r="Q456" s="639"/>
      <c r="R456" s="639"/>
      <c r="S456" s="639"/>
      <c r="T456" s="639"/>
      <c r="U456" s="639"/>
      <c r="V456" s="639"/>
      <c r="W456" s="639"/>
      <c r="X456" s="639"/>
      <c r="Y456" s="639"/>
      <c r="Z456" s="639"/>
      <c r="AA456" s="639"/>
      <c r="AB456" s="639"/>
      <c r="AC456" s="639"/>
      <c r="AD456" s="639"/>
      <c r="AE456" s="639"/>
      <c r="AF456" s="639"/>
      <c r="AG456" s="669"/>
      <c r="AH456" s="606"/>
      <c r="AI456" s="19"/>
      <c r="AJ456" s="19"/>
      <c r="AK456" s="19"/>
    </row>
    <row r="457" spans="1:37" outlineLevel="2" x14ac:dyDescent="0.2">
      <c r="A457" s="606"/>
      <c r="B457" s="606"/>
      <c r="C457" s="607"/>
      <c r="D457" s="608"/>
      <c r="E457" s="608"/>
      <c r="F457" s="608"/>
      <c r="G457" s="608"/>
      <c r="H457" s="609"/>
      <c r="I457" s="632"/>
      <c r="J457" s="632"/>
      <c r="K457" s="632"/>
      <c r="L457" s="636"/>
      <c r="M457" s="639"/>
      <c r="N457" s="639"/>
      <c r="O457" s="639"/>
      <c r="P457" s="639"/>
      <c r="Q457" s="639"/>
      <c r="R457" s="639"/>
      <c r="S457" s="639"/>
      <c r="T457" s="639"/>
      <c r="U457" s="639"/>
      <c r="V457" s="639"/>
      <c r="W457" s="639"/>
      <c r="X457" s="639"/>
      <c r="Y457" s="639"/>
      <c r="Z457" s="639"/>
      <c r="AA457" s="639"/>
      <c r="AB457" s="639"/>
      <c r="AC457" s="639"/>
      <c r="AD457" s="639"/>
      <c r="AE457" s="639"/>
      <c r="AF457" s="639"/>
      <c r="AG457" s="669"/>
      <c r="AH457" s="606"/>
      <c r="AI457" s="19"/>
      <c r="AJ457" s="19"/>
      <c r="AK457" s="19"/>
    </row>
    <row r="458" spans="1:37" outlineLevel="2" x14ac:dyDescent="0.2">
      <c r="A458" s="606"/>
      <c r="B458" s="606"/>
      <c r="C458" s="607"/>
      <c r="D458" s="608"/>
      <c r="E458" s="608"/>
      <c r="F458" s="608"/>
      <c r="G458" s="608"/>
      <c r="H458" s="609"/>
      <c r="I458" s="632"/>
      <c r="J458" s="632"/>
      <c r="K458" s="632"/>
      <c r="L458" s="636"/>
      <c r="M458" s="639"/>
      <c r="N458" s="639"/>
      <c r="O458" s="639"/>
      <c r="P458" s="639"/>
      <c r="Q458" s="639"/>
      <c r="R458" s="639"/>
      <c r="S458" s="639"/>
      <c r="T458" s="639"/>
      <c r="U458" s="639"/>
      <c r="V458" s="639"/>
      <c r="W458" s="639"/>
      <c r="X458" s="639"/>
      <c r="Y458" s="639"/>
      <c r="Z458" s="639"/>
      <c r="AA458" s="639"/>
      <c r="AB458" s="639"/>
      <c r="AC458" s="639"/>
      <c r="AD458" s="639"/>
      <c r="AE458" s="639"/>
      <c r="AF458" s="639"/>
      <c r="AG458" s="669"/>
      <c r="AH458" s="606"/>
      <c r="AI458" s="19"/>
      <c r="AJ458" s="19"/>
      <c r="AK458" s="19"/>
    </row>
    <row r="459" spans="1:37" outlineLevel="2" x14ac:dyDescent="0.2">
      <c r="A459" s="606"/>
      <c r="B459" s="606"/>
      <c r="C459" s="607"/>
      <c r="D459" s="608"/>
      <c r="E459" s="608"/>
      <c r="F459" s="608"/>
      <c r="G459" s="608"/>
      <c r="H459" s="609"/>
      <c r="I459" s="632"/>
      <c r="J459" s="632"/>
      <c r="K459" s="632"/>
      <c r="L459" s="636"/>
      <c r="M459" s="639"/>
      <c r="N459" s="639"/>
      <c r="O459" s="639"/>
      <c r="P459" s="639"/>
      <c r="Q459" s="639"/>
      <c r="R459" s="639"/>
      <c r="S459" s="639"/>
      <c r="T459" s="639"/>
      <c r="U459" s="639"/>
      <c r="V459" s="639"/>
      <c r="W459" s="639"/>
      <c r="X459" s="639"/>
      <c r="Y459" s="639"/>
      <c r="Z459" s="639"/>
      <c r="AA459" s="639"/>
      <c r="AB459" s="639"/>
      <c r="AC459" s="639"/>
      <c r="AD459" s="639"/>
      <c r="AE459" s="639"/>
      <c r="AF459" s="639"/>
      <c r="AG459" s="669"/>
      <c r="AH459" s="606"/>
      <c r="AI459" s="19"/>
      <c r="AJ459" s="19"/>
      <c r="AK459" s="19"/>
    </row>
    <row r="460" spans="1:37" outlineLevel="2" x14ac:dyDescent="0.2">
      <c r="A460" s="606"/>
      <c r="B460" s="606"/>
      <c r="C460" s="607"/>
      <c r="D460" s="608"/>
      <c r="E460" s="608"/>
      <c r="F460" s="608"/>
      <c r="G460" s="608"/>
      <c r="H460" s="609"/>
      <c r="I460" s="632"/>
      <c r="J460" s="632"/>
      <c r="K460" s="632"/>
      <c r="L460" s="636"/>
      <c r="M460" s="639"/>
      <c r="N460" s="639"/>
      <c r="O460" s="639"/>
      <c r="P460" s="639"/>
      <c r="Q460" s="639"/>
      <c r="R460" s="639"/>
      <c r="S460" s="639"/>
      <c r="T460" s="639"/>
      <c r="U460" s="639"/>
      <c r="V460" s="639"/>
      <c r="W460" s="639"/>
      <c r="X460" s="639"/>
      <c r="Y460" s="639"/>
      <c r="Z460" s="639"/>
      <c r="AA460" s="639"/>
      <c r="AB460" s="639"/>
      <c r="AC460" s="639"/>
      <c r="AD460" s="639"/>
      <c r="AE460" s="639"/>
      <c r="AF460" s="639"/>
      <c r="AG460" s="669"/>
      <c r="AH460" s="606"/>
      <c r="AI460" s="19"/>
      <c r="AJ460" s="19"/>
      <c r="AK460" s="19"/>
    </row>
    <row r="461" spans="1:37" outlineLevel="2" x14ac:dyDescent="0.2">
      <c r="A461" s="606"/>
      <c r="B461" s="606"/>
      <c r="C461" s="607"/>
      <c r="D461" s="608"/>
      <c r="E461" s="608"/>
      <c r="F461" s="608"/>
      <c r="G461" s="608"/>
      <c r="H461" s="609"/>
      <c r="I461" s="632"/>
      <c r="J461" s="632"/>
      <c r="K461" s="632"/>
      <c r="L461" s="636"/>
      <c r="M461" s="639"/>
      <c r="N461" s="639"/>
      <c r="O461" s="639"/>
      <c r="P461" s="639"/>
      <c r="Q461" s="639"/>
      <c r="R461" s="639"/>
      <c r="S461" s="639"/>
      <c r="T461" s="639"/>
      <c r="U461" s="639"/>
      <c r="V461" s="639"/>
      <c r="W461" s="639"/>
      <c r="X461" s="639"/>
      <c r="Y461" s="639"/>
      <c r="Z461" s="639"/>
      <c r="AA461" s="639"/>
      <c r="AB461" s="639"/>
      <c r="AC461" s="639"/>
      <c r="AD461" s="639"/>
      <c r="AE461" s="639"/>
      <c r="AF461" s="639"/>
      <c r="AG461" s="669"/>
      <c r="AH461" s="606"/>
      <c r="AI461" s="19"/>
      <c r="AJ461" s="19"/>
      <c r="AK461" s="19"/>
    </row>
    <row r="462" spans="1:37" outlineLevel="2" x14ac:dyDescent="0.2">
      <c r="A462" s="606"/>
      <c r="B462" s="606"/>
      <c r="C462" s="607"/>
      <c r="D462" s="608"/>
      <c r="E462" s="608"/>
      <c r="F462" s="608"/>
      <c r="G462" s="608"/>
      <c r="H462" s="609"/>
      <c r="I462" s="632"/>
      <c r="J462" s="632"/>
      <c r="K462" s="632"/>
      <c r="L462" s="636"/>
      <c r="M462" s="639"/>
      <c r="N462" s="639"/>
      <c r="O462" s="639"/>
      <c r="P462" s="639"/>
      <c r="Q462" s="639"/>
      <c r="R462" s="639"/>
      <c r="S462" s="639"/>
      <c r="T462" s="639"/>
      <c r="U462" s="639"/>
      <c r="V462" s="639"/>
      <c r="W462" s="639"/>
      <c r="X462" s="639"/>
      <c r="Y462" s="639"/>
      <c r="Z462" s="639"/>
      <c r="AA462" s="639"/>
      <c r="AB462" s="639"/>
      <c r="AC462" s="639"/>
      <c r="AD462" s="639"/>
      <c r="AE462" s="639"/>
      <c r="AF462" s="639"/>
      <c r="AG462" s="669"/>
      <c r="AH462" s="606"/>
      <c r="AI462" s="19"/>
      <c r="AJ462" s="19"/>
      <c r="AK462" s="19"/>
    </row>
    <row r="463" spans="1:37" outlineLevel="2" x14ac:dyDescent="0.2">
      <c r="A463" s="606"/>
      <c r="B463" s="606"/>
      <c r="C463" s="607"/>
      <c r="D463" s="608"/>
      <c r="E463" s="608"/>
      <c r="F463" s="608"/>
      <c r="G463" s="608"/>
      <c r="H463" s="609"/>
      <c r="I463" s="632"/>
      <c r="J463" s="632"/>
      <c r="K463" s="632"/>
      <c r="L463" s="636"/>
      <c r="M463" s="639"/>
      <c r="N463" s="639"/>
      <c r="O463" s="639"/>
      <c r="P463" s="639"/>
      <c r="Q463" s="639"/>
      <c r="R463" s="639"/>
      <c r="S463" s="639"/>
      <c r="T463" s="639"/>
      <c r="U463" s="639"/>
      <c r="V463" s="639"/>
      <c r="W463" s="639"/>
      <c r="X463" s="639"/>
      <c r="Y463" s="639"/>
      <c r="Z463" s="639"/>
      <c r="AA463" s="639"/>
      <c r="AB463" s="639"/>
      <c r="AC463" s="639"/>
      <c r="AD463" s="639"/>
      <c r="AE463" s="639"/>
      <c r="AF463" s="639"/>
      <c r="AG463" s="669"/>
      <c r="AH463" s="606"/>
      <c r="AI463" s="19"/>
      <c r="AJ463" s="19"/>
      <c r="AK463" s="19"/>
    </row>
    <row r="464" spans="1:37" outlineLevel="2" x14ac:dyDescent="0.2">
      <c r="A464" s="606"/>
      <c r="B464" s="606"/>
      <c r="C464" s="607"/>
      <c r="D464" s="608"/>
      <c r="E464" s="608"/>
      <c r="F464" s="608"/>
      <c r="G464" s="608"/>
      <c r="H464" s="609"/>
      <c r="I464" s="632"/>
      <c r="J464" s="632"/>
      <c r="K464" s="632"/>
      <c r="L464" s="636"/>
      <c r="M464" s="639"/>
      <c r="N464" s="639"/>
      <c r="O464" s="639"/>
      <c r="P464" s="639"/>
      <c r="Q464" s="639"/>
      <c r="R464" s="639"/>
      <c r="S464" s="639"/>
      <c r="T464" s="639"/>
      <c r="U464" s="639"/>
      <c r="V464" s="639"/>
      <c r="W464" s="639"/>
      <c r="X464" s="639"/>
      <c r="Y464" s="639"/>
      <c r="Z464" s="639"/>
      <c r="AA464" s="639"/>
      <c r="AB464" s="639"/>
      <c r="AC464" s="639"/>
      <c r="AD464" s="639"/>
      <c r="AE464" s="639"/>
      <c r="AF464" s="639"/>
      <c r="AG464" s="669"/>
      <c r="AH464" s="606"/>
      <c r="AI464" s="19"/>
      <c r="AJ464" s="19"/>
      <c r="AK464" s="19"/>
    </row>
    <row r="465" spans="1:37" outlineLevel="2" x14ac:dyDescent="0.2">
      <c r="A465" s="606"/>
      <c r="B465" s="606"/>
      <c r="C465" s="607"/>
      <c r="D465" s="608"/>
      <c r="E465" s="608"/>
      <c r="F465" s="608"/>
      <c r="G465" s="608"/>
      <c r="H465" s="609"/>
      <c r="I465" s="632"/>
      <c r="J465" s="632"/>
      <c r="K465" s="632"/>
      <c r="L465" s="636"/>
      <c r="M465" s="639"/>
      <c r="N465" s="639"/>
      <c r="O465" s="639"/>
      <c r="P465" s="639"/>
      <c r="Q465" s="639"/>
      <c r="R465" s="639"/>
      <c r="S465" s="639"/>
      <c r="T465" s="639"/>
      <c r="U465" s="639"/>
      <c r="V465" s="639"/>
      <c r="W465" s="639"/>
      <c r="X465" s="639"/>
      <c r="Y465" s="639"/>
      <c r="Z465" s="639"/>
      <c r="AA465" s="639"/>
      <c r="AB465" s="639"/>
      <c r="AC465" s="639"/>
      <c r="AD465" s="639"/>
      <c r="AE465" s="639"/>
      <c r="AF465" s="639"/>
      <c r="AG465" s="669"/>
      <c r="AH465" s="606"/>
      <c r="AI465" s="19"/>
      <c r="AJ465" s="19"/>
      <c r="AK465" s="19"/>
    </row>
    <row r="466" spans="1:37" outlineLevel="2" x14ac:dyDescent="0.2">
      <c r="A466" s="606"/>
      <c r="B466" s="606"/>
      <c r="C466" s="607"/>
      <c r="D466" s="608"/>
      <c r="E466" s="608"/>
      <c r="F466" s="608"/>
      <c r="G466" s="608"/>
      <c r="H466" s="609"/>
      <c r="I466" s="632"/>
      <c r="J466" s="632"/>
      <c r="K466" s="632"/>
      <c r="L466" s="636"/>
      <c r="M466" s="639"/>
      <c r="N466" s="639"/>
      <c r="O466" s="639"/>
      <c r="P466" s="639"/>
      <c r="Q466" s="639"/>
      <c r="R466" s="639"/>
      <c r="S466" s="639"/>
      <c r="T466" s="639"/>
      <c r="U466" s="639"/>
      <c r="V466" s="639"/>
      <c r="W466" s="639"/>
      <c r="X466" s="639"/>
      <c r="Y466" s="639"/>
      <c r="Z466" s="639"/>
      <c r="AA466" s="639"/>
      <c r="AB466" s="639"/>
      <c r="AC466" s="639"/>
      <c r="AD466" s="639"/>
      <c r="AE466" s="639"/>
      <c r="AF466" s="639"/>
      <c r="AG466" s="669"/>
      <c r="AH466" s="606"/>
      <c r="AI466" s="19"/>
      <c r="AJ466" s="19"/>
      <c r="AK466" s="19"/>
    </row>
    <row r="467" spans="1:37" outlineLevel="2" x14ac:dyDescent="0.2">
      <c r="A467" s="606"/>
      <c r="B467" s="606"/>
      <c r="C467" s="607"/>
      <c r="D467" s="608"/>
      <c r="E467" s="608"/>
      <c r="F467" s="608"/>
      <c r="G467" s="608"/>
      <c r="H467" s="609"/>
      <c r="I467" s="632"/>
      <c r="J467" s="632"/>
      <c r="K467" s="632"/>
      <c r="L467" s="636"/>
      <c r="M467" s="639"/>
      <c r="N467" s="639"/>
      <c r="O467" s="639"/>
      <c r="P467" s="639"/>
      <c r="Q467" s="639"/>
      <c r="R467" s="639"/>
      <c r="S467" s="639"/>
      <c r="T467" s="639"/>
      <c r="U467" s="639"/>
      <c r="V467" s="639"/>
      <c r="W467" s="639"/>
      <c r="X467" s="639"/>
      <c r="Y467" s="639"/>
      <c r="Z467" s="639"/>
      <c r="AA467" s="639"/>
      <c r="AB467" s="639"/>
      <c r="AC467" s="639"/>
      <c r="AD467" s="639"/>
      <c r="AE467" s="639"/>
      <c r="AF467" s="639"/>
      <c r="AG467" s="669"/>
      <c r="AH467" s="606"/>
      <c r="AI467" s="19"/>
      <c r="AJ467" s="19"/>
      <c r="AK467" s="19"/>
    </row>
    <row r="468" spans="1:37" outlineLevel="2" x14ac:dyDescent="0.2">
      <c r="A468" s="606"/>
      <c r="B468" s="606"/>
      <c r="C468" s="607"/>
      <c r="D468" s="608"/>
      <c r="E468" s="608"/>
      <c r="F468" s="608"/>
      <c r="G468" s="608"/>
      <c r="H468" s="609"/>
      <c r="I468" s="632"/>
      <c r="J468" s="632"/>
      <c r="K468" s="632"/>
      <c r="L468" s="636"/>
      <c r="M468" s="639"/>
      <c r="N468" s="639"/>
      <c r="O468" s="639"/>
      <c r="P468" s="639"/>
      <c r="Q468" s="639"/>
      <c r="R468" s="639"/>
      <c r="S468" s="639"/>
      <c r="T468" s="639"/>
      <c r="U468" s="639"/>
      <c r="V468" s="639"/>
      <c r="W468" s="639"/>
      <c r="X468" s="639"/>
      <c r="Y468" s="639"/>
      <c r="Z468" s="639"/>
      <c r="AA468" s="639"/>
      <c r="AB468" s="639"/>
      <c r="AC468" s="639"/>
      <c r="AD468" s="639"/>
      <c r="AE468" s="639"/>
      <c r="AF468" s="639"/>
      <c r="AG468" s="669"/>
      <c r="AH468" s="606"/>
      <c r="AI468" s="19"/>
      <c r="AJ468" s="19"/>
      <c r="AK468" s="19"/>
    </row>
    <row r="469" spans="1:37" outlineLevel="2" x14ac:dyDescent="0.2">
      <c r="A469" s="606"/>
      <c r="B469" s="606"/>
      <c r="C469" s="607"/>
      <c r="D469" s="608"/>
      <c r="E469" s="608"/>
      <c r="F469" s="608"/>
      <c r="G469" s="608"/>
      <c r="H469" s="609"/>
      <c r="I469" s="632"/>
      <c r="J469" s="632"/>
      <c r="K469" s="632"/>
      <c r="L469" s="636"/>
      <c r="M469" s="639"/>
      <c r="N469" s="639"/>
      <c r="O469" s="639"/>
      <c r="P469" s="639"/>
      <c r="Q469" s="639"/>
      <c r="R469" s="639"/>
      <c r="S469" s="639"/>
      <c r="T469" s="639"/>
      <c r="U469" s="639"/>
      <c r="V469" s="639"/>
      <c r="W469" s="639"/>
      <c r="X469" s="639"/>
      <c r="Y469" s="639"/>
      <c r="Z469" s="639"/>
      <c r="AA469" s="639"/>
      <c r="AB469" s="639"/>
      <c r="AC469" s="639"/>
      <c r="AD469" s="639"/>
      <c r="AE469" s="639"/>
      <c r="AF469" s="639"/>
      <c r="AG469" s="669"/>
      <c r="AH469" s="606"/>
      <c r="AI469" s="19"/>
      <c r="AJ469" s="19"/>
      <c r="AK469" s="19"/>
    </row>
    <row r="470" spans="1:37" outlineLevel="2" x14ac:dyDescent="0.2">
      <c r="A470" s="606"/>
      <c r="B470" s="606"/>
      <c r="C470" s="607"/>
      <c r="D470" s="608"/>
      <c r="E470" s="608"/>
      <c r="F470" s="608"/>
      <c r="G470" s="608"/>
      <c r="H470" s="609"/>
      <c r="I470" s="632"/>
      <c r="J470" s="632"/>
      <c r="K470" s="632"/>
      <c r="L470" s="636"/>
      <c r="M470" s="639"/>
      <c r="N470" s="639"/>
      <c r="O470" s="639"/>
      <c r="P470" s="639"/>
      <c r="Q470" s="639"/>
      <c r="R470" s="639"/>
      <c r="S470" s="639"/>
      <c r="T470" s="639"/>
      <c r="U470" s="639"/>
      <c r="V470" s="639"/>
      <c r="W470" s="639"/>
      <c r="X470" s="639"/>
      <c r="Y470" s="639"/>
      <c r="Z470" s="639"/>
      <c r="AA470" s="639"/>
      <c r="AB470" s="639"/>
      <c r="AC470" s="639"/>
      <c r="AD470" s="639"/>
      <c r="AE470" s="639"/>
      <c r="AF470" s="639"/>
      <c r="AG470" s="669"/>
      <c r="AH470" s="606"/>
      <c r="AI470" s="19"/>
      <c r="AJ470" s="19"/>
      <c r="AK470" s="19"/>
    </row>
    <row r="471" spans="1:37" outlineLevel="2" x14ac:dyDescent="0.2">
      <c r="A471" s="606"/>
      <c r="B471" s="606"/>
      <c r="C471" s="607"/>
      <c r="D471" s="608"/>
      <c r="E471" s="608"/>
      <c r="F471" s="608"/>
      <c r="G471" s="608"/>
      <c r="H471" s="609"/>
      <c r="I471" s="632"/>
      <c r="J471" s="632"/>
      <c r="K471" s="632"/>
      <c r="L471" s="636"/>
      <c r="M471" s="639"/>
      <c r="N471" s="639"/>
      <c r="O471" s="639"/>
      <c r="P471" s="639"/>
      <c r="Q471" s="639"/>
      <c r="R471" s="639"/>
      <c r="S471" s="639"/>
      <c r="T471" s="639"/>
      <c r="U471" s="639"/>
      <c r="V471" s="639"/>
      <c r="W471" s="639"/>
      <c r="X471" s="639"/>
      <c r="Y471" s="639"/>
      <c r="Z471" s="639"/>
      <c r="AA471" s="639"/>
      <c r="AB471" s="639"/>
      <c r="AC471" s="639"/>
      <c r="AD471" s="639"/>
      <c r="AE471" s="639"/>
      <c r="AF471" s="639"/>
      <c r="AG471" s="669"/>
      <c r="AH471" s="606"/>
      <c r="AI471" s="19"/>
      <c r="AJ471" s="19"/>
      <c r="AK471" s="19"/>
    </row>
    <row r="472" spans="1:37" outlineLevel="2" x14ac:dyDescent="0.2">
      <c r="A472" s="606"/>
      <c r="B472" s="606"/>
      <c r="C472" s="607"/>
      <c r="D472" s="608"/>
      <c r="E472" s="608"/>
      <c r="F472" s="608"/>
      <c r="G472" s="608"/>
      <c r="H472" s="609"/>
      <c r="I472" s="632"/>
      <c r="J472" s="632"/>
      <c r="K472" s="632"/>
      <c r="L472" s="636"/>
      <c r="M472" s="639"/>
      <c r="N472" s="639"/>
      <c r="O472" s="639"/>
      <c r="P472" s="639"/>
      <c r="Q472" s="639"/>
      <c r="R472" s="639"/>
      <c r="S472" s="639"/>
      <c r="T472" s="639"/>
      <c r="U472" s="639"/>
      <c r="V472" s="639"/>
      <c r="W472" s="639"/>
      <c r="X472" s="639"/>
      <c r="Y472" s="639"/>
      <c r="Z472" s="639"/>
      <c r="AA472" s="639"/>
      <c r="AB472" s="639"/>
      <c r="AC472" s="639"/>
      <c r="AD472" s="639"/>
      <c r="AE472" s="639"/>
      <c r="AF472" s="639"/>
      <c r="AG472" s="669"/>
      <c r="AH472" s="606"/>
      <c r="AI472" s="19"/>
      <c r="AJ472" s="19"/>
      <c r="AK472" s="19"/>
    </row>
    <row r="473" spans="1:37" outlineLevel="2" x14ac:dyDescent="0.2">
      <c r="A473" s="606"/>
      <c r="B473" s="606"/>
      <c r="C473" s="607"/>
      <c r="D473" s="608"/>
      <c r="E473" s="608"/>
      <c r="F473" s="608"/>
      <c r="G473" s="608"/>
      <c r="H473" s="609"/>
      <c r="I473" s="632"/>
      <c r="J473" s="632"/>
      <c r="K473" s="632"/>
      <c r="L473" s="636"/>
      <c r="M473" s="639"/>
      <c r="N473" s="639"/>
      <c r="O473" s="639"/>
      <c r="P473" s="639"/>
      <c r="Q473" s="639"/>
      <c r="R473" s="639"/>
      <c r="S473" s="639"/>
      <c r="T473" s="639"/>
      <c r="U473" s="639"/>
      <c r="V473" s="639"/>
      <c r="W473" s="639"/>
      <c r="X473" s="639"/>
      <c r="Y473" s="639"/>
      <c r="Z473" s="639"/>
      <c r="AA473" s="639"/>
      <c r="AB473" s="639"/>
      <c r="AC473" s="639"/>
      <c r="AD473" s="639"/>
      <c r="AE473" s="639"/>
      <c r="AF473" s="639"/>
      <c r="AG473" s="669"/>
      <c r="AH473" s="606"/>
      <c r="AI473" s="19"/>
      <c r="AJ473" s="19"/>
      <c r="AK473" s="19"/>
    </row>
    <row r="474" spans="1:37" outlineLevel="2" x14ac:dyDescent="0.2">
      <c r="A474" s="606"/>
      <c r="B474" s="606"/>
      <c r="C474" s="607"/>
      <c r="D474" s="608"/>
      <c r="E474" s="608"/>
      <c r="F474" s="608"/>
      <c r="G474" s="608"/>
      <c r="H474" s="609"/>
      <c r="I474" s="632"/>
      <c r="J474" s="632"/>
      <c r="K474" s="632"/>
      <c r="L474" s="636"/>
      <c r="M474" s="639"/>
      <c r="N474" s="639"/>
      <c r="O474" s="639"/>
      <c r="P474" s="639"/>
      <c r="Q474" s="639"/>
      <c r="R474" s="639"/>
      <c r="S474" s="639"/>
      <c r="T474" s="639"/>
      <c r="U474" s="639"/>
      <c r="V474" s="639"/>
      <c r="W474" s="639"/>
      <c r="X474" s="639"/>
      <c r="Y474" s="639"/>
      <c r="Z474" s="639"/>
      <c r="AA474" s="639"/>
      <c r="AB474" s="639"/>
      <c r="AC474" s="639"/>
      <c r="AD474" s="639"/>
      <c r="AE474" s="639"/>
      <c r="AF474" s="639"/>
      <c r="AG474" s="669"/>
      <c r="AH474" s="606"/>
      <c r="AI474" s="19"/>
      <c r="AJ474" s="19"/>
      <c r="AK474" s="19"/>
    </row>
    <row r="475" spans="1:37" outlineLevel="2" x14ac:dyDescent="0.2">
      <c r="A475" s="606"/>
      <c r="B475" s="606"/>
      <c r="C475" s="607"/>
      <c r="D475" s="608"/>
      <c r="E475" s="608"/>
      <c r="F475" s="608"/>
      <c r="G475" s="608"/>
      <c r="H475" s="609"/>
      <c r="I475" s="632"/>
      <c r="J475" s="632"/>
      <c r="K475" s="632"/>
      <c r="L475" s="636"/>
      <c r="M475" s="639"/>
      <c r="N475" s="639"/>
      <c r="O475" s="639"/>
      <c r="P475" s="639"/>
      <c r="Q475" s="639"/>
      <c r="R475" s="639"/>
      <c r="S475" s="639"/>
      <c r="T475" s="639"/>
      <c r="U475" s="639"/>
      <c r="V475" s="639"/>
      <c r="W475" s="639"/>
      <c r="X475" s="639"/>
      <c r="Y475" s="639"/>
      <c r="Z475" s="639"/>
      <c r="AA475" s="639"/>
      <c r="AB475" s="639"/>
      <c r="AC475" s="639"/>
      <c r="AD475" s="639"/>
      <c r="AE475" s="639"/>
      <c r="AF475" s="639"/>
      <c r="AG475" s="669"/>
      <c r="AH475" s="606"/>
      <c r="AI475" s="19"/>
      <c r="AJ475" s="19"/>
      <c r="AK475" s="19"/>
    </row>
    <row r="476" spans="1:37" outlineLevel="2" x14ac:dyDescent="0.2">
      <c r="A476" s="606"/>
      <c r="B476" s="606"/>
      <c r="C476" s="607"/>
      <c r="D476" s="608"/>
      <c r="E476" s="608"/>
      <c r="F476" s="608"/>
      <c r="G476" s="608"/>
      <c r="H476" s="609"/>
      <c r="I476" s="632"/>
      <c r="J476" s="632"/>
      <c r="K476" s="632"/>
      <c r="L476" s="636"/>
      <c r="M476" s="639"/>
      <c r="N476" s="639"/>
      <c r="O476" s="639"/>
      <c r="P476" s="639"/>
      <c r="Q476" s="639"/>
      <c r="R476" s="639"/>
      <c r="S476" s="639"/>
      <c r="T476" s="639"/>
      <c r="U476" s="639"/>
      <c r="V476" s="639"/>
      <c r="W476" s="639"/>
      <c r="X476" s="639"/>
      <c r="Y476" s="639"/>
      <c r="Z476" s="639"/>
      <c r="AA476" s="639"/>
      <c r="AB476" s="639"/>
      <c r="AC476" s="639"/>
      <c r="AD476" s="639"/>
      <c r="AE476" s="639"/>
      <c r="AF476" s="639"/>
      <c r="AG476" s="669"/>
      <c r="AH476" s="606"/>
      <c r="AI476" s="19"/>
      <c r="AJ476" s="19"/>
      <c r="AK476" s="19"/>
    </row>
    <row r="477" spans="1:37" outlineLevel="2" x14ac:dyDescent="0.2">
      <c r="A477" s="606"/>
      <c r="B477" s="606"/>
      <c r="C477" s="607"/>
      <c r="D477" s="608"/>
      <c r="E477" s="608"/>
      <c r="F477" s="608"/>
      <c r="G477" s="608"/>
      <c r="H477" s="609"/>
      <c r="I477" s="632"/>
      <c r="J477" s="632"/>
      <c r="K477" s="632"/>
      <c r="L477" s="636"/>
      <c r="M477" s="639"/>
      <c r="N477" s="639"/>
      <c r="O477" s="639"/>
      <c r="P477" s="639"/>
      <c r="Q477" s="639"/>
      <c r="R477" s="639"/>
      <c r="S477" s="639"/>
      <c r="T477" s="639"/>
      <c r="U477" s="639"/>
      <c r="V477" s="639"/>
      <c r="W477" s="639"/>
      <c r="X477" s="639"/>
      <c r="Y477" s="639"/>
      <c r="Z477" s="639"/>
      <c r="AA477" s="639"/>
      <c r="AB477" s="639"/>
      <c r="AC477" s="639"/>
      <c r="AD477" s="639"/>
      <c r="AE477" s="639"/>
      <c r="AF477" s="639"/>
      <c r="AG477" s="669"/>
      <c r="AH477" s="606"/>
      <c r="AI477" s="19"/>
      <c r="AJ477" s="19"/>
      <c r="AK477" s="19"/>
    </row>
    <row r="478" spans="1:37" outlineLevel="2" x14ac:dyDescent="0.2">
      <c r="A478" s="606"/>
      <c r="B478" s="606"/>
      <c r="C478" s="607"/>
      <c r="D478" s="608"/>
      <c r="E478" s="608"/>
      <c r="F478" s="608"/>
      <c r="G478" s="608"/>
      <c r="H478" s="609"/>
      <c r="I478" s="632"/>
      <c r="J478" s="632"/>
      <c r="K478" s="632"/>
      <c r="L478" s="636"/>
      <c r="M478" s="639"/>
      <c r="N478" s="639"/>
      <c r="O478" s="639"/>
      <c r="P478" s="639"/>
      <c r="Q478" s="639"/>
      <c r="R478" s="639"/>
      <c r="S478" s="639"/>
      <c r="T478" s="639"/>
      <c r="U478" s="639"/>
      <c r="V478" s="639"/>
      <c r="W478" s="639"/>
      <c r="X478" s="639"/>
      <c r="Y478" s="639"/>
      <c r="Z478" s="639"/>
      <c r="AA478" s="639"/>
      <c r="AB478" s="639"/>
      <c r="AC478" s="639"/>
      <c r="AD478" s="639"/>
      <c r="AE478" s="639"/>
      <c r="AF478" s="639"/>
      <c r="AG478" s="669"/>
      <c r="AH478" s="606"/>
      <c r="AI478" s="19"/>
      <c r="AJ478" s="19"/>
      <c r="AK478" s="19"/>
    </row>
    <row r="479" spans="1:37" outlineLevel="2" x14ac:dyDescent="0.2">
      <c r="A479" s="606"/>
      <c r="B479" s="606"/>
      <c r="C479" s="607"/>
      <c r="D479" s="608"/>
      <c r="E479" s="608"/>
      <c r="F479" s="608"/>
      <c r="G479" s="608"/>
      <c r="H479" s="609"/>
      <c r="I479" s="632"/>
      <c r="J479" s="632"/>
      <c r="K479" s="632"/>
      <c r="L479" s="636"/>
      <c r="M479" s="639"/>
      <c r="N479" s="639"/>
      <c r="O479" s="639"/>
      <c r="P479" s="639"/>
      <c r="Q479" s="639"/>
      <c r="R479" s="639"/>
      <c r="S479" s="639"/>
      <c r="T479" s="639"/>
      <c r="U479" s="639"/>
      <c r="V479" s="639"/>
      <c r="W479" s="639"/>
      <c r="X479" s="639"/>
      <c r="Y479" s="639"/>
      <c r="Z479" s="639"/>
      <c r="AA479" s="639"/>
      <c r="AB479" s="639"/>
      <c r="AC479" s="639"/>
      <c r="AD479" s="639"/>
      <c r="AE479" s="639"/>
      <c r="AF479" s="639"/>
      <c r="AG479" s="669"/>
      <c r="AH479" s="606"/>
      <c r="AI479" s="19"/>
      <c r="AJ479" s="19"/>
      <c r="AK479" s="19"/>
    </row>
    <row r="480" spans="1:37" outlineLevel="2" x14ac:dyDescent="0.2">
      <c r="A480" s="606"/>
      <c r="B480" s="606"/>
      <c r="C480" s="607"/>
      <c r="D480" s="608"/>
      <c r="E480" s="608"/>
      <c r="F480" s="608"/>
      <c r="G480" s="608"/>
      <c r="H480" s="609"/>
      <c r="I480" s="632"/>
      <c r="J480" s="632"/>
      <c r="K480" s="632"/>
      <c r="L480" s="636"/>
      <c r="M480" s="639"/>
      <c r="N480" s="639"/>
      <c r="O480" s="639"/>
      <c r="P480" s="639"/>
      <c r="Q480" s="639"/>
      <c r="R480" s="639"/>
      <c r="S480" s="639"/>
      <c r="T480" s="639"/>
      <c r="U480" s="639"/>
      <c r="V480" s="639"/>
      <c r="W480" s="639"/>
      <c r="X480" s="639"/>
      <c r="Y480" s="639"/>
      <c r="Z480" s="639"/>
      <c r="AA480" s="639"/>
      <c r="AB480" s="639"/>
      <c r="AC480" s="639"/>
      <c r="AD480" s="639"/>
      <c r="AE480" s="639"/>
      <c r="AF480" s="639"/>
      <c r="AG480" s="669"/>
      <c r="AH480" s="606"/>
      <c r="AI480" s="19"/>
      <c r="AJ480" s="19"/>
      <c r="AK480" s="19"/>
    </row>
    <row r="481" spans="1:37" outlineLevel="2" x14ac:dyDescent="0.2">
      <c r="A481" s="606"/>
      <c r="B481" s="606"/>
      <c r="C481" s="607"/>
      <c r="D481" s="608"/>
      <c r="E481" s="608"/>
      <c r="F481" s="608"/>
      <c r="G481" s="608"/>
      <c r="H481" s="609"/>
      <c r="I481" s="632"/>
      <c r="J481" s="632"/>
      <c r="K481" s="632"/>
      <c r="L481" s="636"/>
      <c r="M481" s="639"/>
      <c r="N481" s="639"/>
      <c r="O481" s="639"/>
      <c r="P481" s="639"/>
      <c r="Q481" s="639"/>
      <c r="R481" s="639"/>
      <c r="S481" s="639"/>
      <c r="T481" s="639"/>
      <c r="U481" s="639"/>
      <c r="V481" s="639"/>
      <c r="W481" s="639"/>
      <c r="X481" s="639"/>
      <c r="Y481" s="639"/>
      <c r="Z481" s="639"/>
      <c r="AA481" s="639"/>
      <c r="AB481" s="639"/>
      <c r="AC481" s="639"/>
      <c r="AD481" s="639"/>
      <c r="AE481" s="639"/>
      <c r="AF481" s="639"/>
      <c r="AG481" s="669"/>
      <c r="AH481" s="606"/>
      <c r="AI481" s="19"/>
      <c r="AJ481" s="19"/>
      <c r="AK481" s="19"/>
    </row>
    <row r="482" spans="1:37" outlineLevel="2" x14ac:dyDescent="0.2">
      <c r="A482" s="606"/>
      <c r="B482" s="606"/>
      <c r="C482" s="607"/>
      <c r="D482" s="608"/>
      <c r="E482" s="608"/>
      <c r="F482" s="608"/>
      <c r="G482" s="608"/>
      <c r="H482" s="609"/>
      <c r="I482" s="632"/>
      <c r="J482" s="632"/>
      <c r="K482" s="632"/>
      <c r="L482" s="636"/>
      <c r="M482" s="639"/>
      <c r="N482" s="639"/>
      <c r="O482" s="639"/>
      <c r="P482" s="639"/>
      <c r="Q482" s="639"/>
      <c r="R482" s="639"/>
      <c r="S482" s="639"/>
      <c r="T482" s="639"/>
      <c r="U482" s="639"/>
      <c r="V482" s="639"/>
      <c r="W482" s="639"/>
      <c r="X482" s="639"/>
      <c r="Y482" s="639"/>
      <c r="Z482" s="639"/>
      <c r="AA482" s="639"/>
      <c r="AB482" s="639"/>
      <c r="AC482" s="639"/>
      <c r="AD482" s="639"/>
      <c r="AE482" s="639"/>
      <c r="AF482" s="639"/>
      <c r="AG482" s="669"/>
      <c r="AH482" s="606"/>
      <c r="AI482" s="19"/>
      <c r="AJ482" s="19"/>
      <c r="AK482" s="19"/>
    </row>
    <row r="483" spans="1:37" outlineLevel="2" x14ac:dyDescent="0.2">
      <c r="A483" s="606"/>
      <c r="B483" s="606"/>
      <c r="C483" s="607"/>
      <c r="D483" s="608"/>
      <c r="E483" s="608"/>
      <c r="F483" s="608"/>
      <c r="G483" s="608"/>
      <c r="H483" s="609"/>
      <c r="I483" s="632"/>
      <c r="J483" s="632"/>
      <c r="K483" s="632"/>
      <c r="L483" s="636"/>
      <c r="M483" s="639"/>
      <c r="N483" s="639"/>
      <c r="O483" s="639"/>
      <c r="P483" s="639"/>
      <c r="Q483" s="639"/>
      <c r="R483" s="639"/>
      <c r="S483" s="639"/>
      <c r="T483" s="639"/>
      <c r="U483" s="639"/>
      <c r="V483" s="639"/>
      <c r="W483" s="639"/>
      <c r="X483" s="639"/>
      <c r="Y483" s="639"/>
      <c r="Z483" s="639"/>
      <c r="AA483" s="639"/>
      <c r="AB483" s="639"/>
      <c r="AC483" s="639"/>
      <c r="AD483" s="639"/>
      <c r="AE483" s="639"/>
      <c r="AF483" s="639"/>
      <c r="AG483" s="669"/>
      <c r="AH483" s="606"/>
      <c r="AI483" s="19"/>
      <c r="AJ483" s="19"/>
      <c r="AK483" s="19"/>
    </row>
    <row r="484" spans="1:37" outlineLevel="2" x14ac:dyDescent="0.2">
      <c r="A484" s="606"/>
      <c r="B484" s="606"/>
      <c r="C484" s="607"/>
      <c r="D484" s="608"/>
      <c r="E484" s="608"/>
      <c r="F484" s="608"/>
      <c r="G484" s="608"/>
      <c r="H484" s="609"/>
      <c r="I484" s="632"/>
      <c r="J484" s="632"/>
      <c r="K484" s="632"/>
      <c r="L484" s="636"/>
      <c r="M484" s="639"/>
      <c r="N484" s="639"/>
      <c r="O484" s="639"/>
      <c r="P484" s="639"/>
      <c r="Q484" s="639"/>
      <c r="R484" s="639"/>
      <c r="S484" s="639"/>
      <c r="T484" s="639"/>
      <c r="U484" s="639"/>
      <c r="V484" s="639"/>
      <c r="W484" s="639"/>
      <c r="X484" s="639"/>
      <c r="Y484" s="639"/>
      <c r="Z484" s="639"/>
      <c r="AA484" s="639"/>
      <c r="AB484" s="639"/>
      <c r="AC484" s="639"/>
      <c r="AD484" s="639"/>
      <c r="AE484" s="639"/>
      <c r="AF484" s="639"/>
      <c r="AG484" s="669"/>
      <c r="AH484" s="606"/>
      <c r="AI484" s="19"/>
      <c r="AJ484" s="19"/>
      <c r="AK484" s="19"/>
    </row>
    <row r="485" spans="1:37" outlineLevel="2" x14ac:dyDescent="0.2">
      <c r="A485" s="606"/>
      <c r="B485" s="606"/>
      <c r="C485" s="607"/>
      <c r="D485" s="608"/>
      <c r="E485" s="608"/>
      <c r="F485" s="608"/>
      <c r="G485" s="608"/>
      <c r="H485" s="609"/>
      <c r="I485" s="632"/>
      <c r="J485" s="632"/>
      <c r="K485" s="632"/>
      <c r="L485" s="636"/>
      <c r="M485" s="639"/>
      <c r="N485" s="639"/>
      <c r="O485" s="639"/>
      <c r="P485" s="639"/>
      <c r="Q485" s="639"/>
      <c r="R485" s="639"/>
      <c r="S485" s="639"/>
      <c r="T485" s="639"/>
      <c r="U485" s="639"/>
      <c r="V485" s="639"/>
      <c r="W485" s="639"/>
      <c r="X485" s="639"/>
      <c r="Y485" s="639"/>
      <c r="Z485" s="639"/>
      <c r="AA485" s="639"/>
      <c r="AB485" s="639"/>
      <c r="AC485" s="639"/>
      <c r="AD485" s="639"/>
      <c r="AE485" s="639"/>
      <c r="AF485" s="639"/>
      <c r="AG485" s="669"/>
      <c r="AH485" s="606"/>
      <c r="AI485" s="19"/>
      <c r="AJ485" s="19"/>
      <c r="AK485" s="19"/>
    </row>
    <row r="486" spans="1:37" outlineLevel="2" x14ac:dyDescent="0.2">
      <c r="A486" s="606"/>
      <c r="B486" s="606"/>
      <c r="C486" s="607"/>
      <c r="D486" s="608"/>
      <c r="E486" s="608"/>
      <c r="F486" s="608"/>
      <c r="G486" s="608"/>
      <c r="H486" s="609"/>
      <c r="I486" s="632"/>
      <c r="J486" s="632"/>
      <c r="K486" s="632"/>
      <c r="L486" s="636"/>
      <c r="M486" s="639"/>
      <c r="N486" s="639"/>
      <c r="O486" s="639"/>
      <c r="P486" s="639"/>
      <c r="Q486" s="639"/>
      <c r="R486" s="639"/>
      <c r="S486" s="639"/>
      <c r="T486" s="639"/>
      <c r="U486" s="639"/>
      <c r="V486" s="639"/>
      <c r="W486" s="639"/>
      <c r="X486" s="639"/>
      <c r="Y486" s="639"/>
      <c r="Z486" s="639"/>
      <c r="AA486" s="639"/>
      <c r="AB486" s="639"/>
      <c r="AC486" s="639"/>
      <c r="AD486" s="639"/>
      <c r="AE486" s="639"/>
      <c r="AF486" s="639"/>
      <c r="AG486" s="669"/>
      <c r="AH486" s="606"/>
      <c r="AI486" s="19"/>
      <c r="AJ486" s="19"/>
      <c r="AK486" s="19"/>
    </row>
    <row r="487" spans="1:37" outlineLevel="2" x14ac:dyDescent="0.2">
      <c r="A487" s="606"/>
      <c r="B487" s="606"/>
      <c r="C487" s="607"/>
      <c r="D487" s="608"/>
      <c r="E487" s="608"/>
      <c r="F487" s="608"/>
      <c r="G487" s="608"/>
      <c r="H487" s="609"/>
      <c r="I487" s="632"/>
      <c r="J487" s="632"/>
      <c r="K487" s="632"/>
      <c r="L487" s="636"/>
      <c r="M487" s="639"/>
      <c r="N487" s="639"/>
      <c r="O487" s="639"/>
      <c r="P487" s="639"/>
      <c r="Q487" s="639"/>
      <c r="R487" s="639"/>
      <c r="S487" s="639"/>
      <c r="T487" s="639"/>
      <c r="U487" s="639"/>
      <c r="V487" s="639"/>
      <c r="W487" s="639"/>
      <c r="X487" s="639"/>
      <c r="Y487" s="639"/>
      <c r="Z487" s="639"/>
      <c r="AA487" s="639"/>
      <c r="AB487" s="639"/>
      <c r="AC487" s="639"/>
      <c r="AD487" s="639"/>
      <c r="AE487" s="639"/>
      <c r="AF487" s="639"/>
      <c r="AG487" s="669"/>
      <c r="AH487" s="606"/>
      <c r="AI487" s="19"/>
      <c r="AJ487" s="19"/>
      <c r="AK487" s="19"/>
    </row>
    <row r="488" spans="1:37" hidden="1" outlineLevel="3" x14ac:dyDescent="0.2">
      <c r="A488" s="606"/>
      <c r="B488" s="606"/>
      <c r="C488" s="607"/>
      <c r="D488" s="608"/>
      <c r="E488" s="608"/>
      <c r="F488" s="608"/>
      <c r="G488" s="608"/>
      <c r="H488" s="609"/>
      <c r="I488" s="632"/>
      <c r="J488" s="632"/>
      <c r="K488" s="632"/>
      <c r="L488" s="636"/>
      <c r="M488" s="639"/>
      <c r="N488" s="639"/>
      <c r="O488" s="639"/>
      <c r="P488" s="639"/>
      <c r="Q488" s="639"/>
      <c r="R488" s="639"/>
      <c r="S488" s="639"/>
      <c r="T488" s="639"/>
      <c r="U488" s="639"/>
      <c r="V488" s="639"/>
      <c r="W488" s="639"/>
      <c r="X488" s="639"/>
      <c r="Y488" s="639"/>
      <c r="Z488" s="639"/>
      <c r="AA488" s="639"/>
      <c r="AB488" s="639"/>
      <c r="AC488" s="639"/>
      <c r="AD488" s="639"/>
      <c r="AE488" s="639"/>
      <c r="AF488" s="639"/>
      <c r="AG488" s="669"/>
      <c r="AH488" s="606"/>
      <c r="AI488" s="19"/>
      <c r="AJ488" s="19"/>
      <c r="AK488" s="19"/>
    </row>
    <row r="489" spans="1:37" hidden="1" outlineLevel="3" x14ac:dyDescent="0.2">
      <c r="A489" s="606"/>
      <c r="B489" s="606"/>
      <c r="C489" s="607"/>
      <c r="D489" s="608"/>
      <c r="E489" s="608"/>
      <c r="F489" s="608"/>
      <c r="G489" s="608"/>
      <c r="H489" s="609"/>
      <c r="I489" s="632"/>
      <c r="J489" s="632"/>
      <c r="K489" s="632"/>
      <c r="L489" s="636"/>
      <c r="M489" s="639"/>
      <c r="N489" s="639"/>
      <c r="O489" s="639"/>
      <c r="P489" s="639"/>
      <c r="Q489" s="639"/>
      <c r="R489" s="639"/>
      <c r="S489" s="639"/>
      <c r="T489" s="639"/>
      <c r="U489" s="639"/>
      <c r="V489" s="639"/>
      <c r="W489" s="639"/>
      <c r="X489" s="639"/>
      <c r="Y489" s="639"/>
      <c r="Z489" s="639"/>
      <c r="AA489" s="639"/>
      <c r="AB489" s="639"/>
      <c r="AC489" s="639"/>
      <c r="AD489" s="639"/>
      <c r="AE489" s="639"/>
      <c r="AF489" s="639"/>
      <c r="AG489" s="669"/>
      <c r="AH489" s="606"/>
      <c r="AI489" s="19"/>
      <c r="AJ489" s="19"/>
      <c r="AK489" s="19"/>
    </row>
    <row r="490" spans="1:37" hidden="1" outlineLevel="3" x14ac:dyDescent="0.2">
      <c r="A490" s="606"/>
      <c r="B490" s="606"/>
      <c r="C490" s="607"/>
      <c r="D490" s="608"/>
      <c r="E490" s="608"/>
      <c r="F490" s="608"/>
      <c r="G490" s="608"/>
      <c r="H490" s="609"/>
      <c r="I490" s="632"/>
      <c r="J490" s="632"/>
      <c r="K490" s="632"/>
      <c r="L490" s="636"/>
      <c r="M490" s="639"/>
      <c r="N490" s="639"/>
      <c r="O490" s="639"/>
      <c r="P490" s="639"/>
      <c r="Q490" s="639"/>
      <c r="R490" s="639"/>
      <c r="S490" s="639"/>
      <c r="T490" s="639"/>
      <c r="U490" s="639"/>
      <c r="V490" s="639"/>
      <c r="W490" s="639"/>
      <c r="X490" s="639"/>
      <c r="Y490" s="639"/>
      <c r="Z490" s="639"/>
      <c r="AA490" s="639"/>
      <c r="AB490" s="639"/>
      <c r="AC490" s="639"/>
      <c r="AD490" s="639"/>
      <c r="AE490" s="639"/>
      <c r="AF490" s="639"/>
      <c r="AG490" s="669"/>
      <c r="AH490" s="606"/>
      <c r="AI490" s="19"/>
      <c r="AJ490" s="19"/>
      <c r="AK490" s="19"/>
    </row>
    <row r="491" spans="1:37" hidden="1" outlineLevel="3" x14ac:dyDescent="0.2">
      <c r="A491" s="606"/>
      <c r="B491" s="606"/>
      <c r="C491" s="607"/>
      <c r="D491" s="608"/>
      <c r="E491" s="608"/>
      <c r="F491" s="608"/>
      <c r="G491" s="608"/>
      <c r="H491" s="609"/>
      <c r="I491" s="632"/>
      <c r="J491" s="632"/>
      <c r="K491" s="632"/>
      <c r="L491" s="636"/>
      <c r="M491" s="639"/>
      <c r="N491" s="639"/>
      <c r="O491" s="639"/>
      <c r="P491" s="639"/>
      <c r="Q491" s="639"/>
      <c r="R491" s="639"/>
      <c r="S491" s="639"/>
      <c r="T491" s="639"/>
      <c r="U491" s="639"/>
      <c r="V491" s="639"/>
      <c r="W491" s="639"/>
      <c r="X491" s="639"/>
      <c r="Y491" s="639"/>
      <c r="Z491" s="639"/>
      <c r="AA491" s="639"/>
      <c r="AB491" s="639"/>
      <c r="AC491" s="639"/>
      <c r="AD491" s="639"/>
      <c r="AE491" s="639"/>
      <c r="AF491" s="639"/>
      <c r="AG491" s="669"/>
      <c r="AH491" s="606"/>
      <c r="AI491" s="19"/>
      <c r="AJ491" s="19"/>
      <c r="AK491" s="19"/>
    </row>
    <row r="492" spans="1:37" hidden="1" outlineLevel="3" x14ac:dyDescent="0.2">
      <c r="A492" s="606"/>
      <c r="B492" s="606"/>
      <c r="C492" s="607"/>
      <c r="D492" s="608"/>
      <c r="E492" s="608"/>
      <c r="F492" s="608"/>
      <c r="G492" s="608"/>
      <c r="H492" s="609"/>
      <c r="I492" s="632"/>
      <c r="J492" s="632"/>
      <c r="K492" s="632"/>
      <c r="L492" s="636"/>
      <c r="M492" s="639"/>
      <c r="N492" s="639"/>
      <c r="O492" s="639"/>
      <c r="P492" s="639"/>
      <c r="Q492" s="639"/>
      <c r="R492" s="639"/>
      <c r="S492" s="639"/>
      <c r="T492" s="639"/>
      <c r="U492" s="639"/>
      <c r="V492" s="639"/>
      <c r="W492" s="639"/>
      <c r="X492" s="639"/>
      <c r="Y492" s="639"/>
      <c r="Z492" s="639"/>
      <c r="AA492" s="639"/>
      <c r="AB492" s="639"/>
      <c r="AC492" s="639"/>
      <c r="AD492" s="639"/>
      <c r="AE492" s="639"/>
      <c r="AF492" s="639"/>
      <c r="AG492" s="669"/>
      <c r="AH492" s="606"/>
      <c r="AI492" s="19"/>
      <c r="AJ492" s="19"/>
      <c r="AK492" s="19"/>
    </row>
    <row r="493" spans="1:37" hidden="1" outlineLevel="3" x14ac:dyDescent="0.2">
      <c r="A493" s="606"/>
      <c r="B493" s="606"/>
      <c r="C493" s="607"/>
      <c r="D493" s="608"/>
      <c r="E493" s="608"/>
      <c r="F493" s="608"/>
      <c r="G493" s="608"/>
      <c r="H493" s="609"/>
      <c r="I493" s="632"/>
      <c r="J493" s="632"/>
      <c r="K493" s="632"/>
      <c r="L493" s="636"/>
      <c r="M493" s="639"/>
      <c r="N493" s="639"/>
      <c r="O493" s="639"/>
      <c r="P493" s="639"/>
      <c r="Q493" s="639"/>
      <c r="R493" s="639"/>
      <c r="S493" s="639"/>
      <c r="T493" s="639"/>
      <c r="U493" s="639"/>
      <c r="V493" s="639"/>
      <c r="W493" s="639"/>
      <c r="X493" s="639"/>
      <c r="Y493" s="639"/>
      <c r="Z493" s="639"/>
      <c r="AA493" s="639"/>
      <c r="AB493" s="639"/>
      <c r="AC493" s="639"/>
      <c r="AD493" s="639"/>
      <c r="AE493" s="639"/>
      <c r="AF493" s="639"/>
      <c r="AG493" s="669"/>
      <c r="AH493" s="606"/>
      <c r="AI493" s="19"/>
      <c r="AJ493" s="19"/>
      <c r="AK493" s="19"/>
    </row>
    <row r="494" spans="1:37" hidden="1" outlineLevel="3" x14ac:dyDescent="0.2">
      <c r="A494" s="606"/>
      <c r="B494" s="606"/>
      <c r="C494" s="607"/>
      <c r="D494" s="608"/>
      <c r="E494" s="608"/>
      <c r="F494" s="608"/>
      <c r="G494" s="608"/>
      <c r="H494" s="609"/>
      <c r="I494" s="632"/>
      <c r="J494" s="632"/>
      <c r="K494" s="632"/>
      <c r="L494" s="636"/>
      <c r="M494" s="639"/>
      <c r="N494" s="639"/>
      <c r="O494" s="639"/>
      <c r="P494" s="639"/>
      <c r="Q494" s="639"/>
      <c r="R494" s="639"/>
      <c r="S494" s="639"/>
      <c r="T494" s="639"/>
      <c r="U494" s="639"/>
      <c r="V494" s="639"/>
      <c r="W494" s="639"/>
      <c r="X494" s="639"/>
      <c r="Y494" s="639"/>
      <c r="Z494" s="639"/>
      <c r="AA494" s="639"/>
      <c r="AB494" s="639"/>
      <c r="AC494" s="639"/>
      <c r="AD494" s="639"/>
      <c r="AE494" s="639"/>
      <c r="AF494" s="639"/>
      <c r="AG494" s="669"/>
      <c r="AH494" s="606"/>
      <c r="AI494" s="19"/>
      <c r="AJ494" s="19"/>
      <c r="AK494" s="19"/>
    </row>
    <row r="495" spans="1:37" hidden="1" outlineLevel="3" x14ac:dyDescent="0.2">
      <c r="A495" s="606"/>
      <c r="B495" s="606"/>
      <c r="C495" s="607"/>
      <c r="D495" s="608"/>
      <c r="E495" s="608"/>
      <c r="F495" s="608"/>
      <c r="G495" s="608"/>
      <c r="H495" s="609"/>
      <c r="I495" s="632"/>
      <c r="J495" s="632"/>
      <c r="K495" s="632"/>
      <c r="L495" s="636"/>
      <c r="M495" s="639"/>
      <c r="N495" s="639"/>
      <c r="O495" s="639"/>
      <c r="P495" s="639"/>
      <c r="Q495" s="639"/>
      <c r="R495" s="639"/>
      <c r="S495" s="639"/>
      <c r="T495" s="639"/>
      <c r="U495" s="639"/>
      <c r="V495" s="639"/>
      <c r="W495" s="639"/>
      <c r="X495" s="639"/>
      <c r="Y495" s="639"/>
      <c r="Z495" s="639"/>
      <c r="AA495" s="639"/>
      <c r="AB495" s="639"/>
      <c r="AC495" s="639"/>
      <c r="AD495" s="639"/>
      <c r="AE495" s="639"/>
      <c r="AF495" s="639"/>
      <c r="AG495" s="669"/>
      <c r="AH495" s="606"/>
      <c r="AI495" s="19"/>
      <c r="AJ495" s="19"/>
      <c r="AK495" s="19"/>
    </row>
    <row r="496" spans="1:37" hidden="1" outlineLevel="3" x14ac:dyDescent="0.2">
      <c r="A496" s="606"/>
      <c r="B496" s="606"/>
      <c r="C496" s="607"/>
      <c r="D496" s="608"/>
      <c r="E496" s="608"/>
      <c r="F496" s="608"/>
      <c r="G496" s="608"/>
      <c r="H496" s="609"/>
      <c r="I496" s="632"/>
      <c r="J496" s="632"/>
      <c r="K496" s="632"/>
      <c r="L496" s="636"/>
      <c r="M496" s="639"/>
      <c r="N496" s="639"/>
      <c r="O496" s="639"/>
      <c r="P496" s="639"/>
      <c r="Q496" s="639"/>
      <c r="R496" s="639"/>
      <c r="S496" s="639"/>
      <c r="T496" s="639"/>
      <c r="U496" s="639"/>
      <c r="V496" s="639"/>
      <c r="W496" s="639"/>
      <c r="X496" s="639"/>
      <c r="Y496" s="639"/>
      <c r="Z496" s="639"/>
      <c r="AA496" s="639"/>
      <c r="AB496" s="639"/>
      <c r="AC496" s="639"/>
      <c r="AD496" s="639"/>
      <c r="AE496" s="639"/>
      <c r="AF496" s="639"/>
      <c r="AG496" s="669"/>
      <c r="AH496" s="606"/>
      <c r="AI496" s="19"/>
      <c r="AJ496" s="19"/>
      <c r="AK496" s="19"/>
    </row>
    <row r="497" spans="1:37" hidden="1" outlineLevel="3" x14ac:dyDescent="0.2">
      <c r="A497" s="606"/>
      <c r="B497" s="606"/>
      <c r="C497" s="607"/>
      <c r="D497" s="608"/>
      <c r="E497" s="608"/>
      <c r="F497" s="608"/>
      <c r="G497" s="608"/>
      <c r="H497" s="609"/>
      <c r="I497" s="632"/>
      <c r="J497" s="632"/>
      <c r="K497" s="632"/>
      <c r="L497" s="636"/>
      <c r="M497" s="639"/>
      <c r="N497" s="639"/>
      <c r="O497" s="639"/>
      <c r="P497" s="639"/>
      <c r="Q497" s="639"/>
      <c r="R497" s="639"/>
      <c r="S497" s="639"/>
      <c r="T497" s="639"/>
      <c r="U497" s="639"/>
      <c r="V497" s="639"/>
      <c r="W497" s="639"/>
      <c r="X497" s="639"/>
      <c r="Y497" s="639"/>
      <c r="Z497" s="639"/>
      <c r="AA497" s="639"/>
      <c r="AB497" s="639"/>
      <c r="AC497" s="639"/>
      <c r="AD497" s="639"/>
      <c r="AE497" s="639"/>
      <c r="AF497" s="639"/>
      <c r="AG497" s="669"/>
      <c r="AH497" s="606"/>
      <c r="AI497" s="19"/>
      <c r="AJ497" s="19"/>
      <c r="AK497" s="19"/>
    </row>
    <row r="498" spans="1:37" hidden="1" outlineLevel="3" x14ac:dyDescent="0.2">
      <c r="A498" s="606"/>
      <c r="B498" s="606"/>
      <c r="C498" s="607"/>
      <c r="D498" s="608"/>
      <c r="E498" s="608"/>
      <c r="F498" s="608"/>
      <c r="G498" s="608"/>
      <c r="H498" s="609"/>
      <c r="I498" s="632"/>
      <c r="J498" s="632"/>
      <c r="K498" s="632"/>
      <c r="L498" s="636"/>
      <c r="M498" s="639"/>
      <c r="N498" s="639"/>
      <c r="O498" s="639"/>
      <c r="P498" s="639"/>
      <c r="Q498" s="639"/>
      <c r="R498" s="639"/>
      <c r="S498" s="639"/>
      <c r="T498" s="639"/>
      <c r="U498" s="639"/>
      <c r="V498" s="639"/>
      <c r="W498" s="639"/>
      <c r="X498" s="639"/>
      <c r="Y498" s="639"/>
      <c r="Z498" s="639"/>
      <c r="AA498" s="639"/>
      <c r="AB498" s="639"/>
      <c r="AC498" s="639"/>
      <c r="AD498" s="639"/>
      <c r="AE498" s="639"/>
      <c r="AF498" s="639"/>
      <c r="AG498" s="669"/>
      <c r="AH498" s="606"/>
      <c r="AI498" s="19"/>
      <c r="AJ498" s="19"/>
      <c r="AK498" s="19"/>
    </row>
    <row r="499" spans="1:37" hidden="1" outlineLevel="3" x14ac:dyDescent="0.2">
      <c r="A499" s="606"/>
      <c r="B499" s="606"/>
      <c r="C499" s="607"/>
      <c r="D499" s="608"/>
      <c r="E499" s="608"/>
      <c r="F499" s="608"/>
      <c r="G499" s="608"/>
      <c r="H499" s="609"/>
      <c r="I499" s="632"/>
      <c r="J499" s="632"/>
      <c r="K499" s="632"/>
      <c r="L499" s="636"/>
      <c r="M499" s="639"/>
      <c r="N499" s="639"/>
      <c r="O499" s="639"/>
      <c r="P499" s="639"/>
      <c r="Q499" s="639"/>
      <c r="R499" s="639"/>
      <c r="S499" s="639"/>
      <c r="T499" s="639"/>
      <c r="U499" s="639"/>
      <c r="V499" s="639"/>
      <c r="W499" s="639"/>
      <c r="X499" s="639"/>
      <c r="Y499" s="639"/>
      <c r="Z499" s="639"/>
      <c r="AA499" s="639"/>
      <c r="AB499" s="639"/>
      <c r="AC499" s="639"/>
      <c r="AD499" s="639"/>
      <c r="AE499" s="639"/>
      <c r="AF499" s="639"/>
      <c r="AG499" s="669"/>
      <c r="AH499" s="606"/>
      <c r="AI499" s="19"/>
      <c r="AJ499" s="19"/>
      <c r="AK499" s="19"/>
    </row>
    <row r="500" spans="1:37" hidden="1" outlineLevel="3" x14ac:dyDescent="0.2">
      <c r="A500" s="606"/>
      <c r="B500" s="606"/>
      <c r="C500" s="607"/>
      <c r="D500" s="608"/>
      <c r="E500" s="608"/>
      <c r="F500" s="608"/>
      <c r="G500" s="608"/>
      <c r="H500" s="609"/>
      <c r="I500" s="632"/>
      <c r="J500" s="632"/>
      <c r="K500" s="632"/>
      <c r="L500" s="636"/>
      <c r="M500" s="639"/>
      <c r="N500" s="639"/>
      <c r="O500" s="639"/>
      <c r="P500" s="639"/>
      <c r="Q500" s="639"/>
      <c r="R500" s="639"/>
      <c r="S500" s="639"/>
      <c r="T500" s="639"/>
      <c r="U500" s="639"/>
      <c r="V500" s="639"/>
      <c r="W500" s="639"/>
      <c r="X500" s="639"/>
      <c r="Y500" s="639"/>
      <c r="Z500" s="639"/>
      <c r="AA500" s="639"/>
      <c r="AB500" s="639"/>
      <c r="AC500" s="639"/>
      <c r="AD500" s="639"/>
      <c r="AE500" s="639"/>
      <c r="AF500" s="639"/>
      <c r="AG500" s="669"/>
      <c r="AH500" s="606"/>
      <c r="AI500" s="19"/>
      <c r="AJ500" s="19"/>
      <c r="AK500" s="19"/>
    </row>
    <row r="501" spans="1:37" hidden="1" outlineLevel="3" x14ac:dyDescent="0.2">
      <c r="A501" s="606"/>
      <c r="B501" s="606"/>
      <c r="C501" s="607"/>
      <c r="D501" s="608"/>
      <c r="E501" s="608"/>
      <c r="F501" s="608"/>
      <c r="G501" s="608"/>
      <c r="H501" s="609"/>
      <c r="I501" s="632"/>
      <c r="J501" s="632"/>
      <c r="K501" s="632"/>
      <c r="L501" s="636"/>
      <c r="M501" s="639"/>
      <c r="N501" s="639"/>
      <c r="O501" s="639"/>
      <c r="P501" s="639"/>
      <c r="Q501" s="639"/>
      <c r="R501" s="639"/>
      <c r="S501" s="639"/>
      <c r="T501" s="639"/>
      <c r="U501" s="639"/>
      <c r="V501" s="639"/>
      <c r="W501" s="639"/>
      <c r="X501" s="639"/>
      <c r="Y501" s="639"/>
      <c r="Z501" s="639"/>
      <c r="AA501" s="639"/>
      <c r="AB501" s="639"/>
      <c r="AC501" s="639"/>
      <c r="AD501" s="639"/>
      <c r="AE501" s="639"/>
      <c r="AF501" s="639"/>
      <c r="AG501" s="669"/>
      <c r="AH501" s="606"/>
      <c r="AI501" s="19"/>
      <c r="AJ501" s="19"/>
      <c r="AK501" s="19"/>
    </row>
    <row r="502" spans="1:37" hidden="1" outlineLevel="3" x14ac:dyDescent="0.2">
      <c r="A502" s="606"/>
      <c r="B502" s="606"/>
      <c r="C502" s="607"/>
      <c r="D502" s="608"/>
      <c r="E502" s="608"/>
      <c r="F502" s="608"/>
      <c r="G502" s="608"/>
      <c r="H502" s="609"/>
      <c r="I502" s="632"/>
      <c r="J502" s="632"/>
      <c r="K502" s="632"/>
      <c r="L502" s="636"/>
      <c r="M502" s="639"/>
      <c r="N502" s="639"/>
      <c r="O502" s="639"/>
      <c r="P502" s="639"/>
      <c r="Q502" s="639"/>
      <c r="R502" s="639"/>
      <c r="S502" s="639"/>
      <c r="T502" s="639"/>
      <c r="U502" s="639"/>
      <c r="V502" s="639"/>
      <c r="W502" s="639"/>
      <c r="X502" s="639"/>
      <c r="Y502" s="639"/>
      <c r="Z502" s="639"/>
      <c r="AA502" s="639"/>
      <c r="AB502" s="639"/>
      <c r="AC502" s="639"/>
      <c r="AD502" s="639"/>
      <c r="AE502" s="639"/>
      <c r="AF502" s="639"/>
      <c r="AG502" s="669"/>
      <c r="AH502" s="606"/>
      <c r="AI502" s="19"/>
      <c r="AJ502" s="19"/>
      <c r="AK502" s="19"/>
    </row>
    <row r="503" spans="1:37" hidden="1" outlineLevel="3" x14ac:dyDescent="0.2">
      <c r="A503" s="606"/>
      <c r="B503" s="606"/>
      <c r="C503" s="607"/>
      <c r="D503" s="608"/>
      <c r="E503" s="608"/>
      <c r="F503" s="608"/>
      <c r="G503" s="608"/>
      <c r="H503" s="609"/>
      <c r="I503" s="632"/>
      <c r="J503" s="632"/>
      <c r="K503" s="632"/>
      <c r="L503" s="636"/>
      <c r="M503" s="639"/>
      <c r="N503" s="639"/>
      <c r="O503" s="639"/>
      <c r="P503" s="639"/>
      <c r="Q503" s="639"/>
      <c r="R503" s="639"/>
      <c r="S503" s="639"/>
      <c r="T503" s="639"/>
      <c r="U503" s="639"/>
      <c r="V503" s="639"/>
      <c r="W503" s="639"/>
      <c r="X503" s="639"/>
      <c r="Y503" s="639"/>
      <c r="Z503" s="639"/>
      <c r="AA503" s="639"/>
      <c r="AB503" s="639"/>
      <c r="AC503" s="639"/>
      <c r="AD503" s="639"/>
      <c r="AE503" s="639"/>
      <c r="AF503" s="639"/>
      <c r="AG503" s="669"/>
      <c r="AH503" s="606"/>
      <c r="AI503" s="19"/>
      <c r="AJ503" s="19"/>
      <c r="AK503" s="19"/>
    </row>
    <row r="504" spans="1:37" hidden="1" outlineLevel="3" x14ac:dyDescent="0.2">
      <c r="A504" s="606"/>
      <c r="B504" s="606"/>
      <c r="C504" s="607"/>
      <c r="D504" s="608"/>
      <c r="E504" s="608"/>
      <c r="F504" s="608"/>
      <c r="G504" s="608"/>
      <c r="H504" s="609"/>
      <c r="I504" s="632"/>
      <c r="J504" s="632"/>
      <c r="K504" s="632"/>
      <c r="L504" s="636"/>
      <c r="M504" s="639"/>
      <c r="N504" s="639"/>
      <c r="O504" s="639"/>
      <c r="P504" s="639"/>
      <c r="Q504" s="639"/>
      <c r="R504" s="639"/>
      <c r="S504" s="639"/>
      <c r="T504" s="639"/>
      <c r="U504" s="639"/>
      <c r="V504" s="639"/>
      <c r="W504" s="639"/>
      <c r="X504" s="639"/>
      <c r="Y504" s="639"/>
      <c r="Z504" s="639"/>
      <c r="AA504" s="639"/>
      <c r="AB504" s="639"/>
      <c r="AC504" s="639"/>
      <c r="AD504" s="639"/>
      <c r="AE504" s="639"/>
      <c r="AF504" s="639"/>
      <c r="AG504" s="669"/>
      <c r="AH504" s="606"/>
      <c r="AI504" s="19"/>
      <c r="AJ504" s="19"/>
      <c r="AK504" s="19"/>
    </row>
    <row r="505" spans="1:37" hidden="1" outlineLevel="3" x14ac:dyDescent="0.2">
      <c r="A505" s="606"/>
      <c r="B505" s="606"/>
      <c r="C505" s="607"/>
      <c r="D505" s="608"/>
      <c r="E505" s="608"/>
      <c r="F505" s="608"/>
      <c r="G505" s="608"/>
      <c r="H505" s="609"/>
      <c r="I505" s="632"/>
      <c r="J505" s="632"/>
      <c r="K505" s="632"/>
      <c r="L505" s="636"/>
      <c r="M505" s="639"/>
      <c r="N505" s="639"/>
      <c r="O505" s="639"/>
      <c r="P505" s="639"/>
      <c r="Q505" s="639"/>
      <c r="R505" s="639"/>
      <c r="S505" s="639"/>
      <c r="T505" s="639"/>
      <c r="U505" s="639"/>
      <c r="V505" s="639"/>
      <c r="W505" s="639"/>
      <c r="X505" s="639"/>
      <c r="Y505" s="639"/>
      <c r="Z505" s="639"/>
      <c r="AA505" s="639"/>
      <c r="AB505" s="639"/>
      <c r="AC505" s="639"/>
      <c r="AD505" s="639"/>
      <c r="AE505" s="639"/>
      <c r="AF505" s="639"/>
      <c r="AG505" s="669"/>
      <c r="AH505" s="606"/>
      <c r="AI505" s="19"/>
      <c r="AJ505" s="19"/>
      <c r="AK505" s="19"/>
    </row>
    <row r="506" spans="1:37" hidden="1" outlineLevel="3" x14ac:dyDescent="0.2">
      <c r="A506" s="606"/>
      <c r="B506" s="606"/>
      <c r="C506" s="607"/>
      <c r="D506" s="608"/>
      <c r="E506" s="608"/>
      <c r="F506" s="608"/>
      <c r="G506" s="608"/>
      <c r="H506" s="609"/>
      <c r="I506" s="632"/>
      <c r="J506" s="632"/>
      <c r="K506" s="632"/>
      <c r="L506" s="636"/>
      <c r="M506" s="639"/>
      <c r="N506" s="639"/>
      <c r="O506" s="639"/>
      <c r="P506" s="639"/>
      <c r="Q506" s="639"/>
      <c r="R506" s="639"/>
      <c r="S506" s="639"/>
      <c r="T506" s="639"/>
      <c r="U506" s="639"/>
      <c r="V506" s="639"/>
      <c r="W506" s="639"/>
      <c r="X506" s="639"/>
      <c r="Y506" s="639"/>
      <c r="Z506" s="639"/>
      <c r="AA506" s="639"/>
      <c r="AB506" s="639"/>
      <c r="AC506" s="639"/>
      <c r="AD506" s="639"/>
      <c r="AE506" s="639"/>
      <c r="AF506" s="639"/>
      <c r="AG506" s="669"/>
      <c r="AH506" s="606"/>
      <c r="AI506" s="19"/>
      <c r="AJ506" s="19"/>
      <c r="AK506" s="19"/>
    </row>
    <row r="507" spans="1:37" hidden="1" outlineLevel="3" x14ac:dyDescent="0.2">
      <c r="A507" s="606"/>
      <c r="B507" s="606"/>
      <c r="C507" s="607"/>
      <c r="D507" s="608"/>
      <c r="E507" s="608"/>
      <c r="F507" s="608"/>
      <c r="G507" s="608"/>
      <c r="H507" s="609"/>
      <c r="I507" s="632"/>
      <c r="J507" s="632"/>
      <c r="K507" s="632"/>
      <c r="L507" s="636"/>
      <c r="M507" s="639"/>
      <c r="N507" s="639"/>
      <c r="O507" s="639"/>
      <c r="P507" s="639"/>
      <c r="Q507" s="639"/>
      <c r="R507" s="639"/>
      <c r="S507" s="639"/>
      <c r="T507" s="639"/>
      <c r="U507" s="639"/>
      <c r="V507" s="639"/>
      <c r="W507" s="639"/>
      <c r="X507" s="639"/>
      <c r="Y507" s="639"/>
      <c r="Z507" s="639"/>
      <c r="AA507" s="639"/>
      <c r="AB507" s="639"/>
      <c r="AC507" s="639"/>
      <c r="AD507" s="639"/>
      <c r="AE507" s="639"/>
      <c r="AF507" s="639"/>
      <c r="AG507" s="669"/>
      <c r="AH507" s="606"/>
      <c r="AI507" s="19"/>
      <c r="AJ507" s="19"/>
      <c r="AK507" s="19"/>
    </row>
    <row r="508" spans="1:37" hidden="1" outlineLevel="3" x14ac:dyDescent="0.2">
      <c r="A508" s="606"/>
      <c r="B508" s="606"/>
      <c r="C508" s="607"/>
      <c r="D508" s="608"/>
      <c r="E508" s="608"/>
      <c r="F508" s="608"/>
      <c r="G508" s="608"/>
      <c r="H508" s="609"/>
      <c r="I508" s="632"/>
      <c r="J508" s="632"/>
      <c r="K508" s="632"/>
      <c r="L508" s="636"/>
      <c r="M508" s="639"/>
      <c r="N508" s="639"/>
      <c r="O508" s="639"/>
      <c r="P508" s="639"/>
      <c r="Q508" s="639"/>
      <c r="R508" s="639"/>
      <c r="S508" s="639"/>
      <c r="T508" s="639"/>
      <c r="U508" s="639"/>
      <c r="V508" s="639"/>
      <c r="W508" s="639"/>
      <c r="X508" s="639"/>
      <c r="Y508" s="639"/>
      <c r="Z508" s="639"/>
      <c r="AA508" s="639"/>
      <c r="AB508" s="639"/>
      <c r="AC508" s="639"/>
      <c r="AD508" s="639"/>
      <c r="AE508" s="639"/>
      <c r="AF508" s="639"/>
      <c r="AG508" s="669"/>
      <c r="AH508" s="606"/>
      <c r="AI508" s="19"/>
      <c r="AJ508" s="19"/>
      <c r="AK508" s="19"/>
    </row>
    <row r="509" spans="1:37" hidden="1" outlineLevel="3" x14ac:dyDescent="0.2">
      <c r="A509" s="606"/>
      <c r="B509" s="606"/>
      <c r="C509" s="607"/>
      <c r="D509" s="608"/>
      <c r="E509" s="608"/>
      <c r="F509" s="608"/>
      <c r="G509" s="608"/>
      <c r="H509" s="609"/>
      <c r="I509" s="632"/>
      <c r="J509" s="632"/>
      <c r="K509" s="632"/>
      <c r="L509" s="636"/>
      <c r="M509" s="639"/>
      <c r="N509" s="639"/>
      <c r="O509" s="639"/>
      <c r="P509" s="639"/>
      <c r="Q509" s="639"/>
      <c r="R509" s="639"/>
      <c r="S509" s="639"/>
      <c r="T509" s="639"/>
      <c r="U509" s="639"/>
      <c r="V509" s="639"/>
      <c r="W509" s="639"/>
      <c r="X509" s="639"/>
      <c r="Y509" s="639"/>
      <c r="Z509" s="639"/>
      <c r="AA509" s="639"/>
      <c r="AB509" s="639"/>
      <c r="AC509" s="639"/>
      <c r="AD509" s="639"/>
      <c r="AE509" s="639"/>
      <c r="AF509" s="639"/>
      <c r="AG509" s="669"/>
      <c r="AH509" s="606"/>
      <c r="AI509" s="19"/>
      <c r="AJ509" s="19"/>
      <c r="AK509" s="19"/>
    </row>
    <row r="510" spans="1:37" hidden="1" outlineLevel="3" x14ac:dyDescent="0.2">
      <c r="A510" s="606"/>
      <c r="B510" s="606"/>
      <c r="C510" s="607"/>
      <c r="D510" s="608"/>
      <c r="E510" s="608"/>
      <c r="F510" s="608"/>
      <c r="G510" s="608"/>
      <c r="H510" s="609"/>
      <c r="I510" s="632"/>
      <c r="J510" s="632"/>
      <c r="K510" s="632"/>
      <c r="L510" s="636"/>
      <c r="M510" s="639"/>
      <c r="N510" s="639"/>
      <c r="O510" s="639"/>
      <c r="P510" s="639"/>
      <c r="Q510" s="639"/>
      <c r="R510" s="639"/>
      <c r="S510" s="639"/>
      <c r="T510" s="639"/>
      <c r="U510" s="639"/>
      <c r="V510" s="639"/>
      <c r="W510" s="639"/>
      <c r="X510" s="639"/>
      <c r="Y510" s="639"/>
      <c r="Z510" s="639"/>
      <c r="AA510" s="639"/>
      <c r="AB510" s="639"/>
      <c r="AC510" s="639"/>
      <c r="AD510" s="639"/>
      <c r="AE510" s="639"/>
      <c r="AF510" s="639"/>
      <c r="AG510" s="669"/>
      <c r="AH510" s="606"/>
      <c r="AI510" s="19"/>
      <c r="AJ510" s="19"/>
      <c r="AK510" s="19"/>
    </row>
    <row r="511" spans="1:37" hidden="1" outlineLevel="3" x14ac:dyDescent="0.2">
      <c r="A511" s="606"/>
      <c r="B511" s="606"/>
      <c r="C511" s="607"/>
      <c r="D511" s="608"/>
      <c r="E511" s="608"/>
      <c r="F511" s="608"/>
      <c r="G511" s="608"/>
      <c r="H511" s="609"/>
      <c r="I511" s="632"/>
      <c r="J511" s="632"/>
      <c r="K511" s="632"/>
      <c r="L511" s="636"/>
      <c r="M511" s="639"/>
      <c r="N511" s="639"/>
      <c r="O511" s="639"/>
      <c r="P511" s="639"/>
      <c r="Q511" s="639"/>
      <c r="R511" s="639"/>
      <c r="S511" s="639"/>
      <c r="T511" s="639"/>
      <c r="U511" s="639"/>
      <c r="V511" s="639"/>
      <c r="W511" s="639"/>
      <c r="X511" s="639"/>
      <c r="Y511" s="639"/>
      <c r="Z511" s="639"/>
      <c r="AA511" s="639"/>
      <c r="AB511" s="639"/>
      <c r="AC511" s="639"/>
      <c r="AD511" s="639"/>
      <c r="AE511" s="639"/>
      <c r="AF511" s="639"/>
      <c r="AG511" s="669"/>
      <c r="AH511" s="606"/>
      <c r="AI511" s="19"/>
      <c r="AJ511" s="19"/>
      <c r="AK511" s="19"/>
    </row>
    <row r="512" spans="1:37" hidden="1" outlineLevel="3" x14ac:dyDescent="0.2">
      <c r="A512" s="606"/>
      <c r="B512" s="606"/>
      <c r="C512" s="607"/>
      <c r="D512" s="608"/>
      <c r="E512" s="608"/>
      <c r="F512" s="608"/>
      <c r="G512" s="608"/>
      <c r="H512" s="609"/>
      <c r="I512" s="632"/>
      <c r="J512" s="632"/>
      <c r="K512" s="632"/>
      <c r="L512" s="636"/>
      <c r="M512" s="639"/>
      <c r="N512" s="639"/>
      <c r="O512" s="639"/>
      <c r="P512" s="639"/>
      <c r="Q512" s="639"/>
      <c r="R512" s="639"/>
      <c r="S512" s="639"/>
      <c r="T512" s="639"/>
      <c r="U512" s="639"/>
      <c r="V512" s="639"/>
      <c r="W512" s="639"/>
      <c r="X512" s="639"/>
      <c r="Y512" s="639"/>
      <c r="Z512" s="639"/>
      <c r="AA512" s="639"/>
      <c r="AB512" s="639"/>
      <c r="AC512" s="639"/>
      <c r="AD512" s="639"/>
      <c r="AE512" s="639"/>
      <c r="AF512" s="639"/>
      <c r="AG512" s="669"/>
      <c r="AH512" s="606"/>
      <c r="AI512" s="19"/>
      <c r="AJ512" s="19"/>
      <c r="AK512" s="19"/>
    </row>
    <row r="513" spans="1:37" hidden="1" outlineLevel="3" x14ac:dyDescent="0.2">
      <c r="A513" s="606"/>
      <c r="B513" s="606"/>
      <c r="C513" s="607"/>
      <c r="D513" s="608"/>
      <c r="E513" s="608"/>
      <c r="F513" s="608"/>
      <c r="G513" s="608"/>
      <c r="H513" s="609"/>
      <c r="I513" s="632"/>
      <c r="J513" s="632"/>
      <c r="K513" s="632"/>
      <c r="L513" s="636"/>
      <c r="M513" s="639"/>
      <c r="N513" s="639"/>
      <c r="O513" s="639"/>
      <c r="P513" s="639"/>
      <c r="Q513" s="639"/>
      <c r="R513" s="639"/>
      <c r="S513" s="639"/>
      <c r="T513" s="639"/>
      <c r="U513" s="639"/>
      <c r="V513" s="639"/>
      <c r="W513" s="639"/>
      <c r="X513" s="639"/>
      <c r="Y513" s="639"/>
      <c r="Z513" s="639"/>
      <c r="AA513" s="639"/>
      <c r="AB513" s="639"/>
      <c r="AC513" s="639"/>
      <c r="AD513" s="639"/>
      <c r="AE513" s="639"/>
      <c r="AF513" s="639"/>
      <c r="AG513" s="669"/>
      <c r="AH513" s="606"/>
      <c r="AI513" s="19"/>
      <c r="AJ513" s="19"/>
      <c r="AK513" s="19"/>
    </row>
    <row r="514" spans="1:37" hidden="1" outlineLevel="3" x14ac:dyDescent="0.2">
      <c r="A514" s="606"/>
      <c r="B514" s="606"/>
      <c r="C514" s="607"/>
      <c r="D514" s="608"/>
      <c r="E514" s="608"/>
      <c r="F514" s="608"/>
      <c r="G514" s="608"/>
      <c r="H514" s="609"/>
      <c r="I514" s="632"/>
      <c r="J514" s="632"/>
      <c r="K514" s="632"/>
      <c r="L514" s="636"/>
      <c r="M514" s="639"/>
      <c r="N514" s="639"/>
      <c r="O514" s="639"/>
      <c r="P514" s="639"/>
      <c r="Q514" s="639"/>
      <c r="R514" s="639"/>
      <c r="S514" s="639"/>
      <c r="T514" s="639"/>
      <c r="U514" s="639"/>
      <c r="V514" s="639"/>
      <c r="W514" s="639"/>
      <c r="X514" s="639"/>
      <c r="Y514" s="639"/>
      <c r="Z514" s="639"/>
      <c r="AA514" s="639"/>
      <c r="AB514" s="639"/>
      <c r="AC514" s="639"/>
      <c r="AD514" s="639"/>
      <c r="AE514" s="639"/>
      <c r="AF514" s="639"/>
      <c r="AG514" s="669"/>
      <c r="AH514" s="606"/>
      <c r="AI514" s="19"/>
      <c r="AJ514" s="19"/>
      <c r="AK514" s="19"/>
    </row>
    <row r="515" spans="1:37" hidden="1" outlineLevel="3" x14ac:dyDescent="0.2">
      <c r="A515" s="606"/>
      <c r="B515" s="606"/>
      <c r="C515" s="607"/>
      <c r="D515" s="608"/>
      <c r="E515" s="608"/>
      <c r="F515" s="608"/>
      <c r="G515" s="608"/>
      <c r="H515" s="609"/>
      <c r="I515" s="632"/>
      <c r="J515" s="632"/>
      <c r="K515" s="632"/>
      <c r="L515" s="636"/>
      <c r="M515" s="639"/>
      <c r="N515" s="639"/>
      <c r="O515" s="639"/>
      <c r="P515" s="639"/>
      <c r="Q515" s="639"/>
      <c r="R515" s="639"/>
      <c r="S515" s="639"/>
      <c r="T515" s="639"/>
      <c r="U515" s="639"/>
      <c r="V515" s="639"/>
      <c r="W515" s="639"/>
      <c r="X515" s="639"/>
      <c r="Y515" s="639"/>
      <c r="Z515" s="639"/>
      <c r="AA515" s="639"/>
      <c r="AB515" s="639"/>
      <c r="AC515" s="639"/>
      <c r="AD515" s="639"/>
      <c r="AE515" s="639"/>
      <c r="AF515" s="639"/>
      <c r="AG515" s="669"/>
      <c r="AH515" s="606"/>
      <c r="AI515" s="19"/>
      <c r="AJ515" s="19"/>
      <c r="AK515" s="19"/>
    </row>
    <row r="516" spans="1:37" hidden="1" outlineLevel="3" x14ac:dyDescent="0.2">
      <c r="A516" s="606"/>
      <c r="B516" s="606"/>
      <c r="C516" s="607"/>
      <c r="D516" s="608"/>
      <c r="E516" s="608"/>
      <c r="F516" s="608"/>
      <c r="G516" s="608"/>
      <c r="H516" s="609"/>
      <c r="I516" s="632"/>
      <c r="J516" s="632"/>
      <c r="K516" s="632"/>
      <c r="L516" s="636"/>
      <c r="M516" s="639"/>
      <c r="N516" s="639"/>
      <c r="O516" s="639"/>
      <c r="P516" s="639"/>
      <c r="Q516" s="639"/>
      <c r="R516" s="639"/>
      <c r="S516" s="639"/>
      <c r="T516" s="639"/>
      <c r="U516" s="639"/>
      <c r="V516" s="639"/>
      <c r="W516" s="639"/>
      <c r="X516" s="639"/>
      <c r="Y516" s="639"/>
      <c r="Z516" s="639"/>
      <c r="AA516" s="639"/>
      <c r="AB516" s="639"/>
      <c r="AC516" s="639"/>
      <c r="AD516" s="639"/>
      <c r="AE516" s="639"/>
      <c r="AF516" s="639"/>
      <c r="AG516" s="669"/>
      <c r="AH516" s="606"/>
      <c r="AI516" s="19"/>
      <c r="AJ516" s="19"/>
      <c r="AK516" s="19"/>
    </row>
    <row r="517" spans="1:37" hidden="1" outlineLevel="3" x14ac:dyDescent="0.2">
      <c r="A517" s="606"/>
      <c r="B517" s="606"/>
      <c r="C517" s="607"/>
      <c r="D517" s="608"/>
      <c r="E517" s="608"/>
      <c r="F517" s="608"/>
      <c r="G517" s="608"/>
      <c r="H517" s="609"/>
      <c r="I517" s="632"/>
      <c r="J517" s="632"/>
      <c r="K517" s="632"/>
      <c r="L517" s="636"/>
      <c r="M517" s="639"/>
      <c r="N517" s="639"/>
      <c r="O517" s="639"/>
      <c r="P517" s="639"/>
      <c r="Q517" s="639"/>
      <c r="R517" s="639"/>
      <c r="S517" s="639"/>
      <c r="T517" s="639"/>
      <c r="U517" s="639"/>
      <c r="V517" s="639"/>
      <c r="W517" s="639"/>
      <c r="X517" s="639"/>
      <c r="Y517" s="639"/>
      <c r="Z517" s="639"/>
      <c r="AA517" s="639"/>
      <c r="AB517" s="639"/>
      <c r="AC517" s="639"/>
      <c r="AD517" s="639"/>
      <c r="AE517" s="639"/>
      <c r="AF517" s="639"/>
      <c r="AG517" s="669"/>
      <c r="AH517" s="606"/>
      <c r="AI517" s="19"/>
      <c r="AJ517" s="19"/>
      <c r="AK517" s="19"/>
    </row>
    <row r="518" spans="1:37" hidden="1" outlineLevel="3" x14ac:dyDescent="0.2">
      <c r="A518" s="606"/>
      <c r="B518" s="606"/>
      <c r="C518" s="607"/>
      <c r="D518" s="608"/>
      <c r="E518" s="608"/>
      <c r="F518" s="608"/>
      <c r="G518" s="608"/>
      <c r="H518" s="609"/>
      <c r="I518" s="632"/>
      <c r="J518" s="632"/>
      <c r="K518" s="632"/>
      <c r="L518" s="636"/>
      <c r="M518" s="639"/>
      <c r="N518" s="639"/>
      <c r="O518" s="639"/>
      <c r="P518" s="639"/>
      <c r="Q518" s="639"/>
      <c r="R518" s="639"/>
      <c r="S518" s="639"/>
      <c r="T518" s="639"/>
      <c r="U518" s="639"/>
      <c r="V518" s="639"/>
      <c r="W518" s="639"/>
      <c r="X518" s="639"/>
      <c r="Y518" s="639"/>
      <c r="Z518" s="639"/>
      <c r="AA518" s="639"/>
      <c r="AB518" s="639"/>
      <c r="AC518" s="639"/>
      <c r="AD518" s="639"/>
      <c r="AE518" s="639"/>
      <c r="AF518" s="639"/>
      <c r="AG518" s="669"/>
      <c r="AH518" s="606"/>
      <c r="AI518" s="19"/>
      <c r="AJ518" s="19"/>
      <c r="AK518" s="19"/>
    </row>
    <row r="519" spans="1:37" hidden="1" outlineLevel="3" x14ac:dyDescent="0.2">
      <c r="A519" s="606"/>
      <c r="B519" s="606"/>
      <c r="C519" s="607"/>
      <c r="D519" s="608"/>
      <c r="E519" s="608"/>
      <c r="F519" s="608"/>
      <c r="G519" s="608"/>
      <c r="H519" s="609"/>
      <c r="I519" s="632"/>
      <c r="J519" s="632"/>
      <c r="K519" s="632"/>
      <c r="L519" s="636"/>
      <c r="M519" s="639"/>
      <c r="N519" s="639"/>
      <c r="O519" s="639"/>
      <c r="P519" s="639"/>
      <c r="Q519" s="639"/>
      <c r="R519" s="639"/>
      <c r="S519" s="639"/>
      <c r="T519" s="639"/>
      <c r="U519" s="639"/>
      <c r="V519" s="639"/>
      <c r="W519" s="639"/>
      <c r="X519" s="639"/>
      <c r="Y519" s="639"/>
      <c r="Z519" s="639"/>
      <c r="AA519" s="639"/>
      <c r="AB519" s="639"/>
      <c r="AC519" s="639"/>
      <c r="AD519" s="639"/>
      <c r="AE519" s="639"/>
      <c r="AF519" s="639"/>
      <c r="AG519" s="669"/>
      <c r="AH519" s="606"/>
      <c r="AI519" s="19"/>
      <c r="AJ519" s="19"/>
      <c r="AK519" s="19"/>
    </row>
    <row r="520" spans="1:37" hidden="1" outlineLevel="3" x14ac:dyDescent="0.2">
      <c r="A520" s="606"/>
      <c r="B520" s="606"/>
      <c r="C520" s="607"/>
      <c r="D520" s="608"/>
      <c r="E520" s="608"/>
      <c r="F520" s="608"/>
      <c r="G520" s="608"/>
      <c r="H520" s="609"/>
      <c r="I520" s="632"/>
      <c r="J520" s="632"/>
      <c r="K520" s="632"/>
      <c r="L520" s="636"/>
      <c r="M520" s="639"/>
      <c r="N520" s="639"/>
      <c r="O520" s="639"/>
      <c r="P520" s="639"/>
      <c r="Q520" s="639"/>
      <c r="R520" s="639"/>
      <c r="S520" s="639"/>
      <c r="T520" s="639"/>
      <c r="U520" s="639"/>
      <c r="V520" s="639"/>
      <c r="W520" s="639"/>
      <c r="X520" s="639"/>
      <c r="Y520" s="639"/>
      <c r="Z520" s="639"/>
      <c r="AA520" s="639"/>
      <c r="AB520" s="639"/>
      <c r="AC520" s="639"/>
      <c r="AD520" s="639"/>
      <c r="AE520" s="639"/>
      <c r="AF520" s="639"/>
      <c r="AG520" s="669"/>
      <c r="AH520" s="606"/>
      <c r="AI520" s="19"/>
      <c r="AJ520" s="19"/>
      <c r="AK520" s="19"/>
    </row>
    <row r="521" spans="1:37" hidden="1" outlineLevel="3" x14ac:dyDescent="0.2">
      <c r="A521" s="606"/>
      <c r="B521" s="606"/>
      <c r="C521" s="607"/>
      <c r="D521" s="608"/>
      <c r="E521" s="608"/>
      <c r="F521" s="608"/>
      <c r="G521" s="608"/>
      <c r="H521" s="609"/>
      <c r="I521" s="632"/>
      <c r="J521" s="632"/>
      <c r="K521" s="632"/>
      <c r="L521" s="636"/>
      <c r="M521" s="639"/>
      <c r="N521" s="639"/>
      <c r="O521" s="639"/>
      <c r="P521" s="639"/>
      <c r="Q521" s="639"/>
      <c r="R521" s="639"/>
      <c r="S521" s="639"/>
      <c r="T521" s="639"/>
      <c r="U521" s="639"/>
      <c r="V521" s="639"/>
      <c r="W521" s="639"/>
      <c r="X521" s="639"/>
      <c r="Y521" s="639"/>
      <c r="Z521" s="639"/>
      <c r="AA521" s="639"/>
      <c r="AB521" s="639"/>
      <c r="AC521" s="639"/>
      <c r="AD521" s="639"/>
      <c r="AE521" s="639"/>
      <c r="AF521" s="639"/>
      <c r="AG521" s="669"/>
      <c r="AH521" s="606"/>
      <c r="AI521" s="19"/>
      <c r="AJ521" s="19"/>
      <c r="AK521" s="19"/>
    </row>
    <row r="522" spans="1:37" hidden="1" outlineLevel="3" x14ac:dyDescent="0.2">
      <c r="A522" s="606"/>
      <c r="B522" s="606"/>
      <c r="C522" s="607"/>
      <c r="D522" s="608"/>
      <c r="E522" s="608"/>
      <c r="F522" s="608"/>
      <c r="G522" s="608"/>
      <c r="H522" s="609"/>
      <c r="I522" s="632"/>
      <c r="J522" s="632"/>
      <c r="K522" s="632"/>
      <c r="L522" s="636"/>
      <c r="M522" s="639"/>
      <c r="N522" s="639"/>
      <c r="O522" s="639"/>
      <c r="P522" s="639"/>
      <c r="Q522" s="639"/>
      <c r="R522" s="639"/>
      <c r="S522" s="639"/>
      <c r="T522" s="639"/>
      <c r="U522" s="639"/>
      <c r="V522" s="639"/>
      <c r="W522" s="639"/>
      <c r="X522" s="639"/>
      <c r="Y522" s="639"/>
      <c r="Z522" s="639"/>
      <c r="AA522" s="639"/>
      <c r="AB522" s="639"/>
      <c r="AC522" s="639"/>
      <c r="AD522" s="639"/>
      <c r="AE522" s="639"/>
      <c r="AF522" s="639"/>
      <c r="AG522" s="669"/>
      <c r="AH522" s="606"/>
      <c r="AI522" s="19"/>
      <c r="AJ522" s="19"/>
      <c r="AK522" s="19"/>
    </row>
    <row r="523" spans="1:37" hidden="1" outlineLevel="3" x14ac:dyDescent="0.2">
      <c r="A523" s="606"/>
      <c r="B523" s="606"/>
      <c r="C523" s="607"/>
      <c r="D523" s="608"/>
      <c r="E523" s="608"/>
      <c r="F523" s="608"/>
      <c r="G523" s="608"/>
      <c r="H523" s="609"/>
      <c r="I523" s="632"/>
      <c r="J523" s="632"/>
      <c r="K523" s="632"/>
      <c r="L523" s="636"/>
      <c r="M523" s="639"/>
      <c r="N523" s="639"/>
      <c r="O523" s="639"/>
      <c r="P523" s="639"/>
      <c r="Q523" s="639"/>
      <c r="R523" s="639"/>
      <c r="S523" s="639"/>
      <c r="T523" s="639"/>
      <c r="U523" s="639"/>
      <c r="V523" s="639"/>
      <c r="W523" s="639"/>
      <c r="X523" s="639"/>
      <c r="Y523" s="639"/>
      <c r="Z523" s="639"/>
      <c r="AA523" s="639"/>
      <c r="AB523" s="639"/>
      <c r="AC523" s="639"/>
      <c r="AD523" s="639"/>
      <c r="AE523" s="639"/>
      <c r="AF523" s="639"/>
      <c r="AG523" s="669"/>
      <c r="AH523" s="606"/>
      <c r="AI523" s="19"/>
      <c r="AJ523" s="19"/>
      <c r="AK523" s="19"/>
    </row>
    <row r="524" spans="1:37" hidden="1" outlineLevel="3" x14ac:dyDescent="0.2">
      <c r="A524" s="606"/>
      <c r="B524" s="606"/>
      <c r="C524" s="607"/>
      <c r="D524" s="608"/>
      <c r="E524" s="608"/>
      <c r="F524" s="608"/>
      <c r="G524" s="608"/>
      <c r="H524" s="609"/>
      <c r="I524" s="632"/>
      <c r="J524" s="632"/>
      <c r="K524" s="632"/>
      <c r="L524" s="636"/>
      <c r="M524" s="639"/>
      <c r="N524" s="639"/>
      <c r="O524" s="639"/>
      <c r="P524" s="639"/>
      <c r="Q524" s="639"/>
      <c r="R524" s="639"/>
      <c r="S524" s="639"/>
      <c r="T524" s="639"/>
      <c r="U524" s="639"/>
      <c r="V524" s="639"/>
      <c r="W524" s="639"/>
      <c r="X524" s="639"/>
      <c r="Y524" s="639"/>
      <c r="Z524" s="639"/>
      <c r="AA524" s="639"/>
      <c r="AB524" s="639"/>
      <c r="AC524" s="639"/>
      <c r="AD524" s="639"/>
      <c r="AE524" s="639"/>
      <c r="AF524" s="639"/>
      <c r="AG524" s="669"/>
      <c r="AH524" s="606"/>
      <c r="AI524" s="19"/>
      <c r="AJ524" s="19"/>
      <c r="AK524" s="19"/>
    </row>
    <row r="525" spans="1:37" hidden="1" outlineLevel="3" x14ac:dyDescent="0.2">
      <c r="A525" s="606"/>
      <c r="B525" s="606"/>
      <c r="C525" s="607"/>
      <c r="D525" s="608"/>
      <c r="E525" s="608"/>
      <c r="F525" s="608"/>
      <c r="G525" s="608"/>
      <c r="H525" s="609"/>
      <c r="I525" s="632"/>
      <c r="J525" s="632"/>
      <c r="K525" s="632"/>
      <c r="L525" s="636"/>
      <c r="M525" s="639"/>
      <c r="N525" s="639"/>
      <c r="O525" s="639"/>
      <c r="P525" s="639"/>
      <c r="Q525" s="639"/>
      <c r="R525" s="639"/>
      <c r="S525" s="639"/>
      <c r="T525" s="639"/>
      <c r="U525" s="639"/>
      <c r="V525" s="639"/>
      <c r="W525" s="639"/>
      <c r="X525" s="639"/>
      <c r="Y525" s="639"/>
      <c r="Z525" s="639"/>
      <c r="AA525" s="639"/>
      <c r="AB525" s="639"/>
      <c r="AC525" s="639"/>
      <c r="AD525" s="639"/>
      <c r="AE525" s="639"/>
      <c r="AF525" s="639"/>
      <c r="AG525" s="669"/>
      <c r="AH525" s="606"/>
      <c r="AI525" s="19"/>
      <c r="AJ525" s="19"/>
      <c r="AK525" s="19"/>
    </row>
    <row r="526" spans="1:37" hidden="1" outlineLevel="3" x14ac:dyDescent="0.2">
      <c r="A526" s="606"/>
      <c r="B526" s="606"/>
      <c r="C526" s="607"/>
      <c r="D526" s="608"/>
      <c r="E526" s="608"/>
      <c r="F526" s="608"/>
      <c r="G526" s="608"/>
      <c r="H526" s="609"/>
      <c r="I526" s="632"/>
      <c r="J526" s="632"/>
      <c r="K526" s="632"/>
      <c r="L526" s="636"/>
      <c r="M526" s="639"/>
      <c r="N526" s="639"/>
      <c r="O526" s="639"/>
      <c r="P526" s="639"/>
      <c r="Q526" s="639"/>
      <c r="R526" s="639"/>
      <c r="S526" s="639"/>
      <c r="T526" s="639"/>
      <c r="U526" s="639"/>
      <c r="V526" s="639"/>
      <c r="W526" s="639"/>
      <c r="X526" s="639"/>
      <c r="Y526" s="639"/>
      <c r="Z526" s="639"/>
      <c r="AA526" s="639"/>
      <c r="AB526" s="639"/>
      <c r="AC526" s="639"/>
      <c r="AD526" s="639"/>
      <c r="AE526" s="639"/>
      <c r="AF526" s="639"/>
      <c r="AG526" s="669"/>
      <c r="AH526" s="606"/>
      <c r="AI526" s="19"/>
      <c r="AJ526" s="19"/>
      <c r="AK526" s="19"/>
    </row>
    <row r="527" spans="1:37" hidden="1" outlineLevel="3" x14ac:dyDescent="0.2">
      <c r="A527" s="606"/>
      <c r="B527" s="606"/>
      <c r="C527" s="607"/>
      <c r="D527" s="608"/>
      <c r="E527" s="608"/>
      <c r="F527" s="608"/>
      <c r="G527" s="608"/>
      <c r="H527" s="609"/>
      <c r="I527" s="632"/>
      <c r="J527" s="632"/>
      <c r="K527" s="632"/>
      <c r="L527" s="636"/>
      <c r="M527" s="639"/>
      <c r="N527" s="639"/>
      <c r="O527" s="639"/>
      <c r="P527" s="639"/>
      <c r="Q527" s="639"/>
      <c r="R527" s="639"/>
      <c r="S527" s="639"/>
      <c r="T527" s="639"/>
      <c r="U527" s="639"/>
      <c r="V527" s="639"/>
      <c r="W527" s="639"/>
      <c r="X527" s="639"/>
      <c r="Y527" s="639"/>
      <c r="Z527" s="639"/>
      <c r="AA527" s="639"/>
      <c r="AB527" s="639"/>
      <c r="AC527" s="639"/>
      <c r="AD527" s="639"/>
      <c r="AE527" s="639"/>
      <c r="AF527" s="639"/>
      <c r="AG527" s="669"/>
      <c r="AH527" s="606"/>
      <c r="AI527" s="19"/>
      <c r="AJ527" s="19"/>
      <c r="AK527" s="19"/>
    </row>
    <row r="528" spans="1:37" hidden="1" outlineLevel="3" x14ac:dyDescent="0.2">
      <c r="A528" s="606"/>
      <c r="B528" s="606"/>
      <c r="C528" s="607"/>
      <c r="D528" s="608"/>
      <c r="E528" s="608"/>
      <c r="F528" s="608"/>
      <c r="G528" s="608"/>
      <c r="H528" s="609"/>
      <c r="I528" s="632"/>
      <c r="J528" s="632"/>
      <c r="K528" s="632"/>
      <c r="L528" s="636"/>
      <c r="M528" s="639"/>
      <c r="N528" s="639"/>
      <c r="O528" s="639"/>
      <c r="P528" s="639"/>
      <c r="Q528" s="639"/>
      <c r="R528" s="639"/>
      <c r="S528" s="639"/>
      <c r="T528" s="639"/>
      <c r="U528" s="639"/>
      <c r="V528" s="639"/>
      <c r="W528" s="639"/>
      <c r="X528" s="639"/>
      <c r="Y528" s="639"/>
      <c r="Z528" s="639"/>
      <c r="AA528" s="639"/>
      <c r="AB528" s="639"/>
      <c r="AC528" s="639"/>
      <c r="AD528" s="639"/>
      <c r="AE528" s="639"/>
      <c r="AF528" s="639"/>
      <c r="AG528" s="669"/>
      <c r="AH528" s="606"/>
      <c r="AI528" s="19"/>
      <c r="AJ528" s="19"/>
      <c r="AK528" s="19"/>
    </row>
    <row r="529" spans="1:37" hidden="1" outlineLevel="3" x14ac:dyDescent="0.2">
      <c r="A529" s="606"/>
      <c r="B529" s="606"/>
      <c r="C529" s="607"/>
      <c r="D529" s="608"/>
      <c r="E529" s="608"/>
      <c r="F529" s="608"/>
      <c r="G529" s="608"/>
      <c r="H529" s="609"/>
      <c r="I529" s="632"/>
      <c r="J529" s="632"/>
      <c r="K529" s="632"/>
      <c r="L529" s="636"/>
      <c r="M529" s="639"/>
      <c r="N529" s="639"/>
      <c r="O529" s="639"/>
      <c r="P529" s="639"/>
      <c r="Q529" s="639"/>
      <c r="R529" s="639"/>
      <c r="S529" s="639"/>
      <c r="T529" s="639"/>
      <c r="U529" s="639"/>
      <c r="V529" s="639"/>
      <c r="W529" s="639"/>
      <c r="X529" s="639"/>
      <c r="Y529" s="639"/>
      <c r="Z529" s="639"/>
      <c r="AA529" s="639"/>
      <c r="AB529" s="639"/>
      <c r="AC529" s="639"/>
      <c r="AD529" s="639"/>
      <c r="AE529" s="639"/>
      <c r="AF529" s="639"/>
      <c r="AG529" s="669"/>
      <c r="AH529" s="606"/>
      <c r="AI529" s="19"/>
      <c r="AJ529" s="19"/>
      <c r="AK529" s="19"/>
    </row>
    <row r="530" spans="1:37" hidden="1" outlineLevel="3" x14ac:dyDescent="0.2">
      <c r="A530" s="606"/>
      <c r="B530" s="606"/>
      <c r="C530" s="607"/>
      <c r="D530" s="608"/>
      <c r="E530" s="608"/>
      <c r="F530" s="608"/>
      <c r="G530" s="608"/>
      <c r="H530" s="609"/>
      <c r="I530" s="632"/>
      <c r="J530" s="632"/>
      <c r="K530" s="632"/>
      <c r="L530" s="636"/>
      <c r="M530" s="639"/>
      <c r="N530" s="639"/>
      <c r="O530" s="639"/>
      <c r="P530" s="639"/>
      <c r="Q530" s="639"/>
      <c r="R530" s="639"/>
      <c r="S530" s="639"/>
      <c r="T530" s="639"/>
      <c r="U530" s="639"/>
      <c r="V530" s="639"/>
      <c r="W530" s="639"/>
      <c r="X530" s="639"/>
      <c r="Y530" s="639"/>
      <c r="Z530" s="639"/>
      <c r="AA530" s="639"/>
      <c r="AB530" s="639"/>
      <c r="AC530" s="639"/>
      <c r="AD530" s="639"/>
      <c r="AE530" s="639"/>
      <c r="AF530" s="639"/>
      <c r="AG530" s="669"/>
      <c r="AH530" s="606"/>
      <c r="AI530" s="19"/>
      <c r="AJ530" s="19"/>
      <c r="AK530" s="19"/>
    </row>
    <row r="531" spans="1:37" hidden="1" outlineLevel="3" x14ac:dyDescent="0.2">
      <c r="A531" s="606"/>
      <c r="B531" s="606"/>
      <c r="C531" s="607"/>
      <c r="D531" s="608"/>
      <c r="E531" s="608"/>
      <c r="F531" s="608"/>
      <c r="G531" s="608"/>
      <c r="H531" s="609"/>
      <c r="I531" s="632"/>
      <c r="J531" s="632"/>
      <c r="K531" s="632"/>
      <c r="L531" s="636"/>
      <c r="M531" s="639"/>
      <c r="N531" s="639"/>
      <c r="O531" s="639"/>
      <c r="P531" s="639"/>
      <c r="Q531" s="639"/>
      <c r="R531" s="639"/>
      <c r="S531" s="639"/>
      <c r="T531" s="639"/>
      <c r="U531" s="639"/>
      <c r="V531" s="639"/>
      <c r="W531" s="639"/>
      <c r="X531" s="639"/>
      <c r="Y531" s="639"/>
      <c r="Z531" s="639"/>
      <c r="AA531" s="639"/>
      <c r="AB531" s="639"/>
      <c r="AC531" s="639"/>
      <c r="AD531" s="639"/>
      <c r="AE531" s="639"/>
      <c r="AF531" s="639"/>
      <c r="AG531" s="669"/>
      <c r="AH531" s="606"/>
      <c r="AI531" s="19"/>
      <c r="AJ531" s="19"/>
      <c r="AK531" s="19"/>
    </row>
    <row r="532" spans="1:37" hidden="1" outlineLevel="3" x14ac:dyDescent="0.2">
      <c r="A532" s="606"/>
      <c r="B532" s="606"/>
      <c r="C532" s="607"/>
      <c r="D532" s="608"/>
      <c r="E532" s="608"/>
      <c r="F532" s="608"/>
      <c r="G532" s="608"/>
      <c r="H532" s="609"/>
      <c r="I532" s="632"/>
      <c r="J532" s="632"/>
      <c r="K532" s="632"/>
      <c r="L532" s="636"/>
      <c r="M532" s="639"/>
      <c r="N532" s="639"/>
      <c r="O532" s="639"/>
      <c r="P532" s="639"/>
      <c r="Q532" s="639"/>
      <c r="R532" s="639"/>
      <c r="S532" s="639"/>
      <c r="T532" s="639"/>
      <c r="U532" s="639"/>
      <c r="V532" s="639"/>
      <c r="W532" s="639"/>
      <c r="X532" s="639"/>
      <c r="Y532" s="639"/>
      <c r="Z532" s="639"/>
      <c r="AA532" s="639"/>
      <c r="AB532" s="639"/>
      <c r="AC532" s="639"/>
      <c r="AD532" s="639"/>
      <c r="AE532" s="639"/>
      <c r="AF532" s="639"/>
      <c r="AG532" s="669"/>
      <c r="AH532" s="606"/>
      <c r="AI532" s="19"/>
      <c r="AJ532" s="19"/>
      <c r="AK532" s="19"/>
    </row>
    <row r="533" spans="1:37" hidden="1" outlineLevel="3" x14ac:dyDescent="0.2">
      <c r="A533" s="606"/>
      <c r="B533" s="606"/>
      <c r="C533" s="607"/>
      <c r="D533" s="608"/>
      <c r="E533" s="608"/>
      <c r="F533" s="608"/>
      <c r="G533" s="608"/>
      <c r="H533" s="609"/>
      <c r="I533" s="632"/>
      <c r="J533" s="632"/>
      <c r="K533" s="632"/>
      <c r="L533" s="636"/>
      <c r="M533" s="639"/>
      <c r="N533" s="639"/>
      <c r="O533" s="639"/>
      <c r="P533" s="639"/>
      <c r="Q533" s="639"/>
      <c r="R533" s="639"/>
      <c r="S533" s="639"/>
      <c r="T533" s="639"/>
      <c r="U533" s="639"/>
      <c r="V533" s="639"/>
      <c r="W533" s="639"/>
      <c r="X533" s="639"/>
      <c r="Y533" s="639"/>
      <c r="Z533" s="639"/>
      <c r="AA533" s="639"/>
      <c r="AB533" s="639"/>
      <c r="AC533" s="639"/>
      <c r="AD533" s="639"/>
      <c r="AE533" s="639"/>
      <c r="AF533" s="639"/>
      <c r="AG533" s="669"/>
      <c r="AH533" s="606"/>
      <c r="AI533" s="19"/>
      <c r="AJ533" s="19"/>
      <c r="AK533" s="19"/>
    </row>
    <row r="534" spans="1:37" hidden="1" outlineLevel="3" x14ac:dyDescent="0.2">
      <c r="A534" s="606"/>
      <c r="B534" s="606"/>
      <c r="C534" s="607"/>
      <c r="D534" s="608"/>
      <c r="E534" s="608"/>
      <c r="F534" s="608"/>
      <c r="G534" s="608"/>
      <c r="H534" s="609"/>
      <c r="I534" s="632"/>
      <c r="J534" s="632"/>
      <c r="K534" s="632"/>
      <c r="L534" s="636"/>
      <c r="M534" s="639"/>
      <c r="N534" s="639"/>
      <c r="O534" s="639"/>
      <c r="P534" s="639"/>
      <c r="Q534" s="639"/>
      <c r="R534" s="639"/>
      <c r="S534" s="639"/>
      <c r="T534" s="639"/>
      <c r="U534" s="639"/>
      <c r="V534" s="639"/>
      <c r="W534" s="639"/>
      <c r="X534" s="639"/>
      <c r="Y534" s="639"/>
      <c r="Z534" s="639"/>
      <c r="AA534" s="639"/>
      <c r="AB534" s="639"/>
      <c r="AC534" s="639"/>
      <c r="AD534" s="639"/>
      <c r="AE534" s="639"/>
      <c r="AF534" s="639"/>
      <c r="AG534" s="669"/>
      <c r="AH534" s="606"/>
      <c r="AI534" s="19"/>
      <c r="AJ534" s="19"/>
      <c r="AK534" s="19"/>
    </row>
    <row r="535" spans="1:37" hidden="1" outlineLevel="3" x14ac:dyDescent="0.2">
      <c r="A535" s="606"/>
      <c r="B535" s="606"/>
      <c r="C535" s="607"/>
      <c r="D535" s="608"/>
      <c r="E535" s="608"/>
      <c r="F535" s="608"/>
      <c r="G535" s="608"/>
      <c r="H535" s="609"/>
      <c r="I535" s="632"/>
      <c r="J535" s="632"/>
      <c r="K535" s="632"/>
      <c r="L535" s="636"/>
      <c r="M535" s="639"/>
      <c r="N535" s="639"/>
      <c r="O535" s="639"/>
      <c r="P535" s="639"/>
      <c r="Q535" s="639"/>
      <c r="R535" s="639"/>
      <c r="S535" s="639"/>
      <c r="T535" s="639"/>
      <c r="U535" s="639"/>
      <c r="V535" s="639"/>
      <c r="W535" s="639"/>
      <c r="X535" s="639"/>
      <c r="Y535" s="639"/>
      <c r="Z535" s="639"/>
      <c r="AA535" s="639"/>
      <c r="AB535" s="639"/>
      <c r="AC535" s="639"/>
      <c r="AD535" s="639"/>
      <c r="AE535" s="639"/>
      <c r="AF535" s="639"/>
      <c r="AG535" s="669"/>
      <c r="AH535" s="606"/>
      <c r="AI535" s="19"/>
      <c r="AJ535" s="19"/>
      <c r="AK535" s="19"/>
    </row>
    <row r="536" spans="1:37" hidden="1" outlineLevel="3" x14ac:dyDescent="0.2">
      <c r="A536" s="606"/>
      <c r="B536" s="606"/>
      <c r="C536" s="607"/>
      <c r="D536" s="608"/>
      <c r="E536" s="608"/>
      <c r="F536" s="608"/>
      <c r="G536" s="608"/>
      <c r="H536" s="609"/>
      <c r="I536" s="632"/>
      <c r="J536" s="632"/>
      <c r="K536" s="632"/>
      <c r="L536" s="636"/>
      <c r="M536" s="639"/>
      <c r="N536" s="639"/>
      <c r="O536" s="639"/>
      <c r="P536" s="639"/>
      <c r="Q536" s="639"/>
      <c r="R536" s="639"/>
      <c r="S536" s="639"/>
      <c r="T536" s="639"/>
      <c r="U536" s="639"/>
      <c r="V536" s="639"/>
      <c r="W536" s="639"/>
      <c r="X536" s="639"/>
      <c r="Y536" s="639"/>
      <c r="Z536" s="639"/>
      <c r="AA536" s="639"/>
      <c r="AB536" s="639"/>
      <c r="AC536" s="639"/>
      <c r="AD536" s="639"/>
      <c r="AE536" s="639"/>
      <c r="AF536" s="639"/>
      <c r="AG536" s="669"/>
      <c r="AH536" s="606"/>
      <c r="AI536" s="19"/>
      <c r="AJ536" s="19"/>
      <c r="AK536" s="19"/>
    </row>
    <row r="537" spans="1:37" hidden="1" outlineLevel="3" x14ac:dyDescent="0.2">
      <c r="A537" s="606"/>
      <c r="B537" s="606"/>
      <c r="C537" s="607"/>
      <c r="D537" s="608"/>
      <c r="E537" s="608"/>
      <c r="F537" s="608"/>
      <c r="G537" s="608"/>
      <c r="H537" s="609"/>
      <c r="I537" s="632"/>
      <c r="J537" s="632"/>
      <c r="K537" s="632"/>
      <c r="L537" s="636"/>
      <c r="M537" s="639"/>
      <c r="N537" s="639"/>
      <c r="O537" s="639"/>
      <c r="P537" s="639"/>
      <c r="Q537" s="639"/>
      <c r="R537" s="639"/>
      <c r="S537" s="639"/>
      <c r="T537" s="639"/>
      <c r="U537" s="639"/>
      <c r="V537" s="639"/>
      <c r="W537" s="639"/>
      <c r="X537" s="639"/>
      <c r="Y537" s="639"/>
      <c r="Z537" s="639"/>
      <c r="AA537" s="639"/>
      <c r="AB537" s="639"/>
      <c r="AC537" s="639"/>
      <c r="AD537" s="639"/>
      <c r="AE537" s="639"/>
      <c r="AF537" s="639"/>
      <c r="AG537" s="669"/>
      <c r="AH537" s="606"/>
      <c r="AI537" s="19"/>
      <c r="AJ537" s="19"/>
      <c r="AK537" s="19"/>
    </row>
    <row r="538" spans="1:37" hidden="1" outlineLevel="3" x14ac:dyDescent="0.2">
      <c r="A538" s="606"/>
      <c r="B538" s="606"/>
      <c r="C538" s="607"/>
      <c r="D538" s="608"/>
      <c r="E538" s="608"/>
      <c r="F538" s="608"/>
      <c r="G538" s="608"/>
      <c r="H538" s="609"/>
      <c r="I538" s="632"/>
      <c r="J538" s="632"/>
      <c r="K538" s="632"/>
      <c r="L538" s="636"/>
      <c r="M538" s="639"/>
      <c r="N538" s="639"/>
      <c r="O538" s="639"/>
      <c r="P538" s="639"/>
      <c r="Q538" s="639"/>
      <c r="R538" s="639"/>
      <c r="S538" s="639"/>
      <c r="T538" s="639"/>
      <c r="U538" s="639"/>
      <c r="V538" s="639"/>
      <c r="W538" s="639"/>
      <c r="X538" s="639"/>
      <c r="Y538" s="639"/>
      <c r="Z538" s="639"/>
      <c r="AA538" s="639"/>
      <c r="AB538" s="639"/>
      <c r="AC538" s="639"/>
      <c r="AD538" s="639"/>
      <c r="AE538" s="639"/>
      <c r="AF538" s="639"/>
      <c r="AG538" s="669"/>
      <c r="AH538" s="606"/>
      <c r="AI538" s="19"/>
      <c r="AJ538" s="19"/>
      <c r="AK538" s="19"/>
    </row>
    <row r="539" spans="1:37" hidden="1" outlineLevel="3" x14ac:dyDescent="0.2">
      <c r="A539" s="606"/>
      <c r="B539" s="606"/>
      <c r="C539" s="607"/>
      <c r="D539" s="608"/>
      <c r="E539" s="608"/>
      <c r="F539" s="608"/>
      <c r="G539" s="608"/>
      <c r="H539" s="609"/>
      <c r="I539" s="632"/>
      <c r="J539" s="632"/>
      <c r="K539" s="632"/>
      <c r="L539" s="636"/>
      <c r="M539" s="639"/>
      <c r="N539" s="639"/>
      <c r="O539" s="639"/>
      <c r="P539" s="639"/>
      <c r="Q539" s="639"/>
      <c r="R539" s="639"/>
      <c r="S539" s="639"/>
      <c r="T539" s="639"/>
      <c r="U539" s="639"/>
      <c r="V539" s="639"/>
      <c r="W539" s="639"/>
      <c r="X539" s="639"/>
      <c r="Y539" s="639"/>
      <c r="Z539" s="639"/>
      <c r="AA539" s="639"/>
      <c r="AB539" s="639"/>
      <c r="AC539" s="639"/>
      <c r="AD539" s="639"/>
      <c r="AE539" s="639"/>
      <c r="AF539" s="639"/>
      <c r="AG539" s="669"/>
      <c r="AH539" s="606"/>
      <c r="AI539" s="19"/>
      <c r="AJ539" s="19"/>
      <c r="AK539" s="19"/>
    </row>
    <row r="540" spans="1:37" hidden="1" outlineLevel="3" x14ac:dyDescent="0.2">
      <c r="A540" s="606"/>
      <c r="B540" s="606"/>
      <c r="C540" s="607"/>
      <c r="D540" s="608"/>
      <c r="E540" s="608"/>
      <c r="F540" s="608"/>
      <c r="G540" s="608"/>
      <c r="H540" s="609"/>
      <c r="I540" s="632"/>
      <c r="J540" s="632"/>
      <c r="K540" s="632"/>
      <c r="L540" s="636"/>
      <c r="M540" s="639"/>
      <c r="N540" s="639"/>
      <c r="O540" s="639"/>
      <c r="P540" s="639"/>
      <c r="Q540" s="639"/>
      <c r="R540" s="639"/>
      <c r="S540" s="639"/>
      <c r="T540" s="639"/>
      <c r="U540" s="639"/>
      <c r="V540" s="639"/>
      <c r="W540" s="639"/>
      <c r="X540" s="639"/>
      <c r="Y540" s="639"/>
      <c r="Z540" s="639"/>
      <c r="AA540" s="639"/>
      <c r="AB540" s="639"/>
      <c r="AC540" s="639"/>
      <c r="AD540" s="639"/>
      <c r="AE540" s="639"/>
      <c r="AF540" s="639"/>
      <c r="AG540" s="669"/>
      <c r="AH540" s="606"/>
      <c r="AI540" s="19"/>
      <c r="AJ540" s="19"/>
      <c r="AK540" s="19"/>
    </row>
    <row r="541" spans="1:37" hidden="1" outlineLevel="3" x14ac:dyDescent="0.2">
      <c r="A541" s="606"/>
      <c r="B541" s="606"/>
      <c r="C541" s="607"/>
      <c r="D541" s="608"/>
      <c r="E541" s="608"/>
      <c r="F541" s="608"/>
      <c r="G541" s="608"/>
      <c r="H541" s="609"/>
      <c r="I541" s="632"/>
      <c r="J541" s="632"/>
      <c r="K541" s="632"/>
      <c r="L541" s="636"/>
      <c r="M541" s="639"/>
      <c r="N541" s="639"/>
      <c r="O541" s="639"/>
      <c r="P541" s="639"/>
      <c r="Q541" s="639"/>
      <c r="R541" s="639"/>
      <c r="S541" s="639"/>
      <c r="T541" s="639"/>
      <c r="U541" s="639"/>
      <c r="V541" s="639"/>
      <c r="W541" s="639"/>
      <c r="X541" s="639"/>
      <c r="Y541" s="639"/>
      <c r="Z541" s="639"/>
      <c r="AA541" s="639"/>
      <c r="AB541" s="639"/>
      <c r="AC541" s="639"/>
      <c r="AD541" s="639"/>
      <c r="AE541" s="639"/>
      <c r="AF541" s="639"/>
      <c r="AG541" s="669"/>
      <c r="AH541" s="606"/>
      <c r="AI541" s="19"/>
      <c r="AJ541" s="19"/>
      <c r="AK541" s="19"/>
    </row>
    <row r="542" spans="1:37" hidden="1" outlineLevel="3" x14ac:dyDescent="0.2">
      <c r="A542" s="606"/>
      <c r="B542" s="606"/>
      <c r="C542" s="607"/>
      <c r="D542" s="608"/>
      <c r="E542" s="608"/>
      <c r="F542" s="608"/>
      <c r="G542" s="608"/>
      <c r="H542" s="609"/>
      <c r="I542" s="632"/>
      <c r="J542" s="632"/>
      <c r="K542" s="632"/>
      <c r="L542" s="636"/>
      <c r="M542" s="639"/>
      <c r="N542" s="639"/>
      <c r="O542" s="639"/>
      <c r="P542" s="639"/>
      <c r="Q542" s="639"/>
      <c r="R542" s="639"/>
      <c r="S542" s="639"/>
      <c r="T542" s="639"/>
      <c r="U542" s="639"/>
      <c r="V542" s="639"/>
      <c r="W542" s="639"/>
      <c r="X542" s="639"/>
      <c r="Y542" s="639"/>
      <c r="Z542" s="639"/>
      <c r="AA542" s="639"/>
      <c r="AB542" s="639"/>
      <c r="AC542" s="639"/>
      <c r="AD542" s="639"/>
      <c r="AE542" s="639"/>
      <c r="AF542" s="639"/>
      <c r="AG542" s="669"/>
      <c r="AH542" s="606"/>
      <c r="AI542" s="19"/>
      <c r="AJ542" s="19"/>
      <c r="AK542" s="19"/>
    </row>
    <row r="543" spans="1:37" hidden="1" outlineLevel="3" x14ac:dyDescent="0.2">
      <c r="A543" s="606"/>
      <c r="B543" s="606"/>
      <c r="C543" s="607"/>
      <c r="D543" s="608"/>
      <c r="E543" s="608"/>
      <c r="F543" s="608"/>
      <c r="G543" s="608"/>
      <c r="H543" s="609"/>
      <c r="I543" s="632"/>
      <c r="J543" s="632"/>
      <c r="K543" s="632"/>
      <c r="L543" s="636"/>
      <c r="M543" s="639"/>
      <c r="N543" s="639"/>
      <c r="O543" s="639"/>
      <c r="P543" s="639"/>
      <c r="Q543" s="639"/>
      <c r="R543" s="639"/>
      <c r="S543" s="639"/>
      <c r="T543" s="639"/>
      <c r="U543" s="639"/>
      <c r="V543" s="639"/>
      <c r="W543" s="639"/>
      <c r="X543" s="639"/>
      <c r="Y543" s="639"/>
      <c r="Z543" s="639"/>
      <c r="AA543" s="639"/>
      <c r="AB543" s="639"/>
      <c r="AC543" s="639"/>
      <c r="AD543" s="639"/>
      <c r="AE543" s="639"/>
      <c r="AF543" s="639"/>
      <c r="AG543" s="669"/>
      <c r="AH543" s="606"/>
      <c r="AI543" s="19"/>
      <c r="AJ543" s="19"/>
      <c r="AK543" s="19"/>
    </row>
    <row r="544" spans="1:37" hidden="1" outlineLevel="3" x14ac:dyDescent="0.2">
      <c r="A544" s="606"/>
      <c r="B544" s="606"/>
      <c r="C544" s="607"/>
      <c r="D544" s="608"/>
      <c r="E544" s="608"/>
      <c r="F544" s="608"/>
      <c r="G544" s="608"/>
      <c r="H544" s="609"/>
      <c r="I544" s="632"/>
      <c r="J544" s="632"/>
      <c r="K544" s="632"/>
      <c r="L544" s="636"/>
      <c r="M544" s="639"/>
      <c r="N544" s="639"/>
      <c r="O544" s="639"/>
      <c r="P544" s="639"/>
      <c r="Q544" s="639"/>
      <c r="R544" s="639"/>
      <c r="S544" s="639"/>
      <c r="T544" s="639"/>
      <c r="U544" s="639"/>
      <c r="V544" s="639"/>
      <c r="W544" s="639"/>
      <c r="X544" s="639"/>
      <c r="Y544" s="639"/>
      <c r="Z544" s="639"/>
      <c r="AA544" s="639"/>
      <c r="AB544" s="639"/>
      <c r="AC544" s="639"/>
      <c r="AD544" s="639"/>
      <c r="AE544" s="639"/>
      <c r="AF544" s="639"/>
      <c r="AG544" s="669"/>
      <c r="AH544" s="606"/>
      <c r="AI544" s="19"/>
      <c r="AJ544" s="19"/>
      <c r="AK544" s="19"/>
    </row>
    <row r="545" spans="1:37" hidden="1" outlineLevel="3" x14ac:dyDescent="0.2">
      <c r="A545" s="606"/>
      <c r="B545" s="606"/>
      <c r="C545" s="607"/>
      <c r="D545" s="608"/>
      <c r="E545" s="608"/>
      <c r="F545" s="608"/>
      <c r="G545" s="608"/>
      <c r="H545" s="609"/>
      <c r="I545" s="632"/>
      <c r="J545" s="632"/>
      <c r="K545" s="632"/>
      <c r="L545" s="636"/>
      <c r="M545" s="639"/>
      <c r="N545" s="639"/>
      <c r="O545" s="639"/>
      <c r="P545" s="639"/>
      <c r="Q545" s="639"/>
      <c r="R545" s="639"/>
      <c r="S545" s="639"/>
      <c r="T545" s="639"/>
      <c r="U545" s="639"/>
      <c r="V545" s="639"/>
      <c r="W545" s="639"/>
      <c r="X545" s="639"/>
      <c r="Y545" s="639"/>
      <c r="Z545" s="639"/>
      <c r="AA545" s="639"/>
      <c r="AB545" s="639"/>
      <c r="AC545" s="639"/>
      <c r="AD545" s="639"/>
      <c r="AE545" s="639"/>
      <c r="AF545" s="639"/>
      <c r="AG545" s="669"/>
      <c r="AH545" s="606"/>
      <c r="AI545" s="19"/>
      <c r="AJ545" s="19"/>
      <c r="AK545" s="19"/>
    </row>
    <row r="546" spans="1:37" hidden="1" outlineLevel="3" x14ac:dyDescent="0.2">
      <c r="A546" s="606"/>
      <c r="B546" s="606"/>
      <c r="C546" s="607"/>
      <c r="D546" s="608"/>
      <c r="E546" s="608"/>
      <c r="F546" s="608"/>
      <c r="G546" s="608"/>
      <c r="H546" s="609"/>
      <c r="I546" s="632"/>
      <c r="J546" s="632"/>
      <c r="K546" s="632"/>
      <c r="L546" s="636"/>
      <c r="M546" s="639"/>
      <c r="N546" s="639"/>
      <c r="O546" s="639"/>
      <c r="P546" s="639"/>
      <c r="Q546" s="639"/>
      <c r="R546" s="639"/>
      <c r="S546" s="639"/>
      <c r="T546" s="639"/>
      <c r="U546" s="639"/>
      <c r="V546" s="639"/>
      <c r="W546" s="639"/>
      <c r="X546" s="639"/>
      <c r="Y546" s="639"/>
      <c r="Z546" s="639"/>
      <c r="AA546" s="639"/>
      <c r="AB546" s="639"/>
      <c r="AC546" s="639"/>
      <c r="AD546" s="639"/>
      <c r="AE546" s="639"/>
      <c r="AF546" s="639"/>
      <c r="AG546" s="669"/>
      <c r="AH546" s="606"/>
      <c r="AI546" s="19"/>
      <c r="AJ546" s="19"/>
      <c r="AK546" s="19"/>
    </row>
    <row r="547" spans="1:37" hidden="1" outlineLevel="3" x14ac:dyDescent="0.2">
      <c r="A547" s="606"/>
      <c r="B547" s="606"/>
      <c r="C547" s="607"/>
      <c r="D547" s="608"/>
      <c r="E547" s="608"/>
      <c r="F547" s="608"/>
      <c r="G547" s="608"/>
      <c r="H547" s="609"/>
      <c r="I547" s="632"/>
      <c r="J547" s="632"/>
      <c r="K547" s="632"/>
      <c r="L547" s="636"/>
      <c r="M547" s="639"/>
      <c r="N547" s="639"/>
      <c r="O547" s="639"/>
      <c r="P547" s="639"/>
      <c r="Q547" s="639"/>
      <c r="R547" s="639"/>
      <c r="S547" s="639"/>
      <c r="T547" s="639"/>
      <c r="U547" s="639"/>
      <c r="V547" s="639"/>
      <c r="W547" s="639"/>
      <c r="X547" s="639"/>
      <c r="Y547" s="639"/>
      <c r="Z547" s="639"/>
      <c r="AA547" s="639"/>
      <c r="AB547" s="639"/>
      <c r="AC547" s="639"/>
      <c r="AD547" s="639"/>
      <c r="AE547" s="639"/>
      <c r="AF547" s="639"/>
      <c r="AG547" s="669"/>
      <c r="AH547" s="606"/>
      <c r="AI547" s="19"/>
      <c r="AJ547" s="19"/>
      <c r="AK547" s="19"/>
    </row>
    <row r="548" spans="1:37" hidden="1" outlineLevel="3" x14ac:dyDescent="0.2">
      <c r="A548" s="606"/>
      <c r="B548" s="606"/>
      <c r="C548" s="607"/>
      <c r="D548" s="608"/>
      <c r="E548" s="608"/>
      <c r="F548" s="608"/>
      <c r="G548" s="608"/>
      <c r="H548" s="609"/>
      <c r="I548" s="632"/>
      <c r="J548" s="632"/>
      <c r="K548" s="632"/>
      <c r="L548" s="636"/>
      <c r="M548" s="639"/>
      <c r="N548" s="639"/>
      <c r="O548" s="639"/>
      <c r="P548" s="639"/>
      <c r="Q548" s="639"/>
      <c r="R548" s="639"/>
      <c r="S548" s="639"/>
      <c r="T548" s="639"/>
      <c r="U548" s="639"/>
      <c r="V548" s="639"/>
      <c r="W548" s="639"/>
      <c r="X548" s="639"/>
      <c r="Y548" s="639"/>
      <c r="Z548" s="639"/>
      <c r="AA548" s="639"/>
      <c r="AB548" s="639"/>
      <c r="AC548" s="639"/>
      <c r="AD548" s="639"/>
      <c r="AE548" s="639"/>
      <c r="AF548" s="639"/>
      <c r="AG548" s="669"/>
      <c r="AH548" s="606"/>
      <c r="AI548" s="19"/>
      <c r="AJ548" s="19"/>
      <c r="AK548" s="19"/>
    </row>
    <row r="549" spans="1:37" hidden="1" outlineLevel="3" x14ac:dyDescent="0.2">
      <c r="A549" s="606"/>
      <c r="B549" s="606"/>
      <c r="C549" s="607"/>
      <c r="D549" s="608"/>
      <c r="E549" s="608"/>
      <c r="F549" s="608"/>
      <c r="G549" s="608"/>
      <c r="H549" s="609"/>
      <c r="I549" s="632"/>
      <c r="J549" s="632"/>
      <c r="K549" s="632"/>
      <c r="L549" s="636"/>
      <c r="M549" s="639"/>
      <c r="N549" s="639"/>
      <c r="O549" s="639"/>
      <c r="P549" s="639"/>
      <c r="Q549" s="639"/>
      <c r="R549" s="639"/>
      <c r="S549" s="639"/>
      <c r="T549" s="639"/>
      <c r="U549" s="639"/>
      <c r="V549" s="639"/>
      <c r="W549" s="639"/>
      <c r="X549" s="639"/>
      <c r="Y549" s="639"/>
      <c r="Z549" s="639"/>
      <c r="AA549" s="639"/>
      <c r="AB549" s="639"/>
      <c r="AC549" s="639"/>
      <c r="AD549" s="639"/>
      <c r="AE549" s="639"/>
      <c r="AF549" s="639"/>
      <c r="AG549" s="669"/>
      <c r="AH549" s="606"/>
      <c r="AI549" s="19"/>
      <c r="AJ549" s="19"/>
      <c r="AK549" s="19"/>
    </row>
    <row r="550" spans="1:37" hidden="1" outlineLevel="3" x14ac:dyDescent="0.2">
      <c r="A550" s="606"/>
      <c r="B550" s="606"/>
      <c r="C550" s="607"/>
      <c r="D550" s="608"/>
      <c r="E550" s="608"/>
      <c r="F550" s="608"/>
      <c r="G550" s="608"/>
      <c r="H550" s="609"/>
      <c r="I550" s="632"/>
      <c r="J550" s="632"/>
      <c r="K550" s="632"/>
      <c r="L550" s="636"/>
      <c r="M550" s="639"/>
      <c r="N550" s="639"/>
      <c r="O550" s="639"/>
      <c r="P550" s="639"/>
      <c r="Q550" s="639"/>
      <c r="R550" s="639"/>
      <c r="S550" s="639"/>
      <c r="T550" s="639"/>
      <c r="U550" s="639"/>
      <c r="V550" s="639"/>
      <c r="W550" s="639"/>
      <c r="X550" s="639"/>
      <c r="Y550" s="639"/>
      <c r="Z550" s="639"/>
      <c r="AA550" s="639"/>
      <c r="AB550" s="639"/>
      <c r="AC550" s="639"/>
      <c r="AD550" s="639"/>
      <c r="AE550" s="639"/>
      <c r="AF550" s="639"/>
      <c r="AG550" s="669"/>
      <c r="AH550" s="606"/>
      <c r="AI550" s="19"/>
      <c r="AJ550" s="19"/>
      <c r="AK550" s="19"/>
    </row>
    <row r="551" spans="1:37" hidden="1" outlineLevel="3" x14ac:dyDescent="0.2">
      <c r="A551" s="606"/>
      <c r="B551" s="606"/>
      <c r="C551" s="607"/>
      <c r="D551" s="608"/>
      <c r="E551" s="608"/>
      <c r="F551" s="608"/>
      <c r="G551" s="608"/>
      <c r="H551" s="609"/>
      <c r="I551" s="632"/>
      <c r="J551" s="632"/>
      <c r="K551" s="632"/>
      <c r="L551" s="636"/>
      <c r="M551" s="639"/>
      <c r="N551" s="639"/>
      <c r="O551" s="639"/>
      <c r="P551" s="639"/>
      <c r="Q551" s="639"/>
      <c r="R551" s="639"/>
      <c r="S551" s="639"/>
      <c r="T551" s="639"/>
      <c r="U551" s="639"/>
      <c r="V551" s="639"/>
      <c r="W551" s="639"/>
      <c r="X551" s="639"/>
      <c r="Y551" s="639"/>
      <c r="Z551" s="639"/>
      <c r="AA551" s="639"/>
      <c r="AB551" s="639"/>
      <c r="AC551" s="639"/>
      <c r="AD551" s="639"/>
      <c r="AE551" s="639"/>
      <c r="AF551" s="639"/>
      <c r="AG551" s="669"/>
      <c r="AH551" s="606"/>
      <c r="AI551" s="19"/>
      <c r="AJ551" s="19"/>
      <c r="AK551" s="19"/>
    </row>
    <row r="552" spans="1:37" hidden="1" outlineLevel="3" x14ac:dyDescent="0.2">
      <c r="A552" s="606"/>
      <c r="B552" s="606"/>
      <c r="C552" s="607"/>
      <c r="D552" s="608"/>
      <c r="E552" s="608"/>
      <c r="F552" s="608"/>
      <c r="G552" s="608"/>
      <c r="H552" s="609"/>
      <c r="I552" s="632"/>
      <c r="J552" s="632"/>
      <c r="K552" s="632"/>
      <c r="L552" s="636"/>
      <c r="M552" s="639"/>
      <c r="N552" s="639"/>
      <c r="O552" s="639"/>
      <c r="P552" s="639"/>
      <c r="Q552" s="639"/>
      <c r="R552" s="639"/>
      <c r="S552" s="639"/>
      <c r="T552" s="639"/>
      <c r="U552" s="639"/>
      <c r="V552" s="639"/>
      <c r="W552" s="639"/>
      <c r="X552" s="639"/>
      <c r="Y552" s="639"/>
      <c r="Z552" s="639"/>
      <c r="AA552" s="639"/>
      <c r="AB552" s="639"/>
      <c r="AC552" s="639"/>
      <c r="AD552" s="639"/>
      <c r="AE552" s="639"/>
      <c r="AF552" s="639"/>
      <c r="AG552" s="669"/>
      <c r="AH552" s="606"/>
      <c r="AI552" s="19"/>
      <c r="AJ552" s="19"/>
      <c r="AK552" s="19"/>
    </row>
    <row r="553" spans="1:37" hidden="1" outlineLevel="3" x14ac:dyDescent="0.2">
      <c r="A553" s="606"/>
      <c r="B553" s="606"/>
      <c r="C553" s="607"/>
      <c r="D553" s="608"/>
      <c r="E553" s="608"/>
      <c r="F553" s="608"/>
      <c r="G553" s="608"/>
      <c r="H553" s="609"/>
      <c r="I553" s="632"/>
      <c r="J553" s="632"/>
      <c r="K553" s="632"/>
      <c r="L553" s="636"/>
      <c r="M553" s="639"/>
      <c r="N553" s="639"/>
      <c r="O553" s="639"/>
      <c r="P553" s="639"/>
      <c r="Q553" s="639"/>
      <c r="R553" s="639"/>
      <c r="S553" s="639"/>
      <c r="T553" s="639"/>
      <c r="U553" s="639"/>
      <c r="V553" s="639"/>
      <c r="W553" s="639"/>
      <c r="X553" s="639"/>
      <c r="Y553" s="639"/>
      <c r="Z553" s="639"/>
      <c r="AA553" s="639"/>
      <c r="AB553" s="639"/>
      <c r="AC553" s="639"/>
      <c r="AD553" s="639"/>
      <c r="AE553" s="639"/>
      <c r="AF553" s="639"/>
      <c r="AG553" s="669"/>
      <c r="AH553" s="606"/>
      <c r="AI553" s="19"/>
      <c r="AJ553" s="19"/>
      <c r="AK553" s="19"/>
    </row>
    <row r="554" spans="1:37" hidden="1" outlineLevel="3" x14ac:dyDescent="0.2">
      <c r="A554" s="606"/>
      <c r="B554" s="606"/>
      <c r="C554" s="607"/>
      <c r="D554" s="608"/>
      <c r="E554" s="608"/>
      <c r="F554" s="608"/>
      <c r="G554" s="608"/>
      <c r="H554" s="609"/>
      <c r="I554" s="632"/>
      <c r="J554" s="632"/>
      <c r="K554" s="632"/>
      <c r="L554" s="636"/>
      <c r="M554" s="639"/>
      <c r="N554" s="639"/>
      <c r="O554" s="639"/>
      <c r="P554" s="639"/>
      <c r="Q554" s="639"/>
      <c r="R554" s="639"/>
      <c r="S554" s="639"/>
      <c r="T554" s="639"/>
      <c r="U554" s="639"/>
      <c r="V554" s="639"/>
      <c r="W554" s="639"/>
      <c r="X554" s="639"/>
      <c r="Y554" s="639"/>
      <c r="Z554" s="639"/>
      <c r="AA554" s="639"/>
      <c r="AB554" s="639"/>
      <c r="AC554" s="639"/>
      <c r="AD554" s="639"/>
      <c r="AE554" s="639"/>
      <c r="AF554" s="639"/>
      <c r="AG554" s="669"/>
      <c r="AH554" s="606"/>
      <c r="AI554" s="19"/>
      <c r="AJ554" s="19"/>
      <c r="AK554" s="19"/>
    </row>
    <row r="555" spans="1:37" hidden="1" outlineLevel="3" x14ac:dyDescent="0.2">
      <c r="A555" s="606"/>
      <c r="B555" s="606"/>
      <c r="C555" s="607"/>
      <c r="D555" s="608"/>
      <c r="E555" s="608"/>
      <c r="F555" s="608"/>
      <c r="G555" s="608"/>
      <c r="H555" s="609"/>
      <c r="I555" s="632"/>
      <c r="J555" s="632"/>
      <c r="K555" s="632"/>
      <c r="L555" s="636"/>
      <c r="M555" s="639"/>
      <c r="N555" s="639"/>
      <c r="O555" s="639"/>
      <c r="P555" s="639"/>
      <c r="Q555" s="639"/>
      <c r="R555" s="639"/>
      <c r="S555" s="639"/>
      <c r="T555" s="639"/>
      <c r="U555" s="639"/>
      <c r="V555" s="639"/>
      <c r="W555" s="639"/>
      <c r="X555" s="639"/>
      <c r="Y555" s="639"/>
      <c r="Z555" s="639"/>
      <c r="AA555" s="639"/>
      <c r="AB555" s="639"/>
      <c r="AC555" s="639"/>
      <c r="AD555" s="639"/>
      <c r="AE555" s="639"/>
      <c r="AF555" s="639"/>
      <c r="AG555" s="669"/>
      <c r="AH555" s="606"/>
      <c r="AI555" s="19"/>
      <c r="AJ555" s="19"/>
      <c r="AK555" s="19"/>
    </row>
    <row r="556" spans="1:37" outlineLevel="2" collapsed="1" x14ac:dyDescent="0.2">
      <c r="A556" s="606"/>
      <c r="B556" s="606"/>
      <c r="C556" s="638"/>
      <c r="D556" s="608"/>
      <c r="E556" s="608"/>
      <c r="F556" s="608"/>
      <c r="G556" s="608"/>
      <c r="H556" s="609"/>
      <c r="I556" s="670"/>
      <c r="J556" s="670"/>
      <c r="K556" s="670"/>
      <c r="L556" s="671"/>
      <c r="M556" s="670"/>
      <c r="N556" s="670"/>
      <c r="O556" s="670"/>
      <c r="P556" s="670"/>
      <c r="Q556" s="670"/>
      <c r="R556" s="670"/>
      <c r="S556" s="670"/>
      <c r="T556" s="670"/>
      <c r="U556" s="670"/>
      <c r="V556" s="670"/>
      <c r="W556" s="670"/>
      <c r="X556" s="670"/>
      <c r="Y556" s="670"/>
      <c r="Z556" s="670"/>
      <c r="AA556" s="670"/>
      <c r="AB556" s="670"/>
      <c r="AC556" s="670"/>
      <c r="AD556" s="670"/>
      <c r="AE556" s="670"/>
      <c r="AF556" s="670"/>
      <c r="AG556" s="672"/>
      <c r="AH556" s="606"/>
      <c r="AI556" s="19"/>
      <c r="AJ556" s="19"/>
      <c r="AK556" s="19"/>
    </row>
    <row r="557" spans="1:37" outlineLevel="2" x14ac:dyDescent="0.2">
      <c r="A557" s="606"/>
      <c r="B557" s="606"/>
      <c r="C557" s="613"/>
      <c r="D557" s="613"/>
      <c r="E557" s="613"/>
      <c r="F557" s="613"/>
      <c r="G557" s="613"/>
      <c r="H557" s="609"/>
      <c r="I557" s="636"/>
      <c r="J557" s="636"/>
      <c r="K557" s="636"/>
      <c r="L557" s="636"/>
      <c r="M557" s="636"/>
      <c r="N557" s="636"/>
      <c r="O557" s="636"/>
      <c r="P557" s="636"/>
      <c r="Q557" s="636"/>
      <c r="R557" s="636"/>
      <c r="S557" s="636"/>
      <c r="T557" s="636"/>
      <c r="U557" s="636"/>
      <c r="V557" s="636"/>
      <c r="W557" s="636"/>
      <c r="X557" s="636"/>
      <c r="Y557" s="636"/>
      <c r="Z557" s="636"/>
      <c r="AA557" s="636"/>
      <c r="AB557" s="636"/>
      <c r="AC557" s="636"/>
      <c r="AD557" s="636"/>
      <c r="AE557" s="636"/>
      <c r="AF557" s="636"/>
      <c r="AG557" s="669"/>
      <c r="AH557" s="606"/>
      <c r="AI557" s="19"/>
      <c r="AJ557" s="19"/>
      <c r="AK557" s="19"/>
    </row>
    <row r="558" spans="1:37" outlineLevel="1" x14ac:dyDescent="0.2">
      <c r="A558" s="606"/>
      <c r="B558" s="606"/>
      <c r="C558" s="613"/>
      <c r="D558" s="609"/>
      <c r="E558" s="609"/>
      <c r="F558" s="609"/>
      <c r="G558" s="609"/>
      <c r="H558" s="609"/>
      <c r="I558" s="609"/>
      <c r="J558" s="609"/>
      <c r="K558" s="609"/>
      <c r="L558" s="609"/>
      <c r="M558" s="609"/>
      <c r="N558" s="609"/>
      <c r="O558" s="617"/>
      <c r="P558" s="617"/>
      <c r="Q558" s="617"/>
      <c r="R558" s="622"/>
      <c r="S558" s="622"/>
      <c r="T558" s="622"/>
      <c r="U558" s="622"/>
      <c r="V558" s="622"/>
      <c r="W558" s="606"/>
      <c r="X558" s="606"/>
      <c r="Y558" s="606"/>
      <c r="Z558" s="606"/>
      <c r="AA558" s="606"/>
      <c r="AB558" s="606"/>
      <c r="AC558" s="606"/>
      <c r="AD558" s="606"/>
      <c r="AE558" s="606"/>
      <c r="AF558" s="606"/>
      <c r="AG558" s="606"/>
      <c r="AH558" s="606"/>
      <c r="AI558" s="19"/>
      <c r="AJ558" s="19"/>
      <c r="AK558" s="19"/>
    </row>
    <row r="559" spans="1:37" x14ac:dyDescent="0.2">
      <c r="A559" s="606"/>
      <c r="B559" s="606"/>
      <c r="C559" s="623"/>
      <c r="D559" s="617"/>
      <c r="E559" s="617"/>
      <c r="F559" s="617"/>
      <c r="G559" s="617"/>
      <c r="H559" s="617"/>
      <c r="I559" s="618"/>
      <c r="J559" s="618"/>
      <c r="K559" s="618"/>
      <c r="L559" s="618"/>
      <c r="M559" s="618"/>
      <c r="N559" s="617"/>
      <c r="O559" s="617"/>
      <c r="P559" s="617"/>
      <c r="Q559" s="617"/>
      <c r="R559" s="622"/>
      <c r="S559" s="622"/>
      <c r="T559" s="622"/>
      <c r="U559" s="622"/>
      <c r="V559" s="622"/>
      <c r="W559" s="606"/>
      <c r="X559" s="606"/>
      <c r="Y559" s="606"/>
      <c r="Z559" s="606"/>
      <c r="AA559" s="606"/>
      <c r="AB559" s="606"/>
      <c r="AC559" s="606"/>
      <c r="AD559" s="606"/>
      <c r="AE559" s="606"/>
      <c r="AF559" s="606"/>
      <c r="AG559" s="606"/>
      <c r="AH559" s="606"/>
      <c r="AI559" s="19"/>
      <c r="AJ559" s="19"/>
      <c r="AK559" s="19"/>
    </row>
    <row r="560" spans="1:37" ht="12.75" x14ac:dyDescent="0.2">
      <c r="A560" s="11"/>
      <c r="B560" s="12" t="s">
        <v>8</v>
      </c>
      <c r="C560" s="11"/>
      <c r="D560" s="11"/>
      <c r="E560" s="11"/>
      <c r="F560" s="11"/>
      <c r="G560" s="11"/>
      <c r="H560" s="11"/>
      <c r="I560" s="13"/>
      <c r="J560" s="13"/>
      <c r="K560" s="13"/>
      <c r="L560" s="13"/>
      <c r="M560" s="13"/>
      <c r="N560" s="13"/>
      <c r="O560" s="13"/>
      <c r="P560" s="13"/>
      <c r="Q560" s="13"/>
      <c r="R560" s="14"/>
      <c r="S560" s="15"/>
      <c r="T560" s="14"/>
      <c r="U560" s="15"/>
      <c r="V560" s="14"/>
      <c r="W560" s="14"/>
      <c r="X560" s="14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</row>
  </sheetData>
  <sheetProtection formatColumns="0" formatRows="0"/>
  <hyperlinks>
    <hyperlink ref="I1" location="'Pricing model'!A51" display="Back to Index" xr:uid="{00000000-0004-0000-0E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theme="4" tint="0.79998168889431442"/>
  </sheetPr>
  <dimension ref="A1:AS554"/>
  <sheetViews>
    <sheetView showGridLines="0" zoomScaleNormal="100" workbookViewId="0">
      <pane xSplit="7" ySplit="6" topLeftCell="H7" activePane="bottomRight" state="frozen"/>
      <selection pane="topRight" activeCell="G1" sqref="G1"/>
      <selection pane="bottomLeft" activeCell="A7" sqref="A7"/>
      <selection pane="bottomRight" activeCell="A245" sqref="A245:XFD553"/>
    </sheetView>
  </sheetViews>
  <sheetFormatPr defaultColWidth="0" defaultRowHeight="11.25" zeroHeight="1" outlineLevelRow="3" outlineLevelCol="1" x14ac:dyDescent="0.2"/>
  <cols>
    <col min="1" max="2" width="1.42578125" style="18" customWidth="1"/>
    <col min="3" max="3" width="40.7109375" style="18" customWidth="1"/>
    <col min="4" max="4" width="16.85546875" style="18" customWidth="1"/>
    <col min="5" max="6" width="13" style="18" customWidth="1"/>
    <col min="7" max="7" width="13.85546875" style="18" bestFit="1" customWidth="1"/>
    <col min="8" max="8" width="4.85546875" style="18" customWidth="1"/>
    <col min="9" max="21" width="11.28515625" style="18" customWidth="1"/>
    <col min="22" max="22" width="9.28515625" style="18" customWidth="1"/>
    <col min="23" max="28" width="9.28515625" style="18" hidden="1" customWidth="1" outlineLevel="1"/>
    <col min="29" max="29" width="9.28515625" style="18" customWidth="1" collapsed="1"/>
    <col min="30" max="30" width="2.42578125" style="18" customWidth="1"/>
    <col min="31" max="33" width="8" style="18" hidden="1" customWidth="1"/>
    <col min="34" max="43" width="9.28515625" style="18" hidden="1" customWidth="1"/>
    <col min="44" max="45" width="0" style="18" hidden="1" customWidth="1"/>
    <col min="46" max="16384" width="8" style="18" hidden="1"/>
  </cols>
  <sheetData>
    <row r="1" spans="1:33" ht="15.75" x14ac:dyDescent="0.25">
      <c r="A1" s="1"/>
      <c r="B1" s="2" t="str">
        <f>'Inputs&gt;&gt;'!B1</f>
        <v>AER pricing model - TasNetworks 2022–23</v>
      </c>
      <c r="C1" s="2"/>
      <c r="D1" s="2"/>
      <c r="E1" s="2"/>
      <c r="F1" s="2"/>
      <c r="G1" s="3"/>
      <c r="H1" s="4"/>
      <c r="I1" s="160" t="s">
        <v>0</v>
      </c>
      <c r="J1" s="111"/>
      <c r="K1" s="112"/>
      <c r="L1" s="112"/>
      <c r="M1" s="51"/>
      <c r="P1" s="111"/>
      <c r="Q1" s="113"/>
      <c r="S1" s="114"/>
      <c r="T1" s="113"/>
      <c r="U1" s="5"/>
      <c r="V1" s="3"/>
      <c r="W1" s="3"/>
      <c r="X1" s="3"/>
      <c r="Y1" s="5"/>
      <c r="Z1" s="5"/>
      <c r="AA1" s="5"/>
      <c r="AB1" s="5"/>
      <c r="AC1" s="5"/>
      <c r="AD1" s="1"/>
    </row>
    <row r="2" spans="1:33" ht="13.5" thickBot="1" x14ac:dyDescent="0.25">
      <c r="A2" s="6"/>
      <c r="B2" s="7" t="str">
        <f>'Inputs&gt;&gt;'!C13</f>
        <v>Proposed prices</v>
      </c>
      <c r="C2" s="7"/>
      <c r="D2" s="7"/>
      <c r="E2" s="7"/>
      <c r="F2" s="7"/>
      <c r="G2" s="8"/>
      <c r="H2" s="8"/>
      <c r="I2" s="8"/>
      <c r="J2" s="8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3" x14ac:dyDescent="0.2">
      <c r="A3" s="27"/>
      <c r="B3" s="296" t="str">
        <f>'Inputs&gt;&gt;'!D13</f>
        <v>Inputs proposed prices for SCS</v>
      </c>
      <c r="C3" s="27"/>
      <c r="D3" s="28"/>
      <c r="E3" s="28"/>
      <c r="F3" s="28"/>
      <c r="G3" s="28"/>
      <c r="H3" s="28"/>
      <c r="I3" s="28"/>
      <c r="J3" s="28"/>
      <c r="K3" s="29"/>
      <c r="L3" s="30"/>
      <c r="M3" s="30"/>
      <c r="N3" s="30"/>
      <c r="O3" s="30"/>
      <c r="P3" s="30"/>
      <c r="Q3" s="30"/>
      <c r="R3" s="30"/>
      <c r="S3" s="30"/>
      <c r="T3" s="30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3" x14ac:dyDescent="0.2">
      <c r="A4" s="9"/>
      <c r="B4" s="9"/>
      <c r="C4" s="9"/>
      <c r="D4" s="10"/>
      <c r="E4" s="10"/>
      <c r="F4" s="10"/>
      <c r="G4" s="10"/>
      <c r="H4" s="10"/>
      <c r="I4" s="10">
        <v>5</v>
      </c>
      <c r="J4" s="10">
        <v>9</v>
      </c>
      <c r="K4" s="50">
        <v>6</v>
      </c>
      <c r="L4" s="50">
        <v>7</v>
      </c>
      <c r="M4" s="50">
        <v>8</v>
      </c>
      <c r="N4" s="50">
        <v>12</v>
      </c>
      <c r="O4" s="50">
        <v>10</v>
      </c>
      <c r="P4" s="50">
        <v>11</v>
      </c>
      <c r="Q4" s="50">
        <v>14</v>
      </c>
      <c r="R4" s="50">
        <v>15</v>
      </c>
      <c r="S4" s="9">
        <v>16</v>
      </c>
      <c r="T4" s="9">
        <v>17</v>
      </c>
      <c r="U4" s="9">
        <v>13</v>
      </c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31.5" x14ac:dyDescent="0.2">
      <c r="A5" s="11"/>
      <c r="B5" s="12" t="s">
        <v>684</v>
      </c>
      <c r="C5" s="11"/>
      <c r="D5" s="32" t="s">
        <v>199</v>
      </c>
      <c r="E5" s="32" t="str">
        <f>tariffid1</f>
        <v>Code</v>
      </c>
      <c r="F5" s="32" t="str">
        <f>tariffid2</f>
        <v>Trans. Node</v>
      </c>
      <c r="G5" s="33" t="str">
        <f>tariffid3</f>
        <v>Other identifier</v>
      </c>
      <c r="H5" s="33"/>
      <c r="I5" s="597" t="str">
        <f>Qty!M5</f>
        <v>Service</v>
      </c>
      <c r="J5" s="597" t="str">
        <f>Qty!N5</f>
        <v>All energy</v>
      </c>
      <c r="K5" s="597" t="str">
        <f>Qty!O5</f>
        <v>Peak energy</v>
      </c>
      <c r="L5" s="597" t="str">
        <f>Qty!P5</f>
        <v>Shoulder energy</v>
      </c>
      <c r="M5" s="597" t="str">
        <f>Qty!Q5</f>
        <v>Off-peak energy</v>
      </c>
      <c r="N5" s="597" t="str">
        <f>Qty!R5</f>
        <v>All demand</v>
      </c>
      <c r="O5" s="597" t="str">
        <f>Qty!S5</f>
        <v>Peak demand</v>
      </c>
      <c r="P5" s="597" t="str">
        <f>Qty!T5</f>
        <v>Off-peak demand</v>
      </c>
      <c r="Q5" s="597" t="str">
        <f>Qty!U5</f>
        <v>Specified demand</v>
      </c>
      <c r="R5" s="597" t="str">
        <f>Qty!V5</f>
        <v>Excess daily demand</v>
      </c>
      <c r="S5" s="597" t="str">
        <f>Qty!W5</f>
        <v>Daily demand connection</v>
      </c>
      <c r="T5" s="597" t="str">
        <f>Qty!X5</f>
        <v>Excess daily demand connection</v>
      </c>
      <c r="U5" s="597" t="str">
        <f>Qty!Y5</f>
        <v>All demand (lamps)</v>
      </c>
      <c r="V5" s="169">
        <f>Qty!Z5</f>
        <v>0</v>
      </c>
      <c r="W5" s="169">
        <f>Qty!AA5</f>
        <v>0</v>
      </c>
      <c r="X5" s="169">
        <f>Qty!AB5</f>
        <v>0</v>
      </c>
      <c r="Y5" s="169">
        <f>Qty!AC5</f>
        <v>0</v>
      </c>
      <c r="Z5" s="169">
        <f>Qty!AD5</f>
        <v>0</v>
      </c>
      <c r="AA5" s="169">
        <f>Qty!AE5</f>
        <v>0</v>
      </c>
      <c r="AB5" s="169">
        <f>Qty!AF5</f>
        <v>0</v>
      </c>
      <c r="AC5" s="64"/>
      <c r="AD5" s="15"/>
      <c r="AE5" s="15"/>
      <c r="AF5" s="15"/>
      <c r="AG5" s="15"/>
    </row>
    <row r="6" spans="1:33" outlineLevel="1" x14ac:dyDescent="0.2">
      <c r="A6" s="19"/>
      <c r="B6" s="19"/>
      <c r="C6" s="36"/>
      <c r="D6" s="20"/>
      <c r="E6" s="20"/>
      <c r="F6" s="20"/>
      <c r="G6" s="22"/>
      <c r="H6" s="22"/>
      <c r="I6" s="170" t="str">
        <f>_xlfn.IFNA(INDEX(Tariffs!$S$22:$S$41,MATCH(I5,Tariffs!$J$22:$J$41,0)),0)</f>
        <v>cents/day</v>
      </c>
      <c r="J6" s="170" t="str">
        <f>_xlfn.IFNA(INDEX(Tariffs!$S$22:$S$41,MATCH(J5,Tariffs!$J$22:$J$41,0)),0)</f>
        <v>cents/kWh</v>
      </c>
      <c r="K6" s="170" t="str">
        <f>_xlfn.IFNA(INDEX(Tariffs!$S$22:$S$41,MATCH(K5,Tariffs!$J$22:$J$41,0)),0)</f>
        <v>cents/kWh</v>
      </c>
      <c r="L6" s="170" t="str">
        <f>_xlfn.IFNA(INDEX(Tariffs!$S$22:$S$41,MATCH(L5,Tariffs!$J$22:$J$41,0)),0)</f>
        <v>cents/kWh</v>
      </c>
      <c r="M6" s="170" t="str">
        <f>_xlfn.IFNA(INDEX(Tariffs!$S$22:$S$41,MATCH(M5,Tariffs!$J$22:$J$41,0)),0)</f>
        <v>cents/kWh</v>
      </c>
      <c r="N6" s="170" t="str">
        <f>_xlfn.IFNA(INDEX(Tariffs!$S$22:$S$41,MATCH(N5,Tariffs!$J$22:$J$41,0)),0)</f>
        <v>cents/kVA</v>
      </c>
      <c r="O6" s="170" t="str">
        <f>_xlfn.IFNA(INDEX(Tariffs!$S$22:$S$41,MATCH(O5,Tariffs!$J$22:$J$41,0)),0)</f>
        <v>cents/kVA</v>
      </c>
      <c r="P6" s="170" t="str">
        <f>_xlfn.IFNA(INDEX(Tariffs!$S$22:$S$41,MATCH(P5,Tariffs!$J$22:$J$41,0)),0)</f>
        <v>cents/kVA</v>
      </c>
      <c r="Q6" s="170" t="str">
        <f>_xlfn.IFNA(INDEX(Tariffs!$S$22:$S$41,MATCH(Q5,Tariffs!$J$22:$J$41,0)),0)</f>
        <v>cents/kVA</v>
      </c>
      <c r="R6" s="170" t="str">
        <f>_xlfn.IFNA(INDEX(Tariffs!$S$22:$S$41,MATCH(R5,Tariffs!$J$22:$J$41,0)),0)</f>
        <v>cents/kVA</v>
      </c>
      <c r="S6" s="170" t="str">
        <f>_xlfn.IFNA(INDEX(Tariffs!$S$22:$S$41,MATCH(S5,Tariffs!$J$22:$J$41,0)),0)</f>
        <v>cents/kVA</v>
      </c>
      <c r="T6" s="170" t="str">
        <f>_xlfn.IFNA(INDEX(Tariffs!$S$22:$S$41,MATCH(T5,Tariffs!$J$22:$J$41,0)),0)</f>
        <v>cents/kVA</v>
      </c>
      <c r="U6" s="170" t="str">
        <f>_xlfn.IFNA(INDEX(Tariffs!$S$22:$S$41,MATCH(U5,Tariffs!$J$22:$J$41,0)),0)</f>
        <v>cents/LmpWtts/day</v>
      </c>
      <c r="V6" s="170">
        <f>_xlfn.IFNA(INDEX(Tariffs!$S$22:$S$41,MATCH(V5,Tariffs!$J$22:$J$41,0)),0)</f>
        <v>0</v>
      </c>
      <c r="W6" s="170">
        <f>_xlfn.IFNA(INDEX(Tariffs!$S$22:$S$41,MATCH(W5,Tariffs!$J$22:$J$41,0)),0)</f>
        <v>0</v>
      </c>
      <c r="X6" s="170">
        <f>_xlfn.IFNA(INDEX(Tariffs!$S$22:$S$41,MATCH(X5,Tariffs!$J$22:$J$41,0)),0)</f>
        <v>0</v>
      </c>
      <c r="Y6" s="170">
        <f>_xlfn.IFNA(INDEX(Tariffs!$S$22:$S$41,MATCH(Y5,Tariffs!$J$22:$J$41,0)),0)</f>
        <v>0</v>
      </c>
      <c r="Z6" s="170">
        <f>_xlfn.IFNA(INDEX(Tariffs!$S$22:$S$41,MATCH(Z5,Tariffs!$J$22:$J$41,0)),0)</f>
        <v>0</v>
      </c>
      <c r="AA6" s="170">
        <f>_xlfn.IFNA(INDEX(Tariffs!$S$22:$S$41,MATCH(AA5,Tariffs!$J$22:$J$41,0)),0)</f>
        <v>0</v>
      </c>
      <c r="AB6" s="170">
        <f>_xlfn.IFNA(INDEX(Tariffs!$S$22:$S$41,MATCH(AB5,Tariffs!$J$22:$J$41,0)),0)</f>
        <v>0</v>
      </c>
      <c r="AC6" s="19"/>
      <c r="AD6" s="19"/>
      <c r="AE6" s="19"/>
      <c r="AF6" s="19"/>
      <c r="AG6" s="19"/>
    </row>
    <row r="7" spans="1:33" outlineLevel="1" x14ac:dyDescent="0.2">
      <c r="A7" s="19"/>
      <c r="B7" s="19"/>
      <c r="C7" s="167" t="s">
        <v>136</v>
      </c>
      <c r="D7" s="20"/>
      <c r="E7" s="20"/>
      <c r="F7" s="20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19"/>
      <c r="AD7" s="19"/>
      <c r="AE7" s="19"/>
      <c r="AF7" s="19"/>
      <c r="AG7" s="19"/>
    </row>
    <row r="8" spans="1:33" outlineLevel="2" x14ac:dyDescent="0.2">
      <c r="A8" s="19"/>
      <c r="B8" s="19"/>
      <c r="C8" s="506" t="str">
        <f>Qty!C8</f>
        <v>Residential time of use consumption</v>
      </c>
      <c r="D8" s="505" t="str">
        <f>Qty!D8</f>
        <v>Residential</v>
      </c>
      <c r="E8" s="505" t="str">
        <f>Qty!E8</f>
        <v>TAS93</v>
      </c>
      <c r="F8" s="505">
        <f>Qty!F8</f>
        <v>0</v>
      </c>
      <c r="G8" s="505">
        <f>Qty!G8</f>
        <v>0</v>
      </c>
      <c r="H8" s="22"/>
      <c r="I8" s="189">
        <v>59.329000000000001</v>
      </c>
      <c r="J8" s="189">
        <v>0</v>
      </c>
      <c r="K8" s="189">
        <v>10.872</v>
      </c>
      <c r="L8" s="189">
        <v>0</v>
      </c>
      <c r="M8" s="189">
        <v>2.1739999999999999</v>
      </c>
      <c r="N8" s="189">
        <v>0</v>
      </c>
      <c r="O8" s="189">
        <v>0</v>
      </c>
      <c r="P8" s="189">
        <v>0</v>
      </c>
      <c r="Q8" s="189">
        <v>0</v>
      </c>
      <c r="R8" s="189">
        <v>0</v>
      </c>
      <c r="S8" s="189">
        <v>0</v>
      </c>
      <c r="T8" s="189">
        <v>0</v>
      </c>
      <c r="U8" s="189">
        <v>0</v>
      </c>
      <c r="V8" s="189"/>
      <c r="W8" s="189"/>
      <c r="X8" s="189"/>
      <c r="Y8" s="189"/>
      <c r="Z8" s="189"/>
      <c r="AA8" s="189"/>
      <c r="AB8" s="189"/>
      <c r="AC8" s="187"/>
      <c r="AD8" s="19"/>
      <c r="AE8" s="19"/>
      <c r="AF8" s="19"/>
      <c r="AG8" s="19"/>
    </row>
    <row r="9" spans="1:33" s="59" customFormat="1" outlineLevel="2" x14ac:dyDescent="0.2">
      <c r="A9" s="57"/>
      <c r="B9" s="57"/>
      <c r="C9" s="506" t="str">
        <f>Qty!C9</f>
        <v>Residential general light and power</v>
      </c>
      <c r="D9" s="505" t="str">
        <f>Qty!D9</f>
        <v>Residential</v>
      </c>
      <c r="E9" s="505" t="str">
        <f>Qty!E9</f>
        <v>TAS31</v>
      </c>
      <c r="F9" s="505">
        <f>Qty!F9</f>
        <v>0</v>
      </c>
      <c r="G9" s="505">
        <f>Qty!G9</f>
        <v>0</v>
      </c>
      <c r="H9" s="58"/>
      <c r="I9" s="189">
        <v>54.268999999999998</v>
      </c>
      <c r="J9" s="189">
        <v>5.9669999999999996</v>
      </c>
      <c r="K9" s="189">
        <v>0</v>
      </c>
      <c r="L9" s="189">
        <v>0</v>
      </c>
      <c r="M9" s="189">
        <v>0</v>
      </c>
      <c r="N9" s="189">
        <v>0</v>
      </c>
      <c r="O9" s="189">
        <v>0</v>
      </c>
      <c r="P9" s="189">
        <v>0</v>
      </c>
      <c r="Q9" s="189">
        <v>0</v>
      </c>
      <c r="R9" s="189">
        <v>0</v>
      </c>
      <c r="S9" s="189">
        <v>0</v>
      </c>
      <c r="T9" s="189">
        <v>0</v>
      </c>
      <c r="U9" s="189">
        <v>0</v>
      </c>
      <c r="V9" s="185"/>
      <c r="W9" s="185"/>
      <c r="X9" s="185"/>
      <c r="Y9" s="185"/>
      <c r="Z9" s="185"/>
      <c r="AA9" s="185"/>
      <c r="AB9" s="185"/>
      <c r="AC9" s="186"/>
      <c r="AD9" s="57"/>
      <c r="AE9" s="57"/>
      <c r="AF9" s="57"/>
      <c r="AG9" s="57"/>
    </row>
    <row r="10" spans="1:33" outlineLevel="2" x14ac:dyDescent="0.2">
      <c r="A10" s="19"/>
      <c r="B10" s="19"/>
      <c r="C10" s="506" t="str">
        <f>Qty!C10</f>
        <v>Residential time of use demand</v>
      </c>
      <c r="D10" s="505" t="str">
        <f>Qty!D10</f>
        <v>Residential</v>
      </c>
      <c r="E10" s="505" t="str">
        <f>Qty!E10</f>
        <v>TAS87</v>
      </c>
      <c r="F10" s="505">
        <f>Qty!F10</f>
        <v>0</v>
      </c>
      <c r="G10" s="505">
        <f>Qty!G10</f>
        <v>0</v>
      </c>
      <c r="H10" s="58"/>
      <c r="I10" s="189">
        <v>60.366999999999997</v>
      </c>
      <c r="J10" s="189">
        <v>0</v>
      </c>
      <c r="K10" s="189">
        <v>0</v>
      </c>
      <c r="L10" s="189">
        <v>0</v>
      </c>
      <c r="M10" s="189">
        <v>0</v>
      </c>
      <c r="N10" s="189">
        <v>0</v>
      </c>
      <c r="O10" s="189">
        <v>20.152000000000001</v>
      </c>
      <c r="P10" s="189">
        <v>5.3680000000000003</v>
      </c>
      <c r="Q10" s="189">
        <v>0</v>
      </c>
      <c r="R10" s="189">
        <v>0</v>
      </c>
      <c r="S10" s="189">
        <v>0</v>
      </c>
      <c r="T10" s="189">
        <v>0</v>
      </c>
      <c r="U10" s="189">
        <v>0</v>
      </c>
      <c r="V10" s="185"/>
      <c r="W10" s="185"/>
      <c r="X10" s="185"/>
      <c r="Y10" s="185"/>
      <c r="Z10" s="185"/>
      <c r="AA10" s="185"/>
      <c r="AB10" s="185"/>
      <c r="AC10" s="187"/>
      <c r="AD10" s="19"/>
      <c r="AE10" s="19"/>
      <c r="AF10" s="19"/>
      <c r="AG10" s="19"/>
    </row>
    <row r="11" spans="1:33" outlineLevel="2" x14ac:dyDescent="0.2">
      <c r="A11" s="19"/>
      <c r="B11" s="19"/>
      <c r="C11" s="506" t="str">
        <f>Qty!C11</f>
        <v>Residential time of use demand DER</v>
      </c>
      <c r="D11" s="505" t="str">
        <f>Qty!D11</f>
        <v>Residential</v>
      </c>
      <c r="E11" s="505" t="str">
        <f>Qty!E11</f>
        <v>TAS97</v>
      </c>
      <c r="F11" s="505">
        <f>Qty!F11</f>
        <v>0</v>
      </c>
      <c r="G11" s="505">
        <f>Qty!G11</f>
        <v>0</v>
      </c>
      <c r="H11" s="58"/>
      <c r="I11" s="189">
        <v>60.366999999999997</v>
      </c>
      <c r="J11" s="189">
        <v>0</v>
      </c>
      <c r="K11" s="189">
        <v>0</v>
      </c>
      <c r="L11" s="189">
        <v>0</v>
      </c>
      <c r="M11" s="189">
        <v>0</v>
      </c>
      <c r="N11" s="189">
        <v>0</v>
      </c>
      <c r="O11" s="189">
        <v>20.152000000000001</v>
      </c>
      <c r="P11" s="189">
        <v>5.3680000000000003</v>
      </c>
      <c r="Q11" s="189">
        <v>0</v>
      </c>
      <c r="R11" s="189">
        <v>0</v>
      </c>
      <c r="S11" s="189">
        <v>0</v>
      </c>
      <c r="T11" s="189">
        <v>0</v>
      </c>
      <c r="U11" s="189">
        <v>0</v>
      </c>
      <c r="V11" s="185"/>
      <c r="W11" s="185"/>
      <c r="X11" s="185"/>
      <c r="Y11" s="185"/>
      <c r="Z11" s="185"/>
      <c r="AA11" s="185"/>
      <c r="AB11" s="185"/>
      <c r="AC11" s="187"/>
      <c r="AD11" s="19"/>
      <c r="AE11" s="19"/>
      <c r="AF11" s="19"/>
      <c r="AG11" s="19"/>
    </row>
    <row r="12" spans="1:33" outlineLevel="2" x14ac:dyDescent="0.2">
      <c r="A12" s="19"/>
      <c r="B12" s="19"/>
      <c r="C12" s="506" t="str">
        <f>Qty!C12</f>
        <v>Residential pay as you go</v>
      </c>
      <c r="D12" s="505" t="str">
        <f>Qty!D12</f>
        <v>Residential</v>
      </c>
      <c r="E12" s="505" t="str">
        <f>Qty!E12</f>
        <v>TAS101</v>
      </c>
      <c r="F12" s="505">
        <f>Qty!F12</f>
        <v>0</v>
      </c>
      <c r="G12" s="505">
        <f>Qty!G12</f>
        <v>0</v>
      </c>
      <c r="H12" s="58"/>
      <c r="I12" s="189">
        <v>54.712000000000003</v>
      </c>
      <c r="J12" s="189">
        <v>5.8890000000000002</v>
      </c>
      <c r="K12" s="189">
        <v>0</v>
      </c>
      <c r="L12" s="189">
        <v>0</v>
      </c>
      <c r="M12" s="189">
        <v>0</v>
      </c>
      <c r="N12" s="189">
        <v>0</v>
      </c>
      <c r="O12" s="189">
        <v>0</v>
      </c>
      <c r="P12" s="189">
        <v>0</v>
      </c>
      <c r="Q12" s="189">
        <v>0</v>
      </c>
      <c r="R12" s="189">
        <v>0</v>
      </c>
      <c r="S12" s="189">
        <v>0</v>
      </c>
      <c r="T12" s="189">
        <v>0</v>
      </c>
      <c r="U12" s="189">
        <v>0</v>
      </c>
      <c r="V12" s="185"/>
      <c r="W12" s="185"/>
      <c r="X12" s="185"/>
      <c r="Y12" s="185"/>
      <c r="Z12" s="185"/>
      <c r="AA12" s="185"/>
      <c r="AB12" s="185"/>
      <c r="AC12" s="187"/>
      <c r="AD12" s="19"/>
      <c r="AE12" s="19"/>
      <c r="AF12" s="19"/>
      <c r="AG12" s="19"/>
    </row>
    <row r="13" spans="1:33" outlineLevel="2" x14ac:dyDescent="0.2">
      <c r="A13" s="19"/>
      <c r="B13" s="19"/>
      <c r="C13" s="506" t="str">
        <f>Qty!C13</f>
        <v>Residential pay as you go time of use</v>
      </c>
      <c r="D13" s="505" t="str">
        <f>Qty!D13</f>
        <v>Residential</v>
      </c>
      <c r="E13" s="505" t="str">
        <f>Qty!E13</f>
        <v>TAS92</v>
      </c>
      <c r="F13" s="505">
        <f>Qty!F13</f>
        <v>0</v>
      </c>
      <c r="G13" s="505">
        <f>Qty!G13</f>
        <v>0</v>
      </c>
      <c r="H13" s="58"/>
      <c r="I13" s="189">
        <v>59.329000000000001</v>
      </c>
      <c r="J13" s="189">
        <v>0</v>
      </c>
      <c r="K13" s="189">
        <v>10.872</v>
      </c>
      <c r="L13" s="189">
        <v>0</v>
      </c>
      <c r="M13" s="189">
        <v>2.1739999999999999</v>
      </c>
      <c r="N13" s="189">
        <v>0</v>
      </c>
      <c r="O13" s="189">
        <v>0</v>
      </c>
      <c r="P13" s="189">
        <v>0</v>
      </c>
      <c r="Q13" s="189">
        <v>0</v>
      </c>
      <c r="R13" s="189">
        <v>0</v>
      </c>
      <c r="S13" s="189">
        <v>0</v>
      </c>
      <c r="T13" s="189">
        <v>0</v>
      </c>
      <c r="U13" s="189">
        <v>0</v>
      </c>
      <c r="V13" s="185"/>
      <c r="W13" s="185"/>
      <c r="X13" s="185"/>
      <c r="Y13" s="185"/>
      <c r="Z13" s="185"/>
      <c r="AA13" s="185"/>
      <c r="AB13" s="185"/>
      <c r="AC13" s="187"/>
      <c r="AD13" s="19"/>
      <c r="AE13" s="19"/>
      <c r="AF13" s="19"/>
      <c r="AG13" s="19"/>
    </row>
    <row r="14" spans="1:33" outlineLevel="2" x14ac:dyDescent="0.2">
      <c r="A14" s="19"/>
      <c r="B14" s="19"/>
      <c r="C14" s="506" t="str">
        <f>Qty!C14</f>
        <v>Small business time of use consumption</v>
      </c>
      <c r="D14" s="505" t="str">
        <f>Qty!D14</f>
        <v>Small Business LV</v>
      </c>
      <c r="E14" s="505" t="str">
        <f>Qty!E14</f>
        <v>TAS94</v>
      </c>
      <c r="F14" s="505">
        <f>Qty!F14</f>
        <v>0</v>
      </c>
      <c r="G14" s="505">
        <f>Qty!G14</f>
        <v>0</v>
      </c>
      <c r="H14" s="58"/>
      <c r="I14" s="189">
        <v>70.975999999999999</v>
      </c>
      <c r="J14" s="189">
        <v>0</v>
      </c>
      <c r="K14" s="189">
        <v>7.8710000000000004</v>
      </c>
      <c r="L14" s="189">
        <v>4.7229999999999999</v>
      </c>
      <c r="M14" s="189">
        <v>1.181</v>
      </c>
      <c r="N14" s="189">
        <v>0</v>
      </c>
      <c r="O14" s="189">
        <v>0</v>
      </c>
      <c r="P14" s="189">
        <v>0</v>
      </c>
      <c r="Q14" s="189">
        <v>0</v>
      </c>
      <c r="R14" s="189">
        <v>0</v>
      </c>
      <c r="S14" s="189">
        <v>0</v>
      </c>
      <c r="T14" s="189">
        <v>0</v>
      </c>
      <c r="U14" s="189">
        <v>0</v>
      </c>
      <c r="V14" s="185"/>
      <c r="W14" s="185"/>
      <c r="X14" s="185"/>
      <c r="Y14" s="185"/>
      <c r="Z14" s="185"/>
      <c r="AA14" s="185"/>
      <c r="AB14" s="185"/>
      <c r="AC14" s="187"/>
      <c r="AD14" s="19"/>
      <c r="AE14" s="19"/>
      <c r="AF14" s="19"/>
      <c r="AG14" s="19"/>
    </row>
    <row r="15" spans="1:33" outlineLevel="2" x14ac:dyDescent="0.2">
      <c r="A15" s="19"/>
      <c r="B15" s="19"/>
      <c r="C15" s="506" t="str">
        <f>Qty!C15</f>
        <v>Small business general light and power</v>
      </c>
      <c r="D15" s="505" t="str">
        <f>Qty!D15</f>
        <v>Small Business LV</v>
      </c>
      <c r="E15" s="505" t="str">
        <f>Qty!E15</f>
        <v>TAS22</v>
      </c>
      <c r="F15" s="505">
        <f>Qty!F15</f>
        <v>0</v>
      </c>
      <c r="G15" s="505">
        <f>Qty!G15</f>
        <v>0</v>
      </c>
      <c r="H15" s="58"/>
      <c r="I15" s="189">
        <v>53.96</v>
      </c>
      <c r="J15" s="189">
        <v>7.1079999999999997</v>
      </c>
      <c r="K15" s="189">
        <v>0</v>
      </c>
      <c r="L15" s="189">
        <v>0</v>
      </c>
      <c r="M15" s="189">
        <v>0</v>
      </c>
      <c r="N15" s="189">
        <v>0</v>
      </c>
      <c r="O15" s="189">
        <v>0</v>
      </c>
      <c r="P15" s="189">
        <v>0</v>
      </c>
      <c r="Q15" s="189">
        <v>0</v>
      </c>
      <c r="R15" s="189">
        <v>0</v>
      </c>
      <c r="S15" s="189">
        <v>0</v>
      </c>
      <c r="T15" s="189">
        <v>0</v>
      </c>
      <c r="U15" s="189">
        <v>0</v>
      </c>
      <c r="V15" s="185"/>
      <c r="W15" s="185"/>
      <c r="X15" s="185"/>
      <c r="Y15" s="185"/>
      <c r="Z15" s="185"/>
      <c r="AA15" s="185"/>
      <c r="AB15" s="185"/>
      <c r="AC15" s="187"/>
      <c r="AD15" s="19"/>
      <c r="AE15" s="19"/>
      <c r="AF15" s="19"/>
      <c r="AG15" s="19"/>
    </row>
    <row r="16" spans="1:33" outlineLevel="2" x14ac:dyDescent="0.2">
      <c r="A16" s="19"/>
      <c r="B16" s="19"/>
      <c r="C16" s="506" t="str">
        <f>Qty!C16</f>
        <v>Small business time of use demand</v>
      </c>
      <c r="D16" s="505" t="str">
        <f>Qty!D16</f>
        <v>Small Business LV</v>
      </c>
      <c r="E16" s="505" t="str">
        <f>Qty!E16</f>
        <v>TAS88</v>
      </c>
      <c r="F16" s="505">
        <f>Qty!F16</f>
        <v>0</v>
      </c>
      <c r="G16" s="505">
        <f>Qty!G16</f>
        <v>0</v>
      </c>
      <c r="H16" s="58"/>
      <c r="I16" s="189">
        <v>78.5</v>
      </c>
      <c r="J16" s="189">
        <v>0</v>
      </c>
      <c r="K16" s="189">
        <v>0</v>
      </c>
      <c r="L16" s="189">
        <v>0</v>
      </c>
      <c r="M16" s="189">
        <v>0</v>
      </c>
      <c r="N16" s="189">
        <v>0</v>
      </c>
      <c r="O16" s="189">
        <v>45.753999999999998</v>
      </c>
      <c r="P16" s="189">
        <v>12.189</v>
      </c>
      <c r="Q16" s="189">
        <v>0</v>
      </c>
      <c r="R16" s="189">
        <v>0</v>
      </c>
      <c r="S16" s="189">
        <v>0</v>
      </c>
      <c r="T16" s="189">
        <v>0</v>
      </c>
      <c r="U16" s="189">
        <v>0</v>
      </c>
      <c r="V16" s="185"/>
      <c r="W16" s="185"/>
      <c r="X16" s="185"/>
      <c r="Y16" s="185"/>
      <c r="Z16" s="185"/>
      <c r="AA16" s="185"/>
      <c r="AB16" s="185"/>
      <c r="AC16" s="187"/>
      <c r="AD16" s="19"/>
      <c r="AE16" s="19"/>
      <c r="AF16" s="19"/>
      <c r="AG16" s="19"/>
    </row>
    <row r="17" spans="1:33" outlineLevel="2" x14ac:dyDescent="0.2">
      <c r="A17" s="19"/>
      <c r="B17" s="19"/>
      <c r="C17" s="506" t="str">
        <f>Qty!C17</f>
        <v>Small business time of use demand DER</v>
      </c>
      <c r="D17" s="505" t="str">
        <f>Qty!D17</f>
        <v>Small Business LV</v>
      </c>
      <c r="E17" s="505" t="str">
        <f>Qty!E17</f>
        <v>TAS98</v>
      </c>
      <c r="F17" s="505">
        <f>Qty!F17</f>
        <v>0</v>
      </c>
      <c r="G17" s="505">
        <f>Qty!G17</f>
        <v>0</v>
      </c>
      <c r="H17" s="58"/>
      <c r="I17" s="189">
        <v>78.5</v>
      </c>
      <c r="J17" s="189">
        <v>0</v>
      </c>
      <c r="K17" s="189">
        <v>0</v>
      </c>
      <c r="L17" s="189">
        <v>0</v>
      </c>
      <c r="M17" s="189">
        <v>0</v>
      </c>
      <c r="N17" s="189">
        <v>0</v>
      </c>
      <c r="O17" s="189">
        <v>45.753999999999998</v>
      </c>
      <c r="P17" s="189">
        <v>12.189</v>
      </c>
      <c r="Q17" s="189">
        <v>0</v>
      </c>
      <c r="R17" s="189">
        <v>0</v>
      </c>
      <c r="S17" s="189">
        <v>0</v>
      </c>
      <c r="T17" s="189">
        <v>0</v>
      </c>
      <c r="U17" s="189">
        <v>0</v>
      </c>
      <c r="V17" s="185"/>
      <c r="W17" s="185"/>
      <c r="X17" s="185"/>
      <c r="Y17" s="185"/>
      <c r="Z17" s="185"/>
      <c r="AA17" s="185"/>
      <c r="AB17" s="185"/>
      <c r="AC17" s="187"/>
      <c r="AD17" s="19"/>
      <c r="AE17" s="19"/>
      <c r="AF17" s="19"/>
      <c r="AG17" s="19"/>
    </row>
    <row r="18" spans="1:33" outlineLevel="2" x14ac:dyDescent="0.2">
      <c r="A18" s="19"/>
      <c r="B18" s="19"/>
      <c r="C18" s="506" t="str">
        <f>Qty!C18</f>
        <v>Large business kVA demand</v>
      </c>
      <c r="D18" s="505" t="str">
        <f>Qty!D18</f>
        <v>Large Business LV</v>
      </c>
      <c r="E18" s="505" t="str">
        <f>Qty!E18</f>
        <v>TAS82</v>
      </c>
      <c r="F18" s="505">
        <f>Qty!F18</f>
        <v>0</v>
      </c>
      <c r="G18" s="505">
        <f>Qty!G18</f>
        <v>0</v>
      </c>
      <c r="H18" s="58"/>
      <c r="I18" s="189">
        <v>362.53100000000001</v>
      </c>
      <c r="J18" s="189">
        <v>1.748</v>
      </c>
      <c r="K18" s="189">
        <v>0</v>
      </c>
      <c r="L18" s="189">
        <v>0</v>
      </c>
      <c r="M18" s="189">
        <v>0</v>
      </c>
      <c r="N18" s="189">
        <v>20.864999999999998</v>
      </c>
      <c r="O18" s="189">
        <v>0</v>
      </c>
      <c r="P18" s="189">
        <v>0</v>
      </c>
      <c r="Q18" s="189">
        <v>0</v>
      </c>
      <c r="R18" s="189">
        <v>0</v>
      </c>
      <c r="S18" s="189">
        <v>0</v>
      </c>
      <c r="T18" s="189">
        <v>0</v>
      </c>
      <c r="U18" s="189">
        <v>0</v>
      </c>
      <c r="V18" s="185"/>
      <c r="W18" s="185"/>
      <c r="X18" s="185"/>
      <c r="Y18" s="185"/>
      <c r="Z18" s="185"/>
      <c r="AA18" s="185"/>
      <c r="AB18" s="185"/>
      <c r="AC18" s="187"/>
      <c r="AD18" s="19"/>
      <c r="AE18" s="19"/>
      <c r="AF18" s="19"/>
      <c r="AG18" s="19"/>
    </row>
    <row r="19" spans="1:33" outlineLevel="2" x14ac:dyDescent="0.2">
      <c r="A19" s="19"/>
      <c r="B19" s="19"/>
      <c r="C19" s="506" t="str">
        <f>Qty!C19</f>
        <v>Large business time of use demand</v>
      </c>
      <c r="D19" s="505" t="str">
        <f>Qty!D19</f>
        <v>Large Business LV</v>
      </c>
      <c r="E19" s="505" t="str">
        <f>Qty!E19</f>
        <v>TAS89</v>
      </c>
      <c r="F19" s="505">
        <f>Qty!F19</f>
        <v>0</v>
      </c>
      <c r="G19" s="505">
        <f>Qty!G19</f>
        <v>0</v>
      </c>
      <c r="H19" s="58"/>
      <c r="I19" s="189">
        <v>510.70499999999998</v>
      </c>
      <c r="J19" s="189">
        <v>0</v>
      </c>
      <c r="K19" s="189">
        <v>0</v>
      </c>
      <c r="L19" s="189">
        <v>0</v>
      </c>
      <c r="M19" s="189">
        <v>0</v>
      </c>
      <c r="N19" s="189">
        <v>0</v>
      </c>
      <c r="O19" s="189">
        <v>26.035</v>
      </c>
      <c r="P19" s="189">
        <v>8.67</v>
      </c>
      <c r="Q19" s="189">
        <v>0</v>
      </c>
      <c r="R19" s="189">
        <v>0</v>
      </c>
      <c r="S19" s="189">
        <v>0</v>
      </c>
      <c r="T19" s="189">
        <v>0</v>
      </c>
      <c r="U19" s="189">
        <v>0</v>
      </c>
      <c r="V19" s="185"/>
      <c r="W19" s="185"/>
      <c r="X19" s="185"/>
      <c r="Y19" s="185"/>
      <c r="Z19" s="185"/>
      <c r="AA19" s="185"/>
      <c r="AB19" s="185"/>
      <c r="AC19" s="187"/>
      <c r="AD19" s="19"/>
      <c r="AE19" s="19"/>
      <c r="AF19" s="19"/>
      <c r="AG19" s="19"/>
    </row>
    <row r="20" spans="1:33" outlineLevel="2" x14ac:dyDescent="0.2">
      <c r="A20" s="19"/>
      <c r="B20" s="19"/>
      <c r="C20" s="506" t="str">
        <f>Qty!C20</f>
        <v>Irrigation time of use consumption</v>
      </c>
      <c r="D20" s="505" t="str">
        <f>Qty!D20</f>
        <v>Irrigation</v>
      </c>
      <c r="E20" s="505" t="str">
        <f>Qty!E20</f>
        <v>TAS75</v>
      </c>
      <c r="F20" s="505">
        <f>Qty!F20</f>
        <v>0</v>
      </c>
      <c r="G20" s="505">
        <f>Qty!G20</f>
        <v>0</v>
      </c>
      <c r="H20" s="58"/>
      <c r="I20" s="189">
        <v>259.733</v>
      </c>
      <c r="J20" s="189">
        <v>0</v>
      </c>
      <c r="K20" s="189">
        <v>7.37</v>
      </c>
      <c r="L20" s="189">
        <v>4.4219999999999997</v>
      </c>
      <c r="M20" s="189">
        <v>1.1060000000000001</v>
      </c>
      <c r="N20" s="189">
        <v>0</v>
      </c>
      <c r="O20" s="189">
        <v>0</v>
      </c>
      <c r="P20" s="189">
        <v>0</v>
      </c>
      <c r="Q20" s="189">
        <v>0</v>
      </c>
      <c r="R20" s="189">
        <v>0</v>
      </c>
      <c r="S20" s="189">
        <v>0</v>
      </c>
      <c r="T20" s="189">
        <v>0</v>
      </c>
      <c r="U20" s="189">
        <v>0</v>
      </c>
      <c r="V20" s="185"/>
      <c r="W20" s="185"/>
      <c r="X20" s="185"/>
      <c r="Y20" s="185"/>
      <c r="Z20" s="185"/>
      <c r="AA20" s="185"/>
      <c r="AB20" s="185"/>
      <c r="AC20" s="187"/>
      <c r="AD20" s="19"/>
      <c r="AE20" s="19"/>
      <c r="AF20" s="19"/>
      <c r="AG20" s="19"/>
    </row>
    <row r="21" spans="1:33" outlineLevel="2" x14ac:dyDescent="0.2">
      <c r="A21" s="19"/>
      <c r="B21" s="19"/>
      <c r="C21" s="506" t="str">
        <f>Qty!C21</f>
        <v>Business HV kVA specified demand &lt;2MVA</v>
      </c>
      <c r="D21" s="505" t="str">
        <f>Qty!D21</f>
        <v>Large Business HV</v>
      </c>
      <c r="E21" s="505" t="str">
        <f>Qty!E21</f>
        <v>TASSDM</v>
      </c>
      <c r="F21" s="505">
        <f>Qty!F21</f>
        <v>0</v>
      </c>
      <c r="G21" s="505">
        <f>Qty!G21</f>
        <v>0</v>
      </c>
      <c r="H21" s="58"/>
      <c r="I21" s="189">
        <v>366.03300000000002</v>
      </c>
      <c r="J21" s="189">
        <v>0</v>
      </c>
      <c r="K21" s="189">
        <v>0.30299999999999999</v>
      </c>
      <c r="L21" s="189">
        <v>0.182</v>
      </c>
      <c r="M21" s="189">
        <v>4.4999999999999998E-2</v>
      </c>
      <c r="N21" s="189">
        <v>0</v>
      </c>
      <c r="O21" s="189">
        <v>0</v>
      </c>
      <c r="P21" s="189">
        <v>0</v>
      </c>
      <c r="Q21" s="189">
        <v>15.811999999999999</v>
      </c>
      <c r="R21" s="189">
        <v>158.12</v>
      </c>
      <c r="S21" s="189">
        <v>0</v>
      </c>
      <c r="T21" s="189">
        <v>0</v>
      </c>
      <c r="U21" s="189">
        <v>0</v>
      </c>
      <c r="V21" s="185"/>
      <c r="W21" s="185"/>
      <c r="X21" s="185"/>
      <c r="Y21" s="185"/>
      <c r="Z21" s="185"/>
      <c r="AA21" s="185"/>
      <c r="AB21" s="185"/>
      <c r="AC21" s="187"/>
      <c r="AD21" s="19"/>
      <c r="AE21" s="19"/>
      <c r="AF21" s="19"/>
      <c r="AG21" s="19"/>
    </row>
    <row r="22" spans="1:33" outlineLevel="2" x14ac:dyDescent="0.2">
      <c r="A22" s="19"/>
      <c r="B22" s="19"/>
      <c r="C22" s="506" t="str">
        <f>Qty!C22</f>
        <v>Business HV kVA specified demand &gt;2MVA</v>
      </c>
      <c r="D22" s="505" t="str">
        <f>Qty!D22</f>
        <v>Large Business HV</v>
      </c>
      <c r="E22" s="505" t="str">
        <f>Qty!E22</f>
        <v>TAS15*</v>
      </c>
      <c r="F22" s="505">
        <f>Qty!F22</f>
        <v>0</v>
      </c>
      <c r="G22" s="505">
        <f>Qty!G22</f>
        <v>0</v>
      </c>
      <c r="H22" s="58"/>
      <c r="I22" s="189">
        <v>3004.7</v>
      </c>
      <c r="J22" s="189">
        <v>0</v>
      </c>
      <c r="K22" s="189">
        <v>0.92800000000000005</v>
      </c>
      <c r="L22" s="189">
        <v>0.55700000000000005</v>
      </c>
      <c r="M22" s="189">
        <v>0.13900000000000001</v>
      </c>
      <c r="N22" s="189">
        <v>0</v>
      </c>
      <c r="O22" s="189">
        <v>0</v>
      </c>
      <c r="P22" s="189">
        <v>0</v>
      </c>
      <c r="Q22" s="189">
        <v>9.2129999999999992</v>
      </c>
      <c r="R22" s="189">
        <v>46.064999999999998</v>
      </c>
      <c r="S22" s="189">
        <v>0.33500000000000002</v>
      </c>
      <c r="T22" s="189">
        <v>1.675</v>
      </c>
      <c r="U22" s="189">
        <v>0</v>
      </c>
      <c r="V22" s="185"/>
      <c r="W22" s="185"/>
      <c r="X22" s="185"/>
      <c r="Y22" s="185"/>
      <c r="Z22" s="185"/>
      <c r="AA22" s="185"/>
      <c r="AB22" s="185"/>
      <c r="AC22" s="187"/>
      <c r="AD22" s="19"/>
      <c r="AE22" s="19"/>
      <c r="AF22" s="19"/>
      <c r="AG22" s="19"/>
    </row>
    <row r="23" spans="1:33" outlineLevel="2" x14ac:dyDescent="0.2">
      <c r="A23" s="19"/>
      <c r="B23" s="19"/>
      <c r="C23" s="506" t="str">
        <f>Qty!C23</f>
        <v>Uncontrolled low voltage heating and hot water</v>
      </c>
      <c r="D23" s="505" t="str">
        <f>Qty!D23</f>
        <v>Uncontrolled energy</v>
      </c>
      <c r="E23" s="505" t="str">
        <f>Qty!E23</f>
        <v>TAS41</v>
      </c>
      <c r="F23" s="505">
        <f>Qty!F23</f>
        <v>0</v>
      </c>
      <c r="G23" s="505">
        <f>Qty!G23</f>
        <v>0</v>
      </c>
      <c r="H23" s="58"/>
      <c r="I23" s="189">
        <v>6.7060000000000004</v>
      </c>
      <c r="J23" s="189">
        <v>3.8580000000000001</v>
      </c>
      <c r="K23" s="189">
        <v>0</v>
      </c>
      <c r="L23" s="189">
        <v>0</v>
      </c>
      <c r="M23" s="189">
        <v>0</v>
      </c>
      <c r="N23" s="189">
        <v>0</v>
      </c>
      <c r="O23" s="189">
        <v>0</v>
      </c>
      <c r="P23" s="189">
        <v>0</v>
      </c>
      <c r="Q23" s="189">
        <v>0</v>
      </c>
      <c r="R23" s="189">
        <v>0</v>
      </c>
      <c r="S23" s="189">
        <v>0</v>
      </c>
      <c r="T23" s="189">
        <v>0</v>
      </c>
      <c r="U23" s="189">
        <v>0</v>
      </c>
      <c r="V23" s="185"/>
      <c r="W23" s="185"/>
      <c r="X23" s="185"/>
      <c r="Y23" s="185"/>
      <c r="Z23" s="185"/>
      <c r="AA23" s="185"/>
      <c r="AB23" s="185"/>
      <c r="AC23" s="187"/>
      <c r="AD23" s="19"/>
      <c r="AE23" s="19"/>
      <c r="AF23" s="19"/>
      <c r="AG23" s="19"/>
    </row>
    <row r="24" spans="1:33" outlineLevel="2" x14ac:dyDescent="0.2">
      <c r="A24" s="19"/>
      <c r="B24" s="19"/>
      <c r="C24" s="506" t="str">
        <f>Qty!C24</f>
        <v>Controlled low voltage night period only</v>
      </c>
      <c r="D24" s="505" t="str">
        <f>Qty!D24</f>
        <v>Controlled energy</v>
      </c>
      <c r="E24" s="505" t="str">
        <f>Qty!E24</f>
        <v>TAS63</v>
      </c>
      <c r="F24" s="505">
        <f>Qty!F24</f>
        <v>0</v>
      </c>
      <c r="G24" s="505">
        <f>Qty!G24</f>
        <v>0</v>
      </c>
      <c r="H24" s="58"/>
      <c r="I24" s="189">
        <v>12.776999999999999</v>
      </c>
      <c r="J24" s="189">
        <v>0.90600000000000003</v>
      </c>
      <c r="K24" s="189">
        <v>0</v>
      </c>
      <c r="L24" s="189">
        <v>0</v>
      </c>
      <c r="M24" s="189">
        <v>0</v>
      </c>
      <c r="N24" s="189">
        <v>0</v>
      </c>
      <c r="O24" s="189">
        <v>0</v>
      </c>
      <c r="P24" s="189">
        <v>0</v>
      </c>
      <c r="Q24" s="189">
        <v>0</v>
      </c>
      <c r="R24" s="189">
        <v>0</v>
      </c>
      <c r="S24" s="189">
        <v>0</v>
      </c>
      <c r="T24" s="189">
        <v>0</v>
      </c>
      <c r="U24" s="189">
        <v>0</v>
      </c>
      <c r="V24" s="185"/>
      <c r="W24" s="185"/>
      <c r="X24" s="185"/>
      <c r="Y24" s="185"/>
      <c r="Z24" s="185"/>
      <c r="AA24" s="185"/>
      <c r="AB24" s="185"/>
      <c r="AC24" s="187"/>
      <c r="AD24" s="19"/>
      <c r="AE24" s="19"/>
      <c r="AF24" s="19"/>
      <c r="AG24" s="19"/>
    </row>
    <row r="25" spans="1:33" outlineLevel="2" x14ac:dyDescent="0.2">
      <c r="A25" s="19"/>
      <c r="B25" s="19"/>
      <c r="C25" s="506" t="str">
        <f>Qty!C25</f>
        <v>Controlled low voltage off peak with afternoon boost</v>
      </c>
      <c r="D25" s="505" t="str">
        <f>Qty!D25</f>
        <v>Controlled energy</v>
      </c>
      <c r="E25" s="505" t="str">
        <f>Qty!E25</f>
        <v>TAS61</v>
      </c>
      <c r="F25" s="505">
        <f>Qty!F25</f>
        <v>0</v>
      </c>
      <c r="G25" s="505">
        <f>Qty!G25</f>
        <v>0</v>
      </c>
      <c r="H25" s="58"/>
      <c r="I25" s="189">
        <v>12.776999999999999</v>
      </c>
      <c r="J25" s="189">
        <v>1.008</v>
      </c>
      <c r="K25" s="189">
        <v>0</v>
      </c>
      <c r="L25" s="189">
        <v>0</v>
      </c>
      <c r="M25" s="189">
        <v>0</v>
      </c>
      <c r="N25" s="189">
        <v>0</v>
      </c>
      <c r="O25" s="189">
        <v>0</v>
      </c>
      <c r="P25" s="189">
        <v>0</v>
      </c>
      <c r="Q25" s="189">
        <v>0</v>
      </c>
      <c r="R25" s="189">
        <v>0</v>
      </c>
      <c r="S25" s="189">
        <v>0</v>
      </c>
      <c r="T25" s="189">
        <v>0</v>
      </c>
      <c r="U25" s="189">
        <v>0</v>
      </c>
      <c r="V25" s="185"/>
      <c r="W25" s="185"/>
      <c r="X25" s="185"/>
      <c r="Y25" s="185"/>
      <c r="Z25" s="185"/>
      <c r="AA25" s="185"/>
      <c r="AB25" s="185"/>
      <c r="AC25" s="187"/>
      <c r="AD25" s="19"/>
      <c r="AE25" s="19"/>
      <c r="AF25" s="19"/>
      <c r="AG25" s="19"/>
    </row>
    <row r="26" spans="1:33" outlineLevel="2" x14ac:dyDescent="0.2">
      <c r="A26" s="19"/>
      <c r="B26" s="19"/>
      <c r="C26" s="506" t="str">
        <f>Qty!C26</f>
        <v>Unmetered supply general</v>
      </c>
      <c r="D26" s="505" t="str">
        <f>Qty!D26</f>
        <v>Unmetered supplies</v>
      </c>
      <c r="E26" s="505" t="str">
        <f>Qty!E26</f>
        <v>TASUMS</v>
      </c>
      <c r="F26" s="505">
        <f>Qty!F26</f>
        <v>0</v>
      </c>
      <c r="G26" s="505">
        <f>Qty!G26</f>
        <v>0</v>
      </c>
      <c r="H26" s="58"/>
      <c r="I26" s="189">
        <v>53.96</v>
      </c>
      <c r="J26" s="189">
        <v>7.8739999999999997</v>
      </c>
      <c r="K26" s="189">
        <v>0</v>
      </c>
      <c r="L26" s="189">
        <v>0</v>
      </c>
      <c r="M26" s="189">
        <v>0</v>
      </c>
      <c r="N26" s="189">
        <v>0</v>
      </c>
      <c r="O26" s="189">
        <v>0</v>
      </c>
      <c r="P26" s="189">
        <v>0</v>
      </c>
      <c r="Q26" s="189">
        <v>0</v>
      </c>
      <c r="R26" s="189">
        <v>0</v>
      </c>
      <c r="S26" s="189">
        <v>0</v>
      </c>
      <c r="T26" s="189">
        <v>0</v>
      </c>
      <c r="U26" s="189">
        <v>0</v>
      </c>
      <c r="V26" s="185"/>
      <c r="W26" s="185"/>
      <c r="X26" s="185"/>
      <c r="Y26" s="185"/>
      <c r="Z26" s="185"/>
      <c r="AA26" s="185"/>
      <c r="AB26" s="185"/>
      <c r="AC26" s="187"/>
      <c r="AD26" s="19"/>
      <c r="AE26" s="19"/>
      <c r="AF26" s="19"/>
      <c r="AG26" s="19"/>
    </row>
    <row r="27" spans="1:33" outlineLevel="2" x14ac:dyDescent="0.2">
      <c r="A27" s="19"/>
      <c r="B27" s="19"/>
      <c r="C27" s="506" t="str">
        <f>Qty!C27</f>
        <v>Street lighting</v>
      </c>
      <c r="D27" s="505" t="str">
        <f>Qty!D27</f>
        <v>Street lighting</v>
      </c>
      <c r="E27" s="505" t="str">
        <f>Qty!E27</f>
        <v>TASUMSSL</v>
      </c>
      <c r="F27" s="505">
        <f>Qty!F27</f>
        <v>0</v>
      </c>
      <c r="G27" s="505">
        <f>Qty!G27</f>
        <v>0</v>
      </c>
      <c r="H27" s="58"/>
      <c r="I27" s="189">
        <v>0</v>
      </c>
      <c r="J27" s="189">
        <v>0</v>
      </c>
      <c r="K27" s="189">
        <v>0</v>
      </c>
      <c r="L27" s="189">
        <v>0</v>
      </c>
      <c r="M27" s="189">
        <v>0</v>
      </c>
      <c r="N27" s="189">
        <v>0</v>
      </c>
      <c r="O27" s="189">
        <v>0</v>
      </c>
      <c r="P27" s="189">
        <v>0</v>
      </c>
      <c r="Q27" s="189">
        <v>0</v>
      </c>
      <c r="R27" s="189">
        <v>0</v>
      </c>
      <c r="S27" s="189">
        <v>0</v>
      </c>
      <c r="T27" s="189">
        <v>0</v>
      </c>
      <c r="U27" s="189">
        <v>8.4000000000000005E-2</v>
      </c>
      <c r="V27" s="185"/>
      <c r="W27" s="185"/>
      <c r="X27" s="185"/>
      <c r="Y27" s="185"/>
      <c r="Z27" s="185"/>
      <c r="AA27" s="185"/>
      <c r="AB27" s="185"/>
      <c r="AC27" s="187"/>
      <c r="AD27" s="19"/>
      <c r="AE27" s="19"/>
      <c r="AF27" s="19"/>
      <c r="AG27" s="19"/>
    </row>
    <row r="28" spans="1:33" hidden="1" outlineLevel="3" x14ac:dyDescent="0.2">
      <c r="A28" s="19"/>
      <c r="B28" s="19"/>
      <c r="C28" s="506">
        <f>Qty!C28</f>
        <v>0</v>
      </c>
      <c r="D28" s="505">
        <f>Qty!D28</f>
        <v>0</v>
      </c>
      <c r="E28" s="505">
        <f>Qty!E28</f>
        <v>0</v>
      </c>
      <c r="F28" s="505">
        <f>Qty!F28</f>
        <v>0</v>
      </c>
      <c r="G28" s="505">
        <f>Qty!G28</f>
        <v>0</v>
      </c>
      <c r="H28" s="58"/>
      <c r="I28" s="185">
        <v>0</v>
      </c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7"/>
      <c r="AD28" s="19"/>
      <c r="AE28" s="19"/>
      <c r="AF28" s="19"/>
      <c r="AG28" s="19"/>
    </row>
    <row r="29" spans="1:33" hidden="1" outlineLevel="3" x14ac:dyDescent="0.2">
      <c r="A29" s="19"/>
      <c r="B29" s="19"/>
      <c r="C29" s="506">
        <f>Qty!C29</f>
        <v>0</v>
      </c>
      <c r="D29" s="505">
        <f>Qty!D29</f>
        <v>0</v>
      </c>
      <c r="E29" s="505">
        <f>Qty!E29</f>
        <v>0</v>
      </c>
      <c r="F29" s="505">
        <f>Qty!F29</f>
        <v>0</v>
      </c>
      <c r="G29" s="505">
        <f>Qty!G29</f>
        <v>0</v>
      </c>
      <c r="H29" s="58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7"/>
      <c r="AD29" s="19"/>
      <c r="AE29" s="19"/>
      <c r="AF29" s="19"/>
      <c r="AG29" s="19"/>
    </row>
    <row r="30" spans="1:33" hidden="1" outlineLevel="3" x14ac:dyDescent="0.2">
      <c r="A30" s="19"/>
      <c r="B30" s="19"/>
      <c r="C30" s="506">
        <f>Qty!C30</f>
        <v>0</v>
      </c>
      <c r="D30" s="505">
        <f>Qty!D30</f>
        <v>0</v>
      </c>
      <c r="E30" s="505">
        <f>Qty!E30</f>
        <v>0</v>
      </c>
      <c r="F30" s="505">
        <f>Qty!F30</f>
        <v>0</v>
      </c>
      <c r="G30" s="505">
        <f>Qty!G30</f>
        <v>0</v>
      </c>
      <c r="H30" s="58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7"/>
      <c r="AD30" s="19"/>
      <c r="AE30" s="19"/>
      <c r="AF30" s="19"/>
      <c r="AG30" s="19"/>
    </row>
    <row r="31" spans="1:33" hidden="1" outlineLevel="3" x14ac:dyDescent="0.2">
      <c r="A31" s="19"/>
      <c r="B31" s="19"/>
      <c r="C31" s="506">
        <f>Qty!C31</f>
        <v>0</v>
      </c>
      <c r="D31" s="505">
        <f>Qty!D31</f>
        <v>0</v>
      </c>
      <c r="E31" s="505">
        <f>Qty!E31</f>
        <v>0</v>
      </c>
      <c r="F31" s="505">
        <f>Qty!F31</f>
        <v>0</v>
      </c>
      <c r="G31" s="505">
        <f>Qty!G31</f>
        <v>0</v>
      </c>
      <c r="H31" s="58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7"/>
      <c r="AD31" s="19"/>
      <c r="AE31" s="19"/>
      <c r="AF31" s="19"/>
      <c r="AG31" s="19"/>
    </row>
    <row r="32" spans="1:33" hidden="1" outlineLevel="3" x14ac:dyDescent="0.2">
      <c r="A32" s="19"/>
      <c r="B32" s="19"/>
      <c r="C32" s="506">
        <f>Qty!C32</f>
        <v>0</v>
      </c>
      <c r="D32" s="505">
        <f>Qty!D32</f>
        <v>0</v>
      </c>
      <c r="E32" s="505">
        <f>Qty!E32</f>
        <v>0</v>
      </c>
      <c r="F32" s="505">
        <f>Qty!F32</f>
        <v>0</v>
      </c>
      <c r="G32" s="505">
        <f>Qty!G32</f>
        <v>0</v>
      </c>
      <c r="H32" s="58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7"/>
      <c r="AD32" s="19"/>
      <c r="AE32" s="19"/>
      <c r="AF32" s="19"/>
      <c r="AG32" s="19"/>
    </row>
    <row r="33" spans="1:33" hidden="1" outlineLevel="3" x14ac:dyDescent="0.2">
      <c r="A33" s="19"/>
      <c r="B33" s="19"/>
      <c r="C33" s="506">
        <f>Qty!C33</f>
        <v>0</v>
      </c>
      <c r="D33" s="505">
        <f>Qty!D33</f>
        <v>0</v>
      </c>
      <c r="E33" s="505">
        <f>Qty!E33</f>
        <v>0</v>
      </c>
      <c r="F33" s="505">
        <f>Qty!F33</f>
        <v>0</v>
      </c>
      <c r="G33" s="505">
        <f>Qty!G33</f>
        <v>0</v>
      </c>
      <c r="H33" s="58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7"/>
      <c r="AD33" s="19"/>
      <c r="AE33" s="19"/>
      <c r="AF33" s="19"/>
      <c r="AG33" s="19"/>
    </row>
    <row r="34" spans="1:33" hidden="1" outlineLevel="3" x14ac:dyDescent="0.2">
      <c r="A34" s="19"/>
      <c r="B34" s="19"/>
      <c r="C34" s="506">
        <f>Qty!C34</f>
        <v>0</v>
      </c>
      <c r="D34" s="505">
        <f>Qty!D34</f>
        <v>0</v>
      </c>
      <c r="E34" s="505">
        <f>Qty!E34</f>
        <v>0</v>
      </c>
      <c r="F34" s="505">
        <f>Qty!F34</f>
        <v>0</v>
      </c>
      <c r="G34" s="505">
        <f>Qty!G34</f>
        <v>0</v>
      </c>
      <c r="H34" s="58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7"/>
      <c r="AD34" s="19"/>
      <c r="AE34" s="19"/>
      <c r="AF34" s="19"/>
      <c r="AG34" s="19"/>
    </row>
    <row r="35" spans="1:33" hidden="1" outlineLevel="3" x14ac:dyDescent="0.2">
      <c r="A35" s="19"/>
      <c r="B35" s="19"/>
      <c r="C35" s="506">
        <f>Qty!C35</f>
        <v>0</v>
      </c>
      <c r="D35" s="505">
        <f>Qty!D35</f>
        <v>0</v>
      </c>
      <c r="E35" s="505">
        <f>Qty!E35</f>
        <v>0</v>
      </c>
      <c r="F35" s="505">
        <f>Qty!F35</f>
        <v>0</v>
      </c>
      <c r="G35" s="505">
        <f>Qty!G35</f>
        <v>0</v>
      </c>
      <c r="H35" s="58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7"/>
      <c r="AD35" s="19"/>
      <c r="AE35" s="19"/>
      <c r="AF35" s="19"/>
      <c r="AG35" s="19"/>
    </row>
    <row r="36" spans="1:33" hidden="1" outlineLevel="3" x14ac:dyDescent="0.2">
      <c r="A36" s="19"/>
      <c r="B36" s="19"/>
      <c r="C36" s="506">
        <f>Qty!C36</f>
        <v>0</v>
      </c>
      <c r="D36" s="505">
        <f>Qty!D36</f>
        <v>0</v>
      </c>
      <c r="E36" s="505">
        <f>Qty!E36</f>
        <v>0</v>
      </c>
      <c r="F36" s="505">
        <f>Qty!F36</f>
        <v>0</v>
      </c>
      <c r="G36" s="505">
        <f>Qty!G36</f>
        <v>0</v>
      </c>
      <c r="H36" s="58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7"/>
      <c r="AD36" s="19"/>
      <c r="AE36" s="19"/>
      <c r="AF36" s="19"/>
      <c r="AG36" s="19"/>
    </row>
    <row r="37" spans="1:33" hidden="1" outlineLevel="3" x14ac:dyDescent="0.2">
      <c r="A37" s="19"/>
      <c r="B37" s="19"/>
      <c r="C37" s="506">
        <f>Qty!C37</f>
        <v>0</v>
      </c>
      <c r="D37" s="505">
        <f>Qty!D37</f>
        <v>0</v>
      </c>
      <c r="E37" s="505">
        <f>Qty!E37</f>
        <v>0</v>
      </c>
      <c r="F37" s="505">
        <f>Qty!F37</f>
        <v>0</v>
      </c>
      <c r="G37" s="505">
        <f>Qty!G37</f>
        <v>0</v>
      </c>
      <c r="H37" s="58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7"/>
      <c r="AD37" s="19"/>
      <c r="AE37" s="19"/>
      <c r="AF37" s="19"/>
      <c r="AG37" s="19"/>
    </row>
    <row r="38" spans="1:33" hidden="1" outlineLevel="3" x14ac:dyDescent="0.2">
      <c r="A38" s="19"/>
      <c r="B38" s="19"/>
      <c r="C38" s="506">
        <f>Qty!C38</f>
        <v>0</v>
      </c>
      <c r="D38" s="505">
        <f>Qty!D38</f>
        <v>0</v>
      </c>
      <c r="E38" s="505">
        <f>Qty!E38</f>
        <v>0</v>
      </c>
      <c r="F38" s="505">
        <f>Qty!F38</f>
        <v>0</v>
      </c>
      <c r="G38" s="505">
        <f>Qty!G38</f>
        <v>0</v>
      </c>
      <c r="H38" s="58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7"/>
      <c r="AD38" s="19"/>
      <c r="AE38" s="19"/>
      <c r="AF38" s="19"/>
      <c r="AG38" s="19"/>
    </row>
    <row r="39" spans="1:33" hidden="1" outlineLevel="3" x14ac:dyDescent="0.2">
      <c r="A39" s="19"/>
      <c r="B39" s="19"/>
      <c r="C39" s="506">
        <f>Qty!C39</f>
        <v>0</v>
      </c>
      <c r="D39" s="505">
        <f>Qty!D39</f>
        <v>0</v>
      </c>
      <c r="E39" s="505">
        <f>Qty!E39</f>
        <v>0</v>
      </c>
      <c r="F39" s="505">
        <f>Qty!F39</f>
        <v>0</v>
      </c>
      <c r="G39" s="505">
        <f>Qty!G39</f>
        <v>0</v>
      </c>
      <c r="H39" s="58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7"/>
      <c r="AD39" s="19"/>
      <c r="AE39" s="19"/>
      <c r="AF39" s="19"/>
      <c r="AG39" s="19"/>
    </row>
    <row r="40" spans="1:33" hidden="1" outlineLevel="3" x14ac:dyDescent="0.2">
      <c r="A40" s="19"/>
      <c r="B40" s="19"/>
      <c r="C40" s="506">
        <f>Qty!C40</f>
        <v>0</v>
      </c>
      <c r="D40" s="505">
        <f>Qty!D40</f>
        <v>0</v>
      </c>
      <c r="E40" s="505">
        <f>Qty!E40</f>
        <v>0</v>
      </c>
      <c r="F40" s="505">
        <f>Qty!F40</f>
        <v>0</v>
      </c>
      <c r="G40" s="505">
        <f>Qty!G40</f>
        <v>0</v>
      </c>
      <c r="H40" s="58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7"/>
      <c r="AD40" s="19"/>
      <c r="AE40" s="19"/>
      <c r="AF40" s="19"/>
      <c r="AG40" s="19"/>
    </row>
    <row r="41" spans="1:33" hidden="1" outlineLevel="3" x14ac:dyDescent="0.2">
      <c r="A41" s="19"/>
      <c r="B41" s="19"/>
      <c r="C41" s="506">
        <f>Qty!C41</f>
        <v>0</v>
      </c>
      <c r="D41" s="505">
        <f>Qty!D41</f>
        <v>0</v>
      </c>
      <c r="E41" s="505">
        <f>Qty!E41</f>
        <v>0</v>
      </c>
      <c r="F41" s="505">
        <f>Qty!F41</f>
        <v>0</v>
      </c>
      <c r="G41" s="505">
        <f>Qty!G41</f>
        <v>0</v>
      </c>
      <c r="H41" s="58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7"/>
      <c r="AD41" s="19"/>
      <c r="AE41" s="19"/>
      <c r="AF41" s="19"/>
      <c r="AG41" s="19"/>
    </row>
    <row r="42" spans="1:33" hidden="1" outlineLevel="3" x14ac:dyDescent="0.2">
      <c r="A42" s="19"/>
      <c r="B42" s="19"/>
      <c r="C42" s="506">
        <f>Qty!C42</f>
        <v>0</v>
      </c>
      <c r="D42" s="505">
        <f>Qty!D42</f>
        <v>0</v>
      </c>
      <c r="E42" s="505">
        <f>Qty!E42</f>
        <v>0</v>
      </c>
      <c r="F42" s="505">
        <f>Qty!F42</f>
        <v>0</v>
      </c>
      <c r="G42" s="505">
        <f>Qty!G42</f>
        <v>0</v>
      </c>
      <c r="H42" s="58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7"/>
      <c r="AD42" s="19"/>
      <c r="AE42" s="19"/>
      <c r="AF42" s="19"/>
      <c r="AG42" s="19"/>
    </row>
    <row r="43" spans="1:33" hidden="1" outlineLevel="3" x14ac:dyDescent="0.2">
      <c r="A43" s="19"/>
      <c r="B43" s="19"/>
      <c r="C43" s="506">
        <f>Qty!C43</f>
        <v>0</v>
      </c>
      <c r="D43" s="505">
        <f>Qty!D43</f>
        <v>0</v>
      </c>
      <c r="E43" s="505">
        <f>Qty!E43</f>
        <v>0</v>
      </c>
      <c r="F43" s="505">
        <f>Qty!F43</f>
        <v>0</v>
      </c>
      <c r="G43" s="505">
        <f>Qty!G43</f>
        <v>0</v>
      </c>
      <c r="H43" s="58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7"/>
      <c r="AD43" s="19"/>
      <c r="AE43" s="19"/>
      <c r="AF43" s="19"/>
      <c r="AG43" s="19"/>
    </row>
    <row r="44" spans="1:33" hidden="1" outlineLevel="3" x14ac:dyDescent="0.2">
      <c r="A44" s="19"/>
      <c r="B44" s="19"/>
      <c r="C44" s="506">
        <f>Qty!C44</f>
        <v>0</v>
      </c>
      <c r="D44" s="505">
        <f>Qty!D44</f>
        <v>0</v>
      </c>
      <c r="E44" s="505">
        <f>Qty!E44</f>
        <v>0</v>
      </c>
      <c r="F44" s="505">
        <f>Qty!F44</f>
        <v>0</v>
      </c>
      <c r="G44" s="505">
        <f>Qty!G44</f>
        <v>0</v>
      </c>
      <c r="H44" s="58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7"/>
      <c r="AD44" s="19"/>
      <c r="AE44" s="19"/>
      <c r="AF44" s="19"/>
      <c r="AG44" s="19"/>
    </row>
    <row r="45" spans="1:33" hidden="1" outlineLevel="3" x14ac:dyDescent="0.2">
      <c r="A45" s="19"/>
      <c r="B45" s="19"/>
      <c r="C45" s="506">
        <f>Qty!C45</f>
        <v>0</v>
      </c>
      <c r="D45" s="505">
        <f>Qty!D45</f>
        <v>0</v>
      </c>
      <c r="E45" s="505">
        <f>Qty!E45</f>
        <v>0</v>
      </c>
      <c r="F45" s="505">
        <f>Qty!F45</f>
        <v>0</v>
      </c>
      <c r="G45" s="505">
        <f>Qty!G45</f>
        <v>0</v>
      </c>
      <c r="H45" s="58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7"/>
      <c r="AD45" s="19"/>
      <c r="AE45" s="19"/>
      <c r="AF45" s="19"/>
      <c r="AG45" s="19"/>
    </row>
    <row r="46" spans="1:33" hidden="1" outlineLevel="3" x14ac:dyDescent="0.2">
      <c r="A46" s="19"/>
      <c r="B46" s="19"/>
      <c r="C46" s="506">
        <f>Qty!C46</f>
        <v>0</v>
      </c>
      <c r="D46" s="505">
        <f>Qty!D46</f>
        <v>0</v>
      </c>
      <c r="E46" s="505">
        <f>Qty!E46</f>
        <v>0</v>
      </c>
      <c r="F46" s="505">
        <f>Qty!F46</f>
        <v>0</v>
      </c>
      <c r="G46" s="505">
        <f>Qty!G46</f>
        <v>0</v>
      </c>
      <c r="H46" s="58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7"/>
      <c r="AD46" s="19"/>
      <c r="AE46" s="19"/>
      <c r="AF46" s="19"/>
      <c r="AG46" s="19"/>
    </row>
    <row r="47" spans="1:33" hidden="1" outlineLevel="3" x14ac:dyDescent="0.2">
      <c r="A47" s="19"/>
      <c r="B47" s="19"/>
      <c r="C47" s="506">
        <f>Qty!C47</f>
        <v>0</v>
      </c>
      <c r="D47" s="505">
        <f>Qty!D47</f>
        <v>0</v>
      </c>
      <c r="E47" s="505">
        <f>Qty!E47</f>
        <v>0</v>
      </c>
      <c r="F47" s="505">
        <f>Qty!F47</f>
        <v>0</v>
      </c>
      <c r="G47" s="505">
        <f>Qty!G47</f>
        <v>0</v>
      </c>
      <c r="H47" s="58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7"/>
      <c r="AD47" s="19"/>
      <c r="AE47" s="19"/>
      <c r="AF47" s="19"/>
      <c r="AG47" s="19"/>
    </row>
    <row r="48" spans="1:33" hidden="1" outlineLevel="3" x14ac:dyDescent="0.2">
      <c r="A48" s="19"/>
      <c r="B48" s="19"/>
      <c r="C48" s="506">
        <f>Qty!C48</f>
        <v>0</v>
      </c>
      <c r="D48" s="505">
        <f>Qty!D48</f>
        <v>0</v>
      </c>
      <c r="E48" s="505">
        <f>Qty!E48</f>
        <v>0</v>
      </c>
      <c r="F48" s="505">
        <f>Qty!F48</f>
        <v>0</v>
      </c>
      <c r="G48" s="505">
        <f>Qty!G48</f>
        <v>0</v>
      </c>
      <c r="H48" s="58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7"/>
      <c r="AD48" s="19"/>
      <c r="AE48" s="19"/>
      <c r="AF48" s="19"/>
      <c r="AG48" s="19"/>
    </row>
    <row r="49" spans="1:33" hidden="1" outlineLevel="3" x14ac:dyDescent="0.2">
      <c r="A49" s="19"/>
      <c r="B49" s="19"/>
      <c r="C49" s="506">
        <f>Qty!C49</f>
        <v>0</v>
      </c>
      <c r="D49" s="505">
        <f>Qty!D49</f>
        <v>0</v>
      </c>
      <c r="E49" s="505">
        <f>Qty!E49</f>
        <v>0</v>
      </c>
      <c r="F49" s="505">
        <f>Qty!F49</f>
        <v>0</v>
      </c>
      <c r="G49" s="505">
        <f>Qty!G49</f>
        <v>0</v>
      </c>
      <c r="H49" s="58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7"/>
      <c r="AD49" s="19"/>
      <c r="AE49" s="19"/>
      <c r="AF49" s="19"/>
      <c r="AG49" s="19"/>
    </row>
    <row r="50" spans="1:33" hidden="1" outlineLevel="3" x14ac:dyDescent="0.2">
      <c r="A50" s="19"/>
      <c r="B50" s="19"/>
      <c r="C50" s="506">
        <f>Qty!C50</f>
        <v>0</v>
      </c>
      <c r="D50" s="505">
        <f>Qty!D50</f>
        <v>0</v>
      </c>
      <c r="E50" s="505">
        <f>Qty!E50</f>
        <v>0</v>
      </c>
      <c r="F50" s="505">
        <f>Qty!F50</f>
        <v>0</v>
      </c>
      <c r="G50" s="505">
        <f>Qty!G50</f>
        <v>0</v>
      </c>
      <c r="H50" s="58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7"/>
      <c r="AD50" s="19"/>
      <c r="AE50" s="19"/>
      <c r="AF50" s="19"/>
      <c r="AG50" s="19"/>
    </row>
    <row r="51" spans="1:33" hidden="1" outlineLevel="3" x14ac:dyDescent="0.2">
      <c r="A51" s="19"/>
      <c r="B51" s="19"/>
      <c r="C51" s="506">
        <f>Qty!C51</f>
        <v>0</v>
      </c>
      <c r="D51" s="505">
        <f>Qty!D51</f>
        <v>0</v>
      </c>
      <c r="E51" s="505">
        <f>Qty!E51</f>
        <v>0</v>
      </c>
      <c r="F51" s="505">
        <f>Qty!F51</f>
        <v>0</v>
      </c>
      <c r="G51" s="505">
        <f>Qty!G51</f>
        <v>0</v>
      </c>
      <c r="H51" s="58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7"/>
      <c r="AD51" s="19"/>
      <c r="AE51" s="19"/>
      <c r="AF51" s="19"/>
      <c r="AG51" s="19"/>
    </row>
    <row r="52" spans="1:33" hidden="1" outlineLevel="3" x14ac:dyDescent="0.2">
      <c r="A52" s="19"/>
      <c r="B52" s="19"/>
      <c r="C52" s="506">
        <f>Qty!C52</f>
        <v>0</v>
      </c>
      <c r="D52" s="505">
        <f>Qty!D52</f>
        <v>0</v>
      </c>
      <c r="E52" s="505">
        <f>Qty!E52</f>
        <v>0</v>
      </c>
      <c r="F52" s="505">
        <f>Qty!F52</f>
        <v>0</v>
      </c>
      <c r="G52" s="505">
        <f>Qty!G52</f>
        <v>0</v>
      </c>
      <c r="H52" s="58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7"/>
      <c r="AD52" s="19"/>
      <c r="AE52" s="19"/>
      <c r="AF52" s="19"/>
      <c r="AG52" s="19"/>
    </row>
    <row r="53" spans="1:33" hidden="1" outlineLevel="3" x14ac:dyDescent="0.2">
      <c r="A53" s="19"/>
      <c r="B53" s="19"/>
      <c r="C53" s="506">
        <f>Qty!C53</f>
        <v>0</v>
      </c>
      <c r="D53" s="505">
        <f>Qty!D53</f>
        <v>0</v>
      </c>
      <c r="E53" s="505">
        <f>Qty!E53</f>
        <v>0</v>
      </c>
      <c r="F53" s="505">
        <f>Qty!F53</f>
        <v>0</v>
      </c>
      <c r="G53" s="505">
        <f>Qty!G53</f>
        <v>0</v>
      </c>
      <c r="H53" s="58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7"/>
      <c r="AD53" s="19"/>
      <c r="AE53" s="19"/>
      <c r="AF53" s="19"/>
      <c r="AG53" s="19"/>
    </row>
    <row r="54" spans="1:33" hidden="1" outlineLevel="3" x14ac:dyDescent="0.2">
      <c r="A54" s="19"/>
      <c r="B54" s="19"/>
      <c r="C54" s="506">
        <f>Qty!C54</f>
        <v>0</v>
      </c>
      <c r="D54" s="505">
        <f>Qty!D54</f>
        <v>0</v>
      </c>
      <c r="E54" s="505">
        <f>Qty!E54</f>
        <v>0</v>
      </c>
      <c r="F54" s="505">
        <f>Qty!F54</f>
        <v>0</v>
      </c>
      <c r="G54" s="505">
        <f>Qty!G54</f>
        <v>0</v>
      </c>
      <c r="H54" s="58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7"/>
      <c r="AD54" s="19"/>
      <c r="AE54" s="19"/>
      <c r="AF54" s="19"/>
      <c r="AG54" s="19"/>
    </row>
    <row r="55" spans="1:33" hidden="1" outlineLevel="3" x14ac:dyDescent="0.2">
      <c r="A55" s="19"/>
      <c r="B55" s="19"/>
      <c r="C55" s="506">
        <f>Qty!C55</f>
        <v>0</v>
      </c>
      <c r="D55" s="505">
        <f>Qty!D55</f>
        <v>0</v>
      </c>
      <c r="E55" s="505">
        <f>Qty!E55</f>
        <v>0</v>
      </c>
      <c r="F55" s="505">
        <f>Qty!F55</f>
        <v>0</v>
      </c>
      <c r="G55" s="505">
        <f>Qty!G55</f>
        <v>0</v>
      </c>
      <c r="H55" s="58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7"/>
      <c r="AD55" s="19"/>
      <c r="AE55" s="19"/>
      <c r="AF55" s="19"/>
      <c r="AG55" s="19"/>
    </row>
    <row r="56" spans="1:33" hidden="1" outlineLevel="3" x14ac:dyDescent="0.2">
      <c r="A56" s="19"/>
      <c r="B56" s="19"/>
      <c r="C56" s="506">
        <f>Qty!C56</f>
        <v>0</v>
      </c>
      <c r="D56" s="505">
        <f>Qty!D56</f>
        <v>0</v>
      </c>
      <c r="E56" s="505">
        <f>Qty!E56</f>
        <v>0</v>
      </c>
      <c r="F56" s="505">
        <f>Qty!F56</f>
        <v>0</v>
      </c>
      <c r="G56" s="505">
        <f>Qty!G56</f>
        <v>0</v>
      </c>
      <c r="H56" s="58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7"/>
      <c r="AD56" s="19"/>
      <c r="AE56" s="19"/>
      <c r="AF56" s="19"/>
      <c r="AG56" s="19"/>
    </row>
    <row r="57" spans="1:33" hidden="1" outlineLevel="3" x14ac:dyDescent="0.2">
      <c r="A57" s="19"/>
      <c r="B57" s="19"/>
      <c r="C57" s="506">
        <f>Qty!C57</f>
        <v>0</v>
      </c>
      <c r="D57" s="505">
        <f>Qty!D57</f>
        <v>0</v>
      </c>
      <c r="E57" s="505">
        <f>Qty!E57</f>
        <v>0</v>
      </c>
      <c r="F57" s="505">
        <f>Qty!F57</f>
        <v>0</v>
      </c>
      <c r="G57" s="505">
        <f>Qty!G57</f>
        <v>0</v>
      </c>
      <c r="H57" s="58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7"/>
      <c r="AD57" s="19"/>
      <c r="AE57" s="19"/>
      <c r="AF57" s="19"/>
      <c r="AG57" s="19"/>
    </row>
    <row r="58" spans="1:33" hidden="1" outlineLevel="3" x14ac:dyDescent="0.2">
      <c r="A58" s="19"/>
      <c r="B58" s="19"/>
      <c r="C58" s="506">
        <f>Qty!C58</f>
        <v>0</v>
      </c>
      <c r="D58" s="505">
        <f>Qty!D58</f>
        <v>0</v>
      </c>
      <c r="E58" s="505">
        <f>Qty!E58</f>
        <v>0</v>
      </c>
      <c r="F58" s="505">
        <f>Qty!F58</f>
        <v>0</v>
      </c>
      <c r="G58" s="505">
        <f>Qty!G58</f>
        <v>0</v>
      </c>
      <c r="H58" s="58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7"/>
      <c r="AD58" s="19"/>
      <c r="AE58" s="19"/>
      <c r="AF58" s="19"/>
      <c r="AG58" s="19"/>
    </row>
    <row r="59" spans="1:33" hidden="1" outlineLevel="3" x14ac:dyDescent="0.2">
      <c r="A59" s="19"/>
      <c r="B59" s="19"/>
      <c r="C59" s="506">
        <f>Qty!C59</f>
        <v>0</v>
      </c>
      <c r="D59" s="505">
        <f>Qty!D59</f>
        <v>0</v>
      </c>
      <c r="E59" s="505">
        <f>Qty!E59</f>
        <v>0</v>
      </c>
      <c r="F59" s="505">
        <f>Qty!F59</f>
        <v>0</v>
      </c>
      <c r="G59" s="505">
        <f>Qty!G59</f>
        <v>0</v>
      </c>
      <c r="H59" s="58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7"/>
      <c r="AD59" s="19"/>
      <c r="AE59" s="19"/>
      <c r="AF59" s="19"/>
      <c r="AG59" s="19"/>
    </row>
    <row r="60" spans="1:33" hidden="1" outlineLevel="3" x14ac:dyDescent="0.2">
      <c r="A60" s="19"/>
      <c r="B60" s="19"/>
      <c r="C60" s="506">
        <f>Qty!C60</f>
        <v>0</v>
      </c>
      <c r="D60" s="505">
        <f>Qty!D60</f>
        <v>0</v>
      </c>
      <c r="E60" s="505">
        <f>Qty!E60</f>
        <v>0</v>
      </c>
      <c r="F60" s="505">
        <f>Qty!F60</f>
        <v>0</v>
      </c>
      <c r="G60" s="505">
        <f>Qty!G60</f>
        <v>0</v>
      </c>
      <c r="H60" s="58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7"/>
      <c r="AD60" s="19"/>
      <c r="AE60" s="19"/>
      <c r="AF60" s="19"/>
      <c r="AG60" s="19"/>
    </row>
    <row r="61" spans="1:33" hidden="1" outlineLevel="3" x14ac:dyDescent="0.2">
      <c r="A61" s="19"/>
      <c r="B61" s="19"/>
      <c r="C61" s="506">
        <f>Qty!C61</f>
        <v>0</v>
      </c>
      <c r="D61" s="505">
        <f>Qty!D61</f>
        <v>0</v>
      </c>
      <c r="E61" s="505">
        <f>Qty!E61</f>
        <v>0</v>
      </c>
      <c r="F61" s="505">
        <f>Qty!F61</f>
        <v>0</v>
      </c>
      <c r="G61" s="505">
        <f>Qty!G61</f>
        <v>0</v>
      </c>
      <c r="H61" s="58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7"/>
      <c r="AD61" s="19"/>
      <c r="AE61" s="19"/>
      <c r="AF61" s="19"/>
      <c r="AG61" s="19"/>
    </row>
    <row r="62" spans="1:33" hidden="1" outlineLevel="3" x14ac:dyDescent="0.2">
      <c r="A62" s="19"/>
      <c r="B62" s="19"/>
      <c r="C62" s="506">
        <f>Qty!C62</f>
        <v>0</v>
      </c>
      <c r="D62" s="505">
        <f>Qty!D62</f>
        <v>0</v>
      </c>
      <c r="E62" s="505">
        <f>Qty!E62</f>
        <v>0</v>
      </c>
      <c r="F62" s="505">
        <f>Qty!F62</f>
        <v>0</v>
      </c>
      <c r="G62" s="505">
        <f>Qty!G62</f>
        <v>0</v>
      </c>
      <c r="H62" s="58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7"/>
      <c r="AD62" s="19"/>
      <c r="AE62" s="19"/>
      <c r="AF62" s="19"/>
      <c r="AG62" s="19"/>
    </row>
    <row r="63" spans="1:33" hidden="1" outlineLevel="3" x14ac:dyDescent="0.2">
      <c r="A63" s="19"/>
      <c r="B63" s="19"/>
      <c r="C63" s="506">
        <f>Qty!C63</f>
        <v>0</v>
      </c>
      <c r="D63" s="505">
        <f>Qty!D63</f>
        <v>0</v>
      </c>
      <c r="E63" s="505">
        <f>Qty!E63</f>
        <v>0</v>
      </c>
      <c r="F63" s="505">
        <f>Qty!F63</f>
        <v>0</v>
      </c>
      <c r="G63" s="505">
        <f>Qty!G63</f>
        <v>0</v>
      </c>
      <c r="H63" s="58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7"/>
      <c r="AD63" s="19"/>
      <c r="AE63" s="19"/>
      <c r="AF63" s="19"/>
      <c r="AG63" s="19"/>
    </row>
    <row r="64" spans="1:33" hidden="1" outlineLevel="3" x14ac:dyDescent="0.2">
      <c r="A64" s="19"/>
      <c r="B64" s="19"/>
      <c r="C64" s="506">
        <f>Qty!C64</f>
        <v>0</v>
      </c>
      <c r="D64" s="505">
        <f>Qty!D64</f>
        <v>0</v>
      </c>
      <c r="E64" s="505">
        <f>Qty!E64</f>
        <v>0</v>
      </c>
      <c r="F64" s="505">
        <f>Qty!F64</f>
        <v>0</v>
      </c>
      <c r="G64" s="505">
        <f>Qty!G64</f>
        <v>0</v>
      </c>
      <c r="H64" s="58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7"/>
      <c r="AD64" s="19"/>
      <c r="AE64" s="19"/>
      <c r="AF64" s="19"/>
      <c r="AG64" s="19"/>
    </row>
    <row r="65" spans="1:33" hidden="1" outlineLevel="3" x14ac:dyDescent="0.2">
      <c r="A65" s="19"/>
      <c r="B65" s="19"/>
      <c r="C65" s="506">
        <f>Qty!C65</f>
        <v>0</v>
      </c>
      <c r="D65" s="505">
        <f>Qty!D65</f>
        <v>0</v>
      </c>
      <c r="E65" s="505">
        <f>Qty!E65</f>
        <v>0</v>
      </c>
      <c r="F65" s="505">
        <f>Qty!F65</f>
        <v>0</v>
      </c>
      <c r="G65" s="505">
        <f>Qty!G65</f>
        <v>0</v>
      </c>
      <c r="H65" s="58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7"/>
      <c r="AD65" s="19"/>
      <c r="AE65" s="19"/>
      <c r="AF65" s="19"/>
      <c r="AG65" s="19"/>
    </row>
    <row r="66" spans="1:33" hidden="1" outlineLevel="3" x14ac:dyDescent="0.2">
      <c r="A66" s="19"/>
      <c r="B66" s="19"/>
      <c r="C66" s="506">
        <f>Qty!C66</f>
        <v>0</v>
      </c>
      <c r="D66" s="505">
        <f>Qty!D66</f>
        <v>0</v>
      </c>
      <c r="E66" s="505">
        <f>Qty!E66</f>
        <v>0</v>
      </c>
      <c r="F66" s="505">
        <f>Qty!F66</f>
        <v>0</v>
      </c>
      <c r="G66" s="505">
        <f>Qty!G66</f>
        <v>0</v>
      </c>
      <c r="H66" s="58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7"/>
      <c r="AD66" s="19"/>
      <c r="AE66" s="19"/>
      <c r="AF66" s="19"/>
      <c r="AG66" s="19"/>
    </row>
    <row r="67" spans="1:33" hidden="1" outlineLevel="3" x14ac:dyDescent="0.2">
      <c r="A67" s="19"/>
      <c r="B67" s="19"/>
      <c r="C67" s="506">
        <f>Qty!C67</f>
        <v>0</v>
      </c>
      <c r="D67" s="505">
        <f>Qty!D67</f>
        <v>0</v>
      </c>
      <c r="E67" s="505">
        <f>Qty!E67</f>
        <v>0</v>
      </c>
      <c r="F67" s="505">
        <f>Qty!F67</f>
        <v>0</v>
      </c>
      <c r="G67" s="505">
        <f>Qty!G67</f>
        <v>0</v>
      </c>
      <c r="H67" s="58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7"/>
      <c r="AD67" s="19"/>
      <c r="AE67" s="19"/>
      <c r="AF67" s="19"/>
      <c r="AG67" s="19"/>
    </row>
    <row r="68" spans="1:33" hidden="1" outlineLevel="3" x14ac:dyDescent="0.2">
      <c r="A68" s="19"/>
      <c r="B68" s="19"/>
      <c r="C68" s="506">
        <f>Qty!C68</f>
        <v>0</v>
      </c>
      <c r="D68" s="505">
        <f>Qty!D68</f>
        <v>0</v>
      </c>
      <c r="E68" s="505">
        <f>Qty!E68</f>
        <v>0</v>
      </c>
      <c r="F68" s="505">
        <f>Qty!F68</f>
        <v>0</v>
      </c>
      <c r="G68" s="505">
        <f>Qty!G68</f>
        <v>0</v>
      </c>
      <c r="H68" s="58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7"/>
      <c r="AD68" s="19"/>
      <c r="AE68" s="19"/>
      <c r="AF68" s="19"/>
      <c r="AG68" s="19"/>
    </row>
    <row r="69" spans="1:33" hidden="1" outlineLevel="3" x14ac:dyDescent="0.2">
      <c r="A69" s="19"/>
      <c r="B69" s="19"/>
      <c r="C69" s="506">
        <f>Qty!C69</f>
        <v>0</v>
      </c>
      <c r="D69" s="505">
        <f>Qty!D69</f>
        <v>0</v>
      </c>
      <c r="E69" s="505">
        <f>Qty!E69</f>
        <v>0</v>
      </c>
      <c r="F69" s="505">
        <f>Qty!F69</f>
        <v>0</v>
      </c>
      <c r="G69" s="505">
        <f>Qty!G69</f>
        <v>0</v>
      </c>
      <c r="H69" s="58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7"/>
      <c r="AD69" s="19"/>
      <c r="AE69" s="19"/>
      <c r="AF69" s="19"/>
      <c r="AG69" s="19"/>
    </row>
    <row r="70" spans="1:33" hidden="1" outlineLevel="3" x14ac:dyDescent="0.2">
      <c r="A70" s="19"/>
      <c r="B70" s="19"/>
      <c r="C70" s="506">
        <f>Qty!C70</f>
        <v>0</v>
      </c>
      <c r="D70" s="505">
        <f>Qty!D70</f>
        <v>0</v>
      </c>
      <c r="E70" s="505">
        <f>Qty!E70</f>
        <v>0</v>
      </c>
      <c r="F70" s="505">
        <f>Qty!F70</f>
        <v>0</v>
      </c>
      <c r="G70" s="505">
        <f>Qty!G70</f>
        <v>0</v>
      </c>
      <c r="H70" s="58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7"/>
      <c r="AD70" s="19"/>
      <c r="AE70" s="19"/>
      <c r="AF70" s="19"/>
      <c r="AG70" s="19"/>
    </row>
    <row r="71" spans="1:33" hidden="1" outlineLevel="3" x14ac:dyDescent="0.2">
      <c r="A71" s="19"/>
      <c r="B71" s="19"/>
      <c r="C71" s="506">
        <f>Qty!C71</f>
        <v>0</v>
      </c>
      <c r="D71" s="505">
        <f>Qty!D71</f>
        <v>0</v>
      </c>
      <c r="E71" s="505">
        <f>Qty!E71</f>
        <v>0</v>
      </c>
      <c r="F71" s="505">
        <f>Qty!F71</f>
        <v>0</v>
      </c>
      <c r="G71" s="505">
        <f>Qty!G71</f>
        <v>0</v>
      </c>
      <c r="H71" s="58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7"/>
      <c r="AD71" s="19"/>
      <c r="AE71" s="19"/>
      <c r="AF71" s="19"/>
      <c r="AG71" s="19"/>
    </row>
    <row r="72" spans="1:33" hidden="1" outlineLevel="3" x14ac:dyDescent="0.2">
      <c r="A72" s="19"/>
      <c r="B72" s="19"/>
      <c r="C72" s="506">
        <f>Qty!C72</f>
        <v>0</v>
      </c>
      <c r="D72" s="505">
        <f>Qty!D72</f>
        <v>0</v>
      </c>
      <c r="E72" s="505">
        <f>Qty!E72</f>
        <v>0</v>
      </c>
      <c r="F72" s="505">
        <f>Qty!F72</f>
        <v>0</v>
      </c>
      <c r="G72" s="505">
        <f>Qty!G72</f>
        <v>0</v>
      </c>
      <c r="H72" s="58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7"/>
      <c r="AD72" s="19"/>
      <c r="AE72" s="19"/>
      <c r="AF72" s="19"/>
      <c r="AG72" s="19"/>
    </row>
    <row r="73" spans="1:33" hidden="1" outlineLevel="3" x14ac:dyDescent="0.2">
      <c r="A73" s="19"/>
      <c r="B73" s="19"/>
      <c r="C73" s="506">
        <f>Qty!C73</f>
        <v>0</v>
      </c>
      <c r="D73" s="505">
        <f>Qty!D73</f>
        <v>0</v>
      </c>
      <c r="E73" s="505">
        <f>Qty!E73</f>
        <v>0</v>
      </c>
      <c r="F73" s="505">
        <f>Qty!F73</f>
        <v>0</v>
      </c>
      <c r="G73" s="505">
        <f>Qty!G73</f>
        <v>0</v>
      </c>
      <c r="H73" s="58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7"/>
      <c r="AD73" s="19"/>
      <c r="AE73" s="19"/>
      <c r="AF73" s="19"/>
      <c r="AG73" s="19"/>
    </row>
    <row r="74" spans="1:33" hidden="1" outlineLevel="3" x14ac:dyDescent="0.2">
      <c r="A74" s="19"/>
      <c r="B74" s="19"/>
      <c r="C74" s="506">
        <f>Qty!C74</f>
        <v>0</v>
      </c>
      <c r="D74" s="505">
        <f>Qty!D74</f>
        <v>0</v>
      </c>
      <c r="E74" s="505">
        <f>Qty!E74</f>
        <v>0</v>
      </c>
      <c r="F74" s="505">
        <f>Qty!F74</f>
        <v>0</v>
      </c>
      <c r="G74" s="505">
        <f>Qty!G74</f>
        <v>0</v>
      </c>
      <c r="H74" s="58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7"/>
      <c r="AD74" s="19"/>
      <c r="AE74" s="19"/>
      <c r="AF74" s="19"/>
      <c r="AG74" s="19"/>
    </row>
    <row r="75" spans="1:33" hidden="1" outlineLevel="3" x14ac:dyDescent="0.2">
      <c r="A75" s="19"/>
      <c r="B75" s="19"/>
      <c r="C75" s="506">
        <f>Qty!C75</f>
        <v>0</v>
      </c>
      <c r="D75" s="505">
        <f>Qty!D75</f>
        <v>0</v>
      </c>
      <c r="E75" s="505">
        <f>Qty!E75</f>
        <v>0</v>
      </c>
      <c r="F75" s="505">
        <f>Qty!F75</f>
        <v>0</v>
      </c>
      <c r="G75" s="505">
        <f>Qty!G75</f>
        <v>0</v>
      </c>
      <c r="H75" s="58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7"/>
      <c r="AD75" s="19"/>
      <c r="AE75" s="19"/>
      <c r="AF75" s="19"/>
      <c r="AG75" s="19"/>
    </row>
    <row r="76" spans="1:33" hidden="1" outlineLevel="3" x14ac:dyDescent="0.2">
      <c r="A76" s="19"/>
      <c r="B76" s="19"/>
      <c r="C76" s="506">
        <f>Qty!C76</f>
        <v>0</v>
      </c>
      <c r="D76" s="505">
        <f>Qty!D76</f>
        <v>0</v>
      </c>
      <c r="E76" s="505">
        <f>Qty!E76</f>
        <v>0</v>
      </c>
      <c r="F76" s="505">
        <f>Qty!F76</f>
        <v>0</v>
      </c>
      <c r="G76" s="505">
        <f>Qty!G76</f>
        <v>0</v>
      </c>
      <c r="H76" s="58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7"/>
      <c r="AD76" s="19"/>
      <c r="AE76" s="19"/>
      <c r="AF76" s="19"/>
      <c r="AG76" s="19"/>
    </row>
    <row r="77" spans="1:33" hidden="1" outlineLevel="3" x14ac:dyDescent="0.2">
      <c r="A77" s="19"/>
      <c r="B77" s="19"/>
      <c r="C77" s="506">
        <f>Qty!C77</f>
        <v>0</v>
      </c>
      <c r="D77" s="505">
        <f>Qty!D77</f>
        <v>0</v>
      </c>
      <c r="E77" s="505">
        <f>Qty!E77</f>
        <v>0</v>
      </c>
      <c r="F77" s="505">
        <f>Qty!F77</f>
        <v>0</v>
      </c>
      <c r="G77" s="505">
        <f>Qty!G77</f>
        <v>0</v>
      </c>
      <c r="H77" s="58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7"/>
      <c r="AD77" s="19"/>
      <c r="AE77" s="19"/>
      <c r="AF77" s="19"/>
      <c r="AG77" s="19"/>
    </row>
    <row r="78" spans="1:33" hidden="1" outlineLevel="3" x14ac:dyDescent="0.2">
      <c r="A78" s="19"/>
      <c r="B78" s="19"/>
      <c r="C78" s="506">
        <f>Qty!C78</f>
        <v>0</v>
      </c>
      <c r="D78" s="505">
        <f>Qty!D78</f>
        <v>0</v>
      </c>
      <c r="E78" s="505">
        <f>Qty!E78</f>
        <v>0</v>
      </c>
      <c r="F78" s="505">
        <f>Qty!F78</f>
        <v>0</v>
      </c>
      <c r="G78" s="505">
        <f>Qty!G78</f>
        <v>0</v>
      </c>
      <c r="H78" s="58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7"/>
      <c r="AD78" s="19"/>
      <c r="AE78" s="19"/>
      <c r="AF78" s="19"/>
      <c r="AG78" s="19"/>
    </row>
    <row r="79" spans="1:33" hidden="1" outlineLevel="3" x14ac:dyDescent="0.2">
      <c r="A79" s="19"/>
      <c r="B79" s="19"/>
      <c r="C79" s="506">
        <f>Qty!C79</f>
        <v>0</v>
      </c>
      <c r="D79" s="505">
        <f>Qty!D79</f>
        <v>0</v>
      </c>
      <c r="E79" s="505">
        <f>Qty!E79</f>
        <v>0</v>
      </c>
      <c r="F79" s="505">
        <f>Qty!F79</f>
        <v>0</v>
      </c>
      <c r="G79" s="505">
        <f>Qty!G79</f>
        <v>0</v>
      </c>
      <c r="H79" s="58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7"/>
      <c r="AD79" s="19"/>
      <c r="AE79" s="19"/>
      <c r="AF79" s="19"/>
      <c r="AG79" s="19"/>
    </row>
    <row r="80" spans="1:33" hidden="1" outlineLevel="3" x14ac:dyDescent="0.2">
      <c r="A80" s="19"/>
      <c r="B80" s="19"/>
      <c r="C80" s="506">
        <f>Qty!C80</f>
        <v>0</v>
      </c>
      <c r="D80" s="505">
        <f>Qty!D80</f>
        <v>0</v>
      </c>
      <c r="E80" s="505">
        <f>Qty!E80</f>
        <v>0</v>
      </c>
      <c r="F80" s="505">
        <f>Qty!F80</f>
        <v>0</v>
      </c>
      <c r="G80" s="505">
        <f>Qty!G80</f>
        <v>0</v>
      </c>
      <c r="H80" s="58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7"/>
      <c r="AD80" s="19"/>
      <c r="AE80" s="19"/>
      <c r="AF80" s="19"/>
      <c r="AG80" s="19"/>
    </row>
    <row r="81" spans="1:33" hidden="1" outlineLevel="3" x14ac:dyDescent="0.2">
      <c r="A81" s="19"/>
      <c r="B81" s="19"/>
      <c r="C81" s="506">
        <f>Qty!C81</f>
        <v>0</v>
      </c>
      <c r="D81" s="505">
        <f>Qty!D81</f>
        <v>0</v>
      </c>
      <c r="E81" s="505">
        <f>Qty!E81</f>
        <v>0</v>
      </c>
      <c r="F81" s="505">
        <f>Qty!F81</f>
        <v>0</v>
      </c>
      <c r="G81" s="505">
        <f>Qty!G81</f>
        <v>0</v>
      </c>
      <c r="H81" s="58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7"/>
      <c r="AD81" s="19"/>
      <c r="AE81" s="19"/>
      <c r="AF81" s="19"/>
      <c r="AG81" s="19"/>
    </row>
    <row r="82" spans="1:33" hidden="1" outlineLevel="3" x14ac:dyDescent="0.2">
      <c r="A82" s="19"/>
      <c r="B82" s="19"/>
      <c r="C82" s="506">
        <f>Qty!C82</f>
        <v>0</v>
      </c>
      <c r="D82" s="505">
        <f>Qty!D82</f>
        <v>0</v>
      </c>
      <c r="E82" s="505">
        <f>Qty!E82</f>
        <v>0</v>
      </c>
      <c r="F82" s="505">
        <f>Qty!F82</f>
        <v>0</v>
      </c>
      <c r="G82" s="505">
        <f>Qty!G82</f>
        <v>0</v>
      </c>
      <c r="H82" s="58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7"/>
      <c r="AD82" s="19"/>
      <c r="AE82" s="19"/>
      <c r="AF82" s="19"/>
      <c r="AG82" s="19"/>
    </row>
    <row r="83" spans="1:33" outlineLevel="2" collapsed="1" x14ac:dyDescent="0.2">
      <c r="A83" s="19"/>
      <c r="B83" s="19"/>
      <c r="C83" s="60"/>
      <c r="D83" s="61"/>
      <c r="E83" s="58"/>
      <c r="F83" s="58"/>
      <c r="G83" s="58"/>
      <c r="H83" s="58"/>
      <c r="I83" s="186"/>
      <c r="J83" s="186"/>
      <c r="K83" s="187"/>
      <c r="L83" s="187"/>
      <c r="M83" s="187"/>
      <c r="N83" s="188"/>
      <c r="O83" s="188"/>
      <c r="P83" s="188"/>
      <c r="Q83" s="188"/>
      <c r="R83" s="18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9"/>
      <c r="AE83" s="19"/>
      <c r="AF83" s="19"/>
      <c r="AG83" s="19"/>
    </row>
    <row r="84" spans="1:33" outlineLevel="1" x14ac:dyDescent="0.2">
      <c r="A84" s="19"/>
      <c r="B84" s="19"/>
      <c r="C84" s="66"/>
      <c r="D84" s="58"/>
      <c r="E84" s="58"/>
      <c r="F84" s="58"/>
      <c r="G84" s="58"/>
      <c r="H84" s="58"/>
      <c r="I84" s="186"/>
      <c r="J84" s="186"/>
      <c r="K84" s="187"/>
      <c r="L84" s="187"/>
      <c r="M84" s="187"/>
      <c r="N84" s="188"/>
      <c r="O84" s="188"/>
      <c r="P84" s="188"/>
      <c r="Q84" s="188"/>
      <c r="R84" s="188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9"/>
      <c r="AE84" s="19"/>
      <c r="AF84" s="19"/>
      <c r="AG84" s="19"/>
    </row>
    <row r="85" spans="1:33" outlineLevel="1" x14ac:dyDescent="0.2">
      <c r="A85" s="19"/>
      <c r="B85" s="19"/>
      <c r="C85" s="167" t="s">
        <v>219</v>
      </c>
      <c r="D85" s="20"/>
      <c r="E85" s="20"/>
      <c r="F85" s="20"/>
      <c r="G85" s="22"/>
      <c r="H85" s="22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9"/>
      <c r="AE85" s="19"/>
      <c r="AF85" s="19"/>
      <c r="AG85" s="19"/>
    </row>
    <row r="86" spans="1:33" outlineLevel="2" x14ac:dyDescent="0.2">
      <c r="A86" s="19"/>
      <c r="B86" s="19"/>
      <c r="C86" s="506" t="str">
        <f t="shared" ref="C86:G95" si="0">C8</f>
        <v>Residential time of use consumption</v>
      </c>
      <c r="D86" s="505" t="str">
        <f t="shared" si="0"/>
        <v>Residential</v>
      </c>
      <c r="E86" s="505" t="str">
        <f t="shared" si="0"/>
        <v>TAS93</v>
      </c>
      <c r="F86" s="505">
        <f t="shared" si="0"/>
        <v>0</v>
      </c>
      <c r="G86" s="505">
        <f t="shared" si="0"/>
        <v>0</v>
      </c>
      <c r="H86" s="22"/>
      <c r="I86" s="189">
        <v>0</v>
      </c>
      <c r="J86" s="189">
        <v>0</v>
      </c>
      <c r="K86" s="189">
        <v>3.7160000000000002</v>
      </c>
      <c r="L86" s="189">
        <v>0</v>
      </c>
      <c r="M86" s="189">
        <v>0.74299999999999999</v>
      </c>
      <c r="N86" s="189">
        <v>0</v>
      </c>
      <c r="O86" s="189">
        <v>0</v>
      </c>
      <c r="P86" s="189">
        <v>0</v>
      </c>
      <c r="Q86" s="189">
        <v>0</v>
      </c>
      <c r="R86" s="189">
        <v>0</v>
      </c>
      <c r="S86" s="189">
        <v>0</v>
      </c>
      <c r="T86" s="189">
        <v>0</v>
      </c>
      <c r="U86" s="189">
        <v>0</v>
      </c>
      <c r="V86" s="189"/>
      <c r="W86" s="189"/>
      <c r="X86" s="189"/>
      <c r="Y86" s="189"/>
      <c r="Z86" s="189"/>
      <c r="AA86" s="189"/>
      <c r="AB86" s="189"/>
      <c r="AC86" s="187"/>
      <c r="AD86" s="19"/>
      <c r="AE86" s="19"/>
      <c r="AF86" s="19"/>
      <c r="AG86" s="19"/>
    </row>
    <row r="87" spans="1:33" s="59" customFormat="1" outlineLevel="2" x14ac:dyDescent="0.2">
      <c r="A87" s="57"/>
      <c r="B87" s="57"/>
      <c r="C87" s="506" t="str">
        <f t="shared" si="0"/>
        <v>Residential general light and power</v>
      </c>
      <c r="D87" s="505" t="str">
        <f t="shared" si="0"/>
        <v>Residential</v>
      </c>
      <c r="E87" s="505" t="str">
        <f t="shared" si="0"/>
        <v>TAS31</v>
      </c>
      <c r="F87" s="505">
        <f t="shared" si="0"/>
        <v>0</v>
      </c>
      <c r="G87" s="505">
        <f t="shared" si="0"/>
        <v>0</v>
      </c>
      <c r="H87" s="58"/>
      <c r="I87" s="189">
        <v>0</v>
      </c>
      <c r="J87" s="189">
        <v>1.964</v>
      </c>
      <c r="K87" s="189">
        <v>0</v>
      </c>
      <c r="L87" s="189">
        <v>0</v>
      </c>
      <c r="M87" s="189">
        <v>0</v>
      </c>
      <c r="N87" s="189">
        <v>0</v>
      </c>
      <c r="O87" s="189">
        <v>0</v>
      </c>
      <c r="P87" s="189">
        <v>0</v>
      </c>
      <c r="Q87" s="189">
        <v>0</v>
      </c>
      <c r="R87" s="189">
        <v>0</v>
      </c>
      <c r="S87" s="185">
        <v>0</v>
      </c>
      <c r="T87" s="185">
        <v>0</v>
      </c>
      <c r="U87" s="185">
        <v>0</v>
      </c>
      <c r="V87" s="185"/>
      <c r="W87" s="185"/>
      <c r="X87" s="185"/>
      <c r="Y87" s="185"/>
      <c r="Z87" s="185"/>
      <c r="AA87" s="185"/>
      <c r="AB87" s="185"/>
      <c r="AC87" s="186"/>
      <c r="AD87" s="57"/>
      <c r="AE87" s="57"/>
      <c r="AF87" s="57"/>
      <c r="AG87" s="57"/>
    </row>
    <row r="88" spans="1:33" outlineLevel="2" x14ac:dyDescent="0.2">
      <c r="A88" s="19"/>
      <c r="B88" s="19"/>
      <c r="C88" s="506" t="str">
        <f t="shared" si="0"/>
        <v>Residential time of use demand</v>
      </c>
      <c r="D88" s="505" t="str">
        <f t="shared" si="0"/>
        <v>Residential</v>
      </c>
      <c r="E88" s="505" t="str">
        <f t="shared" si="0"/>
        <v>TAS87</v>
      </c>
      <c r="F88" s="505">
        <f t="shared" si="0"/>
        <v>0</v>
      </c>
      <c r="G88" s="505">
        <f t="shared" si="0"/>
        <v>0</v>
      </c>
      <c r="H88" s="58"/>
      <c r="I88" s="189">
        <v>0</v>
      </c>
      <c r="J88" s="189">
        <v>0</v>
      </c>
      <c r="K88" s="189">
        <v>0</v>
      </c>
      <c r="L88" s="189">
        <v>0</v>
      </c>
      <c r="M88" s="189">
        <v>0</v>
      </c>
      <c r="N88" s="189">
        <v>0</v>
      </c>
      <c r="O88" s="189">
        <v>5.157</v>
      </c>
      <c r="P88" s="189">
        <v>1.3740000000000001</v>
      </c>
      <c r="Q88" s="189">
        <v>0</v>
      </c>
      <c r="R88" s="189">
        <v>0</v>
      </c>
      <c r="S88" s="185">
        <v>0</v>
      </c>
      <c r="T88" s="185">
        <v>0</v>
      </c>
      <c r="U88" s="185">
        <v>0</v>
      </c>
      <c r="V88" s="185"/>
      <c r="W88" s="185"/>
      <c r="X88" s="185"/>
      <c r="Y88" s="185"/>
      <c r="Z88" s="185"/>
      <c r="AA88" s="185"/>
      <c r="AB88" s="185"/>
      <c r="AC88" s="187"/>
      <c r="AD88" s="19"/>
      <c r="AE88" s="19"/>
      <c r="AF88" s="19"/>
      <c r="AG88" s="19"/>
    </row>
    <row r="89" spans="1:33" outlineLevel="2" x14ac:dyDescent="0.2">
      <c r="A89" s="19"/>
      <c r="B89" s="19"/>
      <c r="C89" s="506" t="str">
        <f t="shared" si="0"/>
        <v>Residential time of use demand DER</v>
      </c>
      <c r="D89" s="505" t="str">
        <f t="shared" si="0"/>
        <v>Residential</v>
      </c>
      <c r="E89" s="505" t="str">
        <f t="shared" si="0"/>
        <v>TAS97</v>
      </c>
      <c r="F89" s="505">
        <f t="shared" si="0"/>
        <v>0</v>
      </c>
      <c r="G89" s="505">
        <f t="shared" si="0"/>
        <v>0</v>
      </c>
      <c r="H89" s="58"/>
      <c r="I89" s="189">
        <v>0</v>
      </c>
      <c r="J89" s="189">
        <v>0</v>
      </c>
      <c r="K89" s="189">
        <v>0</v>
      </c>
      <c r="L89" s="189">
        <v>0</v>
      </c>
      <c r="M89" s="189">
        <v>0</v>
      </c>
      <c r="N89" s="189">
        <v>0</v>
      </c>
      <c r="O89" s="189">
        <v>5.157</v>
      </c>
      <c r="P89" s="189">
        <v>1.3740000000000001</v>
      </c>
      <c r="Q89" s="189">
        <v>0</v>
      </c>
      <c r="R89" s="189">
        <v>0</v>
      </c>
      <c r="S89" s="185">
        <v>0</v>
      </c>
      <c r="T89" s="185">
        <v>0</v>
      </c>
      <c r="U89" s="185">
        <v>0</v>
      </c>
      <c r="V89" s="185"/>
      <c r="W89" s="185"/>
      <c r="X89" s="185"/>
      <c r="Y89" s="185"/>
      <c r="Z89" s="185"/>
      <c r="AA89" s="185"/>
      <c r="AB89" s="185"/>
      <c r="AC89" s="187"/>
      <c r="AD89" s="19"/>
      <c r="AE89" s="19"/>
      <c r="AF89" s="19"/>
      <c r="AG89" s="19"/>
    </row>
    <row r="90" spans="1:33" outlineLevel="2" x14ac:dyDescent="0.2">
      <c r="A90" s="19"/>
      <c r="B90" s="19"/>
      <c r="C90" s="506" t="str">
        <f t="shared" si="0"/>
        <v>Residential pay as you go</v>
      </c>
      <c r="D90" s="505" t="str">
        <f t="shared" si="0"/>
        <v>Residential</v>
      </c>
      <c r="E90" s="505" t="str">
        <f t="shared" si="0"/>
        <v>TAS101</v>
      </c>
      <c r="F90" s="505">
        <f t="shared" si="0"/>
        <v>0</v>
      </c>
      <c r="G90" s="505">
        <f t="shared" si="0"/>
        <v>0</v>
      </c>
      <c r="H90" s="58"/>
      <c r="I90" s="189">
        <v>0</v>
      </c>
      <c r="J90" s="189">
        <v>1.403</v>
      </c>
      <c r="K90" s="189">
        <v>0</v>
      </c>
      <c r="L90" s="189">
        <v>0</v>
      </c>
      <c r="M90" s="189">
        <v>0</v>
      </c>
      <c r="N90" s="189">
        <v>0</v>
      </c>
      <c r="O90" s="189">
        <v>0</v>
      </c>
      <c r="P90" s="189">
        <v>0</v>
      </c>
      <c r="Q90" s="189">
        <v>0</v>
      </c>
      <c r="R90" s="189">
        <v>0</v>
      </c>
      <c r="S90" s="185">
        <v>0</v>
      </c>
      <c r="T90" s="185">
        <v>0</v>
      </c>
      <c r="U90" s="185">
        <v>0</v>
      </c>
      <c r="V90" s="185"/>
      <c r="W90" s="185"/>
      <c r="X90" s="185"/>
      <c r="Y90" s="185"/>
      <c r="Z90" s="185"/>
      <c r="AA90" s="185"/>
      <c r="AB90" s="185"/>
      <c r="AC90" s="187"/>
      <c r="AD90" s="19"/>
      <c r="AE90" s="19"/>
      <c r="AF90" s="19"/>
      <c r="AG90" s="19"/>
    </row>
    <row r="91" spans="1:33" outlineLevel="2" x14ac:dyDescent="0.2">
      <c r="A91" s="19"/>
      <c r="B91" s="19"/>
      <c r="C91" s="506" t="str">
        <f t="shared" si="0"/>
        <v>Residential pay as you go time of use</v>
      </c>
      <c r="D91" s="505" t="str">
        <f t="shared" si="0"/>
        <v>Residential</v>
      </c>
      <c r="E91" s="505" t="str">
        <f t="shared" si="0"/>
        <v>TAS92</v>
      </c>
      <c r="F91" s="505">
        <f t="shared" si="0"/>
        <v>0</v>
      </c>
      <c r="G91" s="505">
        <f t="shared" si="0"/>
        <v>0</v>
      </c>
      <c r="H91" s="58"/>
      <c r="I91" s="189">
        <v>0</v>
      </c>
      <c r="J91" s="189">
        <v>0</v>
      </c>
      <c r="K91" s="189">
        <v>3.7160000000000002</v>
      </c>
      <c r="L91" s="189">
        <v>0</v>
      </c>
      <c r="M91" s="189">
        <v>0.74299999999999999</v>
      </c>
      <c r="N91" s="189">
        <v>0</v>
      </c>
      <c r="O91" s="189">
        <v>0</v>
      </c>
      <c r="P91" s="189">
        <v>0</v>
      </c>
      <c r="Q91" s="189">
        <v>0</v>
      </c>
      <c r="R91" s="189">
        <v>0</v>
      </c>
      <c r="S91" s="185">
        <v>0</v>
      </c>
      <c r="T91" s="185">
        <v>0</v>
      </c>
      <c r="U91" s="185">
        <v>0</v>
      </c>
      <c r="V91" s="185"/>
      <c r="W91" s="185"/>
      <c r="X91" s="185"/>
      <c r="Y91" s="185"/>
      <c r="Z91" s="185"/>
      <c r="AA91" s="185"/>
      <c r="AB91" s="185"/>
      <c r="AC91" s="187"/>
      <c r="AD91" s="19"/>
      <c r="AE91" s="19"/>
      <c r="AF91" s="19"/>
      <c r="AG91" s="19"/>
    </row>
    <row r="92" spans="1:33" outlineLevel="2" x14ac:dyDescent="0.2">
      <c r="A92" s="19"/>
      <c r="B92" s="19"/>
      <c r="C92" s="506" t="str">
        <f t="shared" si="0"/>
        <v>Small business time of use consumption</v>
      </c>
      <c r="D92" s="505" t="str">
        <f t="shared" si="0"/>
        <v>Small Business LV</v>
      </c>
      <c r="E92" s="505" t="str">
        <f t="shared" si="0"/>
        <v>TAS94</v>
      </c>
      <c r="F92" s="505">
        <f t="shared" si="0"/>
        <v>0</v>
      </c>
      <c r="G92" s="505">
        <f t="shared" si="0"/>
        <v>0</v>
      </c>
      <c r="H92" s="58"/>
      <c r="I92" s="189">
        <v>0</v>
      </c>
      <c r="J92" s="189">
        <v>0</v>
      </c>
      <c r="K92" s="189">
        <v>2.339</v>
      </c>
      <c r="L92" s="189">
        <v>1.403</v>
      </c>
      <c r="M92" s="189">
        <v>0.35099999999999998</v>
      </c>
      <c r="N92" s="189">
        <v>0</v>
      </c>
      <c r="O92" s="189">
        <v>0</v>
      </c>
      <c r="P92" s="189">
        <v>0</v>
      </c>
      <c r="Q92" s="189">
        <v>0</v>
      </c>
      <c r="R92" s="189">
        <v>0</v>
      </c>
      <c r="S92" s="185">
        <v>0</v>
      </c>
      <c r="T92" s="185">
        <v>0</v>
      </c>
      <c r="U92" s="185">
        <v>0</v>
      </c>
      <c r="V92" s="185"/>
      <c r="W92" s="185"/>
      <c r="X92" s="185"/>
      <c r="Y92" s="185"/>
      <c r="Z92" s="185"/>
      <c r="AA92" s="185"/>
      <c r="AB92" s="185"/>
      <c r="AC92" s="187"/>
      <c r="AD92" s="19"/>
      <c r="AE92" s="19"/>
      <c r="AF92" s="19"/>
      <c r="AG92" s="19"/>
    </row>
    <row r="93" spans="1:33" outlineLevel="2" x14ac:dyDescent="0.2">
      <c r="A93" s="19"/>
      <c r="B93" s="19"/>
      <c r="C93" s="506" t="str">
        <f t="shared" si="0"/>
        <v>Small business general light and power</v>
      </c>
      <c r="D93" s="505" t="str">
        <f t="shared" si="0"/>
        <v>Small Business LV</v>
      </c>
      <c r="E93" s="505" t="str">
        <f t="shared" si="0"/>
        <v>TAS22</v>
      </c>
      <c r="F93" s="505">
        <f t="shared" si="0"/>
        <v>0</v>
      </c>
      <c r="G93" s="505">
        <f t="shared" si="0"/>
        <v>0</v>
      </c>
      <c r="H93" s="58"/>
      <c r="I93" s="189">
        <v>0</v>
      </c>
      <c r="J93" s="189">
        <v>1.964</v>
      </c>
      <c r="K93" s="189">
        <v>0</v>
      </c>
      <c r="L93" s="189">
        <v>0</v>
      </c>
      <c r="M93" s="189">
        <v>0</v>
      </c>
      <c r="N93" s="189">
        <v>0</v>
      </c>
      <c r="O93" s="189">
        <v>0</v>
      </c>
      <c r="P93" s="189">
        <v>0</v>
      </c>
      <c r="Q93" s="189">
        <v>0</v>
      </c>
      <c r="R93" s="189">
        <v>0</v>
      </c>
      <c r="S93" s="185">
        <v>0</v>
      </c>
      <c r="T93" s="185">
        <v>0</v>
      </c>
      <c r="U93" s="185">
        <v>0</v>
      </c>
      <c r="V93" s="185"/>
      <c r="W93" s="185"/>
      <c r="X93" s="185"/>
      <c r="Y93" s="185"/>
      <c r="Z93" s="185"/>
      <c r="AA93" s="185"/>
      <c r="AB93" s="185"/>
      <c r="AC93" s="187"/>
      <c r="AD93" s="19"/>
      <c r="AE93" s="19"/>
      <c r="AF93" s="19"/>
      <c r="AG93" s="19"/>
    </row>
    <row r="94" spans="1:33" outlineLevel="2" x14ac:dyDescent="0.2">
      <c r="A94" s="19"/>
      <c r="B94" s="19"/>
      <c r="C94" s="506" t="str">
        <f t="shared" si="0"/>
        <v>Small business time of use demand</v>
      </c>
      <c r="D94" s="505" t="str">
        <f t="shared" si="0"/>
        <v>Small Business LV</v>
      </c>
      <c r="E94" s="505" t="str">
        <f t="shared" si="0"/>
        <v>TAS88</v>
      </c>
      <c r="F94" s="505">
        <f t="shared" si="0"/>
        <v>0</v>
      </c>
      <c r="G94" s="505">
        <f t="shared" si="0"/>
        <v>0</v>
      </c>
      <c r="H94" s="58"/>
      <c r="I94" s="189">
        <v>0</v>
      </c>
      <c r="J94" s="189">
        <v>0</v>
      </c>
      <c r="K94" s="189">
        <v>0</v>
      </c>
      <c r="L94" s="189">
        <v>0</v>
      </c>
      <c r="M94" s="189">
        <v>0</v>
      </c>
      <c r="N94" s="189">
        <v>0</v>
      </c>
      <c r="O94" s="189">
        <v>11.59</v>
      </c>
      <c r="P94" s="189">
        <v>3.0880000000000001</v>
      </c>
      <c r="Q94" s="189">
        <v>0</v>
      </c>
      <c r="R94" s="189">
        <v>0</v>
      </c>
      <c r="S94" s="185">
        <v>0</v>
      </c>
      <c r="T94" s="185">
        <v>0</v>
      </c>
      <c r="U94" s="185">
        <v>0</v>
      </c>
      <c r="V94" s="185"/>
      <c r="W94" s="185"/>
      <c r="X94" s="185"/>
      <c r="Y94" s="185"/>
      <c r="Z94" s="185"/>
      <c r="AA94" s="185"/>
      <c r="AB94" s="185"/>
      <c r="AC94" s="187"/>
      <c r="AD94" s="19"/>
      <c r="AE94" s="19"/>
      <c r="AF94" s="19"/>
      <c r="AG94" s="19"/>
    </row>
    <row r="95" spans="1:33" outlineLevel="2" x14ac:dyDescent="0.2">
      <c r="A95" s="19"/>
      <c r="B95" s="19"/>
      <c r="C95" s="506" t="str">
        <f t="shared" si="0"/>
        <v>Small business time of use demand DER</v>
      </c>
      <c r="D95" s="505" t="str">
        <f t="shared" si="0"/>
        <v>Small Business LV</v>
      </c>
      <c r="E95" s="505" t="str">
        <f t="shared" si="0"/>
        <v>TAS98</v>
      </c>
      <c r="F95" s="505">
        <f t="shared" si="0"/>
        <v>0</v>
      </c>
      <c r="G95" s="505">
        <f t="shared" si="0"/>
        <v>0</v>
      </c>
      <c r="H95" s="58"/>
      <c r="I95" s="189">
        <v>0</v>
      </c>
      <c r="J95" s="189">
        <v>0</v>
      </c>
      <c r="K95" s="189">
        <v>0</v>
      </c>
      <c r="L95" s="189">
        <v>0</v>
      </c>
      <c r="M95" s="189">
        <v>0</v>
      </c>
      <c r="N95" s="189">
        <v>0</v>
      </c>
      <c r="O95" s="189">
        <v>11.59</v>
      </c>
      <c r="P95" s="189">
        <v>3.0880000000000001</v>
      </c>
      <c r="Q95" s="189">
        <v>0</v>
      </c>
      <c r="R95" s="189">
        <v>0</v>
      </c>
      <c r="S95" s="185">
        <v>0</v>
      </c>
      <c r="T95" s="185">
        <v>0</v>
      </c>
      <c r="U95" s="185">
        <v>0</v>
      </c>
      <c r="V95" s="185"/>
      <c r="W95" s="185"/>
      <c r="X95" s="185"/>
      <c r="Y95" s="185"/>
      <c r="Z95" s="185"/>
      <c r="AA95" s="185"/>
      <c r="AB95" s="185"/>
      <c r="AC95" s="187"/>
      <c r="AD95" s="19"/>
      <c r="AE95" s="19"/>
      <c r="AF95" s="19"/>
      <c r="AG95" s="19"/>
    </row>
    <row r="96" spans="1:33" outlineLevel="2" x14ac:dyDescent="0.2">
      <c r="A96" s="19"/>
      <c r="B96" s="19"/>
      <c r="C96" s="506" t="str">
        <f t="shared" ref="C96:G105" si="1">C18</f>
        <v>Large business kVA demand</v>
      </c>
      <c r="D96" s="505" t="str">
        <f t="shared" si="1"/>
        <v>Large Business LV</v>
      </c>
      <c r="E96" s="505" t="str">
        <f t="shared" si="1"/>
        <v>TAS82</v>
      </c>
      <c r="F96" s="505">
        <f t="shared" si="1"/>
        <v>0</v>
      </c>
      <c r="G96" s="505">
        <f t="shared" si="1"/>
        <v>0</v>
      </c>
      <c r="H96" s="58"/>
      <c r="I96" s="189">
        <v>0</v>
      </c>
      <c r="J96" s="189">
        <v>0.57599999999999996</v>
      </c>
      <c r="K96" s="189">
        <v>0</v>
      </c>
      <c r="L96" s="189">
        <v>0</v>
      </c>
      <c r="M96" s="189">
        <v>0</v>
      </c>
      <c r="N96" s="189">
        <v>12.414</v>
      </c>
      <c r="O96" s="189">
        <v>0</v>
      </c>
      <c r="P96" s="189">
        <v>0</v>
      </c>
      <c r="Q96" s="189">
        <v>0</v>
      </c>
      <c r="R96" s="189">
        <v>0</v>
      </c>
      <c r="S96" s="185">
        <v>0</v>
      </c>
      <c r="T96" s="185">
        <v>0</v>
      </c>
      <c r="U96" s="185">
        <v>0</v>
      </c>
      <c r="V96" s="185"/>
      <c r="W96" s="185"/>
      <c r="X96" s="185"/>
      <c r="Y96" s="185"/>
      <c r="Z96" s="185"/>
      <c r="AA96" s="185"/>
      <c r="AB96" s="185"/>
      <c r="AC96" s="187"/>
      <c r="AD96" s="19"/>
      <c r="AE96" s="19"/>
      <c r="AF96" s="19"/>
      <c r="AG96" s="19"/>
    </row>
    <row r="97" spans="1:33" outlineLevel="2" x14ac:dyDescent="0.2">
      <c r="A97" s="19"/>
      <c r="B97" s="19"/>
      <c r="C97" s="506" t="str">
        <f t="shared" si="1"/>
        <v>Large business time of use demand</v>
      </c>
      <c r="D97" s="505" t="str">
        <f t="shared" si="1"/>
        <v>Large Business LV</v>
      </c>
      <c r="E97" s="505" t="str">
        <f t="shared" si="1"/>
        <v>TAS89</v>
      </c>
      <c r="F97" s="505">
        <f t="shared" si="1"/>
        <v>0</v>
      </c>
      <c r="G97" s="505">
        <f t="shared" si="1"/>
        <v>0</v>
      </c>
      <c r="H97" s="58"/>
      <c r="I97" s="189">
        <v>0</v>
      </c>
      <c r="J97" s="189">
        <v>0</v>
      </c>
      <c r="K97" s="189">
        <v>0</v>
      </c>
      <c r="L97" s="189">
        <v>0</v>
      </c>
      <c r="M97" s="189">
        <v>0</v>
      </c>
      <c r="N97" s="189">
        <v>0</v>
      </c>
      <c r="O97" s="189">
        <v>17.609000000000002</v>
      </c>
      <c r="P97" s="189">
        <v>5.8639999999999999</v>
      </c>
      <c r="Q97" s="189">
        <v>0</v>
      </c>
      <c r="R97" s="189">
        <v>0</v>
      </c>
      <c r="S97" s="185">
        <v>0</v>
      </c>
      <c r="T97" s="185">
        <v>0</v>
      </c>
      <c r="U97" s="185">
        <v>0</v>
      </c>
      <c r="V97" s="185"/>
      <c r="W97" s="185"/>
      <c r="X97" s="185"/>
      <c r="Y97" s="185"/>
      <c r="Z97" s="185"/>
      <c r="AA97" s="185"/>
      <c r="AB97" s="185"/>
      <c r="AC97" s="187"/>
      <c r="AD97" s="19"/>
      <c r="AE97" s="19"/>
      <c r="AF97" s="19"/>
      <c r="AG97" s="19"/>
    </row>
    <row r="98" spans="1:33" outlineLevel="2" x14ac:dyDescent="0.2">
      <c r="A98" s="19"/>
      <c r="B98" s="19"/>
      <c r="C98" s="506" t="str">
        <f t="shared" si="1"/>
        <v>Irrigation time of use consumption</v>
      </c>
      <c r="D98" s="505" t="str">
        <f t="shared" si="1"/>
        <v>Irrigation</v>
      </c>
      <c r="E98" s="505" t="str">
        <f t="shared" si="1"/>
        <v>TAS75</v>
      </c>
      <c r="F98" s="505">
        <f t="shared" si="1"/>
        <v>0</v>
      </c>
      <c r="G98" s="505">
        <f t="shared" si="1"/>
        <v>0</v>
      </c>
      <c r="H98" s="58"/>
      <c r="I98" s="189">
        <v>0</v>
      </c>
      <c r="J98" s="189">
        <v>0</v>
      </c>
      <c r="K98" s="189">
        <v>2.754</v>
      </c>
      <c r="L98" s="189">
        <v>1.6519999999999999</v>
      </c>
      <c r="M98" s="189">
        <v>0.41299999999999998</v>
      </c>
      <c r="N98" s="189">
        <v>0</v>
      </c>
      <c r="O98" s="189">
        <v>0</v>
      </c>
      <c r="P98" s="189">
        <v>0</v>
      </c>
      <c r="Q98" s="189">
        <v>0</v>
      </c>
      <c r="R98" s="189">
        <v>0</v>
      </c>
      <c r="S98" s="185">
        <v>0</v>
      </c>
      <c r="T98" s="185">
        <v>0</v>
      </c>
      <c r="U98" s="185">
        <v>0</v>
      </c>
      <c r="V98" s="185"/>
      <c r="W98" s="185"/>
      <c r="X98" s="185"/>
      <c r="Y98" s="185"/>
      <c r="Z98" s="185"/>
      <c r="AA98" s="185"/>
      <c r="AB98" s="185"/>
      <c r="AC98" s="187"/>
      <c r="AD98" s="19"/>
      <c r="AE98" s="19"/>
      <c r="AF98" s="19"/>
      <c r="AG98" s="19"/>
    </row>
    <row r="99" spans="1:33" outlineLevel="2" x14ac:dyDescent="0.2">
      <c r="A99" s="19"/>
      <c r="B99" s="19"/>
      <c r="C99" s="506" t="str">
        <f t="shared" si="1"/>
        <v>Business HV kVA specified demand &lt;2MVA</v>
      </c>
      <c r="D99" s="505" t="str">
        <f t="shared" si="1"/>
        <v>Large Business HV</v>
      </c>
      <c r="E99" s="505" t="str">
        <f t="shared" si="1"/>
        <v>TASSDM</v>
      </c>
      <c r="F99" s="505">
        <f t="shared" si="1"/>
        <v>0</v>
      </c>
      <c r="G99" s="505">
        <f t="shared" si="1"/>
        <v>0</v>
      </c>
      <c r="H99" s="58"/>
      <c r="I99" s="189">
        <v>0</v>
      </c>
      <c r="J99" s="189">
        <v>0</v>
      </c>
      <c r="K99" s="189">
        <v>0.87</v>
      </c>
      <c r="L99" s="189">
        <v>0.52200000000000002</v>
      </c>
      <c r="M99" s="189">
        <v>0.13100000000000001</v>
      </c>
      <c r="N99" s="189">
        <v>0</v>
      </c>
      <c r="O99" s="189">
        <v>0</v>
      </c>
      <c r="P99" s="189">
        <v>0</v>
      </c>
      <c r="Q99" s="189">
        <v>3.2959999999999998</v>
      </c>
      <c r="R99" s="189">
        <v>32.96</v>
      </c>
      <c r="S99" s="185">
        <v>0</v>
      </c>
      <c r="T99" s="185">
        <v>0</v>
      </c>
      <c r="U99" s="185">
        <v>0</v>
      </c>
      <c r="V99" s="185"/>
      <c r="W99" s="185"/>
      <c r="X99" s="185"/>
      <c r="Y99" s="185"/>
      <c r="Z99" s="185"/>
      <c r="AA99" s="185"/>
      <c r="AB99" s="185"/>
      <c r="AC99" s="187"/>
      <c r="AD99" s="19"/>
      <c r="AE99" s="19"/>
      <c r="AF99" s="19"/>
      <c r="AG99" s="19"/>
    </row>
    <row r="100" spans="1:33" outlineLevel="2" x14ac:dyDescent="0.2">
      <c r="A100" s="19"/>
      <c r="B100" s="19"/>
      <c r="C100" s="506" t="str">
        <f t="shared" si="1"/>
        <v>Business HV kVA specified demand &gt;2MVA</v>
      </c>
      <c r="D100" s="505" t="str">
        <f t="shared" si="1"/>
        <v>Large Business HV</v>
      </c>
      <c r="E100" s="505" t="str">
        <f t="shared" si="1"/>
        <v>TAS15*</v>
      </c>
      <c r="F100" s="505">
        <f t="shared" si="1"/>
        <v>0</v>
      </c>
      <c r="G100" s="505">
        <f t="shared" si="1"/>
        <v>0</v>
      </c>
      <c r="H100" s="58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7"/>
      <c r="AD100" s="19"/>
      <c r="AE100" s="19"/>
      <c r="AF100" s="19"/>
      <c r="AG100" s="19"/>
    </row>
    <row r="101" spans="1:33" outlineLevel="2" x14ac:dyDescent="0.2">
      <c r="A101" s="19"/>
      <c r="B101" s="19"/>
      <c r="C101" s="506" t="str">
        <f t="shared" si="1"/>
        <v>Uncontrolled low voltage heating and hot water</v>
      </c>
      <c r="D101" s="505" t="str">
        <f t="shared" si="1"/>
        <v>Uncontrolled energy</v>
      </c>
      <c r="E101" s="505" t="str">
        <f t="shared" si="1"/>
        <v>TAS41</v>
      </c>
      <c r="F101" s="505">
        <f t="shared" si="1"/>
        <v>0</v>
      </c>
      <c r="G101" s="505">
        <f t="shared" si="1"/>
        <v>0</v>
      </c>
      <c r="H101" s="58"/>
      <c r="I101" s="189">
        <v>0</v>
      </c>
      <c r="J101" s="189">
        <v>1.964</v>
      </c>
      <c r="K101" s="189">
        <v>0</v>
      </c>
      <c r="L101" s="189">
        <v>0</v>
      </c>
      <c r="M101" s="189">
        <v>0</v>
      </c>
      <c r="N101" s="189">
        <v>0</v>
      </c>
      <c r="O101" s="189">
        <v>0</v>
      </c>
      <c r="P101" s="189">
        <v>0</v>
      </c>
      <c r="Q101" s="189">
        <v>0</v>
      </c>
      <c r="R101" s="189">
        <v>0</v>
      </c>
      <c r="S101" s="185">
        <v>0</v>
      </c>
      <c r="T101" s="185">
        <v>0</v>
      </c>
      <c r="U101" s="185">
        <v>0</v>
      </c>
      <c r="V101" s="185"/>
      <c r="W101" s="185"/>
      <c r="X101" s="185"/>
      <c r="Y101" s="185"/>
      <c r="Z101" s="185"/>
      <c r="AA101" s="185"/>
      <c r="AB101" s="185"/>
      <c r="AC101" s="187"/>
      <c r="AD101" s="19"/>
      <c r="AE101" s="19"/>
      <c r="AF101" s="19"/>
      <c r="AG101" s="19"/>
    </row>
    <row r="102" spans="1:33" outlineLevel="2" x14ac:dyDescent="0.2">
      <c r="A102" s="19"/>
      <c r="B102" s="19"/>
      <c r="C102" s="506" t="str">
        <f t="shared" si="1"/>
        <v>Controlled low voltage night period only</v>
      </c>
      <c r="D102" s="505" t="str">
        <f t="shared" si="1"/>
        <v>Controlled energy</v>
      </c>
      <c r="E102" s="505" t="str">
        <f t="shared" si="1"/>
        <v>TAS63</v>
      </c>
      <c r="F102" s="505">
        <f t="shared" si="1"/>
        <v>0</v>
      </c>
      <c r="G102" s="505">
        <f t="shared" si="1"/>
        <v>0</v>
      </c>
      <c r="H102" s="58"/>
      <c r="I102" s="189">
        <v>0</v>
      </c>
      <c r="J102" s="189">
        <v>0.439</v>
      </c>
      <c r="K102" s="189">
        <v>0</v>
      </c>
      <c r="L102" s="189">
        <v>0</v>
      </c>
      <c r="M102" s="189">
        <v>0</v>
      </c>
      <c r="N102" s="189">
        <v>0</v>
      </c>
      <c r="O102" s="189">
        <v>0</v>
      </c>
      <c r="P102" s="189">
        <v>0</v>
      </c>
      <c r="Q102" s="189">
        <v>0</v>
      </c>
      <c r="R102" s="189">
        <v>0</v>
      </c>
      <c r="S102" s="185">
        <v>0</v>
      </c>
      <c r="T102" s="185">
        <v>0</v>
      </c>
      <c r="U102" s="185">
        <v>0</v>
      </c>
      <c r="V102" s="185"/>
      <c r="W102" s="185"/>
      <c r="X102" s="185"/>
      <c r="Y102" s="185"/>
      <c r="Z102" s="185"/>
      <c r="AA102" s="185"/>
      <c r="AB102" s="185"/>
      <c r="AC102" s="187"/>
      <c r="AD102" s="19"/>
      <c r="AE102" s="19"/>
      <c r="AF102" s="19"/>
      <c r="AG102" s="19"/>
    </row>
    <row r="103" spans="1:33" outlineLevel="2" x14ac:dyDescent="0.2">
      <c r="A103" s="19"/>
      <c r="B103" s="19"/>
      <c r="C103" s="506" t="str">
        <f t="shared" si="1"/>
        <v>Controlled low voltage off peak with afternoon boost</v>
      </c>
      <c r="D103" s="505" t="str">
        <f t="shared" si="1"/>
        <v>Controlled energy</v>
      </c>
      <c r="E103" s="505" t="str">
        <f t="shared" si="1"/>
        <v>TAS61</v>
      </c>
      <c r="F103" s="505">
        <f t="shared" si="1"/>
        <v>0</v>
      </c>
      <c r="G103" s="505">
        <f t="shared" si="1"/>
        <v>0</v>
      </c>
      <c r="H103" s="58"/>
      <c r="I103" s="189">
        <v>0</v>
      </c>
      <c r="J103" s="189">
        <v>0.55000000000000004</v>
      </c>
      <c r="K103" s="189">
        <v>0</v>
      </c>
      <c r="L103" s="189">
        <v>0</v>
      </c>
      <c r="M103" s="189">
        <v>0</v>
      </c>
      <c r="N103" s="189">
        <v>0</v>
      </c>
      <c r="O103" s="189">
        <v>0</v>
      </c>
      <c r="P103" s="189">
        <v>0</v>
      </c>
      <c r="Q103" s="189">
        <v>0</v>
      </c>
      <c r="R103" s="189">
        <v>0</v>
      </c>
      <c r="S103" s="185">
        <v>0</v>
      </c>
      <c r="T103" s="185">
        <v>0</v>
      </c>
      <c r="U103" s="185">
        <v>0</v>
      </c>
      <c r="V103" s="185"/>
      <c r="W103" s="185"/>
      <c r="X103" s="185"/>
      <c r="Y103" s="185"/>
      <c r="Z103" s="185"/>
      <c r="AA103" s="185"/>
      <c r="AB103" s="185"/>
      <c r="AC103" s="187"/>
      <c r="AD103" s="19"/>
      <c r="AE103" s="19"/>
      <c r="AF103" s="19"/>
      <c r="AG103" s="19"/>
    </row>
    <row r="104" spans="1:33" outlineLevel="2" x14ac:dyDescent="0.2">
      <c r="A104" s="19"/>
      <c r="B104" s="19"/>
      <c r="C104" s="506" t="str">
        <f t="shared" si="1"/>
        <v>Unmetered supply general</v>
      </c>
      <c r="D104" s="505" t="str">
        <f t="shared" si="1"/>
        <v>Unmetered supplies</v>
      </c>
      <c r="E104" s="505" t="str">
        <f t="shared" si="1"/>
        <v>TASUMS</v>
      </c>
      <c r="F104" s="505">
        <f t="shared" si="1"/>
        <v>0</v>
      </c>
      <c r="G104" s="505">
        <f t="shared" si="1"/>
        <v>0</v>
      </c>
      <c r="H104" s="58"/>
      <c r="I104" s="189">
        <v>0</v>
      </c>
      <c r="J104" s="189">
        <v>2.7629999999999999</v>
      </c>
      <c r="K104" s="189">
        <v>0</v>
      </c>
      <c r="L104" s="189">
        <v>0</v>
      </c>
      <c r="M104" s="189">
        <v>0</v>
      </c>
      <c r="N104" s="189">
        <v>0</v>
      </c>
      <c r="O104" s="189">
        <v>0</v>
      </c>
      <c r="P104" s="189">
        <v>0</v>
      </c>
      <c r="Q104" s="189">
        <v>0</v>
      </c>
      <c r="R104" s="189">
        <v>0</v>
      </c>
      <c r="S104" s="185">
        <v>0</v>
      </c>
      <c r="T104" s="185">
        <v>0</v>
      </c>
      <c r="U104" s="185">
        <v>0</v>
      </c>
      <c r="V104" s="185"/>
      <c r="W104" s="185"/>
      <c r="X104" s="185"/>
      <c r="Y104" s="185"/>
      <c r="Z104" s="185"/>
      <c r="AA104" s="185"/>
      <c r="AB104" s="185"/>
      <c r="AC104" s="187"/>
      <c r="AD104" s="19"/>
      <c r="AE104" s="19"/>
      <c r="AF104" s="19"/>
      <c r="AG104" s="19"/>
    </row>
    <row r="105" spans="1:33" outlineLevel="2" x14ac:dyDescent="0.2">
      <c r="A105" s="19"/>
      <c r="B105" s="19"/>
      <c r="C105" s="506" t="str">
        <f t="shared" si="1"/>
        <v>Street lighting</v>
      </c>
      <c r="D105" s="505" t="str">
        <f t="shared" si="1"/>
        <v>Street lighting</v>
      </c>
      <c r="E105" s="505" t="str">
        <f t="shared" si="1"/>
        <v>TASUMSSL</v>
      </c>
      <c r="F105" s="505">
        <f t="shared" si="1"/>
        <v>0</v>
      </c>
      <c r="G105" s="505">
        <f t="shared" si="1"/>
        <v>0</v>
      </c>
      <c r="H105" s="58"/>
      <c r="I105" s="189">
        <v>0</v>
      </c>
      <c r="J105" s="189">
        <v>0</v>
      </c>
      <c r="K105" s="189">
        <v>0</v>
      </c>
      <c r="L105" s="189">
        <v>0</v>
      </c>
      <c r="M105" s="189">
        <v>0</v>
      </c>
      <c r="N105" s="189">
        <v>0</v>
      </c>
      <c r="O105" s="189">
        <v>0</v>
      </c>
      <c r="P105" s="189">
        <v>0</v>
      </c>
      <c r="Q105" s="189">
        <v>0</v>
      </c>
      <c r="R105" s="189">
        <v>0</v>
      </c>
      <c r="S105" s="185">
        <v>0</v>
      </c>
      <c r="T105" s="185">
        <v>0</v>
      </c>
      <c r="U105" s="185">
        <v>2.5999999999999999E-2</v>
      </c>
      <c r="V105" s="185"/>
      <c r="W105" s="185"/>
      <c r="X105" s="185"/>
      <c r="Y105" s="185"/>
      <c r="Z105" s="185"/>
      <c r="AA105" s="185"/>
      <c r="AB105" s="185"/>
      <c r="AC105" s="187"/>
      <c r="AD105" s="19"/>
      <c r="AE105" s="19"/>
      <c r="AF105" s="19"/>
      <c r="AG105" s="19"/>
    </row>
    <row r="106" spans="1:33" hidden="1" outlineLevel="3" x14ac:dyDescent="0.2">
      <c r="A106" s="19"/>
      <c r="B106" s="19"/>
      <c r="C106" s="506">
        <f t="shared" ref="C106:G115" si="2">C28</f>
        <v>0</v>
      </c>
      <c r="D106" s="505">
        <f t="shared" si="2"/>
        <v>0</v>
      </c>
      <c r="E106" s="505">
        <f t="shared" si="2"/>
        <v>0</v>
      </c>
      <c r="F106" s="505">
        <f t="shared" si="2"/>
        <v>0</v>
      </c>
      <c r="G106" s="505">
        <f t="shared" si="2"/>
        <v>0</v>
      </c>
      <c r="H106" s="58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7"/>
      <c r="AD106" s="19"/>
      <c r="AE106" s="19"/>
      <c r="AF106" s="19"/>
      <c r="AG106" s="19"/>
    </row>
    <row r="107" spans="1:33" hidden="1" outlineLevel="3" x14ac:dyDescent="0.2">
      <c r="A107" s="19"/>
      <c r="B107" s="19"/>
      <c r="C107" s="506">
        <f t="shared" si="2"/>
        <v>0</v>
      </c>
      <c r="D107" s="505">
        <f t="shared" si="2"/>
        <v>0</v>
      </c>
      <c r="E107" s="505">
        <f t="shared" si="2"/>
        <v>0</v>
      </c>
      <c r="F107" s="505">
        <f t="shared" si="2"/>
        <v>0</v>
      </c>
      <c r="G107" s="505">
        <f t="shared" si="2"/>
        <v>0</v>
      </c>
      <c r="H107" s="58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7"/>
      <c r="AD107" s="19"/>
      <c r="AE107" s="19"/>
      <c r="AF107" s="19"/>
      <c r="AG107" s="19"/>
    </row>
    <row r="108" spans="1:33" hidden="1" outlineLevel="3" x14ac:dyDescent="0.2">
      <c r="A108" s="19"/>
      <c r="B108" s="19"/>
      <c r="C108" s="506">
        <f t="shared" si="2"/>
        <v>0</v>
      </c>
      <c r="D108" s="505">
        <f t="shared" si="2"/>
        <v>0</v>
      </c>
      <c r="E108" s="505">
        <f t="shared" si="2"/>
        <v>0</v>
      </c>
      <c r="F108" s="505">
        <f t="shared" si="2"/>
        <v>0</v>
      </c>
      <c r="G108" s="505">
        <f t="shared" si="2"/>
        <v>0</v>
      </c>
      <c r="H108" s="58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7"/>
      <c r="AD108" s="19"/>
      <c r="AE108" s="19"/>
      <c r="AF108" s="19"/>
      <c r="AG108" s="19"/>
    </row>
    <row r="109" spans="1:33" hidden="1" outlineLevel="3" x14ac:dyDescent="0.2">
      <c r="A109" s="19"/>
      <c r="B109" s="19"/>
      <c r="C109" s="506">
        <f t="shared" si="2"/>
        <v>0</v>
      </c>
      <c r="D109" s="505">
        <f t="shared" si="2"/>
        <v>0</v>
      </c>
      <c r="E109" s="505">
        <f t="shared" si="2"/>
        <v>0</v>
      </c>
      <c r="F109" s="505">
        <f t="shared" si="2"/>
        <v>0</v>
      </c>
      <c r="G109" s="505">
        <f t="shared" si="2"/>
        <v>0</v>
      </c>
      <c r="H109" s="58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7"/>
      <c r="AD109" s="19"/>
      <c r="AE109" s="19"/>
      <c r="AF109" s="19"/>
      <c r="AG109" s="19"/>
    </row>
    <row r="110" spans="1:33" hidden="1" outlineLevel="3" x14ac:dyDescent="0.2">
      <c r="A110" s="19"/>
      <c r="B110" s="19"/>
      <c r="C110" s="506">
        <f t="shared" si="2"/>
        <v>0</v>
      </c>
      <c r="D110" s="505">
        <f t="shared" si="2"/>
        <v>0</v>
      </c>
      <c r="E110" s="505">
        <f t="shared" si="2"/>
        <v>0</v>
      </c>
      <c r="F110" s="505">
        <f t="shared" si="2"/>
        <v>0</v>
      </c>
      <c r="G110" s="505">
        <f t="shared" si="2"/>
        <v>0</v>
      </c>
      <c r="H110" s="58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7"/>
      <c r="AD110" s="19"/>
      <c r="AE110" s="19"/>
      <c r="AF110" s="19"/>
      <c r="AG110" s="19"/>
    </row>
    <row r="111" spans="1:33" hidden="1" outlineLevel="3" x14ac:dyDescent="0.2">
      <c r="A111" s="19"/>
      <c r="B111" s="19"/>
      <c r="C111" s="506">
        <f t="shared" si="2"/>
        <v>0</v>
      </c>
      <c r="D111" s="505">
        <f t="shared" si="2"/>
        <v>0</v>
      </c>
      <c r="E111" s="505">
        <f t="shared" si="2"/>
        <v>0</v>
      </c>
      <c r="F111" s="505">
        <f t="shared" si="2"/>
        <v>0</v>
      </c>
      <c r="G111" s="505">
        <f t="shared" si="2"/>
        <v>0</v>
      </c>
      <c r="H111" s="58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7"/>
      <c r="AD111" s="19"/>
      <c r="AE111" s="19"/>
      <c r="AF111" s="19"/>
      <c r="AG111" s="19"/>
    </row>
    <row r="112" spans="1:33" hidden="1" outlineLevel="3" x14ac:dyDescent="0.2">
      <c r="A112" s="19"/>
      <c r="B112" s="19"/>
      <c r="C112" s="506">
        <f t="shared" si="2"/>
        <v>0</v>
      </c>
      <c r="D112" s="505">
        <f t="shared" si="2"/>
        <v>0</v>
      </c>
      <c r="E112" s="505">
        <f t="shared" si="2"/>
        <v>0</v>
      </c>
      <c r="F112" s="505">
        <f t="shared" si="2"/>
        <v>0</v>
      </c>
      <c r="G112" s="505">
        <f t="shared" si="2"/>
        <v>0</v>
      </c>
      <c r="H112" s="58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7"/>
      <c r="AD112" s="19"/>
      <c r="AE112" s="19"/>
      <c r="AF112" s="19"/>
      <c r="AG112" s="19"/>
    </row>
    <row r="113" spans="1:33" hidden="1" outlineLevel="3" x14ac:dyDescent="0.2">
      <c r="A113" s="19"/>
      <c r="B113" s="19"/>
      <c r="C113" s="506">
        <f t="shared" si="2"/>
        <v>0</v>
      </c>
      <c r="D113" s="505">
        <f t="shared" si="2"/>
        <v>0</v>
      </c>
      <c r="E113" s="505">
        <f t="shared" si="2"/>
        <v>0</v>
      </c>
      <c r="F113" s="505">
        <f t="shared" si="2"/>
        <v>0</v>
      </c>
      <c r="G113" s="505">
        <f t="shared" si="2"/>
        <v>0</v>
      </c>
      <c r="H113" s="58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7"/>
      <c r="AD113" s="19"/>
      <c r="AE113" s="19"/>
      <c r="AF113" s="19"/>
      <c r="AG113" s="19"/>
    </row>
    <row r="114" spans="1:33" hidden="1" outlineLevel="3" x14ac:dyDescent="0.2">
      <c r="A114" s="19"/>
      <c r="B114" s="19"/>
      <c r="C114" s="506">
        <f t="shared" si="2"/>
        <v>0</v>
      </c>
      <c r="D114" s="505">
        <f t="shared" si="2"/>
        <v>0</v>
      </c>
      <c r="E114" s="505">
        <f t="shared" si="2"/>
        <v>0</v>
      </c>
      <c r="F114" s="505">
        <f t="shared" si="2"/>
        <v>0</v>
      </c>
      <c r="G114" s="505">
        <f t="shared" si="2"/>
        <v>0</v>
      </c>
      <c r="H114" s="58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7"/>
      <c r="AD114" s="19"/>
      <c r="AE114" s="19"/>
      <c r="AF114" s="19"/>
      <c r="AG114" s="19"/>
    </row>
    <row r="115" spans="1:33" hidden="1" outlineLevel="3" x14ac:dyDescent="0.2">
      <c r="A115" s="19"/>
      <c r="B115" s="19"/>
      <c r="C115" s="506">
        <f t="shared" si="2"/>
        <v>0</v>
      </c>
      <c r="D115" s="505">
        <f t="shared" si="2"/>
        <v>0</v>
      </c>
      <c r="E115" s="505">
        <f t="shared" si="2"/>
        <v>0</v>
      </c>
      <c r="F115" s="505">
        <f t="shared" si="2"/>
        <v>0</v>
      </c>
      <c r="G115" s="505">
        <f t="shared" si="2"/>
        <v>0</v>
      </c>
      <c r="H115" s="58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7"/>
      <c r="AD115" s="19"/>
      <c r="AE115" s="19"/>
      <c r="AF115" s="19"/>
      <c r="AG115" s="19"/>
    </row>
    <row r="116" spans="1:33" hidden="1" outlineLevel="3" x14ac:dyDescent="0.2">
      <c r="A116" s="19"/>
      <c r="B116" s="19"/>
      <c r="C116" s="506">
        <f t="shared" ref="C116:G125" si="3">C38</f>
        <v>0</v>
      </c>
      <c r="D116" s="505">
        <f t="shared" si="3"/>
        <v>0</v>
      </c>
      <c r="E116" s="505">
        <f t="shared" si="3"/>
        <v>0</v>
      </c>
      <c r="F116" s="505">
        <f t="shared" si="3"/>
        <v>0</v>
      </c>
      <c r="G116" s="505">
        <f t="shared" si="3"/>
        <v>0</v>
      </c>
      <c r="H116" s="58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7"/>
      <c r="AD116" s="19"/>
      <c r="AE116" s="19"/>
      <c r="AF116" s="19"/>
      <c r="AG116" s="19"/>
    </row>
    <row r="117" spans="1:33" hidden="1" outlineLevel="3" x14ac:dyDescent="0.2">
      <c r="A117" s="19"/>
      <c r="B117" s="19"/>
      <c r="C117" s="506">
        <f t="shared" si="3"/>
        <v>0</v>
      </c>
      <c r="D117" s="505">
        <f t="shared" si="3"/>
        <v>0</v>
      </c>
      <c r="E117" s="505">
        <f t="shared" si="3"/>
        <v>0</v>
      </c>
      <c r="F117" s="505">
        <f t="shared" si="3"/>
        <v>0</v>
      </c>
      <c r="G117" s="505">
        <f t="shared" si="3"/>
        <v>0</v>
      </c>
      <c r="H117" s="58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7"/>
      <c r="AD117" s="19"/>
      <c r="AE117" s="19"/>
      <c r="AF117" s="19"/>
      <c r="AG117" s="19"/>
    </row>
    <row r="118" spans="1:33" hidden="1" outlineLevel="3" x14ac:dyDescent="0.2">
      <c r="A118" s="19"/>
      <c r="B118" s="19"/>
      <c r="C118" s="506">
        <f t="shared" si="3"/>
        <v>0</v>
      </c>
      <c r="D118" s="505">
        <f t="shared" si="3"/>
        <v>0</v>
      </c>
      <c r="E118" s="505">
        <f t="shared" si="3"/>
        <v>0</v>
      </c>
      <c r="F118" s="505">
        <f t="shared" si="3"/>
        <v>0</v>
      </c>
      <c r="G118" s="505">
        <f t="shared" si="3"/>
        <v>0</v>
      </c>
      <c r="H118" s="58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7"/>
      <c r="AD118" s="19"/>
      <c r="AE118" s="19"/>
      <c r="AF118" s="19"/>
      <c r="AG118" s="19"/>
    </row>
    <row r="119" spans="1:33" hidden="1" outlineLevel="3" x14ac:dyDescent="0.2">
      <c r="A119" s="19"/>
      <c r="B119" s="19"/>
      <c r="C119" s="506">
        <f t="shared" si="3"/>
        <v>0</v>
      </c>
      <c r="D119" s="505">
        <f t="shared" si="3"/>
        <v>0</v>
      </c>
      <c r="E119" s="505">
        <f t="shared" si="3"/>
        <v>0</v>
      </c>
      <c r="F119" s="505">
        <f t="shared" si="3"/>
        <v>0</v>
      </c>
      <c r="G119" s="505">
        <f t="shared" si="3"/>
        <v>0</v>
      </c>
      <c r="H119" s="58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7"/>
      <c r="AD119" s="19"/>
      <c r="AE119" s="19"/>
      <c r="AF119" s="19"/>
      <c r="AG119" s="19"/>
    </row>
    <row r="120" spans="1:33" hidden="1" outlineLevel="3" x14ac:dyDescent="0.2">
      <c r="A120" s="19"/>
      <c r="B120" s="19"/>
      <c r="C120" s="506">
        <f t="shared" si="3"/>
        <v>0</v>
      </c>
      <c r="D120" s="505">
        <f t="shared" si="3"/>
        <v>0</v>
      </c>
      <c r="E120" s="505">
        <f t="shared" si="3"/>
        <v>0</v>
      </c>
      <c r="F120" s="505">
        <f t="shared" si="3"/>
        <v>0</v>
      </c>
      <c r="G120" s="505">
        <f t="shared" si="3"/>
        <v>0</v>
      </c>
      <c r="H120" s="58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7"/>
      <c r="AD120" s="19"/>
      <c r="AE120" s="19"/>
      <c r="AF120" s="19"/>
      <c r="AG120" s="19"/>
    </row>
    <row r="121" spans="1:33" hidden="1" outlineLevel="3" x14ac:dyDescent="0.2">
      <c r="A121" s="19"/>
      <c r="B121" s="19"/>
      <c r="C121" s="506">
        <f t="shared" si="3"/>
        <v>0</v>
      </c>
      <c r="D121" s="505">
        <f t="shared" si="3"/>
        <v>0</v>
      </c>
      <c r="E121" s="505">
        <f t="shared" si="3"/>
        <v>0</v>
      </c>
      <c r="F121" s="505">
        <f t="shared" si="3"/>
        <v>0</v>
      </c>
      <c r="G121" s="505">
        <f t="shared" si="3"/>
        <v>0</v>
      </c>
      <c r="H121" s="58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7"/>
      <c r="AD121" s="19"/>
      <c r="AE121" s="19"/>
      <c r="AF121" s="19"/>
      <c r="AG121" s="19"/>
    </row>
    <row r="122" spans="1:33" hidden="1" outlineLevel="3" x14ac:dyDescent="0.2">
      <c r="A122" s="19"/>
      <c r="B122" s="19"/>
      <c r="C122" s="506">
        <f t="shared" si="3"/>
        <v>0</v>
      </c>
      <c r="D122" s="505">
        <f t="shared" si="3"/>
        <v>0</v>
      </c>
      <c r="E122" s="505">
        <f t="shared" si="3"/>
        <v>0</v>
      </c>
      <c r="F122" s="505">
        <f t="shared" si="3"/>
        <v>0</v>
      </c>
      <c r="G122" s="505">
        <f t="shared" si="3"/>
        <v>0</v>
      </c>
      <c r="H122" s="58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7"/>
      <c r="AD122" s="19"/>
      <c r="AE122" s="19"/>
      <c r="AF122" s="19"/>
      <c r="AG122" s="19"/>
    </row>
    <row r="123" spans="1:33" hidden="1" outlineLevel="3" x14ac:dyDescent="0.2">
      <c r="A123" s="19"/>
      <c r="B123" s="19"/>
      <c r="C123" s="506">
        <f t="shared" si="3"/>
        <v>0</v>
      </c>
      <c r="D123" s="505">
        <f t="shared" si="3"/>
        <v>0</v>
      </c>
      <c r="E123" s="505">
        <f t="shared" si="3"/>
        <v>0</v>
      </c>
      <c r="F123" s="505">
        <f t="shared" si="3"/>
        <v>0</v>
      </c>
      <c r="G123" s="505">
        <f t="shared" si="3"/>
        <v>0</v>
      </c>
      <c r="H123" s="58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7"/>
      <c r="AD123" s="19"/>
      <c r="AE123" s="19"/>
      <c r="AF123" s="19"/>
      <c r="AG123" s="19"/>
    </row>
    <row r="124" spans="1:33" hidden="1" outlineLevel="3" x14ac:dyDescent="0.2">
      <c r="A124" s="19"/>
      <c r="B124" s="19"/>
      <c r="C124" s="506">
        <f t="shared" si="3"/>
        <v>0</v>
      </c>
      <c r="D124" s="505">
        <f t="shared" si="3"/>
        <v>0</v>
      </c>
      <c r="E124" s="505">
        <f t="shared" si="3"/>
        <v>0</v>
      </c>
      <c r="F124" s="505">
        <f t="shared" si="3"/>
        <v>0</v>
      </c>
      <c r="G124" s="505">
        <f t="shared" si="3"/>
        <v>0</v>
      </c>
      <c r="H124" s="58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7"/>
      <c r="AD124" s="19"/>
      <c r="AE124" s="19"/>
      <c r="AF124" s="19"/>
      <c r="AG124" s="19"/>
    </row>
    <row r="125" spans="1:33" hidden="1" outlineLevel="3" x14ac:dyDescent="0.2">
      <c r="A125" s="19"/>
      <c r="B125" s="19"/>
      <c r="C125" s="506">
        <f t="shared" si="3"/>
        <v>0</v>
      </c>
      <c r="D125" s="505">
        <f t="shared" si="3"/>
        <v>0</v>
      </c>
      <c r="E125" s="505">
        <f t="shared" si="3"/>
        <v>0</v>
      </c>
      <c r="F125" s="505">
        <f t="shared" si="3"/>
        <v>0</v>
      </c>
      <c r="G125" s="505">
        <f t="shared" si="3"/>
        <v>0</v>
      </c>
      <c r="H125" s="58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7"/>
      <c r="AD125" s="19"/>
      <c r="AE125" s="19"/>
      <c r="AF125" s="19"/>
      <c r="AG125" s="19"/>
    </row>
    <row r="126" spans="1:33" hidden="1" outlineLevel="3" x14ac:dyDescent="0.2">
      <c r="A126" s="19"/>
      <c r="B126" s="19"/>
      <c r="C126" s="506">
        <f t="shared" ref="C126:G135" si="4">C48</f>
        <v>0</v>
      </c>
      <c r="D126" s="505">
        <f t="shared" si="4"/>
        <v>0</v>
      </c>
      <c r="E126" s="505">
        <f t="shared" si="4"/>
        <v>0</v>
      </c>
      <c r="F126" s="505">
        <f t="shared" si="4"/>
        <v>0</v>
      </c>
      <c r="G126" s="505">
        <f t="shared" si="4"/>
        <v>0</v>
      </c>
      <c r="H126" s="58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7"/>
      <c r="AD126" s="19"/>
      <c r="AE126" s="19"/>
      <c r="AF126" s="19"/>
      <c r="AG126" s="19"/>
    </row>
    <row r="127" spans="1:33" hidden="1" outlineLevel="3" x14ac:dyDescent="0.2">
      <c r="A127" s="19"/>
      <c r="B127" s="19"/>
      <c r="C127" s="506">
        <f t="shared" si="4"/>
        <v>0</v>
      </c>
      <c r="D127" s="505">
        <f t="shared" si="4"/>
        <v>0</v>
      </c>
      <c r="E127" s="505">
        <f t="shared" si="4"/>
        <v>0</v>
      </c>
      <c r="F127" s="505">
        <f t="shared" si="4"/>
        <v>0</v>
      </c>
      <c r="G127" s="505">
        <f t="shared" si="4"/>
        <v>0</v>
      </c>
      <c r="H127" s="58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7"/>
      <c r="AD127" s="19"/>
      <c r="AE127" s="19"/>
      <c r="AF127" s="19"/>
      <c r="AG127" s="19"/>
    </row>
    <row r="128" spans="1:33" hidden="1" outlineLevel="3" x14ac:dyDescent="0.2">
      <c r="A128" s="19"/>
      <c r="B128" s="19"/>
      <c r="C128" s="506">
        <f t="shared" si="4"/>
        <v>0</v>
      </c>
      <c r="D128" s="505">
        <f t="shared" si="4"/>
        <v>0</v>
      </c>
      <c r="E128" s="505">
        <f t="shared" si="4"/>
        <v>0</v>
      </c>
      <c r="F128" s="505">
        <f t="shared" si="4"/>
        <v>0</v>
      </c>
      <c r="G128" s="505">
        <f t="shared" si="4"/>
        <v>0</v>
      </c>
      <c r="H128" s="58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7"/>
      <c r="AD128" s="19"/>
      <c r="AE128" s="19"/>
      <c r="AF128" s="19"/>
      <c r="AG128" s="19"/>
    </row>
    <row r="129" spans="1:33" hidden="1" outlineLevel="3" x14ac:dyDescent="0.2">
      <c r="A129" s="19"/>
      <c r="B129" s="19"/>
      <c r="C129" s="506">
        <f t="shared" si="4"/>
        <v>0</v>
      </c>
      <c r="D129" s="505">
        <f t="shared" si="4"/>
        <v>0</v>
      </c>
      <c r="E129" s="505">
        <f t="shared" si="4"/>
        <v>0</v>
      </c>
      <c r="F129" s="505">
        <f t="shared" si="4"/>
        <v>0</v>
      </c>
      <c r="G129" s="505">
        <f t="shared" si="4"/>
        <v>0</v>
      </c>
      <c r="H129" s="58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7"/>
      <c r="AD129" s="19"/>
      <c r="AE129" s="19"/>
      <c r="AF129" s="19"/>
      <c r="AG129" s="19"/>
    </row>
    <row r="130" spans="1:33" hidden="1" outlineLevel="3" x14ac:dyDescent="0.2">
      <c r="A130" s="19"/>
      <c r="B130" s="19"/>
      <c r="C130" s="506">
        <f t="shared" si="4"/>
        <v>0</v>
      </c>
      <c r="D130" s="505">
        <f t="shared" si="4"/>
        <v>0</v>
      </c>
      <c r="E130" s="505">
        <f t="shared" si="4"/>
        <v>0</v>
      </c>
      <c r="F130" s="505">
        <f t="shared" si="4"/>
        <v>0</v>
      </c>
      <c r="G130" s="505">
        <f t="shared" si="4"/>
        <v>0</v>
      </c>
      <c r="H130" s="58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7"/>
      <c r="AD130" s="19"/>
      <c r="AE130" s="19"/>
      <c r="AF130" s="19"/>
      <c r="AG130" s="19"/>
    </row>
    <row r="131" spans="1:33" hidden="1" outlineLevel="3" x14ac:dyDescent="0.2">
      <c r="A131" s="19"/>
      <c r="B131" s="19"/>
      <c r="C131" s="506">
        <f t="shared" si="4"/>
        <v>0</v>
      </c>
      <c r="D131" s="505">
        <f t="shared" si="4"/>
        <v>0</v>
      </c>
      <c r="E131" s="505">
        <f t="shared" si="4"/>
        <v>0</v>
      </c>
      <c r="F131" s="505">
        <f t="shared" si="4"/>
        <v>0</v>
      </c>
      <c r="G131" s="505">
        <f t="shared" si="4"/>
        <v>0</v>
      </c>
      <c r="H131" s="58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7"/>
      <c r="AD131" s="19"/>
      <c r="AE131" s="19"/>
      <c r="AF131" s="19"/>
      <c r="AG131" s="19"/>
    </row>
    <row r="132" spans="1:33" hidden="1" outlineLevel="3" x14ac:dyDescent="0.2">
      <c r="A132" s="19"/>
      <c r="B132" s="19"/>
      <c r="C132" s="506">
        <f t="shared" si="4"/>
        <v>0</v>
      </c>
      <c r="D132" s="505">
        <f t="shared" si="4"/>
        <v>0</v>
      </c>
      <c r="E132" s="505">
        <f t="shared" si="4"/>
        <v>0</v>
      </c>
      <c r="F132" s="505">
        <f t="shared" si="4"/>
        <v>0</v>
      </c>
      <c r="G132" s="505">
        <f t="shared" si="4"/>
        <v>0</v>
      </c>
      <c r="H132" s="58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7"/>
      <c r="AD132" s="19"/>
      <c r="AE132" s="19"/>
      <c r="AF132" s="19"/>
      <c r="AG132" s="19"/>
    </row>
    <row r="133" spans="1:33" hidden="1" outlineLevel="3" x14ac:dyDescent="0.2">
      <c r="A133" s="19"/>
      <c r="B133" s="19"/>
      <c r="C133" s="506">
        <f t="shared" si="4"/>
        <v>0</v>
      </c>
      <c r="D133" s="505">
        <f t="shared" si="4"/>
        <v>0</v>
      </c>
      <c r="E133" s="505">
        <f t="shared" si="4"/>
        <v>0</v>
      </c>
      <c r="F133" s="505">
        <f t="shared" si="4"/>
        <v>0</v>
      </c>
      <c r="G133" s="505">
        <f t="shared" si="4"/>
        <v>0</v>
      </c>
      <c r="H133" s="58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7"/>
      <c r="AD133" s="19"/>
      <c r="AE133" s="19"/>
      <c r="AF133" s="19"/>
      <c r="AG133" s="19"/>
    </row>
    <row r="134" spans="1:33" hidden="1" outlineLevel="3" x14ac:dyDescent="0.2">
      <c r="A134" s="19"/>
      <c r="B134" s="19"/>
      <c r="C134" s="506">
        <f t="shared" si="4"/>
        <v>0</v>
      </c>
      <c r="D134" s="505">
        <f t="shared" si="4"/>
        <v>0</v>
      </c>
      <c r="E134" s="505">
        <f t="shared" si="4"/>
        <v>0</v>
      </c>
      <c r="F134" s="505">
        <f t="shared" si="4"/>
        <v>0</v>
      </c>
      <c r="G134" s="505">
        <f t="shared" si="4"/>
        <v>0</v>
      </c>
      <c r="H134" s="58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7"/>
      <c r="AD134" s="19"/>
      <c r="AE134" s="19"/>
      <c r="AF134" s="19"/>
      <c r="AG134" s="19"/>
    </row>
    <row r="135" spans="1:33" hidden="1" outlineLevel="3" x14ac:dyDescent="0.2">
      <c r="A135" s="19"/>
      <c r="B135" s="19"/>
      <c r="C135" s="506">
        <f t="shared" si="4"/>
        <v>0</v>
      </c>
      <c r="D135" s="505">
        <f t="shared" si="4"/>
        <v>0</v>
      </c>
      <c r="E135" s="505">
        <f t="shared" si="4"/>
        <v>0</v>
      </c>
      <c r="F135" s="505">
        <f t="shared" si="4"/>
        <v>0</v>
      </c>
      <c r="G135" s="505">
        <f t="shared" si="4"/>
        <v>0</v>
      </c>
      <c r="H135" s="58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7"/>
      <c r="AD135" s="19"/>
      <c r="AE135" s="19"/>
      <c r="AF135" s="19"/>
      <c r="AG135" s="19"/>
    </row>
    <row r="136" spans="1:33" hidden="1" outlineLevel="3" x14ac:dyDescent="0.2">
      <c r="A136" s="19"/>
      <c r="B136" s="19"/>
      <c r="C136" s="506">
        <f t="shared" ref="C136:G145" si="5">C58</f>
        <v>0</v>
      </c>
      <c r="D136" s="505">
        <f t="shared" si="5"/>
        <v>0</v>
      </c>
      <c r="E136" s="505">
        <f t="shared" si="5"/>
        <v>0</v>
      </c>
      <c r="F136" s="505">
        <f t="shared" si="5"/>
        <v>0</v>
      </c>
      <c r="G136" s="505">
        <f t="shared" si="5"/>
        <v>0</v>
      </c>
      <c r="H136" s="58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7"/>
      <c r="AD136" s="19"/>
      <c r="AE136" s="19"/>
      <c r="AF136" s="19"/>
      <c r="AG136" s="19"/>
    </row>
    <row r="137" spans="1:33" hidden="1" outlineLevel="3" x14ac:dyDescent="0.2">
      <c r="A137" s="19"/>
      <c r="B137" s="19"/>
      <c r="C137" s="506">
        <f t="shared" si="5"/>
        <v>0</v>
      </c>
      <c r="D137" s="505">
        <f t="shared" si="5"/>
        <v>0</v>
      </c>
      <c r="E137" s="505">
        <f t="shared" si="5"/>
        <v>0</v>
      </c>
      <c r="F137" s="505">
        <f t="shared" si="5"/>
        <v>0</v>
      </c>
      <c r="G137" s="505">
        <f t="shared" si="5"/>
        <v>0</v>
      </c>
      <c r="H137" s="58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7"/>
      <c r="AD137" s="19"/>
      <c r="AE137" s="19"/>
      <c r="AF137" s="19"/>
      <c r="AG137" s="19"/>
    </row>
    <row r="138" spans="1:33" hidden="1" outlineLevel="3" x14ac:dyDescent="0.2">
      <c r="A138" s="19"/>
      <c r="B138" s="19"/>
      <c r="C138" s="506">
        <f t="shared" si="5"/>
        <v>0</v>
      </c>
      <c r="D138" s="505">
        <f t="shared" si="5"/>
        <v>0</v>
      </c>
      <c r="E138" s="505">
        <f t="shared" si="5"/>
        <v>0</v>
      </c>
      <c r="F138" s="505">
        <f t="shared" si="5"/>
        <v>0</v>
      </c>
      <c r="G138" s="505">
        <f t="shared" si="5"/>
        <v>0</v>
      </c>
      <c r="H138" s="58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7"/>
      <c r="AD138" s="19"/>
      <c r="AE138" s="19"/>
      <c r="AF138" s="19"/>
      <c r="AG138" s="19"/>
    </row>
    <row r="139" spans="1:33" hidden="1" outlineLevel="3" x14ac:dyDescent="0.2">
      <c r="A139" s="19"/>
      <c r="B139" s="19"/>
      <c r="C139" s="506">
        <f t="shared" si="5"/>
        <v>0</v>
      </c>
      <c r="D139" s="505">
        <f t="shared" si="5"/>
        <v>0</v>
      </c>
      <c r="E139" s="505">
        <f t="shared" si="5"/>
        <v>0</v>
      </c>
      <c r="F139" s="505">
        <f t="shared" si="5"/>
        <v>0</v>
      </c>
      <c r="G139" s="505">
        <f t="shared" si="5"/>
        <v>0</v>
      </c>
      <c r="H139" s="58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7"/>
      <c r="AD139" s="19"/>
      <c r="AE139" s="19"/>
      <c r="AF139" s="19"/>
      <c r="AG139" s="19"/>
    </row>
    <row r="140" spans="1:33" hidden="1" outlineLevel="3" x14ac:dyDescent="0.2">
      <c r="A140" s="19"/>
      <c r="B140" s="19"/>
      <c r="C140" s="506">
        <f t="shared" si="5"/>
        <v>0</v>
      </c>
      <c r="D140" s="505">
        <f t="shared" si="5"/>
        <v>0</v>
      </c>
      <c r="E140" s="505">
        <f t="shared" si="5"/>
        <v>0</v>
      </c>
      <c r="F140" s="505">
        <f t="shared" si="5"/>
        <v>0</v>
      </c>
      <c r="G140" s="505">
        <f t="shared" si="5"/>
        <v>0</v>
      </c>
      <c r="H140" s="58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7"/>
      <c r="AD140" s="19"/>
      <c r="AE140" s="19"/>
      <c r="AF140" s="19"/>
      <c r="AG140" s="19"/>
    </row>
    <row r="141" spans="1:33" hidden="1" outlineLevel="3" x14ac:dyDescent="0.2">
      <c r="A141" s="19"/>
      <c r="B141" s="19"/>
      <c r="C141" s="506">
        <f t="shared" si="5"/>
        <v>0</v>
      </c>
      <c r="D141" s="505">
        <f t="shared" si="5"/>
        <v>0</v>
      </c>
      <c r="E141" s="505">
        <f t="shared" si="5"/>
        <v>0</v>
      </c>
      <c r="F141" s="505">
        <f t="shared" si="5"/>
        <v>0</v>
      </c>
      <c r="G141" s="505">
        <f t="shared" si="5"/>
        <v>0</v>
      </c>
      <c r="H141" s="58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7"/>
      <c r="AD141" s="19"/>
      <c r="AE141" s="19"/>
      <c r="AF141" s="19"/>
      <c r="AG141" s="19"/>
    </row>
    <row r="142" spans="1:33" hidden="1" outlineLevel="3" x14ac:dyDescent="0.2">
      <c r="A142" s="19"/>
      <c r="B142" s="19"/>
      <c r="C142" s="506">
        <f t="shared" si="5"/>
        <v>0</v>
      </c>
      <c r="D142" s="505">
        <f t="shared" si="5"/>
        <v>0</v>
      </c>
      <c r="E142" s="505">
        <f t="shared" si="5"/>
        <v>0</v>
      </c>
      <c r="F142" s="505">
        <f t="shared" si="5"/>
        <v>0</v>
      </c>
      <c r="G142" s="505">
        <f t="shared" si="5"/>
        <v>0</v>
      </c>
      <c r="H142" s="58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7"/>
      <c r="AD142" s="19"/>
      <c r="AE142" s="19"/>
      <c r="AF142" s="19"/>
      <c r="AG142" s="19"/>
    </row>
    <row r="143" spans="1:33" hidden="1" outlineLevel="3" x14ac:dyDescent="0.2">
      <c r="A143" s="19"/>
      <c r="B143" s="19"/>
      <c r="C143" s="506">
        <f t="shared" si="5"/>
        <v>0</v>
      </c>
      <c r="D143" s="505">
        <f t="shared" si="5"/>
        <v>0</v>
      </c>
      <c r="E143" s="505">
        <f t="shared" si="5"/>
        <v>0</v>
      </c>
      <c r="F143" s="505">
        <f t="shared" si="5"/>
        <v>0</v>
      </c>
      <c r="G143" s="505">
        <f t="shared" si="5"/>
        <v>0</v>
      </c>
      <c r="H143" s="58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7"/>
      <c r="AD143" s="19"/>
      <c r="AE143" s="19"/>
      <c r="AF143" s="19"/>
      <c r="AG143" s="19"/>
    </row>
    <row r="144" spans="1:33" hidden="1" outlineLevel="3" x14ac:dyDescent="0.2">
      <c r="A144" s="19"/>
      <c r="B144" s="19"/>
      <c r="C144" s="506">
        <f t="shared" si="5"/>
        <v>0</v>
      </c>
      <c r="D144" s="505">
        <f t="shared" si="5"/>
        <v>0</v>
      </c>
      <c r="E144" s="505">
        <f t="shared" si="5"/>
        <v>0</v>
      </c>
      <c r="F144" s="505">
        <f t="shared" si="5"/>
        <v>0</v>
      </c>
      <c r="G144" s="505">
        <f t="shared" si="5"/>
        <v>0</v>
      </c>
      <c r="H144" s="58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7"/>
      <c r="AD144" s="19"/>
      <c r="AE144" s="19"/>
      <c r="AF144" s="19"/>
      <c r="AG144" s="19"/>
    </row>
    <row r="145" spans="1:33" hidden="1" outlineLevel="3" x14ac:dyDescent="0.2">
      <c r="A145" s="19"/>
      <c r="B145" s="19"/>
      <c r="C145" s="506">
        <f t="shared" si="5"/>
        <v>0</v>
      </c>
      <c r="D145" s="505">
        <f t="shared" si="5"/>
        <v>0</v>
      </c>
      <c r="E145" s="505">
        <f t="shared" si="5"/>
        <v>0</v>
      </c>
      <c r="F145" s="505">
        <f t="shared" si="5"/>
        <v>0</v>
      </c>
      <c r="G145" s="505">
        <f t="shared" si="5"/>
        <v>0</v>
      </c>
      <c r="H145" s="58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7"/>
      <c r="AD145" s="19"/>
      <c r="AE145" s="19"/>
      <c r="AF145" s="19"/>
      <c r="AG145" s="19"/>
    </row>
    <row r="146" spans="1:33" hidden="1" outlineLevel="3" x14ac:dyDescent="0.2">
      <c r="A146" s="19"/>
      <c r="B146" s="19"/>
      <c r="C146" s="506">
        <f t="shared" ref="C146:G155" si="6">C68</f>
        <v>0</v>
      </c>
      <c r="D146" s="505">
        <f t="shared" si="6"/>
        <v>0</v>
      </c>
      <c r="E146" s="505">
        <f t="shared" si="6"/>
        <v>0</v>
      </c>
      <c r="F146" s="505">
        <f t="shared" si="6"/>
        <v>0</v>
      </c>
      <c r="G146" s="505">
        <f t="shared" si="6"/>
        <v>0</v>
      </c>
      <c r="H146" s="58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7"/>
      <c r="AD146" s="19"/>
      <c r="AE146" s="19"/>
      <c r="AF146" s="19"/>
      <c r="AG146" s="19"/>
    </row>
    <row r="147" spans="1:33" hidden="1" outlineLevel="3" x14ac:dyDescent="0.2">
      <c r="A147" s="19"/>
      <c r="B147" s="19"/>
      <c r="C147" s="506">
        <f t="shared" si="6"/>
        <v>0</v>
      </c>
      <c r="D147" s="505">
        <f t="shared" si="6"/>
        <v>0</v>
      </c>
      <c r="E147" s="505">
        <f t="shared" si="6"/>
        <v>0</v>
      </c>
      <c r="F147" s="505">
        <f t="shared" si="6"/>
        <v>0</v>
      </c>
      <c r="G147" s="505">
        <f t="shared" si="6"/>
        <v>0</v>
      </c>
      <c r="H147" s="58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7"/>
      <c r="AD147" s="19"/>
      <c r="AE147" s="19"/>
      <c r="AF147" s="19"/>
      <c r="AG147" s="19"/>
    </row>
    <row r="148" spans="1:33" hidden="1" outlineLevel="3" x14ac:dyDescent="0.2">
      <c r="A148" s="19"/>
      <c r="B148" s="19"/>
      <c r="C148" s="506">
        <f t="shared" si="6"/>
        <v>0</v>
      </c>
      <c r="D148" s="505">
        <f t="shared" si="6"/>
        <v>0</v>
      </c>
      <c r="E148" s="505">
        <f t="shared" si="6"/>
        <v>0</v>
      </c>
      <c r="F148" s="505">
        <f t="shared" si="6"/>
        <v>0</v>
      </c>
      <c r="G148" s="505">
        <f t="shared" si="6"/>
        <v>0</v>
      </c>
      <c r="H148" s="58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7"/>
      <c r="AD148" s="19"/>
      <c r="AE148" s="19"/>
      <c r="AF148" s="19"/>
      <c r="AG148" s="19"/>
    </row>
    <row r="149" spans="1:33" hidden="1" outlineLevel="3" x14ac:dyDescent="0.2">
      <c r="A149" s="19"/>
      <c r="B149" s="19"/>
      <c r="C149" s="506">
        <f t="shared" si="6"/>
        <v>0</v>
      </c>
      <c r="D149" s="505">
        <f t="shared" si="6"/>
        <v>0</v>
      </c>
      <c r="E149" s="505">
        <f t="shared" si="6"/>
        <v>0</v>
      </c>
      <c r="F149" s="505">
        <f t="shared" si="6"/>
        <v>0</v>
      </c>
      <c r="G149" s="505">
        <f t="shared" si="6"/>
        <v>0</v>
      </c>
      <c r="H149" s="58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7"/>
      <c r="AD149" s="19"/>
      <c r="AE149" s="19"/>
      <c r="AF149" s="19"/>
      <c r="AG149" s="19"/>
    </row>
    <row r="150" spans="1:33" hidden="1" outlineLevel="3" x14ac:dyDescent="0.2">
      <c r="A150" s="19"/>
      <c r="B150" s="19"/>
      <c r="C150" s="506">
        <f t="shared" si="6"/>
        <v>0</v>
      </c>
      <c r="D150" s="505">
        <f t="shared" si="6"/>
        <v>0</v>
      </c>
      <c r="E150" s="505">
        <f t="shared" si="6"/>
        <v>0</v>
      </c>
      <c r="F150" s="505">
        <f t="shared" si="6"/>
        <v>0</v>
      </c>
      <c r="G150" s="505">
        <f t="shared" si="6"/>
        <v>0</v>
      </c>
      <c r="H150" s="58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7"/>
      <c r="AD150" s="19"/>
      <c r="AE150" s="19"/>
      <c r="AF150" s="19"/>
      <c r="AG150" s="19"/>
    </row>
    <row r="151" spans="1:33" hidden="1" outlineLevel="3" x14ac:dyDescent="0.2">
      <c r="A151" s="19"/>
      <c r="B151" s="19"/>
      <c r="C151" s="506">
        <f t="shared" si="6"/>
        <v>0</v>
      </c>
      <c r="D151" s="505">
        <f t="shared" si="6"/>
        <v>0</v>
      </c>
      <c r="E151" s="505">
        <f t="shared" si="6"/>
        <v>0</v>
      </c>
      <c r="F151" s="505">
        <f t="shared" si="6"/>
        <v>0</v>
      </c>
      <c r="G151" s="505">
        <f t="shared" si="6"/>
        <v>0</v>
      </c>
      <c r="H151" s="58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7"/>
      <c r="AD151" s="19"/>
      <c r="AE151" s="19"/>
      <c r="AF151" s="19"/>
      <c r="AG151" s="19"/>
    </row>
    <row r="152" spans="1:33" hidden="1" outlineLevel="3" x14ac:dyDescent="0.2">
      <c r="A152" s="19"/>
      <c r="B152" s="19"/>
      <c r="C152" s="506">
        <f t="shared" si="6"/>
        <v>0</v>
      </c>
      <c r="D152" s="505">
        <f t="shared" si="6"/>
        <v>0</v>
      </c>
      <c r="E152" s="505">
        <f t="shared" si="6"/>
        <v>0</v>
      </c>
      <c r="F152" s="505">
        <f t="shared" si="6"/>
        <v>0</v>
      </c>
      <c r="G152" s="505">
        <f t="shared" si="6"/>
        <v>0</v>
      </c>
      <c r="H152" s="58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7"/>
      <c r="AD152" s="19"/>
      <c r="AE152" s="19"/>
      <c r="AF152" s="19"/>
      <c r="AG152" s="19"/>
    </row>
    <row r="153" spans="1:33" hidden="1" outlineLevel="3" x14ac:dyDescent="0.2">
      <c r="A153" s="19"/>
      <c r="B153" s="19"/>
      <c r="C153" s="506">
        <f t="shared" si="6"/>
        <v>0</v>
      </c>
      <c r="D153" s="505">
        <f t="shared" si="6"/>
        <v>0</v>
      </c>
      <c r="E153" s="505">
        <f t="shared" si="6"/>
        <v>0</v>
      </c>
      <c r="F153" s="505">
        <f t="shared" si="6"/>
        <v>0</v>
      </c>
      <c r="G153" s="505">
        <f t="shared" si="6"/>
        <v>0</v>
      </c>
      <c r="H153" s="58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7"/>
      <c r="AD153" s="19"/>
      <c r="AE153" s="19"/>
      <c r="AF153" s="19"/>
      <c r="AG153" s="19"/>
    </row>
    <row r="154" spans="1:33" hidden="1" outlineLevel="3" x14ac:dyDescent="0.2">
      <c r="A154" s="19"/>
      <c r="B154" s="19"/>
      <c r="C154" s="506">
        <f t="shared" si="6"/>
        <v>0</v>
      </c>
      <c r="D154" s="505">
        <f t="shared" si="6"/>
        <v>0</v>
      </c>
      <c r="E154" s="505">
        <f t="shared" si="6"/>
        <v>0</v>
      </c>
      <c r="F154" s="505">
        <f t="shared" si="6"/>
        <v>0</v>
      </c>
      <c r="G154" s="505">
        <f t="shared" si="6"/>
        <v>0</v>
      </c>
      <c r="H154" s="58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7"/>
      <c r="AD154" s="19"/>
      <c r="AE154" s="19"/>
      <c r="AF154" s="19"/>
      <c r="AG154" s="19"/>
    </row>
    <row r="155" spans="1:33" hidden="1" outlineLevel="3" x14ac:dyDescent="0.2">
      <c r="A155" s="19"/>
      <c r="B155" s="19"/>
      <c r="C155" s="506">
        <f t="shared" si="6"/>
        <v>0</v>
      </c>
      <c r="D155" s="505">
        <f t="shared" si="6"/>
        <v>0</v>
      </c>
      <c r="E155" s="505">
        <f t="shared" si="6"/>
        <v>0</v>
      </c>
      <c r="F155" s="505">
        <f t="shared" si="6"/>
        <v>0</v>
      </c>
      <c r="G155" s="505">
        <f t="shared" si="6"/>
        <v>0</v>
      </c>
      <c r="H155" s="58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7"/>
      <c r="AD155" s="19"/>
      <c r="AE155" s="19"/>
      <c r="AF155" s="19"/>
      <c r="AG155" s="19"/>
    </row>
    <row r="156" spans="1:33" hidden="1" outlineLevel="3" x14ac:dyDescent="0.2">
      <c r="A156" s="19"/>
      <c r="B156" s="19"/>
      <c r="C156" s="506">
        <f t="shared" ref="C156:G160" si="7">C78</f>
        <v>0</v>
      </c>
      <c r="D156" s="505">
        <f t="shared" si="7"/>
        <v>0</v>
      </c>
      <c r="E156" s="505">
        <f t="shared" si="7"/>
        <v>0</v>
      </c>
      <c r="F156" s="505">
        <f t="shared" si="7"/>
        <v>0</v>
      </c>
      <c r="G156" s="505">
        <f t="shared" si="7"/>
        <v>0</v>
      </c>
      <c r="H156" s="58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7"/>
      <c r="AD156" s="19"/>
      <c r="AE156" s="19"/>
      <c r="AF156" s="19"/>
      <c r="AG156" s="19"/>
    </row>
    <row r="157" spans="1:33" hidden="1" outlineLevel="3" x14ac:dyDescent="0.2">
      <c r="A157" s="19"/>
      <c r="B157" s="19"/>
      <c r="C157" s="506">
        <f t="shared" si="7"/>
        <v>0</v>
      </c>
      <c r="D157" s="505">
        <f t="shared" si="7"/>
        <v>0</v>
      </c>
      <c r="E157" s="505">
        <f t="shared" si="7"/>
        <v>0</v>
      </c>
      <c r="F157" s="505">
        <f t="shared" si="7"/>
        <v>0</v>
      </c>
      <c r="G157" s="505">
        <f t="shared" si="7"/>
        <v>0</v>
      </c>
      <c r="H157" s="58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7"/>
      <c r="AD157" s="19"/>
      <c r="AE157" s="19"/>
      <c r="AF157" s="19"/>
      <c r="AG157" s="19"/>
    </row>
    <row r="158" spans="1:33" hidden="1" outlineLevel="3" x14ac:dyDescent="0.2">
      <c r="A158" s="19"/>
      <c r="B158" s="19"/>
      <c r="C158" s="506">
        <f t="shared" si="7"/>
        <v>0</v>
      </c>
      <c r="D158" s="505">
        <f t="shared" si="7"/>
        <v>0</v>
      </c>
      <c r="E158" s="505">
        <f t="shared" si="7"/>
        <v>0</v>
      </c>
      <c r="F158" s="505">
        <f t="shared" si="7"/>
        <v>0</v>
      </c>
      <c r="G158" s="505">
        <f t="shared" si="7"/>
        <v>0</v>
      </c>
      <c r="H158" s="58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7"/>
      <c r="AD158" s="19"/>
      <c r="AE158" s="19"/>
      <c r="AF158" s="19"/>
      <c r="AG158" s="19"/>
    </row>
    <row r="159" spans="1:33" hidden="1" outlineLevel="3" x14ac:dyDescent="0.2">
      <c r="A159" s="19"/>
      <c r="B159" s="19"/>
      <c r="C159" s="506">
        <f t="shared" si="7"/>
        <v>0</v>
      </c>
      <c r="D159" s="505">
        <f t="shared" si="7"/>
        <v>0</v>
      </c>
      <c r="E159" s="505">
        <f t="shared" si="7"/>
        <v>0</v>
      </c>
      <c r="F159" s="505">
        <f t="shared" si="7"/>
        <v>0</v>
      </c>
      <c r="G159" s="505">
        <f t="shared" si="7"/>
        <v>0</v>
      </c>
      <c r="H159" s="58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7"/>
      <c r="AD159" s="19"/>
      <c r="AE159" s="19"/>
      <c r="AF159" s="19"/>
      <c r="AG159" s="19"/>
    </row>
    <row r="160" spans="1:33" hidden="1" outlineLevel="3" x14ac:dyDescent="0.2">
      <c r="A160" s="19"/>
      <c r="B160" s="19"/>
      <c r="C160" s="506">
        <f t="shared" si="7"/>
        <v>0</v>
      </c>
      <c r="D160" s="505">
        <f t="shared" si="7"/>
        <v>0</v>
      </c>
      <c r="E160" s="505">
        <f t="shared" si="7"/>
        <v>0</v>
      </c>
      <c r="F160" s="505">
        <f t="shared" si="7"/>
        <v>0</v>
      </c>
      <c r="G160" s="505">
        <f t="shared" si="7"/>
        <v>0</v>
      </c>
      <c r="H160" s="58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7"/>
      <c r="AD160" s="19"/>
      <c r="AE160" s="19"/>
      <c r="AF160" s="19"/>
      <c r="AG160" s="19"/>
    </row>
    <row r="161" spans="1:33" outlineLevel="2" collapsed="1" x14ac:dyDescent="0.2">
      <c r="A161" s="19"/>
      <c r="B161" s="19"/>
      <c r="C161" s="66"/>
      <c r="D161" s="58"/>
      <c r="E161" s="58"/>
      <c r="F161" s="58"/>
      <c r="G161" s="58"/>
      <c r="H161" s="58"/>
      <c r="I161" s="186"/>
      <c r="J161" s="186"/>
      <c r="K161" s="187"/>
      <c r="L161" s="187"/>
      <c r="M161" s="187"/>
      <c r="N161" s="188"/>
      <c r="O161" s="188"/>
      <c r="P161" s="188"/>
      <c r="Q161" s="188"/>
      <c r="R161" s="188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9"/>
      <c r="AE161" s="19"/>
      <c r="AF161" s="19"/>
      <c r="AG161" s="19"/>
    </row>
    <row r="162" spans="1:33" outlineLevel="1" x14ac:dyDescent="0.2">
      <c r="A162" s="19"/>
      <c r="B162" s="19"/>
      <c r="C162" s="66"/>
      <c r="D162" s="58"/>
      <c r="E162" s="58"/>
      <c r="F162" s="58"/>
      <c r="G162" s="58"/>
      <c r="H162" s="58"/>
      <c r="I162" s="186"/>
      <c r="J162" s="186"/>
      <c r="K162" s="187"/>
      <c r="L162" s="187"/>
      <c r="M162" s="187"/>
      <c r="N162" s="188"/>
      <c r="O162" s="188"/>
      <c r="P162" s="188"/>
      <c r="Q162" s="188"/>
      <c r="R162" s="188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9"/>
      <c r="AE162" s="19"/>
      <c r="AF162" s="19"/>
      <c r="AG162" s="19"/>
    </row>
    <row r="163" spans="1:33" outlineLevel="1" x14ac:dyDescent="0.2">
      <c r="A163" s="19"/>
      <c r="B163" s="19"/>
      <c r="C163" s="167" t="s">
        <v>220</v>
      </c>
      <c r="D163" s="20"/>
      <c r="E163" s="20"/>
      <c r="F163" s="20"/>
      <c r="G163" s="22"/>
      <c r="H163" s="22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9"/>
      <c r="AE163" s="19"/>
      <c r="AF163" s="19"/>
      <c r="AG163" s="19"/>
    </row>
    <row r="164" spans="1:33" hidden="1" outlineLevel="2" x14ac:dyDescent="0.2">
      <c r="A164" s="19"/>
      <c r="B164" s="19"/>
      <c r="C164" s="506" t="str">
        <f t="shared" ref="C164:G173" si="8">C8</f>
        <v>Residential time of use consumption</v>
      </c>
      <c r="D164" s="505" t="str">
        <f t="shared" si="8"/>
        <v>Residential</v>
      </c>
      <c r="E164" s="505" t="str">
        <f t="shared" si="8"/>
        <v>TAS93</v>
      </c>
      <c r="F164" s="505">
        <f t="shared" si="8"/>
        <v>0</v>
      </c>
      <c r="G164" s="505">
        <f t="shared" si="8"/>
        <v>0</v>
      </c>
      <c r="H164" s="22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7"/>
      <c r="AD164" s="19"/>
      <c r="AE164" s="19"/>
      <c r="AF164" s="19"/>
      <c r="AG164" s="19"/>
    </row>
    <row r="165" spans="1:33" s="59" customFormat="1" hidden="1" outlineLevel="2" x14ac:dyDescent="0.2">
      <c r="A165" s="57"/>
      <c r="B165" s="57"/>
      <c r="C165" s="506" t="str">
        <f t="shared" si="8"/>
        <v>Residential general light and power</v>
      </c>
      <c r="D165" s="505" t="str">
        <f t="shared" si="8"/>
        <v>Residential</v>
      </c>
      <c r="E165" s="505" t="str">
        <f t="shared" si="8"/>
        <v>TAS31</v>
      </c>
      <c r="F165" s="505">
        <f t="shared" si="8"/>
        <v>0</v>
      </c>
      <c r="G165" s="505">
        <f t="shared" si="8"/>
        <v>0</v>
      </c>
      <c r="H165" s="58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6"/>
      <c r="AD165" s="57"/>
      <c r="AE165" s="57"/>
      <c r="AF165" s="57"/>
      <c r="AG165" s="57"/>
    </row>
    <row r="166" spans="1:33" hidden="1" outlineLevel="2" x14ac:dyDescent="0.2">
      <c r="A166" s="19"/>
      <c r="B166" s="19"/>
      <c r="C166" s="506" t="str">
        <f t="shared" si="8"/>
        <v>Residential time of use demand</v>
      </c>
      <c r="D166" s="505" t="str">
        <f t="shared" si="8"/>
        <v>Residential</v>
      </c>
      <c r="E166" s="505" t="str">
        <f t="shared" si="8"/>
        <v>TAS87</v>
      </c>
      <c r="F166" s="505">
        <f t="shared" si="8"/>
        <v>0</v>
      </c>
      <c r="G166" s="505">
        <f t="shared" si="8"/>
        <v>0</v>
      </c>
      <c r="H166" s="58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  <c r="AA166" s="185"/>
      <c r="AB166" s="185"/>
      <c r="AC166" s="187"/>
      <c r="AD166" s="19"/>
      <c r="AE166" s="19"/>
      <c r="AF166" s="19"/>
      <c r="AG166" s="19"/>
    </row>
    <row r="167" spans="1:33" hidden="1" outlineLevel="2" x14ac:dyDescent="0.2">
      <c r="A167" s="19"/>
      <c r="B167" s="19"/>
      <c r="C167" s="506" t="str">
        <f t="shared" si="8"/>
        <v>Residential time of use demand DER</v>
      </c>
      <c r="D167" s="505" t="str">
        <f t="shared" si="8"/>
        <v>Residential</v>
      </c>
      <c r="E167" s="505" t="str">
        <f t="shared" si="8"/>
        <v>TAS97</v>
      </c>
      <c r="F167" s="505">
        <f t="shared" si="8"/>
        <v>0</v>
      </c>
      <c r="G167" s="505">
        <f t="shared" si="8"/>
        <v>0</v>
      </c>
      <c r="H167" s="58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7"/>
      <c r="AD167" s="19"/>
      <c r="AE167" s="19"/>
      <c r="AF167" s="19"/>
      <c r="AG167" s="19"/>
    </row>
    <row r="168" spans="1:33" hidden="1" outlineLevel="2" x14ac:dyDescent="0.2">
      <c r="A168" s="19"/>
      <c r="B168" s="19"/>
      <c r="C168" s="506" t="str">
        <f t="shared" si="8"/>
        <v>Residential pay as you go</v>
      </c>
      <c r="D168" s="505" t="str">
        <f t="shared" si="8"/>
        <v>Residential</v>
      </c>
      <c r="E168" s="505" t="str">
        <f t="shared" si="8"/>
        <v>TAS101</v>
      </c>
      <c r="F168" s="505">
        <f t="shared" si="8"/>
        <v>0</v>
      </c>
      <c r="G168" s="505">
        <f t="shared" si="8"/>
        <v>0</v>
      </c>
      <c r="H168" s="58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7"/>
      <c r="AD168" s="19"/>
      <c r="AE168" s="19"/>
      <c r="AF168" s="19"/>
      <c r="AG168" s="19"/>
    </row>
    <row r="169" spans="1:33" hidden="1" outlineLevel="2" x14ac:dyDescent="0.2">
      <c r="A169" s="19"/>
      <c r="B169" s="19"/>
      <c r="C169" s="506" t="str">
        <f t="shared" si="8"/>
        <v>Residential pay as you go time of use</v>
      </c>
      <c r="D169" s="505" t="str">
        <f t="shared" si="8"/>
        <v>Residential</v>
      </c>
      <c r="E169" s="505" t="str">
        <f t="shared" si="8"/>
        <v>TAS92</v>
      </c>
      <c r="F169" s="505">
        <f t="shared" si="8"/>
        <v>0</v>
      </c>
      <c r="G169" s="505">
        <f t="shared" si="8"/>
        <v>0</v>
      </c>
      <c r="H169" s="58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7"/>
      <c r="AD169" s="19"/>
      <c r="AE169" s="19"/>
      <c r="AF169" s="19"/>
      <c r="AG169" s="19"/>
    </row>
    <row r="170" spans="1:33" hidden="1" outlineLevel="2" x14ac:dyDescent="0.2">
      <c r="A170" s="19"/>
      <c r="B170" s="19"/>
      <c r="C170" s="506" t="str">
        <f t="shared" si="8"/>
        <v>Small business time of use consumption</v>
      </c>
      <c r="D170" s="505" t="str">
        <f t="shared" si="8"/>
        <v>Small Business LV</v>
      </c>
      <c r="E170" s="505" t="str">
        <f t="shared" si="8"/>
        <v>TAS94</v>
      </c>
      <c r="F170" s="505">
        <f t="shared" si="8"/>
        <v>0</v>
      </c>
      <c r="G170" s="505">
        <f t="shared" si="8"/>
        <v>0</v>
      </c>
      <c r="H170" s="58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7"/>
      <c r="AD170" s="19"/>
      <c r="AE170" s="19"/>
      <c r="AF170" s="19"/>
      <c r="AG170" s="19"/>
    </row>
    <row r="171" spans="1:33" hidden="1" outlineLevel="2" x14ac:dyDescent="0.2">
      <c r="A171" s="19"/>
      <c r="B171" s="19"/>
      <c r="C171" s="506" t="str">
        <f t="shared" si="8"/>
        <v>Small business general light and power</v>
      </c>
      <c r="D171" s="505" t="str">
        <f t="shared" si="8"/>
        <v>Small Business LV</v>
      </c>
      <c r="E171" s="505" t="str">
        <f t="shared" si="8"/>
        <v>TAS22</v>
      </c>
      <c r="F171" s="505">
        <f t="shared" si="8"/>
        <v>0</v>
      </c>
      <c r="G171" s="505">
        <f t="shared" si="8"/>
        <v>0</v>
      </c>
      <c r="H171" s="58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7"/>
      <c r="AD171" s="19"/>
      <c r="AE171" s="19"/>
      <c r="AF171" s="19"/>
      <c r="AG171" s="19"/>
    </row>
    <row r="172" spans="1:33" hidden="1" outlineLevel="2" x14ac:dyDescent="0.2">
      <c r="A172" s="19"/>
      <c r="B172" s="19"/>
      <c r="C172" s="506" t="str">
        <f t="shared" si="8"/>
        <v>Small business time of use demand</v>
      </c>
      <c r="D172" s="505" t="str">
        <f t="shared" si="8"/>
        <v>Small Business LV</v>
      </c>
      <c r="E172" s="505" t="str">
        <f t="shared" si="8"/>
        <v>TAS88</v>
      </c>
      <c r="F172" s="505">
        <f t="shared" si="8"/>
        <v>0</v>
      </c>
      <c r="G172" s="505">
        <f t="shared" si="8"/>
        <v>0</v>
      </c>
      <c r="H172" s="58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7"/>
      <c r="AD172" s="19"/>
      <c r="AE172" s="19"/>
      <c r="AF172" s="19"/>
      <c r="AG172" s="19"/>
    </row>
    <row r="173" spans="1:33" hidden="1" outlineLevel="2" x14ac:dyDescent="0.2">
      <c r="A173" s="19"/>
      <c r="B173" s="19"/>
      <c r="C173" s="506" t="str">
        <f t="shared" si="8"/>
        <v>Small business time of use demand DER</v>
      </c>
      <c r="D173" s="505" t="str">
        <f t="shared" si="8"/>
        <v>Small Business LV</v>
      </c>
      <c r="E173" s="505" t="str">
        <f t="shared" si="8"/>
        <v>TAS98</v>
      </c>
      <c r="F173" s="505">
        <f t="shared" si="8"/>
        <v>0</v>
      </c>
      <c r="G173" s="505">
        <f t="shared" si="8"/>
        <v>0</v>
      </c>
      <c r="H173" s="58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7"/>
      <c r="AD173" s="19"/>
      <c r="AE173" s="19"/>
      <c r="AF173" s="19"/>
      <c r="AG173" s="19"/>
    </row>
    <row r="174" spans="1:33" hidden="1" outlineLevel="2" x14ac:dyDescent="0.2">
      <c r="A174" s="19"/>
      <c r="B174" s="19"/>
      <c r="C174" s="506" t="str">
        <f t="shared" ref="C174:G183" si="9">C18</f>
        <v>Large business kVA demand</v>
      </c>
      <c r="D174" s="505" t="str">
        <f t="shared" si="9"/>
        <v>Large Business LV</v>
      </c>
      <c r="E174" s="505" t="str">
        <f t="shared" si="9"/>
        <v>TAS82</v>
      </c>
      <c r="F174" s="505">
        <f t="shared" si="9"/>
        <v>0</v>
      </c>
      <c r="G174" s="505">
        <f t="shared" si="9"/>
        <v>0</v>
      </c>
      <c r="H174" s="58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7"/>
      <c r="AD174" s="19"/>
      <c r="AE174" s="19"/>
      <c r="AF174" s="19"/>
      <c r="AG174" s="19"/>
    </row>
    <row r="175" spans="1:33" hidden="1" outlineLevel="2" x14ac:dyDescent="0.2">
      <c r="A175" s="19"/>
      <c r="B175" s="19"/>
      <c r="C175" s="506" t="str">
        <f t="shared" si="9"/>
        <v>Large business time of use demand</v>
      </c>
      <c r="D175" s="505" t="str">
        <f t="shared" si="9"/>
        <v>Large Business LV</v>
      </c>
      <c r="E175" s="505" t="str">
        <f t="shared" si="9"/>
        <v>TAS89</v>
      </c>
      <c r="F175" s="505">
        <f t="shared" si="9"/>
        <v>0</v>
      </c>
      <c r="G175" s="505">
        <f t="shared" si="9"/>
        <v>0</v>
      </c>
      <c r="H175" s="58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7"/>
      <c r="AD175" s="19"/>
      <c r="AE175" s="19"/>
      <c r="AF175" s="19"/>
      <c r="AG175" s="19"/>
    </row>
    <row r="176" spans="1:33" hidden="1" outlineLevel="2" x14ac:dyDescent="0.2">
      <c r="A176" s="19"/>
      <c r="B176" s="19"/>
      <c r="C176" s="506" t="str">
        <f t="shared" si="9"/>
        <v>Irrigation time of use consumption</v>
      </c>
      <c r="D176" s="505" t="str">
        <f t="shared" si="9"/>
        <v>Irrigation</v>
      </c>
      <c r="E176" s="505" t="str">
        <f t="shared" si="9"/>
        <v>TAS75</v>
      </c>
      <c r="F176" s="505">
        <f t="shared" si="9"/>
        <v>0</v>
      </c>
      <c r="G176" s="505">
        <f t="shared" si="9"/>
        <v>0</v>
      </c>
      <c r="H176" s="58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7"/>
      <c r="AD176" s="19"/>
      <c r="AE176" s="19"/>
      <c r="AF176" s="19"/>
      <c r="AG176" s="19"/>
    </row>
    <row r="177" spans="1:33" hidden="1" outlineLevel="2" x14ac:dyDescent="0.2">
      <c r="A177" s="19"/>
      <c r="B177" s="19"/>
      <c r="C177" s="506" t="str">
        <f t="shared" si="9"/>
        <v>Business HV kVA specified demand &lt;2MVA</v>
      </c>
      <c r="D177" s="505" t="str">
        <f t="shared" si="9"/>
        <v>Large Business HV</v>
      </c>
      <c r="E177" s="505" t="str">
        <f t="shared" si="9"/>
        <v>TASSDM</v>
      </c>
      <c r="F177" s="505">
        <f t="shared" si="9"/>
        <v>0</v>
      </c>
      <c r="G177" s="505">
        <f t="shared" si="9"/>
        <v>0</v>
      </c>
      <c r="H177" s="58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7"/>
      <c r="AD177" s="19"/>
      <c r="AE177" s="19"/>
      <c r="AF177" s="19"/>
      <c r="AG177" s="19"/>
    </row>
    <row r="178" spans="1:33" hidden="1" outlineLevel="2" x14ac:dyDescent="0.2">
      <c r="A178" s="19"/>
      <c r="B178" s="19"/>
      <c r="C178" s="506" t="str">
        <f t="shared" si="9"/>
        <v>Business HV kVA specified demand &gt;2MVA</v>
      </c>
      <c r="D178" s="505" t="str">
        <f t="shared" si="9"/>
        <v>Large Business HV</v>
      </c>
      <c r="E178" s="505" t="str">
        <f t="shared" si="9"/>
        <v>TAS15*</v>
      </c>
      <c r="F178" s="505">
        <f t="shared" si="9"/>
        <v>0</v>
      </c>
      <c r="G178" s="505">
        <f t="shared" si="9"/>
        <v>0</v>
      </c>
      <c r="H178" s="58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7"/>
      <c r="AD178" s="19"/>
      <c r="AE178" s="19"/>
      <c r="AF178" s="19"/>
      <c r="AG178" s="19"/>
    </row>
    <row r="179" spans="1:33" hidden="1" outlineLevel="2" x14ac:dyDescent="0.2">
      <c r="A179" s="19"/>
      <c r="B179" s="19"/>
      <c r="C179" s="506" t="str">
        <f t="shared" si="9"/>
        <v>Uncontrolled low voltage heating and hot water</v>
      </c>
      <c r="D179" s="505" t="str">
        <f t="shared" si="9"/>
        <v>Uncontrolled energy</v>
      </c>
      <c r="E179" s="505" t="str">
        <f t="shared" si="9"/>
        <v>TAS41</v>
      </c>
      <c r="F179" s="505">
        <f t="shared" si="9"/>
        <v>0</v>
      </c>
      <c r="G179" s="505">
        <f t="shared" si="9"/>
        <v>0</v>
      </c>
      <c r="H179" s="58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7"/>
      <c r="AD179" s="19"/>
      <c r="AE179" s="19"/>
      <c r="AF179" s="19"/>
      <c r="AG179" s="19"/>
    </row>
    <row r="180" spans="1:33" hidden="1" outlineLevel="2" x14ac:dyDescent="0.2">
      <c r="A180" s="19"/>
      <c r="B180" s="19"/>
      <c r="C180" s="506" t="str">
        <f t="shared" si="9"/>
        <v>Controlled low voltage night period only</v>
      </c>
      <c r="D180" s="505" t="str">
        <f t="shared" si="9"/>
        <v>Controlled energy</v>
      </c>
      <c r="E180" s="505" t="str">
        <f t="shared" si="9"/>
        <v>TAS63</v>
      </c>
      <c r="F180" s="505">
        <f t="shared" si="9"/>
        <v>0</v>
      </c>
      <c r="G180" s="505">
        <f t="shared" si="9"/>
        <v>0</v>
      </c>
      <c r="H180" s="58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7"/>
      <c r="AD180" s="19"/>
      <c r="AE180" s="19"/>
      <c r="AF180" s="19"/>
      <c r="AG180" s="19"/>
    </row>
    <row r="181" spans="1:33" hidden="1" outlineLevel="2" x14ac:dyDescent="0.2">
      <c r="A181" s="19"/>
      <c r="B181" s="19"/>
      <c r="C181" s="506" t="str">
        <f t="shared" si="9"/>
        <v>Controlled low voltage off peak with afternoon boost</v>
      </c>
      <c r="D181" s="505" t="str">
        <f t="shared" si="9"/>
        <v>Controlled energy</v>
      </c>
      <c r="E181" s="505" t="str">
        <f t="shared" si="9"/>
        <v>TAS61</v>
      </c>
      <c r="F181" s="505">
        <f t="shared" si="9"/>
        <v>0</v>
      </c>
      <c r="G181" s="505">
        <f t="shared" si="9"/>
        <v>0</v>
      </c>
      <c r="H181" s="58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7"/>
      <c r="AD181" s="19"/>
      <c r="AE181" s="19"/>
      <c r="AF181" s="19"/>
      <c r="AG181" s="19"/>
    </row>
    <row r="182" spans="1:33" hidden="1" outlineLevel="2" x14ac:dyDescent="0.2">
      <c r="A182" s="19"/>
      <c r="B182" s="19"/>
      <c r="C182" s="506" t="str">
        <f t="shared" si="9"/>
        <v>Unmetered supply general</v>
      </c>
      <c r="D182" s="505" t="str">
        <f t="shared" si="9"/>
        <v>Unmetered supplies</v>
      </c>
      <c r="E182" s="505" t="str">
        <f t="shared" si="9"/>
        <v>TASUMS</v>
      </c>
      <c r="F182" s="505">
        <f t="shared" si="9"/>
        <v>0</v>
      </c>
      <c r="G182" s="505">
        <f t="shared" si="9"/>
        <v>0</v>
      </c>
      <c r="H182" s="58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5"/>
      <c r="AC182" s="187"/>
      <c r="AD182" s="19"/>
      <c r="AE182" s="19"/>
      <c r="AF182" s="19"/>
      <c r="AG182" s="19"/>
    </row>
    <row r="183" spans="1:33" hidden="1" outlineLevel="2" x14ac:dyDescent="0.2">
      <c r="A183" s="19"/>
      <c r="B183" s="19"/>
      <c r="C183" s="506" t="str">
        <f t="shared" si="9"/>
        <v>Street lighting</v>
      </c>
      <c r="D183" s="505" t="str">
        <f t="shared" si="9"/>
        <v>Street lighting</v>
      </c>
      <c r="E183" s="505" t="str">
        <f t="shared" si="9"/>
        <v>TASUMSSL</v>
      </c>
      <c r="F183" s="505">
        <f t="shared" si="9"/>
        <v>0</v>
      </c>
      <c r="G183" s="505">
        <f t="shared" si="9"/>
        <v>0</v>
      </c>
      <c r="H183" s="58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7"/>
      <c r="AD183" s="19"/>
      <c r="AE183" s="19"/>
      <c r="AF183" s="19"/>
      <c r="AG183" s="19"/>
    </row>
    <row r="184" spans="1:33" hidden="1" outlineLevel="2" x14ac:dyDescent="0.2">
      <c r="A184" s="19"/>
      <c r="B184" s="19"/>
      <c r="C184" s="506">
        <f t="shared" ref="C184:G193" si="10">C28</f>
        <v>0</v>
      </c>
      <c r="D184" s="505">
        <f t="shared" si="10"/>
        <v>0</v>
      </c>
      <c r="E184" s="505">
        <f t="shared" si="10"/>
        <v>0</v>
      </c>
      <c r="F184" s="505">
        <f t="shared" si="10"/>
        <v>0</v>
      </c>
      <c r="G184" s="505">
        <f t="shared" si="10"/>
        <v>0</v>
      </c>
      <c r="H184" s="58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7"/>
      <c r="AD184" s="19"/>
      <c r="AE184" s="19"/>
      <c r="AF184" s="19"/>
      <c r="AG184" s="19"/>
    </row>
    <row r="185" spans="1:33" hidden="1" outlineLevel="2" x14ac:dyDescent="0.2">
      <c r="A185" s="19"/>
      <c r="B185" s="19"/>
      <c r="C185" s="506">
        <f t="shared" si="10"/>
        <v>0</v>
      </c>
      <c r="D185" s="505">
        <f t="shared" si="10"/>
        <v>0</v>
      </c>
      <c r="E185" s="505">
        <f t="shared" si="10"/>
        <v>0</v>
      </c>
      <c r="F185" s="505">
        <f t="shared" si="10"/>
        <v>0</v>
      </c>
      <c r="G185" s="505">
        <f t="shared" si="10"/>
        <v>0</v>
      </c>
      <c r="H185" s="58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5"/>
      <c r="AC185" s="187"/>
      <c r="AD185" s="19"/>
      <c r="AE185" s="19"/>
      <c r="AF185" s="19"/>
      <c r="AG185" s="19"/>
    </row>
    <row r="186" spans="1:33" hidden="1" outlineLevel="2" x14ac:dyDescent="0.2">
      <c r="A186" s="19"/>
      <c r="B186" s="19"/>
      <c r="C186" s="506">
        <f t="shared" si="10"/>
        <v>0</v>
      </c>
      <c r="D186" s="505">
        <f t="shared" si="10"/>
        <v>0</v>
      </c>
      <c r="E186" s="505">
        <f t="shared" si="10"/>
        <v>0</v>
      </c>
      <c r="F186" s="505">
        <f t="shared" si="10"/>
        <v>0</v>
      </c>
      <c r="G186" s="505">
        <f t="shared" si="10"/>
        <v>0</v>
      </c>
      <c r="H186" s="58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7"/>
      <c r="AD186" s="19"/>
      <c r="AE186" s="19"/>
      <c r="AF186" s="19"/>
      <c r="AG186" s="19"/>
    </row>
    <row r="187" spans="1:33" hidden="1" outlineLevel="2" x14ac:dyDescent="0.2">
      <c r="A187" s="19"/>
      <c r="B187" s="19"/>
      <c r="C187" s="506">
        <f t="shared" si="10"/>
        <v>0</v>
      </c>
      <c r="D187" s="505">
        <f t="shared" si="10"/>
        <v>0</v>
      </c>
      <c r="E187" s="505">
        <f t="shared" si="10"/>
        <v>0</v>
      </c>
      <c r="F187" s="505">
        <f t="shared" si="10"/>
        <v>0</v>
      </c>
      <c r="G187" s="505">
        <f t="shared" si="10"/>
        <v>0</v>
      </c>
      <c r="H187" s="58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7"/>
      <c r="AD187" s="19"/>
      <c r="AE187" s="19"/>
      <c r="AF187" s="19"/>
      <c r="AG187" s="19"/>
    </row>
    <row r="188" spans="1:33" hidden="1" outlineLevel="2" x14ac:dyDescent="0.2">
      <c r="A188" s="19"/>
      <c r="B188" s="19"/>
      <c r="C188" s="506">
        <f t="shared" si="10"/>
        <v>0</v>
      </c>
      <c r="D188" s="505">
        <f t="shared" si="10"/>
        <v>0</v>
      </c>
      <c r="E188" s="505">
        <f t="shared" si="10"/>
        <v>0</v>
      </c>
      <c r="F188" s="505">
        <f t="shared" si="10"/>
        <v>0</v>
      </c>
      <c r="G188" s="505">
        <f t="shared" si="10"/>
        <v>0</v>
      </c>
      <c r="H188" s="58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7"/>
      <c r="AD188" s="19"/>
      <c r="AE188" s="19"/>
      <c r="AF188" s="19"/>
      <c r="AG188" s="19"/>
    </row>
    <row r="189" spans="1:33" hidden="1" outlineLevel="2" x14ac:dyDescent="0.2">
      <c r="A189" s="19"/>
      <c r="B189" s="19"/>
      <c r="C189" s="506">
        <f t="shared" si="10"/>
        <v>0</v>
      </c>
      <c r="D189" s="505">
        <f t="shared" si="10"/>
        <v>0</v>
      </c>
      <c r="E189" s="505">
        <f t="shared" si="10"/>
        <v>0</v>
      </c>
      <c r="F189" s="505">
        <f t="shared" si="10"/>
        <v>0</v>
      </c>
      <c r="G189" s="505">
        <f t="shared" si="10"/>
        <v>0</v>
      </c>
      <c r="H189" s="58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7"/>
      <c r="AD189" s="19"/>
      <c r="AE189" s="19"/>
      <c r="AF189" s="19"/>
      <c r="AG189" s="19"/>
    </row>
    <row r="190" spans="1:33" hidden="1" outlineLevel="2" x14ac:dyDescent="0.2">
      <c r="A190" s="19"/>
      <c r="B190" s="19"/>
      <c r="C190" s="506">
        <f t="shared" si="10"/>
        <v>0</v>
      </c>
      <c r="D190" s="505">
        <f t="shared" si="10"/>
        <v>0</v>
      </c>
      <c r="E190" s="505">
        <f t="shared" si="10"/>
        <v>0</v>
      </c>
      <c r="F190" s="505">
        <f t="shared" si="10"/>
        <v>0</v>
      </c>
      <c r="G190" s="505">
        <f t="shared" si="10"/>
        <v>0</v>
      </c>
      <c r="H190" s="58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7"/>
      <c r="AD190" s="19"/>
      <c r="AE190" s="19"/>
      <c r="AF190" s="19"/>
      <c r="AG190" s="19"/>
    </row>
    <row r="191" spans="1:33" hidden="1" outlineLevel="2" x14ac:dyDescent="0.2">
      <c r="A191" s="19"/>
      <c r="B191" s="19"/>
      <c r="C191" s="506">
        <f t="shared" si="10"/>
        <v>0</v>
      </c>
      <c r="D191" s="505">
        <f t="shared" si="10"/>
        <v>0</v>
      </c>
      <c r="E191" s="505">
        <f t="shared" si="10"/>
        <v>0</v>
      </c>
      <c r="F191" s="505">
        <f t="shared" si="10"/>
        <v>0</v>
      </c>
      <c r="G191" s="505">
        <f t="shared" si="10"/>
        <v>0</v>
      </c>
      <c r="H191" s="58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5"/>
      <c r="AC191" s="187"/>
      <c r="AD191" s="19"/>
      <c r="AE191" s="19"/>
      <c r="AF191" s="19"/>
      <c r="AG191" s="19"/>
    </row>
    <row r="192" spans="1:33" hidden="1" outlineLevel="2" x14ac:dyDescent="0.2">
      <c r="A192" s="19"/>
      <c r="B192" s="19"/>
      <c r="C192" s="506">
        <f t="shared" si="10"/>
        <v>0</v>
      </c>
      <c r="D192" s="505">
        <f t="shared" si="10"/>
        <v>0</v>
      </c>
      <c r="E192" s="505">
        <f t="shared" si="10"/>
        <v>0</v>
      </c>
      <c r="F192" s="505">
        <f t="shared" si="10"/>
        <v>0</v>
      </c>
      <c r="G192" s="505">
        <f t="shared" si="10"/>
        <v>0</v>
      </c>
      <c r="H192" s="58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  <c r="AA192" s="185"/>
      <c r="AB192" s="185"/>
      <c r="AC192" s="187"/>
      <c r="AD192" s="19"/>
      <c r="AE192" s="19"/>
      <c r="AF192" s="19"/>
      <c r="AG192" s="19"/>
    </row>
    <row r="193" spans="1:33" hidden="1" outlineLevel="2" x14ac:dyDescent="0.2">
      <c r="A193" s="19"/>
      <c r="B193" s="19"/>
      <c r="C193" s="506">
        <f t="shared" si="10"/>
        <v>0</v>
      </c>
      <c r="D193" s="505">
        <f t="shared" si="10"/>
        <v>0</v>
      </c>
      <c r="E193" s="505">
        <f t="shared" si="10"/>
        <v>0</v>
      </c>
      <c r="F193" s="505">
        <f t="shared" si="10"/>
        <v>0</v>
      </c>
      <c r="G193" s="505">
        <f t="shared" si="10"/>
        <v>0</v>
      </c>
      <c r="H193" s="58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5"/>
      <c r="AC193" s="187"/>
      <c r="AD193" s="19"/>
      <c r="AE193" s="19"/>
      <c r="AF193" s="19"/>
      <c r="AG193" s="19"/>
    </row>
    <row r="194" spans="1:33" hidden="1" outlineLevel="2" x14ac:dyDescent="0.2">
      <c r="A194" s="19"/>
      <c r="B194" s="19"/>
      <c r="C194" s="506">
        <f t="shared" ref="C194:G203" si="11">C38</f>
        <v>0</v>
      </c>
      <c r="D194" s="505">
        <f t="shared" si="11"/>
        <v>0</v>
      </c>
      <c r="E194" s="505">
        <f t="shared" si="11"/>
        <v>0</v>
      </c>
      <c r="F194" s="505">
        <f t="shared" si="11"/>
        <v>0</v>
      </c>
      <c r="G194" s="505">
        <f t="shared" si="11"/>
        <v>0</v>
      </c>
      <c r="H194" s="58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  <c r="AA194" s="185"/>
      <c r="AB194" s="185"/>
      <c r="AC194" s="187"/>
      <c r="AD194" s="19"/>
      <c r="AE194" s="19"/>
      <c r="AF194" s="19"/>
      <c r="AG194" s="19"/>
    </row>
    <row r="195" spans="1:33" hidden="1" outlineLevel="2" x14ac:dyDescent="0.2">
      <c r="A195" s="19"/>
      <c r="B195" s="19"/>
      <c r="C195" s="506">
        <f t="shared" si="11"/>
        <v>0</v>
      </c>
      <c r="D195" s="505">
        <f t="shared" si="11"/>
        <v>0</v>
      </c>
      <c r="E195" s="505">
        <f t="shared" si="11"/>
        <v>0</v>
      </c>
      <c r="F195" s="505">
        <f t="shared" si="11"/>
        <v>0</v>
      </c>
      <c r="G195" s="505">
        <f t="shared" si="11"/>
        <v>0</v>
      </c>
      <c r="H195" s="58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5"/>
      <c r="AC195" s="187"/>
      <c r="AD195" s="19"/>
      <c r="AE195" s="19"/>
      <c r="AF195" s="19"/>
      <c r="AG195" s="19"/>
    </row>
    <row r="196" spans="1:33" hidden="1" outlineLevel="2" x14ac:dyDescent="0.2">
      <c r="A196" s="19"/>
      <c r="B196" s="19"/>
      <c r="C196" s="506">
        <f t="shared" si="11"/>
        <v>0</v>
      </c>
      <c r="D196" s="505">
        <f t="shared" si="11"/>
        <v>0</v>
      </c>
      <c r="E196" s="505">
        <f t="shared" si="11"/>
        <v>0</v>
      </c>
      <c r="F196" s="505">
        <f t="shared" si="11"/>
        <v>0</v>
      </c>
      <c r="G196" s="505">
        <f t="shared" si="11"/>
        <v>0</v>
      </c>
      <c r="H196" s="58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7"/>
      <c r="AD196" s="19"/>
      <c r="AE196" s="19"/>
      <c r="AF196" s="19"/>
      <c r="AG196" s="19"/>
    </row>
    <row r="197" spans="1:33" hidden="1" outlineLevel="2" x14ac:dyDescent="0.2">
      <c r="A197" s="19"/>
      <c r="B197" s="19"/>
      <c r="C197" s="506">
        <f t="shared" si="11"/>
        <v>0</v>
      </c>
      <c r="D197" s="505">
        <f t="shared" si="11"/>
        <v>0</v>
      </c>
      <c r="E197" s="505">
        <f t="shared" si="11"/>
        <v>0</v>
      </c>
      <c r="F197" s="505">
        <f t="shared" si="11"/>
        <v>0</v>
      </c>
      <c r="G197" s="505">
        <f t="shared" si="11"/>
        <v>0</v>
      </c>
      <c r="H197" s="58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7"/>
      <c r="AD197" s="19"/>
      <c r="AE197" s="19"/>
      <c r="AF197" s="19"/>
      <c r="AG197" s="19"/>
    </row>
    <row r="198" spans="1:33" hidden="1" outlineLevel="2" x14ac:dyDescent="0.2">
      <c r="A198" s="19"/>
      <c r="B198" s="19"/>
      <c r="C198" s="506">
        <f t="shared" si="11"/>
        <v>0</v>
      </c>
      <c r="D198" s="505">
        <f t="shared" si="11"/>
        <v>0</v>
      </c>
      <c r="E198" s="505">
        <f t="shared" si="11"/>
        <v>0</v>
      </c>
      <c r="F198" s="505">
        <f t="shared" si="11"/>
        <v>0</v>
      </c>
      <c r="G198" s="505">
        <f t="shared" si="11"/>
        <v>0</v>
      </c>
      <c r="H198" s="58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7"/>
      <c r="AD198" s="19"/>
      <c r="AE198" s="19"/>
      <c r="AF198" s="19"/>
      <c r="AG198" s="19"/>
    </row>
    <row r="199" spans="1:33" hidden="1" outlineLevel="2" x14ac:dyDescent="0.2">
      <c r="A199" s="19"/>
      <c r="B199" s="19"/>
      <c r="C199" s="506">
        <f t="shared" si="11"/>
        <v>0</v>
      </c>
      <c r="D199" s="505">
        <f t="shared" si="11"/>
        <v>0</v>
      </c>
      <c r="E199" s="505">
        <f t="shared" si="11"/>
        <v>0</v>
      </c>
      <c r="F199" s="505">
        <f t="shared" si="11"/>
        <v>0</v>
      </c>
      <c r="G199" s="505">
        <f t="shared" si="11"/>
        <v>0</v>
      </c>
      <c r="H199" s="58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7"/>
      <c r="AD199" s="19"/>
      <c r="AE199" s="19"/>
      <c r="AF199" s="19"/>
      <c r="AG199" s="19"/>
    </row>
    <row r="200" spans="1:33" hidden="1" outlineLevel="2" x14ac:dyDescent="0.2">
      <c r="A200" s="19"/>
      <c r="B200" s="19"/>
      <c r="C200" s="506">
        <f t="shared" si="11"/>
        <v>0</v>
      </c>
      <c r="D200" s="505">
        <f t="shared" si="11"/>
        <v>0</v>
      </c>
      <c r="E200" s="505">
        <f t="shared" si="11"/>
        <v>0</v>
      </c>
      <c r="F200" s="505">
        <f t="shared" si="11"/>
        <v>0</v>
      </c>
      <c r="G200" s="505">
        <f t="shared" si="11"/>
        <v>0</v>
      </c>
      <c r="H200" s="58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7"/>
      <c r="AD200" s="19"/>
      <c r="AE200" s="19"/>
      <c r="AF200" s="19"/>
      <c r="AG200" s="19"/>
    </row>
    <row r="201" spans="1:33" hidden="1" outlineLevel="2" x14ac:dyDescent="0.2">
      <c r="A201" s="19"/>
      <c r="B201" s="19"/>
      <c r="C201" s="506">
        <f t="shared" si="11"/>
        <v>0</v>
      </c>
      <c r="D201" s="505">
        <f t="shared" si="11"/>
        <v>0</v>
      </c>
      <c r="E201" s="505">
        <f t="shared" si="11"/>
        <v>0</v>
      </c>
      <c r="F201" s="505">
        <f t="shared" si="11"/>
        <v>0</v>
      </c>
      <c r="G201" s="505">
        <f t="shared" si="11"/>
        <v>0</v>
      </c>
      <c r="H201" s="58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7"/>
      <c r="AD201" s="19"/>
      <c r="AE201" s="19"/>
      <c r="AF201" s="19"/>
      <c r="AG201" s="19"/>
    </row>
    <row r="202" spans="1:33" hidden="1" outlineLevel="2" x14ac:dyDescent="0.2">
      <c r="A202" s="19"/>
      <c r="B202" s="19"/>
      <c r="C202" s="506">
        <f t="shared" si="11"/>
        <v>0</v>
      </c>
      <c r="D202" s="505">
        <f t="shared" si="11"/>
        <v>0</v>
      </c>
      <c r="E202" s="505">
        <f t="shared" si="11"/>
        <v>0</v>
      </c>
      <c r="F202" s="505">
        <f t="shared" si="11"/>
        <v>0</v>
      </c>
      <c r="G202" s="505">
        <f t="shared" si="11"/>
        <v>0</v>
      </c>
      <c r="H202" s="58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  <c r="AC202" s="187"/>
      <c r="AD202" s="19"/>
      <c r="AE202" s="19"/>
      <c r="AF202" s="19"/>
      <c r="AG202" s="19"/>
    </row>
    <row r="203" spans="1:33" hidden="1" outlineLevel="2" x14ac:dyDescent="0.2">
      <c r="A203" s="19"/>
      <c r="B203" s="19"/>
      <c r="C203" s="506">
        <f t="shared" si="11"/>
        <v>0</v>
      </c>
      <c r="D203" s="505">
        <f t="shared" si="11"/>
        <v>0</v>
      </c>
      <c r="E203" s="505">
        <f t="shared" si="11"/>
        <v>0</v>
      </c>
      <c r="F203" s="505">
        <f t="shared" si="11"/>
        <v>0</v>
      </c>
      <c r="G203" s="505">
        <f t="shared" si="11"/>
        <v>0</v>
      </c>
      <c r="H203" s="58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7"/>
      <c r="AD203" s="19"/>
      <c r="AE203" s="19"/>
      <c r="AF203" s="19"/>
      <c r="AG203" s="19"/>
    </row>
    <row r="204" spans="1:33" hidden="1" outlineLevel="2" x14ac:dyDescent="0.2">
      <c r="A204" s="19"/>
      <c r="B204" s="19"/>
      <c r="C204" s="506">
        <f t="shared" ref="C204:G213" si="12">C48</f>
        <v>0</v>
      </c>
      <c r="D204" s="505">
        <f t="shared" si="12"/>
        <v>0</v>
      </c>
      <c r="E204" s="505">
        <f t="shared" si="12"/>
        <v>0</v>
      </c>
      <c r="F204" s="505">
        <f t="shared" si="12"/>
        <v>0</v>
      </c>
      <c r="G204" s="505">
        <f t="shared" si="12"/>
        <v>0</v>
      </c>
      <c r="H204" s="58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7"/>
      <c r="AD204" s="19"/>
      <c r="AE204" s="19"/>
      <c r="AF204" s="19"/>
      <c r="AG204" s="19"/>
    </row>
    <row r="205" spans="1:33" hidden="1" outlineLevel="2" x14ac:dyDescent="0.2">
      <c r="A205" s="19"/>
      <c r="B205" s="19"/>
      <c r="C205" s="506">
        <f t="shared" si="12"/>
        <v>0</v>
      </c>
      <c r="D205" s="505">
        <f t="shared" si="12"/>
        <v>0</v>
      </c>
      <c r="E205" s="505">
        <f t="shared" si="12"/>
        <v>0</v>
      </c>
      <c r="F205" s="505">
        <f t="shared" si="12"/>
        <v>0</v>
      </c>
      <c r="G205" s="505">
        <f t="shared" si="12"/>
        <v>0</v>
      </c>
      <c r="H205" s="58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7"/>
      <c r="AD205" s="19"/>
      <c r="AE205" s="19"/>
      <c r="AF205" s="19"/>
      <c r="AG205" s="19"/>
    </row>
    <row r="206" spans="1:33" hidden="1" outlineLevel="2" x14ac:dyDescent="0.2">
      <c r="A206" s="19"/>
      <c r="B206" s="19"/>
      <c r="C206" s="506">
        <f t="shared" si="12"/>
        <v>0</v>
      </c>
      <c r="D206" s="505">
        <f t="shared" si="12"/>
        <v>0</v>
      </c>
      <c r="E206" s="505">
        <f t="shared" si="12"/>
        <v>0</v>
      </c>
      <c r="F206" s="505">
        <f t="shared" si="12"/>
        <v>0</v>
      </c>
      <c r="G206" s="505">
        <f t="shared" si="12"/>
        <v>0</v>
      </c>
      <c r="H206" s="58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7"/>
      <c r="AD206" s="19"/>
      <c r="AE206" s="19"/>
      <c r="AF206" s="19"/>
      <c r="AG206" s="19"/>
    </row>
    <row r="207" spans="1:33" hidden="1" outlineLevel="2" x14ac:dyDescent="0.2">
      <c r="A207" s="19"/>
      <c r="B207" s="19"/>
      <c r="C207" s="506">
        <f t="shared" si="12"/>
        <v>0</v>
      </c>
      <c r="D207" s="505">
        <f t="shared" si="12"/>
        <v>0</v>
      </c>
      <c r="E207" s="505">
        <f t="shared" si="12"/>
        <v>0</v>
      </c>
      <c r="F207" s="505">
        <f t="shared" si="12"/>
        <v>0</v>
      </c>
      <c r="G207" s="505">
        <f t="shared" si="12"/>
        <v>0</v>
      </c>
      <c r="H207" s="58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7"/>
      <c r="AD207" s="19"/>
      <c r="AE207" s="19"/>
      <c r="AF207" s="19"/>
      <c r="AG207" s="19"/>
    </row>
    <row r="208" spans="1:33" hidden="1" outlineLevel="2" x14ac:dyDescent="0.2">
      <c r="A208" s="19"/>
      <c r="B208" s="19"/>
      <c r="C208" s="506">
        <f t="shared" si="12"/>
        <v>0</v>
      </c>
      <c r="D208" s="505">
        <f t="shared" si="12"/>
        <v>0</v>
      </c>
      <c r="E208" s="505">
        <f t="shared" si="12"/>
        <v>0</v>
      </c>
      <c r="F208" s="505">
        <f t="shared" si="12"/>
        <v>0</v>
      </c>
      <c r="G208" s="505">
        <f t="shared" si="12"/>
        <v>0</v>
      </c>
      <c r="H208" s="58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7"/>
      <c r="AD208" s="19"/>
      <c r="AE208" s="19"/>
      <c r="AF208" s="19"/>
      <c r="AG208" s="19"/>
    </row>
    <row r="209" spans="1:33" hidden="1" outlineLevel="2" x14ac:dyDescent="0.2">
      <c r="A209" s="19"/>
      <c r="B209" s="19"/>
      <c r="C209" s="506">
        <f t="shared" si="12"/>
        <v>0</v>
      </c>
      <c r="D209" s="505">
        <f t="shared" si="12"/>
        <v>0</v>
      </c>
      <c r="E209" s="505">
        <f t="shared" si="12"/>
        <v>0</v>
      </c>
      <c r="F209" s="505">
        <f t="shared" si="12"/>
        <v>0</v>
      </c>
      <c r="G209" s="505">
        <f t="shared" si="12"/>
        <v>0</v>
      </c>
      <c r="H209" s="58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7"/>
      <c r="AD209" s="19"/>
      <c r="AE209" s="19"/>
      <c r="AF209" s="19"/>
      <c r="AG209" s="19"/>
    </row>
    <row r="210" spans="1:33" hidden="1" outlineLevel="2" x14ac:dyDescent="0.2">
      <c r="A210" s="19"/>
      <c r="B210" s="19"/>
      <c r="C210" s="506">
        <f t="shared" si="12"/>
        <v>0</v>
      </c>
      <c r="D210" s="505">
        <f t="shared" si="12"/>
        <v>0</v>
      </c>
      <c r="E210" s="505">
        <f t="shared" si="12"/>
        <v>0</v>
      </c>
      <c r="F210" s="505">
        <f t="shared" si="12"/>
        <v>0</v>
      </c>
      <c r="G210" s="505">
        <f t="shared" si="12"/>
        <v>0</v>
      </c>
      <c r="H210" s="58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7"/>
      <c r="AD210" s="19"/>
      <c r="AE210" s="19"/>
      <c r="AF210" s="19"/>
      <c r="AG210" s="19"/>
    </row>
    <row r="211" spans="1:33" hidden="1" outlineLevel="3" x14ac:dyDescent="0.2">
      <c r="A211" s="19"/>
      <c r="B211" s="19"/>
      <c r="C211" s="506">
        <f t="shared" si="12"/>
        <v>0</v>
      </c>
      <c r="D211" s="505">
        <f t="shared" si="12"/>
        <v>0</v>
      </c>
      <c r="E211" s="505">
        <f t="shared" si="12"/>
        <v>0</v>
      </c>
      <c r="F211" s="505">
        <f t="shared" si="12"/>
        <v>0</v>
      </c>
      <c r="G211" s="505">
        <f t="shared" si="12"/>
        <v>0</v>
      </c>
      <c r="H211" s="58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7"/>
      <c r="AD211" s="19"/>
      <c r="AE211" s="19"/>
      <c r="AF211" s="19"/>
      <c r="AG211" s="19"/>
    </row>
    <row r="212" spans="1:33" hidden="1" outlineLevel="3" x14ac:dyDescent="0.2">
      <c r="A212" s="19"/>
      <c r="B212" s="19"/>
      <c r="C212" s="506">
        <f t="shared" si="12"/>
        <v>0</v>
      </c>
      <c r="D212" s="505">
        <f t="shared" si="12"/>
        <v>0</v>
      </c>
      <c r="E212" s="505">
        <f t="shared" si="12"/>
        <v>0</v>
      </c>
      <c r="F212" s="505">
        <f t="shared" si="12"/>
        <v>0</v>
      </c>
      <c r="G212" s="505">
        <f t="shared" si="12"/>
        <v>0</v>
      </c>
      <c r="H212" s="58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7"/>
      <c r="AD212" s="19"/>
      <c r="AE212" s="19"/>
      <c r="AF212" s="19"/>
      <c r="AG212" s="19"/>
    </row>
    <row r="213" spans="1:33" hidden="1" outlineLevel="3" x14ac:dyDescent="0.2">
      <c r="A213" s="19"/>
      <c r="B213" s="19"/>
      <c r="C213" s="506">
        <f t="shared" si="12"/>
        <v>0</v>
      </c>
      <c r="D213" s="505">
        <f t="shared" si="12"/>
        <v>0</v>
      </c>
      <c r="E213" s="505">
        <f t="shared" si="12"/>
        <v>0</v>
      </c>
      <c r="F213" s="505">
        <f t="shared" si="12"/>
        <v>0</v>
      </c>
      <c r="G213" s="505">
        <f t="shared" si="12"/>
        <v>0</v>
      </c>
      <c r="H213" s="58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7"/>
      <c r="AD213" s="19"/>
      <c r="AE213" s="19"/>
      <c r="AF213" s="19"/>
      <c r="AG213" s="19"/>
    </row>
    <row r="214" spans="1:33" hidden="1" outlineLevel="3" x14ac:dyDescent="0.2">
      <c r="A214" s="19"/>
      <c r="B214" s="19"/>
      <c r="C214" s="506">
        <f t="shared" ref="C214:G223" si="13">C58</f>
        <v>0</v>
      </c>
      <c r="D214" s="505">
        <f t="shared" si="13"/>
        <v>0</v>
      </c>
      <c r="E214" s="505">
        <f t="shared" si="13"/>
        <v>0</v>
      </c>
      <c r="F214" s="505">
        <f t="shared" si="13"/>
        <v>0</v>
      </c>
      <c r="G214" s="505">
        <f t="shared" si="13"/>
        <v>0</v>
      </c>
      <c r="H214" s="58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7"/>
      <c r="AD214" s="19"/>
      <c r="AE214" s="19"/>
      <c r="AF214" s="19"/>
      <c r="AG214" s="19"/>
    </row>
    <row r="215" spans="1:33" hidden="1" outlineLevel="3" x14ac:dyDescent="0.2">
      <c r="A215" s="19"/>
      <c r="B215" s="19"/>
      <c r="C215" s="506">
        <f t="shared" si="13"/>
        <v>0</v>
      </c>
      <c r="D215" s="505">
        <f t="shared" si="13"/>
        <v>0</v>
      </c>
      <c r="E215" s="505">
        <f t="shared" si="13"/>
        <v>0</v>
      </c>
      <c r="F215" s="505">
        <f t="shared" si="13"/>
        <v>0</v>
      </c>
      <c r="G215" s="505">
        <f t="shared" si="13"/>
        <v>0</v>
      </c>
      <c r="H215" s="58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  <c r="AC215" s="187"/>
      <c r="AD215" s="19"/>
      <c r="AE215" s="19"/>
      <c r="AF215" s="19"/>
      <c r="AG215" s="19"/>
    </row>
    <row r="216" spans="1:33" hidden="1" outlineLevel="3" x14ac:dyDescent="0.2">
      <c r="A216" s="19"/>
      <c r="B216" s="19"/>
      <c r="C216" s="506">
        <f t="shared" si="13"/>
        <v>0</v>
      </c>
      <c r="D216" s="505">
        <f t="shared" si="13"/>
        <v>0</v>
      </c>
      <c r="E216" s="505">
        <f t="shared" si="13"/>
        <v>0</v>
      </c>
      <c r="F216" s="505">
        <f t="shared" si="13"/>
        <v>0</v>
      </c>
      <c r="G216" s="505">
        <f t="shared" si="13"/>
        <v>0</v>
      </c>
      <c r="H216" s="58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7"/>
      <c r="AD216" s="19"/>
      <c r="AE216" s="19"/>
      <c r="AF216" s="19"/>
      <c r="AG216" s="19"/>
    </row>
    <row r="217" spans="1:33" hidden="1" outlineLevel="3" x14ac:dyDescent="0.2">
      <c r="A217" s="19"/>
      <c r="B217" s="19"/>
      <c r="C217" s="506">
        <f t="shared" si="13"/>
        <v>0</v>
      </c>
      <c r="D217" s="505">
        <f t="shared" si="13"/>
        <v>0</v>
      </c>
      <c r="E217" s="505">
        <f t="shared" si="13"/>
        <v>0</v>
      </c>
      <c r="F217" s="505">
        <f t="shared" si="13"/>
        <v>0</v>
      </c>
      <c r="G217" s="505">
        <f t="shared" si="13"/>
        <v>0</v>
      </c>
      <c r="H217" s="58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  <c r="AC217" s="187"/>
      <c r="AD217" s="19"/>
      <c r="AE217" s="19"/>
      <c r="AF217" s="19"/>
      <c r="AG217" s="19"/>
    </row>
    <row r="218" spans="1:33" hidden="1" outlineLevel="3" x14ac:dyDescent="0.2">
      <c r="A218" s="19"/>
      <c r="B218" s="19"/>
      <c r="C218" s="506">
        <f t="shared" si="13"/>
        <v>0</v>
      </c>
      <c r="D218" s="505">
        <f t="shared" si="13"/>
        <v>0</v>
      </c>
      <c r="E218" s="505">
        <f t="shared" si="13"/>
        <v>0</v>
      </c>
      <c r="F218" s="505">
        <f t="shared" si="13"/>
        <v>0</v>
      </c>
      <c r="G218" s="505">
        <f t="shared" si="13"/>
        <v>0</v>
      </c>
      <c r="H218" s="58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7"/>
      <c r="AD218" s="19"/>
      <c r="AE218" s="19"/>
      <c r="AF218" s="19"/>
      <c r="AG218" s="19"/>
    </row>
    <row r="219" spans="1:33" hidden="1" outlineLevel="3" x14ac:dyDescent="0.2">
      <c r="A219" s="19"/>
      <c r="B219" s="19"/>
      <c r="C219" s="506">
        <f t="shared" si="13"/>
        <v>0</v>
      </c>
      <c r="D219" s="505">
        <f t="shared" si="13"/>
        <v>0</v>
      </c>
      <c r="E219" s="505">
        <f t="shared" si="13"/>
        <v>0</v>
      </c>
      <c r="F219" s="505">
        <f t="shared" si="13"/>
        <v>0</v>
      </c>
      <c r="G219" s="505">
        <f t="shared" si="13"/>
        <v>0</v>
      </c>
      <c r="H219" s="58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7"/>
      <c r="AD219" s="19"/>
      <c r="AE219" s="19"/>
      <c r="AF219" s="19"/>
      <c r="AG219" s="19"/>
    </row>
    <row r="220" spans="1:33" hidden="1" outlineLevel="3" x14ac:dyDescent="0.2">
      <c r="A220" s="19"/>
      <c r="B220" s="19"/>
      <c r="C220" s="506">
        <f t="shared" si="13"/>
        <v>0</v>
      </c>
      <c r="D220" s="505">
        <f t="shared" si="13"/>
        <v>0</v>
      </c>
      <c r="E220" s="505">
        <f t="shared" si="13"/>
        <v>0</v>
      </c>
      <c r="F220" s="505">
        <f t="shared" si="13"/>
        <v>0</v>
      </c>
      <c r="G220" s="505">
        <f t="shared" si="13"/>
        <v>0</v>
      </c>
      <c r="H220" s="58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  <c r="AC220" s="187"/>
      <c r="AD220" s="19"/>
      <c r="AE220" s="19"/>
      <c r="AF220" s="19"/>
      <c r="AG220" s="19"/>
    </row>
    <row r="221" spans="1:33" hidden="1" outlineLevel="3" x14ac:dyDescent="0.2">
      <c r="A221" s="19"/>
      <c r="B221" s="19"/>
      <c r="C221" s="506">
        <f t="shared" si="13"/>
        <v>0</v>
      </c>
      <c r="D221" s="505">
        <f t="shared" si="13"/>
        <v>0</v>
      </c>
      <c r="E221" s="505">
        <f t="shared" si="13"/>
        <v>0</v>
      </c>
      <c r="F221" s="505">
        <f t="shared" si="13"/>
        <v>0</v>
      </c>
      <c r="G221" s="505">
        <f t="shared" si="13"/>
        <v>0</v>
      </c>
      <c r="H221" s="58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7"/>
      <c r="AD221" s="19"/>
      <c r="AE221" s="19"/>
      <c r="AF221" s="19"/>
      <c r="AG221" s="19"/>
    </row>
    <row r="222" spans="1:33" hidden="1" outlineLevel="3" x14ac:dyDescent="0.2">
      <c r="A222" s="19"/>
      <c r="B222" s="19"/>
      <c r="C222" s="506">
        <f t="shared" si="13"/>
        <v>0</v>
      </c>
      <c r="D222" s="505">
        <f t="shared" si="13"/>
        <v>0</v>
      </c>
      <c r="E222" s="505">
        <f t="shared" si="13"/>
        <v>0</v>
      </c>
      <c r="F222" s="505">
        <f t="shared" si="13"/>
        <v>0</v>
      </c>
      <c r="G222" s="505">
        <f t="shared" si="13"/>
        <v>0</v>
      </c>
      <c r="H222" s="58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7"/>
      <c r="AD222" s="19"/>
      <c r="AE222" s="19"/>
      <c r="AF222" s="19"/>
      <c r="AG222" s="19"/>
    </row>
    <row r="223" spans="1:33" hidden="1" outlineLevel="3" x14ac:dyDescent="0.2">
      <c r="A223" s="19"/>
      <c r="B223" s="19"/>
      <c r="C223" s="506">
        <f t="shared" si="13"/>
        <v>0</v>
      </c>
      <c r="D223" s="505">
        <f t="shared" si="13"/>
        <v>0</v>
      </c>
      <c r="E223" s="505">
        <f t="shared" si="13"/>
        <v>0</v>
      </c>
      <c r="F223" s="505">
        <f t="shared" si="13"/>
        <v>0</v>
      </c>
      <c r="G223" s="505">
        <f t="shared" si="13"/>
        <v>0</v>
      </c>
      <c r="H223" s="58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7"/>
      <c r="AD223" s="19"/>
      <c r="AE223" s="19"/>
      <c r="AF223" s="19"/>
      <c r="AG223" s="19"/>
    </row>
    <row r="224" spans="1:33" hidden="1" outlineLevel="3" x14ac:dyDescent="0.2">
      <c r="A224" s="19"/>
      <c r="B224" s="19"/>
      <c r="C224" s="506">
        <f t="shared" ref="C224:G233" si="14">C68</f>
        <v>0</v>
      </c>
      <c r="D224" s="505">
        <f t="shared" si="14"/>
        <v>0</v>
      </c>
      <c r="E224" s="505">
        <f t="shared" si="14"/>
        <v>0</v>
      </c>
      <c r="F224" s="505">
        <f t="shared" si="14"/>
        <v>0</v>
      </c>
      <c r="G224" s="505">
        <f t="shared" si="14"/>
        <v>0</v>
      </c>
      <c r="H224" s="58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7"/>
      <c r="AD224" s="19"/>
      <c r="AE224" s="19"/>
      <c r="AF224" s="19"/>
      <c r="AG224" s="19"/>
    </row>
    <row r="225" spans="1:33" hidden="1" outlineLevel="3" x14ac:dyDescent="0.2">
      <c r="A225" s="19"/>
      <c r="B225" s="19"/>
      <c r="C225" s="506">
        <f t="shared" si="14"/>
        <v>0</v>
      </c>
      <c r="D225" s="505">
        <f t="shared" si="14"/>
        <v>0</v>
      </c>
      <c r="E225" s="505">
        <f t="shared" si="14"/>
        <v>0</v>
      </c>
      <c r="F225" s="505">
        <f t="shared" si="14"/>
        <v>0</v>
      </c>
      <c r="G225" s="505">
        <f t="shared" si="14"/>
        <v>0</v>
      </c>
      <c r="H225" s="58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7"/>
      <c r="AD225" s="19"/>
      <c r="AE225" s="19"/>
      <c r="AF225" s="19"/>
      <c r="AG225" s="19"/>
    </row>
    <row r="226" spans="1:33" hidden="1" outlineLevel="3" x14ac:dyDescent="0.2">
      <c r="A226" s="19"/>
      <c r="B226" s="19"/>
      <c r="C226" s="506">
        <f t="shared" si="14"/>
        <v>0</v>
      </c>
      <c r="D226" s="505">
        <f t="shared" si="14"/>
        <v>0</v>
      </c>
      <c r="E226" s="505">
        <f t="shared" si="14"/>
        <v>0</v>
      </c>
      <c r="F226" s="505">
        <f t="shared" si="14"/>
        <v>0</v>
      </c>
      <c r="G226" s="505">
        <f t="shared" si="14"/>
        <v>0</v>
      </c>
      <c r="H226" s="58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7"/>
      <c r="AD226" s="19"/>
      <c r="AE226" s="19"/>
      <c r="AF226" s="19"/>
      <c r="AG226" s="19"/>
    </row>
    <row r="227" spans="1:33" hidden="1" outlineLevel="3" x14ac:dyDescent="0.2">
      <c r="A227" s="19"/>
      <c r="B227" s="19"/>
      <c r="C227" s="506">
        <f t="shared" si="14"/>
        <v>0</v>
      </c>
      <c r="D227" s="505">
        <f t="shared" si="14"/>
        <v>0</v>
      </c>
      <c r="E227" s="505">
        <f t="shared" si="14"/>
        <v>0</v>
      </c>
      <c r="F227" s="505">
        <f t="shared" si="14"/>
        <v>0</v>
      </c>
      <c r="G227" s="505">
        <f t="shared" si="14"/>
        <v>0</v>
      </c>
      <c r="H227" s="58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7"/>
      <c r="AD227" s="19"/>
      <c r="AE227" s="19"/>
      <c r="AF227" s="19"/>
      <c r="AG227" s="19"/>
    </row>
    <row r="228" spans="1:33" hidden="1" outlineLevel="3" x14ac:dyDescent="0.2">
      <c r="A228" s="19"/>
      <c r="B228" s="19"/>
      <c r="C228" s="506">
        <f t="shared" si="14"/>
        <v>0</v>
      </c>
      <c r="D228" s="505">
        <f t="shared" si="14"/>
        <v>0</v>
      </c>
      <c r="E228" s="505">
        <f t="shared" si="14"/>
        <v>0</v>
      </c>
      <c r="F228" s="505">
        <f t="shared" si="14"/>
        <v>0</v>
      </c>
      <c r="G228" s="505">
        <f t="shared" si="14"/>
        <v>0</v>
      </c>
      <c r="H228" s="58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7"/>
      <c r="AD228" s="19"/>
      <c r="AE228" s="19"/>
      <c r="AF228" s="19"/>
      <c r="AG228" s="19"/>
    </row>
    <row r="229" spans="1:33" hidden="1" outlineLevel="3" x14ac:dyDescent="0.2">
      <c r="A229" s="19"/>
      <c r="B229" s="19"/>
      <c r="C229" s="506">
        <f t="shared" si="14"/>
        <v>0</v>
      </c>
      <c r="D229" s="505">
        <f t="shared" si="14"/>
        <v>0</v>
      </c>
      <c r="E229" s="505">
        <f t="shared" si="14"/>
        <v>0</v>
      </c>
      <c r="F229" s="505">
        <f t="shared" si="14"/>
        <v>0</v>
      </c>
      <c r="G229" s="505">
        <f t="shared" si="14"/>
        <v>0</v>
      </c>
      <c r="H229" s="58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7"/>
      <c r="AD229" s="19"/>
      <c r="AE229" s="19"/>
      <c r="AF229" s="19"/>
      <c r="AG229" s="19"/>
    </row>
    <row r="230" spans="1:33" hidden="1" outlineLevel="3" x14ac:dyDescent="0.2">
      <c r="A230" s="19"/>
      <c r="B230" s="19"/>
      <c r="C230" s="506">
        <f t="shared" si="14"/>
        <v>0</v>
      </c>
      <c r="D230" s="505">
        <f t="shared" si="14"/>
        <v>0</v>
      </c>
      <c r="E230" s="505">
        <f t="shared" si="14"/>
        <v>0</v>
      </c>
      <c r="F230" s="505">
        <f t="shared" si="14"/>
        <v>0</v>
      </c>
      <c r="G230" s="505">
        <f t="shared" si="14"/>
        <v>0</v>
      </c>
      <c r="H230" s="58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7"/>
      <c r="AD230" s="19"/>
      <c r="AE230" s="19"/>
      <c r="AF230" s="19"/>
      <c r="AG230" s="19"/>
    </row>
    <row r="231" spans="1:33" hidden="1" outlineLevel="3" x14ac:dyDescent="0.2">
      <c r="A231" s="19"/>
      <c r="B231" s="19"/>
      <c r="C231" s="506">
        <f t="shared" si="14"/>
        <v>0</v>
      </c>
      <c r="D231" s="505">
        <f t="shared" si="14"/>
        <v>0</v>
      </c>
      <c r="E231" s="505">
        <f t="shared" si="14"/>
        <v>0</v>
      </c>
      <c r="F231" s="505">
        <f t="shared" si="14"/>
        <v>0</v>
      </c>
      <c r="G231" s="505">
        <f t="shared" si="14"/>
        <v>0</v>
      </c>
      <c r="H231" s="58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7"/>
      <c r="AD231" s="19"/>
      <c r="AE231" s="19"/>
      <c r="AF231" s="19"/>
      <c r="AG231" s="19"/>
    </row>
    <row r="232" spans="1:33" hidden="1" outlineLevel="3" x14ac:dyDescent="0.2">
      <c r="A232" s="19"/>
      <c r="B232" s="19"/>
      <c r="C232" s="506">
        <f t="shared" si="14"/>
        <v>0</v>
      </c>
      <c r="D232" s="505">
        <f t="shared" si="14"/>
        <v>0</v>
      </c>
      <c r="E232" s="505">
        <f t="shared" si="14"/>
        <v>0</v>
      </c>
      <c r="F232" s="505">
        <f t="shared" si="14"/>
        <v>0</v>
      </c>
      <c r="G232" s="505">
        <f t="shared" si="14"/>
        <v>0</v>
      </c>
      <c r="H232" s="58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7"/>
      <c r="AD232" s="19"/>
      <c r="AE232" s="19"/>
      <c r="AF232" s="19"/>
      <c r="AG232" s="19"/>
    </row>
    <row r="233" spans="1:33" hidden="1" outlineLevel="3" x14ac:dyDescent="0.2">
      <c r="A233" s="19"/>
      <c r="B233" s="19"/>
      <c r="C233" s="506">
        <f t="shared" si="14"/>
        <v>0</v>
      </c>
      <c r="D233" s="505">
        <f t="shared" si="14"/>
        <v>0</v>
      </c>
      <c r="E233" s="505">
        <f t="shared" si="14"/>
        <v>0</v>
      </c>
      <c r="F233" s="505">
        <f t="shared" si="14"/>
        <v>0</v>
      </c>
      <c r="G233" s="505">
        <f t="shared" si="14"/>
        <v>0</v>
      </c>
      <c r="H233" s="58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7"/>
      <c r="AD233" s="19"/>
      <c r="AE233" s="19"/>
      <c r="AF233" s="19"/>
      <c r="AG233" s="19"/>
    </row>
    <row r="234" spans="1:33" hidden="1" outlineLevel="3" x14ac:dyDescent="0.2">
      <c r="A234" s="19"/>
      <c r="B234" s="19"/>
      <c r="C234" s="506">
        <f t="shared" ref="C234:G238" si="15">C78</f>
        <v>0</v>
      </c>
      <c r="D234" s="505">
        <f t="shared" si="15"/>
        <v>0</v>
      </c>
      <c r="E234" s="505">
        <f t="shared" si="15"/>
        <v>0</v>
      </c>
      <c r="F234" s="505">
        <f t="shared" si="15"/>
        <v>0</v>
      </c>
      <c r="G234" s="505">
        <f t="shared" si="15"/>
        <v>0</v>
      </c>
      <c r="H234" s="58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7"/>
      <c r="AD234" s="19"/>
      <c r="AE234" s="19"/>
      <c r="AF234" s="19"/>
      <c r="AG234" s="19"/>
    </row>
    <row r="235" spans="1:33" hidden="1" outlineLevel="3" x14ac:dyDescent="0.2">
      <c r="A235" s="19"/>
      <c r="B235" s="19"/>
      <c r="C235" s="506">
        <f t="shared" si="15"/>
        <v>0</v>
      </c>
      <c r="D235" s="505">
        <f t="shared" si="15"/>
        <v>0</v>
      </c>
      <c r="E235" s="505">
        <f t="shared" si="15"/>
        <v>0</v>
      </c>
      <c r="F235" s="505">
        <f t="shared" si="15"/>
        <v>0</v>
      </c>
      <c r="G235" s="505">
        <f t="shared" si="15"/>
        <v>0</v>
      </c>
      <c r="H235" s="58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7"/>
      <c r="AD235" s="19"/>
      <c r="AE235" s="19"/>
      <c r="AF235" s="19"/>
      <c r="AG235" s="19"/>
    </row>
    <row r="236" spans="1:33" hidden="1" outlineLevel="3" x14ac:dyDescent="0.2">
      <c r="A236" s="19"/>
      <c r="B236" s="19"/>
      <c r="C236" s="506">
        <f t="shared" si="15"/>
        <v>0</v>
      </c>
      <c r="D236" s="505">
        <f t="shared" si="15"/>
        <v>0</v>
      </c>
      <c r="E236" s="505">
        <f t="shared" si="15"/>
        <v>0</v>
      </c>
      <c r="F236" s="505">
        <f t="shared" si="15"/>
        <v>0</v>
      </c>
      <c r="G236" s="505">
        <f t="shared" si="15"/>
        <v>0</v>
      </c>
      <c r="H236" s="58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7"/>
      <c r="AD236" s="19"/>
      <c r="AE236" s="19"/>
      <c r="AF236" s="19"/>
      <c r="AG236" s="19"/>
    </row>
    <row r="237" spans="1:33" hidden="1" outlineLevel="3" x14ac:dyDescent="0.2">
      <c r="A237" s="19"/>
      <c r="B237" s="19"/>
      <c r="C237" s="506">
        <f t="shared" si="15"/>
        <v>0</v>
      </c>
      <c r="D237" s="505">
        <f t="shared" si="15"/>
        <v>0</v>
      </c>
      <c r="E237" s="505">
        <f t="shared" si="15"/>
        <v>0</v>
      </c>
      <c r="F237" s="505">
        <f t="shared" si="15"/>
        <v>0</v>
      </c>
      <c r="G237" s="505">
        <f t="shared" si="15"/>
        <v>0</v>
      </c>
      <c r="H237" s="58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7"/>
      <c r="AD237" s="19"/>
      <c r="AE237" s="19"/>
      <c r="AF237" s="19"/>
      <c r="AG237" s="19"/>
    </row>
    <row r="238" spans="1:33" hidden="1" outlineLevel="3" x14ac:dyDescent="0.2">
      <c r="A238" s="19"/>
      <c r="B238" s="19"/>
      <c r="C238" s="506">
        <f t="shared" si="15"/>
        <v>0</v>
      </c>
      <c r="D238" s="505">
        <f t="shared" si="15"/>
        <v>0</v>
      </c>
      <c r="E238" s="505">
        <f t="shared" si="15"/>
        <v>0</v>
      </c>
      <c r="F238" s="505">
        <f t="shared" si="15"/>
        <v>0</v>
      </c>
      <c r="G238" s="505">
        <f t="shared" si="15"/>
        <v>0</v>
      </c>
      <c r="H238" s="58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7"/>
      <c r="AD238" s="19"/>
      <c r="AE238" s="19"/>
      <c r="AF238" s="19"/>
      <c r="AG238" s="19"/>
    </row>
    <row r="239" spans="1:33" hidden="1" outlineLevel="2" collapsed="1" x14ac:dyDescent="0.2">
      <c r="A239" s="19"/>
      <c r="B239" s="19"/>
      <c r="C239" s="66"/>
      <c r="D239" s="58"/>
      <c r="E239" s="58"/>
      <c r="F239" s="58"/>
      <c r="G239" s="58"/>
      <c r="H239" s="58"/>
      <c r="I239" s="186"/>
      <c r="J239" s="186"/>
      <c r="K239" s="187"/>
      <c r="L239" s="187"/>
      <c r="M239" s="187"/>
      <c r="N239" s="188"/>
      <c r="O239" s="188"/>
      <c r="P239" s="188"/>
      <c r="Q239" s="188"/>
      <c r="R239" s="188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9"/>
      <c r="AE239" s="19"/>
      <c r="AF239" s="19"/>
      <c r="AG239" s="19"/>
    </row>
    <row r="240" spans="1:33" outlineLevel="1" collapsed="1" x14ac:dyDescent="0.2">
      <c r="A240" s="19"/>
      <c r="B240" s="19"/>
      <c r="C240" s="66"/>
      <c r="D240" s="58"/>
      <c r="E240" s="58"/>
      <c r="F240" s="58"/>
      <c r="G240" s="58"/>
      <c r="H240" s="58"/>
      <c r="I240" s="58"/>
      <c r="J240" s="58"/>
      <c r="K240" s="20"/>
      <c r="L240" s="20"/>
      <c r="M240" s="20"/>
      <c r="N240" s="37"/>
      <c r="O240" s="37"/>
      <c r="P240" s="37"/>
      <c r="Q240" s="37"/>
      <c r="R240" s="37"/>
      <c r="S240" s="19"/>
      <c r="T240" s="19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"/>
      <c r="AE240" s="19"/>
      <c r="AF240" s="19"/>
      <c r="AG240" s="19"/>
    </row>
    <row r="241" spans="1:33" x14ac:dyDescent="0.2">
      <c r="A241" s="19"/>
      <c r="B241" s="19"/>
      <c r="C241" s="36"/>
      <c r="D241" s="20"/>
      <c r="E241" s="20"/>
      <c r="F241" s="20"/>
      <c r="G241" s="22"/>
      <c r="H241" s="22"/>
      <c r="I241" s="22"/>
      <c r="J241" s="20"/>
      <c r="K241" s="20"/>
      <c r="L241" s="20"/>
      <c r="M241" s="20"/>
      <c r="N241" s="37"/>
      <c r="O241" s="37"/>
      <c r="P241" s="37"/>
      <c r="Q241" s="37"/>
      <c r="R241" s="37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</row>
    <row r="242" spans="1:33" ht="12.75" x14ac:dyDescent="0.2">
      <c r="A242" s="11"/>
      <c r="B242" s="12" t="s">
        <v>685</v>
      </c>
      <c r="C242" s="11"/>
      <c r="D242" s="32" t="str">
        <f>D5</f>
        <v>Tariff class</v>
      </c>
      <c r="E242" s="32" t="str">
        <f>tariffid1</f>
        <v>Code</v>
      </c>
      <c r="F242" s="32" t="str">
        <f>tariffid2</f>
        <v>Trans. Node</v>
      </c>
      <c r="G242" s="32" t="str">
        <f>tariffid3</f>
        <v>Other identifier</v>
      </c>
      <c r="H242" s="32"/>
      <c r="I242" s="183" t="str">
        <f t="shared" ref="I242:AB242" si="16">I5</f>
        <v>Service</v>
      </c>
      <c r="J242" s="183" t="str">
        <f t="shared" si="16"/>
        <v>All energy</v>
      </c>
      <c r="K242" s="183" t="str">
        <f t="shared" si="16"/>
        <v>Peak energy</v>
      </c>
      <c r="L242" s="183" t="str">
        <f t="shared" si="16"/>
        <v>Shoulder energy</v>
      </c>
      <c r="M242" s="183" t="str">
        <f t="shared" si="16"/>
        <v>Off-peak energy</v>
      </c>
      <c r="N242" s="183" t="str">
        <f t="shared" si="16"/>
        <v>All demand</v>
      </c>
      <c r="O242" s="183" t="str">
        <f t="shared" si="16"/>
        <v>Peak demand</v>
      </c>
      <c r="P242" s="183" t="str">
        <f t="shared" si="16"/>
        <v>Off-peak demand</v>
      </c>
      <c r="Q242" s="183" t="str">
        <f t="shared" si="16"/>
        <v>Specified demand</v>
      </c>
      <c r="R242" s="183" t="str">
        <f t="shared" si="16"/>
        <v>Excess daily demand</v>
      </c>
      <c r="S242" s="183" t="str">
        <f t="shared" si="16"/>
        <v>Daily demand connection</v>
      </c>
      <c r="T242" s="183" t="str">
        <f t="shared" si="16"/>
        <v>Excess daily demand connection</v>
      </c>
      <c r="U242" s="183" t="str">
        <f t="shared" si="16"/>
        <v>All demand (lamps)</v>
      </c>
      <c r="V242" s="183">
        <f t="shared" si="16"/>
        <v>0</v>
      </c>
      <c r="W242" s="183">
        <f t="shared" si="16"/>
        <v>0</v>
      </c>
      <c r="X242" s="183">
        <f t="shared" si="16"/>
        <v>0</v>
      </c>
      <c r="Y242" s="183">
        <f t="shared" si="16"/>
        <v>0</v>
      </c>
      <c r="Z242" s="183">
        <f t="shared" si="16"/>
        <v>0</v>
      </c>
      <c r="AA242" s="183">
        <f t="shared" si="16"/>
        <v>0</v>
      </c>
      <c r="AB242" s="183">
        <f t="shared" si="16"/>
        <v>0</v>
      </c>
      <c r="AC242" s="32"/>
      <c r="AD242" s="15"/>
      <c r="AE242" s="15"/>
      <c r="AF242" s="15"/>
      <c r="AG242" s="15"/>
    </row>
    <row r="243" spans="1:33" outlineLevel="1" x14ac:dyDescent="0.2">
      <c r="A243" s="19"/>
      <c r="B243" s="19"/>
      <c r="C243" s="36"/>
      <c r="D243" s="20"/>
      <c r="E243" s="20"/>
      <c r="F243" s="20"/>
      <c r="G243" s="22"/>
      <c r="H243" s="22"/>
      <c r="I243" s="170" t="str">
        <f t="shared" ref="I243:AB243" si="17">I6</f>
        <v>cents/day</v>
      </c>
      <c r="J243" s="170" t="str">
        <f t="shared" si="17"/>
        <v>cents/kWh</v>
      </c>
      <c r="K243" s="170" t="str">
        <f t="shared" si="17"/>
        <v>cents/kWh</v>
      </c>
      <c r="L243" s="170" t="str">
        <f t="shared" si="17"/>
        <v>cents/kWh</v>
      </c>
      <c r="M243" s="170" t="str">
        <f t="shared" si="17"/>
        <v>cents/kWh</v>
      </c>
      <c r="N243" s="170" t="str">
        <f t="shared" si="17"/>
        <v>cents/kVA</v>
      </c>
      <c r="O243" s="170" t="str">
        <f t="shared" si="17"/>
        <v>cents/kVA</v>
      </c>
      <c r="P243" s="170" t="str">
        <f t="shared" si="17"/>
        <v>cents/kVA</v>
      </c>
      <c r="Q243" s="170" t="str">
        <f t="shared" si="17"/>
        <v>cents/kVA</v>
      </c>
      <c r="R243" s="170" t="str">
        <f t="shared" si="17"/>
        <v>cents/kVA</v>
      </c>
      <c r="S243" s="170" t="str">
        <f t="shared" si="17"/>
        <v>cents/kVA</v>
      </c>
      <c r="T243" s="170" t="str">
        <f t="shared" si="17"/>
        <v>cents/kVA</v>
      </c>
      <c r="U243" s="170" t="str">
        <f t="shared" si="17"/>
        <v>cents/LmpWtts/day</v>
      </c>
      <c r="V243" s="170">
        <f t="shared" si="17"/>
        <v>0</v>
      </c>
      <c r="W243" s="170">
        <f t="shared" si="17"/>
        <v>0</v>
      </c>
      <c r="X243" s="170">
        <f t="shared" si="17"/>
        <v>0</v>
      </c>
      <c r="Y243" s="170">
        <f t="shared" si="17"/>
        <v>0</v>
      </c>
      <c r="Z243" s="170">
        <f t="shared" si="17"/>
        <v>0</v>
      </c>
      <c r="AA243" s="170">
        <f t="shared" si="17"/>
        <v>0</v>
      </c>
      <c r="AB243" s="170">
        <f t="shared" si="17"/>
        <v>0</v>
      </c>
      <c r="AC243" s="22"/>
      <c r="AD243" s="19"/>
      <c r="AE243" s="19"/>
      <c r="AF243" s="19"/>
      <c r="AG243" s="19"/>
    </row>
    <row r="244" spans="1:33" outlineLevel="1" x14ac:dyDescent="0.2">
      <c r="A244" s="19"/>
      <c r="B244" s="19"/>
      <c r="C244" s="167" t="str">
        <f>C7</f>
        <v>Distribution</v>
      </c>
      <c r="D244" s="20"/>
      <c r="E244" s="20"/>
      <c r="F244" s="20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19"/>
      <c r="AE244" s="19"/>
      <c r="AF244" s="19"/>
      <c r="AG244" s="19"/>
    </row>
    <row r="245" spans="1:33" s="612" customFormat="1" outlineLevel="2" x14ac:dyDescent="0.2">
      <c r="A245" s="606"/>
      <c r="B245" s="606"/>
      <c r="C245" s="607"/>
      <c r="D245" s="608"/>
      <c r="E245" s="608"/>
      <c r="F245" s="608"/>
      <c r="G245" s="608"/>
      <c r="H245" s="609"/>
      <c r="I245" s="610"/>
      <c r="J245" s="660"/>
      <c r="K245" s="660"/>
      <c r="L245" s="660"/>
      <c r="M245" s="660"/>
      <c r="N245" s="660"/>
      <c r="O245" s="660"/>
      <c r="P245" s="660"/>
      <c r="Q245" s="660"/>
      <c r="R245" s="660"/>
      <c r="S245" s="660"/>
      <c r="T245" s="660"/>
      <c r="U245" s="660"/>
      <c r="V245" s="660"/>
      <c r="W245" s="660"/>
      <c r="X245" s="660"/>
      <c r="Y245" s="660"/>
      <c r="Z245" s="660"/>
      <c r="AA245" s="660"/>
      <c r="AB245" s="660"/>
      <c r="AC245" s="661"/>
      <c r="AD245" s="606"/>
      <c r="AE245" s="606"/>
      <c r="AF245" s="606"/>
      <c r="AG245" s="606"/>
    </row>
    <row r="246" spans="1:33" s="612" customFormat="1" outlineLevel="2" x14ac:dyDescent="0.2">
      <c r="A246" s="606"/>
      <c r="B246" s="606"/>
      <c r="C246" s="607"/>
      <c r="D246" s="608"/>
      <c r="E246" s="608"/>
      <c r="F246" s="608"/>
      <c r="G246" s="608"/>
      <c r="H246" s="609"/>
      <c r="I246" s="610"/>
      <c r="J246" s="660"/>
      <c r="K246" s="660"/>
      <c r="L246" s="660"/>
      <c r="M246" s="660"/>
      <c r="N246" s="660"/>
      <c r="O246" s="660"/>
      <c r="P246" s="660"/>
      <c r="Q246" s="660"/>
      <c r="R246" s="660"/>
      <c r="S246" s="660"/>
      <c r="T246" s="660"/>
      <c r="U246" s="660"/>
      <c r="V246" s="660"/>
      <c r="W246" s="660"/>
      <c r="X246" s="660"/>
      <c r="Y246" s="660"/>
      <c r="Z246" s="660"/>
      <c r="AA246" s="660"/>
      <c r="AB246" s="660"/>
      <c r="AC246" s="661"/>
      <c r="AD246" s="606"/>
      <c r="AE246" s="606"/>
      <c r="AF246" s="606"/>
      <c r="AG246" s="606"/>
    </row>
    <row r="247" spans="1:33" s="612" customFormat="1" outlineLevel="2" x14ac:dyDescent="0.2">
      <c r="A247" s="606"/>
      <c r="B247" s="606"/>
      <c r="C247" s="607"/>
      <c r="D247" s="608"/>
      <c r="E247" s="608"/>
      <c r="F247" s="608"/>
      <c r="G247" s="608"/>
      <c r="H247" s="609"/>
      <c r="I247" s="610"/>
      <c r="J247" s="660"/>
      <c r="K247" s="660"/>
      <c r="L247" s="660"/>
      <c r="M247" s="660"/>
      <c r="N247" s="660"/>
      <c r="O247" s="660"/>
      <c r="P247" s="660"/>
      <c r="Q247" s="660"/>
      <c r="R247" s="660"/>
      <c r="S247" s="660"/>
      <c r="T247" s="660"/>
      <c r="U247" s="660"/>
      <c r="V247" s="660"/>
      <c r="W247" s="660"/>
      <c r="X247" s="660"/>
      <c r="Y247" s="660"/>
      <c r="Z247" s="660"/>
      <c r="AA247" s="660"/>
      <c r="AB247" s="660"/>
      <c r="AC247" s="661"/>
      <c r="AD247" s="606"/>
      <c r="AE247" s="606"/>
      <c r="AF247" s="606"/>
      <c r="AG247" s="606"/>
    </row>
    <row r="248" spans="1:33" s="612" customFormat="1" outlineLevel="2" x14ac:dyDescent="0.2">
      <c r="A248" s="606"/>
      <c r="B248" s="606"/>
      <c r="C248" s="607"/>
      <c r="D248" s="608"/>
      <c r="E248" s="608"/>
      <c r="F248" s="608"/>
      <c r="G248" s="608"/>
      <c r="H248" s="609"/>
      <c r="I248" s="610"/>
      <c r="J248" s="660"/>
      <c r="K248" s="660"/>
      <c r="L248" s="660"/>
      <c r="M248" s="660"/>
      <c r="N248" s="660"/>
      <c r="O248" s="660"/>
      <c r="P248" s="660"/>
      <c r="Q248" s="660"/>
      <c r="R248" s="660"/>
      <c r="S248" s="660"/>
      <c r="T248" s="660"/>
      <c r="U248" s="660"/>
      <c r="V248" s="660"/>
      <c r="W248" s="660"/>
      <c r="X248" s="660"/>
      <c r="Y248" s="660"/>
      <c r="Z248" s="660"/>
      <c r="AA248" s="660"/>
      <c r="AB248" s="660"/>
      <c r="AC248" s="661"/>
      <c r="AD248" s="606"/>
      <c r="AE248" s="606"/>
      <c r="AF248" s="606"/>
      <c r="AG248" s="606"/>
    </row>
    <row r="249" spans="1:33" s="612" customFormat="1" outlineLevel="2" x14ac:dyDescent="0.2">
      <c r="A249" s="606"/>
      <c r="B249" s="606"/>
      <c r="C249" s="607"/>
      <c r="D249" s="608"/>
      <c r="E249" s="608"/>
      <c r="F249" s="608"/>
      <c r="G249" s="608"/>
      <c r="H249" s="609"/>
      <c r="I249" s="610"/>
      <c r="J249" s="660"/>
      <c r="K249" s="660"/>
      <c r="L249" s="660"/>
      <c r="M249" s="660"/>
      <c r="N249" s="660"/>
      <c r="O249" s="660"/>
      <c r="P249" s="660"/>
      <c r="Q249" s="660"/>
      <c r="R249" s="660"/>
      <c r="S249" s="660"/>
      <c r="T249" s="660"/>
      <c r="U249" s="660"/>
      <c r="V249" s="660"/>
      <c r="W249" s="660"/>
      <c r="X249" s="660"/>
      <c r="Y249" s="660"/>
      <c r="Z249" s="660"/>
      <c r="AA249" s="660"/>
      <c r="AB249" s="660"/>
      <c r="AC249" s="661"/>
      <c r="AD249" s="606"/>
      <c r="AE249" s="606"/>
      <c r="AF249" s="606"/>
      <c r="AG249" s="606"/>
    </row>
    <row r="250" spans="1:33" s="612" customFormat="1" outlineLevel="2" x14ac:dyDescent="0.2">
      <c r="A250" s="606"/>
      <c r="B250" s="606"/>
      <c r="C250" s="607"/>
      <c r="D250" s="608"/>
      <c r="E250" s="608"/>
      <c r="F250" s="608"/>
      <c r="G250" s="608"/>
      <c r="H250" s="609"/>
      <c r="I250" s="610"/>
      <c r="J250" s="660"/>
      <c r="K250" s="660"/>
      <c r="L250" s="660"/>
      <c r="M250" s="660"/>
      <c r="N250" s="660"/>
      <c r="O250" s="660"/>
      <c r="P250" s="660"/>
      <c r="Q250" s="660"/>
      <c r="R250" s="660"/>
      <c r="S250" s="660"/>
      <c r="T250" s="660"/>
      <c r="U250" s="660"/>
      <c r="V250" s="660"/>
      <c r="W250" s="660"/>
      <c r="X250" s="660"/>
      <c r="Y250" s="660"/>
      <c r="Z250" s="660"/>
      <c r="AA250" s="660"/>
      <c r="AB250" s="660"/>
      <c r="AC250" s="661"/>
      <c r="AD250" s="606"/>
      <c r="AE250" s="606"/>
      <c r="AF250" s="606"/>
      <c r="AG250" s="606"/>
    </row>
    <row r="251" spans="1:33" s="612" customFormat="1" outlineLevel="2" x14ac:dyDescent="0.2">
      <c r="A251" s="606"/>
      <c r="B251" s="606"/>
      <c r="C251" s="607"/>
      <c r="D251" s="608"/>
      <c r="E251" s="608"/>
      <c r="F251" s="608"/>
      <c r="G251" s="608"/>
      <c r="H251" s="609"/>
      <c r="I251" s="610"/>
      <c r="J251" s="660"/>
      <c r="K251" s="660"/>
      <c r="L251" s="660"/>
      <c r="M251" s="660"/>
      <c r="N251" s="660"/>
      <c r="O251" s="660"/>
      <c r="P251" s="660"/>
      <c r="Q251" s="660"/>
      <c r="R251" s="660"/>
      <c r="S251" s="660"/>
      <c r="T251" s="660"/>
      <c r="U251" s="660"/>
      <c r="V251" s="660"/>
      <c r="W251" s="660"/>
      <c r="X251" s="660"/>
      <c r="Y251" s="660"/>
      <c r="Z251" s="660"/>
      <c r="AA251" s="660"/>
      <c r="AB251" s="660"/>
      <c r="AC251" s="661"/>
      <c r="AD251" s="606"/>
      <c r="AE251" s="606"/>
      <c r="AF251" s="606"/>
      <c r="AG251" s="606"/>
    </row>
    <row r="252" spans="1:33" s="612" customFormat="1" outlineLevel="2" x14ac:dyDescent="0.2">
      <c r="A252" s="606"/>
      <c r="B252" s="606"/>
      <c r="C252" s="607"/>
      <c r="D252" s="608"/>
      <c r="E252" s="608"/>
      <c r="F252" s="608"/>
      <c r="G252" s="608"/>
      <c r="H252" s="609"/>
      <c r="I252" s="610"/>
      <c r="J252" s="660"/>
      <c r="K252" s="660"/>
      <c r="L252" s="660"/>
      <c r="M252" s="660"/>
      <c r="N252" s="660"/>
      <c r="O252" s="660"/>
      <c r="P252" s="660"/>
      <c r="Q252" s="660"/>
      <c r="R252" s="660"/>
      <c r="S252" s="660"/>
      <c r="T252" s="660"/>
      <c r="U252" s="660"/>
      <c r="V252" s="660"/>
      <c r="W252" s="660"/>
      <c r="X252" s="660"/>
      <c r="Y252" s="660"/>
      <c r="Z252" s="660"/>
      <c r="AA252" s="660"/>
      <c r="AB252" s="660"/>
      <c r="AC252" s="661"/>
      <c r="AD252" s="606"/>
      <c r="AE252" s="606"/>
      <c r="AF252" s="606"/>
      <c r="AG252" s="606"/>
    </row>
    <row r="253" spans="1:33" s="612" customFormat="1" outlineLevel="2" x14ac:dyDescent="0.2">
      <c r="A253" s="606"/>
      <c r="B253" s="606"/>
      <c r="C253" s="607"/>
      <c r="D253" s="608"/>
      <c r="E253" s="608"/>
      <c r="F253" s="608"/>
      <c r="G253" s="608"/>
      <c r="H253" s="609"/>
      <c r="I253" s="610"/>
      <c r="J253" s="660"/>
      <c r="K253" s="660"/>
      <c r="L253" s="660"/>
      <c r="M253" s="660"/>
      <c r="N253" s="660"/>
      <c r="O253" s="660"/>
      <c r="P253" s="660"/>
      <c r="Q253" s="660"/>
      <c r="R253" s="660"/>
      <c r="S253" s="660"/>
      <c r="T253" s="660"/>
      <c r="U253" s="660"/>
      <c r="V253" s="660"/>
      <c r="W253" s="660"/>
      <c r="X253" s="660"/>
      <c r="Y253" s="660"/>
      <c r="Z253" s="660"/>
      <c r="AA253" s="660"/>
      <c r="AB253" s="660"/>
      <c r="AC253" s="661"/>
      <c r="AD253" s="606"/>
      <c r="AE253" s="606"/>
      <c r="AF253" s="606"/>
      <c r="AG253" s="606"/>
    </row>
    <row r="254" spans="1:33" s="612" customFormat="1" outlineLevel="2" x14ac:dyDescent="0.2">
      <c r="A254" s="606"/>
      <c r="B254" s="606"/>
      <c r="C254" s="607"/>
      <c r="D254" s="608"/>
      <c r="E254" s="608"/>
      <c r="F254" s="608"/>
      <c r="G254" s="608"/>
      <c r="H254" s="609"/>
      <c r="I254" s="610"/>
      <c r="J254" s="660"/>
      <c r="K254" s="660"/>
      <c r="L254" s="660"/>
      <c r="M254" s="660"/>
      <c r="N254" s="660"/>
      <c r="O254" s="660"/>
      <c r="P254" s="660"/>
      <c r="Q254" s="660"/>
      <c r="R254" s="660"/>
      <c r="S254" s="660"/>
      <c r="T254" s="660"/>
      <c r="U254" s="660"/>
      <c r="V254" s="660"/>
      <c r="W254" s="660"/>
      <c r="X254" s="660"/>
      <c r="Y254" s="660"/>
      <c r="Z254" s="660"/>
      <c r="AA254" s="660"/>
      <c r="AB254" s="660"/>
      <c r="AC254" s="661"/>
      <c r="AD254" s="606"/>
      <c r="AE254" s="606"/>
      <c r="AF254" s="606"/>
      <c r="AG254" s="606"/>
    </row>
    <row r="255" spans="1:33" s="612" customFormat="1" outlineLevel="2" x14ac:dyDescent="0.2">
      <c r="A255" s="606"/>
      <c r="B255" s="606"/>
      <c r="C255" s="607"/>
      <c r="D255" s="608"/>
      <c r="E255" s="608"/>
      <c r="F255" s="608"/>
      <c r="G255" s="608"/>
      <c r="H255" s="609"/>
      <c r="I255" s="660"/>
      <c r="J255" s="660"/>
      <c r="K255" s="660"/>
      <c r="L255" s="660"/>
      <c r="M255" s="660"/>
      <c r="N255" s="660"/>
      <c r="O255" s="660"/>
      <c r="P255" s="660"/>
      <c r="Q255" s="660"/>
      <c r="R255" s="660"/>
      <c r="S255" s="660"/>
      <c r="T255" s="660"/>
      <c r="U255" s="660"/>
      <c r="V255" s="660"/>
      <c r="W255" s="660"/>
      <c r="X255" s="660"/>
      <c r="Y255" s="660"/>
      <c r="Z255" s="660"/>
      <c r="AA255" s="660"/>
      <c r="AB255" s="660"/>
      <c r="AC255" s="661"/>
      <c r="AD255" s="606"/>
      <c r="AE255" s="606"/>
      <c r="AF255" s="606"/>
      <c r="AG255" s="606"/>
    </row>
    <row r="256" spans="1:33" s="612" customFormat="1" outlineLevel="2" x14ac:dyDescent="0.2">
      <c r="A256" s="606"/>
      <c r="B256" s="606"/>
      <c r="C256" s="607"/>
      <c r="D256" s="608"/>
      <c r="E256" s="608"/>
      <c r="F256" s="608"/>
      <c r="G256" s="608"/>
      <c r="H256" s="609"/>
      <c r="I256" s="610"/>
      <c r="J256" s="660"/>
      <c r="K256" s="660"/>
      <c r="L256" s="660"/>
      <c r="M256" s="660"/>
      <c r="N256" s="660"/>
      <c r="O256" s="660"/>
      <c r="P256" s="660"/>
      <c r="Q256" s="660"/>
      <c r="R256" s="660"/>
      <c r="S256" s="660"/>
      <c r="T256" s="660"/>
      <c r="U256" s="660"/>
      <c r="V256" s="660"/>
      <c r="W256" s="660"/>
      <c r="X256" s="660"/>
      <c r="Y256" s="660"/>
      <c r="Z256" s="660"/>
      <c r="AA256" s="660"/>
      <c r="AB256" s="660"/>
      <c r="AC256" s="661"/>
      <c r="AD256" s="606"/>
      <c r="AE256" s="606"/>
      <c r="AF256" s="606"/>
      <c r="AG256" s="606"/>
    </row>
    <row r="257" spans="1:33" s="612" customFormat="1" outlineLevel="2" x14ac:dyDescent="0.2">
      <c r="A257" s="606"/>
      <c r="B257" s="606"/>
      <c r="C257" s="607"/>
      <c r="D257" s="608"/>
      <c r="E257" s="608"/>
      <c r="F257" s="608"/>
      <c r="G257" s="608"/>
      <c r="H257" s="609"/>
      <c r="I257" s="610"/>
      <c r="J257" s="660"/>
      <c r="K257" s="660"/>
      <c r="L257" s="660"/>
      <c r="M257" s="660"/>
      <c r="N257" s="660"/>
      <c r="O257" s="660"/>
      <c r="P257" s="660"/>
      <c r="Q257" s="660"/>
      <c r="R257" s="660"/>
      <c r="S257" s="660"/>
      <c r="T257" s="660"/>
      <c r="U257" s="660"/>
      <c r="V257" s="660"/>
      <c r="W257" s="660"/>
      <c r="X257" s="660"/>
      <c r="Y257" s="660"/>
      <c r="Z257" s="660"/>
      <c r="AA257" s="660"/>
      <c r="AB257" s="660"/>
      <c r="AC257" s="661"/>
      <c r="AD257" s="606"/>
      <c r="AE257" s="606"/>
      <c r="AF257" s="606"/>
      <c r="AG257" s="606"/>
    </row>
    <row r="258" spans="1:33" s="612" customFormat="1" outlineLevel="2" x14ac:dyDescent="0.2">
      <c r="A258" s="606"/>
      <c r="B258" s="606"/>
      <c r="C258" s="607"/>
      <c r="D258" s="608"/>
      <c r="E258" s="608"/>
      <c r="F258" s="608"/>
      <c r="G258" s="608"/>
      <c r="H258" s="609"/>
      <c r="I258" s="610"/>
      <c r="J258" s="660"/>
      <c r="K258" s="660"/>
      <c r="L258" s="660"/>
      <c r="M258" s="660"/>
      <c r="N258" s="660"/>
      <c r="O258" s="660"/>
      <c r="P258" s="660"/>
      <c r="Q258" s="660"/>
      <c r="R258" s="660"/>
      <c r="S258" s="660"/>
      <c r="T258" s="660"/>
      <c r="U258" s="660"/>
      <c r="V258" s="660"/>
      <c r="W258" s="660"/>
      <c r="X258" s="660"/>
      <c r="Y258" s="660"/>
      <c r="Z258" s="660"/>
      <c r="AA258" s="660"/>
      <c r="AB258" s="660"/>
      <c r="AC258" s="661"/>
      <c r="AD258" s="606"/>
      <c r="AE258" s="606"/>
      <c r="AF258" s="606"/>
      <c r="AG258" s="606"/>
    </row>
    <row r="259" spans="1:33" s="612" customFormat="1" outlineLevel="2" x14ac:dyDescent="0.2">
      <c r="A259" s="606"/>
      <c r="B259" s="606"/>
      <c r="C259" s="607"/>
      <c r="D259" s="608"/>
      <c r="E259" s="608"/>
      <c r="F259" s="608"/>
      <c r="G259" s="608"/>
      <c r="H259" s="609"/>
      <c r="I259" s="610"/>
      <c r="J259" s="660"/>
      <c r="K259" s="660"/>
      <c r="L259" s="660"/>
      <c r="M259" s="660"/>
      <c r="N259" s="660"/>
      <c r="O259" s="660"/>
      <c r="P259" s="660"/>
      <c r="Q259" s="660"/>
      <c r="R259" s="660"/>
      <c r="S259" s="660"/>
      <c r="T259" s="660"/>
      <c r="U259" s="660"/>
      <c r="V259" s="660"/>
      <c r="W259" s="660"/>
      <c r="X259" s="660"/>
      <c r="Y259" s="660"/>
      <c r="Z259" s="660"/>
      <c r="AA259" s="660"/>
      <c r="AB259" s="660"/>
      <c r="AC259" s="661"/>
      <c r="AD259" s="606"/>
      <c r="AE259" s="606"/>
      <c r="AF259" s="606"/>
      <c r="AG259" s="606"/>
    </row>
    <row r="260" spans="1:33" s="612" customFormat="1" outlineLevel="2" x14ac:dyDescent="0.2">
      <c r="A260" s="606"/>
      <c r="B260" s="606"/>
      <c r="C260" s="607"/>
      <c r="D260" s="608"/>
      <c r="E260" s="608"/>
      <c r="F260" s="608"/>
      <c r="G260" s="608"/>
      <c r="H260" s="609"/>
      <c r="I260" s="610"/>
      <c r="J260" s="660"/>
      <c r="K260" s="660"/>
      <c r="L260" s="660"/>
      <c r="M260" s="660"/>
      <c r="N260" s="660"/>
      <c r="O260" s="660"/>
      <c r="P260" s="660"/>
      <c r="Q260" s="660"/>
      <c r="R260" s="660"/>
      <c r="S260" s="660"/>
      <c r="T260" s="660"/>
      <c r="U260" s="660"/>
      <c r="V260" s="660"/>
      <c r="W260" s="660"/>
      <c r="X260" s="660"/>
      <c r="Y260" s="660"/>
      <c r="Z260" s="660"/>
      <c r="AA260" s="660"/>
      <c r="AB260" s="660"/>
      <c r="AC260" s="661"/>
      <c r="AD260" s="606"/>
      <c r="AE260" s="606"/>
      <c r="AF260" s="606"/>
      <c r="AG260" s="606"/>
    </row>
    <row r="261" spans="1:33" s="612" customFormat="1" outlineLevel="2" x14ac:dyDescent="0.2">
      <c r="A261" s="606"/>
      <c r="B261" s="606"/>
      <c r="C261" s="607"/>
      <c r="D261" s="608"/>
      <c r="E261" s="608"/>
      <c r="F261" s="608"/>
      <c r="G261" s="608"/>
      <c r="H261" s="609"/>
      <c r="I261" s="610"/>
      <c r="J261" s="660"/>
      <c r="K261" s="660"/>
      <c r="L261" s="660"/>
      <c r="M261" s="660"/>
      <c r="N261" s="660"/>
      <c r="O261" s="660"/>
      <c r="P261" s="660"/>
      <c r="Q261" s="660"/>
      <c r="R261" s="660"/>
      <c r="S261" s="660"/>
      <c r="T261" s="660"/>
      <c r="U261" s="660"/>
      <c r="V261" s="660"/>
      <c r="W261" s="660"/>
      <c r="X261" s="660"/>
      <c r="Y261" s="660"/>
      <c r="Z261" s="660"/>
      <c r="AA261" s="660"/>
      <c r="AB261" s="660"/>
      <c r="AC261" s="661"/>
      <c r="AD261" s="606"/>
      <c r="AE261" s="606"/>
      <c r="AF261" s="606"/>
      <c r="AG261" s="606"/>
    </row>
    <row r="262" spans="1:33" s="612" customFormat="1" outlineLevel="2" x14ac:dyDescent="0.2">
      <c r="A262" s="606"/>
      <c r="B262" s="606"/>
      <c r="C262" s="607"/>
      <c r="D262" s="608"/>
      <c r="E262" s="608"/>
      <c r="F262" s="608"/>
      <c r="G262" s="608"/>
      <c r="H262" s="609"/>
      <c r="I262" s="610"/>
      <c r="J262" s="660"/>
      <c r="K262" s="660"/>
      <c r="L262" s="660"/>
      <c r="M262" s="660"/>
      <c r="N262" s="660"/>
      <c r="O262" s="660"/>
      <c r="P262" s="660"/>
      <c r="Q262" s="660"/>
      <c r="R262" s="660"/>
      <c r="S262" s="660"/>
      <c r="T262" s="660"/>
      <c r="U262" s="660"/>
      <c r="V262" s="660"/>
      <c r="W262" s="660"/>
      <c r="X262" s="660"/>
      <c r="Y262" s="660"/>
      <c r="Z262" s="660"/>
      <c r="AA262" s="660"/>
      <c r="AB262" s="660"/>
      <c r="AC262" s="661"/>
      <c r="AD262" s="606"/>
      <c r="AE262" s="606"/>
      <c r="AF262" s="606"/>
      <c r="AG262" s="606"/>
    </row>
    <row r="263" spans="1:33" s="612" customFormat="1" outlineLevel="2" x14ac:dyDescent="0.2">
      <c r="A263" s="606"/>
      <c r="B263" s="606"/>
      <c r="C263" s="607"/>
      <c r="D263" s="608"/>
      <c r="E263" s="608"/>
      <c r="F263" s="608"/>
      <c r="G263" s="608"/>
      <c r="H263" s="609"/>
      <c r="I263" s="610"/>
      <c r="J263" s="660"/>
      <c r="K263" s="660"/>
      <c r="L263" s="660"/>
      <c r="M263" s="660"/>
      <c r="N263" s="660"/>
      <c r="O263" s="660"/>
      <c r="P263" s="660"/>
      <c r="Q263" s="660"/>
      <c r="R263" s="660"/>
      <c r="S263" s="660"/>
      <c r="T263" s="660"/>
      <c r="U263" s="660"/>
      <c r="V263" s="660"/>
      <c r="W263" s="660"/>
      <c r="X263" s="660"/>
      <c r="Y263" s="660"/>
      <c r="Z263" s="660"/>
      <c r="AA263" s="660"/>
      <c r="AB263" s="660"/>
      <c r="AC263" s="661"/>
      <c r="AD263" s="606"/>
      <c r="AE263" s="606"/>
      <c r="AF263" s="606"/>
      <c r="AG263" s="606"/>
    </row>
    <row r="264" spans="1:33" s="612" customFormat="1" outlineLevel="2" x14ac:dyDescent="0.2">
      <c r="A264" s="606"/>
      <c r="B264" s="606"/>
      <c r="C264" s="607"/>
      <c r="D264" s="608"/>
      <c r="E264" s="608"/>
      <c r="F264" s="608"/>
      <c r="G264" s="608"/>
      <c r="H264" s="609"/>
      <c r="I264" s="610"/>
      <c r="J264" s="660"/>
      <c r="K264" s="660"/>
      <c r="L264" s="660"/>
      <c r="M264" s="660"/>
      <c r="N264" s="660"/>
      <c r="O264" s="660"/>
      <c r="P264" s="660"/>
      <c r="Q264" s="660"/>
      <c r="R264" s="660"/>
      <c r="S264" s="660"/>
      <c r="T264" s="660"/>
      <c r="U264" s="660"/>
      <c r="V264" s="660"/>
      <c r="W264" s="660"/>
      <c r="X264" s="660"/>
      <c r="Y264" s="660"/>
      <c r="Z264" s="660"/>
      <c r="AA264" s="660"/>
      <c r="AB264" s="660"/>
      <c r="AC264" s="661"/>
      <c r="AD264" s="606"/>
      <c r="AE264" s="606"/>
      <c r="AF264" s="606"/>
      <c r="AG264" s="606"/>
    </row>
    <row r="265" spans="1:33" s="612" customFormat="1" outlineLevel="2" x14ac:dyDescent="0.2">
      <c r="A265" s="606"/>
      <c r="B265" s="606"/>
      <c r="C265" s="607"/>
      <c r="D265" s="608"/>
      <c r="E265" s="608"/>
      <c r="F265" s="608"/>
      <c r="G265" s="608"/>
      <c r="H265" s="609"/>
      <c r="I265" s="610"/>
      <c r="J265" s="660"/>
      <c r="K265" s="660"/>
      <c r="L265" s="660"/>
      <c r="M265" s="660"/>
      <c r="N265" s="660"/>
      <c r="O265" s="660"/>
      <c r="P265" s="660"/>
      <c r="Q265" s="660"/>
      <c r="R265" s="660"/>
      <c r="S265" s="660"/>
      <c r="T265" s="660"/>
      <c r="U265" s="660"/>
      <c r="V265" s="660"/>
      <c r="W265" s="660"/>
      <c r="X265" s="660"/>
      <c r="Y265" s="660"/>
      <c r="Z265" s="660"/>
      <c r="AA265" s="660"/>
      <c r="AB265" s="660"/>
      <c r="AC265" s="661"/>
      <c r="AD265" s="606"/>
      <c r="AE265" s="606"/>
      <c r="AF265" s="606"/>
      <c r="AG265" s="606"/>
    </row>
    <row r="266" spans="1:33" s="612" customFormat="1" outlineLevel="2" x14ac:dyDescent="0.2">
      <c r="A266" s="606"/>
      <c r="B266" s="606"/>
      <c r="C266" s="607"/>
      <c r="D266" s="608"/>
      <c r="E266" s="608"/>
      <c r="F266" s="608"/>
      <c r="G266" s="608"/>
      <c r="H266" s="609"/>
      <c r="I266" s="610"/>
      <c r="J266" s="660"/>
      <c r="K266" s="660"/>
      <c r="L266" s="660"/>
      <c r="M266" s="660"/>
      <c r="N266" s="660"/>
      <c r="O266" s="660"/>
      <c r="P266" s="660"/>
      <c r="Q266" s="660"/>
      <c r="R266" s="660"/>
      <c r="S266" s="660"/>
      <c r="T266" s="660"/>
      <c r="U266" s="660"/>
      <c r="V266" s="660"/>
      <c r="W266" s="660"/>
      <c r="X266" s="660"/>
      <c r="Y266" s="660"/>
      <c r="Z266" s="660"/>
      <c r="AA266" s="660"/>
      <c r="AB266" s="660"/>
      <c r="AC266" s="661"/>
      <c r="AD266" s="606"/>
      <c r="AE266" s="606"/>
      <c r="AF266" s="606"/>
      <c r="AG266" s="606"/>
    </row>
    <row r="267" spans="1:33" s="612" customFormat="1" outlineLevel="2" x14ac:dyDescent="0.2">
      <c r="A267" s="606"/>
      <c r="B267" s="606"/>
      <c r="C267" s="607"/>
      <c r="D267" s="608"/>
      <c r="E267" s="608"/>
      <c r="F267" s="608"/>
      <c r="G267" s="608"/>
      <c r="H267" s="609"/>
      <c r="I267" s="610"/>
      <c r="J267" s="660"/>
      <c r="K267" s="660"/>
      <c r="L267" s="660"/>
      <c r="M267" s="660"/>
      <c r="N267" s="660"/>
      <c r="O267" s="660"/>
      <c r="P267" s="660"/>
      <c r="Q267" s="660"/>
      <c r="R267" s="660"/>
      <c r="S267" s="660"/>
      <c r="T267" s="660"/>
      <c r="U267" s="660"/>
      <c r="V267" s="660"/>
      <c r="W267" s="660"/>
      <c r="X267" s="660"/>
      <c r="Y267" s="660"/>
      <c r="Z267" s="660"/>
      <c r="AA267" s="660"/>
      <c r="AB267" s="660"/>
      <c r="AC267" s="661"/>
      <c r="AD267" s="606"/>
      <c r="AE267" s="606"/>
      <c r="AF267" s="606"/>
      <c r="AG267" s="606"/>
    </row>
    <row r="268" spans="1:33" s="612" customFormat="1" outlineLevel="2" x14ac:dyDescent="0.2">
      <c r="A268" s="606"/>
      <c r="B268" s="606"/>
      <c r="C268" s="607"/>
      <c r="D268" s="608"/>
      <c r="E268" s="608"/>
      <c r="F268" s="608"/>
      <c r="G268" s="608"/>
      <c r="H268" s="609"/>
      <c r="I268" s="610"/>
      <c r="J268" s="660"/>
      <c r="K268" s="660"/>
      <c r="L268" s="660"/>
      <c r="M268" s="660"/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  <c r="AA268" s="660"/>
      <c r="AB268" s="660"/>
      <c r="AC268" s="661"/>
      <c r="AD268" s="606"/>
      <c r="AE268" s="606"/>
      <c r="AF268" s="606"/>
      <c r="AG268" s="606"/>
    </row>
    <row r="269" spans="1:33" s="612" customFormat="1" outlineLevel="2" x14ac:dyDescent="0.2">
      <c r="A269" s="606"/>
      <c r="B269" s="606"/>
      <c r="C269" s="607"/>
      <c r="D269" s="608"/>
      <c r="E269" s="608"/>
      <c r="F269" s="608"/>
      <c r="G269" s="608"/>
      <c r="H269" s="609"/>
      <c r="I269" s="610"/>
      <c r="J269" s="660"/>
      <c r="K269" s="660"/>
      <c r="L269" s="660"/>
      <c r="M269" s="660"/>
      <c r="N269" s="660"/>
      <c r="O269" s="660"/>
      <c r="P269" s="660"/>
      <c r="Q269" s="660"/>
      <c r="R269" s="660"/>
      <c r="S269" s="660"/>
      <c r="T269" s="660"/>
      <c r="U269" s="660"/>
      <c r="V269" s="660"/>
      <c r="W269" s="660"/>
      <c r="X269" s="660"/>
      <c r="Y269" s="660"/>
      <c r="Z269" s="660"/>
      <c r="AA269" s="660"/>
      <c r="AB269" s="660"/>
      <c r="AC269" s="661"/>
      <c r="AD269" s="606"/>
      <c r="AE269" s="606"/>
      <c r="AF269" s="606"/>
      <c r="AG269" s="606"/>
    </row>
    <row r="270" spans="1:33" s="612" customFormat="1" outlineLevel="2" x14ac:dyDescent="0.2">
      <c r="A270" s="606"/>
      <c r="B270" s="606"/>
      <c r="C270" s="607"/>
      <c r="D270" s="608"/>
      <c r="E270" s="608"/>
      <c r="F270" s="608"/>
      <c r="G270" s="608"/>
      <c r="H270" s="609"/>
      <c r="I270" s="610"/>
      <c r="J270" s="660"/>
      <c r="K270" s="660"/>
      <c r="L270" s="660"/>
      <c r="M270" s="660"/>
      <c r="N270" s="660"/>
      <c r="O270" s="660"/>
      <c r="P270" s="660"/>
      <c r="Q270" s="660"/>
      <c r="R270" s="660"/>
      <c r="S270" s="660"/>
      <c r="T270" s="660"/>
      <c r="U270" s="660"/>
      <c r="V270" s="660"/>
      <c r="W270" s="660"/>
      <c r="X270" s="660"/>
      <c r="Y270" s="660"/>
      <c r="Z270" s="660"/>
      <c r="AA270" s="660"/>
      <c r="AB270" s="660"/>
      <c r="AC270" s="661"/>
      <c r="AD270" s="606"/>
      <c r="AE270" s="606"/>
      <c r="AF270" s="606"/>
      <c r="AG270" s="606"/>
    </row>
    <row r="271" spans="1:33" s="612" customFormat="1" outlineLevel="2" x14ac:dyDescent="0.2">
      <c r="A271" s="606"/>
      <c r="B271" s="606"/>
      <c r="C271" s="607"/>
      <c r="D271" s="608"/>
      <c r="E271" s="608"/>
      <c r="F271" s="608"/>
      <c r="G271" s="608"/>
      <c r="H271" s="609"/>
      <c r="I271" s="610"/>
      <c r="J271" s="660"/>
      <c r="K271" s="660"/>
      <c r="L271" s="660"/>
      <c r="M271" s="660"/>
      <c r="N271" s="660"/>
      <c r="O271" s="660"/>
      <c r="P271" s="660"/>
      <c r="Q271" s="660"/>
      <c r="R271" s="660"/>
      <c r="S271" s="660"/>
      <c r="T271" s="660"/>
      <c r="U271" s="660"/>
      <c r="V271" s="660"/>
      <c r="W271" s="660"/>
      <c r="X271" s="660"/>
      <c r="Y271" s="660"/>
      <c r="Z271" s="660"/>
      <c r="AA271" s="660"/>
      <c r="AB271" s="660"/>
      <c r="AC271" s="661"/>
      <c r="AD271" s="606"/>
      <c r="AE271" s="606"/>
      <c r="AF271" s="606"/>
      <c r="AG271" s="606"/>
    </row>
    <row r="272" spans="1:33" s="612" customFormat="1" outlineLevel="2" x14ac:dyDescent="0.2">
      <c r="A272" s="606"/>
      <c r="B272" s="606"/>
      <c r="C272" s="607"/>
      <c r="D272" s="608"/>
      <c r="E272" s="608"/>
      <c r="F272" s="608"/>
      <c r="G272" s="608"/>
      <c r="H272" s="609"/>
      <c r="I272" s="660"/>
      <c r="J272" s="660"/>
      <c r="K272" s="660"/>
      <c r="L272" s="660"/>
      <c r="M272" s="660"/>
      <c r="N272" s="660"/>
      <c r="O272" s="660"/>
      <c r="P272" s="660"/>
      <c r="Q272" s="660"/>
      <c r="R272" s="660"/>
      <c r="S272" s="660"/>
      <c r="T272" s="660"/>
      <c r="U272" s="660"/>
      <c r="V272" s="660"/>
      <c r="W272" s="660"/>
      <c r="X272" s="660"/>
      <c r="Y272" s="660"/>
      <c r="Z272" s="660"/>
      <c r="AA272" s="660"/>
      <c r="AB272" s="660"/>
      <c r="AC272" s="661"/>
      <c r="AD272" s="606"/>
      <c r="AE272" s="606"/>
      <c r="AF272" s="606"/>
      <c r="AG272" s="606"/>
    </row>
    <row r="273" spans="1:33" s="612" customFormat="1" outlineLevel="2" x14ac:dyDescent="0.2">
      <c r="A273" s="606"/>
      <c r="B273" s="606"/>
      <c r="C273" s="607"/>
      <c r="D273" s="608"/>
      <c r="E273" s="608"/>
      <c r="F273" s="608"/>
      <c r="G273" s="608"/>
      <c r="H273" s="609"/>
      <c r="I273" s="610"/>
      <c r="J273" s="660"/>
      <c r="K273" s="660"/>
      <c r="L273" s="660"/>
      <c r="M273" s="660"/>
      <c r="N273" s="660"/>
      <c r="O273" s="660"/>
      <c r="P273" s="660"/>
      <c r="Q273" s="660"/>
      <c r="R273" s="660"/>
      <c r="S273" s="660"/>
      <c r="T273" s="660"/>
      <c r="U273" s="660"/>
      <c r="V273" s="660"/>
      <c r="W273" s="660"/>
      <c r="X273" s="660"/>
      <c r="Y273" s="660"/>
      <c r="Z273" s="660"/>
      <c r="AA273" s="660"/>
      <c r="AB273" s="660"/>
      <c r="AC273" s="661"/>
      <c r="AD273" s="606"/>
      <c r="AE273" s="606"/>
      <c r="AF273" s="606"/>
      <c r="AG273" s="606"/>
    </row>
    <row r="274" spans="1:33" s="612" customFormat="1" outlineLevel="2" x14ac:dyDescent="0.2">
      <c r="A274" s="606"/>
      <c r="B274" s="606"/>
      <c r="C274" s="607"/>
      <c r="D274" s="608"/>
      <c r="E274" s="608"/>
      <c r="F274" s="608"/>
      <c r="G274" s="608"/>
      <c r="H274" s="609"/>
      <c r="I274" s="610"/>
      <c r="J274" s="660"/>
      <c r="K274" s="660"/>
      <c r="L274" s="660"/>
      <c r="M274" s="660"/>
      <c r="N274" s="660"/>
      <c r="O274" s="660"/>
      <c r="P274" s="660"/>
      <c r="Q274" s="660"/>
      <c r="R274" s="660"/>
      <c r="S274" s="660"/>
      <c r="T274" s="660"/>
      <c r="U274" s="660"/>
      <c r="V274" s="660"/>
      <c r="W274" s="660"/>
      <c r="X274" s="660"/>
      <c r="Y274" s="660"/>
      <c r="Z274" s="660"/>
      <c r="AA274" s="660"/>
      <c r="AB274" s="660"/>
      <c r="AC274" s="661"/>
      <c r="AD274" s="606"/>
      <c r="AE274" s="606"/>
      <c r="AF274" s="606"/>
      <c r="AG274" s="606"/>
    </row>
    <row r="275" spans="1:33" s="612" customFormat="1" outlineLevel="2" x14ac:dyDescent="0.2">
      <c r="A275" s="606"/>
      <c r="B275" s="606"/>
      <c r="C275" s="607"/>
      <c r="D275" s="608"/>
      <c r="E275" s="608"/>
      <c r="F275" s="608"/>
      <c r="G275" s="608"/>
      <c r="H275" s="609"/>
      <c r="I275" s="610"/>
      <c r="J275" s="660"/>
      <c r="K275" s="660"/>
      <c r="L275" s="660"/>
      <c r="M275" s="660"/>
      <c r="N275" s="660"/>
      <c r="O275" s="660"/>
      <c r="P275" s="660"/>
      <c r="Q275" s="660"/>
      <c r="R275" s="660"/>
      <c r="S275" s="660"/>
      <c r="T275" s="660"/>
      <c r="U275" s="660"/>
      <c r="V275" s="660"/>
      <c r="W275" s="660"/>
      <c r="X275" s="660"/>
      <c r="Y275" s="660"/>
      <c r="Z275" s="660"/>
      <c r="AA275" s="660"/>
      <c r="AB275" s="660"/>
      <c r="AC275" s="661"/>
      <c r="AD275" s="606"/>
      <c r="AE275" s="606"/>
      <c r="AF275" s="606"/>
      <c r="AG275" s="606"/>
    </row>
    <row r="276" spans="1:33" s="612" customFormat="1" outlineLevel="2" x14ac:dyDescent="0.2">
      <c r="A276" s="606"/>
      <c r="B276" s="606"/>
      <c r="C276" s="607"/>
      <c r="D276" s="608"/>
      <c r="E276" s="608"/>
      <c r="F276" s="608"/>
      <c r="G276" s="608"/>
      <c r="H276" s="609"/>
      <c r="I276" s="660"/>
      <c r="J276" s="660"/>
      <c r="K276" s="660"/>
      <c r="L276" s="660"/>
      <c r="M276" s="660"/>
      <c r="N276" s="660"/>
      <c r="O276" s="660"/>
      <c r="P276" s="660"/>
      <c r="Q276" s="660"/>
      <c r="R276" s="660"/>
      <c r="S276" s="660"/>
      <c r="T276" s="660"/>
      <c r="U276" s="660"/>
      <c r="V276" s="660"/>
      <c r="W276" s="660"/>
      <c r="X276" s="660"/>
      <c r="Y276" s="660"/>
      <c r="Z276" s="660"/>
      <c r="AA276" s="660"/>
      <c r="AB276" s="660"/>
      <c r="AC276" s="661"/>
      <c r="AD276" s="606"/>
      <c r="AE276" s="606"/>
      <c r="AF276" s="606"/>
      <c r="AG276" s="606"/>
    </row>
    <row r="277" spans="1:33" s="612" customFormat="1" hidden="1" outlineLevel="3" x14ac:dyDescent="0.2">
      <c r="A277" s="606"/>
      <c r="B277" s="606"/>
      <c r="C277" s="607"/>
      <c r="D277" s="608"/>
      <c r="E277" s="608"/>
      <c r="F277" s="608"/>
      <c r="G277" s="608"/>
      <c r="H277" s="609"/>
      <c r="I277" s="660"/>
      <c r="J277" s="660"/>
      <c r="K277" s="660"/>
      <c r="L277" s="660"/>
      <c r="M277" s="660"/>
      <c r="N277" s="660"/>
      <c r="O277" s="660"/>
      <c r="P277" s="660"/>
      <c r="Q277" s="660"/>
      <c r="R277" s="660"/>
      <c r="S277" s="660"/>
      <c r="T277" s="660"/>
      <c r="U277" s="660"/>
      <c r="V277" s="660"/>
      <c r="W277" s="660"/>
      <c r="X277" s="660"/>
      <c r="Y277" s="660"/>
      <c r="Z277" s="660"/>
      <c r="AA277" s="660"/>
      <c r="AB277" s="660"/>
      <c r="AC277" s="661"/>
      <c r="AD277" s="606"/>
      <c r="AE277" s="606"/>
      <c r="AF277" s="606"/>
      <c r="AG277" s="606"/>
    </row>
    <row r="278" spans="1:33" s="612" customFormat="1" hidden="1" outlineLevel="3" x14ac:dyDescent="0.2">
      <c r="A278" s="606"/>
      <c r="B278" s="606"/>
      <c r="C278" s="607"/>
      <c r="D278" s="608"/>
      <c r="E278" s="608"/>
      <c r="F278" s="608"/>
      <c r="G278" s="608"/>
      <c r="H278" s="609"/>
      <c r="I278" s="660"/>
      <c r="J278" s="660"/>
      <c r="K278" s="660"/>
      <c r="L278" s="660"/>
      <c r="M278" s="660"/>
      <c r="N278" s="660"/>
      <c r="O278" s="660"/>
      <c r="P278" s="660"/>
      <c r="Q278" s="660"/>
      <c r="R278" s="660"/>
      <c r="S278" s="660"/>
      <c r="T278" s="660"/>
      <c r="U278" s="660"/>
      <c r="V278" s="660"/>
      <c r="W278" s="660"/>
      <c r="X278" s="660"/>
      <c r="Y278" s="660"/>
      <c r="Z278" s="660"/>
      <c r="AA278" s="660"/>
      <c r="AB278" s="660"/>
      <c r="AC278" s="661"/>
      <c r="AD278" s="606"/>
      <c r="AE278" s="606"/>
      <c r="AF278" s="606"/>
      <c r="AG278" s="606"/>
    </row>
    <row r="279" spans="1:33" s="612" customFormat="1" hidden="1" outlineLevel="3" x14ac:dyDescent="0.2">
      <c r="A279" s="606"/>
      <c r="B279" s="606"/>
      <c r="C279" s="607"/>
      <c r="D279" s="608"/>
      <c r="E279" s="608"/>
      <c r="F279" s="608"/>
      <c r="G279" s="608"/>
      <c r="H279" s="609"/>
      <c r="I279" s="660"/>
      <c r="J279" s="660"/>
      <c r="K279" s="660"/>
      <c r="L279" s="660"/>
      <c r="M279" s="660"/>
      <c r="N279" s="660"/>
      <c r="O279" s="660"/>
      <c r="P279" s="660"/>
      <c r="Q279" s="660"/>
      <c r="R279" s="660"/>
      <c r="S279" s="660"/>
      <c r="T279" s="660"/>
      <c r="U279" s="660"/>
      <c r="V279" s="660"/>
      <c r="W279" s="660"/>
      <c r="X279" s="660"/>
      <c r="Y279" s="660"/>
      <c r="Z279" s="660"/>
      <c r="AA279" s="660"/>
      <c r="AB279" s="660"/>
      <c r="AC279" s="661"/>
      <c r="AD279" s="606"/>
      <c r="AE279" s="606"/>
      <c r="AF279" s="606"/>
      <c r="AG279" s="606"/>
    </row>
    <row r="280" spans="1:33" s="612" customFormat="1" hidden="1" outlineLevel="3" x14ac:dyDescent="0.2">
      <c r="A280" s="606"/>
      <c r="B280" s="606"/>
      <c r="C280" s="607"/>
      <c r="D280" s="608"/>
      <c r="E280" s="608"/>
      <c r="F280" s="608"/>
      <c r="G280" s="608"/>
      <c r="H280" s="609"/>
      <c r="I280" s="660"/>
      <c r="J280" s="660"/>
      <c r="K280" s="660"/>
      <c r="L280" s="660"/>
      <c r="M280" s="660"/>
      <c r="N280" s="660"/>
      <c r="O280" s="660"/>
      <c r="P280" s="660"/>
      <c r="Q280" s="660"/>
      <c r="R280" s="660"/>
      <c r="S280" s="660"/>
      <c r="T280" s="660"/>
      <c r="U280" s="660"/>
      <c r="V280" s="660"/>
      <c r="W280" s="660"/>
      <c r="X280" s="660"/>
      <c r="Y280" s="660"/>
      <c r="Z280" s="660"/>
      <c r="AA280" s="660"/>
      <c r="AB280" s="660"/>
      <c r="AC280" s="661"/>
      <c r="AD280" s="606"/>
      <c r="AE280" s="606"/>
      <c r="AF280" s="606"/>
      <c r="AG280" s="606"/>
    </row>
    <row r="281" spans="1:33" s="612" customFormat="1" hidden="1" outlineLevel="3" x14ac:dyDescent="0.2">
      <c r="A281" s="606"/>
      <c r="B281" s="606"/>
      <c r="C281" s="607"/>
      <c r="D281" s="608"/>
      <c r="E281" s="608"/>
      <c r="F281" s="608"/>
      <c r="G281" s="608"/>
      <c r="H281" s="609"/>
      <c r="I281" s="660"/>
      <c r="J281" s="660"/>
      <c r="K281" s="660"/>
      <c r="L281" s="660"/>
      <c r="M281" s="660"/>
      <c r="N281" s="660"/>
      <c r="O281" s="660"/>
      <c r="P281" s="660"/>
      <c r="Q281" s="660"/>
      <c r="R281" s="660"/>
      <c r="S281" s="660"/>
      <c r="T281" s="660"/>
      <c r="U281" s="660"/>
      <c r="V281" s="660"/>
      <c r="W281" s="660"/>
      <c r="X281" s="660"/>
      <c r="Y281" s="660"/>
      <c r="Z281" s="660"/>
      <c r="AA281" s="660"/>
      <c r="AB281" s="660"/>
      <c r="AC281" s="661"/>
      <c r="AD281" s="606"/>
      <c r="AE281" s="606"/>
      <c r="AF281" s="606"/>
      <c r="AG281" s="606"/>
    </row>
    <row r="282" spans="1:33" s="612" customFormat="1" hidden="1" outlineLevel="3" x14ac:dyDescent="0.2">
      <c r="A282" s="606"/>
      <c r="B282" s="606"/>
      <c r="C282" s="607"/>
      <c r="D282" s="608"/>
      <c r="E282" s="608"/>
      <c r="F282" s="608"/>
      <c r="G282" s="608"/>
      <c r="H282" s="609"/>
      <c r="I282" s="660"/>
      <c r="J282" s="660"/>
      <c r="K282" s="660"/>
      <c r="L282" s="660"/>
      <c r="M282" s="660"/>
      <c r="N282" s="660"/>
      <c r="O282" s="660"/>
      <c r="P282" s="660"/>
      <c r="Q282" s="660"/>
      <c r="R282" s="660"/>
      <c r="S282" s="660"/>
      <c r="T282" s="660"/>
      <c r="U282" s="660"/>
      <c r="V282" s="660"/>
      <c r="W282" s="660"/>
      <c r="X282" s="660"/>
      <c r="Y282" s="660"/>
      <c r="Z282" s="660"/>
      <c r="AA282" s="660"/>
      <c r="AB282" s="660"/>
      <c r="AC282" s="661"/>
      <c r="AD282" s="606"/>
      <c r="AE282" s="606"/>
      <c r="AF282" s="606"/>
      <c r="AG282" s="606"/>
    </row>
    <row r="283" spans="1:33" s="612" customFormat="1" hidden="1" outlineLevel="3" x14ac:dyDescent="0.2">
      <c r="A283" s="606"/>
      <c r="B283" s="606"/>
      <c r="C283" s="607"/>
      <c r="D283" s="608"/>
      <c r="E283" s="608"/>
      <c r="F283" s="608"/>
      <c r="G283" s="608"/>
      <c r="H283" s="609"/>
      <c r="I283" s="660"/>
      <c r="J283" s="660"/>
      <c r="K283" s="660"/>
      <c r="L283" s="660"/>
      <c r="M283" s="660"/>
      <c r="N283" s="660"/>
      <c r="O283" s="660"/>
      <c r="P283" s="660"/>
      <c r="Q283" s="660"/>
      <c r="R283" s="660"/>
      <c r="S283" s="660"/>
      <c r="T283" s="660"/>
      <c r="U283" s="660"/>
      <c r="V283" s="660"/>
      <c r="W283" s="660"/>
      <c r="X283" s="660"/>
      <c r="Y283" s="660"/>
      <c r="Z283" s="660"/>
      <c r="AA283" s="660"/>
      <c r="AB283" s="660"/>
      <c r="AC283" s="661"/>
      <c r="AD283" s="606"/>
      <c r="AE283" s="606"/>
      <c r="AF283" s="606"/>
      <c r="AG283" s="606"/>
    </row>
    <row r="284" spans="1:33" s="612" customFormat="1" hidden="1" outlineLevel="3" x14ac:dyDescent="0.2">
      <c r="A284" s="606"/>
      <c r="B284" s="606"/>
      <c r="C284" s="607"/>
      <c r="D284" s="608"/>
      <c r="E284" s="608"/>
      <c r="F284" s="608"/>
      <c r="G284" s="608"/>
      <c r="H284" s="609"/>
      <c r="I284" s="660"/>
      <c r="J284" s="660"/>
      <c r="K284" s="660"/>
      <c r="L284" s="660"/>
      <c r="M284" s="660"/>
      <c r="N284" s="660"/>
      <c r="O284" s="660"/>
      <c r="P284" s="660"/>
      <c r="Q284" s="660"/>
      <c r="R284" s="660"/>
      <c r="S284" s="660"/>
      <c r="T284" s="660"/>
      <c r="U284" s="660"/>
      <c r="V284" s="660"/>
      <c r="W284" s="660"/>
      <c r="X284" s="660"/>
      <c r="Y284" s="660"/>
      <c r="Z284" s="660"/>
      <c r="AA284" s="660"/>
      <c r="AB284" s="660"/>
      <c r="AC284" s="661"/>
      <c r="AD284" s="606"/>
      <c r="AE284" s="606"/>
      <c r="AF284" s="606"/>
      <c r="AG284" s="606"/>
    </row>
    <row r="285" spans="1:33" s="612" customFormat="1" hidden="1" outlineLevel="3" x14ac:dyDescent="0.2">
      <c r="A285" s="606"/>
      <c r="B285" s="606"/>
      <c r="C285" s="607"/>
      <c r="D285" s="608"/>
      <c r="E285" s="608"/>
      <c r="F285" s="608"/>
      <c r="G285" s="608"/>
      <c r="H285" s="609"/>
      <c r="I285" s="660"/>
      <c r="J285" s="660"/>
      <c r="K285" s="660"/>
      <c r="L285" s="660"/>
      <c r="M285" s="660"/>
      <c r="N285" s="660"/>
      <c r="O285" s="660"/>
      <c r="P285" s="660"/>
      <c r="Q285" s="660"/>
      <c r="R285" s="660"/>
      <c r="S285" s="660"/>
      <c r="T285" s="660"/>
      <c r="U285" s="660"/>
      <c r="V285" s="660"/>
      <c r="W285" s="660"/>
      <c r="X285" s="660"/>
      <c r="Y285" s="660"/>
      <c r="Z285" s="660"/>
      <c r="AA285" s="660"/>
      <c r="AB285" s="660"/>
      <c r="AC285" s="661"/>
      <c r="AD285" s="606"/>
      <c r="AE285" s="606"/>
      <c r="AF285" s="606"/>
      <c r="AG285" s="606"/>
    </row>
    <row r="286" spans="1:33" s="612" customFormat="1" hidden="1" outlineLevel="3" x14ac:dyDescent="0.2">
      <c r="A286" s="606"/>
      <c r="B286" s="606"/>
      <c r="C286" s="607"/>
      <c r="D286" s="608"/>
      <c r="E286" s="608"/>
      <c r="F286" s="608"/>
      <c r="G286" s="608"/>
      <c r="H286" s="609"/>
      <c r="I286" s="660"/>
      <c r="J286" s="660"/>
      <c r="K286" s="660"/>
      <c r="L286" s="660"/>
      <c r="M286" s="660"/>
      <c r="N286" s="660"/>
      <c r="O286" s="660"/>
      <c r="P286" s="660"/>
      <c r="Q286" s="660"/>
      <c r="R286" s="660"/>
      <c r="S286" s="660"/>
      <c r="T286" s="660"/>
      <c r="U286" s="660"/>
      <c r="V286" s="660"/>
      <c r="W286" s="660"/>
      <c r="X286" s="660"/>
      <c r="Y286" s="660"/>
      <c r="Z286" s="660"/>
      <c r="AA286" s="660"/>
      <c r="AB286" s="660"/>
      <c r="AC286" s="661"/>
      <c r="AD286" s="606"/>
      <c r="AE286" s="606"/>
      <c r="AF286" s="606"/>
      <c r="AG286" s="606"/>
    </row>
    <row r="287" spans="1:33" s="612" customFormat="1" hidden="1" outlineLevel="3" x14ac:dyDescent="0.2">
      <c r="A287" s="606"/>
      <c r="B287" s="606"/>
      <c r="C287" s="607"/>
      <c r="D287" s="608"/>
      <c r="E287" s="608"/>
      <c r="F287" s="608"/>
      <c r="G287" s="608"/>
      <c r="H287" s="609"/>
      <c r="I287" s="660"/>
      <c r="J287" s="660"/>
      <c r="K287" s="660"/>
      <c r="L287" s="660"/>
      <c r="M287" s="660"/>
      <c r="N287" s="660"/>
      <c r="O287" s="660"/>
      <c r="P287" s="660"/>
      <c r="Q287" s="660"/>
      <c r="R287" s="660"/>
      <c r="S287" s="660"/>
      <c r="T287" s="660"/>
      <c r="U287" s="660"/>
      <c r="V287" s="660"/>
      <c r="W287" s="660"/>
      <c r="X287" s="660"/>
      <c r="Y287" s="660"/>
      <c r="Z287" s="660"/>
      <c r="AA287" s="660"/>
      <c r="AB287" s="660"/>
      <c r="AC287" s="661"/>
      <c r="AD287" s="606"/>
      <c r="AE287" s="606"/>
      <c r="AF287" s="606"/>
      <c r="AG287" s="606"/>
    </row>
    <row r="288" spans="1:33" s="612" customFormat="1" hidden="1" outlineLevel="3" x14ac:dyDescent="0.2">
      <c r="A288" s="606"/>
      <c r="B288" s="606"/>
      <c r="C288" s="607"/>
      <c r="D288" s="608"/>
      <c r="E288" s="608"/>
      <c r="F288" s="608"/>
      <c r="G288" s="608"/>
      <c r="H288" s="609"/>
      <c r="I288" s="660"/>
      <c r="J288" s="660"/>
      <c r="K288" s="660"/>
      <c r="L288" s="660"/>
      <c r="M288" s="660"/>
      <c r="N288" s="660"/>
      <c r="O288" s="660"/>
      <c r="P288" s="660"/>
      <c r="Q288" s="660"/>
      <c r="R288" s="660"/>
      <c r="S288" s="660"/>
      <c r="T288" s="660"/>
      <c r="U288" s="660"/>
      <c r="V288" s="660"/>
      <c r="W288" s="660"/>
      <c r="X288" s="660"/>
      <c r="Y288" s="660"/>
      <c r="Z288" s="660"/>
      <c r="AA288" s="660"/>
      <c r="AB288" s="660"/>
      <c r="AC288" s="661"/>
      <c r="AD288" s="606"/>
      <c r="AE288" s="606"/>
      <c r="AF288" s="606"/>
      <c r="AG288" s="606"/>
    </row>
    <row r="289" spans="1:33" s="612" customFormat="1" hidden="1" outlineLevel="3" x14ac:dyDescent="0.2">
      <c r="A289" s="606"/>
      <c r="B289" s="606"/>
      <c r="C289" s="607"/>
      <c r="D289" s="608"/>
      <c r="E289" s="608"/>
      <c r="F289" s="608"/>
      <c r="G289" s="608"/>
      <c r="H289" s="609"/>
      <c r="I289" s="660"/>
      <c r="J289" s="660"/>
      <c r="K289" s="660"/>
      <c r="L289" s="660"/>
      <c r="M289" s="660"/>
      <c r="N289" s="660"/>
      <c r="O289" s="660"/>
      <c r="P289" s="660"/>
      <c r="Q289" s="660"/>
      <c r="R289" s="660"/>
      <c r="S289" s="660"/>
      <c r="T289" s="660"/>
      <c r="U289" s="660"/>
      <c r="V289" s="660"/>
      <c r="W289" s="660"/>
      <c r="X289" s="660"/>
      <c r="Y289" s="660"/>
      <c r="Z289" s="660"/>
      <c r="AA289" s="660"/>
      <c r="AB289" s="660"/>
      <c r="AC289" s="661"/>
      <c r="AD289" s="606"/>
      <c r="AE289" s="606"/>
      <c r="AF289" s="606"/>
      <c r="AG289" s="606"/>
    </row>
    <row r="290" spans="1:33" s="612" customFormat="1" hidden="1" outlineLevel="3" x14ac:dyDescent="0.2">
      <c r="A290" s="606"/>
      <c r="B290" s="606"/>
      <c r="C290" s="607"/>
      <c r="D290" s="608"/>
      <c r="E290" s="608"/>
      <c r="F290" s="608"/>
      <c r="G290" s="608"/>
      <c r="H290" s="609"/>
      <c r="I290" s="660"/>
      <c r="J290" s="660"/>
      <c r="K290" s="660"/>
      <c r="L290" s="660"/>
      <c r="M290" s="660"/>
      <c r="N290" s="660"/>
      <c r="O290" s="660"/>
      <c r="P290" s="660"/>
      <c r="Q290" s="660"/>
      <c r="R290" s="660"/>
      <c r="S290" s="660"/>
      <c r="T290" s="660"/>
      <c r="U290" s="660"/>
      <c r="V290" s="660"/>
      <c r="W290" s="660"/>
      <c r="X290" s="660"/>
      <c r="Y290" s="660"/>
      <c r="Z290" s="660"/>
      <c r="AA290" s="660"/>
      <c r="AB290" s="660"/>
      <c r="AC290" s="661"/>
      <c r="AD290" s="606"/>
      <c r="AE290" s="606"/>
      <c r="AF290" s="606"/>
      <c r="AG290" s="606"/>
    </row>
    <row r="291" spans="1:33" s="612" customFormat="1" hidden="1" outlineLevel="3" x14ac:dyDescent="0.2">
      <c r="A291" s="606"/>
      <c r="B291" s="606"/>
      <c r="C291" s="607"/>
      <c r="D291" s="608"/>
      <c r="E291" s="608"/>
      <c r="F291" s="608"/>
      <c r="G291" s="608"/>
      <c r="H291" s="609"/>
      <c r="I291" s="660"/>
      <c r="J291" s="660"/>
      <c r="K291" s="660"/>
      <c r="L291" s="660"/>
      <c r="M291" s="660"/>
      <c r="N291" s="660"/>
      <c r="O291" s="660"/>
      <c r="P291" s="660"/>
      <c r="Q291" s="660"/>
      <c r="R291" s="660"/>
      <c r="S291" s="660"/>
      <c r="T291" s="660"/>
      <c r="U291" s="660"/>
      <c r="V291" s="660"/>
      <c r="W291" s="660"/>
      <c r="X291" s="660"/>
      <c r="Y291" s="660"/>
      <c r="Z291" s="660"/>
      <c r="AA291" s="660"/>
      <c r="AB291" s="660"/>
      <c r="AC291" s="661"/>
      <c r="AD291" s="606"/>
      <c r="AE291" s="606"/>
      <c r="AF291" s="606"/>
      <c r="AG291" s="606"/>
    </row>
    <row r="292" spans="1:33" s="612" customFormat="1" hidden="1" outlineLevel="3" x14ac:dyDescent="0.2">
      <c r="A292" s="606"/>
      <c r="B292" s="606"/>
      <c r="C292" s="607"/>
      <c r="D292" s="608"/>
      <c r="E292" s="608"/>
      <c r="F292" s="608"/>
      <c r="G292" s="608"/>
      <c r="H292" s="609"/>
      <c r="I292" s="660"/>
      <c r="J292" s="660"/>
      <c r="K292" s="660"/>
      <c r="L292" s="660"/>
      <c r="M292" s="660"/>
      <c r="N292" s="660"/>
      <c r="O292" s="660"/>
      <c r="P292" s="660"/>
      <c r="Q292" s="660"/>
      <c r="R292" s="660"/>
      <c r="S292" s="660"/>
      <c r="T292" s="660"/>
      <c r="U292" s="660"/>
      <c r="V292" s="660"/>
      <c r="W292" s="660"/>
      <c r="X292" s="660"/>
      <c r="Y292" s="660"/>
      <c r="Z292" s="660"/>
      <c r="AA292" s="660"/>
      <c r="AB292" s="660"/>
      <c r="AC292" s="661"/>
      <c r="AD292" s="606"/>
      <c r="AE292" s="606"/>
      <c r="AF292" s="606"/>
      <c r="AG292" s="606"/>
    </row>
    <row r="293" spans="1:33" s="612" customFormat="1" hidden="1" outlineLevel="3" x14ac:dyDescent="0.2">
      <c r="A293" s="606"/>
      <c r="B293" s="606"/>
      <c r="C293" s="607"/>
      <c r="D293" s="608"/>
      <c r="E293" s="608"/>
      <c r="F293" s="608"/>
      <c r="G293" s="608"/>
      <c r="H293" s="609"/>
      <c r="I293" s="660"/>
      <c r="J293" s="660"/>
      <c r="K293" s="660"/>
      <c r="L293" s="660"/>
      <c r="M293" s="660"/>
      <c r="N293" s="660"/>
      <c r="O293" s="660"/>
      <c r="P293" s="660"/>
      <c r="Q293" s="660"/>
      <c r="R293" s="660"/>
      <c r="S293" s="660"/>
      <c r="T293" s="660"/>
      <c r="U293" s="660"/>
      <c r="V293" s="660"/>
      <c r="W293" s="660"/>
      <c r="X293" s="660"/>
      <c r="Y293" s="660"/>
      <c r="Z293" s="660"/>
      <c r="AA293" s="660"/>
      <c r="AB293" s="660"/>
      <c r="AC293" s="661"/>
      <c r="AD293" s="606"/>
      <c r="AE293" s="606"/>
      <c r="AF293" s="606"/>
      <c r="AG293" s="606"/>
    </row>
    <row r="294" spans="1:33" s="612" customFormat="1" hidden="1" outlineLevel="3" x14ac:dyDescent="0.2">
      <c r="A294" s="606"/>
      <c r="B294" s="606"/>
      <c r="C294" s="607"/>
      <c r="D294" s="608"/>
      <c r="E294" s="608"/>
      <c r="F294" s="608"/>
      <c r="G294" s="608"/>
      <c r="H294" s="609"/>
      <c r="I294" s="660"/>
      <c r="J294" s="660"/>
      <c r="K294" s="660"/>
      <c r="L294" s="660"/>
      <c r="M294" s="660"/>
      <c r="N294" s="660"/>
      <c r="O294" s="660"/>
      <c r="P294" s="660"/>
      <c r="Q294" s="660"/>
      <c r="R294" s="660"/>
      <c r="S294" s="660"/>
      <c r="T294" s="660"/>
      <c r="U294" s="660"/>
      <c r="V294" s="660"/>
      <c r="W294" s="660"/>
      <c r="X294" s="660"/>
      <c r="Y294" s="660"/>
      <c r="Z294" s="660"/>
      <c r="AA294" s="660"/>
      <c r="AB294" s="660"/>
      <c r="AC294" s="661"/>
      <c r="AD294" s="606"/>
      <c r="AE294" s="606"/>
      <c r="AF294" s="606"/>
      <c r="AG294" s="606"/>
    </row>
    <row r="295" spans="1:33" s="612" customFormat="1" hidden="1" outlineLevel="3" x14ac:dyDescent="0.2">
      <c r="A295" s="606"/>
      <c r="B295" s="606"/>
      <c r="C295" s="607"/>
      <c r="D295" s="608"/>
      <c r="E295" s="608"/>
      <c r="F295" s="608"/>
      <c r="G295" s="608"/>
      <c r="H295" s="609"/>
      <c r="I295" s="660"/>
      <c r="J295" s="660"/>
      <c r="K295" s="660"/>
      <c r="L295" s="660"/>
      <c r="M295" s="660"/>
      <c r="N295" s="660"/>
      <c r="O295" s="660"/>
      <c r="P295" s="660"/>
      <c r="Q295" s="660"/>
      <c r="R295" s="660"/>
      <c r="S295" s="660"/>
      <c r="T295" s="660"/>
      <c r="U295" s="660"/>
      <c r="V295" s="660"/>
      <c r="W295" s="660"/>
      <c r="X295" s="660"/>
      <c r="Y295" s="660"/>
      <c r="Z295" s="660"/>
      <c r="AA295" s="660"/>
      <c r="AB295" s="660"/>
      <c r="AC295" s="661"/>
      <c r="AD295" s="606"/>
      <c r="AE295" s="606"/>
      <c r="AF295" s="606"/>
      <c r="AG295" s="606"/>
    </row>
    <row r="296" spans="1:33" s="612" customFormat="1" hidden="1" outlineLevel="3" x14ac:dyDescent="0.2">
      <c r="A296" s="606"/>
      <c r="B296" s="606"/>
      <c r="C296" s="607"/>
      <c r="D296" s="608"/>
      <c r="E296" s="608"/>
      <c r="F296" s="608"/>
      <c r="G296" s="608"/>
      <c r="H296" s="609"/>
      <c r="I296" s="660"/>
      <c r="J296" s="660"/>
      <c r="K296" s="660"/>
      <c r="L296" s="660"/>
      <c r="M296" s="660"/>
      <c r="N296" s="660"/>
      <c r="O296" s="660"/>
      <c r="P296" s="660"/>
      <c r="Q296" s="660"/>
      <c r="R296" s="660"/>
      <c r="S296" s="660"/>
      <c r="T296" s="660"/>
      <c r="U296" s="660"/>
      <c r="V296" s="660"/>
      <c r="W296" s="660"/>
      <c r="X296" s="660"/>
      <c r="Y296" s="660"/>
      <c r="Z296" s="660"/>
      <c r="AA296" s="660"/>
      <c r="AB296" s="660"/>
      <c r="AC296" s="661"/>
      <c r="AD296" s="606"/>
      <c r="AE296" s="606"/>
      <c r="AF296" s="606"/>
      <c r="AG296" s="606"/>
    </row>
    <row r="297" spans="1:33" s="612" customFormat="1" hidden="1" outlineLevel="3" x14ac:dyDescent="0.2">
      <c r="A297" s="606"/>
      <c r="B297" s="606"/>
      <c r="C297" s="607"/>
      <c r="D297" s="608"/>
      <c r="E297" s="608"/>
      <c r="F297" s="608"/>
      <c r="G297" s="608"/>
      <c r="H297" s="609"/>
      <c r="I297" s="660"/>
      <c r="J297" s="660"/>
      <c r="K297" s="660"/>
      <c r="L297" s="660"/>
      <c r="M297" s="660"/>
      <c r="N297" s="660"/>
      <c r="O297" s="660"/>
      <c r="P297" s="660"/>
      <c r="Q297" s="660"/>
      <c r="R297" s="660"/>
      <c r="S297" s="660"/>
      <c r="T297" s="660"/>
      <c r="U297" s="660"/>
      <c r="V297" s="660"/>
      <c r="W297" s="660"/>
      <c r="X297" s="660"/>
      <c r="Y297" s="660"/>
      <c r="Z297" s="660"/>
      <c r="AA297" s="660"/>
      <c r="AB297" s="660"/>
      <c r="AC297" s="661"/>
      <c r="AD297" s="606"/>
      <c r="AE297" s="606"/>
      <c r="AF297" s="606"/>
      <c r="AG297" s="606"/>
    </row>
    <row r="298" spans="1:33" s="612" customFormat="1" hidden="1" outlineLevel="3" x14ac:dyDescent="0.2">
      <c r="A298" s="606"/>
      <c r="B298" s="606"/>
      <c r="C298" s="607"/>
      <c r="D298" s="608"/>
      <c r="E298" s="608"/>
      <c r="F298" s="608"/>
      <c r="G298" s="608"/>
      <c r="H298" s="609"/>
      <c r="I298" s="660"/>
      <c r="J298" s="660"/>
      <c r="K298" s="660"/>
      <c r="L298" s="660"/>
      <c r="M298" s="660"/>
      <c r="N298" s="660"/>
      <c r="O298" s="660"/>
      <c r="P298" s="660"/>
      <c r="Q298" s="660"/>
      <c r="R298" s="660"/>
      <c r="S298" s="660"/>
      <c r="T298" s="660"/>
      <c r="U298" s="660"/>
      <c r="V298" s="660"/>
      <c r="W298" s="660"/>
      <c r="X298" s="660"/>
      <c r="Y298" s="660"/>
      <c r="Z298" s="660"/>
      <c r="AA298" s="660"/>
      <c r="AB298" s="660"/>
      <c r="AC298" s="661"/>
      <c r="AD298" s="606"/>
      <c r="AE298" s="606"/>
      <c r="AF298" s="606"/>
      <c r="AG298" s="606"/>
    </row>
    <row r="299" spans="1:33" s="612" customFormat="1" hidden="1" outlineLevel="3" x14ac:dyDescent="0.2">
      <c r="A299" s="606"/>
      <c r="B299" s="606"/>
      <c r="C299" s="607"/>
      <c r="D299" s="608"/>
      <c r="E299" s="608"/>
      <c r="F299" s="608"/>
      <c r="G299" s="608"/>
      <c r="H299" s="609"/>
      <c r="I299" s="660"/>
      <c r="J299" s="660"/>
      <c r="K299" s="660"/>
      <c r="L299" s="660"/>
      <c r="M299" s="660"/>
      <c r="N299" s="660"/>
      <c r="O299" s="660"/>
      <c r="P299" s="660"/>
      <c r="Q299" s="660"/>
      <c r="R299" s="660"/>
      <c r="S299" s="660"/>
      <c r="T299" s="660"/>
      <c r="U299" s="660"/>
      <c r="V299" s="660"/>
      <c r="W299" s="660"/>
      <c r="X299" s="660"/>
      <c r="Y299" s="660"/>
      <c r="Z299" s="660"/>
      <c r="AA299" s="660"/>
      <c r="AB299" s="660"/>
      <c r="AC299" s="661"/>
      <c r="AD299" s="606"/>
      <c r="AE299" s="606"/>
      <c r="AF299" s="606"/>
      <c r="AG299" s="606"/>
    </row>
    <row r="300" spans="1:33" s="612" customFormat="1" hidden="1" outlineLevel="3" x14ac:dyDescent="0.2">
      <c r="A300" s="606"/>
      <c r="B300" s="606"/>
      <c r="C300" s="607"/>
      <c r="D300" s="608"/>
      <c r="E300" s="608"/>
      <c r="F300" s="608"/>
      <c r="G300" s="608"/>
      <c r="H300" s="609"/>
      <c r="I300" s="660"/>
      <c r="J300" s="660"/>
      <c r="K300" s="660"/>
      <c r="L300" s="660"/>
      <c r="M300" s="660"/>
      <c r="N300" s="660"/>
      <c r="O300" s="660"/>
      <c r="P300" s="660"/>
      <c r="Q300" s="660"/>
      <c r="R300" s="660"/>
      <c r="S300" s="660"/>
      <c r="T300" s="660"/>
      <c r="U300" s="660"/>
      <c r="V300" s="660"/>
      <c r="W300" s="660"/>
      <c r="X300" s="660"/>
      <c r="Y300" s="660"/>
      <c r="Z300" s="660"/>
      <c r="AA300" s="660"/>
      <c r="AB300" s="660"/>
      <c r="AC300" s="661"/>
      <c r="AD300" s="606"/>
      <c r="AE300" s="606"/>
      <c r="AF300" s="606"/>
      <c r="AG300" s="606"/>
    </row>
    <row r="301" spans="1:33" s="612" customFormat="1" hidden="1" outlineLevel="3" x14ac:dyDescent="0.2">
      <c r="A301" s="606"/>
      <c r="B301" s="606"/>
      <c r="C301" s="607"/>
      <c r="D301" s="608"/>
      <c r="E301" s="608"/>
      <c r="F301" s="608"/>
      <c r="G301" s="608"/>
      <c r="H301" s="609"/>
      <c r="I301" s="660"/>
      <c r="J301" s="660"/>
      <c r="K301" s="660"/>
      <c r="L301" s="660"/>
      <c r="M301" s="660"/>
      <c r="N301" s="660"/>
      <c r="O301" s="660"/>
      <c r="P301" s="660"/>
      <c r="Q301" s="660"/>
      <c r="R301" s="660"/>
      <c r="S301" s="660"/>
      <c r="T301" s="660"/>
      <c r="U301" s="660"/>
      <c r="V301" s="660"/>
      <c r="W301" s="660"/>
      <c r="X301" s="660"/>
      <c r="Y301" s="660"/>
      <c r="Z301" s="660"/>
      <c r="AA301" s="660"/>
      <c r="AB301" s="660"/>
      <c r="AC301" s="661"/>
      <c r="AD301" s="606"/>
      <c r="AE301" s="606"/>
      <c r="AF301" s="606"/>
      <c r="AG301" s="606"/>
    </row>
    <row r="302" spans="1:33" s="612" customFormat="1" hidden="1" outlineLevel="3" x14ac:dyDescent="0.2">
      <c r="A302" s="606"/>
      <c r="B302" s="606"/>
      <c r="C302" s="607"/>
      <c r="D302" s="608"/>
      <c r="E302" s="608"/>
      <c r="F302" s="608"/>
      <c r="G302" s="608"/>
      <c r="H302" s="609"/>
      <c r="I302" s="660"/>
      <c r="J302" s="660"/>
      <c r="K302" s="660"/>
      <c r="L302" s="660"/>
      <c r="M302" s="660"/>
      <c r="N302" s="660"/>
      <c r="O302" s="660"/>
      <c r="P302" s="660"/>
      <c r="Q302" s="660"/>
      <c r="R302" s="660"/>
      <c r="S302" s="660"/>
      <c r="T302" s="660"/>
      <c r="U302" s="660"/>
      <c r="V302" s="660"/>
      <c r="W302" s="660"/>
      <c r="X302" s="660"/>
      <c r="Y302" s="660"/>
      <c r="Z302" s="660"/>
      <c r="AA302" s="660"/>
      <c r="AB302" s="660"/>
      <c r="AC302" s="661"/>
      <c r="AD302" s="606"/>
      <c r="AE302" s="606"/>
      <c r="AF302" s="606"/>
      <c r="AG302" s="606"/>
    </row>
    <row r="303" spans="1:33" s="612" customFormat="1" hidden="1" outlineLevel="3" x14ac:dyDescent="0.2">
      <c r="A303" s="606"/>
      <c r="B303" s="606"/>
      <c r="C303" s="607"/>
      <c r="D303" s="608"/>
      <c r="E303" s="608"/>
      <c r="F303" s="608"/>
      <c r="G303" s="608"/>
      <c r="H303" s="609"/>
      <c r="I303" s="660"/>
      <c r="J303" s="660"/>
      <c r="K303" s="660"/>
      <c r="L303" s="660"/>
      <c r="M303" s="660"/>
      <c r="N303" s="660"/>
      <c r="O303" s="660"/>
      <c r="P303" s="660"/>
      <c r="Q303" s="660"/>
      <c r="R303" s="660"/>
      <c r="S303" s="660"/>
      <c r="T303" s="660"/>
      <c r="U303" s="660"/>
      <c r="V303" s="660"/>
      <c r="W303" s="660"/>
      <c r="X303" s="660"/>
      <c r="Y303" s="660"/>
      <c r="Z303" s="660"/>
      <c r="AA303" s="660"/>
      <c r="AB303" s="660"/>
      <c r="AC303" s="661"/>
      <c r="AD303" s="606"/>
      <c r="AE303" s="606"/>
      <c r="AF303" s="606"/>
      <c r="AG303" s="606"/>
    </row>
    <row r="304" spans="1:33" s="612" customFormat="1" hidden="1" outlineLevel="3" x14ac:dyDescent="0.2">
      <c r="A304" s="606"/>
      <c r="B304" s="606"/>
      <c r="C304" s="607"/>
      <c r="D304" s="608"/>
      <c r="E304" s="608"/>
      <c r="F304" s="608"/>
      <c r="G304" s="608"/>
      <c r="H304" s="609"/>
      <c r="I304" s="660"/>
      <c r="J304" s="660"/>
      <c r="K304" s="660"/>
      <c r="L304" s="660"/>
      <c r="M304" s="660"/>
      <c r="N304" s="660"/>
      <c r="O304" s="660"/>
      <c r="P304" s="660"/>
      <c r="Q304" s="660"/>
      <c r="R304" s="660"/>
      <c r="S304" s="660"/>
      <c r="T304" s="660"/>
      <c r="U304" s="660"/>
      <c r="V304" s="660"/>
      <c r="W304" s="660"/>
      <c r="X304" s="660"/>
      <c r="Y304" s="660"/>
      <c r="Z304" s="660"/>
      <c r="AA304" s="660"/>
      <c r="AB304" s="660"/>
      <c r="AC304" s="661"/>
      <c r="AD304" s="606"/>
      <c r="AE304" s="606"/>
      <c r="AF304" s="606"/>
      <c r="AG304" s="606"/>
    </row>
    <row r="305" spans="1:33" s="612" customFormat="1" hidden="1" outlineLevel="3" x14ac:dyDescent="0.2">
      <c r="A305" s="606"/>
      <c r="B305" s="606"/>
      <c r="C305" s="607"/>
      <c r="D305" s="608"/>
      <c r="E305" s="608"/>
      <c r="F305" s="608"/>
      <c r="G305" s="608"/>
      <c r="H305" s="609"/>
      <c r="I305" s="660"/>
      <c r="J305" s="660"/>
      <c r="K305" s="660"/>
      <c r="L305" s="660"/>
      <c r="M305" s="660"/>
      <c r="N305" s="660"/>
      <c r="O305" s="660"/>
      <c r="P305" s="660"/>
      <c r="Q305" s="660"/>
      <c r="R305" s="660"/>
      <c r="S305" s="660"/>
      <c r="T305" s="660"/>
      <c r="U305" s="660"/>
      <c r="V305" s="660"/>
      <c r="W305" s="660"/>
      <c r="X305" s="660"/>
      <c r="Y305" s="660"/>
      <c r="Z305" s="660"/>
      <c r="AA305" s="660"/>
      <c r="AB305" s="660"/>
      <c r="AC305" s="661"/>
      <c r="AD305" s="606"/>
      <c r="AE305" s="606"/>
      <c r="AF305" s="606"/>
      <c r="AG305" s="606"/>
    </row>
    <row r="306" spans="1:33" s="612" customFormat="1" hidden="1" outlineLevel="3" x14ac:dyDescent="0.2">
      <c r="A306" s="606"/>
      <c r="B306" s="606"/>
      <c r="C306" s="607"/>
      <c r="D306" s="608"/>
      <c r="E306" s="608"/>
      <c r="F306" s="608"/>
      <c r="G306" s="608"/>
      <c r="H306" s="609"/>
      <c r="I306" s="660"/>
      <c r="J306" s="660"/>
      <c r="K306" s="660"/>
      <c r="L306" s="660"/>
      <c r="M306" s="660"/>
      <c r="N306" s="660"/>
      <c r="O306" s="660"/>
      <c r="P306" s="660"/>
      <c r="Q306" s="660"/>
      <c r="R306" s="660"/>
      <c r="S306" s="660"/>
      <c r="T306" s="660"/>
      <c r="U306" s="660"/>
      <c r="V306" s="660"/>
      <c r="W306" s="660"/>
      <c r="X306" s="660"/>
      <c r="Y306" s="660"/>
      <c r="Z306" s="660"/>
      <c r="AA306" s="660"/>
      <c r="AB306" s="660"/>
      <c r="AC306" s="661"/>
      <c r="AD306" s="606"/>
      <c r="AE306" s="606"/>
      <c r="AF306" s="606"/>
      <c r="AG306" s="606"/>
    </row>
    <row r="307" spans="1:33" s="612" customFormat="1" hidden="1" outlineLevel="3" x14ac:dyDescent="0.2">
      <c r="A307" s="606"/>
      <c r="B307" s="606"/>
      <c r="C307" s="607"/>
      <c r="D307" s="608"/>
      <c r="E307" s="608"/>
      <c r="F307" s="608"/>
      <c r="G307" s="608"/>
      <c r="H307" s="609"/>
      <c r="I307" s="660"/>
      <c r="J307" s="660"/>
      <c r="K307" s="660"/>
      <c r="L307" s="660"/>
      <c r="M307" s="660"/>
      <c r="N307" s="660"/>
      <c r="O307" s="660"/>
      <c r="P307" s="660"/>
      <c r="Q307" s="660"/>
      <c r="R307" s="660"/>
      <c r="S307" s="660"/>
      <c r="T307" s="660"/>
      <c r="U307" s="660"/>
      <c r="V307" s="660"/>
      <c r="W307" s="660"/>
      <c r="X307" s="660"/>
      <c r="Y307" s="660"/>
      <c r="Z307" s="660"/>
      <c r="AA307" s="660"/>
      <c r="AB307" s="660"/>
      <c r="AC307" s="661"/>
      <c r="AD307" s="606"/>
      <c r="AE307" s="606"/>
      <c r="AF307" s="606"/>
      <c r="AG307" s="606"/>
    </row>
    <row r="308" spans="1:33" s="612" customFormat="1" hidden="1" outlineLevel="3" x14ac:dyDescent="0.2">
      <c r="A308" s="606"/>
      <c r="B308" s="606"/>
      <c r="C308" s="607"/>
      <c r="D308" s="608"/>
      <c r="E308" s="608"/>
      <c r="F308" s="608"/>
      <c r="G308" s="608"/>
      <c r="H308" s="609"/>
      <c r="I308" s="660"/>
      <c r="J308" s="660"/>
      <c r="K308" s="660"/>
      <c r="L308" s="660"/>
      <c r="M308" s="660"/>
      <c r="N308" s="660"/>
      <c r="O308" s="660"/>
      <c r="P308" s="660"/>
      <c r="Q308" s="660"/>
      <c r="R308" s="660"/>
      <c r="S308" s="660"/>
      <c r="T308" s="660"/>
      <c r="U308" s="660"/>
      <c r="V308" s="660"/>
      <c r="W308" s="660"/>
      <c r="X308" s="660"/>
      <c r="Y308" s="660"/>
      <c r="Z308" s="660"/>
      <c r="AA308" s="660"/>
      <c r="AB308" s="660"/>
      <c r="AC308" s="661"/>
      <c r="AD308" s="606"/>
      <c r="AE308" s="606"/>
      <c r="AF308" s="606"/>
      <c r="AG308" s="606"/>
    </row>
    <row r="309" spans="1:33" s="612" customFormat="1" hidden="1" outlineLevel="3" x14ac:dyDescent="0.2">
      <c r="A309" s="606"/>
      <c r="B309" s="606"/>
      <c r="C309" s="607"/>
      <c r="D309" s="608"/>
      <c r="E309" s="608"/>
      <c r="F309" s="608"/>
      <c r="G309" s="608"/>
      <c r="H309" s="609"/>
      <c r="I309" s="660"/>
      <c r="J309" s="660"/>
      <c r="K309" s="660"/>
      <c r="L309" s="660"/>
      <c r="M309" s="660"/>
      <c r="N309" s="660"/>
      <c r="O309" s="660"/>
      <c r="P309" s="660"/>
      <c r="Q309" s="660"/>
      <c r="R309" s="660"/>
      <c r="S309" s="660"/>
      <c r="T309" s="660"/>
      <c r="U309" s="660"/>
      <c r="V309" s="660"/>
      <c r="W309" s="660"/>
      <c r="X309" s="660"/>
      <c r="Y309" s="660"/>
      <c r="Z309" s="660"/>
      <c r="AA309" s="660"/>
      <c r="AB309" s="660"/>
      <c r="AC309" s="661"/>
      <c r="AD309" s="606"/>
      <c r="AE309" s="606"/>
      <c r="AF309" s="606"/>
      <c r="AG309" s="606"/>
    </row>
    <row r="310" spans="1:33" s="612" customFormat="1" hidden="1" outlineLevel="3" x14ac:dyDescent="0.2">
      <c r="A310" s="606"/>
      <c r="B310" s="606"/>
      <c r="C310" s="607"/>
      <c r="D310" s="608"/>
      <c r="E310" s="608"/>
      <c r="F310" s="608"/>
      <c r="G310" s="608"/>
      <c r="H310" s="609"/>
      <c r="I310" s="660"/>
      <c r="J310" s="660"/>
      <c r="K310" s="660"/>
      <c r="L310" s="660"/>
      <c r="M310" s="660"/>
      <c r="N310" s="660"/>
      <c r="O310" s="660"/>
      <c r="P310" s="660"/>
      <c r="Q310" s="660"/>
      <c r="R310" s="660"/>
      <c r="S310" s="660"/>
      <c r="T310" s="660"/>
      <c r="U310" s="660"/>
      <c r="V310" s="660"/>
      <c r="W310" s="660"/>
      <c r="X310" s="660"/>
      <c r="Y310" s="660"/>
      <c r="Z310" s="660"/>
      <c r="AA310" s="660"/>
      <c r="AB310" s="660"/>
      <c r="AC310" s="661"/>
      <c r="AD310" s="606"/>
      <c r="AE310" s="606"/>
      <c r="AF310" s="606"/>
      <c r="AG310" s="606"/>
    </row>
    <row r="311" spans="1:33" s="612" customFormat="1" hidden="1" outlineLevel="3" x14ac:dyDescent="0.2">
      <c r="A311" s="606"/>
      <c r="B311" s="606"/>
      <c r="C311" s="607"/>
      <c r="D311" s="608"/>
      <c r="E311" s="608"/>
      <c r="F311" s="608"/>
      <c r="G311" s="608"/>
      <c r="H311" s="609"/>
      <c r="I311" s="660"/>
      <c r="J311" s="660"/>
      <c r="K311" s="660"/>
      <c r="L311" s="660"/>
      <c r="M311" s="660"/>
      <c r="N311" s="660"/>
      <c r="O311" s="660"/>
      <c r="P311" s="660"/>
      <c r="Q311" s="660"/>
      <c r="R311" s="660"/>
      <c r="S311" s="660"/>
      <c r="T311" s="660"/>
      <c r="U311" s="660"/>
      <c r="V311" s="660"/>
      <c r="W311" s="660"/>
      <c r="X311" s="660"/>
      <c r="Y311" s="660"/>
      <c r="Z311" s="660"/>
      <c r="AA311" s="660"/>
      <c r="AB311" s="660"/>
      <c r="AC311" s="661"/>
      <c r="AD311" s="606"/>
      <c r="AE311" s="606"/>
      <c r="AF311" s="606"/>
      <c r="AG311" s="606"/>
    </row>
    <row r="312" spans="1:33" s="612" customFormat="1" hidden="1" outlineLevel="3" x14ac:dyDescent="0.2">
      <c r="A312" s="606"/>
      <c r="B312" s="606"/>
      <c r="C312" s="607"/>
      <c r="D312" s="608"/>
      <c r="E312" s="608"/>
      <c r="F312" s="608"/>
      <c r="G312" s="608"/>
      <c r="H312" s="609"/>
      <c r="I312" s="660"/>
      <c r="J312" s="660"/>
      <c r="K312" s="660"/>
      <c r="L312" s="660"/>
      <c r="M312" s="660"/>
      <c r="N312" s="660"/>
      <c r="O312" s="660"/>
      <c r="P312" s="660"/>
      <c r="Q312" s="660"/>
      <c r="R312" s="660"/>
      <c r="S312" s="660"/>
      <c r="T312" s="660"/>
      <c r="U312" s="660"/>
      <c r="V312" s="660"/>
      <c r="W312" s="660"/>
      <c r="X312" s="660"/>
      <c r="Y312" s="660"/>
      <c r="Z312" s="660"/>
      <c r="AA312" s="660"/>
      <c r="AB312" s="660"/>
      <c r="AC312" s="661"/>
      <c r="AD312" s="606"/>
      <c r="AE312" s="606"/>
      <c r="AF312" s="606"/>
      <c r="AG312" s="606"/>
    </row>
    <row r="313" spans="1:33" s="612" customFormat="1" hidden="1" outlineLevel="3" x14ac:dyDescent="0.2">
      <c r="A313" s="606"/>
      <c r="B313" s="606"/>
      <c r="C313" s="607"/>
      <c r="D313" s="608"/>
      <c r="E313" s="608"/>
      <c r="F313" s="608"/>
      <c r="G313" s="608"/>
      <c r="H313" s="609"/>
      <c r="I313" s="660"/>
      <c r="J313" s="660"/>
      <c r="K313" s="660"/>
      <c r="L313" s="660"/>
      <c r="M313" s="660"/>
      <c r="N313" s="660"/>
      <c r="O313" s="660"/>
      <c r="P313" s="660"/>
      <c r="Q313" s="660"/>
      <c r="R313" s="660"/>
      <c r="S313" s="660"/>
      <c r="T313" s="660"/>
      <c r="U313" s="660"/>
      <c r="V313" s="660"/>
      <c r="W313" s="660"/>
      <c r="X313" s="660"/>
      <c r="Y313" s="660"/>
      <c r="Z313" s="660"/>
      <c r="AA313" s="660"/>
      <c r="AB313" s="660"/>
      <c r="AC313" s="661"/>
      <c r="AD313" s="606"/>
      <c r="AE313" s="606"/>
      <c r="AF313" s="606"/>
      <c r="AG313" s="606"/>
    </row>
    <row r="314" spans="1:33" s="612" customFormat="1" hidden="1" outlineLevel="3" x14ac:dyDescent="0.2">
      <c r="A314" s="606"/>
      <c r="B314" s="606"/>
      <c r="C314" s="607"/>
      <c r="D314" s="608"/>
      <c r="E314" s="608"/>
      <c r="F314" s="608"/>
      <c r="G314" s="608"/>
      <c r="H314" s="609"/>
      <c r="I314" s="660"/>
      <c r="J314" s="660"/>
      <c r="K314" s="660"/>
      <c r="L314" s="660"/>
      <c r="M314" s="660"/>
      <c r="N314" s="660"/>
      <c r="O314" s="660"/>
      <c r="P314" s="660"/>
      <c r="Q314" s="660"/>
      <c r="R314" s="660"/>
      <c r="S314" s="660"/>
      <c r="T314" s="660"/>
      <c r="U314" s="660"/>
      <c r="V314" s="660"/>
      <c r="W314" s="660"/>
      <c r="X314" s="660"/>
      <c r="Y314" s="660"/>
      <c r="Z314" s="660"/>
      <c r="AA314" s="660"/>
      <c r="AB314" s="660"/>
      <c r="AC314" s="661"/>
      <c r="AD314" s="606"/>
      <c r="AE314" s="606"/>
      <c r="AF314" s="606"/>
      <c r="AG314" s="606"/>
    </row>
    <row r="315" spans="1:33" s="612" customFormat="1" hidden="1" outlineLevel="3" x14ac:dyDescent="0.2">
      <c r="A315" s="606"/>
      <c r="B315" s="606"/>
      <c r="C315" s="607"/>
      <c r="D315" s="608"/>
      <c r="E315" s="608"/>
      <c r="F315" s="608"/>
      <c r="G315" s="608"/>
      <c r="H315" s="609"/>
      <c r="I315" s="660"/>
      <c r="J315" s="660"/>
      <c r="K315" s="660"/>
      <c r="L315" s="660"/>
      <c r="M315" s="660"/>
      <c r="N315" s="660"/>
      <c r="O315" s="660"/>
      <c r="P315" s="660"/>
      <c r="Q315" s="660"/>
      <c r="R315" s="660"/>
      <c r="S315" s="660"/>
      <c r="T315" s="660"/>
      <c r="U315" s="660"/>
      <c r="V315" s="660"/>
      <c r="W315" s="660"/>
      <c r="X315" s="660"/>
      <c r="Y315" s="660"/>
      <c r="Z315" s="660"/>
      <c r="AA315" s="660"/>
      <c r="AB315" s="660"/>
      <c r="AC315" s="661"/>
      <c r="AD315" s="606"/>
      <c r="AE315" s="606"/>
      <c r="AF315" s="606"/>
      <c r="AG315" s="606"/>
    </row>
    <row r="316" spans="1:33" s="612" customFormat="1" hidden="1" outlineLevel="3" x14ac:dyDescent="0.2">
      <c r="A316" s="606"/>
      <c r="B316" s="606"/>
      <c r="C316" s="607"/>
      <c r="D316" s="608"/>
      <c r="E316" s="608"/>
      <c r="F316" s="608"/>
      <c r="G316" s="608"/>
      <c r="H316" s="609"/>
      <c r="I316" s="660"/>
      <c r="J316" s="660"/>
      <c r="K316" s="660"/>
      <c r="L316" s="660"/>
      <c r="M316" s="660"/>
      <c r="N316" s="660"/>
      <c r="O316" s="660"/>
      <c r="P316" s="660"/>
      <c r="Q316" s="660"/>
      <c r="R316" s="660"/>
      <c r="S316" s="660"/>
      <c r="T316" s="660"/>
      <c r="U316" s="660"/>
      <c r="V316" s="660"/>
      <c r="W316" s="660"/>
      <c r="X316" s="660"/>
      <c r="Y316" s="660"/>
      <c r="Z316" s="660"/>
      <c r="AA316" s="660"/>
      <c r="AB316" s="660"/>
      <c r="AC316" s="661"/>
      <c r="AD316" s="606"/>
      <c r="AE316" s="606"/>
      <c r="AF316" s="606"/>
      <c r="AG316" s="606"/>
    </row>
    <row r="317" spans="1:33" s="612" customFormat="1" hidden="1" outlineLevel="3" x14ac:dyDescent="0.2">
      <c r="A317" s="606"/>
      <c r="B317" s="606"/>
      <c r="C317" s="607"/>
      <c r="D317" s="608"/>
      <c r="E317" s="608"/>
      <c r="F317" s="608"/>
      <c r="G317" s="608"/>
      <c r="H317" s="609"/>
      <c r="I317" s="660"/>
      <c r="J317" s="660"/>
      <c r="K317" s="660"/>
      <c r="L317" s="660"/>
      <c r="M317" s="660"/>
      <c r="N317" s="660"/>
      <c r="O317" s="660"/>
      <c r="P317" s="660"/>
      <c r="Q317" s="660"/>
      <c r="R317" s="660"/>
      <c r="S317" s="660"/>
      <c r="T317" s="660"/>
      <c r="U317" s="660"/>
      <c r="V317" s="660"/>
      <c r="W317" s="660"/>
      <c r="X317" s="660"/>
      <c r="Y317" s="660"/>
      <c r="Z317" s="660"/>
      <c r="AA317" s="660"/>
      <c r="AB317" s="660"/>
      <c r="AC317" s="661"/>
      <c r="AD317" s="606"/>
      <c r="AE317" s="606"/>
      <c r="AF317" s="606"/>
      <c r="AG317" s="606"/>
    </row>
    <row r="318" spans="1:33" s="612" customFormat="1" hidden="1" outlineLevel="3" x14ac:dyDescent="0.2">
      <c r="A318" s="606"/>
      <c r="B318" s="606"/>
      <c r="C318" s="607"/>
      <c r="D318" s="608"/>
      <c r="E318" s="608"/>
      <c r="F318" s="608"/>
      <c r="G318" s="608"/>
      <c r="H318" s="609"/>
      <c r="I318" s="660"/>
      <c r="J318" s="660"/>
      <c r="K318" s="660"/>
      <c r="L318" s="660"/>
      <c r="M318" s="660"/>
      <c r="N318" s="660"/>
      <c r="O318" s="660"/>
      <c r="P318" s="660"/>
      <c r="Q318" s="660"/>
      <c r="R318" s="660"/>
      <c r="S318" s="660"/>
      <c r="T318" s="660"/>
      <c r="U318" s="660"/>
      <c r="V318" s="660"/>
      <c r="W318" s="660"/>
      <c r="X318" s="660"/>
      <c r="Y318" s="660"/>
      <c r="Z318" s="660"/>
      <c r="AA318" s="660"/>
      <c r="AB318" s="660"/>
      <c r="AC318" s="661"/>
      <c r="AD318" s="606"/>
      <c r="AE318" s="606"/>
      <c r="AF318" s="606"/>
      <c r="AG318" s="606"/>
    </row>
    <row r="319" spans="1:33" s="612" customFormat="1" hidden="1" outlineLevel="3" x14ac:dyDescent="0.2">
      <c r="A319" s="606"/>
      <c r="B319" s="606"/>
      <c r="C319" s="607"/>
      <c r="D319" s="608"/>
      <c r="E319" s="608"/>
      <c r="F319" s="608"/>
      <c r="G319" s="608"/>
      <c r="H319" s="609"/>
      <c r="I319" s="660"/>
      <c r="J319" s="660"/>
      <c r="K319" s="660"/>
      <c r="L319" s="660"/>
      <c r="M319" s="660"/>
      <c r="N319" s="660"/>
      <c r="O319" s="660"/>
      <c r="P319" s="660"/>
      <c r="Q319" s="660"/>
      <c r="R319" s="660"/>
      <c r="S319" s="660"/>
      <c r="T319" s="660"/>
      <c r="U319" s="660"/>
      <c r="V319" s="660"/>
      <c r="W319" s="660"/>
      <c r="X319" s="660"/>
      <c r="Y319" s="660"/>
      <c r="Z319" s="660"/>
      <c r="AA319" s="660"/>
      <c r="AB319" s="660"/>
      <c r="AC319" s="661"/>
      <c r="AD319" s="606"/>
      <c r="AE319" s="606"/>
      <c r="AF319" s="606"/>
      <c r="AG319" s="606"/>
    </row>
    <row r="320" spans="1:33" s="612" customFormat="1" hidden="1" outlineLevel="3" x14ac:dyDescent="0.2">
      <c r="A320" s="606"/>
      <c r="B320" s="606"/>
      <c r="C320" s="607"/>
      <c r="D320" s="608"/>
      <c r="E320" s="608"/>
      <c r="F320" s="608"/>
      <c r="G320" s="608"/>
      <c r="H320" s="609"/>
      <c r="I320" s="660"/>
      <c r="J320" s="660"/>
      <c r="K320" s="660"/>
      <c r="L320" s="660"/>
      <c r="M320" s="660"/>
      <c r="N320" s="660"/>
      <c r="O320" s="660"/>
      <c r="P320" s="660"/>
      <c r="Q320" s="660"/>
      <c r="R320" s="660"/>
      <c r="S320" s="660"/>
      <c r="T320" s="660"/>
      <c r="U320" s="660"/>
      <c r="V320" s="660"/>
      <c r="W320" s="660"/>
      <c r="X320" s="660"/>
      <c r="Y320" s="660"/>
      <c r="Z320" s="660"/>
      <c r="AA320" s="660"/>
      <c r="AB320" s="660"/>
      <c r="AC320" s="661"/>
      <c r="AD320" s="606"/>
      <c r="AE320" s="606"/>
      <c r="AF320" s="606"/>
      <c r="AG320" s="606"/>
    </row>
    <row r="321" spans="1:33" s="612" customFormat="1" hidden="1" outlineLevel="3" x14ac:dyDescent="0.2">
      <c r="A321" s="606"/>
      <c r="B321" s="606"/>
      <c r="C321" s="607"/>
      <c r="D321" s="608"/>
      <c r="E321" s="608"/>
      <c r="F321" s="608"/>
      <c r="G321" s="608"/>
      <c r="H321" s="609"/>
      <c r="I321" s="660"/>
      <c r="J321" s="660"/>
      <c r="K321" s="660"/>
      <c r="L321" s="660"/>
      <c r="M321" s="660"/>
      <c r="N321" s="660"/>
      <c r="O321" s="660"/>
      <c r="P321" s="660"/>
      <c r="Q321" s="660"/>
      <c r="R321" s="660"/>
      <c r="S321" s="660"/>
      <c r="T321" s="660"/>
      <c r="U321" s="660"/>
      <c r="V321" s="660"/>
      <c r="W321" s="660"/>
      <c r="X321" s="660"/>
      <c r="Y321" s="660"/>
      <c r="Z321" s="660"/>
      <c r="AA321" s="660"/>
      <c r="AB321" s="660"/>
      <c r="AC321" s="661"/>
      <c r="AD321" s="606"/>
      <c r="AE321" s="606"/>
      <c r="AF321" s="606"/>
      <c r="AG321" s="606"/>
    </row>
    <row r="322" spans="1:33" s="612" customFormat="1" hidden="1" outlineLevel="3" x14ac:dyDescent="0.2">
      <c r="A322" s="606"/>
      <c r="B322" s="606"/>
      <c r="C322" s="607"/>
      <c r="D322" s="608"/>
      <c r="E322" s="608"/>
      <c r="F322" s="608"/>
      <c r="G322" s="608"/>
      <c r="H322" s="609"/>
      <c r="I322" s="660"/>
      <c r="J322" s="660"/>
      <c r="K322" s="660"/>
      <c r="L322" s="660"/>
      <c r="M322" s="660"/>
      <c r="N322" s="660"/>
      <c r="O322" s="660"/>
      <c r="P322" s="660"/>
      <c r="Q322" s="660"/>
      <c r="R322" s="660"/>
      <c r="S322" s="660"/>
      <c r="T322" s="660"/>
      <c r="U322" s="660"/>
      <c r="V322" s="660"/>
      <c r="W322" s="660"/>
      <c r="X322" s="660"/>
      <c r="Y322" s="660"/>
      <c r="Z322" s="660"/>
      <c r="AA322" s="660"/>
      <c r="AB322" s="660"/>
      <c r="AC322" s="661"/>
      <c r="AD322" s="606"/>
      <c r="AE322" s="606"/>
      <c r="AF322" s="606"/>
      <c r="AG322" s="606"/>
    </row>
    <row r="323" spans="1:33" s="612" customFormat="1" hidden="1" outlineLevel="3" x14ac:dyDescent="0.2">
      <c r="A323" s="606"/>
      <c r="B323" s="606"/>
      <c r="C323" s="607"/>
      <c r="D323" s="608"/>
      <c r="E323" s="608"/>
      <c r="F323" s="608"/>
      <c r="G323" s="608"/>
      <c r="H323" s="609"/>
      <c r="I323" s="660"/>
      <c r="J323" s="660"/>
      <c r="K323" s="660"/>
      <c r="L323" s="660"/>
      <c r="M323" s="660"/>
      <c r="N323" s="660"/>
      <c r="O323" s="660"/>
      <c r="P323" s="660"/>
      <c r="Q323" s="660"/>
      <c r="R323" s="660"/>
      <c r="S323" s="660"/>
      <c r="T323" s="660"/>
      <c r="U323" s="660"/>
      <c r="V323" s="660"/>
      <c r="W323" s="660"/>
      <c r="X323" s="660"/>
      <c r="Y323" s="660"/>
      <c r="Z323" s="660"/>
      <c r="AA323" s="660"/>
      <c r="AB323" s="660"/>
      <c r="AC323" s="661"/>
      <c r="AD323" s="606"/>
      <c r="AE323" s="606"/>
      <c r="AF323" s="606"/>
      <c r="AG323" s="606"/>
    </row>
    <row r="324" spans="1:33" s="612" customFormat="1" hidden="1" outlineLevel="3" x14ac:dyDescent="0.2">
      <c r="A324" s="606"/>
      <c r="B324" s="606"/>
      <c r="C324" s="607"/>
      <c r="D324" s="608"/>
      <c r="E324" s="608"/>
      <c r="F324" s="608"/>
      <c r="G324" s="608"/>
      <c r="H324" s="609"/>
      <c r="I324" s="660"/>
      <c r="J324" s="660"/>
      <c r="K324" s="660"/>
      <c r="L324" s="660"/>
      <c r="M324" s="660"/>
      <c r="N324" s="660"/>
      <c r="O324" s="660"/>
      <c r="P324" s="660"/>
      <c r="Q324" s="660"/>
      <c r="R324" s="660"/>
      <c r="S324" s="660"/>
      <c r="T324" s="660"/>
      <c r="U324" s="660"/>
      <c r="V324" s="660"/>
      <c r="W324" s="660"/>
      <c r="X324" s="660"/>
      <c r="Y324" s="660"/>
      <c r="Z324" s="660"/>
      <c r="AA324" s="660"/>
      <c r="AB324" s="660"/>
      <c r="AC324" s="661"/>
      <c r="AD324" s="606"/>
      <c r="AE324" s="606"/>
      <c r="AF324" s="606"/>
      <c r="AG324" s="606"/>
    </row>
    <row r="325" spans="1:33" s="612" customFormat="1" hidden="1" outlineLevel="3" x14ac:dyDescent="0.2">
      <c r="A325" s="606"/>
      <c r="B325" s="606"/>
      <c r="C325" s="607"/>
      <c r="D325" s="608"/>
      <c r="E325" s="608"/>
      <c r="F325" s="608"/>
      <c r="G325" s="608"/>
      <c r="H325" s="609"/>
      <c r="I325" s="660"/>
      <c r="J325" s="660"/>
      <c r="K325" s="660"/>
      <c r="L325" s="660"/>
      <c r="M325" s="660"/>
      <c r="N325" s="660"/>
      <c r="O325" s="660"/>
      <c r="P325" s="660"/>
      <c r="Q325" s="660"/>
      <c r="R325" s="660"/>
      <c r="S325" s="660"/>
      <c r="T325" s="660"/>
      <c r="U325" s="660"/>
      <c r="V325" s="660"/>
      <c r="W325" s="660"/>
      <c r="X325" s="660"/>
      <c r="Y325" s="660"/>
      <c r="Z325" s="660"/>
      <c r="AA325" s="660"/>
      <c r="AB325" s="660"/>
      <c r="AC325" s="661"/>
      <c r="AD325" s="606"/>
      <c r="AE325" s="606"/>
      <c r="AF325" s="606"/>
      <c r="AG325" s="606"/>
    </row>
    <row r="326" spans="1:33" s="612" customFormat="1" hidden="1" outlineLevel="3" x14ac:dyDescent="0.2">
      <c r="A326" s="606"/>
      <c r="B326" s="606"/>
      <c r="C326" s="607"/>
      <c r="D326" s="608"/>
      <c r="E326" s="608"/>
      <c r="F326" s="608"/>
      <c r="G326" s="608"/>
      <c r="H326" s="609"/>
      <c r="I326" s="660"/>
      <c r="J326" s="660"/>
      <c r="K326" s="660"/>
      <c r="L326" s="660"/>
      <c r="M326" s="660"/>
      <c r="N326" s="660"/>
      <c r="O326" s="660"/>
      <c r="P326" s="660"/>
      <c r="Q326" s="660"/>
      <c r="R326" s="660"/>
      <c r="S326" s="660"/>
      <c r="T326" s="660"/>
      <c r="U326" s="660"/>
      <c r="V326" s="660"/>
      <c r="W326" s="660"/>
      <c r="X326" s="660"/>
      <c r="Y326" s="660"/>
      <c r="Z326" s="660"/>
      <c r="AA326" s="660"/>
      <c r="AB326" s="660"/>
      <c r="AC326" s="661"/>
      <c r="AD326" s="606"/>
      <c r="AE326" s="606"/>
      <c r="AF326" s="606"/>
      <c r="AG326" s="606"/>
    </row>
    <row r="327" spans="1:33" s="612" customFormat="1" hidden="1" outlineLevel="3" x14ac:dyDescent="0.2">
      <c r="A327" s="606"/>
      <c r="B327" s="606"/>
      <c r="C327" s="607"/>
      <c r="D327" s="608"/>
      <c r="E327" s="608"/>
      <c r="F327" s="608"/>
      <c r="G327" s="608"/>
      <c r="H327" s="609"/>
      <c r="I327" s="660"/>
      <c r="J327" s="660"/>
      <c r="K327" s="660"/>
      <c r="L327" s="660"/>
      <c r="M327" s="660"/>
      <c r="N327" s="660"/>
      <c r="O327" s="660"/>
      <c r="P327" s="660"/>
      <c r="Q327" s="660"/>
      <c r="R327" s="660"/>
      <c r="S327" s="660"/>
      <c r="T327" s="660"/>
      <c r="U327" s="660"/>
      <c r="V327" s="660"/>
      <c r="W327" s="660"/>
      <c r="X327" s="660"/>
      <c r="Y327" s="660"/>
      <c r="Z327" s="660"/>
      <c r="AA327" s="660"/>
      <c r="AB327" s="660"/>
      <c r="AC327" s="661"/>
      <c r="AD327" s="606"/>
      <c r="AE327" s="606"/>
      <c r="AF327" s="606"/>
      <c r="AG327" s="606"/>
    </row>
    <row r="328" spans="1:33" s="612" customFormat="1" hidden="1" outlineLevel="3" x14ac:dyDescent="0.2">
      <c r="A328" s="606"/>
      <c r="B328" s="606"/>
      <c r="C328" s="607"/>
      <c r="D328" s="608"/>
      <c r="E328" s="608"/>
      <c r="F328" s="608"/>
      <c r="G328" s="608"/>
      <c r="H328" s="609"/>
      <c r="I328" s="660"/>
      <c r="J328" s="660"/>
      <c r="K328" s="660"/>
      <c r="L328" s="660"/>
      <c r="M328" s="660"/>
      <c r="N328" s="660"/>
      <c r="O328" s="660"/>
      <c r="P328" s="660"/>
      <c r="Q328" s="660"/>
      <c r="R328" s="660"/>
      <c r="S328" s="660"/>
      <c r="T328" s="660"/>
      <c r="U328" s="660"/>
      <c r="V328" s="660"/>
      <c r="W328" s="660"/>
      <c r="X328" s="660"/>
      <c r="Y328" s="660"/>
      <c r="Z328" s="660"/>
      <c r="AA328" s="660"/>
      <c r="AB328" s="660"/>
      <c r="AC328" s="661"/>
      <c r="AD328" s="606"/>
      <c r="AE328" s="606"/>
      <c r="AF328" s="606"/>
      <c r="AG328" s="606"/>
    </row>
    <row r="329" spans="1:33" s="612" customFormat="1" hidden="1" outlineLevel="3" x14ac:dyDescent="0.2">
      <c r="A329" s="606"/>
      <c r="B329" s="606"/>
      <c r="C329" s="607"/>
      <c r="D329" s="608"/>
      <c r="E329" s="608"/>
      <c r="F329" s="608"/>
      <c r="G329" s="608"/>
      <c r="H329" s="609"/>
      <c r="I329" s="660"/>
      <c r="J329" s="660"/>
      <c r="K329" s="660"/>
      <c r="L329" s="660"/>
      <c r="M329" s="660"/>
      <c r="N329" s="660"/>
      <c r="O329" s="660"/>
      <c r="P329" s="660"/>
      <c r="Q329" s="660"/>
      <c r="R329" s="660"/>
      <c r="S329" s="660"/>
      <c r="T329" s="660"/>
      <c r="U329" s="660"/>
      <c r="V329" s="660"/>
      <c r="W329" s="660"/>
      <c r="X329" s="660"/>
      <c r="Y329" s="660"/>
      <c r="Z329" s="660"/>
      <c r="AA329" s="660"/>
      <c r="AB329" s="660"/>
      <c r="AC329" s="661"/>
      <c r="AD329" s="606"/>
      <c r="AE329" s="606"/>
      <c r="AF329" s="606"/>
      <c r="AG329" s="606"/>
    </row>
    <row r="330" spans="1:33" s="612" customFormat="1" hidden="1" outlineLevel="3" x14ac:dyDescent="0.2">
      <c r="A330" s="606"/>
      <c r="B330" s="606"/>
      <c r="C330" s="607"/>
      <c r="D330" s="608"/>
      <c r="E330" s="608"/>
      <c r="F330" s="608"/>
      <c r="G330" s="608"/>
      <c r="H330" s="609"/>
      <c r="I330" s="660"/>
      <c r="J330" s="660"/>
      <c r="K330" s="660"/>
      <c r="L330" s="660"/>
      <c r="M330" s="660"/>
      <c r="N330" s="660"/>
      <c r="O330" s="660"/>
      <c r="P330" s="660"/>
      <c r="Q330" s="660"/>
      <c r="R330" s="660"/>
      <c r="S330" s="660"/>
      <c r="T330" s="660"/>
      <c r="U330" s="660"/>
      <c r="V330" s="660"/>
      <c r="W330" s="660"/>
      <c r="X330" s="660"/>
      <c r="Y330" s="660"/>
      <c r="Z330" s="660"/>
      <c r="AA330" s="660"/>
      <c r="AB330" s="660"/>
      <c r="AC330" s="661"/>
      <c r="AD330" s="606"/>
      <c r="AE330" s="606"/>
      <c r="AF330" s="606"/>
      <c r="AG330" s="606"/>
    </row>
    <row r="331" spans="1:33" s="612" customFormat="1" hidden="1" outlineLevel="3" x14ac:dyDescent="0.2">
      <c r="A331" s="606"/>
      <c r="B331" s="606"/>
      <c r="C331" s="607"/>
      <c r="D331" s="608"/>
      <c r="E331" s="608"/>
      <c r="F331" s="608"/>
      <c r="G331" s="608"/>
      <c r="H331" s="609"/>
      <c r="I331" s="660"/>
      <c r="J331" s="660"/>
      <c r="K331" s="660"/>
      <c r="L331" s="660"/>
      <c r="M331" s="660"/>
      <c r="N331" s="660"/>
      <c r="O331" s="660"/>
      <c r="P331" s="660"/>
      <c r="Q331" s="660"/>
      <c r="R331" s="660"/>
      <c r="S331" s="660"/>
      <c r="T331" s="660"/>
      <c r="U331" s="660"/>
      <c r="V331" s="660"/>
      <c r="W331" s="660"/>
      <c r="X331" s="660"/>
      <c r="Y331" s="660"/>
      <c r="Z331" s="660"/>
      <c r="AA331" s="660"/>
      <c r="AB331" s="660"/>
      <c r="AC331" s="661"/>
      <c r="AD331" s="606"/>
      <c r="AE331" s="606"/>
      <c r="AF331" s="606"/>
      <c r="AG331" s="606"/>
    </row>
    <row r="332" spans="1:33" s="612" customFormat="1" hidden="1" outlineLevel="3" x14ac:dyDescent="0.2">
      <c r="A332" s="606"/>
      <c r="B332" s="606"/>
      <c r="C332" s="607"/>
      <c r="D332" s="608"/>
      <c r="E332" s="608"/>
      <c r="F332" s="608"/>
      <c r="G332" s="608"/>
      <c r="H332" s="609"/>
      <c r="I332" s="660"/>
      <c r="J332" s="660"/>
      <c r="K332" s="660"/>
      <c r="L332" s="660"/>
      <c r="M332" s="660"/>
      <c r="N332" s="660"/>
      <c r="O332" s="660"/>
      <c r="P332" s="660"/>
      <c r="Q332" s="660"/>
      <c r="R332" s="660"/>
      <c r="S332" s="660"/>
      <c r="T332" s="660"/>
      <c r="U332" s="660"/>
      <c r="V332" s="660"/>
      <c r="W332" s="660"/>
      <c r="X332" s="660"/>
      <c r="Y332" s="660"/>
      <c r="Z332" s="660"/>
      <c r="AA332" s="660"/>
      <c r="AB332" s="660"/>
      <c r="AC332" s="661"/>
      <c r="AD332" s="606"/>
      <c r="AE332" s="606"/>
      <c r="AF332" s="606"/>
      <c r="AG332" s="606"/>
    </row>
    <row r="333" spans="1:33" s="612" customFormat="1" hidden="1" outlineLevel="3" x14ac:dyDescent="0.2">
      <c r="A333" s="606"/>
      <c r="B333" s="606"/>
      <c r="C333" s="607"/>
      <c r="D333" s="608"/>
      <c r="E333" s="608"/>
      <c r="F333" s="608"/>
      <c r="G333" s="608"/>
      <c r="H333" s="609"/>
      <c r="I333" s="660"/>
      <c r="J333" s="660"/>
      <c r="K333" s="660"/>
      <c r="L333" s="660"/>
      <c r="M333" s="660"/>
      <c r="N333" s="660"/>
      <c r="O333" s="660"/>
      <c r="P333" s="660"/>
      <c r="Q333" s="660"/>
      <c r="R333" s="660"/>
      <c r="S333" s="660"/>
      <c r="T333" s="660"/>
      <c r="U333" s="660"/>
      <c r="V333" s="660"/>
      <c r="W333" s="660"/>
      <c r="X333" s="660"/>
      <c r="Y333" s="660"/>
      <c r="Z333" s="660"/>
      <c r="AA333" s="660"/>
      <c r="AB333" s="660"/>
      <c r="AC333" s="661"/>
      <c r="AD333" s="606"/>
      <c r="AE333" s="606"/>
      <c r="AF333" s="606"/>
      <c r="AG333" s="606"/>
    </row>
    <row r="334" spans="1:33" s="612" customFormat="1" hidden="1" outlineLevel="3" x14ac:dyDescent="0.2">
      <c r="A334" s="606"/>
      <c r="B334" s="606"/>
      <c r="C334" s="607"/>
      <c r="D334" s="608"/>
      <c r="E334" s="608"/>
      <c r="F334" s="608"/>
      <c r="G334" s="608"/>
      <c r="H334" s="609"/>
      <c r="I334" s="660"/>
      <c r="J334" s="660"/>
      <c r="K334" s="660"/>
      <c r="L334" s="660"/>
      <c r="M334" s="660"/>
      <c r="N334" s="660"/>
      <c r="O334" s="660"/>
      <c r="P334" s="660"/>
      <c r="Q334" s="660"/>
      <c r="R334" s="660"/>
      <c r="S334" s="660"/>
      <c r="T334" s="660"/>
      <c r="U334" s="660"/>
      <c r="V334" s="660"/>
      <c r="W334" s="660"/>
      <c r="X334" s="660"/>
      <c r="Y334" s="660"/>
      <c r="Z334" s="660"/>
      <c r="AA334" s="660"/>
      <c r="AB334" s="660"/>
      <c r="AC334" s="661"/>
      <c r="AD334" s="606"/>
      <c r="AE334" s="606"/>
      <c r="AF334" s="606"/>
      <c r="AG334" s="606"/>
    </row>
    <row r="335" spans="1:33" s="612" customFormat="1" hidden="1" outlineLevel="3" x14ac:dyDescent="0.2">
      <c r="A335" s="606"/>
      <c r="B335" s="606"/>
      <c r="C335" s="607"/>
      <c r="D335" s="608"/>
      <c r="E335" s="608"/>
      <c r="F335" s="608"/>
      <c r="G335" s="608"/>
      <c r="H335" s="609"/>
      <c r="I335" s="660"/>
      <c r="J335" s="660"/>
      <c r="K335" s="660"/>
      <c r="L335" s="660"/>
      <c r="M335" s="660"/>
      <c r="N335" s="660"/>
      <c r="O335" s="660"/>
      <c r="P335" s="660"/>
      <c r="Q335" s="660"/>
      <c r="R335" s="660"/>
      <c r="S335" s="660"/>
      <c r="T335" s="660"/>
      <c r="U335" s="660"/>
      <c r="V335" s="660"/>
      <c r="W335" s="660"/>
      <c r="X335" s="660"/>
      <c r="Y335" s="660"/>
      <c r="Z335" s="660"/>
      <c r="AA335" s="660"/>
      <c r="AB335" s="660"/>
      <c r="AC335" s="661"/>
      <c r="AD335" s="606"/>
      <c r="AE335" s="606"/>
      <c r="AF335" s="606"/>
      <c r="AG335" s="606"/>
    </row>
    <row r="336" spans="1:33" s="612" customFormat="1" hidden="1" outlineLevel="3" x14ac:dyDescent="0.2">
      <c r="A336" s="606"/>
      <c r="B336" s="606"/>
      <c r="C336" s="607"/>
      <c r="D336" s="608"/>
      <c r="E336" s="608"/>
      <c r="F336" s="608"/>
      <c r="G336" s="608"/>
      <c r="H336" s="609"/>
      <c r="I336" s="660"/>
      <c r="J336" s="660"/>
      <c r="K336" s="660"/>
      <c r="L336" s="660"/>
      <c r="M336" s="660"/>
      <c r="N336" s="660"/>
      <c r="O336" s="660"/>
      <c r="P336" s="660"/>
      <c r="Q336" s="660"/>
      <c r="R336" s="660"/>
      <c r="S336" s="660"/>
      <c r="T336" s="660"/>
      <c r="U336" s="660"/>
      <c r="V336" s="660"/>
      <c r="W336" s="660"/>
      <c r="X336" s="660"/>
      <c r="Y336" s="660"/>
      <c r="Z336" s="660"/>
      <c r="AA336" s="660"/>
      <c r="AB336" s="660"/>
      <c r="AC336" s="661"/>
      <c r="AD336" s="606"/>
      <c r="AE336" s="606"/>
      <c r="AF336" s="606"/>
      <c r="AG336" s="606"/>
    </row>
    <row r="337" spans="1:33" s="612" customFormat="1" hidden="1" outlineLevel="3" x14ac:dyDescent="0.2">
      <c r="A337" s="606"/>
      <c r="B337" s="606"/>
      <c r="C337" s="607"/>
      <c r="D337" s="608"/>
      <c r="E337" s="608"/>
      <c r="F337" s="608"/>
      <c r="G337" s="608"/>
      <c r="H337" s="609"/>
      <c r="I337" s="660"/>
      <c r="J337" s="660"/>
      <c r="K337" s="660"/>
      <c r="L337" s="660"/>
      <c r="M337" s="660"/>
      <c r="N337" s="660"/>
      <c r="O337" s="660"/>
      <c r="P337" s="660"/>
      <c r="Q337" s="660"/>
      <c r="R337" s="660"/>
      <c r="S337" s="660"/>
      <c r="T337" s="660"/>
      <c r="U337" s="660"/>
      <c r="V337" s="660"/>
      <c r="W337" s="660"/>
      <c r="X337" s="660"/>
      <c r="Y337" s="660"/>
      <c r="Z337" s="660"/>
      <c r="AA337" s="660"/>
      <c r="AB337" s="660"/>
      <c r="AC337" s="661"/>
      <c r="AD337" s="606"/>
      <c r="AE337" s="606"/>
      <c r="AF337" s="606"/>
      <c r="AG337" s="606"/>
    </row>
    <row r="338" spans="1:33" s="612" customFormat="1" hidden="1" outlineLevel="3" x14ac:dyDescent="0.2">
      <c r="A338" s="606"/>
      <c r="B338" s="606"/>
      <c r="C338" s="607"/>
      <c r="D338" s="608"/>
      <c r="E338" s="608"/>
      <c r="F338" s="608"/>
      <c r="G338" s="608"/>
      <c r="H338" s="609"/>
      <c r="I338" s="660"/>
      <c r="J338" s="660"/>
      <c r="K338" s="660"/>
      <c r="L338" s="660"/>
      <c r="M338" s="660"/>
      <c r="N338" s="660"/>
      <c r="O338" s="660"/>
      <c r="P338" s="660"/>
      <c r="Q338" s="660"/>
      <c r="R338" s="660"/>
      <c r="S338" s="660"/>
      <c r="T338" s="660"/>
      <c r="U338" s="660"/>
      <c r="V338" s="660"/>
      <c r="W338" s="660"/>
      <c r="X338" s="660"/>
      <c r="Y338" s="660"/>
      <c r="Z338" s="660"/>
      <c r="AA338" s="660"/>
      <c r="AB338" s="660"/>
      <c r="AC338" s="661"/>
      <c r="AD338" s="606"/>
      <c r="AE338" s="606"/>
      <c r="AF338" s="606"/>
      <c r="AG338" s="606"/>
    </row>
    <row r="339" spans="1:33" s="612" customFormat="1" hidden="1" outlineLevel="3" x14ac:dyDescent="0.2">
      <c r="A339" s="606"/>
      <c r="B339" s="606"/>
      <c r="C339" s="607"/>
      <c r="D339" s="608"/>
      <c r="E339" s="608"/>
      <c r="F339" s="608"/>
      <c r="G339" s="608"/>
      <c r="H339" s="609"/>
      <c r="I339" s="660"/>
      <c r="J339" s="660"/>
      <c r="K339" s="660"/>
      <c r="L339" s="660"/>
      <c r="M339" s="660"/>
      <c r="N339" s="660"/>
      <c r="O339" s="660"/>
      <c r="P339" s="660"/>
      <c r="Q339" s="660"/>
      <c r="R339" s="660"/>
      <c r="S339" s="660"/>
      <c r="T339" s="660"/>
      <c r="U339" s="660"/>
      <c r="V339" s="660"/>
      <c r="W339" s="660"/>
      <c r="X339" s="660"/>
      <c r="Y339" s="660"/>
      <c r="Z339" s="660"/>
      <c r="AA339" s="660"/>
      <c r="AB339" s="660"/>
      <c r="AC339" s="661"/>
      <c r="AD339" s="606"/>
      <c r="AE339" s="606"/>
      <c r="AF339" s="606"/>
      <c r="AG339" s="606"/>
    </row>
    <row r="340" spans="1:33" s="612" customFormat="1" hidden="1" outlineLevel="3" x14ac:dyDescent="0.2">
      <c r="A340" s="606"/>
      <c r="B340" s="606"/>
      <c r="C340" s="607"/>
      <c r="D340" s="608"/>
      <c r="E340" s="608"/>
      <c r="F340" s="608"/>
      <c r="G340" s="608"/>
      <c r="H340" s="609"/>
      <c r="I340" s="660"/>
      <c r="J340" s="660"/>
      <c r="K340" s="660"/>
      <c r="L340" s="660"/>
      <c r="M340" s="660"/>
      <c r="N340" s="660"/>
      <c r="O340" s="660"/>
      <c r="P340" s="660"/>
      <c r="Q340" s="660"/>
      <c r="R340" s="660"/>
      <c r="S340" s="660"/>
      <c r="T340" s="660"/>
      <c r="U340" s="660"/>
      <c r="V340" s="660"/>
      <c r="W340" s="660"/>
      <c r="X340" s="660"/>
      <c r="Y340" s="660"/>
      <c r="Z340" s="660"/>
      <c r="AA340" s="660"/>
      <c r="AB340" s="660"/>
      <c r="AC340" s="661"/>
      <c r="AD340" s="606"/>
      <c r="AE340" s="606"/>
      <c r="AF340" s="606"/>
      <c r="AG340" s="606"/>
    </row>
    <row r="341" spans="1:33" s="612" customFormat="1" hidden="1" outlineLevel="3" x14ac:dyDescent="0.2">
      <c r="A341" s="606"/>
      <c r="B341" s="606"/>
      <c r="C341" s="607"/>
      <c r="D341" s="608"/>
      <c r="E341" s="608"/>
      <c r="F341" s="608"/>
      <c r="G341" s="608"/>
      <c r="H341" s="609"/>
      <c r="I341" s="660"/>
      <c r="J341" s="660"/>
      <c r="K341" s="660"/>
      <c r="L341" s="660"/>
      <c r="M341" s="660"/>
      <c r="N341" s="660"/>
      <c r="O341" s="660"/>
      <c r="P341" s="660"/>
      <c r="Q341" s="660"/>
      <c r="R341" s="660"/>
      <c r="S341" s="660"/>
      <c r="T341" s="660"/>
      <c r="U341" s="660"/>
      <c r="V341" s="660"/>
      <c r="W341" s="660"/>
      <c r="X341" s="660"/>
      <c r="Y341" s="660"/>
      <c r="Z341" s="660"/>
      <c r="AA341" s="660"/>
      <c r="AB341" s="660"/>
      <c r="AC341" s="661"/>
      <c r="AD341" s="606"/>
      <c r="AE341" s="606"/>
      <c r="AF341" s="606"/>
      <c r="AG341" s="606"/>
    </row>
    <row r="342" spans="1:33" s="612" customFormat="1" hidden="1" outlineLevel="3" x14ac:dyDescent="0.2">
      <c r="A342" s="606"/>
      <c r="B342" s="606"/>
      <c r="C342" s="607"/>
      <c r="D342" s="608"/>
      <c r="E342" s="608"/>
      <c r="F342" s="608"/>
      <c r="G342" s="608"/>
      <c r="H342" s="609"/>
      <c r="I342" s="660"/>
      <c r="J342" s="660"/>
      <c r="K342" s="660"/>
      <c r="L342" s="660"/>
      <c r="M342" s="660"/>
      <c r="N342" s="660"/>
      <c r="O342" s="660"/>
      <c r="P342" s="660"/>
      <c r="Q342" s="660"/>
      <c r="R342" s="660"/>
      <c r="S342" s="660"/>
      <c r="T342" s="660"/>
      <c r="U342" s="660"/>
      <c r="V342" s="660"/>
      <c r="W342" s="660"/>
      <c r="X342" s="660"/>
      <c r="Y342" s="660"/>
      <c r="Z342" s="660"/>
      <c r="AA342" s="660"/>
      <c r="AB342" s="660"/>
      <c r="AC342" s="661"/>
      <c r="AD342" s="606"/>
      <c r="AE342" s="606"/>
      <c r="AF342" s="606"/>
      <c r="AG342" s="606"/>
    </row>
    <row r="343" spans="1:33" s="612" customFormat="1" hidden="1" outlineLevel="3" x14ac:dyDescent="0.2">
      <c r="A343" s="606"/>
      <c r="B343" s="606"/>
      <c r="C343" s="607"/>
      <c r="D343" s="608"/>
      <c r="E343" s="608"/>
      <c r="F343" s="608"/>
      <c r="G343" s="608"/>
      <c r="H343" s="609"/>
      <c r="I343" s="660"/>
      <c r="J343" s="660"/>
      <c r="K343" s="660"/>
      <c r="L343" s="660"/>
      <c r="M343" s="660"/>
      <c r="N343" s="660"/>
      <c r="O343" s="660"/>
      <c r="P343" s="660"/>
      <c r="Q343" s="660"/>
      <c r="R343" s="660"/>
      <c r="S343" s="660"/>
      <c r="T343" s="660"/>
      <c r="U343" s="660"/>
      <c r="V343" s="660"/>
      <c r="W343" s="660"/>
      <c r="X343" s="660"/>
      <c r="Y343" s="660"/>
      <c r="Z343" s="660"/>
      <c r="AA343" s="660"/>
      <c r="AB343" s="660"/>
      <c r="AC343" s="661"/>
      <c r="AD343" s="606"/>
      <c r="AE343" s="606"/>
      <c r="AF343" s="606"/>
      <c r="AG343" s="606"/>
    </row>
    <row r="344" spans="1:33" s="612" customFormat="1" hidden="1" outlineLevel="3" x14ac:dyDescent="0.2">
      <c r="A344" s="606"/>
      <c r="B344" s="606"/>
      <c r="C344" s="607"/>
      <c r="D344" s="608"/>
      <c r="E344" s="608"/>
      <c r="F344" s="608"/>
      <c r="G344" s="608"/>
      <c r="H344" s="609"/>
      <c r="I344" s="660"/>
      <c r="J344" s="660"/>
      <c r="K344" s="660"/>
      <c r="L344" s="660"/>
      <c r="M344" s="660"/>
      <c r="N344" s="660"/>
      <c r="O344" s="660"/>
      <c r="P344" s="660"/>
      <c r="Q344" s="660"/>
      <c r="R344" s="660"/>
      <c r="S344" s="660"/>
      <c r="T344" s="660"/>
      <c r="U344" s="660"/>
      <c r="V344" s="660"/>
      <c r="W344" s="660"/>
      <c r="X344" s="660"/>
      <c r="Y344" s="660"/>
      <c r="Z344" s="660"/>
      <c r="AA344" s="660"/>
      <c r="AB344" s="660"/>
      <c r="AC344" s="661"/>
      <c r="AD344" s="606"/>
      <c r="AE344" s="606"/>
      <c r="AF344" s="606"/>
      <c r="AG344" s="606"/>
    </row>
    <row r="345" spans="1:33" s="612" customFormat="1" outlineLevel="2" collapsed="1" x14ac:dyDescent="0.2">
      <c r="A345" s="606"/>
      <c r="B345" s="606"/>
      <c r="C345" s="613"/>
      <c r="D345" s="609"/>
      <c r="E345" s="609"/>
      <c r="F345" s="609"/>
      <c r="G345" s="609"/>
      <c r="H345" s="609"/>
      <c r="I345" s="662"/>
      <c r="J345" s="662"/>
      <c r="K345" s="661"/>
      <c r="L345" s="661"/>
      <c r="M345" s="661"/>
      <c r="N345" s="663"/>
      <c r="O345" s="663"/>
      <c r="P345" s="663"/>
      <c r="Q345" s="663"/>
      <c r="R345" s="663"/>
      <c r="S345" s="661"/>
      <c r="T345" s="661"/>
      <c r="U345" s="661"/>
      <c r="V345" s="661"/>
      <c r="W345" s="661"/>
      <c r="X345" s="661"/>
      <c r="Y345" s="661"/>
      <c r="Z345" s="661"/>
      <c r="AA345" s="661"/>
      <c r="AB345" s="661"/>
      <c r="AC345" s="661"/>
      <c r="AD345" s="606"/>
      <c r="AE345" s="606"/>
      <c r="AF345" s="606"/>
      <c r="AG345" s="606"/>
    </row>
    <row r="346" spans="1:33" s="612" customFormat="1" outlineLevel="1" x14ac:dyDescent="0.2">
      <c r="A346" s="606"/>
      <c r="B346" s="606"/>
      <c r="C346" s="613"/>
      <c r="D346" s="609"/>
      <c r="E346" s="609"/>
      <c r="F346" s="609"/>
      <c r="G346" s="609"/>
      <c r="H346" s="609"/>
      <c r="I346" s="662"/>
      <c r="J346" s="662"/>
      <c r="K346" s="661"/>
      <c r="L346" s="661"/>
      <c r="M346" s="661"/>
      <c r="N346" s="663"/>
      <c r="O346" s="663"/>
      <c r="P346" s="663"/>
      <c r="Q346" s="663"/>
      <c r="R346" s="663"/>
      <c r="S346" s="661"/>
      <c r="T346" s="661"/>
      <c r="U346" s="661"/>
      <c r="V346" s="661"/>
      <c r="W346" s="661"/>
      <c r="X346" s="661"/>
      <c r="Y346" s="661"/>
      <c r="Z346" s="661"/>
      <c r="AA346" s="661"/>
      <c r="AB346" s="661"/>
      <c r="AC346" s="661"/>
      <c r="AD346" s="606"/>
      <c r="AE346" s="606"/>
      <c r="AF346" s="606"/>
      <c r="AG346" s="606"/>
    </row>
    <row r="347" spans="1:33" s="612" customFormat="1" outlineLevel="1" x14ac:dyDescent="0.2">
      <c r="A347" s="606"/>
      <c r="B347" s="606"/>
      <c r="C347" s="616"/>
      <c r="D347" s="617"/>
      <c r="E347" s="617"/>
      <c r="F347" s="617"/>
      <c r="G347" s="618"/>
      <c r="H347" s="618"/>
      <c r="I347" s="661"/>
      <c r="J347" s="661"/>
      <c r="K347" s="661"/>
      <c r="L347" s="661"/>
      <c r="M347" s="661"/>
      <c r="N347" s="661"/>
      <c r="O347" s="661"/>
      <c r="P347" s="661"/>
      <c r="Q347" s="661"/>
      <c r="R347" s="661"/>
      <c r="S347" s="661"/>
      <c r="T347" s="661"/>
      <c r="U347" s="661"/>
      <c r="V347" s="661"/>
      <c r="W347" s="661"/>
      <c r="X347" s="661"/>
      <c r="Y347" s="661"/>
      <c r="Z347" s="661"/>
      <c r="AA347" s="661"/>
      <c r="AB347" s="661"/>
      <c r="AC347" s="661"/>
      <c r="AD347" s="606"/>
      <c r="AE347" s="606"/>
      <c r="AF347" s="606"/>
      <c r="AG347" s="606"/>
    </row>
    <row r="348" spans="1:33" s="612" customFormat="1" outlineLevel="2" x14ac:dyDescent="0.2">
      <c r="A348" s="606"/>
      <c r="B348" s="606"/>
      <c r="C348" s="607"/>
      <c r="D348" s="608"/>
      <c r="E348" s="608"/>
      <c r="F348" s="608"/>
      <c r="G348" s="608"/>
      <c r="H348" s="609"/>
      <c r="I348" s="660"/>
      <c r="J348" s="660"/>
      <c r="K348" s="660"/>
      <c r="L348" s="660"/>
      <c r="M348" s="660"/>
      <c r="N348" s="660"/>
      <c r="O348" s="660"/>
      <c r="P348" s="660"/>
      <c r="Q348" s="660"/>
      <c r="R348" s="660"/>
      <c r="S348" s="660"/>
      <c r="T348" s="660"/>
      <c r="U348" s="660"/>
      <c r="V348" s="660"/>
      <c r="W348" s="660"/>
      <c r="X348" s="660"/>
      <c r="Y348" s="660"/>
      <c r="Z348" s="660"/>
      <c r="AA348" s="660"/>
      <c r="AB348" s="660"/>
      <c r="AC348" s="661"/>
      <c r="AD348" s="606"/>
      <c r="AE348" s="606"/>
      <c r="AF348" s="606"/>
      <c r="AG348" s="606"/>
    </row>
    <row r="349" spans="1:33" s="612" customFormat="1" outlineLevel="2" x14ac:dyDescent="0.2">
      <c r="A349" s="606"/>
      <c r="B349" s="606"/>
      <c r="C349" s="607"/>
      <c r="D349" s="608"/>
      <c r="E349" s="608"/>
      <c r="F349" s="608"/>
      <c r="G349" s="608"/>
      <c r="H349" s="609"/>
      <c r="I349" s="660"/>
      <c r="J349" s="660"/>
      <c r="K349" s="660"/>
      <c r="L349" s="660"/>
      <c r="M349" s="660"/>
      <c r="N349" s="660"/>
      <c r="O349" s="660"/>
      <c r="P349" s="660"/>
      <c r="Q349" s="660"/>
      <c r="R349" s="660"/>
      <c r="S349" s="660"/>
      <c r="T349" s="660"/>
      <c r="U349" s="660"/>
      <c r="V349" s="660"/>
      <c r="W349" s="660"/>
      <c r="X349" s="660"/>
      <c r="Y349" s="660"/>
      <c r="Z349" s="660"/>
      <c r="AA349" s="660"/>
      <c r="AB349" s="660"/>
      <c r="AC349" s="661"/>
      <c r="AD349" s="606"/>
      <c r="AE349" s="606"/>
      <c r="AF349" s="606"/>
      <c r="AG349" s="606"/>
    </row>
    <row r="350" spans="1:33" s="612" customFormat="1" outlineLevel="2" x14ac:dyDescent="0.2">
      <c r="A350" s="606"/>
      <c r="B350" s="606"/>
      <c r="C350" s="607"/>
      <c r="D350" s="608"/>
      <c r="E350" s="608"/>
      <c r="F350" s="608"/>
      <c r="G350" s="608"/>
      <c r="H350" s="609"/>
      <c r="I350" s="660"/>
      <c r="J350" s="660"/>
      <c r="K350" s="660"/>
      <c r="L350" s="660"/>
      <c r="M350" s="660"/>
      <c r="N350" s="660"/>
      <c r="O350" s="660"/>
      <c r="P350" s="660"/>
      <c r="Q350" s="660"/>
      <c r="R350" s="660"/>
      <c r="S350" s="660"/>
      <c r="T350" s="660"/>
      <c r="U350" s="660"/>
      <c r="V350" s="660"/>
      <c r="W350" s="660"/>
      <c r="X350" s="660"/>
      <c r="Y350" s="660"/>
      <c r="Z350" s="660"/>
      <c r="AA350" s="660"/>
      <c r="AB350" s="660"/>
      <c r="AC350" s="661"/>
      <c r="AD350" s="606"/>
      <c r="AE350" s="606"/>
      <c r="AF350" s="606"/>
      <c r="AG350" s="606"/>
    </row>
    <row r="351" spans="1:33" s="612" customFormat="1" outlineLevel="2" x14ac:dyDescent="0.2">
      <c r="A351" s="606"/>
      <c r="B351" s="606"/>
      <c r="C351" s="607"/>
      <c r="D351" s="608"/>
      <c r="E351" s="608"/>
      <c r="F351" s="608"/>
      <c r="G351" s="608"/>
      <c r="H351" s="609"/>
      <c r="I351" s="660"/>
      <c r="J351" s="660"/>
      <c r="K351" s="660"/>
      <c r="L351" s="660"/>
      <c r="M351" s="660"/>
      <c r="N351" s="660"/>
      <c r="O351" s="660"/>
      <c r="P351" s="660"/>
      <c r="Q351" s="660"/>
      <c r="R351" s="660"/>
      <c r="S351" s="660"/>
      <c r="T351" s="660"/>
      <c r="U351" s="660"/>
      <c r="V351" s="660"/>
      <c r="W351" s="660"/>
      <c r="X351" s="660"/>
      <c r="Y351" s="660"/>
      <c r="Z351" s="660"/>
      <c r="AA351" s="660"/>
      <c r="AB351" s="660"/>
      <c r="AC351" s="661"/>
      <c r="AD351" s="606"/>
      <c r="AE351" s="606"/>
      <c r="AF351" s="606"/>
      <c r="AG351" s="606"/>
    </row>
    <row r="352" spans="1:33" s="612" customFormat="1" outlineLevel="2" x14ac:dyDescent="0.2">
      <c r="A352" s="606"/>
      <c r="B352" s="606"/>
      <c r="C352" s="607"/>
      <c r="D352" s="608"/>
      <c r="E352" s="608"/>
      <c r="F352" s="608"/>
      <c r="G352" s="608"/>
      <c r="H352" s="609"/>
      <c r="I352" s="660"/>
      <c r="J352" s="660"/>
      <c r="K352" s="660"/>
      <c r="L352" s="660"/>
      <c r="M352" s="660"/>
      <c r="N352" s="660"/>
      <c r="O352" s="660"/>
      <c r="P352" s="660"/>
      <c r="Q352" s="660"/>
      <c r="R352" s="660"/>
      <c r="S352" s="660"/>
      <c r="T352" s="660"/>
      <c r="U352" s="660"/>
      <c r="V352" s="660"/>
      <c r="W352" s="660"/>
      <c r="X352" s="660"/>
      <c r="Y352" s="660"/>
      <c r="Z352" s="660"/>
      <c r="AA352" s="660"/>
      <c r="AB352" s="660"/>
      <c r="AC352" s="661"/>
      <c r="AD352" s="606"/>
      <c r="AE352" s="606"/>
      <c r="AF352" s="606"/>
      <c r="AG352" s="606"/>
    </row>
    <row r="353" spans="1:33" s="612" customFormat="1" outlineLevel="2" x14ac:dyDescent="0.2">
      <c r="A353" s="606"/>
      <c r="B353" s="606"/>
      <c r="C353" s="607"/>
      <c r="D353" s="608"/>
      <c r="E353" s="608"/>
      <c r="F353" s="608"/>
      <c r="G353" s="608"/>
      <c r="H353" s="609"/>
      <c r="I353" s="660"/>
      <c r="J353" s="660"/>
      <c r="K353" s="660"/>
      <c r="L353" s="660"/>
      <c r="M353" s="660"/>
      <c r="N353" s="660"/>
      <c r="O353" s="660"/>
      <c r="P353" s="660"/>
      <c r="Q353" s="660"/>
      <c r="R353" s="660"/>
      <c r="S353" s="660"/>
      <c r="T353" s="660"/>
      <c r="U353" s="660"/>
      <c r="V353" s="660"/>
      <c r="W353" s="660"/>
      <c r="X353" s="660"/>
      <c r="Y353" s="660"/>
      <c r="Z353" s="660"/>
      <c r="AA353" s="660"/>
      <c r="AB353" s="660"/>
      <c r="AC353" s="661"/>
      <c r="AD353" s="606"/>
      <c r="AE353" s="606"/>
      <c r="AF353" s="606"/>
      <c r="AG353" s="606"/>
    </row>
    <row r="354" spans="1:33" s="612" customFormat="1" outlineLevel="2" x14ac:dyDescent="0.2">
      <c r="A354" s="606"/>
      <c r="B354" s="606"/>
      <c r="C354" s="607"/>
      <c r="D354" s="608"/>
      <c r="E354" s="608"/>
      <c r="F354" s="608"/>
      <c r="G354" s="608"/>
      <c r="H354" s="609"/>
      <c r="I354" s="660"/>
      <c r="J354" s="660"/>
      <c r="K354" s="660"/>
      <c r="L354" s="660"/>
      <c r="M354" s="660"/>
      <c r="N354" s="660"/>
      <c r="O354" s="660"/>
      <c r="P354" s="660"/>
      <c r="Q354" s="660"/>
      <c r="R354" s="660"/>
      <c r="S354" s="660"/>
      <c r="T354" s="660"/>
      <c r="U354" s="660"/>
      <c r="V354" s="660"/>
      <c r="W354" s="660"/>
      <c r="X354" s="660"/>
      <c r="Y354" s="660"/>
      <c r="Z354" s="660"/>
      <c r="AA354" s="660"/>
      <c r="AB354" s="660"/>
      <c r="AC354" s="661"/>
      <c r="AD354" s="606"/>
      <c r="AE354" s="606"/>
      <c r="AF354" s="606"/>
      <c r="AG354" s="606"/>
    </row>
    <row r="355" spans="1:33" s="612" customFormat="1" outlineLevel="2" x14ac:dyDescent="0.2">
      <c r="A355" s="606"/>
      <c r="B355" s="606"/>
      <c r="C355" s="607"/>
      <c r="D355" s="608"/>
      <c r="E355" s="608"/>
      <c r="F355" s="608"/>
      <c r="G355" s="608"/>
      <c r="H355" s="609"/>
      <c r="I355" s="660"/>
      <c r="J355" s="660"/>
      <c r="K355" s="660"/>
      <c r="L355" s="660"/>
      <c r="M355" s="660"/>
      <c r="N355" s="660"/>
      <c r="O355" s="660"/>
      <c r="P355" s="660"/>
      <c r="Q355" s="660"/>
      <c r="R355" s="660"/>
      <c r="S355" s="660"/>
      <c r="T355" s="660"/>
      <c r="U355" s="660"/>
      <c r="V355" s="660"/>
      <c r="W355" s="660"/>
      <c r="X355" s="660"/>
      <c r="Y355" s="660"/>
      <c r="Z355" s="660"/>
      <c r="AA355" s="660"/>
      <c r="AB355" s="660"/>
      <c r="AC355" s="661"/>
      <c r="AD355" s="606"/>
      <c r="AE355" s="606"/>
      <c r="AF355" s="606"/>
      <c r="AG355" s="606"/>
    </row>
    <row r="356" spans="1:33" s="612" customFormat="1" outlineLevel="2" x14ac:dyDescent="0.2">
      <c r="A356" s="606"/>
      <c r="B356" s="606"/>
      <c r="C356" s="607"/>
      <c r="D356" s="608"/>
      <c r="E356" s="608"/>
      <c r="F356" s="608"/>
      <c r="G356" s="608"/>
      <c r="H356" s="609"/>
      <c r="I356" s="660"/>
      <c r="J356" s="660"/>
      <c r="K356" s="660"/>
      <c r="L356" s="660"/>
      <c r="M356" s="660"/>
      <c r="N356" s="660"/>
      <c r="O356" s="660"/>
      <c r="P356" s="660"/>
      <c r="Q356" s="660"/>
      <c r="R356" s="660"/>
      <c r="S356" s="660"/>
      <c r="T356" s="660"/>
      <c r="U356" s="660"/>
      <c r="V356" s="660"/>
      <c r="W356" s="660"/>
      <c r="X356" s="660"/>
      <c r="Y356" s="660"/>
      <c r="Z356" s="660"/>
      <c r="AA356" s="660"/>
      <c r="AB356" s="660"/>
      <c r="AC356" s="661"/>
      <c r="AD356" s="606"/>
      <c r="AE356" s="606"/>
      <c r="AF356" s="606"/>
      <c r="AG356" s="606"/>
    </row>
    <row r="357" spans="1:33" s="612" customFormat="1" outlineLevel="2" x14ac:dyDescent="0.2">
      <c r="A357" s="606"/>
      <c r="B357" s="606"/>
      <c r="C357" s="607"/>
      <c r="D357" s="608"/>
      <c r="E357" s="608"/>
      <c r="F357" s="608"/>
      <c r="G357" s="608"/>
      <c r="H357" s="609"/>
      <c r="I357" s="660"/>
      <c r="J357" s="660"/>
      <c r="K357" s="660"/>
      <c r="L357" s="660"/>
      <c r="M357" s="660"/>
      <c r="N357" s="660"/>
      <c r="O357" s="660"/>
      <c r="P357" s="660"/>
      <c r="Q357" s="660"/>
      <c r="R357" s="660"/>
      <c r="S357" s="660"/>
      <c r="T357" s="660"/>
      <c r="U357" s="660"/>
      <c r="V357" s="660"/>
      <c r="W357" s="660"/>
      <c r="X357" s="660"/>
      <c r="Y357" s="660"/>
      <c r="Z357" s="660"/>
      <c r="AA357" s="660"/>
      <c r="AB357" s="660"/>
      <c r="AC357" s="661"/>
      <c r="AD357" s="606"/>
      <c r="AE357" s="606"/>
      <c r="AF357" s="606"/>
      <c r="AG357" s="606"/>
    </row>
    <row r="358" spans="1:33" s="612" customFormat="1" outlineLevel="2" x14ac:dyDescent="0.2">
      <c r="A358" s="606"/>
      <c r="B358" s="606"/>
      <c r="C358" s="607"/>
      <c r="D358" s="608"/>
      <c r="E358" s="608"/>
      <c r="F358" s="608"/>
      <c r="G358" s="608"/>
      <c r="H358" s="609"/>
      <c r="I358" s="660"/>
      <c r="J358" s="660"/>
      <c r="K358" s="660"/>
      <c r="L358" s="660"/>
      <c r="M358" s="660"/>
      <c r="N358" s="660"/>
      <c r="O358" s="660"/>
      <c r="P358" s="660"/>
      <c r="Q358" s="660"/>
      <c r="R358" s="660"/>
      <c r="S358" s="660"/>
      <c r="T358" s="660"/>
      <c r="U358" s="660"/>
      <c r="V358" s="660"/>
      <c r="W358" s="660"/>
      <c r="X358" s="660"/>
      <c r="Y358" s="660"/>
      <c r="Z358" s="660"/>
      <c r="AA358" s="660"/>
      <c r="AB358" s="660"/>
      <c r="AC358" s="661"/>
      <c r="AD358" s="606"/>
      <c r="AE358" s="606"/>
      <c r="AF358" s="606"/>
      <c r="AG358" s="606"/>
    </row>
    <row r="359" spans="1:33" s="612" customFormat="1" outlineLevel="2" x14ac:dyDescent="0.2">
      <c r="A359" s="606"/>
      <c r="B359" s="606"/>
      <c r="C359" s="607"/>
      <c r="D359" s="608"/>
      <c r="E359" s="608"/>
      <c r="F359" s="608"/>
      <c r="G359" s="608"/>
      <c r="H359" s="609"/>
      <c r="I359" s="660"/>
      <c r="J359" s="660"/>
      <c r="K359" s="660"/>
      <c r="L359" s="660"/>
      <c r="M359" s="660"/>
      <c r="N359" s="660"/>
      <c r="O359" s="660"/>
      <c r="P359" s="660"/>
      <c r="Q359" s="660"/>
      <c r="R359" s="660"/>
      <c r="S359" s="660"/>
      <c r="T359" s="660"/>
      <c r="U359" s="660"/>
      <c r="V359" s="660"/>
      <c r="W359" s="660"/>
      <c r="X359" s="660"/>
      <c r="Y359" s="660"/>
      <c r="Z359" s="660"/>
      <c r="AA359" s="660"/>
      <c r="AB359" s="660"/>
      <c r="AC359" s="661"/>
      <c r="AD359" s="606"/>
      <c r="AE359" s="606"/>
      <c r="AF359" s="606"/>
      <c r="AG359" s="606"/>
    </row>
    <row r="360" spans="1:33" s="612" customFormat="1" outlineLevel="2" x14ac:dyDescent="0.2">
      <c r="A360" s="606"/>
      <c r="B360" s="606"/>
      <c r="C360" s="607"/>
      <c r="D360" s="608"/>
      <c r="E360" s="608"/>
      <c r="F360" s="608"/>
      <c r="G360" s="608"/>
      <c r="H360" s="609"/>
      <c r="I360" s="660"/>
      <c r="J360" s="660"/>
      <c r="K360" s="660"/>
      <c r="L360" s="660"/>
      <c r="M360" s="660"/>
      <c r="N360" s="660"/>
      <c r="O360" s="660"/>
      <c r="P360" s="660"/>
      <c r="Q360" s="660"/>
      <c r="R360" s="660"/>
      <c r="S360" s="660"/>
      <c r="T360" s="660"/>
      <c r="U360" s="660"/>
      <c r="V360" s="660"/>
      <c r="W360" s="660"/>
      <c r="X360" s="660"/>
      <c r="Y360" s="660"/>
      <c r="Z360" s="660"/>
      <c r="AA360" s="660"/>
      <c r="AB360" s="660"/>
      <c r="AC360" s="661"/>
      <c r="AD360" s="606"/>
      <c r="AE360" s="606"/>
      <c r="AF360" s="606"/>
      <c r="AG360" s="606"/>
    </row>
    <row r="361" spans="1:33" s="612" customFormat="1" outlineLevel="2" x14ac:dyDescent="0.2">
      <c r="A361" s="606"/>
      <c r="B361" s="606"/>
      <c r="C361" s="607"/>
      <c r="D361" s="608"/>
      <c r="E361" s="608"/>
      <c r="F361" s="608"/>
      <c r="G361" s="608"/>
      <c r="H361" s="609"/>
      <c r="I361" s="660"/>
      <c r="J361" s="660"/>
      <c r="K361" s="660"/>
      <c r="L361" s="660"/>
      <c r="M361" s="660"/>
      <c r="N361" s="660"/>
      <c r="O361" s="660"/>
      <c r="P361" s="660"/>
      <c r="Q361" s="660"/>
      <c r="R361" s="660"/>
      <c r="S361" s="660"/>
      <c r="T361" s="660"/>
      <c r="U361" s="660"/>
      <c r="V361" s="660"/>
      <c r="W361" s="660"/>
      <c r="X361" s="660"/>
      <c r="Y361" s="660"/>
      <c r="Z361" s="660"/>
      <c r="AA361" s="660"/>
      <c r="AB361" s="660"/>
      <c r="AC361" s="661"/>
      <c r="AD361" s="606"/>
      <c r="AE361" s="606"/>
      <c r="AF361" s="606"/>
      <c r="AG361" s="606"/>
    </row>
    <row r="362" spans="1:33" s="612" customFormat="1" outlineLevel="2" x14ac:dyDescent="0.2">
      <c r="A362" s="606"/>
      <c r="B362" s="606"/>
      <c r="C362" s="607"/>
      <c r="D362" s="608"/>
      <c r="E362" s="608"/>
      <c r="F362" s="608"/>
      <c r="G362" s="608"/>
      <c r="H362" s="609"/>
      <c r="I362" s="660"/>
      <c r="J362" s="660"/>
      <c r="K362" s="660"/>
      <c r="L362" s="660"/>
      <c r="M362" s="660"/>
      <c r="N362" s="660"/>
      <c r="O362" s="660"/>
      <c r="P362" s="660"/>
      <c r="Q362" s="660"/>
      <c r="R362" s="660"/>
      <c r="S362" s="660"/>
      <c r="T362" s="660"/>
      <c r="U362" s="660"/>
      <c r="V362" s="660"/>
      <c r="W362" s="660"/>
      <c r="X362" s="660"/>
      <c r="Y362" s="660"/>
      <c r="Z362" s="660"/>
      <c r="AA362" s="660"/>
      <c r="AB362" s="660"/>
      <c r="AC362" s="661"/>
      <c r="AD362" s="606"/>
      <c r="AE362" s="606"/>
      <c r="AF362" s="606"/>
      <c r="AG362" s="606"/>
    </row>
    <row r="363" spans="1:33" s="612" customFormat="1" outlineLevel="2" x14ac:dyDescent="0.2">
      <c r="A363" s="606"/>
      <c r="B363" s="606"/>
      <c r="C363" s="607"/>
      <c r="D363" s="608"/>
      <c r="E363" s="608"/>
      <c r="F363" s="608"/>
      <c r="G363" s="608"/>
      <c r="H363" s="609"/>
      <c r="I363" s="660"/>
      <c r="J363" s="660"/>
      <c r="K363" s="660"/>
      <c r="L363" s="660"/>
      <c r="M363" s="660"/>
      <c r="N363" s="660"/>
      <c r="O363" s="660"/>
      <c r="P363" s="660"/>
      <c r="Q363" s="660"/>
      <c r="R363" s="660"/>
      <c r="S363" s="660"/>
      <c r="T363" s="660"/>
      <c r="U363" s="660"/>
      <c r="V363" s="660"/>
      <c r="W363" s="660"/>
      <c r="X363" s="660"/>
      <c r="Y363" s="660"/>
      <c r="Z363" s="660"/>
      <c r="AA363" s="660"/>
      <c r="AB363" s="660"/>
      <c r="AC363" s="661"/>
      <c r="AD363" s="606"/>
      <c r="AE363" s="606"/>
      <c r="AF363" s="606"/>
      <c r="AG363" s="606"/>
    </row>
    <row r="364" spans="1:33" s="612" customFormat="1" outlineLevel="2" x14ac:dyDescent="0.2">
      <c r="A364" s="606"/>
      <c r="B364" s="606"/>
      <c r="C364" s="607"/>
      <c r="D364" s="608"/>
      <c r="E364" s="608"/>
      <c r="F364" s="608"/>
      <c r="G364" s="608"/>
      <c r="H364" s="609"/>
      <c r="I364" s="660"/>
      <c r="J364" s="660"/>
      <c r="K364" s="660"/>
      <c r="L364" s="660"/>
      <c r="M364" s="660"/>
      <c r="N364" s="660"/>
      <c r="O364" s="660"/>
      <c r="P364" s="660"/>
      <c r="Q364" s="660"/>
      <c r="R364" s="660"/>
      <c r="S364" s="660"/>
      <c r="T364" s="660"/>
      <c r="U364" s="660"/>
      <c r="V364" s="660"/>
      <c r="W364" s="660"/>
      <c r="X364" s="660"/>
      <c r="Y364" s="660"/>
      <c r="Z364" s="660"/>
      <c r="AA364" s="660"/>
      <c r="AB364" s="660"/>
      <c r="AC364" s="661"/>
      <c r="AD364" s="606"/>
      <c r="AE364" s="606"/>
      <c r="AF364" s="606"/>
      <c r="AG364" s="606"/>
    </row>
    <row r="365" spans="1:33" s="612" customFormat="1" outlineLevel="2" x14ac:dyDescent="0.2">
      <c r="A365" s="606"/>
      <c r="B365" s="606"/>
      <c r="C365" s="607"/>
      <c r="D365" s="608"/>
      <c r="E365" s="608"/>
      <c r="F365" s="608"/>
      <c r="G365" s="608"/>
      <c r="H365" s="609"/>
      <c r="I365" s="660"/>
      <c r="J365" s="660"/>
      <c r="K365" s="660"/>
      <c r="L365" s="660"/>
      <c r="M365" s="660"/>
      <c r="N365" s="660"/>
      <c r="O365" s="660"/>
      <c r="P365" s="660"/>
      <c r="Q365" s="660"/>
      <c r="R365" s="660"/>
      <c r="S365" s="660"/>
      <c r="T365" s="660"/>
      <c r="U365" s="660"/>
      <c r="V365" s="660"/>
      <c r="W365" s="660"/>
      <c r="X365" s="660"/>
      <c r="Y365" s="660"/>
      <c r="Z365" s="660"/>
      <c r="AA365" s="660"/>
      <c r="AB365" s="660"/>
      <c r="AC365" s="661"/>
      <c r="AD365" s="606"/>
      <c r="AE365" s="606"/>
      <c r="AF365" s="606"/>
      <c r="AG365" s="606"/>
    </row>
    <row r="366" spans="1:33" s="612" customFormat="1" outlineLevel="2" x14ac:dyDescent="0.2">
      <c r="A366" s="606"/>
      <c r="B366" s="606"/>
      <c r="C366" s="607"/>
      <c r="D366" s="608"/>
      <c r="E366" s="608"/>
      <c r="F366" s="608"/>
      <c r="G366" s="608"/>
      <c r="H366" s="609"/>
      <c r="I366" s="660"/>
      <c r="J366" s="660"/>
      <c r="K366" s="660"/>
      <c r="L366" s="660"/>
      <c r="M366" s="660"/>
      <c r="N366" s="660"/>
      <c r="O366" s="660"/>
      <c r="P366" s="660"/>
      <c r="Q366" s="660"/>
      <c r="R366" s="660"/>
      <c r="S366" s="660"/>
      <c r="T366" s="660"/>
      <c r="U366" s="660"/>
      <c r="V366" s="660"/>
      <c r="W366" s="660"/>
      <c r="X366" s="660"/>
      <c r="Y366" s="660"/>
      <c r="Z366" s="660"/>
      <c r="AA366" s="660"/>
      <c r="AB366" s="660"/>
      <c r="AC366" s="661"/>
      <c r="AD366" s="606"/>
      <c r="AE366" s="606"/>
      <c r="AF366" s="606"/>
      <c r="AG366" s="606"/>
    </row>
    <row r="367" spans="1:33" s="612" customFormat="1" outlineLevel="2" x14ac:dyDescent="0.2">
      <c r="A367" s="606"/>
      <c r="B367" s="606"/>
      <c r="C367" s="607"/>
      <c r="D367" s="608"/>
      <c r="E367" s="608"/>
      <c r="F367" s="608"/>
      <c r="G367" s="608"/>
      <c r="H367" s="609"/>
      <c r="I367" s="660"/>
      <c r="J367" s="660"/>
      <c r="K367" s="660"/>
      <c r="L367" s="660"/>
      <c r="M367" s="660"/>
      <c r="N367" s="660"/>
      <c r="O367" s="660"/>
      <c r="P367" s="660"/>
      <c r="Q367" s="660"/>
      <c r="R367" s="660"/>
      <c r="S367" s="660"/>
      <c r="T367" s="660"/>
      <c r="U367" s="660"/>
      <c r="V367" s="660"/>
      <c r="W367" s="660"/>
      <c r="X367" s="660"/>
      <c r="Y367" s="660"/>
      <c r="Z367" s="660"/>
      <c r="AA367" s="660"/>
      <c r="AB367" s="660"/>
      <c r="AC367" s="661"/>
      <c r="AD367" s="606"/>
      <c r="AE367" s="606"/>
      <c r="AF367" s="606"/>
      <c r="AG367" s="606"/>
    </row>
    <row r="368" spans="1:33" s="612" customFormat="1" outlineLevel="2" x14ac:dyDescent="0.2">
      <c r="A368" s="606"/>
      <c r="B368" s="606"/>
      <c r="C368" s="607"/>
      <c r="D368" s="608"/>
      <c r="E368" s="608"/>
      <c r="F368" s="608"/>
      <c r="G368" s="608"/>
      <c r="H368" s="609"/>
      <c r="I368" s="660"/>
      <c r="J368" s="660"/>
      <c r="K368" s="660"/>
      <c r="L368" s="660"/>
      <c r="M368" s="660"/>
      <c r="N368" s="660"/>
      <c r="O368" s="660"/>
      <c r="P368" s="660"/>
      <c r="Q368" s="660"/>
      <c r="R368" s="660"/>
      <c r="S368" s="660"/>
      <c r="T368" s="660"/>
      <c r="U368" s="660"/>
      <c r="V368" s="660"/>
      <c r="W368" s="660"/>
      <c r="X368" s="660"/>
      <c r="Y368" s="660"/>
      <c r="Z368" s="660"/>
      <c r="AA368" s="660"/>
      <c r="AB368" s="660"/>
      <c r="AC368" s="661"/>
      <c r="AD368" s="606"/>
      <c r="AE368" s="606"/>
      <c r="AF368" s="606"/>
      <c r="AG368" s="606"/>
    </row>
    <row r="369" spans="1:33" s="612" customFormat="1" outlineLevel="2" x14ac:dyDescent="0.2">
      <c r="A369" s="606"/>
      <c r="B369" s="606"/>
      <c r="C369" s="607"/>
      <c r="D369" s="608"/>
      <c r="E369" s="608"/>
      <c r="F369" s="608"/>
      <c r="G369" s="608"/>
      <c r="H369" s="609"/>
      <c r="I369" s="660"/>
      <c r="J369" s="660"/>
      <c r="K369" s="660"/>
      <c r="L369" s="660"/>
      <c r="M369" s="660"/>
      <c r="N369" s="660"/>
      <c r="O369" s="660"/>
      <c r="P369" s="660"/>
      <c r="Q369" s="660"/>
      <c r="R369" s="660"/>
      <c r="S369" s="660"/>
      <c r="T369" s="660"/>
      <c r="U369" s="660"/>
      <c r="V369" s="660"/>
      <c r="W369" s="660"/>
      <c r="X369" s="660"/>
      <c r="Y369" s="660"/>
      <c r="Z369" s="660"/>
      <c r="AA369" s="660"/>
      <c r="AB369" s="660"/>
      <c r="AC369" s="661"/>
      <c r="AD369" s="606"/>
      <c r="AE369" s="606"/>
      <c r="AF369" s="606"/>
      <c r="AG369" s="606"/>
    </row>
    <row r="370" spans="1:33" s="612" customFormat="1" outlineLevel="2" x14ac:dyDescent="0.2">
      <c r="A370" s="606"/>
      <c r="B370" s="606"/>
      <c r="C370" s="607"/>
      <c r="D370" s="608"/>
      <c r="E370" s="608"/>
      <c r="F370" s="608"/>
      <c r="G370" s="608"/>
      <c r="H370" s="609"/>
      <c r="I370" s="660"/>
      <c r="J370" s="660"/>
      <c r="K370" s="660"/>
      <c r="L370" s="660"/>
      <c r="M370" s="660"/>
      <c r="N370" s="660"/>
      <c r="O370" s="660"/>
      <c r="P370" s="660"/>
      <c r="Q370" s="660"/>
      <c r="R370" s="660"/>
      <c r="S370" s="660"/>
      <c r="T370" s="660"/>
      <c r="U370" s="660"/>
      <c r="V370" s="660"/>
      <c r="W370" s="660"/>
      <c r="X370" s="660"/>
      <c r="Y370" s="660"/>
      <c r="Z370" s="660"/>
      <c r="AA370" s="660"/>
      <c r="AB370" s="660"/>
      <c r="AC370" s="661"/>
      <c r="AD370" s="606"/>
      <c r="AE370" s="606"/>
      <c r="AF370" s="606"/>
      <c r="AG370" s="606"/>
    </row>
    <row r="371" spans="1:33" s="612" customFormat="1" outlineLevel="2" x14ac:dyDescent="0.2">
      <c r="A371" s="606"/>
      <c r="B371" s="606"/>
      <c r="C371" s="607"/>
      <c r="D371" s="608"/>
      <c r="E371" s="608"/>
      <c r="F371" s="608"/>
      <c r="G371" s="608"/>
      <c r="H371" s="609"/>
      <c r="I371" s="660"/>
      <c r="J371" s="660"/>
      <c r="K371" s="660"/>
      <c r="L371" s="660"/>
      <c r="M371" s="660"/>
      <c r="N371" s="660"/>
      <c r="O371" s="660"/>
      <c r="P371" s="660"/>
      <c r="Q371" s="660"/>
      <c r="R371" s="660"/>
      <c r="S371" s="660"/>
      <c r="T371" s="660"/>
      <c r="U371" s="660"/>
      <c r="V371" s="660"/>
      <c r="W371" s="660"/>
      <c r="X371" s="660"/>
      <c r="Y371" s="660"/>
      <c r="Z371" s="660"/>
      <c r="AA371" s="660"/>
      <c r="AB371" s="660"/>
      <c r="AC371" s="661"/>
      <c r="AD371" s="606"/>
      <c r="AE371" s="606"/>
      <c r="AF371" s="606"/>
      <c r="AG371" s="606"/>
    </row>
    <row r="372" spans="1:33" s="612" customFormat="1" outlineLevel="2" x14ac:dyDescent="0.2">
      <c r="A372" s="606"/>
      <c r="B372" s="606"/>
      <c r="C372" s="607"/>
      <c r="D372" s="608"/>
      <c r="E372" s="608"/>
      <c r="F372" s="608"/>
      <c r="G372" s="608"/>
      <c r="H372" s="609"/>
      <c r="I372" s="660"/>
      <c r="J372" s="660"/>
      <c r="K372" s="660"/>
      <c r="L372" s="660"/>
      <c r="M372" s="660"/>
      <c r="N372" s="660"/>
      <c r="O372" s="660"/>
      <c r="P372" s="660"/>
      <c r="Q372" s="660"/>
      <c r="R372" s="660"/>
      <c r="S372" s="660"/>
      <c r="T372" s="660"/>
      <c r="U372" s="660"/>
      <c r="V372" s="660"/>
      <c r="W372" s="660"/>
      <c r="X372" s="660"/>
      <c r="Y372" s="660"/>
      <c r="Z372" s="660"/>
      <c r="AA372" s="660"/>
      <c r="AB372" s="660"/>
      <c r="AC372" s="661"/>
      <c r="AD372" s="606"/>
      <c r="AE372" s="606"/>
      <c r="AF372" s="606"/>
      <c r="AG372" s="606"/>
    </row>
    <row r="373" spans="1:33" s="612" customFormat="1" outlineLevel="2" x14ac:dyDescent="0.2">
      <c r="A373" s="606"/>
      <c r="B373" s="606"/>
      <c r="C373" s="607"/>
      <c r="D373" s="608"/>
      <c r="E373" s="608"/>
      <c r="F373" s="608"/>
      <c r="G373" s="608"/>
      <c r="H373" s="609"/>
      <c r="I373" s="660"/>
      <c r="J373" s="660"/>
      <c r="K373" s="660"/>
      <c r="L373" s="660"/>
      <c r="M373" s="660"/>
      <c r="N373" s="660"/>
      <c r="O373" s="660"/>
      <c r="P373" s="660"/>
      <c r="Q373" s="660"/>
      <c r="R373" s="660"/>
      <c r="S373" s="660"/>
      <c r="T373" s="660"/>
      <c r="U373" s="660"/>
      <c r="V373" s="660"/>
      <c r="W373" s="660"/>
      <c r="X373" s="660"/>
      <c r="Y373" s="660"/>
      <c r="Z373" s="660"/>
      <c r="AA373" s="660"/>
      <c r="AB373" s="660"/>
      <c r="AC373" s="661"/>
      <c r="AD373" s="606"/>
      <c r="AE373" s="606"/>
      <c r="AF373" s="606"/>
      <c r="AG373" s="606"/>
    </row>
    <row r="374" spans="1:33" s="612" customFormat="1" outlineLevel="2" x14ac:dyDescent="0.2">
      <c r="A374" s="606"/>
      <c r="B374" s="606"/>
      <c r="C374" s="607"/>
      <c r="D374" s="608"/>
      <c r="E374" s="608"/>
      <c r="F374" s="608"/>
      <c r="G374" s="608"/>
      <c r="H374" s="609"/>
      <c r="I374" s="660"/>
      <c r="J374" s="660"/>
      <c r="K374" s="660"/>
      <c r="L374" s="660"/>
      <c r="M374" s="660"/>
      <c r="N374" s="660"/>
      <c r="O374" s="660"/>
      <c r="P374" s="660"/>
      <c r="Q374" s="660"/>
      <c r="R374" s="660"/>
      <c r="S374" s="660"/>
      <c r="T374" s="660"/>
      <c r="U374" s="660"/>
      <c r="V374" s="660"/>
      <c r="W374" s="660"/>
      <c r="X374" s="660"/>
      <c r="Y374" s="660"/>
      <c r="Z374" s="660"/>
      <c r="AA374" s="660"/>
      <c r="AB374" s="660"/>
      <c r="AC374" s="661"/>
      <c r="AD374" s="606"/>
      <c r="AE374" s="606"/>
      <c r="AF374" s="606"/>
      <c r="AG374" s="606"/>
    </row>
    <row r="375" spans="1:33" s="612" customFormat="1" outlineLevel="2" x14ac:dyDescent="0.2">
      <c r="A375" s="606"/>
      <c r="B375" s="606"/>
      <c r="C375" s="607"/>
      <c r="D375" s="608"/>
      <c r="E375" s="608"/>
      <c r="F375" s="608"/>
      <c r="G375" s="608"/>
      <c r="H375" s="609"/>
      <c r="I375" s="660"/>
      <c r="J375" s="660"/>
      <c r="K375" s="660"/>
      <c r="L375" s="660"/>
      <c r="M375" s="660"/>
      <c r="N375" s="660"/>
      <c r="O375" s="660"/>
      <c r="P375" s="660"/>
      <c r="Q375" s="660"/>
      <c r="R375" s="660"/>
      <c r="S375" s="660"/>
      <c r="T375" s="660"/>
      <c r="U375" s="660"/>
      <c r="V375" s="660"/>
      <c r="W375" s="660"/>
      <c r="X375" s="660"/>
      <c r="Y375" s="660"/>
      <c r="Z375" s="660"/>
      <c r="AA375" s="660"/>
      <c r="AB375" s="660"/>
      <c r="AC375" s="661"/>
      <c r="AD375" s="606"/>
      <c r="AE375" s="606"/>
      <c r="AF375" s="606"/>
      <c r="AG375" s="606"/>
    </row>
    <row r="376" spans="1:33" s="612" customFormat="1" outlineLevel="2" x14ac:dyDescent="0.2">
      <c r="A376" s="606"/>
      <c r="B376" s="606"/>
      <c r="C376" s="607"/>
      <c r="D376" s="608"/>
      <c r="E376" s="608"/>
      <c r="F376" s="608"/>
      <c r="G376" s="608"/>
      <c r="H376" s="609"/>
      <c r="I376" s="660"/>
      <c r="J376" s="660"/>
      <c r="K376" s="660"/>
      <c r="L376" s="660"/>
      <c r="M376" s="660"/>
      <c r="N376" s="660"/>
      <c r="O376" s="660"/>
      <c r="P376" s="660"/>
      <c r="Q376" s="660"/>
      <c r="R376" s="660"/>
      <c r="S376" s="660"/>
      <c r="T376" s="660"/>
      <c r="U376" s="660"/>
      <c r="V376" s="660"/>
      <c r="W376" s="660"/>
      <c r="X376" s="660"/>
      <c r="Y376" s="660"/>
      <c r="Z376" s="660"/>
      <c r="AA376" s="660"/>
      <c r="AB376" s="660"/>
      <c r="AC376" s="661"/>
      <c r="AD376" s="606"/>
      <c r="AE376" s="606"/>
      <c r="AF376" s="606"/>
      <c r="AG376" s="606"/>
    </row>
    <row r="377" spans="1:33" s="612" customFormat="1" outlineLevel="2" x14ac:dyDescent="0.2">
      <c r="A377" s="606"/>
      <c r="B377" s="606"/>
      <c r="C377" s="607"/>
      <c r="D377" s="608"/>
      <c r="E377" s="608"/>
      <c r="F377" s="608"/>
      <c r="G377" s="608"/>
      <c r="H377" s="609"/>
      <c r="I377" s="660"/>
      <c r="J377" s="660"/>
      <c r="K377" s="660"/>
      <c r="L377" s="660"/>
      <c r="M377" s="660"/>
      <c r="N377" s="660"/>
      <c r="O377" s="660"/>
      <c r="P377" s="660"/>
      <c r="Q377" s="660"/>
      <c r="R377" s="660"/>
      <c r="S377" s="660"/>
      <c r="T377" s="660"/>
      <c r="U377" s="660"/>
      <c r="V377" s="660"/>
      <c r="W377" s="660"/>
      <c r="X377" s="660"/>
      <c r="Y377" s="660"/>
      <c r="Z377" s="660"/>
      <c r="AA377" s="660"/>
      <c r="AB377" s="660"/>
      <c r="AC377" s="661"/>
      <c r="AD377" s="606"/>
      <c r="AE377" s="606"/>
      <c r="AF377" s="606"/>
      <c r="AG377" s="606"/>
    </row>
    <row r="378" spans="1:33" s="612" customFormat="1" outlineLevel="2" x14ac:dyDescent="0.2">
      <c r="A378" s="606"/>
      <c r="B378" s="606"/>
      <c r="C378" s="607"/>
      <c r="D378" s="608"/>
      <c r="E378" s="608"/>
      <c r="F378" s="608"/>
      <c r="G378" s="608"/>
      <c r="H378" s="609"/>
      <c r="I378" s="660"/>
      <c r="J378" s="660"/>
      <c r="K378" s="660"/>
      <c r="L378" s="660"/>
      <c r="M378" s="660"/>
      <c r="N378" s="660"/>
      <c r="O378" s="660"/>
      <c r="P378" s="660"/>
      <c r="Q378" s="660"/>
      <c r="R378" s="660"/>
      <c r="S378" s="660"/>
      <c r="T378" s="660"/>
      <c r="U378" s="660"/>
      <c r="V378" s="660"/>
      <c r="W378" s="660"/>
      <c r="X378" s="660"/>
      <c r="Y378" s="660"/>
      <c r="Z378" s="660"/>
      <c r="AA378" s="660"/>
      <c r="AB378" s="660"/>
      <c r="AC378" s="661"/>
      <c r="AD378" s="606"/>
      <c r="AE378" s="606"/>
      <c r="AF378" s="606"/>
      <c r="AG378" s="606"/>
    </row>
    <row r="379" spans="1:33" s="612" customFormat="1" outlineLevel="2" x14ac:dyDescent="0.2">
      <c r="A379" s="606"/>
      <c r="B379" s="606"/>
      <c r="C379" s="607"/>
      <c r="D379" s="608"/>
      <c r="E379" s="608"/>
      <c r="F379" s="608"/>
      <c r="G379" s="608"/>
      <c r="H379" s="609"/>
      <c r="I379" s="660"/>
      <c r="J379" s="660"/>
      <c r="K379" s="660"/>
      <c r="L379" s="660"/>
      <c r="M379" s="660"/>
      <c r="N379" s="660"/>
      <c r="O379" s="660"/>
      <c r="P379" s="660"/>
      <c r="Q379" s="660"/>
      <c r="R379" s="660"/>
      <c r="S379" s="660"/>
      <c r="T379" s="660"/>
      <c r="U379" s="660"/>
      <c r="V379" s="660"/>
      <c r="W379" s="660"/>
      <c r="X379" s="660"/>
      <c r="Y379" s="660"/>
      <c r="Z379" s="660"/>
      <c r="AA379" s="660"/>
      <c r="AB379" s="660"/>
      <c r="AC379" s="661"/>
      <c r="AD379" s="606"/>
      <c r="AE379" s="606"/>
      <c r="AF379" s="606"/>
      <c r="AG379" s="606"/>
    </row>
    <row r="380" spans="1:33" s="612" customFormat="1" hidden="1" outlineLevel="3" x14ac:dyDescent="0.2">
      <c r="A380" s="606"/>
      <c r="B380" s="606"/>
      <c r="C380" s="607"/>
      <c r="D380" s="608"/>
      <c r="E380" s="608"/>
      <c r="F380" s="608"/>
      <c r="G380" s="608"/>
      <c r="H380" s="609"/>
      <c r="I380" s="660"/>
      <c r="J380" s="660"/>
      <c r="K380" s="660"/>
      <c r="L380" s="660"/>
      <c r="M380" s="660"/>
      <c r="N380" s="660"/>
      <c r="O380" s="660"/>
      <c r="P380" s="660"/>
      <c r="Q380" s="660"/>
      <c r="R380" s="660"/>
      <c r="S380" s="660"/>
      <c r="T380" s="660"/>
      <c r="U380" s="660"/>
      <c r="V380" s="660"/>
      <c r="W380" s="660"/>
      <c r="X380" s="660"/>
      <c r="Y380" s="660"/>
      <c r="Z380" s="660"/>
      <c r="AA380" s="660"/>
      <c r="AB380" s="660"/>
      <c r="AC380" s="661"/>
      <c r="AD380" s="606"/>
      <c r="AE380" s="606"/>
      <c r="AF380" s="606"/>
      <c r="AG380" s="606"/>
    </row>
    <row r="381" spans="1:33" s="612" customFormat="1" hidden="1" outlineLevel="3" x14ac:dyDescent="0.2">
      <c r="A381" s="606"/>
      <c r="B381" s="606"/>
      <c r="C381" s="607"/>
      <c r="D381" s="608"/>
      <c r="E381" s="608"/>
      <c r="F381" s="608"/>
      <c r="G381" s="608"/>
      <c r="H381" s="609"/>
      <c r="I381" s="660"/>
      <c r="J381" s="660"/>
      <c r="K381" s="660"/>
      <c r="L381" s="660"/>
      <c r="M381" s="660"/>
      <c r="N381" s="660"/>
      <c r="O381" s="660"/>
      <c r="P381" s="660"/>
      <c r="Q381" s="660"/>
      <c r="R381" s="660"/>
      <c r="S381" s="660"/>
      <c r="T381" s="660"/>
      <c r="U381" s="660"/>
      <c r="V381" s="660"/>
      <c r="W381" s="660"/>
      <c r="X381" s="660"/>
      <c r="Y381" s="660"/>
      <c r="Z381" s="660"/>
      <c r="AA381" s="660"/>
      <c r="AB381" s="660"/>
      <c r="AC381" s="661"/>
      <c r="AD381" s="606"/>
      <c r="AE381" s="606"/>
      <c r="AF381" s="606"/>
      <c r="AG381" s="606"/>
    </row>
    <row r="382" spans="1:33" s="612" customFormat="1" hidden="1" outlineLevel="3" x14ac:dyDescent="0.2">
      <c r="A382" s="606"/>
      <c r="B382" s="606"/>
      <c r="C382" s="607"/>
      <c r="D382" s="608"/>
      <c r="E382" s="608"/>
      <c r="F382" s="608"/>
      <c r="G382" s="608"/>
      <c r="H382" s="609"/>
      <c r="I382" s="660"/>
      <c r="J382" s="660"/>
      <c r="K382" s="660"/>
      <c r="L382" s="660"/>
      <c r="M382" s="660"/>
      <c r="N382" s="660"/>
      <c r="O382" s="660"/>
      <c r="P382" s="660"/>
      <c r="Q382" s="660"/>
      <c r="R382" s="660"/>
      <c r="S382" s="660"/>
      <c r="T382" s="660"/>
      <c r="U382" s="660"/>
      <c r="V382" s="660"/>
      <c r="W382" s="660"/>
      <c r="X382" s="660"/>
      <c r="Y382" s="660"/>
      <c r="Z382" s="660"/>
      <c r="AA382" s="660"/>
      <c r="AB382" s="660"/>
      <c r="AC382" s="661"/>
      <c r="AD382" s="606"/>
      <c r="AE382" s="606"/>
      <c r="AF382" s="606"/>
      <c r="AG382" s="606"/>
    </row>
    <row r="383" spans="1:33" s="612" customFormat="1" hidden="1" outlineLevel="3" x14ac:dyDescent="0.2">
      <c r="A383" s="606"/>
      <c r="B383" s="606"/>
      <c r="C383" s="607"/>
      <c r="D383" s="608"/>
      <c r="E383" s="608"/>
      <c r="F383" s="608"/>
      <c r="G383" s="608"/>
      <c r="H383" s="609"/>
      <c r="I383" s="660"/>
      <c r="J383" s="660"/>
      <c r="K383" s="660"/>
      <c r="L383" s="660"/>
      <c r="M383" s="660"/>
      <c r="N383" s="660"/>
      <c r="O383" s="660"/>
      <c r="P383" s="660"/>
      <c r="Q383" s="660"/>
      <c r="R383" s="660"/>
      <c r="S383" s="660"/>
      <c r="T383" s="660"/>
      <c r="U383" s="660"/>
      <c r="V383" s="660"/>
      <c r="W383" s="660"/>
      <c r="X383" s="660"/>
      <c r="Y383" s="660"/>
      <c r="Z383" s="660"/>
      <c r="AA383" s="660"/>
      <c r="AB383" s="660"/>
      <c r="AC383" s="661"/>
      <c r="AD383" s="606"/>
      <c r="AE383" s="606"/>
      <c r="AF383" s="606"/>
      <c r="AG383" s="606"/>
    </row>
    <row r="384" spans="1:33" s="612" customFormat="1" hidden="1" outlineLevel="3" x14ac:dyDescent="0.2">
      <c r="A384" s="606"/>
      <c r="B384" s="606"/>
      <c r="C384" s="607"/>
      <c r="D384" s="608"/>
      <c r="E384" s="608"/>
      <c r="F384" s="608"/>
      <c r="G384" s="608"/>
      <c r="H384" s="609"/>
      <c r="I384" s="660"/>
      <c r="J384" s="660"/>
      <c r="K384" s="660"/>
      <c r="L384" s="660"/>
      <c r="M384" s="660"/>
      <c r="N384" s="660"/>
      <c r="O384" s="660"/>
      <c r="P384" s="660"/>
      <c r="Q384" s="660"/>
      <c r="R384" s="660"/>
      <c r="S384" s="660"/>
      <c r="T384" s="660"/>
      <c r="U384" s="660"/>
      <c r="V384" s="660"/>
      <c r="W384" s="660"/>
      <c r="X384" s="660"/>
      <c r="Y384" s="660"/>
      <c r="Z384" s="660"/>
      <c r="AA384" s="660"/>
      <c r="AB384" s="660"/>
      <c r="AC384" s="661"/>
      <c r="AD384" s="606"/>
      <c r="AE384" s="606"/>
      <c r="AF384" s="606"/>
      <c r="AG384" s="606"/>
    </row>
    <row r="385" spans="1:33" s="612" customFormat="1" hidden="1" outlineLevel="3" x14ac:dyDescent="0.2">
      <c r="A385" s="606"/>
      <c r="B385" s="606"/>
      <c r="C385" s="607"/>
      <c r="D385" s="608"/>
      <c r="E385" s="608"/>
      <c r="F385" s="608"/>
      <c r="G385" s="608"/>
      <c r="H385" s="609"/>
      <c r="I385" s="660"/>
      <c r="J385" s="660"/>
      <c r="K385" s="660"/>
      <c r="L385" s="660"/>
      <c r="M385" s="660"/>
      <c r="N385" s="660"/>
      <c r="O385" s="660"/>
      <c r="P385" s="660"/>
      <c r="Q385" s="660"/>
      <c r="R385" s="660"/>
      <c r="S385" s="660"/>
      <c r="T385" s="660"/>
      <c r="U385" s="660"/>
      <c r="V385" s="660"/>
      <c r="W385" s="660"/>
      <c r="X385" s="660"/>
      <c r="Y385" s="660"/>
      <c r="Z385" s="660"/>
      <c r="AA385" s="660"/>
      <c r="AB385" s="660"/>
      <c r="AC385" s="661"/>
      <c r="AD385" s="606"/>
      <c r="AE385" s="606"/>
      <c r="AF385" s="606"/>
      <c r="AG385" s="606"/>
    </row>
    <row r="386" spans="1:33" s="612" customFormat="1" hidden="1" outlineLevel="3" x14ac:dyDescent="0.2">
      <c r="A386" s="606"/>
      <c r="B386" s="606"/>
      <c r="C386" s="607"/>
      <c r="D386" s="608"/>
      <c r="E386" s="608"/>
      <c r="F386" s="608"/>
      <c r="G386" s="608"/>
      <c r="H386" s="609"/>
      <c r="I386" s="660"/>
      <c r="J386" s="660"/>
      <c r="K386" s="660"/>
      <c r="L386" s="660"/>
      <c r="M386" s="660"/>
      <c r="N386" s="660"/>
      <c r="O386" s="660"/>
      <c r="P386" s="660"/>
      <c r="Q386" s="660"/>
      <c r="R386" s="660"/>
      <c r="S386" s="660"/>
      <c r="T386" s="660"/>
      <c r="U386" s="660"/>
      <c r="V386" s="660"/>
      <c r="W386" s="660"/>
      <c r="X386" s="660"/>
      <c r="Y386" s="660"/>
      <c r="Z386" s="660"/>
      <c r="AA386" s="660"/>
      <c r="AB386" s="660"/>
      <c r="AC386" s="661"/>
      <c r="AD386" s="606"/>
      <c r="AE386" s="606"/>
      <c r="AF386" s="606"/>
      <c r="AG386" s="606"/>
    </row>
    <row r="387" spans="1:33" s="612" customFormat="1" hidden="1" outlineLevel="3" x14ac:dyDescent="0.2">
      <c r="A387" s="606"/>
      <c r="B387" s="606"/>
      <c r="C387" s="607"/>
      <c r="D387" s="608"/>
      <c r="E387" s="608"/>
      <c r="F387" s="608"/>
      <c r="G387" s="608"/>
      <c r="H387" s="609"/>
      <c r="I387" s="660"/>
      <c r="J387" s="660"/>
      <c r="K387" s="660"/>
      <c r="L387" s="660"/>
      <c r="M387" s="660"/>
      <c r="N387" s="660"/>
      <c r="O387" s="660"/>
      <c r="P387" s="660"/>
      <c r="Q387" s="660"/>
      <c r="R387" s="660"/>
      <c r="S387" s="660"/>
      <c r="T387" s="660"/>
      <c r="U387" s="660"/>
      <c r="V387" s="660"/>
      <c r="W387" s="660"/>
      <c r="X387" s="660"/>
      <c r="Y387" s="660"/>
      <c r="Z387" s="660"/>
      <c r="AA387" s="660"/>
      <c r="AB387" s="660"/>
      <c r="AC387" s="661"/>
      <c r="AD387" s="606"/>
      <c r="AE387" s="606"/>
      <c r="AF387" s="606"/>
      <c r="AG387" s="606"/>
    </row>
    <row r="388" spans="1:33" s="612" customFormat="1" hidden="1" outlineLevel="3" x14ac:dyDescent="0.2">
      <c r="A388" s="606"/>
      <c r="B388" s="606"/>
      <c r="C388" s="607"/>
      <c r="D388" s="608"/>
      <c r="E388" s="608"/>
      <c r="F388" s="608"/>
      <c r="G388" s="608"/>
      <c r="H388" s="609"/>
      <c r="I388" s="660"/>
      <c r="J388" s="660"/>
      <c r="K388" s="660"/>
      <c r="L388" s="660"/>
      <c r="M388" s="660"/>
      <c r="N388" s="660"/>
      <c r="O388" s="660"/>
      <c r="P388" s="660"/>
      <c r="Q388" s="660"/>
      <c r="R388" s="660"/>
      <c r="S388" s="660"/>
      <c r="T388" s="660"/>
      <c r="U388" s="660"/>
      <c r="V388" s="660"/>
      <c r="W388" s="660"/>
      <c r="X388" s="660"/>
      <c r="Y388" s="660"/>
      <c r="Z388" s="660"/>
      <c r="AA388" s="660"/>
      <c r="AB388" s="660"/>
      <c r="AC388" s="661"/>
      <c r="AD388" s="606"/>
      <c r="AE388" s="606"/>
      <c r="AF388" s="606"/>
      <c r="AG388" s="606"/>
    </row>
    <row r="389" spans="1:33" s="612" customFormat="1" hidden="1" outlineLevel="3" x14ac:dyDescent="0.2">
      <c r="A389" s="606"/>
      <c r="B389" s="606"/>
      <c r="C389" s="607"/>
      <c r="D389" s="608"/>
      <c r="E389" s="608"/>
      <c r="F389" s="608"/>
      <c r="G389" s="608"/>
      <c r="H389" s="609"/>
      <c r="I389" s="660"/>
      <c r="J389" s="660"/>
      <c r="K389" s="660"/>
      <c r="L389" s="660"/>
      <c r="M389" s="660"/>
      <c r="N389" s="660"/>
      <c r="O389" s="660"/>
      <c r="P389" s="660"/>
      <c r="Q389" s="660"/>
      <c r="R389" s="660"/>
      <c r="S389" s="660"/>
      <c r="T389" s="660"/>
      <c r="U389" s="660"/>
      <c r="V389" s="660"/>
      <c r="W389" s="660"/>
      <c r="X389" s="660"/>
      <c r="Y389" s="660"/>
      <c r="Z389" s="660"/>
      <c r="AA389" s="660"/>
      <c r="AB389" s="660"/>
      <c r="AC389" s="661"/>
      <c r="AD389" s="606"/>
      <c r="AE389" s="606"/>
      <c r="AF389" s="606"/>
      <c r="AG389" s="606"/>
    </row>
    <row r="390" spans="1:33" s="612" customFormat="1" hidden="1" outlineLevel="3" x14ac:dyDescent="0.2">
      <c r="A390" s="606"/>
      <c r="B390" s="606"/>
      <c r="C390" s="607"/>
      <c r="D390" s="608"/>
      <c r="E390" s="608"/>
      <c r="F390" s="608"/>
      <c r="G390" s="608"/>
      <c r="H390" s="609"/>
      <c r="I390" s="660"/>
      <c r="J390" s="660"/>
      <c r="K390" s="660"/>
      <c r="L390" s="660"/>
      <c r="M390" s="660"/>
      <c r="N390" s="660"/>
      <c r="O390" s="660"/>
      <c r="P390" s="660"/>
      <c r="Q390" s="660"/>
      <c r="R390" s="660"/>
      <c r="S390" s="660"/>
      <c r="T390" s="660"/>
      <c r="U390" s="660"/>
      <c r="V390" s="660"/>
      <c r="W390" s="660"/>
      <c r="X390" s="660"/>
      <c r="Y390" s="660"/>
      <c r="Z390" s="660"/>
      <c r="AA390" s="660"/>
      <c r="AB390" s="660"/>
      <c r="AC390" s="661"/>
      <c r="AD390" s="606"/>
      <c r="AE390" s="606"/>
      <c r="AF390" s="606"/>
      <c r="AG390" s="606"/>
    </row>
    <row r="391" spans="1:33" s="612" customFormat="1" hidden="1" outlineLevel="3" x14ac:dyDescent="0.2">
      <c r="A391" s="606"/>
      <c r="B391" s="606"/>
      <c r="C391" s="607"/>
      <c r="D391" s="608"/>
      <c r="E391" s="608"/>
      <c r="F391" s="608"/>
      <c r="G391" s="608"/>
      <c r="H391" s="609"/>
      <c r="I391" s="660"/>
      <c r="J391" s="660"/>
      <c r="K391" s="660"/>
      <c r="L391" s="660"/>
      <c r="M391" s="660"/>
      <c r="N391" s="660"/>
      <c r="O391" s="660"/>
      <c r="P391" s="660"/>
      <c r="Q391" s="660"/>
      <c r="R391" s="660"/>
      <c r="S391" s="660"/>
      <c r="T391" s="660"/>
      <c r="U391" s="660"/>
      <c r="V391" s="660"/>
      <c r="W391" s="660"/>
      <c r="X391" s="660"/>
      <c r="Y391" s="660"/>
      <c r="Z391" s="660"/>
      <c r="AA391" s="660"/>
      <c r="AB391" s="660"/>
      <c r="AC391" s="661"/>
      <c r="AD391" s="606"/>
      <c r="AE391" s="606"/>
      <c r="AF391" s="606"/>
      <c r="AG391" s="606"/>
    </row>
    <row r="392" spans="1:33" s="612" customFormat="1" hidden="1" outlineLevel="3" x14ac:dyDescent="0.2">
      <c r="A392" s="606"/>
      <c r="B392" s="606"/>
      <c r="C392" s="607"/>
      <c r="D392" s="608"/>
      <c r="E392" s="608"/>
      <c r="F392" s="608"/>
      <c r="G392" s="608"/>
      <c r="H392" s="609"/>
      <c r="I392" s="660"/>
      <c r="J392" s="660"/>
      <c r="K392" s="660"/>
      <c r="L392" s="660"/>
      <c r="M392" s="660"/>
      <c r="N392" s="660"/>
      <c r="O392" s="660"/>
      <c r="P392" s="660"/>
      <c r="Q392" s="660"/>
      <c r="R392" s="660"/>
      <c r="S392" s="660"/>
      <c r="T392" s="660"/>
      <c r="U392" s="660"/>
      <c r="V392" s="660"/>
      <c r="W392" s="660"/>
      <c r="X392" s="660"/>
      <c r="Y392" s="660"/>
      <c r="Z392" s="660"/>
      <c r="AA392" s="660"/>
      <c r="AB392" s="660"/>
      <c r="AC392" s="661"/>
      <c r="AD392" s="606"/>
      <c r="AE392" s="606"/>
      <c r="AF392" s="606"/>
      <c r="AG392" s="606"/>
    </row>
    <row r="393" spans="1:33" s="612" customFormat="1" hidden="1" outlineLevel="3" x14ac:dyDescent="0.2">
      <c r="A393" s="606"/>
      <c r="B393" s="606"/>
      <c r="C393" s="607"/>
      <c r="D393" s="608"/>
      <c r="E393" s="608"/>
      <c r="F393" s="608"/>
      <c r="G393" s="608"/>
      <c r="H393" s="609"/>
      <c r="I393" s="660"/>
      <c r="J393" s="660"/>
      <c r="K393" s="660"/>
      <c r="L393" s="660"/>
      <c r="M393" s="660"/>
      <c r="N393" s="660"/>
      <c r="O393" s="660"/>
      <c r="P393" s="660"/>
      <c r="Q393" s="660"/>
      <c r="R393" s="660"/>
      <c r="S393" s="660"/>
      <c r="T393" s="660"/>
      <c r="U393" s="660"/>
      <c r="V393" s="660"/>
      <c r="W393" s="660"/>
      <c r="X393" s="660"/>
      <c r="Y393" s="660"/>
      <c r="Z393" s="660"/>
      <c r="AA393" s="660"/>
      <c r="AB393" s="660"/>
      <c r="AC393" s="661"/>
      <c r="AD393" s="606"/>
      <c r="AE393" s="606"/>
      <c r="AF393" s="606"/>
      <c r="AG393" s="606"/>
    </row>
    <row r="394" spans="1:33" s="612" customFormat="1" hidden="1" outlineLevel="3" x14ac:dyDescent="0.2">
      <c r="A394" s="606"/>
      <c r="B394" s="606"/>
      <c r="C394" s="607"/>
      <c r="D394" s="608"/>
      <c r="E394" s="608"/>
      <c r="F394" s="608"/>
      <c r="G394" s="608"/>
      <c r="H394" s="609"/>
      <c r="I394" s="660"/>
      <c r="J394" s="660"/>
      <c r="K394" s="660"/>
      <c r="L394" s="660"/>
      <c r="M394" s="660"/>
      <c r="N394" s="660"/>
      <c r="O394" s="660"/>
      <c r="P394" s="660"/>
      <c r="Q394" s="660"/>
      <c r="R394" s="660"/>
      <c r="S394" s="660"/>
      <c r="T394" s="660"/>
      <c r="U394" s="660"/>
      <c r="V394" s="660"/>
      <c r="W394" s="660"/>
      <c r="X394" s="660"/>
      <c r="Y394" s="660"/>
      <c r="Z394" s="660"/>
      <c r="AA394" s="660"/>
      <c r="AB394" s="660"/>
      <c r="AC394" s="661"/>
      <c r="AD394" s="606"/>
      <c r="AE394" s="606"/>
      <c r="AF394" s="606"/>
      <c r="AG394" s="606"/>
    </row>
    <row r="395" spans="1:33" s="612" customFormat="1" hidden="1" outlineLevel="3" x14ac:dyDescent="0.2">
      <c r="A395" s="606"/>
      <c r="B395" s="606"/>
      <c r="C395" s="607"/>
      <c r="D395" s="608"/>
      <c r="E395" s="608"/>
      <c r="F395" s="608"/>
      <c r="G395" s="608"/>
      <c r="H395" s="609"/>
      <c r="I395" s="660"/>
      <c r="J395" s="660"/>
      <c r="K395" s="660"/>
      <c r="L395" s="660"/>
      <c r="M395" s="660"/>
      <c r="N395" s="660"/>
      <c r="O395" s="660"/>
      <c r="P395" s="660"/>
      <c r="Q395" s="660"/>
      <c r="R395" s="660"/>
      <c r="S395" s="660"/>
      <c r="T395" s="660"/>
      <c r="U395" s="660"/>
      <c r="V395" s="660"/>
      <c r="W395" s="660"/>
      <c r="X395" s="660"/>
      <c r="Y395" s="660"/>
      <c r="Z395" s="660"/>
      <c r="AA395" s="660"/>
      <c r="AB395" s="660"/>
      <c r="AC395" s="661"/>
      <c r="AD395" s="606"/>
      <c r="AE395" s="606"/>
      <c r="AF395" s="606"/>
      <c r="AG395" s="606"/>
    </row>
    <row r="396" spans="1:33" s="612" customFormat="1" hidden="1" outlineLevel="3" x14ac:dyDescent="0.2">
      <c r="A396" s="606"/>
      <c r="B396" s="606"/>
      <c r="C396" s="607"/>
      <c r="D396" s="608"/>
      <c r="E396" s="608"/>
      <c r="F396" s="608"/>
      <c r="G396" s="608"/>
      <c r="H396" s="609"/>
      <c r="I396" s="660"/>
      <c r="J396" s="660"/>
      <c r="K396" s="660"/>
      <c r="L396" s="660"/>
      <c r="M396" s="660"/>
      <c r="N396" s="660"/>
      <c r="O396" s="660"/>
      <c r="P396" s="660"/>
      <c r="Q396" s="660"/>
      <c r="R396" s="660"/>
      <c r="S396" s="660"/>
      <c r="T396" s="660"/>
      <c r="U396" s="660"/>
      <c r="V396" s="660"/>
      <c r="W396" s="660"/>
      <c r="X396" s="660"/>
      <c r="Y396" s="660"/>
      <c r="Z396" s="660"/>
      <c r="AA396" s="660"/>
      <c r="AB396" s="660"/>
      <c r="AC396" s="661"/>
      <c r="AD396" s="606"/>
      <c r="AE396" s="606"/>
      <c r="AF396" s="606"/>
      <c r="AG396" s="606"/>
    </row>
    <row r="397" spans="1:33" s="612" customFormat="1" hidden="1" outlineLevel="3" x14ac:dyDescent="0.2">
      <c r="A397" s="606"/>
      <c r="B397" s="606"/>
      <c r="C397" s="607"/>
      <c r="D397" s="608"/>
      <c r="E397" s="608"/>
      <c r="F397" s="608"/>
      <c r="G397" s="608"/>
      <c r="H397" s="609"/>
      <c r="I397" s="660"/>
      <c r="J397" s="660"/>
      <c r="K397" s="660"/>
      <c r="L397" s="660"/>
      <c r="M397" s="660"/>
      <c r="N397" s="660"/>
      <c r="O397" s="660"/>
      <c r="P397" s="660"/>
      <c r="Q397" s="660"/>
      <c r="R397" s="660"/>
      <c r="S397" s="660"/>
      <c r="T397" s="660"/>
      <c r="U397" s="660"/>
      <c r="V397" s="660"/>
      <c r="W397" s="660"/>
      <c r="X397" s="660"/>
      <c r="Y397" s="660"/>
      <c r="Z397" s="660"/>
      <c r="AA397" s="660"/>
      <c r="AB397" s="660"/>
      <c r="AC397" s="661"/>
      <c r="AD397" s="606"/>
      <c r="AE397" s="606"/>
      <c r="AF397" s="606"/>
      <c r="AG397" s="606"/>
    </row>
    <row r="398" spans="1:33" s="612" customFormat="1" hidden="1" outlineLevel="3" x14ac:dyDescent="0.2">
      <c r="A398" s="606"/>
      <c r="B398" s="606"/>
      <c r="C398" s="607"/>
      <c r="D398" s="608"/>
      <c r="E398" s="608"/>
      <c r="F398" s="608"/>
      <c r="G398" s="608"/>
      <c r="H398" s="609"/>
      <c r="I398" s="660"/>
      <c r="J398" s="660"/>
      <c r="K398" s="660"/>
      <c r="L398" s="660"/>
      <c r="M398" s="660"/>
      <c r="N398" s="660"/>
      <c r="O398" s="660"/>
      <c r="P398" s="660"/>
      <c r="Q398" s="660"/>
      <c r="R398" s="660"/>
      <c r="S398" s="660"/>
      <c r="T398" s="660"/>
      <c r="U398" s="660"/>
      <c r="V398" s="660"/>
      <c r="W398" s="660"/>
      <c r="X398" s="660"/>
      <c r="Y398" s="660"/>
      <c r="Z398" s="660"/>
      <c r="AA398" s="660"/>
      <c r="AB398" s="660"/>
      <c r="AC398" s="661"/>
      <c r="AD398" s="606"/>
      <c r="AE398" s="606"/>
      <c r="AF398" s="606"/>
      <c r="AG398" s="606"/>
    </row>
    <row r="399" spans="1:33" s="612" customFormat="1" hidden="1" outlineLevel="3" x14ac:dyDescent="0.2">
      <c r="A399" s="606"/>
      <c r="B399" s="606"/>
      <c r="C399" s="607"/>
      <c r="D399" s="608"/>
      <c r="E399" s="608"/>
      <c r="F399" s="608"/>
      <c r="G399" s="608"/>
      <c r="H399" s="609"/>
      <c r="I399" s="660"/>
      <c r="J399" s="660"/>
      <c r="K399" s="660"/>
      <c r="L399" s="660"/>
      <c r="M399" s="660"/>
      <c r="N399" s="660"/>
      <c r="O399" s="660"/>
      <c r="P399" s="660"/>
      <c r="Q399" s="660"/>
      <c r="R399" s="660"/>
      <c r="S399" s="660"/>
      <c r="T399" s="660"/>
      <c r="U399" s="660"/>
      <c r="V399" s="660"/>
      <c r="W399" s="660"/>
      <c r="X399" s="660"/>
      <c r="Y399" s="660"/>
      <c r="Z399" s="660"/>
      <c r="AA399" s="660"/>
      <c r="AB399" s="660"/>
      <c r="AC399" s="661"/>
      <c r="AD399" s="606"/>
      <c r="AE399" s="606"/>
      <c r="AF399" s="606"/>
      <c r="AG399" s="606"/>
    </row>
    <row r="400" spans="1:33" s="612" customFormat="1" hidden="1" outlineLevel="3" x14ac:dyDescent="0.2">
      <c r="A400" s="606"/>
      <c r="B400" s="606"/>
      <c r="C400" s="607"/>
      <c r="D400" s="608"/>
      <c r="E400" s="608"/>
      <c r="F400" s="608"/>
      <c r="G400" s="608"/>
      <c r="H400" s="609"/>
      <c r="I400" s="660"/>
      <c r="J400" s="660"/>
      <c r="K400" s="660"/>
      <c r="L400" s="660"/>
      <c r="M400" s="660"/>
      <c r="N400" s="660"/>
      <c r="O400" s="660"/>
      <c r="P400" s="660"/>
      <c r="Q400" s="660"/>
      <c r="R400" s="660"/>
      <c r="S400" s="660"/>
      <c r="T400" s="660"/>
      <c r="U400" s="660"/>
      <c r="V400" s="660"/>
      <c r="W400" s="660"/>
      <c r="X400" s="660"/>
      <c r="Y400" s="660"/>
      <c r="Z400" s="660"/>
      <c r="AA400" s="660"/>
      <c r="AB400" s="660"/>
      <c r="AC400" s="661"/>
      <c r="AD400" s="606"/>
      <c r="AE400" s="606"/>
      <c r="AF400" s="606"/>
      <c r="AG400" s="606"/>
    </row>
    <row r="401" spans="1:33" s="612" customFormat="1" hidden="1" outlineLevel="3" x14ac:dyDescent="0.2">
      <c r="A401" s="606"/>
      <c r="B401" s="606"/>
      <c r="C401" s="607"/>
      <c r="D401" s="608"/>
      <c r="E401" s="608"/>
      <c r="F401" s="608"/>
      <c r="G401" s="608"/>
      <c r="H401" s="609"/>
      <c r="I401" s="660"/>
      <c r="J401" s="660"/>
      <c r="K401" s="660"/>
      <c r="L401" s="660"/>
      <c r="M401" s="660"/>
      <c r="N401" s="660"/>
      <c r="O401" s="660"/>
      <c r="P401" s="660"/>
      <c r="Q401" s="660"/>
      <c r="R401" s="660"/>
      <c r="S401" s="660"/>
      <c r="T401" s="660"/>
      <c r="U401" s="660"/>
      <c r="V401" s="660"/>
      <c r="W401" s="660"/>
      <c r="X401" s="660"/>
      <c r="Y401" s="660"/>
      <c r="Z401" s="660"/>
      <c r="AA401" s="660"/>
      <c r="AB401" s="660"/>
      <c r="AC401" s="661"/>
      <c r="AD401" s="606"/>
      <c r="AE401" s="606"/>
      <c r="AF401" s="606"/>
      <c r="AG401" s="606"/>
    </row>
    <row r="402" spans="1:33" s="612" customFormat="1" hidden="1" outlineLevel="3" x14ac:dyDescent="0.2">
      <c r="A402" s="606"/>
      <c r="B402" s="606"/>
      <c r="C402" s="607"/>
      <c r="D402" s="608"/>
      <c r="E402" s="608"/>
      <c r="F402" s="608"/>
      <c r="G402" s="608"/>
      <c r="H402" s="609"/>
      <c r="I402" s="660"/>
      <c r="J402" s="660"/>
      <c r="K402" s="660"/>
      <c r="L402" s="660"/>
      <c r="M402" s="660"/>
      <c r="N402" s="660"/>
      <c r="O402" s="660"/>
      <c r="P402" s="660"/>
      <c r="Q402" s="660"/>
      <c r="R402" s="660"/>
      <c r="S402" s="660"/>
      <c r="T402" s="660"/>
      <c r="U402" s="660"/>
      <c r="V402" s="660"/>
      <c r="W402" s="660"/>
      <c r="X402" s="660"/>
      <c r="Y402" s="660"/>
      <c r="Z402" s="660"/>
      <c r="AA402" s="660"/>
      <c r="AB402" s="660"/>
      <c r="AC402" s="661"/>
      <c r="AD402" s="606"/>
      <c r="AE402" s="606"/>
      <c r="AF402" s="606"/>
      <c r="AG402" s="606"/>
    </row>
    <row r="403" spans="1:33" s="612" customFormat="1" hidden="1" outlineLevel="3" x14ac:dyDescent="0.2">
      <c r="A403" s="606"/>
      <c r="B403" s="606"/>
      <c r="C403" s="607"/>
      <c r="D403" s="608"/>
      <c r="E403" s="608"/>
      <c r="F403" s="608"/>
      <c r="G403" s="608"/>
      <c r="H403" s="609"/>
      <c r="I403" s="660"/>
      <c r="J403" s="660"/>
      <c r="K403" s="660"/>
      <c r="L403" s="660"/>
      <c r="M403" s="660"/>
      <c r="N403" s="660"/>
      <c r="O403" s="660"/>
      <c r="P403" s="660"/>
      <c r="Q403" s="660"/>
      <c r="R403" s="660"/>
      <c r="S403" s="660"/>
      <c r="T403" s="660"/>
      <c r="U403" s="660"/>
      <c r="V403" s="660"/>
      <c r="W403" s="660"/>
      <c r="X403" s="660"/>
      <c r="Y403" s="660"/>
      <c r="Z403" s="660"/>
      <c r="AA403" s="660"/>
      <c r="AB403" s="660"/>
      <c r="AC403" s="661"/>
      <c r="AD403" s="606"/>
      <c r="AE403" s="606"/>
      <c r="AF403" s="606"/>
      <c r="AG403" s="606"/>
    </row>
    <row r="404" spans="1:33" s="612" customFormat="1" hidden="1" outlineLevel="3" x14ac:dyDescent="0.2">
      <c r="A404" s="606"/>
      <c r="B404" s="606"/>
      <c r="C404" s="607"/>
      <c r="D404" s="608"/>
      <c r="E404" s="608"/>
      <c r="F404" s="608"/>
      <c r="G404" s="608"/>
      <c r="H404" s="609"/>
      <c r="I404" s="660"/>
      <c r="J404" s="660"/>
      <c r="K404" s="660"/>
      <c r="L404" s="660"/>
      <c r="M404" s="660"/>
      <c r="N404" s="660"/>
      <c r="O404" s="660"/>
      <c r="P404" s="660"/>
      <c r="Q404" s="660"/>
      <c r="R404" s="660"/>
      <c r="S404" s="660"/>
      <c r="T404" s="660"/>
      <c r="U404" s="660"/>
      <c r="V404" s="660"/>
      <c r="W404" s="660"/>
      <c r="X404" s="660"/>
      <c r="Y404" s="660"/>
      <c r="Z404" s="660"/>
      <c r="AA404" s="660"/>
      <c r="AB404" s="660"/>
      <c r="AC404" s="661"/>
      <c r="AD404" s="606"/>
      <c r="AE404" s="606"/>
      <c r="AF404" s="606"/>
      <c r="AG404" s="606"/>
    </row>
    <row r="405" spans="1:33" s="612" customFormat="1" hidden="1" outlineLevel="3" x14ac:dyDescent="0.2">
      <c r="A405" s="606"/>
      <c r="B405" s="606"/>
      <c r="C405" s="607"/>
      <c r="D405" s="608"/>
      <c r="E405" s="608"/>
      <c r="F405" s="608"/>
      <c r="G405" s="608"/>
      <c r="H405" s="609"/>
      <c r="I405" s="660"/>
      <c r="J405" s="660"/>
      <c r="K405" s="660"/>
      <c r="L405" s="660"/>
      <c r="M405" s="660"/>
      <c r="N405" s="660"/>
      <c r="O405" s="660"/>
      <c r="P405" s="660"/>
      <c r="Q405" s="660"/>
      <c r="R405" s="660"/>
      <c r="S405" s="660"/>
      <c r="T405" s="660"/>
      <c r="U405" s="660"/>
      <c r="V405" s="660"/>
      <c r="W405" s="660"/>
      <c r="X405" s="660"/>
      <c r="Y405" s="660"/>
      <c r="Z405" s="660"/>
      <c r="AA405" s="660"/>
      <c r="AB405" s="660"/>
      <c r="AC405" s="661"/>
      <c r="AD405" s="606"/>
      <c r="AE405" s="606"/>
      <c r="AF405" s="606"/>
      <c r="AG405" s="606"/>
    </row>
    <row r="406" spans="1:33" s="612" customFormat="1" hidden="1" outlineLevel="3" x14ac:dyDescent="0.2">
      <c r="A406" s="606"/>
      <c r="B406" s="606"/>
      <c r="C406" s="607"/>
      <c r="D406" s="608"/>
      <c r="E406" s="608"/>
      <c r="F406" s="608"/>
      <c r="G406" s="608"/>
      <c r="H406" s="609"/>
      <c r="I406" s="660"/>
      <c r="J406" s="660"/>
      <c r="K406" s="660"/>
      <c r="L406" s="660"/>
      <c r="M406" s="660"/>
      <c r="N406" s="660"/>
      <c r="O406" s="660"/>
      <c r="P406" s="660"/>
      <c r="Q406" s="660"/>
      <c r="R406" s="660"/>
      <c r="S406" s="660"/>
      <c r="T406" s="660"/>
      <c r="U406" s="660"/>
      <c r="V406" s="660"/>
      <c r="W406" s="660"/>
      <c r="X406" s="660"/>
      <c r="Y406" s="660"/>
      <c r="Z406" s="660"/>
      <c r="AA406" s="660"/>
      <c r="AB406" s="660"/>
      <c r="AC406" s="661"/>
      <c r="AD406" s="606"/>
      <c r="AE406" s="606"/>
      <c r="AF406" s="606"/>
      <c r="AG406" s="606"/>
    </row>
    <row r="407" spans="1:33" s="612" customFormat="1" hidden="1" outlineLevel="3" x14ac:dyDescent="0.2">
      <c r="A407" s="606"/>
      <c r="B407" s="606"/>
      <c r="C407" s="607"/>
      <c r="D407" s="608"/>
      <c r="E407" s="608"/>
      <c r="F407" s="608"/>
      <c r="G407" s="608"/>
      <c r="H407" s="609"/>
      <c r="I407" s="660"/>
      <c r="J407" s="660"/>
      <c r="K407" s="660"/>
      <c r="L407" s="660"/>
      <c r="M407" s="660"/>
      <c r="N407" s="660"/>
      <c r="O407" s="660"/>
      <c r="P407" s="660"/>
      <c r="Q407" s="660"/>
      <c r="R407" s="660"/>
      <c r="S407" s="660"/>
      <c r="T407" s="660"/>
      <c r="U407" s="660"/>
      <c r="V407" s="660"/>
      <c r="W407" s="660"/>
      <c r="X407" s="660"/>
      <c r="Y407" s="660"/>
      <c r="Z407" s="660"/>
      <c r="AA407" s="660"/>
      <c r="AB407" s="660"/>
      <c r="AC407" s="661"/>
      <c r="AD407" s="606"/>
      <c r="AE407" s="606"/>
      <c r="AF407" s="606"/>
      <c r="AG407" s="606"/>
    </row>
    <row r="408" spans="1:33" s="612" customFormat="1" hidden="1" outlineLevel="3" x14ac:dyDescent="0.2">
      <c r="A408" s="606"/>
      <c r="B408" s="606"/>
      <c r="C408" s="607"/>
      <c r="D408" s="608"/>
      <c r="E408" s="608"/>
      <c r="F408" s="608"/>
      <c r="G408" s="608"/>
      <c r="H408" s="609"/>
      <c r="I408" s="660"/>
      <c r="J408" s="660"/>
      <c r="K408" s="660"/>
      <c r="L408" s="660"/>
      <c r="M408" s="660"/>
      <c r="N408" s="660"/>
      <c r="O408" s="660"/>
      <c r="P408" s="660"/>
      <c r="Q408" s="660"/>
      <c r="R408" s="660"/>
      <c r="S408" s="660"/>
      <c r="T408" s="660"/>
      <c r="U408" s="660"/>
      <c r="V408" s="660"/>
      <c r="W408" s="660"/>
      <c r="X408" s="660"/>
      <c r="Y408" s="660"/>
      <c r="Z408" s="660"/>
      <c r="AA408" s="660"/>
      <c r="AB408" s="660"/>
      <c r="AC408" s="661"/>
      <c r="AD408" s="606"/>
      <c r="AE408" s="606"/>
      <c r="AF408" s="606"/>
      <c r="AG408" s="606"/>
    </row>
    <row r="409" spans="1:33" s="612" customFormat="1" hidden="1" outlineLevel="3" x14ac:dyDescent="0.2">
      <c r="A409" s="606"/>
      <c r="B409" s="606"/>
      <c r="C409" s="607"/>
      <c r="D409" s="608"/>
      <c r="E409" s="608"/>
      <c r="F409" s="608"/>
      <c r="G409" s="608"/>
      <c r="H409" s="609"/>
      <c r="I409" s="660"/>
      <c r="J409" s="660"/>
      <c r="K409" s="660"/>
      <c r="L409" s="660"/>
      <c r="M409" s="660"/>
      <c r="N409" s="660"/>
      <c r="O409" s="660"/>
      <c r="P409" s="660"/>
      <c r="Q409" s="660"/>
      <c r="R409" s="660"/>
      <c r="S409" s="660"/>
      <c r="T409" s="660"/>
      <c r="U409" s="660"/>
      <c r="V409" s="660"/>
      <c r="W409" s="660"/>
      <c r="X409" s="660"/>
      <c r="Y409" s="660"/>
      <c r="Z409" s="660"/>
      <c r="AA409" s="660"/>
      <c r="AB409" s="660"/>
      <c r="AC409" s="661"/>
      <c r="AD409" s="606"/>
      <c r="AE409" s="606"/>
      <c r="AF409" s="606"/>
      <c r="AG409" s="606"/>
    </row>
    <row r="410" spans="1:33" s="612" customFormat="1" hidden="1" outlineLevel="3" x14ac:dyDescent="0.2">
      <c r="A410" s="606"/>
      <c r="B410" s="606"/>
      <c r="C410" s="607"/>
      <c r="D410" s="608"/>
      <c r="E410" s="608"/>
      <c r="F410" s="608"/>
      <c r="G410" s="608"/>
      <c r="H410" s="609"/>
      <c r="I410" s="660"/>
      <c r="J410" s="660"/>
      <c r="K410" s="660"/>
      <c r="L410" s="660"/>
      <c r="M410" s="660"/>
      <c r="N410" s="660"/>
      <c r="O410" s="660"/>
      <c r="P410" s="660"/>
      <c r="Q410" s="660"/>
      <c r="R410" s="660"/>
      <c r="S410" s="660"/>
      <c r="T410" s="660"/>
      <c r="U410" s="660"/>
      <c r="V410" s="660"/>
      <c r="W410" s="660"/>
      <c r="X410" s="660"/>
      <c r="Y410" s="660"/>
      <c r="Z410" s="660"/>
      <c r="AA410" s="660"/>
      <c r="AB410" s="660"/>
      <c r="AC410" s="661"/>
      <c r="AD410" s="606"/>
      <c r="AE410" s="606"/>
      <c r="AF410" s="606"/>
      <c r="AG410" s="606"/>
    </row>
    <row r="411" spans="1:33" s="612" customFormat="1" hidden="1" outlineLevel="3" x14ac:dyDescent="0.2">
      <c r="A411" s="606"/>
      <c r="B411" s="606"/>
      <c r="C411" s="607"/>
      <c r="D411" s="608"/>
      <c r="E411" s="608"/>
      <c r="F411" s="608"/>
      <c r="G411" s="608"/>
      <c r="H411" s="609"/>
      <c r="I411" s="660"/>
      <c r="J411" s="660"/>
      <c r="K411" s="660"/>
      <c r="L411" s="660"/>
      <c r="M411" s="660"/>
      <c r="N411" s="660"/>
      <c r="O411" s="660"/>
      <c r="P411" s="660"/>
      <c r="Q411" s="660"/>
      <c r="R411" s="660"/>
      <c r="S411" s="660"/>
      <c r="T411" s="660"/>
      <c r="U411" s="660"/>
      <c r="V411" s="660"/>
      <c r="W411" s="660"/>
      <c r="X411" s="660"/>
      <c r="Y411" s="660"/>
      <c r="Z411" s="660"/>
      <c r="AA411" s="660"/>
      <c r="AB411" s="660"/>
      <c r="AC411" s="661"/>
      <c r="AD411" s="606"/>
      <c r="AE411" s="606"/>
      <c r="AF411" s="606"/>
      <c r="AG411" s="606"/>
    </row>
    <row r="412" spans="1:33" s="612" customFormat="1" hidden="1" outlineLevel="3" x14ac:dyDescent="0.2">
      <c r="A412" s="606"/>
      <c r="B412" s="606"/>
      <c r="C412" s="607"/>
      <c r="D412" s="608"/>
      <c r="E412" s="608"/>
      <c r="F412" s="608"/>
      <c r="G412" s="608"/>
      <c r="H412" s="609"/>
      <c r="I412" s="660"/>
      <c r="J412" s="660"/>
      <c r="K412" s="660"/>
      <c r="L412" s="660"/>
      <c r="M412" s="660"/>
      <c r="N412" s="660"/>
      <c r="O412" s="660"/>
      <c r="P412" s="660"/>
      <c r="Q412" s="660"/>
      <c r="R412" s="660"/>
      <c r="S412" s="660"/>
      <c r="T412" s="660"/>
      <c r="U412" s="660"/>
      <c r="V412" s="660"/>
      <c r="W412" s="660"/>
      <c r="X412" s="660"/>
      <c r="Y412" s="660"/>
      <c r="Z412" s="660"/>
      <c r="AA412" s="660"/>
      <c r="AB412" s="660"/>
      <c r="AC412" s="661"/>
      <c r="AD412" s="606"/>
      <c r="AE412" s="606"/>
      <c r="AF412" s="606"/>
      <c r="AG412" s="606"/>
    </row>
    <row r="413" spans="1:33" s="612" customFormat="1" hidden="1" outlineLevel="3" x14ac:dyDescent="0.2">
      <c r="A413" s="606"/>
      <c r="B413" s="606"/>
      <c r="C413" s="607"/>
      <c r="D413" s="608"/>
      <c r="E413" s="608"/>
      <c r="F413" s="608"/>
      <c r="G413" s="608"/>
      <c r="H413" s="609"/>
      <c r="I413" s="660"/>
      <c r="J413" s="660"/>
      <c r="K413" s="660"/>
      <c r="L413" s="660"/>
      <c r="M413" s="660"/>
      <c r="N413" s="660"/>
      <c r="O413" s="660"/>
      <c r="P413" s="660"/>
      <c r="Q413" s="660"/>
      <c r="R413" s="660"/>
      <c r="S413" s="660"/>
      <c r="T413" s="660"/>
      <c r="U413" s="660"/>
      <c r="V413" s="660"/>
      <c r="W413" s="660"/>
      <c r="X413" s="660"/>
      <c r="Y413" s="660"/>
      <c r="Z413" s="660"/>
      <c r="AA413" s="660"/>
      <c r="AB413" s="660"/>
      <c r="AC413" s="661"/>
      <c r="AD413" s="606"/>
      <c r="AE413" s="606"/>
      <c r="AF413" s="606"/>
      <c r="AG413" s="606"/>
    </row>
    <row r="414" spans="1:33" s="612" customFormat="1" hidden="1" outlineLevel="3" x14ac:dyDescent="0.2">
      <c r="A414" s="606"/>
      <c r="B414" s="606"/>
      <c r="C414" s="607"/>
      <c r="D414" s="608"/>
      <c r="E414" s="608"/>
      <c r="F414" s="608"/>
      <c r="G414" s="608"/>
      <c r="H414" s="609"/>
      <c r="I414" s="660"/>
      <c r="J414" s="660"/>
      <c r="K414" s="660"/>
      <c r="L414" s="660"/>
      <c r="M414" s="660"/>
      <c r="N414" s="660"/>
      <c r="O414" s="660"/>
      <c r="P414" s="660"/>
      <c r="Q414" s="660"/>
      <c r="R414" s="660"/>
      <c r="S414" s="660"/>
      <c r="T414" s="660"/>
      <c r="U414" s="660"/>
      <c r="V414" s="660"/>
      <c r="W414" s="660"/>
      <c r="X414" s="660"/>
      <c r="Y414" s="660"/>
      <c r="Z414" s="660"/>
      <c r="AA414" s="660"/>
      <c r="AB414" s="660"/>
      <c r="AC414" s="661"/>
      <c r="AD414" s="606"/>
      <c r="AE414" s="606"/>
      <c r="AF414" s="606"/>
      <c r="AG414" s="606"/>
    </row>
    <row r="415" spans="1:33" s="612" customFormat="1" hidden="1" outlineLevel="3" x14ac:dyDescent="0.2">
      <c r="A415" s="606"/>
      <c r="B415" s="606"/>
      <c r="C415" s="607"/>
      <c r="D415" s="608"/>
      <c r="E415" s="608"/>
      <c r="F415" s="608"/>
      <c r="G415" s="608"/>
      <c r="H415" s="609"/>
      <c r="I415" s="660"/>
      <c r="J415" s="660"/>
      <c r="K415" s="660"/>
      <c r="L415" s="660"/>
      <c r="M415" s="660"/>
      <c r="N415" s="660"/>
      <c r="O415" s="660"/>
      <c r="P415" s="660"/>
      <c r="Q415" s="660"/>
      <c r="R415" s="660"/>
      <c r="S415" s="660"/>
      <c r="T415" s="660"/>
      <c r="U415" s="660"/>
      <c r="V415" s="660"/>
      <c r="W415" s="660"/>
      <c r="X415" s="660"/>
      <c r="Y415" s="660"/>
      <c r="Z415" s="660"/>
      <c r="AA415" s="660"/>
      <c r="AB415" s="660"/>
      <c r="AC415" s="661"/>
      <c r="AD415" s="606"/>
      <c r="AE415" s="606"/>
      <c r="AF415" s="606"/>
      <c r="AG415" s="606"/>
    </row>
    <row r="416" spans="1:33" s="612" customFormat="1" hidden="1" outlineLevel="3" x14ac:dyDescent="0.2">
      <c r="A416" s="606"/>
      <c r="B416" s="606"/>
      <c r="C416" s="607"/>
      <c r="D416" s="608"/>
      <c r="E416" s="608"/>
      <c r="F416" s="608"/>
      <c r="G416" s="608"/>
      <c r="H416" s="609"/>
      <c r="I416" s="660"/>
      <c r="J416" s="660"/>
      <c r="K416" s="660"/>
      <c r="L416" s="660"/>
      <c r="M416" s="660"/>
      <c r="N416" s="660"/>
      <c r="O416" s="660"/>
      <c r="P416" s="660"/>
      <c r="Q416" s="660"/>
      <c r="R416" s="660"/>
      <c r="S416" s="660"/>
      <c r="T416" s="660"/>
      <c r="U416" s="660"/>
      <c r="V416" s="660"/>
      <c r="W416" s="660"/>
      <c r="X416" s="660"/>
      <c r="Y416" s="660"/>
      <c r="Z416" s="660"/>
      <c r="AA416" s="660"/>
      <c r="AB416" s="660"/>
      <c r="AC416" s="661"/>
      <c r="AD416" s="606"/>
      <c r="AE416" s="606"/>
      <c r="AF416" s="606"/>
      <c r="AG416" s="606"/>
    </row>
    <row r="417" spans="1:33" s="612" customFormat="1" hidden="1" outlineLevel="3" x14ac:dyDescent="0.2">
      <c r="A417" s="606"/>
      <c r="B417" s="606"/>
      <c r="C417" s="607"/>
      <c r="D417" s="608"/>
      <c r="E417" s="608"/>
      <c r="F417" s="608"/>
      <c r="G417" s="608"/>
      <c r="H417" s="609"/>
      <c r="I417" s="660"/>
      <c r="J417" s="660"/>
      <c r="K417" s="660"/>
      <c r="L417" s="660"/>
      <c r="M417" s="660"/>
      <c r="N417" s="660"/>
      <c r="O417" s="660"/>
      <c r="P417" s="660"/>
      <c r="Q417" s="660"/>
      <c r="R417" s="660"/>
      <c r="S417" s="660"/>
      <c r="T417" s="660"/>
      <c r="U417" s="660"/>
      <c r="V417" s="660"/>
      <c r="W417" s="660"/>
      <c r="X417" s="660"/>
      <c r="Y417" s="660"/>
      <c r="Z417" s="660"/>
      <c r="AA417" s="660"/>
      <c r="AB417" s="660"/>
      <c r="AC417" s="661"/>
      <c r="AD417" s="606"/>
      <c r="AE417" s="606"/>
      <c r="AF417" s="606"/>
      <c r="AG417" s="606"/>
    </row>
    <row r="418" spans="1:33" s="612" customFormat="1" hidden="1" outlineLevel="3" x14ac:dyDescent="0.2">
      <c r="A418" s="606"/>
      <c r="B418" s="606"/>
      <c r="C418" s="607"/>
      <c r="D418" s="608"/>
      <c r="E418" s="608"/>
      <c r="F418" s="608"/>
      <c r="G418" s="608"/>
      <c r="H418" s="609"/>
      <c r="I418" s="660"/>
      <c r="J418" s="660"/>
      <c r="K418" s="660"/>
      <c r="L418" s="660"/>
      <c r="M418" s="660"/>
      <c r="N418" s="660"/>
      <c r="O418" s="660"/>
      <c r="P418" s="660"/>
      <c r="Q418" s="660"/>
      <c r="R418" s="660"/>
      <c r="S418" s="660"/>
      <c r="T418" s="660"/>
      <c r="U418" s="660"/>
      <c r="V418" s="660"/>
      <c r="W418" s="660"/>
      <c r="X418" s="660"/>
      <c r="Y418" s="660"/>
      <c r="Z418" s="660"/>
      <c r="AA418" s="660"/>
      <c r="AB418" s="660"/>
      <c r="AC418" s="661"/>
      <c r="AD418" s="606"/>
      <c r="AE418" s="606"/>
      <c r="AF418" s="606"/>
      <c r="AG418" s="606"/>
    </row>
    <row r="419" spans="1:33" s="612" customFormat="1" hidden="1" outlineLevel="3" x14ac:dyDescent="0.2">
      <c r="A419" s="606"/>
      <c r="B419" s="606"/>
      <c r="C419" s="607"/>
      <c r="D419" s="608"/>
      <c r="E419" s="608"/>
      <c r="F419" s="608"/>
      <c r="G419" s="608"/>
      <c r="H419" s="609"/>
      <c r="I419" s="660"/>
      <c r="J419" s="660"/>
      <c r="K419" s="660"/>
      <c r="L419" s="660"/>
      <c r="M419" s="660"/>
      <c r="N419" s="660"/>
      <c r="O419" s="660"/>
      <c r="P419" s="660"/>
      <c r="Q419" s="660"/>
      <c r="R419" s="660"/>
      <c r="S419" s="660"/>
      <c r="T419" s="660"/>
      <c r="U419" s="660"/>
      <c r="V419" s="660"/>
      <c r="W419" s="660"/>
      <c r="X419" s="660"/>
      <c r="Y419" s="660"/>
      <c r="Z419" s="660"/>
      <c r="AA419" s="660"/>
      <c r="AB419" s="660"/>
      <c r="AC419" s="661"/>
      <c r="AD419" s="606"/>
      <c r="AE419" s="606"/>
      <c r="AF419" s="606"/>
      <c r="AG419" s="606"/>
    </row>
    <row r="420" spans="1:33" s="612" customFormat="1" hidden="1" outlineLevel="3" x14ac:dyDescent="0.2">
      <c r="A420" s="606"/>
      <c r="B420" s="606"/>
      <c r="C420" s="607"/>
      <c r="D420" s="608"/>
      <c r="E420" s="608"/>
      <c r="F420" s="608"/>
      <c r="G420" s="608"/>
      <c r="H420" s="609"/>
      <c r="I420" s="660"/>
      <c r="J420" s="660"/>
      <c r="K420" s="660"/>
      <c r="L420" s="660"/>
      <c r="M420" s="660"/>
      <c r="N420" s="660"/>
      <c r="O420" s="660"/>
      <c r="P420" s="660"/>
      <c r="Q420" s="660"/>
      <c r="R420" s="660"/>
      <c r="S420" s="660"/>
      <c r="T420" s="660"/>
      <c r="U420" s="660"/>
      <c r="V420" s="660"/>
      <c r="W420" s="660"/>
      <c r="X420" s="660"/>
      <c r="Y420" s="660"/>
      <c r="Z420" s="660"/>
      <c r="AA420" s="660"/>
      <c r="AB420" s="660"/>
      <c r="AC420" s="661"/>
      <c r="AD420" s="606"/>
      <c r="AE420" s="606"/>
      <c r="AF420" s="606"/>
      <c r="AG420" s="606"/>
    </row>
    <row r="421" spans="1:33" s="612" customFormat="1" hidden="1" outlineLevel="3" x14ac:dyDescent="0.2">
      <c r="A421" s="606"/>
      <c r="B421" s="606"/>
      <c r="C421" s="607"/>
      <c r="D421" s="608"/>
      <c r="E421" s="608"/>
      <c r="F421" s="608"/>
      <c r="G421" s="608"/>
      <c r="H421" s="609"/>
      <c r="I421" s="660"/>
      <c r="J421" s="660"/>
      <c r="K421" s="660"/>
      <c r="L421" s="660"/>
      <c r="M421" s="660"/>
      <c r="N421" s="660"/>
      <c r="O421" s="660"/>
      <c r="P421" s="660"/>
      <c r="Q421" s="660"/>
      <c r="R421" s="660"/>
      <c r="S421" s="660"/>
      <c r="T421" s="660"/>
      <c r="U421" s="660"/>
      <c r="V421" s="660"/>
      <c r="W421" s="660"/>
      <c r="X421" s="660"/>
      <c r="Y421" s="660"/>
      <c r="Z421" s="660"/>
      <c r="AA421" s="660"/>
      <c r="AB421" s="660"/>
      <c r="AC421" s="661"/>
      <c r="AD421" s="606"/>
      <c r="AE421" s="606"/>
      <c r="AF421" s="606"/>
      <c r="AG421" s="606"/>
    </row>
    <row r="422" spans="1:33" s="612" customFormat="1" hidden="1" outlineLevel="3" x14ac:dyDescent="0.2">
      <c r="A422" s="606"/>
      <c r="B422" s="606"/>
      <c r="C422" s="607"/>
      <c r="D422" s="608"/>
      <c r="E422" s="608"/>
      <c r="F422" s="608"/>
      <c r="G422" s="608"/>
      <c r="H422" s="609"/>
      <c r="I422" s="660"/>
      <c r="J422" s="660"/>
      <c r="K422" s="660"/>
      <c r="L422" s="660"/>
      <c r="M422" s="660"/>
      <c r="N422" s="660"/>
      <c r="O422" s="660"/>
      <c r="P422" s="660"/>
      <c r="Q422" s="660"/>
      <c r="R422" s="660"/>
      <c r="S422" s="660"/>
      <c r="T422" s="660"/>
      <c r="U422" s="660"/>
      <c r="V422" s="660"/>
      <c r="W422" s="660"/>
      <c r="X422" s="660"/>
      <c r="Y422" s="660"/>
      <c r="Z422" s="660"/>
      <c r="AA422" s="660"/>
      <c r="AB422" s="660"/>
      <c r="AC422" s="661"/>
      <c r="AD422" s="606"/>
      <c r="AE422" s="606"/>
      <c r="AF422" s="606"/>
      <c r="AG422" s="606"/>
    </row>
    <row r="423" spans="1:33" s="612" customFormat="1" hidden="1" outlineLevel="3" x14ac:dyDescent="0.2">
      <c r="A423" s="606"/>
      <c r="B423" s="606"/>
      <c r="C423" s="607"/>
      <c r="D423" s="608"/>
      <c r="E423" s="608"/>
      <c r="F423" s="608"/>
      <c r="G423" s="608"/>
      <c r="H423" s="609"/>
      <c r="I423" s="660"/>
      <c r="J423" s="660"/>
      <c r="K423" s="660"/>
      <c r="L423" s="660"/>
      <c r="M423" s="660"/>
      <c r="N423" s="660"/>
      <c r="O423" s="660"/>
      <c r="P423" s="660"/>
      <c r="Q423" s="660"/>
      <c r="R423" s="660"/>
      <c r="S423" s="660"/>
      <c r="T423" s="660"/>
      <c r="U423" s="660"/>
      <c r="V423" s="660"/>
      <c r="W423" s="660"/>
      <c r="X423" s="660"/>
      <c r="Y423" s="660"/>
      <c r="Z423" s="660"/>
      <c r="AA423" s="660"/>
      <c r="AB423" s="660"/>
      <c r="AC423" s="661"/>
      <c r="AD423" s="606"/>
      <c r="AE423" s="606"/>
      <c r="AF423" s="606"/>
      <c r="AG423" s="606"/>
    </row>
    <row r="424" spans="1:33" s="612" customFormat="1" hidden="1" outlineLevel="3" x14ac:dyDescent="0.2">
      <c r="A424" s="606"/>
      <c r="B424" s="606"/>
      <c r="C424" s="607"/>
      <c r="D424" s="608"/>
      <c r="E424" s="608"/>
      <c r="F424" s="608"/>
      <c r="G424" s="608"/>
      <c r="H424" s="609"/>
      <c r="I424" s="660"/>
      <c r="J424" s="660"/>
      <c r="K424" s="660"/>
      <c r="L424" s="660"/>
      <c r="M424" s="660"/>
      <c r="N424" s="660"/>
      <c r="O424" s="660"/>
      <c r="P424" s="660"/>
      <c r="Q424" s="660"/>
      <c r="R424" s="660"/>
      <c r="S424" s="660"/>
      <c r="T424" s="660"/>
      <c r="U424" s="660"/>
      <c r="V424" s="660"/>
      <c r="W424" s="660"/>
      <c r="X424" s="660"/>
      <c r="Y424" s="660"/>
      <c r="Z424" s="660"/>
      <c r="AA424" s="660"/>
      <c r="AB424" s="660"/>
      <c r="AC424" s="661"/>
      <c r="AD424" s="606"/>
      <c r="AE424" s="606"/>
      <c r="AF424" s="606"/>
      <c r="AG424" s="606"/>
    </row>
    <row r="425" spans="1:33" s="612" customFormat="1" hidden="1" outlineLevel="3" x14ac:dyDescent="0.2">
      <c r="A425" s="606"/>
      <c r="B425" s="606"/>
      <c r="C425" s="607"/>
      <c r="D425" s="608"/>
      <c r="E425" s="608"/>
      <c r="F425" s="608"/>
      <c r="G425" s="608"/>
      <c r="H425" s="609"/>
      <c r="I425" s="660"/>
      <c r="J425" s="660"/>
      <c r="K425" s="660"/>
      <c r="L425" s="660"/>
      <c r="M425" s="660"/>
      <c r="N425" s="660"/>
      <c r="O425" s="660"/>
      <c r="P425" s="660"/>
      <c r="Q425" s="660"/>
      <c r="R425" s="660"/>
      <c r="S425" s="660"/>
      <c r="T425" s="660"/>
      <c r="U425" s="660"/>
      <c r="V425" s="660"/>
      <c r="W425" s="660"/>
      <c r="X425" s="660"/>
      <c r="Y425" s="660"/>
      <c r="Z425" s="660"/>
      <c r="AA425" s="660"/>
      <c r="AB425" s="660"/>
      <c r="AC425" s="661"/>
      <c r="AD425" s="606"/>
      <c r="AE425" s="606"/>
      <c r="AF425" s="606"/>
      <c r="AG425" s="606"/>
    </row>
    <row r="426" spans="1:33" s="612" customFormat="1" hidden="1" outlineLevel="3" x14ac:dyDescent="0.2">
      <c r="A426" s="606"/>
      <c r="B426" s="606"/>
      <c r="C426" s="607"/>
      <c r="D426" s="608"/>
      <c r="E426" s="608"/>
      <c r="F426" s="608"/>
      <c r="G426" s="608"/>
      <c r="H426" s="609"/>
      <c r="I426" s="660"/>
      <c r="J426" s="660"/>
      <c r="K426" s="660"/>
      <c r="L426" s="660"/>
      <c r="M426" s="660"/>
      <c r="N426" s="660"/>
      <c r="O426" s="660"/>
      <c r="P426" s="660"/>
      <c r="Q426" s="660"/>
      <c r="R426" s="660"/>
      <c r="S426" s="660"/>
      <c r="T426" s="660"/>
      <c r="U426" s="660"/>
      <c r="V426" s="660"/>
      <c r="W426" s="660"/>
      <c r="X426" s="660"/>
      <c r="Y426" s="660"/>
      <c r="Z426" s="660"/>
      <c r="AA426" s="660"/>
      <c r="AB426" s="660"/>
      <c r="AC426" s="661"/>
      <c r="AD426" s="606"/>
      <c r="AE426" s="606"/>
      <c r="AF426" s="606"/>
      <c r="AG426" s="606"/>
    </row>
    <row r="427" spans="1:33" s="612" customFormat="1" hidden="1" outlineLevel="3" x14ac:dyDescent="0.2">
      <c r="A427" s="606"/>
      <c r="B427" s="606"/>
      <c r="C427" s="607"/>
      <c r="D427" s="608"/>
      <c r="E427" s="608"/>
      <c r="F427" s="608"/>
      <c r="G427" s="608"/>
      <c r="H427" s="609"/>
      <c r="I427" s="660"/>
      <c r="J427" s="660"/>
      <c r="K427" s="660"/>
      <c r="L427" s="660"/>
      <c r="M427" s="660"/>
      <c r="N427" s="660"/>
      <c r="O427" s="660"/>
      <c r="P427" s="660"/>
      <c r="Q427" s="660"/>
      <c r="R427" s="660"/>
      <c r="S427" s="660"/>
      <c r="T427" s="660"/>
      <c r="U427" s="660"/>
      <c r="V427" s="660"/>
      <c r="W427" s="660"/>
      <c r="X427" s="660"/>
      <c r="Y427" s="660"/>
      <c r="Z427" s="660"/>
      <c r="AA427" s="660"/>
      <c r="AB427" s="660"/>
      <c r="AC427" s="661"/>
      <c r="AD427" s="606"/>
      <c r="AE427" s="606"/>
      <c r="AF427" s="606"/>
      <c r="AG427" s="606"/>
    </row>
    <row r="428" spans="1:33" s="612" customFormat="1" hidden="1" outlineLevel="3" x14ac:dyDescent="0.2">
      <c r="A428" s="606"/>
      <c r="B428" s="606"/>
      <c r="C428" s="607"/>
      <c r="D428" s="608"/>
      <c r="E428" s="608"/>
      <c r="F428" s="608"/>
      <c r="G428" s="608"/>
      <c r="H428" s="609"/>
      <c r="I428" s="660"/>
      <c r="J428" s="660"/>
      <c r="K428" s="660"/>
      <c r="L428" s="660"/>
      <c r="M428" s="660"/>
      <c r="N428" s="660"/>
      <c r="O428" s="660"/>
      <c r="P428" s="660"/>
      <c r="Q428" s="660"/>
      <c r="R428" s="660"/>
      <c r="S428" s="660"/>
      <c r="T428" s="660"/>
      <c r="U428" s="660"/>
      <c r="V428" s="660"/>
      <c r="W428" s="660"/>
      <c r="X428" s="660"/>
      <c r="Y428" s="660"/>
      <c r="Z428" s="660"/>
      <c r="AA428" s="660"/>
      <c r="AB428" s="660"/>
      <c r="AC428" s="661"/>
      <c r="AD428" s="606"/>
      <c r="AE428" s="606"/>
      <c r="AF428" s="606"/>
      <c r="AG428" s="606"/>
    </row>
    <row r="429" spans="1:33" s="612" customFormat="1" hidden="1" outlineLevel="3" x14ac:dyDescent="0.2">
      <c r="A429" s="606"/>
      <c r="B429" s="606"/>
      <c r="C429" s="607"/>
      <c r="D429" s="608"/>
      <c r="E429" s="608"/>
      <c r="F429" s="608"/>
      <c r="G429" s="608"/>
      <c r="H429" s="609"/>
      <c r="I429" s="660"/>
      <c r="J429" s="660"/>
      <c r="K429" s="660"/>
      <c r="L429" s="660"/>
      <c r="M429" s="660"/>
      <c r="N429" s="660"/>
      <c r="O429" s="660"/>
      <c r="P429" s="660"/>
      <c r="Q429" s="660"/>
      <c r="R429" s="660"/>
      <c r="S429" s="660"/>
      <c r="T429" s="660"/>
      <c r="U429" s="660"/>
      <c r="V429" s="660"/>
      <c r="W429" s="660"/>
      <c r="X429" s="660"/>
      <c r="Y429" s="660"/>
      <c r="Z429" s="660"/>
      <c r="AA429" s="660"/>
      <c r="AB429" s="660"/>
      <c r="AC429" s="661"/>
      <c r="AD429" s="606"/>
      <c r="AE429" s="606"/>
      <c r="AF429" s="606"/>
      <c r="AG429" s="606"/>
    </row>
    <row r="430" spans="1:33" s="612" customFormat="1" hidden="1" outlineLevel="3" x14ac:dyDescent="0.2">
      <c r="A430" s="606"/>
      <c r="B430" s="606"/>
      <c r="C430" s="607"/>
      <c r="D430" s="608"/>
      <c r="E430" s="608"/>
      <c r="F430" s="608"/>
      <c r="G430" s="608"/>
      <c r="H430" s="609"/>
      <c r="I430" s="660"/>
      <c r="J430" s="660"/>
      <c r="K430" s="660"/>
      <c r="L430" s="660"/>
      <c r="M430" s="660"/>
      <c r="N430" s="660"/>
      <c r="O430" s="660"/>
      <c r="P430" s="660"/>
      <c r="Q430" s="660"/>
      <c r="R430" s="660"/>
      <c r="S430" s="660"/>
      <c r="T430" s="660"/>
      <c r="U430" s="660"/>
      <c r="V430" s="660"/>
      <c r="W430" s="660"/>
      <c r="X430" s="660"/>
      <c r="Y430" s="660"/>
      <c r="Z430" s="660"/>
      <c r="AA430" s="660"/>
      <c r="AB430" s="660"/>
      <c r="AC430" s="661"/>
      <c r="AD430" s="606"/>
      <c r="AE430" s="606"/>
      <c r="AF430" s="606"/>
      <c r="AG430" s="606"/>
    </row>
    <row r="431" spans="1:33" s="612" customFormat="1" hidden="1" outlineLevel="3" x14ac:dyDescent="0.2">
      <c r="A431" s="606"/>
      <c r="B431" s="606"/>
      <c r="C431" s="607"/>
      <c r="D431" s="608"/>
      <c r="E431" s="608"/>
      <c r="F431" s="608"/>
      <c r="G431" s="608"/>
      <c r="H431" s="609"/>
      <c r="I431" s="660"/>
      <c r="J431" s="660"/>
      <c r="K431" s="660"/>
      <c r="L431" s="660"/>
      <c r="M431" s="660"/>
      <c r="N431" s="660"/>
      <c r="O431" s="660"/>
      <c r="P431" s="660"/>
      <c r="Q431" s="660"/>
      <c r="R431" s="660"/>
      <c r="S431" s="660"/>
      <c r="T431" s="660"/>
      <c r="U431" s="660"/>
      <c r="V431" s="660"/>
      <c r="W431" s="660"/>
      <c r="X431" s="660"/>
      <c r="Y431" s="660"/>
      <c r="Z431" s="660"/>
      <c r="AA431" s="660"/>
      <c r="AB431" s="660"/>
      <c r="AC431" s="661"/>
      <c r="AD431" s="606"/>
      <c r="AE431" s="606"/>
      <c r="AF431" s="606"/>
      <c r="AG431" s="606"/>
    </row>
    <row r="432" spans="1:33" s="612" customFormat="1" hidden="1" outlineLevel="3" x14ac:dyDescent="0.2">
      <c r="A432" s="606"/>
      <c r="B432" s="606"/>
      <c r="C432" s="607"/>
      <c r="D432" s="608"/>
      <c r="E432" s="608"/>
      <c r="F432" s="608"/>
      <c r="G432" s="608"/>
      <c r="H432" s="609"/>
      <c r="I432" s="660"/>
      <c r="J432" s="660"/>
      <c r="K432" s="660"/>
      <c r="L432" s="660"/>
      <c r="M432" s="660"/>
      <c r="N432" s="660"/>
      <c r="O432" s="660"/>
      <c r="P432" s="660"/>
      <c r="Q432" s="660"/>
      <c r="R432" s="660"/>
      <c r="S432" s="660"/>
      <c r="T432" s="660"/>
      <c r="U432" s="660"/>
      <c r="V432" s="660"/>
      <c r="W432" s="660"/>
      <c r="X432" s="660"/>
      <c r="Y432" s="660"/>
      <c r="Z432" s="660"/>
      <c r="AA432" s="660"/>
      <c r="AB432" s="660"/>
      <c r="AC432" s="661"/>
      <c r="AD432" s="606"/>
      <c r="AE432" s="606"/>
      <c r="AF432" s="606"/>
      <c r="AG432" s="606"/>
    </row>
    <row r="433" spans="1:33" s="612" customFormat="1" hidden="1" outlineLevel="3" x14ac:dyDescent="0.2">
      <c r="A433" s="606"/>
      <c r="B433" s="606"/>
      <c r="C433" s="607"/>
      <c r="D433" s="608"/>
      <c r="E433" s="608"/>
      <c r="F433" s="608"/>
      <c r="G433" s="608"/>
      <c r="H433" s="609"/>
      <c r="I433" s="660"/>
      <c r="J433" s="660"/>
      <c r="K433" s="660"/>
      <c r="L433" s="660"/>
      <c r="M433" s="660"/>
      <c r="N433" s="660"/>
      <c r="O433" s="660"/>
      <c r="P433" s="660"/>
      <c r="Q433" s="660"/>
      <c r="R433" s="660"/>
      <c r="S433" s="660"/>
      <c r="T433" s="660"/>
      <c r="U433" s="660"/>
      <c r="V433" s="660"/>
      <c r="W433" s="660"/>
      <c r="X433" s="660"/>
      <c r="Y433" s="660"/>
      <c r="Z433" s="660"/>
      <c r="AA433" s="660"/>
      <c r="AB433" s="660"/>
      <c r="AC433" s="661"/>
      <c r="AD433" s="606"/>
      <c r="AE433" s="606"/>
      <c r="AF433" s="606"/>
      <c r="AG433" s="606"/>
    </row>
    <row r="434" spans="1:33" s="612" customFormat="1" hidden="1" outlineLevel="3" x14ac:dyDescent="0.2">
      <c r="A434" s="606"/>
      <c r="B434" s="606"/>
      <c r="C434" s="607"/>
      <c r="D434" s="608"/>
      <c r="E434" s="608"/>
      <c r="F434" s="608"/>
      <c r="G434" s="608"/>
      <c r="H434" s="609"/>
      <c r="I434" s="660"/>
      <c r="J434" s="660"/>
      <c r="K434" s="660"/>
      <c r="L434" s="660"/>
      <c r="M434" s="660"/>
      <c r="N434" s="660"/>
      <c r="O434" s="660"/>
      <c r="P434" s="660"/>
      <c r="Q434" s="660"/>
      <c r="R434" s="660"/>
      <c r="S434" s="660"/>
      <c r="T434" s="660"/>
      <c r="U434" s="660"/>
      <c r="V434" s="660"/>
      <c r="W434" s="660"/>
      <c r="X434" s="660"/>
      <c r="Y434" s="660"/>
      <c r="Z434" s="660"/>
      <c r="AA434" s="660"/>
      <c r="AB434" s="660"/>
      <c r="AC434" s="661"/>
      <c r="AD434" s="606"/>
      <c r="AE434" s="606"/>
      <c r="AF434" s="606"/>
      <c r="AG434" s="606"/>
    </row>
    <row r="435" spans="1:33" s="612" customFormat="1" hidden="1" outlineLevel="3" x14ac:dyDescent="0.2">
      <c r="A435" s="606"/>
      <c r="B435" s="606"/>
      <c r="C435" s="607"/>
      <c r="D435" s="608"/>
      <c r="E435" s="608"/>
      <c r="F435" s="608"/>
      <c r="G435" s="608"/>
      <c r="H435" s="609"/>
      <c r="I435" s="660"/>
      <c r="J435" s="660"/>
      <c r="K435" s="660"/>
      <c r="L435" s="660"/>
      <c r="M435" s="660"/>
      <c r="N435" s="660"/>
      <c r="O435" s="660"/>
      <c r="P435" s="660"/>
      <c r="Q435" s="660"/>
      <c r="R435" s="660"/>
      <c r="S435" s="660"/>
      <c r="T435" s="660"/>
      <c r="U435" s="660"/>
      <c r="V435" s="660"/>
      <c r="W435" s="660"/>
      <c r="X435" s="660"/>
      <c r="Y435" s="660"/>
      <c r="Z435" s="660"/>
      <c r="AA435" s="660"/>
      <c r="AB435" s="660"/>
      <c r="AC435" s="661"/>
      <c r="AD435" s="606"/>
      <c r="AE435" s="606"/>
      <c r="AF435" s="606"/>
      <c r="AG435" s="606"/>
    </row>
    <row r="436" spans="1:33" s="612" customFormat="1" hidden="1" outlineLevel="3" x14ac:dyDescent="0.2">
      <c r="A436" s="606"/>
      <c r="B436" s="606"/>
      <c r="C436" s="607"/>
      <c r="D436" s="608"/>
      <c r="E436" s="608"/>
      <c r="F436" s="608"/>
      <c r="G436" s="608"/>
      <c r="H436" s="609"/>
      <c r="I436" s="660"/>
      <c r="J436" s="660"/>
      <c r="K436" s="660"/>
      <c r="L436" s="660"/>
      <c r="M436" s="660"/>
      <c r="N436" s="660"/>
      <c r="O436" s="660"/>
      <c r="P436" s="660"/>
      <c r="Q436" s="660"/>
      <c r="R436" s="660"/>
      <c r="S436" s="660"/>
      <c r="T436" s="660"/>
      <c r="U436" s="660"/>
      <c r="V436" s="660"/>
      <c r="W436" s="660"/>
      <c r="X436" s="660"/>
      <c r="Y436" s="660"/>
      <c r="Z436" s="660"/>
      <c r="AA436" s="660"/>
      <c r="AB436" s="660"/>
      <c r="AC436" s="661"/>
      <c r="AD436" s="606"/>
      <c r="AE436" s="606"/>
      <c r="AF436" s="606"/>
      <c r="AG436" s="606"/>
    </row>
    <row r="437" spans="1:33" s="612" customFormat="1" hidden="1" outlineLevel="3" x14ac:dyDescent="0.2">
      <c r="A437" s="606"/>
      <c r="B437" s="606"/>
      <c r="C437" s="607"/>
      <c r="D437" s="608"/>
      <c r="E437" s="608"/>
      <c r="F437" s="608"/>
      <c r="G437" s="608"/>
      <c r="H437" s="609"/>
      <c r="I437" s="660"/>
      <c r="J437" s="660"/>
      <c r="K437" s="660"/>
      <c r="L437" s="660"/>
      <c r="M437" s="660"/>
      <c r="N437" s="660"/>
      <c r="O437" s="660"/>
      <c r="P437" s="660"/>
      <c r="Q437" s="660"/>
      <c r="R437" s="660"/>
      <c r="S437" s="660"/>
      <c r="T437" s="660"/>
      <c r="U437" s="660"/>
      <c r="V437" s="660"/>
      <c r="W437" s="660"/>
      <c r="X437" s="660"/>
      <c r="Y437" s="660"/>
      <c r="Z437" s="660"/>
      <c r="AA437" s="660"/>
      <c r="AB437" s="660"/>
      <c r="AC437" s="661"/>
      <c r="AD437" s="606"/>
      <c r="AE437" s="606"/>
      <c r="AF437" s="606"/>
      <c r="AG437" s="606"/>
    </row>
    <row r="438" spans="1:33" s="612" customFormat="1" hidden="1" outlineLevel="3" x14ac:dyDescent="0.2">
      <c r="A438" s="606"/>
      <c r="B438" s="606"/>
      <c r="C438" s="607"/>
      <c r="D438" s="608"/>
      <c r="E438" s="608"/>
      <c r="F438" s="608"/>
      <c r="G438" s="608"/>
      <c r="H438" s="609"/>
      <c r="I438" s="660"/>
      <c r="J438" s="660"/>
      <c r="K438" s="660"/>
      <c r="L438" s="660"/>
      <c r="M438" s="660"/>
      <c r="N438" s="660"/>
      <c r="O438" s="660"/>
      <c r="P438" s="660"/>
      <c r="Q438" s="660"/>
      <c r="R438" s="660"/>
      <c r="S438" s="660"/>
      <c r="T438" s="660"/>
      <c r="U438" s="660"/>
      <c r="V438" s="660"/>
      <c r="W438" s="660"/>
      <c r="X438" s="660"/>
      <c r="Y438" s="660"/>
      <c r="Z438" s="660"/>
      <c r="AA438" s="660"/>
      <c r="AB438" s="660"/>
      <c r="AC438" s="661"/>
      <c r="AD438" s="606"/>
      <c r="AE438" s="606"/>
      <c r="AF438" s="606"/>
      <c r="AG438" s="606"/>
    </row>
    <row r="439" spans="1:33" s="612" customFormat="1" hidden="1" outlineLevel="3" x14ac:dyDescent="0.2">
      <c r="A439" s="606"/>
      <c r="B439" s="606"/>
      <c r="C439" s="607"/>
      <c r="D439" s="608"/>
      <c r="E439" s="608"/>
      <c r="F439" s="608"/>
      <c r="G439" s="608"/>
      <c r="H439" s="609"/>
      <c r="I439" s="660"/>
      <c r="J439" s="660"/>
      <c r="K439" s="660"/>
      <c r="L439" s="660"/>
      <c r="M439" s="660"/>
      <c r="N439" s="660"/>
      <c r="O439" s="660"/>
      <c r="P439" s="660"/>
      <c r="Q439" s="660"/>
      <c r="R439" s="660"/>
      <c r="S439" s="660"/>
      <c r="T439" s="660"/>
      <c r="U439" s="660"/>
      <c r="V439" s="660"/>
      <c r="W439" s="660"/>
      <c r="X439" s="660"/>
      <c r="Y439" s="660"/>
      <c r="Z439" s="660"/>
      <c r="AA439" s="660"/>
      <c r="AB439" s="660"/>
      <c r="AC439" s="661"/>
      <c r="AD439" s="606"/>
      <c r="AE439" s="606"/>
      <c r="AF439" s="606"/>
      <c r="AG439" s="606"/>
    </row>
    <row r="440" spans="1:33" s="612" customFormat="1" hidden="1" outlineLevel="3" x14ac:dyDescent="0.2">
      <c r="A440" s="606"/>
      <c r="B440" s="606"/>
      <c r="C440" s="607"/>
      <c r="D440" s="608"/>
      <c r="E440" s="608"/>
      <c r="F440" s="608"/>
      <c r="G440" s="608"/>
      <c r="H440" s="609"/>
      <c r="I440" s="660"/>
      <c r="J440" s="660"/>
      <c r="K440" s="660"/>
      <c r="L440" s="660"/>
      <c r="M440" s="660"/>
      <c r="N440" s="660"/>
      <c r="O440" s="660"/>
      <c r="P440" s="660"/>
      <c r="Q440" s="660"/>
      <c r="R440" s="660"/>
      <c r="S440" s="660"/>
      <c r="T440" s="660"/>
      <c r="U440" s="660"/>
      <c r="V440" s="660"/>
      <c r="W440" s="660"/>
      <c r="X440" s="660"/>
      <c r="Y440" s="660"/>
      <c r="Z440" s="660"/>
      <c r="AA440" s="660"/>
      <c r="AB440" s="660"/>
      <c r="AC440" s="661"/>
      <c r="AD440" s="606"/>
      <c r="AE440" s="606"/>
      <c r="AF440" s="606"/>
      <c r="AG440" s="606"/>
    </row>
    <row r="441" spans="1:33" s="612" customFormat="1" hidden="1" outlineLevel="3" x14ac:dyDescent="0.2">
      <c r="A441" s="606"/>
      <c r="B441" s="606"/>
      <c r="C441" s="607"/>
      <c r="D441" s="608"/>
      <c r="E441" s="608"/>
      <c r="F441" s="608"/>
      <c r="G441" s="608"/>
      <c r="H441" s="609"/>
      <c r="I441" s="660"/>
      <c r="J441" s="660"/>
      <c r="K441" s="660"/>
      <c r="L441" s="660"/>
      <c r="M441" s="660"/>
      <c r="N441" s="660"/>
      <c r="O441" s="660"/>
      <c r="P441" s="660"/>
      <c r="Q441" s="660"/>
      <c r="R441" s="660"/>
      <c r="S441" s="660"/>
      <c r="T441" s="660"/>
      <c r="U441" s="660"/>
      <c r="V441" s="660"/>
      <c r="W441" s="660"/>
      <c r="X441" s="660"/>
      <c r="Y441" s="660"/>
      <c r="Z441" s="660"/>
      <c r="AA441" s="660"/>
      <c r="AB441" s="660"/>
      <c r="AC441" s="661"/>
      <c r="AD441" s="606"/>
      <c r="AE441" s="606"/>
      <c r="AF441" s="606"/>
      <c r="AG441" s="606"/>
    </row>
    <row r="442" spans="1:33" s="612" customFormat="1" hidden="1" outlineLevel="3" x14ac:dyDescent="0.2">
      <c r="A442" s="606"/>
      <c r="B442" s="606"/>
      <c r="C442" s="607"/>
      <c r="D442" s="608"/>
      <c r="E442" s="608"/>
      <c r="F442" s="608"/>
      <c r="G442" s="608"/>
      <c r="H442" s="609"/>
      <c r="I442" s="660"/>
      <c r="J442" s="660"/>
      <c r="K442" s="660"/>
      <c r="L442" s="660"/>
      <c r="M442" s="660"/>
      <c r="N442" s="660"/>
      <c r="O442" s="660"/>
      <c r="P442" s="660"/>
      <c r="Q442" s="660"/>
      <c r="R442" s="660"/>
      <c r="S442" s="660"/>
      <c r="T442" s="660"/>
      <c r="U442" s="660"/>
      <c r="V442" s="660"/>
      <c r="W442" s="660"/>
      <c r="X442" s="660"/>
      <c r="Y442" s="660"/>
      <c r="Z442" s="660"/>
      <c r="AA442" s="660"/>
      <c r="AB442" s="660"/>
      <c r="AC442" s="661"/>
      <c r="AD442" s="606"/>
      <c r="AE442" s="606"/>
      <c r="AF442" s="606"/>
      <c r="AG442" s="606"/>
    </row>
    <row r="443" spans="1:33" s="612" customFormat="1" hidden="1" outlineLevel="3" x14ac:dyDescent="0.2">
      <c r="A443" s="606"/>
      <c r="B443" s="606"/>
      <c r="C443" s="607"/>
      <c r="D443" s="608"/>
      <c r="E443" s="608"/>
      <c r="F443" s="608"/>
      <c r="G443" s="608"/>
      <c r="H443" s="609"/>
      <c r="I443" s="660"/>
      <c r="J443" s="660"/>
      <c r="K443" s="660"/>
      <c r="L443" s="660"/>
      <c r="M443" s="660"/>
      <c r="N443" s="660"/>
      <c r="O443" s="660"/>
      <c r="P443" s="660"/>
      <c r="Q443" s="660"/>
      <c r="R443" s="660"/>
      <c r="S443" s="660"/>
      <c r="T443" s="660"/>
      <c r="U443" s="660"/>
      <c r="V443" s="660"/>
      <c r="W443" s="660"/>
      <c r="X443" s="660"/>
      <c r="Y443" s="660"/>
      <c r="Z443" s="660"/>
      <c r="AA443" s="660"/>
      <c r="AB443" s="660"/>
      <c r="AC443" s="661"/>
      <c r="AD443" s="606"/>
      <c r="AE443" s="606"/>
      <c r="AF443" s="606"/>
      <c r="AG443" s="606"/>
    </row>
    <row r="444" spans="1:33" s="612" customFormat="1" hidden="1" outlineLevel="3" x14ac:dyDescent="0.2">
      <c r="A444" s="606"/>
      <c r="B444" s="606"/>
      <c r="C444" s="607"/>
      <c r="D444" s="608"/>
      <c r="E444" s="608"/>
      <c r="F444" s="608"/>
      <c r="G444" s="608"/>
      <c r="H444" s="609"/>
      <c r="I444" s="660"/>
      <c r="J444" s="660"/>
      <c r="K444" s="660"/>
      <c r="L444" s="660"/>
      <c r="M444" s="660"/>
      <c r="N444" s="660"/>
      <c r="O444" s="660"/>
      <c r="P444" s="660"/>
      <c r="Q444" s="660"/>
      <c r="R444" s="660"/>
      <c r="S444" s="660"/>
      <c r="T444" s="660"/>
      <c r="U444" s="660"/>
      <c r="V444" s="660"/>
      <c r="W444" s="660"/>
      <c r="X444" s="660"/>
      <c r="Y444" s="660"/>
      <c r="Z444" s="660"/>
      <c r="AA444" s="660"/>
      <c r="AB444" s="660"/>
      <c r="AC444" s="661"/>
      <c r="AD444" s="606"/>
      <c r="AE444" s="606"/>
      <c r="AF444" s="606"/>
      <c r="AG444" s="606"/>
    </row>
    <row r="445" spans="1:33" s="612" customFormat="1" hidden="1" outlineLevel="3" x14ac:dyDescent="0.2">
      <c r="A445" s="606"/>
      <c r="B445" s="606"/>
      <c r="C445" s="607"/>
      <c r="D445" s="608"/>
      <c r="E445" s="608"/>
      <c r="F445" s="608"/>
      <c r="G445" s="608"/>
      <c r="H445" s="609"/>
      <c r="I445" s="660"/>
      <c r="J445" s="660"/>
      <c r="K445" s="660"/>
      <c r="L445" s="660"/>
      <c r="M445" s="660"/>
      <c r="N445" s="660"/>
      <c r="O445" s="660"/>
      <c r="P445" s="660"/>
      <c r="Q445" s="660"/>
      <c r="R445" s="660"/>
      <c r="S445" s="660"/>
      <c r="T445" s="660"/>
      <c r="U445" s="660"/>
      <c r="V445" s="660"/>
      <c r="W445" s="660"/>
      <c r="X445" s="660"/>
      <c r="Y445" s="660"/>
      <c r="Z445" s="660"/>
      <c r="AA445" s="660"/>
      <c r="AB445" s="660"/>
      <c r="AC445" s="661"/>
      <c r="AD445" s="606"/>
      <c r="AE445" s="606"/>
      <c r="AF445" s="606"/>
      <c r="AG445" s="606"/>
    </row>
    <row r="446" spans="1:33" s="612" customFormat="1" hidden="1" outlineLevel="3" x14ac:dyDescent="0.2">
      <c r="A446" s="606"/>
      <c r="B446" s="606"/>
      <c r="C446" s="607"/>
      <c r="D446" s="608"/>
      <c r="E446" s="608"/>
      <c r="F446" s="608"/>
      <c r="G446" s="608"/>
      <c r="H446" s="609"/>
      <c r="I446" s="660"/>
      <c r="J446" s="660"/>
      <c r="K446" s="660"/>
      <c r="L446" s="660"/>
      <c r="M446" s="660"/>
      <c r="N446" s="660"/>
      <c r="O446" s="660"/>
      <c r="P446" s="660"/>
      <c r="Q446" s="660"/>
      <c r="R446" s="660"/>
      <c r="S446" s="660"/>
      <c r="T446" s="660"/>
      <c r="U446" s="660"/>
      <c r="V446" s="660"/>
      <c r="W446" s="660"/>
      <c r="X446" s="660"/>
      <c r="Y446" s="660"/>
      <c r="Z446" s="660"/>
      <c r="AA446" s="660"/>
      <c r="AB446" s="660"/>
      <c r="AC446" s="661"/>
      <c r="AD446" s="606"/>
      <c r="AE446" s="606"/>
      <c r="AF446" s="606"/>
      <c r="AG446" s="606"/>
    </row>
    <row r="447" spans="1:33" s="612" customFormat="1" hidden="1" outlineLevel="3" x14ac:dyDescent="0.2">
      <c r="A447" s="606"/>
      <c r="B447" s="606"/>
      <c r="C447" s="607"/>
      <c r="D447" s="608"/>
      <c r="E447" s="608"/>
      <c r="F447" s="608"/>
      <c r="G447" s="608"/>
      <c r="H447" s="609"/>
      <c r="I447" s="660"/>
      <c r="J447" s="660"/>
      <c r="K447" s="660"/>
      <c r="L447" s="660"/>
      <c r="M447" s="660"/>
      <c r="N447" s="660"/>
      <c r="O447" s="660"/>
      <c r="P447" s="660"/>
      <c r="Q447" s="660"/>
      <c r="R447" s="660"/>
      <c r="S447" s="660"/>
      <c r="T447" s="660"/>
      <c r="U447" s="660"/>
      <c r="V447" s="660"/>
      <c r="W447" s="660"/>
      <c r="X447" s="660"/>
      <c r="Y447" s="660"/>
      <c r="Z447" s="660"/>
      <c r="AA447" s="660"/>
      <c r="AB447" s="660"/>
      <c r="AC447" s="661"/>
      <c r="AD447" s="606"/>
      <c r="AE447" s="606"/>
      <c r="AF447" s="606"/>
      <c r="AG447" s="606"/>
    </row>
    <row r="448" spans="1:33" s="612" customFormat="1" outlineLevel="2" collapsed="1" x14ac:dyDescent="0.2">
      <c r="A448" s="606"/>
      <c r="B448" s="606"/>
      <c r="C448" s="620"/>
      <c r="D448" s="621"/>
      <c r="E448" s="609"/>
      <c r="F448" s="609"/>
      <c r="G448" s="609"/>
      <c r="H448" s="609"/>
      <c r="I448" s="662"/>
      <c r="J448" s="662"/>
      <c r="K448" s="661"/>
      <c r="L448" s="661"/>
      <c r="M448" s="661"/>
      <c r="N448" s="663"/>
      <c r="O448" s="663"/>
      <c r="P448" s="663"/>
      <c r="Q448" s="663"/>
      <c r="R448" s="663"/>
      <c r="S448" s="661"/>
      <c r="T448" s="661"/>
      <c r="U448" s="661"/>
      <c r="V448" s="661"/>
      <c r="W448" s="661"/>
      <c r="X448" s="661"/>
      <c r="Y448" s="661"/>
      <c r="Z448" s="661"/>
      <c r="AA448" s="661"/>
      <c r="AB448" s="661"/>
      <c r="AC448" s="661"/>
      <c r="AD448" s="606"/>
      <c r="AE448" s="606"/>
      <c r="AF448" s="606"/>
      <c r="AG448" s="606"/>
    </row>
    <row r="449" spans="1:33" s="612" customFormat="1" outlineLevel="1" x14ac:dyDescent="0.2">
      <c r="A449" s="606"/>
      <c r="B449" s="606"/>
      <c r="C449" s="613"/>
      <c r="D449" s="609"/>
      <c r="E449" s="609"/>
      <c r="F449" s="609"/>
      <c r="G449" s="609"/>
      <c r="H449" s="609"/>
      <c r="I449" s="662"/>
      <c r="J449" s="662"/>
      <c r="K449" s="661"/>
      <c r="L449" s="661"/>
      <c r="M449" s="661"/>
      <c r="N449" s="663"/>
      <c r="O449" s="663"/>
      <c r="P449" s="663"/>
      <c r="Q449" s="663"/>
      <c r="R449" s="663"/>
      <c r="S449" s="661"/>
      <c r="T449" s="661"/>
      <c r="U449" s="661"/>
      <c r="V449" s="661"/>
      <c r="W449" s="661"/>
      <c r="X449" s="661"/>
      <c r="Y449" s="661"/>
      <c r="Z449" s="661"/>
      <c r="AA449" s="661"/>
      <c r="AB449" s="661"/>
      <c r="AC449" s="661"/>
      <c r="AD449" s="606"/>
      <c r="AE449" s="606"/>
      <c r="AF449" s="606"/>
      <c r="AG449" s="606"/>
    </row>
    <row r="450" spans="1:33" s="612" customFormat="1" outlineLevel="1" x14ac:dyDescent="0.2">
      <c r="A450" s="606"/>
      <c r="B450" s="606"/>
      <c r="C450" s="616"/>
      <c r="D450" s="617"/>
      <c r="E450" s="617"/>
      <c r="F450" s="617"/>
      <c r="G450" s="618"/>
      <c r="H450" s="618"/>
      <c r="I450" s="661"/>
      <c r="J450" s="661"/>
      <c r="K450" s="661"/>
      <c r="L450" s="661"/>
      <c r="M450" s="661"/>
      <c r="N450" s="661"/>
      <c r="O450" s="661"/>
      <c r="P450" s="661"/>
      <c r="Q450" s="661"/>
      <c r="R450" s="661"/>
      <c r="S450" s="661"/>
      <c r="T450" s="661"/>
      <c r="U450" s="661"/>
      <c r="V450" s="661"/>
      <c r="W450" s="661"/>
      <c r="X450" s="661"/>
      <c r="Y450" s="661"/>
      <c r="Z450" s="661"/>
      <c r="AA450" s="661"/>
      <c r="AB450" s="661"/>
      <c r="AC450" s="661"/>
      <c r="AD450" s="606"/>
      <c r="AE450" s="606"/>
      <c r="AF450" s="606"/>
      <c r="AG450" s="606"/>
    </row>
    <row r="451" spans="1:33" s="612" customFormat="1" hidden="1" outlineLevel="2" x14ac:dyDescent="0.2">
      <c r="A451" s="606"/>
      <c r="B451" s="606"/>
      <c r="C451" s="607"/>
      <c r="D451" s="608"/>
      <c r="E451" s="608"/>
      <c r="F451" s="608"/>
      <c r="G451" s="608"/>
      <c r="H451" s="609"/>
      <c r="I451" s="660"/>
      <c r="J451" s="660"/>
      <c r="K451" s="660"/>
      <c r="L451" s="660"/>
      <c r="M451" s="660"/>
      <c r="N451" s="660"/>
      <c r="O451" s="660"/>
      <c r="P451" s="660"/>
      <c r="Q451" s="660"/>
      <c r="R451" s="660"/>
      <c r="S451" s="660"/>
      <c r="T451" s="660"/>
      <c r="U451" s="660"/>
      <c r="V451" s="660"/>
      <c r="W451" s="660"/>
      <c r="X451" s="660"/>
      <c r="Y451" s="660"/>
      <c r="Z451" s="660"/>
      <c r="AA451" s="660"/>
      <c r="AB451" s="660"/>
      <c r="AC451" s="661"/>
      <c r="AD451" s="606"/>
      <c r="AE451" s="606"/>
      <c r="AF451" s="606"/>
      <c r="AG451" s="606"/>
    </row>
    <row r="452" spans="1:33" s="612" customFormat="1" hidden="1" outlineLevel="2" x14ac:dyDescent="0.2">
      <c r="A452" s="606"/>
      <c r="B452" s="606"/>
      <c r="C452" s="607"/>
      <c r="D452" s="608"/>
      <c r="E452" s="608"/>
      <c r="F452" s="608"/>
      <c r="G452" s="608"/>
      <c r="H452" s="609"/>
      <c r="I452" s="660"/>
      <c r="J452" s="660"/>
      <c r="K452" s="660"/>
      <c r="L452" s="660"/>
      <c r="M452" s="660"/>
      <c r="N452" s="660"/>
      <c r="O452" s="660"/>
      <c r="P452" s="660"/>
      <c r="Q452" s="660"/>
      <c r="R452" s="660"/>
      <c r="S452" s="660"/>
      <c r="T452" s="660"/>
      <c r="U452" s="660"/>
      <c r="V452" s="660"/>
      <c r="W452" s="660"/>
      <c r="X452" s="660"/>
      <c r="Y452" s="660"/>
      <c r="Z452" s="660"/>
      <c r="AA452" s="660"/>
      <c r="AB452" s="660"/>
      <c r="AC452" s="661"/>
      <c r="AD452" s="606"/>
      <c r="AE452" s="606"/>
      <c r="AF452" s="606"/>
      <c r="AG452" s="606"/>
    </row>
    <row r="453" spans="1:33" s="612" customFormat="1" hidden="1" outlineLevel="2" x14ac:dyDescent="0.2">
      <c r="A453" s="606"/>
      <c r="B453" s="606"/>
      <c r="C453" s="607"/>
      <c r="D453" s="608"/>
      <c r="E453" s="608"/>
      <c r="F453" s="608"/>
      <c r="G453" s="608"/>
      <c r="H453" s="609"/>
      <c r="I453" s="660"/>
      <c r="J453" s="660"/>
      <c r="K453" s="660"/>
      <c r="L453" s="660"/>
      <c r="M453" s="660"/>
      <c r="N453" s="660"/>
      <c r="O453" s="660"/>
      <c r="P453" s="660"/>
      <c r="Q453" s="660"/>
      <c r="R453" s="660"/>
      <c r="S453" s="660"/>
      <c r="T453" s="660"/>
      <c r="U453" s="660"/>
      <c r="V453" s="660"/>
      <c r="W453" s="660"/>
      <c r="X453" s="660"/>
      <c r="Y453" s="660"/>
      <c r="Z453" s="660"/>
      <c r="AA453" s="660"/>
      <c r="AB453" s="660"/>
      <c r="AC453" s="661"/>
      <c r="AD453" s="606"/>
      <c r="AE453" s="606"/>
      <c r="AF453" s="606"/>
      <c r="AG453" s="606"/>
    </row>
    <row r="454" spans="1:33" s="612" customFormat="1" hidden="1" outlineLevel="2" x14ac:dyDescent="0.2">
      <c r="A454" s="606"/>
      <c r="B454" s="606"/>
      <c r="C454" s="607"/>
      <c r="D454" s="608"/>
      <c r="E454" s="608"/>
      <c r="F454" s="608"/>
      <c r="G454" s="608"/>
      <c r="H454" s="609"/>
      <c r="I454" s="660"/>
      <c r="J454" s="660"/>
      <c r="K454" s="660"/>
      <c r="L454" s="660"/>
      <c r="M454" s="660"/>
      <c r="N454" s="660"/>
      <c r="O454" s="660"/>
      <c r="P454" s="660"/>
      <c r="Q454" s="660"/>
      <c r="R454" s="660"/>
      <c r="S454" s="660"/>
      <c r="T454" s="660"/>
      <c r="U454" s="660"/>
      <c r="V454" s="660"/>
      <c r="W454" s="660"/>
      <c r="X454" s="660"/>
      <c r="Y454" s="660"/>
      <c r="Z454" s="660"/>
      <c r="AA454" s="660"/>
      <c r="AB454" s="660"/>
      <c r="AC454" s="661"/>
      <c r="AD454" s="606"/>
      <c r="AE454" s="606"/>
      <c r="AF454" s="606"/>
      <c r="AG454" s="606"/>
    </row>
    <row r="455" spans="1:33" s="612" customFormat="1" hidden="1" outlineLevel="2" x14ac:dyDescent="0.2">
      <c r="A455" s="606"/>
      <c r="B455" s="606"/>
      <c r="C455" s="607"/>
      <c r="D455" s="608"/>
      <c r="E455" s="608"/>
      <c r="F455" s="608"/>
      <c r="G455" s="608"/>
      <c r="H455" s="609"/>
      <c r="I455" s="660"/>
      <c r="J455" s="660"/>
      <c r="K455" s="660"/>
      <c r="L455" s="660"/>
      <c r="M455" s="660"/>
      <c r="N455" s="660"/>
      <c r="O455" s="660"/>
      <c r="P455" s="660"/>
      <c r="Q455" s="660"/>
      <c r="R455" s="660"/>
      <c r="S455" s="660"/>
      <c r="T455" s="660"/>
      <c r="U455" s="660"/>
      <c r="V455" s="660"/>
      <c r="W455" s="660"/>
      <c r="X455" s="660"/>
      <c r="Y455" s="660"/>
      <c r="Z455" s="660"/>
      <c r="AA455" s="660"/>
      <c r="AB455" s="660"/>
      <c r="AC455" s="661"/>
      <c r="AD455" s="606"/>
      <c r="AE455" s="606"/>
      <c r="AF455" s="606"/>
      <c r="AG455" s="606"/>
    </row>
    <row r="456" spans="1:33" s="612" customFormat="1" hidden="1" outlineLevel="2" x14ac:dyDescent="0.2">
      <c r="A456" s="606"/>
      <c r="B456" s="606"/>
      <c r="C456" s="607"/>
      <c r="D456" s="608"/>
      <c r="E456" s="608"/>
      <c r="F456" s="608"/>
      <c r="G456" s="608"/>
      <c r="H456" s="609"/>
      <c r="I456" s="660"/>
      <c r="J456" s="660"/>
      <c r="K456" s="660"/>
      <c r="L456" s="660"/>
      <c r="M456" s="660"/>
      <c r="N456" s="660"/>
      <c r="O456" s="660"/>
      <c r="P456" s="660"/>
      <c r="Q456" s="660"/>
      <c r="R456" s="660"/>
      <c r="S456" s="660"/>
      <c r="T456" s="660"/>
      <c r="U456" s="660"/>
      <c r="V456" s="660"/>
      <c r="W456" s="660"/>
      <c r="X456" s="660"/>
      <c r="Y456" s="660"/>
      <c r="Z456" s="660"/>
      <c r="AA456" s="660"/>
      <c r="AB456" s="660"/>
      <c r="AC456" s="661"/>
      <c r="AD456" s="606"/>
      <c r="AE456" s="606"/>
      <c r="AF456" s="606"/>
      <c r="AG456" s="606"/>
    </row>
    <row r="457" spans="1:33" s="612" customFormat="1" hidden="1" outlineLevel="2" x14ac:dyDescent="0.2">
      <c r="A457" s="606"/>
      <c r="B457" s="606"/>
      <c r="C457" s="607"/>
      <c r="D457" s="608"/>
      <c r="E457" s="608"/>
      <c r="F457" s="608"/>
      <c r="G457" s="608"/>
      <c r="H457" s="609"/>
      <c r="I457" s="660"/>
      <c r="J457" s="660"/>
      <c r="K457" s="660"/>
      <c r="L457" s="660"/>
      <c r="M457" s="660"/>
      <c r="N457" s="660"/>
      <c r="O457" s="660"/>
      <c r="P457" s="660"/>
      <c r="Q457" s="660"/>
      <c r="R457" s="660"/>
      <c r="S457" s="660"/>
      <c r="T457" s="660"/>
      <c r="U457" s="660"/>
      <c r="V457" s="660"/>
      <c r="W457" s="660"/>
      <c r="X457" s="660"/>
      <c r="Y457" s="660"/>
      <c r="Z457" s="660"/>
      <c r="AA457" s="660"/>
      <c r="AB457" s="660"/>
      <c r="AC457" s="661"/>
      <c r="AD457" s="606"/>
      <c r="AE457" s="606"/>
      <c r="AF457" s="606"/>
      <c r="AG457" s="606"/>
    </row>
    <row r="458" spans="1:33" s="612" customFormat="1" hidden="1" outlineLevel="2" x14ac:dyDescent="0.2">
      <c r="A458" s="606"/>
      <c r="B458" s="606"/>
      <c r="C458" s="607"/>
      <c r="D458" s="608"/>
      <c r="E458" s="608"/>
      <c r="F458" s="608"/>
      <c r="G458" s="608"/>
      <c r="H458" s="609"/>
      <c r="I458" s="660"/>
      <c r="J458" s="660"/>
      <c r="K458" s="660"/>
      <c r="L458" s="660"/>
      <c r="M458" s="660"/>
      <c r="N458" s="660"/>
      <c r="O458" s="660"/>
      <c r="P458" s="660"/>
      <c r="Q458" s="660"/>
      <c r="R458" s="660"/>
      <c r="S458" s="660"/>
      <c r="T458" s="660"/>
      <c r="U458" s="660"/>
      <c r="V458" s="660"/>
      <c r="W458" s="660"/>
      <c r="X458" s="660"/>
      <c r="Y458" s="660"/>
      <c r="Z458" s="660"/>
      <c r="AA458" s="660"/>
      <c r="AB458" s="660"/>
      <c r="AC458" s="661"/>
      <c r="AD458" s="606"/>
      <c r="AE458" s="606"/>
      <c r="AF458" s="606"/>
      <c r="AG458" s="606"/>
    </row>
    <row r="459" spans="1:33" s="612" customFormat="1" hidden="1" outlineLevel="2" x14ac:dyDescent="0.2">
      <c r="A459" s="606"/>
      <c r="B459" s="606"/>
      <c r="C459" s="607"/>
      <c r="D459" s="608"/>
      <c r="E459" s="608"/>
      <c r="F459" s="608"/>
      <c r="G459" s="608"/>
      <c r="H459" s="609"/>
      <c r="I459" s="660"/>
      <c r="J459" s="660"/>
      <c r="K459" s="660"/>
      <c r="L459" s="660"/>
      <c r="M459" s="660"/>
      <c r="N459" s="660"/>
      <c r="O459" s="660"/>
      <c r="P459" s="660"/>
      <c r="Q459" s="660"/>
      <c r="R459" s="660"/>
      <c r="S459" s="660"/>
      <c r="T459" s="660"/>
      <c r="U459" s="660"/>
      <c r="V459" s="660"/>
      <c r="W459" s="660"/>
      <c r="X459" s="660"/>
      <c r="Y459" s="660"/>
      <c r="Z459" s="660"/>
      <c r="AA459" s="660"/>
      <c r="AB459" s="660"/>
      <c r="AC459" s="661"/>
      <c r="AD459" s="606"/>
      <c r="AE459" s="606"/>
      <c r="AF459" s="606"/>
      <c r="AG459" s="606"/>
    </row>
    <row r="460" spans="1:33" s="612" customFormat="1" hidden="1" outlineLevel="2" x14ac:dyDescent="0.2">
      <c r="A460" s="606"/>
      <c r="B460" s="606"/>
      <c r="C460" s="607"/>
      <c r="D460" s="608"/>
      <c r="E460" s="608"/>
      <c r="F460" s="608"/>
      <c r="G460" s="608"/>
      <c r="H460" s="609"/>
      <c r="I460" s="660"/>
      <c r="J460" s="660"/>
      <c r="K460" s="660"/>
      <c r="L460" s="660"/>
      <c r="M460" s="660"/>
      <c r="N460" s="660"/>
      <c r="O460" s="660"/>
      <c r="P460" s="660"/>
      <c r="Q460" s="660"/>
      <c r="R460" s="660"/>
      <c r="S460" s="660"/>
      <c r="T460" s="660"/>
      <c r="U460" s="660"/>
      <c r="V460" s="660"/>
      <c r="W460" s="660"/>
      <c r="X460" s="660"/>
      <c r="Y460" s="660"/>
      <c r="Z460" s="660"/>
      <c r="AA460" s="660"/>
      <c r="AB460" s="660"/>
      <c r="AC460" s="661"/>
      <c r="AD460" s="606"/>
      <c r="AE460" s="606"/>
      <c r="AF460" s="606"/>
      <c r="AG460" s="606"/>
    </row>
    <row r="461" spans="1:33" s="612" customFormat="1" hidden="1" outlineLevel="2" x14ac:dyDescent="0.2">
      <c r="A461" s="606"/>
      <c r="B461" s="606"/>
      <c r="C461" s="607"/>
      <c r="D461" s="608"/>
      <c r="E461" s="608"/>
      <c r="F461" s="608"/>
      <c r="G461" s="608"/>
      <c r="H461" s="609"/>
      <c r="I461" s="660"/>
      <c r="J461" s="660"/>
      <c r="K461" s="660"/>
      <c r="L461" s="660"/>
      <c r="M461" s="660"/>
      <c r="N461" s="660"/>
      <c r="O461" s="660"/>
      <c r="P461" s="660"/>
      <c r="Q461" s="660"/>
      <c r="R461" s="660"/>
      <c r="S461" s="660"/>
      <c r="T461" s="660"/>
      <c r="U461" s="660"/>
      <c r="V461" s="660"/>
      <c r="W461" s="660"/>
      <c r="X461" s="660"/>
      <c r="Y461" s="660"/>
      <c r="Z461" s="660"/>
      <c r="AA461" s="660"/>
      <c r="AB461" s="660"/>
      <c r="AC461" s="661"/>
      <c r="AD461" s="606"/>
      <c r="AE461" s="606"/>
      <c r="AF461" s="606"/>
      <c r="AG461" s="606"/>
    </row>
    <row r="462" spans="1:33" s="612" customFormat="1" hidden="1" outlineLevel="3" x14ac:dyDescent="0.2">
      <c r="A462" s="606"/>
      <c r="B462" s="606"/>
      <c r="C462" s="607"/>
      <c r="D462" s="608"/>
      <c r="E462" s="608"/>
      <c r="F462" s="608"/>
      <c r="G462" s="608"/>
      <c r="H462" s="609"/>
      <c r="I462" s="660"/>
      <c r="J462" s="660"/>
      <c r="K462" s="660"/>
      <c r="L462" s="660"/>
      <c r="M462" s="660"/>
      <c r="N462" s="660"/>
      <c r="O462" s="660"/>
      <c r="P462" s="660"/>
      <c r="Q462" s="660"/>
      <c r="R462" s="660"/>
      <c r="S462" s="660"/>
      <c r="T462" s="660"/>
      <c r="U462" s="660"/>
      <c r="V462" s="660"/>
      <c r="W462" s="660"/>
      <c r="X462" s="660"/>
      <c r="Y462" s="660"/>
      <c r="Z462" s="660"/>
      <c r="AA462" s="660"/>
      <c r="AB462" s="660"/>
      <c r="AC462" s="661"/>
      <c r="AD462" s="606"/>
      <c r="AE462" s="606"/>
      <c r="AF462" s="606"/>
      <c r="AG462" s="606"/>
    </row>
    <row r="463" spans="1:33" s="612" customFormat="1" hidden="1" outlineLevel="3" x14ac:dyDescent="0.2">
      <c r="A463" s="606"/>
      <c r="B463" s="606"/>
      <c r="C463" s="607"/>
      <c r="D463" s="608"/>
      <c r="E463" s="608"/>
      <c r="F463" s="608"/>
      <c r="G463" s="608"/>
      <c r="H463" s="609"/>
      <c r="I463" s="660"/>
      <c r="J463" s="660"/>
      <c r="K463" s="660"/>
      <c r="L463" s="660"/>
      <c r="M463" s="660"/>
      <c r="N463" s="660"/>
      <c r="O463" s="660"/>
      <c r="P463" s="660"/>
      <c r="Q463" s="660"/>
      <c r="R463" s="660"/>
      <c r="S463" s="660"/>
      <c r="T463" s="660"/>
      <c r="U463" s="660"/>
      <c r="V463" s="660"/>
      <c r="W463" s="660"/>
      <c r="X463" s="660"/>
      <c r="Y463" s="660"/>
      <c r="Z463" s="660"/>
      <c r="AA463" s="660"/>
      <c r="AB463" s="660"/>
      <c r="AC463" s="661"/>
      <c r="AD463" s="606"/>
      <c r="AE463" s="606"/>
      <c r="AF463" s="606"/>
      <c r="AG463" s="606"/>
    </row>
    <row r="464" spans="1:33" s="612" customFormat="1" hidden="1" outlineLevel="3" x14ac:dyDescent="0.2">
      <c r="A464" s="606"/>
      <c r="B464" s="606"/>
      <c r="C464" s="607"/>
      <c r="D464" s="608"/>
      <c r="E464" s="608"/>
      <c r="F464" s="608"/>
      <c r="G464" s="608"/>
      <c r="H464" s="609"/>
      <c r="I464" s="660"/>
      <c r="J464" s="660"/>
      <c r="K464" s="660"/>
      <c r="L464" s="660"/>
      <c r="M464" s="660"/>
      <c r="N464" s="660"/>
      <c r="O464" s="660"/>
      <c r="P464" s="660"/>
      <c r="Q464" s="660"/>
      <c r="R464" s="660"/>
      <c r="S464" s="660"/>
      <c r="T464" s="660"/>
      <c r="U464" s="660"/>
      <c r="V464" s="660"/>
      <c r="W464" s="660"/>
      <c r="X464" s="660"/>
      <c r="Y464" s="660"/>
      <c r="Z464" s="660"/>
      <c r="AA464" s="660"/>
      <c r="AB464" s="660"/>
      <c r="AC464" s="661"/>
      <c r="AD464" s="606"/>
      <c r="AE464" s="606"/>
      <c r="AF464" s="606"/>
      <c r="AG464" s="606"/>
    </row>
    <row r="465" spans="1:33" s="612" customFormat="1" hidden="1" outlineLevel="3" x14ac:dyDescent="0.2">
      <c r="A465" s="606"/>
      <c r="B465" s="606"/>
      <c r="C465" s="607"/>
      <c r="D465" s="608"/>
      <c r="E465" s="608"/>
      <c r="F465" s="608"/>
      <c r="G465" s="608"/>
      <c r="H465" s="609"/>
      <c r="I465" s="660"/>
      <c r="J465" s="660"/>
      <c r="K465" s="660"/>
      <c r="L465" s="660"/>
      <c r="M465" s="660"/>
      <c r="N465" s="660"/>
      <c r="O465" s="660"/>
      <c r="P465" s="660"/>
      <c r="Q465" s="660"/>
      <c r="R465" s="660"/>
      <c r="S465" s="660"/>
      <c r="T465" s="660"/>
      <c r="U465" s="660"/>
      <c r="V465" s="660"/>
      <c r="W465" s="660"/>
      <c r="X465" s="660"/>
      <c r="Y465" s="660"/>
      <c r="Z465" s="660"/>
      <c r="AA465" s="660"/>
      <c r="AB465" s="660"/>
      <c r="AC465" s="661"/>
      <c r="AD465" s="606"/>
      <c r="AE465" s="606"/>
      <c r="AF465" s="606"/>
      <c r="AG465" s="606"/>
    </row>
    <row r="466" spans="1:33" s="612" customFormat="1" hidden="1" outlineLevel="3" x14ac:dyDescent="0.2">
      <c r="A466" s="606"/>
      <c r="B466" s="606"/>
      <c r="C466" s="607"/>
      <c r="D466" s="608"/>
      <c r="E466" s="608"/>
      <c r="F466" s="608"/>
      <c r="G466" s="608"/>
      <c r="H466" s="609"/>
      <c r="I466" s="660"/>
      <c r="J466" s="660"/>
      <c r="K466" s="660"/>
      <c r="L466" s="660"/>
      <c r="M466" s="660"/>
      <c r="N466" s="660"/>
      <c r="O466" s="660"/>
      <c r="P466" s="660"/>
      <c r="Q466" s="660"/>
      <c r="R466" s="660"/>
      <c r="S466" s="660"/>
      <c r="T466" s="660"/>
      <c r="U466" s="660"/>
      <c r="V466" s="660"/>
      <c r="W466" s="660"/>
      <c r="X466" s="660"/>
      <c r="Y466" s="660"/>
      <c r="Z466" s="660"/>
      <c r="AA466" s="660"/>
      <c r="AB466" s="660"/>
      <c r="AC466" s="661"/>
      <c r="AD466" s="606"/>
      <c r="AE466" s="606"/>
      <c r="AF466" s="606"/>
      <c r="AG466" s="606"/>
    </row>
    <row r="467" spans="1:33" s="612" customFormat="1" hidden="1" outlineLevel="3" x14ac:dyDescent="0.2">
      <c r="A467" s="606"/>
      <c r="B467" s="606"/>
      <c r="C467" s="607"/>
      <c r="D467" s="608"/>
      <c r="E467" s="608"/>
      <c r="F467" s="608"/>
      <c r="G467" s="608"/>
      <c r="H467" s="609"/>
      <c r="I467" s="660"/>
      <c r="J467" s="660"/>
      <c r="K467" s="660"/>
      <c r="L467" s="660"/>
      <c r="M467" s="660"/>
      <c r="N467" s="660"/>
      <c r="O467" s="660"/>
      <c r="P467" s="660"/>
      <c r="Q467" s="660"/>
      <c r="R467" s="660"/>
      <c r="S467" s="660"/>
      <c r="T467" s="660"/>
      <c r="U467" s="660"/>
      <c r="V467" s="660"/>
      <c r="W467" s="660"/>
      <c r="X467" s="660"/>
      <c r="Y467" s="660"/>
      <c r="Z467" s="660"/>
      <c r="AA467" s="660"/>
      <c r="AB467" s="660"/>
      <c r="AC467" s="661"/>
      <c r="AD467" s="606"/>
      <c r="AE467" s="606"/>
      <c r="AF467" s="606"/>
      <c r="AG467" s="606"/>
    </row>
    <row r="468" spans="1:33" s="612" customFormat="1" hidden="1" outlineLevel="3" x14ac:dyDescent="0.2">
      <c r="A468" s="606"/>
      <c r="B468" s="606"/>
      <c r="C468" s="607"/>
      <c r="D468" s="608"/>
      <c r="E468" s="608"/>
      <c r="F468" s="608"/>
      <c r="G468" s="608"/>
      <c r="H468" s="609"/>
      <c r="I468" s="660"/>
      <c r="J468" s="660"/>
      <c r="K468" s="660"/>
      <c r="L468" s="660"/>
      <c r="M468" s="660"/>
      <c r="N468" s="660"/>
      <c r="O468" s="660"/>
      <c r="P468" s="660"/>
      <c r="Q468" s="660"/>
      <c r="R468" s="660"/>
      <c r="S468" s="660"/>
      <c r="T468" s="660"/>
      <c r="U468" s="660"/>
      <c r="V468" s="660"/>
      <c r="W468" s="660"/>
      <c r="X468" s="660"/>
      <c r="Y468" s="660"/>
      <c r="Z468" s="660"/>
      <c r="AA468" s="660"/>
      <c r="AB468" s="660"/>
      <c r="AC468" s="661"/>
      <c r="AD468" s="606"/>
      <c r="AE468" s="606"/>
      <c r="AF468" s="606"/>
      <c r="AG468" s="606"/>
    </row>
    <row r="469" spans="1:33" s="612" customFormat="1" hidden="1" outlineLevel="3" x14ac:dyDescent="0.2">
      <c r="A469" s="606"/>
      <c r="B469" s="606"/>
      <c r="C469" s="607"/>
      <c r="D469" s="608"/>
      <c r="E469" s="608"/>
      <c r="F469" s="608"/>
      <c r="G469" s="608"/>
      <c r="H469" s="609"/>
      <c r="I469" s="660"/>
      <c r="J469" s="660"/>
      <c r="K469" s="660"/>
      <c r="L469" s="660"/>
      <c r="M469" s="660"/>
      <c r="N469" s="660"/>
      <c r="O469" s="660"/>
      <c r="P469" s="660"/>
      <c r="Q469" s="660"/>
      <c r="R469" s="660"/>
      <c r="S469" s="660"/>
      <c r="T469" s="660"/>
      <c r="U469" s="660"/>
      <c r="V469" s="660"/>
      <c r="W469" s="660"/>
      <c r="X469" s="660"/>
      <c r="Y469" s="660"/>
      <c r="Z469" s="660"/>
      <c r="AA469" s="660"/>
      <c r="AB469" s="660"/>
      <c r="AC469" s="661"/>
      <c r="AD469" s="606"/>
      <c r="AE469" s="606"/>
      <c r="AF469" s="606"/>
      <c r="AG469" s="606"/>
    </row>
    <row r="470" spans="1:33" s="612" customFormat="1" hidden="1" outlineLevel="3" x14ac:dyDescent="0.2">
      <c r="A470" s="606"/>
      <c r="B470" s="606"/>
      <c r="C470" s="607"/>
      <c r="D470" s="608"/>
      <c r="E470" s="608"/>
      <c r="F470" s="608"/>
      <c r="G470" s="608"/>
      <c r="H470" s="609"/>
      <c r="I470" s="660"/>
      <c r="J470" s="660"/>
      <c r="K470" s="660"/>
      <c r="L470" s="660"/>
      <c r="M470" s="660"/>
      <c r="N470" s="660"/>
      <c r="O470" s="660"/>
      <c r="P470" s="660"/>
      <c r="Q470" s="660"/>
      <c r="R470" s="660"/>
      <c r="S470" s="660"/>
      <c r="T470" s="660"/>
      <c r="U470" s="660"/>
      <c r="V470" s="660"/>
      <c r="W470" s="660"/>
      <c r="X470" s="660"/>
      <c r="Y470" s="660"/>
      <c r="Z470" s="660"/>
      <c r="AA470" s="660"/>
      <c r="AB470" s="660"/>
      <c r="AC470" s="661"/>
      <c r="AD470" s="606"/>
      <c r="AE470" s="606"/>
      <c r="AF470" s="606"/>
      <c r="AG470" s="606"/>
    </row>
    <row r="471" spans="1:33" s="612" customFormat="1" hidden="1" outlineLevel="3" x14ac:dyDescent="0.2">
      <c r="A471" s="606"/>
      <c r="B471" s="606"/>
      <c r="C471" s="607"/>
      <c r="D471" s="608"/>
      <c r="E471" s="608"/>
      <c r="F471" s="608"/>
      <c r="G471" s="608"/>
      <c r="H471" s="609"/>
      <c r="I471" s="660"/>
      <c r="J471" s="660"/>
      <c r="K471" s="660"/>
      <c r="L471" s="660"/>
      <c r="M471" s="660"/>
      <c r="N471" s="660"/>
      <c r="O471" s="660"/>
      <c r="P471" s="660"/>
      <c r="Q471" s="660"/>
      <c r="R471" s="660"/>
      <c r="S471" s="660"/>
      <c r="T471" s="660"/>
      <c r="U471" s="660"/>
      <c r="V471" s="660"/>
      <c r="W471" s="660"/>
      <c r="X471" s="660"/>
      <c r="Y471" s="660"/>
      <c r="Z471" s="660"/>
      <c r="AA471" s="660"/>
      <c r="AB471" s="660"/>
      <c r="AC471" s="661"/>
      <c r="AD471" s="606"/>
      <c r="AE471" s="606"/>
      <c r="AF471" s="606"/>
      <c r="AG471" s="606"/>
    </row>
    <row r="472" spans="1:33" s="612" customFormat="1" hidden="1" outlineLevel="3" x14ac:dyDescent="0.2">
      <c r="A472" s="606"/>
      <c r="B472" s="606"/>
      <c r="C472" s="607"/>
      <c r="D472" s="608"/>
      <c r="E472" s="608"/>
      <c r="F472" s="608"/>
      <c r="G472" s="608"/>
      <c r="H472" s="609"/>
      <c r="I472" s="660"/>
      <c r="J472" s="660"/>
      <c r="K472" s="660"/>
      <c r="L472" s="660"/>
      <c r="M472" s="660"/>
      <c r="N472" s="660"/>
      <c r="O472" s="660"/>
      <c r="P472" s="660"/>
      <c r="Q472" s="660"/>
      <c r="R472" s="660"/>
      <c r="S472" s="660"/>
      <c r="T472" s="660"/>
      <c r="U472" s="660"/>
      <c r="V472" s="660"/>
      <c r="W472" s="660"/>
      <c r="X472" s="660"/>
      <c r="Y472" s="660"/>
      <c r="Z472" s="660"/>
      <c r="AA472" s="660"/>
      <c r="AB472" s="660"/>
      <c r="AC472" s="661"/>
      <c r="AD472" s="606"/>
      <c r="AE472" s="606"/>
      <c r="AF472" s="606"/>
      <c r="AG472" s="606"/>
    </row>
    <row r="473" spans="1:33" s="612" customFormat="1" hidden="1" outlineLevel="3" x14ac:dyDescent="0.2">
      <c r="A473" s="606"/>
      <c r="B473" s="606"/>
      <c r="C473" s="607"/>
      <c r="D473" s="608"/>
      <c r="E473" s="608"/>
      <c r="F473" s="608"/>
      <c r="G473" s="608"/>
      <c r="H473" s="609"/>
      <c r="I473" s="660"/>
      <c r="J473" s="660"/>
      <c r="K473" s="660"/>
      <c r="L473" s="660"/>
      <c r="M473" s="660"/>
      <c r="N473" s="660"/>
      <c r="O473" s="660"/>
      <c r="P473" s="660"/>
      <c r="Q473" s="660"/>
      <c r="R473" s="660"/>
      <c r="S473" s="660"/>
      <c r="T473" s="660"/>
      <c r="U473" s="660"/>
      <c r="V473" s="660"/>
      <c r="W473" s="660"/>
      <c r="X473" s="660"/>
      <c r="Y473" s="660"/>
      <c r="Z473" s="660"/>
      <c r="AA473" s="660"/>
      <c r="AB473" s="660"/>
      <c r="AC473" s="661"/>
      <c r="AD473" s="606"/>
      <c r="AE473" s="606"/>
      <c r="AF473" s="606"/>
      <c r="AG473" s="606"/>
    </row>
    <row r="474" spans="1:33" s="612" customFormat="1" hidden="1" outlineLevel="3" x14ac:dyDescent="0.2">
      <c r="A474" s="606"/>
      <c r="B474" s="606"/>
      <c r="C474" s="607"/>
      <c r="D474" s="608"/>
      <c r="E474" s="608"/>
      <c r="F474" s="608"/>
      <c r="G474" s="608"/>
      <c r="H474" s="609"/>
      <c r="I474" s="660"/>
      <c r="J474" s="660"/>
      <c r="K474" s="660"/>
      <c r="L474" s="660"/>
      <c r="M474" s="660"/>
      <c r="N474" s="660"/>
      <c r="O474" s="660"/>
      <c r="P474" s="660"/>
      <c r="Q474" s="660"/>
      <c r="R474" s="660"/>
      <c r="S474" s="660"/>
      <c r="T474" s="660"/>
      <c r="U474" s="660"/>
      <c r="V474" s="660"/>
      <c r="W474" s="660"/>
      <c r="X474" s="660"/>
      <c r="Y474" s="660"/>
      <c r="Z474" s="660"/>
      <c r="AA474" s="660"/>
      <c r="AB474" s="660"/>
      <c r="AC474" s="661"/>
      <c r="AD474" s="606"/>
      <c r="AE474" s="606"/>
      <c r="AF474" s="606"/>
      <c r="AG474" s="606"/>
    </row>
    <row r="475" spans="1:33" s="612" customFormat="1" hidden="1" outlineLevel="3" x14ac:dyDescent="0.2">
      <c r="A475" s="606"/>
      <c r="B475" s="606"/>
      <c r="C475" s="607"/>
      <c r="D475" s="608"/>
      <c r="E475" s="608"/>
      <c r="F475" s="608"/>
      <c r="G475" s="608"/>
      <c r="H475" s="609"/>
      <c r="I475" s="660"/>
      <c r="J475" s="660"/>
      <c r="K475" s="660"/>
      <c r="L475" s="660"/>
      <c r="M475" s="660"/>
      <c r="N475" s="660"/>
      <c r="O475" s="660"/>
      <c r="P475" s="660"/>
      <c r="Q475" s="660"/>
      <c r="R475" s="660"/>
      <c r="S475" s="660"/>
      <c r="T475" s="660"/>
      <c r="U475" s="660"/>
      <c r="V475" s="660"/>
      <c r="W475" s="660"/>
      <c r="X475" s="660"/>
      <c r="Y475" s="660"/>
      <c r="Z475" s="660"/>
      <c r="AA475" s="660"/>
      <c r="AB475" s="660"/>
      <c r="AC475" s="661"/>
      <c r="AD475" s="606"/>
      <c r="AE475" s="606"/>
      <c r="AF475" s="606"/>
      <c r="AG475" s="606"/>
    </row>
    <row r="476" spans="1:33" s="612" customFormat="1" hidden="1" outlineLevel="3" x14ac:dyDescent="0.2">
      <c r="A476" s="606"/>
      <c r="B476" s="606"/>
      <c r="C476" s="607"/>
      <c r="D476" s="608"/>
      <c r="E476" s="608"/>
      <c r="F476" s="608"/>
      <c r="G476" s="608"/>
      <c r="H476" s="609"/>
      <c r="I476" s="660"/>
      <c r="J476" s="660"/>
      <c r="K476" s="660"/>
      <c r="L476" s="660"/>
      <c r="M476" s="660"/>
      <c r="N476" s="660"/>
      <c r="O476" s="660"/>
      <c r="P476" s="660"/>
      <c r="Q476" s="660"/>
      <c r="R476" s="660"/>
      <c r="S476" s="660"/>
      <c r="T476" s="660"/>
      <c r="U476" s="660"/>
      <c r="V476" s="660"/>
      <c r="W476" s="660"/>
      <c r="X476" s="660"/>
      <c r="Y476" s="660"/>
      <c r="Z476" s="660"/>
      <c r="AA476" s="660"/>
      <c r="AB476" s="660"/>
      <c r="AC476" s="661"/>
      <c r="AD476" s="606"/>
      <c r="AE476" s="606"/>
      <c r="AF476" s="606"/>
      <c r="AG476" s="606"/>
    </row>
    <row r="477" spans="1:33" s="612" customFormat="1" hidden="1" outlineLevel="3" x14ac:dyDescent="0.2">
      <c r="A477" s="606"/>
      <c r="B477" s="606"/>
      <c r="C477" s="607"/>
      <c r="D477" s="608"/>
      <c r="E477" s="608"/>
      <c r="F477" s="608"/>
      <c r="G477" s="608"/>
      <c r="H477" s="609"/>
      <c r="I477" s="660"/>
      <c r="J477" s="660"/>
      <c r="K477" s="660"/>
      <c r="L477" s="660"/>
      <c r="M477" s="660"/>
      <c r="N477" s="660"/>
      <c r="O477" s="660"/>
      <c r="P477" s="660"/>
      <c r="Q477" s="660"/>
      <c r="R477" s="660"/>
      <c r="S477" s="660"/>
      <c r="T477" s="660"/>
      <c r="U477" s="660"/>
      <c r="V477" s="660"/>
      <c r="W477" s="660"/>
      <c r="X477" s="660"/>
      <c r="Y477" s="660"/>
      <c r="Z477" s="660"/>
      <c r="AA477" s="660"/>
      <c r="AB477" s="660"/>
      <c r="AC477" s="661"/>
      <c r="AD477" s="606"/>
      <c r="AE477" s="606"/>
      <c r="AF477" s="606"/>
      <c r="AG477" s="606"/>
    </row>
    <row r="478" spans="1:33" s="612" customFormat="1" hidden="1" outlineLevel="3" x14ac:dyDescent="0.2">
      <c r="A478" s="606"/>
      <c r="B478" s="606"/>
      <c r="C478" s="607"/>
      <c r="D478" s="608"/>
      <c r="E478" s="608"/>
      <c r="F478" s="608"/>
      <c r="G478" s="608"/>
      <c r="H478" s="609"/>
      <c r="I478" s="660"/>
      <c r="J478" s="660"/>
      <c r="K478" s="660"/>
      <c r="L478" s="660"/>
      <c r="M478" s="660"/>
      <c r="N478" s="660"/>
      <c r="O478" s="660"/>
      <c r="P478" s="660"/>
      <c r="Q478" s="660"/>
      <c r="R478" s="660"/>
      <c r="S478" s="660"/>
      <c r="T478" s="660"/>
      <c r="U478" s="660"/>
      <c r="V478" s="660"/>
      <c r="W478" s="660"/>
      <c r="X478" s="660"/>
      <c r="Y478" s="660"/>
      <c r="Z478" s="660"/>
      <c r="AA478" s="660"/>
      <c r="AB478" s="660"/>
      <c r="AC478" s="661"/>
      <c r="AD478" s="606"/>
      <c r="AE478" s="606"/>
      <c r="AF478" s="606"/>
      <c r="AG478" s="606"/>
    </row>
    <row r="479" spans="1:33" s="612" customFormat="1" hidden="1" outlineLevel="3" x14ac:dyDescent="0.2">
      <c r="A479" s="606"/>
      <c r="B479" s="606"/>
      <c r="C479" s="607"/>
      <c r="D479" s="608"/>
      <c r="E479" s="608"/>
      <c r="F479" s="608"/>
      <c r="G479" s="608"/>
      <c r="H479" s="609"/>
      <c r="I479" s="660"/>
      <c r="J479" s="660"/>
      <c r="K479" s="660"/>
      <c r="L479" s="660"/>
      <c r="M479" s="660"/>
      <c r="N479" s="660"/>
      <c r="O479" s="660"/>
      <c r="P479" s="660"/>
      <c r="Q479" s="660"/>
      <c r="R479" s="660"/>
      <c r="S479" s="660"/>
      <c r="T479" s="660"/>
      <c r="U479" s="660"/>
      <c r="V479" s="660"/>
      <c r="W479" s="660"/>
      <c r="X479" s="660"/>
      <c r="Y479" s="660"/>
      <c r="Z479" s="660"/>
      <c r="AA479" s="660"/>
      <c r="AB479" s="660"/>
      <c r="AC479" s="661"/>
      <c r="AD479" s="606"/>
      <c r="AE479" s="606"/>
      <c r="AF479" s="606"/>
      <c r="AG479" s="606"/>
    </row>
    <row r="480" spans="1:33" s="612" customFormat="1" hidden="1" outlineLevel="3" x14ac:dyDescent="0.2">
      <c r="A480" s="606"/>
      <c r="B480" s="606"/>
      <c r="C480" s="607"/>
      <c r="D480" s="608"/>
      <c r="E480" s="608"/>
      <c r="F480" s="608"/>
      <c r="G480" s="608"/>
      <c r="H480" s="609"/>
      <c r="I480" s="660"/>
      <c r="J480" s="660"/>
      <c r="K480" s="660"/>
      <c r="L480" s="660"/>
      <c r="M480" s="660"/>
      <c r="N480" s="660"/>
      <c r="O480" s="660"/>
      <c r="P480" s="660"/>
      <c r="Q480" s="660"/>
      <c r="R480" s="660"/>
      <c r="S480" s="660"/>
      <c r="T480" s="660"/>
      <c r="U480" s="660"/>
      <c r="V480" s="660"/>
      <c r="W480" s="660"/>
      <c r="X480" s="660"/>
      <c r="Y480" s="660"/>
      <c r="Z480" s="660"/>
      <c r="AA480" s="660"/>
      <c r="AB480" s="660"/>
      <c r="AC480" s="661"/>
      <c r="AD480" s="606"/>
      <c r="AE480" s="606"/>
      <c r="AF480" s="606"/>
      <c r="AG480" s="606"/>
    </row>
    <row r="481" spans="1:33" s="612" customFormat="1" hidden="1" outlineLevel="3" x14ac:dyDescent="0.2">
      <c r="A481" s="606"/>
      <c r="B481" s="606"/>
      <c r="C481" s="607"/>
      <c r="D481" s="608"/>
      <c r="E481" s="608"/>
      <c r="F481" s="608"/>
      <c r="G481" s="608"/>
      <c r="H481" s="609"/>
      <c r="I481" s="660"/>
      <c r="J481" s="660"/>
      <c r="K481" s="660"/>
      <c r="L481" s="660"/>
      <c r="M481" s="660"/>
      <c r="N481" s="660"/>
      <c r="O481" s="660"/>
      <c r="P481" s="660"/>
      <c r="Q481" s="660"/>
      <c r="R481" s="660"/>
      <c r="S481" s="660"/>
      <c r="T481" s="660"/>
      <c r="U481" s="660"/>
      <c r="V481" s="660"/>
      <c r="W481" s="660"/>
      <c r="X481" s="660"/>
      <c r="Y481" s="660"/>
      <c r="Z481" s="660"/>
      <c r="AA481" s="660"/>
      <c r="AB481" s="660"/>
      <c r="AC481" s="661"/>
      <c r="AD481" s="606"/>
      <c r="AE481" s="606"/>
      <c r="AF481" s="606"/>
      <c r="AG481" s="606"/>
    </row>
    <row r="482" spans="1:33" s="612" customFormat="1" hidden="1" outlineLevel="3" x14ac:dyDescent="0.2">
      <c r="A482" s="606"/>
      <c r="B482" s="606"/>
      <c r="C482" s="607"/>
      <c r="D482" s="608"/>
      <c r="E482" s="608"/>
      <c r="F482" s="608"/>
      <c r="G482" s="608"/>
      <c r="H482" s="609"/>
      <c r="I482" s="660"/>
      <c r="J482" s="660"/>
      <c r="K482" s="660"/>
      <c r="L482" s="660"/>
      <c r="M482" s="660"/>
      <c r="N482" s="660"/>
      <c r="O482" s="660"/>
      <c r="P482" s="660"/>
      <c r="Q482" s="660"/>
      <c r="R482" s="660"/>
      <c r="S482" s="660"/>
      <c r="T482" s="660"/>
      <c r="U482" s="660"/>
      <c r="V482" s="660"/>
      <c r="W482" s="660"/>
      <c r="X482" s="660"/>
      <c r="Y482" s="660"/>
      <c r="Z482" s="660"/>
      <c r="AA482" s="660"/>
      <c r="AB482" s="660"/>
      <c r="AC482" s="661"/>
      <c r="AD482" s="606"/>
      <c r="AE482" s="606"/>
      <c r="AF482" s="606"/>
      <c r="AG482" s="606"/>
    </row>
    <row r="483" spans="1:33" s="612" customFormat="1" hidden="1" outlineLevel="3" x14ac:dyDescent="0.2">
      <c r="A483" s="606"/>
      <c r="B483" s="606"/>
      <c r="C483" s="607"/>
      <c r="D483" s="608"/>
      <c r="E483" s="608"/>
      <c r="F483" s="608"/>
      <c r="G483" s="608"/>
      <c r="H483" s="609"/>
      <c r="I483" s="660"/>
      <c r="J483" s="660"/>
      <c r="K483" s="660"/>
      <c r="L483" s="660"/>
      <c r="M483" s="660"/>
      <c r="N483" s="660"/>
      <c r="O483" s="660"/>
      <c r="P483" s="660"/>
      <c r="Q483" s="660"/>
      <c r="R483" s="660"/>
      <c r="S483" s="660"/>
      <c r="T483" s="660"/>
      <c r="U483" s="660"/>
      <c r="V483" s="660"/>
      <c r="W483" s="660"/>
      <c r="X483" s="660"/>
      <c r="Y483" s="660"/>
      <c r="Z483" s="660"/>
      <c r="AA483" s="660"/>
      <c r="AB483" s="660"/>
      <c r="AC483" s="661"/>
      <c r="AD483" s="606"/>
      <c r="AE483" s="606"/>
      <c r="AF483" s="606"/>
      <c r="AG483" s="606"/>
    </row>
    <row r="484" spans="1:33" s="612" customFormat="1" hidden="1" outlineLevel="3" x14ac:dyDescent="0.2">
      <c r="A484" s="606"/>
      <c r="B484" s="606"/>
      <c r="C484" s="607"/>
      <c r="D484" s="608"/>
      <c r="E484" s="608"/>
      <c r="F484" s="608"/>
      <c r="G484" s="608"/>
      <c r="H484" s="609"/>
      <c r="I484" s="660"/>
      <c r="J484" s="660"/>
      <c r="K484" s="660"/>
      <c r="L484" s="660"/>
      <c r="M484" s="660"/>
      <c r="N484" s="660"/>
      <c r="O484" s="660"/>
      <c r="P484" s="660"/>
      <c r="Q484" s="660"/>
      <c r="R484" s="660"/>
      <c r="S484" s="660"/>
      <c r="T484" s="660"/>
      <c r="U484" s="660"/>
      <c r="V484" s="660"/>
      <c r="W484" s="660"/>
      <c r="X484" s="660"/>
      <c r="Y484" s="660"/>
      <c r="Z484" s="660"/>
      <c r="AA484" s="660"/>
      <c r="AB484" s="660"/>
      <c r="AC484" s="661"/>
      <c r="AD484" s="606"/>
      <c r="AE484" s="606"/>
      <c r="AF484" s="606"/>
      <c r="AG484" s="606"/>
    </row>
    <row r="485" spans="1:33" s="612" customFormat="1" hidden="1" outlineLevel="3" x14ac:dyDescent="0.2">
      <c r="A485" s="606"/>
      <c r="B485" s="606"/>
      <c r="C485" s="607"/>
      <c r="D485" s="608"/>
      <c r="E485" s="608"/>
      <c r="F485" s="608"/>
      <c r="G485" s="608"/>
      <c r="H485" s="609"/>
      <c r="I485" s="660"/>
      <c r="J485" s="660"/>
      <c r="K485" s="660"/>
      <c r="L485" s="660"/>
      <c r="M485" s="660"/>
      <c r="N485" s="660"/>
      <c r="O485" s="660"/>
      <c r="P485" s="660"/>
      <c r="Q485" s="660"/>
      <c r="R485" s="660"/>
      <c r="S485" s="660"/>
      <c r="T485" s="660"/>
      <c r="U485" s="660"/>
      <c r="V485" s="660"/>
      <c r="W485" s="660"/>
      <c r="X485" s="660"/>
      <c r="Y485" s="660"/>
      <c r="Z485" s="660"/>
      <c r="AA485" s="660"/>
      <c r="AB485" s="660"/>
      <c r="AC485" s="661"/>
      <c r="AD485" s="606"/>
      <c r="AE485" s="606"/>
      <c r="AF485" s="606"/>
      <c r="AG485" s="606"/>
    </row>
    <row r="486" spans="1:33" s="612" customFormat="1" hidden="1" outlineLevel="3" x14ac:dyDescent="0.2">
      <c r="A486" s="606"/>
      <c r="B486" s="606"/>
      <c r="C486" s="607"/>
      <c r="D486" s="608"/>
      <c r="E486" s="608"/>
      <c r="F486" s="608"/>
      <c r="G486" s="608"/>
      <c r="H486" s="609"/>
      <c r="I486" s="660"/>
      <c r="J486" s="660"/>
      <c r="K486" s="660"/>
      <c r="L486" s="660"/>
      <c r="M486" s="660"/>
      <c r="N486" s="660"/>
      <c r="O486" s="660"/>
      <c r="P486" s="660"/>
      <c r="Q486" s="660"/>
      <c r="R486" s="660"/>
      <c r="S486" s="660"/>
      <c r="T486" s="660"/>
      <c r="U486" s="660"/>
      <c r="V486" s="660"/>
      <c r="W486" s="660"/>
      <c r="X486" s="660"/>
      <c r="Y486" s="660"/>
      <c r="Z486" s="660"/>
      <c r="AA486" s="660"/>
      <c r="AB486" s="660"/>
      <c r="AC486" s="661"/>
      <c r="AD486" s="606"/>
      <c r="AE486" s="606"/>
      <c r="AF486" s="606"/>
      <c r="AG486" s="606"/>
    </row>
    <row r="487" spans="1:33" s="612" customFormat="1" hidden="1" outlineLevel="3" x14ac:dyDescent="0.2">
      <c r="A487" s="606"/>
      <c r="B487" s="606"/>
      <c r="C487" s="607"/>
      <c r="D487" s="608"/>
      <c r="E487" s="608"/>
      <c r="F487" s="608"/>
      <c r="G487" s="608"/>
      <c r="H487" s="609"/>
      <c r="I487" s="660"/>
      <c r="J487" s="660"/>
      <c r="K487" s="660"/>
      <c r="L487" s="660"/>
      <c r="M487" s="660"/>
      <c r="N487" s="660"/>
      <c r="O487" s="660"/>
      <c r="P487" s="660"/>
      <c r="Q487" s="660"/>
      <c r="R487" s="660"/>
      <c r="S487" s="660"/>
      <c r="T487" s="660"/>
      <c r="U487" s="660"/>
      <c r="V487" s="660"/>
      <c r="W487" s="660"/>
      <c r="X487" s="660"/>
      <c r="Y487" s="660"/>
      <c r="Z487" s="660"/>
      <c r="AA487" s="660"/>
      <c r="AB487" s="660"/>
      <c r="AC487" s="661"/>
      <c r="AD487" s="606"/>
      <c r="AE487" s="606"/>
      <c r="AF487" s="606"/>
      <c r="AG487" s="606"/>
    </row>
    <row r="488" spans="1:33" s="612" customFormat="1" hidden="1" outlineLevel="3" x14ac:dyDescent="0.2">
      <c r="A488" s="606"/>
      <c r="B488" s="606"/>
      <c r="C488" s="607"/>
      <c r="D488" s="608"/>
      <c r="E488" s="608"/>
      <c r="F488" s="608"/>
      <c r="G488" s="608"/>
      <c r="H488" s="609"/>
      <c r="I488" s="660"/>
      <c r="J488" s="660"/>
      <c r="K488" s="660"/>
      <c r="L488" s="660"/>
      <c r="M488" s="660"/>
      <c r="N488" s="660"/>
      <c r="O488" s="660"/>
      <c r="P488" s="660"/>
      <c r="Q488" s="660"/>
      <c r="R488" s="660"/>
      <c r="S488" s="660"/>
      <c r="T488" s="660"/>
      <c r="U488" s="660"/>
      <c r="V488" s="660"/>
      <c r="W488" s="660"/>
      <c r="X488" s="660"/>
      <c r="Y488" s="660"/>
      <c r="Z488" s="660"/>
      <c r="AA488" s="660"/>
      <c r="AB488" s="660"/>
      <c r="AC488" s="661"/>
      <c r="AD488" s="606"/>
      <c r="AE488" s="606"/>
      <c r="AF488" s="606"/>
      <c r="AG488" s="606"/>
    </row>
    <row r="489" spans="1:33" s="612" customFormat="1" hidden="1" outlineLevel="3" x14ac:dyDescent="0.2">
      <c r="A489" s="606"/>
      <c r="B489" s="606"/>
      <c r="C489" s="607"/>
      <c r="D489" s="608"/>
      <c r="E489" s="608"/>
      <c r="F489" s="608"/>
      <c r="G489" s="608"/>
      <c r="H489" s="609"/>
      <c r="I489" s="660"/>
      <c r="J489" s="660"/>
      <c r="K489" s="660"/>
      <c r="L489" s="660"/>
      <c r="M489" s="660"/>
      <c r="N489" s="660"/>
      <c r="O489" s="660"/>
      <c r="P489" s="660"/>
      <c r="Q489" s="660"/>
      <c r="R489" s="660"/>
      <c r="S489" s="660"/>
      <c r="T489" s="660"/>
      <c r="U489" s="660"/>
      <c r="V489" s="660"/>
      <c r="W489" s="660"/>
      <c r="X489" s="660"/>
      <c r="Y489" s="660"/>
      <c r="Z489" s="660"/>
      <c r="AA489" s="660"/>
      <c r="AB489" s="660"/>
      <c r="AC489" s="661"/>
      <c r="AD489" s="606"/>
      <c r="AE489" s="606"/>
      <c r="AF489" s="606"/>
      <c r="AG489" s="606"/>
    </row>
    <row r="490" spans="1:33" s="612" customFormat="1" hidden="1" outlineLevel="3" x14ac:dyDescent="0.2">
      <c r="A490" s="606"/>
      <c r="B490" s="606"/>
      <c r="C490" s="607"/>
      <c r="D490" s="608"/>
      <c r="E490" s="608"/>
      <c r="F490" s="608"/>
      <c r="G490" s="608"/>
      <c r="H490" s="609"/>
      <c r="I490" s="660"/>
      <c r="J490" s="660"/>
      <c r="K490" s="660"/>
      <c r="L490" s="660"/>
      <c r="M490" s="660"/>
      <c r="N490" s="660"/>
      <c r="O490" s="660"/>
      <c r="P490" s="660"/>
      <c r="Q490" s="660"/>
      <c r="R490" s="660"/>
      <c r="S490" s="660"/>
      <c r="T490" s="660"/>
      <c r="U490" s="660"/>
      <c r="V490" s="660"/>
      <c r="W490" s="660"/>
      <c r="X490" s="660"/>
      <c r="Y490" s="660"/>
      <c r="Z490" s="660"/>
      <c r="AA490" s="660"/>
      <c r="AB490" s="660"/>
      <c r="AC490" s="661"/>
      <c r="AD490" s="606"/>
      <c r="AE490" s="606"/>
      <c r="AF490" s="606"/>
      <c r="AG490" s="606"/>
    </row>
    <row r="491" spans="1:33" s="612" customFormat="1" hidden="1" outlineLevel="3" x14ac:dyDescent="0.2">
      <c r="A491" s="606"/>
      <c r="B491" s="606"/>
      <c r="C491" s="607"/>
      <c r="D491" s="608"/>
      <c r="E491" s="608"/>
      <c r="F491" s="608"/>
      <c r="G491" s="608"/>
      <c r="H491" s="609"/>
      <c r="I491" s="660"/>
      <c r="J491" s="660"/>
      <c r="K491" s="660"/>
      <c r="L491" s="660"/>
      <c r="M491" s="660"/>
      <c r="N491" s="660"/>
      <c r="O491" s="660"/>
      <c r="P491" s="660"/>
      <c r="Q491" s="660"/>
      <c r="R491" s="660"/>
      <c r="S491" s="660"/>
      <c r="T491" s="660"/>
      <c r="U491" s="660"/>
      <c r="V491" s="660"/>
      <c r="W491" s="660"/>
      <c r="X491" s="660"/>
      <c r="Y491" s="660"/>
      <c r="Z491" s="660"/>
      <c r="AA491" s="660"/>
      <c r="AB491" s="660"/>
      <c r="AC491" s="661"/>
      <c r="AD491" s="606"/>
      <c r="AE491" s="606"/>
      <c r="AF491" s="606"/>
      <c r="AG491" s="606"/>
    </row>
    <row r="492" spans="1:33" s="612" customFormat="1" hidden="1" outlineLevel="3" x14ac:dyDescent="0.2">
      <c r="A492" s="606"/>
      <c r="B492" s="606"/>
      <c r="C492" s="607"/>
      <c r="D492" s="608"/>
      <c r="E492" s="608"/>
      <c r="F492" s="608"/>
      <c r="G492" s="608"/>
      <c r="H492" s="609"/>
      <c r="I492" s="660"/>
      <c r="J492" s="660"/>
      <c r="K492" s="660"/>
      <c r="L492" s="660"/>
      <c r="M492" s="660"/>
      <c r="N492" s="660"/>
      <c r="O492" s="660"/>
      <c r="P492" s="660"/>
      <c r="Q492" s="660"/>
      <c r="R492" s="660"/>
      <c r="S492" s="660"/>
      <c r="T492" s="660"/>
      <c r="U492" s="660"/>
      <c r="V492" s="660"/>
      <c r="W492" s="660"/>
      <c r="X492" s="660"/>
      <c r="Y492" s="660"/>
      <c r="Z492" s="660"/>
      <c r="AA492" s="660"/>
      <c r="AB492" s="660"/>
      <c r="AC492" s="661"/>
      <c r="AD492" s="606"/>
      <c r="AE492" s="606"/>
      <c r="AF492" s="606"/>
      <c r="AG492" s="606"/>
    </row>
    <row r="493" spans="1:33" s="612" customFormat="1" hidden="1" outlineLevel="3" x14ac:dyDescent="0.2">
      <c r="A493" s="606"/>
      <c r="B493" s="606"/>
      <c r="C493" s="607"/>
      <c r="D493" s="608"/>
      <c r="E493" s="608"/>
      <c r="F493" s="608"/>
      <c r="G493" s="608"/>
      <c r="H493" s="609"/>
      <c r="I493" s="660"/>
      <c r="J493" s="660"/>
      <c r="K493" s="660"/>
      <c r="L493" s="660"/>
      <c r="M493" s="660"/>
      <c r="N493" s="660"/>
      <c r="O493" s="660"/>
      <c r="P493" s="660"/>
      <c r="Q493" s="660"/>
      <c r="R493" s="660"/>
      <c r="S493" s="660"/>
      <c r="T493" s="660"/>
      <c r="U493" s="660"/>
      <c r="V493" s="660"/>
      <c r="W493" s="660"/>
      <c r="X493" s="660"/>
      <c r="Y493" s="660"/>
      <c r="Z493" s="660"/>
      <c r="AA493" s="660"/>
      <c r="AB493" s="660"/>
      <c r="AC493" s="661"/>
      <c r="AD493" s="606"/>
      <c r="AE493" s="606"/>
      <c r="AF493" s="606"/>
      <c r="AG493" s="606"/>
    </row>
    <row r="494" spans="1:33" s="612" customFormat="1" hidden="1" outlineLevel="3" x14ac:dyDescent="0.2">
      <c r="A494" s="606"/>
      <c r="B494" s="606"/>
      <c r="C494" s="607"/>
      <c r="D494" s="608"/>
      <c r="E494" s="608"/>
      <c r="F494" s="608"/>
      <c r="G494" s="608"/>
      <c r="H494" s="609"/>
      <c r="I494" s="660"/>
      <c r="J494" s="660"/>
      <c r="K494" s="660"/>
      <c r="L494" s="660"/>
      <c r="M494" s="660"/>
      <c r="N494" s="660"/>
      <c r="O494" s="660"/>
      <c r="P494" s="660"/>
      <c r="Q494" s="660"/>
      <c r="R494" s="660"/>
      <c r="S494" s="660"/>
      <c r="T494" s="660"/>
      <c r="U494" s="660"/>
      <c r="V494" s="660"/>
      <c r="W494" s="660"/>
      <c r="X494" s="660"/>
      <c r="Y494" s="660"/>
      <c r="Z494" s="660"/>
      <c r="AA494" s="660"/>
      <c r="AB494" s="660"/>
      <c r="AC494" s="661"/>
      <c r="AD494" s="606"/>
      <c r="AE494" s="606"/>
      <c r="AF494" s="606"/>
      <c r="AG494" s="606"/>
    </row>
    <row r="495" spans="1:33" s="612" customFormat="1" hidden="1" outlineLevel="3" x14ac:dyDescent="0.2">
      <c r="A495" s="606"/>
      <c r="B495" s="606"/>
      <c r="C495" s="607"/>
      <c r="D495" s="608"/>
      <c r="E495" s="608"/>
      <c r="F495" s="608"/>
      <c r="G495" s="608"/>
      <c r="H495" s="609"/>
      <c r="I495" s="660"/>
      <c r="J495" s="660"/>
      <c r="K495" s="660"/>
      <c r="L495" s="660"/>
      <c r="M495" s="660"/>
      <c r="N495" s="660"/>
      <c r="O495" s="660"/>
      <c r="P495" s="660"/>
      <c r="Q495" s="660"/>
      <c r="R495" s="660"/>
      <c r="S495" s="660"/>
      <c r="T495" s="660"/>
      <c r="U495" s="660"/>
      <c r="V495" s="660"/>
      <c r="W495" s="660"/>
      <c r="X495" s="660"/>
      <c r="Y495" s="660"/>
      <c r="Z495" s="660"/>
      <c r="AA495" s="660"/>
      <c r="AB495" s="660"/>
      <c r="AC495" s="661"/>
      <c r="AD495" s="606"/>
      <c r="AE495" s="606"/>
      <c r="AF495" s="606"/>
      <c r="AG495" s="606"/>
    </row>
    <row r="496" spans="1:33" s="612" customFormat="1" hidden="1" outlineLevel="3" x14ac:dyDescent="0.2">
      <c r="A496" s="606"/>
      <c r="B496" s="606"/>
      <c r="C496" s="607"/>
      <c r="D496" s="608"/>
      <c r="E496" s="608"/>
      <c r="F496" s="608"/>
      <c r="G496" s="608"/>
      <c r="H496" s="609"/>
      <c r="I496" s="660"/>
      <c r="J496" s="660"/>
      <c r="K496" s="660"/>
      <c r="L496" s="660"/>
      <c r="M496" s="660"/>
      <c r="N496" s="660"/>
      <c r="O496" s="660"/>
      <c r="P496" s="660"/>
      <c r="Q496" s="660"/>
      <c r="R496" s="660"/>
      <c r="S496" s="660"/>
      <c r="T496" s="660"/>
      <c r="U496" s="660"/>
      <c r="V496" s="660"/>
      <c r="W496" s="660"/>
      <c r="X496" s="660"/>
      <c r="Y496" s="660"/>
      <c r="Z496" s="660"/>
      <c r="AA496" s="660"/>
      <c r="AB496" s="660"/>
      <c r="AC496" s="661"/>
      <c r="AD496" s="606"/>
      <c r="AE496" s="606"/>
      <c r="AF496" s="606"/>
      <c r="AG496" s="606"/>
    </row>
    <row r="497" spans="1:33" s="612" customFormat="1" hidden="1" outlineLevel="3" x14ac:dyDescent="0.2">
      <c r="A497" s="606"/>
      <c r="B497" s="606"/>
      <c r="C497" s="607"/>
      <c r="D497" s="608"/>
      <c r="E497" s="608"/>
      <c r="F497" s="608"/>
      <c r="G497" s="608"/>
      <c r="H497" s="609"/>
      <c r="I497" s="660"/>
      <c r="J497" s="660"/>
      <c r="K497" s="660"/>
      <c r="L497" s="660"/>
      <c r="M497" s="660"/>
      <c r="N497" s="660"/>
      <c r="O497" s="660"/>
      <c r="P497" s="660"/>
      <c r="Q497" s="660"/>
      <c r="R497" s="660"/>
      <c r="S497" s="660"/>
      <c r="T497" s="660"/>
      <c r="U497" s="660"/>
      <c r="V497" s="660"/>
      <c r="W497" s="660"/>
      <c r="X497" s="660"/>
      <c r="Y497" s="660"/>
      <c r="Z497" s="660"/>
      <c r="AA497" s="660"/>
      <c r="AB497" s="660"/>
      <c r="AC497" s="661"/>
      <c r="AD497" s="606"/>
      <c r="AE497" s="606"/>
      <c r="AF497" s="606"/>
      <c r="AG497" s="606"/>
    </row>
    <row r="498" spans="1:33" s="612" customFormat="1" hidden="1" outlineLevel="3" x14ac:dyDescent="0.2">
      <c r="A498" s="606"/>
      <c r="B498" s="606"/>
      <c r="C498" s="607"/>
      <c r="D498" s="608"/>
      <c r="E498" s="608"/>
      <c r="F498" s="608"/>
      <c r="G498" s="608"/>
      <c r="H498" s="609"/>
      <c r="I498" s="660"/>
      <c r="J498" s="660"/>
      <c r="K498" s="660"/>
      <c r="L498" s="660"/>
      <c r="M498" s="660"/>
      <c r="N498" s="660"/>
      <c r="O498" s="660"/>
      <c r="P498" s="660"/>
      <c r="Q498" s="660"/>
      <c r="R498" s="660"/>
      <c r="S498" s="660"/>
      <c r="T498" s="660"/>
      <c r="U498" s="660"/>
      <c r="V498" s="660"/>
      <c r="W498" s="660"/>
      <c r="X498" s="660"/>
      <c r="Y498" s="660"/>
      <c r="Z498" s="660"/>
      <c r="AA498" s="660"/>
      <c r="AB498" s="660"/>
      <c r="AC498" s="661"/>
      <c r="AD498" s="606"/>
      <c r="AE498" s="606"/>
      <c r="AF498" s="606"/>
      <c r="AG498" s="606"/>
    </row>
    <row r="499" spans="1:33" s="612" customFormat="1" hidden="1" outlineLevel="3" x14ac:dyDescent="0.2">
      <c r="A499" s="606"/>
      <c r="B499" s="606"/>
      <c r="C499" s="607"/>
      <c r="D499" s="608"/>
      <c r="E499" s="608"/>
      <c r="F499" s="608"/>
      <c r="G499" s="608"/>
      <c r="H499" s="609"/>
      <c r="I499" s="660"/>
      <c r="J499" s="660"/>
      <c r="K499" s="660"/>
      <c r="L499" s="660"/>
      <c r="M499" s="660"/>
      <c r="N499" s="660"/>
      <c r="O499" s="660"/>
      <c r="P499" s="660"/>
      <c r="Q499" s="660"/>
      <c r="R499" s="660"/>
      <c r="S499" s="660"/>
      <c r="T499" s="660"/>
      <c r="U499" s="660"/>
      <c r="V499" s="660"/>
      <c r="W499" s="660"/>
      <c r="X499" s="660"/>
      <c r="Y499" s="660"/>
      <c r="Z499" s="660"/>
      <c r="AA499" s="660"/>
      <c r="AB499" s="660"/>
      <c r="AC499" s="661"/>
      <c r="AD499" s="606"/>
      <c r="AE499" s="606"/>
      <c r="AF499" s="606"/>
      <c r="AG499" s="606"/>
    </row>
    <row r="500" spans="1:33" s="612" customFormat="1" hidden="1" outlineLevel="3" x14ac:dyDescent="0.2">
      <c r="A500" s="606"/>
      <c r="B500" s="606"/>
      <c r="C500" s="607"/>
      <c r="D500" s="608"/>
      <c r="E500" s="608"/>
      <c r="F500" s="608"/>
      <c r="G500" s="608"/>
      <c r="H500" s="609"/>
      <c r="I500" s="660"/>
      <c r="J500" s="660"/>
      <c r="K500" s="660"/>
      <c r="L500" s="660"/>
      <c r="M500" s="660"/>
      <c r="N500" s="660"/>
      <c r="O500" s="660"/>
      <c r="P500" s="660"/>
      <c r="Q500" s="660"/>
      <c r="R500" s="660"/>
      <c r="S500" s="660"/>
      <c r="T500" s="660"/>
      <c r="U500" s="660"/>
      <c r="V500" s="660"/>
      <c r="W500" s="660"/>
      <c r="X500" s="660"/>
      <c r="Y500" s="660"/>
      <c r="Z500" s="660"/>
      <c r="AA500" s="660"/>
      <c r="AB500" s="660"/>
      <c r="AC500" s="661"/>
      <c r="AD500" s="606"/>
      <c r="AE500" s="606"/>
      <c r="AF500" s="606"/>
      <c r="AG500" s="606"/>
    </row>
    <row r="501" spans="1:33" s="612" customFormat="1" hidden="1" outlineLevel="3" x14ac:dyDescent="0.2">
      <c r="A501" s="606"/>
      <c r="B501" s="606"/>
      <c r="C501" s="607"/>
      <c r="D501" s="608"/>
      <c r="E501" s="608"/>
      <c r="F501" s="608"/>
      <c r="G501" s="608"/>
      <c r="H501" s="609"/>
      <c r="I501" s="660"/>
      <c r="J501" s="660"/>
      <c r="K501" s="660"/>
      <c r="L501" s="660"/>
      <c r="M501" s="660"/>
      <c r="N501" s="660"/>
      <c r="O501" s="660"/>
      <c r="P501" s="660"/>
      <c r="Q501" s="660"/>
      <c r="R501" s="660"/>
      <c r="S501" s="660"/>
      <c r="T501" s="660"/>
      <c r="U501" s="660"/>
      <c r="V501" s="660"/>
      <c r="W501" s="660"/>
      <c r="X501" s="660"/>
      <c r="Y501" s="660"/>
      <c r="Z501" s="660"/>
      <c r="AA501" s="660"/>
      <c r="AB501" s="660"/>
      <c r="AC501" s="661"/>
      <c r="AD501" s="606"/>
      <c r="AE501" s="606"/>
      <c r="AF501" s="606"/>
      <c r="AG501" s="606"/>
    </row>
    <row r="502" spans="1:33" s="612" customFormat="1" hidden="1" outlineLevel="3" x14ac:dyDescent="0.2">
      <c r="A502" s="606"/>
      <c r="B502" s="606"/>
      <c r="C502" s="607"/>
      <c r="D502" s="608"/>
      <c r="E502" s="608"/>
      <c r="F502" s="608"/>
      <c r="G502" s="608"/>
      <c r="H502" s="609"/>
      <c r="I502" s="660"/>
      <c r="J502" s="660"/>
      <c r="K502" s="660"/>
      <c r="L502" s="660"/>
      <c r="M502" s="660"/>
      <c r="N502" s="660"/>
      <c r="O502" s="660"/>
      <c r="P502" s="660"/>
      <c r="Q502" s="660"/>
      <c r="R502" s="660"/>
      <c r="S502" s="660"/>
      <c r="T502" s="660"/>
      <c r="U502" s="660"/>
      <c r="V502" s="660"/>
      <c r="W502" s="660"/>
      <c r="X502" s="660"/>
      <c r="Y502" s="660"/>
      <c r="Z502" s="660"/>
      <c r="AA502" s="660"/>
      <c r="AB502" s="660"/>
      <c r="AC502" s="661"/>
      <c r="AD502" s="606"/>
      <c r="AE502" s="606"/>
      <c r="AF502" s="606"/>
      <c r="AG502" s="606"/>
    </row>
    <row r="503" spans="1:33" s="612" customFormat="1" hidden="1" outlineLevel="3" x14ac:dyDescent="0.2">
      <c r="A503" s="606"/>
      <c r="B503" s="606"/>
      <c r="C503" s="607"/>
      <c r="D503" s="608"/>
      <c r="E503" s="608"/>
      <c r="F503" s="608"/>
      <c r="G503" s="608"/>
      <c r="H503" s="609"/>
      <c r="I503" s="660"/>
      <c r="J503" s="660"/>
      <c r="K503" s="660"/>
      <c r="L503" s="660"/>
      <c r="M503" s="660"/>
      <c r="N503" s="660"/>
      <c r="O503" s="660"/>
      <c r="P503" s="660"/>
      <c r="Q503" s="660"/>
      <c r="R503" s="660"/>
      <c r="S503" s="660"/>
      <c r="T503" s="660"/>
      <c r="U503" s="660"/>
      <c r="V503" s="660"/>
      <c r="W503" s="660"/>
      <c r="X503" s="660"/>
      <c r="Y503" s="660"/>
      <c r="Z503" s="660"/>
      <c r="AA503" s="660"/>
      <c r="AB503" s="660"/>
      <c r="AC503" s="661"/>
      <c r="AD503" s="606"/>
      <c r="AE503" s="606"/>
      <c r="AF503" s="606"/>
      <c r="AG503" s="606"/>
    </row>
    <row r="504" spans="1:33" s="612" customFormat="1" hidden="1" outlineLevel="3" x14ac:dyDescent="0.2">
      <c r="A504" s="606"/>
      <c r="B504" s="606"/>
      <c r="C504" s="607"/>
      <c r="D504" s="608"/>
      <c r="E504" s="608"/>
      <c r="F504" s="608"/>
      <c r="G504" s="608"/>
      <c r="H504" s="609"/>
      <c r="I504" s="660"/>
      <c r="J504" s="660"/>
      <c r="K504" s="660"/>
      <c r="L504" s="660"/>
      <c r="M504" s="660"/>
      <c r="N504" s="660"/>
      <c r="O504" s="660"/>
      <c r="P504" s="660"/>
      <c r="Q504" s="660"/>
      <c r="R504" s="660"/>
      <c r="S504" s="660"/>
      <c r="T504" s="660"/>
      <c r="U504" s="660"/>
      <c r="V504" s="660"/>
      <c r="W504" s="660"/>
      <c r="X504" s="660"/>
      <c r="Y504" s="660"/>
      <c r="Z504" s="660"/>
      <c r="AA504" s="660"/>
      <c r="AB504" s="660"/>
      <c r="AC504" s="661"/>
      <c r="AD504" s="606"/>
      <c r="AE504" s="606"/>
      <c r="AF504" s="606"/>
      <c r="AG504" s="606"/>
    </row>
    <row r="505" spans="1:33" s="612" customFormat="1" hidden="1" outlineLevel="3" x14ac:dyDescent="0.2">
      <c r="A505" s="606"/>
      <c r="B505" s="606"/>
      <c r="C505" s="607"/>
      <c r="D505" s="608"/>
      <c r="E505" s="608"/>
      <c r="F505" s="608"/>
      <c r="G505" s="608"/>
      <c r="H505" s="609"/>
      <c r="I505" s="660"/>
      <c r="J505" s="660"/>
      <c r="K505" s="660"/>
      <c r="L505" s="660"/>
      <c r="M505" s="660"/>
      <c r="N505" s="660"/>
      <c r="O505" s="660"/>
      <c r="P505" s="660"/>
      <c r="Q505" s="660"/>
      <c r="R505" s="660"/>
      <c r="S505" s="660"/>
      <c r="T505" s="660"/>
      <c r="U505" s="660"/>
      <c r="V505" s="660"/>
      <c r="W505" s="660"/>
      <c r="X505" s="660"/>
      <c r="Y505" s="660"/>
      <c r="Z505" s="660"/>
      <c r="AA505" s="660"/>
      <c r="AB505" s="660"/>
      <c r="AC505" s="661"/>
      <c r="AD505" s="606"/>
      <c r="AE505" s="606"/>
      <c r="AF505" s="606"/>
      <c r="AG505" s="606"/>
    </row>
    <row r="506" spans="1:33" s="612" customFormat="1" hidden="1" outlineLevel="3" x14ac:dyDescent="0.2">
      <c r="A506" s="606"/>
      <c r="B506" s="606"/>
      <c r="C506" s="607"/>
      <c r="D506" s="608"/>
      <c r="E506" s="608"/>
      <c r="F506" s="608"/>
      <c r="G506" s="608"/>
      <c r="H506" s="609"/>
      <c r="I506" s="660"/>
      <c r="J506" s="660"/>
      <c r="K506" s="660"/>
      <c r="L506" s="660"/>
      <c r="M506" s="660"/>
      <c r="N506" s="660"/>
      <c r="O506" s="660"/>
      <c r="P506" s="660"/>
      <c r="Q506" s="660"/>
      <c r="R506" s="660"/>
      <c r="S506" s="660"/>
      <c r="T506" s="660"/>
      <c r="U506" s="660"/>
      <c r="V506" s="660"/>
      <c r="W506" s="660"/>
      <c r="X506" s="660"/>
      <c r="Y506" s="660"/>
      <c r="Z506" s="660"/>
      <c r="AA506" s="660"/>
      <c r="AB506" s="660"/>
      <c r="AC506" s="661"/>
      <c r="AD506" s="606"/>
      <c r="AE506" s="606"/>
      <c r="AF506" s="606"/>
      <c r="AG506" s="606"/>
    </row>
    <row r="507" spans="1:33" s="612" customFormat="1" hidden="1" outlineLevel="3" x14ac:dyDescent="0.2">
      <c r="A507" s="606"/>
      <c r="B507" s="606"/>
      <c r="C507" s="607"/>
      <c r="D507" s="608"/>
      <c r="E507" s="608"/>
      <c r="F507" s="608"/>
      <c r="G507" s="608"/>
      <c r="H507" s="609"/>
      <c r="I507" s="660"/>
      <c r="J507" s="660"/>
      <c r="K507" s="660"/>
      <c r="L507" s="660"/>
      <c r="M507" s="660"/>
      <c r="N507" s="660"/>
      <c r="O507" s="660"/>
      <c r="P507" s="660"/>
      <c r="Q507" s="660"/>
      <c r="R507" s="660"/>
      <c r="S507" s="660"/>
      <c r="T507" s="660"/>
      <c r="U507" s="660"/>
      <c r="V507" s="660"/>
      <c r="W507" s="660"/>
      <c r="X507" s="660"/>
      <c r="Y507" s="660"/>
      <c r="Z507" s="660"/>
      <c r="AA507" s="660"/>
      <c r="AB507" s="660"/>
      <c r="AC507" s="661"/>
      <c r="AD507" s="606"/>
      <c r="AE507" s="606"/>
      <c r="AF507" s="606"/>
      <c r="AG507" s="606"/>
    </row>
    <row r="508" spans="1:33" s="612" customFormat="1" hidden="1" outlineLevel="3" x14ac:dyDescent="0.2">
      <c r="A508" s="606"/>
      <c r="B508" s="606"/>
      <c r="C508" s="607"/>
      <c r="D508" s="608"/>
      <c r="E508" s="608"/>
      <c r="F508" s="608"/>
      <c r="G508" s="608"/>
      <c r="H508" s="609"/>
      <c r="I508" s="660"/>
      <c r="J508" s="660"/>
      <c r="K508" s="660"/>
      <c r="L508" s="660"/>
      <c r="M508" s="660"/>
      <c r="N508" s="660"/>
      <c r="O508" s="660"/>
      <c r="P508" s="660"/>
      <c r="Q508" s="660"/>
      <c r="R508" s="660"/>
      <c r="S508" s="660"/>
      <c r="T508" s="660"/>
      <c r="U508" s="660"/>
      <c r="V508" s="660"/>
      <c r="W508" s="660"/>
      <c r="X508" s="660"/>
      <c r="Y508" s="660"/>
      <c r="Z508" s="660"/>
      <c r="AA508" s="660"/>
      <c r="AB508" s="660"/>
      <c r="AC508" s="661"/>
      <c r="AD508" s="606"/>
      <c r="AE508" s="606"/>
      <c r="AF508" s="606"/>
      <c r="AG508" s="606"/>
    </row>
    <row r="509" spans="1:33" s="612" customFormat="1" hidden="1" outlineLevel="3" x14ac:dyDescent="0.2">
      <c r="A509" s="606"/>
      <c r="B509" s="606"/>
      <c r="C509" s="607"/>
      <c r="D509" s="608"/>
      <c r="E509" s="608"/>
      <c r="F509" s="608"/>
      <c r="G509" s="608"/>
      <c r="H509" s="609"/>
      <c r="I509" s="660"/>
      <c r="J509" s="660"/>
      <c r="K509" s="660"/>
      <c r="L509" s="660"/>
      <c r="M509" s="660"/>
      <c r="N509" s="660"/>
      <c r="O509" s="660"/>
      <c r="P509" s="660"/>
      <c r="Q509" s="660"/>
      <c r="R509" s="660"/>
      <c r="S509" s="660"/>
      <c r="T509" s="660"/>
      <c r="U509" s="660"/>
      <c r="V509" s="660"/>
      <c r="W509" s="660"/>
      <c r="X509" s="660"/>
      <c r="Y509" s="660"/>
      <c r="Z509" s="660"/>
      <c r="AA509" s="660"/>
      <c r="AB509" s="660"/>
      <c r="AC509" s="661"/>
      <c r="AD509" s="606"/>
      <c r="AE509" s="606"/>
      <c r="AF509" s="606"/>
      <c r="AG509" s="606"/>
    </row>
    <row r="510" spans="1:33" s="612" customFormat="1" hidden="1" outlineLevel="3" x14ac:dyDescent="0.2">
      <c r="A510" s="606"/>
      <c r="B510" s="606"/>
      <c r="C510" s="607"/>
      <c r="D510" s="608"/>
      <c r="E510" s="608"/>
      <c r="F510" s="608"/>
      <c r="G510" s="608"/>
      <c r="H510" s="609"/>
      <c r="I510" s="660"/>
      <c r="J510" s="660"/>
      <c r="K510" s="660"/>
      <c r="L510" s="660"/>
      <c r="M510" s="660"/>
      <c r="N510" s="660"/>
      <c r="O510" s="660"/>
      <c r="P510" s="660"/>
      <c r="Q510" s="660"/>
      <c r="R510" s="660"/>
      <c r="S510" s="660"/>
      <c r="T510" s="660"/>
      <c r="U510" s="660"/>
      <c r="V510" s="660"/>
      <c r="W510" s="660"/>
      <c r="X510" s="660"/>
      <c r="Y510" s="660"/>
      <c r="Z510" s="660"/>
      <c r="AA510" s="660"/>
      <c r="AB510" s="660"/>
      <c r="AC510" s="661"/>
      <c r="AD510" s="606"/>
      <c r="AE510" s="606"/>
      <c r="AF510" s="606"/>
      <c r="AG510" s="606"/>
    </row>
    <row r="511" spans="1:33" s="612" customFormat="1" hidden="1" outlineLevel="3" x14ac:dyDescent="0.2">
      <c r="A511" s="606"/>
      <c r="B511" s="606"/>
      <c r="C511" s="607"/>
      <c r="D511" s="608"/>
      <c r="E511" s="608"/>
      <c r="F511" s="608"/>
      <c r="G511" s="608"/>
      <c r="H511" s="609"/>
      <c r="I511" s="660"/>
      <c r="J511" s="660"/>
      <c r="K511" s="660"/>
      <c r="L511" s="660"/>
      <c r="M511" s="660"/>
      <c r="N511" s="660"/>
      <c r="O511" s="660"/>
      <c r="P511" s="660"/>
      <c r="Q511" s="660"/>
      <c r="R511" s="660"/>
      <c r="S511" s="660"/>
      <c r="T511" s="660"/>
      <c r="U511" s="660"/>
      <c r="V511" s="660"/>
      <c r="W511" s="660"/>
      <c r="X511" s="660"/>
      <c r="Y511" s="660"/>
      <c r="Z511" s="660"/>
      <c r="AA511" s="660"/>
      <c r="AB511" s="660"/>
      <c r="AC511" s="661"/>
      <c r="AD511" s="606"/>
      <c r="AE511" s="606"/>
      <c r="AF511" s="606"/>
      <c r="AG511" s="606"/>
    </row>
    <row r="512" spans="1:33" s="612" customFormat="1" hidden="1" outlineLevel="3" x14ac:dyDescent="0.2">
      <c r="A512" s="606"/>
      <c r="B512" s="606"/>
      <c r="C512" s="607"/>
      <c r="D512" s="608"/>
      <c r="E512" s="608"/>
      <c r="F512" s="608"/>
      <c r="G512" s="608"/>
      <c r="H512" s="609"/>
      <c r="I512" s="660"/>
      <c r="J512" s="660"/>
      <c r="K512" s="660"/>
      <c r="L512" s="660"/>
      <c r="M512" s="660"/>
      <c r="N512" s="660"/>
      <c r="O512" s="660"/>
      <c r="P512" s="660"/>
      <c r="Q512" s="660"/>
      <c r="R512" s="660"/>
      <c r="S512" s="660"/>
      <c r="T512" s="660"/>
      <c r="U512" s="660"/>
      <c r="V512" s="660"/>
      <c r="W512" s="660"/>
      <c r="X512" s="660"/>
      <c r="Y512" s="660"/>
      <c r="Z512" s="660"/>
      <c r="AA512" s="660"/>
      <c r="AB512" s="660"/>
      <c r="AC512" s="661"/>
      <c r="AD512" s="606"/>
      <c r="AE512" s="606"/>
      <c r="AF512" s="606"/>
      <c r="AG512" s="606"/>
    </row>
    <row r="513" spans="1:33" s="612" customFormat="1" hidden="1" outlineLevel="3" x14ac:dyDescent="0.2">
      <c r="A513" s="606"/>
      <c r="B513" s="606"/>
      <c r="C513" s="607"/>
      <c r="D513" s="608"/>
      <c r="E513" s="608"/>
      <c r="F513" s="608"/>
      <c r="G513" s="608"/>
      <c r="H513" s="609"/>
      <c r="I513" s="660"/>
      <c r="J513" s="660"/>
      <c r="K513" s="660"/>
      <c r="L513" s="660"/>
      <c r="M513" s="660"/>
      <c r="N513" s="660"/>
      <c r="O513" s="660"/>
      <c r="P513" s="660"/>
      <c r="Q513" s="660"/>
      <c r="R513" s="660"/>
      <c r="S513" s="660"/>
      <c r="T513" s="660"/>
      <c r="U513" s="660"/>
      <c r="V513" s="660"/>
      <c r="W513" s="660"/>
      <c r="X513" s="660"/>
      <c r="Y513" s="660"/>
      <c r="Z513" s="660"/>
      <c r="AA513" s="660"/>
      <c r="AB513" s="660"/>
      <c r="AC513" s="661"/>
      <c r="AD513" s="606"/>
      <c r="AE513" s="606"/>
      <c r="AF513" s="606"/>
      <c r="AG513" s="606"/>
    </row>
    <row r="514" spans="1:33" s="612" customFormat="1" hidden="1" outlineLevel="3" x14ac:dyDescent="0.2">
      <c r="A514" s="606"/>
      <c r="B514" s="606"/>
      <c r="C514" s="607"/>
      <c r="D514" s="608"/>
      <c r="E514" s="608"/>
      <c r="F514" s="608"/>
      <c r="G514" s="608"/>
      <c r="H514" s="609"/>
      <c r="I514" s="660"/>
      <c r="J514" s="660"/>
      <c r="K514" s="660"/>
      <c r="L514" s="660"/>
      <c r="M514" s="660"/>
      <c r="N514" s="660"/>
      <c r="O514" s="660"/>
      <c r="P514" s="660"/>
      <c r="Q514" s="660"/>
      <c r="R514" s="660"/>
      <c r="S514" s="660"/>
      <c r="T514" s="660"/>
      <c r="U514" s="660"/>
      <c r="V514" s="660"/>
      <c r="W514" s="660"/>
      <c r="X514" s="660"/>
      <c r="Y514" s="660"/>
      <c r="Z514" s="660"/>
      <c r="AA514" s="660"/>
      <c r="AB514" s="660"/>
      <c r="AC514" s="661"/>
      <c r="AD514" s="606"/>
      <c r="AE514" s="606"/>
      <c r="AF514" s="606"/>
      <c r="AG514" s="606"/>
    </row>
    <row r="515" spans="1:33" s="612" customFormat="1" hidden="1" outlineLevel="3" x14ac:dyDescent="0.2">
      <c r="A515" s="606"/>
      <c r="B515" s="606"/>
      <c r="C515" s="607"/>
      <c r="D515" s="608"/>
      <c r="E515" s="608"/>
      <c r="F515" s="608"/>
      <c r="G515" s="608"/>
      <c r="H515" s="609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1"/>
      <c r="AD515" s="606"/>
      <c r="AE515" s="606"/>
      <c r="AF515" s="606"/>
      <c r="AG515" s="606"/>
    </row>
    <row r="516" spans="1:33" s="612" customFormat="1" hidden="1" outlineLevel="3" x14ac:dyDescent="0.2">
      <c r="A516" s="606"/>
      <c r="B516" s="606"/>
      <c r="C516" s="607"/>
      <c r="D516" s="608"/>
      <c r="E516" s="608"/>
      <c r="F516" s="608"/>
      <c r="G516" s="608"/>
      <c r="H516" s="609"/>
      <c r="I516" s="660"/>
      <c r="J516" s="660"/>
      <c r="K516" s="660"/>
      <c r="L516" s="660"/>
      <c r="M516" s="660"/>
      <c r="N516" s="660"/>
      <c r="O516" s="660"/>
      <c r="P516" s="660"/>
      <c r="Q516" s="660"/>
      <c r="R516" s="660"/>
      <c r="S516" s="660"/>
      <c r="T516" s="660"/>
      <c r="U516" s="660"/>
      <c r="V516" s="660"/>
      <c r="W516" s="660"/>
      <c r="X516" s="660"/>
      <c r="Y516" s="660"/>
      <c r="Z516" s="660"/>
      <c r="AA516" s="660"/>
      <c r="AB516" s="660"/>
      <c r="AC516" s="661"/>
      <c r="AD516" s="606"/>
      <c r="AE516" s="606"/>
      <c r="AF516" s="606"/>
      <c r="AG516" s="606"/>
    </row>
    <row r="517" spans="1:33" s="612" customFormat="1" hidden="1" outlineLevel="3" x14ac:dyDescent="0.2">
      <c r="A517" s="606"/>
      <c r="B517" s="606"/>
      <c r="C517" s="607"/>
      <c r="D517" s="608"/>
      <c r="E517" s="608"/>
      <c r="F517" s="608"/>
      <c r="G517" s="608"/>
      <c r="H517" s="609"/>
      <c r="I517" s="660"/>
      <c r="J517" s="660"/>
      <c r="K517" s="660"/>
      <c r="L517" s="660"/>
      <c r="M517" s="660"/>
      <c r="N517" s="660"/>
      <c r="O517" s="660"/>
      <c r="P517" s="660"/>
      <c r="Q517" s="660"/>
      <c r="R517" s="660"/>
      <c r="S517" s="660"/>
      <c r="T517" s="660"/>
      <c r="U517" s="660"/>
      <c r="V517" s="660"/>
      <c r="W517" s="660"/>
      <c r="X517" s="660"/>
      <c r="Y517" s="660"/>
      <c r="Z517" s="660"/>
      <c r="AA517" s="660"/>
      <c r="AB517" s="660"/>
      <c r="AC517" s="661"/>
      <c r="AD517" s="606"/>
      <c r="AE517" s="606"/>
      <c r="AF517" s="606"/>
      <c r="AG517" s="606"/>
    </row>
    <row r="518" spans="1:33" s="612" customFormat="1" hidden="1" outlineLevel="3" x14ac:dyDescent="0.2">
      <c r="A518" s="606"/>
      <c r="B518" s="606"/>
      <c r="C518" s="607"/>
      <c r="D518" s="608"/>
      <c r="E518" s="608"/>
      <c r="F518" s="608"/>
      <c r="G518" s="608"/>
      <c r="H518" s="609"/>
      <c r="I518" s="660"/>
      <c r="J518" s="660"/>
      <c r="K518" s="660"/>
      <c r="L518" s="660"/>
      <c r="M518" s="660"/>
      <c r="N518" s="660"/>
      <c r="O518" s="660"/>
      <c r="P518" s="660"/>
      <c r="Q518" s="660"/>
      <c r="R518" s="660"/>
      <c r="S518" s="660"/>
      <c r="T518" s="660"/>
      <c r="U518" s="660"/>
      <c r="V518" s="660"/>
      <c r="W518" s="660"/>
      <c r="X518" s="660"/>
      <c r="Y518" s="660"/>
      <c r="Z518" s="660"/>
      <c r="AA518" s="660"/>
      <c r="AB518" s="660"/>
      <c r="AC518" s="661"/>
      <c r="AD518" s="606"/>
      <c r="AE518" s="606"/>
      <c r="AF518" s="606"/>
      <c r="AG518" s="606"/>
    </row>
    <row r="519" spans="1:33" s="612" customFormat="1" hidden="1" outlineLevel="3" x14ac:dyDescent="0.2">
      <c r="A519" s="606"/>
      <c r="B519" s="606"/>
      <c r="C519" s="607"/>
      <c r="D519" s="608"/>
      <c r="E519" s="608"/>
      <c r="F519" s="608"/>
      <c r="G519" s="608"/>
      <c r="H519" s="609"/>
      <c r="I519" s="660"/>
      <c r="J519" s="660"/>
      <c r="K519" s="660"/>
      <c r="L519" s="660"/>
      <c r="M519" s="660"/>
      <c r="N519" s="660"/>
      <c r="O519" s="660"/>
      <c r="P519" s="660"/>
      <c r="Q519" s="660"/>
      <c r="R519" s="660"/>
      <c r="S519" s="660"/>
      <c r="T519" s="660"/>
      <c r="U519" s="660"/>
      <c r="V519" s="660"/>
      <c r="W519" s="660"/>
      <c r="X519" s="660"/>
      <c r="Y519" s="660"/>
      <c r="Z519" s="660"/>
      <c r="AA519" s="660"/>
      <c r="AB519" s="660"/>
      <c r="AC519" s="661"/>
      <c r="AD519" s="606"/>
      <c r="AE519" s="606"/>
      <c r="AF519" s="606"/>
      <c r="AG519" s="606"/>
    </row>
    <row r="520" spans="1:33" s="612" customFormat="1" hidden="1" outlineLevel="3" x14ac:dyDescent="0.2">
      <c r="A520" s="606"/>
      <c r="B520" s="606"/>
      <c r="C520" s="607"/>
      <c r="D520" s="608"/>
      <c r="E520" s="608"/>
      <c r="F520" s="608"/>
      <c r="G520" s="608"/>
      <c r="H520" s="609"/>
      <c r="I520" s="660"/>
      <c r="J520" s="660"/>
      <c r="K520" s="660"/>
      <c r="L520" s="660"/>
      <c r="M520" s="660"/>
      <c r="N520" s="660"/>
      <c r="O520" s="660"/>
      <c r="P520" s="660"/>
      <c r="Q520" s="660"/>
      <c r="R520" s="660"/>
      <c r="S520" s="660"/>
      <c r="T520" s="660"/>
      <c r="U520" s="660"/>
      <c r="V520" s="660"/>
      <c r="W520" s="660"/>
      <c r="X520" s="660"/>
      <c r="Y520" s="660"/>
      <c r="Z520" s="660"/>
      <c r="AA520" s="660"/>
      <c r="AB520" s="660"/>
      <c r="AC520" s="661"/>
      <c r="AD520" s="606"/>
      <c r="AE520" s="606"/>
      <c r="AF520" s="606"/>
      <c r="AG520" s="606"/>
    </row>
    <row r="521" spans="1:33" s="612" customFormat="1" hidden="1" outlineLevel="3" x14ac:dyDescent="0.2">
      <c r="A521" s="606"/>
      <c r="B521" s="606"/>
      <c r="C521" s="607"/>
      <c r="D521" s="608"/>
      <c r="E521" s="608"/>
      <c r="F521" s="608"/>
      <c r="G521" s="608"/>
      <c r="H521" s="609"/>
      <c r="I521" s="660"/>
      <c r="J521" s="660"/>
      <c r="K521" s="660"/>
      <c r="L521" s="660"/>
      <c r="M521" s="660"/>
      <c r="N521" s="660"/>
      <c r="O521" s="660"/>
      <c r="P521" s="660"/>
      <c r="Q521" s="660"/>
      <c r="R521" s="660"/>
      <c r="S521" s="660"/>
      <c r="T521" s="660"/>
      <c r="U521" s="660"/>
      <c r="V521" s="660"/>
      <c r="W521" s="660"/>
      <c r="X521" s="660"/>
      <c r="Y521" s="660"/>
      <c r="Z521" s="660"/>
      <c r="AA521" s="660"/>
      <c r="AB521" s="660"/>
      <c r="AC521" s="661"/>
      <c r="AD521" s="606"/>
      <c r="AE521" s="606"/>
      <c r="AF521" s="606"/>
      <c r="AG521" s="606"/>
    </row>
    <row r="522" spans="1:33" s="612" customFormat="1" hidden="1" outlineLevel="3" x14ac:dyDescent="0.2">
      <c r="A522" s="606"/>
      <c r="B522" s="606"/>
      <c r="C522" s="607"/>
      <c r="D522" s="608"/>
      <c r="E522" s="608"/>
      <c r="F522" s="608"/>
      <c r="G522" s="608"/>
      <c r="H522" s="609"/>
      <c r="I522" s="660"/>
      <c r="J522" s="660"/>
      <c r="K522" s="660"/>
      <c r="L522" s="660"/>
      <c r="M522" s="660"/>
      <c r="N522" s="660"/>
      <c r="O522" s="660"/>
      <c r="P522" s="660"/>
      <c r="Q522" s="660"/>
      <c r="R522" s="660"/>
      <c r="S522" s="660"/>
      <c r="T522" s="660"/>
      <c r="U522" s="660"/>
      <c r="V522" s="660"/>
      <c r="W522" s="660"/>
      <c r="X522" s="660"/>
      <c r="Y522" s="660"/>
      <c r="Z522" s="660"/>
      <c r="AA522" s="660"/>
      <c r="AB522" s="660"/>
      <c r="AC522" s="661"/>
      <c r="AD522" s="606"/>
      <c r="AE522" s="606"/>
      <c r="AF522" s="606"/>
      <c r="AG522" s="606"/>
    </row>
    <row r="523" spans="1:33" s="612" customFormat="1" hidden="1" outlineLevel="3" x14ac:dyDescent="0.2">
      <c r="A523" s="606"/>
      <c r="B523" s="606"/>
      <c r="C523" s="607"/>
      <c r="D523" s="608"/>
      <c r="E523" s="608"/>
      <c r="F523" s="608"/>
      <c r="G523" s="608"/>
      <c r="H523" s="609"/>
      <c r="I523" s="660"/>
      <c r="J523" s="660"/>
      <c r="K523" s="660"/>
      <c r="L523" s="660"/>
      <c r="M523" s="660"/>
      <c r="N523" s="660"/>
      <c r="O523" s="660"/>
      <c r="P523" s="660"/>
      <c r="Q523" s="660"/>
      <c r="R523" s="660"/>
      <c r="S523" s="660"/>
      <c r="T523" s="660"/>
      <c r="U523" s="660"/>
      <c r="V523" s="660"/>
      <c r="W523" s="660"/>
      <c r="X523" s="660"/>
      <c r="Y523" s="660"/>
      <c r="Z523" s="660"/>
      <c r="AA523" s="660"/>
      <c r="AB523" s="660"/>
      <c r="AC523" s="661"/>
      <c r="AD523" s="606"/>
      <c r="AE523" s="606"/>
      <c r="AF523" s="606"/>
      <c r="AG523" s="606"/>
    </row>
    <row r="524" spans="1:33" s="612" customFormat="1" hidden="1" outlineLevel="3" x14ac:dyDescent="0.2">
      <c r="A524" s="606"/>
      <c r="B524" s="606"/>
      <c r="C524" s="607"/>
      <c r="D524" s="608"/>
      <c r="E524" s="608"/>
      <c r="F524" s="608"/>
      <c r="G524" s="608"/>
      <c r="H524" s="609"/>
      <c r="I524" s="660"/>
      <c r="J524" s="660"/>
      <c r="K524" s="660"/>
      <c r="L524" s="660"/>
      <c r="M524" s="660"/>
      <c r="N524" s="660"/>
      <c r="O524" s="660"/>
      <c r="P524" s="660"/>
      <c r="Q524" s="660"/>
      <c r="R524" s="660"/>
      <c r="S524" s="660"/>
      <c r="T524" s="660"/>
      <c r="U524" s="660"/>
      <c r="V524" s="660"/>
      <c r="W524" s="660"/>
      <c r="X524" s="660"/>
      <c r="Y524" s="660"/>
      <c r="Z524" s="660"/>
      <c r="AA524" s="660"/>
      <c r="AB524" s="660"/>
      <c r="AC524" s="661"/>
      <c r="AD524" s="606"/>
      <c r="AE524" s="606"/>
      <c r="AF524" s="606"/>
      <c r="AG524" s="606"/>
    </row>
    <row r="525" spans="1:33" s="612" customFormat="1" hidden="1" outlineLevel="3" x14ac:dyDescent="0.2">
      <c r="A525" s="606"/>
      <c r="B525" s="606"/>
      <c r="C525" s="607"/>
      <c r="D525" s="608"/>
      <c r="E525" s="608"/>
      <c r="F525" s="608"/>
      <c r="G525" s="608"/>
      <c r="H525" s="609"/>
      <c r="I525" s="660"/>
      <c r="J525" s="660"/>
      <c r="K525" s="660"/>
      <c r="L525" s="660"/>
      <c r="M525" s="660"/>
      <c r="N525" s="660"/>
      <c r="O525" s="660"/>
      <c r="P525" s="660"/>
      <c r="Q525" s="660"/>
      <c r="R525" s="660"/>
      <c r="S525" s="660"/>
      <c r="T525" s="660"/>
      <c r="U525" s="660"/>
      <c r="V525" s="660"/>
      <c r="W525" s="660"/>
      <c r="X525" s="660"/>
      <c r="Y525" s="660"/>
      <c r="Z525" s="660"/>
      <c r="AA525" s="660"/>
      <c r="AB525" s="660"/>
      <c r="AC525" s="661"/>
      <c r="AD525" s="606"/>
      <c r="AE525" s="606"/>
      <c r="AF525" s="606"/>
      <c r="AG525" s="606"/>
    </row>
    <row r="526" spans="1:33" s="612" customFormat="1" hidden="1" outlineLevel="3" x14ac:dyDescent="0.2">
      <c r="A526" s="606"/>
      <c r="B526" s="606"/>
      <c r="C526" s="607"/>
      <c r="D526" s="608"/>
      <c r="E526" s="608"/>
      <c r="F526" s="608"/>
      <c r="G526" s="608"/>
      <c r="H526" s="609"/>
      <c r="I526" s="660"/>
      <c r="J526" s="660"/>
      <c r="K526" s="660"/>
      <c r="L526" s="660"/>
      <c r="M526" s="660"/>
      <c r="N526" s="660"/>
      <c r="O526" s="660"/>
      <c r="P526" s="660"/>
      <c r="Q526" s="660"/>
      <c r="R526" s="660"/>
      <c r="S526" s="660"/>
      <c r="T526" s="660"/>
      <c r="U526" s="660"/>
      <c r="V526" s="660"/>
      <c r="W526" s="660"/>
      <c r="X526" s="660"/>
      <c r="Y526" s="660"/>
      <c r="Z526" s="660"/>
      <c r="AA526" s="660"/>
      <c r="AB526" s="660"/>
      <c r="AC526" s="661"/>
      <c r="AD526" s="606"/>
      <c r="AE526" s="606"/>
      <c r="AF526" s="606"/>
      <c r="AG526" s="606"/>
    </row>
    <row r="527" spans="1:33" s="612" customFormat="1" hidden="1" outlineLevel="3" x14ac:dyDescent="0.2">
      <c r="A527" s="606"/>
      <c r="B527" s="606"/>
      <c r="C527" s="607"/>
      <c r="D527" s="608"/>
      <c r="E527" s="608"/>
      <c r="F527" s="608"/>
      <c r="G527" s="608"/>
      <c r="H527" s="609"/>
      <c r="I527" s="660"/>
      <c r="J527" s="660"/>
      <c r="K527" s="660"/>
      <c r="L527" s="660"/>
      <c r="M527" s="660"/>
      <c r="N527" s="660"/>
      <c r="O527" s="660"/>
      <c r="P527" s="660"/>
      <c r="Q527" s="660"/>
      <c r="R527" s="660"/>
      <c r="S527" s="660"/>
      <c r="T527" s="660"/>
      <c r="U527" s="660"/>
      <c r="V527" s="660"/>
      <c r="W527" s="660"/>
      <c r="X527" s="660"/>
      <c r="Y527" s="660"/>
      <c r="Z527" s="660"/>
      <c r="AA527" s="660"/>
      <c r="AB527" s="660"/>
      <c r="AC527" s="661"/>
      <c r="AD527" s="606"/>
      <c r="AE527" s="606"/>
      <c r="AF527" s="606"/>
      <c r="AG527" s="606"/>
    </row>
    <row r="528" spans="1:33" s="612" customFormat="1" hidden="1" outlineLevel="3" x14ac:dyDescent="0.2">
      <c r="A528" s="606"/>
      <c r="B528" s="606"/>
      <c r="C528" s="607"/>
      <c r="D528" s="608"/>
      <c r="E528" s="608"/>
      <c r="F528" s="608"/>
      <c r="G528" s="608"/>
      <c r="H528" s="609"/>
      <c r="I528" s="660"/>
      <c r="J528" s="660"/>
      <c r="K528" s="660"/>
      <c r="L528" s="660"/>
      <c r="M528" s="660"/>
      <c r="N528" s="660"/>
      <c r="O528" s="660"/>
      <c r="P528" s="660"/>
      <c r="Q528" s="660"/>
      <c r="R528" s="660"/>
      <c r="S528" s="660"/>
      <c r="T528" s="660"/>
      <c r="U528" s="660"/>
      <c r="V528" s="660"/>
      <c r="W528" s="660"/>
      <c r="X528" s="660"/>
      <c r="Y528" s="660"/>
      <c r="Z528" s="660"/>
      <c r="AA528" s="660"/>
      <c r="AB528" s="660"/>
      <c r="AC528" s="661"/>
      <c r="AD528" s="606"/>
      <c r="AE528" s="606"/>
      <c r="AF528" s="606"/>
      <c r="AG528" s="606"/>
    </row>
    <row r="529" spans="1:33" s="612" customFormat="1" hidden="1" outlineLevel="3" x14ac:dyDescent="0.2">
      <c r="A529" s="606"/>
      <c r="B529" s="606"/>
      <c r="C529" s="607"/>
      <c r="D529" s="608"/>
      <c r="E529" s="608"/>
      <c r="F529" s="608"/>
      <c r="G529" s="608"/>
      <c r="H529" s="609"/>
      <c r="I529" s="660"/>
      <c r="J529" s="660"/>
      <c r="K529" s="660"/>
      <c r="L529" s="660"/>
      <c r="M529" s="660"/>
      <c r="N529" s="660"/>
      <c r="O529" s="660"/>
      <c r="P529" s="660"/>
      <c r="Q529" s="660"/>
      <c r="R529" s="660"/>
      <c r="S529" s="660"/>
      <c r="T529" s="660"/>
      <c r="U529" s="660"/>
      <c r="V529" s="660"/>
      <c r="W529" s="660"/>
      <c r="X529" s="660"/>
      <c r="Y529" s="660"/>
      <c r="Z529" s="660"/>
      <c r="AA529" s="660"/>
      <c r="AB529" s="660"/>
      <c r="AC529" s="661"/>
      <c r="AD529" s="606"/>
      <c r="AE529" s="606"/>
      <c r="AF529" s="606"/>
      <c r="AG529" s="606"/>
    </row>
    <row r="530" spans="1:33" s="612" customFormat="1" hidden="1" outlineLevel="3" x14ac:dyDescent="0.2">
      <c r="A530" s="606"/>
      <c r="B530" s="606"/>
      <c r="C530" s="607"/>
      <c r="D530" s="608"/>
      <c r="E530" s="608"/>
      <c r="F530" s="608"/>
      <c r="G530" s="608"/>
      <c r="H530" s="609"/>
      <c r="I530" s="660"/>
      <c r="J530" s="660"/>
      <c r="K530" s="660"/>
      <c r="L530" s="660"/>
      <c r="M530" s="660"/>
      <c r="N530" s="660"/>
      <c r="O530" s="660"/>
      <c r="P530" s="660"/>
      <c r="Q530" s="660"/>
      <c r="R530" s="660"/>
      <c r="S530" s="660"/>
      <c r="T530" s="660"/>
      <c r="U530" s="660"/>
      <c r="V530" s="660"/>
      <c r="W530" s="660"/>
      <c r="X530" s="660"/>
      <c r="Y530" s="660"/>
      <c r="Z530" s="660"/>
      <c r="AA530" s="660"/>
      <c r="AB530" s="660"/>
      <c r="AC530" s="661"/>
      <c r="AD530" s="606"/>
      <c r="AE530" s="606"/>
      <c r="AF530" s="606"/>
      <c r="AG530" s="606"/>
    </row>
    <row r="531" spans="1:33" s="612" customFormat="1" hidden="1" outlineLevel="3" x14ac:dyDescent="0.2">
      <c r="A531" s="606"/>
      <c r="B531" s="606"/>
      <c r="C531" s="607"/>
      <c r="D531" s="608"/>
      <c r="E531" s="608"/>
      <c r="F531" s="608"/>
      <c r="G531" s="608"/>
      <c r="H531" s="609"/>
      <c r="I531" s="660"/>
      <c r="J531" s="660"/>
      <c r="K531" s="660"/>
      <c r="L531" s="660"/>
      <c r="M531" s="660"/>
      <c r="N531" s="660"/>
      <c r="O531" s="660"/>
      <c r="P531" s="660"/>
      <c r="Q531" s="660"/>
      <c r="R531" s="660"/>
      <c r="S531" s="660"/>
      <c r="T531" s="660"/>
      <c r="U531" s="660"/>
      <c r="V531" s="660"/>
      <c r="W531" s="660"/>
      <c r="X531" s="660"/>
      <c r="Y531" s="660"/>
      <c r="Z531" s="660"/>
      <c r="AA531" s="660"/>
      <c r="AB531" s="660"/>
      <c r="AC531" s="661"/>
      <c r="AD531" s="606"/>
      <c r="AE531" s="606"/>
      <c r="AF531" s="606"/>
      <c r="AG531" s="606"/>
    </row>
    <row r="532" spans="1:33" s="612" customFormat="1" hidden="1" outlineLevel="3" x14ac:dyDescent="0.2">
      <c r="A532" s="606"/>
      <c r="B532" s="606"/>
      <c r="C532" s="607"/>
      <c r="D532" s="608"/>
      <c r="E532" s="608"/>
      <c r="F532" s="608"/>
      <c r="G532" s="608"/>
      <c r="H532" s="609"/>
      <c r="I532" s="660"/>
      <c r="J532" s="660"/>
      <c r="K532" s="660"/>
      <c r="L532" s="660"/>
      <c r="M532" s="660"/>
      <c r="N532" s="660"/>
      <c r="O532" s="660"/>
      <c r="P532" s="660"/>
      <c r="Q532" s="660"/>
      <c r="R532" s="660"/>
      <c r="S532" s="660"/>
      <c r="T532" s="660"/>
      <c r="U532" s="660"/>
      <c r="V532" s="660"/>
      <c r="W532" s="660"/>
      <c r="X532" s="660"/>
      <c r="Y532" s="660"/>
      <c r="Z532" s="660"/>
      <c r="AA532" s="660"/>
      <c r="AB532" s="660"/>
      <c r="AC532" s="661"/>
      <c r="AD532" s="606"/>
      <c r="AE532" s="606"/>
      <c r="AF532" s="606"/>
      <c r="AG532" s="606"/>
    </row>
    <row r="533" spans="1:33" s="612" customFormat="1" hidden="1" outlineLevel="3" x14ac:dyDescent="0.2">
      <c r="A533" s="606"/>
      <c r="B533" s="606"/>
      <c r="C533" s="607"/>
      <c r="D533" s="608"/>
      <c r="E533" s="608"/>
      <c r="F533" s="608"/>
      <c r="G533" s="608"/>
      <c r="H533" s="609"/>
      <c r="I533" s="660"/>
      <c r="J533" s="660"/>
      <c r="K533" s="660"/>
      <c r="L533" s="660"/>
      <c r="M533" s="660"/>
      <c r="N533" s="660"/>
      <c r="O533" s="660"/>
      <c r="P533" s="660"/>
      <c r="Q533" s="660"/>
      <c r="R533" s="660"/>
      <c r="S533" s="660"/>
      <c r="T533" s="660"/>
      <c r="U533" s="660"/>
      <c r="V533" s="660"/>
      <c r="W533" s="660"/>
      <c r="X533" s="660"/>
      <c r="Y533" s="660"/>
      <c r="Z533" s="660"/>
      <c r="AA533" s="660"/>
      <c r="AB533" s="660"/>
      <c r="AC533" s="661"/>
      <c r="AD533" s="606"/>
      <c r="AE533" s="606"/>
      <c r="AF533" s="606"/>
      <c r="AG533" s="606"/>
    </row>
    <row r="534" spans="1:33" s="612" customFormat="1" hidden="1" outlineLevel="3" x14ac:dyDescent="0.2">
      <c r="A534" s="606"/>
      <c r="B534" s="606"/>
      <c r="C534" s="607"/>
      <c r="D534" s="608"/>
      <c r="E534" s="608"/>
      <c r="F534" s="608"/>
      <c r="G534" s="608"/>
      <c r="H534" s="609"/>
      <c r="I534" s="660"/>
      <c r="J534" s="660"/>
      <c r="K534" s="660"/>
      <c r="L534" s="660"/>
      <c r="M534" s="660"/>
      <c r="N534" s="660"/>
      <c r="O534" s="660"/>
      <c r="P534" s="660"/>
      <c r="Q534" s="660"/>
      <c r="R534" s="660"/>
      <c r="S534" s="660"/>
      <c r="T534" s="660"/>
      <c r="U534" s="660"/>
      <c r="V534" s="660"/>
      <c r="W534" s="660"/>
      <c r="X534" s="660"/>
      <c r="Y534" s="660"/>
      <c r="Z534" s="660"/>
      <c r="AA534" s="660"/>
      <c r="AB534" s="660"/>
      <c r="AC534" s="661"/>
      <c r="AD534" s="606"/>
      <c r="AE534" s="606"/>
      <c r="AF534" s="606"/>
      <c r="AG534" s="606"/>
    </row>
    <row r="535" spans="1:33" s="612" customFormat="1" hidden="1" outlineLevel="3" x14ac:dyDescent="0.2">
      <c r="A535" s="606"/>
      <c r="B535" s="606"/>
      <c r="C535" s="607"/>
      <c r="D535" s="608"/>
      <c r="E535" s="608"/>
      <c r="F535" s="608"/>
      <c r="G535" s="608"/>
      <c r="H535" s="609"/>
      <c r="I535" s="660"/>
      <c r="J535" s="660"/>
      <c r="K535" s="660"/>
      <c r="L535" s="660"/>
      <c r="M535" s="660"/>
      <c r="N535" s="660"/>
      <c r="O535" s="660"/>
      <c r="P535" s="660"/>
      <c r="Q535" s="660"/>
      <c r="R535" s="660"/>
      <c r="S535" s="660"/>
      <c r="T535" s="660"/>
      <c r="U535" s="660"/>
      <c r="V535" s="660"/>
      <c r="W535" s="660"/>
      <c r="X535" s="660"/>
      <c r="Y535" s="660"/>
      <c r="Z535" s="660"/>
      <c r="AA535" s="660"/>
      <c r="AB535" s="660"/>
      <c r="AC535" s="661"/>
      <c r="AD535" s="606"/>
      <c r="AE535" s="606"/>
      <c r="AF535" s="606"/>
      <c r="AG535" s="606"/>
    </row>
    <row r="536" spans="1:33" s="612" customFormat="1" hidden="1" outlineLevel="3" x14ac:dyDescent="0.2">
      <c r="A536" s="606"/>
      <c r="B536" s="606"/>
      <c r="C536" s="607"/>
      <c r="D536" s="608"/>
      <c r="E536" s="608"/>
      <c r="F536" s="608"/>
      <c r="G536" s="608"/>
      <c r="H536" s="609"/>
      <c r="I536" s="660"/>
      <c r="J536" s="660"/>
      <c r="K536" s="660"/>
      <c r="L536" s="660"/>
      <c r="M536" s="660"/>
      <c r="N536" s="660"/>
      <c r="O536" s="660"/>
      <c r="P536" s="660"/>
      <c r="Q536" s="660"/>
      <c r="R536" s="660"/>
      <c r="S536" s="660"/>
      <c r="T536" s="660"/>
      <c r="U536" s="660"/>
      <c r="V536" s="660"/>
      <c r="W536" s="660"/>
      <c r="X536" s="660"/>
      <c r="Y536" s="660"/>
      <c r="Z536" s="660"/>
      <c r="AA536" s="660"/>
      <c r="AB536" s="660"/>
      <c r="AC536" s="661"/>
      <c r="AD536" s="606"/>
      <c r="AE536" s="606"/>
      <c r="AF536" s="606"/>
      <c r="AG536" s="606"/>
    </row>
    <row r="537" spans="1:33" s="612" customFormat="1" hidden="1" outlineLevel="3" x14ac:dyDescent="0.2">
      <c r="A537" s="606"/>
      <c r="B537" s="606"/>
      <c r="C537" s="607"/>
      <c r="D537" s="608"/>
      <c r="E537" s="608"/>
      <c r="F537" s="608"/>
      <c r="G537" s="608"/>
      <c r="H537" s="609"/>
      <c r="I537" s="660"/>
      <c r="J537" s="660"/>
      <c r="K537" s="660"/>
      <c r="L537" s="660"/>
      <c r="M537" s="660"/>
      <c r="N537" s="660"/>
      <c r="O537" s="660"/>
      <c r="P537" s="660"/>
      <c r="Q537" s="660"/>
      <c r="R537" s="660"/>
      <c r="S537" s="660"/>
      <c r="T537" s="660"/>
      <c r="U537" s="660"/>
      <c r="V537" s="660"/>
      <c r="W537" s="660"/>
      <c r="X537" s="660"/>
      <c r="Y537" s="660"/>
      <c r="Z537" s="660"/>
      <c r="AA537" s="660"/>
      <c r="AB537" s="660"/>
      <c r="AC537" s="661"/>
      <c r="AD537" s="606"/>
      <c r="AE537" s="606"/>
      <c r="AF537" s="606"/>
      <c r="AG537" s="606"/>
    </row>
    <row r="538" spans="1:33" s="612" customFormat="1" hidden="1" outlineLevel="3" x14ac:dyDescent="0.2">
      <c r="A538" s="606"/>
      <c r="B538" s="606"/>
      <c r="C538" s="607"/>
      <c r="D538" s="608"/>
      <c r="E538" s="608"/>
      <c r="F538" s="608"/>
      <c r="G538" s="608"/>
      <c r="H538" s="609"/>
      <c r="I538" s="660"/>
      <c r="J538" s="660"/>
      <c r="K538" s="660"/>
      <c r="L538" s="660"/>
      <c r="M538" s="660"/>
      <c r="N538" s="660"/>
      <c r="O538" s="660"/>
      <c r="P538" s="660"/>
      <c r="Q538" s="660"/>
      <c r="R538" s="660"/>
      <c r="S538" s="660"/>
      <c r="T538" s="660"/>
      <c r="U538" s="660"/>
      <c r="V538" s="660"/>
      <c r="W538" s="660"/>
      <c r="X538" s="660"/>
      <c r="Y538" s="660"/>
      <c r="Z538" s="660"/>
      <c r="AA538" s="660"/>
      <c r="AB538" s="660"/>
      <c r="AC538" s="661"/>
      <c r="AD538" s="606"/>
      <c r="AE538" s="606"/>
      <c r="AF538" s="606"/>
      <c r="AG538" s="606"/>
    </row>
    <row r="539" spans="1:33" s="612" customFormat="1" hidden="1" outlineLevel="3" x14ac:dyDescent="0.2">
      <c r="A539" s="606"/>
      <c r="B539" s="606"/>
      <c r="C539" s="607"/>
      <c r="D539" s="608"/>
      <c r="E539" s="608"/>
      <c r="F539" s="608"/>
      <c r="G539" s="608"/>
      <c r="H539" s="609"/>
      <c r="I539" s="660"/>
      <c r="J539" s="660"/>
      <c r="K539" s="660"/>
      <c r="L539" s="660"/>
      <c r="M539" s="660"/>
      <c r="N539" s="660"/>
      <c r="O539" s="660"/>
      <c r="P539" s="660"/>
      <c r="Q539" s="660"/>
      <c r="R539" s="660"/>
      <c r="S539" s="660"/>
      <c r="T539" s="660"/>
      <c r="U539" s="660"/>
      <c r="V539" s="660"/>
      <c r="W539" s="660"/>
      <c r="X539" s="660"/>
      <c r="Y539" s="660"/>
      <c r="Z539" s="660"/>
      <c r="AA539" s="660"/>
      <c r="AB539" s="660"/>
      <c r="AC539" s="661"/>
      <c r="AD539" s="606"/>
      <c r="AE539" s="606"/>
      <c r="AF539" s="606"/>
      <c r="AG539" s="606"/>
    </row>
    <row r="540" spans="1:33" s="612" customFormat="1" hidden="1" outlineLevel="3" x14ac:dyDescent="0.2">
      <c r="A540" s="606"/>
      <c r="B540" s="606"/>
      <c r="C540" s="607"/>
      <c r="D540" s="608"/>
      <c r="E540" s="608"/>
      <c r="F540" s="608"/>
      <c r="G540" s="608"/>
      <c r="H540" s="609"/>
      <c r="I540" s="660"/>
      <c r="J540" s="660"/>
      <c r="K540" s="660"/>
      <c r="L540" s="660"/>
      <c r="M540" s="660"/>
      <c r="N540" s="660"/>
      <c r="O540" s="660"/>
      <c r="P540" s="660"/>
      <c r="Q540" s="660"/>
      <c r="R540" s="660"/>
      <c r="S540" s="660"/>
      <c r="T540" s="660"/>
      <c r="U540" s="660"/>
      <c r="V540" s="660"/>
      <c r="W540" s="660"/>
      <c r="X540" s="660"/>
      <c r="Y540" s="660"/>
      <c r="Z540" s="660"/>
      <c r="AA540" s="660"/>
      <c r="AB540" s="660"/>
      <c r="AC540" s="661"/>
      <c r="AD540" s="606"/>
      <c r="AE540" s="606"/>
      <c r="AF540" s="606"/>
      <c r="AG540" s="606"/>
    </row>
    <row r="541" spans="1:33" s="612" customFormat="1" hidden="1" outlineLevel="3" x14ac:dyDescent="0.2">
      <c r="A541" s="606"/>
      <c r="B541" s="606"/>
      <c r="C541" s="607"/>
      <c r="D541" s="608"/>
      <c r="E541" s="608"/>
      <c r="F541" s="608"/>
      <c r="G541" s="608"/>
      <c r="H541" s="609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1"/>
      <c r="AD541" s="606"/>
      <c r="AE541" s="606"/>
      <c r="AF541" s="606"/>
      <c r="AG541" s="606"/>
    </row>
    <row r="542" spans="1:33" s="612" customFormat="1" hidden="1" outlineLevel="3" x14ac:dyDescent="0.2">
      <c r="A542" s="606"/>
      <c r="B542" s="606"/>
      <c r="C542" s="607"/>
      <c r="D542" s="608"/>
      <c r="E542" s="608"/>
      <c r="F542" s="608"/>
      <c r="G542" s="608"/>
      <c r="H542" s="609"/>
      <c r="I542" s="660"/>
      <c r="J542" s="660"/>
      <c r="K542" s="660"/>
      <c r="L542" s="660"/>
      <c r="M542" s="660"/>
      <c r="N542" s="660"/>
      <c r="O542" s="660"/>
      <c r="P542" s="660"/>
      <c r="Q542" s="660"/>
      <c r="R542" s="660"/>
      <c r="S542" s="660"/>
      <c r="T542" s="660"/>
      <c r="U542" s="660"/>
      <c r="V542" s="660"/>
      <c r="W542" s="660"/>
      <c r="X542" s="660"/>
      <c r="Y542" s="660"/>
      <c r="Z542" s="660"/>
      <c r="AA542" s="660"/>
      <c r="AB542" s="660"/>
      <c r="AC542" s="661"/>
      <c r="AD542" s="606"/>
      <c r="AE542" s="606"/>
      <c r="AF542" s="606"/>
      <c r="AG542" s="606"/>
    </row>
    <row r="543" spans="1:33" s="612" customFormat="1" hidden="1" outlineLevel="3" x14ac:dyDescent="0.2">
      <c r="A543" s="606"/>
      <c r="B543" s="606"/>
      <c r="C543" s="607"/>
      <c r="D543" s="608"/>
      <c r="E543" s="608"/>
      <c r="F543" s="608"/>
      <c r="G543" s="608"/>
      <c r="H543" s="609"/>
      <c r="I543" s="660"/>
      <c r="J543" s="660"/>
      <c r="K543" s="660"/>
      <c r="L543" s="660"/>
      <c r="M543" s="660"/>
      <c r="N543" s="660"/>
      <c r="O543" s="660"/>
      <c r="P543" s="660"/>
      <c r="Q543" s="660"/>
      <c r="R543" s="660"/>
      <c r="S543" s="660"/>
      <c r="T543" s="660"/>
      <c r="U543" s="660"/>
      <c r="V543" s="660"/>
      <c r="W543" s="660"/>
      <c r="X543" s="660"/>
      <c r="Y543" s="660"/>
      <c r="Z543" s="660"/>
      <c r="AA543" s="660"/>
      <c r="AB543" s="660"/>
      <c r="AC543" s="661"/>
      <c r="AD543" s="606"/>
      <c r="AE543" s="606"/>
      <c r="AF543" s="606"/>
      <c r="AG543" s="606"/>
    </row>
    <row r="544" spans="1:33" s="612" customFormat="1" hidden="1" outlineLevel="3" x14ac:dyDescent="0.2">
      <c r="A544" s="606"/>
      <c r="B544" s="606"/>
      <c r="C544" s="607"/>
      <c r="D544" s="608"/>
      <c r="E544" s="608"/>
      <c r="F544" s="608"/>
      <c r="G544" s="608"/>
      <c r="H544" s="609"/>
      <c r="I544" s="660"/>
      <c r="J544" s="660"/>
      <c r="K544" s="660"/>
      <c r="L544" s="660"/>
      <c r="M544" s="660"/>
      <c r="N544" s="660"/>
      <c r="O544" s="660"/>
      <c r="P544" s="660"/>
      <c r="Q544" s="660"/>
      <c r="R544" s="660"/>
      <c r="S544" s="660"/>
      <c r="T544" s="660"/>
      <c r="U544" s="660"/>
      <c r="V544" s="660"/>
      <c r="W544" s="660"/>
      <c r="X544" s="660"/>
      <c r="Y544" s="660"/>
      <c r="Z544" s="660"/>
      <c r="AA544" s="660"/>
      <c r="AB544" s="660"/>
      <c r="AC544" s="661"/>
      <c r="AD544" s="606"/>
      <c r="AE544" s="606"/>
      <c r="AF544" s="606"/>
      <c r="AG544" s="606"/>
    </row>
    <row r="545" spans="1:33" s="612" customFormat="1" hidden="1" outlineLevel="3" x14ac:dyDescent="0.2">
      <c r="A545" s="606"/>
      <c r="B545" s="606"/>
      <c r="C545" s="607"/>
      <c r="D545" s="608"/>
      <c r="E545" s="608"/>
      <c r="F545" s="608"/>
      <c r="G545" s="608"/>
      <c r="H545" s="609"/>
      <c r="I545" s="660"/>
      <c r="J545" s="660"/>
      <c r="K545" s="660"/>
      <c r="L545" s="660"/>
      <c r="M545" s="660"/>
      <c r="N545" s="660"/>
      <c r="O545" s="660"/>
      <c r="P545" s="660"/>
      <c r="Q545" s="660"/>
      <c r="R545" s="660"/>
      <c r="S545" s="660"/>
      <c r="T545" s="660"/>
      <c r="U545" s="660"/>
      <c r="V545" s="660"/>
      <c r="W545" s="660"/>
      <c r="X545" s="660"/>
      <c r="Y545" s="660"/>
      <c r="Z545" s="660"/>
      <c r="AA545" s="660"/>
      <c r="AB545" s="660"/>
      <c r="AC545" s="661"/>
      <c r="AD545" s="606"/>
      <c r="AE545" s="606"/>
      <c r="AF545" s="606"/>
      <c r="AG545" s="606"/>
    </row>
    <row r="546" spans="1:33" s="612" customFormat="1" hidden="1" outlineLevel="3" x14ac:dyDescent="0.2">
      <c r="A546" s="606"/>
      <c r="B546" s="606"/>
      <c r="C546" s="607"/>
      <c r="D546" s="608"/>
      <c r="E546" s="608"/>
      <c r="F546" s="608"/>
      <c r="G546" s="608"/>
      <c r="H546" s="609"/>
      <c r="I546" s="660"/>
      <c r="J546" s="660"/>
      <c r="K546" s="660"/>
      <c r="L546" s="660"/>
      <c r="M546" s="660"/>
      <c r="N546" s="660"/>
      <c r="O546" s="660"/>
      <c r="P546" s="660"/>
      <c r="Q546" s="660"/>
      <c r="R546" s="660"/>
      <c r="S546" s="660"/>
      <c r="T546" s="660"/>
      <c r="U546" s="660"/>
      <c r="V546" s="660"/>
      <c r="W546" s="660"/>
      <c r="X546" s="660"/>
      <c r="Y546" s="660"/>
      <c r="Z546" s="660"/>
      <c r="AA546" s="660"/>
      <c r="AB546" s="660"/>
      <c r="AC546" s="661"/>
      <c r="AD546" s="606"/>
      <c r="AE546" s="606"/>
      <c r="AF546" s="606"/>
      <c r="AG546" s="606"/>
    </row>
    <row r="547" spans="1:33" s="612" customFormat="1" hidden="1" outlineLevel="3" x14ac:dyDescent="0.2">
      <c r="A547" s="606"/>
      <c r="B547" s="606"/>
      <c r="C547" s="607"/>
      <c r="D547" s="608"/>
      <c r="E547" s="608"/>
      <c r="F547" s="608"/>
      <c r="G547" s="608"/>
      <c r="H547" s="609"/>
      <c r="I547" s="660"/>
      <c r="J547" s="660"/>
      <c r="K547" s="660"/>
      <c r="L547" s="660"/>
      <c r="M547" s="660"/>
      <c r="N547" s="660"/>
      <c r="O547" s="660"/>
      <c r="P547" s="660"/>
      <c r="Q547" s="660"/>
      <c r="R547" s="660"/>
      <c r="S547" s="660"/>
      <c r="T547" s="660"/>
      <c r="U547" s="660"/>
      <c r="V547" s="660"/>
      <c r="W547" s="660"/>
      <c r="X547" s="660"/>
      <c r="Y547" s="660"/>
      <c r="Z547" s="660"/>
      <c r="AA547" s="660"/>
      <c r="AB547" s="660"/>
      <c r="AC547" s="661"/>
      <c r="AD547" s="606"/>
      <c r="AE547" s="606"/>
      <c r="AF547" s="606"/>
      <c r="AG547" s="606"/>
    </row>
    <row r="548" spans="1:33" s="612" customFormat="1" hidden="1" outlineLevel="3" x14ac:dyDescent="0.2">
      <c r="A548" s="606"/>
      <c r="B548" s="606"/>
      <c r="C548" s="607"/>
      <c r="D548" s="608"/>
      <c r="E548" s="608"/>
      <c r="F548" s="608"/>
      <c r="G548" s="608"/>
      <c r="H548" s="609"/>
      <c r="I548" s="660"/>
      <c r="J548" s="660"/>
      <c r="K548" s="660"/>
      <c r="L548" s="660"/>
      <c r="M548" s="660"/>
      <c r="N548" s="660"/>
      <c r="O548" s="660"/>
      <c r="P548" s="660"/>
      <c r="Q548" s="660"/>
      <c r="R548" s="660"/>
      <c r="S548" s="660"/>
      <c r="T548" s="660"/>
      <c r="U548" s="660"/>
      <c r="V548" s="660"/>
      <c r="W548" s="660"/>
      <c r="X548" s="660"/>
      <c r="Y548" s="660"/>
      <c r="Z548" s="660"/>
      <c r="AA548" s="660"/>
      <c r="AB548" s="660"/>
      <c r="AC548" s="661"/>
      <c r="AD548" s="606"/>
      <c r="AE548" s="606"/>
      <c r="AF548" s="606"/>
      <c r="AG548" s="606"/>
    </row>
    <row r="549" spans="1:33" s="612" customFormat="1" hidden="1" outlineLevel="3" x14ac:dyDescent="0.2">
      <c r="A549" s="606"/>
      <c r="B549" s="606"/>
      <c r="C549" s="607"/>
      <c r="D549" s="608"/>
      <c r="E549" s="608"/>
      <c r="F549" s="608"/>
      <c r="G549" s="608"/>
      <c r="H549" s="609"/>
      <c r="I549" s="660"/>
      <c r="J549" s="660"/>
      <c r="K549" s="660"/>
      <c r="L549" s="660"/>
      <c r="M549" s="660"/>
      <c r="N549" s="660"/>
      <c r="O549" s="660"/>
      <c r="P549" s="660"/>
      <c r="Q549" s="660"/>
      <c r="R549" s="660"/>
      <c r="S549" s="660"/>
      <c r="T549" s="660"/>
      <c r="U549" s="660"/>
      <c r="V549" s="660"/>
      <c r="W549" s="660"/>
      <c r="X549" s="660"/>
      <c r="Y549" s="660"/>
      <c r="Z549" s="660"/>
      <c r="AA549" s="660"/>
      <c r="AB549" s="660"/>
      <c r="AC549" s="661"/>
      <c r="AD549" s="606"/>
      <c r="AE549" s="606"/>
      <c r="AF549" s="606"/>
      <c r="AG549" s="606"/>
    </row>
    <row r="550" spans="1:33" s="612" customFormat="1" hidden="1" outlineLevel="3" x14ac:dyDescent="0.2">
      <c r="A550" s="606"/>
      <c r="B550" s="606"/>
      <c r="C550" s="607"/>
      <c r="D550" s="608"/>
      <c r="E550" s="608"/>
      <c r="F550" s="608"/>
      <c r="G550" s="608"/>
      <c r="H550" s="609"/>
      <c r="I550" s="660"/>
      <c r="J550" s="660"/>
      <c r="K550" s="660"/>
      <c r="L550" s="660"/>
      <c r="M550" s="660"/>
      <c r="N550" s="660"/>
      <c r="O550" s="660"/>
      <c r="P550" s="660"/>
      <c r="Q550" s="660"/>
      <c r="R550" s="660"/>
      <c r="S550" s="660"/>
      <c r="T550" s="660"/>
      <c r="U550" s="660"/>
      <c r="V550" s="660"/>
      <c r="W550" s="660"/>
      <c r="X550" s="660"/>
      <c r="Y550" s="660"/>
      <c r="Z550" s="660"/>
      <c r="AA550" s="660"/>
      <c r="AB550" s="660"/>
      <c r="AC550" s="661"/>
      <c r="AD550" s="606"/>
      <c r="AE550" s="606"/>
      <c r="AF550" s="606"/>
      <c r="AG550" s="606"/>
    </row>
    <row r="551" spans="1:33" s="612" customFormat="1" hidden="1" outlineLevel="2" x14ac:dyDescent="0.2">
      <c r="A551" s="606"/>
      <c r="B551" s="606"/>
      <c r="C551" s="613"/>
      <c r="D551" s="613"/>
      <c r="E551" s="613"/>
      <c r="F551" s="613"/>
      <c r="G551" s="609"/>
      <c r="H551" s="609"/>
      <c r="I551" s="662"/>
      <c r="J551" s="662"/>
      <c r="K551" s="662"/>
      <c r="L551" s="662"/>
      <c r="M551" s="662"/>
      <c r="N551" s="662"/>
      <c r="O551" s="662"/>
      <c r="P551" s="662"/>
      <c r="Q551" s="662"/>
      <c r="R551" s="662"/>
      <c r="S551" s="662"/>
      <c r="T551" s="662"/>
      <c r="U551" s="662"/>
      <c r="V551" s="662"/>
      <c r="W551" s="662"/>
      <c r="X551" s="662"/>
      <c r="Y551" s="662"/>
      <c r="Z551" s="662"/>
      <c r="AA551" s="662"/>
      <c r="AB551" s="662"/>
      <c r="AC551" s="661"/>
      <c r="AD551" s="606"/>
      <c r="AE551" s="606"/>
      <c r="AF551" s="606"/>
      <c r="AG551" s="606"/>
    </row>
    <row r="552" spans="1:33" s="612" customFormat="1" outlineLevel="1" collapsed="1" x14ac:dyDescent="0.2">
      <c r="A552" s="606"/>
      <c r="B552" s="606"/>
      <c r="C552" s="613"/>
      <c r="D552" s="609"/>
      <c r="E552" s="609"/>
      <c r="F552" s="609"/>
      <c r="G552" s="609"/>
      <c r="H552" s="609"/>
      <c r="I552" s="609"/>
      <c r="J552" s="609"/>
      <c r="K552" s="617"/>
      <c r="L552" s="617"/>
      <c r="M552" s="617"/>
      <c r="N552" s="622"/>
      <c r="O552" s="622"/>
      <c r="P552" s="622"/>
      <c r="Q552" s="622"/>
      <c r="R552" s="622"/>
      <c r="S552" s="606"/>
      <c r="T552" s="606"/>
      <c r="U552" s="606"/>
      <c r="V552" s="606"/>
      <c r="W552" s="606"/>
      <c r="X552" s="606"/>
      <c r="Y552" s="606"/>
      <c r="Z552" s="606"/>
      <c r="AA552" s="606"/>
      <c r="AB552" s="606"/>
      <c r="AC552" s="606"/>
      <c r="AD552" s="606"/>
      <c r="AE552" s="606"/>
      <c r="AF552" s="606"/>
      <c r="AG552" s="606"/>
    </row>
    <row r="553" spans="1:33" s="612" customFormat="1" x14ac:dyDescent="0.2">
      <c r="A553" s="606"/>
      <c r="B553" s="606"/>
      <c r="C553" s="623"/>
      <c r="D553" s="617"/>
      <c r="E553" s="617"/>
      <c r="F553" s="617"/>
      <c r="G553" s="618"/>
      <c r="H553" s="618"/>
      <c r="I553" s="618"/>
      <c r="J553" s="617"/>
      <c r="K553" s="617"/>
      <c r="L553" s="617"/>
      <c r="M553" s="617"/>
      <c r="N553" s="622"/>
      <c r="O553" s="622"/>
      <c r="P553" s="622"/>
      <c r="Q553" s="622"/>
      <c r="R553" s="622"/>
      <c r="S553" s="606"/>
      <c r="T553" s="606"/>
      <c r="U553" s="606"/>
      <c r="V553" s="606"/>
      <c r="W553" s="606"/>
      <c r="X553" s="606"/>
      <c r="Y553" s="606"/>
      <c r="Z553" s="606"/>
      <c r="AA553" s="606"/>
      <c r="AB553" s="606"/>
      <c r="AC553" s="606"/>
      <c r="AD553" s="606"/>
      <c r="AE553" s="606"/>
      <c r="AF553" s="606"/>
      <c r="AG553" s="606"/>
    </row>
    <row r="554" spans="1:33" ht="12.75" x14ac:dyDescent="0.2">
      <c r="A554" s="11"/>
      <c r="B554" s="12" t="s">
        <v>8</v>
      </c>
      <c r="C554" s="11"/>
      <c r="D554" s="11"/>
      <c r="E554" s="11"/>
      <c r="F554" s="11"/>
      <c r="G554" s="13"/>
      <c r="H554" s="13"/>
      <c r="I554" s="13"/>
      <c r="J554" s="13"/>
      <c r="K554" s="13"/>
      <c r="L554" s="13"/>
      <c r="M554" s="13"/>
      <c r="N554" s="14"/>
      <c r="O554" s="15"/>
      <c r="P554" s="14"/>
      <c r="Q554" s="15"/>
      <c r="R554" s="14"/>
      <c r="S554" s="14"/>
      <c r="T554" s="14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</row>
  </sheetData>
  <sheetProtection formatColumns="0" formatRows="0"/>
  <hyperlinks>
    <hyperlink ref="I1" location="'Pricing model'!A51" display="Back to Index" xr:uid="{00000000-0004-0000-0F00-000000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1">
    <tabColor theme="9" tint="0.79998168889431442"/>
  </sheetPr>
  <dimension ref="A1:AS1103"/>
  <sheetViews>
    <sheetView showGridLines="0" zoomScaleNormal="100" workbookViewId="0">
      <pane xSplit="7" ySplit="6" topLeftCell="H593" activePane="bottomRight" state="frozen"/>
      <selection pane="topRight" activeCell="G1" sqref="G1"/>
      <selection pane="bottomLeft" activeCell="A7" sqref="A7"/>
      <selection pane="bottomRight" activeCell="A794" sqref="A794:AD1102"/>
    </sheetView>
  </sheetViews>
  <sheetFormatPr defaultColWidth="0" defaultRowHeight="11.25" zeroHeight="1" outlineLevelRow="3" outlineLevelCol="1" x14ac:dyDescent="0.2"/>
  <cols>
    <col min="1" max="2" width="1.42578125" style="18" customWidth="1"/>
    <col min="3" max="3" width="40.28515625" style="18" customWidth="1"/>
    <col min="4" max="4" width="16.85546875" style="18" customWidth="1"/>
    <col min="5" max="5" width="12.140625" style="18" customWidth="1"/>
    <col min="6" max="6" width="8.7109375" style="18" customWidth="1"/>
    <col min="7" max="7" width="13.85546875" style="18" bestFit="1" customWidth="1"/>
    <col min="8" max="8" width="5.28515625" style="18" customWidth="1"/>
    <col min="9" max="21" width="11.28515625" style="18" customWidth="1"/>
    <col min="22" max="22" width="9.28515625" style="18" customWidth="1"/>
    <col min="23" max="28" width="9.28515625" style="18" hidden="1" customWidth="1" outlineLevel="1"/>
    <col min="29" max="29" width="9.28515625" style="18" customWidth="1" collapsed="1"/>
    <col min="30" max="30" width="2.7109375" style="18" customWidth="1"/>
    <col min="31" max="33" width="8" style="18" hidden="1" customWidth="1"/>
    <col min="34" max="43" width="9.28515625" style="18" hidden="1" customWidth="1"/>
    <col min="44" max="45" width="0" style="18" hidden="1" customWidth="1"/>
    <col min="46" max="16384" width="8" style="18" hidden="1"/>
  </cols>
  <sheetData>
    <row r="1" spans="1:33" ht="15.75" x14ac:dyDescent="0.25">
      <c r="A1" s="1"/>
      <c r="B1" s="2" t="str">
        <f>'Inputs&gt;&gt;'!B1</f>
        <v>AER pricing model - TasNetworks 2022–23</v>
      </c>
      <c r="C1" s="2"/>
      <c r="D1" s="2"/>
      <c r="E1" s="2"/>
      <c r="F1" s="2"/>
      <c r="G1" s="3"/>
      <c r="H1" s="4"/>
      <c r="I1" s="160" t="s">
        <v>0</v>
      </c>
      <c r="J1" s="111"/>
      <c r="K1" s="112"/>
      <c r="L1" s="112"/>
      <c r="M1" s="51"/>
      <c r="P1" s="111"/>
      <c r="Q1" s="113"/>
      <c r="S1" s="114"/>
      <c r="T1" s="113"/>
      <c r="U1" s="5"/>
      <c r="V1" s="3"/>
      <c r="W1" s="3"/>
      <c r="X1" s="3"/>
      <c r="Y1" s="5"/>
      <c r="Z1" s="5"/>
      <c r="AA1" s="5"/>
      <c r="AB1" s="5"/>
      <c r="AC1" s="5"/>
      <c r="AD1" s="1"/>
    </row>
    <row r="2" spans="1:33" ht="13.5" thickBot="1" x14ac:dyDescent="0.25">
      <c r="A2" s="6"/>
      <c r="B2" s="7" t="str">
        <f>'Inputs&gt;&gt;'!C14</f>
        <v>Historical prices</v>
      </c>
      <c r="C2" s="7"/>
      <c r="D2" s="7"/>
      <c r="E2" s="7"/>
      <c r="F2" s="7"/>
      <c r="G2" s="8"/>
      <c r="H2" s="8"/>
      <c r="I2" s="8"/>
      <c r="J2" s="8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3" x14ac:dyDescent="0.2">
      <c r="A3" s="27"/>
      <c r="B3" s="296" t="str">
        <f>'Inputs&gt;&gt;'!D14</f>
        <v>Inputs historical prices for SCS for calculating estimated and actual revenues</v>
      </c>
      <c r="C3" s="27"/>
      <c r="D3" s="28"/>
      <c r="E3" s="28"/>
      <c r="F3" s="28"/>
      <c r="G3" s="28"/>
      <c r="H3" s="28"/>
      <c r="I3" s="28"/>
      <c r="J3" s="28"/>
      <c r="K3" s="29"/>
      <c r="L3" s="30"/>
      <c r="M3" s="30"/>
      <c r="N3" s="30"/>
      <c r="O3" s="30"/>
      <c r="P3" s="30"/>
      <c r="Q3" s="30"/>
      <c r="R3" s="30"/>
      <c r="S3" s="30"/>
      <c r="T3" s="30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3" x14ac:dyDescent="0.2">
      <c r="A4" s="9"/>
      <c r="B4" s="9"/>
      <c r="C4" s="9"/>
      <c r="D4" s="10"/>
      <c r="E4" s="10"/>
      <c r="F4" s="10"/>
      <c r="G4" s="10"/>
      <c r="H4" s="10"/>
      <c r="I4" s="10"/>
      <c r="J4" s="10"/>
      <c r="K4" s="50"/>
      <c r="L4" s="50"/>
      <c r="M4" s="50"/>
      <c r="N4" s="50"/>
      <c r="O4" s="50"/>
      <c r="P4" s="50"/>
      <c r="Q4" s="50"/>
      <c r="R4" s="50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31.5" x14ac:dyDescent="0.2">
      <c r="A5" s="11"/>
      <c r="B5" s="12" t="str">
        <f>"Input table 22 | "&amp;currentyear&amp;" prices - Tariffs"</f>
        <v>Input table 22 | 2021–22 prices - Tariffs</v>
      </c>
      <c r="C5" s="11"/>
      <c r="D5" s="32" t="s">
        <v>199</v>
      </c>
      <c r="E5" s="32" t="str">
        <f>tariffid1</f>
        <v>Code</v>
      </c>
      <c r="F5" s="32" t="str">
        <f>tariffid2</f>
        <v>Trans. Node</v>
      </c>
      <c r="G5" s="33" t="str">
        <f>tariffid3</f>
        <v>Other identifier</v>
      </c>
      <c r="H5" s="33"/>
      <c r="I5" s="597" t="str">
        <f>Qty!M5</f>
        <v>Service</v>
      </c>
      <c r="J5" s="597" t="str">
        <f>Qty!N5</f>
        <v>All energy</v>
      </c>
      <c r="K5" s="597" t="str">
        <f>Qty!O5</f>
        <v>Peak energy</v>
      </c>
      <c r="L5" s="597" t="str">
        <f>Qty!P5</f>
        <v>Shoulder energy</v>
      </c>
      <c r="M5" s="597" t="str">
        <f>Qty!Q5</f>
        <v>Off-peak energy</v>
      </c>
      <c r="N5" s="597" t="str">
        <f>Qty!R5</f>
        <v>All demand</v>
      </c>
      <c r="O5" s="597" t="str">
        <f>Qty!S5</f>
        <v>Peak demand</v>
      </c>
      <c r="P5" s="597" t="str">
        <f>Qty!T5</f>
        <v>Off-peak demand</v>
      </c>
      <c r="Q5" s="597" t="str">
        <f>Qty!U5</f>
        <v>Specified demand</v>
      </c>
      <c r="R5" s="597" t="str">
        <f>Qty!V5</f>
        <v>Excess daily demand</v>
      </c>
      <c r="S5" s="597" t="str">
        <f>Qty!W5</f>
        <v>Daily demand connection</v>
      </c>
      <c r="T5" s="597" t="str">
        <f>Qty!X5</f>
        <v>Excess daily demand connection</v>
      </c>
      <c r="U5" s="597" t="str">
        <f>Qty!Y5</f>
        <v>All demand (lamps)</v>
      </c>
      <c r="V5" s="169">
        <f>Qty!Z5</f>
        <v>0</v>
      </c>
      <c r="W5" s="169">
        <f>Qty!AA5</f>
        <v>0</v>
      </c>
      <c r="X5" s="169">
        <f>Qty!AB5</f>
        <v>0</v>
      </c>
      <c r="Y5" s="169">
        <f>Qty!AC5</f>
        <v>0</v>
      </c>
      <c r="Z5" s="169">
        <f>Qty!AD5</f>
        <v>0</v>
      </c>
      <c r="AA5" s="169">
        <f>Qty!AE5</f>
        <v>0</v>
      </c>
      <c r="AB5" s="169">
        <f>Qty!AF5</f>
        <v>0</v>
      </c>
      <c r="AC5" s="64"/>
      <c r="AD5" s="15"/>
      <c r="AE5" s="15"/>
      <c r="AF5" s="15"/>
      <c r="AG5" s="15"/>
    </row>
    <row r="6" spans="1:33" outlineLevel="1" x14ac:dyDescent="0.2">
      <c r="A6" s="19"/>
      <c r="B6" s="19"/>
      <c r="C6" s="36"/>
      <c r="D6" s="20"/>
      <c r="E6" s="20"/>
      <c r="F6" s="20"/>
      <c r="G6" s="22"/>
      <c r="H6" s="22"/>
      <c r="I6" s="170" t="str">
        <f>'Prop. prices'!I6</f>
        <v>cents/day</v>
      </c>
      <c r="J6" s="170" t="str">
        <f>'Prop. prices'!J6</f>
        <v>cents/kWh</v>
      </c>
      <c r="K6" s="170" t="str">
        <f>'Prop. prices'!K6</f>
        <v>cents/kWh</v>
      </c>
      <c r="L6" s="170" t="str">
        <f>'Prop. prices'!L6</f>
        <v>cents/kWh</v>
      </c>
      <c r="M6" s="170" t="str">
        <f>'Prop. prices'!M6</f>
        <v>cents/kWh</v>
      </c>
      <c r="N6" s="170" t="str">
        <f>'Prop. prices'!N6</f>
        <v>cents/kVA</v>
      </c>
      <c r="O6" s="170" t="str">
        <f>'Prop. prices'!O6</f>
        <v>cents/kVA</v>
      </c>
      <c r="P6" s="170" t="str">
        <f>'Prop. prices'!P6</f>
        <v>cents/kVA</v>
      </c>
      <c r="Q6" s="170" t="str">
        <f>'Prop. prices'!Q6</f>
        <v>cents/kVA</v>
      </c>
      <c r="R6" s="170" t="str">
        <f>'Prop. prices'!R6</f>
        <v>cents/kVA</v>
      </c>
      <c r="S6" s="170" t="str">
        <f>'Prop. prices'!S6</f>
        <v>cents/kVA</v>
      </c>
      <c r="T6" s="170" t="str">
        <f>'Prop. prices'!T6</f>
        <v>cents/kVA</v>
      </c>
      <c r="U6" s="170" t="str">
        <f>'Prop. prices'!U6</f>
        <v>cents/LmpWtts/day</v>
      </c>
      <c r="V6" s="170">
        <f>'Prop. prices'!V6</f>
        <v>0</v>
      </c>
      <c r="W6" s="170">
        <f>'Prop. prices'!W6</f>
        <v>0</v>
      </c>
      <c r="X6" s="170">
        <f>'Prop. prices'!X6</f>
        <v>0</v>
      </c>
      <c r="Y6" s="170">
        <f>'Prop. prices'!Y6</f>
        <v>0</v>
      </c>
      <c r="Z6" s="170">
        <f>'Prop. prices'!Z6</f>
        <v>0</v>
      </c>
      <c r="AA6" s="170">
        <f>'Prop. prices'!AA6</f>
        <v>0</v>
      </c>
      <c r="AB6" s="170">
        <f>'Prop. prices'!AB6</f>
        <v>0</v>
      </c>
      <c r="AC6" s="19"/>
      <c r="AD6" s="19"/>
      <c r="AE6" s="19"/>
      <c r="AF6" s="19"/>
      <c r="AG6" s="19"/>
    </row>
    <row r="7" spans="1:33" outlineLevel="1" x14ac:dyDescent="0.2">
      <c r="A7" s="19"/>
      <c r="B7" s="19"/>
      <c r="C7" s="167" t="s">
        <v>136</v>
      </c>
      <c r="D7" s="20"/>
      <c r="E7" s="20"/>
      <c r="F7" s="20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19"/>
      <c r="AD7" s="19"/>
      <c r="AE7" s="19"/>
      <c r="AF7" s="19"/>
      <c r="AG7" s="19"/>
    </row>
    <row r="8" spans="1:33" outlineLevel="2" x14ac:dyDescent="0.2">
      <c r="A8" s="19"/>
      <c r="B8" s="19"/>
      <c r="C8" s="506" t="str">
        <f>Qty!C87</f>
        <v>Residential time of use consumption</v>
      </c>
      <c r="D8" s="505" t="str">
        <f>Qty!D87</f>
        <v>Residential</v>
      </c>
      <c r="E8" s="505" t="str">
        <f>Qty!E87</f>
        <v>TAS93</v>
      </c>
      <c r="F8" s="505">
        <f>Qty!F87</f>
        <v>0</v>
      </c>
      <c r="G8" s="505">
        <f>Qty!G87</f>
        <v>0</v>
      </c>
      <c r="H8" s="22"/>
      <c r="I8" s="191">
        <v>57.600999999999999</v>
      </c>
      <c r="J8" s="191">
        <v>0</v>
      </c>
      <c r="K8" s="191">
        <v>11.29</v>
      </c>
      <c r="L8" s="191">
        <v>0</v>
      </c>
      <c r="M8" s="191">
        <v>2.202</v>
      </c>
      <c r="N8" s="191">
        <v>0</v>
      </c>
      <c r="O8" s="191">
        <v>0</v>
      </c>
      <c r="P8" s="191">
        <v>0</v>
      </c>
      <c r="Q8" s="191">
        <v>0</v>
      </c>
      <c r="R8" s="191">
        <v>0</v>
      </c>
      <c r="S8" s="191">
        <v>0</v>
      </c>
      <c r="T8" s="191">
        <v>0</v>
      </c>
      <c r="U8" s="191">
        <v>0</v>
      </c>
      <c r="V8" s="191"/>
      <c r="W8" s="191"/>
      <c r="X8" s="191"/>
      <c r="Y8" s="191"/>
      <c r="Z8" s="191"/>
      <c r="AA8" s="191"/>
      <c r="AB8" s="191"/>
      <c r="AC8" s="187"/>
      <c r="AD8" s="19"/>
      <c r="AE8" s="19"/>
      <c r="AF8" s="19"/>
      <c r="AG8" s="19"/>
    </row>
    <row r="9" spans="1:33" s="59" customFormat="1" outlineLevel="2" x14ac:dyDescent="0.2">
      <c r="A9" s="57"/>
      <c r="B9" s="57"/>
      <c r="C9" s="506" t="str">
        <f>Qty!C88</f>
        <v>Residential general light and power</v>
      </c>
      <c r="D9" s="505" t="str">
        <f>Qty!D88</f>
        <v>Residential</v>
      </c>
      <c r="E9" s="505" t="str">
        <f>Qty!E88</f>
        <v>TAS31</v>
      </c>
      <c r="F9" s="505">
        <f>Qty!F88</f>
        <v>0</v>
      </c>
      <c r="G9" s="505">
        <f>Qty!G88</f>
        <v>0</v>
      </c>
      <c r="H9" s="58"/>
      <c r="I9" s="191">
        <v>52.688000000000002</v>
      </c>
      <c r="J9" s="191">
        <v>6.532</v>
      </c>
      <c r="K9" s="191">
        <v>0</v>
      </c>
      <c r="L9" s="191">
        <v>0</v>
      </c>
      <c r="M9" s="191">
        <v>0</v>
      </c>
      <c r="N9" s="191">
        <v>0</v>
      </c>
      <c r="O9" s="191">
        <v>0</v>
      </c>
      <c r="P9" s="191">
        <v>0</v>
      </c>
      <c r="Q9" s="191">
        <v>0</v>
      </c>
      <c r="R9" s="191">
        <v>0</v>
      </c>
      <c r="S9" s="191">
        <v>0</v>
      </c>
      <c r="T9" s="191">
        <v>0</v>
      </c>
      <c r="U9" s="191">
        <v>0</v>
      </c>
      <c r="V9" s="191"/>
      <c r="W9" s="191"/>
      <c r="X9" s="191"/>
      <c r="Y9" s="191"/>
      <c r="Z9" s="191"/>
      <c r="AA9" s="191"/>
      <c r="AB9" s="191"/>
      <c r="AC9" s="187"/>
      <c r="AD9" s="57"/>
      <c r="AE9" s="57"/>
      <c r="AF9" s="57"/>
      <c r="AG9" s="57"/>
    </row>
    <row r="10" spans="1:33" outlineLevel="2" x14ac:dyDescent="0.2">
      <c r="A10" s="19"/>
      <c r="B10" s="19"/>
      <c r="C10" s="506" t="str">
        <f>Qty!C89</f>
        <v>Residential time of use demand</v>
      </c>
      <c r="D10" s="505" t="str">
        <f>Qty!D89</f>
        <v>Residential</v>
      </c>
      <c r="E10" s="505" t="str">
        <f>Qty!E89</f>
        <v>TAS87</v>
      </c>
      <c r="F10" s="505">
        <f>Qty!F89</f>
        <v>0</v>
      </c>
      <c r="G10" s="505">
        <f>Qty!G89</f>
        <v>0</v>
      </c>
      <c r="H10" s="58"/>
      <c r="I10" s="191">
        <v>58.609000000000002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20.722000000000001</v>
      </c>
      <c r="P10" s="191">
        <v>4.83</v>
      </c>
      <c r="Q10" s="191">
        <v>0</v>
      </c>
      <c r="R10" s="191">
        <v>0</v>
      </c>
      <c r="S10" s="191">
        <v>0</v>
      </c>
      <c r="T10" s="191">
        <v>0</v>
      </c>
      <c r="U10" s="191">
        <v>0</v>
      </c>
      <c r="V10" s="191"/>
      <c r="W10" s="191"/>
      <c r="X10" s="191"/>
      <c r="Y10" s="191"/>
      <c r="Z10" s="191"/>
      <c r="AA10" s="191"/>
      <c r="AB10" s="191"/>
      <c r="AC10" s="187"/>
      <c r="AD10" s="19"/>
      <c r="AE10" s="19"/>
      <c r="AF10" s="19"/>
      <c r="AG10" s="19"/>
    </row>
    <row r="11" spans="1:33" outlineLevel="2" x14ac:dyDescent="0.2">
      <c r="A11" s="19"/>
      <c r="B11" s="19"/>
      <c r="C11" s="506" t="str">
        <f>Qty!C90</f>
        <v>Residential time of use demand DER</v>
      </c>
      <c r="D11" s="505" t="str">
        <f>Qty!D90</f>
        <v>Residential</v>
      </c>
      <c r="E11" s="505" t="str">
        <f>Qty!E90</f>
        <v>TAS97</v>
      </c>
      <c r="F11" s="505">
        <f>Qty!F90</f>
        <v>0</v>
      </c>
      <c r="G11" s="505">
        <f>Qty!G90</f>
        <v>0</v>
      </c>
      <c r="H11" s="58"/>
      <c r="I11" s="191">
        <v>58.609000000000002</v>
      </c>
      <c r="J11" s="191">
        <v>0</v>
      </c>
      <c r="K11" s="191">
        <v>0</v>
      </c>
      <c r="L11" s="191">
        <v>0</v>
      </c>
      <c r="M11" s="191">
        <v>0</v>
      </c>
      <c r="N11" s="191">
        <v>0</v>
      </c>
      <c r="O11" s="191">
        <v>20.722000000000001</v>
      </c>
      <c r="P11" s="191">
        <v>4.83</v>
      </c>
      <c r="Q11" s="191">
        <v>0</v>
      </c>
      <c r="R11" s="191">
        <v>0</v>
      </c>
      <c r="S11" s="191">
        <v>0</v>
      </c>
      <c r="T11" s="191">
        <v>0</v>
      </c>
      <c r="U11" s="191">
        <v>0</v>
      </c>
      <c r="V11" s="191"/>
      <c r="W11" s="191"/>
      <c r="X11" s="191"/>
      <c r="Y11" s="191"/>
      <c r="Z11" s="191"/>
      <c r="AA11" s="191"/>
      <c r="AB11" s="191"/>
      <c r="AC11" s="187"/>
      <c r="AD11" s="19"/>
      <c r="AE11" s="19"/>
      <c r="AF11" s="19"/>
      <c r="AG11" s="19"/>
    </row>
    <row r="12" spans="1:33" outlineLevel="2" x14ac:dyDescent="0.2">
      <c r="A12" s="19"/>
      <c r="B12" s="19"/>
      <c r="C12" s="506" t="str">
        <f>Qty!C91</f>
        <v>Residential pay as you go</v>
      </c>
      <c r="D12" s="505" t="str">
        <f>Qty!D91</f>
        <v>Residential</v>
      </c>
      <c r="E12" s="505" t="str">
        <f>Qty!E91</f>
        <v>TAS101</v>
      </c>
      <c r="F12" s="505">
        <f>Qty!F91</f>
        <v>0</v>
      </c>
      <c r="G12" s="505">
        <f>Qty!G91</f>
        <v>0</v>
      </c>
      <c r="H12" s="58"/>
      <c r="I12" s="191">
        <v>53.118000000000002</v>
      </c>
      <c r="J12" s="191">
        <v>5.976</v>
      </c>
      <c r="K12" s="191">
        <v>0</v>
      </c>
      <c r="L12" s="191">
        <v>0</v>
      </c>
      <c r="M12" s="191">
        <v>0</v>
      </c>
      <c r="N12" s="191">
        <v>0</v>
      </c>
      <c r="O12" s="191">
        <v>0</v>
      </c>
      <c r="P12" s="191">
        <v>0</v>
      </c>
      <c r="Q12" s="191">
        <v>0</v>
      </c>
      <c r="R12" s="191">
        <v>0</v>
      </c>
      <c r="S12" s="191">
        <v>0</v>
      </c>
      <c r="T12" s="191">
        <v>0</v>
      </c>
      <c r="U12" s="191">
        <v>0</v>
      </c>
      <c r="V12" s="191"/>
      <c r="W12" s="191"/>
      <c r="X12" s="191"/>
      <c r="Y12" s="191"/>
      <c r="Z12" s="191"/>
      <c r="AA12" s="191"/>
      <c r="AB12" s="191"/>
      <c r="AC12" s="187"/>
      <c r="AD12" s="19"/>
      <c r="AE12" s="19"/>
      <c r="AF12" s="19"/>
      <c r="AG12" s="19"/>
    </row>
    <row r="13" spans="1:33" outlineLevel="2" x14ac:dyDescent="0.2">
      <c r="A13" s="19"/>
      <c r="B13" s="19"/>
      <c r="C13" s="506" t="str">
        <f>Qty!C92</f>
        <v>Residential pay as you go time of use</v>
      </c>
      <c r="D13" s="505" t="str">
        <f>Qty!D92</f>
        <v>Residential</v>
      </c>
      <c r="E13" s="505" t="str">
        <f>Qty!E92</f>
        <v>TAS92</v>
      </c>
      <c r="F13" s="505">
        <f>Qty!F92</f>
        <v>0</v>
      </c>
      <c r="G13" s="505">
        <f>Qty!G92</f>
        <v>0</v>
      </c>
      <c r="H13" s="58"/>
      <c r="I13" s="191">
        <v>57.600999999999999</v>
      </c>
      <c r="J13" s="191"/>
      <c r="K13" s="191">
        <v>11.29</v>
      </c>
      <c r="L13" s="191">
        <v>0</v>
      </c>
      <c r="M13" s="191">
        <v>2.202</v>
      </c>
      <c r="N13" s="191">
        <v>0</v>
      </c>
      <c r="O13" s="191">
        <v>0</v>
      </c>
      <c r="P13" s="191">
        <v>0</v>
      </c>
      <c r="Q13" s="191">
        <v>0</v>
      </c>
      <c r="R13" s="191">
        <v>0</v>
      </c>
      <c r="S13" s="191">
        <v>0</v>
      </c>
      <c r="T13" s="191">
        <v>0</v>
      </c>
      <c r="U13" s="191">
        <v>0</v>
      </c>
      <c r="V13" s="191"/>
      <c r="W13" s="191"/>
      <c r="X13" s="191"/>
      <c r="Y13" s="191"/>
      <c r="Z13" s="191"/>
      <c r="AA13" s="191"/>
      <c r="AB13" s="191"/>
      <c r="AC13" s="187"/>
      <c r="AD13" s="19"/>
      <c r="AE13" s="19"/>
      <c r="AF13" s="19"/>
      <c r="AG13" s="19"/>
    </row>
    <row r="14" spans="1:33" outlineLevel="2" x14ac:dyDescent="0.2">
      <c r="A14" s="19"/>
      <c r="B14" s="19"/>
      <c r="C14" s="506" t="str">
        <f>Qty!C93</f>
        <v>Small business time of use consumption</v>
      </c>
      <c r="D14" s="505" t="str">
        <f>Qty!D93</f>
        <v>Small Business LV</v>
      </c>
      <c r="E14" s="505" t="str">
        <f>Qty!E93</f>
        <v>TAS94</v>
      </c>
      <c r="F14" s="505">
        <f>Qty!F93</f>
        <v>0</v>
      </c>
      <c r="G14" s="505">
        <f>Qty!G93</f>
        <v>0</v>
      </c>
      <c r="H14" s="58"/>
      <c r="I14" s="191">
        <v>68.909000000000006</v>
      </c>
      <c r="J14" s="191">
        <v>0</v>
      </c>
      <c r="K14" s="191">
        <v>7.8440000000000003</v>
      </c>
      <c r="L14" s="191">
        <v>4.7069999999999999</v>
      </c>
      <c r="M14" s="191">
        <v>1.1759999999999999</v>
      </c>
      <c r="N14" s="191">
        <v>0</v>
      </c>
      <c r="O14" s="191">
        <v>0</v>
      </c>
      <c r="P14" s="191">
        <v>0</v>
      </c>
      <c r="Q14" s="191">
        <v>0</v>
      </c>
      <c r="R14" s="191">
        <v>0</v>
      </c>
      <c r="S14" s="191">
        <v>0</v>
      </c>
      <c r="T14" s="191">
        <v>0</v>
      </c>
      <c r="U14" s="191">
        <v>0</v>
      </c>
      <c r="V14" s="191"/>
      <c r="W14" s="191"/>
      <c r="X14" s="191"/>
      <c r="Y14" s="191"/>
      <c r="Z14" s="191"/>
      <c r="AA14" s="191"/>
      <c r="AB14" s="191"/>
      <c r="AC14" s="187"/>
      <c r="AD14" s="19"/>
      <c r="AE14" s="19"/>
      <c r="AF14" s="19"/>
      <c r="AG14" s="19"/>
    </row>
    <row r="15" spans="1:33" outlineLevel="2" x14ac:dyDescent="0.2">
      <c r="A15" s="19"/>
      <c r="B15" s="19"/>
      <c r="C15" s="506" t="str">
        <f>Qty!C94</f>
        <v>Small business general light and power</v>
      </c>
      <c r="D15" s="505" t="str">
        <f>Qty!D94</f>
        <v>Small Business LV</v>
      </c>
      <c r="E15" s="505" t="str">
        <f>Qty!E94</f>
        <v>TAS22</v>
      </c>
      <c r="F15" s="505">
        <f>Qty!F94</f>
        <v>0</v>
      </c>
      <c r="G15" s="505">
        <f>Qty!G94</f>
        <v>0</v>
      </c>
      <c r="H15" s="58"/>
      <c r="I15" s="191">
        <v>52.387999999999998</v>
      </c>
      <c r="J15" s="191">
        <v>7.22</v>
      </c>
      <c r="K15" s="191">
        <v>0</v>
      </c>
      <c r="L15" s="191">
        <v>0</v>
      </c>
      <c r="M15" s="191">
        <v>0</v>
      </c>
      <c r="N15" s="191">
        <v>0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191"/>
      <c r="W15" s="191"/>
      <c r="X15" s="191"/>
      <c r="Y15" s="191"/>
      <c r="Z15" s="191"/>
      <c r="AA15" s="191"/>
      <c r="AB15" s="191"/>
      <c r="AC15" s="187"/>
      <c r="AD15" s="19"/>
      <c r="AE15" s="19"/>
      <c r="AF15" s="19"/>
      <c r="AG15" s="19"/>
    </row>
    <row r="16" spans="1:33" outlineLevel="2" x14ac:dyDescent="0.2">
      <c r="A16" s="19"/>
      <c r="B16" s="19"/>
      <c r="C16" s="506" t="str">
        <f>Qty!C95</f>
        <v>Small business time of use demand</v>
      </c>
      <c r="D16" s="505" t="str">
        <f>Qty!D95</f>
        <v>Small Business LV</v>
      </c>
      <c r="E16" s="505" t="str">
        <f>Qty!E95</f>
        <v>TAS88</v>
      </c>
      <c r="F16" s="505">
        <f>Qty!F95</f>
        <v>0</v>
      </c>
      <c r="G16" s="505">
        <f>Qty!G95</f>
        <v>0</v>
      </c>
      <c r="H16" s="58"/>
      <c r="I16" s="191">
        <v>76.213999999999999</v>
      </c>
      <c r="J16" s="191">
        <v>0</v>
      </c>
      <c r="K16" s="191">
        <v>0</v>
      </c>
      <c r="L16" s="191">
        <v>0</v>
      </c>
      <c r="M16" s="191">
        <v>0</v>
      </c>
      <c r="N16" s="191">
        <v>0</v>
      </c>
      <c r="O16" s="191">
        <v>45.744999999999997</v>
      </c>
      <c r="P16" s="191">
        <v>10.664</v>
      </c>
      <c r="Q16" s="191">
        <v>0</v>
      </c>
      <c r="R16" s="191">
        <v>0</v>
      </c>
      <c r="S16" s="191">
        <v>0</v>
      </c>
      <c r="T16" s="191">
        <v>0</v>
      </c>
      <c r="U16" s="191">
        <v>0</v>
      </c>
      <c r="V16" s="191"/>
      <c r="W16" s="191"/>
      <c r="X16" s="191"/>
      <c r="Y16" s="191"/>
      <c r="Z16" s="191"/>
      <c r="AA16" s="191"/>
      <c r="AB16" s="191"/>
      <c r="AC16" s="187"/>
      <c r="AD16" s="19"/>
      <c r="AE16" s="19"/>
      <c r="AF16" s="19"/>
      <c r="AG16" s="19"/>
    </row>
    <row r="17" spans="1:33" outlineLevel="2" x14ac:dyDescent="0.2">
      <c r="A17" s="19"/>
      <c r="B17" s="19"/>
      <c r="C17" s="506" t="str">
        <f>Qty!C96</f>
        <v>Small business time of use demand DER</v>
      </c>
      <c r="D17" s="505" t="str">
        <f>Qty!D96</f>
        <v>Small Business LV</v>
      </c>
      <c r="E17" s="505" t="str">
        <f>Qty!E96</f>
        <v>TAS98</v>
      </c>
      <c r="F17" s="505">
        <f>Qty!F96</f>
        <v>0</v>
      </c>
      <c r="G17" s="505">
        <f>Qty!G96</f>
        <v>0</v>
      </c>
      <c r="H17" s="58"/>
      <c r="I17" s="191">
        <v>76.213999999999999</v>
      </c>
      <c r="J17" s="191">
        <v>0</v>
      </c>
      <c r="K17" s="191">
        <v>0</v>
      </c>
      <c r="L17" s="191">
        <v>0</v>
      </c>
      <c r="M17" s="191">
        <v>0</v>
      </c>
      <c r="N17" s="191">
        <v>0</v>
      </c>
      <c r="O17" s="191">
        <v>45.744999999999997</v>
      </c>
      <c r="P17" s="191">
        <v>10.664</v>
      </c>
      <c r="Q17" s="191">
        <v>0</v>
      </c>
      <c r="R17" s="191">
        <v>0</v>
      </c>
      <c r="S17" s="191">
        <v>0</v>
      </c>
      <c r="T17" s="191">
        <v>0</v>
      </c>
      <c r="U17" s="191">
        <v>0</v>
      </c>
      <c r="V17" s="191"/>
      <c r="W17" s="191"/>
      <c r="X17" s="191"/>
      <c r="Y17" s="191"/>
      <c r="Z17" s="191"/>
      <c r="AA17" s="191"/>
      <c r="AB17" s="191"/>
      <c r="AC17" s="187"/>
      <c r="AD17" s="19"/>
      <c r="AE17" s="19"/>
      <c r="AF17" s="19"/>
      <c r="AG17" s="19"/>
    </row>
    <row r="18" spans="1:33" outlineLevel="2" x14ac:dyDescent="0.2">
      <c r="A18" s="19"/>
      <c r="B18" s="19"/>
      <c r="C18" s="506" t="str">
        <f>Qty!C97</f>
        <v>Large business kVA demand</v>
      </c>
      <c r="D18" s="505" t="str">
        <f>Qty!D97</f>
        <v>Large Business LV</v>
      </c>
      <c r="E18" s="505" t="str">
        <f>Qty!E97</f>
        <v>TAS82</v>
      </c>
      <c r="F18" s="505">
        <f>Qty!F97</f>
        <v>0</v>
      </c>
      <c r="G18" s="505">
        <f>Qty!G97</f>
        <v>0</v>
      </c>
      <c r="H18" s="58"/>
      <c r="I18" s="191">
        <v>346.92</v>
      </c>
      <c r="J18" s="191">
        <v>1.7829999999999999</v>
      </c>
      <c r="K18" s="191">
        <v>0</v>
      </c>
      <c r="L18" s="191">
        <v>0</v>
      </c>
      <c r="M18" s="191">
        <v>0</v>
      </c>
      <c r="N18" s="191">
        <v>20.959</v>
      </c>
      <c r="O18" s="191">
        <v>0</v>
      </c>
      <c r="P18" s="191">
        <v>0</v>
      </c>
      <c r="Q18" s="191">
        <v>0</v>
      </c>
      <c r="R18" s="191">
        <v>0</v>
      </c>
      <c r="S18" s="191">
        <v>0</v>
      </c>
      <c r="T18" s="191">
        <v>0</v>
      </c>
      <c r="U18" s="191">
        <v>0</v>
      </c>
      <c r="V18" s="191"/>
      <c r="W18" s="191"/>
      <c r="X18" s="191"/>
      <c r="Y18" s="191"/>
      <c r="Z18" s="191"/>
      <c r="AA18" s="191"/>
      <c r="AB18" s="191"/>
      <c r="AC18" s="187"/>
      <c r="AD18" s="19"/>
      <c r="AE18" s="19"/>
      <c r="AF18" s="19"/>
      <c r="AG18" s="19"/>
    </row>
    <row r="19" spans="1:33" outlineLevel="2" x14ac:dyDescent="0.2">
      <c r="A19" s="19"/>
      <c r="B19" s="19"/>
      <c r="C19" s="506" t="str">
        <f>Qty!C98</f>
        <v>Large business time of use demand</v>
      </c>
      <c r="D19" s="505" t="str">
        <f>Qty!D98</f>
        <v>Large Business LV</v>
      </c>
      <c r="E19" s="505" t="str">
        <f>Qty!E98</f>
        <v>TAS89</v>
      </c>
      <c r="F19" s="505">
        <f>Qty!F98</f>
        <v>0</v>
      </c>
      <c r="G19" s="505">
        <f>Qty!G98</f>
        <v>0</v>
      </c>
      <c r="H19" s="58"/>
      <c r="I19" s="191">
        <v>488.71300000000002</v>
      </c>
      <c r="J19" s="191">
        <v>0</v>
      </c>
      <c r="K19" s="191">
        <v>0</v>
      </c>
      <c r="L19" s="191">
        <v>0</v>
      </c>
      <c r="M19" s="191">
        <v>0</v>
      </c>
      <c r="N19" s="191">
        <v>0</v>
      </c>
      <c r="O19" s="191">
        <v>26.579000000000001</v>
      </c>
      <c r="P19" s="191">
        <v>8.8510000000000009</v>
      </c>
      <c r="Q19" s="191">
        <v>0</v>
      </c>
      <c r="R19" s="191">
        <v>0</v>
      </c>
      <c r="S19" s="191">
        <v>0</v>
      </c>
      <c r="T19" s="191">
        <v>0</v>
      </c>
      <c r="U19" s="191">
        <v>0</v>
      </c>
      <c r="V19" s="191"/>
      <c r="W19" s="191"/>
      <c r="X19" s="191"/>
      <c r="Y19" s="191"/>
      <c r="Z19" s="191"/>
      <c r="AA19" s="191"/>
      <c r="AB19" s="191"/>
      <c r="AC19" s="187"/>
      <c r="AD19" s="19"/>
      <c r="AE19" s="19"/>
      <c r="AF19" s="19"/>
      <c r="AG19" s="19"/>
    </row>
    <row r="20" spans="1:33" outlineLevel="2" x14ac:dyDescent="0.2">
      <c r="A20" s="19"/>
      <c r="B20" s="19"/>
      <c r="C20" s="506" t="str">
        <f>Qty!C99</f>
        <v>Irrigation time of use consumption</v>
      </c>
      <c r="D20" s="505" t="str">
        <f>Qty!D99</f>
        <v>Irrigation</v>
      </c>
      <c r="E20" s="505" t="str">
        <f>Qty!E99</f>
        <v>TAS75</v>
      </c>
      <c r="F20" s="505">
        <f>Qty!F99</f>
        <v>0</v>
      </c>
      <c r="G20" s="505">
        <f>Qty!G99</f>
        <v>0</v>
      </c>
      <c r="H20" s="58"/>
      <c r="I20" s="191">
        <v>252.16800000000001</v>
      </c>
      <c r="J20" s="191">
        <v>0</v>
      </c>
      <c r="K20" s="191">
        <v>7.2930000000000001</v>
      </c>
      <c r="L20" s="191">
        <v>4.3769999999999998</v>
      </c>
      <c r="M20" s="191">
        <v>1.0940000000000001</v>
      </c>
      <c r="N20" s="191">
        <v>0</v>
      </c>
      <c r="O20" s="191">
        <v>0</v>
      </c>
      <c r="P20" s="191">
        <v>0</v>
      </c>
      <c r="Q20" s="191">
        <v>0</v>
      </c>
      <c r="R20" s="191">
        <v>0</v>
      </c>
      <c r="S20" s="191">
        <v>0</v>
      </c>
      <c r="T20" s="191">
        <v>0</v>
      </c>
      <c r="U20" s="191">
        <v>0</v>
      </c>
      <c r="V20" s="191"/>
      <c r="W20" s="191"/>
      <c r="X20" s="191"/>
      <c r="Y20" s="191"/>
      <c r="Z20" s="191"/>
      <c r="AA20" s="191"/>
      <c r="AB20" s="191"/>
      <c r="AC20" s="187"/>
      <c r="AD20" s="19"/>
      <c r="AE20" s="19"/>
      <c r="AF20" s="19"/>
      <c r="AG20" s="19"/>
    </row>
    <row r="21" spans="1:33" outlineLevel="2" x14ac:dyDescent="0.2">
      <c r="A21" s="19"/>
      <c r="B21" s="19"/>
      <c r="C21" s="506" t="str">
        <f>Qty!C100</f>
        <v>Business HV kVA specified demand &lt;2MVA</v>
      </c>
      <c r="D21" s="505" t="str">
        <f>Qty!D100</f>
        <v>Large Business HV</v>
      </c>
      <c r="E21" s="505" t="str">
        <f>Qty!E100</f>
        <v>TASSDM</v>
      </c>
      <c r="F21" s="505">
        <f>Qty!F100</f>
        <v>0</v>
      </c>
      <c r="G21" s="505">
        <f>Qty!G100</f>
        <v>0</v>
      </c>
      <c r="H21" s="58"/>
      <c r="I21" s="191">
        <v>350.27100000000002</v>
      </c>
      <c r="J21" s="191">
        <v>0</v>
      </c>
      <c r="K21" s="191">
        <v>0.309</v>
      </c>
      <c r="L21" s="191">
        <v>0.185</v>
      </c>
      <c r="M21" s="191">
        <v>4.5999999999999999E-2</v>
      </c>
      <c r="N21" s="191">
        <v>0</v>
      </c>
      <c r="O21" s="191">
        <v>0</v>
      </c>
      <c r="P21" s="191">
        <v>0</v>
      </c>
      <c r="Q21" s="191">
        <v>15.891</v>
      </c>
      <c r="R21" s="191">
        <v>158.92099999999999</v>
      </c>
      <c r="S21" s="191">
        <v>0</v>
      </c>
      <c r="T21" s="191">
        <v>0</v>
      </c>
      <c r="U21" s="191">
        <v>0</v>
      </c>
      <c r="V21" s="191"/>
      <c r="W21" s="191"/>
      <c r="X21" s="191"/>
      <c r="Y21" s="191"/>
      <c r="Z21" s="191"/>
      <c r="AA21" s="191"/>
      <c r="AB21" s="191"/>
      <c r="AC21" s="187"/>
      <c r="AD21" s="19"/>
      <c r="AE21" s="19"/>
      <c r="AF21" s="19"/>
      <c r="AG21" s="19"/>
    </row>
    <row r="22" spans="1:33" outlineLevel="2" x14ac:dyDescent="0.2">
      <c r="A22" s="19"/>
      <c r="B22" s="19"/>
      <c r="C22" s="506" t="str">
        <f>Qty!C101</f>
        <v>Business HV kVA specified demand &gt;2MVA</v>
      </c>
      <c r="D22" s="505" t="str">
        <f>Qty!D101</f>
        <v>Large Business HV</v>
      </c>
      <c r="E22" s="505" t="str">
        <f>Qty!E101</f>
        <v>TAS15*</v>
      </c>
      <c r="F22" s="505">
        <f>Qty!F101</f>
        <v>0</v>
      </c>
      <c r="G22" s="505">
        <f>Qty!G101</f>
        <v>0</v>
      </c>
      <c r="H22" s="58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87"/>
      <c r="AD22" s="19"/>
      <c r="AE22" s="19"/>
      <c r="AF22" s="19"/>
      <c r="AG22" s="19"/>
    </row>
    <row r="23" spans="1:33" outlineLevel="2" x14ac:dyDescent="0.2">
      <c r="A23" s="19"/>
      <c r="B23" s="19"/>
      <c r="C23" s="506" t="str">
        <f>Qty!C102</f>
        <v>Uncontrolled low voltage heating and hot water</v>
      </c>
      <c r="D23" s="505" t="str">
        <f>Qty!D102</f>
        <v>Uncontrolled energy</v>
      </c>
      <c r="E23" s="505" t="str">
        <f>Qty!E102</f>
        <v>TAS41</v>
      </c>
      <c r="F23" s="505">
        <f>Qty!F102</f>
        <v>0</v>
      </c>
      <c r="G23" s="505">
        <f>Qty!G102</f>
        <v>0</v>
      </c>
      <c r="H23" s="58"/>
      <c r="I23" s="191">
        <v>6.5110000000000001</v>
      </c>
      <c r="J23" s="191">
        <v>3.6619999999999999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0</v>
      </c>
      <c r="R23" s="191">
        <v>0</v>
      </c>
      <c r="S23" s="191">
        <v>0</v>
      </c>
      <c r="T23" s="191">
        <v>0</v>
      </c>
      <c r="U23" s="191">
        <v>0</v>
      </c>
      <c r="V23" s="191"/>
      <c r="W23" s="191"/>
      <c r="X23" s="191"/>
      <c r="Y23" s="191"/>
      <c r="Z23" s="191"/>
      <c r="AA23" s="191"/>
      <c r="AB23" s="191"/>
      <c r="AC23" s="187"/>
      <c r="AD23" s="19"/>
      <c r="AE23" s="19"/>
      <c r="AF23" s="19"/>
      <c r="AG23" s="19"/>
    </row>
    <row r="24" spans="1:33" outlineLevel="2" x14ac:dyDescent="0.2">
      <c r="A24" s="19"/>
      <c r="B24" s="19"/>
      <c r="C24" s="506" t="str">
        <f>Qty!C103</f>
        <v>Controlled low voltage night period only</v>
      </c>
      <c r="D24" s="505" t="str">
        <f>Qty!D103</f>
        <v>Controlled energy</v>
      </c>
      <c r="E24" s="505" t="str">
        <f>Qty!E103</f>
        <v>TAS63</v>
      </c>
      <c r="F24" s="505">
        <f>Qty!F103</f>
        <v>0</v>
      </c>
      <c r="G24" s="505">
        <f>Qty!G103</f>
        <v>0</v>
      </c>
      <c r="H24" s="58"/>
      <c r="I24" s="191">
        <v>12.404999999999999</v>
      </c>
      <c r="J24" s="191">
        <v>0.92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0</v>
      </c>
      <c r="R24" s="191">
        <v>0</v>
      </c>
      <c r="S24" s="191">
        <v>0</v>
      </c>
      <c r="T24" s="191">
        <v>0</v>
      </c>
      <c r="U24" s="191">
        <v>0</v>
      </c>
      <c r="V24" s="191"/>
      <c r="W24" s="191"/>
      <c r="X24" s="191"/>
      <c r="Y24" s="191"/>
      <c r="Z24" s="191"/>
      <c r="AA24" s="191"/>
      <c r="AB24" s="191"/>
      <c r="AC24" s="187"/>
      <c r="AD24" s="19"/>
      <c r="AE24" s="19"/>
      <c r="AF24" s="19"/>
      <c r="AG24" s="19"/>
    </row>
    <row r="25" spans="1:33" outlineLevel="2" x14ac:dyDescent="0.2">
      <c r="A25" s="19"/>
      <c r="B25" s="19"/>
      <c r="C25" s="506" t="str">
        <f>Qty!C104</f>
        <v>Controlled low voltage off peak with afternoon boost</v>
      </c>
      <c r="D25" s="505" t="str">
        <f>Qty!D104</f>
        <v>Controlled energy</v>
      </c>
      <c r="E25" s="505" t="str">
        <f>Qty!E104</f>
        <v>TAS61</v>
      </c>
      <c r="F25" s="505">
        <f>Qty!F104</f>
        <v>0</v>
      </c>
      <c r="G25" s="505">
        <f>Qty!G104</f>
        <v>0</v>
      </c>
      <c r="H25" s="58"/>
      <c r="I25" s="191">
        <v>12.404999999999999</v>
      </c>
      <c r="J25" s="191">
        <v>1.0229999999999999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</v>
      </c>
      <c r="S25" s="191">
        <v>0</v>
      </c>
      <c r="T25" s="191">
        <v>0</v>
      </c>
      <c r="U25" s="191">
        <v>0</v>
      </c>
      <c r="V25" s="191"/>
      <c r="W25" s="191"/>
      <c r="X25" s="191"/>
      <c r="Y25" s="191"/>
      <c r="Z25" s="191"/>
      <c r="AA25" s="191"/>
      <c r="AB25" s="191"/>
      <c r="AC25" s="187"/>
      <c r="AD25" s="19"/>
      <c r="AE25" s="19"/>
      <c r="AF25" s="19"/>
      <c r="AG25" s="19"/>
    </row>
    <row r="26" spans="1:33" outlineLevel="2" x14ac:dyDescent="0.2">
      <c r="A26" s="19"/>
      <c r="B26" s="19"/>
      <c r="C26" s="506" t="str">
        <f>Qty!C105</f>
        <v>Unmetered supply general</v>
      </c>
      <c r="D26" s="505" t="str">
        <f>Qty!D105</f>
        <v>Unmetered supplies</v>
      </c>
      <c r="E26" s="505" t="str">
        <f>Qty!E105</f>
        <v>TASUMS</v>
      </c>
      <c r="F26" s="505">
        <f>Qty!F105</f>
        <v>0</v>
      </c>
      <c r="G26" s="505">
        <f>Qty!G105</f>
        <v>0</v>
      </c>
      <c r="H26" s="58"/>
      <c r="I26" s="191">
        <v>52.387999999999998</v>
      </c>
      <c r="J26" s="191">
        <v>7.992</v>
      </c>
      <c r="K26" s="191">
        <v>0</v>
      </c>
      <c r="L26" s="191">
        <v>0</v>
      </c>
      <c r="M26" s="191">
        <v>0</v>
      </c>
      <c r="N26" s="191">
        <v>0</v>
      </c>
      <c r="O26" s="191">
        <v>0</v>
      </c>
      <c r="P26" s="191">
        <v>0</v>
      </c>
      <c r="Q26" s="191">
        <v>0</v>
      </c>
      <c r="R26" s="191">
        <v>0</v>
      </c>
      <c r="S26" s="191">
        <v>0</v>
      </c>
      <c r="T26" s="191">
        <v>0</v>
      </c>
      <c r="U26" s="191">
        <v>0</v>
      </c>
      <c r="V26" s="191"/>
      <c r="W26" s="191"/>
      <c r="X26" s="191"/>
      <c r="Y26" s="191"/>
      <c r="Z26" s="191"/>
      <c r="AA26" s="191"/>
      <c r="AB26" s="191"/>
      <c r="AC26" s="187"/>
      <c r="AD26" s="19"/>
      <c r="AE26" s="19"/>
      <c r="AF26" s="19"/>
      <c r="AG26" s="19"/>
    </row>
    <row r="27" spans="1:33" outlineLevel="2" x14ac:dyDescent="0.2">
      <c r="A27" s="19"/>
      <c r="B27" s="19"/>
      <c r="C27" s="506" t="str">
        <f>Qty!C106</f>
        <v>Street lighting</v>
      </c>
      <c r="D27" s="505" t="str">
        <f>Qty!D106</f>
        <v>Street lighting</v>
      </c>
      <c r="E27" s="505" t="str">
        <f>Qty!E106</f>
        <v>TASUMSSL</v>
      </c>
      <c r="F27" s="505">
        <f>Qty!F106</f>
        <v>0</v>
      </c>
      <c r="G27" s="505">
        <f>Qty!G106</f>
        <v>0</v>
      </c>
      <c r="H27" s="58"/>
      <c r="I27" s="191">
        <v>0</v>
      </c>
      <c r="J27" s="191">
        <v>0</v>
      </c>
      <c r="K27" s="191">
        <v>0</v>
      </c>
      <c r="L27" s="191">
        <v>0</v>
      </c>
      <c r="M27" s="191">
        <v>0</v>
      </c>
      <c r="N27" s="191">
        <v>0</v>
      </c>
      <c r="O27" s="191">
        <v>0</v>
      </c>
      <c r="P27" s="191">
        <v>0</v>
      </c>
      <c r="Q27" s="191">
        <v>0</v>
      </c>
      <c r="R27" s="191">
        <v>0</v>
      </c>
      <c r="S27" s="191">
        <v>0</v>
      </c>
      <c r="T27" s="191">
        <v>0</v>
      </c>
      <c r="U27" s="191">
        <v>8.3000000000000004E-2</v>
      </c>
      <c r="V27" s="191"/>
      <c r="W27" s="191"/>
      <c r="X27" s="191"/>
      <c r="Y27" s="191"/>
      <c r="Z27" s="191"/>
      <c r="AA27" s="191"/>
      <c r="AB27" s="191"/>
      <c r="AC27" s="187"/>
      <c r="AD27" s="19"/>
      <c r="AE27" s="19"/>
      <c r="AF27" s="19"/>
      <c r="AG27" s="19"/>
    </row>
    <row r="28" spans="1:33" hidden="1" outlineLevel="3" x14ac:dyDescent="0.2">
      <c r="A28" s="19"/>
      <c r="B28" s="19"/>
      <c r="C28" s="506">
        <f>Qty!C107</f>
        <v>0</v>
      </c>
      <c r="D28" s="505">
        <f>Qty!D107</f>
        <v>0</v>
      </c>
      <c r="E28" s="505">
        <f>Qty!E107</f>
        <v>0</v>
      </c>
      <c r="F28" s="505">
        <f>Qty!F107</f>
        <v>0</v>
      </c>
      <c r="G28" s="505">
        <f>Qty!G107</f>
        <v>0</v>
      </c>
      <c r="H28" s="58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87"/>
      <c r="AD28" s="19"/>
      <c r="AE28" s="19"/>
      <c r="AF28" s="19"/>
      <c r="AG28" s="19"/>
    </row>
    <row r="29" spans="1:33" hidden="1" outlineLevel="3" x14ac:dyDescent="0.2">
      <c r="A29" s="19"/>
      <c r="B29" s="19"/>
      <c r="C29" s="506">
        <f>Qty!C108</f>
        <v>0</v>
      </c>
      <c r="D29" s="505">
        <f>Qty!D108</f>
        <v>0</v>
      </c>
      <c r="E29" s="505">
        <f>Qty!E108</f>
        <v>0</v>
      </c>
      <c r="F29" s="505">
        <f>Qty!F108</f>
        <v>0</v>
      </c>
      <c r="G29" s="505">
        <f>Qty!G108</f>
        <v>0</v>
      </c>
      <c r="H29" s="58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87"/>
      <c r="AD29" s="19"/>
      <c r="AE29" s="19"/>
      <c r="AF29" s="19"/>
      <c r="AG29" s="19"/>
    </row>
    <row r="30" spans="1:33" hidden="1" outlineLevel="3" x14ac:dyDescent="0.2">
      <c r="A30" s="19"/>
      <c r="B30" s="19"/>
      <c r="C30" s="506">
        <f>Qty!C109</f>
        <v>0</v>
      </c>
      <c r="D30" s="505">
        <f>Qty!D109</f>
        <v>0</v>
      </c>
      <c r="E30" s="505">
        <f>Qty!E109</f>
        <v>0</v>
      </c>
      <c r="F30" s="505">
        <f>Qty!F109</f>
        <v>0</v>
      </c>
      <c r="G30" s="505">
        <f>Qty!G109</f>
        <v>0</v>
      </c>
      <c r="H30" s="58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87"/>
      <c r="AD30" s="19"/>
      <c r="AE30" s="19"/>
      <c r="AF30" s="19"/>
      <c r="AG30" s="19"/>
    </row>
    <row r="31" spans="1:33" hidden="1" outlineLevel="3" x14ac:dyDescent="0.2">
      <c r="A31" s="19"/>
      <c r="B31" s="19"/>
      <c r="C31" s="506">
        <f>Qty!C110</f>
        <v>0</v>
      </c>
      <c r="D31" s="505">
        <f>Qty!D110</f>
        <v>0</v>
      </c>
      <c r="E31" s="505">
        <f>Qty!E110</f>
        <v>0</v>
      </c>
      <c r="F31" s="505">
        <f>Qty!F110</f>
        <v>0</v>
      </c>
      <c r="G31" s="505">
        <f>Qty!G110</f>
        <v>0</v>
      </c>
      <c r="H31" s="58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87"/>
      <c r="AD31" s="19"/>
      <c r="AE31" s="19"/>
      <c r="AF31" s="19"/>
      <c r="AG31" s="19"/>
    </row>
    <row r="32" spans="1:33" hidden="1" outlineLevel="3" x14ac:dyDescent="0.2">
      <c r="A32" s="19"/>
      <c r="B32" s="19"/>
      <c r="C32" s="506">
        <f>Qty!C111</f>
        <v>0</v>
      </c>
      <c r="D32" s="505">
        <f>Qty!D111</f>
        <v>0</v>
      </c>
      <c r="E32" s="505">
        <f>Qty!E111</f>
        <v>0</v>
      </c>
      <c r="F32" s="505">
        <f>Qty!F111</f>
        <v>0</v>
      </c>
      <c r="G32" s="505">
        <f>Qty!G111</f>
        <v>0</v>
      </c>
      <c r="H32" s="58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87"/>
      <c r="AD32" s="19"/>
      <c r="AE32" s="19"/>
      <c r="AF32" s="19"/>
      <c r="AG32" s="19"/>
    </row>
    <row r="33" spans="1:33" hidden="1" outlineLevel="3" x14ac:dyDescent="0.2">
      <c r="A33" s="19"/>
      <c r="B33" s="19"/>
      <c r="C33" s="506">
        <f>Qty!C112</f>
        <v>0</v>
      </c>
      <c r="D33" s="505">
        <f>Qty!D112</f>
        <v>0</v>
      </c>
      <c r="E33" s="505">
        <f>Qty!E112</f>
        <v>0</v>
      </c>
      <c r="F33" s="505">
        <f>Qty!F112</f>
        <v>0</v>
      </c>
      <c r="G33" s="505">
        <f>Qty!G112</f>
        <v>0</v>
      </c>
      <c r="H33" s="58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87"/>
      <c r="AD33" s="19"/>
      <c r="AE33" s="19"/>
      <c r="AF33" s="19"/>
      <c r="AG33" s="19"/>
    </row>
    <row r="34" spans="1:33" hidden="1" outlineLevel="3" x14ac:dyDescent="0.2">
      <c r="A34" s="19"/>
      <c r="B34" s="19"/>
      <c r="C34" s="506">
        <f>Qty!C113</f>
        <v>0</v>
      </c>
      <c r="D34" s="505">
        <f>Qty!D113</f>
        <v>0</v>
      </c>
      <c r="E34" s="505">
        <f>Qty!E113</f>
        <v>0</v>
      </c>
      <c r="F34" s="505">
        <f>Qty!F113</f>
        <v>0</v>
      </c>
      <c r="G34" s="505">
        <f>Qty!G113</f>
        <v>0</v>
      </c>
      <c r="H34" s="58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87"/>
      <c r="AD34" s="19"/>
      <c r="AE34" s="19"/>
      <c r="AF34" s="19"/>
      <c r="AG34" s="19"/>
    </row>
    <row r="35" spans="1:33" hidden="1" outlineLevel="3" x14ac:dyDescent="0.2">
      <c r="A35" s="19"/>
      <c r="B35" s="19"/>
      <c r="C35" s="506">
        <f>Qty!C114</f>
        <v>0</v>
      </c>
      <c r="D35" s="505">
        <f>Qty!D114</f>
        <v>0</v>
      </c>
      <c r="E35" s="505">
        <f>Qty!E114</f>
        <v>0</v>
      </c>
      <c r="F35" s="505">
        <f>Qty!F114</f>
        <v>0</v>
      </c>
      <c r="G35" s="505">
        <f>Qty!G114</f>
        <v>0</v>
      </c>
      <c r="H35" s="58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87"/>
      <c r="AD35" s="19"/>
      <c r="AE35" s="19"/>
      <c r="AF35" s="19"/>
      <c r="AG35" s="19"/>
    </row>
    <row r="36" spans="1:33" hidden="1" outlineLevel="3" x14ac:dyDescent="0.2">
      <c r="A36" s="19"/>
      <c r="B36" s="19"/>
      <c r="C36" s="506">
        <f>Qty!C115</f>
        <v>0</v>
      </c>
      <c r="D36" s="505">
        <f>Qty!D115</f>
        <v>0</v>
      </c>
      <c r="E36" s="505">
        <f>Qty!E115</f>
        <v>0</v>
      </c>
      <c r="F36" s="505">
        <f>Qty!F115</f>
        <v>0</v>
      </c>
      <c r="G36" s="505">
        <f>Qty!G115</f>
        <v>0</v>
      </c>
      <c r="H36" s="58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87"/>
      <c r="AD36" s="19"/>
      <c r="AE36" s="19"/>
      <c r="AF36" s="19"/>
      <c r="AG36" s="19"/>
    </row>
    <row r="37" spans="1:33" hidden="1" outlineLevel="3" x14ac:dyDescent="0.2">
      <c r="A37" s="19"/>
      <c r="B37" s="19"/>
      <c r="C37" s="506">
        <f>Qty!C116</f>
        <v>0</v>
      </c>
      <c r="D37" s="505">
        <f>Qty!D116</f>
        <v>0</v>
      </c>
      <c r="E37" s="505">
        <f>Qty!E116</f>
        <v>0</v>
      </c>
      <c r="F37" s="505">
        <f>Qty!F116</f>
        <v>0</v>
      </c>
      <c r="G37" s="505">
        <f>Qty!G116</f>
        <v>0</v>
      </c>
      <c r="H37" s="58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87"/>
      <c r="AD37" s="19"/>
      <c r="AE37" s="19"/>
      <c r="AF37" s="19"/>
      <c r="AG37" s="19"/>
    </row>
    <row r="38" spans="1:33" hidden="1" outlineLevel="3" x14ac:dyDescent="0.2">
      <c r="A38" s="19"/>
      <c r="B38" s="19"/>
      <c r="C38" s="506">
        <f>Qty!C117</f>
        <v>0</v>
      </c>
      <c r="D38" s="505">
        <f>Qty!D117</f>
        <v>0</v>
      </c>
      <c r="E38" s="505">
        <f>Qty!E117</f>
        <v>0</v>
      </c>
      <c r="F38" s="505">
        <f>Qty!F117</f>
        <v>0</v>
      </c>
      <c r="G38" s="505">
        <f>Qty!G117</f>
        <v>0</v>
      </c>
      <c r="H38" s="58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87"/>
      <c r="AD38" s="19"/>
      <c r="AE38" s="19"/>
      <c r="AF38" s="19"/>
      <c r="AG38" s="19"/>
    </row>
    <row r="39" spans="1:33" hidden="1" outlineLevel="3" x14ac:dyDescent="0.2">
      <c r="A39" s="19"/>
      <c r="B39" s="19"/>
      <c r="C39" s="506">
        <f>Qty!C118</f>
        <v>0</v>
      </c>
      <c r="D39" s="505">
        <f>Qty!D118</f>
        <v>0</v>
      </c>
      <c r="E39" s="505">
        <f>Qty!E118</f>
        <v>0</v>
      </c>
      <c r="F39" s="505">
        <f>Qty!F118</f>
        <v>0</v>
      </c>
      <c r="G39" s="505">
        <f>Qty!G118</f>
        <v>0</v>
      </c>
      <c r="H39" s="58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87"/>
      <c r="AD39" s="19"/>
      <c r="AE39" s="19"/>
      <c r="AF39" s="19"/>
      <c r="AG39" s="19"/>
    </row>
    <row r="40" spans="1:33" hidden="1" outlineLevel="3" x14ac:dyDescent="0.2">
      <c r="A40" s="19"/>
      <c r="B40" s="19"/>
      <c r="C40" s="506">
        <f>Qty!C119</f>
        <v>0</v>
      </c>
      <c r="D40" s="505">
        <f>Qty!D119</f>
        <v>0</v>
      </c>
      <c r="E40" s="505">
        <f>Qty!E119</f>
        <v>0</v>
      </c>
      <c r="F40" s="505">
        <f>Qty!F119</f>
        <v>0</v>
      </c>
      <c r="G40" s="505">
        <f>Qty!G119</f>
        <v>0</v>
      </c>
      <c r="H40" s="58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87"/>
      <c r="AD40" s="19"/>
      <c r="AE40" s="19"/>
      <c r="AF40" s="19"/>
      <c r="AG40" s="19"/>
    </row>
    <row r="41" spans="1:33" hidden="1" outlineLevel="3" x14ac:dyDescent="0.2">
      <c r="A41" s="19"/>
      <c r="B41" s="19"/>
      <c r="C41" s="506">
        <f>Qty!C120</f>
        <v>0</v>
      </c>
      <c r="D41" s="505">
        <f>Qty!D120</f>
        <v>0</v>
      </c>
      <c r="E41" s="505">
        <f>Qty!E120</f>
        <v>0</v>
      </c>
      <c r="F41" s="505">
        <f>Qty!F120</f>
        <v>0</v>
      </c>
      <c r="G41" s="505">
        <f>Qty!G120</f>
        <v>0</v>
      </c>
      <c r="H41" s="58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87"/>
      <c r="AD41" s="19"/>
      <c r="AE41" s="19"/>
      <c r="AF41" s="19"/>
      <c r="AG41" s="19"/>
    </row>
    <row r="42" spans="1:33" hidden="1" outlineLevel="3" x14ac:dyDescent="0.2">
      <c r="A42" s="19"/>
      <c r="B42" s="19"/>
      <c r="C42" s="506">
        <f>Qty!C121</f>
        <v>0</v>
      </c>
      <c r="D42" s="505">
        <f>Qty!D121</f>
        <v>0</v>
      </c>
      <c r="E42" s="505">
        <f>Qty!E121</f>
        <v>0</v>
      </c>
      <c r="F42" s="505">
        <f>Qty!F121</f>
        <v>0</v>
      </c>
      <c r="G42" s="505">
        <f>Qty!G121</f>
        <v>0</v>
      </c>
      <c r="H42" s="58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87"/>
      <c r="AD42" s="19"/>
      <c r="AE42" s="19"/>
      <c r="AF42" s="19"/>
      <c r="AG42" s="19"/>
    </row>
    <row r="43" spans="1:33" hidden="1" outlineLevel="3" x14ac:dyDescent="0.2">
      <c r="A43" s="19"/>
      <c r="B43" s="19"/>
      <c r="C43" s="506">
        <f>Qty!C122</f>
        <v>0</v>
      </c>
      <c r="D43" s="505">
        <f>Qty!D122</f>
        <v>0</v>
      </c>
      <c r="E43" s="505">
        <f>Qty!E122</f>
        <v>0</v>
      </c>
      <c r="F43" s="505">
        <f>Qty!F122</f>
        <v>0</v>
      </c>
      <c r="G43" s="505">
        <f>Qty!G122</f>
        <v>0</v>
      </c>
      <c r="H43" s="58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87"/>
      <c r="AD43" s="19"/>
      <c r="AE43" s="19"/>
      <c r="AF43" s="19"/>
      <c r="AG43" s="19"/>
    </row>
    <row r="44" spans="1:33" hidden="1" outlineLevel="3" x14ac:dyDescent="0.2">
      <c r="A44" s="19"/>
      <c r="B44" s="19"/>
      <c r="C44" s="506">
        <f>Qty!C123</f>
        <v>0</v>
      </c>
      <c r="D44" s="505">
        <f>Qty!D123</f>
        <v>0</v>
      </c>
      <c r="E44" s="505">
        <f>Qty!E123</f>
        <v>0</v>
      </c>
      <c r="F44" s="505">
        <f>Qty!F123</f>
        <v>0</v>
      </c>
      <c r="G44" s="505">
        <f>Qty!G123</f>
        <v>0</v>
      </c>
      <c r="H44" s="58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87"/>
      <c r="AD44" s="19"/>
      <c r="AE44" s="19"/>
      <c r="AF44" s="19"/>
      <c r="AG44" s="19"/>
    </row>
    <row r="45" spans="1:33" hidden="1" outlineLevel="3" x14ac:dyDescent="0.2">
      <c r="A45" s="19"/>
      <c r="B45" s="19"/>
      <c r="C45" s="506">
        <f>Qty!C124</f>
        <v>0</v>
      </c>
      <c r="D45" s="505">
        <f>Qty!D124</f>
        <v>0</v>
      </c>
      <c r="E45" s="505">
        <f>Qty!E124</f>
        <v>0</v>
      </c>
      <c r="F45" s="505">
        <f>Qty!F124</f>
        <v>0</v>
      </c>
      <c r="G45" s="505">
        <f>Qty!G124</f>
        <v>0</v>
      </c>
      <c r="H45" s="58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87"/>
      <c r="AD45" s="19"/>
      <c r="AE45" s="19"/>
      <c r="AF45" s="19"/>
      <c r="AG45" s="19"/>
    </row>
    <row r="46" spans="1:33" hidden="1" outlineLevel="3" x14ac:dyDescent="0.2">
      <c r="A46" s="19"/>
      <c r="B46" s="19"/>
      <c r="C46" s="506">
        <f>Qty!C125</f>
        <v>0</v>
      </c>
      <c r="D46" s="505">
        <f>Qty!D125</f>
        <v>0</v>
      </c>
      <c r="E46" s="505">
        <f>Qty!E125</f>
        <v>0</v>
      </c>
      <c r="F46" s="505">
        <f>Qty!F125</f>
        <v>0</v>
      </c>
      <c r="G46" s="505">
        <f>Qty!G125</f>
        <v>0</v>
      </c>
      <c r="H46" s="58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87"/>
      <c r="AD46" s="19"/>
      <c r="AE46" s="19"/>
      <c r="AF46" s="19"/>
      <c r="AG46" s="19"/>
    </row>
    <row r="47" spans="1:33" hidden="1" outlineLevel="3" x14ac:dyDescent="0.2">
      <c r="A47" s="19"/>
      <c r="B47" s="19"/>
      <c r="C47" s="506">
        <f>Qty!C126</f>
        <v>0</v>
      </c>
      <c r="D47" s="505">
        <f>Qty!D126</f>
        <v>0</v>
      </c>
      <c r="E47" s="505">
        <f>Qty!E126</f>
        <v>0</v>
      </c>
      <c r="F47" s="505">
        <f>Qty!F126</f>
        <v>0</v>
      </c>
      <c r="G47" s="505">
        <f>Qty!G126</f>
        <v>0</v>
      </c>
      <c r="H47" s="58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87"/>
      <c r="AD47" s="19"/>
      <c r="AE47" s="19"/>
      <c r="AF47" s="19"/>
      <c r="AG47" s="19"/>
    </row>
    <row r="48" spans="1:33" hidden="1" outlineLevel="3" x14ac:dyDescent="0.2">
      <c r="A48" s="19"/>
      <c r="B48" s="19"/>
      <c r="C48" s="506">
        <f>Qty!C127</f>
        <v>0</v>
      </c>
      <c r="D48" s="505">
        <f>Qty!D127</f>
        <v>0</v>
      </c>
      <c r="E48" s="505">
        <f>Qty!E127</f>
        <v>0</v>
      </c>
      <c r="F48" s="505">
        <f>Qty!F127</f>
        <v>0</v>
      </c>
      <c r="G48" s="505">
        <f>Qty!G127</f>
        <v>0</v>
      </c>
      <c r="H48" s="58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87"/>
      <c r="AD48" s="19"/>
      <c r="AE48" s="19"/>
      <c r="AF48" s="19"/>
      <c r="AG48" s="19"/>
    </row>
    <row r="49" spans="1:33" hidden="1" outlineLevel="3" x14ac:dyDescent="0.2">
      <c r="A49" s="19"/>
      <c r="B49" s="19"/>
      <c r="C49" s="506">
        <f>Qty!C128</f>
        <v>0</v>
      </c>
      <c r="D49" s="505">
        <f>Qty!D128</f>
        <v>0</v>
      </c>
      <c r="E49" s="505">
        <f>Qty!E128</f>
        <v>0</v>
      </c>
      <c r="F49" s="505">
        <f>Qty!F128</f>
        <v>0</v>
      </c>
      <c r="G49" s="505">
        <f>Qty!G128</f>
        <v>0</v>
      </c>
      <c r="H49" s="58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87"/>
      <c r="AD49" s="19"/>
      <c r="AE49" s="19"/>
      <c r="AF49" s="19"/>
      <c r="AG49" s="19"/>
    </row>
    <row r="50" spans="1:33" hidden="1" outlineLevel="3" x14ac:dyDescent="0.2">
      <c r="A50" s="19"/>
      <c r="B50" s="19"/>
      <c r="C50" s="506">
        <f>Qty!C129</f>
        <v>0</v>
      </c>
      <c r="D50" s="505">
        <f>Qty!D129</f>
        <v>0</v>
      </c>
      <c r="E50" s="505">
        <f>Qty!E129</f>
        <v>0</v>
      </c>
      <c r="F50" s="505">
        <f>Qty!F129</f>
        <v>0</v>
      </c>
      <c r="G50" s="505">
        <f>Qty!G129</f>
        <v>0</v>
      </c>
      <c r="H50" s="58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87"/>
      <c r="AD50" s="19"/>
      <c r="AE50" s="19"/>
      <c r="AF50" s="19"/>
      <c r="AG50" s="19"/>
    </row>
    <row r="51" spans="1:33" hidden="1" outlineLevel="3" x14ac:dyDescent="0.2">
      <c r="A51" s="19"/>
      <c r="B51" s="19"/>
      <c r="C51" s="506">
        <f>Qty!C130</f>
        <v>0</v>
      </c>
      <c r="D51" s="505">
        <f>Qty!D130</f>
        <v>0</v>
      </c>
      <c r="E51" s="505">
        <f>Qty!E130</f>
        <v>0</v>
      </c>
      <c r="F51" s="505">
        <f>Qty!F130</f>
        <v>0</v>
      </c>
      <c r="G51" s="505">
        <f>Qty!G130</f>
        <v>0</v>
      </c>
      <c r="H51" s="58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87"/>
      <c r="AD51" s="19"/>
      <c r="AE51" s="19"/>
      <c r="AF51" s="19"/>
      <c r="AG51" s="19"/>
    </row>
    <row r="52" spans="1:33" hidden="1" outlineLevel="3" x14ac:dyDescent="0.2">
      <c r="A52" s="19"/>
      <c r="B52" s="19"/>
      <c r="C52" s="506">
        <f>Qty!C131</f>
        <v>0</v>
      </c>
      <c r="D52" s="505">
        <f>Qty!D131</f>
        <v>0</v>
      </c>
      <c r="E52" s="505">
        <f>Qty!E131</f>
        <v>0</v>
      </c>
      <c r="F52" s="505">
        <f>Qty!F131</f>
        <v>0</v>
      </c>
      <c r="G52" s="505">
        <f>Qty!G131</f>
        <v>0</v>
      </c>
      <c r="H52" s="58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87"/>
      <c r="AD52" s="19"/>
      <c r="AE52" s="19"/>
      <c r="AF52" s="19"/>
      <c r="AG52" s="19"/>
    </row>
    <row r="53" spans="1:33" hidden="1" outlineLevel="3" x14ac:dyDescent="0.2">
      <c r="A53" s="19"/>
      <c r="B53" s="19"/>
      <c r="C53" s="506">
        <f>Qty!C132</f>
        <v>0</v>
      </c>
      <c r="D53" s="505">
        <f>Qty!D132</f>
        <v>0</v>
      </c>
      <c r="E53" s="505">
        <f>Qty!E132</f>
        <v>0</v>
      </c>
      <c r="F53" s="505">
        <f>Qty!F132</f>
        <v>0</v>
      </c>
      <c r="G53" s="505">
        <f>Qty!G132</f>
        <v>0</v>
      </c>
      <c r="H53" s="58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87"/>
      <c r="AD53" s="19"/>
      <c r="AE53" s="19"/>
      <c r="AF53" s="19"/>
      <c r="AG53" s="19"/>
    </row>
    <row r="54" spans="1:33" hidden="1" outlineLevel="3" x14ac:dyDescent="0.2">
      <c r="A54" s="19"/>
      <c r="B54" s="19"/>
      <c r="C54" s="506">
        <f>Qty!C133</f>
        <v>0</v>
      </c>
      <c r="D54" s="505">
        <f>Qty!D133</f>
        <v>0</v>
      </c>
      <c r="E54" s="505">
        <f>Qty!E133</f>
        <v>0</v>
      </c>
      <c r="F54" s="505">
        <f>Qty!F133</f>
        <v>0</v>
      </c>
      <c r="G54" s="505">
        <f>Qty!G133</f>
        <v>0</v>
      </c>
      <c r="H54" s="58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  <c r="AA54" s="191"/>
      <c r="AB54" s="191"/>
      <c r="AC54" s="187"/>
      <c r="AD54" s="19"/>
      <c r="AE54" s="19"/>
      <c r="AF54" s="19"/>
      <c r="AG54" s="19"/>
    </row>
    <row r="55" spans="1:33" hidden="1" outlineLevel="3" x14ac:dyDescent="0.2">
      <c r="A55" s="19"/>
      <c r="B55" s="19"/>
      <c r="C55" s="506">
        <f>Qty!C134</f>
        <v>0</v>
      </c>
      <c r="D55" s="505">
        <f>Qty!D134</f>
        <v>0</v>
      </c>
      <c r="E55" s="505">
        <f>Qty!E134</f>
        <v>0</v>
      </c>
      <c r="F55" s="505">
        <f>Qty!F134</f>
        <v>0</v>
      </c>
      <c r="G55" s="505">
        <f>Qty!G134</f>
        <v>0</v>
      </c>
      <c r="H55" s="58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87"/>
      <c r="AD55" s="19"/>
      <c r="AE55" s="19"/>
      <c r="AF55" s="19"/>
      <c r="AG55" s="19"/>
    </row>
    <row r="56" spans="1:33" hidden="1" outlineLevel="3" x14ac:dyDescent="0.2">
      <c r="A56" s="19"/>
      <c r="B56" s="19"/>
      <c r="C56" s="506">
        <f>Qty!C135</f>
        <v>0</v>
      </c>
      <c r="D56" s="505">
        <f>Qty!D135</f>
        <v>0</v>
      </c>
      <c r="E56" s="505">
        <f>Qty!E135</f>
        <v>0</v>
      </c>
      <c r="F56" s="505">
        <f>Qty!F135</f>
        <v>0</v>
      </c>
      <c r="G56" s="505">
        <f>Qty!G135</f>
        <v>0</v>
      </c>
      <c r="H56" s="58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87"/>
      <c r="AD56" s="19"/>
      <c r="AE56" s="19"/>
      <c r="AF56" s="19"/>
      <c r="AG56" s="19"/>
    </row>
    <row r="57" spans="1:33" hidden="1" outlineLevel="3" x14ac:dyDescent="0.2">
      <c r="A57" s="19"/>
      <c r="B57" s="19"/>
      <c r="C57" s="506">
        <f>Qty!C136</f>
        <v>0</v>
      </c>
      <c r="D57" s="505">
        <f>Qty!D136</f>
        <v>0</v>
      </c>
      <c r="E57" s="505">
        <f>Qty!E136</f>
        <v>0</v>
      </c>
      <c r="F57" s="505">
        <f>Qty!F136</f>
        <v>0</v>
      </c>
      <c r="G57" s="505">
        <f>Qty!G136</f>
        <v>0</v>
      </c>
      <c r="H57" s="58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87"/>
      <c r="AD57" s="19"/>
      <c r="AE57" s="19"/>
      <c r="AF57" s="19"/>
      <c r="AG57" s="19"/>
    </row>
    <row r="58" spans="1:33" hidden="1" outlineLevel="3" x14ac:dyDescent="0.2">
      <c r="A58" s="19"/>
      <c r="B58" s="19"/>
      <c r="C58" s="506">
        <f>Qty!C137</f>
        <v>0</v>
      </c>
      <c r="D58" s="505">
        <f>Qty!D137</f>
        <v>0</v>
      </c>
      <c r="E58" s="505">
        <f>Qty!E137</f>
        <v>0</v>
      </c>
      <c r="F58" s="505">
        <f>Qty!F137</f>
        <v>0</v>
      </c>
      <c r="G58" s="505">
        <f>Qty!G137</f>
        <v>0</v>
      </c>
      <c r="H58" s="58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87"/>
      <c r="AD58" s="19"/>
      <c r="AE58" s="19"/>
      <c r="AF58" s="19"/>
      <c r="AG58" s="19"/>
    </row>
    <row r="59" spans="1:33" hidden="1" outlineLevel="3" x14ac:dyDescent="0.2">
      <c r="A59" s="19"/>
      <c r="B59" s="19"/>
      <c r="C59" s="506">
        <f>Qty!C138</f>
        <v>0</v>
      </c>
      <c r="D59" s="505">
        <f>Qty!D138</f>
        <v>0</v>
      </c>
      <c r="E59" s="505">
        <f>Qty!E138</f>
        <v>0</v>
      </c>
      <c r="F59" s="505">
        <f>Qty!F138</f>
        <v>0</v>
      </c>
      <c r="G59" s="505">
        <f>Qty!G138</f>
        <v>0</v>
      </c>
      <c r="H59" s="58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  <c r="AA59" s="191"/>
      <c r="AB59" s="191"/>
      <c r="AC59" s="187"/>
      <c r="AD59" s="19"/>
      <c r="AE59" s="19"/>
      <c r="AF59" s="19"/>
      <c r="AG59" s="19"/>
    </row>
    <row r="60" spans="1:33" hidden="1" outlineLevel="3" x14ac:dyDescent="0.2">
      <c r="A60" s="19"/>
      <c r="B60" s="19"/>
      <c r="C60" s="506">
        <f>Qty!C139</f>
        <v>0</v>
      </c>
      <c r="D60" s="505">
        <f>Qty!D139</f>
        <v>0</v>
      </c>
      <c r="E60" s="505">
        <f>Qty!E139</f>
        <v>0</v>
      </c>
      <c r="F60" s="505">
        <f>Qty!F139</f>
        <v>0</v>
      </c>
      <c r="G60" s="505">
        <f>Qty!G139</f>
        <v>0</v>
      </c>
      <c r="H60" s="58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191"/>
      <c r="AC60" s="187"/>
      <c r="AD60" s="19"/>
      <c r="AE60" s="19"/>
      <c r="AF60" s="19"/>
      <c r="AG60" s="19"/>
    </row>
    <row r="61" spans="1:33" hidden="1" outlineLevel="3" x14ac:dyDescent="0.2">
      <c r="A61" s="19"/>
      <c r="B61" s="19"/>
      <c r="C61" s="506">
        <f>Qty!C140</f>
        <v>0</v>
      </c>
      <c r="D61" s="505">
        <f>Qty!D140</f>
        <v>0</v>
      </c>
      <c r="E61" s="505">
        <f>Qty!E140</f>
        <v>0</v>
      </c>
      <c r="F61" s="505">
        <f>Qty!F140</f>
        <v>0</v>
      </c>
      <c r="G61" s="505">
        <f>Qty!G140</f>
        <v>0</v>
      </c>
      <c r="H61" s="58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87"/>
      <c r="AD61" s="19"/>
      <c r="AE61" s="19"/>
      <c r="AF61" s="19"/>
      <c r="AG61" s="19"/>
    </row>
    <row r="62" spans="1:33" hidden="1" outlineLevel="3" x14ac:dyDescent="0.2">
      <c r="A62" s="19"/>
      <c r="B62" s="19"/>
      <c r="C62" s="506">
        <f>Qty!C141</f>
        <v>0</v>
      </c>
      <c r="D62" s="505">
        <f>Qty!D141</f>
        <v>0</v>
      </c>
      <c r="E62" s="505">
        <f>Qty!E141</f>
        <v>0</v>
      </c>
      <c r="F62" s="505">
        <f>Qty!F141</f>
        <v>0</v>
      </c>
      <c r="G62" s="505">
        <f>Qty!G141</f>
        <v>0</v>
      </c>
      <c r="H62" s="58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87"/>
      <c r="AD62" s="19"/>
      <c r="AE62" s="19"/>
      <c r="AF62" s="19"/>
      <c r="AG62" s="19"/>
    </row>
    <row r="63" spans="1:33" hidden="1" outlineLevel="3" x14ac:dyDescent="0.2">
      <c r="A63" s="19"/>
      <c r="B63" s="19"/>
      <c r="C63" s="506">
        <f>Qty!C142</f>
        <v>0</v>
      </c>
      <c r="D63" s="505">
        <f>Qty!D142</f>
        <v>0</v>
      </c>
      <c r="E63" s="505">
        <f>Qty!E142</f>
        <v>0</v>
      </c>
      <c r="F63" s="505">
        <f>Qty!F142</f>
        <v>0</v>
      </c>
      <c r="G63" s="505">
        <f>Qty!G142</f>
        <v>0</v>
      </c>
      <c r="H63" s="58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  <c r="AA63" s="191"/>
      <c r="AB63" s="191"/>
      <c r="AC63" s="187"/>
      <c r="AD63" s="19"/>
      <c r="AE63" s="19"/>
      <c r="AF63" s="19"/>
      <c r="AG63" s="19"/>
    </row>
    <row r="64" spans="1:33" hidden="1" outlineLevel="3" x14ac:dyDescent="0.2">
      <c r="A64" s="19"/>
      <c r="B64" s="19"/>
      <c r="C64" s="506">
        <f>Qty!C143</f>
        <v>0</v>
      </c>
      <c r="D64" s="505">
        <f>Qty!D143</f>
        <v>0</v>
      </c>
      <c r="E64" s="505">
        <f>Qty!E143</f>
        <v>0</v>
      </c>
      <c r="F64" s="505">
        <f>Qty!F143</f>
        <v>0</v>
      </c>
      <c r="G64" s="505">
        <f>Qty!G143</f>
        <v>0</v>
      </c>
      <c r="H64" s="58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87"/>
      <c r="AD64" s="19"/>
      <c r="AE64" s="19"/>
      <c r="AF64" s="19"/>
      <c r="AG64" s="19"/>
    </row>
    <row r="65" spans="1:33" hidden="1" outlineLevel="3" x14ac:dyDescent="0.2">
      <c r="A65" s="19"/>
      <c r="B65" s="19"/>
      <c r="C65" s="506">
        <f>Qty!C144</f>
        <v>0</v>
      </c>
      <c r="D65" s="505">
        <f>Qty!D144</f>
        <v>0</v>
      </c>
      <c r="E65" s="505">
        <f>Qty!E144</f>
        <v>0</v>
      </c>
      <c r="F65" s="505">
        <f>Qty!F144</f>
        <v>0</v>
      </c>
      <c r="G65" s="505">
        <f>Qty!G144</f>
        <v>0</v>
      </c>
      <c r="H65" s="58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87"/>
      <c r="AD65" s="19"/>
      <c r="AE65" s="19"/>
      <c r="AF65" s="19"/>
      <c r="AG65" s="19"/>
    </row>
    <row r="66" spans="1:33" hidden="1" outlineLevel="3" x14ac:dyDescent="0.2">
      <c r="A66" s="19"/>
      <c r="B66" s="19"/>
      <c r="C66" s="506">
        <f>Qty!C145</f>
        <v>0</v>
      </c>
      <c r="D66" s="505">
        <f>Qty!D145</f>
        <v>0</v>
      </c>
      <c r="E66" s="505">
        <f>Qty!E145</f>
        <v>0</v>
      </c>
      <c r="F66" s="505">
        <f>Qty!F145</f>
        <v>0</v>
      </c>
      <c r="G66" s="505">
        <f>Qty!G145</f>
        <v>0</v>
      </c>
      <c r="H66" s="58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  <c r="AA66" s="191"/>
      <c r="AB66" s="191"/>
      <c r="AC66" s="187"/>
      <c r="AD66" s="19"/>
      <c r="AE66" s="19"/>
      <c r="AF66" s="19"/>
      <c r="AG66" s="19"/>
    </row>
    <row r="67" spans="1:33" hidden="1" outlineLevel="3" x14ac:dyDescent="0.2">
      <c r="A67" s="19"/>
      <c r="B67" s="19"/>
      <c r="C67" s="506">
        <f>Qty!C146</f>
        <v>0</v>
      </c>
      <c r="D67" s="505">
        <f>Qty!D146</f>
        <v>0</v>
      </c>
      <c r="E67" s="505">
        <f>Qty!E146</f>
        <v>0</v>
      </c>
      <c r="F67" s="505">
        <f>Qty!F146</f>
        <v>0</v>
      </c>
      <c r="G67" s="505">
        <f>Qty!G146</f>
        <v>0</v>
      </c>
      <c r="H67" s="58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87"/>
      <c r="AD67" s="19"/>
      <c r="AE67" s="19"/>
      <c r="AF67" s="19"/>
      <c r="AG67" s="19"/>
    </row>
    <row r="68" spans="1:33" hidden="1" outlineLevel="3" x14ac:dyDescent="0.2">
      <c r="A68" s="19"/>
      <c r="B68" s="19"/>
      <c r="C68" s="506">
        <f>Qty!C147</f>
        <v>0</v>
      </c>
      <c r="D68" s="505">
        <f>Qty!D147</f>
        <v>0</v>
      </c>
      <c r="E68" s="505">
        <f>Qty!E147</f>
        <v>0</v>
      </c>
      <c r="F68" s="505">
        <f>Qty!F147</f>
        <v>0</v>
      </c>
      <c r="G68" s="505">
        <f>Qty!G147</f>
        <v>0</v>
      </c>
      <c r="H68" s="58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  <c r="AA68" s="191"/>
      <c r="AB68" s="191"/>
      <c r="AC68" s="187"/>
      <c r="AD68" s="19"/>
      <c r="AE68" s="19"/>
      <c r="AF68" s="19"/>
      <c r="AG68" s="19"/>
    </row>
    <row r="69" spans="1:33" hidden="1" outlineLevel="3" x14ac:dyDescent="0.2">
      <c r="A69" s="19"/>
      <c r="B69" s="19"/>
      <c r="C69" s="506">
        <f>Qty!C148</f>
        <v>0</v>
      </c>
      <c r="D69" s="505">
        <f>Qty!D148</f>
        <v>0</v>
      </c>
      <c r="E69" s="505">
        <f>Qty!E148</f>
        <v>0</v>
      </c>
      <c r="F69" s="505">
        <f>Qty!F148</f>
        <v>0</v>
      </c>
      <c r="G69" s="505">
        <f>Qty!G148</f>
        <v>0</v>
      </c>
      <c r="H69" s="58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  <c r="AA69" s="191"/>
      <c r="AB69" s="191"/>
      <c r="AC69" s="187"/>
      <c r="AD69" s="19"/>
      <c r="AE69" s="19"/>
      <c r="AF69" s="19"/>
      <c r="AG69" s="19"/>
    </row>
    <row r="70" spans="1:33" hidden="1" outlineLevel="3" x14ac:dyDescent="0.2">
      <c r="A70" s="19"/>
      <c r="B70" s="19"/>
      <c r="C70" s="506">
        <f>Qty!C149</f>
        <v>0</v>
      </c>
      <c r="D70" s="505">
        <f>Qty!D149</f>
        <v>0</v>
      </c>
      <c r="E70" s="505">
        <f>Qty!E149</f>
        <v>0</v>
      </c>
      <c r="F70" s="505">
        <f>Qty!F149</f>
        <v>0</v>
      </c>
      <c r="G70" s="505">
        <f>Qty!G149</f>
        <v>0</v>
      </c>
      <c r="H70" s="58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91"/>
      <c r="Z70" s="191"/>
      <c r="AA70" s="191"/>
      <c r="AB70" s="191"/>
      <c r="AC70" s="187"/>
      <c r="AD70" s="19"/>
      <c r="AE70" s="19"/>
      <c r="AF70" s="19"/>
      <c r="AG70" s="19"/>
    </row>
    <row r="71" spans="1:33" hidden="1" outlineLevel="3" x14ac:dyDescent="0.2">
      <c r="A71" s="19"/>
      <c r="B71" s="19"/>
      <c r="C71" s="506">
        <f>Qty!C150</f>
        <v>0</v>
      </c>
      <c r="D71" s="505">
        <f>Qty!D150</f>
        <v>0</v>
      </c>
      <c r="E71" s="505">
        <f>Qty!E150</f>
        <v>0</v>
      </c>
      <c r="F71" s="505">
        <f>Qty!F150</f>
        <v>0</v>
      </c>
      <c r="G71" s="505">
        <f>Qty!G150</f>
        <v>0</v>
      </c>
      <c r="H71" s="58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87"/>
      <c r="AD71" s="19"/>
      <c r="AE71" s="19"/>
      <c r="AF71" s="19"/>
      <c r="AG71" s="19"/>
    </row>
    <row r="72" spans="1:33" hidden="1" outlineLevel="3" x14ac:dyDescent="0.2">
      <c r="A72" s="19"/>
      <c r="B72" s="19"/>
      <c r="C72" s="506">
        <f>Qty!C151</f>
        <v>0</v>
      </c>
      <c r="D72" s="505">
        <f>Qty!D151</f>
        <v>0</v>
      </c>
      <c r="E72" s="505">
        <f>Qty!E151</f>
        <v>0</v>
      </c>
      <c r="F72" s="505">
        <f>Qty!F151</f>
        <v>0</v>
      </c>
      <c r="G72" s="505">
        <f>Qty!G151</f>
        <v>0</v>
      </c>
      <c r="H72" s="58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87"/>
      <c r="AD72" s="19"/>
      <c r="AE72" s="19"/>
      <c r="AF72" s="19"/>
      <c r="AG72" s="19"/>
    </row>
    <row r="73" spans="1:33" hidden="1" outlineLevel="3" x14ac:dyDescent="0.2">
      <c r="A73" s="19"/>
      <c r="B73" s="19"/>
      <c r="C73" s="506">
        <f>Qty!C152</f>
        <v>0</v>
      </c>
      <c r="D73" s="505">
        <f>Qty!D152</f>
        <v>0</v>
      </c>
      <c r="E73" s="505">
        <f>Qty!E152</f>
        <v>0</v>
      </c>
      <c r="F73" s="505">
        <f>Qty!F152</f>
        <v>0</v>
      </c>
      <c r="G73" s="505">
        <f>Qty!G152</f>
        <v>0</v>
      </c>
      <c r="H73" s="58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87"/>
      <c r="AD73" s="19"/>
      <c r="AE73" s="19"/>
      <c r="AF73" s="19"/>
      <c r="AG73" s="19"/>
    </row>
    <row r="74" spans="1:33" hidden="1" outlineLevel="3" x14ac:dyDescent="0.2">
      <c r="A74" s="19"/>
      <c r="B74" s="19"/>
      <c r="C74" s="506">
        <f>Qty!C153</f>
        <v>0</v>
      </c>
      <c r="D74" s="505">
        <f>Qty!D153</f>
        <v>0</v>
      </c>
      <c r="E74" s="505">
        <f>Qty!E153</f>
        <v>0</v>
      </c>
      <c r="F74" s="505">
        <f>Qty!F153</f>
        <v>0</v>
      </c>
      <c r="G74" s="505">
        <f>Qty!G153</f>
        <v>0</v>
      </c>
      <c r="H74" s="58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  <c r="AA74" s="191"/>
      <c r="AB74" s="191"/>
      <c r="AC74" s="187"/>
      <c r="AD74" s="19"/>
      <c r="AE74" s="19"/>
      <c r="AF74" s="19"/>
      <c r="AG74" s="19"/>
    </row>
    <row r="75" spans="1:33" hidden="1" outlineLevel="3" x14ac:dyDescent="0.2">
      <c r="A75" s="19"/>
      <c r="B75" s="19"/>
      <c r="C75" s="506">
        <f>Qty!C154</f>
        <v>0</v>
      </c>
      <c r="D75" s="505">
        <f>Qty!D154</f>
        <v>0</v>
      </c>
      <c r="E75" s="505">
        <f>Qty!E154</f>
        <v>0</v>
      </c>
      <c r="F75" s="505">
        <f>Qty!F154</f>
        <v>0</v>
      </c>
      <c r="G75" s="505">
        <f>Qty!G154</f>
        <v>0</v>
      </c>
      <c r="H75" s="58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  <c r="AA75" s="191"/>
      <c r="AB75" s="191"/>
      <c r="AC75" s="187"/>
      <c r="AD75" s="19"/>
      <c r="AE75" s="19"/>
      <c r="AF75" s="19"/>
      <c r="AG75" s="19"/>
    </row>
    <row r="76" spans="1:33" hidden="1" outlineLevel="3" x14ac:dyDescent="0.2">
      <c r="A76" s="19"/>
      <c r="B76" s="19"/>
      <c r="C76" s="506">
        <f>Qty!C155</f>
        <v>0</v>
      </c>
      <c r="D76" s="505">
        <f>Qty!D155</f>
        <v>0</v>
      </c>
      <c r="E76" s="505">
        <f>Qty!E155</f>
        <v>0</v>
      </c>
      <c r="F76" s="505">
        <f>Qty!F155</f>
        <v>0</v>
      </c>
      <c r="G76" s="505">
        <f>Qty!G155</f>
        <v>0</v>
      </c>
      <c r="H76" s="58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87"/>
      <c r="AD76" s="19"/>
      <c r="AE76" s="19"/>
      <c r="AF76" s="19"/>
      <c r="AG76" s="19"/>
    </row>
    <row r="77" spans="1:33" hidden="1" outlineLevel="3" x14ac:dyDescent="0.2">
      <c r="A77" s="19"/>
      <c r="B77" s="19"/>
      <c r="C77" s="506">
        <f>Qty!C156</f>
        <v>0</v>
      </c>
      <c r="D77" s="505">
        <f>Qty!D156</f>
        <v>0</v>
      </c>
      <c r="E77" s="505">
        <f>Qty!E156</f>
        <v>0</v>
      </c>
      <c r="F77" s="505">
        <f>Qty!F156</f>
        <v>0</v>
      </c>
      <c r="G77" s="505">
        <f>Qty!G156</f>
        <v>0</v>
      </c>
      <c r="H77" s="58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87"/>
      <c r="AD77" s="19"/>
      <c r="AE77" s="19"/>
      <c r="AF77" s="19"/>
      <c r="AG77" s="19"/>
    </row>
    <row r="78" spans="1:33" hidden="1" outlineLevel="3" x14ac:dyDescent="0.2">
      <c r="A78" s="19"/>
      <c r="B78" s="19"/>
      <c r="C78" s="506">
        <f>Qty!C157</f>
        <v>0</v>
      </c>
      <c r="D78" s="505">
        <f>Qty!D157</f>
        <v>0</v>
      </c>
      <c r="E78" s="505">
        <f>Qty!E157</f>
        <v>0</v>
      </c>
      <c r="F78" s="505">
        <f>Qty!F157</f>
        <v>0</v>
      </c>
      <c r="G78" s="505">
        <f>Qty!G157</f>
        <v>0</v>
      </c>
      <c r="H78" s="58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87"/>
      <c r="AD78" s="19"/>
      <c r="AE78" s="19"/>
      <c r="AF78" s="19"/>
      <c r="AG78" s="19"/>
    </row>
    <row r="79" spans="1:33" hidden="1" outlineLevel="3" x14ac:dyDescent="0.2">
      <c r="A79" s="19"/>
      <c r="B79" s="19"/>
      <c r="C79" s="506">
        <f>Qty!C158</f>
        <v>0</v>
      </c>
      <c r="D79" s="505">
        <f>Qty!D158</f>
        <v>0</v>
      </c>
      <c r="E79" s="505">
        <f>Qty!E158</f>
        <v>0</v>
      </c>
      <c r="F79" s="505">
        <f>Qty!F158</f>
        <v>0</v>
      </c>
      <c r="G79" s="505">
        <f>Qty!G158</f>
        <v>0</v>
      </c>
      <c r="H79" s="58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87"/>
      <c r="AD79" s="19"/>
      <c r="AE79" s="19"/>
      <c r="AF79" s="19"/>
      <c r="AG79" s="19"/>
    </row>
    <row r="80" spans="1:33" hidden="1" outlineLevel="3" x14ac:dyDescent="0.2">
      <c r="A80" s="19"/>
      <c r="B80" s="19"/>
      <c r="C80" s="506">
        <f>Qty!C159</f>
        <v>0</v>
      </c>
      <c r="D80" s="505">
        <f>Qty!D159</f>
        <v>0</v>
      </c>
      <c r="E80" s="505">
        <f>Qty!E159</f>
        <v>0</v>
      </c>
      <c r="F80" s="505">
        <f>Qty!F159</f>
        <v>0</v>
      </c>
      <c r="G80" s="505">
        <f>Qty!G159</f>
        <v>0</v>
      </c>
      <c r="H80" s="58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87"/>
      <c r="AD80" s="19"/>
      <c r="AE80" s="19"/>
      <c r="AF80" s="19"/>
      <c r="AG80" s="19"/>
    </row>
    <row r="81" spans="1:33" hidden="1" outlineLevel="3" x14ac:dyDescent="0.2">
      <c r="A81" s="19"/>
      <c r="B81" s="19"/>
      <c r="C81" s="506">
        <f>Qty!C160</f>
        <v>0</v>
      </c>
      <c r="D81" s="505">
        <f>Qty!D160</f>
        <v>0</v>
      </c>
      <c r="E81" s="505">
        <f>Qty!E160</f>
        <v>0</v>
      </c>
      <c r="F81" s="505">
        <f>Qty!F160</f>
        <v>0</v>
      </c>
      <c r="G81" s="505">
        <f>Qty!G160</f>
        <v>0</v>
      </c>
      <c r="H81" s="58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87"/>
      <c r="AD81" s="19"/>
      <c r="AE81" s="19"/>
      <c r="AF81" s="19"/>
      <c r="AG81" s="19"/>
    </row>
    <row r="82" spans="1:33" hidden="1" outlineLevel="3" x14ac:dyDescent="0.2">
      <c r="A82" s="19"/>
      <c r="B82" s="19"/>
      <c r="C82" s="506">
        <f>Qty!C161</f>
        <v>0</v>
      </c>
      <c r="D82" s="505">
        <f>Qty!D161</f>
        <v>0</v>
      </c>
      <c r="E82" s="505">
        <f>Qty!E161</f>
        <v>0</v>
      </c>
      <c r="F82" s="505">
        <f>Qty!F161</f>
        <v>0</v>
      </c>
      <c r="G82" s="505">
        <f>Qty!G161</f>
        <v>0</v>
      </c>
      <c r="H82" s="58"/>
      <c r="I82" s="191"/>
      <c r="J82" s="191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87"/>
      <c r="AD82" s="19"/>
      <c r="AE82" s="19"/>
      <c r="AF82" s="19"/>
      <c r="AG82" s="19"/>
    </row>
    <row r="83" spans="1:33" outlineLevel="2" collapsed="1" x14ac:dyDescent="0.2">
      <c r="A83" s="19"/>
      <c r="B83" s="19"/>
      <c r="C83" s="60"/>
      <c r="D83" s="61"/>
      <c r="E83" s="58"/>
      <c r="F83" s="58"/>
      <c r="G83" s="58"/>
      <c r="H83" s="58"/>
      <c r="I83" s="186"/>
      <c r="J83" s="186"/>
      <c r="K83" s="187"/>
      <c r="L83" s="187"/>
      <c r="M83" s="187"/>
      <c r="N83" s="188"/>
      <c r="O83" s="188"/>
      <c r="P83" s="188"/>
      <c r="Q83" s="188"/>
      <c r="R83" s="18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9"/>
      <c r="AE83" s="19"/>
      <c r="AF83" s="19"/>
      <c r="AG83" s="19"/>
    </row>
    <row r="84" spans="1:33" outlineLevel="1" x14ac:dyDescent="0.2">
      <c r="A84" s="19"/>
      <c r="B84" s="19"/>
      <c r="C84" s="66"/>
      <c r="D84" s="58"/>
      <c r="E84" s="58"/>
      <c r="F84" s="58"/>
      <c r="G84" s="58"/>
      <c r="H84" s="58"/>
      <c r="I84" s="186"/>
      <c r="J84" s="186"/>
      <c r="K84" s="187"/>
      <c r="L84" s="187"/>
      <c r="M84" s="187"/>
      <c r="N84" s="188"/>
      <c r="O84" s="188"/>
      <c r="P84" s="188"/>
      <c r="Q84" s="188"/>
      <c r="R84" s="188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9"/>
      <c r="AE84" s="19"/>
      <c r="AF84" s="19"/>
      <c r="AG84" s="19"/>
    </row>
    <row r="85" spans="1:33" outlineLevel="1" x14ac:dyDescent="0.2">
      <c r="A85" s="19"/>
      <c r="B85" s="19"/>
      <c r="C85" s="167" t="s">
        <v>219</v>
      </c>
      <c r="D85" s="20"/>
      <c r="E85" s="20"/>
      <c r="F85" s="20"/>
      <c r="G85" s="22"/>
      <c r="H85" s="22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9"/>
      <c r="AE85" s="19"/>
      <c r="AF85" s="19"/>
      <c r="AG85" s="19"/>
    </row>
    <row r="86" spans="1:33" outlineLevel="2" x14ac:dyDescent="0.2">
      <c r="A86" s="19"/>
      <c r="B86" s="19"/>
      <c r="C86" s="506" t="str">
        <f t="shared" ref="C86:G95" si="0">C8</f>
        <v>Residential time of use consumption</v>
      </c>
      <c r="D86" s="505" t="str">
        <f t="shared" si="0"/>
        <v>Residential</v>
      </c>
      <c r="E86" s="505" t="str">
        <f t="shared" si="0"/>
        <v>TAS93</v>
      </c>
      <c r="F86" s="505">
        <f t="shared" si="0"/>
        <v>0</v>
      </c>
      <c r="G86" s="505">
        <f t="shared" si="0"/>
        <v>0</v>
      </c>
      <c r="H86" s="22"/>
      <c r="I86" s="191"/>
      <c r="J86" s="191">
        <v>0</v>
      </c>
      <c r="K86" s="191">
        <v>3.5169999999999999</v>
      </c>
      <c r="L86" s="191">
        <v>0</v>
      </c>
      <c r="M86" s="191">
        <v>0.68500000000000005</v>
      </c>
      <c r="N86" s="191">
        <v>0</v>
      </c>
      <c r="O86" s="191">
        <v>0</v>
      </c>
      <c r="P86" s="191">
        <v>0</v>
      </c>
      <c r="Q86" s="191">
        <v>0</v>
      </c>
      <c r="R86" s="191">
        <v>0</v>
      </c>
      <c r="S86" s="191">
        <v>0</v>
      </c>
      <c r="T86" s="191">
        <v>0</v>
      </c>
      <c r="U86" s="191">
        <v>0</v>
      </c>
      <c r="V86" s="191"/>
      <c r="W86" s="191"/>
      <c r="X86" s="191"/>
      <c r="Y86" s="191"/>
      <c r="Z86" s="191"/>
      <c r="AA86" s="191"/>
      <c r="AB86" s="191"/>
      <c r="AC86" s="187"/>
      <c r="AD86" s="19"/>
      <c r="AE86" s="19"/>
      <c r="AF86" s="19"/>
      <c r="AG86" s="19"/>
    </row>
    <row r="87" spans="1:33" s="59" customFormat="1" outlineLevel="2" x14ac:dyDescent="0.2">
      <c r="A87" s="57"/>
      <c r="B87" s="57"/>
      <c r="C87" s="506" t="str">
        <f t="shared" si="0"/>
        <v>Residential general light and power</v>
      </c>
      <c r="D87" s="505" t="str">
        <f t="shared" si="0"/>
        <v>Residential</v>
      </c>
      <c r="E87" s="505" t="str">
        <f t="shared" si="0"/>
        <v>TAS31</v>
      </c>
      <c r="F87" s="505">
        <f t="shared" si="0"/>
        <v>0</v>
      </c>
      <c r="G87" s="505">
        <f t="shared" si="0"/>
        <v>0</v>
      </c>
      <c r="H87" s="58"/>
      <c r="I87" s="191"/>
      <c r="J87" s="191">
        <v>1.86</v>
      </c>
      <c r="K87" s="191">
        <v>0</v>
      </c>
      <c r="L87" s="191">
        <v>0</v>
      </c>
      <c r="M87" s="191">
        <v>0</v>
      </c>
      <c r="N87" s="191">
        <v>0</v>
      </c>
      <c r="O87" s="191">
        <v>0</v>
      </c>
      <c r="P87" s="191">
        <v>0</v>
      </c>
      <c r="Q87" s="191">
        <v>0</v>
      </c>
      <c r="R87" s="191">
        <v>0</v>
      </c>
      <c r="S87" s="191">
        <v>0</v>
      </c>
      <c r="T87" s="191">
        <v>0</v>
      </c>
      <c r="U87" s="191">
        <v>0</v>
      </c>
      <c r="V87" s="191"/>
      <c r="W87" s="191"/>
      <c r="X87" s="191"/>
      <c r="Y87" s="191"/>
      <c r="Z87" s="191"/>
      <c r="AA87" s="191"/>
      <c r="AB87" s="191"/>
      <c r="AC87" s="187"/>
      <c r="AD87" s="57"/>
      <c r="AE87" s="57"/>
      <c r="AF87" s="57"/>
      <c r="AG87" s="57"/>
    </row>
    <row r="88" spans="1:33" outlineLevel="2" x14ac:dyDescent="0.2">
      <c r="A88" s="19"/>
      <c r="B88" s="19"/>
      <c r="C88" s="506" t="str">
        <f t="shared" si="0"/>
        <v>Residential time of use demand</v>
      </c>
      <c r="D88" s="505" t="str">
        <f t="shared" si="0"/>
        <v>Residential</v>
      </c>
      <c r="E88" s="505" t="str">
        <f t="shared" si="0"/>
        <v>TAS87</v>
      </c>
      <c r="F88" s="505">
        <f t="shared" si="0"/>
        <v>0</v>
      </c>
      <c r="G88" s="505">
        <f t="shared" si="0"/>
        <v>0</v>
      </c>
      <c r="H88" s="58"/>
      <c r="I88" s="191"/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4.8789999999999996</v>
      </c>
      <c r="P88" s="191">
        <v>1.137</v>
      </c>
      <c r="Q88" s="191">
        <v>0</v>
      </c>
      <c r="R88" s="191">
        <v>0</v>
      </c>
      <c r="S88" s="191">
        <v>0</v>
      </c>
      <c r="T88" s="191">
        <v>0</v>
      </c>
      <c r="U88" s="191">
        <v>0</v>
      </c>
      <c r="V88" s="191"/>
      <c r="W88" s="191"/>
      <c r="X88" s="191"/>
      <c r="Y88" s="191"/>
      <c r="Z88" s="191"/>
      <c r="AA88" s="191"/>
      <c r="AB88" s="191"/>
      <c r="AC88" s="187"/>
      <c r="AD88" s="19"/>
      <c r="AE88" s="19"/>
      <c r="AF88" s="19"/>
      <c r="AG88" s="19"/>
    </row>
    <row r="89" spans="1:33" outlineLevel="2" x14ac:dyDescent="0.2">
      <c r="A89" s="19"/>
      <c r="B89" s="19"/>
      <c r="C89" s="506" t="str">
        <f t="shared" si="0"/>
        <v>Residential time of use demand DER</v>
      </c>
      <c r="D89" s="505" t="str">
        <f t="shared" si="0"/>
        <v>Residential</v>
      </c>
      <c r="E89" s="505" t="str">
        <f t="shared" si="0"/>
        <v>TAS97</v>
      </c>
      <c r="F89" s="505">
        <f t="shared" si="0"/>
        <v>0</v>
      </c>
      <c r="G89" s="505">
        <f t="shared" si="0"/>
        <v>0</v>
      </c>
      <c r="H89" s="58"/>
      <c r="I89" s="191"/>
      <c r="J89" s="191">
        <v>0</v>
      </c>
      <c r="K89" s="191">
        <v>0</v>
      </c>
      <c r="L89" s="191">
        <v>0</v>
      </c>
      <c r="M89" s="191">
        <v>0</v>
      </c>
      <c r="N89" s="191">
        <v>0</v>
      </c>
      <c r="O89" s="191">
        <v>4.8789999999999996</v>
      </c>
      <c r="P89" s="191">
        <v>1.137</v>
      </c>
      <c r="Q89" s="191">
        <v>0</v>
      </c>
      <c r="R89" s="191">
        <v>0</v>
      </c>
      <c r="S89" s="191">
        <v>0</v>
      </c>
      <c r="T89" s="191">
        <v>0</v>
      </c>
      <c r="U89" s="191">
        <v>0</v>
      </c>
      <c r="V89" s="191"/>
      <c r="W89" s="191"/>
      <c r="X89" s="191"/>
      <c r="Y89" s="191"/>
      <c r="Z89" s="191"/>
      <c r="AA89" s="191"/>
      <c r="AB89" s="191"/>
      <c r="AC89" s="187"/>
      <c r="AD89" s="19"/>
      <c r="AE89" s="19"/>
      <c r="AF89" s="19"/>
      <c r="AG89" s="19"/>
    </row>
    <row r="90" spans="1:33" outlineLevel="2" x14ac:dyDescent="0.2">
      <c r="A90" s="19"/>
      <c r="B90" s="19"/>
      <c r="C90" s="506" t="str">
        <f t="shared" si="0"/>
        <v>Residential pay as you go</v>
      </c>
      <c r="D90" s="505" t="str">
        <f t="shared" si="0"/>
        <v>Residential</v>
      </c>
      <c r="E90" s="505" t="str">
        <f t="shared" si="0"/>
        <v>TAS101</v>
      </c>
      <c r="F90" s="505">
        <f t="shared" si="0"/>
        <v>0</v>
      </c>
      <c r="G90" s="505">
        <f t="shared" si="0"/>
        <v>0</v>
      </c>
      <c r="H90" s="58"/>
      <c r="I90" s="191"/>
      <c r="J90" s="191">
        <v>1.3260000000000001</v>
      </c>
      <c r="K90" s="191">
        <v>0</v>
      </c>
      <c r="L90" s="191">
        <v>0</v>
      </c>
      <c r="M90" s="191">
        <v>0</v>
      </c>
      <c r="N90" s="191">
        <v>0</v>
      </c>
      <c r="O90" s="191">
        <v>0</v>
      </c>
      <c r="P90" s="191">
        <v>0</v>
      </c>
      <c r="Q90" s="191">
        <v>0</v>
      </c>
      <c r="R90" s="191">
        <v>0</v>
      </c>
      <c r="S90" s="191">
        <v>0</v>
      </c>
      <c r="T90" s="191">
        <v>0</v>
      </c>
      <c r="U90" s="191">
        <v>0</v>
      </c>
      <c r="V90" s="191"/>
      <c r="W90" s="191"/>
      <c r="X90" s="191"/>
      <c r="Y90" s="191"/>
      <c r="Z90" s="191"/>
      <c r="AA90" s="191"/>
      <c r="AB90" s="191"/>
      <c r="AC90" s="187"/>
      <c r="AD90" s="19"/>
      <c r="AE90" s="19"/>
      <c r="AF90" s="19"/>
      <c r="AG90" s="19"/>
    </row>
    <row r="91" spans="1:33" outlineLevel="2" x14ac:dyDescent="0.2">
      <c r="A91" s="19"/>
      <c r="B91" s="19"/>
      <c r="C91" s="506" t="str">
        <f t="shared" si="0"/>
        <v>Residential pay as you go time of use</v>
      </c>
      <c r="D91" s="505" t="str">
        <f t="shared" si="0"/>
        <v>Residential</v>
      </c>
      <c r="E91" s="505" t="str">
        <f t="shared" si="0"/>
        <v>TAS92</v>
      </c>
      <c r="F91" s="505">
        <f t="shared" si="0"/>
        <v>0</v>
      </c>
      <c r="G91" s="505">
        <f t="shared" si="0"/>
        <v>0</v>
      </c>
      <c r="H91" s="58"/>
      <c r="I91" s="191"/>
      <c r="J91" s="191"/>
      <c r="K91" s="191">
        <v>3.5169999999999999</v>
      </c>
      <c r="L91" s="191">
        <v>0</v>
      </c>
      <c r="M91" s="191">
        <v>0.68500000000000005</v>
      </c>
      <c r="N91" s="191">
        <v>0</v>
      </c>
      <c r="O91" s="191">
        <v>0</v>
      </c>
      <c r="P91" s="191">
        <v>0</v>
      </c>
      <c r="Q91" s="191">
        <v>0</v>
      </c>
      <c r="R91" s="191">
        <v>0</v>
      </c>
      <c r="S91" s="191">
        <v>0</v>
      </c>
      <c r="T91" s="191">
        <v>0</v>
      </c>
      <c r="U91" s="191">
        <v>0</v>
      </c>
      <c r="V91" s="191"/>
      <c r="W91" s="191"/>
      <c r="X91" s="191"/>
      <c r="Y91" s="191"/>
      <c r="Z91" s="191"/>
      <c r="AA91" s="191"/>
      <c r="AB91" s="191"/>
      <c r="AC91" s="187"/>
      <c r="AD91" s="19"/>
      <c r="AE91" s="19"/>
      <c r="AF91" s="19"/>
      <c r="AG91" s="19"/>
    </row>
    <row r="92" spans="1:33" outlineLevel="2" x14ac:dyDescent="0.2">
      <c r="A92" s="19"/>
      <c r="B92" s="19"/>
      <c r="C92" s="506" t="str">
        <f t="shared" si="0"/>
        <v>Small business time of use consumption</v>
      </c>
      <c r="D92" s="505" t="str">
        <f t="shared" si="0"/>
        <v>Small Business LV</v>
      </c>
      <c r="E92" s="505" t="str">
        <f t="shared" si="0"/>
        <v>TAS94</v>
      </c>
      <c r="F92" s="505">
        <f t="shared" si="0"/>
        <v>0</v>
      </c>
      <c r="G92" s="505">
        <f t="shared" si="0"/>
        <v>0</v>
      </c>
      <c r="H92" s="58"/>
      <c r="I92" s="191"/>
      <c r="J92" s="191">
        <v>0</v>
      </c>
      <c r="K92" s="191">
        <v>2.2109999999999999</v>
      </c>
      <c r="L92" s="191">
        <v>1.327</v>
      </c>
      <c r="M92" s="191">
        <v>0.33200000000000002</v>
      </c>
      <c r="N92" s="191">
        <v>0</v>
      </c>
      <c r="O92" s="191">
        <v>0</v>
      </c>
      <c r="P92" s="191">
        <v>0</v>
      </c>
      <c r="Q92" s="191">
        <v>0</v>
      </c>
      <c r="R92" s="191">
        <v>0</v>
      </c>
      <c r="S92" s="191">
        <v>0</v>
      </c>
      <c r="T92" s="191">
        <v>0</v>
      </c>
      <c r="U92" s="191">
        <v>0</v>
      </c>
      <c r="V92" s="191"/>
      <c r="W92" s="191"/>
      <c r="X92" s="191"/>
      <c r="Y92" s="191"/>
      <c r="Z92" s="191"/>
      <c r="AA92" s="191"/>
      <c r="AB92" s="191"/>
      <c r="AC92" s="187"/>
      <c r="AD92" s="19"/>
      <c r="AE92" s="19"/>
      <c r="AF92" s="19"/>
      <c r="AG92" s="19"/>
    </row>
    <row r="93" spans="1:33" outlineLevel="2" x14ac:dyDescent="0.2">
      <c r="A93" s="19"/>
      <c r="B93" s="19"/>
      <c r="C93" s="506" t="str">
        <f t="shared" si="0"/>
        <v>Small business general light and power</v>
      </c>
      <c r="D93" s="505" t="str">
        <f t="shared" si="0"/>
        <v>Small Business LV</v>
      </c>
      <c r="E93" s="505" t="str">
        <f t="shared" si="0"/>
        <v>TAS22</v>
      </c>
      <c r="F93" s="505">
        <f t="shared" si="0"/>
        <v>0</v>
      </c>
      <c r="G93" s="505">
        <f t="shared" si="0"/>
        <v>0</v>
      </c>
      <c r="H93" s="58"/>
      <c r="I93" s="191"/>
      <c r="J93" s="191">
        <v>1.86</v>
      </c>
      <c r="K93" s="191">
        <v>0</v>
      </c>
      <c r="L93" s="191">
        <v>0</v>
      </c>
      <c r="M93" s="191">
        <v>0</v>
      </c>
      <c r="N93" s="191">
        <v>0</v>
      </c>
      <c r="O93" s="191">
        <v>0</v>
      </c>
      <c r="P93" s="191">
        <v>0</v>
      </c>
      <c r="Q93" s="191">
        <v>0</v>
      </c>
      <c r="R93" s="191">
        <v>0</v>
      </c>
      <c r="S93" s="191">
        <v>0</v>
      </c>
      <c r="T93" s="191">
        <v>0</v>
      </c>
      <c r="U93" s="191">
        <v>0</v>
      </c>
      <c r="V93" s="191"/>
      <c r="W93" s="191"/>
      <c r="X93" s="191"/>
      <c r="Y93" s="191"/>
      <c r="Z93" s="191"/>
      <c r="AA93" s="191"/>
      <c r="AB93" s="191"/>
      <c r="AC93" s="187"/>
      <c r="AD93" s="19"/>
      <c r="AE93" s="19"/>
      <c r="AF93" s="19"/>
      <c r="AG93" s="19"/>
    </row>
    <row r="94" spans="1:33" outlineLevel="2" x14ac:dyDescent="0.2">
      <c r="A94" s="19"/>
      <c r="B94" s="19"/>
      <c r="C94" s="506" t="str">
        <f t="shared" si="0"/>
        <v>Small business time of use demand</v>
      </c>
      <c r="D94" s="505" t="str">
        <f t="shared" si="0"/>
        <v>Small Business LV</v>
      </c>
      <c r="E94" s="505" t="str">
        <f t="shared" si="0"/>
        <v>TAS88</v>
      </c>
      <c r="F94" s="505">
        <f t="shared" si="0"/>
        <v>0</v>
      </c>
      <c r="G94" s="505">
        <f t="shared" si="0"/>
        <v>0</v>
      </c>
      <c r="H94" s="58"/>
      <c r="I94" s="191"/>
      <c r="J94" s="191">
        <v>0</v>
      </c>
      <c r="K94" s="191">
        <v>0</v>
      </c>
      <c r="L94" s="191">
        <v>0</v>
      </c>
      <c r="M94" s="191">
        <v>0</v>
      </c>
      <c r="N94" s="191">
        <v>0</v>
      </c>
      <c r="O94" s="191">
        <v>10.957000000000001</v>
      </c>
      <c r="P94" s="191">
        <v>2.5539999999999998</v>
      </c>
      <c r="Q94" s="191">
        <v>0</v>
      </c>
      <c r="R94" s="191">
        <v>0</v>
      </c>
      <c r="S94" s="191">
        <v>0</v>
      </c>
      <c r="T94" s="191">
        <v>0</v>
      </c>
      <c r="U94" s="191">
        <v>0</v>
      </c>
      <c r="V94" s="191"/>
      <c r="W94" s="191"/>
      <c r="X94" s="191"/>
      <c r="Y94" s="191"/>
      <c r="Z94" s="191"/>
      <c r="AA94" s="191"/>
      <c r="AB94" s="191"/>
      <c r="AC94" s="187"/>
      <c r="AD94" s="19"/>
      <c r="AE94" s="19"/>
      <c r="AF94" s="19"/>
      <c r="AG94" s="19"/>
    </row>
    <row r="95" spans="1:33" outlineLevel="2" x14ac:dyDescent="0.2">
      <c r="A95" s="19"/>
      <c r="B95" s="19"/>
      <c r="C95" s="506" t="str">
        <f t="shared" si="0"/>
        <v>Small business time of use demand DER</v>
      </c>
      <c r="D95" s="505" t="str">
        <f t="shared" si="0"/>
        <v>Small Business LV</v>
      </c>
      <c r="E95" s="505" t="str">
        <f t="shared" si="0"/>
        <v>TAS98</v>
      </c>
      <c r="F95" s="505">
        <f t="shared" si="0"/>
        <v>0</v>
      </c>
      <c r="G95" s="505">
        <f t="shared" si="0"/>
        <v>0</v>
      </c>
      <c r="H95" s="58"/>
      <c r="I95" s="191"/>
      <c r="J95" s="191">
        <v>0</v>
      </c>
      <c r="K95" s="191">
        <v>0</v>
      </c>
      <c r="L95" s="191">
        <v>0</v>
      </c>
      <c r="M95" s="191">
        <v>0</v>
      </c>
      <c r="N95" s="191">
        <v>0</v>
      </c>
      <c r="O95" s="191">
        <v>10.957000000000001</v>
      </c>
      <c r="P95" s="191">
        <v>2.5539999999999998</v>
      </c>
      <c r="Q95" s="191">
        <v>0</v>
      </c>
      <c r="R95" s="191">
        <v>0</v>
      </c>
      <c r="S95" s="191">
        <v>0</v>
      </c>
      <c r="T95" s="191">
        <v>0</v>
      </c>
      <c r="U95" s="191">
        <v>0</v>
      </c>
      <c r="V95" s="191"/>
      <c r="W95" s="191"/>
      <c r="X95" s="191"/>
      <c r="Y95" s="191"/>
      <c r="Z95" s="191"/>
      <c r="AA95" s="191"/>
      <c r="AB95" s="191"/>
      <c r="AC95" s="187"/>
      <c r="AD95" s="19"/>
      <c r="AE95" s="19"/>
      <c r="AF95" s="19"/>
      <c r="AG95" s="19"/>
    </row>
    <row r="96" spans="1:33" outlineLevel="2" x14ac:dyDescent="0.2">
      <c r="A96" s="19"/>
      <c r="B96" s="19"/>
      <c r="C96" s="506" t="str">
        <f t="shared" ref="C96:G105" si="1">C18</f>
        <v>Large business kVA demand</v>
      </c>
      <c r="D96" s="505" t="str">
        <f t="shared" si="1"/>
        <v>Large Business LV</v>
      </c>
      <c r="E96" s="505" t="str">
        <f t="shared" si="1"/>
        <v>TAS82</v>
      </c>
      <c r="F96" s="505">
        <f t="shared" si="1"/>
        <v>0</v>
      </c>
      <c r="G96" s="505">
        <f t="shared" si="1"/>
        <v>0</v>
      </c>
      <c r="H96" s="58"/>
      <c r="I96" s="191"/>
      <c r="J96" s="191">
        <v>0.54300000000000004</v>
      </c>
      <c r="K96" s="191">
        <v>0</v>
      </c>
      <c r="L96" s="191">
        <v>0</v>
      </c>
      <c r="M96" s="191">
        <v>0</v>
      </c>
      <c r="N96" s="191">
        <v>11.558999999999999</v>
      </c>
      <c r="O96" s="191">
        <v>0</v>
      </c>
      <c r="P96" s="191">
        <v>0</v>
      </c>
      <c r="Q96" s="191">
        <v>0</v>
      </c>
      <c r="R96" s="191">
        <v>0</v>
      </c>
      <c r="S96" s="191">
        <v>0</v>
      </c>
      <c r="T96" s="191">
        <v>0</v>
      </c>
      <c r="U96" s="191">
        <v>0</v>
      </c>
      <c r="V96" s="191"/>
      <c r="W96" s="191"/>
      <c r="X96" s="191"/>
      <c r="Y96" s="191"/>
      <c r="Z96" s="191"/>
      <c r="AA96" s="191"/>
      <c r="AB96" s="191"/>
      <c r="AC96" s="187"/>
      <c r="AD96" s="19"/>
      <c r="AE96" s="19"/>
      <c r="AF96" s="19"/>
      <c r="AG96" s="19"/>
    </row>
    <row r="97" spans="1:33" outlineLevel="2" x14ac:dyDescent="0.2">
      <c r="A97" s="19"/>
      <c r="B97" s="19"/>
      <c r="C97" s="506" t="str">
        <f t="shared" si="1"/>
        <v>Large business time of use demand</v>
      </c>
      <c r="D97" s="505" t="str">
        <f t="shared" si="1"/>
        <v>Large Business LV</v>
      </c>
      <c r="E97" s="505" t="str">
        <f t="shared" si="1"/>
        <v>TAS89</v>
      </c>
      <c r="F97" s="505">
        <f t="shared" si="1"/>
        <v>0</v>
      </c>
      <c r="G97" s="505">
        <f t="shared" si="1"/>
        <v>0</v>
      </c>
      <c r="H97" s="58"/>
      <c r="I97" s="191"/>
      <c r="J97" s="191">
        <v>0</v>
      </c>
      <c r="K97" s="191">
        <v>0</v>
      </c>
      <c r="L97" s="191">
        <v>0</v>
      </c>
      <c r="M97" s="191">
        <v>0</v>
      </c>
      <c r="N97" s="191">
        <v>0</v>
      </c>
      <c r="O97" s="191">
        <v>16.574999999999999</v>
      </c>
      <c r="P97" s="191">
        <v>5.5190000000000001</v>
      </c>
      <c r="Q97" s="191">
        <v>0</v>
      </c>
      <c r="R97" s="191">
        <v>0</v>
      </c>
      <c r="S97" s="191">
        <v>0</v>
      </c>
      <c r="T97" s="191">
        <v>0</v>
      </c>
      <c r="U97" s="191">
        <v>0</v>
      </c>
      <c r="V97" s="191"/>
      <c r="W97" s="191"/>
      <c r="X97" s="191"/>
      <c r="Y97" s="191"/>
      <c r="Z97" s="191"/>
      <c r="AA97" s="191"/>
      <c r="AB97" s="191"/>
      <c r="AC97" s="187"/>
      <c r="AD97" s="19"/>
      <c r="AE97" s="19"/>
      <c r="AF97" s="19"/>
      <c r="AG97" s="19"/>
    </row>
    <row r="98" spans="1:33" outlineLevel="2" x14ac:dyDescent="0.2">
      <c r="A98" s="19"/>
      <c r="B98" s="19"/>
      <c r="C98" s="506" t="str">
        <f t="shared" si="1"/>
        <v>Irrigation time of use consumption</v>
      </c>
      <c r="D98" s="505" t="str">
        <f t="shared" si="1"/>
        <v>Irrigation</v>
      </c>
      <c r="E98" s="505" t="str">
        <f t="shared" si="1"/>
        <v>TAS75</v>
      </c>
      <c r="F98" s="505">
        <f t="shared" si="1"/>
        <v>0</v>
      </c>
      <c r="G98" s="505">
        <f t="shared" si="1"/>
        <v>0</v>
      </c>
      <c r="H98" s="58"/>
      <c r="I98" s="191"/>
      <c r="J98" s="191">
        <v>0</v>
      </c>
      <c r="K98" s="191">
        <v>2.6040000000000001</v>
      </c>
      <c r="L98" s="191">
        <v>1.5640000000000001</v>
      </c>
      <c r="M98" s="191">
        <v>0.39</v>
      </c>
      <c r="N98" s="191">
        <v>0</v>
      </c>
      <c r="O98" s="191">
        <v>0</v>
      </c>
      <c r="P98" s="191">
        <v>0</v>
      </c>
      <c r="Q98" s="191">
        <v>0</v>
      </c>
      <c r="R98" s="191">
        <v>0</v>
      </c>
      <c r="S98" s="191">
        <v>0</v>
      </c>
      <c r="T98" s="191">
        <v>0</v>
      </c>
      <c r="U98" s="191">
        <v>0</v>
      </c>
      <c r="V98" s="191"/>
      <c r="W98" s="191"/>
      <c r="X98" s="191"/>
      <c r="Y98" s="191"/>
      <c r="Z98" s="191"/>
      <c r="AA98" s="191"/>
      <c r="AB98" s="191"/>
      <c r="AC98" s="187"/>
      <c r="AD98" s="19"/>
      <c r="AE98" s="19"/>
      <c r="AF98" s="19"/>
      <c r="AG98" s="19"/>
    </row>
    <row r="99" spans="1:33" outlineLevel="2" x14ac:dyDescent="0.2">
      <c r="A99" s="19"/>
      <c r="B99" s="19"/>
      <c r="C99" s="506" t="str">
        <f t="shared" si="1"/>
        <v>Business HV kVA specified demand &lt;2MVA</v>
      </c>
      <c r="D99" s="505" t="str">
        <f t="shared" si="1"/>
        <v>Large Business HV</v>
      </c>
      <c r="E99" s="505" t="str">
        <f t="shared" si="1"/>
        <v>TASSDM</v>
      </c>
      <c r="F99" s="505">
        <f t="shared" si="1"/>
        <v>0</v>
      </c>
      <c r="G99" s="505">
        <f t="shared" si="1"/>
        <v>0</v>
      </c>
      <c r="H99" s="58"/>
      <c r="I99" s="191"/>
      <c r="J99" s="191">
        <v>0</v>
      </c>
      <c r="K99" s="191">
        <v>0.82899999999999996</v>
      </c>
      <c r="L99" s="191">
        <v>0.498</v>
      </c>
      <c r="M99" s="191">
        <v>0.124</v>
      </c>
      <c r="N99" s="191">
        <v>0</v>
      </c>
      <c r="O99" s="191">
        <v>0</v>
      </c>
      <c r="P99" s="191">
        <v>0</v>
      </c>
      <c r="Q99" s="191">
        <v>3.0670000000000002</v>
      </c>
      <c r="R99" s="191">
        <v>30.67</v>
      </c>
      <c r="S99" s="191">
        <v>0</v>
      </c>
      <c r="T99" s="191">
        <v>0</v>
      </c>
      <c r="U99" s="191">
        <v>0</v>
      </c>
      <c r="V99" s="191"/>
      <c r="W99" s="191"/>
      <c r="X99" s="191"/>
      <c r="Y99" s="191"/>
      <c r="Z99" s="191"/>
      <c r="AA99" s="191"/>
      <c r="AB99" s="191"/>
      <c r="AC99" s="187"/>
      <c r="AD99" s="19"/>
      <c r="AE99" s="19"/>
      <c r="AF99" s="19"/>
      <c r="AG99" s="19"/>
    </row>
    <row r="100" spans="1:33" outlineLevel="2" x14ac:dyDescent="0.2">
      <c r="A100" s="19"/>
      <c r="B100" s="19"/>
      <c r="C100" s="506" t="str">
        <f t="shared" si="1"/>
        <v>Business HV kVA specified demand &gt;2MVA</v>
      </c>
      <c r="D100" s="505" t="str">
        <f t="shared" si="1"/>
        <v>Large Business HV</v>
      </c>
      <c r="E100" s="505" t="str">
        <f t="shared" si="1"/>
        <v>TAS15*</v>
      </c>
      <c r="F100" s="505">
        <f t="shared" si="1"/>
        <v>0</v>
      </c>
      <c r="G100" s="505">
        <f t="shared" si="1"/>
        <v>0</v>
      </c>
      <c r="H100" s="58"/>
      <c r="I100" s="191"/>
      <c r="J100" s="191"/>
      <c r="K100" s="191">
        <v>0</v>
      </c>
      <c r="L100" s="191">
        <v>0</v>
      </c>
      <c r="M100" s="191">
        <v>0</v>
      </c>
      <c r="N100" s="191">
        <v>0</v>
      </c>
      <c r="O100" s="191">
        <v>0</v>
      </c>
      <c r="P100" s="191">
        <v>0</v>
      </c>
      <c r="Q100" s="191">
        <v>0</v>
      </c>
      <c r="R100" s="191">
        <v>0</v>
      </c>
      <c r="S100" s="191">
        <v>0</v>
      </c>
      <c r="T100" s="191">
        <v>0</v>
      </c>
      <c r="U100" s="191">
        <v>0</v>
      </c>
      <c r="V100" s="191"/>
      <c r="W100" s="191"/>
      <c r="X100" s="191"/>
      <c r="Y100" s="191"/>
      <c r="Z100" s="191"/>
      <c r="AA100" s="191"/>
      <c r="AB100" s="191"/>
      <c r="AC100" s="187"/>
      <c r="AD100" s="19"/>
      <c r="AE100" s="19"/>
      <c r="AF100" s="19"/>
      <c r="AG100" s="19"/>
    </row>
    <row r="101" spans="1:33" outlineLevel="2" x14ac:dyDescent="0.2">
      <c r="A101" s="19"/>
      <c r="B101" s="19"/>
      <c r="C101" s="506" t="str">
        <f t="shared" si="1"/>
        <v>Uncontrolled low voltage heating and hot water</v>
      </c>
      <c r="D101" s="505" t="str">
        <f t="shared" si="1"/>
        <v>Uncontrolled energy</v>
      </c>
      <c r="E101" s="505" t="str">
        <f t="shared" si="1"/>
        <v>TAS41</v>
      </c>
      <c r="F101" s="505">
        <f t="shared" si="1"/>
        <v>0</v>
      </c>
      <c r="G101" s="505">
        <f t="shared" si="1"/>
        <v>0</v>
      </c>
      <c r="H101" s="58"/>
      <c r="I101" s="191"/>
      <c r="J101" s="191">
        <v>1.86</v>
      </c>
      <c r="K101" s="191">
        <v>0</v>
      </c>
      <c r="L101" s="191">
        <v>0</v>
      </c>
      <c r="M101" s="191">
        <v>0</v>
      </c>
      <c r="N101" s="191">
        <v>0</v>
      </c>
      <c r="O101" s="191">
        <v>0</v>
      </c>
      <c r="P101" s="191">
        <v>0</v>
      </c>
      <c r="Q101" s="191">
        <v>0</v>
      </c>
      <c r="R101" s="191">
        <v>0</v>
      </c>
      <c r="S101" s="191">
        <v>0</v>
      </c>
      <c r="T101" s="191">
        <v>0</v>
      </c>
      <c r="U101" s="191">
        <v>0</v>
      </c>
      <c r="V101" s="191"/>
      <c r="W101" s="191"/>
      <c r="X101" s="191"/>
      <c r="Y101" s="191"/>
      <c r="Z101" s="191"/>
      <c r="AA101" s="191"/>
      <c r="AB101" s="191"/>
      <c r="AC101" s="187"/>
      <c r="AD101" s="19"/>
      <c r="AE101" s="19"/>
      <c r="AF101" s="19"/>
      <c r="AG101" s="19"/>
    </row>
    <row r="102" spans="1:33" outlineLevel="2" x14ac:dyDescent="0.2">
      <c r="A102" s="19"/>
      <c r="B102" s="19"/>
      <c r="C102" s="506" t="str">
        <f t="shared" si="1"/>
        <v>Controlled low voltage night period only</v>
      </c>
      <c r="D102" s="505" t="str">
        <f t="shared" si="1"/>
        <v>Controlled energy</v>
      </c>
      <c r="E102" s="505" t="str">
        <f t="shared" si="1"/>
        <v>TAS63</v>
      </c>
      <c r="F102" s="505">
        <f t="shared" si="1"/>
        <v>0</v>
      </c>
      <c r="G102" s="505">
        <f t="shared" si="1"/>
        <v>0</v>
      </c>
      <c r="H102" s="58"/>
      <c r="I102" s="191"/>
      <c r="J102" s="191">
        <v>0.41499999999999998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191">
        <v>0</v>
      </c>
      <c r="Q102" s="191">
        <v>0</v>
      </c>
      <c r="R102" s="191">
        <v>0</v>
      </c>
      <c r="S102" s="191">
        <v>0</v>
      </c>
      <c r="T102" s="191">
        <v>0</v>
      </c>
      <c r="U102" s="191">
        <v>0</v>
      </c>
      <c r="V102" s="191"/>
      <c r="W102" s="191"/>
      <c r="X102" s="191"/>
      <c r="Y102" s="191"/>
      <c r="Z102" s="191"/>
      <c r="AA102" s="191"/>
      <c r="AB102" s="191"/>
      <c r="AC102" s="187"/>
      <c r="AD102" s="19"/>
      <c r="AE102" s="19"/>
      <c r="AF102" s="19"/>
      <c r="AG102" s="19"/>
    </row>
    <row r="103" spans="1:33" outlineLevel="2" x14ac:dyDescent="0.2">
      <c r="A103" s="19"/>
      <c r="B103" s="19"/>
      <c r="C103" s="506" t="str">
        <f t="shared" si="1"/>
        <v>Controlled low voltage off peak with afternoon boost</v>
      </c>
      <c r="D103" s="505" t="str">
        <f t="shared" si="1"/>
        <v>Controlled energy</v>
      </c>
      <c r="E103" s="505" t="str">
        <f t="shared" si="1"/>
        <v>TAS61</v>
      </c>
      <c r="F103" s="505">
        <f t="shared" si="1"/>
        <v>0</v>
      </c>
      <c r="G103" s="505">
        <f t="shared" si="1"/>
        <v>0</v>
      </c>
      <c r="H103" s="58"/>
      <c r="I103" s="191"/>
      <c r="J103" s="191">
        <v>0.52</v>
      </c>
      <c r="K103" s="191">
        <v>0</v>
      </c>
      <c r="L103" s="191">
        <v>0</v>
      </c>
      <c r="M103" s="191">
        <v>0</v>
      </c>
      <c r="N103" s="191">
        <v>0</v>
      </c>
      <c r="O103" s="191">
        <v>0</v>
      </c>
      <c r="P103" s="191">
        <v>0</v>
      </c>
      <c r="Q103" s="191">
        <v>0</v>
      </c>
      <c r="R103" s="191">
        <v>0</v>
      </c>
      <c r="S103" s="191">
        <v>0</v>
      </c>
      <c r="T103" s="191">
        <v>0</v>
      </c>
      <c r="U103" s="191">
        <v>0</v>
      </c>
      <c r="V103" s="191"/>
      <c r="W103" s="191"/>
      <c r="X103" s="191"/>
      <c r="Y103" s="191"/>
      <c r="Z103" s="191"/>
      <c r="AA103" s="191"/>
      <c r="AB103" s="191"/>
      <c r="AC103" s="187"/>
      <c r="AD103" s="19"/>
      <c r="AE103" s="19"/>
      <c r="AF103" s="19"/>
      <c r="AG103" s="19"/>
    </row>
    <row r="104" spans="1:33" outlineLevel="2" x14ac:dyDescent="0.2">
      <c r="A104" s="19"/>
      <c r="B104" s="19"/>
      <c r="C104" s="506" t="str">
        <f t="shared" si="1"/>
        <v>Unmetered supply general</v>
      </c>
      <c r="D104" s="505" t="str">
        <f t="shared" si="1"/>
        <v>Unmetered supplies</v>
      </c>
      <c r="E104" s="505" t="str">
        <f t="shared" si="1"/>
        <v>TASUMS</v>
      </c>
      <c r="F104" s="505">
        <f t="shared" si="1"/>
        <v>0</v>
      </c>
      <c r="G104" s="505">
        <f t="shared" si="1"/>
        <v>0</v>
      </c>
      <c r="H104" s="58"/>
      <c r="I104" s="191"/>
      <c r="J104" s="191">
        <v>2.609</v>
      </c>
      <c r="K104" s="191">
        <v>0</v>
      </c>
      <c r="L104" s="191">
        <v>0</v>
      </c>
      <c r="M104" s="191">
        <v>0</v>
      </c>
      <c r="N104" s="191">
        <v>0</v>
      </c>
      <c r="O104" s="191">
        <v>0</v>
      </c>
      <c r="P104" s="191">
        <v>0</v>
      </c>
      <c r="Q104" s="191">
        <v>0</v>
      </c>
      <c r="R104" s="191">
        <v>0</v>
      </c>
      <c r="S104" s="191">
        <v>0</v>
      </c>
      <c r="T104" s="191">
        <v>0</v>
      </c>
      <c r="U104" s="191">
        <v>0</v>
      </c>
      <c r="V104" s="191"/>
      <c r="W104" s="191"/>
      <c r="X104" s="191"/>
      <c r="Y104" s="191"/>
      <c r="Z104" s="191"/>
      <c r="AA104" s="191"/>
      <c r="AB104" s="191"/>
      <c r="AC104" s="187"/>
      <c r="AD104" s="19"/>
      <c r="AE104" s="19"/>
      <c r="AF104" s="19"/>
      <c r="AG104" s="19"/>
    </row>
    <row r="105" spans="1:33" outlineLevel="2" x14ac:dyDescent="0.2">
      <c r="A105" s="19"/>
      <c r="B105" s="19"/>
      <c r="C105" s="506" t="str">
        <f t="shared" si="1"/>
        <v>Street lighting</v>
      </c>
      <c r="D105" s="505" t="str">
        <f t="shared" si="1"/>
        <v>Street lighting</v>
      </c>
      <c r="E105" s="505" t="str">
        <f t="shared" si="1"/>
        <v>TASUMSSL</v>
      </c>
      <c r="F105" s="505">
        <f t="shared" si="1"/>
        <v>0</v>
      </c>
      <c r="G105" s="505">
        <f t="shared" si="1"/>
        <v>0</v>
      </c>
      <c r="H105" s="58"/>
      <c r="I105" s="191"/>
      <c r="J105" s="191">
        <v>0</v>
      </c>
      <c r="K105" s="191">
        <v>0</v>
      </c>
      <c r="L105" s="191">
        <v>0</v>
      </c>
      <c r="M105" s="191">
        <v>0</v>
      </c>
      <c r="N105" s="191">
        <v>0</v>
      </c>
      <c r="O105" s="191">
        <v>0</v>
      </c>
      <c r="P105" s="191">
        <v>0</v>
      </c>
      <c r="Q105" s="191">
        <v>0</v>
      </c>
      <c r="R105" s="191">
        <v>0</v>
      </c>
      <c r="S105" s="191">
        <v>0</v>
      </c>
      <c r="T105" s="191">
        <v>0</v>
      </c>
      <c r="U105" s="191">
        <v>2.4E-2</v>
      </c>
      <c r="V105" s="191"/>
      <c r="W105" s="191"/>
      <c r="X105" s="191"/>
      <c r="Y105" s="191"/>
      <c r="Z105" s="191"/>
      <c r="AA105" s="191"/>
      <c r="AB105" s="191"/>
      <c r="AC105" s="187"/>
      <c r="AD105" s="19"/>
      <c r="AE105" s="19"/>
      <c r="AF105" s="19"/>
      <c r="AG105" s="19"/>
    </row>
    <row r="106" spans="1:33" hidden="1" outlineLevel="3" x14ac:dyDescent="0.2">
      <c r="A106" s="19"/>
      <c r="B106" s="19"/>
      <c r="C106" s="506">
        <f t="shared" ref="C106:G115" si="2">C28</f>
        <v>0</v>
      </c>
      <c r="D106" s="505">
        <f t="shared" si="2"/>
        <v>0</v>
      </c>
      <c r="E106" s="505">
        <f t="shared" si="2"/>
        <v>0</v>
      </c>
      <c r="F106" s="505">
        <f t="shared" si="2"/>
        <v>0</v>
      </c>
      <c r="G106" s="505">
        <f t="shared" si="2"/>
        <v>0</v>
      </c>
      <c r="H106" s="58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87"/>
      <c r="AD106" s="19"/>
      <c r="AE106" s="19"/>
      <c r="AF106" s="19"/>
      <c r="AG106" s="19"/>
    </row>
    <row r="107" spans="1:33" hidden="1" outlineLevel="3" x14ac:dyDescent="0.2">
      <c r="A107" s="19"/>
      <c r="B107" s="19"/>
      <c r="C107" s="506">
        <f t="shared" si="2"/>
        <v>0</v>
      </c>
      <c r="D107" s="505">
        <f t="shared" si="2"/>
        <v>0</v>
      </c>
      <c r="E107" s="505">
        <f t="shared" si="2"/>
        <v>0</v>
      </c>
      <c r="F107" s="505">
        <f t="shared" si="2"/>
        <v>0</v>
      </c>
      <c r="G107" s="505">
        <f t="shared" si="2"/>
        <v>0</v>
      </c>
      <c r="H107" s="58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87"/>
      <c r="AD107" s="19"/>
      <c r="AE107" s="19"/>
      <c r="AF107" s="19"/>
      <c r="AG107" s="19"/>
    </row>
    <row r="108" spans="1:33" hidden="1" outlineLevel="3" x14ac:dyDescent="0.2">
      <c r="A108" s="19"/>
      <c r="B108" s="19"/>
      <c r="C108" s="506">
        <f t="shared" si="2"/>
        <v>0</v>
      </c>
      <c r="D108" s="505">
        <f t="shared" si="2"/>
        <v>0</v>
      </c>
      <c r="E108" s="505">
        <f t="shared" si="2"/>
        <v>0</v>
      </c>
      <c r="F108" s="505">
        <f t="shared" si="2"/>
        <v>0</v>
      </c>
      <c r="G108" s="505">
        <f t="shared" si="2"/>
        <v>0</v>
      </c>
      <c r="H108" s="58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87"/>
      <c r="AD108" s="19"/>
      <c r="AE108" s="19"/>
      <c r="AF108" s="19"/>
      <c r="AG108" s="19"/>
    </row>
    <row r="109" spans="1:33" hidden="1" outlineLevel="3" x14ac:dyDescent="0.2">
      <c r="A109" s="19"/>
      <c r="B109" s="19"/>
      <c r="C109" s="506">
        <f t="shared" si="2"/>
        <v>0</v>
      </c>
      <c r="D109" s="505">
        <f t="shared" si="2"/>
        <v>0</v>
      </c>
      <c r="E109" s="505">
        <f t="shared" si="2"/>
        <v>0</v>
      </c>
      <c r="F109" s="505">
        <f t="shared" si="2"/>
        <v>0</v>
      </c>
      <c r="G109" s="505">
        <f t="shared" si="2"/>
        <v>0</v>
      </c>
      <c r="H109" s="58"/>
      <c r="I109" s="191"/>
      <c r="J109" s="191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87"/>
      <c r="AD109" s="19"/>
      <c r="AE109" s="19"/>
      <c r="AF109" s="19"/>
      <c r="AG109" s="19"/>
    </row>
    <row r="110" spans="1:33" hidden="1" outlineLevel="3" x14ac:dyDescent="0.2">
      <c r="A110" s="19"/>
      <c r="B110" s="19"/>
      <c r="C110" s="506">
        <f t="shared" si="2"/>
        <v>0</v>
      </c>
      <c r="D110" s="505">
        <f t="shared" si="2"/>
        <v>0</v>
      </c>
      <c r="E110" s="505">
        <f t="shared" si="2"/>
        <v>0</v>
      </c>
      <c r="F110" s="505">
        <f t="shared" si="2"/>
        <v>0</v>
      </c>
      <c r="G110" s="505">
        <f t="shared" si="2"/>
        <v>0</v>
      </c>
      <c r="H110" s="58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87"/>
      <c r="AD110" s="19"/>
      <c r="AE110" s="19"/>
      <c r="AF110" s="19"/>
      <c r="AG110" s="19"/>
    </row>
    <row r="111" spans="1:33" hidden="1" outlineLevel="3" x14ac:dyDescent="0.2">
      <c r="A111" s="19"/>
      <c r="B111" s="19"/>
      <c r="C111" s="506">
        <f t="shared" si="2"/>
        <v>0</v>
      </c>
      <c r="D111" s="505">
        <f t="shared" si="2"/>
        <v>0</v>
      </c>
      <c r="E111" s="505">
        <f t="shared" si="2"/>
        <v>0</v>
      </c>
      <c r="F111" s="505">
        <f t="shared" si="2"/>
        <v>0</v>
      </c>
      <c r="G111" s="505">
        <f t="shared" si="2"/>
        <v>0</v>
      </c>
      <c r="H111" s="58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87"/>
      <c r="AD111" s="19"/>
      <c r="AE111" s="19"/>
      <c r="AF111" s="19"/>
      <c r="AG111" s="19"/>
    </row>
    <row r="112" spans="1:33" hidden="1" outlineLevel="3" x14ac:dyDescent="0.2">
      <c r="A112" s="19"/>
      <c r="B112" s="19"/>
      <c r="C112" s="506">
        <f t="shared" si="2"/>
        <v>0</v>
      </c>
      <c r="D112" s="505">
        <f t="shared" si="2"/>
        <v>0</v>
      </c>
      <c r="E112" s="505">
        <f t="shared" si="2"/>
        <v>0</v>
      </c>
      <c r="F112" s="505">
        <f t="shared" si="2"/>
        <v>0</v>
      </c>
      <c r="G112" s="505">
        <f t="shared" si="2"/>
        <v>0</v>
      </c>
      <c r="H112" s="58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87"/>
      <c r="AD112" s="19"/>
      <c r="AE112" s="19"/>
      <c r="AF112" s="19"/>
      <c r="AG112" s="19"/>
    </row>
    <row r="113" spans="1:33" hidden="1" outlineLevel="3" x14ac:dyDescent="0.2">
      <c r="A113" s="19"/>
      <c r="B113" s="19"/>
      <c r="C113" s="506">
        <f t="shared" si="2"/>
        <v>0</v>
      </c>
      <c r="D113" s="505">
        <f t="shared" si="2"/>
        <v>0</v>
      </c>
      <c r="E113" s="505">
        <f t="shared" si="2"/>
        <v>0</v>
      </c>
      <c r="F113" s="505">
        <f t="shared" si="2"/>
        <v>0</v>
      </c>
      <c r="G113" s="505">
        <f t="shared" si="2"/>
        <v>0</v>
      </c>
      <c r="H113" s="58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87"/>
      <c r="AD113" s="19"/>
      <c r="AE113" s="19"/>
      <c r="AF113" s="19"/>
      <c r="AG113" s="19"/>
    </row>
    <row r="114" spans="1:33" hidden="1" outlineLevel="3" x14ac:dyDescent="0.2">
      <c r="A114" s="19"/>
      <c r="B114" s="19"/>
      <c r="C114" s="506">
        <f t="shared" si="2"/>
        <v>0</v>
      </c>
      <c r="D114" s="505">
        <f t="shared" si="2"/>
        <v>0</v>
      </c>
      <c r="E114" s="505">
        <f t="shared" si="2"/>
        <v>0</v>
      </c>
      <c r="F114" s="505">
        <f t="shared" si="2"/>
        <v>0</v>
      </c>
      <c r="G114" s="505">
        <f t="shared" si="2"/>
        <v>0</v>
      </c>
      <c r="H114" s="58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87"/>
      <c r="AD114" s="19"/>
      <c r="AE114" s="19"/>
      <c r="AF114" s="19"/>
      <c r="AG114" s="19"/>
    </row>
    <row r="115" spans="1:33" hidden="1" outlineLevel="3" x14ac:dyDescent="0.2">
      <c r="A115" s="19"/>
      <c r="B115" s="19"/>
      <c r="C115" s="506">
        <f t="shared" si="2"/>
        <v>0</v>
      </c>
      <c r="D115" s="505">
        <f t="shared" si="2"/>
        <v>0</v>
      </c>
      <c r="E115" s="505">
        <f t="shared" si="2"/>
        <v>0</v>
      </c>
      <c r="F115" s="505">
        <f t="shared" si="2"/>
        <v>0</v>
      </c>
      <c r="G115" s="505">
        <f t="shared" si="2"/>
        <v>0</v>
      </c>
      <c r="H115" s="58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87"/>
      <c r="AD115" s="19"/>
      <c r="AE115" s="19"/>
      <c r="AF115" s="19"/>
      <c r="AG115" s="19"/>
    </row>
    <row r="116" spans="1:33" hidden="1" outlineLevel="3" x14ac:dyDescent="0.2">
      <c r="A116" s="19"/>
      <c r="B116" s="19"/>
      <c r="C116" s="506">
        <f t="shared" ref="C116:G125" si="3">C38</f>
        <v>0</v>
      </c>
      <c r="D116" s="505">
        <f t="shared" si="3"/>
        <v>0</v>
      </c>
      <c r="E116" s="505">
        <f t="shared" si="3"/>
        <v>0</v>
      </c>
      <c r="F116" s="505">
        <f t="shared" si="3"/>
        <v>0</v>
      </c>
      <c r="G116" s="505">
        <f t="shared" si="3"/>
        <v>0</v>
      </c>
      <c r="H116" s="58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87"/>
      <c r="AD116" s="19"/>
      <c r="AE116" s="19"/>
      <c r="AF116" s="19"/>
      <c r="AG116" s="19"/>
    </row>
    <row r="117" spans="1:33" hidden="1" outlineLevel="3" x14ac:dyDescent="0.2">
      <c r="A117" s="19"/>
      <c r="B117" s="19"/>
      <c r="C117" s="506">
        <f t="shared" si="3"/>
        <v>0</v>
      </c>
      <c r="D117" s="505">
        <f t="shared" si="3"/>
        <v>0</v>
      </c>
      <c r="E117" s="505">
        <f t="shared" si="3"/>
        <v>0</v>
      </c>
      <c r="F117" s="505">
        <f t="shared" si="3"/>
        <v>0</v>
      </c>
      <c r="G117" s="505">
        <f t="shared" si="3"/>
        <v>0</v>
      </c>
      <c r="H117" s="58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87"/>
      <c r="AD117" s="19"/>
      <c r="AE117" s="19"/>
      <c r="AF117" s="19"/>
      <c r="AG117" s="19"/>
    </row>
    <row r="118" spans="1:33" hidden="1" outlineLevel="3" x14ac:dyDescent="0.2">
      <c r="A118" s="19"/>
      <c r="B118" s="19"/>
      <c r="C118" s="506">
        <f t="shared" si="3"/>
        <v>0</v>
      </c>
      <c r="D118" s="505">
        <f t="shared" si="3"/>
        <v>0</v>
      </c>
      <c r="E118" s="505">
        <f t="shared" si="3"/>
        <v>0</v>
      </c>
      <c r="F118" s="505">
        <f t="shared" si="3"/>
        <v>0</v>
      </c>
      <c r="G118" s="505">
        <f t="shared" si="3"/>
        <v>0</v>
      </c>
      <c r="H118" s="58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87"/>
      <c r="AD118" s="19"/>
      <c r="AE118" s="19"/>
      <c r="AF118" s="19"/>
      <c r="AG118" s="19"/>
    </row>
    <row r="119" spans="1:33" hidden="1" outlineLevel="3" x14ac:dyDescent="0.2">
      <c r="A119" s="19"/>
      <c r="B119" s="19"/>
      <c r="C119" s="506">
        <f t="shared" si="3"/>
        <v>0</v>
      </c>
      <c r="D119" s="505">
        <f t="shared" si="3"/>
        <v>0</v>
      </c>
      <c r="E119" s="505">
        <f t="shared" si="3"/>
        <v>0</v>
      </c>
      <c r="F119" s="505">
        <f t="shared" si="3"/>
        <v>0</v>
      </c>
      <c r="G119" s="505">
        <f t="shared" si="3"/>
        <v>0</v>
      </c>
      <c r="H119" s="58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87"/>
      <c r="AD119" s="19"/>
      <c r="AE119" s="19"/>
      <c r="AF119" s="19"/>
      <c r="AG119" s="19"/>
    </row>
    <row r="120" spans="1:33" hidden="1" outlineLevel="3" x14ac:dyDescent="0.2">
      <c r="A120" s="19"/>
      <c r="B120" s="19"/>
      <c r="C120" s="506">
        <f t="shared" si="3"/>
        <v>0</v>
      </c>
      <c r="D120" s="505">
        <f t="shared" si="3"/>
        <v>0</v>
      </c>
      <c r="E120" s="505">
        <f t="shared" si="3"/>
        <v>0</v>
      </c>
      <c r="F120" s="505">
        <f t="shared" si="3"/>
        <v>0</v>
      </c>
      <c r="G120" s="505">
        <f t="shared" si="3"/>
        <v>0</v>
      </c>
      <c r="H120" s="58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87"/>
      <c r="AD120" s="19"/>
      <c r="AE120" s="19"/>
      <c r="AF120" s="19"/>
      <c r="AG120" s="19"/>
    </row>
    <row r="121" spans="1:33" hidden="1" outlineLevel="3" x14ac:dyDescent="0.2">
      <c r="A121" s="19"/>
      <c r="B121" s="19"/>
      <c r="C121" s="506">
        <f t="shared" si="3"/>
        <v>0</v>
      </c>
      <c r="D121" s="505">
        <f t="shared" si="3"/>
        <v>0</v>
      </c>
      <c r="E121" s="505">
        <f t="shared" si="3"/>
        <v>0</v>
      </c>
      <c r="F121" s="505">
        <f t="shared" si="3"/>
        <v>0</v>
      </c>
      <c r="G121" s="505">
        <f t="shared" si="3"/>
        <v>0</v>
      </c>
      <c r="H121" s="58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87"/>
      <c r="AD121" s="19"/>
      <c r="AE121" s="19"/>
      <c r="AF121" s="19"/>
      <c r="AG121" s="19"/>
    </row>
    <row r="122" spans="1:33" hidden="1" outlineLevel="3" x14ac:dyDescent="0.2">
      <c r="A122" s="19"/>
      <c r="B122" s="19"/>
      <c r="C122" s="506">
        <f t="shared" si="3"/>
        <v>0</v>
      </c>
      <c r="D122" s="505">
        <f t="shared" si="3"/>
        <v>0</v>
      </c>
      <c r="E122" s="505">
        <f t="shared" si="3"/>
        <v>0</v>
      </c>
      <c r="F122" s="505">
        <f t="shared" si="3"/>
        <v>0</v>
      </c>
      <c r="G122" s="505">
        <f t="shared" si="3"/>
        <v>0</v>
      </c>
      <c r="H122" s="58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87"/>
      <c r="AD122" s="19"/>
      <c r="AE122" s="19"/>
      <c r="AF122" s="19"/>
      <c r="AG122" s="19"/>
    </row>
    <row r="123" spans="1:33" hidden="1" outlineLevel="3" x14ac:dyDescent="0.2">
      <c r="A123" s="19"/>
      <c r="B123" s="19"/>
      <c r="C123" s="506">
        <f t="shared" si="3"/>
        <v>0</v>
      </c>
      <c r="D123" s="505">
        <f t="shared" si="3"/>
        <v>0</v>
      </c>
      <c r="E123" s="505">
        <f t="shared" si="3"/>
        <v>0</v>
      </c>
      <c r="F123" s="505">
        <f t="shared" si="3"/>
        <v>0</v>
      </c>
      <c r="G123" s="505">
        <f t="shared" si="3"/>
        <v>0</v>
      </c>
      <c r="H123" s="58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87"/>
      <c r="AD123" s="19"/>
      <c r="AE123" s="19"/>
      <c r="AF123" s="19"/>
      <c r="AG123" s="19"/>
    </row>
    <row r="124" spans="1:33" hidden="1" outlineLevel="3" x14ac:dyDescent="0.2">
      <c r="A124" s="19"/>
      <c r="B124" s="19"/>
      <c r="C124" s="506">
        <f t="shared" si="3"/>
        <v>0</v>
      </c>
      <c r="D124" s="505">
        <f t="shared" si="3"/>
        <v>0</v>
      </c>
      <c r="E124" s="505">
        <f t="shared" si="3"/>
        <v>0</v>
      </c>
      <c r="F124" s="505">
        <f t="shared" si="3"/>
        <v>0</v>
      </c>
      <c r="G124" s="505">
        <f t="shared" si="3"/>
        <v>0</v>
      </c>
      <c r="H124" s="58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87"/>
      <c r="AD124" s="19"/>
      <c r="AE124" s="19"/>
      <c r="AF124" s="19"/>
      <c r="AG124" s="19"/>
    </row>
    <row r="125" spans="1:33" hidden="1" outlineLevel="3" x14ac:dyDescent="0.2">
      <c r="A125" s="19"/>
      <c r="B125" s="19"/>
      <c r="C125" s="506">
        <f t="shared" si="3"/>
        <v>0</v>
      </c>
      <c r="D125" s="505">
        <f t="shared" si="3"/>
        <v>0</v>
      </c>
      <c r="E125" s="505">
        <f t="shared" si="3"/>
        <v>0</v>
      </c>
      <c r="F125" s="505">
        <f t="shared" si="3"/>
        <v>0</v>
      </c>
      <c r="G125" s="505">
        <f t="shared" si="3"/>
        <v>0</v>
      </c>
      <c r="H125" s="58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87"/>
      <c r="AD125" s="19"/>
      <c r="AE125" s="19"/>
      <c r="AF125" s="19"/>
      <c r="AG125" s="19"/>
    </row>
    <row r="126" spans="1:33" hidden="1" outlineLevel="3" x14ac:dyDescent="0.2">
      <c r="A126" s="19"/>
      <c r="B126" s="19"/>
      <c r="C126" s="506">
        <f t="shared" ref="C126:G135" si="4">C48</f>
        <v>0</v>
      </c>
      <c r="D126" s="505">
        <f t="shared" si="4"/>
        <v>0</v>
      </c>
      <c r="E126" s="505">
        <f t="shared" si="4"/>
        <v>0</v>
      </c>
      <c r="F126" s="505">
        <f t="shared" si="4"/>
        <v>0</v>
      </c>
      <c r="G126" s="505">
        <f t="shared" si="4"/>
        <v>0</v>
      </c>
      <c r="H126" s="58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87"/>
      <c r="AD126" s="19"/>
      <c r="AE126" s="19"/>
      <c r="AF126" s="19"/>
      <c r="AG126" s="19"/>
    </row>
    <row r="127" spans="1:33" hidden="1" outlineLevel="3" x14ac:dyDescent="0.2">
      <c r="A127" s="19"/>
      <c r="B127" s="19"/>
      <c r="C127" s="506">
        <f t="shared" si="4"/>
        <v>0</v>
      </c>
      <c r="D127" s="505">
        <f t="shared" si="4"/>
        <v>0</v>
      </c>
      <c r="E127" s="505">
        <f t="shared" si="4"/>
        <v>0</v>
      </c>
      <c r="F127" s="505">
        <f t="shared" si="4"/>
        <v>0</v>
      </c>
      <c r="G127" s="505">
        <f t="shared" si="4"/>
        <v>0</v>
      </c>
      <c r="H127" s="58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87"/>
      <c r="AD127" s="19"/>
      <c r="AE127" s="19"/>
      <c r="AF127" s="19"/>
      <c r="AG127" s="19"/>
    </row>
    <row r="128" spans="1:33" hidden="1" outlineLevel="3" x14ac:dyDescent="0.2">
      <c r="A128" s="19"/>
      <c r="B128" s="19"/>
      <c r="C128" s="506">
        <f t="shared" si="4"/>
        <v>0</v>
      </c>
      <c r="D128" s="505">
        <f t="shared" si="4"/>
        <v>0</v>
      </c>
      <c r="E128" s="505">
        <f t="shared" si="4"/>
        <v>0</v>
      </c>
      <c r="F128" s="505">
        <f t="shared" si="4"/>
        <v>0</v>
      </c>
      <c r="G128" s="505">
        <f t="shared" si="4"/>
        <v>0</v>
      </c>
      <c r="H128" s="58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87"/>
      <c r="AD128" s="19"/>
      <c r="AE128" s="19"/>
      <c r="AF128" s="19"/>
      <c r="AG128" s="19"/>
    </row>
    <row r="129" spans="1:33" hidden="1" outlineLevel="3" x14ac:dyDescent="0.2">
      <c r="A129" s="19"/>
      <c r="B129" s="19"/>
      <c r="C129" s="506">
        <f t="shared" si="4"/>
        <v>0</v>
      </c>
      <c r="D129" s="505">
        <f t="shared" si="4"/>
        <v>0</v>
      </c>
      <c r="E129" s="505">
        <f t="shared" si="4"/>
        <v>0</v>
      </c>
      <c r="F129" s="505">
        <f t="shared" si="4"/>
        <v>0</v>
      </c>
      <c r="G129" s="505">
        <f t="shared" si="4"/>
        <v>0</v>
      </c>
      <c r="H129" s="58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87"/>
      <c r="AD129" s="19"/>
      <c r="AE129" s="19"/>
      <c r="AF129" s="19"/>
      <c r="AG129" s="19"/>
    </row>
    <row r="130" spans="1:33" hidden="1" outlineLevel="3" x14ac:dyDescent="0.2">
      <c r="A130" s="19"/>
      <c r="B130" s="19"/>
      <c r="C130" s="506">
        <f t="shared" si="4"/>
        <v>0</v>
      </c>
      <c r="D130" s="505">
        <f t="shared" si="4"/>
        <v>0</v>
      </c>
      <c r="E130" s="505">
        <f t="shared" si="4"/>
        <v>0</v>
      </c>
      <c r="F130" s="505">
        <f t="shared" si="4"/>
        <v>0</v>
      </c>
      <c r="G130" s="505">
        <f t="shared" si="4"/>
        <v>0</v>
      </c>
      <c r="H130" s="58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87"/>
      <c r="AD130" s="19"/>
      <c r="AE130" s="19"/>
      <c r="AF130" s="19"/>
      <c r="AG130" s="19"/>
    </row>
    <row r="131" spans="1:33" hidden="1" outlineLevel="3" x14ac:dyDescent="0.2">
      <c r="A131" s="19"/>
      <c r="B131" s="19"/>
      <c r="C131" s="506">
        <f t="shared" si="4"/>
        <v>0</v>
      </c>
      <c r="D131" s="505">
        <f t="shared" si="4"/>
        <v>0</v>
      </c>
      <c r="E131" s="505">
        <f t="shared" si="4"/>
        <v>0</v>
      </c>
      <c r="F131" s="505">
        <f t="shared" si="4"/>
        <v>0</v>
      </c>
      <c r="G131" s="505">
        <f t="shared" si="4"/>
        <v>0</v>
      </c>
      <c r="H131" s="58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87"/>
      <c r="AD131" s="19"/>
      <c r="AE131" s="19"/>
      <c r="AF131" s="19"/>
      <c r="AG131" s="19"/>
    </row>
    <row r="132" spans="1:33" hidden="1" outlineLevel="3" x14ac:dyDescent="0.2">
      <c r="A132" s="19"/>
      <c r="B132" s="19"/>
      <c r="C132" s="506">
        <f t="shared" si="4"/>
        <v>0</v>
      </c>
      <c r="D132" s="505">
        <f t="shared" si="4"/>
        <v>0</v>
      </c>
      <c r="E132" s="505">
        <f t="shared" si="4"/>
        <v>0</v>
      </c>
      <c r="F132" s="505">
        <f t="shared" si="4"/>
        <v>0</v>
      </c>
      <c r="G132" s="505">
        <f t="shared" si="4"/>
        <v>0</v>
      </c>
      <c r="H132" s="58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87"/>
      <c r="AD132" s="19"/>
      <c r="AE132" s="19"/>
      <c r="AF132" s="19"/>
      <c r="AG132" s="19"/>
    </row>
    <row r="133" spans="1:33" hidden="1" outlineLevel="3" x14ac:dyDescent="0.2">
      <c r="A133" s="19"/>
      <c r="B133" s="19"/>
      <c r="C133" s="506">
        <f t="shared" si="4"/>
        <v>0</v>
      </c>
      <c r="D133" s="505">
        <f t="shared" si="4"/>
        <v>0</v>
      </c>
      <c r="E133" s="505">
        <f t="shared" si="4"/>
        <v>0</v>
      </c>
      <c r="F133" s="505">
        <f t="shared" si="4"/>
        <v>0</v>
      </c>
      <c r="G133" s="505">
        <f t="shared" si="4"/>
        <v>0</v>
      </c>
      <c r="H133" s="58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87"/>
      <c r="AD133" s="19"/>
      <c r="AE133" s="19"/>
      <c r="AF133" s="19"/>
      <c r="AG133" s="19"/>
    </row>
    <row r="134" spans="1:33" hidden="1" outlineLevel="3" x14ac:dyDescent="0.2">
      <c r="A134" s="19"/>
      <c r="B134" s="19"/>
      <c r="C134" s="506">
        <f t="shared" si="4"/>
        <v>0</v>
      </c>
      <c r="D134" s="505">
        <f t="shared" si="4"/>
        <v>0</v>
      </c>
      <c r="E134" s="505">
        <f t="shared" si="4"/>
        <v>0</v>
      </c>
      <c r="F134" s="505">
        <f t="shared" si="4"/>
        <v>0</v>
      </c>
      <c r="G134" s="505">
        <f t="shared" si="4"/>
        <v>0</v>
      </c>
      <c r="H134" s="58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87"/>
      <c r="AD134" s="19"/>
      <c r="AE134" s="19"/>
      <c r="AF134" s="19"/>
      <c r="AG134" s="19"/>
    </row>
    <row r="135" spans="1:33" hidden="1" outlineLevel="3" x14ac:dyDescent="0.2">
      <c r="A135" s="19"/>
      <c r="B135" s="19"/>
      <c r="C135" s="506">
        <f t="shared" si="4"/>
        <v>0</v>
      </c>
      <c r="D135" s="505">
        <f t="shared" si="4"/>
        <v>0</v>
      </c>
      <c r="E135" s="505">
        <f t="shared" si="4"/>
        <v>0</v>
      </c>
      <c r="F135" s="505">
        <f t="shared" si="4"/>
        <v>0</v>
      </c>
      <c r="G135" s="505">
        <f t="shared" si="4"/>
        <v>0</v>
      </c>
      <c r="H135" s="58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87"/>
      <c r="AD135" s="19"/>
      <c r="AE135" s="19"/>
      <c r="AF135" s="19"/>
      <c r="AG135" s="19"/>
    </row>
    <row r="136" spans="1:33" hidden="1" outlineLevel="3" x14ac:dyDescent="0.2">
      <c r="A136" s="19"/>
      <c r="B136" s="19"/>
      <c r="C136" s="506">
        <f t="shared" ref="C136:G145" si="5">C58</f>
        <v>0</v>
      </c>
      <c r="D136" s="505">
        <f t="shared" si="5"/>
        <v>0</v>
      </c>
      <c r="E136" s="505">
        <f t="shared" si="5"/>
        <v>0</v>
      </c>
      <c r="F136" s="505">
        <f t="shared" si="5"/>
        <v>0</v>
      </c>
      <c r="G136" s="505">
        <f t="shared" si="5"/>
        <v>0</v>
      </c>
      <c r="H136" s="58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87"/>
      <c r="AD136" s="19"/>
      <c r="AE136" s="19"/>
      <c r="AF136" s="19"/>
      <c r="AG136" s="19"/>
    </row>
    <row r="137" spans="1:33" hidden="1" outlineLevel="3" x14ac:dyDescent="0.2">
      <c r="A137" s="19"/>
      <c r="B137" s="19"/>
      <c r="C137" s="506">
        <f t="shared" si="5"/>
        <v>0</v>
      </c>
      <c r="D137" s="505">
        <f t="shared" si="5"/>
        <v>0</v>
      </c>
      <c r="E137" s="505">
        <f t="shared" si="5"/>
        <v>0</v>
      </c>
      <c r="F137" s="505">
        <f t="shared" si="5"/>
        <v>0</v>
      </c>
      <c r="G137" s="505">
        <f t="shared" si="5"/>
        <v>0</v>
      </c>
      <c r="H137" s="58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87"/>
      <c r="AD137" s="19"/>
      <c r="AE137" s="19"/>
      <c r="AF137" s="19"/>
      <c r="AG137" s="19"/>
    </row>
    <row r="138" spans="1:33" hidden="1" outlineLevel="3" x14ac:dyDescent="0.2">
      <c r="A138" s="19"/>
      <c r="B138" s="19"/>
      <c r="C138" s="506">
        <f t="shared" si="5"/>
        <v>0</v>
      </c>
      <c r="D138" s="505">
        <f t="shared" si="5"/>
        <v>0</v>
      </c>
      <c r="E138" s="505">
        <f t="shared" si="5"/>
        <v>0</v>
      </c>
      <c r="F138" s="505">
        <f t="shared" si="5"/>
        <v>0</v>
      </c>
      <c r="G138" s="505">
        <f t="shared" si="5"/>
        <v>0</v>
      </c>
      <c r="H138" s="58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87"/>
      <c r="AD138" s="19"/>
      <c r="AE138" s="19"/>
      <c r="AF138" s="19"/>
      <c r="AG138" s="19"/>
    </row>
    <row r="139" spans="1:33" hidden="1" outlineLevel="3" x14ac:dyDescent="0.2">
      <c r="A139" s="19"/>
      <c r="B139" s="19"/>
      <c r="C139" s="506">
        <f t="shared" si="5"/>
        <v>0</v>
      </c>
      <c r="D139" s="505">
        <f t="shared" si="5"/>
        <v>0</v>
      </c>
      <c r="E139" s="505">
        <f t="shared" si="5"/>
        <v>0</v>
      </c>
      <c r="F139" s="505">
        <f t="shared" si="5"/>
        <v>0</v>
      </c>
      <c r="G139" s="505">
        <f t="shared" si="5"/>
        <v>0</v>
      </c>
      <c r="H139" s="58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87"/>
      <c r="AD139" s="19"/>
      <c r="AE139" s="19"/>
      <c r="AF139" s="19"/>
      <c r="AG139" s="19"/>
    </row>
    <row r="140" spans="1:33" hidden="1" outlineLevel="3" x14ac:dyDescent="0.2">
      <c r="A140" s="19"/>
      <c r="B140" s="19"/>
      <c r="C140" s="506">
        <f t="shared" si="5"/>
        <v>0</v>
      </c>
      <c r="D140" s="505">
        <f t="shared" si="5"/>
        <v>0</v>
      </c>
      <c r="E140" s="505">
        <f t="shared" si="5"/>
        <v>0</v>
      </c>
      <c r="F140" s="505">
        <f t="shared" si="5"/>
        <v>0</v>
      </c>
      <c r="G140" s="505">
        <f t="shared" si="5"/>
        <v>0</v>
      </c>
      <c r="H140" s="58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87"/>
      <c r="AD140" s="19"/>
      <c r="AE140" s="19"/>
      <c r="AF140" s="19"/>
      <c r="AG140" s="19"/>
    </row>
    <row r="141" spans="1:33" hidden="1" outlineLevel="3" x14ac:dyDescent="0.2">
      <c r="A141" s="19"/>
      <c r="B141" s="19"/>
      <c r="C141" s="506">
        <f t="shared" si="5"/>
        <v>0</v>
      </c>
      <c r="D141" s="505">
        <f t="shared" si="5"/>
        <v>0</v>
      </c>
      <c r="E141" s="505">
        <f t="shared" si="5"/>
        <v>0</v>
      </c>
      <c r="F141" s="505">
        <f t="shared" si="5"/>
        <v>0</v>
      </c>
      <c r="G141" s="505">
        <f t="shared" si="5"/>
        <v>0</v>
      </c>
      <c r="H141" s="58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87"/>
      <c r="AD141" s="19"/>
      <c r="AE141" s="19"/>
      <c r="AF141" s="19"/>
      <c r="AG141" s="19"/>
    </row>
    <row r="142" spans="1:33" hidden="1" outlineLevel="3" x14ac:dyDescent="0.2">
      <c r="A142" s="19"/>
      <c r="B142" s="19"/>
      <c r="C142" s="506">
        <f t="shared" si="5"/>
        <v>0</v>
      </c>
      <c r="D142" s="505">
        <f t="shared" si="5"/>
        <v>0</v>
      </c>
      <c r="E142" s="505">
        <f t="shared" si="5"/>
        <v>0</v>
      </c>
      <c r="F142" s="505">
        <f t="shared" si="5"/>
        <v>0</v>
      </c>
      <c r="G142" s="505">
        <f t="shared" si="5"/>
        <v>0</v>
      </c>
      <c r="H142" s="58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87"/>
      <c r="AD142" s="19"/>
      <c r="AE142" s="19"/>
      <c r="AF142" s="19"/>
      <c r="AG142" s="19"/>
    </row>
    <row r="143" spans="1:33" hidden="1" outlineLevel="3" x14ac:dyDescent="0.2">
      <c r="A143" s="19"/>
      <c r="B143" s="19"/>
      <c r="C143" s="506">
        <f t="shared" si="5"/>
        <v>0</v>
      </c>
      <c r="D143" s="505">
        <f t="shared" si="5"/>
        <v>0</v>
      </c>
      <c r="E143" s="505">
        <f t="shared" si="5"/>
        <v>0</v>
      </c>
      <c r="F143" s="505">
        <f t="shared" si="5"/>
        <v>0</v>
      </c>
      <c r="G143" s="505">
        <f t="shared" si="5"/>
        <v>0</v>
      </c>
      <c r="H143" s="58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87"/>
      <c r="AD143" s="19"/>
      <c r="AE143" s="19"/>
      <c r="AF143" s="19"/>
      <c r="AG143" s="19"/>
    </row>
    <row r="144" spans="1:33" hidden="1" outlineLevel="3" x14ac:dyDescent="0.2">
      <c r="A144" s="19"/>
      <c r="B144" s="19"/>
      <c r="C144" s="506">
        <f t="shared" si="5"/>
        <v>0</v>
      </c>
      <c r="D144" s="505">
        <f t="shared" si="5"/>
        <v>0</v>
      </c>
      <c r="E144" s="505">
        <f t="shared" si="5"/>
        <v>0</v>
      </c>
      <c r="F144" s="505">
        <f t="shared" si="5"/>
        <v>0</v>
      </c>
      <c r="G144" s="505">
        <f t="shared" si="5"/>
        <v>0</v>
      </c>
      <c r="H144" s="58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87"/>
      <c r="AD144" s="19"/>
      <c r="AE144" s="19"/>
      <c r="AF144" s="19"/>
      <c r="AG144" s="19"/>
    </row>
    <row r="145" spans="1:33" hidden="1" outlineLevel="3" x14ac:dyDescent="0.2">
      <c r="A145" s="19"/>
      <c r="B145" s="19"/>
      <c r="C145" s="506">
        <f t="shared" si="5"/>
        <v>0</v>
      </c>
      <c r="D145" s="505">
        <f t="shared" si="5"/>
        <v>0</v>
      </c>
      <c r="E145" s="505">
        <f t="shared" si="5"/>
        <v>0</v>
      </c>
      <c r="F145" s="505">
        <f t="shared" si="5"/>
        <v>0</v>
      </c>
      <c r="G145" s="505">
        <f t="shared" si="5"/>
        <v>0</v>
      </c>
      <c r="H145" s="58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87"/>
      <c r="AD145" s="19"/>
      <c r="AE145" s="19"/>
      <c r="AF145" s="19"/>
      <c r="AG145" s="19"/>
    </row>
    <row r="146" spans="1:33" hidden="1" outlineLevel="3" x14ac:dyDescent="0.2">
      <c r="A146" s="19"/>
      <c r="B146" s="19"/>
      <c r="C146" s="506">
        <f t="shared" ref="C146:G155" si="6">C68</f>
        <v>0</v>
      </c>
      <c r="D146" s="505">
        <f t="shared" si="6"/>
        <v>0</v>
      </c>
      <c r="E146" s="505">
        <f t="shared" si="6"/>
        <v>0</v>
      </c>
      <c r="F146" s="505">
        <f t="shared" si="6"/>
        <v>0</v>
      </c>
      <c r="G146" s="505">
        <f t="shared" si="6"/>
        <v>0</v>
      </c>
      <c r="H146" s="58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87"/>
      <c r="AD146" s="19"/>
      <c r="AE146" s="19"/>
      <c r="AF146" s="19"/>
      <c r="AG146" s="19"/>
    </row>
    <row r="147" spans="1:33" hidden="1" outlineLevel="3" x14ac:dyDescent="0.2">
      <c r="A147" s="19"/>
      <c r="B147" s="19"/>
      <c r="C147" s="506">
        <f t="shared" si="6"/>
        <v>0</v>
      </c>
      <c r="D147" s="505">
        <f t="shared" si="6"/>
        <v>0</v>
      </c>
      <c r="E147" s="505">
        <f t="shared" si="6"/>
        <v>0</v>
      </c>
      <c r="F147" s="505">
        <f t="shared" si="6"/>
        <v>0</v>
      </c>
      <c r="G147" s="505">
        <f t="shared" si="6"/>
        <v>0</v>
      </c>
      <c r="H147" s="58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87"/>
      <c r="AD147" s="19"/>
      <c r="AE147" s="19"/>
      <c r="AF147" s="19"/>
      <c r="AG147" s="19"/>
    </row>
    <row r="148" spans="1:33" hidden="1" outlineLevel="3" x14ac:dyDescent="0.2">
      <c r="A148" s="19"/>
      <c r="B148" s="19"/>
      <c r="C148" s="506">
        <f t="shared" si="6"/>
        <v>0</v>
      </c>
      <c r="D148" s="505">
        <f t="shared" si="6"/>
        <v>0</v>
      </c>
      <c r="E148" s="505">
        <f t="shared" si="6"/>
        <v>0</v>
      </c>
      <c r="F148" s="505">
        <f t="shared" si="6"/>
        <v>0</v>
      </c>
      <c r="G148" s="505">
        <f t="shared" si="6"/>
        <v>0</v>
      </c>
      <c r="H148" s="58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87"/>
      <c r="AD148" s="19"/>
      <c r="AE148" s="19"/>
      <c r="AF148" s="19"/>
      <c r="AG148" s="19"/>
    </row>
    <row r="149" spans="1:33" hidden="1" outlineLevel="3" x14ac:dyDescent="0.2">
      <c r="A149" s="19"/>
      <c r="B149" s="19"/>
      <c r="C149" s="506">
        <f t="shared" si="6"/>
        <v>0</v>
      </c>
      <c r="D149" s="505">
        <f t="shared" si="6"/>
        <v>0</v>
      </c>
      <c r="E149" s="505">
        <f t="shared" si="6"/>
        <v>0</v>
      </c>
      <c r="F149" s="505">
        <f t="shared" si="6"/>
        <v>0</v>
      </c>
      <c r="G149" s="505">
        <f t="shared" si="6"/>
        <v>0</v>
      </c>
      <c r="H149" s="58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87"/>
      <c r="AD149" s="19"/>
      <c r="AE149" s="19"/>
      <c r="AF149" s="19"/>
      <c r="AG149" s="19"/>
    </row>
    <row r="150" spans="1:33" hidden="1" outlineLevel="3" x14ac:dyDescent="0.2">
      <c r="A150" s="19"/>
      <c r="B150" s="19"/>
      <c r="C150" s="506">
        <f t="shared" si="6"/>
        <v>0</v>
      </c>
      <c r="D150" s="505">
        <f t="shared" si="6"/>
        <v>0</v>
      </c>
      <c r="E150" s="505">
        <f t="shared" si="6"/>
        <v>0</v>
      </c>
      <c r="F150" s="505">
        <f t="shared" si="6"/>
        <v>0</v>
      </c>
      <c r="G150" s="505">
        <f t="shared" si="6"/>
        <v>0</v>
      </c>
      <c r="H150" s="58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87"/>
      <c r="AD150" s="19"/>
      <c r="AE150" s="19"/>
      <c r="AF150" s="19"/>
      <c r="AG150" s="19"/>
    </row>
    <row r="151" spans="1:33" hidden="1" outlineLevel="3" x14ac:dyDescent="0.2">
      <c r="A151" s="19"/>
      <c r="B151" s="19"/>
      <c r="C151" s="506">
        <f t="shared" si="6"/>
        <v>0</v>
      </c>
      <c r="D151" s="505">
        <f t="shared" si="6"/>
        <v>0</v>
      </c>
      <c r="E151" s="505">
        <f t="shared" si="6"/>
        <v>0</v>
      </c>
      <c r="F151" s="505">
        <f t="shared" si="6"/>
        <v>0</v>
      </c>
      <c r="G151" s="505">
        <f t="shared" si="6"/>
        <v>0</v>
      </c>
      <c r="H151" s="58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87"/>
      <c r="AD151" s="19"/>
      <c r="AE151" s="19"/>
      <c r="AF151" s="19"/>
      <c r="AG151" s="19"/>
    </row>
    <row r="152" spans="1:33" hidden="1" outlineLevel="3" x14ac:dyDescent="0.2">
      <c r="A152" s="19"/>
      <c r="B152" s="19"/>
      <c r="C152" s="506">
        <f t="shared" si="6"/>
        <v>0</v>
      </c>
      <c r="D152" s="505">
        <f t="shared" si="6"/>
        <v>0</v>
      </c>
      <c r="E152" s="505">
        <f t="shared" si="6"/>
        <v>0</v>
      </c>
      <c r="F152" s="505">
        <f t="shared" si="6"/>
        <v>0</v>
      </c>
      <c r="G152" s="505">
        <f t="shared" si="6"/>
        <v>0</v>
      </c>
      <c r="H152" s="58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87"/>
      <c r="AD152" s="19"/>
      <c r="AE152" s="19"/>
      <c r="AF152" s="19"/>
      <c r="AG152" s="19"/>
    </row>
    <row r="153" spans="1:33" hidden="1" outlineLevel="3" x14ac:dyDescent="0.2">
      <c r="A153" s="19"/>
      <c r="B153" s="19"/>
      <c r="C153" s="506">
        <f t="shared" si="6"/>
        <v>0</v>
      </c>
      <c r="D153" s="505">
        <f t="shared" si="6"/>
        <v>0</v>
      </c>
      <c r="E153" s="505">
        <f t="shared" si="6"/>
        <v>0</v>
      </c>
      <c r="F153" s="505">
        <f t="shared" si="6"/>
        <v>0</v>
      </c>
      <c r="G153" s="505">
        <f t="shared" si="6"/>
        <v>0</v>
      </c>
      <c r="H153" s="58"/>
      <c r="I153" s="191"/>
      <c r="J153" s="191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87"/>
      <c r="AD153" s="19"/>
      <c r="AE153" s="19"/>
      <c r="AF153" s="19"/>
      <c r="AG153" s="19"/>
    </row>
    <row r="154" spans="1:33" hidden="1" outlineLevel="3" x14ac:dyDescent="0.2">
      <c r="A154" s="19"/>
      <c r="B154" s="19"/>
      <c r="C154" s="506">
        <f t="shared" si="6"/>
        <v>0</v>
      </c>
      <c r="D154" s="505">
        <f t="shared" si="6"/>
        <v>0</v>
      </c>
      <c r="E154" s="505">
        <f t="shared" si="6"/>
        <v>0</v>
      </c>
      <c r="F154" s="505">
        <f t="shared" si="6"/>
        <v>0</v>
      </c>
      <c r="G154" s="505">
        <f t="shared" si="6"/>
        <v>0</v>
      </c>
      <c r="H154" s="58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87"/>
      <c r="AD154" s="19"/>
      <c r="AE154" s="19"/>
      <c r="AF154" s="19"/>
      <c r="AG154" s="19"/>
    </row>
    <row r="155" spans="1:33" hidden="1" outlineLevel="3" x14ac:dyDescent="0.2">
      <c r="A155" s="19"/>
      <c r="B155" s="19"/>
      <c r="C155" s="506">
        <f t="shared" si="6"/>
        <v>0</v>
      </c>
      <c r="D155" s="505">
        <f t="shared" si="6"/>
        <v>0</v>
      </c>
      <c r="E155" s="505">
        <f t="shared" si="6"/>
        <v>0</v>
      </c>
      <c r="F155" s="505">
        <f t="shared" si="6"/>
        <v>0</v>
      </c>
      <c r="G155" s="505">
        <f t="shared" si="6"/>
        <v>0</v>
      </c>
      <c r="H155" s="58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87"/>
      <c r="AD155" s="19"/>
      <c r="AE155" s="19"/>
      <c r="AF155" s="19"/>
      <c r="AG155" s="19"/>
    </row>
    <row r="156" spans="1:33" hidden="1" outlineLevel="3" x14ac:dyDescent="0.2">
      <c r="A156" s="19"/>
      <c r="B156" s="19"/>
      <c r="C156" s="506">
        <f t="shared" ref="C156:G160" si="7">C78</f>
        <v>0</v>
      </c>
      <c r="D156" s="505">
        <f t="shared" si="7"/>
        <v>0</v>
      </c>
      <c r="E156" s="505">
        <f t="shared" si="7"/>
        <v>0</v>
      </c>
      <c r="F156" s="505">
        <f t="shared" si="7"/>
        <v>0</v>
      </c>
      <c r="G156" s="505">
        <f t="shared" si="7"/>
        <v>0</v>
      </c>
      <c r="H156" s="58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87"/>
      <c r="AD156" s="19"/>
      <c r="AE156" s="19"/>
      <c r="AF156" s="19"/>
      <c r="AG156" s="19"/>
    </row>
    <row r="157" spans="1:33" hidden="1" outlineLevel="3" x14ac:dyDescent="0.2">
      <c r="A157" s="19"/>
      <c r="B157" s="19"/>
      <c r="C157" s="506">
        <f t="shared" si="7"/>
        <v>0</v>
      </c>
      <c r="D157" s="505">
        <f t="shared" si="7"/>
        <v>0</v>
      </c>
      <c r="E157" s="505">
        <f t="shared" si="7"/>
        <v>0</v>
      </c>
      <c r="F157" s="505">
        <f t="shared" si="7"/>
        <v>0</v>
      </c>
      <c r="G157" s="505">
        <f t="shared" si="7"/>
        <v>0</v>
      </c>
      <c r="H157" s="58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87"/>
      <c r="AD157" s="19"/>
      <c r="AE157" s="19"/>
      <c r="AF157" s="19"/>
      <c r="AG157" s="19"/>
    </row>
    <row r="158" spans="1:33" hidden="1" outlineLevel="3" x14ac:dyDescent="0.2">
      <c r="A158" s="19"/>
      <c r="B158" s="19"/>
      <c r="C158" s="506">
        <f t="shared" si="7"/>
        <v>0</v>
      </c>
      <c r="D158" s="505">
        <f t="shared" si="7"/>
        <v>0</v>
      </c>
      <c r="E158" s="505">
        <f t="shared" si="7"/>
        <v>0</v>
      </c>
      <c r="F158" s="505">
        <f t="shared" si="7"/>
        <v>0</v>
      </c>
      <c r="G158" s="505">
        <f t="shared" si="7"/>
        <v>0</v>
      </c>
      <c r="H158" s="58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87"/>
      <c r="AD158" s="19"/>
      <c r="AE158" s="19"/>
      <c r="AF158" s="19"/>
      <c r="AG158" s="19"/>
    </row>
    <row r="159" spans="1:33" hidden="1" outlineLevel="3" x14ac:dyDescent="0.2">
      <c r="A159" s="19"/>
      <c r="B159" s="19"/>
      <c r="C159" s="506">
        <f t="shared" si="7"/>
        <v>0</v>
      </c>
      <c r="D159" s="505">
        <f t="shared" si="7"/>
        <v>0</v>
      </c>
      <c r="E159" s="505">
        <f t="shared" si="7"/>
        <v>0</v>
      </c>
      <c r="F159" s="505">
        <f t="shared" si="7"/>
        <v>0</v>
      </c>
      <c r="G159" s="505">
        <f t="shared" si="7"/>
        <v>0</v>
      </c>
      <c r="H159" s="58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87"/>
      <c r="AD159" s="19"/>
      <c r="AE159" s="19"/>
      <c r="AF159" s="19"/>
      <c r="AG159" s="19"/>
    </row>
    <row r="160" spans="1:33" hidden="1" outlineLevel="3" x14ac:dyDescent="0.2">
      <c r="A160" s="19"/>
      <c r="B160" s="19"/>
      <c r="C160" s="506">
        <f t="shared" si="7"/>
        <v>0</v>
      </c>
      <c r="D160" s="505">
        <f t="shared" si="7"/>
        <v>0</v>
      </c>
      <c r="E160" s="505">
        <f t="shared" si="7"/>
        <v>0</v>
      </c>
      <c r="F160" s="505">
        <f t="shared" si="7"/>
        <v>0</v>
      </c>
      <c r="G160" s="505">
        <f t="shared" si="7"/>
        <v>0</v>
      </c>
      <c r="H160" s="58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87"/>
      <c r="AD160" s="19"/>
      <c r="AE160" s="19"/>
      <c r="AF160" s="19"/>
      <c r="AG160" s="19"/>
    </row>
    <row r="161" spans="1:33" outlineLevel="2" collapsed="1" x14ac:dyDescent="0.2">
      <c r="A161" s="19"/>
      <c r="B161" s="19"/>
      <c r="C161" s="66"/>
      <c r="D161" s="58"/>
      <c r="E161" s="58"/>
      <c r="F161" s="58"/>
      <c r="G161" s="58"/>
      <c r="H161" s="58"/>
      <c r="I161" s="186"/>
      <c r="J161" s="186"/>
      <c r="K161" s="187"/>
      <c r="L161" s="187"/>
      <c r="M161" s="187"/>
      <c r="N161" s="188"/>
      <c r="O161" s="188"/>
      <c r="P161" s="188"/>
      <c r="Q161" s="188"/>
      <c r="R161" s="188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9"/>
      <c r="AE161" s="19"/>
      <c r="AF161" s="19"/>
      <c r="AG161" s="19"/>
    </row>
    <row r="162" spans="1:33" outlineLevel="1" x14ac:dyDescent="0.2">
      <c r="A162" s="19"/>
      <c r="B162" s="19"/>
      <c r="C162" s="66"/>
      <c r="D162" s="58"/>
      <c r="E162" s="58"/>
      <c r="F162" s="58"/>
      <c r="G162" s="58"/>
      <c r="H162" s="58"/>
      <c r="I162" s="186"/>
      <c r="J162" s="186"/>
      <c r="K162" s="187"/>
      <c r="L162" s="187"/>
      <c r="M162" s="187"/>
      <c r="N162" s="188"/>
      <c r="O162" s="188"/>
      <c r="P162" s="188"/>
      <c r="Q162" s="188"/>
      <c r="R162" s="188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9"/>
      <c r="AE162" s="19"/>
      <c r="AF162" s="19"/>
      <c r="AG162" s="19"/>
    </row>
    <row r="163" spans="1:33" outlineLevel="1" x14ac:dyDescent="0.2">
      <c r="A163" s="19"/>
      <c r="B163" s="19"/>
      <c r="C163" s="167" t="s">
        <v>220</v>
      </c>
      <c r="D163" s="20"/>
      <c r="E163" s="20"/>
      <c r="F163" s="20"/>
      <c r="G163" s="22"/>
      <c r="H163" s="22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9"/>
      <c r="AE163" s="19"/>
      <c r="AF163" s="19"/>
      <c r="AG163" s="19"/>
    </row>
    <row r="164" spans="1:33" hidden="1" outlineLevel="2" x14ac:dyDescent="0.2">
      <c r="A164" s="19"/>
      <c r="B164" s="19"/>
      <c r="C164" s="506" t="str">
        <f t="shared" ref="C164:G173" si="8">C8</f>
        <v>Residential time of use consumption</v>
      </c>
      <c r="D164" s="505" t="str">
        <f t="shared" si="8"/>
        <v>Residential</v>
      </c>
      <c r="E164" s="505" t="str">
        <f t="shared" si="8"/>
        <v>TAS93</v>
      </c>
      <c r="F164" s="505">
        <f t="shared" si="8"/>
        <v>0</v>
      </c>
      <c r="G164" s="505">
        <f t="shared" si="8"/>
        <v>0</v>
      </c>
      <c r="H164" s="22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87"/>
      <c r="AD164" s="19"/>
      <c r="AE164" s="19"/>
      <c r="AF164" s="19"/>
      <c r="AG164" s="19"/>
    </row>
    <row r="165" spans="1:33" s="59" customFormat="1" hidden="1" outlineLevel="2" x14ac:dyDescent="0.2">
      <c r="A165" s="57"/>
      <c r="B165" s="57"/>
      <c r="C165" s="506" t="str">
        <f t="shared" si="8"/>
        <v>Residential general light and power</v>
      </c>
      <c r="D165" s="505" t="str">
        <f t="shared" si="8"/>
        <v>Residential</v>
      </c>
      <c r="E165" s="505" t="str">
        <f t="shared" si="8"/>
        <v>TAS31</v>
      </c>
      <c r="F165" s="505">
        <f t="shared" si="8"/>
        <v>0</v>
      </c>
      <c r="G165" s="505">
        <f t="shared" si="8"/>
        <v>0</v>
      </c>
      <c r="H165" s="58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87"/>
      <c r="AD165" s="57"/>
      <c r="AE165" s="57"/>
      <c r="AF165" s="57"/>
      <c r="AG165" s="57"/>
    </row>
    <row r="166" spans="1:33" hidden="1" outlineLevel="2" x14ac:dyDescent="0.2">
      <c r="A166" s="19"/>
      <c r="B166" s="19"/>
      <c r="C166" s="506" t="str">
        <f t="shared" si="8"/>
        <v>Residential time of use demand</v>
      </c>
      <c r="D166" s="505" t="str">
        <f t="shared" si="8"/>
        <v>Residential</v>
      </c>
      <c r="E166" s="505" t="str">
        <f t="shared" si="8"/>
        <v>TAS87</v>
      </c>
      <c r="F166" s="505">
        <f t="shared" si="8"/>
        <v>0</v>
      </c>
      <c r="G166" s="505">
        <f t="shared" si="8"/>
        <v>0</v>
      </c>
      <c r="H166" s="58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87"/>
      <c r="AD166" s="19"/>
      <c r="AE166" s="19"/>
      <c r="AF166" s="19"/>
      <c r="AG166" s="19"/>
    </row>
    <row r="167" spans="1:33" hidden="1" outlineLevel="2" x14ac:dyDescent="0.2">
      <c r="A167" s="19"/>
      <c r="B167" s="19"/>
      <c r="C167" s="506" t="str">
        <f t="shared" si="8"/>
        <v>Residential time of use demand DER</v>
      </c>
      <c r="D167" s="505" t="str">
        <f t="shared" si="8"/>
        <v>Residential</v>
      </c>
      <c r="E167" s="505" t="str">
        <f t="shared" si="8"/>
        <v>TAS97</v>
      </c>
      <c r="F167" s="505">
        <f t="shared" si="8"/>
        <v>0</v>
      </c>
      <c r="G167" s="505">
        <f t="shared" si="8"/>
        <v>0</v>
      </c>
      <c r="H167" s="58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87"/>
      <c r="AD167" s="19"/>
      <c r="AE167" s="19"/>
      <c r="AF167" s="19"/>
      <c r="AG167" s="19"/>
    </row>
    <row r="168" spans="1:33" hidden="1" outlineLevel="2" x14ac:dyDescent="0.2">
      <c r="A168" s="19"/>
      <c r="B168" s="19"/>
      <c r="C168" s="506" t="str">
        <f t="shared" si="8"/>
        <v>Residential pay as you go</v>
      </c>
      <c r="D168" s="505" t="str">
        <f t="shared" si="8"/>
        <v>Residential</v>
      </c>
      <c r="E168" s="505" t="str">
        <f t="shared" si="8"/>
        <v>TAS101</v>
      </c>
      <c r="F168" s="505">
        <f t="shared" si="8"/>
        <v>0</v>
      </c>
      <c r="G168" s="505">
        <f t="shared" si="8"/>
        <v>0</v>
      </c>
      <c r="H168" s="58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87"/>
      <c r="AD168" s="19"/>
      <c r="AE168" s="19"/>
      <c r="AF168" s="19"/>
      <c r="AG168" s="19"/>
    </row>
    <row r="169" spans="1:33" hidden="1" outlineLevel="2" x14ac:dyDescent="0.2">
      <c r="A169" s="19"/>
      <c r="B169" s="19"/>
      <c r="C169" s="506" t="str">
        <f t="shared" si="8"/>
        <v>Residential pay as you go time of use</v>
      </c>
      <c r="D169" s="505" t="str">
        <f t="shared" si="8"/>
        <v>Residential</v>
      </c>
      <c r="E169" s="505" t="str">
        <f t="shared" si="8"/>
        <v>TAS92</v>
      </c>
      <c r="F169" s="505">
        <f t="shared" si="8"/>
        <v>0</v>
      </c>
      <c r="G169" s="505">
        <f t="shared" si="8"/>
        <v>0</v>
      </c>
      <c r="H169" s="58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87"/>
      <c r="AD169" s="19"/>
      <c r="AE169" s="19"/>
      <c r="AF169" s="19"/>
      <c r="AG169" s="19"/>
    </row>
    <row r="170" spans="1:33" hidden="1" outlineLevel="2" x14ac:dyDescent="0.2">
      <c r="A170" s="19"/>
      <c r="B170" s="19"/>
      <c r="C170" s="506" t="str">
        <f t="shared" si="8"/>
        <v>Small business time of use consumption</v>
      </c>
      <c r="D170" s="505" t="str">
        <f t="shared" si="8"/>
        <v>Small Business LV</v>
      </c>
      <c r="E170" s="505" t="str">
        <f t="shared" si="8"/>
        <v>TAS94</v>
      </c>
      <c r="F170" s="505">
        <f t="shared" si="8"/>
        <v>0</v>
      </c>
      <c r="G170" s="505">
        <f t="shared" si="8"/>
        <v>0</v>
      </c>
      <c r="H170" s="58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87"/>
      <c r="AD170" s="19"/>
      <c r="AE170" s="19"/>
      <c r="AF170" s="19"/>
      <c r="AG170" s="19"/>
    </row>
    <row r="171" spans="1:33" hidden="1" outlineLevel="2" x14ac:dyDescent="0.2">
      <c r="A171" s="19"/>
      <c r="B171" s="19"/>
      <c r="C171" s="506" t="str">
        <f t="shared" si="8"/>
        <v>Small business general light and power</v>
      </c>
      <c r="D171" s="505" t="str">
        <f t="shared" si="8"/>
        <v>Small Business LV</v>
      </c>
      <c r="E171" s="505" t="str">
        <f t="shared" si="8"/>
        <v>TAS22</v>
      </c>
      <c r="F171" s="505">
        <f t="shared" si="8"/>
        <v>0</v>
      </c>
      <c r="G171" s="505">
        <f t="shared" si="8"/>
        <v>0</v>
      </c>
      <c r="H171" s="58"/>
      <c r="I171" s="191"/>
      <c r="J171" s="191"/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87"/>
      <c r="AD171" s="19"/>
      <c r="AE171" s="19"/>
      <c r="AF171" s="19"/>
      <c r="AG171" s="19"/>
    </row>
    <row r="172" spans="1:33" hidden="1" outlineLevel="2" x14ac:dyDescent="0.2">
      <c r="A172" s="19"/>
      <c r="B172" s="19"/>
      <c r="C172" s="506" t="str">
        <f t="shared" si="8"/>
        <v>Small business time of use demand</v>
      </c>
      <c r="D172" s="505" t="str">
        <f t="shared" si="8"/>
        <v>Small Business LV</v>
      </c>
      <c r="E172" s="505" t="str">
        <f t="shared" si="8"/>
        <v>TAS88</v>
      </c>
      <c r="F172" s="505">
        <f t="shared" si="8"/>
        <v>0</v>
      </c>
      <c r="G172" s="505">
        <f t="shared" si="8"/>
        <v>0</v>
      </c>
      <c r="H172" s="58"/>
      <c r="I172" s="191"/>
      <c r="J172" s="191"/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87"/>
      <c r="AD172" s="19"/>
      <c r="AE172" s="19"/>
      <c r="AF172" s="19"/>
      <c r="AG172" s="19"/>
    </row>
    <row r="173" spans="1:33" hidden="1" outlineLevel="2" x14ac:dyDescent="0.2">
      <c r="A173" s="19"/>
      <c r="B173" s="19"/>
      <c r="C173" s="506" t="str">
        <f t="shared" si="8"/>
        <v>Small business time of use demand DER</v>
      </c>
      <c r="D173" s="505" t="str">
        <f t="shared" si="8"/>
        <v>Small Business LV</v>
      </c>
      <c r="E173" s="505" t="str">
        <f t="shared" si="8"/>
        <v>TAS98</v>
      </c>
      <c r="F173" s="505">
        <f t="shared" si="8"/>
        <v>0</v>
      </c>
      <c r="G173" s="505">
        <f t="shared" si="8"/>
        <v>0</v>
      </c>
      <c r="H173" s="58"/>
      <c r="I173" s="191"/>
      <c r="J173" s="191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87"/>
      <c r="AD173" s="19"/>
      <c r="AE173" s="19"/>
      <c r="AF173" s="19"/>
      <c r="AG173" s="19"/>
    </row>
    <row r="174" spans="1:33" hidden="1" outlineLevel="2" x14ac:dyDescent="0.2">
      <c r="A174" s="19"/>
      <c r="B174" s="19"/>
      <c r="C174" s="506" t="str">
        <f t="shared" ref="C174:G183" si="9">C18</f>
        <v>Large business kVA demand</v>
      </c>
      <c r="D174" s="505" t="str">
        <f t="shared" si="9"/>
        <v>Large Business LV</v>
      </c>
      <c r="E174" s="505" t="str">
        <f t="shared" si="9"/>
        <v>TAS82</v>
      </c>
      <c r="F174" s="505">
        <f t="shared" si="9"/>
        <v>0</v>
      </c>
      <c r="G174" s="505">
        <f t="shared" si="9"/>
        <v>0</v>
      </c>
      <c r="H174" s="58"/>
      <c r="I174" s="191"/>
      <c r="J174" s="191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87"/>
      <c r="AD174" s="19"/>
      <c r="AE174" s="19"/>
      <c r="AF174" s="19"/>
      <c r="AG174" s="19"/>
    </row>
    <row r="175" spans="1:33" hidden="1" outlineLevel="2" x14ac:dyDescent="0.2">
      <c r="A175" s="19"/>
      <c r="B175" s="19"/>
      <c r="C175" s="506" t="str">
        <f t="shared" si="9"/>
        <v>Large business time of use demand</v>
      </c>
      <c r="D175" s="505" t="str">
        <f t="shared" si="9"/>
        <v>Large Business LV</v>
      </c>
      <c r="E175" s="505" t="str">
        <f t="shared" si="9"/>
        <v>TAS89</v>
      </c>
      <c r="F175" s="505">
        <f t="shared" si="9"/>
        <v>0</v>
      </c>
      <c r="G175" s="505">
        <f t="shared" si="9"/>
        <v>0</v>
      </c>
      <c r="H175" s="58"/>
      <c r="I175" s="191"/>
      <c r="J175" s="191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87"/>
      <c r="AD175" s="19"/>
      <c r="AE175" s="19"/>
      <c r="AF175" s="19"/>
      <c r="AG175" s="19"/>
    </row>
    <row r="176" spans="1:33" hidden="1" outlineLevel="2" x14ac:dyDescent="0.2">
      <c r="A176" s="19"/>
      <c r="B176" s="19"/>
      <c r="C176" s="506" t="str">
        <f t="shared" si="9"/>
        <v>Irrigation time of use consumption</v>
      </c>
      <c r="D176" s="505" t="str">
        <f t="shared" si="9"/>
        <v>Irrigation</v>
      </c>
      <c r="E176" s="505" t="str">
        <f t="shared" si="9"/>
        <v>TAS75</v>
      </c>
      <c r="F176" s="505">
        <f t="shared" si="9"/>
        <v>0</v>
      </c>
      <c r="G176" s="505">
        <f t="shared" si="9"/>
        <v>0</v>
      </c>
      <c r="H176" s="58"/>
      <c r="I176" s="191"/>
      <c r="J176" s="191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87"/>
      <c r="AD176" s="19"/>
      <c r="AE176" s="19"/>
      <c r="AF176" s="19"/>
      <c r="AG176" s="19"/>
    </row>
    <row r="177" spans="1:33" hidden="1" outlineLevel="2" x14ac:dyDescent="0.2">
      <c r="A177" s="19"/>
      <c r="B177" s="19"/>
      <c r="C177" s="506" t="str">
        <f t="shared" si="9"/>
        <v>Business HV kVA specified demand &lt;2MVA</v>
      </c>
      <c r="D177" s="505" t="str">
        <f t="shared" si="9"/>
        <v>Large Business HV</v>
      </c>
      <c r="E177" s="505" t="str">
        <f t="shared" si="9"/>
        <v>TASSDM</v>
      </c>
      <c r="F177" s="505">
        <f t="shared" si="9"/>
        <v>0</v>
      </c>
      <c r="G177" s="505">
        <f t="shared" si="9"/>
        <v>0</v>
      </c>
      <c r="H177" s="58"/>
      <c r="I177" s="191"/>
      <c r="J177" s="191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87"/>
      <c r="AD177" s="19"/>
      <c r="AE177" s="19"/>
      <c r="AF177" s="19"/>
      <c r="AG177" s="19"/>
    </row>
    <row r="178" spans="1:33" hidden="1" outlineLevel="2" x14ac:dyDescent="0.2">
      <c r="A178" s="19"/>
      <c r="B178" s="19"/>
      <c r="C178" s="506" t="str">
        <f t="shared" si="9"/>
        <v>Business HV kVA specified demand &gt;2MVA</v>
      </c>
      <c r="D178" s="505" t="str">
        <f t="shared" si="9"/>
        <v>Large Business HV</v>
      </c>
      <c r="E178" s="505" t="str">
        <f t="shared" si="9"/>
        <v>TAS15*</v>
      </c>
      <c r="F178" s="505">
        <f t="shared" si="9"/>
        <v>0</v>
      </c>
      <c r="G178" s="505">
        <f t="shared" si="9"/>
        <v>0</v>
      </c>
      <c r="H178" s="58"/>
      <c r="I178" s="191"/>
      <c r="J178" s="191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87"/>
      <c r="AD178" s="19"/>
      <c r="AE178" s="19"/>
      <c r="AF178" s="19"/>
      <c r="AG178" s="19"/>
    </row>
    <row r="179" spans="1:33" hidden="1" outlineLevel="2" x14ac:dyDescent="0.2">
      <c r="A179" s="19"/>
      <c r="B179" s="19"/>
      <c r="C179" s="506" t="str">
        <f t="shared" si="9"/>
        <v>Uncontrolled low voltage heating and hot water</v>
      </c>
      <c r="D179" s="505" t="str">
        <f t="shared" si="9"/>
        <v>Uncontrolled energy</v>
      </c>
      <c r="E179" s="505" t="str">
        <f t="shared" si="9"/>
        <v>TAS41</v>
      </c>
      <c r="F179" s="505">
        <f t="shared" si="9"/>
        <v>0</v>
      </c>
      <c r="G179" s="505">
        <f t="shared" si="9"/>
        <v>0</v>
      </c>
      <c r="H179" s="58"/>
      <c r="I179" s="191"/>
      <c r="J179" s="191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87"/>
      <c r="AD179" s="19"/>
      <c r="AE179" s="19"/>
      <c r="AF179" s="19"/>
      <c r="AG179" s="19"/>
    </row>
    <row r="180" spans="1:33" hidden="1" outlineLevel="2" x14ac:dyDescent="0.2">
      <c r="A180" s="19"/>
      <c r="B180" s="19"/>
      <c r="C180" s="506" t="str">
        <f t="shared" si="9"/>
        <v>Controlled low voltage night period only</v>
      </c>
      <c r="D180" s="505" t="str">
        <f t="shared" si="9"/>
        <v>Controlled energy</v>
      </c>
      <c r="E180" s="505" t="str">
        <f t="shared" si="9"/>
        <v>TAS63</v>
      </c>
      <c r="F180" s="505">
        <f t="shared" si="9"/>
        <v>0</v>
      </c>
      <c r="G180" s="505">
        <f t="shared" si="9"/>
        <v>0</v>
      </c>
      <c r="H180" s="58"/>
      <c r="I180" s="191"/>
      <c r="J180" s="191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87"/>
      <c r="AD180" s="19"/>
      <c r="AE180" s="19"/>
      <c r="AF180" s="19"/>
      <c r="AG180" s="19"/>
    </row>
    <row r="181" spans="1:33" hidden="1" outlineLevel="2" x14ac:dyDescent="0.2">
      <c r="A181" s="19"/>
      <c r="B181" s="19"/>
      <c r="C181" s="506" t="str">
        <f t="shared" si="9"/>
        <v>Controlled low voltage off peak with afternoon boost</v>
      </c>
      <c r="D181" s="505" t="str">
        <f t="shared" si="9"/>
        <v>Controlled energy</v>
      </c>
      <c r="E181" s="505" t="str">
        <f t="shared" si="9"/>
        <v>TAS61</v>
      </c>
      <c r="F181" s="505">
        <f t="shared" si="9"/>
        <v>0</v>
      </c>
      <c r="G181" s="505">
        <f t="shared" si="9"/>
        <v>0</v>
      </c>
      <c r="H181" s="58"/>
      <c r="I181" s="191"/>
      <c r="J181" s="191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87"/>
      <c r="AD181" s="19"/>
      <c r="AE181" s="19"/>
      <c r="AF181" s="19"/>
      <c r="AG181" s="19"/>
    </row>
    <row r="182" spans="1:33" hidden="1" outlineLevel="2" x14ac:dyDescent="0.2">
      <c r="A182" s="19"/>
      <c r="B182" s="19"/>
      <c r="C182" s="506" t="str">
        <f t="shared" si="9"/>
        <v>Unmetered supply general</v>
      </c>
      <c r="D182" s="505" t="str">
        <f t="shared" si="9"/>
        <v>Unmetered supplies</v>
      </c>
      <c r="E182" s="505" t="str">
        <f t="shared" si="9"/>
        <v>TASUMS</v>
      </c>
      <c r="F182" s="505">
        <f t="shared" si="9"/>
        <v>0</v>
      </c>
      <c r="G182" s="505">
        <f t="shared" si="9"/>
        <v>0</v>
      </c>
      <c r="H182" s="58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87"/>
      <c r="AD182" s="19"/>
      <c r="AE182" s="19"/>
      <c r="AF182" s="19"/>
      <c r="AG182" s="19"/>
    </row>
    <row r="183" spans="1:33" hidden="1" outlineLevel="2" x14ac:dyDescent="0.2">
      <c r="A183" s="19"/>
      <c r="B183" s="19"/>
      <c r="C183" s="506" t="str">
        <f t="shared" si="9"/>
        <v>Street lighting</v>
      </c>
      <c r="D183" s="505" t="str">
        <f t="shared" si="9"/>
        <v>Street lighting</v>
      </c>
      <c r="E183" s="505" t="str">
        <f t="shared" si="9"/>
        <v>TASUMSSL</v>
      </c>
      <c r="F183" s="505">
        <f t="shared" si="9"/>
        <v>0</v>
      </c>
      <c r="G183" s="505">
        <f t="shared" si="9"/>
        <v>0</v>
      </c>
      <c r="H183" s="58"/>
      <c r="I183" s="191"/>
      <c r="J183" s="191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87"/>
      <c r="AD183" s="19"/>
      <c r="AE183" s="19"/>
      <c r="AF183" s="19"/>
      <c r="AG183" s="19"/>
    </row>
    <row r="184" spans="1:33" hidden="1" outlineLevel="2" x14ac:dyDescent="0.2">
      <c r="A184" s="19"/>
      <c r="B184" s="19"/>
      <c r="C184" s="506">
        <f t="shared" ref="C184:G193" si="10">C28</f>
        <v>0</v>
      </c>
      <c r="D184" s="505">
        <f t="shared" si="10"/>
        <v>0</v>
      </c>
      <c r="E184" s="505">
        <f t="shared" si="10"/>
        <v>0</v>
      </c>
      <c r="F184" s="505">
        <f t="shared" si="10"/>
        <v>0</v>
      </c>
      <c r="G184" s="505">
        <f t="shared" si="10"/>
        <v>0</v>
      </c>
      <c r="H184" s="58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87"/>
      <c r="AD184" s="19"/>
      <c r="AE184" s="19"/>
      <c r="AF184" s="19"/>
      <c r="AG184" s="19"/>
    </row>
    <row r="185" spans="1:33" hidden="1" outlineLevel="2" x14ac:dyDescent="0.2">
      <c r="A185" s="19"/>
      <c r="B185" s="19"/>
      <c r="C185" s="506">
        <f t="shared" si="10"/>
        <v>0</v>
      </c>
      <c r="D185" s="505">
        <f t="shared" si="10"/>
        <v>0</v>
      </c>
      <c r="E185" s="505">
        <f t="shared" si="10"/>
        <v>0</v>
      </c>
      <c r="F185" s="505">
        <f t="shared" si="10"/>
        <v>0</v>
      </c>
      <c r="G185" s="505">
        <f t="shared" si="10"/>
        <v>0</v>
      </c>
      <c r="H185" s="58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87"/>
      <c r="AD185" s="19"/>
      <c r="AE185" s="19"/>
      <c r="AF185" s="19"/>
      <c r="AG185" s="19"/>
    </row>
    <row r="186" spans="1:33" hidden="1" outlineLevel="2" x14ac:dyDescent="0.2">
      <c r="A186" s="19"/>
      <c r="B186" s="19"/>
      <c r="C186" s="506">
        <f t="shared" si="10"/>
        <v>0</v>
      </c>
      <c r="D186" s="505">
        <f t="shared" si="10"/>
        <v>0</v>
      </c>
      <c r="E186" s="505">
        <f t="shared" si="10"/>
        <v>0</v>
      </c>
      <c r="F186" s="505">
        <f t="shared" si="10"/>
        <v>0</v>
      </c>
      <c r="G186" s="505">
        <f t="shared" si="10"/>
        <v>0</v>
      </c>
      <c r="H186" s="58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87"/>
      <c r="AD186" s="19"/>
      <c r="AE186" s="19"/>
      <c r="AF186" s="19"/>
      <c r="AG186" s="19"/>
    </row>
    <row r="187" spans="1:33" hidden="1" outlineLevel="2" x14ac:dyDescent="0.2">
      <c r="A187" s="19"/>
      <c r="B187" s="19"/>
      <c r="C187" s="506">
        <f t="shared" si="10"/>
        <v>0</v>
      </c>
      <c r="D187" s="505">
        <f t="shared" si="10"/>
        <v>0</v>
      </c>
      <c r="E187" s="505">
        <f t="shared" si="10"/>
        <v>0</v>
      </c>
      <c r="F187" s="505">
        <f t="shared" si="10"/>
        <v>0</v>
      </c>
      <c r="G187" s="505">
        <f t="shared" si="10"/>
        <v>0</v>
      </c>
      <c r="H187" s="58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87"/>
      <c r="AD187" s="19"/>
      <c r="AE187" s="19"/>
      <c r="AF187" s="19"/>
      <c r="AG187" s="19"/>
    </row>
    <row r="188" spans="1:33" hidden="1" outlineLevel="2" x14ac:dyDescent="0.2">
      <c r="A188" s="19"/>
      <c r="B188" s="19"/>
      <c r="C188" s="506">
        <f t="shared" si="10"/>
        <v>0</v>
      </c>
      <c r="D188" s="505">
        <f t="shared" si="10"/>
        <v>0</v>
      </c>
      <c r="E188" s="505">
        <f t="shared" si="10"/>
        <v>0</v>
      </c>
      <c r="F188" s="505">
        <f t="shared" si="10"/>
        <v>0</v>
      </c>
      <c r="G188" s="505">
        <f t="shared" si="10"/>
        <v>0</v>
      </c>
      <c r="H188" s="58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87"/>
      <c r="AD188" s="19"/>
      <c r="AE188" s="19"/>
      <c r="AF188" s="19"/>
      <c r="AG188" s="19"/>
    </row>
    <row r="189" spans="1:33" hidden="1" outlineLevel="2" x14ac:dyDescent="0.2">
      <c r="A189" s="19"/>
      <c r="B189" s="19"/>
      <c r="C189" s="506">
        <f t="shared" si="10"/>
        <v>0</v>
      </c>
      <c r="D189" s="505">
        <f t="shared" si="10"/>
        <v>0</v>
      </c>
      <c r="E189" s="505">
        <f t="shared" si="10"/>
        <v>0</v>
      </c>
      <c r="F189" s="505">
        <f t="shared" si="10"/>
        <v>0</v>
      </c>
      <c r="G189" s="505">
        <f t="shared" si="10"/>
        <v>0</v>
      </c>
      <c r="H189" s="58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87"/>
      <c r="AD189" s="19"/>
      <c r="AE189" s="19"/>
      <c r="AF189" s="19"/>
      <c r="AG189" s="19"/>
    </row>
    <row r="190" spans="1:33" hidden="1" outlineLevel="2" x14ac:dyDescent="0.2">
      <c r="A190" s="19"/>
      <c r="B190" s="19"/>
      <c r="C190" s="506">
        <f t="shared" si="10"/>
        <v>0</v>
      </c>
      <c r="D190" s="505">
        <f t="shared" si="10"/>
        <v>0</v>
      </c>
      <c r="E190" s="505">
        <f t="shared" si="10"/>
        <v>0</v>
      </c>
      <c r="F190" s="505">
        <f t="shared" si="10"/>
        <v>0</v>
      </c>
      <c r="G190" s="505">
        <f t="shared" si="10"/>
        <v>0</v>
      </c>
      <c r="H190" s="58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87"/>
      <c r="AD190" s="19"/>
      <c r="AE190" s="19"/>
      <c r="AF190" s="19"/>
      <c r="AG190" s="19"/>
    </row>
    <row r="191" spans="1:33" hidden="1" outlineLevel="2" x14ac:dyDescent="0.2">
      <c r="A191" s="19"/>
      <c r="B191" s="19"/>
      <c r="C191" s="506">
        <f t="shared" si="10"/>
        <v>0</v>
      </c>
      <c r="D191" s="505">
        <f t="shared" si="10"/>
        <v>0</v>
      </c>
      <c r="E191" s="505">
        <f t="shared" si="10"/>
        <v>0</v>
      </c>
      <c r="F191" s="505">
        <f t="shared" si="10"/>
        <v>0</v>
      </c>
      <c r="G191" s="505">
        <f t="shared" si="10"/>
        <v>0</v>
      </c>
      <c r="H191" s="58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87"/>
      <c r="AD191" s="19"/>
      <c r="AE191" s="19"/>
      <c r="AF191" s="19"/>
      <c r="AG191" s="19"/>
    </row>
    <row r="192" spans="1:33" hidden="1" outlineLevel="2" x14ac:dyDescent="0.2">
      <c r="A192" s="19"/>
      <c r="B192" s="19"/>
      <c r="C192" s="506">
        <f t="shared" si="10"/>
        <v>0</v>
      </c>
      <c r="D192" s="505">
        <f t="shared" si="10"/>
        <v>0</v>
      </c>
      <c r="E192" s="505">
        <f t="shared" si="10"/>
        <v>0</v>
      </c>
      <c r="F192" s="505">
        <f t="shared" si="10"/>
        <v>0</v>
      </c>
      <c r="G192" s="505">
        <f t="shared" si="10"/>
        <v>0</v>
      </c>
      <c r="H192" s="58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87"/>
      <c r="AD192" s="19"/>
      <c r="AE192" s="19"/>
      <c r="AF192" s="19"/>
      <c r="AG192" s="19"/>
    </row>
    <row r="193" spans="1:33" hidden="1" outlineLevel="2" x14ac:dyDescent="0.2">
      <c r="A193" s="19"/>
      <c r="B193" s="19"/>
      <c r="C193" s="506">
        <f t="shared" si="10"/>
        <v>0</v>
      </c>
      <c r="D193" s="505">
        <f t="shared" si="10"/>
        <v>0</v>
      </c>
      <c r="E193" s="505">
        <f t="shared" si="10"/>
        <v>0</v>
      </c>
      <c r="F193" s="505">
        <f t="shared" si="10"/>
        <v>0</v>
      </c>
      <c r="G193" s="505">
        <f t="shared" si="10"/>
        <v>0</v>
      </c>
      <c r="H193" s="58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87"/>
      <c r="AD193" s="19"/>
      <c r="AE193" s="19"/>
      <c r="AF193" s="19"/>
      <c r="AG193" s="19"/>
    </row>
    <row r="194" spans="1:33" hidden="1" outlineLevel="2" x14ac:dyDescent="0.2">
      <c r="A194" s="19"/>
      <c r="B194" s="19"/>
      <c r="C194" s="506">
        <f t="shared" ref="C194:G203" si="11">C38</f>
        <v>0</v>
      </c>
      <c r="D194" s="505">
        <f t="shared" si="11"/>
        <v>0</v>
      </c>
      <c r="E194" s="505">
        <f t="shared" si="11"/>
        <v>0</v>
      </c>
      <c r="F194" s="505">
        <f t="shared" si="11"/>
        <v>0</v>
      </c>
      <c r="G194" s="505">
        <f t="shared" si="11"/>
        <v>0</v>
      </c>
      <c r="H194" s="58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87"/>
      <c r="AD194" s="19"/>
      <c r="AE194" s="19"/>
      <c r="AF194" s="19"/>
      <c r="AG194" s="19"/>
    </row>
    <row r="195" spans="1:33" hidden="1" outlineLevel="2" x14ac:dyDescent="0.2">
      <c r="A195" s="19"/>
      <c r="B195" s="19"/>
      <c r="C195" s="506">
        <f t="shared" si="11"/>
        <v>0</v>
      </c>
      <c r="D195" s="505">
        <f t="shared" si="11"/>
        <v>0</v>
      </c>
      <c r="E195" s="505">
        <f t="shared" si="11"/>
        <v>0</v>
      </c>
      <c r="F195" s="505">
        <f t="shared" si="11"/>
        <v>0</v>
      </c>
      <c r="G195" s="505">
        <f t="shared" si="11"/>
        <v>0</v>
      </c>
      <c r="H195" s="58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87"/>
      <c r="AD195" s="19"/>
      <c r="AE195" s="19"/>
      <c r="AF195" s="19"/>
      <c r="AG195" s="19"/>
    </row>
    <row r="196" spans="1:33" hidden="1" outlineLevel="2" x14ac:dyDescent="0.2">
      <c r="A196" s="19"/>
      <c r="B196" s="19"/>
      <c r="C196" s="506">
        <f t="shared" si="11"/>
        <v>0</v>
      </c>
      <c r="D196" s="505">
        <f t="shared" si="11"/>
        <v>0</v>
      </c>
      <c r="E196" s="505">
        <f t="shared" si="11"/>
        <v>0</v>
      </c>
      <c r="F196" s="505">
        <f t="shared" si="11"/>
        <v>0</v>
      </c>
      <c r="G196" s="505">
        <f t="shared" si="11"/>
        <v>0</v>
      </c>
      <c r="H196" s="58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87"/>
      <c r="AD196" s="19"/>
      <c r="AE196" s="19"/>
      <c r="AF196" s="19"/>
      <c r="AG196" s="19"/>
    </row>
    <row r="197" spans="1:33" hidden="1" outlineLevel="2" x14ac:dyDescent="0.2">
      <c r="A197" s="19"/>
      <c r="B197" s="19"/>
      <c r="C197" s="506">
        <f t="shared" si="11"/>
        <v>0</v>
      </c>
      <c r="D197" s="505">
        <f t="shared" si="11"/>
        <v>0</v>
      </c>
      <c r="E197" s="505">
        <f t="shared" si="11"/>
        <v>0</v>
      </c>
      <c r="F197" s="505">
        <f t="shared" si="11"/>
        <v>0</v>
      </c>
      <c r="G197" s="505">
        <f t="shared" si="11"/>
        <v>0</v>
      </c>
      <c r="H197" s="58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87"/>
      <c r="AD197" s="19"/>
      <c r="AE197" s="19"/>
      <c r="AF197" s="19"/>
      <c r="AG197" s="19"/>
    </row>
    <row r="198" spans="1:33" hidden="1" outlineLevel="2" x14ac:dyDescent="0.2">
      <c r="A198" s="19"/>
      <c r="B198" s="19"/>
      <c r="C198" s="506">
        <f t="shared" si="11"/>
        <v>0</v>
      </c>
      <c r="D198" s="505">
        <f t="shared" si="11"/>
        <v>0</v>
      </c>
      <c r="E198" s="505">
        <f t="shared" si="11"/>
        <v>0</v>
      </c>
      <c r="F198" s="505">
        <f t="shared" si="11"/>
        <v>0</v>
      </c>
      <c r="G198" s="505">
        <f t="shared" si="11"/>
        <v>0</v>
      </c>
      <c r="H198" s="58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87"/>
      <c r="AD198" s="19"/>
      <c r="AE198" s="19"/>
      <c r="AF198" s="19"/>
      <c r="AG198" s="19"/>
    </row>
    <row r="199" spans="1:33" hidden="1" outlineLevel="2" x14ac:dyDescent="0.2">
      <c r="A199" s="19"/>
      <c r="B199" s="19"/>
      <c r="C199" s="506">
        <f t="shared" si="11"/>
        <v>0</v>
      </c>
      <c r="D199" s="505">
        <f t="shared" si="11"/>
        <v>0</v>
      </c>
      <c r="E199" s="505">
        <f t="shared" si="11"/>
        <v>0</v>
      </c>
      <c r="F199" s="505">
        <f t="shared" si="11"/>
        <v>0</v>
      </c>
      <c r="G199" s="505">
        <f t="shared" si="11"/>
        <v>0</v>
      </c>
      <c r="H199" s="58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87"/>
      <c r="AD199" s="19"/>
      <c r="AE199" s="19"/>
      <c r="AF199" s="19"/>
      <c r="AG199" s="19"/>
    </row>
    <row r="200" spans="1:33" hidden="1" outlineLevel="2" x14ac:dyDescent="0.2">
      <c r="A200" s="19"/>
      <c r="B200" s="19"/>
      <c r="C200" s="506">
        <f t="shared" si="11"/>
        <v>0</v>
      </c>
      <c r="D200" s="505">
        <f t="shared" si="11"/>
        <v>0</v>
      </c>
      <c r="E200" s="505">
        <f t="shared" si="11"/>
        <v>0</v>
      </c>
      <c r="F200" s="505">
        <f t="shared" si="11"/>
        <v>0</v>
      </c>
      <c r="G200" s="505">
        <f t="shared" si="11"/>
        <v>0</v>
      </c>
      <c r="H200" s="58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87"/>
      <c r="AD200" s="19"/>
      <c r="AE200" s="19"/>
      <c r="AF200" s="19"/>
      <c r="AG200" s="19"/>
    </row>
    <row r="201" spans="1:33" hidden="1" outlineLevel="2" x14ac:dyDescent="0.2">
      <c r="A201" s="19"/>
      <c r="B201" s="19"/>
      <c r="C201" s="506">
        <f t="shared" si="11"/>
        <v>0</v>
      </c>
      <c r="D201" s="505">
        <f t="shared" si="11"/>
        <v>0</v>
      </c>
      <c r="E201" s="505">
        <f t="shared" si="11"/>
        <v>0</v>
      </c>
      <c r="F201" s="505">
        <f t="shared" si="11"/>
        <v>0</v>
      </c>
      <c r="G201" s="505">
        <f t="shared" si="11"/>
        <v>0</v>
      </c>
      <c r="H201" s="58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87"/>
      <c r="AD201" s="19"/>
      <c r="AE201" s="19"/>
      <c r="AF201" s="19"/>
      <c r="AG201" s="19"/>
    </row>
    <row r="202" spans="1:33" hidden="1" outlineLevel="2" x14ac:dyDescent="0.2">
      <c r="A202" s="19"/>
      <c r="B202" s="19"/>
      <c r="C202" s="506">
        <f t="shared" si="11"/>
        <v>0</v>
      </c>
      <c r="D202" s="505">
        <f t="shared" si="11"/>
        <v>0</v>
      </c>
      <c r="E202" s="505">
        <f t="shared" si="11"/>
        <v>0</v>
      </c>
      <c r="F202" s="505">
        <f t="shared" si="11"/>
        <v>0</v>
      </c>
      <c r="G202" s="505">
        <f t="shared" si="11"/>
        <v>0</v>
      </c>
      <c r="H202" s="58"/>
      <c r="I202" s="191"/>
      <c r="J202" s="191"/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87"/>
      <c r="AD202" s="19"/>
      <c r="AE202" s="19"/>
      <c r="AF202" s="19"/>
      <c r="AG202" s="19"/>
    </row>
    <row r="203" spans="1:33" hidden="1" outlineLevel="2" x14ac:dyDescent="0.2">
      <c r="A203" s="19"/>
      <c r="B203" s="19"/>
      <c r="C203" s="506">
        <f t="shared" si="11"/>
        <v>0</v>
      </c>
      <c r="D203" s="505">
        <f t="shared" si="11"/>
        <v>0</v>
      </c>
      <c r="E203" s="505">
        <f t="shared" si="11"/>
        <v>0</v>
      </c>
      <c r="F203" s="505">
        <f t="shared" si="11"/>
        <v>0</v>
      </c>
      <c r="G203" s="505">
        <f t="shared" si="11"/>
        <v>0</v>
      </c>
      <c r="H203" s="58"/>
      <c r="I203" s="191"/>
      <c r="J203" s="191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87"/>
      <c r="AD203" s="19"/>
      <c r="AE203" s="19"/>
      <c r="AF203" s="19"/>
      <c r="AG203" s="19"/>
    </row>
    <row r="204" spans="1:33" hidden="1" outlineLevel="2" x14ac:dyDescent="0.2">
      <c r="A204" s="19"/>
      <c r="B204" s="19"/>
      <c r="C204" s="506">
        <f t="shared" ref="C204:G213" si="12">C48</f>
        <v>0</v>
      </c>
      <c r="D204" s="505">
        <f t="shared" si="12"/>
        <v>0</v>
      </c>
      <c r="E204" s="505">
        <f t="shared" si="12"/>
        <v>0</v>
      </c>
      <c r="F204" s="505">
        <f t="shared" si="12"/>
        <v>0</v>
      </c>
      <c r="G204" s="505">
        <f t="shared" si="12"/>
        <v>0</v>
      </c>
      <c r="H204" s="58"/>
      <c r="I204" s="191"/>
      <c r="J204" s="191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87"/>
      <c r="AD204" s="19"/>
      <c r="AE204" s="19"/>
      <c r="AF204" s="19"/>
      <c r="AG204" s="19"/>
    </row>
    <row r="205" spans="1:33" hidden="1" outlineLevel="2" x14ac:dyDescent="0.2">
      <c r="A205" s="19"/>
      <c r="B205" s="19"/>
      <c r="C205" s="506">
        <f t="shared" si="12"/>
        <v>0</v>
      </c>
      <c r="D205" s="505">
        <f t="shared" si="12"/>
        <v>0</v>
      </c>
      <c r="E205" s="505">
        <f t="shared" si="12"/>
        <v>0</v>
      </c>
      <c r="F205" s="505">
        <f t="shared" si="12"/>
        <v>0</v>
      </c>
      <c r="G205" s="505">
        <f t="shared" si="12"/>
        <v>0</v>
      </c>
      <c r="H205" s="58"/>
      <c r="I205" s="191"/>
      <c r="J205" s="191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87"/>
      <c r="AD205" s="19"/>
      <c r="AE205" s="19"/>
      <c r="AF205" s="19"/>
      <c r="AG205" s="19"/>
    </row>
    <row r="206" spans="1:33" hidden="1" outlineLevel="2" x14ac:dyDescent="0.2">
      <c r="A206" s="19"/>
      <c r="B206" s="19"/>
      <c r="C206" s="506">
        <f t="shared" si="12"/>
        <v>0</v>
      </c>
      <c r="D206" s="505">
        <f t="shared" si="12"/>
        <v>0</v>
      </c>
      <c r="E206" s="505">
        <f t="shared" si="12"/>
        <v>0</v>
      </c>
      <c r="F206" s="505">
        <f t="shared" si="12"/>
        <v>0</v>
      </c>
      <c r="G206" s="505">
        <f t="shared" si="12"/>
        <v>0</v>
      </c>
      <c r="H206" s="58"/>
      <c r="I206" s="191"/>
      <c r="J206" s="191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87"/>
      <c r="AD206" s="19"/>
      <c r="AE206" s="19"/>
      <c r="AF206" s="19"/>
      <c r="AG206" s="19"/>
    </row>
    <row r="207" spans="1:33" hidden="1" outlineLevel="2" x14ac:dyDescent="0.2">
      <c r="A207" s="19"/>
      <c r="B207" s="19"/>
      <c r="C207" s="506">
        <f t="shared" si="12"/>
        <v>0</v>
      </c>
      <c r="D207" s="505">
        <f t="shared" si="12"/>
        <v>0</v>
      </c>
      <c r="E207" s="505">
        <f t="shared" si="12"/>
        <v>0</v>
      </c>
      <c r="F207" s="505">
        <f t="shared" si="12"/>
        <v>0</v>
      </c>
      <c r="G207" s="505">
        <f t="shared" si="12"/>
        <v>0</v>
      </c>
      <c r="H207" s="58"/>
      <c r="I207" s="191"/>
      <c r="J207" s="191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87"/>
      <c r="AD207" s="19"/>
      <c r="AE207" s="19"/>
      <c r="AF207" s="19"/>
      <c r="AG207" s="19"/>
    </row>
    <row r="208" spans="1:33" hidden="1" outlineLevel="2" x14ac:dyDescent="0.2">
      <c r="A208" s="19"/>
      <c r="B208" s="19"/>
      <c r="C208" s="506">
        <f t="shared" si="12"/>
        <v>0</v>
      </c>
      <c r="D208" s="505">
        <f t="shared" si="12"/>
        <v>0</v>
      </c>
      <c r="E208" s="505">
        <f t="shared" si="12"/>
        <v>0</v>
      </c>
      <c r="F208" s="505">
        <f t="shared" si="12"/>
        <v>0</v>
      </c>
      <c r="G208" s="505">
        <f t="shared" si="12"/>
        <v>0</v>
      </c>
      <c r="H208" s="58"/>
      <c r="I208" s="191"/>
      <c r="J208" s="191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87"/>
      <c r="AD208" s="19"/>
      <c r="AE208" s="19"/>
      <c r="AF208" s="19"/>
      <c r="AG208" s="19"/>
    </row>
    <row r="209" spans="1:33" hidden="1" outlineLevel="2" x14ac:dyDescent="0.2">
      <c r="A209" s="19"/>
      <c r="B209" s="19"/>
      <c r="C209" s="506">
        <f t="shared" si="12"/>
        <v>0</v>
      </c>
      <c r="D209" s="505">
        <f t="shared" si="12"/>
        <v>0</v>
      </c>
      <c r="E209" s="505">
        <f t="shared" si="12"/>
        <v>0</v>
      </c>
      <c r="F209" s="505">
        <f t="shared" si="12"/>
        <v>0</v>
      </c>
      <c r="G209" s="505">
        <f t="shared" si="12"/>
        <v>0</v>
      </c>
      <c r="H209" s="58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87"/>
      <c r="AD209" s="19"/>
      <c r="AE209" s="19"/>
      <c r="AF209" s="19"/>
      <c r="AG209" s="19"/>
    </row>
    <row r="210" spans="1:33" hidden="1" outlineLevel="2" x14ac:dyDescent="0.2">
      <c r="A210" s="19"/>
      <c r="B210" s="19"/>
      <c r="C210" s="506">
        <f t="shared" si="12"/>
        <v>0</v>
      </c>
      <c r="D210" s="505">
        <f t="shared" si="12"/>
        <v>0</v>
      </c>
      <c r="E210" s="505">
        <f t="shared" si="12"/>
        <v>0</v>
      </c>
      <c r="F210" s="505">
        <f t="shared" si="12"/>
        <v>0</v>
      </c>
      <c r="G210" s="505">
        <f t="shared" si="12"/>
        <v>0</v>
      </c>
      <c r="H210" s="58"/>
      <c r="I210" s="191"/>
      <c r="J210" s="191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87"/>
      <c r="AD210" s="19"/>
      <c r="AE210" s="19"/>
      <c r="AF210" s="19"/>
      <c r="AG210" s="19"/>
    </row>
    <row r="211" spans="1:33" hidden="1" outlineLevel="3" x14ac:dyDescent="0.2">
      <c r="A211" s="19"/>
      <c r="B211" s="19"/>
      <c r="C211" s="506">
        <f t="shared" si="12"/>
        <v>0</v>
      </c>
      <c r="D211" s="505">
        <f t="shared" si="12"/>
        <v>0</v>
      </c>
      <c r="E211" s="505">
        <f t="shared" si="12"/>
        <v>0</v>
      </c>
      <c r="F211" s="505">
        <f t="shared" si="12"/>
        <v>0</v>
      </c>
      <c r="G211" s="505">
        <f t="shared" si="12"/>
        <v>0</v>
      </c>
      <c r="H211" s="58"/>
      <c r="I211" s="191"/>
      <c r="J211" s="191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87"/>
      <c r="AD211" s="19"/>
      <c r="AE211" s="19"/>
      <c r="AF211" s="19"/>
      <c r="AG211" s="19"/>
    </row>
    <row r="212" spans="1:33" hidden="1" outlineLevel="3" x14ac:dyDescent="0.2">
      <c r="A212" s="19"/>
      <c r="B212" s="19"/>
      <c r="C212" s="506">
        <f t="shared" si="12"/>
        <v>0</v>
      </c>
      <c r="D212" s="505">
        <f t="shared" si="12"/>
        <v>0</v>
      </c>
      <c r="E212" s="505">
        <f t="shared" si="12"/>
        <v>0</v>
      </c>
      <c r="F212" s="505">
        <f t="shared" si="12"/>
        <v>0</v>
      </c>
      <c r="G212" s="505">
        <f t="shared" si="12"/>
        <v>0</v>
      </c>
      <c r="H212" s="58"/>
      <c r="I212" s="191"/>
      <c r="J212" s="191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87"/>
      <c r="AD212" s="19"/>
      <c r="AE212" s="19"/>
      <c r="AF212" s="19"/>
      <c r="AG212" s="19"/>
    </row>
    <row r="213" spans="1:33" hidden="1" outlineLevel="3" x14ac:dyDescent="0.2">
      <c r="A213" s="19"/>
      <c r="B213" s="19"/>
      <c r="C213" s="506">
        <f t="shared" si="12"/>
        <v>0</v>
      </c>
      <c r="D213" s="505">
        <f t="shared" si="12"/>
        <v>0</v>
      </c>
      <c r="E213" s="505">
        <f t="shared" si="12"/>
        <v>0</v>
      </c>
      <c r="F213" s="505">
        <f t="shared" si="12"/>
        <v>0</v>
      </c>
      <c r="G213" s="505">
        <f t="shared" si="12"/>
        <v>0</v>
      </c>
      <c r="H213" s="58"/>
      <c r="I213" s="191"/>
      <c r="J213" s="191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87"/>
      <c r="AD213" s="19"/>
      <c r="AE213" s="19"/>
      <c r="AF213" s="19"/>
      <c r="AG213" s="19"/>
    </row>
    <row r="214" spans="1:33" hidden="1" outlineLevel="3" x14ac:dyDescent="0.2">
      <c r="A214" s="19"/>
      <c r="B214" s="19"/>
      <c r="C214" s="506">
        <f t="shared" ref="C214:G223" si="13">C58</f>
        <v>0</v>
      </c>
      <c r="D214" s="505">
        <f t="shared" si="13"/>
        <v>0</v>
      </c>
      <c r="E214" s="505">
        <f t="shared" si="13"/>
        <v>0</v>
      </c>
      <c r="F214" s="505">
        <f t="shared" si="13"/>
        <v>0</v>
      </c>
      <c r="G214" s="505">
        <f t="shared" si="13"/>
        <v>0</v>
      </c>
      <c r="H214" s="58"/>
      <c r="I214" s="191"/>
      <c r="J214" s="191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87"/>
      <c r="AD214" s="19"/>
      <c r="AE214" s="19"/>
      <c r="AF214" s="19"/>
      <c r="AG214" s="19"/>
    </row>
    <row r="215" spans="1:33" hidden="1" outlineLevel="3" x14ac:dyDescent="0.2">
      <c r="A215" s="19"/>
      <c r="B215" s="19"/>
      <c r="C215" s="506">
        <f t="shared" si="13"/>
        <v>0</v>
      </c>
      <c r="D215" s="505">
        <f t="shared" si="13"/>
        <v>0</v>
      </c>
      <c r="E215" s="505">
        <f t="shared" si="13"/>
        <v>0</v>
      </c>
      <c r="F215" s="505">
        <f t="shared" si="13"/>
        <v>0</v>
      </c>
      <c r="G215" s="505">
        <f t="shared" si="13"/>
        <v>0</v>
      </c>
      <c r="H215" s="58"/>
      <c r="I215" s="191"/>
      <c r="J215" s="191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87"/>
      <c r="AD215" s="19"/>
      <c r="AE215" s="19"/>
      <c r="AF215" s="19"/>
      <c r="AG215" s="19"/>
    </row>
    <row r="216" spans="1:33" hidden="1" outlineLevel="3" x14ac:dyDescent="0.2">
      <c r="A216" s="19"/>
      <c r="B216" s="19"/>
      <c r="C216" s="506">
        <f t="shared" si="13"/>
        <v>0</v>
      </c>
      <c r="D216" s="505">
        <f t="shared" si="13"/>
        <v>0</v>
      </c>
      <c r="E216" s="505">
        <f t="shared" si="13"/>
        <v>0</v>
      </c>
      <c r="F216" s="505">
        <f t="shared" si="13"/>
        <v>0</v>
      </c>
      <c r="G216" s="505">
        <f t="shared" si="13"/>
        <v>0</v>
      </c>
      <c r="H216" s="58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87"/>
      <c r="AD216" s="19"/>
      <c r="AE216" s="19"/>
      <c r="AF216" s="19"/>
      <c r="AG216" s="19"/>
    </row>
    <row r="217" spans="1:33" hidden="1" outlineLevel="3" x14ac:dyDescent="0.2">
      <c r="A217" s="19"/>
      <c r="B217" s="19"/>
      <c r="C217" s="506">
        <f t="shared" si="13"/>
        <v>0</v>
      </c>
      <c r="D217" s="505">
        <f t="shared" si="13"/>
        <v>0</v>
      </c>
      <c r="E217" s="505">
        <f t="shared" si="13"/>
        <v>0</v>
      </c>
      <c r="F217" s="505">
        <f t="shared" si="13"/>
        <v>0</v>
      </c>
      <c r="G217" s="505">
        <f t="shared" si="13"/>
        <v>0</v>
      </c>
      <c r="H217" s="58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87"/>
      <c r="AD217" s="19"/>
      <c r="AE217" s="19"/>
      <c r="AF217" s="19"/>
      <c r="AG217" s="19"/>
    </row>
    <row r="218" spans="1:33" hidden="1" outlineLevel="3" x14ac:dyDescent="0.2">
      <c r="A218" s="19"/>
      <c r="B218" s="19"/>
      <c r="C218" s="506">
        <f t="shared" si="13"/>
        <v>0</v>
      </c>
      <c r="D218" s="505">
        <f t="shared" si="13"/>
        <v>0</v>
      </c>
      <c r="E218" s="505">
        <f t="shared" si="13"/>
        <v>0</v>
      </c>
      <c r="F218" s="505">
        <f t="shared" si="13"/>
        <v>0</v>
      </c>
      <c r="G218" s="505">
        <f t="shared" si="13"/>
        <v>0</v>
      </c>
      <c r="H218" s="58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87"/>
      <c r="AD218" s="19"/>
      <c r="AE218" s="19"/>
      <c r="AF218" s="19"/>
      <c r="AG218" s="19"/>
    </row>
    <row r="219" spans="1:33" hidden="1" outlineLevel="3" x14ac:dyDescent="0.2">
      <c r="A219" s="19"/>
      <c r="B219" s="19"/>
      <c r="C219" s="506">
        <f t="shared" si="13"/>
        <v>0</v>
      </c>
      <c r="D219" s="505">
        <f t="shared" si="13"/>
        <v>0</v>
      </c>
      <c r="E219" s="505">
        <f t="shared" si="13"/>
        <v>0</v>
      </c>
      <c r="F219" s="505">
        <f t="shared" si="13"/>
        <v>0</v>
      </c>
      <c r="G219" s="505">
        <f t="shared" si="13"/>
        <v>0</v>
      </c>
      <c r="H219" s="58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87"/>
      <c r="AD219" s="19"/>
      <c r="AE219" s="19"/>
      <c r="AF219" s="19"/>
      <c r="AG219" s="19"/>
    </row>
    <row r="220" spans="1:33" hidden="1" outlineLevel="3" x14ac:dyDescent="0.2">
      <c r="A220" s="19"/>
      <c r="B220" s="19"/>
      <c r="C220" s="506">
        <f t="shared" si="13"/>
        <v>0</v>
      </c>
      <c r="D220" s="505">
        <f t="shared" si="13"/>
        <v>0</v>
      </c>
      <c r="E220" s="505">
        <f t="shared" si="13"/>
        <v>0</v>
      </c>
      <c r="F220" s="505">
        <f t="shared" si="13"/>
        <v>0</v>
      </c>
      <c r="G220" s="505">
        <f t="shared" si="13"/>
        <v>0</v>
      </c>
      <c r="H220" s="58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87"/>
      <c r="AD220" s="19"/>
      <c r="AE220" s="19"/>
      <c r="AF220" s="19"/>
      <c r="AG220" s="19"/>
    </row>
    <row r="221" spans="1:33" hidden="1" outlineLevel="3" x14ac:dyDescent="0.2">
      <c r="A221" s="19"/>
      <c r="B221" s="19"/>
      <c r="C221" s="506">
        <f t="shared" si="13"/>
        <v>0</v>
      </c>
      <c r="D221" s="505">
        <f t="shared" si="13"/>
        <v>0</v>
      </c>
      <c r="E221" s="505">
        <f t="shared" si="13"/>
        <v>0</v>
      </c>
      <c r="F221" s="505">
        <f t="shared" si="13"/>
        <v>0</v>
      </c>
      <c r="G221" s="505">
        <f t="shared" si="13"/>
        <v>0</v>
      </c>
      <c r="H221" s="58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87"/>
      <c r="AD221" s="19"/>
      <c r="AE221" s="19"/>
      <c r="AF221" s="19"/>
      <c r="AG221" s="19"/>
    </row>
    <row r="222" spans="1:33" hidden="1" outlineLevel="3" x14ac:dyDescent="0.2">
      <c r="A222" s="19"/>
      <c r="B222" s="19"/>
      <c r="C222" s="506">
        <f t="shared" si="13"/>
        <v>0</v>
      </c>
      <c r="D222" s="505">
        <f t="shared" si="13"/>
        <v>0</v>
      </c>
      <c r="E222" s="505">
        <f t="shared" si="13"/>
        <v>0</v>
      </c>
      <c r="F222" s="505">
        <f t="shared" si="13"/>
        <v>0</v>
      </c>
      <c r="G222" s="505">
        <f t="shared" si="13"/>
        <v>0</v>
      </c>
      <c r="H222" s="58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87"/>
      <c r="AD222" s="19"/>
      <c r="AE222" s="19"/>
      <c r="AF222" s="19"/>
      <c r="AG222" s="19"/>
    </row>
    <row r="223" spans="1:33" hidden="1" outlineLevel="3" x14ac:dyDescent="0.2">
      <c r="A223" s="19"/>
      <c r="B223" s="19"/>
      <c r="C223" s="506">
        <f t="shared" si="13"/>
        <v>0</v>
      </c>
      <c r="D223" s="505">
        <f t="shared" si="13"/>
        <v>0</v>
      </c>
      <c r="E223" s="505">
        <f t="shared" si="13"/>
        <v>0</v>
      </c>
      <c r="F223" s="505">
        <f t="shared" si="13"/>
        <v>0</v>
      </c>
      <c r="G223" s="505">
        <f t="shared" si="13"/>
        <v>0</v>
      </c>
      <c r="H223" s="58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87"/>
      <c r="AD223" s="19"/>
      <c r="AE223" s="19"/>
      <c r="AF223" s="19"/>
      <c r="AG223" s="19"/>
    </row>
    <row r="224" spans="1:33" hidden="1" outlineLevel="3" x14ac:dyDescent="0.2">
      <c r="A224" s="19"/>
      <c r="B224" s="19"/>
      <c r="C224" s="506">
        <f t="shared" ref="C224:G233" si="14">C68</f>
        <v>0</v>
      </c>
      <c r="D224" s="505">
        <f t="shared" si="14"/>
        <v>0</v>
      </c>
      <c r="E224" s="505">
        <f t="shared" si="14"/>
        <v>0</v>
      </c>
      <c r="F224" s="505">
        <f t="shared" si="14"/>
        <v>0</v>
      </c>
      <c r="G224" s="505">
        <f t="shared" si="14"/>
        <v>0</v>
      </c>
      <c r="H224" s="58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87"/>
      <c r="AD224" s="19"/>
      <c r="AE224" s="19"/>
      <c r="AF224" s="19"/>
      <c r="AG224" s="19"/>
    </row>
    <row r="225" spans="1:33" hidden="1" outlineLevel="3" x14ac:dyDescent="0.2">
      <c r="A225" s="19"/>
      <c r="B225" s="19"/>
      <c r="C225" s="506">
        <f t="shared" si="14"/>
        <v>0</v>
      </c>
      <c r="D225" s="505">
        <f t="shared" si="14"/>
        <v>0</v>
      </c>
      <c r="E225" s="505">
        <f t="shared" si="14"/>
        <v>0</v>
      </c>
      <c r="F225" s="505">
        <f t="shared" si="14"/>
        <v>0</v>
      </c>
      <c r="G225" s="505">
        <f t="shared" si="14"/>
        <v>0</v>
      </c>
      <c r="H225" s="58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87"/>
      <c r="AD225" s="19"/>
      <c r="AE225" s="19"/>
      <c r="AF225" s="19"/>
      <c r="AG225" s="19"/>
    </row>
    <row r="226" spans="1:33" hidden="1" outlineLevel="3" x14ac:dyDescent="0.2">
      <c r="A226" s="19"/>
      <c r="B226" s="19"/>
      <c r="C226" s="506">
        <f t="shared" si="14"/>
        <v>0</v>
      </c>
      <c r="D226" s="505">
        <f t="shared" si="14"/>
        <v>0</v>
      </c>
      <c r="E226" s="505">
        <f t="shared" si="14"/>
        <v>0</v>
      </c>
      <c r="F226" s="505">
        <f t="shared" si="14"/>
        <v>0</v>
      </c>
      <c r="G226" s="505">
        <f t="shared" si="14"/>
        <v>0</v>
      </c>
      <c r="H226" s="58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87"/>
      <c r="AD226" s="19"/>
      <c r="AE226" s="19"/>
      <c r="AF226" s="19"/>
      <c r="AG226" s="19"/>
    </row>
    <row r="227" spans="1:33" hidden="1" outlineLevel="3" x14ac:dyDescent="0.2">
      <c r="A227" s="19"/>
      <c r="B227" s="19"/>
      <c r="C227" s="506">
        <f t="shared" si="14"/>
        <v>0</v>
      </c>
      <c r="D227" s="505">
        <f t="shared" si="14"/>
        <v>0</v>
      </c>
      <c r="E227" s="505">
        <f t="shared" si="14"/>
        <v>0</v>
      </c>
      <c r="F227" s="505">
        <f t="shared" si="14"/>
        <v>0</v>
      </c>
      <c r="G227" s="505">
        <f t="shared" si="14"/>
        <v>0</v>
      </c>
      <c r="H227" s="58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87"/>
      <c r="AD227" s="19"/>
      <c r="AE227" s="19"/>
      <c r="AF227" s="19"/>
      <c r="AG227" s="19"/>
    </row>
    <row r="228" spans="1:33" hidden="1" outlineLevel="3" x14ac:dyDescent="0.2">
      <c r="A228" s="19"/>
      <c r="B228" s="19"/>
      <c r="C228" s="506">
        <f t="shared" si="14"/>
        <v>0</v>
      </c>
      <c r="D228" s="505">
        <f t="shared" si="14"/>
        <v>0</v>
      </c>
      <c r="E228" s="505">
        <f t="shared" si="14"/>
        <v>0</v>
      </c>
      <c r="F228" s="505">
        <f t="shared" si="14"/>
        <v>0</v>
      </c>
      <c r="G228" s="505">
        <f t="shared" si="14"/>
        <v>0</v>
      </c>
      <c r="H228" s="58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87"/>
      <c r="AD228" s="19"/>
      <c r="AE228" s="19"/>
      <c r="AF228" s="19"/>
      <c r="AG228" s="19"/>
    </row>
    <row r="229" spans="1:33" hidden="1" outlineLevel="3" x14ac:dyDescent="0.2">
      <c r="A229" s="19"/>
      <c r="B229" s="19"/>
      <c r="C229" s="506">
        <f t="shared" si="14"/>
        <v>0</v>
      </c>
      <c r="D229" s="505">
        <f t="shared" si="14"/>
        <v>0</v>
      </c>
      <c r="E229" s="505">
        <f t="shared" si="14"/>
        <v>0</v>
      </c>
      <c r="F229" s="505">
        <f t="shared" si="14"/>
        <v>0</v>
      </c>
      <c r="G229" s="505">
        <f t="shared" si="14"/>
        <v>0</v>
      </c>
      <c r="H229" s="58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87"/>
      <c r="AD229" s="19"/>
      <c r="AE229" s="19"/>
      <c r="AF229" s="19"/>
      <c r="AG229" s="19"/>
    </row>
    <row r="230" spans="1:33" hidden="1" outlineLevel="3" x14ac:dyDescent="0.2">
      <c r="A230" s="19"/>
      <c r="B230" s="19"/>
      <c r="C230" s="506">
        <f t="shared" si="14"/>
        <v>0</v>
      </c>
      <c r="D230" s="505">
        <f t="shared" si="14"/>
        <v>0</v>
      </c>
      <c r="E230" s="505">
        <f t="shared" si="14"/>
        <v>0</v>
      </c>
      <c r="F230" s="505">
        <f t="shared" si="14"/>
        <v>0</v>
      </c>
      <c r="G230" s="505">
        <f t="shared" si="14"/>
        <v>0</v>
      </c>
      <c r="H230" s="58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87"/>
      <c r="AD230" s="19"/>
      <c r="AE230" s="19"/>
      <c r="AF230" s="19"/>
      <c r="AG230" s="19"/>
    </row>
    <row r="231" spans="1:33" hidden="1" outlineLevel="3" x14ac:dyDescent="0.2">
      <c r="A231" s="19"/>
      <c r="B231" s="19"/>
      <c r="C231" s="506">
        <f t="shared" si="14"/>
        <v>0</v>
      </c>
      <c r="D231" s="505">
        <f t="shared" si="14"/>
        <v>0</v>
      </c>
      <c r="E231" s="505">
        <f t="shared" si="14"/>
        <v>0</v>
      </c>
      <c r="F231" s="505">
        <f t="shared" si="14"/>
        <v>0</v>
      </c>
      <c r="G231" s="505">
        <f t="shared" si="14"/>
        <v>0</v>
      </c>
      <c r="H231" s="58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87"/>
      <c r="AD231" s="19"/>
      <c r="AE231" s="19"/>
      <c r="AF231" s="19"/>
      <c r="AG231" s="19"/>
    </row>
    <row r="232" spans="1:33" hidden="1" outlineLevel="3" x14ac:dyDescent="0.2">
      <c r="A232" s="19"/>
      <c r="B232" s="19"/>
      <c r="C232" s="506">
        <f t="shared" si="14"/>
        <v>0</v>
      </c>
      <c r="D232" s="505">
        <f t="shared" si="14"/>
        <v>0</v>
      </c>
      <c r="E232" s="505">
        <f t="shared" si="14"/>
        <v>0</v>
      </c>
      <c r="F232" s="505">
        <f t="shared" si="14"/>
        <v>0</v>
      </c>
      <c r="G232" s="505">
        <f t="shared" si="14"/>
        <v>0</v>
      </c>
      <c r="H232" s="58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87"/>
      <c r="AD232" s="19"/>
      <c r="AE232" s="19"/>
      <c r="AF232" s="19"/>
      <c r="AG232" s="19"/>
    </row>
    <row r="233" spans="1:33" hidden="1" outlineLevel="3" x14ac:dyDescent="0.2">
      <c r="A233" s="19"/>
      <c r="B233" s="19"/>
      <c r="C233" s="506">
        <f t="shared" si="14"/>
        <v>0</v>
      </c>
      <c r="D233" s="505">
        <f t="shared" si="14"/>
        <v>0</v>
      </c>
      <c r="E233" s="505">
        <f t="shared" si="14"/>
        <v>0</v>
      </c>
      <c r="F233" s="505">
        <f t="shared" si="14"/>
        <v>0</v>
      </c>
      <c r="G233" s="505">
        <f t="shared" si="14"/>
        <v>0</v>
      </c>
      <c r="H233" s="58"/>
      <c r="I233" s="191"/>
      <c r="J233" s="191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87"/>
      <c r="AD233" s="19"/>
      <c r="AE233" s="19"/>
      <c r="AF233" s="19"/>
      <c r="AG233" s="19"/>
    </row>
    <row r="234" spans="1:33" hidden="1" outlineLevel="3" x14ac:dyDescent="0.2">
      <c r="A234" s="19"/>
      <c r="B234" s="19"/>
      <c r="C234" s="506">
        <f t="shared" ref="C234:G238" si="15">C78</f>
        <v>0</v>
      </c>
      <c r="D234" s="505">
        <f t="shared" si="15"/>
        <v>0</v>
      </c>
      <c r="E234" s="505">
        <f t="shared" si="15"/>
        <v>0</v>
      </c>
      <c r="F234" s="505">
        <f t="shared" si="15"/>
        <v>0</v>
      </c>
      <c r="G234" s="505">
        <f t="shared" si="15"/>
        <v>0</v>
      </c>
      <c r="H234" s="58"/>
      <c r="I234" s="191"/>
      <c r="J234" s="191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87"/>
      <c r="AD234" s="19"/>
      <c r="AE234" s="19"/>
      <c r="AF234" s="19"/>
      <c r="AG234" s="19"/>
    </row>
    <row r="235" spans="1:33" hidden="1" outlineLevel="3" x14ac:dyDescent="0.2">
      <c r="A235" s="19"/>
      <c r="B235" s="19"/>
      <c r="C235" s="506">
        <f t="shared" si="15"/>
        <v>0</v>
      </c>
      <c r="D235" s="505">
        <f t="shared" si="15"/>
        <v>0</v>
      </c>
      <c r="E235" s="505">
        <f t="shared" si="15"/>
        <v>0</v>
      </c>
      <c r="F235" s="505">
        <f t="shared" si="15"/>
        <v>0</v>
      </c>
      <c r="G235" s="505">
        <f t="shared" si="15"/>
        <v>0</v>
      </c>
      <c r="H235" s="58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87"/>
      <c r="AD235" s="19"/>
      <c r="AE235" s="19"/>
      <c r="AF235" s="19"/>
      <c r="AG235" s="19"/>
    </row>
    <row r="236" spans="1:33" hidden="1" outlineLevel="3" x14ac:dyDescent="0.2">
      <c r="A236" s="19"/>
      <c r="B236" s="19"/>
      <c r="C236" s="506">
        <f t="shared" si="15"/>
        <v>0</v>
      </c>
      <c r="D236" s="505">
        <f t="shared" si="15"/>
        <v>0</v>
      </c>
      <c r="E236" s="505">
        <f t="shared" si="15"/>
        <v>0</v>
      </c>
      <c r="F236" s="505">
        <f t="shared" si="15"/>
        <v>0</v>
      </c>
      <c r="G236" s="505">
        <f t="shared" si="15"/>
        <v>0</v>
      </c>
      <c r="H236" s="58"/>
      <c r="I236" s="191"/>
      <c r="J236" s="191"/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87"/>
      <c r="AD236" s="19"/>
      <c r="AE236" s="19"/>
      <c r="AF236" s="19"/>
      <c r="AG236" s="19"/>
    </row>
    <row r="237" spans="1:33" hidden="1" outlineLevel="3" x14ac:dyDescent="0.2">
      <c r="A237" s="19"/>
      <c r="B237" s="19"/>
      <c r="C237" s="506">
        <f t="shared" si="15"/>
        <v>0</v>
      </c>
      <c r="D237" s="505">
        <f t="shared" si="15"/>
        <v>0</v>
      </c>
      <c r="E237" s="505">
        <f t="shared" si="15"/>
        <v>0</v>
      </c>
      <c r="F237" s="505">
        <f t="shared" si="15"/>
        <v>0</v>
      </c>
      <c r="G237" s="505">
        <f t="shared" si="15"/>
        <v>0</v>
      </c>
      <c r="H237" s="58"/>
      <c r="I237" s="191"/>
      <c r="J237" s="191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87"/>
      <c r="AD237" s="19"/>
      <c r="AE237" s="19"/>
      <c r="AF237" s="19"/>
      <c r="AG237" s="19"/>
    </row>
    <row r="238" spans="1:33" hidden="1" outlineLevel="3" x14ac:dyDescent="0.2">
      <c r="A238" s="19"/>
      <c r="B238" s="19"/>
      <c r="C238" s="506">
        <f t="shared" si="15"/>
        <v>0</v>
      </c>
      <c r="D238" s="505">
        <f t="shared" si="15"/>
        <v>0</v>
      </c>
      <c r="E238" s="505">
        <f t="shared" si="15"/>
        <v>0</v>
      </c>
      <c r="F238" s="505">
        <f t="shared" si="15"/>
        <v>0</v>
      </c>
      <c r="G238" s="505">
        <f t="shared" si="15"/>
        <v>0</v>
      </c>
      <c r="H238" s="58"/>
      <c r="I238" s="191"/>
      <c r="J238" s="191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87"/>
      <c r="AD238" s="19"/>
      <c r="AE238" s="19"/>
      <c r="AF238" s="19"/>
      <c r="AG238" s="19"/>
    </row>
    <row r="239" spans="1:33" hidden="1" outlineLevel="2" collapsed="1" x14ac:dyDescent="0.2">
      <c r="A239" s="19"/>
      <c r="B239" s="19"/>
      <c r="C239" s="66"/>
      <c r="D239" s="58"/>
      <c r="E239" s="58"/>
      <c r="F239" s="58"/>
      <c r="G239" s="58"/>
      <c r="H239" s="58"/>
      <c r="I239" s="186"/>
      <c r="J239" s="186"/>
      <c r="K239" s="187"/>
      <c r="L239" s="187"/>
      <c r="M239" s="187"/>
      <c r="N239" s="188"/>
      <c r="O239" s="188"/>
      <c r="P239" s="188"/>
      <c r="Q239" s="188"/>
      <c r="R239" s="188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9"/>
      <c r="AE239" s="19"/>
      <c r="AF239" s="19"/>
      <c r="AG239" s="19"/>
    </row>
    <row r="240" spans="1:33" outlineLevel="1" collapsed="1" x14ac:dyDescent="0.2">
      <c r="A240" s="19"/>
      <c r="B240" s="19"/>
      <c r="C240" s="66"/>
      <c r="D240" s="58"/>
      <c r="E240" s="58"/>
      <c r="F240" s="58"/>
      <c r="G240" s="58"/>
      <c r="H240" s="58"/>
      <c r="I240" s="58"/>
      <c r="J240" s="58"/>
      <c r="K240" s="20"/>
      <c r="L240" s="20"/>
      <c r="M240" s="20"/>
      <c r="N240" s="37"/>
      <c r="O240" s="37"/>
      <c r="P240" s="37"/>
      <c r="Q240" s="37"/>
      <c r="R240" s="37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</row>
    <row r="241" spans="1:33" x14ac:dyDescent="0.2">
      <c r="A241" s="19"/>
      <c r="B241" s="19"/>
      <c r="C241" s="36"/>
      <c r="D241" s="20"/>
      <c r="E241" s="20"/>
      <c r="F241" s="20"/>
      <c r="G241" s="22"/>
      <c r="H241" s="22"/>
      <c r="I241" s="22"/>
      <c r="J241" s="20"/>
      <c r="K241" s="20"/>
      <c r="L241" s="20"/>
      <c r="M241" s="20"/>
      <c r="N241" s="37"/>
      <c r="O241" s="37"/>
      <c r="P241" s="37"/>
      <c r="Q241" s="37"/>
      <c r="R241" s="37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</row>
    <row r="242" spans="1:33" ht="12.75" x14ac:dyDescent="0.2">
      <c r="A242" s="11"/>
      <c r="B242" s="12" t="str">
        <f>"Input table 23 | "&amp;previousyear&amp;" prices - Tariffs"</f>
        <v>Input table 23 | 2020–21 prices - Tariffs</v>
      </c>
      <c r="C242" s="11"/>
      <c r="D242" s="32" t="str">
        <f>D5</f>
        <v>Tariff class</v>
      </c>
      <c r="E242" s="32" t="str">
        <f>tariffid1</f>
        <v>Code</v>
      </c>
      <c r="F242" s="32" t="str">
        <f>tariffid2</f>
        <v>Trans. Node</v>
      </c>
      <c r="G242" s="33" t="str">
        <f>tariffid3</f>
        <v>Other identifier</v>
      </c>
      <c r="H242" s="33"/>
      <c r="I242" s="169" t="str">
        <f t="shared" ref="I242:AB242" si="16">I5</f>
        <v>Service</v>
      </c>
      <c r="J242" s="169" t="str">
        <f t="shared" si="16"/>
        <v>All energy</v>
      </c>
      <c r="K242" s="169" t="str">
        <f t="shared" si="16"/>
        <v>Peak energy</v>
      </c>
      <c r="L242" s="169" t="str">
        <f t="shared" si="16"/>
        <v>Shoulder energy</v>
      </c>
      <c r="M242" s="169" t="str">
        <f t="shared" si="16"/>
        <v>Off-peak energy</v>
      </c>
      <c r="N242" s="169" t="str">
        <f t="shared" si="16"/>
        <v>All demand</v>
      </c>
      <c r="O242" s="169" t="str">
        <f t="shared" si="16"/>
        <v>Peak demand</v>
      </c>
      <c r="P242" s="169" t="str">
        <f t="shared" si="16"/>
        <v>Off-peak demand</v>
      </c>
      <c r="Q242" s="169" t="str">
        <f t="shared" si="16"/>
        <v>Specified demand</v>
      </c>
      <c r="R242" s="169" t="str">
        <f t="shared" si="16"/>
        <v>Excess daily demand</v>
      </c>
      <c r="S242" s="169" t="str">
        <f t="shared" si="16"/>
        <v>Daily demand connection</v>
      </c>
      <c r="T242" s="169" t="str">
        <f t="shared" si="16"/>
        <v>Excess daily demand connection</v>
      </c>
      <c r="U242" s="169" t="str">
        <f t="shared" si="16"/>
        <v>All demand (lamps)</v>
      </c>
      <c r="V242" s="169">
        <f t="shared" si="16"/>
        <v>0</v>
      </c>
      <c r="W242" s="169">
        <f t="shared" si="16"/>
        <v>0</v>
      </c>
      <c r="X242" s="169">
        <f t="shared" si="16"/>
        <v>0</v>
      </c>
      <c r="Y242" s="169">
        <f t="shared" si="16"/>
        <v>0</v>
      </c>
      <c r="Z242" s="169">
        <f t="shared" si="16"/>
        <v>0</v>
      </c>
      <c r="AA242" s="169">
        <f t="shared" si="16"/>
        <v>0</v>
      </c>
      <c r="AB242" s="169">
        <f t="shared" si="16"/>
        <v>0</v>
      </c>
      <c r="AC242" s="64"/>
      <c r="AD242" s="15"/>
      <c r="AE242" s="15"/>
      <c r="AF242" s="15"/>
      <c r="AG242" s="15"/>
    </row>
    <row r="243" spans="1:33" outlineLevel="1" x14ac:dyDescent="0.2">
      <c r="A243" s="19"/>
      <c r="B243" s="19"/>
      <c r="C243" s="36"/>
      <c r="D243" s="20"/>
      <c r="E243" s="20"/>
      <c r="F243" s="20"/>
      <c r="G243" s="22"/>
      <c r="H243" s="22"/>
      <c r="I243" s="170" t="str">
        <f t="shared" ref="I243:AB243" si="17">I6</f>
        <v>cents/day</v>
      </c>
      <c r="J243" s="170" t="str">
        <f t="shared" si="17"/>
        <v>cents/kWh</v>
      </c>
      <c r="K243" s="170" t="str">
        <f t="shared" si="17"/>
        <v>cents/kWh</v>
      </c>
      <c r="L243" s="170" t="str">
        <f t="shared" si="17"/>
        <v>cents/kWh</v>
      </c>
      <c r="M243" s="170" t="str">
        <f t="shared" si="17"/>
        <v>cents/kWh</v>
      </c>
      <c r="N243" s="170" t="str">
        <f t="shared" si="17"/>
        <v>cents/kVA</v>
      </c>
      <c r="O243" s="170" t="str">
        <f t="shared" si="17"/>
        <v>cents/kVA</v>
      </c>
      <c r="P243" s="170" t="str">
        <f t="shared" si="17"/>
        <v>cents/kVA</v>
      </c>
      <c r="Q243" s="170" t="str">
        <f t="shared" si="17"/>
        <v>cents/kVA</v>
      </c>
      <c r="R243" s="170" t="str">
        <f t="shared" si="17"/>
        <v>cents/kVA</v>
      </c>
      <c r="S243" s="170" t="str">
        <f t="shared" si="17"/>
        <v>cents/kVA</v>
      </c>
      <c r="T243" s="170" t="str">
        <f t="shared" si="17"/>
        <v>cents/kVA</v>
      </c>
      <c r="U243" s="170" t="str">
        <f t="shared" si="17"/>
        <v>cents/LmpWtts/day</v>
      </c>
      <c r="V243" s="170">
        <f t="shared" si="17"/>
        <v>0</v>
      </c>
      <c r="W243" s="170">
        <f t="shared" si="17"/>
        <v>0</v>
      </c>
      <c r="X243" s="170">
        <f t="shared" si="17"/>
        <v>0</v>
      </c>
      <c r="Y243" s="170">
        <f t="shared" si="17"/>
        <v>0</v>
      </c>
      <c r="Z243" s="170">
        <f t="shared" si="17"/>
        <v>0</v>
      </c>
      <c r="AA243" s="170">
        <f t="shared" si="17"/>
        <v>0</v>
      </c>
      <c r="AB243" s="170">
        <f t="shared" si="17"/>
        <v>0</v>
      </c>
      <c r="AC243" s="19"/>
      <c r="AD243" s="19"/>
      <c r="AE243" s="19"/>
      <c r="AF243" s="19"/>
      <c r="AG243" s="19"/>
    </row>
    <row r="244" spans="1:33" outlineLevel="1" x14ac:dyDescent="0.2">
      <c r="A244" s="19"/>
      <c r="B244" s="19"/>
      <c r="C244" s="167" t="str">
        <f>C7</f>
        <v>Distribution</v>
      </c>
      <c r="D244" s="20"/>
      <c r="E244" s="20"/>
      <c r="F244" s="20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9"/>
      <c r="AD244" s="19"/>
      <c r="AE244" s="19"/>
      <c r="AF244" s="19"/>
      <c r="AG244" s="19"/>
    </row>
    <row r="245" spans="1:33" outlineLevel="2" x14ac:dyDescent="0.2">
      <c r="A245" s="19"/>
      <c r="B245" s="19"/>
      <c r="C245" s="506" t="str">
        <f>Qty!C166</f>
        <v>Residential time of use consumption</v>
      </c>
      <c r="D245" s="505" t="str">
        <f>Qty!D166</f>
        <v>Residential</v>
      </c>
      <c r="E245" s="505" t="str">
        <f>Qty!E166</f>
        <v>TAS93</v>
      </c>
      <c r="F245" s="505">
        <f>Qty!F166</f>
        <v>0</v>
      </c>
      <c r="G245" s="505">
        <f>Qty!G166</f>
        <v>0</v>
      </c>
      <c r="H245" s="22"/>
      <c r="I245" s="191">
        <v>55.923000000000002</v>
      </c>
      <c r="J245" s="191">
        <v>0</v>
      </c>
      <c r="K245" s="191">
        <v>10.753</v>
      </c>
      <c r="L245" s="191">
        <v>0</v>
      </c>
      <c r="M245" s="191">
        <v>2.044</v>
      </c>
      <c r="N245" s="191">
        <v>0</v>
      </c>
      <c r="O245" s="191">
        <v>0</v>
      </c>
      <c r="P245" s="191">
        <v>0</v>
      </c>
      <c r="Q245" s="191">
        <v>0</v>
      </c>
      <c r="R245" s="191">
        <v>0</v>
      </c>
      <c r="S245" s="191">
        <v>0</v>
      </c>
      <c r="T245" s="191">
        <v>0</v>
      </c>
      <c r="U245" s="191">
        <v>0</v>
      </c>
      <c r="V245" s="191"/>
      <c r="W245" s="191"/>
      <c r="X245" s="191"/>
      <c r="Y245" s="191"/>
      <c r="Z245" s="191"/>
      <c r="AA245" s="191"/>
      <c r="AB245" s="191"/>
      <c r="AC245" s="187"/>
      <c r="AD245" s="19"/>
      <c r="AE245" s="19"/>
      <c r="AF245" s="19"/>
      <c r="AG245" s="19"/>
    </row>
    <row r="246" spans="1:33" s="59" customFormat="1" outlineLevel="2" x14ac:dyDescent="0.2">
      <c r="A246" s="57"/>
      <c r="B246" s="57"/>
      <c r="C246" s="506" t="str">
        <f>Qty!C167</f>
        <v>Residential general light and power</v>
      </c>
      <c r="D246" s="505" t="str">
        <f>Qty!D167</f>
        <v>Residential</v>
      </c>
      <c r="E246" s="505" t="str">
        <f>Qty!E167</f>
        <v>TAS31</v>
      </c>
      <c r="F246" s="505">
        <f>Qty!F167</f>
        <v>0</v>
      </c>
      <c r="G246" s="505">
        <f>Qty!G167</f>
        <v>0</v>
      </c>
      <c r="H246" s="58"/>
      <c r="I246" s="191">
        <v>51.152999999999999</v>
      </c>
      <c r="J246" s="191">
        <v>6.1840000000000002</v>
      </c>
      <c r="K246" s="191"/>
      <c r="L246" s="191">
        <v>0</v>
      </c>
      <c r="M246" s="191">
        <v>0</v>
      </c>
      <c r="N246" s="191">
        <v>0</v>
      </c>
      <c r="O246" s="191">
        <v>0</v>
      </c>
      <c r="P246" s="191">
        <v>0</v>
      </c>
      <c r="Q246" s="191">
        <v>0</v>
      </c>
      <c r="R246" s="191">
        <v>0</v>
      </c>
      <c r="S246" s="191">
        <v>0</v>
      </c>
      <c r="T246" s="191">
        <v>0</v>
      </c>
      <c r="U246" s="191">
        <v>0</v>
      </c>
      <c r="V246" s="191"/>
      <c r="W246" s="191"/>
      <c r="X246" s="191"/>
      <c r="Y246" s="191"/>
      <c r="Z246" s="191"/>
      <c r="AA246" s="191"/>
      <c r="AB246" s="191"/>
      <c r="AC246" s="187"/>
      <c r="AD246" s="57"/>
      <c r="AE246" s="57"/>
      <c r="AF246" s="57"/>
      <c r="AG246" s="57"/>
    </row>
    <row r="247" spans="1:33" outlineLevel="2" x14ac:dyDescent="0.2">
      <c r="A247" s="19"/>
      <c r="B247" s="19"/>
      <c r="C247" s="506" t="str">
        <f>Qty!C168</f>
        <v>Residential time of use demand</v>
      </c>
      <c r="D247" s="505" t="str">
        <f>Qty!D168</f>
        <v>Residential</v>
      </c>
      <c r="E247" s="505" t="str">
        <f>Qty!E168</f>
        <v>TAS87</v>
      </c>
      <c r="F247" s="505">
        <f>Qty!F168</f>
        <v>0</v>
      </c>
      <c r="G247" s="505">
        <f>Qty!G168</f>
        <v>0</v>
      </c>
      <c r="H247" s="58"/>
      <c r="I247" s="191">
        <v>56.902000000000001</v>
      </c>
      <c r="J247" s="191">
        <v>0</v>
      </c>
      <c r="K247" s="191"/>
      <c r="L247" s="191">
        <v>0</v>
      </c>
      <c r="M247" s="191">
        <v>0</v>
      </c>
      <c r="N247" s="191">
        <v>0</v>
      </c>
      <c r="O247" s="191">
        <v>19.771999999999998</v>
      </c>
      <c r="P247" s="191">
        <v>3.9499999999999997</v>
      </c>
      <c r="Q247" s="191">
        <v>0</v>
      </c>
      <c r="R247" s="191">
        <v>0</v>
      </c>
      <c r="S247" s="191">
        <v>0</v>
      </c>
      <c r="T247" s="191">
        <v>0</v>
      </c>
      <c r="U247" s="191">
        <v>0</v>
      </c>
      <c r="V247" s="191"/>
      <c r="W247" s="191"/>
      <c r="X247" s="191"/>
      <c r="Y247" s="191"/>
      <c r="Z247" s="191"/>
      <c r="AA247" s="191"/>
      <c r="AB247" s="191"/>
      <c r="AC247" s="187"/>
      <c r="AD247" s="19"/>
      <c r="AE247" s="19"/>
      <c r="AF247" s="19"/>
      <c r="AG247" s="19"/>
    </row>
    <row r="248" spans="1:33" outlineLevel="2" x14ac:dyDescent="0.2">
      <c r="A248" s="19"/>
      <c r="B248" s="19"/>
      <c r="C248" s="506" t="str">
        <f>Qty!C169</f>
        <v>Residential time of use demand DER</v>
      </c>
      <c r="D248" s="505" t="str">
        <f>Qty!D169</f>
        <v>Residential</v>
      </c>
      <c r="E248" s="505" t="str">
        <f>Qty!E169</f>
        <v>TAS97</v>
      </c>
      <c r="F248" s="505">
        <f>Qty!F169</f>
        <v>0</v>
      </c>
      <c r="G248" s="505">
        <f>Qty!G169</f>
        <v>0</v>
      </c>
      <c r="H248" s="58"/>
      <c r="I248" s="191">
        <v>56.902000000000001</v>
      </c>
      <c r="J248" s="191">
        <v>0</v>
      </c>
      <c r="K248" s="191"/>
      <c r="L248" s="191">
        <v>0</v>
      </c>
      <c r="M248" s="191">
        <v>0</v>
      </c>
      <c r="N248" s="191">
        <v>0</v>
      </c>
      <c r="O248" s="191">
        <v>19.771999999999998</v>
      </c>
      <c r="P248" s="191">
        <v>3.9499999999999997</v>
      </c>
      <c r="Q248" s="191">
        <v>0</v>
      </c>
      <c r="R248" s="191">
        <v>0</v>
      </c>
      <c r="S248" s="191">
        <v>0</v>
      </c>
      <c r="T248" s="191">
        <v>0</v>
      </c>
      <c r="U248" s="191">
        <v>0</v>
      </c>
      <c r="V248" s="191"/>
      <c r="W248" s="191"/>
      <c r="X248" s="191"/>
      <c r="Y248" s="191"/>
      <c r="Z248" s="191"/>
      <c r="AA248" s="191"/>
      <c r="AB248" s="191"/>
      <c r="AC248" s="187"/>
      <c r="AD248" s="19"/>
      <c r="AE248" s="19"/>
      <c r="AF248" s="19"/>
      <c r="AG248" s="19"/>
    </row>
    <row r="249" spans="1:33" outlineLevel="2" x14ac:dyDescent="0.2">
      <c r="A249" s="19"/>
      <c r="B249" s="19"/>
      <c r="C249" s="506" t="str">
        <f>Qty!C170</f>
        <v>Residential pay as you go</v>
      </c>
      <c r="D249" s="505" t="str">
        <f>Qty!D170</f>
        <v>Residential</v>
      </c>
      <c r="E249" s="505" t="str">
        <f>Qty!E170</f>
        <v>TAS101</v>
      </c>
      <c r="F249" s="505">
        <f>Qty!F170</f>
        <v>0</v>
      </c>
      <c r="G249" s="505">
        <f>Qty!G170</f>
        <v>0</v>
      </c>
      <c r="H249" s="58"/>
      <c r="I249" s="191">
        <v>51.570999999999998</v>
      </c>
      <c r="J249" s="191">
        <v>5.673</v>
      </c>
      <c r="K249" s="191"/>
      <c r="L249" s="191">
        <v>0</v>
      </c>
      <c r="M249" s="191">
        <v>0</v>
      </c>
      <c r="N249" s="191">
        <v>0</v>
      </c>
      <c r="O249" s="191">
        <v>0</v>
      </c>
      <c r="P249" s="191">
        <v>0</v>
      </c>
      <c r="Q249" s="191">
        <v>0</v>
      </c>
      <c r="R249" s="191">
        <v>0</v>
      </c>
      <c r="S249" s="191">
        <v>0</v>
      </c>
      <c r="T249" s="191">
        <v>0</v>
      </c>
      <c r="U249" s="191">
        <v>0</v>
      </c>
      <c r="V249" s="191"/>
      <c r="W249" s="191"/>
      <c r="X249" s="191"/>
      <c r="Y249" s="191"/>
      <c r="Z249" s="191"/>
      <c r="AA249" s="191"/>
      <c r="AB249" s="191"/>
      <c r="AC249" s="187"/>
      <c r="AD249" s="19"/>
      <c r="AE249" s="19"/>
      <c r="AF249" s="19"/>
      <c r="AG249" s="19"/>
    </row>
    <row r="250" spans="1:33" outlineLevel="2" x14ac:dyDescent="0.2">
      <c r="A250" s="19"/>
      <c r="B250" s="19"/>
      <c r="C250" s="506" t="str">
        <f>Qty!C171</f>
        <v>Residential pay as you go time of use</v>
      </c>
      <c r="D250" s="505" t="str">
        <f>Qty!D171</f>
        <v>Residential</v>
      </c>
      <c r="E250" s="505" t="str">
        <f>Qty!E171</f>
        <v>TAS92</v>
      </c>
      <c r="F250" s="505">
        <f>Qty!F171</f>
        <v>0</v>
      </c>
      <c r="G250" s="505">
        <f>Qty!G171</f>
        <v>0</v>
      </c>
      <c r="H250" s="58"/>
      <c r="I250" s="191">
        <v>12.044</v>
      </c>
      <c r="J250" s="191">
        <v>0.874</v>
      </c>
      <c r="K250" s="191"/>
      <c r="L250" s="191">
        <v>0</v>
      </c>
      <c r="M250" s="191">
        <v>0</v>
      </c>
      <c r="N250" s="191">
        <v>0</v>
      </c>
      <c r="O250" s="191">
        <v>0</v>
      </c>
      <c r="P250" s="191">
        <v>0</v>
      </c>
      <c r="Q250" s="191">
        <v>0</v>
      </c>
      <c r="R250" s="191">
        <v>0</v>
      </c>
      <c r="S250" s="191">
        <v>0</v>
      </c>
      <c r="T250" s="191">
        <v>0</v>
      </c>
      <c r="U250" s="191">
        <v>0</v>
      </c>
      <c r="V250" s="191"/>
      <c r="W250" s="191"/>
      <c r="X250" s="191"/>
      <c r="Y250" s="191"/>
      <c r="Z250" s="191"/>
      <c r="AA250" s="191"/>
      <c r="AB250" s="191"/>
      <c r="AC250" s="187"/>
      <c r="AD250" s="19"/>
      <c r="AE250" s="19"/>
      <c r="AF250" s="19"/>
      <c r="AG250" s="19"/>
    </row>
    <row r="251" spans="1:33" outlineLevel="2" x14ac:dyDescent="0.2">
      <c r="A251" s="19"/>
      <c r="B251" s="19"/>
      <c r="C251" s="506" t="str">
        <f>Qty!C172</f>
        <v>Small business time of use consumption</v>
      </c>
      <c r="D251" s="505" t="str">
        <f>Qty!D172</f>
        <v>Small Business LV</v>
      </c>
      <c r="E251" s="505" t="str">
        <f>Qty!E172</f>
        <v>TAS94</v>
      </c>
      <c r="F251" s="505">
        <f>Qty!F172</f>
        <v>0</v>
      </c>
      <c r="G251" s="505">
        <f>Qty!G172</f>
        <v>0</v>
      </c>
      <c r="H251" s="58"/>
      <c r="I251" s="191">
        <v>66.902000000000001</v>
      </c>
      <c r="J251" s="191">
        <v>0</v>
      </c>
      <c r="K251" s="191">
        <v>7.2089999999999996</v>
      </c>
      <c r="L251" s="191">
        <v>4.3250000000000002</v>
      </c>
      <c r="M251" s="191">
        <v>1.0820000000000001</v>
      </c>
      <c r="N251" s="191">
        <v>0</v>
      </c>
      <c r="O251" s="191">
        <v>0</v>
      </c>
      <c r="P251" s="191">
        <v>0</v>
      </c>
      <c r="Q251" s="191">
        <v>0</v>
      </c>
      <c r="R251" s="191">
        <v>0</v>
      </c>
      <c r="S251" s="191">
        <v>0</v>
      </c>
      <c r="T251" s="191">
        <v>0</v>
      </c>
      <c r="U251" s="191">
        <v>0</v>
      </c>
      <c r="V251" s="191"/>
      <c r="W251" s="191"/>
      <c r="X251" s="191"/>
      <c r="Y251" s="191"/>
      <c r="Z251" s="191"/>
      <c r="AA251" s="191"/>
      <c r="AB251" s="191"/>
      <c r="AC251" s="187"/>
      <c r="AD251" s="19"/>
      <c r="AE251" s="19"/>
      <c r="AF251" s="19"/>
      <c r="AG251" s="19"/>
    </row>
    <row r="252" spans="1:33" outlineLevel="2" x14ac:dyDescent="0.2">
      <c r="A252" s="19"/>
      <c r="B252" s="19"/>
      <c r="C252" s="506" t="str">
        <f>Qty!C173</f>
        <v>Small business general light and power</v>
      </c>
      <c r="D252" s="505" t="str">
        <f>Qty!D173</f>
        <v>Small Business LV</v>
      </c>
      <c r="E252" s="505" t="str">
        <f>Qty!E173</f>
        <v>TAS22</v>
      </c>
      <c r="F252" s="505">
        <f>Qty!F173</f>
        <v>0</v>
      </c>
      <c r="G252" s="505">
        <f>Qty!G173</f>
        <v>0</v>
      </c>
      <c r="H252" s="58"/>
      <c r="I252" s="191">
        <v>50.862000000000002</v>
      </c>
      <c r="J252" s="191">
        <v>6.8440000000000003</v>
      </c>
      <c r="K252" s="191"/>
      <c r="L252" s="191">
        <v>0</v>
      </c>
      <c r="M252" s="191">
        <v>0</v>
      </c>
      <c r="N252" s="191">
        <v>0</v>
      </c>
      <c r="O252" s="191">
        <v>0</v>
      </c>
      <c r="P252" s="191">
        <v>0</v>
      </c>
      <c r="Q252" s="191">
        <v>0</v>
      </c>
      <c r="R252" s="191">
        <v>0</v>
      </c>
      <c r="S252" s="191">
        <v>0</v>
      </c>
      <c r="T252" s="191">
        <v>0</v>
      </c>
      <c r="U252" s="191">
        <v>0</v>
      </c>
      <c r="V252" s="191"/>
      <c r="W252" s="191"/>
      <c r="X252" s="191"/>
      <c r="Y252" s="191"/>
      <c r="Z252" s="191"/>
      <c r="AA252" s="191"/>
      <c r="AB252" s="191"/>
      <c r="AC252" s="187"/>
      <c r="AD252" s="19"/>
      <c r="AE252" s="19"/>
      <c r="AF252" s="19"/>
      <c r="AG252" s="19"/>
    </row>
    <row r="253" spans="1:33" outlineLevel="2" x14ac:dyDescent="0.2">
      <c r="A253" s="19"/>
      <c r="B253" s="19"/>
      <c r="C253" s="506" t="str">
        <f>Qty!C174</f>
        <v>Small business time of use demand</v>
      </c>
      <c r="D253" s="505" t="str">
        <f>Qty!D174</f>
        <v>Small Business LV</v>
      </c>
      <c r="E253" s="505" t="str">
        <f>Qty!E174</f>
        <v>TAS88</v>
      </c>
      <c r="F253" s="505">
        <f>Qty!F174</f>
        <v>0</v>
      </c>
      <c r="G253" s="505">
        <f>Qty!G174</f>
        <v>0</v>
      </c>
      <c r="H253" s="58"/>
      <c r="I253" s="191">
        <v>73.994</v>
      </c>
      <c r="J253" s="191">
        <v>0</v>
      </c>
      <c r="K253" s="191"/>
      <c r="L253" s="191">
        <v>0</v>
      </c>
      <c r="M253" s="191">
        <v>0</v>
      </c>
      <c r="N253" s="191">
        <v>0</v>
      </c>
      <c r="O253" s="191">
        <v>43.134</v>
      </c>
      <c r="P253" s="191">
        <v>8.6180000000000003</v>
      </c>
      <c r="Q253" s="191">
        <v>0</v>
      </c>
      <c r="R253" s="191">
        <v>0</v>
      </c>
      <c r="S253" s="191">
        <v>0</v>
      </c>
      <c r="T253" s="191">
        <v>0</v>
      </c>
      <c r="U253" s="191">
        <v>0</v>
      </c>
      <c r="V253" s="191"/>
      <c r="W253" s="191"/>
      <c r="X253" s="191"/>
      <c r="Y253" s="191"/>
      <c r="Z253" s="191"/>
      <c r="AA253" s="191"/>
      <c r="AB253" s="191"/>
      <c r="AC253" s="187"/>
      <c r="AD253" s="19"/>
      <c r="AE253" s="19"/>
      <c r="AF253" s="19"/>
      <c r="AG253" s="19"/>
    </row>
    <row r="254" spans="1:33" outlineLevel="2" x14ac:dyDescent="0.2">
      <c r="A254" s="19"/>
      <c r="B254" s="19"/>
      <c r="C254" s="506" t="str">
        <f>Qty!C175</f>
        <v>Small business time of use demand DER</v>
      </c>
      <c r="D254" s="505" t="str">
        <f>Qty!D175</f>
        <v>Small Business LV</v>
      </c>
      <c r="E254" s="505" t="str">
        <f>Qty!E175</f>
        <v>TAS98</v>
      </c>
      <c r="F254" s="505">
        <f>Qty!F175</f>
        <v>0</v>
      </c>
      <c r="G254" s="505">
        <f>Qty!G175</f>
        <v>0</v>
      </c>
      <c r="H254" s="58"/>
      <c r="I254" s="191">
        <v>73.994</v>
      </c>
      <c r="J254" s="191">
        <v>0</v>
      </c>
      <c r="K254" s="191"/>
      <c r="L254" s="191">
        <v>0</v>
      </c>
      <c r="M254" s="191">
        <v>0</v>
      </c>
      <c r="N254" s="191">
        <v>0</v>
      </c>
      <c r="O254" s="191">
        <v>43.134</v>
      </c>
      <c r="P254" s="191">
        <v>8.6180000000000003</v>
      </c>
      <c r="Q254" s="191">
        <v>0</v>
      </c>
      <c r="R254" s="191">
        <v>0</v>
      </c>
      <c r="S254" s="191">
        <v>0</v>
      </c>
      <c r="T254" s="191">
        <v>0</v>
      </c>
      <c r="U254" s="191">
        <v>0</v>
      </c>
      <c r="V254" s="191"/>
      <c r="W254" s="191"/>
      <c r="X254" s="191"/>
      <c r="Y254" s="191"/>
      <c r="Z254" s="191"/>
      <c r="AA254" s="191"/>
      <c r="AB254" s="191"/>
      <c r="AC254" s="187"/>
      <c r="AD254" s="19"/>
      <c r="AE254" s="19"/>
      <c r="AF254" s="19"/>
      <c r="AG254" s="19"/>
    </row>
    <row r="255" spans="1:33" outlineLevel="2" x14ac:dyDescent="0.2">
      <c r="A255" s="19"/>
      <c r="B255" s="19"/>
      <c r="C255" s="506" t="str">
        <f>Qty!C176</f>
        <v>Large business kVA demand</v>
      </c>
      <c r="D255" s="505" t="str">
        <f>Qty!D176</f>
        <v>Large Business LV</v>
      </c>
      <c r="E255" s="505" t="str">
        <f>Qty!E176</f>
        <v>TAS82</v>
      </c>
      <c r="F255" s="505">
        <f>Qty!F176</f>
        <v>0</v>
      </c>
      <c r="G255" s="505">
        <f>Qty!G176</f>
        <v>0</v>
      </c>
      <c r="H255" s="58"/>
      <c r="I255" s="191">
        <v>331.98099999999999</v>
      </c>
      <c r="J255" s="191">
        <v>1.6559999999999999</v>
      </c>
      <c r="K255" s="191"/>
      <c r="L255" s="191">
        <v>0</v>
      </c>
      <c r="M255" s="191">
        <v>0</v>
      </c>
      <c r="N255" s="191">
        <v>19.071000000000002</v>
      </c>
      <c r="O255" s="191">
        <v>0</v>
      </c>
      <c r="P255" s="191">
        <v>0</v>
      </c>
      <c r="Q255" s="191">
        <v>0</v>
      </c>
      <c r="R255" s="191">
        <v>0</v>
      </c>
      <c r="S255" s="191">
        <v>0</v>
      </c>
      <c r="T255" s="191">
        <v>0</v>
      </c>
      <c r="U255" s="191">
        <v>0</v>
      </c>
      <c r="V255" s="191"/>
      <c r="W255" s="191"/>
      <c r="X255" s="191"/>
      <c r="Y255" s="191"/>
      <c r="Z255" s="191"/>
      <c r="AA255" s="191"/>
      <c r="AB255" s="191"/>
      <c r="AC255" s="187"/>
      <c r="AD255" s="19"/>
      <c r="AE255" s="19"/>
      <c r="AF255" s="19"/>
      <c r="AG255" s="19"/>
    </row>
    <row r="256" spans="1:33" outlineLevel="2" x14ac:dyDescent="0.2">
      <c r="A256" s="19"/>
      <c r="B256" s="19"/>
      <c r="C256" s="506" t="str">
        <f>Qty!C177</f>
        <v>Large business time of use demand</v>
      </c>
      <c r="D256" s="505" t="str">
        <f>Qty!D177</f>
        <v>Large Business LV</v>
      </c>
      <c r="E256" s="505" t="str">
        <f>Qty!E177</f>
        <v>TAS89</v>
      </c>
      <c r="F256" s="505">
        <f>Qty!F177</f>
        <v>0</v>
      </c>
      <c r="G256" s="505">
        <f>Qty!G177</f>
        <v>0</v>
      </c>
      <c r="H256" s="58"/>
      <c r="I256" s="191">
        <v>467.66800000000001</v>
      </c>
      <c r="J256" s="191">
        <v>0</v>
      </c>
      <c r="K256" s="191"/>
      <c r="L256" s="191">
        <v>0</v>
      </c>
      <c r="M256" s="191">
        <v>0</v>
      </c>
      <c r="N256" s="191">
        <v>0</v>
      </c>
      <c r="O256" s="191">
        <v>24.916</v>
      </c>
      <c r="P256" s="191">
        <v>8.2959999999999994</v>
      </c>
      <c r="Q256" s="191">
        <v>0</v>
      </c>
      <c r="R256" s="191">
        <v>0</v>
      </c>
      <c r="S256" s="191">
        <v>0</v>
      </c>
      <c r="T256" s="191">
        <v>0</v>
      </c>
      <c r="U256" s="191">
        <v>0</v>
      </c>
      <c r="V256" s="191"/>
      <c r="W256" s="191"/>
      <c r="X256" s="191"/>
      <c r="Y256" s="191"/>
      <c r="Z256" s="191"/>
      <c r="AA256" s="191"/>
      <c r="AB256" s="191"/>
      <c r="AC256" s="187"/>
      <c r="AD256" s="19"/>
      <c r="AE256" s="19"/>
      <c r="AF256" s="19"/>
      <c r="AG256" s="19"/>
    </row>
    <row r="257" spans="1:33" outlineLevel="2" x14ac:dyDescent="0.2">
      <c r="A257" s="19"/>
      <c r="B257" s="19"/>
      <c r="C257" s="506" t="str">
        <f>Qty!C178</f>
        <v>Irrigation time of use consumption</v>
      </c>
      <c r="D257" s="505" t="str">
        <f>Qty!D178</f>
        <v>Irrigation</v>
      </c>
      <c r="E257" s="505" t="str">
        <f>Qty!E178</f>
        <v>TAS75</v>
      </c>
      <c r="F257" s="505">
        <f>Qty!F178</f>
        <v>0</v>
      </c>
      <c r="G257" s="505">
        <f>Qty!G178</f>
        <v>0</v>
      </c>
      <c r="H257" s="58"/>
      <c r="I257" s="191">
        <v>244.82300000000001</v>
      </c>
      <c r="J257" s="191">
        <v>0</v>
      </c>
      <c r="K257" s="191">
        <v>6.516</v>
      </c>
      <c r="L257" s="191">
        <v>3.91</v>
      </c>
      <c r="M257" s="191">
        <v>0.97799999999999998</v>
      </c>
      <c r="N257" s="191">
        <v>0</v>
      </c>
      <c r="O257" s="191">
        <v>0</v>
      </c>
      <c r="P257" s="191">
        <v>0</v>
      </c>
      <c r="Q257" s="191">
        <v>0</v>
      </c>
      <c r="R257" s="191">
        <v>0</v>
      </c>
      <c r="S257" s="191">
        <v>0</v>
      </c>
      <c r="T257" s="191">
        <v>0</v>
      </c>
      <c r="U257" s="191">
        <v>0</v>
      </c>
      <c r="V257" s="191"/>
      <c r="W257" s="191"/>
      <c r="X257" s="191"/>
      <c r="Y257" s="191"/>
      <c r="Z257" s="191"/>
      <c r="AA257" s="191"/>
      <c r="AB257" s="191"/>
      <c r="AC257" s="187"/>
      <c r="AD257" s="19"/>
      <c r="AE257" s="19"/>
      <c r="AF257" s="19"/>
      <c r="AG257" s="19"/>
    </row>
    <row r="258" spans="1:33" outlineLevel="2" x14ac:dyDescent="0.2">
      <c r="A258" s="19"/>
      <c r="B258" s="19"/>
      <c r="C258" s="506" t="str">
        <f>Qty!C179</f>
        <v>Business HV kVA specified demand &lt;2MVA</v>
      </c>
      <c r="D258" s="505" t="str">
        <f>Qty!D179</f>
        <v>Large Business HV</v>
      </c>
      <c r="E258" s="505" t="str">
        <f>Qty!E179</f>
        <v>TASSDM</v>
      </c>
      <c r="F258" s="505">
        <f>Qty!F179</f>
        <v>0</v>
      </c>
      <c r="G258" s="505">
        <f>Qty!G179</f>
        <v>0</v>
      </c>
      <c r="H258" s="58"/>
      <c r="I258" s="191">
        <v>335.18799999999999</v>
      </c>
      <c r="J258" s="191">
        <v>0</v>
      </c>
      <c r="K258" s="191">
        <v>0.29199999999999998</v>
      </c>
      <c r="L258" s="191">
        <v>0.17499999999999999</v>
      </c>
      <c r="M258" s="191">
        <v>4.3999999999999997E-2</v>
      </c>
      <c r="N258" s="191">
        <v>0</v>
      </c>
      <c r="O258" s="191">
        <v>0</v>
      </c>
      <c r="P258" s="191">
        <v>0</v>
      </c>
      <c r="Q258" s="191">
        <v>14.768000000000001</v>
      </c>
      <c r="R258" s="191">
        <v>147.679</v>
      </c>
      <c r="S258" s="191">
        <v>0</v>
      </c>
      <c r="T258" s="191">
        <v>0</v>
      </c>
      <c r="U258" s="191">
        <v>0</v>
      </c>
      <c r="V258" s="191"/>
      <c r="W258" s="191"/>
      <c r="X258" s="191"/>
      <c r="Y258" s="191"/>
      <c r="Z258" s="191"/>
      <c r="AA258" s="191"/>
      <c r="AB258" s="191"/>
      <c r="AC258" s="187"/>
      <c r="AD258" s="19"/>
      <c r="AE258" s="19"/>
      <c r="AF258" s="19"/>
      <c r="AG258" s="19"/>
    </row>
    <row r="259" spans="1:33" outlineLevel="2" x14ac:dyDescent="0.2">
      <c r="A259" s="19"/>
      <c r="B259" s="19"/>
      <c r="C259" s="506" t="str">
        <f>Qty!C180</f>
        <v>Business HV kVA specified demand &gt;2MVA</v>
      </c>
      <c r="D259" s="505" t="str">
        <f>Qty!D180</f>
        <v>Large Business HV</v>
      </c>
      <c r="E259" s="505" t="str">
        <f>Qty!E180</f>
        <v>TAS15*</v>
      </c>
      <c r="F259" s="505">
        <f>Qty!F180</f>
        <v>0</v>
      </c>
      <c r="G259" s="505">
        <f>Qty!G180</f>
        <v>0</v>
      </c>
      <c r="H259" s="58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>
        <v>0</v>
      </c>
      <c r="V259" s="191"/>
      <c r="W259" s="191"/>
      <c r="X259" s="191"/>
      <c r="Y259" s="191"/>
      <c r="Z259" s="191"/>
      <c r="AA259" s="191"/>
      <c r="AB259" s="191"/>
      <c r="AC259" s="187"/>
      <c r="AD259" s="19"/>
      <c r="AE259" s="19"/>
      <c r="AF259" s="19"/>
      <c r="AG259" s="19"/>
    </row>
    <row r="260" spans="1:33" outlineLevel="2" x14ac:dyDescent="0.2">
      <c r="A260" s="19"/>
      <c r="B260" s="19"/>
      <c r="C260" s="506" t="str">
        <f>Qty!C181</f>
        <v>Uncontrolled low voltage heating and hot water</v>
      </c>
      <c r="D260" s="505" t="str">
        <f>Qty!D181</f>
        <v>Uncontrolled energy</v>
      </c>
      <c r="E260" s="505" t="str">
        <f>Qty!E181</f>
        <v>TAS41</v>
      </c>
      <c r="F260" s="505">
        <f>Qty!F181</f>
        <v>0</v>
      </c>
      <c r="G260" s="505">
        <f>Qty!G181</f>
        <v>0</v>
      </c>
      <c r="H260" s="58"/>
      <c r="I260" s="191">
        <v>6.3209999999999997</v>
      </c>
      <c r="J260" s="191">
        <v>3.3719999999999999</v>
      </c>
      <c r="K260" s="191">
        <v>0</v>
      </c>
      <c r="L260" s="191">
        <v>0</v>
      </c>
      <c r="M260" s="191">
        <v>0</v>
      </c>
      <c r="N260" s="191">
        <v>0</v>
      </c>
      <c r="O260" s="191">
        <v>0</v>
      </c>
      <c r="P260" s="191">
        <v>0</v>
      </c>
      <c r="Q260" s="191">
        <v>0</v>
      </c>
      <c r="R260" s="191">
        <v>0</v>
      </c>
      <c r="S260" s="191">
        <v>0</v>
      </c>
      <c r="T260" s="191">
        <v>0</v>
      </c>
      <c r="U260" s="191">
        <v>0</v>
      </c>
      <c r="V260" s="191"/>
      <c r="W260" s="191"/>
      <c r="X260" s="191"/>
      <c r="Y260" s="191"/>
      <c r="Z260" s="191"/>
      <c r="AA260" s="191"/>
      <c r="AB260" s="191"/>
      <c r="AC260" s="187"/>
      <c r="AD260" s="19"/>
      <c r="AE260" s="19"/>
      <c r="AF260" s="19"/>
      <c r="AG260" s="19"/>
    </row>
    <row r="261" spans="1:33" outlineLevel="2" x14ac:dyDescent="0.2">
      <c r="A261" s="19"/>
      <c r="B261" s="19"/>
      <c r="C261" s="506" t="str">
        <f>Qty!C182</f>
        <v>Controlled low voltage night period only</v>
      </c>
      <c r="D261" s="505" t="str">
        <f>Qty!D182</f>
        <v>Controlled energy</v>
      </c>
      <c r="E261" s="505" t="str">
        <f>Qty!E182</f>
        <v>TAS63</v>
      </c>
      <c r="F261" s="505">
        <f>Qty!F182</f>
        <v>0</v>
      </c>
      <c r="G261" s="505">
        <f>Qty!G182</f>
        <v>0</v>
      </c>
      <c r="H261" s="58"/>
      <c r="I261" s="191">
        <v>12.044</v>
      </c>
      <c r="J261" s="191">
        <v>0.874</v>
      </c>
      <c r="K261" s="191">
        <v>0</v>
      </c>
      <c r="L261" s="191">
        <v>0</v>
      </c>
      <c r="M261" s="191">
        <v>0</v>
      </c>
      <c r="N261" s="191">
        <v>0</v>
      </c>
      <c r="O261" s="191">
        <v>0</v>
      </c>
      <c r="P261" s="191">
        <v>0</v>
      </c>
      <c r="Q261" s="191">
        <v>0</v>
      </c>
      <c r="R261" s="191">
        <v>0</v>
      </c>
      <c r="S261" s="191">
        <v>0</v>
      </c>
      <c r="T261" s="191">
        <v>0</v>
      </c>
      <c r="U261" s="191">
        <v>0</v>
      </c>
      <c r="V261" s="191"/>
      <c r="W261" s="191"/>
      <c r="X261" s="191"/>
      <c r="Y261" s="191"/>
      <c r="Z261" s="191"/>
      <c r="AA261" s="191"/>
      <c r="AB261" s="191"/>
      <c r="AC261" s="187"/>
      <c r="AD261" s="19"/>
      <c r="AE261" s="19"/>
      <c r="AF261" s="19"/>
      <c r="AG261" s="19"/>
    </row>
    <row r="262" spans="1:33" outlineLevel="2" x14ac:dyDescent="0.2">
      <c r="A262" s="19"/>
      <c r="B262" s="19"/>
      <c r="C262" s="506" t="str">
        <f>Qty!C183</f>
        <v>Controlled low voltage off peak with afternoon boost</v>
      </c>
      <c r="D262" s="505" t="str">
        <f>Qty!D183</f>
        <v>Controlled energy</v>
      </c>
      <c r="E262" s="505" t="str">
        <f>Qty!E183</f>
        <v>TAS61</v>
      </c>
      <c r="F262" s="505">
        <f>Qty!F183</f>
        <v>0</v>
      </c>
      <c r="G262" s="505">
        <f>Qty!G183</f>
        <v>0</v>
      </c>
      <c r="H262" s="58"/>
      <c r="I262" s="191">
        <v>12.044</v>
      </c>
      <c r="J262" s="191">
        <v>0.96899999999999997</v>
      </c>
      <c r="K262" s="191">
        <v>0</v>
      </c>
      <c r="L262" s="191">
        <v>0</v>
      </c>
      <c r="M262" s="191">
        <v>0</v>
      </c>
      <c r="N262" s="191">
        <v>0</v>
      </c>
      <c r="O262" s="191">
        <v>0</v>
      </c>
      <c r="P262" s="191">
        <v>0</v>
      </c>
      <c r="Q262" s="191">
        <v>0</v>
      </c>
      <c r="R262" s="191">
        <v>0</v>
      </c>
      <c r="S262" s="191">
        <v>0</v>
      </c>
      <c r="T262" s="191">
        <v>0</v>
      </c>
      <c r="U262" s="191">
        <v>0</v>
      </c>
      <c r="V262" s="191"/>
      <c r="W262" s="191"/>
      <c r="X262" s="191"/>
      <c r="Y262" s="191"/>
      <c r="Z262" s="191"/>
      <c r="AA262" s="191"/>
      <c r="AB262" s="191"/>
      <c r="AC262" s="187"/>
      <c r="AD262" s="19"/>
      <c r="AE262" s="19"/>
      <c r="AF262" s="19"/>
      <c r="AG262" s="19"/>
    </row>
    <row r="263" spans="1:33" outlineLevel="2" x14ac:dyDescent="0.2">
      <c r="A263" s="19"/>
      <c r="B263" s="19"/>
      <c r="C263" s="506" t="str">
        <f>Qty!C184</f>
        <v>Unmetered supply general</v>
      </c>
      <c r="D263" s="505" t="str">
        <f>Qty!D184</f>
        <v>Unmetered supplies</v>
      </c>
      <c r="E263" s="505" t="str">
        <f>Qty!E184</f>
        <v>TASUMS</v>
      </c>
      <c r="F263" s="505">
        <f>Qty!F184</f>
        <v>0</v>
      </c>
      <c r="G263" s="505">
        <f>Qty!G184</f>
        <v>0</v>
      </c>
      <c r="H263" s="58"/>
      <c r="I263" s="191">
        <v>50.862000000000002</v>
      </c>
      <c r="J263" s="191">
        <v>7.5919999999999996</v>
      </c>
      <c r="K263" s="191">
        <v>0</v>
      </c>
      <c r="L263" s="191">
        <v>0</v>
      </c>
      <c r="M263" s="191">
        <v>0</v>
      </c>
      <c r="N263" s="191">
        <v>0</v>
      </c>
      <c r="O263" s="191">
        <v>0</v>
      </c>
      <c r="P263" s="191">
        <v>0</v>
      </c>
      <c r="Q263" s="191">
        <v>0</v>
      </c>
      <c r="R263" s="191">
        <v>0</v>
      </c>
      <c r="S263" s="191">
        <v>0</v>
      </c>
      <c r="T263" s="191">
        <v>0</v>
      </c>
      <c r="U263" s="191">
        <v>0</v>
      </c>
      <c r="V263" s="191"/>
      <c r="W263" s="191"/>
      <c r="X263" s="191"/>
      <c r="Y263" s="191"/>
      <c r="Z263" s="191"/>
      <c r="AA263" s="191"/>
      <c r="AB263" s="191"/>
      <c r="AC263" s="187"/>
      <c r="AD263" s="19"/>
      <c r="AE263" s="19"/>
      <c r="AF263" s="19"/>
      <c r="AG263" s="19"/>
    </row>
    <row r="264" spans="1:33" outlineLevel="2" x14ac:dyDescent="0.2">
      <c r="A264" s="19"/>
      <c r="B264" s="19"/>
      <c r="C264" s="506" t="str">
        <f>Qty!C185</f>
        <v>Street lighting</v>
      </c>
      <c r="D264" s="505" t="str">
        <f>Qty!D185</f>
        <v>Street lighting</v>
      </c>
      <c r="E264" s="505" t="str">
        <f>Qty!E185</f>
        <v>TASUMSSL</v>
      </c>
      <c r="F264" s="505">
        <f>Qty!F185</f>
        <v>0</v>
      </c>
      <c r="G264" s="505">
        <f>Qty!G185</f>
        <v>0</v>
      </c>
      <c r="H264" s="58"/>
      <c r="I264" s="191"/>
      <c r="J264" s="191">
        <v>0</v>
      </c>
      <c r="K264" s="191">
        <v>0</v>
      </c>
      <c r="L264" s="191">
        <v>0</v>
      </c>
      <c r="M264" s="191">
        <v>0</v>
      </c>
      <c r="N264" s="191">
        <v>0</v>
      </c>
      <c r="O264" s="191">
        <v>0</v>
      </c>
      <c r="P264" s="191">
        <v>0</v>
      </c>
      <c r="Q264" s="191">
        <v>0</v>
      </c>
      <c r="R264" s="191">
        <v>0</v>
      </c>
      <c r="S264" s="191">
        <v>0</v>
      </c>
      <c r="T264" s="191">
        <v>0</v>
      </c>
      <c r="U264" s="191">
        <v>7.6999999999999999E-2</v>
      </c>
      <c r="V264" s="191"/>
      <c r="W264" s="191"/>
      <c r="X264" s="191"/>
      <c r="Y264" s="191"/>
      <c r="Z264" s="191"/>
      <c r="AA264" s="191"/>
      <c r="AB264" s="191"/>
      <c r="AC264" s="187"/>
      <c r="AD264" s="19"/>
      <c r="AE264" s="19"/>
      <c r="AF264" s="19"/>
      <c r="AG264" s="19"/>
    </row>
    <row r="265" spans="1:33" hidden="1" outlineLevel="3" x14ac:dyDescent="0.2">
      <c r="A265" s="19"/>
      <c r="B265" s="19"/>
      <c r="C265" s="506">
        <f>Qty!C186</f>
        <v>0</v>
      </c>
      <c r="D265" s="505">
        <f>Qty!D186</f>
        <v>0</v>
      </c>
      <c r="E265" s="505">
        <f>Qty!E186</f>
        <v>0</v>
      </c>
      <c r="F265" s="505">
        <f>Qty!F186</f>
        <v>0</v>
      </c>
      <c r="G265" s="505">
        <f>Qty!G186</f>
        <v>0</v>
      </c>
      <c r="H265" s="58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87"/>
      <c r="AD265" s="19"/>
      <c r="AE265" s="19"/>
      <c r="AF265" s="19"/>
      <c r="AG265" s="19"/>
    </row>
    <row r="266" spans="1:33" hidden="1" outlineLevel="3" x14ac:dyDescent="0.2">
      <c r="A266" s="19"/>
      <c r="B266" s="19"/>
      <c r="C266" s="506">
        <f>Qty!C187</f>
        <v>0</v>
      </c>
      <c r="D266" s="505">
        <f>Qty!D187</f>
        <v>0</v>
      </c>
      <c r="E266" s="505">
        <f>Qty!E187</f>
        <v>0</v>
      </c>
      <c r="F266" s="505">
        <f>Qty!F187</f>
        <v>0</v>
      </c>
      <c r="G266" s="505">
        <f>Qty!G187</f>
        <v>0</v>
      </c>
      <c r="H266" s="58"/>
      <c r="I266" s="191"/>
      <c r="J266" s="191"/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87"/>
      <c r="AD266" s="19"/>
      <c r="AE266" s="19"/>
      <c r="AF266" s="19"/>
      <c r="AG266" s="19"/>
    </row>
    <row r="267" spans="1:33" hidden="1" outlineLevel="3" x14ac:dyDescent="0.2">
      <c r="A267" s="19"/>
      <c r="B267" s="19"/>
      <c r="C267" s="506">
        <f>Qty!C188</f>
        <v>0</v>
      </c>
      <c r="D267" s="505">
        <f>Qty!D188</f>
        <v>0</v>
      </c>
      <c r="E267" s="505">
        <f>Qty!E188</f>
        <v>0</v>
      </c>
      <c r="F267" s="505">
        <f>Qty!F188</f>
        <v>0</v>
      </c>
      <c r="G267" s="505">
        <f>Qty!G188</f>
        <v>0</v>
      </c>
      <c r="H267" s="58"/>
      <c r="I267" s="191"/>
      <c r="J267" s="191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87"/>
      <c r="AD267" s="19"/>
      <c r="AE267" s="19"/>
      <c r="AF267" s="19"/>
      <c r="AG267" s="19"/>
    </row>
    <row r="268" spans="1:33" hidden="1" outlineLevel="3" x14ac:dyDescent="0.2">
      <c r="A268" s="19"/>
      <c r="B268" s="19"/>
      <c r="C268" s="506">
        <f>Qty!C189</f>
        <v>0</v>
      </c>
      <c r="D268" s="505">
        <f>Qty!D189</f>
        <v>0</v>
      </c>
      <c r="E268" s="505">
        <f>Qty!E189</f>
        <v>0</v>
      </c>
      <c r="F268" s="505">
        <f>Qty!F189</f>
        <v>0</v>
      </c>
      <c r="G268" s="505">
        <f>Qty!G189</f>
        <v>0</v>
      </c>
      <c r="H268" s="58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87"/>
      <c r="AD268" s="19"/>
      <c r="AE268" s="19"/>
      <c r="AF268" s="19"/>
      <c r="AG268" s="19"/>
    </row>
    <row r="269" spans="1:33" hidden="1" outlineLevel="3" x14ac:dyDescent="0.2">
      <c r="A269" s="19"/>
      <c r="B269" s="19"/>
      <c r="C269" s="506">
        <f>Qty!C190</f>
        <v>0</v>
      </c>
      <c r="D269" s="505">
        <f>Qty!D190</f>
        <v>0</v>
      </c>
      <c r="E269" s="505">
        <f>Qty!E190</f>
        <v>0</v>
      </c>
      <c r="F269" s="505">
        <f>Qty!F190</f>
        <v>0</v>
      </c>
      <c r="G269" s="505">
        <f>Qty!G190</f>
        <v>0</v>
      </c>
      <c r="H269" s="58"/>
      <c r="I269" s="191"/>
      <c r="J269" s="191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87"/>
      <c r="AD269" s="19"/>
      <c r="AE269" s="19"/>
      <c r="AF269" s="19"/>
      <c r="AG269" s="19"/>
    </row>
    <row r="270" spans="1:33" hidden="1" outlineLevel="3" x14ac:dyDescent="0.2">
      <c r="A270" s="19"/>
      <c r="B270" s="19"/>
      <c r="C270" s="506">
        <f>Qty!C191</f>
        <v>0</v>
      </c>
      <c r="D270" s="505">
        <f>Qty!D191</f>
        <v>0</v>
      </c>
      <c r="E270" s="505">
        <f>Qty!E191</f>
        <v>0</v>
      </c>
      <c r="F270" s="505">
        <f>Qty!F191</f>
        <v>0</v>
      </c>
      <c r="G270" s="505">
        <f>Qty!G191</f>
        <v>0</v>
      </c>
      <c r="H270" s="58"/>
      <c r="I270" s="191"/>
      <c r="J270" s="191"/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87"/>
      <c r="AD270" s="19"/>
      <c r="AE270" s="19"/>
      <c r="AF270" s="19"/>
      <c r="AG270" s="19"/>
    </row>
    <row r="271" spans="1:33" hidden="1" outlineLevel="3" x14ac:dyDescent="0.2">
      <c r="A271" s="19"/>
      <c r="B271" s="19"/>
      <c r="C271" s="506">
        <f>Qty!C192</f>
        <v>0</v>
      </c>
      <c r="D271" s="505">
        <f>Qty!D192</f>
        <v>0</v>
      </c>
      <c r="E271" s="505">
        <f>Qty!E192</f>
        <v>0</v>
      </c>
      <c r="F271" s="505">
        <f>Qty!F192</f>
        <v>0</v>
      </c>
      <c r="G271" s="505">
        <f>Qty!G192</f>
        <v>0</v>
      </c>
      <c r="H271" s="58"/>
      <c r="I271" s="191"/>
      <c r="J271" s="191"/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87"/>
      <c r="AD271" s="19"/>
      <c r="AE271" s="19"/>
      <c r="AF271" s="19"/>
      <c r="AG271" s="19"/>
    </row>
    <row r="272" spans="1:33" hidden="1" outlineLevel="3" x14ac:dyDescent="0.2">
      <c r="A272" s="19"/>
      <c r="B272" s="19"/>
      <c r="C272" s="506">
        <f>Qty!C193</f>
        <v>0</v>
      </c>
      <c r="D272" s="505">
        <f>Qty!D193</f>
        <v>0</v>
      </c>
      <c r="E272" s="505">
        <f>Qty!E193</f>
        <v>0</v>
      </c>
      <c r="F272" s="505">
        <f>Qty!F193</f>
        <v>0</v>
      </c>
      <c r="G272" s="505">
        <f>Qty!G193</f>
        <v>0</v>
      </c>
      <c r="H272" s="58"/>
      <c r="I272" s="191"/>
      <c r="J272" s="191"/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87"/>
      <c r="AD272" s="19"/>
      <c r="AE272" s="19"/>
      <c r="AF272" s="19"/>
      <c r="AG272" s="19"/>
    </row>
    <row r="273" spans="1:33" hidden="1" outlineLevel="3" x14ac:dyDescent="0.2">
      <c r="A273" s="19"/>
      <c r="B273" s="19"/>
      <c r="C273" s="506">
        <f>Qty!C194</f>
        <v>0</v>
      </c>
      <c r="D273" s="505">
        <f>Qty!D194</f>
        <v>0</v>
      </c>
      <c r="E273" s="505">
        <f>Qty!E194</f>
        <v>0</v>
      </c>
      <c r="F273" s="505">
        <f>Qty!F194</f>
        <v>0</v>
      </c>
      <c r="G273" s="505">
        <f>Qty!G194</f>
        <v>0</v>
      </c>
      <c r="H273" s="58"/>
      <c r="I273" s="191"/>
      <c r="J273" s="191"/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91"/>
      <c r="AB273" s="191"/>
      <c r="AC273" s="187"/>
      <c r="AD273" s="19"/>
      <c r="AE273" s="19"/>
      <c r="AF273" s="19"/>
      <c r="AG273" s="19"/>
    </row>
    <row r="274" spans="1:33" hidden="1" outlineLevel="3" x14ac:dyDescent="0.2">
      <c r="A274" s="19"/>
      <c r="B274" s="19"/>
      <c r="C274" s="506">
        <f>Qty!C195</f>
        <v>0</v>
      </c>
      <c r="D274" s="505">
        <f>Qty!D195</f>
        <v>0</v>
      </c>
      <c r="E274" s="505">
        <f>Qty!E195</f>
        <v>0</v>
      </c>
      <c r="F274" s="505">
        <f>Qty!F195</f>
        <v>0</v>
      </c>
      <c r="G274" s="505">
        <f>Qty!G195</f>
        <v>0</v>
      </c>
      <c r="H274" s="58"/>
      <c r="I274" s="191"/>
      <c r="J274" s="191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87"/>
      <c r="AD274" s="19"/>
      <c r="AE274" s="19"/>
      <c r="AF274" s="19"/>
      <c r="AG274" s="19"/>
    </row>
    <row r="275" spans="1:33" hidden="1" outlineLevel="3" x14ac:dyDescent="0.2">
      <c r="A275" s="19"/>
      <c r="B275" s="19"/>
      <c r="C275" s="506">
        <f>Qty!C196</f>
        <v>0</v>
      </c>
      <c r="D275" s="505">
        <f>Qty!D196</f>
        <v>0</v>
      </c>
      <c r="E275" s="505">
        <f>Qty!E196</f>
        <v>0</v>
      </c>
      <c r="F275" s="505">
        <f>Qty!F196</f>
        <v>0</v>
      </c>
      <c r="G275" s="505">
        <f>Qty!G196</f>
        <v>0</v>
      </c>
      <c r="H275" s="58"/>
      <c r="I275" s="191"/>
      <c r="J275" s="191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87"/>
      <c r="AD275" s="19"/>
      <c r="AE275" s="19"/>
      <c r="AF275" s="19"/>
      <c r="AG275" s="19"/>
    </row>
    <row r="276" spans="1:33" hidden="1" outlineLevel="3" x14ac:dyDescent="0.2">
      <c r="A276" s="19"/>
      <c r="B276" s="19"/>
      <c r="C276" s="506">
        <f>Qty!C197</f>
        <v>0</v>
      </c>
      <c r="D276" s="505">
        <f>Qty!D197</f>
        <v>0</v>
      </c>
      <c r="E276" s="505">
        <f>Qty!E197</f>
        <v>0</v>
      </c>
      <c r="F276" s="505">
        <f>Qty!F197</f>
        <v>0</v>
      </c>
      <c r="G276" s="505">
        <f>Qty!G197</f>
        <v>0</v>
      </c>
      <c r="H276" s="58"/>
      <c r="I276" s="191"/>
      <c r="J276" s="191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87"/>
      <c r="AD276" s="19"/>
      <c r="AE276" s="19"/>
      <c r="AF276" s="19"/>
      <c r="AG276" s="19"/>
    </row>
    <row r="277" spans="1:33" hidden="1" outlineLevel="3" x14ac:dyDescent="0.2">
      <c r="A277" s="19"/>
      <c r="B277" s="19"/>
      <c r="C277" s="506">
        <f>Qty!C198</f>
        <v>0</v>
      </c>
      <c r="D277" s="505">
        <f>Qty!D198</f>
        <v>0</v>
      </c>
      <c r="E277" s="505">
        <f>Qty!E198</f>
        <v>0</v>
      </c>
      <c r="F277" s="505">
        <f>Qty!F198</f>
        <v>0</v>
      </c>
      <c r="G277" s="505">
        <f>Qty!G198</f>
        <v>0</v>
      </c>
      <c r="H277" s="58"/>
      <c r="I277" s="191"/>
      <c r="J277" s="191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87"/>
      <c r="AD277" s="19"/>
      <c r="AE277" s="19"/>
      <c r="AF277" s="19"/>
      <c r="AG277" s="19"/>
    </row>
    <row r="278" spans="1:33" hidden="1" outlineLevel="3" x14ac:dyDescent="0.2">
      <c r="A278" s="19"/>
      <c r="B278" s="19"/>
      <c r="C278" s="506">
        <f>Qty!C199</f>
        <v>0</v>
      </c>
      <c r="D278" s="505">
        <f>Qty!D199</f>
        <v>0</v>
      </c>
      <c r="E278" s="505">
        <f>Qty!E199</f>
        <v>0</v>
      </c>
      <c r="F278" s="505">
        <f>Qty!F199</f>
        <v>0</v>
      </c>
      <c r="G278" s="505">
        <f>Qty!G199</f>
        <v>0</v>
      </c>
      <c r="H278" s="58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87"/>
      <c r="AD278" s="19"/>
      <c r="AE278" s="19"/>
      <c r="AF278" s="19"/>
      <c r="AG278" s="19"/>
    </row>
    <row r="279" spans="1:33" hidden="1" outlineLevel="3" x14ac:dyDescent="0.2">
      <c r="A279" s="19"/>
      <c r="B279" s="19"/>
      <c r="C279" s="506">
        <f>Qty!C200</f>
        <v>0</v>
      </c>
      <c r="D279" s="505">
        <f>Qty!D200</f>
        <v>0</v>
      </c>
      <c r="E279" s="505">
        <f>Qty!E200</f>
        <v>0</v>
      </c>
      <c r="F279" s="505">
        <f>Qty!F200</f>
        <v>0</v>
      </c>
      <c r="G279" s="505">
        <f>Qty!G200</f>
        <v>0</v>
      </c>
      <c r="H279" s="58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87"/>
      <c r="AD279" s="19"/>
      <c r="AE279" s="19"/>
      <c r="AF279" s="19"/>
      <c r="AG279" s="19"/>
    </row>
    <row r="280" spans="1:33" hidden="1" outlineLevel="3" x14ac:dyDescent="0.2">
      <c r="A280" s="19"/>
      <c r="B280" s="19"/>
      <c r="C280" s="506">
        <f>Qty!C201</f>
        <v>0</v>
      </c>
      <c r="D280" s="505">
        <f>Qty!D201</f>
        <v>0</v>
      </c>
      <c r="E280" s="505">
        <f>Qty!E201</f>
        <v>0</v>
      </c>
      <c r="F280" s="505">
        <f>Qty!F201</f>
        <v>0</v>
      </c>
      <c r="G280" s="505">
        <f>Qty!G201</f>
        <v>0</v>
      </c>
      <c r="H280" s="58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87"/>
      <c r="AD280" s="19"/>
      <c r="AE280" s="19"/>
      <c r="AF280" s="19"/>
      <c r="AG280" s="19"/>
    </row>
    <row r="281" spans="1:33" hidden="1" outlineLevel="3" x14ac:dyDescent="0.2">
      <c r="A281" s="19"/>
      <c r="B281" s="19"/>
      <c r="C281" s="506">
        <f>Qty!C202</f>
        <v>0</v>
      </c>
      <c r="D281" s="505">
        <f>Qty!D202</f>
        <v>0</v>
      </c>
      <c r="E281" s="505">
        <f>Qty!E202</f>
        <v>0</v>
      </c>
      <c r="F281" s="505">
        <f>Qty!F202</f>
        <v>0</v>
      </c>
      <c r="G281" s="505">
        <f>Qty!G202</f>
        <v>0</v>
      </c>
      <c r="H281" s="58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87"/>
      <c r="AD281" s="19"/>
      <c r="AE281" s="19"/>
      <c r="AF281" s="19"/>
      <c r="AG281" s="19"/>
    </row>
    <row r="282" spans="1:33" hidden="1" outlineLevel="3" x14ac:dyDescent="0.2">
      <c r="A282" s="19"/>
      <c r="B282" s="19"/>
      <c r="C282" s="506">
        <f>Qty!C203</f>
        <v>0</v>
      </c>
      <c r="D282" s="505">
        <f>Qty!D203</f>
        <v>0</v>
      </c>
      <c r="E282" s="505">
        <f>Qty!E203</f>
        <v>0</v>
      </c>
      <c r="F282" s="505">
        <f>Qty!F203</f>
        <v>0</v>
      </c>
      <c r="G282" s="505">
        <f>Qty!G203</f>
        <v>0</v>
      </c>
      <c r="H282" s="58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87"/>
      <c r="AD282" s="19"/>
      <c r="AE282" s="19"/>
      <c r="AF282" s="19"/>
      <c r="AG282" s="19"/>
    </row>
    <row r="283" spans="1:33" hidden="1" outlineLevel="3" x14ac:dyDescent="0.2">
      <c r="A283" s="19"/>
      <c r="B283" s="19"/>
      <c r="C283" s="506">
        <f>Qty!C204</f>
        <v>0</v>
      </c>
      <c r="D283" s="505">
        <f>Qty!D204</f>
        <v>0</v>
      </c>
      <c r="E283" s="505">
        <f>Qty!E204</f>
        <v>0</v>
      </c>
      <c r="F283" s="505">
        <f>Qty!F204</f>
        <v>0</v>
      </c>
      <c r="G283" s="505">
        <f>Qty!G204</f>
        <v>0</v>
      </c>
      <c r="H283" s="58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87"/>
      <c r="AD283" s="19"/>
      <c r="AE283" s="19"/>
      <c r="AF283" s="19"/>
      <c r="AG283" s="19"/>
    </row>
    <row r="284" spans="1:33" hidden="1" outlineLevel="3" x14ac:dyDescent="0.2">
      <c r="A284" s="19"/>
      <c r="B284" s="19"/>
      <c r="C284" s="506">
        <f>Qty!C205</f>
        <v>0</v>
      </c>
      <c r="D284" s="505">
        <f>Qty!D205</f>
        <v>0</v>
      </c>
      <c r="E284" s="505">
        <f>Qty!E205</f>
        <v>0</v>
      </c>
      <c r="F284" s="505">
        <f>Qty!F205</f>
        <v>0</v>
      </c>
      <c r="G284" s="505">
        <f>Qty!G205</f>
        <v>0</v>
      </c>
      <c r="H284" s="58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87"/>
      <c r="AD284" s="19"/>
      <c r="AE284" s="19"/>
      <c r="AF284" s="19"/>
      <c r="AG284" s="19"/>
    </row>
    <row r="285" spans="1:33" hidden="1" outlineLevel="3" x14ac:dyDescent="0.2">
      <c r="A285" s="19"/>
      <c r="B285" s="19"/>
      <c r="C285" s="506">
        <f>Qty!C206</f>
        <v>0</v>
      </c>
      <c r="D285" s="505">
        <f>Qty!D206</f>
        <v>0</v>
      </c>
      <c r="E285" s="505">
        <f>Qty!E206</f>
        <v>0</v>
      </c>
      <c r="F285" s="505">
        <f>Qty!F206</f>
        <v>0</v>
      </c>
      <c r="G285" s="505">
        <f>Qty!G206</f>
        <v>0</v>
      </c>
      <c r="H285" s="58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87"/>
      <c r="AD285" s="19"/>
      <c r="AE285" s="19"/>
      <c r="AF285" s="19"/>
      <c r="AG285" s="19"/>
    </row>
    <row r="286" spans="1:33" hidden="1" outlineLevel="3" x14ac:dyDescent="0.2">
      <c r="A286" s="19"/>
      <c r="B286" s="19"/>
      <c r="C286" s="506">
        <f>Qty!C207</f>
        <v>0</v>
      </c>
      <c r="D286" s="505">
        <f>Qty!D207</f>
        <v>0</v>
      </c>
      <c r="E286" s="505">
        <f>Qty!E207</f>
        <v>0</v>
      </c>
      <c r="F286" s="505">
        <f>Qty!F207</f>
        <v>0</v>
      </c>
      <c r="G286" s="505">
        <f>Qty!G207</f>
        <v>0</v>
      </c>
      <c r="H286" s="58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1"/>
      <c r="AA286" s="191"/>
      <c r="AB286" s="191"/>
      <c r="AC286" s="187"/>
      <c r="AD286" s="19"/>
      <c r="AE286" s="19"/>
      <c r="AF286" s="19"/>
      <c r="AG286" s="19"/>
    </row>
    <row r="287" spans="1:33" hidden="1" outlineLevel="3" x14ac:dyDescent="0.2">
      <c r="A287" s="19"/>
      <c r="B287" s="19"/>
      <c r="C287" s="506">
        <f>Qty!C208</f>
        <v>0</v>
      </c>
      <c r="D287" s="505">
        <f>Qty!D208</f>
        <v>0</v>
      </c>
      <c r="E287" s="505">
        <f>Qty!E208</f>
        <v>0</v>
      </c>
      <c r="F287" s="505">
        <f>Qty!F208</f>
        <v>0</v>
      </c>
      <c r="G287" s="505">
        <f>Qty!G208</f>
        <v>0</v>
      </c>
      <c r="H287" s="58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87"/>
      <c r="AD287" s="19"/>
      <c r="AE287" s="19"/>
      <c r="AF287" s="19"/>
      <c r="AG287" s="19"/>
    </row>
    <row r="288" spans="1:33" hidden="1" outlineLevel="3" x14ac:dyDescent="0.2">
      <c r="A288" s="19"/>
      <c r="B288" s="19"/>
      <c r="C288" s="506">
        <f>Qty!C209</f>
        <v>0</v>
      </c>
      <c r="D288" s="505">
        <f>Qty!D209</f>
        <v>0</v>
      </c>
      <c r="E288" s="505">
        <f>Qty!E209</f>
        <v>0</v>
      </c>
      <c r="F288" s="505">
        <f>Qty!F209</f>
        <v>0</v>
      </c>
      <c r="G288" s="505">
        <f>Qty!G209</f>
        <v>0</v>
      </c>
      <c r="H288" s="58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87"/>
      <c r="AD288" s="19"/>
      <c r="AE288" s="19"/>
      <c r="AF288" s="19"/>
      <c r="AG288" s="19"/>
    </row>
    <row r="289" spans="1:33" hidden="1" outlineLevel="3" x14ac:dyDescent="0.2">
      <c r="A289" s="19"/>
      <c r="B289" s="19"/>
      <c r="C289" s="506">
        <f>Qty!C210</f>
        <v>0</v>
      </c>
      <c r="D289" s="505">
        <f>Qty!D210</f>
        <v>0</v>
      </c>
      <c r="E289" s="505">
        <f>Qty!E210</f>
        <v>0</v>
      </c>
      <c r="F289" s="505">
        <f>Qty!F210</f>
        <v>0</v>
      </c>
      <c r="G289" s="505">
        <f>Qty!G210</f>
        <v>0</v>
      </c>
      <c r="H289" s="58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87"/>
      <c r="AD289" s="19"/>
      <c r="AE289" s="19"/>
      <c r="AF289" s="19"/>
      <c r="AG289" s="19"/>
    </row>
    <row r="290" spans="1:33" hidden="1" outlineLevel="3" x14ac:dyDescent="0.2">
      <c r="A290" s="19"/>
      <c r="B290" s="19"/>
      <c r="C290" s="506">
        <f>Qty!C211</f>
        <v>0</v>
      </c>
      <c r="D290" s="505">
        <f>Qty!D211</f>
        <v>0</v>
      </c>
      <c r="E290" s="505">
        <f>Qty!E211</f>
        <v>0</v>
      </c>
      <c r="F290" s="505">
        <f>Qty!F211</f>
        <v>0</v>
      </c>
      <c r="G290" s="505">
        <f>Qty!G211</f>
        <v>0</v>
      </c>
      <c r="H290" s="58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87"/>
      <c r="AD290" s="19"/>
      <c r="AE290" s="19"/>
      <c r="AF290" s="19"/>
      <c r="AG290" s="19"/>
    </row>
    <row r="291" spans="1:33" hidden="1" outlineLevel="3" x14ac:dyDescent="0.2">
      <c r="A291" s="19"/>
      <c r="B291" s="19"/>
      <c r="C291" s="506">
        <f>Qty!C212</f>
        <v>0</v>
      </c>
      <c r="D291" s="505">
        <f>Qty!D212</f>
        <v>0</v>
      </c>
      <c r="E291" s="505">
        <f>Qty!E212</f>
        <v>0</v>
      </c>
      <c r="F291" s="505">
        <f>Qty!F212</f>
        <v>0</v>
      </c>
      <c r="G291" s="505">
        <f>Qty!G212</f>
        <v>0</v>
      </c>
      <c r="H291" s="58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87"/>
      <c r="AD291" s="19"/>
      <c r="AE291" s="19"/>
      <c r="AF291" s="19"/>
      <c r="AG291" s="19"/>
    </row>
    <row r="292" spans="1:33" hidden="1" outlineLevel="3" x14ac:dyDescent="0.2">
      <c r="A292" s="19"/>
      <c r="B292" s="19"/>
      <c r="C292" s="506">
        <f>Qty!C213</f>
        <v>0</v>
      </c>
      <c r="D292" s="505">
        <f>Qty!D213</f>
        <v>0</v>
      </c>
      <c r="E292" s="505">
        <f>Qty!E213</f>
        <v>0</v>
      </c>
      <c r="F292" s="505">
        <f>Qty!F213</f>
        <v>0</v>
      </c>
      <c r="G292" s="505">
        <f>Qty!G213</f>
        <v>0</v>
      </c>
      <c r="H292" s="58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87"/>
      <c r="AD292" s="19"/>
      <c r="AE292" s="19"/>
      <c r="AF292" s="19"/>
      <c r="AG292" s="19"/>
    </row>
    <row r="293" spans="1:33" hidden="1" outlineLevel="3" x14ac:dyDescent="0.2">
      <c r="A293" s="19"/>
      <c r="B293" s="19"/>
      <c r="C293" s="506">
        <f>Qty!C214</f>
        <v>0</v>
      </c>
      <c r="D293" s="505">
        <f>Qty!D214</f>
        <v>0</v>
      </c>
      <c r="E293" s="505">
        <f>Qty!E214</f>
        <v>0</v>
      </c>
      <c r="F293" s="505">
        <f>Qty!F214</f>
        <v>0</v>
      </c>
      <c r="G293" s="505">
        <f>Qty!G214</f>
        <v>0</v>
      </c>
      <c r="H293" s="58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87"/>
      <c r="AD293" s="19"/>
      <c r="AE293" s="19"/>
      <c r="AF293" s="19"/>
      <c r="AG293" s="19"/>
    </row>
    <row r="294" spans="1:33" hidden="1" outlineLevel="3" x14ac:dyDescent="0.2">
      <c r="A294" s="19"/>
      <c r="B294" s="19"/>
      <c r="C294" s="506">
        <f>Qty!C215</f>
        <v>0</v>
      </c>
      <c r="D294" s="505">
        <f>Qty!D215</f>
        <v>0</v>
      </c>
      <c r="E294" s="505">
        <f>Qty!E215</f>
        <v>0</v>
      </c>
      <c r="F294" s="505">
        <f>Qty!F215</f>
        <v>0</v>
      </c>
      <c r="G294" s="505">
        <f>Qty!G215</f>
        <v>0</v>
      </c>
      <c r="H294" s="58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87"/>
      <c r="AD294" s="19"/>
      <c r="AE294" s="19"/>
      <c r="AF294" s="19"/>
      <c r="AG294" s="19"/>
    </row>
    <row r="295" spans="1:33" hidden="1" outlineLevel="3" x14ac:dyDescent="0.2">
      <c r="A295" s="19"/>
      <c r="B295" s="19"/>
      <c r="C295" s="506">
        <f>Qty!C216</f>
        <v>0</v>
      </c>
      <c r="D295" s="505">
        <f>Qty!D216</f>
        <v>0</v>
      </c>
      <c r="E295" s="505">
        <f>Qty!E216</f>
        <v>0</v>
      </c>
      <c r="F295" s="505">
        <f>Qty!F216</f>
        <v>0</v>
      </c>
      <c r="G295" s="505">
        <f>Qty!G216</f>
        <v>0</v>
      </c>
      <c r="H295" s="58"/>
      <c r="I295" s="191"/>
      <c r="J295" s="191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87"/>
      <c r="AD295" s="19"/>
      <c r="AE295" s="19"/>
      <c r="AF295" s="19"/>
      <c r="AG295" s="19"/>
    </row>
    <row r="296" spans="1:33" hidden="1" outlineLevel="3" x14ac:dyDescent="0.2">
      <c r="A296" s="19"/>
      <c r="B296" s="19"/>
      <c r="C296" s="506">
        <f>Qty!C217</f>
        <v>0</v>
      </c>
      <c r="D296" s="505">
        <f>Qty!D217</f>
        <v>0</v>
      </c>
      <c r="E296" s="505">
        <f>Qty!E217</f>
        <v>0</v>
      </c>
      <c r="F296" s="505">
        <f>Qty!F217</f>
        <v>0</v>
      </c>
      <c r="G296" s="505">
        <f>Qty!G217</f>
        <v>0</v>
      </c>
      <c r="H296" s="58"/>
      <c r="I296" s="191"/>
      <c r="J296" s="191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87"/>
      <c r="AD296" s="19"/>
      <c r="AE296" s="19"/>
      <c r="AF296" s="19"/>
      <c r="AG296" s="19"/>
    </row>
    <row r="297" spans="1:33" hidden="1" outlineLevel="3" x14ac:dyDescent="0.2">
      <c r="A297" s="19"/>
      <c r="B297" s="19"/>
      <c r="C297" s="506">
        <f>Qty!C218</f>
        <v>0</v>
      </c>
      <c r="D297" s="505">
        <f>Qty!D218</f>
        <v>0</v>
      </c>
      <c r="E297" s="505">
        <f>Qty!E218</f>
        <v>0</v>
      </c>
      <c r="F297" s="505">
        <f>Qty!F218</f>
        <v>0</v>
      </c>
      <c r="G297" s="505">
        <f>Qty!G218</f>
        <v>0</v>
      </c>
      <c r="H297" s="58"/>
      <c r="I297" s="191"/>
      <c r="J297" s="191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87"/>
      <c r="AD297" s="19"/>
      <c r="AE297" s="19"/>
      <c r="AF297" s="19"/>
      <c r="AG297" s="19"/>
    </row>
    <row r="298" spans="1:33" hidden="1" outlineLevel="3" x14ac:dyDescent="0.2">
      <c r="A298" s="19"/>
      <c r="B298" s="19"/>
      <c r="C298" s="506">
        <f>Qty!C219</f>
        <v>0</v>
      </c>
      <c r="D298" s="505">
        <f>Qty!D219</f>
        <v>0</v>
      </c>
      <c r="E298" s="505">
        <f>Qty!E219</f>
        <v>0</v>
      </c>
      <c r="F298" s="505">
        <f>Qty!F219</f>
        <v>0</v>
      </c>
      <c r="G298" s="505">
        <f>Qty!G219</f>
        <v>0</v>
      </c>
      <c r="H298" s="58"/>
      <c r="I298" s="191"/>
      <c r="J298" s="191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87"/>
      <c r="AD298" s="19"/>
      <c r="AE298" s="19"/>
      <c r="AF298" s="19"/>
      <c r="AG298" s="19"/>
    </row>
    <row r="299" spans="1:33" hidden="1" outlineLevel="3" x14ac:dyDescent="0.2">
      <c r="A299" s="19"/>
      <c r="B299" s="19"/>
      <c r="C299" s="506">
        <f>Qty!C220</f>
        <v>0</v>
      </c>
      <c r="D299" s="505">
        <f>Qty!D220</f>
        <v>0</v>
      </c>
      <c r="E299" s="505">
        <f>Qty!E220</f>
        <v>0</v>
      </c>
      <c r="F299" s="505">
        <f>Qty!F220</f>
        <v>0</v>
      </c>
      <c r="G299" s="505">
        <f>Qty!G220</f>
        <v>0</v>
      </c>
      <c r="H299" s="58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87"/>
      <c r="AD299" s="19"/>
      <c r="AE299" s="19"/>
      <c r="AF299" s="19"/>
      <c r="AG299" s="19"/>
    </row>
    <row r="300" spans="1:33" hidden="1" outlineLevel="3" x14ac:dyDescent="0.2">
      <c r="A300" s="19"/>
      <c r="B300" s="19"/>
      <c r="C300" s="506">
        <f>Qty!C221</f>
        <v>0</v>
      </c>
      <c r="D300" s="505">
        <f>Qty!D221</f>
        <v>0</v>
      </c>
      <c r="E300" s="505">
        <f>Qty!E221</f>
        <v>0</v>
      </c>
      <c r="F300" s="505">
        <f>Qty!F221</f>
        <v>0</v>
      </c>
      <c r="G300" s="505">
        <f>Qty!G221</f>
        <v>0</v>
      </c>
      <c r="H300" s="58"/>
      <c r="I300" s="191"/>
      <c r="J300" s="191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87"/>
      <c r="AD300" s="19"/>
      <c r="AE300" s="19"/>
      <c r="AF300" s="19"/>
      <c r="AG300" s="19"/>
    </row>
    <row r="301" spans="1:33" hidden="1" outlineLevel="3" x14ac:dyDescent="0.2">
      <c r="A301" s="19"/>
      <c r="B301" s="19"/>
      <c r="C301" s="506">
        <f>Qty!C222</f>
        <v>0</v>
      </c>
      <c r="D301" s="505">
        <f>Qty!D222</f>
        <v>0</v>
      </c>
      <c r="E301" s="505">
        <f>Qty!E222</f>
        <v>0</v>
      </c>
      <c r="F301" s="505">
        <f>Qty!F222</f>
        <v>0</v>
      </c>
      <c r="G301" s="505">
        <f>Qty!G222</f>
        <v>0</v>
      </c>
      <c r="H301" s="58"/>
      <c r="I301" s="191"/>
      <c r="J301" s="191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87"/>
      <c r="AD301" s="19"/>
      <c r="AE301" s="19"/>
      <c r="AF301" s="19"/>
      <c r="AG301" s="19"/>
    </row>
    <row r="302" spans="1:33" hidden="1" outlineLevel="3" x14ac:dyDescent="0.2">
      <c r="A302" s="19"/>
      <c r="B302" s="19"/>
      <c r="C302" s="506">
        <f>Qty!C223</f>
        <v>0</v>
      </c>
      <c r="D302" s="505">
        <f>Qty!D223</f>
        <v>0</v>
      </c>
      <c r="E302" s="505">
        <f>Qty!E223</f>
        <v>0</v>
      </c>
      <c r="F302" s="505">
        <f>Qty!F223</f>
        <v>0</v>
      </c>
      <c r="G302" s="505">
        <f>Qty!G223</f>
        <v>0</v>
      </c>
      <c r="H302" s="58"/>
      <c r="I302" s="191"/>
      <c r="J302" s="191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87"/>
      <c r="AD302" s="19"/>
      <c r="AE302" s="19"/>
      <c r="AF302" s="19"/>
      <c r="AG302" s="19"/>
    </row>
    <row r="303" spans="1:33" hidden="1" outlineLevel="3" x14ac:dyDescent="0.2">
      <c r="A303" s="19"/>
      <c r="B303" s="19"/>
      <c r="C303" s="506">
        <f>Qty!C224</f>
        <v>0</v>
      </c>
      <c r="D303" s="505">
        <f>Qty!D224</f>
        <v>0</v>
      </c>
      <c r="E303" s="505">
        <f>Qty!E224</f>
        <v>0</v>
      </c>
      <c r="F303" s="505">
        <f>Qty!F224</f>
        <v>0</v>
      </c>
      <c r="G303" s="505">
        <f>Qty!G224</f>
        <v>0</v>
      </c>
      <c r="H303" s="58"/>
      <c r="I303" s="191"/>
      <c r="J303" s="191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87"/>
      <c r="AD303" s="19"/>
      <c r="AE303" s="19"/>
      <c r="AF303" s="19"/>
      <c r="AG303" s="19"/>
    </row>
    <row r="304" spans="1:33" hidden="1" outlineLevel="3" x14ac:dyDescent="0.2">
      <c r="A304" s="19"/>
      <c r="B304" s="19"/>
      <c r="C304" s="506">
        <f>Qty!C225</f>
        <v>0</v>
      </c>
      <c r="D304" s="505">
        <f>Qty!D225</f>
        <v>0</v>
      </c>
      <c r="E304" s="505">
        <f>Qty!E225</f>
        <v>0</v>
      </c>
      <c r="F304" s="505">
        <f>Qty!F225</f>
        <v>0</v>
      </c>
      <c r="G304" s="505">
        <f>Qty!G225</f>
        <v>0</v>
      </c>
      <c r="H304" s="58"/>
      <c r="I304" s="191"/>
      <c r="J304" s="191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87"/>
      <c r="AD304" s="19"/>
      <c r="AE304" s="19"/>
      <c r="AF304" s="19"/>
      <c r="AG304" s="19"/>
    </row>
    <row r="305" spans="1:33" hidden="1" outlineLevel="3" x14ac:dyDescent="0.2">
      <c r="A305" s="19"/>
      <c r="B305" s="19"/>
      <c r="C305" s="506">
        <f>Qty!C226</f>
        <v>0</v>
      </c>
      <c r="D305" s="505">
        <f>Qty!D226</f>
        <v>0</v>
      </c>
      <c r="E305" s="505">
        <f>Qty!E226</f>
        <v>0</v>
      </c>
      <c r="F305" s="505">
        <f>Qty!F226</f>
        <v>0</v>
      </c>
      <c r="G305" s="505">
        <f>Qty!G226</f>
        <v>0</v>
      </c>
      <c r="H305" s="58"/>
      <c r="I305" s="191"/>
      <c r="J305" s="191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87"/>
      <c r="AD305" s="19"/>
      <c r="AE305" s="19"/>
      <c r="AF305" s="19"/>
      <c r="AG305" s="19"/>
    </row>
    <row r="306" spans="1:33" hidden="1" outlineLevel="3" x14ac:dyDescent="0.2">
      <c r="A306" s="19"/>
      <c r="B306" s="19"/>
      <c r="C306" s="506">
        <f>Qty!C227</f>
        <v>0</v>
      </c>
      <c r="D306" s="505">
        <f>Qty!D227</f>
        <v>0</v>
      </c>
      <c r="E306" s="505">
        <f>Qty!E227</f>
        <v>0</v>
      </c>
      <c r="F306" s="505">
        <f>Qty!F227</f>
        <v>0</v>
      </c>
      <c r="G306" s="505">
        <f>Qty!G227</f>
        <v>0</v>
      </c>
      <c r="H306" s="58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87"/>
      <c r="AD306" s="19"/>
      <c r="AE306" s="19"/>
      <c r="AF306" s="19"/>
      <c r="AG306" s="19"/>
    </row>
    <row r="307" spans="1:33" hidden="1" outlineLevel="3" x14ac:dyDescent="0.2">
      <c r="A307" s="19"/>
      <c r="B307" s="19"/>
      <c r="C307" s="506">
        <f>Qty!C228</f>
        <v>0</v>
      </c>
      <c r="D307" s="505">
        <f>Qty!D228</f>
        <v>0</v>
      </c>
      <c r="E307" s="505">
        <f>Qty!E228</f>
        <v>0</v>
      </c>
      <c r="F307" s="505">
        <f>Qty!F228</f>
        <v>0</v>
      </c>
      <c r="G307" s="505">
        <f>Qty!G228</f>
        <v>0</v>
      </c>
      <c r="H307" s="58"/>
      <c r="I307" s="191"/>
      <c r="J307" s="191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87"/>
      <c r="AD307" s="19"/>
      <c r="AE307" s="19"/>
      <c r="AF307" s="19"/>
      <c r="AG307" s="19"/>
    </row>
    <row r="308" spans="1:33" hidden="1" outlineLevel="3" x14ac:dyDescent="0.2">
      <c r="A308" s="19"/>
      <c r="B308" s="19"/>
      <c r="C308" s="506">
        <f>Qty!C229</f>
        <v>0</v>
      </c>
      <c r="D308" s="505">
        <f>Qty!D229</f>
        <v>0</v>
      </c>
      <c r="E308" s="505">
        <f>Qty!E229</f>
        <v>0</v>
      </c>
      <c r="F308" s="505">
        <f>Qty!F229</f>
        <v>0</v>
      </c>
      <c r="G308" s="505">
        <f>Qty!G229</f>
        <v>0</v>
      </c>
      <c r="H308" s="58"/>
      <c r="I308" s="191"/>
      <c r="J308" s="191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87"/>
      <c r="AD308" s="19"/>
      <c r="AE308" s="19"/>
      <c r="AF308" s="19"/>
      <c r="AG308" s="19"/>
    </row>
    <row r="309" spans="1:33" hidden="1" outlineLevel="3" x14ac:dyDescent="0.2">
      <c r="A309" s="19"/>
      <c r="B309" s="19"/>
      <c r="C309" s="506">
        <f>Qty!C230</f>
        <v>0</v>
      </c>
      <c r="D309" s="505">
        <f>Qty!D230</f>
        <v>0</v>
      </c>
      <c r="E309" s="505">
        <f>Qty!E230</f>
        <v>0</v>
      </c>
      <c r="F309" s="505">
        <f>Qty!F230</f>
        <v>0</v>
      </c>
      <c r="G309" s="505">
        <f>Qty!G230</f>
        <v>0</v>
      </c>
      <c r="H309" s="58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87"/>
      <c r="AD309" s="19"/>
      <c r="AE309" s="19"/>
      <c r="AF309" s="19"/>
      <c r="AG309" s="19"/>
    </row>
    <row r="310" spans="1:33" hidden="1" outlineLevel="3" x14ac:dyDescent="0.2">
      <c r="A310" s="19"/>
      <c r="B310" s="19"/>
      <c r="C310" s="506">
        <f>Qty!C231</f>
        <v>0</v>
      </c>
      <c r="D310" s="505">
        <f>Qty!D231</f>
        <v>0</v>
      </c>
      <c r="E310" s="505">
        <f>Qty!E231</f>
        <v>0</v>
      </c>
      <c r="F310" s="505">
        <f>Qty!F231</f>
        <v>0</v>
      </c>
      <c r="G310" s="505">
        <f>Qty!G231</f>
        <v>0</v>
      </c>
      <c r="H310" s="58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87"/>
      <c r="AD310" s="19"/>
      <c r="AE310" s="19"/>
      <c r="AF310" s="19"/>
      <c r="AG310" s="19"/>
    </row>
    <row r="311" spans="1:33" hidden="1" outlineLevel="3" x14ac:dyDescent="0.2">
      <c r="A311" s="19"/>
      <c r="B311" s="19"/>
      <c r="C311" s="506">
        <f>Qty!C232</f>
        <v>0</v>
      </c>
      <c r="D311" s="505">
        <f>Qty!D232</f>
        <v>0</v>
      </c>
      <c r="E311" s="505">
        <f>Qty!E232</f>
        <v>0</v>
      </c>
      <c r="F311" s="505">
        <f>Qty!F232</f>
        <v>0</v>
      </c>
      <c r="G311" s="505">
        <f>Qty!G232</f>
        <v>0</v>
      </c>
      <c r="H311" s="58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87"/>
      <c r="AD311" s="19"/>
      <c r="AE311" s="19"/>
      <c r="AF311" s="19"/>
      <c r="AG311" s="19"/>
    </row>
    <row r="312" spans="1:33" hidden="1" outlineLevel="3" x14ac:dyDescent="0.2">
      <c r="A312" s="19"/>
      <c r="B312" s="19"/>
      <c r="C312" s="506">
        <f>Qty!C233</f>
        <v>0</v>
      </c>
      <c r="D312" s="505">
        <f>Qty!D233</f>
        <v>0</v>
      </c>
      <c r="E312" s="505">
        <f>Qty!E233</f>
        <v>0</v>
      </c>
      <c r="F312" s="505">
        <f>Qty!F233</f>
        <v>0</v>
      </c>
      <c r="G312" s="505">
        <f>Qty!G233</f>
        <v>0</v>
      </c>
      <c r="H312" s="58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87"/>
      <c r="AD312" s="19"/>
      <c r="AE312" s="19"/>
      <c r="AF312" s="19"/>
      <c r="AG312" s="19"/>
    </row>
    <row r="313" spans="1:33" hidden="1" outlineLevel="3" x14ac:dyDescent="0.2">
      <c r="A313" s="19"/>
      <c r="B313" s="19"/>
      <c r="C313" s="506">
        <f>Qty!C234</f>
        <v>0</v>
      </c>
      <c r="D313" s="505">
        <f>Qty!D234</f>
        <v>0</v>
      </c>
      <c r="E313" s="505">
        <f>Qty!E234</f>
        <v>0</v>
      </c>
      <c r="F313" s="505">
        <f>Qty!F234</f>
        <v>0</v>
      </c>
      <c r="G313" s="505">
        <f>Qty!G234</f>
        <v>0</v>
      </c>
      <c r="H313" s="58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87"/>
      <c r="AD313" s="19"/>
      <c r="AE313" s="19"/>
      <c r="AF313" s="19"/>
      <c r="AG313" s="19"/>
    </row>
    <row r="314" spans="1:33" hidden="1" outlineLevel="3" x14ac:dyDescent="0.2">
      <c r="A314" s="19"/>
      <c r="B314" s="19"/>
      <c r="C314" s="506">
        <f>Qty!C235</f>
        <v>0</v>
      </c>
      <c r="D314" s="505">
        <f>Qty!D235</f>
        <v>0</v>
      </c>
      <c r="E314" s="505">
        <f>Qty!E235</f>
        <v>0</v>
      </c>
      <c r="F314" s="505">
        <f>Qty!F235</f>
        <v>0</v>
      </c>
      <c r="G314" s="505">
        <f>Qty!G235</f>
        <v>0</v>
      </c>
      <c r="H314" s="58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87"/>
      <c r="AD314" s="19"/>
      <c r="AE314" s="19"/>
      <c r="AF314" s="19"/>
      <c r="AG314" s="19"/>
    </row>
    <row r="315" spans="1:33" hidden="1" outlineLevel="3" x14ac:dyDescent="0.2">
      <c r="A315" s="19"/>
      <c r="B315" s="19"/>
      <c r="C315" s="506">
        <f>Qty!C236</f>
        <v>0</v>
      </c>
      <c r="D315" s="505">
        <f>Qty!D236</f>
        <v>0</v>
      </c>
      <c r="E315" s="505">
        <f>Qty!E236</f>
        <v>0</v>
      </c>
      <c r="F315" s="505">
        <f>Qty!F236</f>
        <v>0</v>
      </c>
      <c r="G315" s="505">
        <f>Qty!G236</f>
        <v>0</v>
      </c>
      <c r="H315" s="58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87"/>
      <c r="AD315" s="19"/>
      <c r="AE315" s="19"/>
      <c r="AF315" s="19"/>
      <c r="AG315" s="19"/>
    </row>
    <row r="316" spans="1:33" hidden="1" outlineLevel="3" x14ac:dyDescent="0.2">
      <c r="A316" s="19"/>
      <c r="B316" s="19"/>
      <c r="C316" s="506">
        <f>Qty!C237</f>
        <v>0</v>
      </c>
      <c r="D316" s="505">
        <f>Qty!D237</f>
        <v>0</v>
      </c>
      <c r="E316" s="505">
        <f>Qty!E237</f>
        <v>0</v>
      </c>
      <c r="F316" s="505">
        <f>Qty!F237</f>
        <v>0</v>
      </c>
      <c r="G316" s="505">
        <f>Qty!G237</f>
        <v>0</v>
      </c>
      <c r="H316" s="58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87"/>
      <c r="AD316" s="19"/>
      <c r="AE316" s="19"/>
      <c r="AF316" s="19"/>
      <c r="AG316" s="19"/>
    </row>
    <row r="317" spans="1:33" hidden="1" outlineLevel="3" x14ac:dyDescent="0.2">
      <c r="A317" s="19"/>
      <c r="B317" s="19"/>
      <c r="C317" s="506">
        <f>Qty!C238</f>
        <v>0</v>
      </c>
      <c r="D317" s="505">
        <f>Qty!D238</f>
        <v>0</v>
      </c>
      <c r="E317" s="505">
        <f>Qty!E238</f>
        <v>0</v>
      </c>
      <c r="F317" s="505">
        <f>Qty!F238</f>
        <v>0</v>
      </c>
      <c r="G317" s="505">
        <f>Qty!G238</f>
        <v>0</v>
      </c>
      <c r="H317" s="58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87"/>
      <c r="AD317" s="19"/>
      <c r="AE317" s="19"/>
      <c r="AF317" s="19"/>
      <c r="AG317" s="19"/>
    </row>
    <row r="318" spans="1:33" hidden="1" outlineLevel="3" x14ac:dyDescent="0.2">
      <c r="A318" s="19"/>
      <c r="B318" s="19"/>
      <c r="C318" s="506">
        <f>Qty!C239</f>
        <v>0</v>
      </c>
      <c r="D318" s="505">
        <f>Qty!D239</f>
        <v>0</v>
      </c>
      <c r="E318" s="505">
        <f>Qty!E239</f>
        <v>0</v>
      </c>
      <c r="F318" s="505">
        <f>Qty!F239</f>
        <v>0</v>
      </c>
      <c r="G318" s="505">
        <f>Qty!G239</f>
        <v>0</v>
      </c>
      <c r="H318" s="58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87"/>
      <c r="AD318" s="19"/>
      <c r="AE318" s="19"/>
      <c r="AF318" s="19"/>
      <c r="AG318" s="19"/>
    </row>
    <row r="319" spans="1:33" hidden="1" outlineLevel="3" x14ac:dyDescent="0.2">
      <c r="A319" s="19"/>
      <c r="B319" s="19"/>
      <c r="C319" s="506">
        <f>Qty!C240</f>
        <v>0</v>
      </c>
      <c r="D319" s="505">
        <f>Qty!D240</f>
        <v>0</v>
      </c>
      <c r="E319" s="505">
        <f>Qty!E240</f>
        <v>0</v>
      </c>
      <c r="F319" s="505">
        <f>Qty!F240</f>
        <v>0</v>
      </c>
      <c r="G319" s="505">
        <f>Qty!G240</f>
        <v>0</v>
      </c>
      <c r="H319" s="58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87"/>
      <c r="AD319" s="19"/>
      <c r="AE319" s="19"/>
      <c r="AF319" s="19"/>
      <c r="AG319" s="19"/>
    </row>
    <row r="320" spans="1:33" outlineLevel="2" collapsed="1" x14ac:dyDescent="0.2">
      <c r="A320" s="19"/>
      <c r="B320" s="19"/>
      <c r="C320" s="60"/>
      <c r="D320" s="61"/>
      <c r="E320" s="58"/>
      <c r="F320" s="58"/>
      <c r="G320" s="58"/>
      <c r="H320" s="58"/>
      <c r="I320" s="186"/>
      <c r="J320" s="186"/>
      <c r="K320" s="187"/>
      <c r="L320" s="187"/>
      <c r="M320" s="187"/>
      <c r="N320" s="188"/>
      <c r="O320" s="188"/>
      <c r="P320" s="188"/>
      <c r="Q320" s="188"/>
      <c r="R320" s="188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9"/>
      <c r="AE320" s="19"/>
      <c r="AF320" s="19"/>
      <c r="AG320" s="19"/>
    </row>
    <row r="321" spans="1:33" outlineLevel="1" x14ac:dyDescent="0.2">
      <c r="A321" s="19"/>
      <c r="B321" s="19"/>
      <c r="C321" s="66"/>
      <c r="D321" s="58"/>
      <c r="E321" s="58"/>
      <c r="F321" s="58"/>
      <c r="G321" s="58"/>
      <c r="H321" s="58"/>
      <c r="I321" s="186"/>
      <c r="J321" s="186"/>
      <c r="K321" s="187"/>
      <c r="L321" s="187"/>
      <c r="M321" s="187"/>
      <c r="N321" s="188"/>
      <c r="O321" s="188"/>
      <c r="P321" s="188"/>
      <c r="Q321" s="188"/>
      <c r="R321" s="188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9"/>
      <c r="AE321" s="19"/>
      <c r="AF321" s="19"/>
      <c r="AG321" s="19"/>
    </row>
    <row r="322" spans="1:33" outlineLevel="1" x14ac:dyDescent="0.2">
      <c r="A322" s="19"/>
      <c r="B322" s="19"/>
      <c r="C322" s="167" t="str">
        <f>C85</f>
        <v>Designated Pricing Proposal Costs</v>
      </c>
      <c r="D322" s="20"/>
      <c r="E322" s="20"/>
      <c r="F322" s="20"/>
      <c r="G322" s="22"/>
      <c r="H322" s="22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9"/>
      <c r="AE322" s="19"/>
      <c r="AF322" s="19"/>
      <c r="AG322" s="19"/>
    </row>
    <row r="323" spans="1:33" outlineLevel="2" x14ac:dyDescent="0.2">
      <c r="A323" s="19"/>
      <c r="B323" s="19"/>
      <c r="C323" s="506" t="str">
        <f t="shared" ref="C323:G332" si="18">C245</f>
        <v>Residential time of use consumption</v>
      </c>
      <c r="D323" s="505" t="str">
        <f t="shared" si="18"/>
        <v>Residential</v>
      </c>
      <c r="E323" s="505" t="str">
        <f t="shared" si="18"/>
        <v>TAS93</v>
      </c>
      <c r="F323" s="505">
        <f t="shared" si="18"/>
        <v>0</v>
      </c>
      <c r="G323" s="505">
        <f t="shared" si="18"/>
        <v>0</v>
      </c>
      <c r="H323" s="22"/>
      <c r="I323" s="191"/>
      <c r="J323" s="191">
        <v>0</v>
      </c>
      <c r="K323" s="191">
        <v>3.8109999999999999</v>
      </c>
      <c r="L323" s="191">
        <v>0</v>
      </c>
      <c r="M323" s="191">
        <v>0.72499999999999998</v>
      </c>
      <c r="N323" s="191">
        <v>0</v>
      </c>
      <c r="O323" s="191">
        <v>0</v>
      </c>
      <c r="P323" s="191">
        <v>0</v>
      </c>
      <c r="Q323" s="191">
        <v>0</v>
      </c>
      <c r="R323" s="191">
        <v>0</v>
      </c>
      <c r="S323" s="191">
        <v>0</v>
      </c>
      <c r="T323" s="191">
        <v>0</v>
      </c>
      <c r="U323" s="191">
        <v>0</v>
      </c>
      <c r="V323" s="191"/>
      <c r="W323" s="191"/>
      <c r="X323" s="191"/>
      <c r="Y323" s="191"/>
      <c r="Z323" s="191"/>
      <c r="AA323" s="191"/>
      <c r="AB323" s="191"/>
      <c r="AC323" s="187"/>
      <c r="AD323" s="19"/>
      <c r="AE323" s="19"/>
      <c r="AF323" s="19"/>
      <c r="AG323" s="19"/>
    </row>
    <row r="324" spans="1:33" s="59" customFormat="1" outlineLevel="2" x14ac:dyDescent="0.2">
      <c r="A324" s="57"/>
      <c r="B324" s="57"/>
      <c r="C324" s="506" t="str">
        <f t="shared" si="18"/>
        <v>Residential general light and power</v>
      </c>
      <c r="D324" s="505" t="str">
        <f t="shared" si="18"/>
        <v>Residential</v>
      </c>
      <c r="E324" s="505" t="str">
        <f t="shared" si="18"/>
        <v>TAS31</v>
      </c>
      <c r="F324" s="505">
        <f t="shared" si="18"/>
        <v>0</v>
      </c>
      <c r="G324" s="505">
        <f t="shared" si="18"/>
        <v>0</v>
      </c>
      <c r="H324" s="58"/>
      <c r="I324" s="191"/>
      <c r="J324" s="191">
        <v>2.0169999999999999</v>
      </c>
      <c r="K324" s="191">
        <v>0</v>
      </c>
      <c r="L324" s="191">
        <v>0</v>
      </c>
      <c r="M324" s="191">
        <v>0</v>
      </c>
      <c r="N324" s="191">
        <v>0</v>
      </c>
      <c r="O324" s="191">
        <v>0</v>
      </c>
      <c r="P324" s="191">
        <v>0</v>
      </c>
      <c r="Q324" s="191">
        <v>0</v>
      </c>
      <c r="R324" s="191">
        <v>0</v>
      </c>
      <c r="S324" s="191">
        <v>0</v>
      </c>
      <c r="T324" s="191">
        <v>0</v>
      </c>
      <c r="U324" s="191">
        <v>0</v>
      </c>
      <c r="V324" s="191"/>
      <c r="W324" s="191"/>
      <c r="X324" s="191"/>
      <c r="Y324" s="191"/>
      <c r="Z324" s="191"/>
      <c r="AA324" s="191"/>
      <c r="AB324" s="191"/>
      <c r="AC324" s="187"/>
      <c r="AD324" s="57"/>
      <c r="AE324" s="57"/>
      <c r="AF324" s="57"/>
      <c r="AG324" s="57"/>
    </row>
    <row r="325" spans="1:33" outlineLevel="2" x14ac:dyDescent="0.2">
      <c r="A325" s="19"/>
      <c r="B325" s="19"/>
      <c r="C325" s="506" t="str">
        <f t="shared" si="18"/>
        <v>Residential time of use demand</v>
      </c>
      <c r="D325" s="505" t="str">
        <f t="shared" si="18"/>
        <v>Residential</v>
      </c>
      <c r="E325" s="505" t="str">
        <f t="shared" si="18"/>
        <v>TAS87</v>
      </c>
      <c r="F325" s="505">
        <f t="shared" si="18"/>
        <v>0</v>
      </c>
      <c r="G325" s="505">
        <f t="shared" si="18"/>
        <v>0</v>
      </c>
      <c r="H325" s="58"/>
      <c r="I325" s="191"/>
      <c r="J325" s="191">
        <v>0</v>
      </c>
      <c r="K325" s="191">
        <v>0</v>
      </c>
      <c r="L325" s="191">
        <v>0</v>
      </c>
      <c r="M325" s="191">
        <v>0</v>
      </c>
      <c r="N325" s="191">
        <v>0</v>
      </c>
      <c r="O325" s="191">
        <v>5.2840000000000007</v>
      </c>
      <c r="P325" s="191">
        <v>1.056</v>
      </c>
      <c r="Q325" s="191">
        <v>0</v>
      </c>
      <c r="R325" s="191">
        <v>0</v>
      </c>
      <c r="S325" s="191">
        <v>0</v>
      </c>
      <c r="T325" s="191">
        <v>0</v>
      </c>
      <c r="U325" s="191">
        <v>0</v>
      </c>
      <c r="V325" s="191"/>
      <c r="W325" s="191"/>
      <c r="X325" s="191"/>
      <c r="Y325" s="191"/>
      <c r="Z325" s="191"/>
      <c r="AA325" s="191"/>
      <c r="AB325" s="191"/>
      <c r="AC325" s="187"/>
      <c r="AD325" s="19"/>
      <c r="AE325" s="19"/>
      <c r="AF325" s="19"/>
      <c r="AG325" s="19"/>
    </row>
    <row r="326" spans="1:33" outlineLevel="2" x14ac:dyDescent="0.2">
      <c r="A326" s="19"/>
      <c r="B326" s="19"/>
      <c r="C326" s="506" t="str">
        <f t="shared" si="18"/>
        <v>Residential time of use demand DER</v>
      </c>
      <c r="D326" s="505" t="str">
        <f t="shared" si="18"/>
        <v>Residential</v>
      </c>
      <c r="E326" s="505" t="str">
        <f t="shared" si="18"/>
        <v>TAS97</v>
      </c>
      <c r="F326" s="505">
        <f t="shared" si="18"/>
        <v>0</v>
      </c>
      <c r="G326" s="505">
        <f t="shared" si="18"/>
        <v>0</v>
      </c>
      <c r="H326" s="58"/>
      <c r="I326" s="191"/>
      <c r="J326" s="191">
        <v>0</v>
      </c>
      <c r="K326" s="191">
        <v>0</v>
      </c>
      <c r="L326" s="191">
        <v>0</v>
      </c>
      <c r="M326" s="191">
        <v>0</v>
      </c>
      <c r="N326" s="191">
        <v>0</v>
      </c>
      <c r="O326" s="191">
        <v>5.2840000000000007</v>
      </c>
      <c r="P326" s="191">
        <v>1.056</v>
      </c>
      <c r="Q326" s="191">
        <v>0</v>
      </c>
      <c r="R326" s="191">
        <v>0</v>
      </c>
      <c r="S326" s="191">
        <v>0</v>
      </c>
      <c r="T326" s="191">
        <v>0</v>
      </c>
      <c r="U326" s="191">
        <v>0</v>
      </c>
      <c r="V326" s="191"/>
      <c r="W326" s="191"/>
      <c r="X326" s="191"/>
      <c r="Y326" s="191"/>
      <c r="Z326" s="191"/>
      <c r="AA326" s="191"/>
      <c r="AB326" s="191"/>
      <c r="AC326" s="187"/>
      <c r="AD326" s="19"/>
      <c r="AE326" s="19"/>
      <c r="AF326" s="19"/>
      <c r="AG326" s="19"/>
    </row>
    <row r="327" spans="1:33" outlineLevel="2" x14ac:dyDescent="0.2">
      <c r="A327" s="19"/>
      <c r="B327" s="19"/>
      <c r="C327" s="506" t="str">
        <f t="shared" si="18"/>
        <v>Residential pay as you go</v>
      </c>
      <c r="D327" s="505" t="str">
        <f t="shared" si="18"/>
        <v>Residential</v>
      </c>
      <c r="E327" s="505" t="str">
        <f t="shared" si="18"/>
        <v>TAS101</v>
      </c>
      <c r="F327" s="505">
        <f t="shared" si="18"/>
        <v>0</v>
      </c>
      <c r="G327" s="505">
        <f t="shared" si="18"/>
        <v>0</v>
      </c>
      <c r="H327" s="58"/>
      <c r="I327" s="191"/>
      <c r="J327" s="191">
        <v>1.4350000000000001</v>
      </c>
      <c r="K327" s="191">
        <v>0</v>
      </c>
      <c r="L327" s="191">
        <v>0</v>
      </c>
      <c r="M327" s="191">
        <v>0</v>
      </c>
      <c r="N327" s="191">
        <v>0</v>
      </c>
      <c r="O327" s="191">
        <v>0</v>
      </c>
      <c r="P327" s="191">
        <v>0</v>
      </c>
      <c r="Q327" s="191">
        <v>0</v>
      </c>
      <c r="R327" s="191">
        <v>0</v>
      </c>
      <c r="S327" s="191">
        <v>0</v>
      </c>
      <c r="T327" s="191">
        <v>0</v>
      </c>
      <c r="U327" s="191">
        <v>0</v>
      </c>
      <c r="V327" s="191"/>
      <c r="W327" s="191"/>
      <c r="X327" s="191"/>
      <c r="Y327" s="191"/>
      <c r="Z327" s="191"/>
      <c r="AA327" s="191"/>
      <c r="AB327" s="191"/>
      <c r="AC327" s="187"/>
      <c r="AD327" s="19"/>
      <c r="AE327" s="19"/>
      <c r="AF327" s="19"/>
      <c r="AG327" s="19"/>
    </row>
    <row r="328" spans="1:33" outlineLevel="2" x14ac:dyDescent="0.2">
      <c r="A328" s="19"/>
      <c r="B328" s="19"/>
      <c r="C328" s="506" t="str">
        <f t="shared" si="18"/>
        <v>Residential pay as you go time of use</v>
      </c>
      <c r="D328" s="505" t="str">
        <f t="shared" si="18"/>
        <v>Residential</v>
      </c>
      <c r="E328" s="505" t="str">
        <f t="shared" si="18"/>
        <v>TAS92</v>
      </c>
      <c r="F328" s="505">
        <f t="shared" si="18"/>
        <v>0</v>
      </c>
      <c r="G328" s="505">
        <f t="shared" si="18"/>
        <v>0</v>
      </c>
      <c r="H328" s="58"/>
      <c r="I328" s="191"/>
      <c r="J328" s="191">
        <v>0.45</v>
      </c>
      <c r="K328" s="191">
        <v>0</v>
      </c>
      <c r="L328" s="191">
        <v>0</v>
      </c>
      <c r="M328" s="191">
        <v>0</v>
      </c>
      <c r="N328" s="191">
        <v>0</v>
      </c>
      <c r="O328" s="191">
        <v>0</v>
      </c>
      <c r="P328" s="191">
        <v>0</v>
      </c>
      <c r="Q328" s="191">
        <v>0</v>
      </c>
      <c r="R328" s="191">
        <v>0</v>
      </c>
      <c r="S328" s="191">
        <v>0</v>
      </c>
      <c r="T328" s="191">
        <v>0</v>
      </c>
      <c r="U328" s="191">
        <v>0</v>
      </c>
      <c r="V328" s="191"/>
      <c r="W328" s="191"/>
      <c r="X328" s="191"/>
      <c r="Y328" s="191"/>
      <c r="Z328" s="191"/>
      <c r="AA328" s="191"/>
      <c r="AB328" s="191"/>
      <c r="AC328" s="187"/>
      <c r="AD328" s="19"/>
      <c r="AE328" s="19"/>
      <c r="AF328" s="19"/>
      <c r="AG328" s="19"/>
    </row>
    <row r="329" spans="1:33" outlineLevel="2" x14ac:dyDescent="0.2">
      <c r="A329" s="19"/>
      <c r="B329" s="19"/>
      <c r="C329" s="506" t="str">
        <f t="shared" si="18"/>
        <v>Small business time of use consumption</v>
      </c>
      <c r="D329" s="505" t="str">
        <f t="shared" si="18"/>
        <v>Small Business LV</v>
      </c>
      <c r="E329" s="505" t="str">
        <f t="shared" si="18"/>
        <v>TAS94</v>
      </c>
      <c r="F329" s="505">
        <f t="shared" si="18"/>
        <v>0</v>
      </c>
      <c r="G329" s="505">
        <f t="shared" si="18"/>
        <v>0</v>
      </c>
      <c r="H329" s="58"/>
      <c r="I329" s="191"/>
      <c r="J329" s="191">
        <v>0</v>
      </c>
      <c r="K329" s="191">
        <v>2.3980000000000001</v>
      </c>
      <c r="L329" s="191">
        <v>1.44</v>
      </c>
      <c r="M329" s="191">
        <v>0.36</v>
      </c>
      <c r="N329" s="191">
        <v>0</v>
      </c>
      <c r="O329" s="191">
        <v>0</v>
      </c>
      <c r="P329" s="191">
        <v>0</v>
      </c>
      <c r="Q329" s="191">
        <v>0</v>
      </c>
      <c r="R329" s="191">
        <v>0</v>
      </c>
      <c r="S329" s="191">
        <v>0</v>
      </c>
      <c r="T329" s="191">
        <v>0</v>
      </c>
      <c r="U329" s="191">
        <v>0</v>
      </c>
      <c r="V329" s="191"/>
      <c r="W329" s="191"/>
      <c r="X329" s="191"/>
      <c r="Y329" s="191"/>
      <c r="Z329" s="191"/>
      <c r="AA329" s="191"/>
      <c r="AB329" s="191"/>
      <c r="AC329" s="187"/>
      <c r="AD329" s="19"/>
      <c r="AE329" s="19"/>
      <c r="AF329" s="19"/>
      <c r="AG329" s="19"/>
    </row>
    <row r="330" spans="1:33" outlineLevel="2" x14ac:dyDescent="0.2">
      <c r="A330" s="19"/>
      <c r="B330" s="19"/>
      <c r="C330" s="506" t="str">
        <f t="shared" si="18"/>
        <v>Small business general light and power</v>
      </c>
      <c r="D330" s="505" t="str">
        <f t="shared" si="18"/>
        <v>Small Business LV</v>
      </c>
      <c r="E330" s="505" t="str">
        <f t="shared" si="18"/>
        <v>TAS22</v>
      </c>
      <c r="F330" s="505">
        <f t="shared" si="18"/>
        <v>0</v>
      </c>
      <c r="G330" s="505">
        <f t="shared" si="18"/>
        <v>0</v>
      </c>
      <c r="H330" s="58"/>
      <c r="I330" s="191"/>
      <c r="J330" s="191">
        <v>2.0169999999999999</v>
      </c>
      <c r="K330" s="191">
        <v>0</v>
      </c>
      <c r="L330" s="191">
        <v>0</v>
      </c>
      <c r="M330" s="191">
        <v>0</v>
      </c>
      <c r="N330" s="191">
        <v>0</v>
      </c>
      <c r="O330" s="191">
        <v>0</v>
      </c>
      <c r="P330" s="191">
        <v>0</v>
      </c>
      <c r="Q330" s="191">
        <v>0</v>
      </c>
      <c r="R330" s="191">
        <v>0</v>
      </c>
      <c r="S330" s="191">
        <v>0</v>
      </c>
      <c r="T330" s="191">
        <v>0</v>
      </c>
      <c r="U330" s="191">
        <v>0</v>
      </c>
      <c r="V330" s="191"/>
      <c r="W330" s="191"/>
      <c r="X330" s="191"/>
      <c r="Y330" s="191"/>
      <c r="Z330" s="191"/>
      <c r="AA330" s="191"/>
      <c r="AB330" s="191"/>
      <c r="AC330" s="187"/>
      <c r="AD330" s="19"/>
      <c r="AE330" s="19"/>
      <c r="AF330" s="19"/>
      <c r="AG330" s="19"/>
    </row>
    <row r="331" spans="1:33" outlineLevel="2" x14ac:dyDescent="0.2">
      <c r="A331" s="19"/>
      <c r="B331" s="19"/>
      <c r="C331" s="506" t="str">
        <f t="shared" si="18"/>
        <v>Small business time of use demand</v>
      </c>
      <c r="D331" s="505" t="str">
        <f t="shared" si="18"/>
        <v>Small Business LV</v>
      </c>
      <c r="E331" s="505" t="str">
        <f t="shared" si="18"/>
        <v>TAS88</v>
      </c>
      <c r="F331" s="505">
        <f t="shared" si="18"/>
        <v>0</v>
      </c>
      <c r="G331" s="505">
        <f t="shared" si="18"/>
        <v>0</v>
      </c>
      <c r="H331" s="58"/>
      <c r="I331" s="191"/>
      <c r="J331" s="191">
        <v>0</v>
      </c>
      <c r="K331" s="191">
        <v>0</v>
      </c>
      <c r="L331" s="191">
        <v>0</v>
      </c>
      <c r="M331" s="191">
        <v>0</v>
      </c>
      <c r="N331" s="191">
        <v>0</v>
      </c>
      <c r="O331" s="191">
        <v>11.879</v>
      </c>
      <c r="P331" s="191">
        <v>2.3740000000000001</v>
      </c>
      <c r="Q331" s="191">
        <v>0</v>
      </c>
      <c r="R331" s="191">
        <v>0</v>
      </c>
      <c r="S331" s="191">
        <v>0</v>
      </c>
      <c r="T331" s="191">
        <v>0</v>
      </c>
      <c r="U331" s="191">
        <v>0</v>
      </c>
      <c r="V331" s="191"/>
      <c r="W331" s="191"/>
      <c r="X331" s="191"/>
      <c r="Y331" s="191"/>
      <c r="Z331" s="191"/>
      <c r="AA331" s="191"/>
      <c r="AB331" s="191"/>
      <c r="AC331" s="187"/>
      <c r="AD331" s="19"/>
      <c r="AE331" s="19"/>
      <c r="AF331" s="19"/>
      <c r="AG331" s="19"/>
    </row>
    <row r="332" spans="1:33" outlineLevel="2" x14ac:dyDescent="0.2">
      <c r="A332" s="19"/>
      <c r="B332" s="19"/>
      <c r="C332" s="506" t="str">
        <f t="shared" si="18"/>
        <v>Small business time of use demand DER</v>
      </c>
      <c r="D332" s="505" t="str">
        <f t="shared" si="18"/>
        <v>Small Business LV</v>
      </c>
      <c r="E332" s="505" t="str">
        <f t="shared" si="18"/>
        <v>TAS98</v>
      </c>
      <c r="F332" s="505">
        <f t="shared" si="18"/>
        <v>0</v>
      </c>
      <c r="G332" s="505">
        <f t="shared" si="18"/>
        <v>0</v>
      </c>
      <c r="H332" s="58"/>
      <c r="I332" s="191"/>
      <c r="J332" s="191">
        <v>0</v>
      </c>
      <c r="K332" s="191">
        <v>0</v>
      </c>
      <c r="L332" s="191">
        <v>0</v>
      </c>
      <c r="M332" s="191">
        <v>0</v>
      </c>
      <c r="N332" s="191">
        <v>0</v>
      </c>
      <c r="O332" s="191">
        <v>11.879</v>
      </c>
      <c r="P332" s="191">
        <v>2.3740000000000001</v>
      </c>
      <c r="Q332" s="191">
        <v>0</v>
      </c>
      <c r="R332" s="191">
        <v>0</v>
      </c>
      <c r="S332" s="191">
        <v>0</v>
      </c>
      <c r="T332" s="191">
        <v>0</v>
      </c>
      <c r="U332" s="191">
        <v>0</v>
      </c>
      <c r="V332" s="191"/>
      <c r="W332" s="191"/>
      <c r="X332" s="191"/>
      <c r="Y332" s="191"/>
      <c r="Z332" s="191"/>
      <c r="AA332" s="191"/>
      <c r="AB332" s="191"/>
      <c r="AC332" s="187"/>
      <c r="AD332" s="19"/>
      <c r="AE332" s="19"/>
      <c r="AF332" s="19"/>
      <c r="AG332" s="19"/>
    </row>
    <row r="333" spans="1:33" outlineLevel="2" x14ac:dyDescent="0.2">
      <c r="A333" s="19"/>
      <c r="B333" s="19"/>
      <c r="C333" s="506" t="str">
        <f t="shared" ref="C333:G342" si="19">C255</f>
        <v>Large business kVA demand</v>
      </c>
      <c r="D333" s="505" t="str">
        <f t="shared" si="19"/>
        <v>Large Business LV</v>
      </c>
      <c r="E333" s="505" t="str">
        <f t="shared" si="19"/>
        <v>TAS82</v>
      </c>
      <c r="F333" s="505">
        <f t="shared" si="19"/>
        <v>0</v>
      </c>
      <c r="G333" s="505">
        <f t="shared" si="19"/>
        <v>0</v>
      </c>
      <c r="H333" s="58"/>
      <c r="I333" s="191"/>
      <c r="J333" s="191">
        <v>0.58699999999999997</v>
      </c>
      <c r="K333" s="191">
        <v>0</v>
      </c>
      <c r="L333" s="191">
        <v>0</v>
      </c>
      <c r="M333" s="191">
        <v>0</v>
      </c>
      <c r="N333" s="191">
        <v>12.340999999999999</v>
      </c>
      <c r="O333" s="191">
        <v>0</v>
      </c>
      <c r="P333" s="191">
        <v>0</v>
      </c>
      <c r="Q333" s="191">
        <v>0</v>
      </c>
      <c r="R333" s="191">
        <v>0</v>
      </c>
      <c r="S333" s="191">
        <v>0</v>
      </c>
      <c r="T333" s="191">
        <v>0</v>
      </c>
      <c r="U333" s="191">
        <v>0</v>
      </c>
      <c r="V333" s="191"/>
      <c r="W333" s="191"/>
      <c r="X333" s="191"/>
      <c r="Y333" s="191"/>
      <c r="Z333" s="191"/>
      <c r="AA333" s="191"/>
      <c r="AB333" s="191"/>
      <c r="AC333" s="187"/>
      <c r="AD333" s="19"/>
      <c r="AE333" s="19"/>
      <c r="AF333" s="19"/>
      <c r="AG333" s="19"/>
    </row>
    <row r="334" spans="1:33" outlineLevel="2" x14ac:dyDescent="0.2">
      <c r="A334" s="19"/>
      <c r="B334" s="19"/>
      <c r="C334" s="506" t="str">
        <f t="shared" si="19"/>
        <v>Large business time of use demand</v>
      </c>
      <c r="D334" s="505" t="str">
        <f t="shared" si="19"/>
        <v>Large Business LV</v>
      </c>
      <c r="E334" s="505" t="str">
        <f t="shared" si="19"/>
        <v>TAS89</v>
      </c>
      <c r="F334" s="505">
        <f t="shared" si="19"/>
        <v>0</v>
      </c>
      <c r="G334" s="505">
        <f t="shared" si="19"/>
        <v>0</v>
      </c>
      <c r="H334" s="58"/>
      <c r="I334" s="191"/>
      <c r="J334" s="191">
        <v>0</v>
      </c>
      <c r="K334" s="191">
        <v>0</v>
      </c>
      <c r="L334" s="191">
        <v>0</v>
      </c>
      <c r="M334" s="191">
        <v>0</v>
      </c>
      <c r="N334" s="191">
        <v>0</v>
      </c>
      <c r="O334" s="191">
        <v>16.704000000000001</v>
      </c>
      <c r="P334" s="191">
        <v>5.5620000000000003</v>
      </c>
      <c r="Q334" s="191">
        <v>0</v>
      </c>
      <c r="R334" s="191">
        <v>0</v>
      </c>
      <c r="S334" s="191">
        <v>0</v>
      </c>
      <c r="T334" s="191">
        <v>0</v>
      </c>
      <c r="U334" s="191">
        <v>0</v>
      </c>
      <c r="V334" s="191"/>
      <c r="W334" s="191"/>
      <c r="X334" s="191"/>
      <c r="Y334" s="191"/>
      <c r="Z334" s="191"/>
      <c r="AA334" s="191"/>
      <c r="AB334" s="191"/>
      <c r="AC334" s="187"/>
      <c r="AD334" s="19"/>
      <c r="AE334" s="19"/>
      <c r="AF334" s="19"/>
      <c r="AG334" s="19"/>
    </row>
    <row r="335" spans="1:33" outlineLevel="2" x14ac:dyDescent="0.2">
      <c r="A335" s="19"/>
      <c r="B335" s="19"/>
      <c r="C335" s="506" t="str">
        <f t="shared" si="19"/>
        <v>Irrigation time of use consumption</v>
      </c>
      <c r="D335" s="505" t="str">
        <f t="shared" si="19"/>
        <v>Irrigation</v>
      </c>
      <c r="E335" s="505" t="str">
        <f t="shared" si="19"/>
        <v>TAS75</v>
      </c>
      <c r="F335" s="505">
        <f t="shared" si="19"/>
        <v>0</v>
      </c>
      <c r="G335" s="505">
        <f t="shared" si="19"/>
        <v>0</v>
      </c>
      <c r="H335" s="58"/>
      <c r="I335" s="191"/>
      <c r="J335" s="191">
        <v>0</v>
      </c>
      <c r="K335" s="191">
        <v>2.7970000000000002</v>
      </c>
      <c r="L335" s="191">
        <v>1.6790000000000003</v>
      </c>
      <c r="M335" s="191">
        <v>0.41799999999999998</v>
      </c>
      <c r="N335" s="191">
        <v>0</v>
      </c>
      <c r="O335" s="191">
        <v>0</v>
      </c>
      <c r="P335" s="191">
        <v>0</v>
      </c>
      <c r="Q335" s="191">
        <v>0</v>
      </c>
      <c r="R335" s="191">
        <v>0</v>
      </c>
      <c r="S335" s="191">
        <v>0</v>
      </c>
      <c r="T335" s="191">
        <v>0</v>
      </c>
      <c r="U335" s="191">
        <v>0</v>
      </c>
      <c r="V335" s="191"/>
      <c r="W335" s="191"/>
      <c r="X335" s="191"/>
      <c r="Y335" s="191"/>
      <c r="Z335" s="191"/>
      <c r="AA335" s="191"/>
      <c r="AB335" s="191"/>
      <c r="AC335" s="187"/>
      <c r="AD335" s="19"/>
      <c r="AE335" s="19"/>
      <c r="AF335" s="19"/>
      <c r="AG335" s="19"/>
    </row>
    <row r="336" spans="1:33" outlineLevel="2" x14ac:dyDescent="0.2">
      <c r="A336" s="19"/>
      <c r="B336" s="19"/>
      <c r="C336" s="506" t="str">
        <f t="shared" si="19"/>
        <v>Business HV kVA specified demand &lt;2MVA</v>
      </c>
      <c r="D336" s="505" t="str">
        <f t="shared" si="19"/>
        <v>Large Business HV</v>
      </c>
      <c r="E336" s="505" t="str">
        <f t="shared" si="19"/>
        <v>TASSDM</v>
      </c>
      <c r="F336" s="505">
        <f t="shared" si="19"/>
        <v>0</v>
      </c>
      <c r="G336" s="505">
        <f t="shared" si="19"/>
        <v>0</v>
      </c>
      <c r="H336" s="58"/>
      <c r="I336" s="191"/>
      <c r="J336" s="191">
        <v>0</v>
      </c>
      <c r="K336" s="191">
        <v>0.876</v>
      </c>
      <c r="L336" s="191">
        <v>0.52600000000000002</v>
      </c>
      <c r="M336" s="191">
        <v>0.13100000000000001</v>
      </c>
      <c r="N336" s="191">
        <v>0</v>
      </c>
      <c r="O336" s="191">
        <v>0</v>
      </c>
      <c r="P336" s="191">
        <v>0</v>
      </c>
      <c r="Q336" s="191">
        <v>3.1890000000000001</v>
      </c>
      <c r="R336" s="191">
        <v>31.898</v>
      </c>
      <c r="S336" s="191">
        <v>0</v>
      </c>
      <c r="T336" s="191">
        <v>0</v>
      </c>
      <c r="U336" s="191">
        <v>0</v>
      </c>
      <c r="V336" s="191"/>
      <c r="W336" s="191"/>
      <c r="X336" s="191"/>
      <c r="Y336" s="191"/>
      <c r="Z336" s="191"/>
      <c r="AA336" s="191"/>
      <c r="AB336" s="191"/>
      <c r="AC336" s="187"/>
      <c r="AD336" s="19"/>
      <c r="AE336" s="19"/>
      <c r="AF336" s="19"/>
      <c r="AG336" s="19"/>
    </row>
    <row r="337" spans="1:33" outlineLevel="2" x14ac:dyDescent="0.2">
      <c r="A337" s="19"/>
      <c r="B337" s="19"/>
      <c r="C337" s="506" t="str">
        <f t="shared" si="19"/>
        <v>Business HV kVA specified demand &gt;2MVA</v>
      </c>
      <c r="D337" s="505" t="str">
        <f t="shared" si="19"/>
        <v>Large Business HV</v>
      </c>
      <c r="E337" s="505" t="str">
        <f t="shared" si="19"/>
        <v>TAS15*</v>
      </c>
      <c r="F337" s="505">
        <f t="shared" si="19"/>
        <v>0</v>
      </c>
      <c r="G337" s="505">
        <f t="shared" si="19"/>
        <v>0</v>
      </c>
      <c r="H337" s="58"/>
      <c r="I337" s="191"/>
      <c r="J337" s="191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87"/>
      <c r="AD337" s="19"/>
      <c r="AE337" s="19"/>
      <c r="AF337" s="19"/>
      <c r="AG337" s="19"/>
    </row>
    <row r="338" spans="1:33" outlineLevel="2" x14ac:dyDescent="0.2">
      <c r="A338" s="19"/>
      <c r="B338" s="19"/>
      <c r="C338" s="506" t="str">
        <f t="shared" si="19"/>
        <v>Uncontrolled low voltage heating and hot water</v>
      </c>
      <c r="D338" s="505" t="str">
        <f t="shared" si="19"/>
        <v>Uncontrolled energy</v>
      </c>
      <c r="E338" s="505" t="str">
        <f t="shared" si="19"/>
        <v>TAS41</v>
      </c>
      <c r="F338" s="505">
        <f t="shared" si="19"/>
        <v>0</v>
      </c>
      <c r="G338" s="505">
        <f t="shared" si="19"/>
        <v>0</v>
      </c>
      <c r="H338" s="58"/>
      <c r="I338" s="191"/>
      <c r="J338" s="191">
        <v>2.0169999999999999</v>
      </c>
      <c r="K338" s="191">
        <v>0</v>
      </c>
      <c r="L338" s="191">
        <v>0</v>
      </c>
      <c r="M338" s="191">
        <v>0</v>
      </c>
      <c r="N338" s="191">
        <v>0</v>
      </c>
      <c r="O338" s="191">
        <v>0</v>
      </c>
      <c r="P338" s="191">
        <v>0</v>
      </c>
      <c r="Q338" s="191">
        <v>0</v>
      </c>
      <c r="R338" s="191">
        <v>0</v>
      </c>
      <c r="S338" s="191">
        <v>0</v>
      </c>
      <c r="T338" s="191">
        <v>0</v>
      </c>
      <c r="U338" s="191">
        <v>0</v>
      </c>
      <c r="V338" s="191"/>
      <c r="W338" s="191"/>
      <c r="X338" s="191"/>
      <c r="Y338" s="191"/>
      <c r="Z338" s="191"/>
      <c r="AA338" s="191"/>
      <c r="AB338" s="191"/>
      <c r="AC338" s="187"/>
      <c r="AD338" s="19"/>
      <c r="AE338" s="19"/>
      <c r="AF338" s="19"/>
      <c r="AG338" s="19"/>
    </row>
    <row r="339" spans="1:33" outlineLevel="2" x14ac:dyDescent="0.2">
      <c r="A339" s="19"/>
      <c r="B339" s="19"/>
      <c r="C339" s="506" t="str">
        <f t="shared" si="19"/>
        <v>Controlled low voltage night period only</v>
      </c>
      <c r="D339" s="505" t="str">
        <f t="shared" si="19"/>
        <v>Controlled energy</v>
      </c>
      <c r="E339" s="505" t="str">
        <f t="shared" si="19"/>
        <v>TAS63</v>
      </c>
      <c r="F339" s="505">
        <f t="shared" si="19"/>
        <v>0</v>
      </c>
      <c r="G339" s="505">
        <f t="shared" si="19"/>
        <v>0</v>
      </c>
      <c r="H339" s="58"/>
      <c r="I339" s="191"/>
      <c r="J339" s="191">
        <v>0.45</v>
      </c>
      <c r="K339" s="191">
        <v>0</v>
      </c>
      <c r="L339" s="191">
        <v>0</v>
      </c>
      <c r="M339" s="191">
        <v>0</v>
      </c>
      <c r="N339" s="191">
        <v>0</v>
      </c>
      <c r="O339" s="191">
        <v>0</v>
      </c>
      <c r="P339" s="191">
        <v>0</v>
      </c>
      <c r="Q339" s="191">
        <v>0</v>
      </c>
      <c r="R339" s="191">
        <v>0</v>
      </c>
      <c r="S339" s="191">
        <v>0</v>
      </c>
      <c r="T339" s="191">
        <v>0</v>
      </c>
      <c r="U339" s="191">
        <v>0</v>
      </c>
      <c r="V339" s="191"/>
      <c r="W339" s="191"/>
      <c r="X339" s="191"/>
      <c r="Y339" s="191"/>
      <c r="Z339" s="191"/>
      <c r="AA339" s="191"/>
      <c r="AB339" s="191"/>
      <c r="AC339" s="187"/>
      <c r="AD339" s="19"/>
      <c r="AE339" s="19"/>
      <c r="AF339" s="19"/>
      <c r="AG339" s="19"/>
    </row>
    <row r="340" spans="1:33" outlineLevel="2" x14ac:dyDescent="0.2">
      <c r="A340" s="19"/>
      <c r="B340" s="19"/>
      <c r="C340" s="506" t="str">
        <f t="shared" si="19"/>
        <v>Controlled low voltage off peak with afternoon boost</v>
      </c>
      <c r="D340" s="505" t="str">
        <f t="shared" si="19"/>
        <v>Controlled energy</v>
      </c>
      <c r="E340" s="505" t="str">
        <f t="shared" si="19"/>
        <v>TAS61</v>
      </c>
      <c r="F340" s="505">
        <f t="shared" si="19"/>
        <v>0</v>
      </c>
      <c r="G340" s="505">
        <f t="shared" si="19"/>
        <v>0</v>
      </c>
      <c r="H340" s="58"/>
      <c r="I340" s="191"/>
      <c r="J340" s="191">
        <v>0.56299999999999994</v>
      </c>
      <c r="K340" s="191">
        <v>0</v>
      </c>
      <c r="L340" s="191">
        <v>0</v>
      </c>
      <c r="M340" s="191">
        <v>0</v>
      </c>
      <c r="N340" s="191">
        <v>0</v>
      </c>
      <c r="O340" s="191">
        <v>0</v>
      </c>
      <c r="P340" s="191">
        <v>0</v>
      </c>
      <c r="Q340" s="191">
        <v>0</v>
      </c>
      <c r="R340" s="191">
        <v>0</v>
      </c>
      <c r="S340" s="191">
        <v>0</v>
      </c>
      <c r="T340" s="191">
        <v>0</v>
      </c>
      <c r="U340" s="191">
        <v>0</v>
      </c>
      <c r="V340" s="191"/>
      <c r="W340" s="191"/>
      <c r="X340" s="191"/>
      <c r="Y340" s="191"/>
      <c r="Z340" s="191"/>
      <c r="AA340" s="191"/>
      <c r="AB340" s="191"/>
      <c r="AC340" s="187"/>
      <c r="AD340" s="19"/>
      <c r="AE340" s="19"/>
      <c r="AF340" s="19"/>
      <c r="AG340" s="19"/>
    </row>
    <row r="341" spans="1:33" outlineLevel="2" x14ac:dyDescent="0.2">
      <c r="A341" s="19"/>
      <c r="B341" s="19"/>
      <c r="C341" s="506" t="str">
        <f t="shared" si="19"/>
        <v>Unmetered supply general</v>
      </c>
      <c r="D341" s="505" t="str">
        <f t="shared" si="19"/>
        <v>Unmetered supplies</v>
      </c>
      <c r="E341" s="505" t="str">
        <f t="shared" si="19"/>
        <v>TASUMS</v>
      </c>
      <c r="F341" s="505">
        <f t="shared" si="19"/>
        <v>0</v>
      </c>
      <c r="G341" s="505">
        <f t="shared" si="19"/>
        <v>0</v>
      </c>
      <c r="H341" s="58"/>
      <c r="I341" s="191"/>
      <c r="J341" s="191">
        <v>2.827</v>
      </c>
      <c r="K341" s="191">
        <v>0</v>
      </c>
      <c r="L341" s="191">
        <v>0</v>
      </c>
      <c r="M341" s="191">
        <v>0</v>
      </c>
      <c r="N341" s="191">
        <v>0</v>
      </c>
      <c r="O341" s="191">
        <v>0</v>
      </c>
      <c r="P341" s="191">
        <v>0</v>
      </c>
      <c r="Q341" s="191">
        <v>0</v>
      </c>
      <c r="R341" s="191">
        <v>0</v>
      </c>
      <c r="S341" s="191">
        <v>0</v>
      </c>
      <c r="T341" s="191">
        <v>0</v>
      </c>
      <c r="U341" s="191">
        <v>0</v>
      </c>
      <c r="V341" s="191"/>
      <c r="W341" s="191"/>
      <c r="X341" s="191"/>
      <c r="Y341" s="191"/>
      <c r="Z341" s="191"/>
      <c r="AA341" s="191"/>
      <c r="AB341" s="191"/>
      <c r="AC341" s="187"/>
      <c r="AD341" s="19"/>
      <c r="AE341" s="19"/>
      <c r="AF341" s="19"/>
      <c r="AG341" s="19"/>
    </row>
    <row r="342" spans="1:33" outlineLevel="2" x14ac:dyDescent="0.2">
      <c r="A342" s="19"/>
      <c r="B342" s="19"/>
      <c r="C342" s="506" t="str">
        <f t="shared" si="19"/>
        <v>Street lighting</v>
      </c>
      <c r="D342" s="505" t="str">
        <f t="shared" si="19"/>
        <v>Street lighting</v>
      </c>
      <c r="E342" s="505" t="str">
        <f t="shared" si="19"/>
        <v>TASUMSSL</v>
      </c>
      <c r="F342" s="505">
        <f t="shared" si="19"/>
        <v>0</v>
      </c>
      <c r="G342" s="505">
        <f t="shared" si="19"/>
        <v>0</v>
      </c>
      <c r="H342" s="58"/>
      <c r="I342" s="191"/>
      <c r="J342" s="191">
        <v>0</v>
      </c>
      <c r="K342" s="191">
        <v>0</v>
      </c>
      <c r="L342" s="191">
        <v>0</v>
      </c>
      <c r="M342" s="191">
        <v>0</v>
      </c>
      <c r="N342" s="191">
        <v>0</v>
      </c>
      <c r="O342" s="191">
        <v>0</v>
      </c>
      <c r="P342" s="191">
        <v>0</v>
      </c>
      <c r="Q342" s="191">
        <v>0</v>
      </c>
      <c r="R342" s="191">
        <v>0</v>
      </c>
      <c r="S342" s="191">
        <v>0</v>
      </c>
      <c r="T342" s="191">
        <v>0</v>
      </c>
      <c r="U342" s="191">
        <v>2.5999999999999999E-2</v>
      </c>
      <c r="V342" s="191"/>
      <c r="W342" s="191"/>
      <c r="X342" s="191"/>
      <c r="Y342" s="191"/>
      <c r="Z342" s="191"/>
      <c r="AA342" s="191"/>
      <c r="AB342" s="191"/>
      <c r="AC342" s="187"/>
      <c r="AD342" s="19"/>
      <c r="AE342" s="19"/>
      <c r="AF342" s="19"/>
      <c r="AG342" s="19"/>
    </row>
    <row r="343" spans="1:33" hidden="1" outlineLevel="3" x14ac:dyDescent="0.2">
      <c r="A343" s="19"/>
      <c r="B343" s="19"/>
      <c r="C343" s="506">
        <f t="shared" ref="C343:G352" si="20">C265</f>
        <v>0</v>
      </c>
      <c r="D343" s="505">
        <f t="shared" si="20"/>
        <v>0</v>
      </c>
      <c r="E343" s="505">
        <f t="shared" si="20"/>
        <v>0</v>
      </c>
      <c r="F343" s="505">
        <f t="shared" si="20"/>
        <v>0</v>
      </c>
      <c r="G343" s="505">
        <f t="shared" si="20"/>
        <v>0</v>
      </c>
      <c r="H343" s="58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87"/>
      <c r="AD343" s="19"/>
      <c r="AE343" s="19"/>
      <c r="AF343" s="19"/>
      <c r="AG343" s="19"/>
    </row>
    <row r="344" spans="1:33" hidden="1" outlineLevel="3" x14ac:dyDescent="0.2">
      <c r="A344" s="19"/>
      <c r="B344" s="19"/>
      <c r="C344" s="506">
        <f t="shared" si="20"/>
        <v>0</v>
      </c>
      <c r="D344" s="505">
        <f t="shared" si="20"/>
        <v>0</v>
      </c>
      <c r="E344" s="505">
        <f t="shared" si="20"/>
        <v>0</v>
      </c>
      <c r="F344" s="505">
        <f t="shared" si="20"/>
        <v>0</v>
      </c>
      <c r="G344" s="505">
        <f t="shared" si="20"/>
        <v>0</v>
      </c>
      <c r="H344" s="58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87"/>
      <c r="AD344" s="19"/>
      <c r="AE344" s="19"/>
      <c r="AF344" s="19"/>
      <c r="AG344" s="19"/>
    </row>
    <row r="345" spans="1:33" hidden="1" outlineLevel="3" x14ac:dyDescent="0.2">
      <c r="A345" s="19"/>
      <c r="B345" s="19"/>
      <c r="C345" s="506">
        <f t="shared" si="20"/>
        <v>0</v>
      </c>
      <c r="D345" s="505">
        <f t="shared" si="20"/>
        <v>0</v>
      </c>
      <c r="E345" s="505">
        <f t="shared" si="20"/>
        <v>0</v>
      </c>
      <c r="F345" s="505">
        <f t="shared" si="20"/>
        <v>0</v>
      </c>
      <c r="G345" s="505">
        <f t="shared" si="20"/>
        <v>0</v>
      </c>
      <c r="H345" s="58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87"/>
      <c r="AD345" s="19"/>
      <c r="AE345" s="19"/>
      <c r="AF345" s="19"/>
      <c r="AG345" s="19"/>
    </row>
    <row r="346" spans="1:33" hidden="1" outlineLevel="3" x14ac:dyDescent="0.2">
      <c r="A346" s="19"/>
      <c r="B346" s="19"/>
      <c r="C346" s="506">
        <f t="shared" si="20"/>
        <v>0</v>
      </c>
      <c r="D346" s="505">
        <f t="shared" si="20"/>
        <v>0</v>
      </c>
      <c r="E346" s="505">
        <f t="shared" si="20"/>
        <v>0</v>
      </c>
      <c r="F346" s="505">
        <f t="shared" si="20"/>
        <v>0</v>
      </c>
      <c r="G346" s="505">
        <f t="shared" si="20"/>
        <v>0</v>
      </c>
      <c r="H346" s="58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87"/>
      <c r="AD346" s="19"/>
      <c r="AE346" s="19"/>
      <c r="AF346" s="19"/>
      <c r="AG346" s="19"/>
    </row>
    <row r="347" spans="1:33" hidden="1" outlineLevel="3" x14ac:dyDescent="0.2">
      <c r="A347" s="19"/>
      <c r="B347" s="19"/>
      <c r="C347" s="506">
        <f t="shared" si="20"/>
        <v>0</v>
      </c>
      <c r="D347" s="505">
        <f t="shared" si="20"/>
        <v>0</v>
      </c>
      <c r="E347" s="505">
        <f t="shared" si="20"/>
        <v>0</v>
      </c>
      <c r="F347" s="505">
        <f t="shared" si="20"/>
        <v>0</v>
      </c>
      <c r="G347" s="505">
        <f t="shared" si="20"/>
        <v>0</v>
      </c>
      <c r="H347" s="58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87"/>
      <c r="AD347" s="19"/>
      <c r="AE347" s="19"/>
      <c r="AF347" s="19"/>
      <c r="AG347" s="19"/>
    </row>
    <row r="348" spans="1:33" hidden="1" outlineLevel="3" x14ac:dyDescent="0.2">
      <c r="A348" s="19"/>
      <c r="B348" s="19"/>
      <c r="C348" s="506">
        <f t="shared" si="20"/>
        <v>0</v>
      </c>
      <c r="D348" s="505">
        <f t="shared" si="20"/>
        <v>0</v>
      </c>
      <c r="E348" s="505">
        <f t="shared" si="20"/>
        <v>0</v>
      </c>
      <c r="F348" s="505">
        <f t="shared" si="20"/>
        <v>0</v>
      </c>
      <c r="G348" s="505">
        <f t="shared" si="20"/>
        <v>0</v>
      </c>
      <c r="H348" s="58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87"/>
      <c r="AD348" s="19"/>
      <c r="AE348" s="19"/>
      <c r="AF348" s="19"/>
      <c r="AG348" s="19"/>
    </row>
    <row r="349" spans="1:33" hidden="1" outlineLevel="3" x14ac:dyDescent="0.2">
      <c r="A349" s="19"/>
      <c r="B349" s="19"/>
      <c r="C349" s="506">
        <f t="shared" si="20"/>
        <v>0</v>
      </c>
      <c r="D349" s="505">
        <f t="shared" si="20"/>
        <v>0</v>
      </c>
      <c r="E349" s="505">
        <f t="shared" si="20"/>
        <v>0</v>
      </c>
      <c r="F349" s="505">
        <f t="shared" si="20"/>
        <v>0</v>
      </c>
      <c r="G349" s="505">
        <f t="shared" si="20"/>
        <v>0</v>
      </c>
      <c r="H349" s="58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87"/>
      <c r="AD349" s="19"/>
      <c r="AE349" s="19"/>
      <c r="AF349" s="19"/>
      <c r="AG349" s="19"/>
    </row>
    <row r="350" spans="1:33" hidden="1" outlineLevel="3" x14ac:dyDescent="0.2">
      <c r="A350" s="19"/>
      <c r="B350" s="19"/>
      <c r="C350" s="506">
        <f t="shared" si="20"/>
        <v>0</v>
      </c>
      <c r="D350" s="505">
        <f t="shared" si="20"/>
        <v>0</v>
      </c>
      <c r="E350" s="505">
        <f t="shared" si="20"/>
        <v>0</v>
      </c>
      <c r="F350" s="505">
        <f t="shared" si="20"/>
        <v>0</v>
      </c>
      <c r="G350" s="505">
        <f t="shared" si="20"/>
        <v>0</v>
      </c>
      <c r="H350" s="58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87"/>
      <c r="AD350" s="19"/>
      <c r="AE350" s="19"/>
      <c r="AF350" s="19"/>
      <c r="AG350" s="19"/>
    </row>
    <row r="351" spans="1:33" hidden="1" outlineLevel="3" x14ac:dyDescent="0.2">
      <c r="A351" s="19"/>
      <c r="B351" s="19"/>
      <c r="C351" s="506">
        <f t="shared" si="20"/>
        <v>0</v>
      </c>
      <c r="D351" s="505">
        <f t="shared" si="20"/>
        <v>0</v>
      </c>
      <c r="E351" s="505">
        <f t="shared" si="20"/>
        <v>0</v>
      </c>
      <c r="F351" s="505">
        <f t="shared" si="20"/>
        <v>0</v>
      </c>
      <c r="G351" s="505">
        <f t="shared" si="20"/>
        <v>0</v>
      </c>
      <c r="H351" s="58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87"/>
      <c r="AD351" s="19"/>
      <c r="AE351" s="19"/>
      <c r="AF351" s="19"/>
      <c r="AG351" s="19"/>
    </row>
    <row r="352" spans="1:33" hidden="1" outlineLevel="3" x14ac:dyDescent="0.2">
      <c r="A352" s="19"/>
      <c r="B352" s="19"/>
      <c r="C352" s="506">
        <f t="shared" si="20"/>
        <v>0</v>
      </c>
      <c r="D352" s="505">
        <f t="shared" si="20"/>
        <v>0</v>
      </c>
      <c r="E352" s="505">
        <f t="shared" si="20"/>
        <v>0</v>
      </c>
      <c r="F352" s="505">
        <f t="shared" si="20"/>
        <v>0</v>
      </c>
      <c r="G352" s="505">
        <f t="shared" si="20"/>
        <v>0</v>
      </c>
      <c r="H352" s="58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87"/>
      <c r="AD352" s="19"/>
      <c r="AE352" s="19"/>
      <c r="AF352" s="19"/>
      <c r="AG352" s="19"/>
    </row>
    <row r="353" spans="1:33" hidden="1" outlineLevel="3" x14ac:dyDescent="0.2">
      <c r="A353" s="19"/>
      <c r="B353" s="19"/>
      <c r="C353" s="506">
        <f t="shared" ref="C353:G362" si="21">C275</f>
        <v>0</v>
      </c>
      <c r="D353" s="505">
        <f t="shared" si="21"/>
        <v>0</v>
      </c>
      <c r="E353" s="505">
        <f t="shared" si="21"/>
        <v>0</v>
      </c>
      <c r="F353" s="505">
        <f t="shared" si="21"/>
        <v>0</v>
      </c>
      <c r="G353" s="505">
        <f t="shared" si="21"/>
        <v>0</v>
      </c>
      <c r="H353" s="58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87"/>
      <c r="AD353" s="19"/>
      <c r="AE353" s="19"/>
      <c r="AF353" s="19"/>
      <c r="AG353" s="19"/>
    </row>
    <row r="354" spans="1:33" hidden="1" outlineLevel="3" x14ac:dyDescent="0.2">
      <c r="A354" s="19"/>
      <c r="B354" s="19"/>
      <c r="C354" s="506">
        <f t="shared" si="21"/>
        <v>0</v>
      </c>
      <c r="D354" s="505">
        <f t="shared" si="21"/>
        <v>0</v>
      </c>
      <c r="E354" s="505">
        <f t="shared" si="21"/>
        <v>0</v>
      </c>
      <c r="F354" s="505">
        <f t="shared" si="21"/>
        <v>0</v>
      </c>
      <c r="G354" s="505">
        <f t="shared" si="21"/>
        <v>0</v>
      </c>
      <c r="H354" s="58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87"/>
      <c r="AD354" s="19"/>
      <c r="AE354" s="19"/>
      <c r="AF354" s="19"/>
      <c r="AG354" s="19"/>
    </row>
    <row r="355" spans="1:33" hidden="1" outlineLevel="3" x14ac:dyDescent="0.2">
      <c r="A355" s="19"/>
      <c r="B355" s="19"/>
      <c r="C355" s="506">
        <f t="shared" si="21"/>
        <v>0</v>
      </c>
      <c r="D355" s="505">
        <f t="shared" si="21"/>
        <v>0</v>
      </c>
      <c r="E355" s="505">
        <f t="shared" si="21"/>
        <v>0</v>
      </c>
      <c r="F355" s="505">
        <f t="shared" si="21"/>
        <v>0</v>
      </c>
      <c r="G355" s="505">
        <f t="shared" si="21"/>
        <v>0</v>
      </c>
      <c r="H355" s="58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87"/>
      <c r="AD355" s="19"/>
      <c r="AE355" s="19"/>
      <c r="AF355" s="19"/>
      <c r="AG355" s="19"/>
    </row>
    <row r="356" spans="1:33" hidden="1" outlineLevel="3" x14ac:dyDescent="0.2">
      <c r="A356" s="19"/>
      <c r="B356" s="19"/>
      <c r="C356" s="506">
        <f t="shared" si="21"/>
        <v>0</v>
      </c>
      <c r="D356" s="505">
        <f t="shared" si="21"/>
        <v>0</v>
      </c>
      <c r="E356" s="505">
        <f t="shared" si="21"/>
        <v>0</v>
      </c>
      <c r="F356" s="505">
        <f t="shared" si="21"/>
        <v>0</v>
      </c>
      <c r="G356" s="505">
        <f t="shared" si="21"/>
        <v>0</v>
      </c>
      <c r="H356" s="58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87"/>
      <c r="AD356" s="19"/>
      <c r="AE356" s="19"/>
      <c r="AF356" s="19"/>
      <c r="AG356" s="19"/>
    </row>
    <row r="357" spans="1:33" hidden="1" outlineLevel="3" x14ac:dyDescent="0.2">
      <c r="A357" s="19"/>
      <c r="B357" s="19"/>
      <c r="C357" s="506">
        <f t="shared" si="21"/>
        <v>0</v>
      </c>
      <c r="D357" s="505">
        <f t="shared" si="21"/>
        <v>0</v>
      </c>
      <c r="E357" s="505">
        <f t="shared" si="21"/>
        <v>0</v>
      </c>
      <c r="F357" s="505">
        <f t="shared" si="21"/>
        <v>0</v>
      </c>
      <c r="G357" s="505">
        <f t="shared" si="21"/>
        <v>0</v>
      </c>
      <c r="H357" s="58"/>
      <c r="I357" s="191"/>
      <c r="J357" s="191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87"/>
      <c r="AD357" s="19"/>
      <c r="AE357" s="19"/>
      <c r="AF357" s="19"/>
      <c r="AG357" s="19"/>
    </row>
    <row r="358" spans="1:33" hidden="1" outlineLevel="3" x14ac:dyDescent="0.2">
      <c r="A358" s="19"/>
      <c r="B358" s="19"/>
      <c r="C358" s="506">
        <f t="shared" si="21"/>
        <v>0</v>
      </c>
      <c r="D358" s="505">
        <f t="shared" si="21"/>
        <v>0</v>
      </c>
      <c r="E358" s="505">
        <f t="shared" si="21"/>
        <v>0</v>
      </c>
      <c r="F358" s="505">
        <f t="shared" si="21"/>
        <v>0</v>
      </c>
      <c r="G358" s="505">
        <f t="shared" si="21"/>
        <v>0</v>
      </c>
      <c r="H358" s="58"/>
      <c r="I358" s="191"/>
      <c r="J358" s="191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87"/>
      <c r="AD358" s="19"/>
      <c r="AE358" s="19"/>
      <c r="AF358" s="19"/>
      <c r="AG358" s="19"/>
    </row>
    <row r="359" spans="1:33" hidden="1" outlineLevel="3" x14ac:dyDescent="0.2">
      <c r="A359" s="19"/>
      <c r="B359" s="19"/>
      <c r="C359" s="506">
        <f t="shared" si="21"/>
        <v>0</v>
      </c>
      <c r="D359" s="505">
        <f t="shared" si="21"/>
        <v>0</v>
      </c>
      <c r="E359" s="505">
        <f t="shared" si="21"/>
        <v>0</v>
      </c>
      <c r="F359" s="505">
        <f t="shared" si="21"/>
        <v>0</v>
      </c>
      <c r="G359" s="505">
        <f t="shared" si="21"/>
        <v>0</v>
      </c>
      <c r="H359" s="58"/>
      <c r="I359" s="191"/>
      <c r="J359" s="191"/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87"/>
      <c r="AD359" s="19"/>
      <c r="AE359" s="19"/>
      <c r="AF359" s="19"/>
      <c r="AG359" s="19"/>
    </row>
    <row r="360" spans="1:33" hidden="1" outlineLevel="3" x14ac:dyDescent="0.2">
      <c r="A360" s="19"/>
      <c r="B360" s="19"/>
      <c r="C360" s="506">
        <f t="shared" si="21"/>
        <v>0</v>
      </c>
      <c r="D360" s="505">
        <f t="shared" si="21"/>
        <v>0</v>
      </c>
      <c r="E360" s="505">
        <f t="shared" si="21"/>
        <v>0</v>
      </c>
      <c r="F360" s="505">
        <f t="shared" si="21"/>
        <v>0</v>
      </c>
      <c r="G360" s="505">
        <f t="shared" si="21"/>
        <v>0</v>
      </c>
      <c r="H360" s="58"/>
      <c r="I360" s="191"/>
      <c r="J360" s="191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87"/>
      <c r="AD360" s="19"/>
      <c r="AE360" s="19"/>
      <c r="AF360" s="19"/>
      <c r="AG360" s="19"/>
    </row>
    <row r="361" spans="1:33" hidden="1" outlineLevel="3" x14ac:dyDescent="0.2">
      <c r="A361" s="19"/>
      <c r="B361" s="19"/>
      <c r="C361" s="506">
        <f t="shared" si="21"/>
        <v>0</v>
      </c>
      <c r="D361" s="505">
        <f t="shared" si="21"/>
        <v>0</v>
      </c>
      <c r="E361" s="505">
        <f t="shared" si="21"/>
        <v>0</v>
      </c>
      <c r="F361" s="505">
        <f t="shared" si="21"/>
        <v>0</v>
      </c>
      <c r="G361" s="505">
        <f t="shared" si="21"/>
        <v>0</v>
      </c>
      <c r="H361" s="58"/>
      <c r="I361" s="191"/>
      <c r="J361" s="191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87"/>
      <c r="AD361" s="19"/>
      <c r="AE361" s="19"/>
      <c r="AF361" s="19"/>
      <c r="AG361" s="19"/>
    </row>
    <row r="362" spans="1:33" hidden="1" outlineLevel="3" x14ac:dyDescent="0.2">
      <c r="A362" s="19"/>
      <c r="B362" s="19"/>
      <c r="C362" s="506">
        <f t="shared" si="21"/>
        <v>0</v>
      </c>
      <c r="D362" s="505">
        <f t="shared" si="21"/>
        <v>0</v>
      </c>
      <c r="E362" s="505">
        <f t="shared" si="21"/>
        <v>0</v>
      </c>
      <c r="F362" s="505">
        <f t="shared" si="21"/>
        <v>0</v>
      </c>
      <c r="G362" s="505">
        <f t="shared" si="21"/>
        <v>0</v>
      </c>
      <c r="H362" s="58"/>
      <c r="I362" s="191"/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87"/>
      <c r="AD362" s="19"/>
      <c r="AE362" s="19"/>
      <c r="AF362" s="19"/>
      <c r="AG362" s="19"/>
    </row>
    <row r="363" spans="1:33" hidden="1" outlineLevel="3" x14ac:dyDescent="0.2">
      <c r="A363" s="19"/>
      <c r="B363" s="19"/>
      <c r="C363" s="506">
        <f t="shared" ref="C363:G372" si="22">C285</f>
        <v>0</v>
      </c>
      <c r="D363" s="505">
        <f t="shared" si="22"/>
        <v>0</v>
      </c>
      <c r="E363" s="505">
        <f t="shared" si="22"/>
        <v>0</v>
      </c>
      <c r="F363" s="505">
        <f t="shared" si="22"/>
        <v>0</v>
      </c>
      <c r="G363" s="505">
        <f t="shared" si="22"/>
        <v>0</v>
      </c>
      <c r="H363" s="58"/>
      <c r="I363" s="191"/>
      <c r="J363" s="191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87"/>
      <c r="AD363" s="19"/>
      <c r="AE363" s="19"/>
      <c r="AF363" s="19"/>
      <c r="AG363" s="19"/>
    </row>
    <row r="364" spans="1:33" hidden="1" outlineLevel="3" x14ac:dyDescent="0.2">
      <c r="A364" s="19"/>
      <c r="B364" s="19"/>
      <c r="C364" s="506">
        <f t="shared" si="22"/>
        <v>0</v>
      </c>
      <c r="D364" s="505">
        <f t="shared" si="22"/>
        <v>0</v>
      </c>
      <c r="E364" s="505">
        <f t="shared" si="22"/>
        <v>0</v>
      </c>
      <c r="F364" s="505">
        <f t="shared" si="22"/>
        <v>0</v>
      </c>
      <c r="G364" s="505">
        <f t="shared" si="22"/>
        <v>0</v>
      </c>
      <c r="H364" s="58"/>
      <c r="I364" s="191"/>
      <c r="J364" s="191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87"/>
      <c r="AD364" s="19"/>
      <c r="AE364" s="19"/>
      <c r="AF364" s="19"/>
      <c r="AG364" s="19"/>
    </row>
    <row r="365" spans="1:33" hidden="1" outlineLevel="3" x14ac:dyDescent="0.2">
      <c r="A365" s="19"/>
      <c r="B365" s="19"/>
      <c r="C365" s="506">
        <f t="shared" si="22"/>
        <v>0</v>
      </c>
      <c r="D365" s="505">
        <f t="shared" si="22"/>
        <v>0</v>
      </c>
      <c r="E365" s="505">
        <f t="shared" si="22"/>
        <v>0</v>
      </c>
      <c r="F365" s="505">
        <f t="shared" si="22"/>
        <v>0</v>
      </c>
      <c r="G365" s="505">
        <f t="shared" si="22"/>
        <v>0</v>
      </c>
      <c r="H365" s="58"/>
      <c r="I365" s="191"/>
      <c r="J365" s="191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87"/>
      <c r="AD365" s="19"/>
      <c r="AE365" s="19"/>
      <c r="AF365" s="19"/>
      <c r="AG365" s="19"/>
    </row>
    <row r="366" spans="1:33" hidden="1" outlineLevel="3" x14ac:dyDescent="0.2">
      <c r="A366" s="19"/>
      <c r="B366" s="19"/>
      <c r="C366" s="506">
        <f t="shared" si="22"/>
        <v>0</v>
      </c>
      <c r="D366" s="505">
        <f t="shared" si="22"/>
        <v>0</v>
      </c>
      <c r="E366" s="505">
        <f t="shared" si="22"/>
        <v>0</v>
      </c>
      <c r="F366" s="505">
        <f t="shared" si="22"/>
        <v>0</v>
      </c>
      <c r="G366" s="505">
        <f t="shared" si="22"/>
        <v>0</v>
      </c>
      <c r="H366" s="58"/>
      <c r="I366" s="191"/>
      <c r="J366" s="191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87"/>
      <c r="AD366" s="19"/>
      <c r="AE366" s="19"/>
      <c r="AF366" s="19"/>
      <c r="AG366" s="19"/>
    </row>
    <row r="367" spans="1:33" hidden="1" outlineLevel="3" x14ac:dyDescent="0.2">
      <c r="A367" s="19"/>
      <c r="B367" s="19"/>
      <c r="C367" s="506">
        <f t="shared" si="22"/>
        <v>0</v>
      </c>
      <c r="D367" s="505">
        <f t="shared" si="22"/>
        <v>0</v>
      </c>
      <c r="E367" s="505">
        <f t="shared" si="22"/>
        <v>0</v>
      </c>
      <c r="F367" s="505">
        <f t="shared" si="22"/>
        <v>0</v>
      </c>
      <c r="G367" s="505">
        <f t="shared" si="22"/>
        <v>0</v>
      </c>
      <c r="H367" s="58"/>
      <c r="I367" s="191"/>
      <c r="J367" s="191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87"/>
      <c r="AD367" s="19"/>
      <c r="AE367" s="19"/>
      <c r="AF367" s="19"/>
      <c r="AG367" s="19"/>
    </row>
    <row r="368" spans="1:33" hidden="1" outlineLevel="3" x14ac:dyDescent="0.2">
      <c r="A368" s="19"/>
      <c r="B368" s="19"/>
      <c r="C368" s="506">
        <f t="shared" si="22"/>
        <v>0</v>
      </c>
      <c r="D368" s="505">
        <f t="shared" si="22"/>
        <v>0</v>
      </c>
      <c r="E368" s="505">
        <f t="shared" si="22"/>
        <v>0</v>
      </c>
      <c r="F368" s="505">
        <f t="shared" si="22"/>
        <v>0</v>
      </c>
      <c r="G368" s="505">
        <f t="shared" si="22"/>
        <v>0</v>
      </c>
      <c r="H368" s="58"/>
      <c r="I368" s="191"/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87"/>
      <c r="AD368" s="19"/>
      <c r="AE368" s="19"/>
      <c r="AF368" s="19"/>
      <c r="AG368" s="19"/>
    </row>
    <row r="369" spans="1:33" hidden="1" outlineLevel="3" x14ac:dyDescent="0.2">
      <c r="A369" s="19"/>
      <c r="B369" s="19"/>
      <c r="C369" s="506">
        <f t="shared" si="22"/>
        <v>0</v>
      </c>
      <c r="D369" s="505">
        <f t="shared" si="22"/>
        <v>0</v>
      </c>
      <c r="E369" s="505">
        <f t="shared" si="22"/>
        <v>0</v>
      </c>
      <c r="F369" s="505">
        <f t="shared" si="22"/>
        <v>0</v>
      </c>
      <c r="G369" s="505">
        <f t="shared" si="22"/>
        <v>0</v>
      </c>
      <c r="H369" s="58"/>
      <c r="I369" s="191">
        <v>0</v>
      </c>
      <c r="J369" s="191">
        <v>0</v>
      </c>
      <c r="K369" s="191">
        <v>0</v>
      </c>
      <c r="L369" s="191">
        <v>0</v>
      </c>
      <c r="M369" s="191">
        <v>0</v>
      </c>
      <c r="N369" s="191">
        <v>0</v>
      </c>
      <c r="O369" s="191">
        <v>0</v>
      </c>
      <c r="P369" s="191">
        <v>0</v>
      </c>
      <c r="Q369" s="191">
        <v>0</v>
      </c>
      <c r="R369" s="191">
        <v>0</v>
      </c>
      <c r="S369" s="191">
        <v>0</v>
      </c>
      <c r="T369" s="191">
        <v>0</v>
      </c>
      <c r="U369" s="191">
        <v>0</v>
      </c>
      <c r="V369" s="191"/>
      <c r="W369" s="191"/>
      <c r="X369" s="191"/>
      <c r="Y369" s="191"/>
      <c r="Z369" s="191"/>
      <c r="AA369" s="191"/>
      <c r="AB369" s="191"/>
      <c r="AC369" s="187"/>
      <c r="AD369" s="19"/>
      <c r="AE369" s="19"/>
      <c r="AF369" s="19"/>
      <c r="AG369" s="19"/>
    </row>
    <row r="370" spans="1:33" hidden="1" outlineLevel="3" x14ac:dyDescent="0.2">
      <c r="A370" s="19"/>
      <c r="B370" s="19"/>
      <c r="C370" s="506">
        <f t="shared" si="22"/>
        <v>0</v>
      </c>
      <c r="D370" s="505">
        <f t="shared" si="22"/>
        <v>0</v>
      </c>
      <c r="E370" s="505">
        <f t="shared" si="22"/>
        <v>0</v>
      </c>
      <c r="F370" s="505">
        <f t="shared" si="22"/>
        <v>0</v>
      </c>
      <c r="G370" s="505">
        <f t="shared" si="22"/>
        <v>0</v>
      </c>
      <c r="H370" s="58"/>
      <c r="I370" s="191"/>
      <c r="J370" s="191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87"/>
      <c r="AD370" s="19"/>
      <c r="AE370" s="19"/>
      <c r="AF370" s="19"/>
      <c r="AG370" s="19"/>
    </row>
    <row r="371" spans="1:33" hidden="1" outlineLevel="3" x14ac:dyDescent="0.2">
      <c r="A371" s="19"/>
      <c r="B371" s="19"/>
      <c r="C371" s="506">
        <f t="shared" si="22"/>
        <v>0</v>
      </c>
      <c r="D371" s="505">
        <f t="shared" si="22"/>
        <v>0</v>
      </c>
      <c r="E371" s="505">
        <f t="shared" si="22"/>
        <v>0</v>
      </c>
      <c r="F371" s="505">
        <f t="shared" si="22"/>
        <v>0</v>
      </c>
      <c r="G371" s="505">
        <f t="shared" si="22"/>
        <v>0</v>
      </c>
      <c r="H371" s="58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87"/>
      <c r="AD371" s="19"/>
      <c r="AE371" s="19"/>
      <c r="AF371" s="19"/>
      <c r="AG371" s="19"/>
    </row>
    <row r="372" spans="1:33" hidden="1" outlineLevel="3" x14ac:dyDescent="0.2">
      <c r="A372" s="19"/>
      <c r="B372" s="19"/>
      <c r="C372" s="506">
        <f t="shared" si="22"/>
        <v>0</v>
      </c>
      <c r="D372" s="505">
        <f t="shared" si="22"/>
        <v>0</v>
      </c>
      <c r="E372" s="505">
        <f t="shared" si="22"/>
        <v>0</v>
      </c>
      <c r="F372" s="505">
        <f t="shared" si="22"/>
        <v>0</v>
      </c>
      <c r="G372" s="505">
        <f t="shared" si="22"/>
        <v>0</v>
      </c>
      <c r="H372" s="58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87"/>
      <c r="AD372" s="19"/>
      <c r="AE372" s="19"/>
      <c r="AF372" s="19"/>
      <c r="AG372" s="19"/>
    </row>
    <row r="373" spans="1:33" hidden="1" outlineLevel="3" x14ac:dyDescent="0.2">
      <c r="A373" s="19"/>
      <c r="B373" s="19"/>
      <c r="C373" s="506">
        <f t="shared" ref="C373:G382" si="23">C295</f>
        <v>0</v>
      </c>
      <c r="D373" s="505">
        <f t="shared" si="23"/>
        <v>0</v>
      </c>
      <c r="E373" s="505">
        <f t="shared" si="23"/>
        <v>0</v>
      </c>
      <c r="F373" s="505">
        <f t="shared" si="23"/>
        <v>0</v>
      </c>
      <c r="G373" s="505">
        <f t="shared" si="23"/>
        <v>0</v>
      </c>
      <c r="H373" s="58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87"/>
      <c r="AD373" s="19"/>
      <c r="AE373" s="19"/>
      <c r="AF373" s="19"/>
      <c r="AG373" s="19"/>
    </row>
    <row r="374" spans="1:33" hidden="1" outlineLevel="3" x14ac:dyDescent="0.2">
      <c r="A374" s="19"/>
      <c r="B374" s="19"/>
      <c r="C374" s="506">
        <f t="shared" si="23"/>
        <v>0</v>
      </c>
      <c r="D374" s="505">
        <f t="shared" si="23"/>
        <v>0</v>
      </c>
      <c r="E374" s="505">
        <f t="shared" si="23"/>
        <v>0</v>
      </c>
      <c r="F374" s="505">
        <f t="shared" si="23"/>
        <v>0</v>
      </c>
      <c r="G374" s="505">
        <f t="shared" si="23"/>
        <v>0</v>
      </c>
      <c r="H374" s="58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87"/>
      <c r="AD374" s="19"/>
      <c r="AE374" s="19"/>
      <c r="AF374" s="19"/>
      <c r="AG374" s="19"/>
    </row>
    <row r="375" spans="1:33" hidden="1" outlineLevel="3" x14ac:dyDescent="0.2">
      <c r="A375" s="19"/>
      <c r="B375" s="19"/>
      <c r="C375" s="506">
        <f t="shared" si="23"/>
        <v>0</v>
      </c>
      <c r="D375" s="505">
        <f t="shared" si="23"/>
        <v>0</v>
      </c>
      <c r="E375" s="505">
        <f t="shared" si="23"/>
        <v>0</v>
      </c>
      <c r="F375" s="505">
        <f t="shared" si="23"/>
        <v>0</v>
      </c>
      <c r="G375" s="505">
        <f t="shared" si="23"/>
        <v>0</v>
      </c>
      <c r="H375" s="58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87"/>
      <c r="AD375" s="19"/>
      <c r="AE375" s="19"/>
      <c r="AF375" s="19"/>
      <c r="AG375" s="19"/>
    </row>
    <row r="376" spans="1:33" hidden="1" outlineLevel="3" x14ac:dyDescent="0.2">
      <c r="A376" s="19"/>
      <c r="B376" s="19"/>
      <c r="C376" s="506">
        <f t="shared" si="23"/>
        <v>0</v>
      </c>
      <c r="D376" s="505">
        <f t="shared" si="23"/>
        <v>0</v>
      </c>
      <c r="E376" s="505">
        <f t="shared" si="23"/>
        <v>0</v>
      </c>
      <c r="F376" s="505">
        <f t="shared" si="23"/>
        <v>0</v>
      </c>
      <c r="G376" s="505">
        <f t="shared" si="23"/>
        <v>0</v>
      </c>
      <c r="H376" s="58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87"/>
      <c r="AD376" s="19"/>
      <c r="AE376" s="19"/>
      <c r="AF376" s="19"/>
      <c r="AG376" s="19"/>
    </row>
    <row r="377" spans="1:33" hidden="1" outlineLevel="3" x14ac:dyDescent="0.2">
      <c r="A377" s="19"/>
      <c r="B377" s="19"/>
      <c r="C377" s="506">
        <f t="shared" si="23"/>
        <v>0</v>
      </c>
      <c r="D377" s="505">
        <f t="shared" si="23"/>
        <v>0</v>
      </c>
      <c r="E377" s="505">
        <f t="shared" si="23"/>
        <v>0</v>
      </c>
      <c r="F377" s="505">
        <f t="shared" si="23"/>
        <v>0</v>
      </c>
      <c r="G377" s="505">
        <f t="shared" si="23"/>
        <v>0</v>
      </c>
      <c r="H377" s="58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87"/>
      <c r="AD377" s="19"/>
      <c r="AE377" s="19"/>
      <c r="AF377" s="19"/>
      <c r="AG377" s="19"/>
    </row>
    <row r="378" spans="1:33" hidden="1" outlineLevel="3" x14ac:dyDescent="0.2">
      <c r="A378" s="19"/>
      <c r="B378" s="19"/>
      <c r="C378" s="506">
        <f t="shared" si="23"/>
        <v>0</v>
      </c>
      <c r="D378" s="505">
        <f t="shared" si="23"/>
        <v>0</v>
      </c>
      <c r="E378" s="505">
        <f t="shared" si="23"/>
        <v>0</v>
      </c>
      <c r="F378" s="505">
        <f t="shared" si="23"/>
        <v>0</v>
      </c>
      <c r="G378" s="505">
        <f t="shared" si="23"/>
        <v>0</v>
      </c>
      <c r="H378" s="58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87"/>
      <c r="AD378" s="19"/>
      <c r="AE378" s="19"/>
      <c r="AF378" s="19"/>
      <c r="AG378" s="19"/>
    </row>
    <row r="379" spans="1:33" hidden="1" outlineLevel="3" x14ac:dyDescent="0.2">
      <c r="A379" s="19"/>
      <c r="B379" s="19"/>
      <c r="C379" s="506">
        <f t="shared" si="23"/>
        <v>0</v>
      </c>
      <c r="D379" s="505">
        <f t="shared" si="23"/>
        <v>0</v>
      </c>
      <c r="E379" s="505">
        <f t="shared" si="23"/>
        <v>0</v>
      </c>
      <c r="F379" s="505">
        <f t="shared" si="23"/>
        <v>0</v>
      </c>
      <c r="G379" s="505">
        <f t="shared" si="23"/>
        <v>0</v>
      </c>
      <c r="H379" s="58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87"/>
      <c r="AD379" s="19"/>
      <c r="AE379" s="19"/>
      <c r="AF379" s="19"/>
      <c r="AG379" s="19"/>
    </row>
    <row r="380" spans="1:33" hidden="1" outlineLevel="3" x14ac:dyDescent="0.2">
      <c r="A380" s="19"/>
      <c r="B380" s="19"/>
      <c r="C380" s="506">
        <f t="shared" si="23"/>
        <v>0</v>
      </c>
      <c r="D380" s="505">
        <f t="shared" si="23"/>
        <v>0</v>
      </c>
      <c r="E380" s="505">
        <f t="shared" si="23"/>
        <v>0</v>
      </c>
      <c r="F380" s="505">
        <f t="shared" si="23"/>
        <v>0</v>
      </c>
      <c r="G380" s="505">
        <f t="shared" si="23"/>
        <v>0</v>
      </c>
      <c r="H380" s="58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87"/>
      <c r="AD380" s="19"/>
      <c r="AE380" s="19"/>
      <c r="AF380" s="19"/>
      <c r="AG380" s="19"/>
    </row>
    <row r="381" spans="1:33" hidden="1" outlineLevel="3" x14ac:dyDescent="0.2">
      <c r="A381" s="19"/>
      <c r="B381" s="19"/>
      <c r="C381" s="506">
        <f t="shared" si="23"/>
        <v>0</v>
      </c>
      <c r="D381" s="505">
        <f t="shared" si="23"/>
        <v>0</v>
      </c>
      <c r="E381" s="505">
        <f t="shared" si="23"/>
        <v>0</v>
      </c>
      <c r="F381" s="505">
        <f t="shared" si="23"/>
        <v>0</v>
      </c>
      <c r="G381" s="505">
        <f t="shared" si="23"/>
        <v>0</v>
      </c>
      <c r="H381" s="58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87"/>
      <c r="AD381" s="19"/>
      <c r="AE381" s="19"/>
      <c r="AF381" s="19"/>
      <c r="AG381" s="19"/>
    </row>
    <row r="382" spans="1:33" hidden="1" outlineLevel="3" x14ac:dyDescent="0.2">
      <c r="A382" s="19"/>
      <c r="B382" s="19"/>
      <c r="C382" s="506">
        <f t="shared" si="23"/>
        <v>0</v>
      </c>
      <c r="D382" s="505">
        <f t="shared" si="23"/>
        <v>0</v>
      </c>
      <c r="E382" s="505">
        <f t="shared" si="23"/>
        <v>0</v>
      </c>
      <c r="F382" s="505">
        <f t="shared" si="23"/>
        <v>0</v>
      </c>
      <c r="G382" s="505">
        <f t="shared" si="23"/>
        <v>0</v>
      </c>
      <c r="H382" s="58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87"/>
      <c r="AD382" s="19"/>
      <c r="AE382" s="19"/>
      <c r="AF382" s="19"/>
      <c r="AG382" s="19"/>
    </row>
    <row r="383" spans="1:33" hidden="1" outlineLevel="3" x14ac:dyDescent="0.2">
      <c r="A383" s="19"/>
      <c r="B383" s="19"/>
      <c r="C383" s="506">
        <f t="shared" ref="C383:G392" si="24">C305</f>
        <v>0</v>
      </c>
      <c r="D383" s="505">
        <f t="shared" si="24"/>
        <v>0</v>
      </c>
      <c r="E383" s="505">
        <f t="shared" si="24"/>
        <v>0</v>
      </c>
      <c r="F383" s="505">
        <f t="shared" si="24"/>
        <v>0</v>
      </c>
      <c r="G383" s="505">
        <f t="shared" si="24"/>
        <v>0</v>
      </c>
      <c r="H383" s="58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87"/>
      <c r="AD383" s="19"/>
      <c r="AE383" s="19"/>
      <c r="AF383" s="19"/>
      <c r="AG383" s="19"/>
    </row>
    <row r="384" spans="1:33" hidden="1" outlineLevel="3" x14ac:dyDescent="0.2">
      <c r="A384" s="19"/>
      <c r="B384" s="19"/>
      <c r="C384" s="506">
        <f t="shared" si="24"/>
        <v>0</v>
      </c>
      <c r="D384" s="505">
        <f t="shared" si="24"/>
        <v>0</v>
      </c>
      <c r="E384" s="505">
        <f t="shared" si="24"/>
        <v>0</v>
      </c>
      <c r="F384" s="505">
        <f t="shared" si="24"/>
        <v>0</v>
      </c>
      <c r="G384" s="505">
        <f t="shared" si="24"/>
        <v>0</v>
      </c>
      <c r="H384" s="58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87"/>
      <c r="AD384" s="19"/>
      <c r="AE384" s="19"/>
      <c r="AF384" s="19"/>
      <c r="AG384" s="19"/>
    </row>
    <row r="385" spans="1:33" hidden="1" outlineLevel="3" x14ac:dyDescent="0.2">
      <c r="A385" s="19"/>
      <c r="B385" s="19"/>
      <c r="C385" s="506">
        <f t="shared" si="24"/>
        <v>0</v>
      </c>
      <c r="D385" s="505">
        <f t="shared" si="24"/>
        <v>0</v>
      </c>
      <c r="E385" s="505">
        <f t="shared" si="24"/>
        <v>0</v>
      </c>
      <c r="F385" s="505">
        <f t="shared" si="24"/>
        <v>0</v>
      </c>
      <c r="G385" s="505">
        <f t="shared" si="24"/>
        <v>0</v>
      </c>
      <c r="H385" s="58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87"/>
      <c r="AD385" s="19"/>
      <c r="AE385" s="19"/>
      <c r="AF385" s="19"/>
      <c r="AG385" s="19"/>
    </row>
    <row r="386" spans="1:33" hidden="1" outlineLevel="3" x14ac:dyDescent="0.2">
      <c r="A386" s="19"/>
      <c r="B386" s="19"/>
      <c r="C386" s="506">
        <f t="shared" si="24"/>
        <v>0</v>
      </c>
      <c r="D386" s="505">
        <f t="shared" si="24"/>
        <v>0</v>
      </c>
      <c r="E386" s="505">
        <f t="shared" si="24"/>
        <v>0</v>
      </c>
      <c r="F386" s="505">
        <f t="shared" si="24"/>
        <v>0</v>
      </c>
      <c r="G386" s="505">
        <f t="shared" si="24"/>
        <v>0</v>
      </c>
      <c r="H386" s="58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87"/>
      <c r="AD386" s="19"/>
      <c r="AE386" s="19"/>
      <c r="AF386" s="19"/>
      <c r="AG386" s="19"/>
    </row>
    <row r="387" spans="1:33" hidden="1" outlineLevel="3" x14ac:dyDescent="0.2">
      <c r="A387" s="19"/>
      <c r="B387" s="19"/>
      <c r="C387" s="506">
        <f t="shared" si="24"/>
        <v>0</v>
      </c>
      <c r="D387" s="505">
        <f t="shared" si="24"/>
        <v>0</v>
      </c>
      <c r="E387" s="505">
        <f t="shared" si="24"/>
        <v>0</v>
      </c>
      <c r="F387" s="505">
        <f t="shared" si="24"/>
        <v>0</v>
      </c>
      <c r="G387" s="505">
        <f t="shared" si="24"/>
        <v>0</v>
      </c>
      <c r="H387" s="58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87"/>
      <c r="AD387" s="19"/>
      <c r="AE387" s="19"/>
      <c r="AF387" s="19"/>
      <c r="AG387" s="19"/>
    </row>
    <row r="388" spans="1:33" hidden="1" outlineLevel="3" x14ac:dyDescent="0.2">
      <c r="A388" s="19"/>
      <c r="B388" s="19"/>
      <c r="C388" s="506">
        <f t="shared" si="24"/>
        <v>0</v>
      </c>
      <c r="D388" s="505">
        <f t="shared" si="24"/>
        <v>0</v>
      </c>
      <c r="E388" s="505">
        <f t="shared" si="24"/>
        <v>0</v>
      </c>
      <c r="F388" s="505">
        <f t="shared" si="24"/>
        <v>0</v>
      </c>
      <c r="G388" s="505">
        <f t="shared" si="24"/>
        <v>0</v>
      </c>
      <c r="H388" s="58"/>
      <c r="I388" s="191"/>
      <c r="J388" s="191"/>
      <c r="K388" s="191"/>
      <c r="L388" s="191"/>
      <c r="M388" s="191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87"/>
      <c r="AD388" s="19"/>
      <c r="AE388" s="19"/>
      <c r="AF388" s="19"/>
      <c r="AG388" s="19"/>
    </row>
    <row r="389" spans="1:33" hidden="1" outlineLevel="3" x14ac:dyDescent="0.2">
      <c r="A389" s="19"/>
      <c r="B389" s="19"/>
      <c r="C389" s="506">
        <f t="shared" si="24"/>
        <v>0</v>
      </c>
      <c r="D389" s="505">
        <f t="shared" si="24"/>
        <v>0</v>
      </c>
      <c r="E389" s="505">
        <f t="shared" si="24"/>
        <v>0</v>
      </c>
      <c r="F389" s="505">
        <f t="shared" si="24"/>
        <v>0</v>
      </c>
      <c r="G389" s="505">
        <f t="shared" si="24"/>
        <v>0</v>
      </c>
      <c r="H389" s="58"/>
      <c r="I389" s="191"/>
      <c r="J389" s="191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87"/>
      <c r="AD389" s="19"/>
      <c r="AE389" s="19"/>
      <c r="AF389" s="19"/>
      <c r="AG389" s="19"/>
    </row>
    <row r="390" spans="1:33" hidden="1" outlineLevel="3" x14ac:dyDescent="0.2">
      <c r="A390" s="19"/>
      <c r="B390" s="19"/>
      <c r="C390" s="506">
        <f t="shared" si="24"/>
        <v>0</v>
      </c>
      <c r="D390" s="505">
        <f t="shared" si="24"/>
        <v>0</v>
      </c>
      <c r="E390" s="505">
        <f t="shared" si="24"/>
        <v>0</v>
      </c>
      <c r="F390" s="505">
        <f t="shared" si="24"/>
        <v>0</v>
      </c>
      <c r="G390" s="505">
        <f t="shared" si="24"/>
        <v>0</v>
      </c>
      <c r="H390" s="58"/>
      <c r="I390" s="191"/>
      <c r="J390" s="191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87"/>
      <c r="AD390" s="19"/>
      <c r="AE390" s="19"/>
      <c r="AF390" s="19"/>
      <c r="AG390" s="19"/>
    </row>
    <row r="391" spans="1:33" hidden="1" outlineLevel="3" x14ac:dyDescent="0.2">
      <c r="A391" s="19"/>
      <c r="B391" s="19"/>
      <c r="C391" s="506">
        <f t="shared" si="24"/>
        <v>0</v>
      </c>
      <c r="D391" s="505">
        <f t="shared" si="24"/>
        <v>0</v>
      </c>
      <c r="E391" s="505">
        <f t="shared" si="24"/>
        <v>0</v>
      </c>
      <c r="F391" s="505">
        <f t="shared" si="24"/>
        <v>0</v>
      </c>
      <c r="G391" s="505">
        <f t="shared" si="24"/>
        <v>0</v>
      </c>
      <c r="H391" s="58"/>
      <c r="I391" s="191"/>
      <c r="J391" s="191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87"/>
      <c r="AD391" s="19"/>
      <c r="AE391" s="19"/>
      <c r="AF391" s="19"/>
      <c r="AG391" s="19"/>
    </row>
    <row r="392" spans="1:33" hidden="1" outlineLevel="3" x14ac:dyDescent="0.2">
      <c r="A392" s="19"/>
      <c r="B392" s="19"/>
      <c r="C392" s="506">
        <f t="shared" si="24"/>
        <v>0</v>
      </c>
      <c r="D392" s="505">
        <f t="shared" si="24"/>
        <v>0</v>
      </c>
      <c r="E392" s="505">
        <f t="shared" si="24"/>
        <v>0</v>
      </c>
      <c r="F392" s="505">
        <f t="shared" si="24"/>
        <v>0</v>
      </c>
      <c r="G392" s="505">
        <f t="shared" si="24"/>
        <v>0</v>
      </c>
      <c r="H392" s="58"/>
      <c r="I392" s="191"/>
      <c r="J392" s="191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87"/>
      <c r="AD392" s="19"/>
      <c r="AE392" s="19"/>
      <c r="AF392" s="19"/>
      <c r="AG392" s="19"/>
    </row>
    <row r="393" spans="1:33" hidden="1" outlineLevel="3" x14ac:dyDescent="0.2">
      <c r="A393" s="19"/>
      <c r="B393" s="19"/>
      <c r="C393" s="506">
        <f t="shared" ref="C393:G397" si="25">C315</f>
        <v>0</v>
      </c>
      <c r="D393" s="505">
        <f t="shared" si="25"/>
        <v>0</v>
      </c>
      <c r="E393" s="505">
        <f t="shared" si="25"/>
        <v>0</v>
      </c>
      <c r="F393" s="505">
        <f t="shared" si="25"/>
        <v>0</v>
      </c>
      <c r="G393" s="505">
        <f t="shared" si="25"/>
        <v>0</v>
      </c>
      <c r="H393" s="58"/>
      <c r="I393" s="191"/>
      <c r="J393" s="191"/>
      <c r="K393" s="191"/>
      <c r="L393" s="191"/>
      <c r="M393" s="191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1"/>
      <c r="AA393" s="191"/>
      <c r="AB393" s="191"/>
      <c r="AC393" s="187"/>
      <c r="AD393" s="19"/>
      <c r="AE393" s="19"/>
      <c r="AF393" s="19"/>
      <c r="AG393" s="19"/>
    </row>
    <row r="394" spans="1:33" hidden="1" outlineLevel="3" x14ac:dyDescent="0.2">
      <c r="A394" s="19"/>
      <c r="B394" s="19"/>
      <c r="C394" s="506">
        <f t="shared" si="25"/>
        <v>0</v>
      </c>
      <c r="D394" s="505">
        <f t="shared" si="25"/>
        <v>0</v>
      </c>
      <c r="E394" s="505">
        <f t="shared" si="25"/>
        <v>0</v>
      </c>
      <c r="F394" s="505">
        <f t="shared" si="25"/>
        <v>0</v>
      </c>
      <c r="G394" s="505">
        <f t="shared" si="25"/>
        <v>0</v>
      </c>
      <c r="H394" s="58"/>
      <c r="I394" s="191"/>
      <c r="J394" s="191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87"/>
      <c r="AD394" s="19"/>
      <c r="AE394" s="19"/>
      <c r="AF394" s="19"/>
      <c r="AG394" s="19"/>
    </row>
    <row r="395" spans="1:33" hidden="1" outlineLevel="3" x14ac:dyDescent="0.2">
      <c r="A395" s="19"/>
      <c r="B395" s="19"/>
      <c r="C395" s="506">
        <f t="shared" si="25"/>
        <v>0</v>
      </c>
      <c r="D395" s="505">
        <f t="shared" si="25"/>
        <v>0</v>
      </c>
      <c r="E395" s="505">
        <f t="shared" si="25"/>
        <v>0</v>
      </c>
      <c r="F395" s="505">
        <f t="shared" si="25"/>
        <v>0</v>
      </c>
      <c r="G395" s="505">
        <f t="shared" si="25"/>
        <v>0</v>
      </c>
      <c r="H395" s="58"/>
      <c r="I395" s="191"/>
      <c r="J395" s="191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87"/>
      <c r="AD395" s="19"/>
      <c r="AE395" s="19"/>
      <c r="AF395" s="19"/>
      <c r="AG395" s="19"/>
    </row>
    <row r="396" spans="1:33" hidden="1" outlineLevel="3" x14ac:dyDescent="0.2">
      <c r="A396" s="19"/>
      <c r="B396" s="19"/>
      <c r="C396" s="506">
        <f t="shared" si="25"/>
        <v>0</v>
      </c>
      <c r="D396" s="505">
        <f t="shared" si="25"/>
        <v>0</v>
      </c>
      <c r="E396" s="505">
        <f t="shared" si="25"/>
        <v>0</v>
      </c>
      <c r="F396" s="505">
        <f t="shared" si="25"/>
        <v>0</v>
      </c>
      <c r="G396" s="505">
        <f t="shared" si="25"/>
        <v>0</v>
      </c>
      <c r="H396" s="58"/>
      <c r="I396" s="191"/>
      <c r="J396" s="191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87"/>
      <c r="AD396" s="19"/>
      <c r="AE396" s="19"/>
      <c r="AF396" s="19"/>
      <c r="AG396" s="19"/>
    </row>
    <row r="397" spans="1:33" hidden="1" outlineLevel="3" x14ac:dyDescent="0.2">
      <c r="A397" s="19"/>
      <c r="B397" s="19"/>
      <c r="C397" s="506">
        <f t="shared" si="25"/>
        <v>0</v>
      </c>
      <c r="D397" s="505">
        <f t="shared" si="25"/>
        <v>0</v>
      </c>
      <c r="E397" s="505">
        <f t="shared" si="25"/>
        <v>0</v>
      </c>
      <c r="F397" s="505">
        <f t="shared" si="25"/>
        <v>0</v>
      </c>
      <c r="G397" s="505">
        <f t="shared" si="25"/>
        <v>0</v>
      </c>
      <c r="H397" s="58"/>
      <c r="I397" s="191"/>
      <c r="J397" s="191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87"/>
      <c r="AD397" s="19"/>
      <c r="AE397" s="19"/>
      <c r="AF397" s="19"/>
      <c r="AG397" s="19"/>
    </row>
    <row r="398" spans="1:33" outlineLevel="2" collapsed="1" x14ac:dyDescent="0.2">
      <c r="A398" s="19"/>
      <c r="B398" s="19"/>
      <c r="C398" s="66"/>
      <c r="D398" s="58"/>
      <c r="E398" s="58"/>
      <c r="F398" s="58"/>
      <c r="G398" s="58"/>
      <c r="H398" s="58"/>
      <c r="I398" s="186"/>
      <c r="J398" s="186"/>
      <c r="K398" s="187"/>
      <c r="L398" s="187"/>
      <c r="M398" s="187"/>
      <c r="N398" s="188"/>
      <c r="O398" s="188"/>
      <c r="P398" s="188"/>
      <c r="Q398" s="188"/>
      <c r="R398" s="188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9"/>
      <c r="AE398" s="19"/>
      <c r="AF398" s="19"/>
      <c r="AG398" s="19"/>
    </row>
    <row r="399" spans="1:33" outlineLevel="1" x14ac:dyDescent="0.2">
      <c r="A399" s="19"/>
      <c r="B399" s="19"/>
      <c r="C399" s="66"/>
      <c r="D399" s="58"/>
      <c r="E399" s="58"/>
      <c r="F399" s="58"/>
      <c r="G399" s="58"/>
      <c r="H399" s="58"/>
      <c r="I399" s="186"/>
      <c r="J399" s="186"/>
      <c r="K399" s="187"/>
      <c r="L399" s="187"/>
      <c r="M399" s="187"/>
      <c r="N399" s="188"/>
      <c r="O399" s="188"/>
      <c r="P399" s="188"/>
      <c r="Q399" s="188"/>
      <c r="R399" s="188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9"/>
      <c r="AE399" s="19"/>
      <c r="AF399" s="19"/>
      <c r="AG399" s="19"/>
    </row>
    <row r="400" spans="1:33" outlineLevel="1" x14ac:dyDescent="0.2">
      <c r="A400" s="19"/>
      <c r="B400" s="19"/>
      <c r="C400" s="167" t="str">
        <f>C163</f>
        <v>Jurisdictional Scheme Amounts</v>
      </c>
      <c r="D400" s="20"/>
      <c r="E400" s="20"/>
      <c r="F400" s="20"/>
      <c r="G400" s="22"/>
      <c r="H400" s="22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9"/>
      <c r="AE400" s="19"/>
      <c r="AF400" s="19"/>
      <c r="AG400" s="19"/>
    </row>
    <row r="401" spans="1:33" hidden="1" outlineLevel="2" x14ac:dyDescent="0.2">
      <c r="A401" s="19"/>
      <c r="B401" s="19"/>
      <c r="C401" s="506" t="str">
        <f t="shared" ref="C401:G410" si="26">C245</f>
        <v>Residential time of use consumption</v>
      </c>
      <c r="D401" s="505" t="str">
        <f t="shared" si="26"/>
        <v>Residential</v>
      </c>
      <c r="E401" s="505" t="str">
        <f t="shared" si="26"/>
        <v>TAS93</v>
      </c>
      <c r="F401" s="505">
        <f t="shared" si="26"/>
        <v>0</v>
      </c>
      <c r="G401" s="505">
        <f t="shared" si="26"/>
        <v>0</v>
      </c>
      <c r="H401" s="22"/>
      <c r="I401" s="191"/>
      <c r="J401" s="191"/>
      <c r="K401" s="191"/>
      <c r="L401" s="191"/>
      <c r="M401" s="191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87"/>
      <c r="AD401" s="19"/>
      <c r="AE401" s="19"/>
      <c r="AF401" s="19"/>
      <c r="AG401" s="19"/>
    </row>
    <row r="402" spans="1:33" s="59" customFormat="1" hidden="1" outlineLevel="2" x14ac:dyDescent="0.2">
      <c r="A402" s="57"/>
      <c r="B402" s="57"/>
      <c r="C402" s="506" t="str">
        <f t="shared" si="26"/>
        <v>Residential general light and power</v>
      </c>
      <c r="D402" s="505" t="str">
        <f t="shared" si="26"/>
        <v>Residential</v>
      </c>
      <c r="E402" s="505" t="str">
        <f t="shared" si="26"/>
        <v>TAS31</v>
      </c>
      <c r="F402" s="505">
        <f t="shared" si="26"/>
        <v>0</v>
      </c>
      <c r="G402" s="505">
        <f t="shared" si="26"/>
        <v>0</v>
      </c>
      <c r="H402" s="58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87"/>
      <c r="AD402" s="57"/>
      <c r="AE402" s="57"/>
      <c r="AF402" s="57"/>
      <c r="AG402" s="57"/>
    </row>
    <row r="403" spans="1:33" hidden="1" outlineLevel="2" x14ac:dyDescent="0.2">
      <c r="A403" s="19"/>
      <c r="B403" s="19"/>
      <c r="C403" s="506" t="str">
        <f t="shared" si="26"/>
        <v>Residential time of use demand</v>
      </c>
      <c r="D403" s="505" t="str">
        <f t="shared" si="26"/>
        <v>Residential</v>
      </c>
      <c r="E403" s="505" t="str">
        <f t="shared" si="26"/>
        <v>TAS87</v>
      </c>
      <c r="F403" s="505">
        <f t="shared" si="26"/>
        <v>0</v>
      </c>
      <c r="G403" s="505">
        <f t="shared" si="26"/>
        <v>0</v>
      </c>
      <c r="H403" s="58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87"/>
      <c r="AD403" s="19"/>
      <c r="AE403" s="19"/>
      <c r="AF403" s="19"/>
      <c r="AG403" s="19"/>
    </row>
    <row r="404" spans="1:33" hidden="1" outlineLevel="2" x14ac:dyDescent="0.2">
      <c r="A404" s="19"/>
      <c r="B404" s="19"/>
      <c r="C404" s="506" t="str">
        <f t="shared" si="26"/>
        <v>Residential time of use demand DER</v>
      </c>
      <c r="D404" s="505" t="str">
        <f t="shared" si="26"/>
        <v>Residential</v>
      </c>
      <c r="E404" s="505" t="str">
        <f t="shared" si="26"/>
        <v>TAS97</v>
      </c>
      <c r="F404" s="505">
        <f t="shared" si="26"/>
        <v>0</v>
      </c>
      <c r="G404" s="505">
        <f t="shared" si="26"/>
        <v>0</v>
      </c>
      <c r="H404" s="58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87"/>
      <c r="AD404" s="19"/>
      <c r="AE404" s="19"/>
      <c r="AF404" s="19"/>
      <c r="AG404" s="19"/>
    </row>
    <row r="405" spans="1:33" hidden="1" outlineLevel="2" x14ac:dyDescent="0.2">
      <c r="A405" s="19"/>
      <c r="B405" s="19"/>
      <c r="C405" s="506" t="str">
        <f t="shared" si="26"/>
        <v>Residential pay as you go</v>
      </c>
      <c r="D405" s="505" t="str">
        <f t="shared" si="26"/>
        <v>Residential</v>
      </c>
      <c r="E405" s="505" t="str">
        <f t="shared" si="26"/>
        <v>TAS101</v>
      </c>
      <c r="F405" s="505">
        <f t="shared" si="26"/>
        <v>0</v>
      </c>
      <c r="G405" s="505">
        <f t="shared" si="26"/>
        <v>0</v>
      </c>
      <c r="H405" s="58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87"/>
      <c r="AD405" s="19"/>
      <c r="AE405" s="19"/>
      <c r="AF405" s="19"/>
      <c r="AG405" s="19"/>
    </row>
    <row r="406" spans="1:33" hidden="1" outlineLevel="2" x14ac:dyDescent="0.2">
      <c r="A406" s="19"/>
      <c r="B406" s="19"/>
      <c r="C406" s="506" t="str">
        <f t="shared" si="26"/>
        <v>Residential pay as you go time of use</v>
      </c>
      <c r="D406" s="505" t="str">
        <f t="shared" si="26"/>
        <v>Residential</v>
      </c>
      <c r="E406" s="505" t="str">
        <f t="shared" si="26"/>
        <v>TAS92</v>
      </c>
      <c r="F406" s="505">
        <f t="shared" si="26"/>
        <v>0</v>
      </c>
      <c r="G406" s="505">
        <f t="shared" si="26"/>
        <v>0</v>
      </c>
      <c r="H406" s="58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87"/>
      <c r="AD406" s="19"/>
      <c r="AE406" s="19"/>
      <c r="AF406" s="19"/>
      <c r="AG406" s="19"/>
    </row>
    <row r="407" spans="1:33" hidden="1" outlineLevel="2" x14ac:dyDescent="0.2">
      <c r="A407" s="19"/>
      <c r="B407" s="19"/>
      <c r="C407" s="506" t="str">
        <f t="shared" si="26"/>
        <v>Small business time of use consumption</v>
      </c>
      <c r="D407" s="505" t="str">
        <f t="shared" si="26"/>
        <v>Small Business LV</v>
      </c>
      <c r="E407" s="505" t="str">
        <f t="shared" si="26"/>
        <v>TAS94</v>
      </c>
      <c r="F407" s="505">
        <f t="shared" si="26"/>
        <v>0</v>
      </c>
      <c r="G407" s="505">
        <f t="shared" si="26"/>
        <v>0</v>
      </c>
      <c r="H407" s="58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1"/>
      <c r="AA407" s="191"/>
      <c r="AB407" s="191"/>
      <c r="AC407" s="187"/>
      <c r="AD407" s="19"/>
      <c r="AE407" s="19"/>
      <c r="AF407" s="19"/>
      <c r="AG407" s="19"/>
    </row>
    <row r="408" spans="1:33" hidden="1" outlineLevel="2" x14ac:dyDescent="0.2">
      <c r="A408" s="19"/>
      <c r="B408" s="19"/>
      <c r="C408" s="506" t="str">
        <f t="shared" si="26"/>
        <v>Small business general light and power</v>
      </c>
      <c r="D408" s="505" t="str">
        <f t="shared" si="26"/>
        <v>Small Business LV</v>
      </c>
      <c r="E408" s="505" t="str">
        <f t="shared" si="26"/>
        <v>TAS22</v>
      </c>
      <c r="F408" s="505">
        <f t="shared" si="26"/>
        <v>0</v>
      </c>
      <c r="G408" s="505">
        <f t="shared" si="26"/>
        <v>0</v>
      </c>
      <c r="H408" s="58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87"/>
      <c r="AD408" s="19"/>
      <c r="AE408" s="19"/>
      <c r="AF408" s="19"/>
      <c r="AG408" s="19"/>
    </row>
    <row r="409" spans="1:33" hidden="1" outlineLevel="2" x14ac:dyDescent="0.2">
      <c r="A409" s="19"/>
      <c r="B409" s="19"/>
      <c r="C409" s="506" t="str">
        <f t="shared" si="26"/>
        <v>Small business time of use demand</v>
      </c>
      <c r="D409" s="505" t="str">
        <f t="shared" si="26"/>
        <v>Small Business LV</v>
      </c>
      <c r="E409" s="505" t="str">
        <f t="shared" si="26"/>
        <v>TAS88</v>
      </c>
      <c r="F409" s="505">
        <f t="shared" si="26"/>
        <v>0</v>
      </c>
      <c r="G409" s="505">
        <f t="shared" si="26"/>
        <v>0</v>
      </c>
      <c r="H409" s="58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87"/>
      <c r="AD409" s="19"/>
      <c r="AE409" s="19"/>
      <c r="AF409" s="19"/>
      <c r="AG409" s="19"/>
    </row>
    <row r="410" spans="1:33" hidden="1" outlineLevel="2" x14ac:dyDescent="0.2">
      <c r="A410" s="19"/>
      <c r="B410" s="19"/>
      <c r="C410" s="506" t="str">
        <f t="shared" si="26"/>
        <v>Small business time of use demand DER</v>
      </c>
      <c r="D410" s="505" t="str">
        <f t="shared" si="26"/>
        <v>Small Business LV</v>
      </c>
      <c r="E410" s="505" t="str">
        <f t="shared" si="26"/>
        <v>TAS98</v>
      </c>
      <c r="F410" s="505">
        <f t="shared" si="26"/>
        <v>0</v>
      </c>
      <c r="G410" s="505">
        <f t="shared" si="26"/>
        <v>0</v>
      </c>
      <c r="H410" s="58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87"/>
      <c r="AD410" s="19"/>
      <c r="AE410" s="19"/>
      <c r="AF410" s="19"/>
      <c r="AG410" s="19"/>
    </row>
    <row r="411" spans="1:33" hidden="1" outlineLevel="2" x14ac:dyDescent="0.2">
      <c r="A411" s="19"/>
      <c r="B411" s="19"/>
      <c r="C411" s="506" t="str">
        <f t="shared" ref="C411:G420" si="27">C255</f>
        <v>Large business kVA demand</v>
      </c>
      <c r="D411" s="505" t="str">
        <f t="shared" si="27"/>
        <v>Large Business LV</v>
      </c>
      <c r="E411" s="505" t="str">
        <f t="shared" si="27"/>
        <v>TAS82</v>
      </c>
      <c r="F411" s="505">
        <f t="shared" si="27"/>
        <v>0</v>
      </c>
      <c r="G411" s="505">
        <f t="shared" si="27"/>
        <v>0</v>
      </c>
      <c r="H411" s="58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87"/>
      <c r="AD411" s="19"/>
      <c r="AE411" s="19"/>
      <c r="AF411" s="19"/>
      <c r="AG411" s="19"/>
    </row>
    <row r="412" spans="1:33" hidden="1" outlineLevel="2" x14ac:dyDescent="0.2">
      <c r="A412" s="19"/>
      <c r="B412" s="19"/>
      <c r="C412" s="506" t="str">
        <f t="shared" si="27"/>
        <v>Large business time of use demand</v>
      </c>
      <c r="D412" s="505" t="str">
        <f t="shared" si="27"/>
        <v>Large Business LV</v>
      </c>
      <c r="E412" s="505" t="str">
        <f t="shared" si="27"/>
        <v>TAS89</v>
      </c>
      <c r="F412" s="505">
        <f t="shared" si="27"/>
        <v>0</v>
      </c>
      <c r="G412" s="505">
        <f t="shared" si="27"/>
        <v>0</v>
      </c>
      <c r="H412" s="58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87"/>
      <c r="AD412" s="19"/>
      <c r="AE412" s="19"/>
      <c r="AF412" s="19"/>
      <c r="AG412" s="19"/>
    </row>
    <row r="413" spans="1:33" hidden="1" outlineLevel="2" x14ac:dyDescent="0.2">
      <c r="A413" s="19"/>
      <c r="B413" s="19"/>
      <c r="C413" s="506" t="str">
        <f t="shared" si="27"/>
        <v>Irrigation time of use consumption</v>
      </c>
      <c r="D413" s="505" t="str">
        <f t="shared" si="27"/>
        <v>Irrigation</v>
      </c>
      <c r="E413" s="505" t="str">
        <f t="shared" si="27"/>
        <v>TAS75</v>
      </c>
      <c r="F413" s="505">
        <f t="shared" si="27"/>
        <v>0</v>
      </c>
      <c r="G413" s="505">
        <f t="shared" si="27"/>
        <v>0</v>
      </c>
      <c r="H413" s="58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87"/>
      <c r="AD413" s="19"/>
      <c r="AE413" s="19"/>
      <c r="AF413" s="19"/>
      <c r="AG413" s="19"/>
    </row>
    <row r="414" spans="1:33" hidden="1" outlineLevel="2" x14ac:dyDescent="0.2">
      <c r="A414" s="19"/>
      <c r="B414" s="19"/>
      <c r="C414" s="506" t="str">
        <f t="shared" si="27"/>
        <v>Business HV kVA specified demand &lt;2MVA</v>
      </c>
      <c r="D414" s="505" t="str">
        <f t="shared" si="27"/>
        <v>Large Business HV</v>
      </c>
      <c r="E414" s="505" t="str">
        <f t="shared" si="27"/>
        <v>TASSDM</v>
      </c>
      <c r="F414" s="505">
        <f t="shared" si="27"/>
        <v>0</v>
      </c>
      <c r="G414" s="505">
        <f t="shared" si="27"/>
        <v>0</v>
      </c>
      <c r="H414" s="58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87"/>
      <c r="AD414" s="19"/>
      <c r="AE414" s="19"/>
      <c r="AF414" s="19"/>
      <c r="AG414" s="19"/>
    </row>
    <row r="415" spans="1:33" hidden="1" outlineLevel="2" x14ac:dyDescent="0.2">
      <c r="A415" s="19"/>
      <c r="B415" s="19"/>
      <c r="C415" s="506" t="str">
        <f t="shared" si="27"/>
        <v>Business HV kVA specified demand &gt;2MVA</v>
      </c>
      <c r="D415" s="505" t="str">
        <f t="shared" si="27"/>
        <v>Large Business HV</v>
      </c>
      <c r="E415" s="505" t="str">
        <f t="shared" si="27"/>
        <v>TAS15*</v>
      </c>
      <c r="F415" s="505">
        <f t="shared" si="27"/>
        <v>0</v>
      </c>
      <c r="G415" s="505">
        <f t="shared" si="27"/>
        <v>0</v>
      </c>
      <c r="H415" s="58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87"/>
      <c r="AD415" s="19"/>
      <c r="AE415" s="19"/>
      <c r="AF415" s="19"/>
      <c r="AG415" s="19"/>
    </row>
    <row r="416" spans="1:33" hidden="1" outlineLevel="2" x14ac:dyDescent="0.2">
      <c r="A416" s="19"/>
      <c r="B416" s="19"/>
      <c r="C416" s="506" t="str">
        <f t="shared" si="27"/>
        <v>Uncontrolled low voltage heating and hot water</v>
      </c>
      <c r="D416" s="505" t="str">
        <f t="shared" si="27"/>
        <v>Uncontrolled energy</v>
      </c>
      <c r="E416" s="505" t="str">
        <f t="shared" si="27"/>
        <v>TAS41</v>
      </c>
      <c r="F416" s="505">
        <f t="shared" si="27"/>
        <v>0</v>
      </c>
      <c r="G416" s="505">
        <f t="shared" si="27"/>
        <v>0</v>
      </c>
      <c r="H416" s="58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87"/>
      <c r="AD416" s="19"/>
      <c r="AE416" s="19"/>
      <c r="AF416" s="19"/>
      <c r="AG416" s="19"/>
    </row>
    <row r="417" spans="1:33" hidden="1" outlineLevel="2" x14ac:dyDescent="0.2">
      <c r="A417" s="19"/>
      <c r="B417" s="19"/>
      <c r="C417" s="506" t="str">
        <f t="shared" si="27"/>
        <v>Controlled low voltage night period only</v>
      </c>
      <c r="D417" s="505" t="str">
        <f t="shared" si="27"/>
        <v>Controlled energy</v>
      </c>
      <c r="E417" s="505" t="str">
        <f t="shared" si="27"/>
        <v>TAS63</v>
      </c>
      <c r="F417" s="505">
        <f t="shared" si="27"/>
        <v>0</v>
      </c>
      <c r="G417" s="505">
        <f t="shared" si="27"/>
        <v>0</v>
      </c>
      <c r="H417" s="58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87"/>
      <c r="AD417" s="19"/>
      <c r="AE417" s="19"/>
      <c r="AF417" s="19"/>
      <c r="AG417" s="19"/>
    </row>
    <row r="418" spans="1:33" hidden="1" outlineLevel="2" x14ac:dyDescent="0.2">
      <c r="A418" s="19"/>
      <c r="B418" s="19"/>
      <c r="C418" s="506" t="str">
        <f t="shared" si="27"/>
        <v>Controlled low voltage off peak with afternoon boost</v>
      </c>
      <c r="D418" s="505" t="str">
        <f t="shared" si="27"/>
        <v>Controlled energy</v>
      </c>
      <c r="E418" s="505" t="str">
        <f t="shared" si="27"/>
        <v>TAS61</v>
      </c>
      <c r="F418" s="505">
        <f t="shared" si="27"/>
        <v>0</v>
      </c>
      <c r="G418" s="505">
        <f t="shared" si="27"/>
        <v>0</v>
      </c>
      <c r="H418" s="58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87"/>
      <c r="AD418" s="19"/>
      <c r="AE418" s="19"/>
      <c r="AF418" s="19"/>
      <c r="AG418" s="19"/>
    </row>
    <row r="419" spans="1:33" hidden="1" outlineLevel="2" x14ac:dyDescent="0.2">
      <c r="A419" s="19"/>
      <c r="B419" s="19"/>
      <c r="C419" s="506" t="str">
        <f t="shared" si="27"/>
        <v>Unmetered supply general</v>
      </c>
      <c r="D419" s="505" t="str">
        <f t="shared" si="27"/>
        <v>Unmetered supplies</v>
      </c>
      <c r="E419" s="505" t="str">
        <f t="shared" si="27"/>
        <v>TASUMS</v>
      </c>
      <c r="F419" s="505">
        <f t="shared" si="27"/>
        <v>0</v>
      </c>
      <c r="G419" s="505">
        <f t="shared" si="27"/>
        <v>0</v>
      </c>
      <c r="H419" s="58"/>
      <c r="I419" s="191"/>
      <c r="J419" s="191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87"/>
      <c r="AD419" s="19"/>
      <c r="AE419" s="19"/>
      <c r="AF419" s="19"/>
      <c r="AG419" s="19"/>
    </row>
    <row r="420" spans="1:33" hidden="1" outlineLevel="2" x14ac:dyDescent="0.2">
      <c r="A420" s="19"/>
      <c r="B420" s="19"/>
      <c r="C420" s="506" t="str">
        <f t="shared" si="27"/>
        <v>Street lighting</v>
      </c>
      <c r="D420" s="505" t="str">
        <f t="shared" si="27"/>
        <v>Street lighting</v>
      </c>
      <c r="E420" s="505" t="str">
        <f t="shared" si="27"/>
        <v>TASUMSSL</v>
      </c>
      <c r="F420" s="505">
        <f t="shared" si="27"/>
        <v>0</v>
      </c>
      <c r="G420" s="505">
        <f t="shared" si="27"/>
        <v>0</v>
      </c>
      <c r="H420" s="58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87"/>
      <c r="AD420" s="19"/>
      <c r="AE420" s="19"/>
      <c r="AF420" s="19"/>
      <c r="AG420" s="19"/>
    </row>
    <row r="421" spans="1:33" hidden="1" outlineLevel="2" x14ac:dyDescent="0.2">
      <c r="A421" s="19"/>
      <c r="B421" s="19"/>
      <c r="C421" s="506">
        <f t="shared" ref="C421:G430" si="28">C265</f>
        <v>0</v>
      </c>
      <c r="D421" s="505">
        <f t="shared" si="28"/>
        <v>0</v>
      </c>
      <c r="E421" s="505">
        <f t="shared" si="28"/>
        <v>0</v>
      </c>
      <c r="F421" s="505">
        <f t="shared" si="28"/>
        <v>0</v>
      </c>
      <c r="G421" s="505">
        <f t="shared" si="28"/>
        <v>0</v>
      </c>
      <c r="H421" s="58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87"/>
      <c r="AD421" s="19"/>
      <c r="AE421" s="19"/>
      <c r="AF421" s="19"/>
      <c r="AG421" s="19"/>
    </row>
    <row r="422" spans="1:33" hidden="1" outlineLevel="2" x14ac:dyDescent="0.2">
      <c r="A422" s="19"/>
      <c r="B422" s="19"/>
      <c r="C422" s="506">
        <f t="shared" si="28"/>
        <v>0</v>
      </c>
      <c r="D422" s="505">
        <f t="shared" si="28"/>
        <v>0</v>
      </c>
      <c r="E422" s="505">
        <f t="shared" si="28"/>
        <v>0</v>
      </c>
      <c r="F422" s="505">
        <f t="shared" si="28"/>
        <v>0</v>
      </c>
      <c r="G422" s="505">
        <f t="shared" si="28"/>
        <v>0</v>
      </c>
      <c r="H422" s="58"/>
      <c r="I422" s="191"/>
      <c r="J422" s="191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87"/>
      <c r="AD422" s="19"/>
      <c r="AE422" s="19"/>
      <c r="AF422" s="19"/>
      <c r="AG422" s="19"/>
    </row>
    <row r="423" spans="1:33" hidden="1" outlineLevel="2" x14ac:dyDescent="0.2">
      <c r="A423" s="19"/>
      <c r="B423" s="19"/>
      <c r="C423" s="506">
        <f t="shared" si="28"/>
        <v>0</v>
      </c>
      <c r="D423" s="505">
        <f t="shared" si="28"/>
        <v>0</v>
      </c>
      <c r="E423" s="505">
        <f t="shared" si="28"/>
        <v>0</v>
      </c>
      <c r="F423" s="505">
        <f t="shared" si="28"/>
        <v>0</v>
      </c>
      <c r="G423" s="505">
        <f t="shared" si="28"/>
        <v>0</v>
      </c>
      <c r="H423" s="58"/>
      <c r="I423" s="191"/>
      <c r="J423" s="191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87"/>
      <c r="AD423" s="19"/>
      <c r="AE423" s="19"/>
      <c r="AF423" s="19"/>
      <c r="AG423" s="19"/>
    </row>
    <row r="424" spans="1:33" hidden="1" outlineLevel="2" x14ac:dyDescent="0.2">
      <c r="A424" s="19"/>
      <c r="B424" s="19"/>
      <c r="C424" s="506">
        <f t="shared" si="28"/>
        <v>0</v>
      </c>
      <c r="D424" s="505">
        <f t="shared" si="28"/>
        <v>0</v>
      </c>
      <c r="E424" s="505">
        <f t="shared" si="28"/>
        <v>0</v>
      </c>
      <c r="F424" s="505">
        <f t="shared" si="28"/>
        <v>0</v>
      </c>
      <c r="G424" s="505">
        <f t="shared" si="28"/>
        <v>0</v>
      </c>
      <c r="H424" s="58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87"/>
      <c r="AD424" s="19"/>
      <c r="AE424" s="19"/>
      <c r="AF424" s="19"/>
      <c r="AG424" s="19"/>
    </row>
    <row r="425" spans="1:33" hidden="1" outlineLevel="2" x14ac:dyDescent="0.2">
      <c r="A425" s="19"/>
      <c r="B425" s="19"/>
      <c r="C425" s="506">
        <f t="shared" si="28"/>
        <v>0</v>
      </c>
      <c r="D425" s="505">
        <f t="shared" si="28"/>
        <v>0</v>
      </c>
      <c r="E425" s="505">
        <f t="shared" si="28"/>
        <v>0</v>
      </c>
      <c r="F425" s="505">
        <f t="shared" si="28"/>
        <v>0</v>
      </c>
      <c r="G425" s="505">
        <f t="shared" si="28"/>
        <v>0</v>
      </c>
      <c r="H425" s="58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87"/>
      <c r="AD425" s="19"/>
      <c r="AE425" s="19"/>
      <c r="AF425" s="19"/>
      <c r="AG425" s="19"/>
    </row>
    <row r="426" spans="1:33" hidden="1" outlineLevel="2" x14ac:dyDescent="0.2">
      <c r="A426" s="19"/>
      <c r="B426" s="19"/>
      <c r="C426" s="506">
        <f t="shared" si="28"/>
        <v>0</v>
      </c>
      <c r="D426" s="505">
        <f t="shared" si="28"/>
        <v>0</v>
      </c>
      <c r="E426" s="505">
        <f t="shared" si="28"/>
        <v>0</v>
      </c>
      <c r="F426" s="505">
        <f t="shared" si="28"/>
        <v>0</v>
      </c>
      <c r="G426" s="505">
        <f t="shared" si="28"/>
        <v>0</v>
      </c>
      <c r="H426" s="58"/>
      <c r="I426" s="191"/>
      <c r="J426" s="191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87"/>
      <c r="AD426" s="19"/>
      <c r="AE426" s="19"/>
      <c r="AF426" s="19"/>
      <c r="AG426" s="19"/>
    </row>
    <row r="427" spans="1:33" hidden="1" outlineLevel="2" x14ac:dyDescent="0.2">
      <c r="A427" s="19"/>
      <c r="B427" s="19"/>
      <c r="C427" s="506">
        <f t="shared" si="28"/>
        <v>0</v>
      </c>
      <c r="D427" s="505">
        <f t="shared" si="28"/>
        <v>0</v>
      </c>
      <c r="E427" s="505">
        <f t="shared" si="28"/>
        <v>0</v>
      </c>
      <c r="F427" s="505">
        <f t="shared" si="28"/>
        <v>0</v>
      </c>
      <c r="G427" s="505">
        <f t="shared" si="28"/>
        <v>0</v>
      </c>
      <c r="H427" s="58"/>
      <c r="I427" s="191"/>
      <c r="J427" s="191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87"/>
      <c r="AD427" s="19"/>
      <c r="AE427" s="19"/>
      <c r="AF427" s="19"/>
      <c r="AG427" s="19"/>
    </row>
    <row r="428" spans="1:33" hidden="1" outlineLevel="2" x14ac:dyDescent="0.2">
      <c r="A428" s="19"/>
      <c r="B428" s="19"/>
      <c r="C428" s="506">
        <f t="shared" si="28"/>
        <v>0</v>
      </c>
      <c r="D428" s="505">
        <f t="shared" si="28"/>
        <v>0</v>
      </c>
      <c r="E428" s="505">
        <f t="shared" si="28"/>
        <v>0</v>
      </c>
      <c r="F428" s="505">
        <f t="shared" si="28"/>
        <v>0</v>
      </c>
      <c r="G428" s="505">
        <f t="shared" si="28"/>
        <v>0</v>
      </c>
      <c r="H428" s="58"/>
      <c r="I428" s="191"/>
      <c r="J428" s="191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87"/>
      <c r="AD428" s="19"/>
      <c r="AE428" s="19"/>
      <c r="AF428" s="19"/>
      <c r="AG428" s="19"/>
    </row>
    <row r="429" spans="1:33" hidden="1" outlineLevel="2" x14ac:dyDescent="0.2">
      <c r="A429" s="19"/>
      <c r="B429" s="19"/>
      <c r="C429" s="506">
        <f t="shared" si="28"/>
        <v>0</v>
      </c>
      <c r="D429" s="505">
        <f t="shared" si="28"/>
        <v>0</v>
      </c>
      <c r="E429" s="505">
        <f t="shared" si="28"/>
        <v>0</v>
      </c>
      <c r="F429" s="505">
        <f t="shared" si="28"/>
        <v>0</v>
      </c>
      <c r="G429" s="505">
        <f t="shared" si="28"/>
        <v>0</v>
      </c>
      <c r="H429" s="58"/>
      <c r="I429" s="191"/>
      <c r="J429" s="191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87"/>
      <c r="AD429" s="19"/>
      <c r="AE429" s="19"/>
      <c r="AF429" s="19"/>
      <c r="AG429" s="19"/>
    </row>
    <row r="430" spans="1:33" hidden="1" outlineLevel="2" x14ac:dyDescent="0.2">
      <c r="A430" s="19"/>
      <c r="B430" s="19"/>
      <c r="C430" s="506">
        <f t="shared" si="28"/>
        <v>0</v>
      </c>
      <c r="D430" s="505">
        <f t="shared" si="28"/>
        <v>0</v>
      </c>
      <c r="E430" s="505">
        <f t="shared" si="28"/>
        <v>0</v>
      </c>
      <c r="F430" s="505">
        <f t="shared" si="28"/>
        <v>0</v>
      </c>
      <c r="G430" s="505">
        <f t="shared" si="28"/>
        <v>0</v>
      </c>
      <c r="H430" s="58"/>
      <c r="I430" s="191"/>
      <c r="J430" s="191"/>
      <c r="K430" s="191"/>
      <c r="L430" s="191"/>
      <c r="M430" s="191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1"/>
      <c r="AA430" s="191"/>
      <c r="AB430" s="191"/>
      <c r="AC430" s="187"/>
      <c r="AD430" s="19"/>
      <c r="AE430" s="19"/>
      <c r="AF430" s="19"/>
      <c r="AG430" s="19"/>
    </row>
    <row r="431" spans="1:33" hidden="1" outlineLevel="2" x14ac:dyDescent="0.2">
      <c r="A431" s="19"/>
      <c r="B431" s="19"/>
      <c r="C431" s="506">
        <f t="shared" ref="C431:G440" si="29">C275</f>
        <v>0</v>
      </c>
      <c r="D431" s="505">
        <f t="shared" si="29"/>
        <v>0</v>
      </c>
      <c r="E431" s="505">
        <f t="shared" si="29"/>
        <v>0</v>
      </c>
      <c r="F431" s="505">
        <f t="shared" si="29"/>
        <v>0</v>
      </c>
      <c r="G431" s="505">
        <f t="shared" si="29"/>
        <v>0</v>
      </c>
      <c r="H431" s="58"/>
      <c r="I431" s="191"/>
      <c r="J431" s="191"/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87"/>
      <c r="AD431" s="19"/>
      <c r="AE431" s="19"/>
      <c r="AF431" s="19"/>
      <c r="AG431" s="19"/>
    </row>
    <row r="432" spans="1:33" hidden="1" outlineLevel="2" x14ac:dyDescent="0.2">
      <c r="A432" s="19"/>
      <c r="B432" s="19"/>
      <c r="C432" s="506">
        <f t="shared" si="29"/>
        <v>0</v>
      </c>
      <c r="D432" s="505">
        <f t="shared" si="29"/>
        <v>0</v>
      </c>
      <c r="E432" s="505">
        <f t="shared" si="29"/>
        <v>0</v>
      </c>
      <c r="F432" s="505">
        <f t="shared" si="29"/>
        <v>0</v>
      </c>
      <c r="G432" s="505">
        <f t="shared" si="29"/>
        <v>0</v>
      </c>
      <c r="H432" s="58"/>
      <c r="I432" s="191"/>
      <c r="J432" s="191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87"/>
      <c r="AD432" s="19"/>
      <c r="AE432" s="19"/>
      <c r="AF432" s="19"/>
      <c r="AG432" s="19"/>
    </row>
    <row r="433" spans="1:33" hidden="1" outlineLevel="2" x14ac:dyDescent="0.2">
      <c r="A433" s="19"/>
      <c r="B433" s="19"/>
      <c r="C433" s="506">
        <f t="shared" si="29"/>
        <v>0</v>
      </c>
      <c r="D433" s="505">
        <f t="shared" si="29"/>
        <v>0</v>
      </c>
      <c r="E433" s="505">
        <f t="shared" si="29"/>
        <v>0</v>
      </c>
      <c r="F433" s="505">
        <f t="shared" si="29"/>
        <v>0</v>
      </c>
      <c r="G433" s="505">
        <f t="shared" si="29"/>
        <v>0</v>
      </c>
      <c r="H433" s="58"/>
      <c r="I433" s="191"/>
      <c r="J433" s="191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87"/>
      <c r="AD433" s="19"/>
      <c r="AE433" s="19"/>
      <c r="AF433" s="19"/>
      <c r="AG433" s="19"/>
    </row>
    <row r="434" spans="1:33" hidden="1" outlineLevel="2" x14ac:dyDescent="0.2">
      <c r="A434" s="19"/>
      <c r="B434" s="19"/>
      <c r="C434" s="506">
        <f t="shared" si="29"/>
        <v>0</v>
      </c>
      <c r="D434" s="505">
        <f t="shared" si="29"/>
        <v>0</v>
      </c>
      <c r="E434" s="505">
        <f t="shared" si="29"/>
        <v>0</v>
      </c>
      <c r="F434" s="505">
        <f t="shared" si="29"/>
        <v>0</v>
      </c>
      <c r="G434" s="505">
        <f t="shared" si="29"/>
        <v>0</v>
      </c>
      <c r="H434" s="58"/>
      <c r="I434" s="191"/>
      <c r="J434" s="191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87"/>
      <c r="AD434" s="19"/>
      <c r="AE434" s="19"/>
      <c r="AF434" s="19"/>
      <c r="AG434" s="19"/>
    </row>
    <row r="435" spans="1:33" hidden="1" outlineLevel="2" x14ac:dyDescent="0.2">
      <c r="A435" s="19"/>
      <c r="B435" s="19"/>
      <c r="C435" s="506">
        <f t="shared" si="29"/>
        <v>0</v>
      </c>
      <c r="D435" s="505">
        <f t="shared" si="29"/>
        <v>0</v>
      </c>
      <c r="E435" s="505">
        <f t="shared" si="29"/>
        <v>0</v>
      </c>
      <c r="F435" s="505">
        <f t="shared" si="29"/>
        <v>0</v>
      </c>
      <c r="G435" s="505">
        <f t="shared" si="29"/>
        <v>0</v>
      </c>
      <c r="H435" s="58"/>
      <c r="I435" s="191"/>
      <c r="J435" s="191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87"/>
      <c r="AD435" s="19"/>
      <c r="AE435" s="19"/>
      <c r="AF435" s="19"/>
      <c r="AG435" s="19"/>
    </row>
    <row r="436" spans="1:33" hidden="1" outlineLevel="2" x14ac:dyDescent="0.2">
      <c r="A436" s="19"/>
      <c r="B436" s="19"/>
      <c r="C436" s="506">
        <f t="shared" si="29"/>
        <v>0</v>
      </c>
      <c r="D436" s="505">
        <f t="shared" si="29"/>
        <v>0</v>
      </c>
      <c r="E436" s="505">
        <f t="shared" si="29"/>
        <v>0</v>
      </c>
      <c r="F436" s="505">
        <f t="shared" si="29"/>
        <v>0</v>
      </c>
      <c r="G436" s="505">
        <f t="shared" si="29"/>
        <v>0</v>
      </c>
      <c r="H436" s="58"/>
      <c r="I436" s="191"/>
      <c r="J436" s="191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87"/>
      <c r="AD436" s="19"/>
      <c r="AE436" s="19"/>
      <c r="AF436" s="19"/>
      <c r="AG436" s="19"/>
    </row>
    <row r="437" spans="1:33" hidden="1" outlineLevel="2" x14ac:dyDescent="0.2">
      <c r="A437" s="19"/>
      <c r="B437" s="19"/>
      <c r="C437" s="506">
        <f t="shared" si="29"/>
        <v>0</v>
      </c>
      <c r="D437" s="505">
        <f t="shared" si="29"/>
        <v>0</v>
      </c>
      <c r="E437" s="505">
        <f t="shared" si="29"/>
        <v>0</v>
      </c>
      <c r="F437" s="505">
        <f t="shared" si="29"/>
        <v>0</v>
      </c>
      <c r="G437" s="505">
        <f t="shared" si="29"/>
        <v>0</v>
      </c>
      <c r="H437" s="58"/>
      <c r="I437" s="191"/>
      <c r="J437" s="191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87"/>
      <c r="AD437" s="19"/>
      <c r="AE437" s="19"/>
      <c r="AF437" s="19"/>
      <c r="AG437" s="19"/>
    </row>
    <row r="438" spans="1:33" hidden="1" outlineLevel="2" x14ac:dyDescent="0.2">
      <c r="A438" s="19"/>
      <c r="B438" s="19"/>
      <c r="C438" s="506">
        <f t="shared" si="29"/>
        <v>0</v>
      </c>
      <c r="D438" s="505">
        <f t="shared" si="29"/>
        <v>0</v>
      </c>
      <c r="E438" s="505">
        <f t="shared" si="29"/>
        <v>0</v>
      </c>
      <c r="F438" s="505">
        <f t="shared" si="29"/>
        <v>0</v>
      </c>
      <c r="G438" s="505">
        <f t="shared" si="29"/>
        <v>0</v>
      </c>
      <c r="H438" s="58"/>
      <c r="I438" s="191"/>
      <c r="J438" s="191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87"/>
      <c r="AD438" s="19"/>
      <c r="AE438" s="19"/>
      <c r="AF438" s="19"/>
      <c r="AG438" s="19"/>
    </row>
    <row r="439" spans="1:33" hidden="1" outlineLevel="2" x14ac:dyDescent="0.2">
      <c r="A439" s="19"/>
      <c r="B439" s="19"/>
      <c r="C439" s="506">
        <f t="shared" si="29"/>
        <v>0</v>
      </c>
      <c r="D439" s="505">
        <f t="shared" si="29"/>
        <v>0</v>
      </c>
      <c r="E439" s="505">
        <f t="shared" si="29"/>
        <v>0</v>
      </c>
      <c r="F439" s="505">
        <f t="shared" si="29"/>
        <v>0</v>
      </c>
      <c r="G439" s="505">
        <f t="shared" si="29"/>
        <v>0</v>
      </c>
      <c r="H439" s="58"/>
      <c r="I439" s="191"/>
      <c r="J439" s="191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87"/>
      <c r="AD439" s="19"/>
      <c r="AE439" s="19"/>
      <c r="AF439" s="19"/>
      <c r="AG439" s="19"/>
    </row>
    <row r="440" spans="1:33" hidden="1" outlineLevel="2" x14ac:dyDescent="0.2">
      <c r="A440" s="19"/>
      <c r="B440" s="19"/>
      <c r="C440" s="506">
        <f t="shared" si="29"/>
        <v>0</v>
      </c>
      <c r="D440" s="505">
        <f t="shared" si="29"/>
        <v>0</v>
      </c>
      <c r="E440" s="505">
        <f t="shared" si="29"/>
        <v>0</v>
      </c>
      <c r="F440" s="505">
        <f t="shared" si="29"/>
        <v>0</v>
      </c>
      <c r="G440" s="505">
        <f t="shared" si="29"/>
        <v>0</v>
      </c>
      <c r="H440" s="58"/>
      <c r="I440" s="191"/>
      <c r="J440" s="191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87"/>
      <c r="AD440" s="19"/>
      <c r="AE440" s="19"/>
      <c r="AF440" s="19"/>
      <c r="AG440" s="19"/>
    </row>
    <row r="441" spans="1:33" hidden="1" outlineLevel="2" x14ac:dyDescent="0.2">
      <c r="A441" s="19"/>
      <c r="B441" s="19"/>
      <c r="C441" s="506">
        <f t="shared" ref="C441:G450" si="30">C285</f>
        <v>0</v>
      </c>
      <c r="D441" s="505">
        <f t="shared" si="30"/>
        <v>0</v>
      </c>
      <c r="E441" s="505">
        <f t="shared" si="30"/>
        <v>0</v>
      </c>
      <c r="F441" s="505">
        <f t="shared" si="30"/>
        <v>0</v>
      </c>
      <c r="G441" s="505">
        <f t="shared" si="30"/>
        <v>0</v>
      </c>
      <c r="H441" s="58"/>
      <c r="I441" s="191"/>
      <c r="J441" s="191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87"/>
      <c r="AD441" s="19"/>
      <c r="AE441" s="19"/>
      <c r="AF441" s="19"/>
      <c r="AG441" s="19"/>
    </row>
    <row r="442" spans="1:33" hidden="1" outlineLevel="2" x14ac:dyDescent="0.2">
      <c r="A442" s="19"/>
      <c r="B442" s="19"/>
      <c r="C442" s="506">
        <f t="shared" si="30"/>
        <v>0</v>
      </c>
      <c r="D442" s="505">
        <f t="shared" si="30"/>
        <v>0</v>
      </c>
      <c r="E442" s="505">
        <f t="shared" si="30"/>
        <v>0</v>
      </c>
      <c r="F442" s="505">
        <f t="shared" si="30"/>
        <v>0</v>
      </c>
      <c r="G442" s="505">
        <f t="shared" si="30"/>
        <v>0</v>
      </c>
      <c r="H442" s="58"/>
      <c r="I442" s="191"/>
      <c r="J442" s="191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87"/>
      <c r="AD442" s="19"/>
      <c r="AE442" s="19"/>
      <c r="AF442" s="19"/>
      <c r="AG442" s="19"/>
    </row>
    <row r="443" spans="1:33" hidden="1" outlineLevel="2" x14ac:dyDescent="0.2">
      <c r="A443" s="19"/>
      <c r="B443" s="19"/>
      <c r="C443" s="506">
        <f t="shared" si="30"/>
        <v>0</v>
      </c>
      <c r="D443" s="505">
        <f t="shared" si="30"/>
        <v>0</v>
      </c>
      <c r="E443" s="505">
        <f t="shared" si="30"/>
        <v>0</v>
      </c>
      <c r="F443" s="505">
        <f t="shared" si="30"/>
        <v>0</v>
      </c>
      <c r="G443" s="505">
        <f t="shared" si="30"/>
        <v>0</v>
      </c>
      <c r="H443" s="58"/>
      <c r="I443" s="191"/>
      <c r="J443" s="191"/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87"/>
      <c r="AD443" s="19"/>
      <c r="AE443" s="19"/>
      <c r="AF443" s="19"/>
      <c r="AG443" s="19"/>
    </row>
    <row r="444" spans="1:33" hidden="1" outlineLevel="2" x14ac:dyDescent="0.2">
      <c r="A444" s="19"/>
      <c r="B444" s="19"/>
      <c r="C444" s="506">
        <f t="shared" si="30"/>
        <v>0</v>
      </c>
      <c r="D444" s="505">
        <f t="shared" si="30"/>
        <v>0</v>
      </c>
      <c r="E444" s="505">
        <f t="shared" si="30"/>
        <v>0</v>
      </c>
      <c r="F444" s="505">
        <f t="shared" si="30"/>
        <v>0</v>
      </c>
      <c r="G444" s="505">
        <f t="shared" si="30"/>
        <v>0</v>
      </c>
      <c r="H444" s="58"/>
      <c r="I444" s="191"/>
      <c r="J444" s="191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87"/>
      <c r="AD444" s="19"/>
      <c r="AE444" s="19"/>
      <c r="AF444" s="19"/>
      <c r="AG444" s="19"/>
    </row>
    <row r="445" spans="1:33" hidden="1" outlineLevel="2" x14ac:dyDescent="0.2">
      <c r="A445" s="19"/>
      <c r="B445" s="19"/>
      <c r="C445" s="506">
        <f t="shared" si="30"/>
        <v>0</v>
      </c>
      <c r="D445" s="505">
        <f t="shared" si="30"/>
        <v>0</v>
      </c>
      <c r="E445" s="505">
        <f t="shared" si="30"/>
        <v>0</v>
      </c>
      <c r="F445" s="505">
        <f t="shared" si="30"/>
        <v>0</v>
      </c>
      <c r="G445" s="505">
        <f t="shared" si="30"/>
        <v>0</v>
      </c>
      <c r="H445" s="58"/>
      <c r="I445" s="191"/>
      <c r="J445" s="191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87"/>
      <c r="AD445" s="19"/>
      <c r="AE445" s="19"/>
      <c r="AF445" s="19"/>
      <c r="AG445" s="19"/>
    </row>
    <row r="446" spans="1:33" hidden="1" outlineLevel="2" x14ac:dyDescent="0.2">
      <c r="A446" s="19"/>
      <c r="B446" s="19"/>
      <c r="C446" s="506">
        <f t="shared" si="30"/>
        <v>0</v>
      </c>
      <c r="D446" s="505">
        <f t="shared" si="30"/>
        <v>0</v>
      </c>
      <c r="E446" s="505">
        <f t="shared" si="30"/>
        <v>0</v>
      </c>
      <c r="F446" s="505">
        <f t="shared" si="30"/>
        <v>0</v>
      </c>
      <c r="G446" s="505">
        <f t="shared" si="30"/>
        <v>0</v>
      </c>
      <c r="H446" s="58"/>
      <c r="I446" s="191"/>
      <c r="J446" s="191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87"/>
      <c r="AD446" s="19"/>
      <c r="AE446" s="19"/>
      <c r="AF446" s="19"/>
      <c r="AG446" s="19"/>
    </row>
    <row r="447" spans="1:33" hidden="1" outlineLevel="2" x14ac:dyDescent="0.2">
      <c r="A447" s="19"/>
      <c r="B447" s="19"/>
      <c r="C447" s="506">
        <f t="shared" si="30"/>
        <v>0</v>
      </c>
      <c r="D447" s="505">
        <f t="shared" si="30"/>
        <v>0</v>
      </c>
      <c r="E447" s="505">
        <f t="shared" si="30"/>
        <v>0</v>
      </c>
      <c r="F447" s="505">
        <f t="shared" si="30"/>
        <v>0</v>
      </c>
      <c r="G447" s="505">
        <f t="shared" si="30"/>
        <v>0</v>
      </c>
      <c r="H447" s="58"/>
      <c r="I447" s="191"/>
      <c r="J447" s="191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87"/>
      <c r="AD447" s="19"/>
      <c r="AE447" s="19"/>
      <c r="AF447" s="19"/>
      <c r="AG447" s="19"/>
    </row>
    <row r="448" spans="1:33" hidden="1" outlineLevel="3" x14ac:dyDescent="0.2">
      <c r="A448" s="19"/>
      <c r="B448" s="19"/>
      <c r="C448" s="506">
        <f t="shared" si="30"/>
        <v>0</v>
      </c>
      <c r="D448" s="505">
        <f t="shared" si="30"/>
        <v>0</v>
      </c>
      <c r="E448" s="505">
        <f t="shared" si="30"/>
        <v>0</v>
      </c>
      <c r="F448" s="505">
        <f t="shared" si="30"/>
        <v>0</v>
      </c>
      <c r="G448" s="505">
        <f t="shared" si="30"/>
        <v>0</v>
      </c>
      <c r="H448" s="58"/>
      <c r="I448" s="191"/>
      <c r="J448" s="191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87"/>
      <c r="AD448" s="19"/>
      <c r="AE448" s="19"/>
      <c r="AF448" s="19"/>
      <c r="AG448" s="19"/>
    </row>
    <row r="449" spans="1:33" hidden="1" outlineLevel="3" x14ac:dyDescent="0.2">
      <c r="A449" s="19"/>
      <c r="B449" s="19"/>
      <c r="C449" s="506">
        <f t="shared" si="30"/>
        <v>0</v>
      </c>
      <c r="D449" s="505">
        <f t="shared" si="30"/>
        <v>0</v>
      </c>
      <c r="E449" s="505">
        <f t="shared" si="30"/>
        <v>0</v>
      </c>
      <c r="F449" s="505">
        <f t="shared" si="30"/>
        <v>0</v>
      </c>
      <c r="G449" s="505">
        <f t="shared" si="30"/>
        <v>0</v>
      </c>
      <c r="H449" s="58"/>
      <c r="I449" s="191"/>
      <c r="J449" s="191"/>
      <c r="K449" s="191"/>
      <c r="L449" s="191"/>
      <c r="M449" s="191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87"/>
      <c r="AD449" s="19"/>
      <c r="AE449" s="19"/>
      <c r="AF449" s="19"/>
      <c r="AG449" s="19"/>
    </row>
    <row r="450" spans="1:33" hidden="1" outlineLevel="3" x14ac:dyDescent="0.2">
      <c r="A450" s="19"/>
      <c r="B450" s="19"/>
      <c r="C450" s="506">
        <f t="shared" si="30"/>
        <v>0</v>
      </c>
      <c r="D450" s="505">
        <f t="shared" si="30"/>
        <v>0</v>
      </c>
      <c r="E450" s="505">
        <f t="shared" si="30"/>
        <v>0</v>
      </c>
      <c r="F450" s="505">
        <f t="shared" si="30"/>
        <v>0</v>
      </c>
      <c r="G450" s="505">
        <f t="shared" si="30"/>
        <v>0</v>
      </c>
      <c r="H450" s="58"/>
      <c r="I450" s="191"/>
      <c r="J450" s="191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87"/>
      <c r="AD450" s="19"/>
      <c r="AE450" s="19"/>
      <c r="AF450" s="19"/>
      <c r="AG450" s="19"/>
    </row>
    <row r="451" spans="1:33" hidden="1" outlineLevel="3" x14ac:dyDescent="0.2">
      <c r="A451" s="19"/>
      <c r="B451" s="19"/>
      <c r="C451" s="506">
        <f t="shared" ref="C451:G460" si="31">C295</f>
        <v>0</v>
      </c>
      <c r="D451" s="505">
        <f t="shared" si="31"/>
        <v>0</v>
      </c>
      <c r="E451" s="505">
        <f t="shared" si="31"/>
        <v>0</v>
      </c>
      <c r="F451" s="505">
        <f t="shared" si="31"/>
        <v>0</v>
      </c>
      <c r="G451" s="505">
        <f t="shared" si="31"/>
        <v>0</v>
      </c>
      <c r="H451" s="58"/>
      <c r="I451" s="191"/>
      <c r="J451" s="191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87"/>
      <c r="AD451" s="19"/>
      <c r="AE451" s="19"/>
      <c r="AF451" s="19"/>
      <c r="AG451" s="19"/>
    </row>
    <row r="452" spans="1:33" hidden="1" outlineLevel="3" x14ac:dyDescent="0.2">
      <c r="A452" s="19"/>
      <c r="B452" s="19"/>
      <c r="C452" s="506">
        <f t="shared" si="31"/>
        <v>0</v>
      </c>
      <c r="D452" s="505">
        <f t="shared" si="31"/>
        <v>0</v>
      </c>
      <c r="E452" s="505">
        <f t="shared" si="31"/>
        <v>0</v>
      </c>
      <c r="F452" s="505">
        <f t="shared" si="31"/>
        <v>0</v>
      </c>
      <c r="G452" s="505">
        <f t="shared" si="31"/>
        <v>0</v>
      </c>
      <c r="H452" s="58"/>
      <c r="I452" s="191"/>
      <c r="J452" s="191"/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87"/>
      <c r="AD452" s="19"/>
      <c r="AE452" s="19"/>
      <c r="AF452" s="19"/>
      <c r="AG452" s="19"/>
    </row>
    <row r="453" spans="1:33" hidden="1" outlineLevel="3" x14ac:dyDescent="0.2">
      <c r="A453" s="19"/>
      <c r="B453" s="19"/>
      <c r="C453" s="506">
        <f t="shared" si="31"/>
        <v>0</v>
      </c>
      <c r="D453" s="505">
        <f t="shared" si="31"/>
        <v>0</v>
      </c>
      <c r="E453" s="505">
        <f t="shared" si="31"/>
        <v>0</v>
      </c>
      <c r="F453" s="505">
        <f t="shared" si="31"/>
        <v>0</v>
      </c>
      <c r="G453" s="505">
        <f t="shared" si="31"/>
        <v>0</v>
      </c>
      <c r="H453" s="58"/>
      <c r="I453" s="191"/>
      <c r="J453" s="191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87"/>
      <c r="AD453" s="19"/>
      <c r="AE453" s="19"/>
      <c r="AF453" s="19"/>
      <c r="AG453" s="19"/>
    </row>
    <row r="454" spans="1:33" hidden="1" outlineLevel="3" x14ac:dyDescent="0.2">
      <c r="A454" s="19"/>
      <c r="B454" s="19"/>
      <c r="C454" s="506">
        <f t="shared" si="31"/>
        <v>0</v>
      </c>
      <c r="D454" s="505">
        <f t="shared" si="31"/>
        <v>0</v>
      </c>
      <c r="E454" s="505">
        <f t="shared" si="31"/>
        <v>0</v>
      </c>
      <c r="F454" s="505">
        <f t="shared" si="31"/>
        <v>0</v>
      </c>
      <c r="G454" s="505">
        <f t="shared" si="31"/>
        <v>0</v>
      </c>
      <c r="H454" s="58"/>
      <c r="I454" s="191"/>
      <c r="J454" s="191"/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87"/>
      <c r="AD454" s="19"/>
      <c r="AE454" s="19"/>
      <c r="AF454" s="19"/>
      <c r="AG454" s="19"/>
    </row>
    <row r="455" spans="1:33" hidden="1" outlineLevel="3" x14ac:dyDescent="0.2">
      <c r="A455" s="19"/>
      <c r="B455" s="19"/>
      <c r="C455" s="506">
        <f t="shared" si="31"/>
        <v>0</v>
      </c>
      <c r="D455" s="505">
        <f t="shared" si="31"/>
        <v>0</v>
      </c>
      <c r="E455" s="505">
        <f t="shared" si="31"/>
        <v>0</v>
      </c>
      <c r="F455" s="505">
        <f t="shared" si="31"/>
        <v>0</v>
      </c>
      <c r="G455" s="505">
        <f t="shared" si="31"/>
        <v>0</v>
      </c>
      <c r="H455" s="58"/>
      <c r="I455" s="191"/>
      <c r="J455" s="191"/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87"/>
      <c r="AD455" s="19"/>
      <c r="AE455" s="19"/>
      <c r="AF455" s="19"/>
      <c r="AG455" s="19"/>
    </row>
    <row r="456" spans="1:33" hidden="1" outlineLevel="3" x14ac:dyDescent="0.2">
      <c r="A456" s="19"/>
      <c r="B456" s="19"/>
      <c r="C456" s="506">
        <f t="shared" si="31"/>
        <v>0</v>
      </c>
      <c r="D456" s="505">
        <f t="shared" si="31"/>
        <v>0</v>
      </c>
      <c r="E456" s="505">
        <f t="shared" si="31"/>
        <v>0</v>
      </c>
      <c r="F456" s="505">
        <f t="shared" si="31"/>
        <v>0</v>
      </c>
      <c r="G456" s="505">
        <f t="shared" si="31"/>
        <v>0</v>
      </c>
      <c r="H456" s="58"/>
      <c r="I456" s="191"/>
      <c r="J456" s="191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87"/>
      <c r="AD456" s="19"/>
      <c r="AE456" s="19"/>
      <c r="AF456" s="19"/>
      <c r="AG456" s="19"/>
    </row>
    <row r="457" spans="1:33" hidden="1" outlineLevel="3" x14ac:dyDescent="0.2">
      <c r="A457" s="19"/>
      <c r="B457" s="19"/>
      <c r="C457" s="506">
        <f t="shared" si="31"/>
        <v>0</v>
      </c>
      <c r="D457" s="505">
        <f t="shared" si="31"/>
        <v>0</v>
      </c>
      <c r="E457" s="505">
        <f t="shared" si="31"/>
        <v>0</v>
      </c>
      <c r="F457" s="505">
        <f t="shared" si="31"/>
        <v>0</v>
      </c>
      <c r="G457" s="505">
        <f t="shared" si="31"/>
        <v>0</v>
      </c>
      <c r="H457" s="58"/>
      <c r="I457" s="191"/>
      <c r="J457" s="191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87"/>
      <c r="AD457" s="19"/>
      <c r="AE457" s="19"/>
      <c r="AF457" s="19"/>
      <c r="AG457" s="19"/>
    </row>
    <row r="458" spans="1:33" hidden="1" outlineLevel="3" x14ac:dyDescent="0.2">
      <c r="A458" s="19"/>
      <c r="B458" s="19"/>
      <c r="C458" s="506">
        <f t="shared" si="31"/>
        <v>0</v>
      </c>
      <c r="D458" s="505">
        <f t="shared" si="31"/>
        <v>0</v>
      </c>
      <c r="E458" s="505">
        <f t="shared" si="31"/>
        <v>0</v>
      </c>
      <c r="F458" s="505">
        <f t="shared" si="31"/>
        <v>0</v>
      </c>
      <c r="G458" s="505">
        <f t="shared" si="31"/>
        <v>0</v>
      </c>
      <c r="H458" s="58"/>
      <c r="I458" s="191"/>
      <c r="J458" s="191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87"/>
      <c r="AD458" s="19"/>
      <c r="AE458" s="19"/>
      <c r="AF458" s="19"/>
      <c r="AG458" s="19"/>
    </row>
    <row r="459" spans="1:33" hidden="1" outlineLevel="3" x14ac:dyDescent="0.2">
      <c r="A459" s="19"/>
      <c r="B459" s="19"/>
      <c r="C459" s="506">
        <f t="shared" si="31"/>
        <v>0</v>
      </c>
      <c r="D459" s="505">
        <f t="shared" si="31"/>
        <v>0</v>
      </c>
      <c r="E459" s="505">
        <f t="shared" si="31"/>
        <v>0</v>
      </c>
      <c r="F459" s="505">
        <f t="shared" si="31"/>
        <v>0</v>
      </c>
      <c r="G459" s="505">
        <f t="shared" si="31"/>
        <v>0</v>
      </c>
      <c r="H459" s="58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87"/>
      <c r="AD459" s="19"/>
      <c r="AE459" s="19"/>
      <c r="AF459" s="19"/>
      <c r="AG459" s="19"/>
    </row>
    <row r="460" spans="1:33" hidden="1" outlineLevel="3" x14ac:dyDescent="0.2">
      <c r="A460" s="19"/>
      <c r="B460" s="19"/>
      <c r="C460" s="506">
        <f t="shared" si="31"/>
        <v>0</v>
      </c>
      <c r="D460" s="505">
        <f t="shared" si="31"/>
        <v>0</v>
      </c>
      <c r="E460" s="505">
        <f t="shared" si="31"/>
        <v>0</v>
      </c>
      <c r="F460" s="505">
        <f t="shared" si="31"/>
        <v>0</v>
      </c>
      <c r="G460" s="505">
        <f t="shared" si="31"/>
        <v>0</v>
      </c>
      <c r="H460" s="58"/>
      <c r="I460" s="191"/>
      <c r="J460" s="191"/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87"/>
      <c r="AD460" s="19"/>
      <c r="AE460" s="19"/>
      <c r="AF460" s="19"/>
      <c r="AG460" s="19"/>
    </row>
    <row r="461" spans="1:33" hidden="1" outlineLevel="3" x14ac:dyDescent="0.2">
      <c r="A461" s="19"/>
      <c r="B461" s="19"/>
      <c r="C461" s="506">
        <f t="shared" ref="C461:G470" si="32">C305</f>
        <v>0</v>
      </c>
      <c r="D461" s="505">
        <f t="shared" si="32"/>
        <v>0</v>
      </c>
      <c r="E461" s="505">
        <f t="shared" si="32"/>
        <v>0</v>
      </c>
      <c r="F461" s="505">
        <f t="shared" si="32"/>
        <v>0</v>
      </c>
      <c r="G461" s="505">
        <f t="shared" si="32"/>
        <v>0</v>
      </c>
      <c r="H461" s="58"/>
      <c r="I461" s="191"/>
      <c r="J461" s="191"/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87"/>
      <c r="AD461" s="19"/>
      <c r="AE461" s="19"/>
      <c r="AF461" s="19"/>
      <c r="AG461" s="19"/>
    </row>
    <row r="462" spans="1:33" hidden="1" outlineLevel="3" x14ac:dyDescent="0.2">
      <c r="A462" s="19"/>
      <c r="B462" s="19"/>
      <c r="C462" s="506">
        <f t="shared" si="32"/>
        <v>0</v>
      </c>
      <c r="D462" s="505">
        <f t="shared" si="32"/>
        <v>0</v>
      </c>
      <c r="E462" s="505">
        <f t="shared" si="32"/>
        <v>0</v>
      </c>
      <c r="F462" s="505">
        <f t="shared" si="32"/>
        <v>0</v>
      </c>
      <c r="G462" s="505">
        <f t="shared" si="32"/>
        <v>0</v>
      </c>
      <c r="H462" s="58"/>
      <c r="I462" s="191"/>
      <c r="J462" s="191"/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87"/>
      <c r="AD462" s="19"/>
      <c r="AE462" s="19"/>
      <c r="AF462" s="19"/>
      <c r="AG462" s="19"/>
    </row>
    <row r="463" spans="1:33" hidden="1" outlineLevel="3" x14ac:dyDescent="0.2">
      <c r="A463" s="19"/>
      <c r="B463" s="19"/>
      <c r="C463" s="506">
        <f t="shared" si="32"/>
        <v>0</v>
      </c>
      <c r="D463" s="505">
        <f t="shared" si="32"/>
        <v>0</v>
      </c>
      <c r="E463" s="505">
        <f t="shared" si="32"/>
        <v>0</v>
      </c>
      <c r="F463" s="505">
        <f t="shared" si="32"/>
        <v>0</v>
      </c>
      <c r="G463" s="505">
        <f t="shared" si="32"/>
        <v>0</v>
      </c>
      <c r="H463" s="58"/>
      <c r="I463" s="191"/>
      <c r="J463" s="191"/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87"/>
      <c r="AD463" s="19"/>
      <c r="AE463" s="19"/>
      <c r="AF463" s="19"/>
      <c r="AG463" s="19"/>
    </row>
    <row r="464" spans="1:33" hidden="1" outlineLevel="3" x14ac:dyDescent="0.2">
      <c r="A464" s="19"/>
      <c r="B464" s="19"/>
      <c r="C464" s="506">
        <f t="shared" si="32"/>
        <v>0</v>
      </c>
      <c r="D464" s="505">
        <f t="shared" si="32"/>
        <v>0</v>
      </c>
      <c r="E464" s="505">
        <f t="shared" si="32"/>
        <v>0</v>
      </c>
      <c r="F464" s="505">
        <f t="shared" si="32"/>
        <v>0</v>
      </c>
      <c r="G464" s="505">
        <f t="shared" si="32"/>
        <v>0</v>
      </c>
      <c r="H464" s="58"/>
      <c r="I464" s="191"/>
      <c r="J464" s="191"/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87"/>
      <c r="AD464" s="19"/>
      <c r="AE464" s="19"/>
      <c r="AF464" s="19"/>
      <c r="AG464" s="19"/>
    </row>
    <row r="465" spans="1:33" hidden="1" outlineLevel="3" x14ac:dyDescent="0.2">
      <c r="A465" s="19"/>
      <c r="B465" s="19"/>
      <c r="C465" s="506">
        <f t="shared" si="32"/>
        <v>0</v>
      </c>
      <c r="D465" s="505">
        <f t="shared" si="32"/>
        <v>0</v>
      </c>
      <c r="E465" s="505">
        <f t="shared" si="32"/>
        <v>0</v>
      </c>
      <c r="F465" s="505">
        <f t="shared" si="32"/>
        <v>0</v>
      </c>
      <c r="G465" s="505">
        <f t="shared" si="32"/>
        <v>0</v>
      </c>
      <c r="H465" s="58"/>
      <c r="I465" s="191"/>
      <c r="J465" s="191"/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87"/>
      <c r="AD465" s="19"/>
      <c r="AE465" s="19"/>
      <c r="AF465" s="19"/>
      <c r="AG465" s="19"/>
    </row>
    <row r="466" spans="1:33" hidden="1" outlineLevel="3" x14ac:dyDescent="0.2">
      <c r="A466" s="19"/>
      <c r="B466" s="19"/>
      <c r="C466" s="506">
        <f t="shared" si="32"/>
        <v>0</v>
      </c>
      <c r="D466" s="505">
        <f t="shared" si="32"/>
        <v>0</v>
      </c>
      <c r="E466" s="505">
        <f t="shared" si="32"/>
        <v>0</v>
      </c>
      <c r="F466" s="505">
        <f t="shared" si="32"/>
        <v>0</v>
      </c>
      <c r="G466" s="505">
        <f t="shared" si="32"/>
        <v>0</v>
      </c>
      <c r="H466" s="58"/>
      <c r="I466" s="191"/>
      <c r="J466" s="191"/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87"/>
      <c r="AD466" s="19"/>
      <c r="AE466" s="19"/>
      <c r="AF466" s="19"/>
      <c r="AG466" s="19"/>
    </row>
    <row r="467" spans="1:33" hidden="1" outlineLevel="3" x14ac:dyDescent="0.2">
      <c r="A467" s="19"/>
      <c r="B467" s="19"/>
      <c r="C467" s="506">
        <f t="shared" si="32"/>
        <v>0</v>
      </c>
      <c r="D467" s="505">
        <f t="shared" si="32"/>
        <v>0</v>
      </c>
      <c r="E467" s="505">
        <f t="shared" si="32"/>
        <v>0</v>
      </c>
      <c r="F467" s="505">
        <f t="shared" si="32"/>
        <v>0</v>
      </c>
      <c r="G467" s="505">
        <f t="shared" si="32"/>
        <v>0</v>
      </c>
      <c r="H467" s="58"/>
      <c r="I467" s="191"/>
      <c r="J467" s="191"/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87"/>
      <c r="AD467" s="19"/>
      <c r="AE467" s="19"/>
      <c r="AF467" s="19"/>
      <c r="AG467" s="19"/>
    </row>
    <row r="468" spans="1:33" hidden="1" outlineLevel="3" x14ac:dyDescent="0.2">
      <c r="A468" s="19"/>
      <c r="B468" s="19"/>
      <c r="C468" s="506">
        <f t="shared" si="32"/>
        <v>0</v>
      </c>
      <c r="D468" s="505">
        <f t="shared" si="32"/>
        <v>0</v>
      </c>
      <c r="E468" s="505">
        <f t="shared" si="32"/>
        <v>0</v>
      </c>
      <c r="F468" s="505">
        <f t="shared" si="32"/>
        <v>0</v>
      </c>
      <c r="G468" s="505">
        <f t="shared" si="32"/>
        <v>0</v>
      </c>
      <c r="H468" s="58"/>
      <c r="I468" s="191"/>
      <c r="J468" s="191"/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87"/>
      <c r="AD468" s="19"/>
      <c r="AE468" s="19"/>
      <c r="AF468" s="19"/>
      <c r="AG468" s="19"/>
    </row>
    <row r="469" spans="1:33" hidden="1" outlineLevel="3" x14ac:dyDescent="0.2">
      <c r="A469" s="19"/>
      <c r="B469" s="19"/>
      <c r="C469" s="506">
        <f t="shared" si="32"/>
        <v>0</v>
      </c>
      <c r="D469" s="505">
        <f t="shared" si="32"/>
        <v>0</v>
      </c>
      <c r="E469" s="505">
        <f t="shared" si="32"/>
        <v>0</v>
      </c>
      <c r="F469" s="505">
        <f t="shared" si="32"/>
        <v>0</v>
      </c>
      <c r="G469" s="505">
        <f t="shared" si="32"/>
        <v>0</v>
      </c>
      <c r="H469" s="58"/>
      <c r="I469" s="191"/>
      <c r="J469" s="191"/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87"/>
      <c r="AD469" s="19"/>
      <c r="AE469" s="19"/>
      <c r="AF469" s="19"/>
      <c r="AG469" s="19"/>
    </row>
    <row r="470" spans="1:33" hidden="1" outlineLevel="3" x14ac:dyDescent="0.2">
      <c r="A470" s="19"/>
      <c r="B470" s="19"/>
      <c r="C470" s="506">
        <f t="shared" si="32"/>
        <v>0</v>
      </c>
      <c r="D470" s="505">
        <f t="shared" si="32"/>
        <v>0</v>
      </c>
      <c r="E470" s="505">
        <f t="shared" si="32"/>
        <v>0</v>
      </c>
      <c r="F470" s="505">
        <f t="shared" si="32"/>
        <v>0</v>
      </c>
      <c r="G470" s="505">
        <f t="shared" si="32"/>
        <v>0</v>
      </c>
      <c r="H470" s="58"/>
      <c r="I470" s="191"/>
      <c r="J470" s="191"/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87"/>
      <c r="AD470" s="19"/>
      <c r="AE470" s="19"/>
      <c r="AF470" s="19"/>
      <c r="AG470" s="19"/>
    </row>
    <row r="471" spans="1:33" hidden="1" outlineLevel="3" x14ac:dyDescent="0.2">
      <c r="A471" s="19"/>
      <c r="B471" s="19"/>
      <c r="C471" s="506">
        <f t="shared" ref="C471:G475" si="33">C315</f>
        <v>0</v>
      </c>
      <c r="D471" s="505">
        <f t="shared" si="33"/>
        <v>0</v>
      </c>
      <c r="E471" s="505">
        <f t="shared" si="33"/>
        <v>0</v>
      </c>
      <c r="F471" s="505">
        <f t="shared" si="33"/>
        <v>0</v>
      </c>
      <c r="G471" s="505">
        <f t="shared" si="33"/>
        <v>0</v>
      </c>
      <c r="H471" s="58"/>
      <c r="I471" s="191"/>
      <c r="J471" s="191"/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87"/>
      <c r="AD471" s="19"/>
      <c r="AE471" s="19"/>
      <c r="AF471" s="19"/>
      <c r="AG471" s="19"/>
    </row>
    <row r="472" spans="1:33" hidden="1" outlineLevel="3" x14ac:dyDescent="0.2">
      <c r="A472" s="19"/>
      <c r="B472" s="19"/>
      <c r="C472" s="506">
        <f t="shared" si="33"/>
        <v>0</v>
      </c>
      <c r="D472" s="505">
        <f t="shared" si="33"/>
        <v>0</v>
      </c>
      <c r="E472" s="505">
        <f t="shared" si="33"/>
        <v>0</v>
      </c>
      <c r="F472" s="505">
        <f t="shared" si="33"/>
        <v>0</v>
      </c>
      <c r="G472" s="505">
        <f t="shared" si="33"/>
        <v>0</v>
      </c>
      <c r="H472" s="58"/>
      <c r="I472" s="191"/>
      <c r="J472" s="191"/>
      <c r="K472" s="191"/>
      <c r="L472" s="191"/>
      <c r="M472" s="191"/>
      <c r="N472" s="191"/>
      <c r="O472" s="191"/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91"/>
      <c r="AA472" s="191"/>
      <c r="AB472" s="191"/>
      <c r="AC472" s="187"/>
      <c r="AD472" s="19"/>
      <c r="AE472" s="19"/>
      <c r="AF472" s="19"/>
      <c r="AG472" s="19"/>
    </row>
    <row r="473" spans="1:33" hidden="1" outlineLevel="3" x14ac:dyDescent="0.2">
      <c r="A473" s="19"/>
      <c r="B473" s="19"/>
      <c r="C473" s="506">
        <f t="shared" si="33"/>
        <v>0</v>
      </c>
      <c r="D473" s="505">
        <f t="shared" si="33"/>
        <v>0</v>
      </c>
      <c r="E473" s="505">
        <f t="shared" si="33"/>
        <v>0</v>
      </c>
      <c r="F473" s="505">
        <f t="shared" si="33"/>
        <v>0</v>
      </c>
      <c r="G473" s="505">
        <f t="shared" si="33"/>
        <v>0</v>
      </c>
      <c r="H473" s="58"/>
      <c r="I473" s="191"/>
      <c r="J473" s="191"/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87"/>
      <c r="AD473" s="19"/>
      <c r="AE473" s="19"/>
      <c r="AF473" s="19"/>
      <c r="AG473" s="19"/>
    </row>
    <row r="474" spans="1:33" hidden="1" outlineLevel="3" x14ac:dyDescent="0.2">
      <c r="A474" s="19"/>
      <c r="B474" s="19"/>
      <c r="C474" s="506">
        <f t="shared" si="33"/>
        <v>0</v>
      </c>
      <c r="D474" s="505">
        <f t="shared" si="33"/>
        <v>0</v>
      </c>
      <c r="E474" s="505">
        <f t="shared" si="33"/>
        <v>0</v>
      </c>
      <c r="F474" s="505">
        <f t="shared" si="33"/>
        <v>0</v>
      </c>
      <c r="G474" s="505">
        <f t="shared" si="33"/>
        <v>0</v>
      </c>
      <c r="H474" s="58"/>
      <c r="I474" s="191"/>
      <c r="J474" s="191"/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87"/>
      <c r="AD474" s="19"/>
      <c r="AE474" s="19"/>
      <c r="AF474" s="19"/>
      <c r="AG474" s="19"/>
    </row>
    <row r="475" spans="1:33" hidden="1" outlineLevel="3" x14ac:dyDescent="0.2">
      <c r="A475" s="19"/>
      <c r="B475" s="19"/>
      <c r="C475" s="506">
        <f t="shared" si="33"/>
        <v>0</v>
      </c>
      <c r="D475" s="505">
        <f t="shared" si="33"/>
        <v>0</v>
      </c>
      <c r="E475" s="505">
        <f t="shared" si="33"/>
        <v>0</v>
      </c>
      <c r="F475" s="505">
        <f t="shared" si="33"/>
        <v>0</v>
      </c>
      <c r="G475" s="505">
        <f t="shared" si="33"/>
        <v>0</v>
      </c>
      <c r="H475" s="58"/>
      <c r="I475" s="191"/>
      <c r="J475" s="191"/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87"/>
      <c r="AD475" s="19"/>
      <c r="AE475" s="19"/>
      <c r="AF475" s="19"/>
      <c r="AG475" s="19"/>
    </row>
    <row r="476" spans="1:33" hidden="1" outlineLevel="2" collapsed="1" x14ac:dyDescent="0.2">
      <c r="A476" s="19"/>
      <c r="B476" s="19"/>
      <c r="C476" s="66"/>
      <c r="D476" s="58"/>
      <c r="E476" s="58"/>
      <c r="F476" s="58"/>
      <c r="G476" s="58"/>
      <c r="H476" s="58"/>
      <c r="I476" s="186"/>
      <c r="J476" s="186"/>
      <c r="K476" s="187"/>
      <c r="L476" s="187"/>
      <c r="M476" s="187"/>
      <c r="N476" s="188"/>
      <c r="O476" s="188"/>
      <c r="P476" s="188"/>
      <c r="Q476" s="188"/>
      <c r="R476" s="188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9"/>
      <c r="AE476" s="19"/>
      <c r="AF476" s="19"/>
      <c r="AG476" s="19"/>
    </row>
    <row r="477" spans="1:33" outlineLevel="1" collapsed="1" x14ac:dyDescent="0.2">
      <c r="A477" s="19"/>
      <c r="B477" s="19"/>
      <c r="C477" s="66"/>
      <c r="D477" s="58"/>
      <c r="E477" s="58"/>
      <c r="F477" s="58"/>
      <c r="G477" s="58"/>
      <c r="H477" s="58"/>
      <c r="I477" s="58"/>
      <c r="J477" s="58"/>
      <c r="K477" s="20"/>
      <c r="L477" s="20"/>
      <c r="M477" s="20"/>
      <c r="N477" s="37"/>
      <c r="O477" s="37"/>
      <c r="P477" s="37"/>
      <c r="Q477" s="37"/>
      <c r="R477" s="37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</row>
    <row r="478" spans="1:33" x14ac:dyDescent="0.2">
      <c r="A478" s="19"/>
      <c r="B478" s="19"/>
      <c r="C478" s="36"/>
      <c r="D478" s="20"/>
      <c r="E478" s="20"/>
      <c r="F478" s="20"/>
      <c r="G478" s="22"/>
      <c r="H478" s="22"/>
      <c r="I478" s="22"/>
      <c r="J478" s="20"/>
      <c r="K478" s="20"/>
      <c r="L478" s="20"/>
      <c r="M478" s="20"/>
      <c r="N478" s="37"/>
      <c r="O478" s="37"/>
      <c r="P478" s="37"/>
      <c r="Q478" s="37"/>
      <c r="R478" s="37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</row>
    <row r="479" spans="1:33" ht="12.75" x14ac:dyDescent="0.2">
      <c r="A479" s="11"/>
      <c r="B479" s="12" t="str">
        <f>"Input table 24 | "&amp;currentyear&amp;" prices - CONFIDENTIAL tariffs"</f>
        <v>Input table 24 | 2021–22 prices - CONFIDENTIAL tariffs</v>
      </c>
      <c r="C479" s="11"/>
      <c r="D479" s="32" t="str">
        <f>D5</f>
        <v>Tariff class</v>
      </c>
      <c r="E479" s="32" t="str">
        <f>tariffid1</f>
        <v>Code</v>
      </c>
      <c r="F479" s="32" t="str">
        <f>tariffid2</f>
        <v>Trans. Node</v>
      </c>
      <c r="G479" s="32" t="str">
        <f>tariffid3</f>
        <v>Other identifier</v>
      </c>
      <c r="H479" s="32"/>
      <c r="I479" s="183" t="str">
        <f t="shared" ref="I479:AB479" si="34">I5</f>
        <v>Service</v>
      </c>
      <c r="J479" s="183" t="str">
        <f t="shared" si="34"/>
        <v>All energy</v>
      </c>
      <c r="K479" s="183" t="str">
        <f t="shared" si="34"/>
        <v>Peak energy</v>
      </c>
      <c r="L479" s="183" t="str">
        <f t="shared" si="34"/>
        <v>Shoulder energy</v>
      </c>
      <c r="M479" s="183" t="str">
        <f t="shared" si="34"/>
        <v>Off-peak energy</v>
      </c>
      <c r="N479" s="183" t="str">
        <f t="shared" si="34"/>
        <v>All demand</v>
      </c>
      <c r="O479" s="183" t="str">
        <f t="shared" si="34"/>
        <v>Peak demand</v>
      </c>
      <c r="P479" s="183" t="str">
        <f t="shared" si="34"/>
        <v>Off-peak demand</v>
      </c>
      <c r="Q479" s="183" t="str">
        <f t="shared" si="34"/>
        <v>Specified demand</v>
      </c>
      <c r="R479" s="183" t="str">
        <f t="shared" si="34"/>
        <v>Excess daily demand</v>
      </c>
      <c r="S479" s="183" t="str">
        <f t="shared" si="34"/>
        <v>Daily demand connection</v>
      </c>
      <c r="T479" s="183" t="str">
        <f t="shared" si="34"/>
        <v>Excess daily demand connection</v>
      </c>
      <c r="U479" s="183" t="str">
        <f t="shared" si="34"/>
        <v>All demand (lamps)</v>
      </c>
      <c r="V479" s="183">
        <f t="shared" si="34"/>
        <v>0</v>
      </c>
      <c r="W479" s="183">
        <f t="shared" si="34"/>
        <v>0</v>
      </c>
      <c r="X479" s="183">
        <f t="shared" si="34"/>
        <v>0</v>
      </c>
      <c r="Y479" s="183">
        <f t="shared" si="34"/>
        <v>0</v>
      </c>
      <c r="Z479" s="183">
        <f t="shared" si="34"/>
        <v>0</v>
      </c>
      <c r="AA479" s="183">
        <f t="shared" si="34"/>
        <v>0</v>
      </c>
      <c r="AB479" s="183">
        <f t="shared" si="34"/>
        <v>0</v>
      </c>
      <c r="AC479" s="32"/>
      <c r="AD479" s="15"/>
      <c r="AE479" s="15"/>
      <c r="AF479" s="15"/>
      <c r="AG479" s="15"/>
    </row>
    <row r="480" spans="1:33" outlineLevel="1" x14ac:dyDescent="0.2">
      <c r="A480" s="19"/>
      <c r="B480" s="19"/>
      <c r="C480" s="36"/>
      <c r="D480" s="20"/>
      <c r="E480" s="20"/>
      <c r="F480" s="20"/>
      <c r="G480" s="22"/>
      <c r="H480" s="22"/>
      <c r="I480" s="170" t="str">
        <f t="shared" ref="I480:AB480" si="35">I6</f>
        <v>cents/day</v>
      </c>
      <c r="J480" s="170" t="str">
        <f t="shared" si="35"/>
        <v>cents/kWh</v>
      </c>
      <c r="K480" s="170" t="str">
        <f t="shared" si="35"/>
        <v>cents/kWh</v>
      </c>
      <c r="L480" s="170" t="str">
        <f t="shared" si="35"/>
        <v>cents/kWh</v>
      </c>
      <c r="M480" s="170" t="str">
        <f t="shared" si="35"/>
        <v>cents/kWh</v>
      </c>
      <c r="N480" s="170" t="str">
        <f t="shared" si="35"/>
        <v>cents/kVA</v>
      </c>
      <c r="O480" s="170" t="str">
        <f t="shared" si="35"/>
        <v>cents/kVA</v>
      </c>
      <c r="P480" s="170" t="str">
        <f t="shared" si="35"/>
        <v>cents/kVA</v>
      </c>
      <c r="Q480" s="170" t="str">
        <f t="shared" si="35"/>
        <v>cents/kVA</v>
      </c>
      <c r="R480" s="170" t="str">
        <f t="shared" si="35"/>
        <v>cents/kVA</v>
      </c>
      <c r="S480" s="170" t="str">
        <f t="shared" si="35"/>
        <v>cents/kVA</v>
      </c>
      <c r="T480" s="170" t="str">
        <f t="shared" si="35"/>
        <v>cents/kVA</v>
      </c>
      <c r="U480" s="170" t="str">
        <f t="shared" si="35"/>
        <v>cents/LmpWtts/day</v>
      </c>
      <c r="V480" s="170">
        <f t="shared" si="35"/>
        <v>0</v>
      </c>
      <c r="W480" s="170">
        <f t="shared" si="35"/>
        <v>0</v>
      </c>
      <c r="X480" s="170">
        <f t="shared" si="35"/>
        <v>0</v>
      </c>
      <c r="Y480" s="170">
        <f t="shared" si="35"/>
        <v>0</v>
      </c>
      <c r="Z480" s="170">
        <f t="shared" si="35"/>
        <v>0</v>
      </c>
      <c r="AA480" s="170">
        <f t="shared" si="35"/>
        <v>0</v>
      </c>
      <c r="AB480" s="170">
        <f t="shared" si="35"/>
        <v>0</v>
      </c>
      <c r="AC480" s="22"/>
      <c r="AD480" s="19"/>
      <c r="AE480" s="19"/>
      <c r="AF480" s="19"/>
      <c r="AG480" s="19"/>
    </row>
    <row r="481" spans="1:33" outlineLevel="1" x14ac:dyDescent="0.2">
      <c r="A481" s="19"/>
      <c r="B481" s="19"/>
      <c r="C481" s="167" t="str">
        <f>C7</f>
        <v>Distribution</v>
      </c>
      <c r="D481" s="20"/>
      <c r="E481" s="20"/>
      <c r="F481" s="20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19"/>
      <c r="AE481" s="19"/>
      <c r="AF481" s="19"/>
      <c r="AG481" s="19"/>
    </row>
    <row r="482" spans="1:33" s="612" customFormat="1" outlineLevel="2" x14ac:dyDescent="0.2">
      <c r="A482" s="606"/>
      <c r="B482" s="606"/>
      <c r="C482" s="607"/>
      <c r="D482" s="608"/>
      <c r="E482" s="608"/>
      <c r="F482" s="608"/>
      <c r="G482" s="608"/>
      <c r="H482" s="609"/>
      <c r="I482" s="660"/>
      <c r="J482" s="660"/>
      <c r="K482" s="660"/>
      <c r="L482" s="660"/>
      <c r="M482" s="660"/>
      <c r="N482" s="660"/>
      <c r="O482" s="660"/>
      <c r="P482" s="660"/>
      <c r="Q482" s="660"/>
      <c r="R482" s="660"/>
      <c r="S482" s="660"/>
      <c r="T482" s="660"/>
      <c r="U482" s="660"/>
      <c r="V482" s="660"/>
      <c r="W482" s="660"/>
      <c r="X482" s="660"/>
      <c r="Y482" s="660"/>
      <c r="Z482" s="660"/>
      <c r="AA482" s="660"/>
      <c r="AB482" s="660"/>
      <c r="AC482" s="661"/>
      <c r="AD482" s="606"/>
      <c r="AE482" s="606"/>
      <c r="AF482" s="606"/>
      <c r="AG482" s="606"/>
    </row>
    <row r="483" spans="1:33" s="612" customFormat="1" outlineLevel="2" x14ac:dyDescent="0.2">
      <c r="A483" s="606"/>
      <c r="B483" s="606"/>
      <c r="C483" s="607"/>
      <c r="D483" s="608"/>
      <c r="E483" s="608"/>
      <c r="F483" s="608"/>
      <c r="G483" s="608"/>
      <c r="H483" s="609"/>
      <c r="I483" s="660"/>
      <c r="J483" s="660"/>
      <c r="K483" s="660"/>
      <c r="L483" s="660"/>
      <c r="M483" s="660"/>
      <c r="N483" s="660"/>
      <c r="O483" s="660"/>
      <c r="P483" s="660"/>
      <c r="Q483" s="660"/>
      <c r="R483" s="660"/>
      <c r="S483" s="660"/>
      <c r="T483" s="660"/>
      <c r="U483" s="660"/>
      <c r="V483" s="660"/>
      <c r="W483" s="660"/>
      <c r="X483" s="660"/>
      <c r="Y483" s="660"/>
      <c r="Z483" s="660"/>
      <c r="AA483" s="660"/>
      <c r="AB483" s="660"/>
      <c r="AC483" s="661"/>
      <c r="AD483" s="606"/>
      <c r="AE483" s="606"/>
      <c r="AF483" s="606"/>
      <c r="AG483" s="606"/>
    </row>
    <row r="484" spans="1:33" s="612" customFormat="1" outlineLevel="2" x14ac:dyDescent="0.2">
      <c r="A484" s="606"/>
      <c r="B484" s="606"/>
      <c r="C484" s="607"/>
      <c r="D484" s="608"/>
      <c r="E484" s="608"/>
      <c r="F484" s="608"/>
      <c r="G484" s="608"/>
      <c r="H484" s="609"/>
      <c r="I484" s="660"/>
      <c r="J484" s="660"/>
      <c r="K484" s="660"/>
      <c r="L484" s="660"/>
      <c r="M484" s="660"/>
      <c r="N484" s="660"/>
      <c r="O484" s="660"/>
      <c r="P484" s="660"/>
      <c r="Q484" s="660"/>
      <c r="R484" s="660"/>
      <c r="S484" s="660"/>
      <c r="T484" s="660"/>
      <c r="U484" s="660"/>
      <c r="V484" s="660"/>
      <c r="W484" s="660"/>
      <c r="X484" s="660"/>
      <c r="Y484" s="660"/>
      <c r="Z484" s="660"/>
      <c r="AA484" s="660"/>
      <c r="AB484" s="660"/>
      <c r="AC484" s="661"/>
      <c r="AD484" s="606"/>
      <c r="AE484" s="606"/>
      <c r="AF484" s="606"/>
      <c r="AG484" s="606"/>
    </row>
    <row r="485" spans="1:33" s="612" customFormat="1" outlineLevel="2" x14ac:dyDescent="0.2">
      <c r="A485" s="606"/>
      <c r="B485" s="606"/>
      <c r="C485" s="607"/>
      <c r="D485" s="608"/>
      <c r="E485" s="608"/>
      <c r="F485" s="608"/>
      <c r="G485" s="608"/>
      <c r="H485" s="609"/>
      <c r="I485" s="660"/>
      <c r="J485" s="660"/>
      <c r="K485" s="660"/>
      <c r="L485" s="660"/>
      <c r="M485" s="660"/>
      <c r="N485" s="660"/>
      <c r="O485" s="660"/>
      <c r="P485" s="660"/>
      <c r="Q485" s="660"/>
      <c r="R485" s="660"/>
      <c r="S485" s="660"/>
      <c r="T485" s="660"/>
      <c r="U485" s="660"/>
      <c r="V485" s="660"/>
      <c r="W485" s="660"/>
      <c r="X485" s="660"/>
      <c r="Y485" s="660"/>
      <c r="Z485" s="660"/>
      <c r="AA485" s="660"/>
      <c r="AB485" s="660"/>
      <c r="AC485" s="661"/>
      <c r="AD485" s="606"/>
      <c r="AE485" s="606"/>
      <c r="AF485" s="606"/>
      <c r="AG485" s="606"/>
    </row>
    <row r="486" spans="1:33" s="612" customFormat="1" outlineLevel="2" x14ac:dyDescent="0.2">
      <c r="A486" s="606"/>
      <c r="B486" s="606"/>
      <c r="C486" s="607"/>
      <c r="D486" s="608"/>
      <c r="E486" s="608"/>
      <c r="F486" s="608"/>
      <c r="G486" s="608"/>
      <c r="H486" s="609"/>
      <c r="I486" s="660"/>
      <c r="J486" s="660"/>
      <c r="K486" s="660"/>
      <c r="L486" s="660"/>
      <c r="M486" s="660"/>
      <c r="N486" s="660"/>
      <c r="O486" s="660"/>
      <c r="P486" s="660"/>
      <c r="Q486" s="660"/>
      <c r="R486" s="660"/>
      <c r="S486" s="660"/>
      <c r="T486" s="660"/>
      <c r="U486" s="660"/>
      <c r="V486" s="660"/>
      <c r="W486" s="660"/>
      <c r="X486" s="660"/>
      <c r="Y486" s="660"/>
      <c r="Z486" s="660"/>
      <c r="AA486" s="660"/>
      <c r="AB486" s="660"/>
      <c r="AC486" s="661"/>
      <c r="AD486" s="606"/>
      <c r="AE486" s="606"/>
      <c r="AF486" s="606"/>
      <c r="AG486" s="606"/>
    </row>
    <row r="487" spans="1:33" s="612" customFormat="1" outlineLevel="2" x14ac:dyDescent="0.2">
      <c r="A487" s="606"/>
      <c r="B487" s="606"/>
      <c r="C487" s="607"/>
      <c r="D487" s="608"/>
      <c r="E487" s="608"/>
      <c r="F487" s="608"/>
      <c r="G487" s="608"/>
      <c r="H487" s="609"/>
      <c r="I487" s="660"/>
      <c r="J487" s="660"/>
      <c r="K487" s="660"/>
      <c r="L487" s="660"/>
      <c r="M487" s="660"/>
      <c r="N487" s="660"/>
      <c r="O487" s="660"/>
      <c r="P487" s="660"/>
      <c r="Q487" s="660"/>
      <c r="R487" s="660"/>
      <c r="S487" s="660"/>
      <c r="T487" s="660"/>
      <c r="U487" s="660"/>
      <c r="V487" s="660"/>
      <c r="W487" s="660"/>
      <c r="X487" s="660"/>
      <c r="Y487" s="660"/>
      <c r="Z487" s="660"/>
      <c r="AA487" s="660"/>
      <c r="AB487" s="660"/>
      <c r="AC487" s="661"/>
      <c r="AD487" s="606"/>
      <c r="AE487" s="606"/>
      <c r="AF487" s="606"/>
      <c r="AG487" s="606"/>
    </row>
    <row r="488" spans="1:33" s="612" customFormat="1" outlineLevel="2" x14ac:dyDescent="0.2">
      <c r="A488" s="606"/>
      <c r="B488" s="606"/>
      <c r="C488" s="607"/>
      <c r="D488" s="608"/>
      <c r="E488" s="608"/>
      <c r="F488" s="608"/>
      <c r="G488" s="608"/>
      <c r="H488" s="609"/>
      <c r="I488" s="660"/>
      <c r="J488" s="660"/>
      <c r="K488" s="660"/>
      <c r="L488" s="660"/>
      <c r="M488" s="660"/>
      <c r="N488" s="660"/>
      <c r="O488" s="660"/>
      <c r="P488" s="660"/>
      <c r="Q488" s="660"/>
      <c r="R488" s="660"/>
      <c r="S488" s="660"/>
      <c r="T488" s="660"/>
      <c r="U488" s="660"/>
      <c r="V488" s="660"/>
      <c r="W488" s="660"/>
      <c r="X488" s="660"/>
      <c r="Y488" s="660"/>
      <c r="Z488" s="660"/>
      <c r="AA488" s="660"/>
      <c r="AB488" s="660"/>
      <c r="AC488" s="661"/>
      <c r="AD488" s="606"/>
      <c r="AE488" s="606"/>
      <c r="AF488" s="606"/>
      <c r="AG488" s="606"/>
    </row>
    <row r="489" spans="1:33" s="612" customFormat="1" outlineLevel="2" x14ac:dyDescent="0.2">
      <c r="A489" s="606"/>
      <c r="B489" s="606"/>
      <c r="C489" s="607"/>
      <c r="D489" s="608"/>
      <c r="E489" s="608"/>
      <c r="F489" s="608"/>
      <c r="G489" s="608"/>
      <c r="H489" s="609"/>
      <c r="I489" s="660"/>
      <c r="J489" s="660"/>
      <c r="K489" s="660"/>
      <c r="L489" s="660"/>
      <c r="M489" s="660"/>
      <c r="N489" s="660"/>
      <c r="O489" s="660"/>
      <c r="P489" s="660"/>
      <c r="Q489" s="660"/>
      <c r="R489" s="660"/>
      <c r="S489" s="660"/>
      <c r="T489" s="660"/>
      <c r="U489" s="660"/>
      <c r="V489" s="660"/>
      <c r="W489" s="660"/>
      <c r="X489" s="660"/>
      <c r="Y489" s="660"/>
      <c r="Z489" s="660"/>
      <c r="AA489" s="660"/>
      <c r="AB489" s="660"/>
      <c r="AC489" s="661"/>
      <c r="AD489" s="606"/>
      <c r="AE489" s="606"/>
      <c r="AF489" s="606"/>
      <c r="AG489" s="606"/>
    </row>
    <row r="490" spans="1:33" s="612" customFormat="1" outlineLevel="2" x14ac:dyDescent="0.2">
      <c r="A490" s="606"/>
      <c r="B490" s="606"/>
      <c r="C490" s="607"/>
      <c r="D490" s="608"/>
      <c r="E490" s="608"/>
      <c r="F490" s="608"/>
      <c r="G490" s="608"/>
      <c r="H490" s="609"/>
      <c r="I490" s="660"/>
      <c r="J490" s="660"/>
      <c r="K490" s="660"/>
      <c r="L490" s="660"/>
      <c r="M490" s="660"/>
      <c r="N490" s="660"/>
      <c r="O490" s="660"/>
      <c r="P490" s="660"/>
      <c r="Q490" s="660"/>
      <c r="R490" s="660"/>
      <c r="S490" s="660"/>
      <c r="T490" s="660"/>
      <c r="U490" s="660"/>
      <c r="V490" s="660"/>
      <c r="W490" s="660"/>
      <c r="X490" s="660"/>
      <c r="Y490" s="660"/>
      <c r="Z490" s="660"/>
      <c r="AA490" s="660"/>
      <c r="AB490" s="660"/>
      <c r="AC490" s="661"/>
      <c r="AD490" s="606"/>
      <c r="AE490" s="606"/>
      <c r="AF490" s="606"/>
      <c r="AG490" s="606"/>
    </row>
    <row r="491" spans="1:33" s="612" customFormat="1" outlineLevel="2" x14ac:dyDescent="0.2">
      <c r="A491" s="606"/>
      <c r="B491" s="606"/>
      <c r="C491" s="607"/>
      <c r="D491" s="608"/>
      <c r="E491" s="608"/>
      <c r="F491" s="608"/>
      <c r="G491" s="608"/>
      <c r="H491" s="609"/>
      <c r="I491" s="660"/>
      <c r="J491" s="660"/>
      <c r="K491" s="660"/>
      <c r="L491" s="660"/>
      <c r="M491" s="660"/>
      <c r="N491" s="660"/>
      <c r="O491" s="660"/>
      <c r="P491" s="660"/>
      <c r="Q491" s="660"/>
      <c r="R491" s="660"/>
      <c r="S491" s="660"/>
      <c r="T491" s="660"/>
      <c r="U491" s="660"/>
      <c r="V491" s="660"/>
      <c r="W491" s="660"/>
      <c r="X491" s="660"/>
      <c r="Y491" s="660"/>
      <c r="Z491" s="660"/>
      <c r="AA491" s="660"/>
      <c r="AB491" s="660"/>
      <c r="AC491" s="661"/>
      <c r="AD491" s="606"/>
      <c r="AE491" s="606"/>
      <c r="AF491" s="606"/>
      <c r="AG491" s="606"/>
    </row>
    <row r="492" spans="1:33" s="612" customFormat="1" outlineLevel="2" x14ac:dyDescent="0.2">
      <c r="A492" s="606"/>
      <c r="B492" s="606"/>
      <c r="C492" s="607"/>
      <c r="D492" s="608"/>
      <c r="E492" s="608"/>
      <c r="F492" s="608"/>
      <c r="G492" s="608"/>
      <c r="H492" s="609"/>
      <c r="I492" s="660"/>
      <c r="J492" s="660"/>
      <c r="K492" s="660"/>
      <c r="L492" s="660"/>
      <c r="M492" s="660"/>
      <c r="N492" s="660"/>
      <c r="O492" s="660"/>
      <c r="P492" s="660"/>
      <c r="Q492" s="660"/>
      <c r="R492" s="660"/>
      <c r="S492" s="660"/>
      <c r="T492" s="660"/>
      <c r="U492" s="660"/>
      <c r="V492" s="660"/>
      <c r="W492" s="660"/>
      <c r="X492" s="660"/>
      <c r="Y492" s="660"/>
      <c r="Z492" s="660"/>
      <c r="AA492" s="660"/>
      <c r="AB492" s="660"/>
      <c r="AC492" s="661"/>
      <c r="AD492" s="606"/>
      <c r="AE492" s="606"/>
      <c r="AF492" s="606"/>
      <c r="AG492" s="606"/>
    </row>
    <row r="493" spans="1:33" s="612" customFormat="1" outlineLevel="2" x14ac:dyDescent="0.2">
      <c r="A493" s="606"/>
      <c r="B493" s="606"/>
      <c r="C493" s="607"/>
      <c r="D493" s="608"/>
      <c r="E493" s="608"/>
      <c r="F493" s="608"/>
      <c r="G493" s="608"/>
      <c r="H493" s="609"/>
      <c r="I493" s="660"/>
      <c r="J493" s="660"/>
      <c r="K493" s="660"/>
      <c r="L493" s="660"/>
      <c r="M493" s="660"/>
      <c r="N493" s="660"/>
      <c r="O493" s="660"/>
      <c r="P493" s="660"/>
      <c r="Q493" s="660"/>
      <c r="R493" s="660"/>
      <c r="S493" s="660"/>
      <c r="T493" s="660"/>
      <c r="U493" s="660"/>
      <c r="V493" s="660"/>
      <c r="W493" s="660"/>
      <c r="X493" s="660"/>
      <c r="Y493" s="660"/>
      <c r="Z493" s="660"/>
      <c r="AA493" s="660"/>
      <c r="AB493" s="660"/>
      <c r="AC493" s="661"/>
      <c r="AD493" s="606"/>
      <c r="AE493" s="606"/>
      <c r="AF493" s="606"/>
      <c r="AG493" s="606"/>
    </row>
    <row r="494" spans="1:33" s="612" customFormat="1" outlineLevel="2" x14ac:dyDescent="0.2">
      <c r="A494" s="606"/>
      <c r="B494" s="606"/>
      <c r="C494" s="607"/>
      <c r="D494" s="608"/>
      <c r="E494" s="608"/>
      <c r="F494" s="608"/>
      <c r="G494" s="608"/>
      <c r="H494" s="609"/>
      <c r="I494" s="660"/>
      <c r="J494" s="660"/>
      <c r="K494" s="660"/>
      <c r="L494" s="660"/>
      <c r="M494" s="660"/>
      <c r="N494" s="660"/>
      <c r="O494" s="660"/>
      <c r="P494" s="660"/>
      <c r="Q494" s="660"/>
      <c r="R494" s="660"/>
      <c r="S494" s="660"/>
      <c r="T494" s="660"/>
      <c r="U494" s="660"/>
      <c r="V494" s="660"/>
      <c r="W494" s="660"/>
      <c r="X494" s="660"/>
      <c r="Y494" s="660"/>
      <c r="Z494" s="660"/>
      <c r="AA494" s="660"/>
      <c r="AB494" s="660"/>
      <c r="AC494" s="661"/>
      <c r="AD494" s="606"/>
      <c r="AE494" s="606"/>
      <c r="AF494" s="606"/>
      <c r="AG494" s="606"/>
    </row>
    <row r="495" spans="1:33" s="612" customFormat="1" outlineLevel="2" x14ac:dyDescent="0.2">
      <c r="A495" s="606"/>
      <c r="B495" s="606"/>
      <c r="C495" s="607"/>
      <c r="D495" s="608"/>
      <c r="E495" s="608"/>
      <c r="F495" s="608"/>
      <c r="G495" s="608"/>
      <c r="H495" s="609"/>
      <c r="I495" s="660"/>
      <c r="J495" s="660"/>
      <c r="K495" s="660"/>
      <c r="L495" s="660"/>
      <c r="M495" s="660"/>
      <c r="N495" s="660"/>
      <c r="O495" s="660"/>
      <c r="P495" s="660"/>
      <c r="Q495" s="660"/>
      <c r="R495" s="660"/>
      <c r="S495" s="660"/>
      <c r="T495" s="660"/>
      <c r="U495" s="660"/>
      <c r="V495" s="660"/>
      <c r="W495" s="660"/>
      <c r="X495" s="660"/>
      <c r="Y495" s="660"/>
      <c r="Z495" s="660"/>
      <c r="AA495" s="660"/>
      <c r="AB495" s="660"/>
      <c r="AC495" s="661"/>
      <c r="AD495" s="606"/>
      <c r="AE495" s="606"/>
      <c r="AF495" s="606"/>
      <c r="AG495" s="606"/>
    </row>
    <row r="496" spans="1:33" s="612" customFormat="1" outlineLevel="2" x14ac:dyDescent="0.2">
      <c r="A496" s="606"/>
      <c r="B496" s="606"/>
      <c r="C496" s="607"/>
      <c r="D496" s="608"/>
      <c r="E496" s="608"/>
      <c r="F496" s="608"/>
      <c r="G496" s="608"/>
      <c r="H496" s="609"/>
      <c r="I496" s="660"/>
      <c r="J496" s="660"/>
      <c r="K496" s="660"/>
      <c r="L496" s="660"/>
      <c r="M496" s="660"/>
      <c r="N496" s="660"/>
      <c r="O496" s="660"/>
      <c r="P496" s="660"/>
      <c r="Q496" s="660"/>
      <c r="R496" s="660"/>
      <c r="S496" s="660"/>
      <c r="T496" s="660"/>
      <c r="U496" s="660"/>
      <c r="V496" s="660"/>
      <c r="W496" s="660"/>
      <c r="X496" s="660"/>
      <c r="Y496" s="660"/>
      <c r="Z496" s="660"/>
      <c r="AA496" s="660"/>
      <c r="AB496" s="660"/>
      <c r="AC496" s="661"/>
      <c r="AD496" s="606"/>
      <c r="AE496" s="606"/>
      <c r="AF496" s="606"/>
      <c r="AG496" s="606"/>
    </row>
    <row r="497" spans="1:33" s="612" customFormat="1" outlineLevel="2" x14ac:dyDescent="0.2">
      <c r="A497" s="606"/>
      <c r="B497" s="606"/>
      <c r="C497" s="607"/>
      <c r="D497" s="608"/>
      <c r="E497" s="608"/>
      <c r="F497" s="608"/>
      <c r="G497" s="608"/>
      <c r="H497" s="609"/>
      <c r="I497" s="660"/>
      <c r="J497" s="660"/>
      <c r="K497" s="660"/>
      <c r="L497" s="660"/>
      <c r="M497" s="660"/>
      <c r="N497" s="660"/>
      <c r="O497" s="660"/>
      <c r="P497" s="660"/>
      <c r="Q497" s="660"/>
      <c r="R497" s="660"/>
      <c r="S497" s="660"/>
      <c r="T497" s="660"/>
      <c r="U497" s="660"/>
      <c r="V497" s="660"/>
      <c r="W497" s="660"/>
      <c r="X497" s="660"/>
      <c r="Y497" s="660"/>
      <c r="Z497" s="660"/>
      <c r="AA497" s="660"/>
      <c r="AB497" s="660"/>
      <c r="AC497" s="661"/>
      <c r="AD497" s="606"/>
      <c r="AE497" s="606"/>
      <c r="AF497" s="606"/>
      <c r="AG497" s="606"/>
    </row>
    <row r="498" spans="1:33" s="612" customFormat="1" outlineLevel="2" x14ac:dyDescent="0.2">
      <c r="A498" s="606"/>
      <c r="B498" s="606"/>
      <c r="C498" s="607"/>
      <c r="D498" s="608"/>
      <c r="E498" s="608"/>
      <c r="F498" s="608"/>
      <c r="G498" s="608"/>
      <c r="H498" s="609"/>
      <c r="I498" s="660"/>
      <c r="J498" s="660"/>
      <c r="K498" s="660"/>
      <c r="L498" s="660"/>
      <c r="M498" s="660"/>
      <c r="N498" s="660"/>
      <c r="O498" s="660"/>
      <c r="P498" s="660"/>
      <c r="Q498" s="660"/>
      <c r="R498" s="660"/>
      <c r="S498" s="660"/>
      <c r="T498" s="660"/>
      <c r="U498" s="660"/>
      <c r="V498" s="660"/>
      <c r="W498" s="660"/>
      <c r="X498" s="660"/>
      <c r="Y498" s="660"/>
      <c r="Z498" s="660"/>
      <c r="AA498" s="660"/>
      <c r="AB498" s="660"/>
      <c r="AC498" s="661"/>
      <c r="AD498" s="606"/>
      <c r="AE498" s="606"/>
      <c r="AF498" s="606"/>
      <c r="AG498" s="606"/>
    </row>
    <row r="499" spans="1:33" s="612" customFormat="1" outlineLevel="2" x14ac:dyDescent="0.2">
      <c r="A499" s="606"/>
      <c r="B499" s="606"/>
      <c r="C499" s="607"/>
      <c r="D499" s="608"/>
      <c r="E499" s="608"/>
      <c r="F499" s="608"/>
      <c r="G499" s="608"/>
      <c r="H499" s="609"/>
      <c r="I499" s="660"/>
      <c r="J499" s="660"/>
      <c r="K499" s="660"/>
      <c r="L499" s="660"/>
      <c r="M499" s="660"/>
      <c r="N499" s="660"/>
      <c r="O499" s="660"/>
      <c r="P499" s="660"/>
      <c r="Q499" s="660"/>
      <c r="R499" s="660"/>
      <c r="S499" s="660"/>
      <c r="T499" s="660"/>
      <c r="U499" s="660"/>
      <c r="V499" s="660"/>
      <c r="W499" s="660"/>
      <c r="X499" s="660"/>
      <c r="Y499" s="660"/>
      <c r="Z499" s="660"/>
      <c r="AA499" s="660"/>
      <c r="AB499" s="660"/>
      <c r="AC499" s="661"/>
      <c r="AD499" s="606"/>
      <c r="AE499" s="606"/>
      <c r="AF499" s="606"/>
      <c r="AG499" s="606"/>
    </row>
    <row r="500" spans="1:33" s="612" customFormat="1" outlineLevel="2" x14ac:dyDescent="0.2">
      <c r="A500" s="606"/>
      <c r="B500" s="606"/>
      <c r="C500" s="607"/>
      <c r="D500" s="608"/>
      <c r="E500" s="608"/>
      <c r="F500" s="608"/>
      <c r="G500" s="608"/>
      <c r="H500" s="609"/>
      <c r="I500" s="660"/>
      <c r="J500" s="660"/>
      <c r="K500" s="660"/>
      <c r="L500" s="660"/>
      <c r="M500" s="660"/>
      <c r="N500" s="660"/>
      <c r="O500" s="660"/>
      <c r="P500" s="660"/>
      <c r="Q500" s="660"/>
      <c r="R500" s="660"/>
      <c r="S500" s="660"/>
      <c r="T500" s="660"/>
      <c r="U500" s="660"/>
      <c r="V500" s="660"/>
      <c r="W500" s="660"/>
      <c r="X500" s="660"/>
      <c r="Y500" s="660"/>
      <c r="Z500" s="660"/>
      <c r="AA500" s="660"/>
      <c r="AB500" s="660"/>
      <c r="AC500" s="661"/>
      <c r="AD500" s="606"/>
      <c r="AE500" s="606"/>
      <c r="AF500" s="606"/>
      <c r="AG500" s="606"/>
    </row>
    <row r="501" spans="1:33" s="612" customFormat="1" outlineLevel="2" x14ac:dyDescent="0.2">
      <c r="A501" s="606"/>
      <c r="B501" s="606"/>
      <c r="C501" s="607"/>
      <c r="D501" s="608"/>
      <c r="E501" s="608"/>
      <c r="F501" s="608"/>
      <c r="G501" s="608"/>
      <c r="H501" s="609"/>
      <c r="I501" s="660"/>
      <c r="J501" s="660"/>
      <c r="K501" s="660"/>
      <c r="L501" s="660"/>
      <c r="M501" s="660"/>
      <c r="N501" s="660"/>
      <c r="O501" s="660"/>
      <c r="P501" s="660"/>
      <c r="Q501" s="660"/>
      <c r="R501" s="660"/>
      <c r="S501" s="660"/>
      <c r="T501" s="660"/>
      <c r="U501" s="660"/>
      <c r="V501" s="660"/>
      <c r="W501" s="660"/>
      <c r="X501" s="660"/>
      <c r="Y501" s="660"/>
      <c r="Z501" s="660"/>
      <c r="AA501" s="660"/>
      <c r="AB501" s="660"/>
      <c r="AC501" s="661"/>
      <c r="AD501" s="606"/>
      <c r="AE501" s="606"/>
      <c r="AF501" s="606"/>
      <c r="AG501" s="606"/>
    </row>
    <row r="502" spans="1:33" s="612" customFormat="1" outlineLevel="2" x14ac:dyDescent="0.2">
      <c r="A502" s="606"/>
      <c r="B502" s="606"/>
      <c r="C502" s="607"/>
      <c r="D502" s="608"/>
      <c r="E502" s="608"/>
      <c r="F502" s="608"/>
      <c r="G502" s="608"/>
      <c r="H502" s="609"/>
      <c r="I502" s="660"/>
      <c r="J502" s="660"/>
      <c r="K502" s="660"/>
      <c r="L502" s="660"/>
      <c r="M502" s="660"/>
      <c r="N502" s="660"/>
      <c r="O502" s="660"/>
      <c r="P502" s="660"/>
      <c r="Q502" s="660"/>
      <c r="R502" s="660"/>
      <c r="S502" s="660"/>
      <c r="T502" s="660"/>
      <c r="U502" s="660"/>
      <c r="V502" s="660"/>
      <c r="W502" s="660"/>
      <c r="X502" s="660"/>
      <c r="Y502" s="660"/>
      <c r="Z502" s="660"/>
      <c r="AA502" s="660"/>
      <c r="AB502" s="660"/>
      <c r="AC502" s="661"/>
      <c r="AD502" s="606"/>
      <c r="AE502" s="606"/>
      <c r="AF502" s="606"/>
      <c r="AG502" s="606"/>
    </row>
    <row r="503" spans="1:33" s="612" customFormat="1" outlineLevel="2" x14ac:dyDescent="0.2">
      <c r="A503" s="606"/>
      <c r="B503" s="606"/>
      <c r="C503" s="607"/>
      <c r="D503" s="608"/>
      <c r="E503" s="608"/>
      <c r="F503" s="608"/>
      <c r="G503" s="608"/>
      <c r="H503" s="609"/>
      <c r="I503" s="660"/>
      <c r="J503" s="660"/>
      <c r="K503" s="660"/>
      <c r="L503" s="660"/>
      <c r="M503" s="660"/>
      <c r="N503" s="660"/>
      <c r="O503" s="660"/>
      <c r="P503" s="660"/>
      <c r="Q503" s="660"/>
      <c r="R503" s="660"/>
      <c r="S503" s="660"/>
      <c r="T503" s="660"/>
      <c r="U503" s="660"/>
      <c r="V503" s="660"/>
      <c r="W503" s="660"/>
      <c r="X503" s="660"/>
      <c r="Y503" s="660"/>
      <c r="Z503" s="660"/>
      <c r="AA503" s="660"/>
      <c r="AB503" s="660"/>
      <c r="AC503" s="661"/>
      <c r="AD503" s="606"/>
      <c r="AE503" s="606"/>
      <c r="AF503" s="606"/>
      <c r="AG503" s="606"/>
    </row>
    <row r="504" spans="1:33" s="612" customFormat="1" outlineLevel="2" x14ac:dyDescent="0.2">
      <c r="A504" s="606"/>
      <c r="B504" s="606"/>
      <c r="C504" s="607"/>
      <c r="D504" s="608"/>
      <c r="E504" s="608"/>
      <c r="F504" s="608"/>
      <c r="G504" s="608"/>
      <c r="H504" s="609"/>
      <c r="I504" s="660"/>
      <c r="J504" s="660"/>
      <c r="K504" s="660"/>
      <c r="L504" s="660"/>
      <c r="M504" s="660"/>
      <c r="N504" s="660"/>
      <c r="O504" s="660"/>
      <c r="P504" s="660"/>
      <c r="Q504" s="660"/>
      <c r="R504" s="660"/>
      <c r="S504" s="660"/>
      <c r="T504" s="660"/>
      <c r="U504" s="660"/>
      <c r="V504" s="660"/>
      <c r="W504" s="660"/>
      <c r="X504" s="660"/>
      <c r="Y504" s="660"/>
      <c r="Z504" s="660"/>
      <c r="AA504" s="660"/>
      <c r="AB504" s="660"/>
      <c r="AC504" s="661"/>
      <c r="AD504" s="606"/>
      <c r="AE504" s="606"/>
      <c r="AF504" s="606"/>
      <c r="AG504" s="606"/>
    </row>
    <row r="505" spans="1:33" s="612" customFormat="1" outlineLevel="2" x14ac:dyDescent="0.2">
      <c r="A505" s="606"/>
      <c r="B505" s="606"/>
      <c r="C505" s="607"/>
      <c r="D505" s="608"/>
      <c r="E505" s="608"/>
      <c r="F505" s="608"/>
      <c r="G505" s="608"/>
      <c r="H505" s="609"/>
      <c r="I505" s="660"/>
      <c r="J505" s="660"/>
      <c r="K505" s="660"/>
      <c r="L505" s="660"/>
      <c r="M505" s="660"/>
      <c r="N505" s="660"/>
      <c r="O505" s="660"/>
      <c r="P505" s="660"/>
      <c r="Q505" s="660"/>
      <c r="R505" s="660"/>
      <c r="S505" s="660"/>
      <c r="T505" s="660"/>
      <c r="U505" s="660"/>
      <c r="V505" s="660"/>
      <c r="W505" s="660"/>
      <c r="X505" s="660"/>
      <c r="Y505" s="660"/>
      <c r="Z505" s="660"/>
      <c r="AA505" s="660"/>
      <c r="AB505" s="660"/>
      <c r="AC505" s="661"/>
      <c r="AD505" s="606"/>
      <c r="AE505" s="606"/>
      <c r="AF505" s="606"/>
      <c r="AG505" s="606"/>
    </row>
    <row r="506" spans="1:33" s="612" customFormat="1" outlineLevel="2" x14ac:dyDescent="0.2">
      <c r="A506" s="606"/>
      <c r="B506" s="606"/>
      <c r="C506" s="607"/>
      <c r="D506" s="608"/>
      <c r="E506" s="608"/>
      <c r="F506" s="608"/>
      <c r="G506" s="608"/>
      <c r="H506" s="609"/>
      <c r="I506" s="660"/>
      <c r="J506" s="660"/>
      <c r="K506" s="660"/>
      <c r="L506" s="660"/>
      <c r="M506" s="660"/>
      <c r="N506" s="660"/>
      <c r="O506" s="660"/>
      <c r="P506" s="660"/>
      <c r="Q506" s="660"/>
      <c r="R506" s="660"/>
      <c r="S506" s="660"/>
      <c r="T506" s="660"/>
      <c r="U506" s="660"/>
      <c r="V506" s="660"/>
      <c r="W506" s="660"/>
      <c r="X506" s="660"/>
      <c r="Y506" s="660"/>
      <c r="Z506" s="660"/>
      <c r="AA506" s="660"/>
      <c r="AB506" s="660"/>
      <c r="AC506" s="661"/>
      <c r="AD506" s="606"/>
      <c r="AE506" s="606"/>
      <c r="AF506" s="606"/>
      <c r="AG506" s="606"/>
    </row>
    <row r="507" spans="1:33" s="612" customFormat="1" outlineLevel="2" x14ac:dyDescent="0.2">
      <c r="A507" s="606"/>
      <c r="B507" s="606"/>
      <c r="C507" s="607"/>
      <c r="D507" s="608"/>
      <c r="E507" s="608"/>
      <c r="F507" s="608"/>
      <c r="G507" s="608"/>
      <c r="H507" s="609"/>
      <c r="I507" s="660"/>
      <c r="J507" s="660"/>
      <c r="K507" s="660"/>
      <c r="L507" s="660"/>
      <c r="M507" s="660"/>
      <c r="N507" s="660"/>
      <c r="O507" s="660"/>
      <c r="P507" s="660"/>
      <c r="Q507" s="660"/>
      <c r="R507" s="660"/>
      <c r="S507" s="660"/>
      <c r="T507" s="660"/>
      <c r="U507" s="660"/>
      <c r="V507" s="660"/>
      <c r="W507" s="660"/>
      <c r="X507" s="660"/>
      <c r="Y507" s="660"/>
      <c r="Z507" s="660"/>
      <c r="AA507" s="660"/>
      <c r="AB507" s="660"/>
      <c r="AC507" s="661"/>
      <c r="AD507" s="606"/>
      <c r="AE507" s="606"/>
      <c r="AF507" s="606"/>
      <c r="AG507" s="606"/>
    </row>
    <row r="508" spans="1:33" s="612" customFormat="1" outlineLevel="2" x14ac:dyDescent="0.2">
      <c r="A508" s="606"/>
      <c r="B508" s="606"/>
      <c r="C508" s="607"/>
      <c r="D508" s="608"/>
      <c r="E508" s="608"/>
      <c r="F508" s="608"/>
      <c r="G508" s="608"/>
      <c r="H508" s="609"/>
      <c r="I508" s="660"/>
      <c r="J508" s="660"/>
      <c r="K508" s="660"/>
      <c r="L508" s="660"/>
      <c r="M508" s="660"/>
      <c r="N508" s="660"/>
      <c r="O508" s="660"/>
      <c r="P508" s="660"/>
      <c r="Q508" s="660"/>
      <c r="R508" s="660"/>
      <c r="S508" s="660"/>
      <c r="T508" s="660"/>
      <c r="U508" s="660"/>
      <c r="V508" s="660"/>
      <c r="W508" s="660"/>
      <c r="X508" s="660"/>
      <c r="Y508" s="660"/>
      <c r="Z508" s="660"/>
      <c r="AA508" s="660"/>
      <c r="AB508" s="660"/>
      <c r="AC508" s="661"/>
      <c r="AD508" s="606"/>
      <c r="AE508" s="606"/>
      <c r="AF508" s="606"/>
      <c r="AG508" s="606"/>
    </row>
    <row r="509" spans="1:33" s="612" customFormat="1" outlineLevel="2" x14ac:dyDescent="0.2">
      <c r="A509" s="606"/>
      <c r="B509" s="606"/>
      <c r="C509" s="607"/>
      <c r="D509" s="608"/>
      <c r="E509" s="608"/>
      <c r="F509" s="608"/>
      <c r="G509" s="608"/>
      <c r="H509" s="609"/>
      <c r="I509" s="660"/>
      <c r="J509" s="660"/>
      <c r="K509" s="660"/>
      <c r="L509" s="660"/>
      <c r="M509" s="660"/>
      <c r="N509" s="660"/>
      <c r="O509" s="660"/>
      <c r="P509" s="660"/>
      <c r="Q509" s="660"/>
      <c r="R509" s="660"/>
      <c r="S509" s="660"/>
      <c r="T509" s="660"/>
      <c r="U509" s="660"/>
      <c r="V509" s="660"/>
      <c r="W509" s="660"/>
      <c r="X509" s="660"/>
      <c r="Y509" s="660"/>
      <c r="Z509" s="660"/>
      <c r="AA509" s="660"/>
      <c r="AB509" s="660"/>
      <c r="AC509" s="661"/>
      <c r="AD509" s="606"/>
      <c r="AE509" s="606"/>
      <c r="AF509" s="606"/>
      <c r="AG509" s="606"/>
    </row>
    <row r="510" spans="1:33" s="612" customFormat="1" outlineLevel="2" x14ac:dyDescent="0.2">
      <c r="A510" s="606"/>
      <c r="B510" s="606"/>
      <c r="C510" s="607"/>
      <c r="D510" s="608"/>
      <c r="E510" s="608"/>
      <c r="F510" s="608"/>
      <c r="G510" s="608"/>
      <c r="H510" s="609"/>
      <c r="I510" s="660"/>
      <c r="J510" s="660"/>
      <c r="K510" s="660"/>
      <c r="L510" s="660"/>
      <c r="M510" s="660"/>
      <c r="N510" s="660"/>
      <c r="O510" s="660"/>
      <c r="P510" s="660"/>
      <c r="Q510" s="660"/>
      <c r="R510" s="660"/>
      <c r="S510" s="660"/>
      <c r="T510" s="660"/>
      <c r="U510" s="660"/>
      <c r="V510" s="660"/>
      <c r="W510" s="660"/>
      <c r="X510" s="660"/>
      <c r="Y510" s="660"/>
      <c r="Z510" s="660"/>
      <c r="AA510" s="660"/>
      <c r="AB510" s="660"/>
      <c r="AC510" s="661"/>
      <c r="AD510" s="606"/>
      <c r="AE510" s="606"/>
      <c r="AF510" s="606"/>
      <c r="AG510" s="606"/>
    </row>
    <row r="511" spans="1:33" s="612" customFormat="1" outlineLevel="2" x14ac:dyDescent="0.2">
      <c r="A511" s="606"/>
      <c r="B511" s="606"/>
      <c r="C511" s="607"/>
      <c r="D511" s="608"/>
      <c r="E511" s="608"/>
      <c r="F511" s="608"/>
      <c r="G511" s="608"/>
      <c r="H511" s="609"/>
      <c r="I511" s="660"/>
      <c r="J511" s="660"/>
      <c r="K511" s="660"/>
      <c r="L511" s="660"/>
      <c r="M511" s="660"/>
      <c r="N511" s="660"/>
      <c r="O511" s="660"/>
      <c r="P511" s="660"/>
      <c r="Q511" s="660"/>
      <c r="R511" s="660"/>
      <c r="S511" s="660"/>
      <c r="T511" s="660"/>
      <c r="U511" s="660"/>
      <c r="V511" s="660"/>
      <c r="W511" s="660"/>
      <c r="X511" s="660"/>
      <c r="Y511" s="660"/>
      <c r="Z511" s="660"/>
      <c r="AA511" s="660"/>
      <c r="AB511" s="660"/>
      <c r="AC511" s="661"/>
      <c r="AD511" s="606"/>
      <c r="AE511" s="606"/>
      <c r="AF511" s="606"/>
      <c r="AG511" s="606"/>
    </row>
    <row r="512" spans="1:33" s="612" customFormat="1" outlineLevel="2" x14ac:dyDescent="0.2">
      <c r="A512" s="606"/>
      <c r="B512" s="606"/>
      <c r="C512" s="607"/>
      <c r="D512" s="608"/>
      <c r="E512" s="608"/>
      <c r="F512" s="608"/>
      <c r="G512" s="608"/>
      <c r="H512" s="609"/>
      <c r="I512" s="660"/>
      <c r="J512" s="660"/>
      <c r="K512" s="660"/>
      <c r="L512" s="660"/>
      <c r="M512" s="660"/>
      <c r="N512" s="660"/>
      <c r="O512" s="660"/>
      <c r="P512" s="660"/>
      <c r="Q512" s="660"/>
      <c r="R512" s="660"/>
      <c r="S512" s="660"/>
      <c r="T512" s="660"/>
      <c r="U512" s="660"/>
      <c r="V512" s="660"/>
      <c r="W512" s="660"/>
      <c r="X512" s="660"/>
      <c r="Y512" s="660"/>
      <c r="Z512" s="660"/>
      <c r="AA512" s="660"/>
      <c r="AB512" s="660"/>
      <c r="AC512" s="661"/>
      <c r="AD512" s="606"/>
      <c r="AE512" s="606"/>
      <c r="AF512" s="606"/>
      <c r="AG512" s="606"/>
    </row>
    <row r="513" spans="1:33" s="612" customFormat="1" outlineLevel="2" x14ac:dyDescent="0.2">
      <c r="A513" s="606"/>
      <c r="B513" s="606"/>
      <c r="C513" s="607"/>
      <c r="D513" s="608"/>
      <c r="E513" s="608"/>
      <c r="F513" s="608"/>
      <c r="G513" s="608"/>
      <c r="H513" s="609"/>
      <c r="I513" s="660"/>
      <c r="J513" s="660"/>
      <c r="K513" s="660"/>
      <c r="L513" s="660"/>
      <c r="M513" s="660"/>
      <c r="N513" s="660"/>
      <c r="O513" s="660"/>
      <c r="P513" s="660"/>
      <c r="Q513" s="660"/>
      <c r="R513" s="660"/>
      <c r="S513" s="660"/>
      <c r="T513" s="660"/>
      <c r="U513" s="660"/>
      <c r="V513" s="660"/>
      <c r="W513" s="660"/>
      <c r="X513" s="660"/>
      <c r="Y513" s="660"/>
      <c r="Z513" s="660"/>
      <c r="AA513" s="660"/>
      <c r="AB513" s="660"/>
      <c r="AC513" s="661"/>
      <c r="AD513" s="606"/>
      <c r="AE513" s="606"/>
      <c r="AF513" s="606"/>
      <c r="AG513" s="606"/>
    </row>
    <row r="514" spans="1:33" s="612" customFormat="1" hidden="1" outlineLevel="3" x14ac:dyDescent="0.2">
      <c r="A514" s="606"/>
      <c r="B514" s="606"/>
      <c r="C514" s="607"/>
      <c r="D514" s="608"/>
      <c r="E514" s="608"/>
      <c r="F514" s="608"/>
      <c r="G514" s="608"/>
      <c r="H514" s="609"/>
      <c r="I514" s="660"/>
      <c r="J514" s="660"/>
      <c r="K514" s="660"/>
      <c r="L514" s="660"/>
      <c r="M514" s="660"/>
      <c r="N514" s="660"/>
      <c r="O514" s="660"/>
      <c r="P514" s="660"/>
      <c r="Q514" s="660"/>
      <c r="R514" s="660"/>
      <c r="S514" s="660"/>
      <c r="T514" s="660"/>
      <c r="U514" s="660"/>
      <c r="V514" s="660"/>
      <c r="W514" s="660"/>
      <c r="X514" s="660"/>
      <c r="Y514" s="660"/>
      <c r="Z514" s="660"/>
      <c r="AA514" s="660"/>
      <c r="AB514" s="660"/>
      <c r="AC514" s="661"/>
      <c r="AD514" s="606"/>
      <c r="AE514" s="606"/>
      <c r="AF514" s="606"/>
      <c r="AG514" s="606"/>
    </row>
    <row r="515" spans="1:33" s="612" customFormat="1" hidden="1" outlineLevel="3" x14ac:dyDescent="0.2">
      <c r="A515" s="606"/>
      <c r="B515" s="606"/>
      <c r="C515" s="607"/>
      <c r="D515" s="608"/>
      <c r="E515" s="608"/>
      <c r="F515" s="608"/>
      <c r="G515" s="608"/>
      <c r="H515" s="609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1"/>
      <c r="AD515" s="606"/>
      <c r="AE515" s="606"/>
      <c r="AF515" s="606"/>
      <c r="AG515" s="606"/>
    </row>
    <row r="516" spans="1:33" s="612" customFormat="1" hidden="1" outlineLevel="3" x14ac:dyDescent="0.2">
      <c r="A516" s="606"/>
      <c r="B516" s="606"/>
      <c r="C516" s="607"/>
      <c r="D516" s="608"/>
      <c r="E516" s="608"/>
      <c r="F516" s="608"/>
      <c r="G516" s="608"/>
      <c r="H516" s="609"/>
      <c r="I516" s="660"/>
      <c r="J516" s="660"/>
      <c r="K516" s="660"/>
      <c r="L516" s="660"/>
      <c r="M516" s="660"/>
      <c r="N516" s="660"/>
      <c r="O516" s="660"/>
      <c r="P516" s="660"/>
      <c r="Q516" s="660"/>
      <c r="R516" s="660"/>
      <c r="S516" s="660"/>
      <c r="T516" s="660"/>
      <c r="U516" s="660"/>
      <c r="V516" s="660"/>
      <c r="W516" s="660"/>
      <c r="X516" s="660"/>
      <c r="Y516" s="660"/>
      <c r="Z516" s="660"/>
      <c r="AA516" s="660"/>
      <c r="AB516" s="660"/>
      <c r="AC516" s="661"/>
      <c r="AD516" s="606"/>
      <c r="AE516" s="606"/>
      <c r="AF516" s="606"/>
      <c r="AG516" s="606"/>
    </row>
    <row r="517" spans="1:33" s="612" customFormat="1" hidden="1" outlineLevel="3" x14ac:dyDescent="0.2">
      <c r="A517" s="606"/>
      <c r="B517" s="606"/>
      <c r="C517" s="607"/>
      <c r="D517" s="608"/>
      <c r="E517" s="608"/>
      <c r="F517" s="608"/>
      <c r="G517" s="608"/>
      <c r="H517" s="609"/>
      <c r="I517" s="660"/>
      <c r="J517" s="660"/>
      <c r="K517" s="660"/>
      <c r="L517" s="660"/>
      <c r="M517" s="660"/>
      <c r="N517" s="660"/>
      <c r="O517" s="660"/>
      <c r="P517" s="660"/>
      <c r="Q517" s="660"/>
      <c r="R517" s="660"/>
      <c r="S517" s="660"/>
      <c r="T517" s="660"/>
      <c r="U517" s="660"/>
      <c r="V517" s="660"/>
      <c r="W517" s="660"/>
      <c r="X517" s="660"/>
      <c r="Y517" s="660"/>
      <c r="Z517" s="660"/>
      <c r="AA517" s="660"/>
      <c r="AB517" s="660"/>
      <c r="AC517" s="661"/>
      <c r="AD517" s="606"/>
      <c r="AE517" s="606"/>
      <c r="AF517" s="606"/>
      <c r="AG517" s="606"/>
    </row>
    <row r="518" spans="1:33" s="612" customFormat="1" hidden="1" outlineLevel="3" x14ac:dyDescent="0.2">
      <c r="A518" s="606"/>
      <c r="B518" s="606"/>
      <c r="C518" s="607"/>
      <c r="D518" s="608"/>
      <c r="E518" s="608"/>
      <c r="F518" s="608"/>
      <c r="G518" s="608"/>
      <c r="H518" s="609"/>
      <c r="I518" s="660"/>
      <c r="J518" s="660"/>
      <c r="K518" s="660"/>
      <c r="L518" s="660"/>
      <c r="M518" s="660"/>
      <c r="N518" s="660"/>
      <c r="O518" s="660"/>
      <c r="P518" s="660"/>
      <c r="Q518" s="660"/>
      <c r="R518" s="660"/>
      <c r="S518" s="660"/>
      <c r="T518" s="660"/>
      <c r="U518" s="660"/>
      <c r="V518" s="660"/>
      <c r="W518" s="660"/>
      <c r="X518" s="660"/>
      <c r="Y518" s="660"/>
      <c r="Z518" s="660"/>
      <c r="AA518" s="660"/>
      <c r="AB518" s="660"/>
      <c r="AC518" s="661"/>
      <c r="AD518" s="606"/>
      <c r="AE518" s="606"/>
      <c r="AF518" s="606"/>
      <c r="AG518" s="606"/>
    </row>
    <row r="519" spans="1:33" s="612" customFormat="1" hidden="1" outlineLevel="3" x14ac:dyDescent="0.2">
      <c r="A519" s="606"/>
      <c r="B519" s="606"/>
      <c r="C519" s="607"/>
      <c r="D519" s="608"/>
      <c r="E519" s="608"/>
      <c r="F519" s="608"/>
      <c r="G519" s="608"/>
      <c r="H519" s="609"/>
      <c r="I519" s="660"/>
      <c r="J519" s="660"/>
      <c r="K519" s="660"/>
      <c r="L519" s="660"/>
      <c r="M519" s="660"/>
      <c r="N519" s="660"/>
      <c r="O519" s="660"/>
      <c r="P519" s="660"/>
      <c r="Q519" s="660"/>
      <c r="R519" s="660"/>
      <c r="S519" s="660"/>
      <c r="T519" s="660"/>
      <c r="U519" s="660"/>
      <c r="V519" s="660"/>
      <c r="W519" s="660"/>
      <c r="X519" s="660"/>
      <c r="Y519" s="660"/>
      <c r="Z519" s="660"/>
      <c r="AA519" s="660"/>
      <c r="AB519" s="660"/>
      <c r="AC519" s="661"/>
      <c r="AD519" s="606"/>
      <c r="AE519" s="606"/>
      <c r="AF519" s="606"/>
      <c r="AG519" s="606"/>
    </row>
    <row r="520" spans="1:33" s="612" customFormat="1" hidden="1" outlineLevel="3" x14ac:dyDescent="0.2">
      <c r="A520" s="606"/>
      <c r="B520" s="606"/>
      <c r="C520" s="607"/>
      <c r="D520" s="608"/>
      <c r="E520" s="608"/>
      <c r="F520" s="608"/>
      <c r="G520" s="608"/>
      <c r="H520" s="609"/>
      <c r="I520" s="660"/>
      <c r="J520" s="660"/>
      <c r="K520" s="660"/>
      <c r="L520" s="660"/>
      <c r="M520" s="660"/>
      <c r="N520" s="660"/>
      <c r="O520" s="660"/>
      <c r="P520" s="660"/>
      <c r="Q520" s="660"/>
      <c r="R520" s="660"/>
      <c r="S520" s="660"/>
      <c r="T520" s="660"/>
      <c r="U520" s="660"/>
      <c r="V520" s="660"/>
      <c r="W520" s="660"/>
      <c r="X520" s="660"/>
      <c r="Y520" s="660"/>
      <c r="Z520" s="660"/>
      <c r="AA520" s="660"/>
      <c r="AB520" s="660"/>
      <c r="AC520" s="661"/>
      <c r="AD520" s="606"/>
      <c r="AE520" s="606"/>
      <c r="AF520" s="606"/>
      <c r="AG520" s="606"/>
    </row>
    <row r="521" spans="1:33" s="612" customFormat="1" hidden="1" outlineLevel="3" x14ac:dyDescent="0.2">
      <c r="A521" s="606"/>
      <c r="B521" s="606"/>
      <c r="C521" s="607"/>
      <c r="D521" s="608"/>
      <c r="E521" s="608"/>
      <c r="F521" s="608"/>
      <c r="G521" s="608"/>
      <c r="H521" s="609"/>
      <c r="I521" s="660"/>
      <c r="J521" s="660"/>
      <c r="K521" s="660"/>
      <c r="L521" s="660"/>
      <c r="M521" s="660"/>
      <c r="N521" s="660"/>
      <c r="O521" s="660"/>
      <c r="P521" s="660"/>
      <c r="Q521" s="660"/>
      <c r="R521" s="660"/>
      <c r="S521" s="660"/>
      <c r="T521" s="660"/>
      <c r="U521" s="660"/>
      <c r="V521" s="660"/>
      <c r="W521" s="660"/>
      <c r="X521" s="660"/>
      <c r="Y521" s="660"/>
      <c r="Z521" s="660"/>
      <c r="AA521" s="660"/>
      <c r="AB521" s="660"/>
      <c r="AC521" s="661"/>
      <c r="AD521" s="606"/>
      <c r="AE521" s="606"/>
      <c r="AF521" s="606"/>
      <c r="AG521" s="606"/>
    </row>
    <row r="522" spans="1:33" s="612" customFormat="1" hidden="1" outlineLevel="3" x14ac:dyDescent="0.2">
      <c r="A522" s="606"/>
      <c r="B522" s="606"/>
      <c r="C522" s="607"/>
      <c r="D522" s="608"/>
      <c r="E522" s="608"/>
      <c r="F522" s="608"/>
      <c r="G522" s="608"/>
      <c r="H522" s="609"/>
      <c r="I522" s="660"/>
      <c r="J522" s="660"/>
      <c r="K522" s="660"/>
      <c r="L522" s="660"/>
      <c r="M522" s="660"/>
      <c r="N522" s="660"/>
      <c r="O522" s="660"/>
      <c r="P522" s="660"/>
      <c r="Q522" s="660"/>
      <c r="R522" s="660"/>
      <c r="S522" s="660"/>
      <c r="T522" s="660"/>
      <c r="U522" s="660"/>
      <c r="V522" s="660"/>
      <c r="W522" s="660"/>
      <c r="X522" s="660"/>
      <c r="Y522" s="660"/>
      <c r="Z522" s="660"/>
      <c r="AA522" s="660"/>
      <c r="AB522" s="660"/>
      <c r="AC522" s="661"/>
      <c r="AD522" s="606"/>
      <c r="AE522" s="606"/>
      <c r="AF522" s="606"/>
      <c r="AG522" s="606"/>
    </row>
    <row r="523" spans="1:33" s="612" customFormat="1" hidden="1" outlineLevel="3" x14ac:dyDescent="0.2">
      <c r="A523" s="606"/>
      <c r="B523" s="606"/>
      <c r="C523" s="607"/>
      <c r="D523" s="608"/>
      <c r="E523" s="608"/>
      <c r="F523" s="608"/>
      <c r="G523" s="608"/>
      <c r="H523" s="609"/>
      <c r="I523" s="660"/>
      <c r="J523" s="660"/>
      <c r="K523" s="660"/>
      <c r="L523" s="660"/>
      <c r="M523" s="660"/>
      <c r="N523" s="660"/>
      <c r="O523" s="660"/>
      <c r="P523" s="660"/>
      <c r="Q523" s="660"/>
      <c r="R523" s="660"/>
      <c r="S523" s="660"/>
      <c r="T523" s="660"/>
      <c r="U523" s="660"/>
      <c r="V523" s="660"/>
      <c r="W523" s="660"/>
      <c r="X523" s="660"/>
      <c r="Y523" s="660"/>
      <c r="Z523" s="660"/>
      <c r="AA523" s="660"/>
      <c r="AB523" s="660"/>
      <c r="AC523" s="661"/>
      <c r="AD523" s="606"/>
      <c r="AE523" s="606"/>
      <c r="AF523" s="606"/>
      <c r="AG523" s="606"/>
    </row>
    <row r="524" spans="1:33" s="612" customFormat="1" hidden="1" outlineLevel="3" x14ac:dyDescent="0.2">
      <c r="A524" s="606"/>
      <c r="B524" s="606"/>
      <c r="C524" s="607"/>
      <c r="D524" s="608"/>
      <c r="E524" s="608"/>
      <c r="F524" s="608"/>
      <c r="G524" s="608"/>
      <c r="H524" s="609"/>
      <c r="I524" s="660"/>
      <c r="J524" s="660"/>
      <c r="K524" s="660"/>
      <c r="L524" s="660"/>
      <c r="M524" s="660"/>
      <c r="N524" s="660"/>
      <c r="O524" s="660"/>
      <c r="P524" s="660"/>
      <c r="Q524" s="660"/>
      <c r="R524" s="660"/>
      <c r="S524" s="660"/>
      <c r="T524" s="660"/>
      <c r="U524" s="660"/>
      <c r="V524" s="660"/>
      <c r="W524" s="660"/>
      <c r="X524" s="660"/>
      <c r="Y524" s="660"/>
      <c r="Z524" s="660"/>
      <c r="AA524" s="660"/>
      <c r="AB524" s="660"/>
      <c r="AC524" s="661"/>
      <c r="AD524" s="606"/>
      <c r="AE524" s="606"/>
      <c r="AF524" s="606"/>
      <c r="AG524" s="606"/>
    </row>
    <row r="525" spans="1:33" s="612" customFormat="1" hidden="1" outlineLevel="3" x14ac:dyDescent="0.2">
      <c r="A525" s="606"/>
      <c r="B525" s="606"/>
      <c r="C525" s="607"/>
      <c r="D525" s="608"/>
      <c r="E525" s="608"/>
      <c r="F525" s="608"/>
      <c r="G525" s="608"/>
      <c r="H525" s="609"/>
      <c r="I525" s="660"/>
      <c r="J525" s="660"/>
      <c r="K525" s="660"/>
      <c r="L525" s="660"/>
      <c r="M525" s="660"/>
      <c r="N525" s="660"/>
      <c r="O525" s="660"/>
      <c r="P525" s="660"/>
      <c r="Q525" s="660"/>
      <c r="R525" s="660"/>
      <c r="S525" s="660"/>
      <c r="T525" s="660"/>
      <c r="U525" s="660"/>
      <c r="V525" s="660"/>
      <c r="W525" s="660"/>
      <c r="X525" s="660"/>
      <c r="Y525" s="660"/>
      <c r="Z525" s="660"/>
      <c r="AA525" s="660"/>
      <c r="AB525" s="660"/>
      <c r="AC525" s="661"/>
      <c r="AD525" s="606"/>
      <c r="AE525" s="606"/>
      <c r="AF525" s="606"/>
      <c r="AG525" s="606"/>
    </row>
    <row r="526" spans="1:33" s="612" customFormat="1" hidden="1" outlineLevel="3" x14ac:dyDescent="0.2">
      <c r="A526" s="606"/>
      <c r="B526" s="606"/>
      <c r="C526" s="607"/>
      <c r="D526" s="608"/>
      <c r="E526" s="608"/>
      <c r="F526" s="608"/>
      <c r="G526" s="608"/>
      <c r="H526" s="609"/>
      <c r="I526" s="660"/>
      <c r="J526" s="660"/>
      <c r="K526" s="660"/>
      <c r="L526" s="660"/>
      <c r="M526" s="660"/>
      <c r="N526" s="660"/>
      <c r="O526" s="660"/>
      <c r="P526" s="660"/>
      <c r="Q526" s="660"/>
      <c r="R526" s="660"/>
      <c r="S526" s="660"/>
      <c r="T526" s="660"/>
      <c r="U526" s="660"/>
      <c r="V526" s="660"/>
      <c r="W526" s="660"/>
      <c r="X526" s="660"/>
      <c r="Y526" s="660"/>
      <c r="Z526" s="660"/>
      <c r="AA526" s="660"/>
      <c r="AB526" s="660"/>
      <c r="AC526" s="661"/>
      <c r="AD526" s="606"/>
      <c r="AE526" s="606"/>
      <c r="AF526" s="606"/>
      <c r="AG526" s="606"/>
    </row>
    <row r="527" spans="1:33" s="612" customFormat="1" hidden="1" outlineLevel="3" x14ac:dyDescent="0.2">
      <c r="A527" s="606"/>
      <c r="B527" s="606"/>
      <c r="C527" s="607"/>
      <c r="D527" s="608"/>
      <c r="E527" s="608"/>
      <c r="F527" s="608"/>
      <c r="G527" s="608"/>
      <c r="H527" s="609"/>
      <c r="I527" s="660"/>
      <c r="J527" s="660"/>
      <c r="K527" s="660"/>
      <c r="L527" s="660"/>
      <c r="M527" s="660"/>
      <c r="N527" s="660"/>
      <c r="O527" s="660"/>
      <c r="P527" s="660"/>
      <c r="Q527" s="660"/>
      <c r="R527" s="660"/>
      <c r="S527" s="660"/>
      <c r="T527" s="660"/>
      <c r="U527" s="660"/>
      <c r="V527" s="660"/>
      <c r="W527" s="660"/>
      <c r="X527" s="660"/>
      <c r="Y527" s="660"/>
      <c r="Z527" s="660"/>
      <c r="AA527" s="660"/>
      <c r="AB527" s="660"/>
      <c r="AC527" s="661"/>
      <c r="AD527" s="606"/>
      <c r="AE527" s="606"/>
      <c r="AF527" s="606"/>
      <c r="AG527" s="606"/>
    </row>
    <row r="528" spans="1:33" s="612" customFormat="1" hidden="1" outlineLevel="3" x14ac:dyDescent="0.2">
      <c r="A528" s="606"/>
      <c r="B528" s="606"/>
      <c r="C528" s="607"/>
      <c r="D528" s="608"/>
      <c r="E528" s="608"/>
      <c r="F528" s="608"/>
      <c r="G528" s="608"/>
      <c r="H528" s="609"/>
      <c r="I528" s="660"/>
      <c r="J528" s="660"/>
      <c r="K528" s="660"/>
      <c r="L528" s="660"/>
      <c r="M528" s="660"/>
      <c r="N528" s="660"/>
      <c r="O528" s="660"/>
      <c r="P528" s="660"/>
      <c r="Q528" s="660"/>
      <c r="R528" s="660"/>
      <c r="S528" s="660"/>
      <c r="T528" s="660"/>
      <c r="U528" s="660"/>
      <c r="V528" s="660"/>
      <c r="W528" s="660"/>
      <c r="X528" s="660"/>
      <c r="Y528" s="660"/>
      <c r="Z528" s="660"/>
      <c r="AA528" s="660"/>
      <c r="AB528" s="660"/>
      <c r="AC528" s="661"/>
      <c r="AD528" s="606"/>
      <c r="AE528" s="606"/>
      <c r="AF528" s="606"/>
      <c r="AG528" s="606"/>
    </row>
    <row r="529" spans="1:33" s="612" customFormat="1" hidden="1" outlineLevel="3" x14ac:dyDescent="0.2">
      <c r="A529" s="606"/>
      <c r="B529" s="606"/>
      <c r="C529" s="607"/>
      <c r="D529" s="608"/>
      <c r="E529" s="608"/>
      <c r="F529" s="608"/>
      <c r="G529" s="608"/>
      <c r="H529" s="609"/>
      <c r="I529" s="660"/>
      <c r="J529" s="660"/>
      <c r="K529" s="660"/>
      <c r="L529" s="660"/>
      <c r="M529" s="660"/>
      <c r="N529" s="660"/>
      <c r="O529" s="660"/>
      <c r="P529" s="660"/>
      <c r="Q529" s="660"/>
      <c r="R529" s="660"/>
      <c r="S529" s="660"/>
      <c r="T529" s="660"/>
      <c r="U529" s="660"/>
      <c r="V529" s="660"/>
      <c r="W529" s="660"/>
      <c r="X529" s="660"/>
      <c r="Y529" s="660"/>
      <c r="Z529" s="660"/>
      <c r="AA529" s="660"/>
      <c r="AB529" s="660"/>
      <c r="AC529" s="661"/>
      <c r="AD529" s="606"/>
      <c r="AE529" s="606"/>
      <c r="AF529" s="606"/>
      <c r="AG529" s="606"/>
    </row>
    <row r="530" spans="1:33" s="612" customFormat="1" hidden="1" outlineLevel="3" x14ac:dyDescent="0.2">
      <c r="A530" s="606"/>
      <c r="B530" s="606"/>
      <c r="C530" s="607"/>
      <c r="D530" s="608"/>
      <c r="E530" s="608"/>
      <c r="F530" s="608"/>
      <c r="G530" s="608"/>
      <c r="H530" s="609"/>
      <c r="I530" s="660"/>
      <c r="J530" s="660"/>
      <c r="K530" s="660"/>
      <c r="L530" s="660"/>
      <c r="M530" s="660"/>
      <c r="N530" s="660"/>
      <c r="O530" s="660"/>
      <c r="P530" s="660"/>
      <c r="Q530" s="660"/>
      <c r="R530" s="660"/>
      <c r="S530" s="660"/>
      <c r="T530" s="660"/>
      <c r="U530" s="660"/>
      <c r="V530" s="660"/>
      <c r="W530" s="660"/>
      <c r="X530" s="660"/>
      <c r="Y530" s="660"/>
      <c r="Z530" s="660"/>
      <c r="AA530" s="660"/>
      <c r="AB530" s="660"/>
      <c r="AC530" s="661"/>
      <c r="AD530" s="606"/>
      <c r="AE530" s="606"/>
      <c r="AF530" s="606"/>
      <c r="AG530" s="606"/>
    </row>
    <row r="531" spans="1:33" s="612" customFormat="1" hidden="1" outlineLevel="3" x14ac:dyDescent="0.2">
      <c r="A531" s="606"/>
      <c r="B531" s="606"/>
      <c r="C531" s="607"/>
      <c r="D531" s="608"/>
      <c r="E531" s="608"/>
      <c r="F531" s="608"/>
      <c r="G531" s="608"/>
      <c r="H531" s="609"/>
      <c r="I531" s="660"/>
      <c r="J531" s="660"/>
      <c r="K531" s="660"/>
      <c r="L531" s="660"/>
      <c r="M531" s="660"/>
      <c r="N531" s="660"/>
      <c r="O531" s="660"/>
      <c r="P531" s="660"/>
      <c r="Q531" s="660"/>
      <c r="R531" s="660"/>
      <c r="S531" s="660"/>
      <c r="T531" s="660"/>
      <c r="U531" s="660"/>
      <c r="V531" s="660"/>
      <c r="W531" s="660"/>
      <c r="X531" s="660"/>
      <c r="Y531" s="660"/>
      <c r="Z531" s="660"/>
      <c r="AA531" s="660"/>
      <c r="AB531" s="660"/>
      <c r="AC531" s="661"/>
      <c r="AD531" s="606"/>
      <c r="AE531" s="606"/>
      <c r="AF531" s="606"/>
      <c r="AG531" s="606"/>
    </row>
    <row r="532" spans="1:33" s="612" customFormat="1" hidden="1" outlineLevel="3" x14ac:dyDescent="0.2">
      <c r="A532" s="606"/>
      <c r="B532" s="606"/>
      <c r="C532" s="607"/>
      <c r="D532" s="608"/>
      <c r="E532" s="608"/>
      <c r="F532" s="608"/>
      <c r="G532" s="608"/>
      <c r="H532" s="609"/>
      <c r="I532" s="660"/>
      <c r="J532" s="660"/>
      <c r="K532" s="660"/>
      <c r="L532" s="660"/>
      <c r="M532" s="660"/>
      <c r="N532" s="660"/>
      <c r="O532" s="660"/>
      <c r="P532" s="660"/>
      <c r="Q532" s="660"/>
      <c r="R532" s="660"/>
      <c r="S532" s="660"/>
      <c r="T532" s="660"/>
      <c r="U532" s="660"/>
      <c r="V532" s="660"/>
      <c r="W532" s="660"/>
      <c r="X532" s="660"/>
      <c r="Y532" s="660"/>
      <c r="Z532" s="660"/>
      <c r="AA532" s="660"/>
      <c r="AB532" s="660"/>
      <c r="AC532" s="661"/>
      <c r="AD532" s="606"/>
      <c r="AE532" s="606"/>
      <c r="AF532" s="606"/>
      <c r="AG532" s="606"/>
    </row>
    <row r="533" spans="1:33" s="612" customFormat="1" hidden="1" outlineLevel="3" x14ac:dyDescent="0.2">
      <c r="A533" s="606"/>
      <c r="B533" s="606"/>
      <c r="C533" s="607"/>
      <c r="D533" s="608"/>
      <c r="E533" s="608"/>
      <c r="F533" s="608"/>
      <c r="G533" s="608"/>
      <c r="H533" s="609"/>
      <c r="I533" s="660"/>
      <c r="J533" s="660"/>
      <c r="K533" s="660"/>
      <c r="L533" s="660"/>
      <c r="M533" s="660"/>
      <c r="N533" s="660"/>
      <c r="O533" s="660"/>
      <c r="P533" s="660"/>
      <c r="Q533" s="660"/>
      <c r="R533" s="660"/>
      <c r="S533" s="660"/>
      <c r="T533" s="660"/>
      <c r="U533" s="660"/>
      <c r="V533" s="660"/>
      <c r="W533" s="660"/>
      <c r="X533" s="660"/>
      <c r="Y533" s="660"/>
      <c r="Z533" s="660"/>
      <c r="AA533" s="660"/>
      <c r="AB533" s="660"/>
      <c r="AC533" s="661"/>
      <c r="AD533" s="606"/>
      <c r="AE533" s="606"/>
      <c r="AF533" s="606"/>
      <c r="AG533" s="606"/>
    </row>
    <row r="534" spans="1:33" s="612" customFormat="1" hidden="1" outlineLevel="3" x14ac:dyDescent="0.2">
      <c r="A534" s="606"/>
      <c r="B534" s="606"/>
      <c r="C534" s="607"/>
      <c r="D534" s="608"/>
      <c r="E534" s="608"/>
      <c r="F534" s="608"/>
      <c r="G534" s="608"/>
      <c r="H534" s="609"/>
      <c r="I534" s="660"/>
      <c r="J534" s="660"/>
      <c r="K534" s="660"/>
      <c r="L534" s="660"/>
      <c r="M534" s="660"/>
      <c r="N534" s="660"/>
      <c r="O534" s="660"/>
      <c r="P534" s="660"/>
      <c r="Q534" s="660"/>
      <c r="R534" s="660"/>
      <c r="S534" s="660"/>
      <c r="T534" s="660"/>
      <c r="U534" s="660"/>
      <c r="V534" s="660"/>
      <c r="W534" s="660"/>
      <c r="X534" s="660"/>
      <c r="Y534" s="660"/>
      <c r="Z534" s="660"/>
      <c r="AA534" s="660"/>
      <c r="AB534" s="660"/>
      <c r="AC534" s="661"/>
      <c r="AD534" s="606"/>
      <c r="AE534" s="606"/>
      <c r="AF534" s="606"/>
      <c r="AG534" s="606"/>
    </row>
    <row r="535" spans="1:33" s="612" customFormat="1" hidden="1" outlineLevel="3" x14ac:dyDescent="0.2">
      <c r="A535" s="606"/>
      <c r="B535" s="606"/>
      <c r="C535" s="607"/>
      <c r="D535" s="608"/>
      <c r="E535" s="608"/>
      <c r="F535" s="608"/>
      <c r="G535" s="608"/>
      <c r="H535" s="609"/>
      <c r="I535" s="660"/>
      <c r="J535" s="660"/>
      <c r="K535" s="660"/>
      <c r="L535" s="660"/>
      <c r="M535" s="660"/>
      <c r="N535" s="660"/>
      <c r="O535" s="660"/>
      <c r="P535" s="660"/>
      <c r="Q535" s="660"/>
      <c r="R535" s="660"/>
      <c r="S535" s="660"/>
      <c r="T535" s="660"/>
      <c r="U535" s="660"/>
      <c r="V535" s="660"/>
      <c r="W535" s="660"/>
      <c r="X535" s="660"/>
      <c r="Y535" s="660"/>
      <c r="Z535" s="660"/>
      <c r="AA535" s="660"/>
      <c r="AB535" s="660"/>
      <c r="AC535" s="661"/>
      <c r="AD535" s="606"/>
      <c r="AE535" s="606"/>
      <c r="AF535" s="606"/>
      <c r="AG535" s="606"/>
    </row>
    <row r="536" spans="1:33" s="612" customFormat="1" hidden="1" outlineLevel="3" x14ac:dyDescent="0.2">
      <c r="A536" s="606"/>
      <c r="B536" s="606"/>
      <c r="C536" s="607"/>
      <c r="D536" s="608"/>
      <c r="E536" s="608"/>
      <c r="F536" s="608"/>
      <c r="G536" s="608"/>
      <c r="H536" s="609"/>
      <c r="I536" s="660"/>
      <c r="J536" s="660"/>
      <c r="K536" s="660"/>
      <c r="L536" s="660"/>
      <c r="M536" s="660"/>
      <c r="N536" s="660"/>
      <c r="O536" s="660"/>
      <c r="P536" s="660"/>
      <c r="Q536" s="660"/>
      <c r="R536" s="660"/>
      <c r="S536" s="660"/>
      <c r="T536" s="660"/>
      <c r="U536" s="660"/>
      <c r="V536" s="660"/>
      <c r="W536" s="660"/>
      <c r="X536" s="660"/>
      <c r="Y536" s="660"/>
      <c r="Z536" s="660"/>
      <c r="AA536" s="660"/>
      <c r="AB536" s="660"/>
      <c r="AC536" s="661"/>
      <c r="AD536" s="606"/>
      <c r="AE536" s="606"/>
      <c r="AF536" s="606"/>
      <c r="AG536" s="606"/>
    </row>
    <row r="537" spans="1:33" s="612" customFormat="1" hidden="1" outlineLevel="3" x14ac:dyDescent="0.2">
      <c r="A537" s="606"/>
      <c r="B537" s="606"/>
      <c r="C537" s="607"/>
      <c r="D537" s="608"/>
      <c r="E537" s="608"/>
      <c r="F537" s="608"/>
      <c r="G537" s="608"/>
      <c r="H537" s="609"/>
      <c r="I537" s="660"/>
      <c r="J537" s="660"/>
      <c r="K537" s="660"/>
      <c r="L537" s="660"/>
      <c r="M537" s="660"/>
      <c r="N537" s="660"/>
      <c r="O537" s="660"/>
      <c r="P537" s="660"/>
      <c r="Q537" s="660"/>
      <c r="R537" s="660"/>
      <c r="S537" s="660"/>
      <c r="T537" s="660"/>
      <c r="U537" s="660"/>
      <c r="V537" s="660"/>
      <c r="W537" s="660"/>
      <c r="X537" s="660"/>
      <c r="Y537" s="660"/>
      <c r="Z537" s="660"/>
      <c r="AA537" s="660"/>
      <c r="AB537" s="660"/>
      <c r="AC537" s="661"/>
      <c r="AD537" s="606"/>
      <c r="AE537" s="606"/>
      <c r="AF537" s="606"/>
      <c r="AG537" s="606"/>
    </row>
    <row r="538" spans="1:33" s="612" customFormat="1" hidden="1" outlineLevel="3" x14ac:dyDescent="0.2">
      <c r="A538" s="606"/>
      <c r="B538" s="606"/>
      <c r="C538" s="607"/>
      <c r="D538" s="608"/>
      <c r="E538" s="608"/>
      <c r="F538" s="608"/>
      <c r="G538" s="608"/>
      <c r="H538" s="609"/>
      <c r="I538" s="660"/>
      <c r="J538" s="660"/>
      <c r="K538" s="660"/>
      <c r="L538" s="660"/>
      <c r="M538" s="660"/>
      <c r="N538" s="660"/>
      <c r="O538" s="660"/>
      <c r="P538" s="660"/>
      <c r="Q538" s="660"/>
      <c r="R538" s="660"/>
      <c r="S538" s="660"/>
      <c r="T538" s="660"/>
      <c r="U538" s="660"/>
      <c r="V538" s="660"/>
      <c r="W538" s="660"/>
      <c r="X538" s="660"/>
      <c r="Y538" s="660"/>
      <c r="Z538" s="660"/>
      <c r="AA538" s="660"/>
      <c r="AB538" s="660"/>
      <c r="AC538" s="661"/>
      <c r="AD538" s="606"/>
      <c r="AE538" s="606"/>
      <c r="AF538" s="606"/>
      <c r="AG538" s="606"/>
    </row>
    <row r="539" spans="1:33" s="612" customFormat="1" hidden="1" outlineLevel="3" x14ac:dyDescent="0.2">
      <c r="A539" s="606"/>
      <c r="B539" s="606"/>
      <c r="C539" s="607"/>
      <c r="D539" s="608"/>
      <c r="E539" s="608"/>
      <c r="F539" s="608"/>
      <c r="G539" s="608"/>
      <c r="H539" s="609"/>
      <c r="I539" s="660"/>
      <c r="J539" s="660"/>
      <c r="K539" s="660"/>
      <c r="L539" s="660"/>
      <c r="M539" s="660"/>
      <c r="N539" s="660"/>
      <c r="O539" s="660"/>
      <c r="P539" s="660"/>
      <c r="Q539" s="660"/>
      <c r="R539" s="660"/>
      <c r="S539" s="660"/>
      <c r="T539" s="660"/>
      <c r="U539" s="660"/>
      <c r="V539" s="660"/>
      <c r="W539" s="660"/>
      <c r="X539" s="660"/>
      <c r="Y539" s="660"/>
      <c r="Z539" s="660"/>
      <c r="AA539" s="660"/>
      <c r="AB539" s="660"/>
      <c r="AC539" s="661"/>
      <c r="AD539" s="606"/>
      <c r="AE539" s="606"/>
      <c r="AF539" s="606"/>
      <c r="AG539" s="606"/>
    </row>
    <row r="540" spans="1:33" s="612" customFormat="1" hidden="1" outlineLevel="3" x14ac:dyDescent="0.2">
      <c r="A540" s="606"/>
      <c r="B540" s="606"/>
      <c r="C540" s="607"/>
      <c r="D540" s="608"/>
      <c r="E540" s="608"/>
      <c r="F540" s="608"/>
      <c r="G540" s="608"/>
      <c r="H540" s="609"/>
      <c r="I540" s="660"/>
      <c r="J540" s="660"/>
      <c r="K540" s="660"/>
      <c r="L540" s="660"/>
      <c r="M540" s="660"/>
      <c r="N540" s="660"/>
      <c r="O540" s="660"/>
      <c r="P540" s="660"/>
      <c r="Q540" s="660"/>
      <c r="R540" s="660"/>
      <c r="S540" s="660"/>
      <c r="T540" s="660"/>
      <c r="U540" s="660"/>
      <c r="V540" s="660"/>
      <c r="W540" s="660"/>
      <c r="X540" s="660"/>
      <c r="Y540" s="660"/>
      <c r="Z540" s="660"/>
      <c r="AA540" s="660"/>
      <c r="AB540" s="660"/>
      <c r="AC540" s="661"/>
      <c r="AD540" s="606"/>
      <c r="AE540" s="606"/>
      <c r="AF540" s="606"/>
      <c r="AG540" s="606"/>
    </row>
    <row r="541" spans="1:33" s="612" customFormat="1" hidden="1" outlineLevel="3" x14ac:dyDescent="0.2">
      <c r="A541" s="606"/>
      <c r="B541" s="606"/>
      <c r="C541" s="607"/>
      <c r="D541" s="608"/>
      <c r="E541" s="608"/>
      <c r="F541" s="608"/>
      <c r="G541" s="608"/>
      <c r="H541" s="609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1"/>
      <c r="AD541" s="606"/>
      <c r="AE541" s="606"/>
      <c r="AF541" s="606"/>
      <c r="AG541" s="606"/>
    </row>
    <row r="542" spans="1:33" s="612" customFormat="1" hidden="1" outlineLevel="3" x14ac:dyDescent="0.2">
      <c r="A542" s="606"/>
      <c r="B542" s="606"/>
      <c r="C542" s="607"/>
      <c r="D542" s="608"/>
      <c r="E542" s="608"/>
      <c r="F542" s="608"/>
      <c r="G542" s="608"/>
      <c r="H542" s="609"/>
      <c r="I542" s="660"/>
      <c r="J542" s="660"/>
      <c r="K542" s="660"/>
      <c r="L542" s="660"/>
      <c r="M542" s="660"/>
      <c r="N542" s="660"/>
      <c r="O542" s="660"/>
      <c r="P542" s="660"/>
      <c r="Q542" s="660"/>
      <c r="R542" s="660"/>
      <c r="S542" s="660"/>
      <c r="T542" s="660"/>
      <c r="U542" s="660"/>
      <c r="V542" s="660"/>
      <c r="W542" s="660"/>
      <c r="X542" s="660"/>
      <c r="Y542" s="660"/>
      <c r="Z542" s="660"/>
      <c r="AA542" s="660"/>
      <c r="AB542" s="660"/>
      <c r="AC542" s="661"/>
      <c r="AD542" s="606"/>
      <c r="AE542" s="606"/>
      <c r="AF542" s="606"/>
      <c r="AG542" s="606"/>
    </row>
    <row r="543" spans="1:33" s="612" customFormat="1" hidden="1" outlineLevel="3" x14ac:dyDescent="0.2">
      <c r="A543" s="606"/>
      <c r="B543" s="606"/>
      <c r="C543" s="607"/>
      <c r="D543" s="608"/>
      <c r="E543" s="608"/>
      <c r="F543" s="608"/>
      <c r="G543" s="608"/>
      <c r="H543" s="609"/>
      <c r="I543" s="660"/>
      <c r="J543" s="660"/>
      <c r="K543" s="660"/>
      <c r="L543" s="660"/>
      <c r="M543" s="660"/>
      <c r="N543" s="660"/>
      <c r="O543" s="660"/>
      <c r="P543" s="660"/>
      <c r="Q543" s="660"/>
      <c r="R543" s="660"/>
      <c r="S543" s="660"/>
      <c r="T543" s="660"/>
      <c r="U543" s="660"/>
      <c r="V543" s="660"/>
      <c r="W543" s="660"/>
      <c r="X543" s="660"/>
      <c r="Y543" s="660"/>
      <c r="Z543" s="660"/>
      <c r="AA543" s="660"/>
      <c r="AB543" s="660"/>
      <c r="AC543" s="661"/>
      <c r="AD543" s="606"/>
      <c r="AE543" s="606"/>
      <c r="AF543" s="606"/>
      <c r="AG543" s="606"/>
    </row>
    <row r="544" spans="1:33" s="612" customFormat="1" hidden="1" outlineLevel="3" x14ac:dyDescent="0.2">
      <c r="A544" s="606"/>
      <c r="B544" s="606"/>
      <c r="C544" s="607"/>
      <c r="D544" s="608"/>
      <c r="E544" s="608"/>
      <c r="F544" s="608"/>
      <c r="G544" s="608"/>
      <c r="H544" s="609"/>
      <c r="I544" s="660"/>
      <c r="J544" s="660"/>
      <c r="K544" s="660"/>
      <c r="L544" s="660"/>
      <c r="M544" s="660"/>
      <c r="N544" s="660"/>
      <c r="O544" s="660"/>
      <c r="P544" s="660"/>
      <c r="Q544" s="660"/>
      <c r="R544" s="660"/>
      <c r="S544" s="660"/>
      <c r="T544" s="660"/>
      <c r="U544" s="660"/>
      <c r="V544" s="660"/>
      <c r="W544" s="660"/>
      <c r="X544" s="660"/>
      <c r="Y544" s="660"/>
      <c r="Z544" s="660"/>
      <c r="AA544" s="660"/>
      <c r="AB544" s="660"/>
      <c r="AC544" s="661"/>
      <c r="AD544" s="606"/>
      <c r="AE544" s="606"/>
      <c r="AF544" s="606"/>
      <c r="AG544" s="606"/>
    </row>
    <row r="545" spans="1:33" s="612" customFormat="1" hidden="1" outlineLevel="3" x14ac:dyDescent="0.2">
      <c r="A545" s="606"/>
      <c r="B545" s="606"/>
      <c r="C545" s="607"/>
      <c r="D545" s="608"/>
      <c r="E545" s="608"/>
      <c r="F545" s="608"/>
      <c r="G545" s="608"/>
      <c r="H545" s="609"/>
      <c r="I545" s="660"/>
      <c r="J545" s="660"/>
      <c r="K545" s="660"/>
      <c r="L545" s="660"/>
      <c r="M545" s="660"/>
      <c r="N545" s="660"/>
      <c r="O545" s="660"/>
      <c r="P545" s="660"/>
      <c r="Q545" s="660"/>
      <c r="R545" s="660"/>
      <c r="S545" s="660"/>
      <c r="T545" s="660"/>
      <c r="U545" s="660"/>
      <c r="V545" s="660"/>
      <c r="W545" s="660"/>
      <c r="X545" s="660"/>
      <c r="Y545" s="660"/>
      <c r="Z545" s="660"/>
      <c r="AA545" s="660"/>
      <c r="AB545" s="660"/>
      <c r="AC545" s="661"/>
      <c r="AD545" s="606"/>
      <c r="AE545" s="606"/>
      <c r="AF545" s="606"/>
      <c r="AG545" s="606"/>
    </row>
    <row r="546" spans="1:33" s="612" customFormat="1" hidden="1" outlineLevel="3" x14ac:dyDescent="0.2">
      <c r="A546" s="606"/>
      <c r="B546" s="606"/>
      <c r="C546" s="607"/>
      <c r="D546" s="608"/>
      <c r="E546" s="608"/>
      <c r="F546" s="608"/>
      <c r="G546" s="608"/>
      <c r="H546" s="609"/>
      <c r="I546" s="660"/>
      <c r="J546" s="660"/>
      <c r="K546" s="660"/>
      <c r="L546" s="660"/>
      <c r="M546" s="660"/>
      <c r="N546" s="660"/>
      <c r="O546" s="660"/>
      <c r="P546" s="660"/>
      <c r="Q546" s="660"/>
      <c r="R546" s="660"/>
      <c r="S546" s="660"/>
      <c r="T546" s="660"/>
      <c r="U546" s="660"/>
      <c r="V546" s="660"/>
      <c r="W546" s="660"/>
      <c r="X546" s="660"/>
      <c r="Y546" s="660"/>
      <c r="Z546" s="660"/>
      <c r="AA546" s="660"/>
      <c r="AB546" s="660"/>
      <c r="AC546" s="661"/>
      <c r="AD546" s="606"/>
      <c r="AE546" s="606"/>
      <c r="AF546" s="606"/>
      <c r="AG546" s="606"/>
    </row>
    <row r="547" spans="1:33" s="612" customFormat="1" hidden="1" outlineLevel="3" x14ac:dyDescent="0.2">
      <c r="A547" s="606"/>
      <c r="B547" s="606"/>
      <c r="C547" s="607"/>
      <c r="D547" s="608"/>
      <c r="E547" s="608"/>
      <c r="F547" s="608"/>
      <c r="G547" s="608"/>
      <c r="H547" s="609"/>
      <c r="I547" s="660"/>
      <c r="J547" s="660"/>
      <c r="K547" s="660"/>
      <c r="L547" s="660"/>
      <c r="M547" s="660"/>
      <c r="N547" s="660"/>
      <c r="O547" s="660"/>
      <c r="P547" s="660"/>
      <c r="Q547" s="660"/>
      <c r="R547" s="660"/>
      <c r="S547" s="660"/>
      <c r="T547" s="660"/>
      <c r="U547" s="660"/>
      <c r="V547" s="660"/>
      <c r="W547" s="660"/>
      <c r="X547" s="660"/>
      <c r="Y547" s="660"/>
      <c r="Z547" s="660"/>
      <c r="AA547" s="660"/>
      <c r="AB547" s="660"/>
      <c r="AC547" s="661"/>
      <c r="AD547" s="606"/>
      <c r="AE547" s="606"/>
      <c r="AF547" s="606"/>
      <c r="AG547" s="606"/>
    </row>
    <row r="548" spans="1:33" s="612" customFormat="1" hidden="1" outlineLevel="3" x14ac:dyDescent="0.2">
      <c r="A548" s="606"/>
      <c r="B548" s="606"/>
      <c r="C548" s="607"/>
      <c r="D548" s="608"/>
      <c r="E548" s="608"/>
      <c r="F548" s="608"/>
      <c r="G548" s="608"/>
      <c r="H548" s="609"/>
      <c r="I548" s="660"/>
      <c r="J548" s="660"/>
      <c r="K548" s="660"/>
      <c r="L548" s="660"/>
      <c r="M548" s="660"/>
      <c r="N548" s="660"/>
      <c r="O548" s="660"/>
      <c r="P548" s="660"/>
      <c r="Q548" s="660"/>
      <c r="R548" s="660"/>
      <c r="S548" s="660"/>
      <c r="T548" s="660"/>
      <c r="U548" s="660"/>
      <c r="V548" s="660"/>
      <c r="W548" s="660"/>
      <c r="X548" s="660"/>
      <c r="Y548" s="660"/>
      <c r="Z548" s="660"/>
      <c r="AA548" s="660"/>
      <c r="AB548" s="660"/>
      <c r="AC548" s="661"/>
      <c r="AD548" s="606"/>
      <c r="AE548" s="606"/>
      <c r="AF548" s="606"/>
      <c r="AG548" s="606"/>
    </row>
    <row r="549" spans="1:33" s="612" customFormat="1" hidden="1" outlineLevel="3" x14ac:dyDescent="0.2">
      <c r="A549" s="606"/>
      <c r="B549" s="606"/>
      <c r="C549" s="607"/>
      <c r="D549" s="608"/>
      <c r="E549" s="608"/>
      <c r="F549" s="608"/>
      <c r="G549" s="608"/>
      <c r="H549" s="609"/>
      <c r="I549" s="660"/>
      <c r="J549" s="660"/>
      <c r="K549" s="660"/>
      <c r="L549" s="660"/>
      <c r="M549" s="660"/>
      <c r="N549" s="660"/>
      <c r="O549" s="660"/>
      <c r="P549" s="660"/>
      <c r="Q549" s="660"/>
      <c r="R549" s="660"/>
      <c r="S549" s="660"/>
      <c r="T549" s="660"/>
      <c r="U549" s="660"/>
      <c r="V549" s="660"/>
      <c r="W549" s="660"/>
      <c r="X549" s="660"/>
      <c r="Y549" s="660"/>
      <c r="Z549" s="660"/>
      <c r="AA549" s="660"/>
      <c r="AB549" s="660"/>
      <c r="AC549" s="661"/>
      <c r="AD549" s="606"/>
      <c r="AE549" s="606"/>
      <c r="AF549" s="606"/>
      <c r="AG549" s="606"/>
    </row>
    <row r="550" spans="1:33" s="612" customFormat="1" hidden="1" outlineLevel="3" x14ac:dyDescent="0.2">
      <c r="A550" s="606"/>
      <c r="B550" s="606"/>
      <c r="C550" s="607"/>
      <c r="D550" s="608"/>
      <c r="E550" s="608"/>
      <c r="F550" s="608"/>
      <c r="G550" s="608"/>
      <c r="H550" s="609"/>
      <c r="I550" s="660"/>
      <c r="J550" s="660"/>
      <c r="K550" s="660"/>
      <c r="L550" s="660"/>
      <c r="M550" s="660"/>
      <c r="N550" s="660"/>
      <c r="O550" s="660"/>
      <c r="P550" s="660"/>
      <c r="Q550" s="660"/>
      <c r="R550" s="660"/>
      <c r="S550" s="660"/>
      <c r="T550" s="660"/>
      <c r="U550" s="660"/>
      <c r="V550" s="660"/>
      <c r="W550" s="660"/>
      <c r="X550" s="660"/>
      <c r="Y550" s="660"/>
      <c r="Z550" s="660"/>
      <c r="AA550" s="660"/>
      <c r="AB550" s="660"/>
      <c r="AC550" s="661"/>
      <c r="AD550" s="606"/>
      <c r="AE550" s="606"/>
      <c r="AF550" s="606"/>
      <c r="AG550" s="606"/>
    </row>
    <row r="551" spans="1:33" s="612" customFormat="1" hidden="1" outlineLevel="3" x14ac:dyDescent="0.2">
      <c r="A551" s="606"/>
      <c r="B551" s="606"/>
      <c r="C551" s="607"/>
      <c r="D551" s="608"/>
      <c r="E551" s="608"/>
      <c r="F551" s="608"/>
      <c r="G551" s="608"/>
      <c r="H551" s="609"/>
      <c r="I551" s="660"/>
      <c r="J551" s="660"/>
      <c r="K551" s="660"/>
      <c r="L551" s="660"/>
      <c r="M551" s="660"/>
      <c r="N551" s="660"/>
      <c r="O551" s="660"/>
      <c r="P551" s="660"/>
      <c r="Q551" s="660"/>
      <c r="R551" s="660"/>
      <c r="S551" s="660"/>
      <c r="T551" s="660"/>
      <c r="U551" s="660"/>
      <c r="V551" s="660"/>
      <c r="W551" s="660"/>
      <c r="X551" s="660"/>
      <c r="Y551" s="660"/>
      <c r="Z551" s="660"/>
      <c r="AA551" s="660"/>
      <c r="AB551" s="660"/>
      <c r="AC551" s="661"/>
      <c r="AD551" s="606"/>
      <c r="AE551" s="606"/>
      <c r="AF551" s="606"/>
      <c r="AG551" s="606"/>
    </row>
    <row r="552" spans="1:33" s="612" customFormat="1" hidden="1" outlineLevel="3" x14ac:dyDescent="0.2">
      <c r="A552" s="606"/>
      <c r="B552" s="606"/>
      <c r="C552" s="607"/>
      <c r="D552" s="608"/>
      <c r="E552" s="608"/>
      <c r="F552" s="608"/>
      <c r="G552" s="608"/>
      <c r="H552" s="609"/>
      <c r="I552" s="660"/>
      <c r="J552" s="660"/>
      <c r="K552" s="660"/>
      <c r="L552" s="660"/>
      <c r="M552" s="660"/>
      <c r="N552" s="660"/>
      <c r="O552" s="660"/>
      <c r="P552" s="660"/>
      <c r="Q552" s="660"/>
      <c r="R552" s="660"/>
      <c r="S552" s="660"/>
      <c r="T552" s="660"/>
      <c r="U552" s="660"/>
      <c r="V552" s="660"/>
      <c r="W552" s="660"/>
      <c r="X552" s="660"/>
      <c r="Y552" s="660"/>
      <c r="Z552" s="660"/>
      <c r="AA552" s="660"/>
      <c r="AB552" s="660"/>
      <c r="AC552" s="661"/>
      <c r="AD552" s="606"/>
      <c r="AE552" s="606"/>
      <c r="AF552" s="606"/>
      <c r="AG552" s="606"/>
    </row>
    <row r="553" spans="1:33" s="612" customFormat="1" hidden="1" outlineLevel="3" x14ac:dyDescent="0.2">
      <c r="A553" s="606"/>
      <c r="B553" s="606"/>
      <c r="C553" s="607"/>
      <c r="D553" s="608"/>
      <c r="E553" s="608"/>
      <c r="F553" s="608"/>
      <c r="G553" s="608"/>
      <c r="H553" s="609"/>
      <c r="I553" s="660"/>
      <c r="J553" s="660"/>
      <c r="K553" s="660"/>
      <c r="L553" s="660"/>
      <c r="M553" s="660"/>
      <c r="N553" s="660"/>
      <c r="O553" s="660"/>
      <c r="P553" s="660"/>
      <c r="Q553" s="660"/>
      <c r="R553" s="660"/>
      <c r="S553" s="660"/>
      <c r="T553" s="660"/>
      <c r="U553" s="660"/>
      <c r="V553" s="660"/>
      <c r="W553" s="660"/>
      <c r="X553" s="660"/>
      <c r="Y553" s="660"/>
      <c r="Z553" s="660"/>
      <c r="AA553" s="660"/>
      <c r="AB553" s="660"/>
      <c r="AC553" s="661"/>
      <c r="AD553" s="606"/>
      <c r="AE553" s="606"/>
      <c r="AF553" s="606"/>
      <c r="AG553" s="606"/>
    </row>
    <row r="554" spans="1:33" s="612" customFormat="1" hidden="1" outlineLevel="3" x14ac:dyDescent="0.2">
      <c r="A554" s="606"/>
      <c r="B554" s="606"/>
      <c r="C554" s="607"/>
      <c r="D554" s="608"/>
      <c r="E554" s="608"/>
      <c r="F554" s="608"/>
      <c r="G554" s="608"/>
      <c r="H554" s="609"/>
      <c r="I554" s="660"/>
      <c r="J554" s="660"/>
      <c r="K554" s="660"/>
      <c r="L554" s="660"/>
      <c r="M554" s="660"/>
      <c r="N554" s="660"/>
      <c r="O554" s="660"/>
      <c r="P554" s="660"/>
      <c r="Q554" s="660"/>
      <c r="R554" s="660"/>
      <c r="S554" s="660"/>
      <c r="T554" s="660"/>
      <c r="U554" s="660"/>
      <c r="V554" s="660"/>
      <c r="W554" s="660"/>
      <c r="X554" s="660"/>
      <c r="Y554" s="660"/>
      <c r="Z554" s="660"/>
      <c r="AA554" s="660"/>
      <c r="AB554" s="660"/>
      <c r="AC554" s="661"/>
      <c r="AD554" s="606"/>
      <c r="AE554" s="606"/>
      <c r="AF554" s="606"/>
      <c r="AG554" s="606"/>
    </row>
    <row r="555" spans="1:33" s="612" customFormat="1" hidden="1" outlineLevel="3" x14ac:dyDescent="0.2">
      <c r="A555" s="606"/>
      <c r="B555" s="606"/>
      <c r="C555" s="607"/>
      <c r="D555" s="608"/>
      <c r="E555" s="608"/>
      <c r="F555" s="608"/>
      <c r="G555" s="608"/>
      <c r="H555" s="609"/>
      <c r="I555" s="660"/>
      <c r="J555" s="660"/>
      <c r="K555" s="660"/>
      <c r="L555" s="660"/>
      <c r="M555" s="660"/>
      <c r="N555" s="660"/>
      <c r="O555" s="660"/>
      <c r="P555" s="660"/>
      <c r="Q555" s="660"/>
      <c r="R555" s="660"/>
      <c r="S555" s="660"/>
      <c r="T555" s="660"/>
      <c r="U555" s="660"/>
      <c r="V555" s="660"/>
      <c r="W555" s="660"/>
      <c r="X555" s="660"/>
      <c r="Y555" s="660"/>
      <c r="Z555" s="660"/>
      <c r="AA555" s="660"/>
      <c r="AB555" s="660"/>
      <c r="AC555" s="661"/>
      <c r="AD555" s="606"/>
      <c r="AE555" s="606"/>
      <c r="AF555" s="606"/>
      <c r="AG555" s="606"/>
    </row>
    <row r="556" spans="1:33" s="612" customFormat="1" hidden="1" outlineLevel="3" x14ac:dyDescent="0.2">
      <c r="A556" s="606"/>
      <c r="B556" s="606"/>
      <c r="C556" s="607"/>
      <c r="D556" s="608"/>
      <c r="E556" s="608"/>
      <c r="F556" s="608"/>
      <c r="G556" s="608"/>
      <c r="H556" s="609"/>
      <c r="I556" s="660"/>
      <c r="J556" s="660"/>
      <c r="K556" s="660"/>
      <c r="L556" s="660"/>
      <c r="M556" s="660"/>
      <c r="N556" s="660"/>
      <c r="O556" s="660"/>
      <c r="P556" s="660"/>
      <c r="Q556" s="660"/>
      <c r="R556" s="660"/>
      <c r="S556" s="660"/>
      <c r="T556" s="660"/>
      <c r="U556" s="660"/>
      <c r="V556" s="660"/>
      <c r="W556" s="660"/>
      <c r="X556" s="660"/>
      <c r="Y556" s="660"/>
      <c r="Z556" s="660"/>
      <c r="AA556" s="660"/>
      <c r="AB556" s="660"/>
      <c r="AC556" s="661"/>
      <c r="AD556" s="606"/>
      <c r="AE556" s="606"/>
      <c r="AF556" s="606"/>
      <c r="AG556" s="606"/>
    </row>
    <row r="557" spans="1:33" s="612" customFormat="1" hidden="1" outlineLevel="3" x14ac:dyDescent="0.2">
      <c r="A557" s="606"/>
      <c r="B557" s="606"/>
      <c r="C557" s="607"/>
      <c r="D557" s="608"/>
      <c r="E557" s="608"/>
      <c r="F557" s="608"/>
      <c r="G557" s="608"/>
      <c r="H557" s="609"/>
      <c r="I557" s="660"/>
      <c r="J557" s="660"/>
      <c r="K557" s="660"/>
      <c r="L557" s="660"/>
      <c r="M557" s="660"/>
      <c r="N557" s="660"/>
      <c r="O557" s="660"/>
      <c r="P557" s="660"/>
      <c r="Q557" s="660"/>
      <c r="R557" s="660"/>
      <c r="S557" s="660"/>
      <c r="T557" s="660"/>
      <c r="U557" s="660"/>
      <c r="V557" s="660"/>
      <c r="W557" s="660"/>
      <c r="X557" s="660"/>
      <c r="Y557" s="660"/>
      <c r="Z557" s="660"/>
      <c r="AA557" s="660"/>
      <c r="AB557" s="660"/>
      <c r="AC557" s="661"/>
      <c r="AD557" s="606"/>
      <c r="AE557" s="606"/>
      <c r="AF557" s="606"/>
      <c r="AG557" s="606"/>
    </row>
    <row r="558" spans="1:33" s="612" customFormat="1" hidden="1" outlineLevel="3" x14ac:dyDescent="0.2">
      <c r="A558" s="606"/>
      <c r="B558" s="606"/>
      <c r="C558" s="607"/>
      <c r="D558" s="608"/>
      <c r="E558" s="608"/>
      <c r="F558" s="608"/>
      <c r="G558" s="608"/>
      <c r="H558" s="609"/>
      <c r="I558" s="660"/>
      <c r="J558" s="660"/>
      <c r="K558" s="660"/>
      <c r="L558" s="660"/>
      <c r="M558" s="660"/>
      <c r="N558" s="660"/>
      <c r="O558" s="660"/>
      <c r="P558" s="660"/>
      <c r="Q558" s="660"/>
      <c r="R558" s="660"/>
      <c r="S558" s="660"/>
      <c r="T558" s="660"/>
      <c r="U558" s="660"/>
      <c r="V558" s="660"/>
      <c r="W558" s="660"/>
      <c r="X558" s="660"/>
      <c r="Y558" s="660"/>
      <c r="Z558" s="660"/>
      <c r="AA558" s="660"/>
      <c r="AB558" s="660"/>
      <c r="AC558" s="661"/>
      <c r="AD558" s="606"/>
      <c r="AE558" s="606"/>
      <c r="AF558" s="606"/>
      <c r="AG558" s="606"/>
    </row>
    <row r="559" spans="1:33" s="612" customFormat="1" hidden="1" outlineLevel="3" x14ac:dyDescent="0.2">
      <c r="A559" s="606"/>
      <c r="B559" s="606"/>
      <c r="C559" s="607"/>
      <c r="D559" s="608"/>
      <c r="E559" s="608"/>
      <c r="F559" s="608"/>
      <c r="G559" s="608"/>
      <c r="H559" s="609"/>
      <c r="I559" s="660"/>
      <c r="J559" s="660"/>
      <c r="K559" s="660"/>
      <c r="L559" s="660"/>
      <c r="M559" s="660"/>
      <c r="N559" s="660"/>
      <c r="O559" s="660"/>
      <c r="P559" s="660"/>
      <c r="Q559" s="660"/>
      <c r="R559" s="660"/>
      <c r="S559" s="660"/>
      <c r="T559" s="660"/>
      <c r="U559" s="660"/>
      <c r="V559" s="660"/>
      <c r="W559" s="660"/>
      <c r="X559" s="660"/>
      <c r="Y559" s="660"/>
      <c r="Z559" s="660"/>
      <c r="AA559" s="660"/>
      <c r="AB559" s="660"/>
      <c r="AC559" s="661"/>
      <c r="AD559" s="606"/>
      <c r="AE559" s="606"/>
      <c r="AF559" s="606"/>
      <c r="AG559" s="606"/>
    </row>
    <row r="560" spans="1:33" s="612" customFormat="1" hidden="1" outlineLevel="3" x14ac:dyDescent="0.2">
      <c r="A560" s="606"/>
      <c r="B560" s="606"/>
      <c r="C560" s="607"/>
      <c r="D560" s="608"/>
      <c r="E560" s="608"/>
      <c r="F560" s="608"/>
      <c r="G560" s="608"/>
      <c r="H560" s="609"/>
      <c r="I560" s="660"/>
      <c r="J560" s="660"/>
      <c r="K560" s="660"/>
      <c r="L560" s="660"/>
      <c r="M560" s="660"/>
      <c r="N560" s="660"/>
      <c r="O560" s="660"/>
      <c r="P560" s="660"/>
      <c r="Q560" s="660"/>
      <c r="R560" s="660"/>
      <c r="S560" s="660"/>
      <c r="T560" s="660"/>
      <c r="U560" s="660"/>
      <c r="V560" s="660"/>
      <c r="W560" s="660"/>
      <c r="X560" s="660"/>
      <c r="Y560" s="660"/>
      <c r="Z560" s="660"/>
      <c r="AA560" s="660"/>
      <c r="AB560" s="660"/>
      <c r="AC560" s="661"/>
      <c r="AD560" s="606"/>
      <c r="AE560" s="606"/>
      <c r="AF560" s="606"/>
      <c r="AG560" s="606"/>
    </row>
    <row r="561" spans="1:33" s="612" customFormat="1" hidden="1" outlineLevel="3" x14ac:dyDescent="0.2">
      <c r="A561" s="606"/>
      <c r="B561" s="606"/>
      <c r="C561" s="607"/>
      <c r="D561" s="608"/>
      <c r="E561" s="608"/>
      <c r="F561" s="608"/>
      <c r="G561" s="608"/>
      <c r="H561" s="609"/>
      <c r="I561" s="660"/>
      <c r="J561" s="660"/>
      <c r="K561" s="660"/>
      <c r="L561" s="660"/>
      <c r="M561" s="660"/>
      <c r="N561" s="660"/>
      <c r="O561" s="660"/>
      <c r="P561" s="660"/>
      <c r="Q561" s="660"/>
      <c r="R561" s="660"/>
      <c r="S561" s="660"/>
      <c r="T561" s="660"/>
      <c r="U561" s="660"/>
      <c r="V561" s="660"/>
      <c r="W561" s="660"/>
      <c r="X561" s="660"/>
      <c r="Y561" s="660"/>
      <c r="Z561" s="660"/>
      <c r="AA561" s="660"/>
      <c r="AB561" s="660"/>
      <c r="AC561" s="661"/>
      <c r="AD561" s="606"/>
      <c r="AE561" s="606"/>
      <c r="AF561" s="606"/>
      <c r="AG561" s="606"/>
    </row>
    <row r="562" spans="1:33" s="612" customFormat="1" hidden="1" outlineLevel="3" x14ac:dyDescent="0.2">
      <c r="A562" s="606"/>
      <c r="B562" s="606"/>
      <c r="C562" s="607"/>
      <c r="D562" s="608"/>
      <c r="E562" s="608"/>
      <c r="F562" s="608"/>
      <c r="G562" s="608"/>
      <c r="H562" s="609"/>
      <c r="I562" s="660"/>
      <c r="J562" s="660"/>
      <c r="K562" s="660"/>
      <c r="L562" s="660"/>
      <c r="M562" s="660"/>
      <c r="N562" s="660"/>
      <c r="O562" s="660"/>
      <c r="P562" s="660"/>
      <c r="Q562" s="660"/>
      <c r="R562" s="660"/>
      <c r="S562" s="660"/>
      <c r="T562" s="660"/>
      <c r="U562" s="660"/>
      <c r="V562" s="660"/>
      <c r="W562" s="660"/>
      <c r="X562" s="660"/>
      <c r="Y562" s="660"/>
      <c r="Z562" s="660"/>
      <c r="AA562" s="660"/>
      <c r="AB562" s="660"/>
      <c r="AC562" s="661"/>
      <c r="AD562" s="606"/>
      <c r="AE562" s="606"/>
      <c r="AF562" s="606"/>
      <c r="AG562" s="606"/>
    </row>
    <row r="563" spans="1:33" s="612" customFormat="1" hidden="1" outlineLevel="3" x14ac:dyDescent="0.2">
      <c r="A563" s="606"/>
      <c r="B563" s="606"/>
      <c r="C563" s="607"/>
      <c r="D563" s="608"/>
      <c r="E563" s="608"/>
      <c r="F563" s="608"/>
      <c r="G563" s="608"/>
      <c r="H563" s="609"/>
      <c r="I563" s="660"/>
      <c r="J563" s="660"/>
      <c r="K563" s="660"/>
      <c r="L563" s="660"/>
      <c r="M563" s="660"/>
      <c r="N563" s="660"/>
      <c r="O563" s="660"/>
      <c r="P563" s="660"/>
      <c r="Q563" s="660"/>
      <c r="R563" s="660"/>
      <c r="S563" s="660"/>
      <c r="T563" s="660"/>
      <c r="U563" s="660"/>
      <c r="V563" s="660"/>
      <c r="W563" s="660"/>
      <c r="X563" s="660"/>
      <c r="Y563" s="660"/>
      <c r="Z563" s="660"/>
      <c r="AA563" s="660"/>
      <c r="AB563" s="660"/>
      <c r="AC563" s="661"/>
      <c r="AD563" s="606"/>
      <c r="AE563" s="606"/>
      <c r="AF563" s="606"/>
      <c r="AG563" s="606"/>
    </row>
    <row r="564" spans="1:33" s="612" customFormat="1" hidden="1" outlineLevel="3" x14ac:dyDescent="0.2">
      <c r="A564" s="606"/>
      <c r="B564" s="606"/>
      <c r="C564" s="607"/>
      <c r="D564" s="608"/>
      <c r="E564" s="608"/>
      <c r="F564" s="608"/>
      <c r="G564" s="608"/>
      <c r="H564" s="609"/>
      <c r="I564" s="660"/>
      <c r="J564" s="660"/>
      <c r="K564" s="660"/>
      <c r="L564" s="660"/>
      <c r="M564" s="660"/>
      <c r="N564" s="660"/>
      <c r="O564" s="660"/>
      <c r="P564" s="660"/>
      <c r="Q564" s="660"/>
      <c r="R564" s="660"/>
      <c r="S564" s="660"/>
      <c r="T564" s="660"/>
      <c r="U564" s="660"/>
      <c r="V564" s="660"/>
      <c r="W564" s="660"/>
      <c r="X564" s="660"/>
      <c r="Y564" s="660"/>
      <c r="Z564" s="660"/>
      <c r="AA564" s="660"/>
      <c r="AB564" s="660"/>
      <c r="AC564" s="661"/>
      <c r="AD564" s="606"/>
      <c r="AE564" s="606"/>
      <c r="AF564" s="606"/>
      <c r="AG564" s="606"/>
    </row>
    <row r="565" spans="1:33" s="612" customFormat="1" hidden="1" outlineLevel="3" x14ac:dyDescent="0.2">
      <c r="A565" s="606"/>
      <c r="B565" s="606"/>
      <c r="C565" s="607"/>
      <c r="D565" s="608"/>
      <c r="E565" s="608"/>
      <c r="F565" s="608"/>
      <c r="G565" s="608"/>
      <c r="H565" s="609"/>
      <c r="I565" s="660"/>
      <c r="J565" s="660"/>
      <c r="K565" s="660"/>
      <c r="L565" s="660"/>
      <c r="M565" s="660"/>
      <c r="N565" s="660"/>
      <c r="O565" s="660"/>
      <c r="P565" s="660"/>
      <c r="Q565" s="660"/>
      <c r="R565" s="660"/>
      <c r="S565" s="660"/>
      <c r="T565" s="660"/>
      <c r="U565" s="660"/>
      <c r="V565" s="660"/>
      <c r="W565" s="660"/>
      <c r="X565" s="660"/>
      <c r="Y565" s="660"/>
      <c r="Z565" s="660"/>
      <c r="AA565" s="660"/>
      <c r="AB565" s="660"/>
      <c r="AC565" s="661"/>
      <c r="AD565" s="606"/>
      <c r="AE565" s="606"/>
      <c r="AF565" s="606"/>
      <c r="AG565" s="606"/>
    </row>
    <row r="566" spans="1:33" s="612" customFormat="1" hidden="1" outlineLevel="3" x14ac:dyDescent="0.2">
      <c r="A566" s="606"/>
      <c r="B566" s="606"/>
      <c r="C566" s="607"/>
      <c r="D566" s="608"/>
      <c r="E566" s="608"/>
      <c r="F566" s="608"/>
      <c r="G566" s="608"/>
      <c r="H566" s="609"/>
      <c r="I566" s="660"/>
      <c r="J566" s="660"/>
      <c r="K566" s="660"/>
      <c r="L566" s="660"/>
      <c r="M566" s="660"/>
      <c r="N566" s="660"/>
      <c r="O566" s="660"/>
      <c r="P566" s="660"/>
      <c r="Q566" s="660"/>
      <c r="R566" s="660"/>
      <c r="S566" s="660"/>
      <c r="T566" s="660"/>
      <c r="U566" s="660"/>
      <c r="V566" s="660"/>
      <c r="W566" s="660"/>
      <c r="X566" s="660"/>
      <c r="Y566" s="660"/>
      <c r="Z566" s="660"/>
      <c r="AA566" s="660"/>
      <c r="AB566" s="660"/>
      <c r="AC566" s="661"/>
      <c r="AD566" s="606"/>
      <c r="AE566" s="606"/>
      <c r="AF566" s="606"/>
      <c r="AG566" s="606"/>
    </row>
    <row r="567" spans="1:33" s="612" customFormat="1" hidden="1" outlineLevel="3" x14ac:dyDescent="0.2">
      <c r="A567" s="606"/>
      <c r="B567" s="606"/>
      <c r="C567" s="607"/>
      <c r="D567" s="608"/>
      <c r="E567" s="608"/>
      <c r="F567" s="608"/>
      <c r="G567" s="608"/>
      <c r="H567" s="609"/>
      <c r="I567" s="660"/>
      <c r="J567" s="660"/>
      <c r="K567" s="660"/>
      <c r="L567" s="660"/>
      <c r="M567" s="660"/>
      <c r="N567" s="660"/>
      <c r="O567" s="660"/>
      <c r="P567" s="660"/>
      <c r="Q567" s="660"/>
      <c r="R567" s="660"/>
      <c r="S567" s="660"/>
      <c r="T567" s="660"/>
      <c r="U567" s="660"/>
      <c r="V567" s="660"/>
      <c r="W567" s="660"/>
      <c r="X567" s="660"/>
      <c r="Y567" s="660"/>
      <c r="Z567" s="660"/>
      <c r="AA567" s="660"/>
      <c r="AB567" s="660"/>
      <c r="AC567" s="661"/>
      <c r="AD567" s="606"/>
      <c r="AE567" s="606"/>
      <c r="AF567" s="606"/>
      <c r="AG567" s="606"/>
    </row>
    <row r="568" spans="1:33" s="612" customFormat="1" hidden="1" outlineLevel="3" x14ac:dyDescent="0.2">
      <c r="A568" s="606"/>
      <c r="B568" s="606"/>
      <c r="C568" s="607"/>
      <c r="D568" s="608"/>
      <c r="E568" s="608"/>
      <c r="F568" s="608"/>
      <c r="G568" s="608"/>
      <c r="H568" s="609"/>
      <c r="I568" s="660"/>
      <c r="J568" s="660"/>
      <c r="K568" s="660"/>
      <c r="L568" s="660"/>
      <c r="M568" s="660"/>
      <c r="N568" s="660"/>
      <c r="O568" s="660"/>
      <c r="P568" s="660"/>
      <c r="Q568" s="660"/>
      <c r="R568" s="660"/>
      <c r="S568" s="660"/>
      <c r="T568" s="660"/>
      <c r="U568" s="660"/>
      <c r="V568" s="660"/>
      <c r="W568" s="660"/>
      <c r="X568" s="660"/>
      <c r="Y568" s="660"/>
      <c r="Z568" s="660"/>
      <c r="AA568" s="660"/>
      <c r="AB568" s="660"/>
      <c r="AC568" s="661"/>
      <c r="AD568" s="606"/>
      <c r="AE568" s="606"/>
      <c r="AF568" s="606"/>
      <c r="AG568" s="606"/>
    </row>
    <row r="569" spans="1:33" s="612" customFormat="1" hidden="1" outlineLevel="3" x14ac:dyDescent="0.2">
      <c r="A569" s="606"/>
      <c r="B569" s="606"/>
      <c r="C569" s="607"/>
      <c r="D569" s="608"/>
      <c r="E569" s="608"/>
      <c r="F569" s="608"/>
      <c r="G569" s="608"/>
      <c r="H569" s="609"/>
      <c r="I569" s="660"/>
      <c r="J569" s="660"/>
      <c r="K569" s="660"/>
      <c r="L569" s="660"/>
      <c r="M569" s="660"/>
      <c r="N569" s="660"/>
      <c r="O569" s="660"/>
      <c r="P569" s="660"/>
      <c r="Q569" s="660"/>
      <c r="R569" s="660"/>
      <c r="S569" s="660"/>
      <c r="T569" s="660"/>
      <c r="U569" s="660"/>
      <c r="V569" s="660"/>
      <c r="W569" s="660"/>
      <c r="X569" s="660"/>
      <c r="Y569" s="660"/>
      <c r="Z569" s="660"/>
      <c r="AA569" s="660"/>
      <c r="AB569" s="660"/>
      <c r="AC569" s="661"/>
      <c r="AD569" s="606"/>
      <c r="AE569" s="606"/>
      <c r="AF569" s="606"/>
      <c r="AG569" s="606"/>
    </row>
    <row r="570" spans="1:33" s="612" customFormat="1" hidden="1" outlineLevel="3" x14ac:dyDescent="0.2">
      <c r="A570" s="606"/>
      <c r="B570" s="606"/>
      <c r="C570" s="607"/>
      <c r="D570" s="608"/>
      <c r="E570" s="608"/>
      <c r="F570" s="608"/>
      <c r="G570" s="608"/>
      <c r="H570" s="609"/>
      <c r="I570" s="660"/>
      <c r="J570" s="660"/>
      <c r="K570" s="660"/>
      <c r="L570" s="660"/>
      <c r="M570" s="660"/>
      <c r="N570" s="660"/>
      <c r="O570" s="660"/>
      <c r="P570" s="660"/>
      <c r="Q570" s="660"/>
      <c r="R570" s="660"/>
      <c r="S570" s="660"/>
      <c r="T570" s="660"/>
      <c r="U570" s="660"/>
      <c r="V570" s="660"/>
      <c r="W570" s="660"/>
      <c r="X570" s="660"/>
      <c r="Y570" s="660"/>
      <c r="Z570" s="660"/>
      <c r="AA570" s="660"/>
      <c r="AB570" s="660"/>
      <c r="AC570" s="661"/>
      <c r="AD570" s="606"/>
      <c r="AE570" s="606"/>
      <c r="AF570" s="606"/>
      <c r="AG570" s="606"/>
    </row>
    <row r="571" spans="1:33" s="612" customFormat="1" hidden="1" outlineLevel="3" x14ac:dyDescent="0.2">
      <c r="A571" s="606"/>
      <c r="B571" s="606"/>
      <c r="C571" s="607"/>
      <c r="D571" s="608"/>
      <c r="E571" s="608"/>
      <c r="F571" s="608"/>
      <c r="G571" s="608"/>
      <c r="H571" s="609"/>
      <c r="I571" s="660"/>
      <c r="J571" s="660"/>
      <c r="K571" s="660"/>
      <c r="L571" s="660"/>
      <c r="M571" s="660"/>
      <c r="N571" s="660"/>
      <c r="O571" s="660"/>
      <c r="P571" s="660"/>
      <c r="Q571" s="660"/>
      <c r="R571" s="660"/>
      <c r="S571" s="660"/>
      <c r="T571" s="660"/>
      <c r="U571" s="660"/>
      <c r="V571" s="660"/>
      <c r="W571" s="660"/>
      <c r="X571" s="660"/>
      <c r="Y571" s="660"/>
      <c r="Z571" s="660"/>
      <c r="AA571" s="660"/>
      <c r="AB571" s="660"/>
      <c r="AC571" s="661"/>
      <c r="AD571" s="606"/>
      <c r="AE571" s="606"/>
      <c r="AF571" s="606"/>
      <c r="AG571" s="606"/>
    </row>
    <row r="572" spans="1:33" s="612" customFormat="1" hidden="1" outlineLevel="3" x14ac:dyDescent="0.2">
      <c r="A572" s="606"/>
      <c r="B572" s="606"/>
      <c r="C572" s="607"/>
      <c r="D572" s="608"/>
      <c r="E572" s="608"/>
      <c r="F572" s="608"/>
      <c r="G572" s="608"/>
      <c r="H572" s="609"/>
      <c r="I572" s="660"/>
      <c r="J572" s="660"/>
      <c r="K572" s="660"/>
      <c r="L572" s="660"/>
      <c r="M572" s="660"/>
      <c r="N572" s="660"/>
      <c r="O572" s="660"/>
      <c r="P572" s="660"/>
      <c r="Q572" s="660"/>
      <c r="R572" s="660"/>
      <c r="S572" s="660"/>
      <c r="T572" s="660"/>
      <c r="U572" s="660"/>
      <c r="V572" s="660"/>
      <c r="W572" s="660"/>
      <c r="X572" s="660"/>
      <c r="Y572" s="660"/>
      <c r="Z572" s="660"/>
      <c r="AA572" s="660"/>
      <c r="AB572" s="660"/>
      <c r="AC572" s="661"/>
      <c r="AD572" s="606"/>
      <c r="AE572" s="606"/>
      <c r="AF572" s="606"/>
      <c r="AG572" s="606"/>
    </row>
    <row r="573" spans="1:33" s="612" customFormat="1" hidden="1" outlineLevel="3" x14ac:dyDescent="0.2">
      <c r="A573" s="606"/>
      <c r="B573" s="606"/>
      <c r="C573" s="607"/>
      <c r="D573" s="608"/>
      <c r="E573" s="608"/>
      <c r="F573" s="608"/>
      <c r="G573" s="608"/>
      <c r="H573" s="609"/>
      <c r="I573" s="660"/>
      <c r="J573" s="660"/>
      <c r="K573" s="660"/>
      <c r="L573" s="660"/>
      <c r="M573" s="660"/>
      <c r="N573" s="660"/>
      <c r="O573" s="660"/>
      <c r="P573" s="660"/>
      <c r="Q573" s="660"/>
      <c r="R573" s="660"/>
      <c r="S573" s="660"/>
      <c r="T573" s="660"/>
      <c r="U573" s="660"/>
      <c r="V573" s="660"/>
      <c r="W573" s="660"/>
      <c r="X573" s="660"/>
      <c r="Y573" s="660"/>
      <c r="Z573" s="660"/>
      <c r="AA573" s="660"/>
      <c r="AB573" s="660"/>
      <c r="AC573" s="661"/>
      <c r="AD573" s="606"/>
      <c r="AE573" s="606"/>
      <c r="AF573" s="606"/>
      <c r="AG573" s="606"/>
    </row>
    <row r="574" spans="1:33" s="612" customFormat="1" hidden="1" outlineLevel="3" x14ac:dyDescent="0.2">
      <c r="A574" s="606"/>
      <c r="B574" s="606"/>
      <c r="C574" s="607"/>
      <c r="D574" s="608"/>
      <c r="E574" s="608"/>
      <c r="F574" s="608"/>
      <c r="G574" s="608"/>
      <c r="H574" s="609"/>
      <c r="I574" s="660"/>
      <c r="J574" s="660"/>
      <c r="K574" s="660"/>
      <c r="L574" s="660"/>
      <c r="M574" s="660"/>
      <c r="N574" s="660"/>
      <c r="O574" s="660"/>
      <c r="P574" s="660"/>
      <c r="Q574" s="660"/>
      <c r="R574" s="660"/>
      <c r="S574" s="660"/>
      <c r="T574" s="660"/>
      <c r="U574" s="660"/>
      <c r="V574" s="660"/>
      <c r="W574" s="660"/>
      <c r="X574" s="660"/>
      <c r="Y574" s="660"/>
      <c r="Z574" s="660"/>
      <c r="AA574" s="660"/>
      <c r="AB574" s="660"/>
      <c r="AC574" s="661"/>
      <c r="AD574" s="606"/>
      <c r="AE574" s="606"/>
      <c r="AF574" s="606"/>
      <c r="AG574" s="606"/>
    </row>
    <row r="575" spans="1:33" s="612" customFormat="1" hidden="1" outlineLevel="3" x14ac:dyDescent="0.2">
      <c r="A575" s="606"/>
      <c r="B575" s="606"/>
      <c r="C575" s="607"/>
      <c r="D575" s="608"/>
      <c r="E575" s="608"/>
      <c r="F575" s="608"/>
      <c r="G575" s="608"/>
      <c r="H575" s="609"/>
      <c r="I575" s="660"/>
      <c r="J575" s="660"/>
      <c r="K575" s="660"/>
      <c r="L575" s="660"/>
      <c r="M575" s="660"/>
      <c r="N575" s="660"/>
      <c r="O575" s="660"/>
      <c r="P575" s="660"/>
      <c r="Q575" s="660"/>
      <c r="R575" s="660"/>
      <c r="S575" s="660"/>
      <c r="T575" s="660"/>
      <c r="U575" s="660"/>
      <c r="V575" s="660"/>
      <c r="W575" s="660"/>
      <c r="X575" s="660"/>
      <c r="Y575" s="660"/>
      <c r="Z575" s="660"/>
      <c r="AA575" s="660"/>
      <c r="AB575" s="660"/>
      <c r="AC575" s="661"/>
      <c r="AD575" s="606"/>
      <c r="AE575" s="606"/>
      <c r="AF575" s="606"/>
      <c r="AG575" s="606"/>
    </row>
    <row r="576" spans="1:33" s="612" customFormat="1" hidden="1" outlineLevel="3" x14ac:dyDescent="0.2">
      <c r="A576" s="606"/>
      <c r="B576" s="606"/>
      <c r="C576" s="607"/>
      <c r="D576" s="608"/>
      <c r="E576" s="608"/>
      <c r="F576" s="608"/>
      <c r="G576" s="608"/>
      <c r="H576" s="609"/>
      <c r="I576" s="660"/>
      <c r="J576" s="660"/>
      <c r="K576" s="660"/>
      <c r="L576" s="660"/>
      <c r="M576" s="660"/>
      <c r="N576" s="660"/>
      <c r="O576" s="660"/>
      <c r="P576" s="660"/>
      <c r="Q576" s="660"/>
      <c r="R576" s="660"/>
      <c r="S576" s="660"/>
      <c r="T576" s="660"/>
      <c r="U576" s="660"/>
      <c r="V576" s="660"/>
      <c r="W576" s="660"/>
      <c r="X576" s="660"/>
      <c r="Y576" s="660"/>
      <c r="Z576" s="660"/>
      <c r="AA576" s="660"/>
      <c r="AB576" s="660"/>
      <c r="AC576" s="661"/>
      <c r="AD576" s="606"/>
      <c r="AE576" s="606"/>
      <c r="AF576" s="606"/>
      <c r="AG576" s="606"/>
    </row>
    <row r="577" spans="1:33" s="612" customFormat="1" hidden="1" outlineLevel="3" x14ac:dyDescent="0.2">
      <c r="A577" s="606"/>
      <c r="B577" s="606"/>
      <c r="C577" s="607"/>
      <c r="D577" s="608"/>
      <c r="E577" s="608"/>
      <c r="F577" s="608"/>
      <c r="G577" s="608"/>
      <c r="H577" s="609"/>
      <c r="I577" s="660"/>
      <c r="J577" s="660"/>
      <c r="K577" s="660"/>
      <c r="L577" s="660"/>
      <c r="M577" s="660"/>
      <c r="N577" s="660"/>
      <c r="O577" s="660"/>
      <c r="P577" s="660"/>
      <c r="Q577" s="660"/>
      <c r="R577" s="660"/>
      <c r="S577" s="660"/>
      <c r="T577" s="660"/>
      <c r="U577" s="660"/>
      <c r="V577" s="660"/>
      <c r="W577" s="660"/>
      <c r="X577" s="660"/>
      <c r="Y577" s="660"/>
      <c r="Z577" s="660"/>
      <c r="AA577" s="660"/>
      <c r="AB577" s="660"/>
      <c r="AC577" s="661"/>
      <c r="AD577" s="606"/>
      <c r="AE577" s="606"/>
      <c r="AF577" s="606"/>
      <c r="AG577" s="606"/>
    </row>
    <row r="578" spans="1:33" s="612" customFormat="1" hidden="1" outlineLevel="3" x14ac:dyDescent="0.2">
      <c r="A578" s="606"/>
      <c r="B578" s="606"/>
      <c r="C578" s="607"/>
      <c r="D578" s="608"/>
      <c r="E578" s="608"/>
      <c r="F578" s="608"/>
      <c r="G578" s="608"/>
      <c r="H578" s="609"/>
      <c r="I578" s="660"/>
      <c r="J578" s="660"/>
      <c r="K578" s="660"/>
      <c r="L578" s="660"/>
      <c r="M578" s="660"/>
      <c r="N578" s="660"/>
      <c r="O578" s="660"/>
      <c r="P578" s="660"/>
      <c r="Q578" s="660"/>
      <c r="R578" s="660"/>
      <c r="S578" s="660"/>
      <c r="T578" s="660"/>
      <c r="U578" s="660"/>
      <c r="V578" s="660"/>
      <c r="W578" s="660"/>
      <c r="X578" s="660"/>
      <c r="Y578" s="660"/>
      <c r="Z578" s="660"/>
      <c r="AA578" s="660"/>
      <c r="AB578" s="660"/>
      <c r="AC578" s="661"/>
      <c r="AD578" s="606"/>
      <c r="AE578" s="606"/>
      <c r="AF578" s="606"/>
      <c r="AG578" s="606"/>
    </row>
    <row r="579" spans="1:33" s="612" customFormat="1" hidden="1" outlineLevel="3" x14ac:dyDescent="0.2">
      <c r="A579" s="606"/>
      <c r="B579" s="606"/>
      <c r="C579" s="607"/>
      <c r="D579" s="608"/>
      <c r="E579" s="608"/>
      <c r="F579" s="608"/>
      <c r="G579" s="608"/>
      <c r="H579" s="609"/>
      <c r="I579" s="660"/>
      <c r="J579" s="660"/>
      <c r="K579" s="660"/>
      <c r="L579" s="660"/>
      <c r="M579" s="660"/>
      <c r="N579" s="660"/>
      <c r="O579" s="660"/>
      <c r="P579" s="660"/>
      <c r="Q579" s="660"/>
      <c r="R579" s="660"/>
      <c r="S579" s="660"/>
      <c r="T579" s="660"/>
      <c r="U579" s="660"/>
      <c r="V579" s="660"/>
      <c r="W579" s="660"/>
      <c r="X579" s="660"/>
      <c r="Y579" s="660"/>
      <c r="Z579" s="660"/>
      <c r="AA579" s="660"/>
      <c r="AB579" s="660"/>
      <c r="AC579" s="661"/>
      <c r="AD579" s="606"/>
      <c r="AE579" s="606"/>
      <c r="AF579" s="606"/>
      <c r="AG579" s="606"/>
    </row>
    <row r="580" spans="1:33" s="612" customFormat="1" hidden="1" outlineLevel="3" x14ac:dyDescent="0.2">
      <c r="A580" s="606"/>
      <c r="B580" s="606"/>
      <c r="C580" s="607"/>
      <c r="D580" s="608"/>
      <c r="E580" s="608"/>
      <c r="F580" s="608"/>
      <c r="G580" s="608"/>
      <c r="H580" s="609"/>
      <c r="I580" s="660"/>
      <c r="J580" s="660"/>
      <c r="K580" s="660"/>
      <c r="L580" s="660"/>
      <c r="M580" s="660"/>
      <c r="N580" s="660"/>
      <c r="O580" s="660"/>
      <c r="P580" s="660"/>
      <c r="Q580" s="660"/>
      <c r="R580" s="660"/>
      <c r="S580" s="660"/>
      <c r="T580" s="660"/>
      <c r="U580" s="660"/>
      <c r="V580" s="660"/>
      <c r="W580" s="660"/>
      <c r="X580" s="660"/>
      <c r="Y580" s="660"/>
      <c r="Z580" s="660"/>
      <c r="AA580" s="660"/>
      <c r="AB580" s="660"/>
      <c r="AC580" s="661"/>
      <c r="AD580" s="606"/>
      <c r="AE580" s="606"/>
      <c r="AF580" s="606"/>
      <c r="AG580" s="606"/>
    </row>
    <row r="581" spans="1:33" s="612" customFormat="1" hidden="1" outlineLevel="3" x14ac:dyDescent="0.2">
      <c r="A581" s="606"/>
      <c r="B581" s="606"/>
      <c r="C581" s="607"/>
      <c r="D581" s="608"/>
      <c r="E581" s="608"/>
      <c r="F581" s="608"/>
      <c r="G581" s="608"/>
      <c r="H581" s="609"/>
      <c r="I581" s="660"/>
      <c r="J581" s="660"/>
      <c r="K581" s="660"/>
      <c r="L581" s="660"/>
      <c r="M581" s="660"/>
      <c r="N581" s="660"/>
      <c r="O581" s="660"/>
      <c r="P581" s="660"/>
      <c r="Q581" s="660"/>
      <c r="R581" s="660"/>
      <c r="S581" s="660"/>
      <c r="T581" s="660"/>
      <c r="U581" s="660"/>
      <c r="V581" s="660"/>
      <c r="W581" s="660"/>
      <c r="X581" s="660"/>
      <c r="Y581" s="660"/>
      <c r="Z581" s="660"/>
      <c r="AA581" s="660"/>
      <c r="AB581" s="660"/>
      <c r="AC581" s="661"/>
      <c r="AD581" s="606"/>
      <c r="AE581" s="606"/>
      <c r="AF581" s="606"/>
      <c r="AG581" s="606"/>
    </row>
    <row r="582" spans="1:33" s="612" customFormat="1" outlineLevel="2" collapsed="1" x14ac:dyDescent="0.2">
      <c r="A582" s="606"/>
      <c r="B582" s="606"/>
      <c r="C582" s="613"/>
      <c r="D582" s="609"/>
      <c r="E582" s="609"/>
      <c r="F582" s="609"/>
      <c r="G582" s="609"/>
      <c r="H582" s="609"/>
      <c r="I582" s="662"/>
      <c r="J582" s="662"/>
      <c r="K582" s="661"/>
      <c r="L582" s="661"/>
      <c r="M582" s="661"/>
      <c r="N582" s="663"/>
      <c r="O582" s="663"/>
      <c r="P582" s="663"/>
      <c r="Q582" s="663"/>
      <c r="R582" s="663"/>
      <c r="S582" s="661"/>
      <c r="T582" s="661"/>
      <c r="U582" s="661"/>
      <c r="V582" s="661"/>
      <c r="W582" s="661"/>
      <c r="X582" s="661"/>
      <c r="Y582" s="661"/>
      <c r="Z582" s="661"/>
      <c r="AA582" s="661"/>
      <c r="AB582" s="661"/>
      <c r="AC582" s="661"/>
      <c r="AD582" s="606"/>
      <c r="AE582" s="606"/>
      <c r="AF582" s="606"/>
      <c r="AG582" s="606"/>
    </row>
    <row r="583" spans="1:33" s="612" customFormat="1" outlineLevel="1" x14ac:dyDescent="0.2">
      <c r="A583" s="606"/>
      <c r="B583" s="606"/>
      <c r="C583" s="613"/>
      <c r="D583" s="609"/>
      <c r="E583" s="609"/>
      <c r="F583" s="609"/>
      <c r="G583" s="609"/>
      <c r="H583" s="609"/>
      <c r="I583" s="662"/>
      <c r="J583" s="662"/>
      <c r="K583" s="661"/>
      <c r="L583" s="661"/>
      <c r="M583" s="661"/>
      <c r="N583" s="663"/>
      <c r="O583" s="663"/>
      <c r="P583" s="663"/>
      <c r="Q583" s="663"/>
      <c r="R583" s="663"/>
      <c r="S583" s="661"/>
      <c r="T583" s="661"/>
      <c r="U583" s="661"/>
      <c r="V583" s="661"/>
      <c r="W583" s="661"/>
      <c r="X583" s="661"/>
      <c r="Y583" s="661"/>
      <c r="Z583" s="661"/>
      <c r="AA583" s="661"/>
      <c r="AB583" s="661"/>
      <c r="AC583" s="661"/>
      <c r="AD583" s="606"/>
      <c r="AE583" s="606"/>
      <c r="AF583" s="606"/>
      <c r="AG583" s="606"/>
    </row>
    <row r="584" spans="1:33" s="612" customFormat="1" outlineLevel="1" x14ac:dyDescent="0.2">
      <c r="A584" s="606"/>
      <c r="B584" s="606"/>
      <c r="C584" s="616"/>
      <c r="D584" s="617"/>
      <c r="E584" s="617"/>
      <c r="F584" s="617"/>
      <c r="G584" s="618"/>
      <c r="H584" s="618"/>
      <c r="I584" s="661"/>
      <c r="J584" s="661"/>
      <c r="K584" s="661"/>
      <c r="L584" s="661"/>
      <c r="M584" s="661"/>
      <c r="N584" s="661"/>
      <c r="O584" s="661"/>
      <c r="P584" s="661"/>
      <c r="Q584" s="661"/>
      <c r="R584" s="661"/>
      <c r="S584" s="661"/>
      <c r="T584" s="661"/>
      <c r="U584" s="661"/>
      <c r="V584" s="661"/>
      <c r="W584" s="661"/>
      <c r="X584" s="661"/>
      <c r="Y584" s="661"/>
      <c r="Z584" s="661"/>
      <c r="AA584" s="661"/>
      <c r="AB584" s="661"/>
      <c r="AC584" s="661"/>
      <c r="AD584" s="606"/>
      <c r="AE584" s="606"/>
      <c r="AF584" s="606"/>
      <c r="AG584" s="606"/>
    </row>
    <row r="585" spans="1:33" s="612" customFormat="1" outlineLevel="2" x14ac:dyDescent="0.2">
      <c r="A585" s="606"/>
      <c r="B585" s="606"/>
      <c r="C585" s="607"/>
      <c r="D585" s="608"/>
      <c r="E585" s="608"/>
      <c r="F585" s="608"/>
      <c r="G585" s="608"/>
      <c r="H585" s="609"/>
      <c r="I585" s="660"/>
      <c r="J585" s="660"/>
      <c r="K585" s="660"/>
      <c r="L585" s="660"/>
      <c r="M585" s="660"/>
      <c r="N585" s="660"/>
      <c r="O585" s="660"/>
      <c r="P585" s="660"/>
      <c r="Q585" s="660"/>
      <c r="R585" s="660"/>
      <c r="S585" s="660"/>
      <c r="T585" s="660"/>
      <c r="U585" s="660"/>
      <c r="V585" s="660"/>
      <c r="W585" s="660"/>
      <c r="X585" s="660"/>
      <c r="Y585" s="660"/>
      <c r="Z585" s="660"/>
      <c r="AA585" s="660"/>
      <c r="AB585" s="660"/>
      <c r="AC585" s="661"/>
      <c r="AD585" s="606"/>
      <c r="AE585" s="606"/>
      <c r="AF585" s="606"/>
      <c r="AG585" s="606"/>
    </row>
    <row r="586" spans="1:33" s="612" customFormat="1" outlineLevel="2" x14ac:dyDescent="0.2">
      <c r="A586" s="606"/>
      <c r="B586" s="606"/>
      <c r="C586" s="607"/>
      <c r="D586" s="608"/>
      <c r="E586" s="608"/>
      <c r="F586" s="608"/>
      <c r="G586" s="608"/>
      <c r="H586" s="609"/>
      <c r="I586" s="660"/>
      <c r="J586" s="660"/>
      <c r="K586" s="660"/>
      <c r="L586" s="660"/>
      <c r="M586" s="660"/>
      <c r="N586" s="660"/>
      <c r="O586" s="660"/>
      <c r="P586" s="660"/>
      <c r="Q586" s="660"/>
      <c r="R586" s="660"/>
      <c r="S586" s="660"/>
      <c r="T586" s="660"/>
      <c r="U586" s="660"/>
      <c r="V586" s="660"/>
      <c r="W586" s="660"/>
      <c r="X586" s="660"/>
      <c r="Y586" s="660"/>
      <c r="Z586" s="660"/>
      <c r="AA586" s="660"/>
      <c r="AB586" s="660"/>
      <c r="AC586" s="661"/>
      <c r="AD586" s="606"/>
      <c r="AE586" s="606"/>
      <c r="AF586" s="606"/>
      <c r="AG586" s="606"/>
    </row>
    <row r="587" spans="1:33" s="612" customFormat="1" outlineLevel="2" x14ac:dyDescent="0.2">
      <c r="A587" s="606"/>
      <c r="B587" s="606"/>
      <c r="C587" s="607"/>
      <c r="D587" s="608"/>
      <c r="E587" s="608"/>
      <c r="F587" s="608"/>
      <c r="G587" s="608"/>
      <c r="H587" s="609"/>
      <c r="I587" s="660"/>
      <c r="J587" s="660"/>
      <c r="K587" s="660"/>
      <c r="L587" s="660"/>
      <c r="M587" s="660"/>
      <c r="N587" s="660"/>
      <c r="O587" s="660"/>
      <c r="P587" s="660"/>
      <c r="Q587" s="660"/>
      <c r="R587" s="660"/>
      <c r="S587" s="660"/>
      <c r="T587" s="660"/>
      <c r="U587" s="660"/>
      <c r="V587" s="660"/>
      <c r="W587" s="660"/>
      <c r="X587" s="660"/>
      <c r="Y587" s="660"/>
      <c r="Z587" s="660"/>
      <c r="AA587" s="660"/>
      <c r="AB587" s="660"/>
      <c r="AC587" s="661"/>
      <c r="AD587" s="606"/>
      <c r="AE587" s="606"/>
      <c r="AF587" s="606"/>
      <c r="AG587" s="606"/>
    </row>
    <row r="588" spans="1:33" s="612" customFormat="1" outlineLevel="2" x14ac:dyDescent="0.2">
      <c r="A588" s="606"/>
      <c r="B588" s="606"/>
      <c r="C588" s="607"/>
      <c r="D588" s="608"/>
      <c r="E588" s="608"/>
      <c r="F588" s="608"/>
      <c r="G588" s="608"/>
      <c r="H588" s="609"/>
      <c r="I588" s="660"/>
      <c r="J588" s="660"/>
      <c r="K588" s="660"/>
      <c r="L588" s="660"/>
      <c r="M588" s="660"/>
      <c r="N588" s="660"/>
      <c r="O588" s="660"/>
      <c r="P588" s="660"/>
      <c r="Q588" s="660"/>
      <c r="R588" s="660"/>
      <c r="S588" s="660"/>
      <c r="T588" s="660"/>
      <c r="U588" s="660"/>
      <c r="V588" s="660"/>
      <c r="W588" s="660"/>
      <c r="X588" s="660"/>
      <c r="Y588" s="660"/>
      <c r="Z588" s="660"/>
      <c r="AA588" s="660"/>
      <c r="AB588" s="660"/>
      <c r="AC588" s="661"/>
      <c r="AD588" s="606"/>
      <c r="AE588" s="606"/>
      <c r="AF588" s="606"/>
      <c r="AG588" s="606"/>
    </row>
    <row r="589" spans="1:33" s="612" customFormat="1" outlineLevel="2" x14ac:dyDescent="0.2">
      <c r="A589" s="606"/>
      <c r="B589" s="606"/>
      <c r="C589" s="607"/>
      <c r="D589" s="608"/>
      <c r="E589" s="608"/>
      <c r="F589" s="608"/>
      <c r="G589" s="608"/>
      <c r="H589" s="609"/>
      <c r="I589" s="660"/>
      <c r="J589" s="660"/>
      <c r="K589" s="660"/>
      <c r="L589" s="660"/>
      <c r="M589" s="660"/>
      <c r="N589" s="660"/>
      <c r="O589" s="660"/>
      <c r="P589" s="660"/>
      <c r="Q589" s="660"/>
      <c r="R589" s="660"/>
      <c r="S589" s="660"/>
      <c r="T589" s="660"/>
      <c r="U589" s="660"/>
      <c r="V589" s="660"/>
      <c r="W589" s="660"/>
      <c r="X589" s="660"/>
      <c r="Y589" s="660"/>
      <c r="Z589" s="660"/>
      <c r="AA589" s="660"/>
      <c r="AB589" s="660"/>
      <c r="AC589" s="661"/>
      <c r="AD589" s="606"/>
      <c r="AE589" s="606"/>
      <c r="AF589" s="606"/>
      <c r="AG589" s="606"/>
    </row>
    <row r="590" spans="1:33" s="612" customFormat="1" outlineLevel="2" x14ac:dyDescent="0.2">
      <c r="A590" s="606"/>
      <c r="B590" s="606"/>
      <c r="C590" s="607"/>
      <c r="D590" s="608"/>
      <c r="E590" s="608"/>
      <c r="F590" s="608"/>
      <c r="G590" s="608"/>
      <c r="H590" s="609"/>
      <c r="I590" s="660"/>
      <c r="J590" s="660"/>
      <c r="K590" s="660"/>
      <c r="L590" s="660"/>
      <c r="M590" s="660"/>
      <c r="N590" s="660"/>
      <c r="O590" s="660"/>
      <c r="P590" s="660"/>
      <c r="Q590" s="660"/>
      <c r="R590" s="660"/>
      <c r="S590" s="660"/>
      <c r="T590" s="660"/>
      <c r="U590" s="660"/>
      <c r="V590" s="660"/>
      <c r="W590" s="660"/>
      <c r="X590" s="660"/>
      <c r="Y590" s="660"/>
      <c r="Z590" s="660"/>
      <c r="AA590" s="660"/>
      <c r="AB590" s="660"/>
      <c r="AC590" s="661"/>
      <c r="AD590" s="606"/>
      <c r="AE590" s="606"/>
      <c r="AF590" s="606"/>
      <c r="AG590" s="606"/>
    </row>
    <row r="591" spans="1:33" s="612" customFormat="1" outlineLevel="2" x14ac:dyDescent="0.2">
      <c r="A591" s="606"/>
      <c r="B591" s="606"/>
      <c r="C591" s="607"/>
      <c r="D591" s="608"/>
      <c r="E591" s="608"/>
      <c r="F591" s="608"/>
      <c r="G591" s="608"/>
      <c r="H591" s="609"/>
      <c r="I591" s="660"/>
      <c r="J591" s="660"/>
      <c r="K591" s="660"/>
      <c r="L591" s="660"/>
      <c r="M591" s="660"/>
      <c r="N591" s="660"/>
      <c r="O591" s="660"/>
      <c r="P591" s="660"/>
      <c r="Q591" s="660"/>
      <c r="R591" s="660"/>
      <c r="S591" s="660"/>
      <c r="T591" s="660"/>
      <c r="U591" s="660"/>
      <c r="V591" s="660"/>
      <c r="W591" s="660"/>
      <c r="X591" s="660"/>
      <c r="Y591" s="660"/>
      <c r="Z591" s="660"/>
      <c r="AA591" s="660"/>
      <c r="AB591" s="660"/>
      <c r="AC591" s="661"/>
      <c r="AD591" s="606"/>
      <c r="AE591" s="606"/>
      <c r="AF591" s="606"/>
      <c r="AG591" s="606"/>
    </row>
    <row r="592" spans="1:33" s="612" customFormat="1" outlineLevel="2" x14ac:dyDescent="0.2">
      <c r="A592" s="606"/>
      <c r="B592" s="606"/>
      <c r="C592" s="607"/>
      <c r="D592" s="608"/>
      <c r="E592" s="608"/>
      <c r="F592" s="608"/>
      <c r="G592" s="608"/>
      <c r="H592" s="609"/>
      <c r="I592" s="660"/>
      <c r="J592" s="660"/>
      <c r="K592" s="660"/>
      <c r="L592" s="660"/>
      <c r="M592" s="660"/>
      <c r="N592" s="660"/>
      <c r="O592" s="660"/>
      <c r="P592" s="660"/>
      <c r="Q592" s="660"/>
      <c r="R592" s="660"/>
      <c r="S592" s="660"/>
      <c r="T592" s="660"/>
      <c r="U592" s="660"/>
      <c r="V592" s="660"/>
      <c r="W592" s="660"/>
      <c r="X592" s="660"/>
      <c r="Y592" s="660"/>
      <c r="Z592" s="660"/>
      <c r="AA592" s="660"/>
      <c r="AB592" s="660"/>
      <c r="AC592" s="661"/>
      <c r="AD592" s="606"/>
      <c r="AE592" s="606"/>
      <c r="AF592" s="606"/>
      <c r="AG592" s="606"/>
    </row>
    <row r="593" spans="1:33" s="612" customFormat="1" outlineLevel="2" x14ac:dyDescent="0.2">
      <c r="A593" s="606"/>
      <c r="B593" s="606"/>
      <c r="C593" s="607"/>
      <c r="D593" s="608"/>
      <c r="E593" s="608"/>
      <c r="F593" s="608"/>
      <c r="G593" s="608"/>
      <c r="H593" s="609"/>
      <c r="I593" s="660"/>
      <c r="J593" s="660"/>
      <c r="K593" s="660"/>
      <c r="L593" s="660"/>
      <c r="M593" s="660"/>
      <c r="N593" s="660"/>
      <c r="O593" s="660"/>
      <c r="P593" s="660"/>
      <c r="Q593" s="660"/>
      <c r="R593" s="660"/>
      <c r="S593" s="660"/>
      <c r="T593" s="660"/>
      <c r="U593" s="660"/>
      <c r="V593" s="660"/>
      <c r="W593" s="660"/>
      <c r="X593" s="660"/>
      <c r="Y593" s="660"/>
      <c r="Z593" s="660"/>
      <c r="AA593" s="660"/>
      <c r="AB593" s="660"/>
      <c r="AC593" s="661"/>
      <c r="AD593" s="606"/>
      <c r="AE593" s="606"/>
      <c r="AF593" s="606"/>
      <c r="AG593" s="606"/>
    </row>
    <row r="594" spans="1:33" s="612" customFormat="1" outlineLevel="2" x14ac:dyDescent="0.2">
      <c r="A594" s="606"/>
      <c r="B594" s="606"/>
      <c r="C594" s="607"/>
      <c r="D594" s="608"/>
      <c r="E594" s="608"/>
      <c r="F594" s="608"/>
      <c r="G594" s="608"/>
      <c r="H594" s="609"/>
      <c r="I594" s="660"/>
      <c r="J594" s="660"/>
      <c r="K594" s="660"/>
      <c r="L594" s="660"/>
      <c r="M594" s="660"/>
      <c r="N594" s="660"/>
      <c r="O594" s="660"/>
      <c r="P594" s="660"/>
      <c r="Q594" s="660"/>
      <c r="R594" s="660"/>
      <c r="S594" s="660"/>
      <c r="T594" s="660"/>
      <c r="U594" s="660"/>
      <c r="V594" s="660"/>
      <c r="W594" s="660"/>
      <c r="X594" s="660"/>
      <c r="Y594" s="660"/>
      <c r="Z594" s="660"/>
      <c r="AA594" s="660"/>
      <c r="AB594" s="660"/>
      <c r="AC594" s="661"/>
      <c r="AD594" s="606"/>
      <c r="AE594" s="606"/>
      <c r="AF594" s="606"/>
      <c r="AG594" s="606"/>
    </row>
    <row r="595" spans="1:33" s="612" customFormat="1" outlineLevel="2" x14ac:dyDescent="0.2">
      <c r="A595" s="606"/>
      <c r="B595" s="606"/>
      <c r="C595" s="607"/>
      <c r="D595" s="608"/>
      <c r="E595" s="608"/>
      <c r="F595" s="608"/>
      <c r="G595" s="608"/>
      <c r="H595" s="609"/>
      <c r="I595" s="660"/>
      <c r="J595" s="660"/>
      <c r="K595" s="660"/>
      <c r="L595" s="660"/>
      <c r="M595" s="660"/>
      <c r="N595" s="660"/>
      <c r="O595" s="660"/>
      <c r="P595" s="660"/>
      <c r="Q595" s="660"/>
      <c r="R595" s="660"/>
      <c r="S595" s="660"/>
      <c r="T595" s="660"/>
      <c r="U595" s="660"/>
      <c r="V595" s="660"/>
      <c r="W595" s="660"/>
      <c r="X595" s="660"/>
      <c r="Y595" s="660"/>
      <c r="Z595" s="660"/>
      <c r="AA595" s="660"/>
      <c r="AB595" s="660"/>
      <c r="AC595" s="661"/>
      <c r="AD595" s="606"/>
      <c r="AE595" s="606"/>
      <c r="AF595" s="606"/>
      <c r="AG595" s="606"/>
    </row>
    <row r="596" spans="1:33" s="612" customFormat="1" outlineLevel="2" x14ac:dyDescent="0.2">
      <c r="A596" s="606"/>
      <c r="B596" s="606"/>
      <c r="C596" s="607"/>
      <c r="D596" s="608"/>
      <c r="E596" s="608"/>
      <c r="F596" s="608"/>
      <c r="G596" s="608"/>
      <c r="H596" s="609"/>
      <c r="I596" s="660"/>
      <c r="J596" s="660"/>
      <c r="K596" s="660"/>
      <c r="L596" s="660"/>
      <c r="M596" s="660"/>
      <c r="N596" s="660"/>
      <c r="O596" s="660"/>
      <c r="P596" s="660"/>
      <c r="Q596" s="660"/>
      <c r="R596" s="660"/>
      <c r="S596" s="660"/>
      <c r="T596" s="660"/>
      <c r="U596" s="660"/>
      <c r="V596" s="660"/>
      <c r="W596" s="660"/>
      <c r="X596" s="660"/>
      <c r="Y596" s="660"/>
      <c r="Z596" s="660"/>
      <c r="AA596" s="660"/>
      <c r="AB596" s="660"/>
      <c r="AC596" s="661"/>
      <c r="AD596" s="606"/>
      <c r="AE596" s="606"/>
      <c r="AF596" s="606"/>
      <c r="AG596" s="606"/>
    </row>
    <row r="597" spans="1:33" s="612" customFormat="1" outlineLevel="2" x14ac:dyDescent="0.2">
      <c r="A597" s="606"/>
      <c r="B597" s="606"/>
      <c r="C597" s="607"/>
      <c r="D597" s="608"/>
      <c r="E597" s="608"/>
      <c r="F597" s="608"/>
      <c r="G597" s="608"/>
      <c r="H597" s="609"/>
      <c r="I597" s="660"/>
      <c r="J597" s="660"/>
      <c r="K597" s="660"/>
      <c r="L597" s="660"/>
      <c r="M597" s="660"/>
      <c r="N597" s="660"/>
      <c r="O597" s="660"/>
      <c r="P597" s="660"/>
      <c r="Q597" s="660"/>
      <c r="R597" s="660"/>
      <c r="S597" s="660"/>
      <c r="T597" s="660"/>
      <c r="U597" s="660"/>
      <c r="V597" s="660"/>
      <c r="W597" s="660"/>
      <c r="X597" s="660"/>
      <c r="Y597" s="660"/>
      <c r="Z597" s="660"/>
      <c r="AA597" s="660"/>
      <c r="AB597" s="660"/>
      <c r="AC597" s="661"/>
      <c r="AD597" s="606"/>
      <c r="AE597" s="606"/>
      <c r="AF597" s="606"/>
      <c r="AG597" s="606"/>
    </row>
    <row r="598" spans="1:33" s="612" customFormat="1" outlineLevel="2" x14ac:dyDescent="0.2">
      <c r="A598" s="606"/>
      <c r="B598" s="606"/>
      <c r="C598" s="607"/>
      <c r="D598" s="608"/>
      <c r="E598" s="608"/>
      <c r="F598" s="608"/>
      <c r="G598" s="608"/>
      <c r="H598" s="609"/>
      <c r="I598" s="660"/>
      <c r="J598" s="660"/>
      <c r="K598" s="660"/>
      <c r="L598" s="660"/>
      <c r="M598" s="660"/>
      <c r="N598" s="660"/>
      <c r="O598" s="660"/>
      <c r="P598" s="660"/>
      <c r="Q598" s="660"/>
      <c r="R598" s="660"/>
      <c r="S598" s="660"/>
      <c r="T598" s="660"/>
      <c r="U598" s="660"/>
      <c r="V598" s="660"/>
      <c r="W598" s="660"/>
      <c r="X598" s="660"/>
      <c r="Y598" s="660"/>
      <c r="Z598" s="660"/>
      <c r="AA598" s="660"/>
      <c r="AB598" s="660"/>
      <c r="AC598" s="661"/>
      <c r="AD598" s="606"/>
      <c r="AE598" s="606"/>
      <c r="AF598" s="606"/>
      <c r="AG598" s="606"/>
    </row>
    <row r="599" spans="1:33" s="612" customFormat="1" outlineLevel="2" x14ac:dyDescent="0.2">
      <c r="A599" s="606"/>
      <c r="B599" s="606"/>
      <c r="C599" s="607"/>
      <c r="D599" s="608"/>
      <c r="E599" s="608"/>
      <c r="F599" s="608"/>
      <c r="G599" s="608"/>
      <c r="H599" s="609"/>
      <c r="I599" s="660"/>
      <c r="J599" s="660"/>
      <c r="K599" s="660"/>
      <c r="L599" s="660"/>
      <c r="M599" s="660"/>
      <c r="N599" s="660"/>
      <c r="O599" s="660"/>
      <c r="P599" s="660"/>
      <c r="Q599" s="660"/>
      <c r="R599" s="660"/>
      <c r="S599" s="660"/>
      <c r="T599" s="660"/>
      <c r="U599" s="660"/>
      <c r="V599" s="660"/>
      <c r="W599" s="660"/>
      <c r="X599" s="660"/>
      <c r="Y599" s="660"/>
      <c r="Z599" s="660"/>
      <c r="AA599" s="660"/>
      <c r="AB599" s="660"/>
      <c r="AC599" s="661"/>
      <c r="AD599" s="606"/>
      <c r="AE599" s="606"/>
      <c r="AF599" s="606"/>
      <c r="AG599" s="606"/>
    </row>
    <row r="600" spans="1:33" s="612" customFormat="1" outlineLevel="2" x14ac:dyDescent="0.2">
      <c r="A600" s="606"/>
      <c r="B600" s="606"/>
      <c r="C600" s="607"/>
      <c r="D600" s="608"/>
      <c r="E600" s="608"/>
      <c r="F600" s="608"/>
      <c r="G600" s="608"/>
      <c r="H600" s="609"/>
      <c r="I600" s="660"/>
      <c r="J600" s="660"/>
      <c r="K600" s="660"/>
      <c r="L600" s="660"/>
      <c r="M600" s="660"/>
      <c r="N600" s="660"/>
      <c r="O600" s="660"/>
      <c r="P600" s="660"/>
      <c r="Q600" s="660"/>
      <c r="R600" s="660"/>
      <c r="S600" s="660"/>
      <c r="T600" s="660"/>
      <c r="U600" s="660"/>
      <c r="V600" s="660"/>
      <c r="W600" s="660"/>
      <c r="X600" s="660"/>
      <c r="Y600" s="660"/>
      <c r="Z600" s="660"/>
      <c r="AA600" s="660"/>
      <c r="AB600" s="660"/>
      <c r="AC600" s="661"/>
      <c r="AD600" s="606"/>
      <c r="AE600" s="606"/>
      <c r="AF600" s="606"/>
      <c r="AG600" s="606"/>
    </row>
    <row r="601" spans="1:33" s="612" customFormat="1" outlineLevel="2" x14ac:dyDescent="0.2">
      <c r="A601" s="606"/>
      <c r="B601" s="606"/>
      <c r="C601" s="607"/>
      <c r="D601" s="608"/>
      <c r="E601" s="608"/>
      <c r="F601" s="608"/>
      <c r="G601" s="608"/>
      <c r="H601" s="609"/>
      <c r="I601" s="660"/>
      <c r="J601" s="660"/>
      <c r="K601" s="660"/>
      <c r="L601" s="660"/>
      <c r="M601" s="660"/>
      <c r="N601" s="660"/>
      <c r="O601" s="660"/>
      <c r="P601" s="660"/>
      <c r="Q601" s="660"/>
      <c r="R601" s="660"/>
      <c r="S601" s="660"/>
      <c r="T601" s="660"/>
      <c r="U601" s="660"/>
      <c r="V601" s="660"/>
      <c r="W601" s="660"/>
      <c r="X601" s="660"/>
      <c r="Y601" s="660"/>
      <c r="Z601" s="660"/>
      <c r="AA601" s="660"/>
      <c r="AB601" s="660"/>
      <c r="AC601" s="661"/>
      <c r="AD601" s="606"/>
      <c r="AE601" s="606"/>
      <c r="AF601" s="606"/>
      <c r="AG601" s="606"/>
    </row>
    <row r="602" spans="1:33" s="612" customFormat="1" outlineLevel="2" x14ac:dyDescent="0.2">
      <c r="A602" s="606"/>
      <c r="B602" s="606"/>
      <c r="C602" s="607"/>
      <c r="D602" s="608"/>
      <c r="E602" s="608"/>
      <c r="F602" s="608"/>
      <c r="G602" s="608"/>
      <c r="H602" s="609"/>
      <c r="I602" s="660"/>
      <c r="J602" s="660"/>
      <c r="K602" s="660"/>
      <c r="L602" s="660"/>
      <c r="M602" s="660"/>
      <c r="N602" s="660"/>
      <c r="O602" s="660"/>
      <c r="P602" s="660"/>
      <c r="Q602" s="660"/>
      <c r="R602" s="660"/>
      <c r="S602" s="660"/>
      <c r="T602" s="660"/>
      <c r="U602" s="660"/>
      <c r="V602" s="660"/>
      <c r="W602" s="660"/>
      <c r="X602" s="660"/>
      <c r="Y602" s="660"/>
      <c r="Z602" s="660"/>
      <c r="AA602" s="660"/>
      <c r="AB602" s="660"/>
      <c r="AC602" s="661"/>
      <c r="AD602" s="606"/>
      <c r="AE602" s="606"/>
      <c r="AF602" s="606"/>
      <c r="AG602" s="606"/>
    </row>
    <row r="603" spans="1:33" s="612" customFormat="1" outlineLevel="2" x14ac:dyDescent="0.2">
      <c r="A603" s="606"/>
      <c r="B603" s="606"/>
      <c r="C603" s="607"/>
      <c r="D603" s="608"/>
      <c r="E603" s="608"/>
      <c r="F603" s="608"/>
      <c r="G603" s="608"/>
      <c r="H603" s="609"/>
      <c r="I603" s="660"/>
      <c r="J603" s="660"/>
      <c r="K603" s="660"/>
      <c r="L603" s="660"/>
      <c r="M603" s="660"/>
      <c r="N603" s="660"/>
      <c r="O603" s="660"/>
      <c r="P603" s="660"/>
      <c r="Q603" s="660"/>
      <c r="R603" s="660"/>
      <c r="S603" s="660"/>
      <c r="T603" s="660"/>
      <c r="U603" s="660"/>
      <c r="V603" s="660"/>
      <c r="W603" s="660"/>
      <c r="X603" s="660"/>
      <c r="Y603" s="660"/>
      <c r="Z603" s="660"/>
      <c r="AA603" s="660"/>
      <c r="AB603" s="660"/>
      <c r="AC603" s="661"/>
      <c r="AD603" s="606"/>
      <c r="AE603" s="606"/>
      <c r="AF603" s="606"/>
      <c r="AG603" s="606"/>
    </row>
    <row r="604" spans="1:33" s="612" customFormat="1" outlineLevel="2" x14ac:dyDescent="0.2">
      <c r="A604" s="606"/>
      <c r="B604" s="606"/>
      <c r="C604" s="607"/>
      <c r="D604" s="608"/>
      <c r="E604" s="608"/>
      <c r="F604" s="608"/>
      <c r="G604" s="608"/>
      <c r="H604" s="609"/>
      <c r="I604" s="660"/>
      <c r="J604" s="660"/>
      <c r="K604" s="660"/>
      <c r="L604" s="660"/>
      <c r="M604" s="660"/>
      <c r="N604" s="660"/>
      <c r="O604" s="660"/>
      <c r="P604" s="660"/>
      <c r="Q604" s="660"/>
      <c r="R604" s="660"/>
      <c r="S604" s="660"/>
      <c r="T604" s="660"/>
      <c r="U604" s="660"/>
      <c r="V604" s="660"/>
      <c r="W604" s="660"/>
      <c r="X604" s="660"/>
      <c r="Y604" s="660"/>
      <c r="Z604" s="660"/>
      <c r="AA604" s="660"/>
      <c r="AB604" s="660"/>
      <c r="AC604" s="661"/>
      <c r="AD604" s="606"/>
      <c r="AE604" s="606"/>
      <c r="AF604" s="606"/>
      <c r="AG604" s="606"/>
    </row>
    <row r="605" spans="1:33" s="612" customFormat="1" outlineLevel="2" x14ac:dyDescent="0.2">
      <c r="A605" s="606"/>
      <c r="B605" s="606"/>
      <c r="C605" s="607"/>
      <c r="D605" s="608"/>
      <c r="E605" s="608"/>
      <c r="F605" s="608"/>
      <c r="G605" s="608"/>
      <c r="H605" s="609"/>
      <c r="I605" s="660"/>
      <c r="J605" s="660"/>
      <c r="K605" s="660"/>
      <c r="L605" s="660"/>
      <c r="M605" s="660"/>
      <c r="N605" s="660"/>
      <c r="O605" s="660"/>
      <c r="P605" s="660"/>
      <c r="Q605" s="660"/>
      <c r="R605" s="660"/>
      <c r="S605" s="660"/>
      <c r="T605" s="660"/>
      <c r="U605" s="660"/>
      <c r="V605" s="660"/>
      <c r="W605" s="660"/>
      <c r="X605" s="660"/>
      <c r="Y605" s="660"/>
      <c r="Z605" s="660"/>
      <c r="AA605" s="660"/>
      <c r="AB605" s="660"/>
      <c r="AC605" s="661"/>
      <c r="AD605" s="606"/>
      <c r="AE605" s="606"/>
      <c r="AF605" s="606"/>
      <c r="AG605" s="606"/>
    </row>
    <row r="606" spans="1:33" s="612" customFormat="1" outlineLevel="2" x14ac:dyDescent="0.2">
      <c r="A606" s="606"/>
      <c r="B606" s="606"/>
      <c r="C606" s="607"/>
      <c r="D606" s="608"/>
      <c r="E606" s="608"/>
      <c r="F606" s="608"/>
      <c r="G606" s="608"/>
      <c r="H606" s="609"/>
      <c r="I606" s="660"/>
      <c r="J606" s="660"/>
      <c r="K606" s="660"/>
      <c r="L606" s="660"/>
      <c r="M606" s="660"/>
      <c r="N606" s="660"/>
      <c r="O606" s="660"/>
      <c r="P606" s="660"/>
      <c r="Q606" s="660"/>
      <c r="R606" s="660"/>
      <c r="S606" s="660"/>
      <c r="T606" s="660"/>
      <c r="U606" s="660"/>
      <c r="V606" s="660"/>
      <c r="W606" s="660"/>
      <c r="X606" s="660"/>
      <c r="Y606" s="660"/>
      <c r="Z606" s="660"/>
      <c r="AA606" s="660"/>
      <c r="AB606" s="660"/>
      <c r="AC606" s="661"/>
      <c r="AD606" s="606"/>
      <c r="AE606" s="606"/>
      <c r="AF606" s="606"/>
      <c r="AG606" s="606"/>
    </row>
    <row r="607" spans="1:33" s="612" customFormat="1" outlineLevel="2" x14ac:dyDescent="0.2">
      <c r="A607" s="606"/>
      <c r="B607" s="606"/>
      <c r="C607" s="607"/>
      <c r="D607" s="608"/>
      <c r="E607" s="608"/>
      <c r="F607" s="608"/>
      <c r="G607" s="608"/>
      <c r="H607" s="609"/>
      <c r="I607" s="660"/>
      <c r="J607" s="660"/>
      <c r="K607" s="660"/>
      <c r="L607" s="660"/>
      <c r="M607" s="660"/>
      <c r="N607" s="660"/>
      <c r="O607" s="660"/>
      <c r="P607" s="660"/>
      <c r="Q607" s="660"/>
      <c r="R607" s="660"/>
      <c r="S607" s="660"/>
      <c r="T607" s="660"/>
      <c r="U607" s="660"/>
      <c r="V607" s="660"/>
      <c r="W607" s="660"/>
      <c r="X607" s="660"/>
      <c r="Y607" s="660"/>
      <c r="Z607" s="660"/>
      <c r="AA607" s="660"/>
      <c r="AB607" s="660"/>
      <c r="AC607" s="661"/>
      <c r="AD607" s="606"/>
      <c r="AE607" s="606"/>
      <c r="AF607" s="606"/>
      <c r="AG607" s="606"/>
    </row>
    <row r="608" spans="1:33" s="612" customFormat="1" outlineLevel="2" x14ac:dyDescent="0.2">
      <c r="A608" s="606"/>
      <c r="B608" s="606"/>
      <c r="C608" s="607"/>
      <c r="D608" s="608"/>
      <c r="E608" s="608"/>
      <c r="F608" s="608"/>
      <c r="G608" s="608"/>
      <c r="H608" s="609"/>
      <c r="I608" s="660"/>
      <c r="J608" s="660"/>
      <c r="K608" s="660"/>
      <c r="L608" s="660"/>
      <c r="M608" s="660"/>
      <c r="N608" s="660"/>
      <c r="O608" s="660"/>
      <c r="P608" s="660"/>
      <c r="Q608" s="660"/>
      <c r="R608" s="660"/>
      <c r="S608" s="660"/>
      <c r="T608" s="660"/>
      <c r="U608" s="660"/>
      <c r="V608" s="660"/>
      <c r="W608" s="660"/>
      <c r="X608" s="660"/>
      <c r="Y608" s="660"/>
      <c r="Z608" s="660"/>
      <c r="AA608" s="660"/>
      <c r="AB608" s="660"/>
      <c r="AC608" s="661"/>
      <c r="AD608" s="606"/>
      <c r="AE608" s="606"/>
      <c r="AF608" s="606"/>
      <c r="AG608" s="606"/>
    </row>
    <row r="609" spans="1:33" s="612" customFormat="1" outlineLevel="2" x14ac:dyDescent="0.2">
      <c r="A609" s="606"/>
      <c r="B609" s="606"/>
      <c r="C609" s="607"/>
      <c r="D609" s="608"/>
      <c r="E609" s="608"/>
      <c r="F609" s="608"/>
      <c r="G609" s="608"/>
      <c r="H609" s="609"/>
      <c r="I609" s="660"/>
      <c r="J609" s="660"/>
      <c r="K609" s="660"/>
      <c r="L609" s="660"/>
      <c r="M609" s="660"/>
      <c r="N609" s="660"/>
      <c r="O609" s="660"/>
      <c r="P609" s="660"/>
      <c r="Q609" s="660"/>
      <c r="R609" s="660"/>
      <c r="S609" s="660"/>
      <c r="T609" s="660"/>
      <c r="U609" s="660"/>
      <c r="V609" s="660"/>
      <c r="W609" s="660"/>
      <c r="X609" s="660"/>
      <c r="Y609" s="660"/>
      <c r="Z609" s="660"/>
      <c r="AA609" s="660"/>
      <c r="AB609" s="660"/>
      <c r="AC609" s="661"/>
      <c r="AD609" s="606"/>
      <c r="AE609" s="606"/>
      <c r="AF609" s="606"/>
      <c r="AG609" s="606"/>
    </row>
    <row r="610" spans="1:33" s="612" customFormat="1" outlineLevel="2" x14ac:dyDescent="0.2">
      <c r="A610" s="606"/>
      <c r="B610" s="606"/>
      <c r="C610" s="607"/>
      <c r="D610" s="608"/>
      <c r="E610" s="608"/>
      <c r="F610" s="608"/>
      <c r="G610" s="608"/>
      <c r="H610" s="609"/>
      <c r="I610" s="660"/>
      <c r="J610" s="660"/>
      <c r="K610" s="660"/>
      <c r="L610" s="660"/>
      <c r="M610" s="660"/>
      <c r="N610" s="660"/>
      <c r="O610" s="660"/>
      <c r="P610" s="660"/>
      <c r="Q610" s="660"/>
      <c r="R610" s="660"/>
      <c r="S610" s="660"/>
      <c r="T610" s="660"/>
      <c r="U610" s="660"/>
      <c r="V610" s="660"/>
      <c r="W610" s="660"/>
      <c r="X610" s="660"/>
      <c r="Y610" s="660"/>
      <c r="Z610" s="660"/>
      <c r="AA610" s="660"/>
      <c r="AB610" s="660"/>
      <c r="AC610" s="661"/>
      <c r="AD610" s="606"/>
      <c r="AE610" s="606"/>
      <c r="AF610" s="606"/>
      <c r="AG610" s="606"/>
    </row>
    <row r="611" spans="1:33" s="612" customFormat="1" outlineLevel="2" x14ac:dyDescent="0.2">
      <c r="A611" s="606"/>
      <c r="B611" s="606"/>
      <c r="C611" s="607"/>
      <c r="D611" s="608"/>
      <c r="E611" s="608"/>
      <c r="F611" s="608"/>
      <c r="G611" s="608"/>
      <c r="H611" s="609"/>
      <c r="I611" s="660"/>
      <c r="J611" s="660"/>
      <c r="K611" s="660"/>
      <c r="L611" s="660"/>
      <c r="M611" s="660"/>
      <c r="N611" s="660"/>
      <c r="O611" s="660"/>
      <c r="P611" s="660"/>
      <c r="Q611" s="660"/>
      <c r="R611" s="660"/>
      <c r="S611" s="660"/>
      <c r="T611" s="660"/>
      <c r="U611" s="660"/>
      <c r="V611" s="660"/>
      <c r="W611" s="660"/>
      <c r="X611" s="660"/>
      <c r="Y611" s="660"/>
      <c r="Z611" s="660"/>
      <c r="AA611" s="660"/>
      <c r="AB611" s="660"/>
      <c r="AC611" s="661"/>
      <c r="AD611" s="606"/>
      <c r="AE611" s="606"/>
      <c r="AF611" s="606"/>
      <c r="AG611" s="606"/>
    </row>
    <row r="612" spans="1:33" s="612" customFormat="1" outlineLevel="2" x14ac:dyDescent="0.2">
      <c r="A612" s="606"/>
      <c r="B612" s="606"/>
      <c r="C612" s="607"/>
      <c r="D612" s="608"/>
      <c r="E612" s="608"/>
      <c r="F612" s="608"/>
      <c r="G612" s="608"/>
      <c r="H612" s="609"/>
      <c r="I612" s="660"/>
      <c r="J612" s="660"/>
      <c r="K612" s="660"/>
      <c r="L612" s="660"/>
      <c r="M612" s="660"/>
      <c r="N612" s="660"/>
      <c r="O612" s="660"/>
      <c r="P612" s="660"/>
      <c r="Q612" s="660"/>
      <c r="R612" s="660"/>
      <c r="S612" s="660"/>
      <c r="T612" s="660"/>
      <c r="U612" s="660"/>
      <c r="V612" s="660"/>
      <c r="W612" s="660"/>
      <c r="X612" s="660"/>
      <c r="Y612" s="660"/>
      <c r="Z612" s="660"/>
      <c r="AA612" s="660"/>
      <c r="AB612" s="660"/>
      <c r="AC612" s="661"/>
      <c r="AD612" s="606"/>
      <c r="AE612" s="606"/>
      <c r="AF612" s="606"/>
      <c r="AG612" s="606"/>
    </row>
    <row r="613" spans="1:33" s="612" customFormat="1" outlineLevel="2" x14ac:dyDescent="0.2">
      <c r="A613" s="606"/>
      <c r="B613" s="606"/>
      <c r="C613" s="607"/>
      <c r="D613" s="608"/>
      <c r="E613" s="608"/>
      <c r="F613" s="608"/>
      <c r="G613" s="608"/>
      <c r="H613" s="609"/>
      <c r="I613" s="660"/>
      <c r="J613" s="660"/>
      <c r="K613" s="660"/>
      <c r="L613" s="660"/>
      <c r="M613" s="660"/>
      <c r="N613" s="660"/>
      <c r="O613" s="660"/>
      <c r="P613" s="660"/>
      <c r="Q613" s="660"/>
      <c r="R613" s="660"/>
      <c r="S613" s="660"/>
      <c r="T613" s="660"/>
      <c r="U613" s="660"/>
      <c r="V613" s="660"/>
      <c r="W613" s="660"/>
      <c r="X613" s="660"/>
      <c r="Y613" s="660"/>
      <c r="Z613" s="660"/>
      <c r="AA613" s="660"/>
      <c r="AB613" s="660"/>
      <c r="AC613" s="661"/>
      <c r="AD613" s="606"/>
      <c r="AE613" s="606"/>
      <c r="AF613" s="606"/>
      <c r="AG613" s="606"/>
    </row>
    <row r="614" spans="1:33" s="612" customFormat="1" outlineLevel="2" x14ac:dyDescent="0.2">
      <c r="A614" s="606"/>
      <c r="B614" s="606"/>
      <c r="C614" s="607"/>
      <c r="D614" s="608"/>
      <c r="E614" s="608"/>
      <c r="F614" s="608"/>
      <c r="G614" s="608"/>
      <c r="H614" s="609"/>
      <c r="I614" s="660"/>
      <c r="J614" s="660"/>
      <c r="K614" s="660"/>
      <c r="L614" s="660"/>
      <c r="M614" s="660"/>
      <c r="N614" s="660"/>
      <c r="O614" s="660"/>
      <c r="P614" s="660"/>
      <c r="Q614" s="660"/>
      <c r="R614" s="660"/>
      <c r="S614" s="660"/>
      <c r="T614" s="660"/>
      <c r="U614" s="660"/>
      <c r="V614" s="660"/>
      <c r="W614" s="660"/>
      <c r="X614" s="660"/>
      <c r="Y614" s="660"/>
      <c r="Z614" s="660"/>
      <c r="AA614" s="660"/>
      <c r="AB614" s="660"/>
      <c r="AC614" s="661"/>
      <c r="AD614" s="606"/>
      <c r="AE614" s="606"/>
      <c r="AF614" s="606"/>
      <c r="AG614" s="606"/>
    </row>
    <row r="615" spans="1:33" s="612" customFormat="1" outlineLevel="2" x14ac:dyDescent="0.2">
      <c r="A615" s="606"/>
      <c r="B615" s="606"/>
      <c r="C615" s="607"/>
      <c r="D615" s="608"/>
      <c r="E615" s="608"/>
      <c r="F615" s="608"/>
      <c r="G615" s="608"/>
      <c r="H615" s="609"/>
      <c r="I615" s="660"/>
      <c r="J615" s="660"/>
      <c r="K615" s="660"/>
      <c r="L615" s="660"/>
      <c r="M615" s="660"/>
      <c r="N615" s="660"/>
      <c r="O615" s="660"/>
      <c r="P615" s="660"/>
      <c r="Q615" s="660"/>
      <c r="R615" s="660"/>
      <c r="S615" s="660"/>
      <c r="T615" s="660"/>
      <c r="U615" s="660"/>
      <c r="V615" s="660"/>
      <c r="W615" s="660"/>
      <c r="X615" s="660"/>
      <c r="Y615" s="660"/>
      <c r="Z615" s="660"/>
      <c r="AA615" s="660"/>
      <c r="AB615" s="660"/>
      <c r="AC615" s="661"/>
      <c r="AD615" s="606"/>
      <c r="AE615" s="606"/>
      <c r="AF615" s="606"/>
      <c r="AG615" s="606"/>
    </row>
    <row r="616" spans="1:33" s="612" customFormat="1" outlineLevel="2" x14ac:dyDescent="0.2">
      <c r="A616" s="606"/>
      <c r="B616" s="606"/>
      <c r="C616" s="607"/>
      <c r="D616" s="608"/>
      <c r="E616" s="608"/>
      <c r="F616" s="608"/>
      <c r="G616" s="608"/>
      <c r="H616" s="609"/>
      <c r="I616" s="660"/>
      <c r="J616" s="660"/>
      <c r="K616" s="660"/>
      <c r="L616" s="660"/>
      <c r="M616" s="660"/>
      <c r="N616" s="660"/>
      <c r="O616" s="660"/>
      <c r="P616" s="660"/>
      <c r="Q616" s="660"/>
      <c r="R616" s="660"/>
      <c r="S616" s="660"/>
      <c r="T616" s="660"/>
      <c r="U616" s="660"/>
      <c r="V616" s="660"/>
      <c r="W616" s="660"/>
      <c r="X616" s="660"/>
      <c r="Y616" s="660"/>
      <c r="Z616" s="660"/>
      <c r="AA616" s="660"/>
      <c r="AB616" s="660"/>
      <c r="AC616" s="661"/>
      <c r="AD616" s="606"/>
      <c r="AE616" s="606"/>
      <c r="AF616" s="606"/>
      <c r="AG616" s="606"/>
    </row>
    <row r="617" spans="1:33" s="612" customFormat="1" hidden="1" outlineLevel="3" x14ac:dyDescent="0.2">
      <c r="A617" s="606"/>
      <c r="B617" s="606"/>
      <c r="C617" s="607"/>
      <c r="D617" s="608"/>
      <c r="E617" s="608"/>
      <c r="F617" s="608"/>
      <c r="G617" s="608"/>
      <c r="H617" s="609"/>
      <c r="I617" s="660"/>
      <c r="J617" s="660"/>
      <c r="K617" s="660"/>
      <c r="L617" s="660"/>
      <c r="M617" s="660"/>
      <c r="N617" s="660"/>
      <c r="O617" s="660"/>
      <c r="P617" s="660"/>
      <c r="Q617" s="660"/>
      <c r="R617" s="660"/>
      <c r="S617" s="660"/>
      <c r="T617" s="660"/>
      <c r="U617" s="660"/>
      <c r="V617" s="660"/>
      <c r="W617" s="660"/>
      <c r="X617" s="660"/>
      <c r="Y617" s="660"/>
      <c r="Z617" s="660"/>
      <c r="AA617" s="660"/>
      <c r="AB617" s="660"/>
      <c r="AC617" s="661"/>
      <c r="AD617" s="606"/>
      <c r="AE617" s="606"/>
      <c r="AF617" s="606"/>
      <c r="AG617" s="606"/>
    </row>
    <row r="618" spans="1:33" s="612" customFormat="1" hidden="1" outlineLevel="3" x14ac:dyDescent="0.2">
      <c r="A618" s="606"/>
      <c r="B618" s="606"/>
      <c r="C618" s="607"/>
      <c r="D618" s="608"/>
      <c r="E618" s="608"/>
      <c r="F618" s="608"/>
      <c r="G618" s="608"/>
      <c r="H618" s="609"/>
      <c r="I618" s="660"/>
      <c r="J618" s="660"/>
      <c r="K618" s="660"/>
      <c r="L618" s="660"/>
      <c r="M618" s="660"/>
      <c r="N618" s="660"/>
      <c r="O618" s="660"/>
      <c r="P618" s="660"/>
      <c r="Q618" s="660"/>
      <c r="R618" s="660"/>
      <c r="S618" s="660"/>
      <c r="T618" s="660"/>
      <c r="U618" s="660"/>
      <c r="V618" s="660"/>
      <c r="W618" s="660"/>
      <c r="X618" s="660"/>
      <c r="Y618" s="660"/>
      <c r="Z618" s="660"/>
      <c r="AA618" s="660"/>
      <c r="AB618" s="660"/>
      <c r="AC618" s="661"/>
      <c r="AD618" s="606"/>
      <c r="AE618" s="606"/>
      <c r="AF618" s="606"/>
      <c r="AG618" s="606"/>
    </row>
    <row r="619" spans="1:33" s="612" customFormat="1" hidden="1" outlineLevel="3" x14ac:dyDescent="0.2">
      <c r="A619" s="606"/>
      <c r="B619" s="606"/>
      <c r="C619" s="607"/>
      <c r="D619" s="608"/>
      <c r="E619" s="608"/>
      <c r="F619" s="608"/>
      <c r="G619" s="608"/>
      <c r="H619" s="609"/>
      <c r="I619" s="660"/>
      <c r="J619" s="660"/>
      <c r="K619" s="660"/>
      <c r="L619" s="660"/>
      <c r="M619" s="660"/>
      <c r="N619" s="660"/>
      <c r="O619" s="660"/>
      <c r="P619" s="660"/>
      <c r="Q619" s="660"/>
      <c r="R619" s="660"/>
      <c r="S619" s="660"/>
      <c r="T619" s="660"/>
      <c r="U619" s="660"/>
      <c r="V619" s="660"/>
      <c r="W619" s="660"/>
      <c r="X619" s="660"/>
      <c r="Y619" s="660"/>
      <c r="Z619" s="660"/>
      <c r="AA619" s="660"/>
      <c r="AB619" s="660"/>
      <c r="AC619" s="661"/>
      <c r="AD619" s="606"/>
      <c r="AE619" s="606"/>
      <c r="AF619" s="606"/>
      <c r="AG619" s="606"/>
    </row>
    <row r="620" spans="1:33" s="612" customFormat="1" hidden="1" outlineLevel="3" x14ac:dyDescent="0.2">
      <c r="A620" s="606"/>
      <c r="B620" s="606"/>
      <c r="C620" s="607"/>
      <c r="D620" s="608"/>
      <c r="E620" s="608"/>
      <c r="F620" s="608"/>
      <c r="G620" s="608"/>
      <c r="H620" s="609"/>
      <c r="I620" s="660"/>
      <c r="J620" s="660"/>
      <c r="K620" s="660"/>
      <c r="L620" s="660"/>
      <c r="M620" s="660"/>
      <c r="N620" s="660"/>
      <c r="O620" s="660"/>
      <c r="P620" s="660"/>
      <c r="Q620" s="660"/>
      <c r="R620" s="660"/>
      <c r="S620" s="660"/>
      <c r="T620" s="660"/>
      <c r="U620" s="660"/>
      <c r="V620" s="660"/>
      <c r="W620" s="660"/>
      <c r="X620" s="660"/>
      <c r="Y620" s="660"/>
      <c r="Z620" s="660"/>
      <c r="AA620" s="660"/>
      <c r="AB620" s="660"/>
      <c r="AC620" s="661"/>
      <c r="AD620" s="606"/>
      <c r="AE620" s="606"/>
      <c r="AF620" s="606"/>
      <c r="AG620" s="606"/>
    </row>
    <row r="621" spans="1:33" s="612" customFormat="1" hidden="1" outlineLevel="3" x14ac:dyDescent="0.2">
      <c r="A621" s="606"/>
      <c r="B621" s="606"/>
      <c r="C621" s="607"/>
      <c r="D621" s="608"/>
      <c r="E621" s="608"/>
      <c r="F621" s="608"/>
      <c r="G621" s="608"/>
      <c r="H621" s="609"/>
      <c r="I621" s="660"/>
      <c r="J621" s="660"/>
      <c r="K621" s="660"/>
      <c r="L621" s="660"/>
      <c r="M621" s="660"/>
      <c r="N621" s="660"/>
      <c r="O621" s="660"/>
      <c r="P621" s="660"/>
      <c r="Q621" s="660"/>
      <c r="R621" s="660"/>
      <c r="S621" s="660"/>
      <c r="T621" s="660"/>
      <c r="U621" s="660"/>
      <c r="V621" s="660"/>
      <c r="W621" s="660"/>
      <c r="X621" s="660"/>
      <c r="Y621" s="660"/>
      <c r="Z621" s="660"/>
      <c r="AA621" s="660"/>
      <c r="AB621" s="660"/>
      <c r="AC621" s="661"/>
      <c r="AD621" s="606"/>
      <c r="AE621" s="606"/>
      <c r="AF621" s="606"/>
      <c r="AG621" s="606"/>
    </row>
    <row r="622" spans="1:33" s="612" customFormat="1" hidden="1" outlineLevel="3" x14ac:dyDescent="0.2">
      <c r="A622" s="606"/>
      <c r="B622" s="606"/>
      <c r="C622" s="607"/>
      <c r="D622" s="608"/>
      <c r="E622" s="608"/>
      <c r="F622" s="608"/>
      <c r="G622" s="608"/>
      <c r="H622" s="609"/>
      <c r="I622" s="660"/>
      <c r="J622" s="660"/>
      <c r="K622" s="660"/>
      <c r="L622" s="660"/>
      <c r="M622" s="660"/>
      <c r="N622" s="660"/>
      <c r="O622" s="660"/>
      <c r="P622" s="660"/>
      <c r="Q622" s="660"/>
      <c r="R622" s="660"/>
      <c r="S622" s="660"/>
      <c r="T622" s="660"/>
      <c r="U622" s="660"/>
      <c r="V622" s="660"/>
      <c r="W622" s="660"/>
      <c r="X622" s="660"/>
      <c r="Y622" s="660"/>
      <c r="Z622" s="660"/>
      <c r="AA622" s="660"/>
      <c r="AB622" s="660"/>
      <c r="AC622" s="661"/>
      <c r="AD622" s="606"/>
      <c r="AE622" s="606"/>
      <c r="AF622" s="606"/>
      <c r="AG622" s="606"/>
    </row>
    <row r="623" spans="1:33" s="612" customFormat="1" hidden="1" outlineLevel="3" x14ac:dyDescent="0.2">
      <c r="A623" s="606"/>
      <c r="B623" s="606"/>
      <c r="C623" s="607"/>
      <c r="D623" s="608"/>
      <c r="E623" s="608"/>
      <c r="F623" s="608"/>
      <c r="G623" s="608"/>
      <c r="H623" s="609"/>
      <c r="I623" s="660"/>
      <c r="J623" s="660"/>
      <c r="K623" s="660"/>
      <c r="L623" s="660"/>
      <c r="M623" s="660"/>
      <c r="N623" s="660"/>
      <c r="O623" s="660"/>
      <c r="P623" s="660"/>
      <c r="Q623" s="660"/>
      <c r="R623" s="660"/>
      <c r="S623" s="660"/>
      <c r="T623" s="660"/>
      <c r="U623" s="660"/>
      <c r="V623" s="660"/>
      <c r="W623" s="660"/>
      <c r="X623" s="660"/>
      <c r="Y623" s="660"/>
      <c r="Z623" s="660"/>
      <c r="AA623" s="660"/>
      <c r="AB623" s="660"/>
      <c r="AC623" s="661"/>
      <c r="AD623" s="606"/>
      <c r="AE623" s="606"/>
      <c r="AF623" s="606"/>
      <c r="AG623" s="606"/>
    </row>
    <row r="624" spans="1:33" s="612" customFormat="1" hidden="1" outlineLevel="3" x14ac:dyDescent="0.2">
      <c r="A624" s="606"/>
      <c r="B624" s="606"/>
      <c r="C624" s="607"/>
      <c r="D624" s="608"/>
      <c r="E624" s="608"/>
      <c r="F624" s="608"/>
      <c r="G624" s="608"/>
      <c r="H624" s="609"/>
      <c r="I624" s="660"/>
      <c r="J624" s="660"/>
      <c r="K624" s="660"/>
      <c r="L624" s="660"/>
      <c r="M624" s="660"/>
      <c r="N624" s="660"/>
      <c r="O624" s="660"/>
      <c r="P624" s="660"/>
      <c r="Q624" s="660"/>
      <c r="R624" s="660"/>
      <c r="S624" s="660"/>
      <c r="T624" s="660"/>
      <c r="U624" s="660"/>
      <c r="V624" s="660"/>
      <c r="W624" s="660"/>
      <c r="X624" s="660"/>
      <c r="Y624" s="660"/>
      <c r="Z624" s="660"/>
      <c r="AA624" s="660"/>
      <c r="AB624" s="660"/>
      <c r="AC624" s="661"/>
      <c r="AD624" s="606"/>
      <c r="AE624" s="606"/>
      <c r="AF624" s="606"/>
      <c r="AG624" s="606"/>
    </row>
    <row r="625" spans="1:33" s="612" customFormat="1" hidden="1" outlineLevel="3" x14ac:dyDescent="0.2">
      <c r="A625" s="606"/>
      <c r="B625" s="606"/>
      <c r="C625" s="607"/>
      <c r="D625" s="608"/>
      <c r="E625" s="608"/>
      <c r="F625" s="608"/>
      <c r="G625" s="608"/>
      <c r="H625" s="609"/>
      <c r="I625" s="660"/>
      <c r="J625" s="660"/>
      <c r="K625" s="660"/>
      <c r="L625" s="660"/>
      <c r="M625" s="660"/>
      <c r="N625" s="660"/>
      <c r="O625" s="660"/>
      <c r="P625" s="660"/>
      <c r="Q625" s="660"/>
      <c r="R625" s="660"/>
      <c r="S625" s="660"/>
      <c r="T625" s="660"/>
      <c r="U625" s="660"/>
      <c r="V625" s="660"/>
      <c r="W625" s="660"/>
      <c r="X625" s="660"/>
      <c r="Y625" s="660"/>
      <c r="Z625" s="660"/>
      <c r="AA625" s="660"/>
      <c r="AB625" s="660"/>
      <c r="AC625" s="661"/>
      <c r="AD625" s="606"/>
      <c r="AE625" s="606"/>
      <c r="AF625" s="606"/>
      <c r="AG625" s="606"/>
    </row>
    <row r="626" spans="1:33" s="612" customFormat="1" hidden="1" outlineLevel="3" x14ac:dyDescent="0.2">
      <c r="A626" s="606"/>
      <c r="B626" s="606"/>
      <c r="C626" s="607"/>
      <c r="D626" s="608"/>
      <c r="E626" s="608"/>
      <c r="F626" s="608"/>
      <c r="G626" s="608"/>
      <c r="H626" s="609"/>
      <c r="I626" s="660"/>
      <c r="J626" s="660"/>
      <c r="K626" s="660"/>
      <c r="L626" s="660"/>
      <c r="M626" s="660"/>
      <c r="N626" s="660"/>
      <c r="O626" s="660"/>
      <c r="P626" s="660"/>
      <c r="Q626" s="660"/>
      <c r="R626" s="660"/>
      <c r="S626" s="660"/>
      <c r="T626" s="660"/>
      <c r="U626" s="660"/>
      <c r="V626" s="660"/>
      <c r="W626" s="660"/>
      <c r="X626" s="660"/>
      <c r="Y626" s="660"/>
      <c r="Z626" s="660"/>
      <c r="AA626" s="660"/>
      <c r="AB626" s="660"/>
      <c r="AC626" s="661"/>
      <c r="AD626" s="606"/>
      <c r="AE626" s="606"/>
      <c r="AF626" s="606"/>
      <c r="AG626" s="606"/>
    </row>
    <row r="627" spans="1:33" s="612" customFormat="1" hidden="1" outlineLevel="3" x14ac:dyDescent="0.2">
      <c r="A627" s="606"/>
      <c r="B627" s="606"/>
      <c r="C627" s="607"/>
      <c r="D627" s="608"/>
      <c r="E627" s="608"/>
      <c r="F627" s="608"/>
      <c r="G627" s="608"/>
      <c r="H627" s="609"/>
      <c r="I627" s="660"/>
      <c r="J627" s="660"/>
      <c r="K627" s="660"/>
      <c r="L627" s="660"/>
      <c r="M627" s="660"/>
      <c r="N627" s="660"/>
      <c r="O627" s="660"/>
      <c r="P627" s="660"/>
      <c r="Q627" s="660"/>
      <c r="R627" s="660"/>
      <c r="S627" s="660"/>
      <c r="T627" s="660"/>
      <c r="U627" s="660"/>
      <c r="V627" s="660"/>
      <c r="W627" s="660"/>
      <c r="X627" s="660"/>
      <c r="Y627" s="660"/>
      <c r="Z627" s="660"/>
      <c r="AA627" s="660"/>
      <c r="AB627" s="660"/>
      <c r="AC627" s="661"/>
      <c r="AD627" s="606"/>
      <c r="AE627" s="606"/>
      <c r="AF627" s="606"/>
      <c r="AG627" s="606"/>
    </row>
    <row r="628" spans="1:33" s="612" customFormat="1" hidden="1" outlineLevel="3" x14ac:dyDescent="0.2">
      <c r="A628" s="606"/>
      <c r="B628" s="606"/>
      <c r="C628" s="607"/>
      <c r="D628" s="608"/>
      <c r="E628" s="608"/>
      <c r="F628" s="608"/>
      <c r="G628" s="608"/>
      <c r="H628" s="609"/>
      <c r="I628" s="660"/>
      <c r="J628" s="660"/>
      <c r="K628" s="660"/>
      <c r="L628" s="660"/>
      <c r="M628" s="660"/>
      <c r="N628" s="660"/>
      <c r="O628" s="660"/>
      <c r="P628" s="660"/>
      <c r="Q628" s="660"/>
      <c r="R628" s="660"/>
      <c r="S628" s="660"/>
      <c r="T628" s="660"/>
      <c r="U628" s="660"/>
      <c r="V628" s="660"/>
      <c r="W628" s="660"/>
      <c r="X628" s="660"/>
      <c r="Y628" s="660"/>
      <c r="Z628" s="660"/>
      <c r="AA628" s="660"/>
      <c r="AB628" s="660"/>
      <c r="AC628" s="661"/>
      <c r="AD628" s="606"/>
      <c r="AE628" s="606"/>
      <c r="AF628" s="606"/>
      <c r="AG628" s="606"/>
    </row>
    <row r="629" spans="1:33" s="612" customFormat="1" hidden="1" outlineLevel="3" x14ac:dyDescent="0.2">
      <c r="A629" s="606"/>
      <c r="B629" s="606"/>
      <c r="C629" s="607"/>
      <c r="D629" s="608"/>
      <c r="E629" s="608"/>
      <c r="F629" s="608"/>
      <c r="G629" s="608"/>
      <c r="H629" s="609"/>
      <c r="I629" s="660"/>
      <c r="J629" s="660"/>
      <c r="K629" s="660"/>
      <c r="L629" s="660"/>
      <c r="M629" s="660"/>
      <c r="N629" s="660"/>
      <c r="O629" s="660"/>
      <c r="P629" s="660"/>
      <c r="Q629" s="660"/>
      <c r="R629" s="660"/>
      <c r="S629" s="660"/>
      <c r="T629" s="660"/>
      <c r="U629" s="660"/>
      <c r="V629" s="660"/>
      <c r="W629" s="660"/>
      <c r="X629" s="660"/>
      <c r="Y629" s="660"/>
      <c r="Z629" s="660"/>
      <c r="AA629" s="660"/>
      <c r="AB629" s="660"/>
      <c r="AC629" s="661"/>
      <c r="AD629" s="606"/>
      <c r="AE629" s="606"/>
      <c r="AF629" s="606"/>
      <c r="AG629" s="606"/>
    </row>
    <row r="630" spans="1:33" s="612" customFormat="1" hidden="1" outlineLevel="3" x14ac:dyDescent="0.2">
      <c r="A630" s="606"/>
      <c r="B630" s="606"/>
      <c r="C630" s="607"/>
      <c r="D630" s="608"/>
      <c r="E630" s="608"/>
      <c r="F630" s="608"/>
      <c r="G630" s="608"/>
      <c r="H630" s="609"/>
      <c r="I630" s="660"/>
      <c r="J630" s="660"/>
      <c r="K630" s="660"/>
      <c r="L630" s="660"/>
      <c r="M630" s="660"/>
      <c r="N630" s="660"/>
      <c r="O630" s="660"/>
      <c r="P630" s="660"/>
      <c r="Q630" s="660"/>
      <c r="R630" s="660"/>
      <c r="S630" s="660"/>
      <c r="T630" s="660"/>
      <c r="U630" s="660"/>
      <c r="V630" s="660"/>
      <c r="W630" s="660"/>
      <c r="X630" s="660"/>
      <c r="Y630" s="660"/>
      <c r="Z630" s="660"/>
      <c r="AA630" s="660"/>
      <c r="AB630" s="660"/>
      <c r="AC630" s="661"/>
      <c r="AD630" s="606"/>
      <c r="AE630" s="606"/>
      <c r="AF630" s="606"/>
      <c r="AG630" s="606"/>
    </row>
    <row r="631" spans="1:33" s="612" customFormat="1" hidden="1" outlineLevel="3" x14ac:dyDescent="0.2">
      <c r="A631" s="606"/>
      <c r="B631" s="606"/>
      <c r="C631" s="607"/>
      <c r="D631" s="608"/>
      <c r="E631" s="608"/>
      <c r="F631" s="608"/>
      <c r="G631" s="608"/>
      <c r="H631" s="609"/>
      <c r="I631" s="660"/>
      <c r="J631" s="660"/>
      <c r="K631" s="660"/>
      <c r="L631" s="660"/>
      <c r="M631" s="660"/>
      <c r="N631" s="660"/>
      <c r="O631" s="660"/>
      <c r="P631" s="660"/>
      <c r="Q631" s="660"/>
      <c r="R631" s="660"/>
      <c r="S631" s="660"/>
      <c r="T631" s="660"/>
      <c r="U631" s="660"/>
      <c r="V631" s="660"/>
      <c r="W631" s="660"/>
      <c r="X631" s="660"/>
      <c r="Y631" s="660"/>
      <c r="Z631" s="660"/>
      <c r="AA631" s="660"/>
      <c r="AB631" s="660"/>
      <c r="AC631" s="661"/>
      <c r="AD631" s="606"/>
      <c r="AE631" s="606"/>
      <c r="AF631" s="606"/>
      <c r="AG631" s="606"/>
    </row>
    <row r="632" spans="1:33" s="612" customFormat="1" hidden="1" outlineLevel="3" x14ac:dyDescent="0.2">
      <c r="A632" s="606"/>
      <c r="B632" s="606"/>
      <c r="C632" s="607"/>
      <c r="D632" s="608"/>
      <c r="E632" s="608"/>
      <c r="F632" s="608"/>
      <c r="G632" s="608"/>
      <c r="H632" s="609"/>
      <c r="I632" s="660"/>
      <c r="J632" s="660"/>
      <c r="K632" s="660"/>
      <c r="L632" s="660"/>
      <c r="M632" s="660"/>
      <c r="N632" s="660"/>
      <c r="O632" s="660"/>
      <c r="P632" s="660"/>
      <c r="Q632" s="660"/>
      <c r="R632" s="660"/>
      <c r="S632" s="660"/>
      <c r="T632" s="660"/>
      <c r="U632" s="660"/>
      <c r="V632" s="660"/>
      <c r="W632" s="660"/>
      <c r="X632" s="660"/>
      <c r="Y632" s="660"/>
      <c r="Z632" s="660"/>
      <c r="AA632" s="660"/>
      <c r="AB632" s="660"/>
      <c r="AC632" s="661"/>
      <c r="AD632" s="606"/>
      <c r="AE632" s="606"/>
      <c r="AF632" s="606"/>
      <c r="AG632" s="606"/>
    </row>
    <row r="633" spans="1:33" s="612" customFormat="1" hidden="1" outlineLevel="3" x14ac:dyDescent="0.2">
      <c r="A633" s="606"/>
      <c r="B633" s="606"/>
      <c r="C633" s="607"/>
      <c r="D633" s="608"/>
      <c r="E633" s="608"/>
      <c r="F633" s="608"/>
      <c r="G633" s="608"/>
      <c r="H633" s="609"/>
      <c r="I633" s="660"/>
      <c r="J633" s="660"/>
      <c r="K633" s="660"/>
      <c r="L633" s="660"/>
      <c r="M633" s="660"/>
      <c r="N633" s="660"/>
      <c r="O633" s="660"/>
      <c r="P633" s="660"/>
      <c r="Q633" s="660"/>
      <c r="R633" s="660"/>
      <c r="S633" s="660"/>
      <c r="T633" s="660"/>
      <c r="U633" s="660"/>
      <c r="V633" s="660"/>
      <c r="W633" s="660"/>
      <c r="X633" s="660"/>
      <c r="Y633" s="660"/>
      <c r="Z633" s="660"/>
      <c r="AA633" s="660"/>
      <c r="AB633" s="660"/>
      <c r="AC633" s="661"/>
      <c r="AD633" s="606"/>
      <c r="AE633" s="606"/>
      <c r="AF633" s="606"/>
      <c r="AG633" s="606"/>
    </row>
    <row r="634" spans="1:33" s="612" customFormat="1" hidden="1" outlineLevel="3" x14ac:dyDescent="0.2">
      <c r="A634" s="606"/>
      <c r="B634" s="606"/>
      <c r="C634" s="607"/>
      <c r="D634" s="608"/>
      <c r="E634" s="608"/>
      <c r="F634" s="608"/>
      <c r="G634" s="608"/>
      <c r="H634" s="609"/>
      <c r="I634" s="660"/>
      <c r="J634" s="660"/>
      <c r="K634" s="660"/>
      <c r="L634" s="660"/>
      <c r="M634" s="660"/>
      <c r="N634" s="660"/>
      <c r="O634" s="660"/>
      <c r="P634" s="660"/>
      <c r="Q634" s="660"/>
      <c r="R634" s="660"/>
      <c r="S634" s="660"/>
      <c r="T634" s="660"/>
      <c r="U634" s="660"/>
      <c r="V634" s="660"/>
      <c r="W634" s="660"/>
      <c r="X634" s="660"/>
      <c r="Y634" s="660"/>
      <c r="Z634" s="660"/>
      <c r="AA634" s="660"/>
      <c r="AB634" s="660"/>
      <c r="AC634" s="661"/>
      <c r="AD634" s="606"/>
      <c r="AE634" s="606"/>
      <c r="AF634" s="606"/>
      <c r="AG634" s="606"/>
    </row>
    <row r="635" spans="1:33" s="612" customFormat="1" hidden="1" outlineLevel="3" x14ac:dyDescent="0.2">
      <c r="A635" s="606"/>
      <c r="B635" s="606"/>
      <c r="C635" s="607"/>
      <c r="D635" s="608"/>
      <c r="E635" s="608"/>
      <c r="F635" s="608"/>
      <c r="G635" s="608"/>
      <c r="H635" s="609"/>
      <c r="I635" s="660"/>
      <c r="J635" s="660"/>
      <c r="K635" s="660"/>
      <c r="L635" s="660"/>
      <c r="M635" s="660"/>
      <c r="N635" s="660"/>
      <c r="O635" s="660"/>
      <c r="P635" s="660"/>
      <c r="Q635" s="660"/>
      <c r="R635" s="660"/>
      <c r="S635" s="660"/>
      <c r="T635" s="660"/>
      <c r="U635" s="660"/>
      <c r="V635" s="660"/>
      <c r="W635" s="660"/>
      <c r="X635" s="660"/>
      <c r="Y635" s="660"/>
      <c r="Z635" s="660"/>
      <c r="AA635" s="660"/>
      <c r="AB635" s="660"/>
      <c r="AC635" s="661"/>
      <c r="AD635" s="606"/>
      <c r="AE635" s="606"/>
      <c r="AF635" s="606"/>
      <c r="AG635" s="606"/>
    </row>
    <row r="636" spans="1:33" s="612" customFormat="1" hidden="1" outlineLevel="3" x14ac:dyDescent="0.2">
      <c r="A636" s="606"/>
      <c r="B636" s="606"/>
      <c r="C636" s="607"/>
      <c r="D636" s="608"/>
      <c r="E636" s="608"/>
      <c r="F636" s="608"/>
      <c r="G636" s="608"/>
      <c r="H636" s="609"/>
      <c r="I636" s="660"/>
      <c r="J636" s="660"/>
      <c r="K636" s="660"/>
      <c r="L636" s="660"/>
      <c r="M636" s="660"/>
      <c r="N636" s="660"/>
      <c r="O636" s="660"/>
      <c r="P636" s="660"/>
      <c r="Q636" s="660"/>
      <c r="R636" s="660"/>
      <c r="S636" s="660"/>
      <c r="T636" s="660"/>
      <c r="U636" s="660"/>
      <c r="V636" s="660"/>
      <c r="W636" s="660"/>
      <c r="X636" s="660"/>
      <c r="Y636" s="660"/>
      <c r="Z636" s="660"/>
      <c r="AA636" s="660"/>
      <c r="AB636" s="660"/>
      <c r="AC636" s="661"/>
      <c r="AD636" s="606"/>
      <c r="AE636" s="606"/>
      <c r="AF636" s="606"/>
      <c r="AG636" s="606"/>
    </row>
    <row r="637" spans="1:33" s="612" customFormat="1" hidden="1" outlineLevel="3" x14ac:dyDescent="0.2">
      <c r="A637" s="606"/>
      <c r="B637" s="606"/>
      <c r="C637" s="607"/>
      <c r="D637" s="608"/>
      <c r="E637" s="608"/>
      <c r="F637" s="608"/>
      <c r="G637" s="608"/>
      <c r="H637" s="609"/>
      <c r="I637" s="660"/>
      <c r="J637" s="660"/>
      <c r="K637" s="660"/>
      <c r="L637" s="660"/>
      <c r="M637" s="660"/>
      <c r="N637" s="660"/>
      <c r="O637" s="660"/>
      <c r="P637" s="660"/>
      <c r="Q637" s="660"/>
      <c r="R637" s="660"/>
      <c r="S637" s="660"/>
      <c r="T637" s="660"/>
      <c r="U637" s="660"/>
      <c r="V637" s="660"/>
      <c r="W637" s="660"/>
      <c r="X637" s="660"/>
      <c r="Y637" s="660"/>
      <c r="Z637" s="660"/>
      <c r="AA637" s="660"/>
      <c r="AB637" s="660"/>
      <c r="AC637" s="661"/>
      <c r="AD637" s="606"/>
      <c r="AE637" s="606"/>
      <c r="AF637" s="606"/>
      <c r="AG637" s="606"/>
    </row>
    <row r="638" spans="1:33" s="612" customFormat="1" hidden="1" outlineLevel="3" x14ac:dyDescent="0.2">
      <c r="A638" s="606"/>
      <c r="B638" s="606"/>
      <c r="C638" s="607"/>
      <c r="D638" s="608"/>
      <c r="E638" s="608"/>
      <c r="F638" s="608"/>
      <c r="G638" s="608"/>
      <c r="H638" s="609"/>
      <c r="I638" s="660"/>
      <c r="J638" s="660"/>
      <c r="K638" s="660"/>
      <c r="L638" s="660"/>
      <c r="M638" s="660"/>
      <c r="N638" s="660"/>
      <c r="O638" s="660"/>
      <c r="P638" s="660"/>
      <c r="Q638" s="660"/>
      <c r="R638" s="660"/>
      <c r="S638" s="660"/>
      <c r="T638" s="660"/>
      <c r="U638" s="660"/>
      <c r="V638" s="660"/>
      <c r="W638" s="660"/>
      <c r="X638" s="660"/>
      <c r="Y638" s="660"/>
      <c r="Z638" s="660"/>
      <c r="AA638" s="660"/>
      <c r="AB638" s="660"/>
      <c r="AC638" s="661"/>
      <c r="AD638" s="606"/>
      <c r="AE638" s="606"/>
      <c r="AF638" s="606"/>
      <c r="AG638" s="606"/>
    </row>
    <row r="639" spans="1:33" s="612" customFormat="1" hidden="1" outlineLevel="3" x14ac:dyDescent="0.2">
      <c r="A639" s="606"/>
      <c r="B639" s="606"/>
      <c r="C639" s="607"/>
      <c r="D639" s="608"/>
      <c r="E639" s="608"/>
      <c r="F639" s="608"/>
      <c r="G639" s="608"/>
      <c r="H639" s="609"/>
      <c r="I639" s="660"/>
      <c r="J639" s="660"/>
      <c r="K639" s="660"/>
      <c r="L639" s="660"/>
      <c r="M639" s="660"/>
      <c r="N639" s="660"/>
      <c r="O639" s="660"/>
      <c r="P639" s="660"/>
      <c r="Q639" s="660"/>
      <c r="R639" s="660"/>
      <c r="S639" s="660"/>
      <c r="T639" s="660"/>
      <c r="U639" s="660"/>
      <c r="V639" s="660"/>
      <c r="W639" s="660"/>
      <c r="X639" s="660"/>
      <c r="Y639" s="660"/>
      <c r="Z639" s="660"/>
      <c r="AA639" s="660"/>
      <c r="AB639" s="660"/>
      <c r="AC639" s="661"/>
      <c r="AD639" s="606"/>
      <c r="AE639" s="606"/>
      <c r="AF639" s="606"/>
      <c r="AG639" s="606"/>
    </row>
    <row r="640" spans="1:33" s="612" customFormat="1" hidden="1" outlineLevel="3" x14ac:dyDescent="0.2">
      <c r="A640" s="606"/>
      <c r="B640" s="606"/>
      <c r="C640" s="607"/>
      <c r="D640" s="608"/>
      <c r="E640" s="608"/>
      <c r="F640" s="608"/>
      <c r="G640" s="608"/>
      <c r="H640" s="609"/>
      <c r="I640" s="660"/>
      <c r="J640" s="660"/>
      <c r="K640" s="660"/>
      <c r="L640" s="660"/>
      <c r="M640" s="660"/>
      <c r="N640" s="660"/>
      <c r="O640" s="660"/>
      <c r="P640" s="660"/>
      <c r="Q640" s="660"/>
      <c r="R640" s="660"/>
      <c r="S640" s="660"/>
      <c r="T640" s="660"/>
      <c r="U640" s="660"/>
      <c r="V640" s="660"/>
      <c r="W640" s="660"/>
      <c r="X640" s="660"/>
      <c r="Y640" s="660"/>
      <c r="Z640" s="660"/>
      <c r="AA640" s="660"/>
      <c r="AB640" s="660"/>
      <c r="AC640" s="661"/>
      <c r="AD640" s="606"/>
      <c r="AE640" s="606"/>
      <c r="AF640" s="606"/>
      <c r="AG640" s="606"/>
    </row>
    <row r="641" spans="1:33" s="612" customFormat="1" hidden="1" outlineLevel="3" x14ac:dyDescent="0.2">
      <c r="A641" s="606"/>
      <c r="B641" s="606"/>
      <c r="C641" s="607"/>
      <c r="D641" s="608"/>
      <c r="E641" s="608"/>
      <c r="F641" s="608"/>
      <c r="G641" s="608"/>
      <c r="H641" s="609"/>
      <c r="I641" s="660"/>
      <c r="J641" s="660"/>
      <c r="K641" s="660"/>
      <c r="L641" s="660"/>
      <c r="M641" s="660"/>
      <c r="N641" s="660"/>
      <c r="O641" s="660"/>
      <c r="P641" s="660"/>
      <c r="Q641" s="660"/>
      <c r="R641" s="660"/>
      <c r="S641" s="660"/>
      <c r="T641" s="660"/>
      <c r="U641" s="660"/>
      <c r="V641" s="660"/>
      <c r="W641" s="660"/>
      <c r="X641" s="660"/>
      <c r="Y641" s="660"/>
      <c r="Z641" s="660"/>
      <c r="AA641" s="660"/>
      <c r="AB641" s="660"/>
      <c r="AC641" s="661"/>
      <c r="AD641" s="606"/>
      <c r="AE641" s="606"/>
      <c r="AF641" s="606"/>
      <c r="AG641" s="606"/>
    </row>
    <row r="642" spans="1:33" s="612" customFormat="1" hidden="1" outlineLevel="3" x14ac:dyDescent="0.2">
      <c r="A642" s="606"/>
      <c r="B642" s="606"/>
      <c r="C642" s="607"/>
      <c r="D642" s="608"/>
      <c r="E642" s="608"/>
      <c r="F642" s="608"/>
      <c r="G642" s="608"/>
      <c r="H642" s="609"/>
      <c r="I642" s="660"/>
      <c r="J642" s="660"/>
      <c r="K642" s="660"/>
      <c r="L642" s="660"/>
      <c r="M642" s="660"/>
      <c r="N642" s="660"/>
      <c r="O642" s="660"/>
      <c r="P642" s="660"/>
      <c r="Q642" s="660"/>
      <c r="R642" s="660"/>
      <c r="S642" s="660"/>
      <c r="T642" s="660"/>
      <c r="U642" s="660"/>
      <c r="V642" s="660"/>
      <c r="W642" s="660"/>
      <c r="X642" s="660"/>
      <c r="Y642" s="660"/>
      <c r="Z642" s="660"/>
      <c r="AA642" s="660"/>
      <c r="AB642" s="660"/>
      <c r="AC642" s="661"/>
      <c r="AD642" s="606"/>
      <c r="AE642" s="606"/>
      <c r="AF642" s="606"/>
      <c r="AG642" s="606"/>
    </row>
    <row r="643" spans="1:33" s="612" customFormat="1" hidden="1" outlineLevel="3" x14ac:dyDescent="0.2">
      <c r="A643" s="606"/>
      <c r="B643" s="606"/>
      <c r="C643" s="607"/>
      <c r="D643" s="608"/>
      <c r="E643" s="608"/>
      <c r="F643" s="608"/>
      <c r="G643" s="608"/>
      <c r="H643" s="609"/>
      <c r="I643" s="660"/>
      <c r="J643" s="660"/>
      <c r="K643" s="660"/>
      <c r="L643" s="660"/>
      <c r="M643" s="660"/>
      <c r="N643" s="660"/>
      <c r="O643" s="660"/>
      <c r="P643" s="660"/>
      <c r="Q643" s="660"/>
      <c r="R643" s="660"/>
      <c r="S643" s="660"/>
      <c r="T643" s="660"/>
      <c r="U643" s="660"/>
      <c r="V643" s="660"/>
      <c r="W643" s="660"/>
      <c r="X643" s="660"/>
      <c r="Y643" s="660"/>
      <c r="Z643" s="660"/>
      <c r="AA643" s="660"/>
      <c r="AB643" s="660"/>
      <c r="AC643" s="661"/>
      <c r="AD643" s="606"/>
      <c r="AE643" s="606"/>
      <c r="AF643" s="606"/>
      <c r="AG643" s="606"/>
    </row>
    <row r="644" spans="1:33" s="612" customFormat="1" hidden="1" outlineLevel="3" x14ac:dyDescent="0.2">
      <c r="A644" s="606"/>
      <c r="B644" s="606"/>
      <c r="C644" s="607"/>
      <c r="D644" s="608"/>
      <c r="E644" s="608"/>
      <c r="F644" s="608"/>
      <c r="G644" s="608"/>
      <c r="H644" s="609"/>
      <c r="I644" s="660"/>
      <c r="J644" s="660"/>
      <c r="K644" s="660"/>
      <c r="L644" s="660"/>
      <c r="M644" s="660"/>
      <c r="N644" s="660"/>
      <c r="O644" s="660"/>
      <c r="P644" s="660"/>
      <c r="Q644" s="660"/>
      <c r="R644" s="660"/>
      <c r="S644" s="660"/>
      <c r="T644" s="660"/>
      <c r="U644" s="660"/>
      <c r="V644" s="660"/>
      <c r="W644" s="660"/>
      <c r="X644" s="660"/>
      <c r="Y644" s="660"/>
      <c r="Z644" s="660"/>
      <c r="AA644" s="660"/>
      <c r="AB644" s="660"/>
      <c r="AC644" s="661"/>
      <c r="AD644" s="606"/>
      <c r="AE644" s="606"/>
      <c r="AF644" s="606"/>
      <c r="AG644" s="606"/>
    </row>
    <row r="645" spans="1:33" s="612" customFormat="1" hidden="1" outlineLevel="3" x14ac:dyDescent="0.2">
      <c r="A645" s="606"/>
      <c r="B645" s="606"/>
      <c r="C645" s="607"/>
      <c r="D645" s="608"/>
      <c r="E645" s="608"/>
      <c r="F645" s="608"/>
      <c r="G645" s="608"/>
      <c r="H645" s="609"/>
      <c r="I645" s="660"/>
      <c r="J645" s="660"/>
      <c r="K645" s="660"/>
      <c r="L645" s="660"/>
      <c r="M645" s="660"/>
      <c r="N645" s="660"/>
      <c r="O645" s="660"/>
      <c r="P645" s="660"/>
      <c r="Q645" s="660"/>
      <c r="R645" s="660"/>
      <c r="S645" s="660"/>
      <c r="T645" s="660"/>
      <c r="U645" s="660"/>
      <c r="V645" s="660"/>
      <c r="W645" s="660"/>
      <c r="X645" s="660"/>
      <c r="Y645" s="660"/>
      <c r="Z645" s="660"/>
      <c r="AA645" s="660"/>
      <c r="AB645" s="660"/>
      <c r="AC645" s="661"/>
      <c r="AD645" s="606"/>
      <c r="AE645" s="606"/>
      <c r="AF645" s="606"/>
      <c r="AG645" s="606"/>
    </row>
    <row r="646" spans="1:33" s="612" customFormat="1" hidden="1" outlineLevel="3" x14ac:dyDescent="0.2">
      <c r="A646" s="606"/>
      <c r="B646" s="606"/>
      <c r="C646" s="607"/>
      <c r="D646" s="608"/>
      <c r="E646" s="608"/>
      <c r="F646" s="608"/>
      <c r="G646" s="608"/>
      <c r="H646" s="609"/>
      <c r="I646" s="660"/>
      <c r="J646" s="660"/>
      <c r="K646" s="660"/>
      <c r="L646" s="660"/>
      <c r="M646" s="660"/>
      <c r="N646" s="660"/>
      <c r="O646" s="660"/>
      <c r="P646" s="660"/>
      <c r="Q646" s="660"/>
      <c r="R646" s="660"/>
      <c r="S646" s="660"/>
      <c r="T646" s="660"/>
      <c r="U646" s="660"/>
      <c r="V646" s="660"/>
      <c r="W646" s="660"/>
      <c r="X646" s="660"/>
      <c r="Y646" s="660"/>
      <c r="Z646" s="660"/>
      <c r="AA646" s="660"/>
      <c r="AB646" s="660"/>
      <c r="AC646" s="661"/>
      <c r="AD646" s="606"/>
      <c r="AE646" s="606"/>
      <c r="AF646" s="606"/>
      <c r="AG646" s="606"/>
    </row>
    <row r="647" spans="1:33" s="612" customFormat="1" hidden="1" outlineLevel="3" x14ac:dyDescent="0.2">
      <c r="A647" s="606"/>
      <c r="B647" s="606"/>
      <c r="C647" s="607"/>
      <c r="D647" s="608"/>
      <c r="E647" s="608"/>
      <c r="F647" s="608"/>
      <c r="G647" s="608"/>
      <c r="H647" s="609"/>
      <c r="I647" s="660"/>
      <c r="J647" s="660"/>
      <c r="K647" s="660"/>
      <c r="L647" s="660"/>
      <c r="M647" s="660"/>
      <c r="N647" s="660"/>
      <c r="O647" s="660"/>
      <c r="P647" s="660"/>
      <c r="Q647" s="660"/>
      <c r="R647" s="660"/>
      <c r="S647" s="660"/>
      <c r="T647" s="660"/>
      <c r="U647" s="660"/>
      <c r="V647" s="660"/>
      <c r="W647" s="660"/>
      <c r="X647" s="660"/>
      <c r="Y647" s="660"/>
      <c r="Z647" s="660"/>
      <c r="AA647" s="660"/>
      <c r="AB647" s="660"/>
      <c r="AC647" s="661"/>
      <c r="AD647" s="606"/>
      <c r="AE647" s="606"/>
      <c r="AF647" s="606"/>
      <c r="AG647" s="606"/>
    </row>
    <row r="648" spans="1:33" s="612" customFormat="1" hidden="1" outlineLevel="3" x14ac:dyDescent="0.2">
      <c r="A648" s="606"/>
      <c r="B648" s="606"/>
      <c r="C648" s="607"/>
      <c r="D648" s="608"/>
      <c r="E648" s="608"/>
      <c r="F648" s="608"/>
      <c r="G648" s="608"/>
      <c r="H648" s="609"/>
      <c r="I648" s="660"/>
      <c r="J648" s="660"/>
      <c r="K648" s="660"/>
      <c r="L648" s="660"/>
      <c r="M648" s="660"/>
      <c r="N648" s="660"/>
      <c r="O648" s="660"/>
      <c r="P648" s="660"/>
      <c r="Q648" s="660"/>
      <c r="R648" s="660"/>
      <c r="S648" s="660"/>
      <c r="T648" s="660"/>
      <c r="U648" s="660"/>
      <c r="V648" s="660"/>
      <c r="W648" s="660"/>
      <c r="X648" s="660"/>
      <c r="Y648" s="660"/>
      <c r="Z648" s="660"/>
      <c r="AA648" s="660"/>
      <c r="AB648" s="660"/>
      <c r="AC648" s="661"/>
      <c r="AD648" s="606"/>
      <c r="AE648" s="606"/>
      <c r="AF648" s="606"/>
      <c r="AG648" s="606"/>
    </row>
    <row r="649" spans="1:33" s="612" customFormat="1" hidden="1" outlineLevel="3" x14ac:dyDescent="0.2">
      <c r="A649" s="606"/>
      <c r="B649" s="606"/>
      <c r="C649" s="607"/>
      <c r="D649" s="608"/>
      <c r="E649" s="608"/>
      <c r="F649" s="608"/>
      <c r="G649" s="608"/>
      <c r="H649" s="609"/>
      <c r="I649" s="660"/>
      <c r="J649" s="660"/>
      <c r="K649" s="660"/>
      <c r="L649" s="660"/>
      <c r="M649" s="660"/>
      <c r="N649" s="660"/>
      <c r="O649" s="660"/>
      <c r="P649" s="660"/>
      <c r="Q649" s="660"/>
      <c r="R649" s="660"/>
      <c r="S649" s="660"/>
      <c r="T649" s="660"/>
      <c r="U649" s="660"/>
      <c r="V649" s="660"/>
      <c r="W649" s="660"/>
      <c r="X649" s="660"/>
      <c r="Y649" s="660"/>
      <c r="Z649" s="660"/>
      <c r="AA649" s="660"/>
      <c r="AB649" s="660"/>
      <c r="AC649" s="661"/>
      <c r="AD649" s="606"/>
      <c r="AE649" s="606"/>
      <c r="AF649" s="606"/>
      <c r="AG649" s="606"/>
    </row>
    <row r="650" spans="1:33" s="612" customFormat="1" hidden="1" outlineLevel="3" x14ac:dyDescent="0.2">
      <c r="A650" s="606"/>
      <c r="B650" s="606"/>
      <c r="C650" s="607"/>
      <c r="D650" s="608"/>
      <c r="E650" s="608"/>
      <c r="F650" s="608"/>
      <c r="G650" s="608"/>
      <c r="H650" s="609"/>
      <c r="I650" s="660"/>
      <c r="J650" s="660"/>
      <c r="K650" s="660"/>
      <c r="L650" s="660"/>
      <c r="M650" s="660"/>
      <c r="N650" s="660"/>
      <c r="O650" s="660"/>
      <c r="P650" s="660"/>
      <c r="Q650" s="660"/>
      <c r="R650" s="660"/>
      <c r="S650" s="660"/>
      <c r="T650" s="660"/>
      <c r="U650" s="660"/>
      <c r="V650" s="660"/>
      <c r="W650" s="660"/>
      <c r="X650" s="660"/>
      <c r="Y650" s="660"/>
      <c r="Z650" s="660"/>
      <c r="AA650" s="660"/>
      <c r="AB650" s="660"/>
      <c r="AC650" s="661"/>
      <c r="AD650" s="606"/>
      <c r="AE650" s="606"/>
      <c r="AF650" s="606"/>
      <c r="AG650" s="606"/>
    </row>
    <row r="651" spans="1:33" s="612" customFormat="1" hidden="1" outlineLevel="3" x14ac:dyDescent="0.2">
      <c r="A651" s="606"/>
      <c r="B651" s="606"/>
      <c r="C651" s="607"/>
      <c r="D651" s="608"/>
      <c r="E651" s="608"/>
      <c r="F651" s="608"/>
      <c r="G651" s="608"/>
      <c r="H651" s="609"/>
      <c r="I651" s="660"/>
      <c r="J651" s="660"/>
      <c r="K651" s="660"/>
      <c r="L651" s="660"/>
      <c r="M651" s="660"/>
      <c r="N651" s="660"/>
      <c r="O651" s="660"/>
      <c r="P651" s="660"/>
      <c r="Q651" s="660"/>
      <c r="R651" s="660"/>
      <c r="S651" s="660"/>
      <c r="T651" s="660"/>
      <c r="U651" s="660"/>
      <c r="V651" s="660"/>
      <c r="W651" s="660"/>
      <c r="X651" s="660"/>
      <c r="Y651" s="660"/>
      <c r="Z651" s="660"/>
      <c r="AA651" s="660"/>
      <c r="AB651" s="660"/>
      <c r="AC651" s="661"/>
      <c r="AD651" s="606"/>
      <c r="AE651" s="606"/>
      <c r="AF651" s="606"/>
      <c r="AG651" s="606"/>
    </row>
    <row r="652" spans="1:33" s="612" customFormat="1" hidden="1" outlineLevel="3" x14ac:dyDescent="0.2">
      <c r="A652" s="606"/>
      <c r="B652" s="606"/>
      <c r="C652" s="607"/>
      <c r="D652" s="608"/>
      <c r="E652" s="608"/>
      <c r="F652" s="608"/>
      <c r="G652" s="608"/>
      <c r="H652" s="609"/>
      <c r="I652" s="660"/>
      <c r="J652" s="660"/>
      <c r="K652" s="660"/>
      <c r="L652" s="660"/>
      <c r="M652" s="660"/>
      <c r="N652" s="660"/>
      <c r="O652" s="660"/>
      <c r="P652" s="660"/>
      <c r="Q652" s="660"/>
      <c r="R652" s="660"/>
      <c r="S652" s="660"/>
      <c r="T652" s="660"/>
      <c r="U652" s="660"/>
      <c r="V652" s="660"/>
      <c r="W652" s="660"/>
      <c r="X652" s="660"/>
      <c r="Y652" s="660"/>
      <c r="Z652" s="660"/>
      <c r="AA652" s="660"/>
      <c r="AB652" s="660"/>
      <c r="AC652" s="661"/>
      <c r="AD652" s="606"/>
      <c r="AE652" s="606"/>
      <c r="AF652" s="606"/>
      <c r="AG652" s="606"/>
    </row>
    <row r="653" spans="1:33" s="612" customFormat="1" hidden="1" outlineLevel="3" x14ac:dyDescent="0.2">
      <c r="A653" s="606"/>
      <c r="B653" s="606"/>
      <c r="C653" s="607"/>
      <c r="D653" s="608"/>
      <c r="E653" s="608"/>
      <c r="F653" s="608"/>
      <c r="G653" s="608"/>
      <c r="H653" s="609"/>
      <c r="I653" s="660"/>
      <c r="J653" s="660"/>
      <c r="K653" s="660"/>
      <c r="L653" s="660"/>
      <c r="M653" s="660"/>
      <c r="N653" s="660"/>
      <c r="O653" s="660"/>
      <c r="P653" s="660"/>
      <c r="Q653" s="660"/>
      <c r="R653" s="660"/>
      <c r="S653" s="660"/>
      <c r="T653" s="660"/>
      <c r="U653" s="660"/>
      <c r="V653" s="660"/>
      <c r="W653" s="660"/>
      <c r="X653" s="660"/>
      <c r="Y653" s="660"/>
      <c r="Z653" s="660"/>
      <c r="AA653" s="660"/>
      <c r="AB653" s="660"/>
      <c r="AC653" s="661"/>
      <c r="AD653" s="606"/>
      <c r="AE653" s="606"/>
      <c r="AF653" s="606"/>
      <c r="AG653" s="606"/>
    </row>
    <row r="654" spans="1:33" s="612" customFormat="1" hidden="1" outlineLevel="3" x14ac:dyDescent="0.2">
      <c r="A654" s="606"/>
      <c r="B654" s="606"/>
      <c r="C654" s="607"/>
      <c r="D654" s="608"/>
      <c r="E654" s="608"/>
      <c r="F654" s="608"/>
      <c r="G654" s="608"/>
      <c r="H654" s="609"/>
      <c r="I654" s="660"/>
      <c r="J654" s="660"/>
      <c r="K654" s="660"/>
      <c r="L654" s="660"/>
      <c r="M654" s="660"/>
      <c r="N654" s="660"/>
      <c r="O654" s="660"/>
      <c r="P654" s="660"/>
      <c r="Q654" s="660"/>
      <c r="R654" s="660"/>
      <c r="S654" s="660"/>
      <c r="T654" s="660"/>
      <c r="U654" s="660"/>
      <c r="V654" s="660"/>
      <c r="W654" s="660"/>
      <c r="X654" s="660"/>
      <c r="Y654" s="660"/>
      <c r="Z654" s="660"/>
      <c r="AA654" s="660"/>
      <c r="AB654" s="660"/>
      <c r="AC654" s="661"/>
      <c r="AD654" s="606"/>
      <c r="AE654" s="606"/>
      <c r="AF654" s="606"/>
      <c r="AG654" s="606"/>
    </row>
    <row r="655" spans="1:33" s="612" customFormat="1" hidden="1" outlineLevel="3" x14ac:dyDescent="0.2">
      <c r="A655" s="606"/>
      <c r="B655" s="606"/>
      <c r="C655" s="607"/>
      <c r="D655" s="608"/>
      <c r="E655" s="608"/>
      <c r="F655" s="608"/>
      <c r="G655" s="608"/>
      <c r="H655" s="609"/>
      <c r="I655" s="660"/>
      <c r="J655" s="660"/>
      <c r="K655" s="660"/>
      <c r="L655" s="660"/>
      <c r="M655" s="660"/>
      <c r="N655" s="660"/>
      <c r="O655" s="660"/>
      <c r="P655" s="660"/>
      <c r="Q655" s="660"/>
      <c r="R655" s="660"/>
      <c r="S655" s="660"/>
      <c r="T655" s="660"/>
      <c r="U655" s="660"/>
      <c r="V655" s="660"/>
      <c r="W655" s="660"/>
      <c r="X655" s="660"/>
      <c r="Y655" s="660"/>
      <c r="Z655" s="660"/>
      <c r="AA655" s="660"/>
      <c r="AB655" s="660"/>
      <c r="AC655" s="661"/>
      <c r="AD655" s="606"/>
      <c r="AE655" s="606"/>
      <c r="AF655" s="606"/>
      <c r="AG655" s="606"/>
    </row>
    <row r="656" spans="1:33" s="612" customFormat="1" hidden="1" outlineLevel="3" x14ac:dyDescent="0.2">
      <c r="A656" s="606"/>
      <c r="B656" s="606"/>
      <c r="C656" s="607"/>
      <c r="D656" s="608"/>
      <c r="E656" s="608"/>
      <c r="F656" s="608"/>
      <c r="G656" s="608"/>
      <c r="H656" s="609"/>
      <c r="I656" s="660"/>
      <c r="J656" s="660"/>
      <c r="K656" s="660"/>
      <c r="L656" s="660"/>
      <c r="M656" s="660"/>
      <c r="N656" s="660"/>
      <c r="O656" s="660"/>
      <c r="P656" s="660"/>
      <c r="Q656" s="660"/>
      <c r="R656" s="660"/>
      <c r="S656" s="660"/>
      <c r="T656" s="660"/>
      <c r="U656" s="660"/>
      <c r="V656" s="660"/>
      <c r="W656" s="660"/>
      <c r="X656" s="660"/>
      <c r="Y656" s="660"/>
      <c r="Z656" s="660"/>
      <c r="AA656" s="660"/>
      <c r="AB656" s="660"/>
      <c r="AC656" s="661"/>
      <c r="AD656" s="606"/>
      <c r="AE656" s="606"/>
      <c r="AF656" s="606"/>
      <c r="AG656" s="606"/>
    </row>
    <row r="657" spans="1:33" s="612" customFormat="1" hidden="1" outlineLevel="3" x14ac:dyDescent="0.2">
      <c r="A657" s="606"/>
      <c r="B657" s="606"/>
      <c r="C657" s="607"/>
      <c r="D657" s="608"/>
      <c r="E657" s="608"/>
      <c r="F657" s="608"/>
      <c r="G657" s="608"/>
      <c r="H657" s="609"/>
      <c r="I657" s="660"/>
      <c r="J657" s="660"/>
      <c r="K657" s="660"/>
      <c r="L657" s="660"/>
      <c r="M657" s="660"/>
      <c r="N657" s="660"/>
      <c r="O657" s="660"/>
      <c r="P657" s="660"/>
      <c r="Q657" s="660"/>
      <c r="R657" s="660"/>
      <c r="S657" s="660"/>
      <c r="T657" s="660"/>
      <c r="U657" s="660"/>
      <c r="V657" s="660"/>
      <c r="W657" s="660"/>
      <c r="X657" s="660"/>
      <c r="Y657" s="660"/>
      <c r="Z657" s="660"/>
      <c r="AA657" s="660"/>
      <c r="AB657" s="660"/>
      <c r="AC657" s="661"/>
      <c r="AD657" s="606"/>
      <c r="AE657" s="606"/>
      <c r="AF657" s="606"/>
      <c r="AG657" s="606"/>
    </row>
    <row r="658" spans="1:33" s="612" customFormat="1" hidden="1" outlineLevel="3" x14ac:dyDescent="0.2">
      <c r="A658" s="606"/>
      <c r="B658" s="606"/>
      <c r="C658" s="607"/>
      <c r="D658" s="608"/>
      <c r="E658" s="608"/>
      <c r="F658" s="608"/>
      <c r="G658" s="608"/>
      <c r="H658" s="609"/>
      <c r="I658" s="660"/>
      <c r="J658" s="660"/>
      <c r="K658" s="660"/>
      <c r="L658" s="660"/>
      <c r="M658" s="660"/>
      <c r="N658" s="660"/>
      <c r="O658" s="660"/>
      <c r="P658" s="660"/>
      <c r="Q658" s="660"/>
      <c r="R658" s="660"/>
      <c r="S658" s="660"/>
      <c r="T658" s="660"/>
      <c r="U658" s="660"/>
      <c r="V658" s="660"/>
      <c r="W658" s="660"/>
      <c r="X658" s="660"/>
      <c r="Y658" s="660"/>
      <c r="Z658" s="660"/>
      <c r="AA658" s="660"/>
      <c r="AB658" s="660"/>
      <c r="AC658" s="661"/>
      <c r="AD658" s="606"/>
      <c r="AE658" s="606"/>
      <c r="AF658" s="606"/>
      <c r="AG658" s="606"/>
    </row>
    <row r="659" spans="1:33" s="612" customFormat="1" hidden="1" outlineLevel="3" x14ac:dyDescent="0.2">
      <c r="A659" s="606"/>
      <c r="B659" s="606"/>
      <c r="C659" s="607"/>
      <c r="D659" s="608"/>
      <c r="E659" s="608"/>
      <c r="F659" s="608"/>
      <c r="G659" s="608"/>
      <c r="H659" s="609"/>
      <c r="I659" s="660"/>
      <c r="J659" s="660"/>
      <c r="K659" s="660"/>
      <c r="L659" s="660"/>
      <c r="M659" s="660"/>
      <c r="N659" s="660"/>
      <c r="O659" s="660"/>
      <c r="P659" s="660"/>
      <c r="Q659" s="660"/>
      <c r="R659" s="660"/>
      <c r="S659" s="660"/>
      <c r="T659" s="660"/>
      <c r="U659" s="660"/>
      <c r="V659" s="660"/>
      <c r="W659" s="660"/>
      <c r="X659" s="660"/>
      <c r="Y659" s="660"/>
      <c r="Z659" s="660"/>
      <c r="AA659" s="660"/>
      <c r="AB659" s="660"/>
      <c r="AC659" s="661"/>
      <c r="AD659" s="606"/>
      <c r="AE659" s="606"/>
      <c r="AF659" s="606"/>
      <c r="AG659" s="606"/>
    </row>
    <row r="660" spans="1:33" s="612" customFormat="1" hidden="1" outlineLevel="3" x14ac:dyDescent="0.2">
      <c r="A660" s="606"/>
      <c r="B660" s="606"/>
      <c r="C660" s="607"/>
      <c r="D660" s="608"/>
      <c r="E660" s="608"/>
      <c r="F660" s="608"/>
      <c r="G660" s="608"/>
      <c r="H660" s="609"/>
      <c r="I660" s="660"/>
      <c r="J660" s="660"/>
      <c r="K660" s="660"/>
      <c r="L660" s="660"/>
      <c r="M660" s="660"/>
      <c r="N660" s="660"/>
      <c r="O660" s="660"/>
      <c r="P660" s="660"/>
      <c r="Q660" s="660"/>
      <c r="R660" s="660"/>
      <c r="S660" s="660"/>
      <c r="T660" s="660"/>
      <c r="U660" s="660"/>
      <c r="V660" s="660"/>
      <c r="W660" s="660"/>
      <c r="X660" s="660"/>
      <c r="Y660" s="660"/>
      <c r="Z660" s="660"/>
      <c r="AA660" s="660"/>
      <c r="AB660" s="660"/>
      <c r="AC660" s="661"/>
      <c r="AD660" s="606"/>
      <c r="AE660" s="606"/>
      <c r="AF660" s="606"/>
      <c r="AG660" s="606"/>
    </row>
    <row r="661" spans="1:33" s="612" customFormat="1" hidden="1" outlineLevel="3" x14ac:dyDescent="0.2">
      <c r="A661" s="606"/>
      <c r="B661" s="606"/>
      <c r="C661" s="607"/>
      <c r="D661" s="608"/>
      <c r="E661" s="608"/>
      <c r="F661" s="608"/>
      <c r="G661" s="608"/>
      <c r="H661" s="609"/>
      <c r="I661" s="660"/>
      <c r="J661" s="660"/>
      <c r="K661" s="660"/>
      <c r="L661" s="660"/>
      <c r="M661" s="660"/>
      <c r="N661" s="660"/>
      <c r="O661" s="660"/>
      <c r="P661" s="660"/>
      <c r="Q661" s="660"/>
      <c r="R661" s="660"/>
      <c r="S661" s="660"/>
      <c r="T661" s="660"/>
      <c r="U661" s="660"/>
      <c r="V661" s="660"/>
      <c r="W661" s="660"/>
      <c r="X661" s="660"/>
      <c r="Y661" s="660"/>
      <c r="Z661" s="660"/>
      <c r="AA661" s="660"/>
      <c r="AB661" s="660"/>
      <c r="AC661" s="661"/>
      <c r="AD661" s="606"/>
      <c r="AE661" s="606"/>
      <c r="AF661" s="606"/>
      <c r="AG661" s="606"/>
    </row>
    <row r="662" spans="1:33" s="612" customFormat="1" hidden="1" outlineLevel="3" x14ac:dyDescent="0.2">
      <c r="A662" s="606"/>
      <c r="B662" s="606"/>
      <c r="C662" s="607"/>
      <c r="D662" s="608"/>
      <c r="E662" s="608"/>
      <c r="F662" s="608"/>
      <c r="G662" s="608"/>
      <c r="H662" s="609"/>
      <c r="I662" s="660"/>
      <c r="J662" s="660"/>
      <c r="K662" s="660"/>
      <c r="L662" s="660"/>
      <c r="M662" s="660"/>
      <c r="N662" s="660"/>
      <c r="O662" s="660"/>
      <c r="P662" s="660"/>
      <c r="Q662" s="660"/>
      <c r="R662" s="660"/>
      <c r="S662" s="660"/>
      <c r="T662" s="660"/>
      <c r="U662" s="660"/>
      <c r="V662" s="660"/>
      <c r="W662" s="660"/>
      <c r="X662" s="660"/>
      <c r="Y662" s="660"/>
      <c r="Z662" s="660"/>
      <c r="AA662" s="660"/>
      <c r="AB662" s="660"/>
      <c r="AC662" s="661"/>
      <c r="AD662" s="606"/>
      <c r="AE662" s="606"/>
      <c r="AF662" s="606"/>
      <c r="AG662" s="606"/>
    </row>
    <row r="663" spans="1:33" s="612" customFormat="1" hidden="1" outlineLevel="3" x14ac:dyDescent="0.2">
      <c r="A663" s="606"/>
      <c r="B663" s="606"/>
      <c r="C663" s="607"/>
      <c r="D663" s="608"/>
      <c r="E663" s="608"/>
      <c r="F663" s="608"/>
      <c r="G663" s="608"/>
      <c r="H663" s="609"/>
      <c r="I663" s="660"/>
      <c r="J663" s="660"/>
      <c r="K663" s="660"/>
      <c r="L663" s="660"/>
      <c r="M663" s="660"/>
      <c r="N663" s="660"/>
      <c r="O663" s="660"/>
      <c r="P663" s="660"/>
      <c r="Q663" s="660"/>
      <c r="R663" s="660"/>
      <c r="S663" s="660"/>
      <c r="T663" s="660"/>
      <c r="U663" s="660"/>
      <c r="V663" s="660"/>
      <c r="W663" s="660"/>
      <c r="X663" s="660"/>
      <c r="Y663" s="660"/>
      <c r="Z663" s="660"/>
      <c r="AA663" s="660"/>
      <c r="AB663" s="660"/>
      <c r="AC663" s="661"/>
      <c r="AD663" s="606"/>
      <c r="AE663" s="606"/>
      <c r="AF663" s="606"/>
      <c r="AG663" s="606"/>
    </row>
    <row r="664" spans="1:33" s="612" customFormat="1" hidden="1" outlineLevel="3" x14ac:dyDescent="0.2">
      <c r="A664" s="606"/>
      <c r="B664" s="606"/>
      <c r="C664" s="607"/>
      <c r="D664" s="608"/>
      <c r="E664" s="608"/>
      <c r="F664" s="608"/>
      <c r="G664" s="608"/>
      <c r="H664" s="609"/>
      <c r="I664" s="660"/>
      <c r="J664" s="660"/>
      <c r="K664" s="660"/>
      <c r="L664" s="660"/>
      <c r="M664" s="660"/>
      <c r="N664" s="660"/>
      <c r="O664" s="660"/>
      <c r="P664" s="660"/>
      <c r="Q664" s="660"/>
      <c r="R664" s="660"/>
      <c r="S664" s="660"/>
      <c r="T664" s="660"/>
      <c r="U664" s="660"/>
      <c r="V664" s="660"/>
      <c r="W664" s="660"/>
      <c r="X664" s="660"/>
      <c r="Y664" s="660"/>
      <c r="Z664" s="660"/>
      <c r="AA664" s="660"/>
      <c r="AB664" s="660"/>
      <c r="AC664" s="661"/>
      <c r="AD664" s="606"/>
      <c r="AE664" s="606"/>
      <c r="AF664" s="606"/>
      <c r="AG664" s="606"/>
    </row>
    <row r="665" spans="1:33" s="612" customFormat="1" hidden="1" outlineLevel="3" x14ac:dyDescent="0.2">
      <c r="A665" s="606"/>
      <c r="B665" s="606"/>
      <c r="C665" s="607"/>
      <c r="D665" s="608"/>
      <c r="E665" s="608"/>
      <c r="F665" s="608"/>
      <c r="G665" s="608"/>
      <c r="H665" s="609"/>
      <c r="I665" s="660"/>
      <c r="J665" s="660"/>
      <c r="K665" s="660"/>
      <c r="L665" s="660"/>
      <c r="M665" s="660"/>
      <c r="N665" s="660"/>
      <c r="O665" s="660"/>
      <c r="P665" s="660"/>
      <c r="Q665" s="660"/>
      <c r="R665" s="660"/>
      <c r="S665" s="660"/>
      <c r="T665" s="660"/>
      <c r="U665" s="660"/>
      <c r="V665" s="660"/>
      <c r="W665" s="660"/>
      <c r="X665" s="660"/>
      <c r="Y665" s="660"/>
      <c r="Z665" s="660"/>
      <c r="AA665" s="660"/>
      <c r="AB665" s="660"/>
      <c r="AC665" s="661"/>
      <c r="AD665" s="606"/>
      <c r="AE665" s="606"/>
      <c r="AF665" s="606"/>
      <c r="AG665" s="606"/>
    </row>
    <row r="666" spans="1:33" s="612" customFormat="1" hidden="1" outlineLevel="3" x14ac:dyDescent="0.2">
      <c r="A666" s="606"/>
      <c r="B666" s="606"/>
      <c r="C666" s="607"/>
      <c r="D666" s="608"/>
      <c r="E666" s="608"/>
      <c r="F666" s="608"/>
      <c r="G666" s="608"/>
      <c r="H666" s="609"/>
      <c r="I666" s="660"/>
      <c r="J666" s="660"/>
      <c r="K666" s="660"/>
      <c r="L666" s="660"/>
      <c r="M666" s="660"/>
      <c r="N666" s="660"/>
      <c r="O666" s="660"/>
      <c r="P666" s="660"/>
      <c r="Q666" s="660"/>
      <c r="R666" s="660"/>
      <c r="S666" s="660"/>
      <c r="T666" s="660"/>
      <c r="U666" s="660"/>
      <c r="V666" s="660"/>
      <c r="W666" s="660"/>
      <c r="X666" s="660"/>
      <c r="Y666" s="660"/>
      <c r="Z666" s="660"/>
      <c r="AA666" s="660"/>
      <c r="AB666" s="660"/>
      <c r="AC666" s="661"/>
      <c r="AD666" s="606"/>
      <c r="AE666" s="606"/>
      <c r="AF666" s="606"/>
      <c r="AG666" s="606"/>
    </row>
    <row r="667" spans="1:33" s="612" customFormat="1" hidden="1" outlineLevel="3" x14ac:dyDescent="0.2">
      <c r="A667" s="606"/>
      <c r="B667" s="606"/>
      <c r="C667" s="607"/>
      <c r="D667" s="608"/>
      <c r="E667" s="608"/>
      <c r="F667" s="608"/>
      <c r="G667" s="608"/>
      <c r="H667" s="609"/>
      <c r="I667" s="660"/>
      <c r="J667" s="660"/>
      <c r="K667" s="660"/>
      <c r="L667" s="660"/>
      <c r="M667" s="660"/>
      <c r="N667" s="660"/>
      <c r="O667" s="660"/>
      <c r="P667" s="660"/>
      <c r="Q667" s="660"/>
      <c r="R667" s="660"/>
      <c r="S667" s="660"/>
      <c r="T667" s="660"/>
      <c r="U667" s="660"/>
      <c r="V667" s="660"/>
      <c r="W667" s="660"/>
      <c r="X667" s="660"/>
      <c r="Y667" s="660"/>
      <c r="Z667" s="660"/>
      <c r="AA667" s="660"/>
      <c r="AB667" s="660"/>
      <c r="AC667" s="661"/>
      <c r="AD667" s="606"/>
      <c r="AE667" s="606"/>
      <c r="AF667" s="606"/>
      <c r="AG667" s="606"/>
    </row>
    <row r="668" spans="1:33" s="612" customFormat="1" hidden="1" outlineLevel="3" x14ac:dyDescent="0.2">
      <c r="A668" s="606"/>
      <c r="B668" s="606"/>
      <c r="C668" s="607"/>
      <c r="D668" s="608"/>
      <c r="E668" s="608"/>
      <c r="F668" s="608"/>
      <c r="G668" s="608"/>
      <c r="H668" s="609"/>
      <c r="I668" s="660"/>
      <c r="J668" s="660"/>
      <c r="K668" s="660"/>
      <c r="L668" s="660"/>
      <c r="M668" s="660"/>
      <c r="N668" s="660"/>
      <c r="O668" s="660"/>
      <c r="P668" s="660"/>
      <c r="Q668" s="660"/>
      <c r="R668" s="660"/>
      <c r="S668" s="660"/>
      <c r="T668" s="660"/>
      <c r="U668" s="660"/>
      <c r="V668" s="660"/>
      <c r="W668" s="660"/>
      <c r="X668" s="660"/>
      <c r="Y668" s="660"/>
      <c r="Z668" s="660"/>
      <c r="AA668" s="660"/>
      <c r="AB668" s="660"/>
      <c r="AC668" s="661"/>
      <c r="AD668" s="606"/>
      <c r="AE668" s="606"/>
      <c r="AF668" s="606"/>
      <c r="AG668" s="606"/>
    </row>
    <row r="669" spans="1:33" s="612" customFormat="1" hidden="1" outlineLevel="3" x14ac:dyDescent="0.2">
      <c r="A669" s="606"/>
      <c r="B669" s="606"/>
      <c r="C669" s="607"/>
      <c r="D669" s="608"/>
      <c r="E669" s="608"/>
      <c r="F669" s="608"/>
      <c r="G669" s="608"/>
      <c r="H669" s="609"/>
      <c r="I669" s="660"/>
      <c r="J669" s="660"/>
      <c r="K669" s="660"/>
      <c r="L669" s="660"/>
      <c r="M669" s="660"/>
      <c r="N669" s="660"/>
      <c r="O669" s="660"/>
      <c r="P669" s="660"/>
      <c r="Q669" s="660"/>
      <c r="R669" s="660"/>
      <c r="S669" s="660"/>
      <c r="T669" s="660"/>
      <c r="U669" s="660"/>
      <c r="V669" s="660"/>
      <c r="W669" s="660"/>
      <c r="X669" s="660"/>
      <c r="Y669" s="660"/>
      <c r="Z669" s="660"/>
      <c r="AA669" s="660"/>
      <c r="AB669" s="660"/>
      <c r="AC669" s="661"/>
      <c r="AD669" s="606"/>
      <c r="AE669" s="606"/>
      <c r="AF669" s="606"/>
      <c r="AG669" s="606"/>
    </row>
    <row r="670" spans="1:33" s="612" customFormat="1" hidden="1" outlineLevel="3" x14ac:dyDescent="0.2">
      <c r="A670" s="606"/>
      <c r="B670" s="606"/>
      <c r="C670" s="607"/>
      <c r="D670" s="608"/>
      <c r="E670" s="608"/>
      <c r="F670" s="608"/>
      <c r="G670" s="608"/>
      <c r="H670" s="609"/>
      <c r="I670" s="660"/>
      <c r="J670" s="660"/>
      <c r="K670" s="660"/>
      <c r="L670" s="660"/>
      <c r="M670" s="660"/>
      <c r="N670" s="660"/>
      <c r="O670" s="660"/>
      <c r="P670" s="660"/>
      <c r="Q670" s="660"/>
      <c r="R670" s="660"/>
      <c r="S670" s="660"/>
      <c r="T670" s="660"/>
      <c r="U670" s="660"/>
      <c r="V670" s="660"/>
      <c r="W670" s="660"/>
      <c r="X670" s="660"/>
      <c r="Y670" s="660"/>
      <c r="Z670" s="660"/>
      <c r="AA670" s="660"/>
      <c r="AB670" s="660"/>
      <c r="AC670" s="661"/>
      <c r="AD670" s="606"/>
      <c r="AE670" s="606"/>
      <c r="AF670" s="606"/>
      <c r="AG670" s="606"/>
    </row>
    <row r="671" spans="1:33" s="612" customFormat="1" hidden="1" outlineLevel="3" x14ac:dyDescent="0.2">
      <c r="A671" s="606"/>
      <c r="B671" s="606"/>
      <c r="C671" s="607"/>
      <c r="D671" s="608"/>
      <c r="E671" s="608"/>
      <c r="F671" s="608"/>
      <c r="G671" s="608"/>
      <c r="H671" s="609"/>
      <c r="I671" s="660"/>
      <c r="J671" s="660"/>
      <c r="K671" s="660"/>
      <c r="L671" s="660"/>
      <c r="M671" s="660"/>
      <c r="N671" s="660"/>
      <c r="O671" s="660"/>
      <c r="P671" s="660"/>
      <c r="Q671" s="660"/>
      <c r="R671" s="660"/>
      <c r="S671" s="660"/>
      <c r="T671" s="660"/>
      <c r="U671" s="660"/>
      <c r="V671" s="660"/>
      <c r="W671" s="660"/>
      <c r="X671" s="660"/>
      <c r="Y671" s="660"/>
      <c r="Z671" s="660"/>
      <c r="AA671" s="660"/>
      <c r="AB671" s="660"/>
      <c r="AC671" s="661"/>
      <c r="AD671" s="606"/>
      <c r="AE671" s="606"/>
      <c r="AF671" s="606"/>
      <c r="AG671" s="606"/>
    </row>
    <row r="672" spans="1:33" s="612" customFormat="1" hidden="1" outlineLevel="3" x14ac:dyDescent="0.2">
      <c r="A672" s="606"/>
      <c r="B672" s="606"/>
      <c r="C672" s="607"/>
      <c r="D672" s="608"/>
      <c r="E672" s="608"/>
      <c r="F672" s="608"/>
      <c r="G672" s="608"/>
      <c r="H672" s="609"/>
      <c r="I672" s="660"/>
      <c r="J672" s="660"/>
      <c r="K672" s="660"/>
      <c r="L672" s="660"/>
      <c r="M672" s="660"/>
      <c r="N672" s="660"/>
      <c r="O672" s="660"/>
      <c r="P672" s="660"/>
      <c r="Q672" s="660"/>
      <c r="R672" s="660"/>
      <c r="S672" s="660"/>
      <c r="T672" s="660"/>
      <c r="U672" s="660"/>
      <c r="V672" s="660"/>
      <c r="W672" s="660"/>
      <c r="X672" s="660"/>
      <c r="Y672" s="660"/>
      <c r="Z672" s="660"/>
      <c r="AA672" s="660"/>
      <c r="AB672" s="660"/>
      <c r="AC672" s="661"/>
      <c r="AD672" s="606"/>
      <c r="AE672" s="606"/>
      <c r="AF672" s="606"/>
      <c r="AG672" s="606"/>
    </row>
    <row r="673" spans="1:33" s="612" customFormat="1" hidden="1" outlineLevel="3" x14ac:dyDescent="0.2">
      <c r="A673" s="606"/>
      <c r="B673" s="606"/>
      <c r="C673" s="607"/>
      <c r="D673" s="608"/>
      <c r="E673" s="608"/>
      <c r="F673" s="608"/>
      <c r="G673" s="608"/>
      <c r="H673" s="609"/>
      <c r="I673" s="660"/>
      <c r="J673" s="660"/>
      <c r="K673" s="660"/>
      <c r="L673" s="660"/>
      <c r="M673" s="660"/>
      <c r="N673" s="660"/>
      <c r="O673" s="660"/>
      <c r="P673" s="660"/>
      <c r="Q673" s="660"/>
      <c r="R673" s="660"/>
      <c r="S673" s="660"/>
      <c r="T673" s="660"/>
      <c r="U673" s="660"/>
      <c r="V673" s="660"/>
      <c r="W673" s="660"/>
      <c r="X673" s="660"/>
      <c r="Y673" s="660"/>
      <c r="Z673" s="660"/>
      <c r="AA673" s="660"/>
      <c r="AB673" s="660"/>
      <c r="AC673" s="661"/>
      <c r="AD673" s="606"/>
      <c r="AE673" s="606"/>
      <c r="AF673" s="606"/>
      <c r="AG673" s="606"/>
    </row>
    <row r="674" spans="1:33" s="612" customFormat="1" hidden="1" outlineLevel="3" x14ac:dyDescent="0.2">
      <c r="A674" s="606"/>
      <c r="B674" s="606"/>
      <c r="C674" s="607"/>
      <c r="D674" s="608"/>
      <c r="E674" s="608"/>
      <c r="F674" s="608"/>
      <c r="G674" s="608"/>
      <c r="H674" s="609"/>
      <c r="I674" s="660"/>
      <c r="J674" s="660"/>
      <c r="K674" s="660"/>
      <c r="L674" s="660"/>
      <c r="M674" s="660"/>
      <c r="N674" s="660"/>
      <c r="O674" s="660"/>
      <c r="P674" s="660"/>
      <c r="Q674" s="660"/>
      <c r="R674" s="660"/>
      <c r="S674" s="660"/>
      <c r="T674" s="660"/>
      <c r="U674" s="660"/>
      <c r="V674" s="660"/>
      <c r="W674" s="660"/>
      <c r="X674" s="660"/>
      <c r="Y674" s="660"/>
      <c r="Z674" s="660"/>
      <c r="AA674" s="660"/>
      <c r="AB674" s="660"/>
      <c r="AC674" s="661"/>
      <c r="AD674" s="606"/>
      <c r="AE674" s="606"/>
      <c r="AF674" s="606"/>
      <c r="AG674" s="606"/>
    </row>
    <row r="675" spans="1:33" s="612" customFormat="1" hidden="1" outlineLevel="3" x14ac:dyDescent="0.2">
      <c r="A675" s="606"/>
      <c r="B675" s="606"/>
      <c r="C675" s="607"/>
      <c r="D675" s="608"/>
      <c r="E675" s="608"/>
      <c r="F675" s="608"/>
      <c r="G675" s="608"/>
      <c r="H675" s="609"/>
      <c r="I675" s="660"/>
      <c r="J675" s="660"/>
      <c r="K675" s="660"/>
      <c r="L675" s="660"/>
      <c r="M675" s="660"/>
      <c r="N675" s="660"/>
      <c r="O675" s="660"/>
      <c r="P675" s="660"/>
      <c r="Q675" s="660"/>
      <c r="R675" s="660"/>
      <c r="S675" s="660"/>
      <c r="T675" s="660"/>
      <c r="U675" s="660"/>
      <c r="V675" s="660"/>
      <c r="W675" s="660"/>
      <c r="X675" s="660"/>
      <c r="Y675" s="660"/>
      <c r="Z675" s="660"/>
      <c r="AA675" s="660"/>
      <c r="AB675" s="660"/>
      <c r="AC675" s="661"/>
      <c r="AD675" s="606"/>
      <c r="AE675" s="606"/>
      <c r="AF675" s="606"/>
      <c r="AG675" s="606"/>
    </row>
    <row r="676" spans="1:33" s="612" customFormat="1" hidden="1" outlineLevel="3" x14ac:dyDescent="0.2">
      <c r="A676" s="606"/>
      <c r="B676" s="606"/>
      <c r="C676" s="607"/>
      <c r="D676" s="608"/>
      <c r="E676" s="608"/>
      <c r="F676" s="608"/>
      <c r="G676" s="608"/>
      <c r="H676" s="609"/>
      <c r="I676" s="660"/>
      <c r="J676" s="660"/>
      <c r="K676" s="660"/>
      <c r="L676" s="660"/>
      <c r="M676" s="660"/>
      <c r="N676" s="660"/>
      <c r="O676" s="660"/>
      <c r="P676" s="660"/>
      <c r="Q676" s="660"/>
      <c r="R676" s="660"/>
      <c r="S676" s="660"/>
      <c r="T676" s="660"/>
      <c r="U676" s="660"/>
      <c r="V676" s="660"/>
      <c r="W676" s="660"/>
      <c r="X676" s="660"/>
      <c r="Y676" s="660"/>
      <c r="Z676" s="660"/>
      <c r="AA676" s="660"/>
      <c r="AB676" s="660"/>
      <c r="AC676" s="661"/>
      <c r="AD676" s="606"/>
      <c r="AE676" s="606"/>
      <c r="AF676" s="606"/>
      <c r="AG676" s="606"/>
    </row>
    <row r="677" spans="1:33" s="612" customFormat="1" hidden="1" outlineLevel="3" x14ac:dyDescent="0.2">
      <c r="A677" s="606"/>
      <c r="B677" s="606"/>
      <c r="C677" s="607"/>
      <c r="D677" s="608"/>
      <c r="E677" s="608"/>
      <c r="F677" s="608"/>
      <c r="G677" s="608"/>
      <c r="H677" s="609"/>
      <c r="I677" s="660"/>
      <c r="J677" s="660"/>
      <c r="K677" s="660"/>
      <c r="L677" s="660"/>
      <c r="M677" s="660"/>
      <c r="N677" s="660"/>
      <c r="O677" s="660"/>
      <c r="P677" s="660"/>
      <c r="Q677" s="660"/>
      <c r="R677" s="660"/>
      <c r="S677" s="660"/>
      <c r="T677" s="660"/>
      <c r="U677" s="660"/>
      <c r="V677" s="660"/>
      <c r="W677" s="660"/>
      <c r="X677" s="660"/>
      <c r="Y677" s="660"/>
      <c r="Z677" s="660"/>
      <c r="AA677" s="660"/>
      <c r="AB677" s="660"/>
      <c r="AC677" s="661"/>
      <c r="AD677" s="606"/>
      <c r="AE677" s="606"/>
      <c r="AF677" s="606"/>
      <c r="AG677" s="606"/>
    </row>
    <row r="678" spans="1:33" s="612" customFormat="1" hidden="1" outlineLevel="3" x14ac:dyDescent="0.2">
      <c r="A678" s="606"/>
      <c r="B678" s="606"/>
      <c r="C678" s="607"/>
      <c r="D678" s="608"/>
      <c r="E678" s="608"/>
      <c r="F678" s="608"/>
      <c r="G678" s="608"/>
      <c r="H678" s="609"/>
      <c r="I678" s="660"/>
      <c r="J678" s="660"/>
      <c r="K678" s="660"/>
      <c r="L678" s="660"/>
      <c r="M678" s="660"/>
      <c r="N678" s="660"/>
      <c r="O678" s="660"/>
      <c r="P678" s="660"/>
      <c r="Q678" s="660"/>
      <c r="R678" s="660"/>
      <c r="S678" s="660"/>
      <c r="T678" s="660"/>
      <c r="U678" s="660"/>
      <c r="V678" s="660"/>
      <c r="W678" s="660"/>
      <c r="X678" s="660"/>
      <c r="Y678" s="660"/>
      <c r="Z678" s="660"/>
      <c r="AA678" s="660"/>
      <c r="AB678" s="660"/>
      <c r="AC678" s="661"/>
      <c r="AD678" s="606"/>
      <c r="AE678" s="606"/>
      <c r="AF678" s="606"/>
      <c r="AG678" s="606"/>
    </row>
    <row r="679" spans="1:33" s="612" customFormat="1" hidden="1" outlineLevel="3" x14ac:dyDescent="0.2">
      <c r="A679" s="606"/>
      <c r="B679" s="606"/>
      <c r="C679" s="607"/>
      <c r="D679" s="608"/>
      <c r="E679" s="608"/>
      <c r="F679" s="608"/>
      <c r="G679" s="608"/>
      <c r="H679" s="609"/>
      <c r="I679" s="660"/>
      <c r="J679" s="660"/>
      <c r="K679" s="660"/>
      <c r="L679" s="660"/>
      <c r="M679" s="660"/>
      <c r="N679" s="660"/>
      <c r="O679" s="660"/>
      <c r="P679" s="660"/>
      <c r="Q679" s="660"/>
      <c r="R679" s="660"/>
      <c r="S679" s="660"/>
      <c r="T679" s="660"/>
      <c r="U679" s="660"/>
      <c r="V679" s="660"/>
      <c r="W679" s="660"/>
      <c r="X679" s="660"/>
      <c r="Y679" s="660"/>
      <c r="Z679" s="660"/>
      <c r="AA679" s="660"/>
      <c r="AB679" s="660"/>
      <c r="AC679" s="661"/>
      <c r="AD679" s="606"/>
      <c r="AE679" s="606"/>
      <c r="AF679" s="606"/>
      <c r="AG679" s="606"/>
    </row>
    <row r="680" spans="1:33" s="612" customFormat="1" hidden="1" outlineLevel="3" x14ac:dyDescent="0.2">
      <c r="A680" s="606"/>
      <c r="B680" s="606"/>
      <c r="C680" s="607"/>
      <c r="D680" s="608"/>
      <c r="E680" s="608"/>
      <c r="F680" s="608"/>
      <c r="G680" s="608"/>
      <c r="H680" s="609"/>
      <c r="I680" s="660"/>
      <c r="J680" s="660"/>
      <c r="K680" s="660"/>
      <c r="L680" s="660"/>
      <c r="M680" s="660"/>
      <c r="N680" s="660"/>
      <c r="O680" s="660"/>
      <c r="P680" s="660"/>
      <c r="Q680" s="660"/>
      <c r="R680" s="660"/>
      <c r="S680" s="660"/>
      <c r="T680" s="660"/>
      <c r="U680" s="660"/>
      <c r="V680" s="660"/>
      <c r="W680" s="660"/>
      <c r="X680" s="660"/>
      <c r="Y680" s="660"/>
      <c r="Z680" s="660"/>
      <c r="AA680" s="660"/>
      <c r="AB680" s="660"/>
      <c r="AC680" s="661"/>
      <c r="AD680" s="606"/>
      <c r="AE680" s="606"/>
      <c r="AF680" s="606"/>
      <c r="AG680" s="606"/>
    </row>
    <row r="681" spans="1:33" s="612" customFormat="1" hidden="1" outlineLevel="3" x14ac:dyDescent="0.2">
      <c r="A681" s="606"/>
      <c r="B681" s="606"/>
      <c r="C681" s="607"/>
      <c r="D681" s="608"/>
      <c r="E681" s="608"/>
      <c r="F681" s="608"/>
      <c r="G681" s="608"/>
      <c r="H681" s="609"/>
      <c r="I681" s="660"/>
      <c r="J681" s="660"/>
      <c r="K681" s="660"/>
      <c r="L681" s="660"/>
      <c r="M681" s="660"/>
      <c r="N681" s="660"/>
      <c r="O681" s="660"/>
      <c r="P681" s="660"/>
      <c r="Q681" s="660"/>
      <c r="R681" s="660"/>
      <c r="S681" s="660"/>
      <c r="T681" s="660"/>
      <c r="U681" s="660"/>
      <c r="V681" s="660"/>
      <c r="W681" s="660"/>
      <c r="X681" s="660"/>
      <c r="Y681" s="660"/>
      <c r="Z681" s="660"/>
      <c r="AA681" s="660"/>
      <c r="AB681" s="660"/>
      <c r="AC681" s="661"/>
      <c r="AD681" s="606"/>
      <c r="AE681" s="606"/>
      <c r="AF681" s="606"/>
      <c r="AG681" s="606"/>
    </row>
    <row r="682" spans="1:33" s="612" customFormat="1" hidden="1" outlineLevel="3" x14ac:dyDescent="0.2">
      <c r="A682" s="606"/>
      <c r="B682" s="606"/>
      <c r="C682" s="607"/>
      <c r="D682" s="608"/>
      <c r="E682" s="608"/>
      <c r="F682" s="608"/>
      <c r="G682" s="608"/>
      <c r="H682" s="609"/>
      <c r="I682" s="660"/>
      <c r="J682" s="660"/>
      <c r="K682" s="660"/>
      <c r="L682" s="660"/>
      <c r="M682" s="660"/>
      <c r="N682" s="660"/>
      <c r="O682" s="660"/>
      <c r="P682" s="660"/>
      <c r="Q682" s="660"/>
      <c r="R682" s="660"/>
      <c r="S682" s="660"/>
      <c r="T682" s="660"/>
      <c r="U682" s="660"/>
      <c r="V682" s="660"/>
      <c r="W682" s="660"/>
      <c r="X682" s="660"/>
      <c r="Y682" s="660"/>
      <c r="Z682" s="660"/>
      <c r="AA682" s="660"/>
      <c r="AB682" s="660"/>
      <c r="AC682" s="661"/>
      <c r="AD682" s="606"/>
      <c r="AE682" s="606"/>
      <c r="AF682" s="606"/>
      <c r="AG682" s="606"/>
    </row>
    <row r="683" spans="1:33" s="612" customFormat="1" hidden="1" outlineLevel="3" x14ac:dyDescent="0.2">
      <c r="A683" s="606"/>
      <c r="B683" s="606"/>
      <c r="C683" s="607"/>
      <c r="D683" s="608"/>
      <c r="E683" s="608"/>
      <c r="F683" s="608"/>
      <c r="G683" s="608"/>
      <c r="H683" s="609"/>
      <c r="I683" s="660"/>
      <c r="J683" s="660"/>
      <c r="K683" s="660"/>
      <c r="L683" s="660"/>
      <c r="M683" s="660"/>
      <c r="N683" s="660"/>
      <c r="O683" s="660"/>
      <c r="P683" s="660"/>
      <c r="Q683" s="660"/>
      <c r="R683" s="660"/>
      <c r="S683" s="660"/>
      <c r="T683" s="660"/>
      <c r="U683" s="660"/>
      <c r="V683" s="660"/>
      <c r="W683" s="660"/>
      <c r="X683" s="660"/>
      <c r="Y683" s="660"/>
      <c r="Z683" s="660"/>
      <c r="AA683" s="660"/>
      <c r="AB683" s="660"/>
      <c r="AC683" s="661"/>
      <c r="AD683" s="606"/>
      <c r="AE683" s="606"/>
      <c r="AF683" s="606"/>
      <c r="AG683" s="606"/>
    </row>
    <row r="684" spans="1:33" s="612" customFormat="1" hidden="1" outlineLevel="3" x14ac:dyDescent="0.2">
      <c r="A684" s="606"/>
      <c r="B684" s="606"/>
      <c r="C684" s="607"/>
      <c r="D684" s="608"/>
      <c r="E684" s="608"/>
      <c r="F684" s="608"/>
      <c r="G684" s="608"/>
      <c r="H684" s="609"/>
      <c r="I684" s="660"/>
      <c r="J684" s="660"/>
      <c r="K684" s="660"/>
      <c r="L684" s="660"/>
      <c r="M684" s="660"/>
      <c r="N684" s="660"/>
      <c r="O684" s="660"/>
      <c r="P684" s="660"/>
      <c r="Q684" s="660"/>
      <c r="R684" s="660"/>
      <c r="S684" s="660"/>
      <c r="T684" s="660"/>
      <c r="U684" s="660"/>
      <c r="V684" s="660"/>
      <c r="W684" s="660"/>
      <c r="X684" s="660"/>
      <c r="Y684" s="660"/>
      <c r="Z684" s="660"/>
      <c r="AA684" s="660"/>
      <c r="AB684" s="660"/>
      <c r="AC684" s="661"/>
      <c r="AD684" s="606"/>
      <c r="AE684" s="606"/>
      <c r="AF684" s="606"/>
      <c r="AG684" s="606"/>
    </row>
    <row r="685" spans="1:33" s="612" customFormat="1" outlineLevel="2" collapsed="1" x14ac:dyDescent="0.2">
      <c r="A685" s="606"/>
      <c r="B685" s="606"/>
      <c r="C685" s="620"/>
      <c r="D685" s="621"/>
      <c r="E685" s="609"/>
      <c r="F685" s="609"/>
      <c r="G685" s="609"/>
      <c r="H685" s="609"/>
      <c r="I685" s="662"/>
      <c r="J685" s="662"/>
      <c r="K685" s="661"/>
      <c r="L685" s="661"/>
      <c r="M685" s="661"/>
      <c r="N685" s="663"/>
      <c r="O685" s="663"/>
      <c r="P685" s="663"/>
      <c r="Q685" s="663"/>
      <c r="R685" s="663"/>
      <c r="S685" s="661"/>
      <c r="T685" s="661"/>
      <c r="U685" s="661"/>
      <c r="V685" s="661"/>
      <c r="W685" s="661"/>
      <c r="X685" s="661"/>
      <c r="Y685" s="661"/>
      <c r="Z685" s="661"/>
      <c r="AA685" s="661"/>
      <c r="AB685" s="661"/>
      <c r="AC685" s="661"/>
      <c r="AD685" s="606"/>
      <c r="AE685" s="606"/>
      <c r="AF685" s="606"/>
      <c r="AG685" s="606"/>
    </row>
    <row r="686" spans="1:33" s="612" customFormat="1" outlineLevel="1" x14ac:dyDescent="0.2">
      <c r="A686" s="606"/>
      <c r="B686" s="606"/>
      <c r="C686" s="613"/>
      <c r="D686" s="609"/>
      <c r="E686" s="609"/>
      <c r="F686" s="609"/>
      <c r="G686" s="609"/>
      <c r="H686" s="609"/>
      <c r="I686" s="662"/>
      <c r="J686" s="662"/>
      <c r="K686" s="661"/>
      <c r="L686" s="661"/>
      <c r="M686" s="661"/>
      <c r="N686" s="663"/>
      <c r="O686" s="663"/>
      <c r="P686" s="663"/>
      <c r="Q686" s="663"/>
      <c r="R686" s="663"/>
      <c r="S686" s="661"/>
      <c r="T686" s="661"/>
      <c r="U686" s="661"/>
      <c r="V686" s="661"/>
      <c r="W686" s="661"/>
      <c r="X686" s="661"/>
      <c r="Y686" s="661"/>
      <c r="Z686" s="661"/>
      <c r="AA686" s="661"/>
      <c r="AB686" s="661"/>
      <c r="AC686" s="661"/>
      <c r="AD686" s="606"/>
      <c r="AE686" s="606"/>
      <c r="AF686" s="606"/>
      <c r="AG686" s="606"/>
    </row>
    <row r="687" spans="1:33" s="612" customFormat="1" outlineLevel="1" x14ac:dyDescent="0.2">
      <c r="A687" s="606"/>
      <c r="B687" s="606"/>
      <c r="C687" s="616"/>
      <c r="D687" s="617"/>
      <c r="E687" s="617"/>
      <c r="F687" s="617"/>
      <c r="G687" s="618"/>
      <c r="H687" s="618"/>
      <c r="I687" s="661"/>
      <c r="J687" s="661"/>
      <c r="K687" s="661"/>
      <c r="L687" s="661"/>
      <c r="M687" s="661"/>
      <c r="N687" s="661"/>
      <c r="O687" s="661"/>
      <c r="P687" s="661"/>
      <c r="Q687" s="661"/>
      <c r="R687" s="661"/>
      <c r="S687" s="661"/>
      <c r="T687" s="661"/>
      <c r="U687" s="661"/>
      <c r="V687" s="661"/>
      <c r="W687" s="661"/>
      <c r="X687" s="661"/>
      <c r="Y687" s="661"/>
      <c r="Z687" s="661"/>
      <c r="AA687" s="661"/>
      <c r="AB687" s="661"/>
      <c r="AC687" s="661"/>
      <c r="AD687" s="606"/>
      <c r="AE687" s="606"/>
      <c r="AF687" s="606"/>
      <c r="AG687" s="606"/>
    </row>
    <row r="688" spans="1:33" s="612" customFormat="1" hidden="1" outlineLevel="2" x14ac:dyDescent="0.2">
      <c r="A688" s="606"/>
      <c r="B688" s="606"/>
      <c r="C688" s="607"/>
      <c r="D688" s="608"/>
      <c r="E688" s="608"/>
      <c r="F688" s="608"/>
      <c r="G688" s="608"/>
      <c r="H688" s="609"/>
      <c r="I688" s="660"/>
      <c r="J688" s="660"/>
      <c r="K688" s="660"/>
      <c r="L688" s="660"/>
      <c r="M688" s="660"/>
      <c r="N688" s="660"/>
      <c r="O688" s="660"/>
      <c r="P688" s="660"/>
      <c r="Q688" s="660"/>
      <c r="R688" s="660"/>
      <c r="S688" s="660"/>
      <c r="T688" s="660"/>
      <c r="U688" s="660"/>
      <c r="V688" s="660"/>
      <c r="W688" s="660"/>
      <c r="X688" s="660"/>
      <c r="Y688" s="660"/>
      <c r="Z688" s="660"/>
      <c r="AA688" s="660"/>
      <c r="AB688" s="660"/>
      <c r="AC688" s="661"/>
      <c r="AD688" s="606"/>
      <c r="AE688" s="606"/>
      <c r="AF688" s="606"/>
      <c r="AG688" s="606"/>
    </row>
    <row r="689" spans="1:33" s="612" customFormat="1" hidden="1" outlineLevel="2" x14ac:dyDescent="0.2">
      <c r="A689" s="606"/>
      <c r="B689" s="606"/>
      <c r="C689" s="607"/>
      <c r="D689" s="608"/>
      <c r="E689" s="608"/>
      <c r="F689" s="608"/>
      <c r="G689" s="608"/>
      <c r="H689" s="609"/>
      <c r="I689" s="660"/>
      <c r="J689" s="660"/>
      <c r="K689" s="660"/>
      <c r="L689" s="660"/>
      <c r="M689" s="660"/>
      <c r="N689" s="660"/>
      <c r="O689" s="660"/>
      <c r="P689" s="660"/>
      <c r="Q689" s="660"/>
      <c r="R689" s="660"/>
      <c r="S689" s="660"/>
      <c r="T689" s="660"/>
      <c r="U689" s="660"/>
      <c r="V689" s="660"/>
      <c r="W689" s="660"/>
      <c r="X689" s="660"/>
      <c r="Y689" s="660"/>
      <c r="Z689" s="660"/>
      <c r="AA689" s="660"/>
      <c r="AB689" s="660"/>
      <c r="AC689" s="661"/>
      <c r="AD689" s="606"/>
      <c r="AE689" s="606"/>
      <c r="AF689" s="606"/>
      <c r="AG689" s="606"/>
    </row>
    <row r="690" spans="1:33" s="612" customFormat="1" hidden="1" outlineLevel="2" x14ac:dyDescent="0.2">
      <c r="A690" s="606"/>
      <c r="B690" s="606"/>
      <c r="C690" s="607"/>
      <c r="D690" s="608"/>
      <c r="E690" s="608"/>
      <c r="F690" s="608"/>
      <c r="G690" s="608"/>
      <c r="H690" s="609"/>
      <c r="I690" s="660"/>
      <c r="J690" s="660"/>
      <c r="K690" s="660"/>
      <c r="L690" s="660"/>
      <c r="M690" s="660"/>
      <c r="N690" s="660"/>
      <c r="O690" s="660"/>
      <c r="P690" s="660"/>
      <c r="Q690" s="660"/>
      <c r="R690" s="660"/>
      <c r="S690" s="660"/>
      <c r="T690" s="660"/>
      <c r="U690" s="660"/>
      <c r="V690" s="660"/>
      <c r="W690" s="660"/>
      <c r="X690" s="660"/>
      <c r="Y690" s="660"/>
      <c r="Z690" s="660"/>
      <c r="AA690" s="660"/>
      <c r="AB690" s="660"/>
      <c r="AC690" s="661"/>
      <c r="AD690" s="606"/>
      <c r="AE690" s="606"/>
      <c r="AF690" s="606"/>
      <c r="AG690" s="606"/>
    </row>
    <row r="691" spans="1:33" s="612" customFormat="1" hidden="1" outlineLevel="2" x14ac:dyDescent="0.2">
      <c r="A691" s="606"/>
      <c r="B691" s="606"/>
      <c r="C691" s="607"/>
      <c r="D691" s="608"/>
      <c r="E691" s="608"/>
      <c r="F691" s="608"/>
      <c r="G691" s="608"/>
      <c r="H691" s="609"/>
      <c r="I691" s="660"/>
      <c r="J691" s="660"/>
      <c r="K691" s="660"/>
      <c r="L691" s="660"/>
      <c r="M691" s="660"/>
      <c r="N691" s="660"/>
      <c r="O691" s="660"/>
      <c r="P691" s="660"/>
      <c r="Q691" s="660"/>
      <c r="R691" s="660"/>
      <c r="S691" s="660"/>
      <c r="T691" s="660"/>
      <c r="U691" s="660"/>
      <c r="V691" s="660"/>
      <c r="W691" s="660"/>
      <c r="X691" s="660"/>
      <c r="Y691" s="660"/>
      <c r="Z691" s="660"/>
      <c r="AA691" s="660"/>
      <c r="AB691" s="660"/>
      <c r="AC691" s="661"/>
      <c r="AD691" s="606"/>
      <c r="AE691" s="606"/>
      <c r="AF691" s="606"/>
      <c r="AG691" s="606"/>
    </row>
    <row r="692" spans="1:33" s="612" customFormat="1" hidden="1" outlineLevel="2" x14ac:dyDescent="0.2">
      <c r="A692" s="606"/>
      <c r="B692" s="606"/>
      <c r="C692" s="607"/>
      <c r="D692" s="608"/>
      <c r="E692" s="608"/>
      <c r="F692" s="608"/>
      <c r="G692" s="608"/>
      <c r="H692" s="609"/>
      <c r="I692" s="660"/>
      <c r="J692" s="660"/>
      <c r="K692" s="660"/>
      <c r="L692" s="660"/>
      <c r="M692" s="660"/>
      <c r="N692" s="660"/>
      <c r="O692" s="660"/>
      <c r="P692" s="660"/>
      <c r="Q692" s="660"/>
      <c r="R692" s="660"/>
      <c r="S692" s="660"/>
      <c r="T692" s="660"/>
      <c r="U692" s="660"/>
      <c r="V692" s="660"/>
      <c r="W692" s="660"/>
      <c r="X692" s="660"/>
      <c r="Y692" s="660"/>
      <c r="Z692" s="660"/>
      <c r="AA692" s="660"/>
      <c r="AB692" s="660"/>
      <c r="AC692" s="661"/>
      <c r="AD692" s="606"/>
      <c r="AE692" s="606"/>
      <c r="AF692" s="606"/>
      <c r="AG692" s="606"/>
    </row>
    <row r="693" spans="1:33" s="612" customFormat="1" hidden="1" outlineLevel="2" x14ac:dyDescent="0.2">
      <c r="A693" s="606"/>
      <c r="B693" s="606"/>
      <c r="C693" s="607"/>
      <c r="D693" s="608"/>
      <c r="E693" s="608"/>
      <c r="F693" s="608"/>
      <c r="G693" s="608"/>
      <c r="H693" s="609"/>
      <c r="I693" s="660"/>
      <c r="J693" s="660"/>
      <c r="K693" s="660"/>
      <c r="L693" s="660"/>
      <c r="M693" s="660"/>
      <c r="N693" s="660"/>
      <c r="O693" s="660"/>
      <c r="P693" s="660"/>
      <c r="Q693" s="660"/>
      <c r="R693" s="660"/>
      <c r="S693" s="660"/>
      <c r="T693" s="660"/>
      <c r="U693" s="660"/>
      <c r="V693" s="660"/>
      <c r="W693" s="660"/>
      <c r="X693" s="660"/>
      <c r="Y693" s="660"/>
      <c r="Z693" s="660"/>
      <c r="AA693" s="660"/>
      <c r="AB693" s="660"/>
      <c r="AC693" s="661"/>
      <c r="AD693" s="606"/>
      <c r="AE693" s="606"/>
      <c r="AF693" s="606"/>
      <c r="AG693" s="606"/>
    </row>
    <row r="694" spans="1:33" s="612" customFormat="1" hidden="1" outlineLevel="2" x14ac:dyDescent="0.2">
      <c r="A694" s="606"/>
      <c r="B694" s="606"/>
      <c r="C694" s="607"/>
      <c r="D694" s="608"/>
      <c r="E694" s="608"/>
      <c r="F694" s="608"/>
      <c r="G694" s="608"/>
      <c r="H694" s="609"/>
      <c r="I694" s="660"/>
      <c r="J694" s="660"/>
      <c r="K694" s="660"/>
      <c r="L694" s="660"/>
      <c r="M694" s="660"/>
      <c r="N694" s="660"/>
      <c r="O694" s="660"/>
      <c r="P694" s="660"/>
      <c r="Q694" s="660"/>
      <c r="R694" s="660"/>
      <c r="S694" s="660"/>
      <c r="T694" s="660"/>
      <c r="U694" s="660"/>
      <c r="V694" s="660"/>
      <c r="W694" s="660"/>
      <c r="X694" s="660"/>
      <c r="Y694" s="660"/>
      <c r="Z694" s="660"/>
      <c r="AA694" s="660"/>
      <c r="AB694" s="660"/>
      <c r="AC694" s="661"/>
      <c r="AD694" s="606"/>
      <c r="AE694" s="606"/>
      <c r="AF694" s="606"/>
      <c r="AG694" s="606"/>
    </row>
    <row r="695" spans="1:33" s="612" customFormat="1" hidden="1" outlineLevel="2" x14ac:dyDescent="0.2">
      <c r="A695" s="606"/>
      <c r="B695" s="606"/>
      <c r="C695" s="607"/>
      <c r="D695" s="608"/>
      <c r="E695" s="608"/>
      <c r="F695" s="608"/>
      <c r="G695" s="608"/>
      <c r="H695" s="609"/>
      <c r="I695" s="660"/>
      <c r="J695" s="660"/>
      <c r="K695" s="660"/>
      <c r="L695" s="660"/>
      <c r="M695" s="660"/>
      <c r="N695" s="660"/>
      <c r="O695" s="660"/>
      <c r="P695" s="660"/>
      <c r="Q695" s="660"/>
      <c r="R695" s="660"/>
      <c r="S695" s="660"/>
      <c r="T695" s="660"/>
      <c r="U695" s="660"/>
      <c r="V695" s="660"/>
      <c r="W695" s="660"/>
      <c r="X695" s="660"/>
      <c r="Y695" s="660"/>
      <c r="Z695" s="660"/>
      <c r="AA695" s="660"/>
      <c r="AB695" s="660"/>
      <c r="AC695" s="661"/>
      <c r="AD695" s="606"/>
      <c r="AE695" s="606"/>
      <c r="AF695" s="606"/>
      <c r="AG695" s="606"/>
    </row>
    <row r="696" spans="1:33" s="612" customFormat="1" hidden="1" outlineLevel="2" x14ac:dyDescent="0.2">
      <c r="A696" s="606"/>
      <c r="B696" s="606"/>
      <c r="C696" s="607"/>
      <c r="D696" s="608"/>
      <c r="E696" s="608"/>
      <c r="F696" s="608"/>
      <c r="G696" s="608"/>
      <c r="H696" s="609"/>
      <c r="I696" s="660"/>
      <c r="J696" s="660"/>
      <c r="K696" s="660"/>
      <c r="L696" s="660"/>
      <c r="M696" s="660"/>
      <c r="N696" s="660"/>
      <c r="O696" s="660"/>
      <c r="P696" s="660"/>
      <c r="Q696" s="660"/>
      <c r="R696" s="660"/>
      <c r="S696" s="660"/>
      <c r="T696" s="660"/>
      <c r="U696" s="660"/>
      <c r="V696" s="660"/>
      <c r="W696" s="660"/>
      <c r="X696" s="660"/>
      <c r="Y696" s="660"/>
      <c r="Z696" s="660"/>
      <c r="AA696" s="660"/>
      <c r="AB696" s="660"/>
      <c r="AC696" s="661"/>
      <c r="AD696" s="606"/>
      <c r="AE696" s="606"/>
      <c r="AF696" s="606"/>
      <c r="AG696" s="606"/>
    </row>
    <row r="697" spans="1:33" s="612" customFormat="1" hidden="1" outlineLevel="2" x14ac:dyDescent="0.2">
      <c r="A697" s="606"/>
      <c r="B697" s="606"/>
      <c r="C697" s="607"/>
      <c r="D697" s="608"/>
      <c r="E697" s="608"/>
      <c r="F697" s="608"/>
      <c r="G697" s="608"/>
      <c r="H697" s="609"/>
      <c r="I697" s="660"/>
      <c r="J697" s="660"/>
      <c r="K697" s="660"/>
      <c r="L697" s="660"/>
      <c r="M697" s="660"/>
      <c r="N697" s="660"/>
      <c r="O697" s="660"/>
      <c r="P697" s="660"/>
      <c r="Q697" s="660"/>
      <c r="R697" s="660"/>
      <c r="S697" s="660"/>
      <c r="T697" s="660"/>
      <c r="U697" s="660"/>
      <c r="V697" s="660"/>
      <c r="W697" s="660"/>
      <c r="X697" s="660"/>
      <c r="Y697" s="660"/>
      <c r="Z697" s="660"/>
      <c r="AA697" s="660"/>
      <c r="AB697" s="660"/>
      <c r="AC697" s="661"/>
      <c r="AD697" s="606"/>
      <c r="AE697" s="606"/>
      <c r="AF697" s="606"/>
      <c r="AG697" s="606"/>
    </row>
    <row r="698" spans="1:33" s="612" customFormat="1" hidden="1" outlineLevel="2" x14ac:dyDescent="0.2">
      <c r="A698" s="606"/>
      <c r="B698" s="606"/>
      <c r="C698" s="607"/>
      <c r="D698" s="608"/>
      <c r="E698" s="608"/>
      <c r="F698" s="608"/>
      <c r="G698" s="608"/>
      <c r="H698" s="609"/>
      <c r="I698" s="660"/>
      <c r="J698" s="660"/>
      <c r="K698" s="660"/>
      <c r="L698" s="660"/>
      <c r="M698" s="660"/>
      <c r="N698" s="660"/>
      <c r="O698" s="660"/>
      <c r="P698" s="660"/>
      <c r="Q698" s="660"/>
      <c r="R698" s="660"/>
      <c r="S698" s="660"/>
      <c r="T698" s="660"/>
      <c r="U698" s="660"/>
      <c r="V698" s="660"/>
      <c r="W698" s="660"/>
      <c r="X698" s="660"/>
      <c r="Y698" s="660"/>
      <c r="Z698" s="660"/>
      <c r="AA698" s="660"/>
      <c r="AB698" s="660"/>
      <c r="AC698" s="661"/>
      <c r="AD698" s="606"/>
      <c r="AE698" s="606"/>
      <c r="AF698" s="606"/>
      <c r="AG698" s="606"/>
    </row>
    <row r="699" spans="1:33" s="612" customFormat="1" hidden="1" outlineLevel="3" x14ac:dyDescent="0.2">
      <c r="A699" s="606"/>
      <c r="B699" s="606"/>
      <c r="C699" s="607"/>
      <c r="D699" s="608"/>
      <c r="E699" s="608"/>
      <c r="F699" s="608"/>
      <c r="G699" s="608"/>
      <c r="H699" s="609"/>
      <c r="I699" s="660"/>
      <c r="J699" s="660"/>
      <c r="K699" s="660"/>
      <c r="L699" s="660"/>
      <c r="M699" s="660"/>
      <c r="N699" s="660"/>
      <c r="O699" s="660"/>
      <c r="P699" s="660"/>
      <c r="Q699" s="660"/>
      <c r="R699" s="660"/>
      <c r="S699" s="660"/>
      <c r="T699" s="660"/>
      <c r="U699" s="660"/>
      <c r="V699" s="660"/>
      <c r="W699" s="660"/>
      <c r="X699" s="660"/>
      <c r="Y699" s="660"/>
      <c r="Z699" s="660"/>
      <c r="AA699" s="660"/>
      <c r="AB699" s="660"/>
      <c r="AC699" s="661"/>
      <c r="AD699" s="606"/>
      <c r="AE699" s="606"/>
      <c r="AF699" s="606"/>
      <c r="AG699" s="606"/>
    </row>
    <row r="700" spans="1:33" s="612" customFormat="1" hidden="1" outlineLevel="3" x14ac:dyDescent="0.2">
      <c r="A700" s="606"/>
      <c r="B700" s="606"/>
      <c r="C700" s="607"/>
      <c r="D700" s="608"/>
      <c r="E700" s="608"/>
      <c r="F700" s="608"/>
      <c r="G700" s="608"/>
      <c r="H700" s="609"/>
      <c r="I700" s="660"/>
      <c r="J700" s="660"/>
      <c r="K700" s="660"/>
      <c r="L700" s="660"/>
      <c r="M700" s="660"/>
      <c r="N700" s="660"/>
      <c r="O700" s="660"/>
      <c r="P700" s="660"/>
      <c r="Q700" s="660"/>
      <c r="R700" s="660"/>
      <c r="S700" s="660"/>
      <c r="T700" s="660"/>
      <c r="U700" s="660"/>
      <c r="V700" s="660"/>
      <c r="W700" s="660"/>
      <c r="X700" s="660"/>
      <c r="Y700" s="660"/>
      <c r="Z700" s="660"/>
      <c r="AA700" s="660"/>
      <c r="AB700" s="660"/>
      <c r="AC700" s="661"/>
      <c r="AD700" s="606"/>
      <c r="AE700" s="606"/>
      <c r="AF700" s="606"/>
      <c r="AG700" s="606"/>
    </row>
    <row r="701" spans="1:33" s="612" customFormat="1" hidden="1" outlineLevel="3" x14ac:dyDescent="0.2">
      <c r="A701" s="606"/>
      <c r="B701" s="606"/>
      <c r="C701" s="607"/>
      <c r="D701" s="608"/>
      <c r="E701" s="608"/>
      <c r="F701" s="608"/>
      <c r="G701" s="608"/>
      <c r="H701" s="609"/>
      <c r="I701" s="660"/>
      <c r="J701" s="660"/>
      <c r="K701" s="660"/>
      <c r="L701" s="660"/>
      <c r="M701" s="660"/>
      <c r="N701" s="660"/>
      <c r="O701" s="660"/>
      <c r="P701" s="660"/>
      <c r="Q701" s="660"/>
      <c r="R701" s="660"/>
      <c r="S701" s="660"/>
      <c r="T701" s="660"/>
      <c r="U701" s="660"/>
      <c r="V701" s="660"/>
      <c r="W701" s="660"/>
      <c r="X701" s="660"/>
      <c r="Y701" s="660"/>
      <c r="Z701" s="660"/>
      <c r="AA701" s="660"/>
      <c r="AB701" s="660"/>
      <c r="AC701" s="661"/>
      <c r="AD701" s="606"/>
      <c r="AE701" s="606"/>
      <c r="AF701" s="606"/>
      <c r="AG701" s="606"/>
    </row>
    <row r="702" spans="1:33" s="612" customFormat="1" hidden="1" outlineLevel="3" x14ac:dyDescent="0.2">
      <c r="A702" s="606"/>
      <c r="B702" s="606"/>
      <c r="C702" s="607"/>
      <c r="D702" s="608"/>
      <c r="E702" s="608"/>
      <c r="F702" s="608"/>
      <c r="G702" s="608"/>
      <c r="H702" s="609"/>
      <c r="I702" s="660"/>
      <c r="J702" s="660"/>
      <c r="K702" s="660"/>
      <c r="L702" s="660"/>
      <c r="M702" s="660"/>
      <c r="N702" s="660"/>
      <c r="O702" s="660"/>
      <c r="P702" s="660"/>
      <c r="Q702" s="660"/>
      <c r="R702" s="660"/>
      <c r="S702" s="660"/>
      <c r="T702" s="660"/>
      <c r="U702" s="660"/>
      <c r="V702" s="660"/>
      <c r="W702" s="660"/>
      <c r="X702" s="660"/>
      <c r="Y702" s="660"/>
      <c r="Z702" s="660"/>
      <c r="AA702" s="660"/>
      <c r="AB702" s="660"/>
      <c r="AC702" s="661"/>
      <c r="AD702" s="606"/>
      <c r="AE702" s="606"/>
      <c r="AF702" s="606"/>
      <c r="AG702" s="606"/>
    </row>
    <row r="703" spans="1:33" s="612" customFormat="1" hidden="1" outlineLevel="3" x14ac:dyDescent="0.2">
      <c r="A703" s="606"/>
      <c r="B703" s="606"/>
      <c r="C703" s="607"/>
      <c r="D703" s="608"/>
      <c r="E703" s="608"/>
      <c r="F703" s="608"/>
      <c r="G703" s="608"/>
      <c r="H703" s="609"/>
      <c r="I703" s="660"/>
      <c r="J703" s="660"/>
      <c r="K703" s="660"/>
      <c r="L703" s="660"/>
      <c r="M703" s="660"/>
      <c r="N703" s="660"/>
      <c r="O703" s="660"/>
      <c r="P703" s="660"/>
      <c r="Q703" s="660"/>
      <c r="R703" s="660"/>
      <c r="S703" s="660"/>
      <c r="T703" s="660"/>
      <c r="U703" s="660"/>
      <c r="V703" s="660"/>
      <c r="W703" s="660"/>
      <c r="X703" s="660"/>
      <c r="Y703" s="660"/>
      <c r="Z703" s="660"/>
      <c r="AA703" s="660"/>
      <c r="AB703" s="660"/>
      <c r="AC703" s="661"/>
      <c r="AD703" s="606"/>
      <c r="AE703" s="606"/>
      <c r="AF703" s="606"/>
      <c r="AG703" s="606"/>
    </row>
    <row r="704" spans="1:33" s="612" customFormat="1" hidden="1" outlineLevel="3" x14ac:dyDescent="0.2">
      <c r="A704" s="606"/>
      <c r="B704" s="606"/>
      <c r="C704" s="607"/>
      <c r="D704" s="608"/>
      <c r="E704" s="608"/>
      <c r="F704" s="608"/>
      <c r="G704" s="608"/>
      <c r="H704" s="609"/>
      <c r="I704" s="660"/>
      <c r="J704" s="660"/>
      <c r="K704" s="660"/>
      <c r="L704" s="660"/>
      <c r="M704" s="660"/>
      <c r="N704" s="660"/>
      <c r="O704" s="660"/>
      <c r="P704" s="660"/>
      <c r="Q704" s="660"/>
      <c r="R704" s="660"/>
      <c r="S704" s="660"/>
      <c r="T704" s="660"/>
      <c r="U704" s="660"/>
      <c r="V704" s="660"/>
      <c r="W704" s="660"/>
      <c r="X704" s="660"/>
      <c r="Y704" s="660"/>
      <c r="Z704" s="660"/>
      <c r="AA704" s="660"/>
      <c r="AB704" s="660"/>
      <c r="AC704" s="661"/>
      <c r="AD704" s="606"/>
      <c r="AE704" s="606"/>
      <c r="AF704" s="606"/>
      <c r="AG704" s="606"/>
    </row>
    <row r="705" spans="1:33" s="612" customFormat="1" hidden="1" outlineLevel="3" x14ac:dyDescent="0.2">
      <c r="A705" s="606"/>
      <c r="B705" s="606"/>
      <c r="C705" s="607"/>
      <c r="D705" s="608"/>
      <c r="E705" s="608"/>
      <c r="F705" s="608"/>
      <c r="G705" s="608"/>
      <c r="H705" s="609"/>
      <c r="I705" s="660"/>
      <c r="J705" s="660"/>
      <c r="K705" s="660"/>
      <c r="L705" s="660"/>
      <c r="M705" s="660"/>
      <c r="N705" s="660"/>
      <c r="O705" s="660"/>
      <c r="P705" s="660"/>
      <c r="Q705" s="660"/>
      <c r="R705" s="660"/>
      <c r="S705" s="660"/>
      <c r="T705" s="660"/>
      <c r="U705" s="660"/>
      <c r="V705" s="660"/>
      <c r="W705" s="660"/>
      <c r="X705" s="660"/>
      <c r="Y705" s="660"/>
      <c r="Z705" s="660"/>
      <c r="AA705" s="660"/>
      <c r="AB705" s="660"/>
      <c r="AC705" s="661"/>
      <c r="AD705" s="606"/>
      <c r="AE705" s="606"/>
      <c r="AF705" s="606"/>
      <c r="AG705" s="606"/>
    </row>
    <row r="706" spans="1:33" s="612" customFormat="1" hidden="1" outlineLevel="3" x14ac:dyDescent="0.2">
      <c r="A706" s="606"/>
      <c r="B706" s="606"/>
      <c r="C706" s="607"/>
      <c r="D706" s="608"/>
      <c r="E706" s="608"/>
      <c r="F706" s="608"/>
      <c r="G706" s="608"/>
      <c r="H706" s="609"/>
      <c r="I706" s="660"/>
      <c r="J706" s="660"/>
      <c r="K706" s="660"/>
      <c r="L706" s="660"/>
      <c r="M706" s="660"/>
      <c r="N706" s="660"/>
      <c r="O706" s="660"/>
      <c r="P706" s="660"/>
      <c r="Q706" s="660"/>
      <c r="R706" s="660"/>
      <c r="S706" s="660"/>
      <c r="T706" s="660"/>
      <c r="U706" s="660"/>
      <c r="V706" s="660"/>
      <c r="W706" s="660"/>
      <c r="X706" s="660"/>
      <c r="Y706" s="660"/>
      <c r="Z706" s="660"/>
      <c r="AA706" s="660"/>
      <c r="AB706" s="660"/>
      <c r="AC706" s="661"/>
      <c r="AD706" s="606"/>
      <c r="AE706" s="606"/>
      <c r="AF706" s="606"/>
      <c r="AG706" s="606"/>
    </row>
    <row r="707" spans="1:33" s="612" customFormat="1" hidden="1" outlineLevel="3" x14ac:dyDescent="0.2">
      <c r="A707" s="606"/>
      <c r="B707" s="606"/>
      <c r="C707" s="607"/>
      <c r="D707" s="608"/>
      <c r="E707" s="608"/>
      <c r="F707" s="608"/>
      <c r="G707" s="608"/>
      <c r="H707" s="609"/>
      <c r="I707" s="660"/>
      <c r="J707" s="660"/>
      <c r="K707" s="660"/>
      <c r="L707" s="660"/>
      <c r="M707" s="660"/>
      <c r="N707" s="660"/>
      <c r="O707" s="660"/>
      <c r="P707" s="660"/>
      <c r="Q707" s="660"/>
      <c r="R707" s="660"/>
      <c r="S707" s="660"/>
      <c r="T707" s="660"/>
      <c r="U707" s="660"/>
      <c r="V707" s="660"/>
      <c r="W707" s="660"/>
      <c r="X707" s="660"/>
      <c r="Y707" s="660"/>
      <c r="Z707" s="660"/>
      <c r="AA707" s="660"/>
      <c r="AB707" s="660"/>
      <c r="AC707" s="661"/>
      <c r="AD707" s="606"/>
      <c r="AE707" s="606"/>
      <c r="AF707" s="606"/>
      <c r="AG707" s="606"/>
    </row>
    <row r="708" spans="1:33" s="612" customFormat="1" hidden="1" outlineLevel="3" x14ac:dyDescent="0.2">
      <c r="A708" s="606"/>
      <c r="B708" s="606"/>
      <c r="C708" s="607"/>
      <c r="D708" s="608"/>
      <c r="E708" s="608"/>
      <c r="F708" s="608"/>
      <c r="G708" s="608"/>
      <c r="H708" s="609"/>
      <c r="I708" s="660"/>
      <c r="J708" s="660"/>
      <c r="K708" s="660"/>
      <c r="L708" s="660"/>
      <c r="M708" s="660"/>
      <c r="N708" s="660"/>
      <c r="O708" s="660"/>
      <c r="P708" s="660"/>
      <c r="Q708" s="660"/>
      <c r="R708" s="660"/>
      <c r="S708" s="660"/>
      <c r="T708" s="660"/>
      <c r="U708" s="660"/>
      <c r="V708" s="660"/>
      <c r="W708" s="660"/>
      <c r="X708" s="660"/>
      <c r="Y708" s="660"/>
      <c r="Z708" s="660"/>
      <c r="AA708" s="660"/>
      <c r="AB708" s="660"/>
      <c r="AC708" s="661"/>
      <c r="AD708" s="606"/>
      <c r="AE708" s="606"/>
      <c r="AF708" s="606"/>
      <c r="AG708" s="606"/>
    </row>
    <row r="709" spans="1:33" s="612" customFormat="1" hidden="1" outlineLevel="3" x14ac:dyDescent="0.2">
      <c r="A709" s="606"/>
      <c r="B709" s="606"/>
      <c r="C709" s="607"/>
      <c r="D709" s="608"/>
      <c r="E709" s="608"/>
      <c r="F709" s="608"/>
      <c r="G709" s="608"/>
      <c r="H709" s="609"/>
      <c r="I709" s="660"/>
      <c r="J709" s="660"/>
      <c r="K709" s="660"/>
      <c r="L709" s="660"/>
      <c r="M709" s="660"/>
      <c r="N709" s="660"/>
      <c r="O709" s="660"/>
      <c r="P709" s="660"/>
      <c r="Q709" s="660"/>
      <c r="R709" s="660"/>
      <c r="S709" s="660"/>
      <c r="T709" s="660"/>
      <c r="U709" s="660"/>
      <c r="V709" s="660"/>
      <c r="W709" s="660"/>
      <c r="X709" s="660"/>
      <c r="Y709" s="660"/>
      <c r="Z709" s="660"/>
      <c r="AA709" s="660"/>
      <c r="AB709" s="660"/>
      <c r="AC709" s="661"/>
      <c r="AD709" s="606"/>
      <c r="AE709" s="606"/>
      <c r="AF709" s="606"/>
      <c r="AG709" s="606"/>
    </row>
    <row r="710" spans="1:33" s="612" customFormat="1" hidden="1" outlineLevel="3" x14ac:dyDescent="0.2">
      <c r="A710" s="606"/>
      <c r="B710" s="606"/>
      <c r="C710" s="607"/>
      <c r="D710" s="608"/>
      <c r="E710" s="608"/>
      <c r="F710" s="608"/>
      <c r="G710" s="608"/>
      <c r="H710" s="609"/>
      <c r="I710" s="660"/>
      <c r="J710" s="660"/>
      <c r="K710" s="660"/>
      <c r="L710" s="660"/>
      <c r="M710" s="660"/>
      <c r="N710" s="660"/>
      <c r="O710" s="660"/>
      <c r="P710" s="660"/>
      <c r="Q710" s="660"/>
      <c r="R710" s="660"/>
      <c r="S710" s="660"/>
      <c r="T710" s="660"/>
      <c r="U710" s="660"/>
      <c r="V710" s="660"/>
      <c r="W710" s="660"/>
      <c r="X710" s="660"/>
      <c r="Y710" s="660"/>
      <c r="Z710" s="660"/>
      <c r="AA710" s="660"/>
      <c r="AB710" s="660"/>
      <c r="AC710" s="661"/>
      <c r="AD710" s="606"/>
      <c r="AE710" s="606"/>
      <c r="AF710" s="606"/>
      <c r="AG710" s="606"/>
    </row>
    <row r="711" spans="1:33" s="612" customFormat="1" hidden="1" outlineLevel="3" x14ac:dyDescent="0.2">
      <c r="A711" s="606"/>
      <c r="B711" s="606"/>
      <c r="C711" s="607"/>
      <c r="D711" s="608"/>
      <c r="E711" s="608"/>
      <c r="F711" s="608"/>
      <c r="G711" s="608"/>
      <c r="H711" s="609"/>
      <c r="I711" s="660"/>
      <c r="J711" s="660"/>
      <c r="K711" s="660"/>
      <c r="L711" s="660"/>
      <c r="M711" s="660"/>
      <c r="N711" s="660"/>
      <c r="O711" s="660"/>
      <c r="P711" s="660"/>
      <c r="Q711" s="660"/>
      <c r="R711" s="660"/>
      <c r="S711" s="660"/>
      <c r="T711" s="660"/>
      <c r="U711" s="660"/>
      <c r="V711" s="660"/>
      <c r="W711" s="660"/>
      <c r="X711" s="660"/>
      <c r="Y711" s="660"/>
      <c r="Z711" s="660"/>
      <c r="AA711" s="660"/>
      <c r="AB711" s="660"/>
      <c r="AC711" s="661"/>
      <c r="AD711" s="606"/>
      <c r="AE711" s="606"/>
      <c r="AF711" s="606"/>
      <c r="AG711" s="606"/>
    </row>
    <row r="712" spans="1:33" s="612" customFormat="1" hidden="1" outlineLevel="3" x14ac:dyDescent="0.2">
      <c r="A712" s="606"/>
      <c r="B712" s="606"/>
      <c r="C712" s="607"/>
      <c r="D712" s="608"/>
      <c r="E712" s="608"/>
      <c r="F712" s="608"/>
      <c r="G712" s="608"/>
      <c r="H712" s="609"/>
      <c r="I712" s="660"/>
      <c r="J712" s="660"/>
      <c r="K712" s="660"/>
      <c r="L712" s="660"/>
      <c r="M712" s="660"/>
      <c r="N712" s="660"/>
      <c r="O712" s="660"/>
      <c r="P712" s="660"/>
      <c r="Q712" s="660"/>
      <c r="R712" s="660"/>
      <c r="S712" s="660"/>
      <c r="T712" s="660"/>
      <c r="U712" s="660"/>
      <c r="V712" s="660"/>
      <c r="W712" s="660"/>
      <c r="X712" s="660"/>
      <c r="Y712" s="660"/>
      <c r="Z712" s="660"/>
      <c r="AA712" s="660"/>
      <c r="AB712" s="660"/>
      <c r="AC712" s="661"/>
      <c r="AD712" s="606"/>
      <c r="AE712" s="606"/>
      <c r="AF712" s="606"/>
      <c r="AG712" s="606"/>
    </row>
    <row r="713" spans="1:33" s="612" customFormat="1" hidden="1" outlineLevel="3" x14ac:dyDescent="0.2">
      <c r="A713" s="606"/>
      <c r="B713" s="606"/>
      <c r="C713" s="607"/>
      <c r="D713" s="608"/>
      <c r="E713" s="608"/>
      <c r="F713" s="608"/>
      <c r="G713" s="608"/>
      <c r="H713" s="609"/>
      <c r="I713" s="660"/>
      <c r="J713" s="660"/>
      <c r="K713" s="660"/>
      <c r="L713" s="660"/>
      <c r="M713" s="660"/>
      <c r="N713" s="660"/>
      <c r="O713" s="660"/>
      <c r="P713" s="660"/>
      <c r="Q713" s="660"/>
      <c r="R713" s="660"/>
      <c r="S713" s="660"/>
      <c r="T713" s="660"/>
      <c r="U713" s="660"/>
      <c r="V713" s="660"/>
      <c r="W713" s="660"/>
      <c r="X713" s="660"/>
      <c r="Y713" s="660"/>
      <c r="Z713" s="660"/>
      <c r="AA713" s="660"/>
      <c r="AB713" s="660"/>
      <c r="AC713" s="661"/>
      <c r="AD713" s="606"/>
      <c r="AE713" s="606"/>
      <c r="AF713" s="606"/>
      <c r="AG713" s="606"/>
    </row>
    <row r="714" spans="1:33" s="612" customFormat="1" hidden="1" outlineLevel="3" x14ac:dyDescent="0.2">
      <c r="A714" s="606"/>
      <c r="B714" s="606"/>
      <c r="C714" s="607"/>
      <c r="D714" s="608"/>
      <c r="E714" s="608"/>
      <c r="F714" s="608"/>
      <c r="G714" s="608"/>
      <c r="H714" s="609"/>
      <c r="I714" s="660"/>
      <c r="J714" s="660"/>
      <c r="K714" s="660"/>
      <c r="L714" s="660"/>
      <c r="M714" s="660"/>
      <c r="N714" s="660"/>
      <c r="O714" s="660"/>
      <c r="P714" s="660"/>
      <c r="Q714" s="660"/>
      <c r="R714" s="660"/>
      <c r="S714" s="660"/>
      <c r="T714" s="660"/>
      <c r="U714" s="660"/>
      <c r="V714" s="660"/>
      <c r="W714" s="660"/>
      <c r="X714" s="660"/>
      <c r="Y714" s="660"/>
      <c r="Z714" s="660"/>
      <c r="AA714" s="660"/>
      <c r="AB714" s="660"/>
      <c r="AC714" s="661"/>
      <c r="AD714" s="606"/>
      <c r="AE714" s="606"/>
      <c r="AF714" s="606"/>
      <c r="AG714" s="606"/>
    </row>
    <row r="715" spans="1:33" s="612" customFormat="1" hidden="1" outlineLevel="3" x14ac:dyDescent="0.2">
      <c r="A715" s="606"/>
      <c r="B715" s="606"/>
      <c r="C715" s="607"/>
      <c r="D715" s="608"/>
      <c r="E715" s="608"/>
      <c r="F715" s="608"/>
      <c r="G715" s="608"/>
      <c r="H715" s="609"/>
      <c r="I715" s="660"/>
      <c r="J715" s="660"/>
      <c r="K715" s="660"/>
      <c r="L715" s="660"/>
      <c r="M715" s="660"/>
      <c r="N715" s="660"/>
      <c r="O715" s="660"/>
      <c r="P715" s="660"/>
      <c r="Q715" s="660"/>
      <c r="R715" s="660"/>
      <c r="S715" s="660"/>
      <c r="T715" s="660"/>
      <c r="U715" s="660"/>
      <c r="V715" s="660"/>
      <c r="W715" s="660"/>
      <c r="X715" s="660"/>
      <c r="Y715" s="660"/>
      <c r="Z715" s="660"/>
      <c r="AA715" s="660"/>
      <c r="AB715" s="660"/>
      <c r="AC715" s="661"/>
      <c r="AD715" s="606"/>
      <c r="AE715" s="606"/>
      <c r="AF715" s="606"/>
      <c r="AG715" s="606"/>
    </row>
    <row r="716" spans="1:33" s="612" customFormat="1" hidden="1" outlineLevel="3" x14ac:dyDescent="0.2">
      <c r="A716" s="606"/>
      <c r="B716" s="606"/>
      <c r="C716" s="607"/>
      <c r="D716" s="608"/>
      <c r="E716" s="608"/>
      <c r="F716" s="608"/>
      <c r="G716" s="608"/>
      <c r="H716" s="609"/>
      <c r="I716" s="660"/>
      <c r="J716" s="660"/>
      <c r="K716" s="660"/>
      <c r="L716" s="660"/>
      <c r="M716" s="660"/>
      <c r="N716" s="660"/>
      <c r="O716" s="660"/>
      <c r="P716" s="660"/>
      <c r="Q716" s="660"/>
      <c r="R716" s="660"/>
      <c r="S716" s="660"/>
      <c r="T716" s="660"/>
      <c r="U716" s="660"/>
      <c r="V716" s="660"/>
      <c r="W716" s="660"/>
      <c r="X716" s="660"/>
      <c r="Y716" s="660"/>
      <c r="Z716" s="660"/>
      <c r="AA716" s="660"/>
      <c r="AB716" s="660"/>
      <c r="AC716" s="661"/>
      <c r="AD716" s="606"/>
      <c r="AE716" s="606"/>
      <c r="AF716" s="606"/>
      <c r="AG716" s="606"/>
    </row>
    <row r="717" spans="1:33" s="612" customFormat="1" hidden="1" outlineLevel="3" x14ac:dyDescent="0.2">
      <c r="A717" s="606"/>
      <c r="B717" s="606"/>
      <c r="C717" s="607"/>
      <c r="D717" s="608"/>
      <c r="E717" s="608"/>
      <c r="F717" s="608"/>
      <c r="G717" s="608"/>
      <c r="H717" s="609"/>
      <c r="I717" s="660"/>
      <c r="J717" s="660"/>
      <c r="K717" s="660"/>
      <c r="L717" s="660"/>
      <c r="M717" s="660"/>
      <c r="N717" s="660"/>
      <c r="O717" s="660"/>
      <c r="P717" s="660"/>
      <c r="Q717" s="660"/>
      <c r="R717" s="660"/>
      <c r="S717" s="660"/>
      <c r="T717" s="660"/>
      <c r="U717" s="660"/>
      <c r="V717" s="660"/>
      <c r="W717" s="660"/>
      <c r="X717" s="660"/>
      <c r="Y717" s="660"/>
      <c r="Z717" s="660"/>
      <c r="AA717" s="660"/>
      <c r="AB717" s="660"/>
      <c r="AC717" s="661"/>
      <c r="AD717" s="606"/>
      <c r="AE717" s="606"/>
      <c r="AF717" s="606"/>
      <c r="AG717" s="606"/>
    </row>
    <row r="718" spans="1:33" s="612" customFormat="1" hidden="1" outlineLevel="3" x14ac:dyDescent="0.2">
      <c r="A718" s="606"/>
      <c r="B718" s="606"/>
      <c r="C718" s="607"/>
      <c r="D718" s="608"/>
      <c r="E718" s="608"/>
      <c r="F718" s="608"/>
      <c r="G718" s="608"/>
      <c r="H718" s="609"/>
      <c r="I718" s="660"/>
      <c r="J718" s="660"/>
      <c r="K718" s="660"/>
      <c r="L718" s="660"/>
      <c r="M718" s="660"/>
      <c r="N718" s="660"/>
      <c r="O718" s="660"/>
      <c r="P718" s="660"/>
      <c r="Q718" s="660"/>
      <c r="R718" s="660"/>
      <c r="S718" s="660"/>
      <c r="T718" s="660"/>
      <c r="U718" s="660"/>
      <c r="V718" s="660"/>
      <c r="W718" s="660"/>
      <c r="X718" s="660"/>
      <c r="Y718" s="660"/>
      <c r="Z718" s="660"/>
      <c r="AA718" s="660"/>
      <c r="AB718" s="660"/>
      <c r="AC718" s="661"/>
      <c r="AD718" s="606"/>
      <c r="AE718" s="606"/>
      <c r="AF718" s="606"/>
      <c r="AG718" s="606"/>
    </row>
    <row r="719" spans="1:33" s="612" customFormat="1" hidden="1" outlineLevel="3" x14ac:dyDescent="0.2">
      <c r="A719" s="606"/>
      <c r="B719" s="606"/>
      <c r="C719" s="607"/>
      <c r="D719" s="608"/>
      <c r="E719" s="608"/>
      <c r="F719" s="608"/>
      <c r="G719" s="608"/>
      <c r="H719" s="609"/>
      <c r="I719" s="660"/>
      <c r="J719" s="660"/>
      <c r="K719" s="660"/>
      <c r="L719" s="660"/>
      <c r="M719" s="660"/>
      <c r="N719" s="660"/>
      <c r="O719" s="660"/>
      <c r="P719" s="660"/>
      <c r="Q719" s="660"/>
      <c r="R719" s="660"/>
      <c r="S719" s="660"/>
      <c r="T719" s="660"/>
      <c r="U719" s="660"/>
      <c r="V719" s="660"/>
      <c r="W719" s="660"/>
      <c r="X719" s="660"/>
      <c r="Y719" s="660"/>
      <c r="Z719" s="660"/>
      <c r="AA719" s="660"/>
      <c r="AB719" s="660"/>
      <c r="AC719" s="661"/>
      <c r="AD719" s="606"/>
      <c r="AE719" s="606"/>
      <c r="AF719" s="606"/>
      <c r="AG719" s="606"/>
    </row>
    <row r="720" spans="1:33" s="612" customFormat="1" hidden="1" outlineLevel="3" x14ac:dyDescent="0.2">
      <c r="A720" s="606"/>
      <c r="B720" s="606"/>
      <c r="C720" s="607"/>
      <c r="D720" s="608"/>
      <c r="E720" s="608"/>
      <c r="F720" s="608"/>
      <c r="G720" s="608"/>
      <c r="H720" s="609"/>
      <c r="I720" s="660"/>
      <c r="J720" s="660"/>
      <c r="K720" s="660"/>
      <c r="L720" s="660"/>
      <c r="M720" s="660"/>
      <c r="N720" s="660"/>
      <c r="O720" s="660"/>
      <c r="P720" s="660"/>
      <c r="Q720" s="660"/>
      <c r="R720" s="660"/>
      <c r="S720" s="660"/>
      <c r="T720" s="660"/>
      <c r="U720" s="660"/>
      <c r="V720" s="660"/>
      <c r="W720" s="660"/>
      <c r="X720" s="660"/>
      <c r="Y720" s="660"/>
      <c r="Z720" s="660"/>
      <c r="AA720" s="660"/>
      <c r="AB720" s="660"/>
      <c r="AC720" s="661"/>
      <c r="AD720" s="606"/>
      <c r="AE720" s="606"/>
      <c r="AF720" s="606"/>
      <c r="AG720" s="606"/>
    </row>
    <row r="721" spans="1:33" s="612" customFormat="1" hidden="1" outlineLevel="3" x14ac:dyDescent="0.2">
      <c r="A721" s="606"/>
      <c r="B721" s="606"/>
      <c r="C721" s="607"/>
      <c r="D721" s="608"/>
      <c r="E721" s="608"/>
      <c r="F721" s="608"/>
      <c r="G721" s="608"/>
      <c r="H721" s="609"/>
      <c r="I721" s="660"/>
      <c r="J721" s="660"/>
      <c r="K721" s="660"/>
      <c r="L721" s="660"/>
      <c r="M721" s="660"/>
      <c r="N721" s="660"/>
      <c r="O721" s="660"/>
      <c r="P721" s="660"/>
      <c r="Q721" s="660"/>
      <c r="R721" s="660"/>
      <c r="S721" s="660"/>
      <c r="T721" s="660"/>
      <c r="U721" s="660"/>
      <c r="V721" s="660"/>
      <c r="W721" s="660"/>
      <c r="X721" s="660"/>
      <c r="Y721" s="660"/>
      <c r="Z721" s="660"/>
      <c r="AA721" s="660"/>
      <c r="AB721" s="660"/>
      <c r="AC721" s="661"/>
      <c r="AD721" s="606"/>
      <c r="AE721" s="606"/>
      <c r="AF721" s="606"/>
      <c r="AG721" s="606"/>
    </row>
    <row r="722" spans="1:33" s="612" customFormat="1" hidden="1" outlineLevel="3" x14ac:dyDescent="0.2">
      <c r="A722" s="606"/>
      <c r="B722" s="606"/>
      <c r="C722" s="607"/>
      <c r="D722" s="608"/>
      <c r="E722" s="608"/>
      <c r="F722" s="608"/>
      <c r="G722" s="608"/>
      <c r="H722" s="609"/>
      <c r="I722" s="660"/>
      <c r="J722" s="660"/>
      <c r="K722" s="660"/>
      <c r="L722" s="660"/>
      <c r="M722" s="660"/>
      <c r="N722" s="660"/>
      <c r="O722" s="660"/>
      <c r="P722" s="660"/>
      <c r="Q722" s="660"/>
      <c r="R722" s="660"/>
      <c r="S722" s="660"/>
      <c r="T722" s="660"/>
      <c r="U722" s="660"/>
      <c r="V722" s="660"/>
      <c r="W722" s="660"/>
      <c r="X722" s="660"/>
      <c r="Y722" s="660"/>
      <c r="Z722" s="660"/>
      <c r="AA722" s="660"/>
      <c r="AB722" s="660"/>
      <c r="AC722" s="661"/>
      <c r="AD722" s="606"/>
      <c r="AE722" s="606"/>
      <c r="AF722" s="606"/>
      <c r="AG722" s="606"/>
    </row>
    <row r="723" spans="1:33" s="612" customFormat="1" hidden="1" outlineLevel="3" x14ac:dyDescent="0.2">
      <c r="A723" s="606"/>
      <c r="B723" s="606"/>
      <c r="C723" s="607"/>
      <c r="D723" s="608"/>
      <c r="E723" s="608"/>
      <c r="F723" s="608"/>
      <c r="G723" s="608"/>
      <c r="H723" s="609"/>
      <c r="I723" s="660"/>
      <c r="J723" s="660"/>
      <c r="K723" s="660"/>
      <c r="L723" s="660"/>
      <c r="M723" s="660"/>
      <c r="N723" s="660"/>
      <c r="O723" s="660"/>
      <c r="P723" s="660"/>
      <c r="Q723" s="660"/>
      <c r="R723" s="660"/>
      <c r="S723" s="660"/>
      <c r="T723" s="660"/>
      <c r="U723" s="660"/>
      <c r="V723" s="660"/>
      <c r="W723" s="660"/>
      <c r="X723" s="660"/>
      <c r="Y723" s="660"/>
      <c r="Z723" s="660"/>
      <c r="AA723" s="660"/>
      <c r="AB723" s="660"/>
      <c r="AC723" s="661"/>
      <c r="AD723" s="606"/>
      <c r="AE723" s="606"/>
      <c r="AF723" s="606"/>
      <c r="AG723" s="606"/>
    </row>
    <row r="724" spans="1:33" s="612" customFormat="1" hidden="1" outlineLevel="3" x14ac:dyDescent="0.2">
      <c r="A724" s="606"/>
      <c r="B724" s="606"/>
      <c r="C724" s="607"/>
      <c r="D724" s="608"/>
      <c r="E724" s="608"/>
      <c r="F724" s="608"/>
      <c r="G724" s="608"/>
      <c r="H724" s="609"/>
      <c r="I724" s="660"/>
      <c r="J724" s="660"/>
      <c r="K724" s="660"/>
      <c r="L724" s="660"/>
      <c r="M724" s="660"/>
      <c r="N724" s="660"/>
      <c r="O724" s="660"/>
      <c r="P724" s="660"/>
      <c r="Q724" s="660"/>
      <c r="R724" s="660"/>
      <c r="S724" s="660"/>
      <c r="T724" s="660"/>
      <c r="U724" s="660"/>
      <c r="V724" s="660"/>
      <c r="W724" s="660"/>
      <c r="X724" s="660"/>
      <c r="Y724" s="660"/>
      <c r="Z724" s="660"/>
      <c r="AA724" s="660"/>
      <c r="AB724" s="660"/>
      <c r="AC724" s="661"/>
      <c r="AD724" s="606"/>
      <c r="AE724" s="606"/>
      <c r="AF724" s="606"/>
      <c r="AG724" s="606"/>
    </row>
    <row r="725" spans="1:33" s="612" customFormat="1" hidden="1" outlineLevel="3" x14ac:dyDescent="0.2">
      <c r="A725" s="606"/>
      <c r="B725" s="606"/>
      <c r="C725" s="607"/>
      <c r="D725" s="608"/>
      <c r="E725" s="608"/>
      <c r="F725" s="608"/>
      <c r="G725" s="608"/>
      <c r="H725" s="609"/>
      <c r="I725" s="660"/>
      <c r="J725" s="660"/>
      <c r="K725" s="660"/>
      <c r="L725" s="660"/>
      <c r="M725" s="660"/>
      <c r="N725" s="660"/>
      <c r="O725" s="660"/>
      <c r="P725" s="660"/>
      <c r="Q725" s="660"/>
      <c r="R725" s="660"/>
      <c r="S725" s="660"/>
      <c r="T725" s="660"/>
      <c r="U725" s="660"/>
      <c r="V725" s="660"/>
      <c r="W725" s="660"/>
      <c r="X725" s="660"/>
      <c r="Y725" s="660"/>
      <c r="Z725" s="660"/>
      <c r="AA725" s="660"/>
      <c r="AB725" s="660"/>
      <c r="AC725" s="661"/>
      <c r="AD725" s="606"/>
      <c r="AE725" s="606"/>
      <c r="AF725" s="606"/>
      <c r="AG725" s="606"/>
    </row>
    <row r="726" spans="1:33" s="612" customFormat="1" hidden="1" outlineLevel="3" x14ac:dyDescent="0.2">
      <c r="A726" s="606"/>
      <c r="B726" s="606"/>
      <c r="C726" s="607"/>
      <c r="D726" s="608"/>
      <c r="E726" s="608"/>
      <c r="F726" s="608"/>
      <c r="G726" s="608"/>
      <c r="H726" s="609"/>
      <c r="I726" s="660"/>
      <c r="J726" s="660"/>
      <c r="K726" s="660"/>
      <c r="L726" s="660"/>
      <c r="M726" s="660"/>
      <c r="N726" s="660"/>
      <c r="O726" s="660"/>
      <c r="P726" s="660"/>
      <c r="Q726" s="660"/>
      <c r="R726" s="660"/>
      <c r="S726" s="660"/>
      <c r="T726" s="660"/>
      <c r="U726" s="660"/>
      <c r="V726" s="660"/>
      <c r="W726" s="660"/>
      <c r="X726" s="660"/>
      <c r="Y726" s="660"/>
      <c r="Z726" s="660"/>
      <c r="AA726" s="660"/>
      <c r="AB726" s="660"/>
      <c r="AC726" s="661"/>
      <c r="AD726" s="606"/>
      <c r="AE726" s="606"/>
      <c r="AF726" s="606"/>
      <c r="AG726" s="606"/>
    </row>
    <row r="727" spans="1:33" s="612" customFormat="1" hidden="1" outlineLevel="3" x14ac:dyDescent="0.2">
      <c r="A727" s="606"/>
      <c r="B727" s="606"/>
      <c r="C727" s="607"/>
      <c r="D727" s="608"/>
      <c r="E727" s="608"/>
      <c r="F727" s="608"/>
      <c r="G727" s="608"/>
      <c r="H727" s="609"/>
      <c r="I727" s="660"/>
      <c r="J727" s="660"/>
      <c r="K727" s="660"/>
      <c r="L727" s="660"/>
      <c r="M727" s="660"/>
      <c r="N727" s="660"/>
      <c r="O727" s="660"/>
      <c r="P727" s="660"/>
      <c r="Q727" s="660"/>
      <c r="R727" s="660"/>
      <c r="S727" s="660"/>
      <c r="T727" s="660"/>
      <c r="U727" s="660"/>
      <c r="V727" s="660"/>
      <c r="W727" s="660"/>
      <c r="X727" s="660"/>
      <c r="Y727" s="660"/>
      <c r="Z727" s="660"/>
      <c r="AA727" s="660"/>
      <c r="AB727" s="660"/>
      <c r="AC727" s="661"/>
      <c r="AD727" s="606"/>
      <c r="AE727" s="606"/>
      <c r="AF727" s="606"/>
      <c r="AG727" s="606"/>
    </row>
    <row r="728" spans="1:33" s="612" customFormat="1" hidden="1" outlineLevel="3" x14ac:dyDescent="0.2">
      <c r="A728" s="606"/>
      <c r="B728" s="606"/>
      <c r="C728" s="607"/>
      <c r="D728" s="608"/>
      <c r="E728" s="608"/>
      <c r="F728" s="608"/>
      <c r="G728" s="608"/>
      <c r="H728" s="609"/>
      <c r="I728" s="660"/>
      <c r="J728" s="660"/>
      <c r="K728" s="660"/>
      <c r="L728" s="660"/>
      <c r="M728" s="660"/>
      <c r="N728" s="660"/>
      <c r="O728" s="660"/>
      <c r="P728" s="660"/>
      <c r="Q728" s="660"/>
      <c r="R728" s="660"/>
      <c r="S728" s="660"/>
      <c r="T728" s="660"/>
      <c r="U728" s="660"/>
      <c r="V728" s="660"/>
      <c r="W728" s="660"/>
      <c r="X728" s="660"/>
      <c r="Y728" s="660"/>
      <c r="Z728" s="660"/>
      <c r="AA728" s="660"/>
      <c r="AB728" s="660"/>
      <c r="AC728" s="661"/>
      <c r="AD728" s="606"/>
      <c r="AE728" s="606"/>
      <c r="AF728" s="606"/>
      <c r="AG728" s="606"/>
    </row>
    <row r="729" spans="1:33" s="612" customFormat="1" hidden="1" outlineLevel="3" x14ac:dyDescent="0.2">
      <c r="A729" s="606"/>
      <c r="B729" s="606"/>
      <c r="C729" s="607"/>
      <c r="D729" s="608"/>
      <c r="E729" s="608"/>
      <c r="F729" s="608"/>
      <c r="G729" s="608"/>
      <c r="H729" s="609"/>
      <c r="I729" s="660"/>
      <c r="J729" s="660"/>
      <c r="K729" s="660"/>
      <c r="L729" s="660"/>
      <c r="M729" s="660"/>
      <c r="N729" s="660"/>
      <c r="O729" s="660"/>
      <c r="P729" s="660"/>
      <c r="Q729" s="660"/>
      <c r="R729" s="660"/>
      <c r="S729" s="660"/>
      <c r="T729" s="660"/>
      <c r="U729" s="660"/>
      <c r="V729" s="660"/>
      <c r="W729" s="660"/>
      <c r="X729" s="660"/>
      <c r="Y729" s="660"/>
      <c r="Z729" s="660"/>
      <c r="AA729" s="660"/>
      <c r="AB729" s="660"/>
      <c r="AC729" s="661"/>
      <c r="AD729" s="606"/>
      <c r="AE729" s="606"/>
      <c r="AF729" s="606"/>
      <c r="AG729" s="606"/>
    </row>
    <row r="730" spans="1:33" s="612" customFormat="1" hidden="1" outlineLevel="3" x14ac:dyDescent="0.2">
      <c r="A730" s="606"/>
      <c r="B730" s="606"/>
      <c r="C730" s="607"/>
      <c r="D730" s="608"/>
      <c r="E730" s="608"/>
      <c r="F730" s="608"/>
      <c r="G730" s="608"/>
      <c r="H730" s="609"/>
      <c r="I730" s="660"/>
      <c r="J730" s="660"/>
      <c r="K730" s="660"/>
      <c r="L730" s="660"/>
      <c r="M730" s="660"/>
      <c r="N730" s="660"/>
      <c r="O730" s="660"/>
      <c r="P730" s="660"/>
      <c r="Q730" s="660"/>
      <c r="R730" s="660"/>
      <c r="S730" s="660"/>
      <c r="T730" s="660"/>
      <c r="U730" s="660"/>
      <c r="V730" s="660"/>
      <c r="W730" s="660"/>
      <c r="X730" s="660"/>
      <c r="Y730" s="660"/>
      <c r="Z730" s="660"/>
      <c r="AA730" s="660"/>
      <c r="AB730" s="660"/>
      <c r="AC730" s="661"/>
      <c r="AD730" s="606"/>
      <c r="AE730" s="606"/>
      <c r="AF730" s="606"/>
      <c r="AG730" s="606"/>
    </row>
    <row r="731" spans="1:33" s="612" customFormat="1" hidden="1" outlineLevel="3" x14ac:dyDescent="0.2">
      <c r="A731" s="606"/>
      <c r="B731" s="606"/>
      <c r="C731" s="607"/>
      <c r="D731" s="608"/>
      <c r="E731" s="608"/>
      <c r="F731" s="608"/>
      <c r="G731" s="608"/>
      <c r="H731" s="609"/>
      <c r="I731" s="660"/>
      <c r="J731" s="660"/>
      <c r="K731" s="660"/>
      <c r="L731" s="660"/>
      <c r="M731" s="660"/>
      <c r="N731" s="660"/>
      <c r="O731" s="660"/>
      <c r="P731" s="660"/>
      <c r="Q731" s="660"/>
      <c r="R731" s="660"/>
      <c r="S731" s="660"/>
      <c r="T731" s="660"/>
      <c r="U731" s="660"/>
      <c r="V731" s="660"/>
      <c r="W731" s="660"/>
      <c r="X731" s="660"/>
      <c r="Y731" s="660"/>
      <c r="Z731" s="660"/>
      <c r="AA731" s="660"/>
      <c r="AB731" s="660"/>
      <c r="AC731" s="661"/>
      <c r="AD731" s="606"/>
      <c r="AE731" s="606"/>
      <c r="AF731" s="606"/>
      <c r="AG731" s="606"/>
    </row>
    <row r="732" spans="1:33" s="612" customFormat="1" hidden="1" outlineLevel="3" x14ac:dyDescent="0.2">
      <c r="A732" s="606"/>
      <c r="B732" s="606"/>
      <c r="C732" s="607"/>
      <c r="D732" s="608"/>
      <c r="E732" s="608"/>
      <c r="F732" s="608"/>
      <c r="G732" s="608"/>
      <c r="H732" s="609"/>
      <c r="I732" s="660"/>
      <c r="J732" s="660"/>
      <c r="K732" s="660"/>
      <c r="L732" s="660"/>
      <c r="M732" s="660"/>
      <c r="N732" s="660"/>
      <c r="O732" s="660"/>
      <c r="P732" s="660"/>
      <c r="Q732" s="660"/>
      <c r="R732" s="660"/>
      <c r="S732" s="660"/>
      <c r="T732" s="660"/>
      <c r="U732" s="660"/>
      <c r="V732" s="660"/>
      <c r="W732" s="660"/>
      <c r="X732" s="660"/>
      <c r="Y732" s="660"/>
      <c r="Z732" s="660"/>
      <c r="AA732" s="660"/>
      <c r="AB732" s="660"/>
      <c r="AC732" s="661"/>
      <c r="AD732" s="606"/>
      <c r="AE732" s="606"/>
      <c r="AF732" s="606"/>
      <c r="AG732" s="606"/>
    </row>
    <row r="733" spans="1:33" s="612" customFormat="1" hidden="1" outlineLevel="3" x14ac:dyDescent="0.2">
      <c r="A733" s="606"/>
      <c r="B733" s="606"/>
      <c r="C733" s="607"/>
      <c r="D733" s="608"/>
      <c r="E733" s="608"/>
      <c r="F733" s="608"/>
      <c r="G733" s="608"/>
      <c r="H733" s="609"/>
      <c r="I733" s="660"/>
      <c r="J733" s="660"/>
      <c r="K733" s="660"/>
      <c r="L733" s="660"/>
      <c r="M733" s="660"/>
      <c r="N733" s="660"/>
      <c r="O733" s="660"/>
      <c r="P733" s="660"/>
      <c r="Q733" s="660"/>
      <c r="R733" s="660"/>
      <c r="S733" s="660"/>
      <c r="T733" s="660"/>
      <c r="U733" s="660"/>
      <c r="V733" s="660"/>
      <c r="W733" s="660"/>
      <c r="X733" s="660"/>
      <c r="Y733" s="660"/>
      <c r="Z733" s="660"/>
      <c r="AA733" s="660"/>
      <c r="AB733" s="660"/>
      <c r="AC733" s="661"/>
      <c r="AD733" s="606"/>
      <c r="AE733" s="606"/>
      <c r="AF733" s="606"/>
      <c r="AG733" s="606"/>
    </row>
    <row r="734" spans="1:33" s="612" customFormat="1" hidden="1" outlineLevel="3" x14ac:dyDescent="0.2">
      <c r="A734" s="606"/>
      <c r="B734" s="606"/>
      <c r="C734" s="607"/>
      <c r="D734" s="608"/>
      <c r="E734" s="608"/>
      <c r="F734" s="608"/>
      <c r="G734" s="608"/>
      <c r="H734" s="609"/>
      <c r="I734" s="660"/>
      <c r="J734" s="660"/>
      <c r="K734" s="660"/>
      <c r="L734" s="660"/>
      <c r="M734" s="660"/>
      <c r="N734" s="660"/>
      <c r="O734" s="660"/>
      <c r="P734" s="660"/>
      <c r="Q734" s="660"/>
      <c r="R734" s="660"/>
      <c r="S734" s="660"/>
      <c r="T734" s="660"/>
      <c r="U734" s="660"/>
      <c r="V734" s="660"/>
      <c r="W734" s="660"/>
      <c r="X734" s="660"/>
      <c r="Y734" s="660"/>
      <c r="Z734" s="660"/>
      <c r="AA734" s="660"/>
      <c r="AB734" s="660"/>
      <c r="AC734" s="661"/>
      <c r="AD734" s="606"/>
      <c r="AE734" s="606"/>
      <c r="AF734" s="606"/>
      <c r="AG734" s="606"/>
    </row>
    <row r="735" spans="1:33" s="612" customFormat="1" hidden="1" outlineLevel="3" x14ac:dyDescent="0.2">
      <c r="A735" s="606"/>
      <c r="B735" s="606"/>
      <c r="C735" s="607"/>
      <c r="D735" s="608"/>
      <c r="E735" s="608"/>
      <c r="F735" s="608"/>
      <c r="G735" s="608"/>
      <c r="H735" s="609"/>
      <c r="I735" s="660"/>
      <c r="J735" s="660"/>
      <c r="K735" s="660"/>
      <c r="L735" s="660"/>
      <c r="M735" s="660"/>
      <c r="N735" s="660"/>
      <c r="O735" s="660"/>
      <c r="P735" s="660"/>
      <c r="Q735" s="660"/>
      <c r="R735" s="660"/>
      <c r="S735" s="660"/>
      <c r="T735" s="660"/>
      <c r="U735" s="660"/>
      <c r="V735" s="660"/>
      <c r="W735" s="660"/>
      <c r="X735" s="660"/>
      <c r="Y735" s="660"/>
      <c r="Z735" s="660"/>
      <c r="AA735" s="660"/>
      <c r="AB735" s="660"/>
      <c r="AC735" s="661"/>
      <c r="AD735" s="606"/>
      <c r="AE735" s="606"/>
      <c r="AF735" s="606"/>
      <c r="AG735" s="606"/>
    </row>
    <row r="736" spans="1:33" s="612" customFormat="1" hidden="1" outlineLevel="3" x14ac:dyDescent="0.2">
      <c r="A736" s="606"/>
      <c r="B736" s="606"/>
      <c r="C736" s="607"/>
      <c r="D736" s="608"/>
      <c r="E736" s="608"/>
      <c r="F736" s="608"/>
      <c r="G736" s="608"/>
      <c r="H736" s="609"/>
      <c r="I736" s="660"/>
      <c r="J736" s="660"/>
      <c r="K736" s="660"/>
      <c r="L736" s="660"/>
      <c r="M736" s="660"/>
      <c r="N736" s="660"/>
      <c r="O736" s="660"/>
      <c r="P736" s="660"/>
      <c r="Q736" s="660"/>
      <c r="R736" s="660"/>
      <c r="S736" s="660"/>
      <c r="T736" s="660"/>
      <c r="U736" s="660"/>
      <c r="V736" s="660"/>
      <c r="W736" s="660"/>
      <c r="X736" s="660"/>
      <c r="Y736" s="660"/>
      <c r="Z736" s="660"/>
      <c r="AA736" s="660"/>
      <c r="AB736" s="660"/>
      <c r="AC736" s="661"/>
      <c r="AD736" s="606"/>
      <c r="AE736" s="606"/>
      <c r="AF736" s="606"/>
      <c r="AG736" s="606"/>
    </row>
    <row r="737" spans="1:33" s="612" customFormat="1" hidden="1" outlineLevel="3" x14ac:dyDescent="0.2">
      <c r="A737" s="606"/>
      <c r="B737" s="606"/>
      <c r="C737" s="607"/>
      <c r="D737" s="608"/>
      <c r="E737" s="608"/>
      <c r="F737" s="608"/>
      <c r="G737" s="608"/>
      <c r="H737" s="609"/>
      <c r="I737" s="660"/>
      <c r="J737" s="660"/>
      <c r="K737" s="660"/>
      <c r="L737" s="660"/>
      <c r="M737" s="660"/>
      <c r="N737" s="660"/>
      <c r="O737" s="660"/>
      <c r="P737" s="660"/>
      <c r="Q737" s="660"/>
      <c r="R737" s="660"/>
      <c r="S737" s="660"/>
      <c r="T737" s="660"/>
      <c r="U737" s="660"/>
      <c r="V737" s="660"/>
      <c r="W737" s="660"/>
      <c r="X737" s="660"/>
      <c r="Y737" s="660"/>
      <c r="Z737" s="660"/>
      <c r="AA737" s="660"/>
      <c r="AB737" s="660"/>
      <c r="AC737" s="661"/>
      <c r="AD737" s="606"/>
      <c r="AE737" s="606"/>
      <c r="AF737" s="606"/>
      <c r="AG737" s="606"/>
    </row>
    <row r="738" spans="1:33" s="612" customFormat="1" hidden="1" outlineLevel="3" x14ac:dyDescent="0.2">
      <c r="A738" s="606"/>
      <c r="B738" s="606"/>
      <c r="C738" s="607"/>
      <c r="D738" s="608"/>
      <c r="E738" s="608"/>
      <c r="F738" s="608"/>
      <c r="G738" s="608"/>
      <c r="H738" s="609"/>
      <c r="I738" s="660"/>
      <c r="J738" s="660"/>
      <c r="K738" s="660"/>
      <c r="L738" s="660"/>
      <c r="M738" s="660"/>
      <c r="N738" s="660"/>
      <c r="O738" s="660"/>
      <c r="P738" s="660"/>
      <c r="Q738" s="660"/>
      <c r="R738" s="660"/>
      <c r="S738" s="660"/>
      <c r="T738" s="660"/>
      <c r="U738" s="660"/>
      <c r="V738" s="660"/>
      <c r="W738" s="660"/>
      <c r="X738" s="660"/>
      <c r="Y738" s="660"/>
      <c r="Z738" s="660"/>
      <c r="AA738" s="660"/>
      <c r="AB738" s="660"/>
      <c r="AC738" s="661"/>
      <c r="AD738" s="606"/>
      <c r="AE738" s="606"/>
      <c r="AF738" s="606"/>
      <c r="AG738" s="606"/>
    </row>
    <row r="739" spans="1:33" s="612" customFormat="1" hidden="1" outlineLevel="3" x14ac:dyDescent="0.2">
      <c r="A739" s="606"/>
      <c r="B739" s="606"/>
      <c r="C739" s="607"/>
      <c r="D739" s="608"/>
      <c r="E739" s="608"/>
      <c r="F739" s="608"/>
      <c r="G739" s="608"/>
      <c r="H739" s="609"/>
      <c r="I739" s="660"/>
      <c r="J739" s="660"/>
      <c r="K739" s="660"/>
      <c r="L739" s="660"/>
      <c r="M739" s="660"/>
      <c r="N739" s="660"/>
      <c r="O739" s="660"/>
      <c r="P739" s="660"/>
      <c r="Q739" s="660"/>
      <c r="R739" s="660"/>
      <c r="S739" s="660"/>
      <c r="T739" s="660"/>
      <c r="U739" s="660"/>
      <c r="V739" s="660"/>
      <c r="W739" s="660"/>
      <c r="X739" s="660"/>
      <c r="Y739" s="660"/>
      <c r="Z739" s="660"/>
      <c r="AA739" s="660"/>
      <c r="AB739" s="660"/>
      <c r="AC739" s="661"/>
      <c r="AD739" s="606"/>
      <c r="AE739" s="606"/>
      <c r="AF739" s="606"/>
      <c r="AG739" s="606"/>
    </row>
    <row r="740" spans="1:33" s="612" customFormat="1" hidden="1" outlineLevel="3" x14ac:dyDescent="0.2">
      <c r="A740" s="606"/>
      <c r="B740" s="606"/>
      <c r="C740" s="607"/>
      <c r="D740" s="608"/>
      <c r="E740" s="608"/>
      <c r="F740" s="608"/>
      <c r="G740" s="608"/>
      <c r="H740" s="609"/>
      <c r="I740" s="660"/>
      <c r="J740" s="660"/>
      <c r="K740" s="660"/>
      <c r="L740" s="660"/>
      <c r="M740" s="660"/>
      <c r="N740" s="660"/>
      <c r="O740" s="660"/>
      <c r="P740" s="660"/>
      <c r="Q740" s="660"/>
      <c r="R740" s="660"/>
      <c r="S740" s="660"/>
      <c r="T740" s="660"/>
      <c r="U740" s="660"/>
      <c r="V740" s="660"/>
      <c r="W740" s="660"/>
      <c r="X740" s="660"/>
      <c r="Y740" s="660"/>
      <c r="Z740" s="660"/>
      <c r="AA740" s="660"/>
      <c r="AB740" s="660"/>
      <c r="AC740" s="661"/>
      <c r="AD740" s="606"/>
      <c r="AE740" s="606"/>
      <c r="AF740" s="606"/>
      <c r="AG740" s="606"/>
    </row>
    <row r="741" spans="1:33" s="612" customFormat="1" hidden="1" outlineLevel="3" x14ac:dyDescent="0.2">
      <c r="A741" s="606"/>
      <c r="B741" s="606"/>
      <c r="C741" s="607"/>
      <c r="D741" s="608"/>
      <c r="E741" s="608"/>
      <c r="F741" s="608"/>
      <c r="G741" s="608"/>
      <c r="H741" s="609"/>
      <c r="I741" s="660"/>
      <c r="J741" s="660"/>
      <c r="K741" s="660"/>
      <c r="L741" s="660"/>
      <c r="M741" s="660"/>
      <c r="N741" s="660"/>
      <c r="O741" s="660"/>
      <c r="P741" s="660"/>
      <c r="Q741" s="660"/>
      <c r="R741" s="660"/>
      <c r="S741" s="660"/>
      <c r="T741" s="660"/>
      <c r="U741" s="660"/>
      <c r="V741" s="660"/>
      <c r="W741" s="660"/>
      <c r="X741" s="660"/>
      <c r="Y741" s="660"/>
      <c r="Z741" s="660"/>
      <c r="AA741" s="660"/>
      <c r="AB741" s="660"/>
      <c r="AC741" s="661"/>
      <c r="AD741" s="606"/>
      <c r="AE741" s="606"/>
      <c r="AF741" s="606"/>
      <c r="AG741" s="606"/>
    </row>
    <row r="742" spans="1:33" s="612" customFormat="1" hidden="1" outlineLevel="3" x14ac:dyDescent="0.2">
      <c r="A742" s="606"/>
      <c r="B742" s="606"/>
      <c r="C742" s="607"/>
      <c r="D742" s="608"/>
      <c r="E742" s="608"/>
      <c r="F742" s="608"/>
      <c r="G742" s="608"/>
      <c r="H742" s="609"/>
      <c r="I742" s="660"/>
      <c r="J742" s="660"/>
      <c r="K742" s="660"/>
      <c r="L742" s="660"/>
      <c r="M742" s="660"/>
      <c r="N742" s="660"/>
      <c r="O742" s="660"/>
      <c r="P742" s="660"/>
      <c r="Q742" s="660"/>
      <c r="R742" s="660"/>
      <c r="S742" s="660"/>
      <c r="T742" s="660"/>
      <c r="U742" s="660"/>
      <c r="V742" s="660"/>
      <c r="W742" s="660"/>
      <c r="X742" s="660"/>
      <c r="Y742" s="660"/>
      <c r="Z742" s="660"/>
      <c r="AA742" s="660"/>
      <c r="AB742" s="660"/>
      <c r="AC742" s="661"/>
      <c r="AD742" s="606"/>
      <c r="AE742" s="606"/>
      <c r="AF742" s="606"/>
      <c r="AG742" s="606"/>
    </row>
    <row r="743" spans="1:33" s="612" customFormat="1" hidden="1" outlineLevel="3" x14ac:dyDescent="0.2">
      <c r="A743" s="606"/>
      <c r="B743" s="606"/>
      <c r="C743" s="607"/>
      <c r="D743" s="608"/>
      <c r="E743" s="608"/>
      <c r="F743" s="608"/>
      <c r="G743" s="608"/>
      <c r="H743" s="609"/>
      <c r="I743" s="660"/>
      <c r="J743" s="660"/>
      <c r="K743" s="660"/>
      <c r="L743" s="660"/>
      <c r="M743" s="660"/>
      <c r="N743" s="660"/>
      <c r="O743" s="660"/>
      <c r="P743" s="660"/>
      <c r="Q743" s="660"/>
      <c r="R743" s="660"/>
      <c r="S743" s="660"/>
      <c r="T743" s="660"/>
      <c r="U743" s="660"/>
      <c r="V743" s="660"/>
      <c r="W743" s="660"/>
      <c r="X743" s="660"/>
      <c r="Y743" s="660"/>
      <c r="Z743" s="660"/>
      <c r="AA743" s="660"/>
      <c r="AB743" s="660"/>
      <c r="AC743" s="661"/>
      <c r="AD743" s="606"/>
      <c r="AE743" s="606"/>
      <c r="AF743" s="606"/>
      <c r="AG743" s="606"/>
    </row>
    <row r="744" spans="1:33" s="612" customFormat="1" hidden="1" outlineLevel="3" x14ac:dyDescent="0.2">
      <c r="A744" s="606"/>
      <c r="B744" s="606"/>
      <c r="C744" s="607"/>
      <c r="D744" s="608"/>
      <c r="E744" s="608"/>
      <c r="F744" s="608"/>
      <c r="G744" s="608"/>
      <c r="H744" s="609"/>
      <c r="I744" s="660"/>
      <c r="J744" s="660"/>
      <c r="K744" s="660"/>
      <c r="L744" s="660"/>
      <c r="M744" s="660"/>
      <c r="N744" s="660"/>
      <c r="O744" s="660"/>
      <c r="P744" s="660"/>
      <c r="Q744" s="660"/>
      <c r="R744" s="660"/>
      <c r="S744" s="660"/>
      <c r="T744" s="660"/>
      <c r="U744" s="660"/>
      <c r="V744" s="660"/>
      <c r="W744" s="660"/>
      <c r="X744" s="660"/>
      <c r="Y744" s="660"/>
      <c r="Z744" s="660"/>
      <c r="AA744" s="660"/>
      <c r="AB744" s="660"/>
      <c r="AC744" s="661"/>
      <c r="AD744" s="606"/>
      <c r="AE744" s="606"/>
      <c r="AF744" s="606"/>
      <c r="AG744" s="606"/>
    </row>
    <row r="745" spans="1:33" s="612" customFormat="1" hidden="1" outlineLevel="3" x14ac:dyDescent="0.2">
      <c r="A745" s="606"/>
      <c r="B745" s="606"/>
      <c r="C745" s="607"/>
      <c r="D745" s="608"/>
      <c r="E745" s="608"/>
      <c r="F745" s="608"/>
      <c r="G745" s="608"/>
      <c r="H745" s="609"/>
      <c r="I745" s="660"/>
      <c r="J745" s="660"/>
      <c r="K745" s="660"/>
      <c r="L745" s="660"/>
      <c r="M745" s="660"/>
      <c r="N745" s="660"/>
      <c r="O745" s="660"/>
      <c r="P745" s="660"/>
      <c r="Q745" s="660"/>
      <c r="R745" s="660"/>
      <c r="S745" s="660"/>
      <c r="T745" s="660"/>
      <c r="U745" s="660"/>
      <c r="V745" s="660"/>
      <c r="W745" s="660"/>
      <c r="X745" s="660"/>
      <c r="Y745" s="660"/>
      <c r="Z745" s="660"/>
      <c r="AA745" s="660"/>
      <c r="AB745" s="660"/>
      <c r="AC745" s="661"/>
      <c r="AD745" s="606"/>
      <c r="AE745" s="606"/>
      <c r="AF745" s="606"/>
      <c r="AG745" s="606"/>
    </row>
    <row r="746" spans="1:33" s="612" customFormat="1" hidden="1" outlineLevel="3" x14ac:dyDescent="0.2">
      <c r="A746" s="606"/>
      <c r="B746" s="606"/>
      <c r="C746" s="607"/>
      <c r="D746" s="608"/>
      <c r="E746" s="608"/>
      <c r="F746" s="608"/>
      <c r="G746" s="608"/>
      <c r="H746" s="609"/>
      <c r="I746" s="660"/>
      <c r="J746" s="660"/>
      <c r="K746" s="660"/>
      <c r="L746" s="660"/>
      <c r="M746" s="660"/>
      <c r="N746" s="660"/>
      <c r="O746" s="660"/>
      <c r="P746" s="660"/>
      <c r="Q746" s="660"/>
      <c r="R746" s="660"/>
      <c r="S746" s="660"/>
      <c r="T746" s="660"/>
      <c r="U746" s="660"/>
      <c r="V746" s="660"/>
      <c r="W746" s="660"/>
      <c r="X746" s="660"/>
      <c r="Y746" s="660"/>
      <c r="Z746" s="660"/>
      <c r="AA746" s="660"/>
      <c r="AB746" s="660"/>
      <c r="AC746" s="661"/>
      <c r="AD746" s="606"/>
      <c r="AE746" s="606"/>
      <c r="AF746" s="606"/>
      <c r="AG746" s="606"/>
    </row>
    <row r="747" spans="1:33" s="612" customFormat="1" hidden="1" outlineLevel="3" x14ac:dyDescent="0.2">
      <c r="A747" s="606"/>
      <c r="B747" s="606"/>
      <c r="C747" s="607"/>
      <c r="D747" s="608"/>
      <c r="E747" s="608"/>
      <c r="F747" s="608"/>
      <c r="G747" s="608"/>
      <c r="H747" s="609"/>
      <c r="I747" s="660"/>
      <c r="J747" s="660"/>
      <c r="K747" s="660"/>
      <c r="L747" s="660"/>
      <c r="M747" s="660"/>
      <c r="N747" s="660"/>
      <c r="O747" s="660"/>
      <c r="P747" s="660"/>
      <c r="Q747" s="660"/>
      <c r="R747" s="660"/>
      <c r="S747" s="660"/>
      <c r="T747" s="660"/>
      <c r="U747" s="660"/>
      <c r="V747" s="660"/>
      <c r="W747" s="660"/>
      <c r="X747" s="660"/>
      <c r="Y747" s="660"/>
      <c r="Z747" s="660"/>
      <c r="AA747" s="660"/>
      <c r="AB747" s="660"/>
      <c r="AC747" s="661"/>
      <c r="AD747" s="606"/>
      <c r="AE747" s="606"/>
      <c r="AF747" s="606"/>
      <c r="AG747" s="606"/>
    </row>
    <row r="748" spans="1:33" s="612" customFormat="1" hidden="1" outlineLevel="3" x14ac:dyDescent="0.2">
      <c r="A748" s="606"/>
      <c r="B748" s="606"/>
      <c r="C748" s="607"/>
      <c r="D748" s="608"/>
      <c r="E748" s="608"/>
      <c r="F748" s="608"/>
      <c r="G748" s="608"/>
      <c r="H748" s="609"/>
      <c r="I748" s="660"/>
      <c r="J748" s="660"/>
      <c r="K748" s="660"/>
      <c r="L748" s="660"/>
      <c r="M748" s="660"/>
      <c r="N748" s="660"/>
      <c r="O748" s="660"/>
      <c r="P748" s="660"/>
      <c r="Q748" s="660"/>
      <c r="R748" s="660"/>
      <c r="S748" s="660"/>
      <c r="T748" s="660"/>
      <c r="U748" s="660"/>
      <c r="V748" s="660"/>
      <c r="W748" s="660"/>
      <c r="X748" s="660"/>
      <c r="Y748" s="660"/>
      <c r="Z748" s="660"/>
      <c r="AA748" s="660"/>
      <c r="AB748" s="660"/>
      <c r="AC748" s="661"/>
      <c r="AD748" s="606"/>
      <c r="AE748" s="606"/>
      <c r="AF748" s="606"/>
      <c r="AG748" s="606"/>
    </row>
    <row r="749" spans="1:33" s="612" customFormat="1" hidden="1" outlineLevel="3" x14ac:dyDescent="0.2">
      <c r="A749" s="606"/>
      <c r="B749" s="606"/>
      <c r="C749" s="607"/>
      <c r="D749" s="608"/>
      <c r="E749" s="608"/>
      <c r="F749" s="608"/>
      <c r="G749" s="608"/>
      <c r="H749" s="609"/>
      <c r="I749" s="660"/>
      <c r="J749" s="660"/>
      <c r="K749" s="660"/>
      <c r="L749" s="660"/>
      <c r="M749" s="660"/>
      <c r="N749" s="660"/>
      <c r="O749" s="660"/>
      <c r="P749" s="660"/>
      <c r="Q749" s="660"/>
      <c r="R749" s="660"/>
      <c r="S749" s="660"/>
      <c r="T749" s="660"/>
      <c r="U749" s="660"/>
      <c r="V749" s="660"/>
      <c r="W749" s="660"/>
      <c r="X749" s="660"/>
      <c r="Y749" s="660"/>
      <c r="Z749" s="660"/>
      <c r="AA749" s="660"/>
      <c r="AB749" s="660"/>
      <c r="AC749" s="661"/>
      <c r="AD749" s="606"/>
      <c r="AE749" s="606"/>
      <c r="AF749" s="606"/>
      <c r="AG749" s="606"/>
    </row>
    <row r="750" spans="1:33" s="612" customFormat="1" hidden="1" outlineLevel="3" x14ac:dyDescent="0.2">
      <c r="A750" s="606"/>
      <c r="B750" s="606"/>
      <c r="C750" s="607"/>
      <c r="D750" s="608"/>
      <c r="E750" s="608"/>
      <c r="F750" s="608"/>
      <c r="G750" s="608"/>
      <c r="H750" s="609"/>
      <c r="I750" s="660"/>
      <c r="J750" s="660"/>
      <c r="K750" s="660"/>
      <c r="L750" s="660"/>
      <c r="M750" s="660"/>
      <c r="N750" s="660"/>
      <c r="O750" s="660"/>
      <c r="P750" s="660"/>
      <c r="Q750" s="660"/>
      <c r="R750" s="660"/>
      <c r="S750" s="660"/>
      <c r="T750" s="660"/>
      <c r="U750" s="660"/>
      <c r="V750" s="660"/>
      <c r="W750" s="660"/>
      <c r="X750" s="660"/>
      <c r="Y750" s="660"/>
      <c r="Z750" s="660"/>
      <c r="AA750" s="660"/>
      <c r="AB750" s="660"/>
      <c r="AC750" s="661"/>
      <c r="AD750" s="606"/>
      <c r="AE750" s="606"/>
      <c r="AF750" s="606"/>
      <c r="AG750" s="606"/>
    </row>
    <row r="751" spans="1:33" s="612" customFormat="1" hidden="1" outlineLevel="3" x14ac:dyDescent="0.2">
      <c r="A751" s="606"/>
      <c r="B751" s="606"/>
      <c r="C751" s="607"/>
      <c r="D751" s="608"/>
      <c r="E751" s="608"/>
      <c r="F751" s="608"/>
      <c r="G751" s="608"/>
      <c r="H751" s="609"/>
      <c r="I751" s="660"/>
      <c r="J751" s="660"/>
      <c r="K751" s="660"/>
      <c r="L751" s="660"/>
      <c r="M751" s="660"/>
      <c r="N751" s="660"/>
      <c r="O751" s="660"/>
      <c r="P751" s="660"/>
      <c r="Q751" s="660"/>
      <c r="R751" s="660"/>
      <c r="S751" s="660"/>
      <c r="T751" s="660"/>
      <c r="U751" s="660"/>
      <c r="V751" s="660"/>
      <c r="W751" s="660"/>
      <c r="X751" s="660"/>
      <c r="Y751" s="660"/>
      <c r="Z751" s="660"/>
      <c r="AA751" s="660"/>
      <c r="AB751" s="660"/>
      <c r="AC751" s="661"/>
      <c r="AD751" s="606"/>
      <c r="AE751" s="606"/>
      <c r="AF751" s="606"/>
      <c r="AG751" s="606"/>
    </row>
    <row r="752" spans="1:33" s="612" customFormat="1" hidden="1" outlineLevel="3" x14ac:dyDescent="0.2">
      <c r="A752" s="606"/>
      <c r="B752" s="606"/>
      <c r="C752" s="607"/>
      <c r="D752" s="608"/>
      <c r="E752" s="608"/>
      <c r="F752" s="608"/>
      <c r="G752" s="608"/>
      <c r="H752" s="609"/>
      <c r="I752" s="660"/>
      <c r="J752" s="660"/>
      <c r="K752" s="660"/>
      <c r="L752" s="660"/>
      <c r="M752" s="660"/>
      <c r="N752" s="660"/>
      <c r="O752" s="660"/>
      <c r="P752" s="660"/>
      <c r="Q752" s="660"/>
      <c r="R752" s="660"/>
      <c r="S752" s="660"/>
      <c r="T752" s="660"/>
      <c r="U752" s="660"/>
      <c r="V752" s="660"/>
      <c r="W752" s="660"/>
      <c r="X752" s="660"/>
      <c r="Y752" s="660"/>
      <c r="Z752" s="660"/>
      <c r="AA752" s="660"/>
      <c r="AB752" s="660"/>
      <c r="AC752" s="661"/>
      <c r="AD752" s="606"/>
      <c r="AE752" s="606"/>
      <c r="AF752" s="606"/>
      <c r="AG752" s="606"/>
    </row>
    <row r="753" spans="1:33" s="612" customFormat="1" hidden="1" outlineLevel="3" x14ac:dyDescent="0.2">
      <c r="A753" s="606"/>
      <c r="B753" s="606"/>
      <c r="C753" s="607"/>
      <c r="D753" s="608"/>
      <c r="E753" s="608"/>
      <c r="F753" s="608"/>
      <c r="G753" s="608"/>
      <c r="H753" s="609"/>
      <c r="I753" s="660"/>
      <c r="J753" s="660"/>
      <c r="K753" s="660"/>
      <c r="L753" s="660"/>
      <c r="M753" s="660"/>
      <c r="N753" s="660"/>
      <c r="O753" s="660"/>
      <c r="P753" s="660"/>
      <c r="Q753" s="660"/>
      <c r="R753" s="660"/>
      <c r="S753" s="660"/>
      <c r="T753" s="660"/>
      <c r="U753" s="660"/>
      <c r="V753" s="660"/>
      <c r="W753" s="660"/>
      <c r="X753" s="660"/>
      <c r="Y753" s="660"/>
      <c r="Z753" s="660"/>
      <c r="AA753" s="660"/>
      <c r="AB753" s="660"/>
      <c r="AC753" s="661"/>
      <c r="AD753" s="606"/>
      <c r="AE753" s="606"/>
      <c r="AF753" s="606"/>
      <c r="AG753" s="606"/>
    </row>
    <row r="754" spans="1:33" s="612" customFormat="1" hidden="1" outlineLevel="3" x14ac:dyDescent="0.2">
      <c r="A754" s="606"/>
      <c r="B754" s="606"/>
      <c r="C754" s="607"/>
      <c r="D754" s="608"/>
      <c r="E754" s="608"/>
      <c r="F754" s="608"/>
      <c r="G754" s="608"/>
      <c r="H754" s="609"/>
      <c r="I754" s="660"/>
      <c r="J754" s="660"/>
      <c r="K754" s="660"/>
      <c r="L754" s="660"/>
      <c r="M754" s="660"/>
      <c r="N754" s="660"/>
      <c r="O754" s="660"/>
      <c r="P754" s="660"/>
      <c r="Q754" s="660"/>
      <c r="R754" s="660"/>
      <c r="S754" s="660"/>
      <c r="T754" s="660"/>
      <c r="U754" s="660"/>
      <c r="V754" s="660"/>
      <c r="W754" s="660"/>
      <c r="X754" s="660"/>
      <c r="Y754" s="660"/>
      <c r="Z754" s="660"/>
      <c r="AA754" s="660"/>
      <c r="AB754" s="660"/>
      <c r="AC754" s="661"/>
      <c r="AD754" s="606"/>
      <c r="AE754" s="606"/>
      <c r="AF754" s="606"/>
      <c r="AG754" s="606"/>
    </row>
    <row r="755" spans="1:33" s="612" customFormat="1" hidden="1" outlineLevel="3" x14ac:dyDescent="0.2">
      <c r="A755" s="606"/>
      <c r="B755" s="606"/>
      <c r="C755" s="607"/>
      <c r="D755" s="608"/>
      <c r="E755" s="608"/>
      <c r="F755" s="608"/>
      <c r="G755" s="608"/>
      <c r="H755" s="609"/>
      <c r="I755" s="660"/>
      <c r="J755" s="660"/>
      <c r="K755" s="660"/>
      <c r="L755" s="660"/>
      <c r="M755" s="660"/>
      <c r="N755" s="660"/>
      <c r="O755" s="660"/>
      <c r="P755" s="660"/>
      <c r="Q755" s="660"/>
      <c r="R755" s="660"/>
      <c r="S755" s="660"/>
      <c r="T755" s="660"/>
      <c r="U755" s="660"/>
      <c r="V755" s="660"/>
      <c r="W755" s="660"/>
      <c r="X755" s="660"/>
      <c r="Y755" s="660"/>
      <c r="Z755" s="660"/>
      <c r="AA755" s="660"/>
      <c r="AB755" s="660"/>
      <c r="AC755" s="661"/>
      <c r="AD755" s="606"/>
      <c r="AE755" s="606"/>
      <c r="AF755" s="606"/>
      <c r="AG755" s="606"/>
    </row>
    <row r="756" spans="1:33" s="612" customFormat="1" hidden="1" outlineLevel="3" x14ac:dyDescent="0.2">
      <c r="A756" s="606"/>
      <c r="B756" s="606"/>
      <c r="C756" s="607"/>
      <c r="D756" s="608"/>
      <c r="E756" s="608"/>
      <c r="F756" s="608"/>
      <c r="G756" s="608"/>
      <c r="H756" s="609"/>
      <c r="I756" s="660"/>
      <c r="J756" s="660"/>
      <c r="K756" s="660"/>
      <c r="L756" s="660"/>
      <c r="M756" s="660"/>
      <c r="N756" s="660"/>
      <c r="O756" s="660"/>
      <c r="P756" s="660"/>
      <c r="Q756" s="660"/>
      <c r="R756" s="660"/>
      <c r="S756" s="660"/>
      <c r="T756" s="660"/>
      <c r="U756" s="660"/>
      <c r="V756" s="660"/>
      <c r="W756" s="660"/>
      <c r="X756" s="660"/>
      <c r="Y756" s="660"/>
      <c r="Z756" s="660"/>
      <c r="AA756" s="660"/>
      <c r="AB756" s="660"/>
      <c r="AC756" s="661"/>
      <c r="AD756" s="606"/>
      <c r="AE756" s="606"/>
      <c r="AF756" s="606"/>
      <c r="AG756" s="606"/>
    </row>
    <row r="757" spans="1:33" s="612" customFormat="1" hidden="1" outlineLevel="3" x14ac:dyDescent="0.2">
      <c r="A757" s="606"/>
      <c r="B757" s="606"/>
      <c r="C757" s="607"/>
      <c r="D757" s="608"/>
      <c r="E757" s="608"/>
      <c r="F757" s="608"/>
      <c r="G757" s="608"/>
      <c r="H757" s="609"/>
      <c r="I757" s="660"/>
      <c r="J757" s="660"/>
      <c r="K757" s="660"/>
      <c r="L757" s="660"/>
      <c r="M757" s="660"/>
      <c r="N757" s="660"/>
      <c r="O757" s="660"/>
      <c r="P757" s="660"/>
      <c r="Q757" s="660"/>
      <c r="R757" s="660"/>
      <c r="S757" s="660"/>
      <c r="T757" s="660"/>
      <c r="U757" s="660"/>
      <c r="V757" s="660"/>
      <c r="W757" s="660"/>
      <c r="X757" s="660"/>
      <c r="Y757" s="660"/>
      <c r="Z757" s="660"/>
      <c r="AA757" s="660"/>
      <c r="AB757" s="660"/>
      <c r="AC757" s="661"/>
      <c r="AD757" s="606"/>
      <c r="AE757" s="606"/>
      <c r="AF757" s="606"/>
      <c r="AG757" s="606"/>
    </row>
    <row r="758" spans="1:33" s="612" customFormat="1" hidden="1" outlineLevel="3" x14ac:dyDescent="0.2">
      <c r="A758" s="606"/>
      <c r="B758" s="606"/>
      <c r="C758" s="607"/>
      <c r="D758" s="608"/>
      <c r="E758" s="608"/>
      <c r="F758" s="608"/>
      <c r="G758" s="608"/>
      <c r="H758" s="609"/>
      <c r="I758" s="660"/>
      <c r="J758" s="660"/>
      <c r="K758" s="660"/>
      <c r="L758" s="660"/>
      <c r="M758" s="660"/>
      <c r="N758" s="660"/>
      <c r="O758" s="660"/>
      <c r="P758" s="660"/>
      <c r="Q758" s="660"/>
      <c r="R758" s="660"/>
      <c r="S758" s="660"/>
      <c r="T758" s="660"/>
      <c r="U758" s="660"/>
      <c r="V758" s="660"/>
      <c r="W758" s="660"/>
      <c r="X758" s="660"/>
      <c r="Y758" s="660"/>
      <c r="Z758" s="660"/>
      <c r="AA758" s="660"/>
      <c r="AB758" s="660"/>
      <c r="AC758" s="661"/>
      <c r="AD758" s="606"/>
      <c r="AE758" s="606"/>
      <c r="AF758" s="606"/>
      <c r="AG758" s="606"/>
    </row>
    <row r="759" spans="1:33" s="612" customFormat="1" hidden="1" outlineLevel="3" x14ac:dyDescent="0.2">
      <c r="A759" s="606"/>
      <c r="B759" s="606"/>
      <c r="C759" s="607"/>
      <c r="D759" s="608"/>
      <c r="E759" s="608"/>
      <c r="F759" s="608"/>
      <c r="G759" s="608"/>
      <c r="H759" s="609"/>
      <c r="I759" s="660"/>
      <c r="J759" s="660"/>
      <c r="K759" s="660"/>
      <c r="L759" s="660"/>
      <c r="M759" s="660"/>
      <c r="N759" s="660"/>
      <c r="O759" s="660"/>
      <c r="P759" s="660"/>
      <c r="Q759" s="660"/>
      <c r="R759" s="660"/>
      <c r="S759" s="660"/>
      <c r="T759" s="660"/>
      <c r="U759" s="660"/>
      <c r="V759" s="660"/>
      <c r="W759" s="660"/>
      <c r="X759" s="660"/>
      <c r="Y759" s="660"/>
      <c r="Z759" s="660"/>
      <c r="AA759" s="660"/>
      <c r="AB759" s="660"/>
      <c r="AC759" s="661"/>
      <c r="AD759" s="606"/>
      <c r="AE759" s="606"/>
      <c r="AF759" s="606"/>
      <c r="AG759" s="606"/>
    </row>
    <row r="760" spans="1:33" s="612" customFormat="1" hidden="1" outlineLevel="3" x14ac:dyDescent="0.2">
      <c r="A760" s="606"/>
      <c r="B760" s="606"/>
      <c r="C760" s="607"/>
      <c r="D760" s="608"/>
      <c r="E760" s="608"/>
      <c r="F760" s="608"/>
      <c r="G760" s="608"/>
      <c r="H760" s="609"/>
      <c r="I760" s="660"/>
      <c r="J760" s="660"/>
      <c r="K760" s="660"/>
      <c r="L760" s="660"/>
      <c r="M760" s="660"/>
      <c r="N760" s="660"/>
      <c r="O760" s="660"/>
      <c r="P760" s="660"/>
      <c r="Q760" s="660"/>
      <c r="R760" s="660"/>
      <c r="S760" s="660"/>
      <c r="T760" s="660"/>
      <c r="U760" s="660"/>
      <c r="V760" s="660"/>
      <c r="W760" s="660"/>
      <c r="X760" s="660"/>
      <c r="Y760" s="660"/>
      <c r="Z760" s="660"/>
      <c r="AA760" s="660"/>
      <c r="AB760" s="660"/>
      <c r="AC760" s="661"/>
      <c r="AD760" s="606"/>
      <c r="AE760" s="606"/>
      <c r="AF760" s="606"/>
      <c r="AG760" s="606"/>
    </row>
    <row r="761" spans="1:33" s="612" customFormat="1" hidden="1" outlineLevel="3" x14ac:dyDescent="0.2">
      <c r="A761" s="606"/>
      <c r="B761" s="606"/>
      <c r="C761" s="607"/>
      <c r="D761" s="608"/>
      <c r="E761" s="608"/>
      <c r="F761" s="608"/>
      <c r="G761" s="608"/>
      <c r="H761" s="609"/>
      <c r="I761" s="660"/>
      <c r="J761" s="660"/>
      <c r="K761" s="660"/>
      <c r="L761" s="660"/>
      <c r="M761" s="660"/>
      <c r="N761" s="660"/>
      <c r="O761" s="660"/>
      <c r="P761" s="660"/>
      <c r="Q761" s="660"/>
      <c r="R761" s="660"/>
      <c r="S761" s="660"/>
      <c r="T761" s="660"/>
      <c r="U761" s="660"/>
      <c r="V761" s="660"/>
      <c r="W761" s="660"/>
      <c r="X761" s="660"/>
      <c r="Y761" s="660"/>
      <c r="Z761" s="660"/>
      <c r="AA761" s="660"/>
      <c r="AB761" s="660"/>
      <c r="AC761" s="661"/>
      <c r="AD761" s="606"/>
      <c r="AE761" s="606"/>
      <c r="AF761" s="606"/>
      <c r="AG761" s="606"/>
    </row>
    <row r="762" spans="1:33" s="612" customFormat="1" hidden="1" outlineLevel="3" x14ac:dyDescent="0.2">
      <c r="A762" s="606"/>
      <c r="B762" s="606"/>
      <c r="C762" s="607"/>
      <c r="D762" s="608"/>
      <c r="E762" s="608"/>
      <c r="F762" s="608"/>
      <c r="G762" s="608"/>
      <c r="H762" s="609"/>
      <c r="I762" s="660"/>
      <c r="J762" s="660"/>
      <c r="K762" s="660"/>
      <c r="L762" s="660"/>
      <c r="M762" s="660"/>
      <c r="N762" s="660"/>
      <c r="O762" s="660"/>
      <c r="P762" s="660"/>
      <c r="Q762" s="660"/>
      <c r="R762" s="660"/>
      <c r="S762" s="660"/>
      <c r="T762" s="660"/>
      <c r="U762" s="660"/>
      <c r="V762" s="660"/>
      <c r="W762" s="660"/>
      <c r="X762" s="660"/>
      <c r="Y762" s="660"/>
      <c r="Z762" s="660"/>
      <c r="AA762" s="660"/>
      <c r="AB762" s="660"/>
      <c r="AC762" s="661"/>
      <c r="AD762" s="606"/>
      <c r="AE762" s="606"/>
      <c r="AF762" s="606"/>
      <c r="AG762" s="606"/>
    </row>
    <row r="763" spans="1:33" s="612" customFormat="1" hidden="1" outlineLevel="3" x14ac:dyDescent="0.2">
      <c r="A763" s="606"/>
      <c r="B763" s="606"/>
      <c r="C763" s="607"/>
      <c r="D763" s="608"/>
      <c r="E763" s="608"/>
      <c r="F763" s="608"/>
      <c r="G763" s="608"/>
      <c r="H763" s="609"/>
      <c r="I763" s="660"/>
      <c r="J763" s="660"/>
      <c r="K763" s="660"/>
      <c r="L763" s="660"/>
      <c r="M763" s="660"/>
      <c r="N763" s="660"/>
      <c r="O763" s="660"/>
      <c r="P763" s="660"/>
      <c r="Q763" s="660"/>
      <c r="R763" s="660"/>
      <c r="S763" s="660"/>
      <c r="T763" s="660"/>
      <c r="U763" s="660"/>
      <c r="V763" s="660"/>
      <c r="W763" s="660"/>
      <c r="X763" s="660"/>
      <c r="Y763" s="660"/>
      <c r="Z763" s="660"/>
      <c r="AA763" s="660"/>
      <c r="AB763" s="660"/>
      <c r="AC763" s="661"/>
      <c r="AD763" s="606"/>
      <c r="AE763" s="606"/>
      <c r="AF763" s="606"/>
      <c r="AG763" s="606"/>
    </row>
    <row r="764" spans="1:33" s="612" customFormat="1" hidden="1" outlineLevel="3" x14ac:dyDescent="0.2">
      <c r="A764" s="606"/>
      <c r="B764" s="606"/>
      <c r="C764" s="607"/>
      <c r="D764" s="608"/>
      <c r="E764" s="608"/>
      <c r="F764" s="608"/>
      <c r="G764" s="608"/>
      <c r="H764" s="609"/>
      <c r="I764" s="660"/>
      <c r="J764" s="660"/>
      <c r="K764" s="660"/>
      <c r="L764" s="660"/>
      <c r="M764" s="660"/>
      <c r="N764" s="660"/>
      <c r="O764" s="660"/>
      <c r="P764" s="660"/>
      <c r="Q764" s="660"/>
      <c r="R764" s="660"/>
      <c r="S764" s="660"/>
      <c r="T764" s="660"/>
      <c r="U764" s="660"/>
      <c r="V764" s="660"/>
      <c r="W764" s="660"/>
      <c r="X764" s="660"/>
      <c r="Y764" s="660"/>
      <c r="Z764" s="660"/>
      <c r="AA764" s="660"/>
      <c r="AB764" s="660"/>
      <c r="AC764" s="661"/>
      <c r="AD764" s="606"/>
      <c r="AE764" s="606"/>
      <c r="AF764" s="606"/>
      <c r="AG764" s="606"/>
    </row>
    <row r="765" spans="1:33" s="612" customFormat="1" hidden="1" outlineLevel="3" x14ac:dyDescent="0.2">
      <c r="A765" s="606"/>
      <c r="B765" s="606"/>
      <c r="C765" s="607"/>
      <c r="D765" s="608"/>
      <c r="E765" s="608"/>
      <c r="F765" s="608"/>
      <c r="G765" s="608"/>
      <c r="H765" s="609"/>
      <c r="I765" s="660"/>
      <c r="J765" s="660"/>
      <c r="K765" s="660"/>
      <c r="L765" s="660"/>
      <c r="M765" s="660"/>
      <c r="N765" s="660"/>
      <c r="O765" s="660"/>
      <c r="P765" s="660"/>
      <c r="Q765" s="660"/>
      <c r="R765" s="660"/>
      <c r="S765" s="660"/>
      <c r="T765" s="660"/>
      <c r="U765" s="660"/>
      <c r="V765" s="660"/>
      <c r="W765" s="660"/>
      <c r="X765" s="660"/>
      <c r="Y765" s="660"/>
      <c r="Z765" s="660"/>
      <c r="AA765" s="660"/>
      <c r="AB765" s="660"/>
      <c r="AC765" s="661"/>
      <c r="AD765" s="606"/>
      <c r="AE765" s="606"/>
      <c r="AF765" s="606"/>
      <c r="AG765" s="606"/>
    </row>
    <row r="766" spans="1:33" s="612" customFormat="1" hidden="1" outlineLevel="3" x14ac:dyDescent="0.2">
      <c r="A766" s="606"/>
      <c r="B766" s="606"/>
      <c r="C766" s="607"/>
      <c r="D766" s="608"/>
      <c r="E766" s="608"/>
      <c r="F766" s="608"/>
      <c r="G766" s="608"/>
      <c r="H766" s="609"/>
      <c r="I766" s="660"/>
      <c r="J766" s="660"/>
      <c r="K766" s="660"/>
      <c r="L766" s="660"/>
      <c r="M766" s="660"/>
      <c r="N766" s="660"/>
      <c r="O766" s="660"/>
      <c r="P766" s="660"/>
      <c r="Q766" s="660"/>
      <c r="R766" s="660"/>
      <c r="S766" s="660"/>
      <c r="T766" s="660"/>
      <c r="U766" s="660"/>
      <c r="V766" s="660"/>
      <c r="W766" s="660"/>
      <c r="X766" s="660"/>
      <c r="Y766" s="660"/>
      <c r="Z766" s="660"/>
      <c r="AA766" s="660"/>
      <c r="AB766" s="660"/>
      <c r="AC766" s="661"/>
      <c r="AD766" s="606"/>
      <c r="AE766" s="606"/>
      <c r="AF766" s="606"/>
      <c r="AG766" s="606"/>
    </row>
    <row r="767" spans="1:33" s="612" customFormat="1" hidden="1" outlineLevel="3" x14ac:dyDescent="0.2">
      <c r="A767" s="606"/>
      <c r="B767" s="606"/>
      <c r="C767" s="607"/>
      <c r="D767" s="608"/>
      <c r="E767" s="608"/>
      <c r="F767" s="608"/>
      <c r="G767" s="608"/>
      <c r="H767" s="609"/>
      <c r="I767" s="660"/>
      <c r="J767" s="660"/>
      <c r="K767" s="660"/>
      <c r="L767" s="660"/>
      <c r="M767" s="660"/>
      <c r="N767" s="660"/>
      <c r="O767" s="660"/>
      <c r="P767" s="660"/>
      <c r="Q767" s="660"/>
      <c r="R767" s="660"/>
      <c r="S767" s="660"/>
      <c r="T767" s="660"/>
      <c r="U767" s="660"/>
      <c r="V767" s="660"/>
      <c r="W767" s="660"/>
      <c r="X767" s="660"/>
      <c r="Y767" s="660"/>
      <c r="Z767" s="660"/>
      <c r="AA767" s="660"/>
      <c r="AB767" s="660"/>
      <c r="AC767" s="661"/>
      <c r="AD767" s="606"/>
      <c r="AE767" s="606"/>
      <c r="AF767" s="606"/>
      <c r="AG767" s="606"/>
    </row>
    <row r="768" spans="1:33" s="612" customFormat="1" hidden="1" outlineLevel="3" x14ac:dyDescent="0.2">
      <c r="A768" s="606"/>
      <c r="B768" s="606"/>
      <c r="C768" s="607"/>
      <c r="D768" s="608"/>
      <c r="E768" s="608"/>
      <c r="F768" s="608"/>
      <c r="G768" s="608"/>
      <c r="H768" s="609"/>
      <c r="I768" s="660"/>
      <c r="J768" s="660"/>
      <c r="K768" s="660"/>
      <c r="L768" s="660"/>
      <c r="M768" s="660"/>
      <c r="N768" s="660"/>
      <c r="O768" s="660"/>
      <c r="P768" s="660"/>
      <c r="Q768" s="660"/>
      <c r="R768" s="660"/>
      <c r="S768" s="660"/>
      <c r="T768" s="660"/>
      <c r="U768" s="660"/>
      <c r="V768" s="660"/>
      <c r="W768" s="660"/>
      <c r="X768" s="660"/>
      <c r="Y768" s="660"/>
      <c r="Z768" s="660"/>
      <c r="AA768" s="660"/>
      <c r="AB768" s="660"/>
      <c r="AC768" s="661"/>
      <c r="AD768" s="606"/>
      <c r="AE768" s="606"/>
      <c r="AF768" s="606"/>
      <c r="AG768" s="606"/>
    </row>
    <row r="769" spans="1:33" s="612" customFormat="1" hidden="1" outlineLevel="3" x14ac:dyDescent="0.2">
      <c r="A769" s="606"/>
      <c r="B769" s="606"/>
      <c r="C769" s="607"/>
      <c r="D769" s="608"/>
      <c r="E769" s="608"/>
      <c r="F769" s="608"/>
      <c r="G769" s="608"/>
      <c r="H769" s="609"/>
      <c r="I769" s="660"/>
      <c r="J769" s="660"/>
      <c r="K769" s="660"/>
      <c r="L769" s="660"/>
      <c r="M769" s="660"/>
      <c r="N769" s="660"/>
      <c r="O769" s="660"/>
      <c r="P769" s="660"/>
      <c r="Q769" s="660"/>
      <c r="R769" s="660"/>
      <c r="S769" s="660"/>
      <c r="T769" s="660"/>
      <c r="U769" s="660"/>
      <c r="V769" s="660"/>
      <c r="W769" s="660"/>
      <c r="X769" s="660"/>
      <c r="Y769" s="660"/>
      <c r="Z769" s="660"/>
      <c r="AA769" s="660"/>
      <c r="AB769" s="660"/>
      <c r="AC769" s="661"/>
      <c r="AD769" s="606"/>
      <c r="AE769" s="606"/>
      <c r="AF769" s="606"/>
      <c r="AG769" s="606"/>
    </row>
    <row r="770" spans="1:33" s="612" customFormat="1" hidden="1" outlineLevel="3" x14ac:dyDescent="0.2">
      <c r="A770" s="606"/>
      <c r="B770" s="606"/>
      <c r="C770" s="607"/>
      <c r="D770" s="608"/>
      <c r="E770" s="608"/>
      <c r="F770" s="608"/>
      <c r="G770" s="608"/>
      <c r="H770" s="609"/>
      <c r="I770" s="660"/>
      <c r="J770" s="660"/>
      <c r="K770" s="660"/>
      <c r="L770" s="660"/>
      <c r="M770" s="660"/>
      <c r="N770" s="660"/>
      <c r="O770" s="660"/>
      <c r="P770" s="660"/>
      <c r="Q770" s="660"/>
      <c r="R770" s="660"/>
      <c r="S770" s="660"/>
      <c r="T770" s="660"/>
      <c r="U770" s="660"/>
      <c r="V770" s="660"/>
      <c r="W770" s="660"/>
      <c r="X770" s="660"/>
      <c r="Y770" s="660"/>
      <c r="Z770" s="660"/>
      <c r="AA770" s="660"/>
      <c r="AB770" s="660"/>
      <c r="AC770" s="661"/>
      <c r="AD770" s="606"/>
      <c r="AE770" s="606"/>
      <c r="AF770" s="606"/>
      <c r="AG770" s="606"/>
    </row>
    <row r="771" spans="1:33" s="612" customFormat="1" hidden="1" outlineLevel="3" x14ac:dyDescent="0.2">
      <c r="A771" s="606"/>
      <c r="B771" s="606"/>
      <c r="C771" s="607"/>
      <c r="D771" s="608"/>
      <c r="E771" s="608"/>
      <c r="F771" s="608"/>
      <c r="G771" s="608"/>
      <c r="H771" s="609"/>
      <c r="I771" s="660"/>
      <c r="J771" s="660"/>
      <c r="K771" s="660"/>
      <c r="L771" s="660"/>
      <c r="M771" s="660"/>
      <c r="N771" s="660"/>
      <c r="O771" s="660"/>
      <c r="P771" s="660"/>
      <c r="Q771" s="660"/>
      <c r="R771" s="660"/>
      <c r="S771" s="660"/>
      <c r="T771" s="660"/>
      <c r="U771" s="660"/>
      <c r="V771" s="660"/>
      <c r="W771" s="660"/>
      <c r="X771" s="660"/>
      <c r="Y771" s="660"/>
      <c r="Z771" s="660"/>
      <c r="AA771" s="660"/>
      <c r="AB771" s="660"/>
      <c r="AC771" s="661"/>
      <c r="AD771" s="606"/>
      <c r="AE771" s="606"/>
      <c r="AF771" s="606"/>
      <c r="AG771" s="606"/>
    </row>
    <row r="772" spans="1:33" s="612" customFormat="1" hidden="1" outlineLevel="3" x14ac:dyDescent="0.2">
      <c r="A772" s="606"/>
      <c r="B772" s="606"/>
      <c r="C772" s="607"/>
      <c r="D772" s="608"/>
      <c r="E772" s="608"/>
      <c r="F772" s="608"/>
      <c r="G772" s="608"/>
      <c r="H772" s="609"/>
      <c r="I772" s="660"/>
      <c r="J772" s="660"/>
      <c r="K772" s="660"/>
      <c r="L772" s="660"/>
      <c r="M772" s="660"/>
      <c r="N772" s="660"/>
      <c r="O772" s="660"/>
      <c r="P772" s="660"/>
      <c r="Q772" s="660"/>
      <c r="R772" s="660"/>
      <c r="S772" s="660"/>
      <c r="T772" s="660"/>
      <c r="U772" s="660"/>
      <c r="V772" s="660"/>
      <c r="W772" s="660"/>
      <c r="X772" s="660"/>
      <c r="Y772" s="660"/>
      <c r="Z772" s="660"/>
      <c r="AA772" s="660"/>
      <c r="AB772" s="660"/>
      <c r="AC772" s="661"/>
      <c r="AD772" s="606"/>
      <c r="AE772" s="606"/>
      <c r="AF772" s="606"/>
      <c r="AG772" s="606"/>
    </row>
    <row r="773" spans="1:33" s="612" customFormat="1" hidden="1" outlineLevel="3" x14ac:dyDescent="0.2">
      <c r="A773" s="606"/>
      <c r="B773" s="606"/>
      <c r="C773" s="607"/>
      <c r="D773" s="608"/>
      <c r="E773" s="608"/>
      <c r="F773" s="608"/>
      <c r="G773" s="608"/>
      <c r="H773" s="609"/>
      <c r="I773" s="660"/>
      <c r="J773" s="660"/>
      <c r="K773" s="660"/>
      <c r="L773" s="660"/>
      <c r="M773" s="660"/>
      <c r="N773" s="660"/>
      <c r="O773" s="660"/>
      <c r="P773" s="660"/>
      <c r="Q773" s="660"/>
      <c r="R773" s="660"/>
      <c r="S773" s="660"/>
      <c r="T773" s="660"/>
      <c r="U773" s="660"/>
      <c r="V773" s="660"/>
      <c r="W773" s="660"/>
      <c r="X773" s="660"/>
      <c r="Y773" s="660"/>
      <c r="Z773" s="660"/>
      <c r="AA773" s="660"/>
      <c r="AB773" s="660"/>
      <c r="AC773" s="661"/>
      <c r="AD773" s="606"/>
      <c r="AE773" s="606"/>
      <c r="AF773" s="606"/>
      <c r="AG773" s="606"/>
    </row>
    <row r="774" spans="1:33" s="612" customFormat="1" hidden="1" outlineLevel="3" x14ac:dyDescent="0.2">
      <c r="A774" s="606"/>
      <c r="B774" s="606"/>
      <c r="C774" s="607"/>
      <c r="D774" s="608"/>
      <c r="E774" s="608"/>
      <c r="F774" s="608"/>
      <c r="G774" s="608"/>
      <c r="H774" s="609"/>
      <c r="I774" s="660"/>
      <c r="J774" s="660"/>
      <c r="K774" s="660"/>
      <c r="L774" s="660"/>
      <c r="M774" s="660"/>
      <c r="N774" s="660"/>
      <c r="O774" s="660"/>
      <c r="P774" s="660"/>
      <c r="Q774" s="660"/>
      <c r="R774" s="660"/>
      <c r="S774" s="660"/>
      <c r="T774" s="660"/>
      <c r="U774" s="660"/>
      <c r="V774" s="660"/>
      <c r="W774" s="660"/>
      <c r="X774" s="660"/>
      <c r="Y774" s="660"/>
      <c r="Z774" s="660"/>
      <c r="AA774" s="660"/>
      <c r="AB774" s="660"/>
      <c r="AC774" s="661"/>
      <c r="AD774" s="606"/>
      <c r="AE774" s="606"/>
      <c r="AF774" s="606"/>
      <c r="AG774" s="606"/>
    </row>
    <row r="775" spans="1:33" s="612" customFormat="1" hidden="1" outlineLevel="3" x14ac:dyDescent="0.2">
      <c r="A775" s="606"/>
      <c r="B775" s="606"/>
      <c r="C775" s="607"/>
      <c r="D775" s="608"/>
      <c r="E775" s="608"/>
      <c r="F775" s="608"/>
      <c r="G775" s="608"/>
      <c r="H775" s="609"/>
      <c r="I775" s="660"/>
      <c r="J775" s="660"/>
      <c r="K775" s="660"/>
      <c r="L775" s="660"/>
      <c r="M775" s="660"/>
      <c r="N775" s="660"/>
      <c r="O775" s="660"/>
      <c r="P775" s="660"/>
      <c r="Q775" s="660"/>
      <c r="R775" s="660"/>
      <c r="S775" s="660"/>
      <c r="T775" s="660"/>
      <c r="U775" s="660"/>
      <c r="V775" s="660"/>
      <c r="W775" s="660"/>
      <c r="X775" s="660"/>
      <c r="Y775" s="660"/>
      <c r="Z775" s="660"/>
      <c r="AA775" s="660"/>
      <c r="AB775" s="660"/>
      <c r="AC775" s="661"/>
      <c r="AD775" s="606"/>
      <c r="AE775" s="606"/>
      <c r="AF775" s="606"/>
      <c r="AG775" s="606"/>
    </row>
    <row r="776" spans="1:33" s="612" customFormat="1" hidden="1" outlineLevel="3" x14ac:dyDescent="0.2">
      <c r="A776" s="606"/>
      <c r="B776" s="606"/>
      <c r="C776" s="607"/>
      <c r="D776" s="608"/>
      <c r="E776" s="608"/>
      <c r="F776" s="608"/>
      <c r="G776" s="608"/>
      <c r="H776" s="609"/>
      <c r="I776" s="660"/>
      <c r="J776" s="660"/>
      <c r="K776" s="660"/>
      <c r="L776" s="660"/>
      <c r="M776" s="660"/>
      <c r="N776" s="660"/>
      <c r="O776" s="660"/>
      <c r="P776" s="660"/>
      <c r="Q776" s="660"/>
      <c r="R776" s="660"/>
      <c r="S776" s="660"/>
      <c r="T776" s="660"/>
      <c r="U776" s="660"/>
      <c r="V776" s="660"/>
      <c r="W776" s="660"/>
      <c r="X776" s="660"/>
      <c r="Y776" s="660"/>
      <c r="Z776" s="660"/>
      <c r="AA776" s="660"/>
      <c r="AB776" s="660"/>
      <c r="AC776" s="661"/>
      <c r="AD776" s="606"/>
      <c r="AE776" s="606"/>
      <c r="AF776" s="606"/>
      <c r="AG776" s="606"/>
    </row>
    <row r="777" spans="1:33" s="612" customFormat="1" hidden="1" outlineLevel="3" x14ac:dyDescent="0.2">
      <c r="A777" s="606"/>
      <c r="B777" s="606"/>
      <c r="C777" s="607"/>
      <c r="D777" s="608"/>
      <c r="E777" s="608"/>
      <c r="F777" s="608"/>
      <c r="G777" s="608"/>
      <c r="H777" s="609"/>
      <c r="I777" s="660"/>
      <c r="J777" s="660"/>
      <c r="K777" s="660"/>
      <c r="L777" s="660"/>
      <c r="M777" s="660"/>
      <c r="N777" s="660"/>
      <c r="O777" s="660"/>
      <c r="P777" s="660"/>
      <c r="Q777" s="660"/>
      <c r="R777" s="660"/>
      <c r="S777" s="660"/>
      <c r="T777" s="660"/>
      <c r="U777" s="660"/>
      <c r="V777" s="660"/>
      <c r="W777" s="660"/>
      <c r="X777" s="660"/>
      <c r="Y777" s="660"/>
      <c r="Z777" s="660"/>
      <c r="AA777" s="660"/>
      <c r="AB777" s="660"/>
      <c r="AC777" s="661"/>
      <c r="AD777" s="606"/>
      <c r="AE777" s="606"/>
      <c r="AF777" s="606"/>
      <c r="AG777" s="606"/>
    </row>
    <row r="778" spans="1:33" s="612" customFormat="1" hidden="1" outlineLevel="3" x14ac:dyDescent="0.2">
      <c r="A778" s="606"/>
      <c r="B778" s="606"/>
      <c r="C778" s="607"/>
      <c r="D778" s="608"/>
      <c r="E778" s="608"/>
      <c r="F778" s="608"/>
      <c r="G778" s="608"/>
      <c r="H778" s="609"/>
      <c r="I778" s="660"/>
      <c r="J778" s="660"/>
      <c r="K778" s="660"/>
      <c r="L778" s="660"/>
      <c r="M778" s="660"/>
      <c r="N778" s="660"/>
      <c r="O778" s="660"/>
      <c r="P778" s="660"/>
      <c r="Q778" s="660"/>
      <c r="R778" s="660"/>
      <c r="S778" s="660"/>
      <c r="T778" s="660"/>
      <c r="U778" s="660"/>
      <c r="V778" s="660"/>
      <c r="W778" s="660"/>
      <c r="X778" s="660"/>
      <c r="Y778" s="660"/>
      <c r="Z778" s="660"/>
      <c r="AA778" s="660"/>
      <c r="AB778" s="660"/>
      <c r="AC778" s="661"/>
      <c r="AD778" s="606"/>
      <c r="AE778" s="606"/>
      <c r="AF778" s="606"/>
      <c r="AG778" s="606"/>
    </row>
    <row r="779" spans="1:33" s="612" customFormat="1" hidden="1" outlineLevel="3" x14ac:dyDescent="0.2">
      <c r="A779" s="606"/>
      <c r="B779" s="606"/>
      <c r="C779" s="607"/>
      <c r="D779" s="608"/>
      <c r="E779" s="608"/>
      <c r="F779" s="608"/>
      <c r="G779" s="608"/>
      <c r="H779" s="609"/>
      <c r="I779" s="660"/>
      <c r="J779" s="660"/>
      <c r="K779" s="660"/>
      <c r="L779" s="660"/>
      <c r="M779" s="660"/>
      <c r="N779" s="660"/>
      <c r="O779" s="660"/>
      <c r="P779" s="660"/>
      <c r="Q779" s="660"/>
      <c r="R779" s="660"/>
      <c r="S779" s="660"/>
      <c r="T779" s="660"/>
      <c r="U779" s="660"/>
      <c r="V779" s="660"/>
      <c r="W779" s="660"/>
      <c r="X779" s="660"/>
      <c r="Y779" s="660"/>
      <c r="Z779" s="660"/>
      <c r="AA779" s="660"/>
      <c r="AB779" s="660"/>
      <c r="AC779" s="661"/>
      <c r="AD779" s="606"/>
      <c r="AE779" s="606"/>
      <c r="AF779" s="606"/>
      <c r="AG779" s="606"/>
    </row>
    <row r="780" spans="1:33" s="612" customFormat="1" hidden="1" outlineLevel="3" x14ac:dyDescent="0.2">
      <c r="A780" s="606"/>
      <c r="B780" s="606"/>
      <c r="C780" s="607"/>
      <c r="D780" s="608"/>
      <c r="E780" s="608"/>
      <c r="F780" s="608"/>
      <c r="G780" s="608"/>
      <c r="H780" s="609"/>
      <c r="I780" s="660"/>
      <c r="J780" s="660"/>
      <c r="K780" s="660"/>
      <c r="L780" s="660"/>
      <c r="M780" s="660"/>
      <c r="N780" s="660"/>
      <c r="O780" s="660"/>
      <c r="P780" s="660"/>
      <c r="Q780" s="660"/>
      <c r="R780" s="660"/>
      <c r="S780" s="660"/>
      <c r="T780" s="660"/>
      <c r="U780" s="660"/>
      <c r="V780" s="660"/>
      <c r="W780" s="660"/>
      <c r="X780" s="660"/>
      <c r="Y780" s="660"/>
      <c r="Z780" s="660"/>
      <c r="AA780" s="660"/>
      <c r="AB780" s="660"/>
      <c r="AC780" s="661"/>
      <c r="AD780" s="606"/>
      <c r="AE780" s="606"/>
      <c r="AF780" s="606"/>
      <c r="AG780" s="606"/>
    </row>
    <row r="781" spans="1:33" s="612" customFormat="1" hidden="1" outlineLevel="3" x14ac:dyDescent="0.2">
      <c r="A781" s="606"/>
      <c r="B781" s="606"/>
      <c r="C781" s="607"/>
      <c r="D781" s="608"/>
      <c r="E781" s="608"/>
      <c r="F781" s="608"/>
      <c r="G781" s="608"/>
      <c r="H781" s="609"/>
      <c r="I781" s="660"/>
      <c r="J781" s="660"/>
      <c r="K781" s="660"/>
      <c r="L781" s="660"/>
      <c r="M781" s="660"/>
      <c r="N781" s="660"/>
      <c r="O781" s="660"/>
      <c r="P781" s="660"/>
      <c r="Q781" s="660"/>
      <c r="R781" s="660"/>
      <c r="S781" s="660"/>
      <c r="T781" s="660"/>
      <c r="U781" s="660"/>
      <c r="V781" s="660"/>
      <c r="W781" s="660"/>
      <c r="X781" s="660"/>
      <c r="Y781" s="660"/>
      <c r="Z781" s="660"/>
      <c r="AA781" s="660"/>
      <c r="AB781" s="660"/>
      <c r="AC781" s="661"/>
      <c r="AD781" s="606"/>
      <c r="AE781" s="606"/>
      <c r="AF781" s="606"/>
      <c r="AG781" s="606"/>
    </row>
    <row r="782" spans="1:33" s="612" customFormat="1" hidden="1" outlineLevel="3" x14ac:dyDescent="0.2">
      <c r="A782" s="606"/>
      <c r="B782" s="606"/>
      <c r="C782" s="607"/>
      <c r="D782" s="608"/>
      <c r="E782" s="608"/>
      <c r="F782" s="608"/>
      <c r="G782" s="608"/>
      <c r="H782" s="609"/>
      <c r="I782" s="660"/>
      <c r="J782" s="660"/>
      <c r="K782" s="660"/>
      <c r="L782" s="660"/>
      <c r="M782" s="660"/>
      <c r="N782" s="660"/>
      <c r="O782" s="660"/>
      <c r="P782" s="660"/>
      <c r="Q782" s="660"/>
      <c r="R782" s="660"/>
      <c r="S782" s="660"/>
      <c r="T782" s="660"/>
      <c r="U782" s="660"/>
      <c r="V782" s="660"/>
      <c r="W782" s="660"/>
      <c r="X782" s="660"/>
      <c r="Y782" s="660"/>
      <c r="Z782" s="660"/>
      <c r="AA782" s="660"/>
      <c r="AB782" s="660"/>
      <c r="AC782" s="661"/>
      <c r="AD782" s="606"/>
      <c r="AE782" s="606"/>
      <c r="AF782" s="606"/>
      <c r="AG782" s="606"/>
    </row>
    <row r="783" spans="1:33" s="612" customFormat="1" hidden="1" outlineLevel="3" x14ac:dyDescent="0.2">
      <c r="A783" s="606"/>
      <c r="B783" s="606"/>
      <c r="C783" s="607"/>
      <c r="D783" s="608"/>
      <c r="E783" s="608"/>
      <c r="F783" s="608"/>
      <c r="G783" s="608"/>
      <c r="H783" s="609"/>
      <c r="I783" s="660"/>
      <c r="J783" s="660"/>
      <c r="K783" s="660"/>
      <c r="L783" s="660"/>
      <c r="M783" s="660"/>
      <c r="N783" s="660"/>
      <c r="O783" s="660"/>
      <c r="P783" s="660"/>
      <c r="Q783" s="660"/>
      <c r="R783" s="660"/>
      <c r="S783" s="660"/>
      <c r="T783" s="660"/>
      <c r="U783" s="660"/>
      <c r="V783" s="660"/>
      <c r="W783" s="660"/>
      <c r="X783" s="660"/>
      <c r="Y783" s="660"/>
      <c r="Z783" s="660"/>
      <c r="AA783" s="660"/>
      <c r="AB783" s="660"/>
      <c r="AC783" s="661"/>
      <c r="AD783" s="606"/>
      <c r="AE783" s="606"/>
      <c r="AF783" s="606"/>
      <c r="AG783" s="606"/>
    </row>
    <row r="784" spans="1:33" s="612" customFormat="1" hidden="1" outlineLevel="3" x14ac:dyDescent="0.2">
      <c r="A784" s="606"/>
      <c r="B784" s="606"/>
      <c r="C784" s="607"/>
      <c r="D784" s="608"/>
      <c r="E784" s="608"/>
      <c r="F784" s="608"/>
      <c r="G784" s="608"/>
      <c r="H784" s="609"/>
      <c r="I784" s="660"/>
      <c r="J784" s="660"/>
      <c r="K784" s="660"/>
      <c r="L784" s="660"/>
      <c r="M784" s="660"/>
      <c r="N784" s="660"/>
      <c r="O784" s="660"/>
      <c r="P784" s="660"/>
      <c r="Q784" s="660"/>
      <c r="R784" s="660"/>
      <c r="S784" s="660"/>
      <c r="T784" s="660"/>
      <c r="U784" s="660"/>
      <c r="V784" s="660"/>
      <c r="W784" s="660"/>
      <c r="X784" s="660"/>
      <c r="Y784" s="660"/>
      <c r="Z784" s="660"/>
      <c r="AA784" s="660"/>
      <c r="AB784" s="660"/>
      <c r="AC784" s="661"/>
      <c r="AD784" s="606"/>
      <c r="AE784" s="606"/>
      <c r="AF784" s="606"/>
      <c r="AG784" s="606"/>
    </row>
    <row r="785" spans="1:33" s="612" customFormat="1" hidden="1" outlineLevel="3" x14ac:dyDescent="0.2">
      <c r="A785" s="606"/>
      <c r="B785" s="606"/>
      <c r="C785" s="607"/>
      <c r="D785" s="608"/>
      <c r="E785" s="608"/>
      <c r="F785" s="608"/>
      <c r="G785" s="608"/>
      <c r="H785" s="609"/>
      <c r="I785" s="660"/>
      <c r="J785" s="660"/>
      <c r="K785" s="660"/>
      <c r="L785" s="660"/>
      <c r="M785" s="660"/>
      <c r="N785" s="660"/>
      <c r="O785" s="660"/>
      <c r="P785" s="660"/>
      <c r="Q785" s="660"/>
      <c r="R785" s="660"/>
      <c r="S785" s="660"/>
      <c r="T785" s="660"/>
      <c r="U785" s="660"/>
      <c r="V785" s="660"/>
      <c r="W785" s="660"/>
      <c r="X785" s="660"/>
      <c r="Y785" s="660"/>
      <c r="Z785" s="660"/>
      <c r="AA785" s="660"/>
      <c r="AB785" s="660"/>
      <c r="AC785" s="661"/>
      <c r="AD785" s="606"/>
      <c r="AE785" s="606"/>
      <c r="AF785" s="606"/>
      <c r="AG785" s="606"/>
    </row>
    <row r="786" spans="1:33" s="612" customFormat="1" hidden="1" outlineLevel="3" x14ac:dyDescent="0.2">
      <c r="A786" s="606"/>
      <c r="B786" s="606"/>
      <c r="C786" s="607"/>
      <c r="D786" s="608"/>
      <c r="E786" s="608"/>
      <c r="F786" s="608"/>
      <c r="G786" s="608"/>
      <c r="H786" s="609"/>
      <c r="I786" s="660"/>
      <c r="J786" s="660"/>
      <c r="K786" s="660"/>
      <c r="L786" s="660"/>
      <c r="M786" s="660"/>
      <c r="N786" s="660"/>
      <c r="O786" s="660"/>
      <c r="P786" s="660"/>
      <c r="Q786" s="660"/>
      <c r="R786" s="660"/>
      <c r="S786" s="660"/>
      <c r="T786" s="660"/>
      <c r="U786" s="660"/>
      <c r="V786" s="660"/>
      <c r="W786" s="660"/>
      <c r="X786" s="660"/>
      <c r="Y786" s="660"/>
      <c r="Z786" s="660"/>
      <c r="AA786" s="660"/>
      <c r="AB786" s="660"/>
      <c r="AC786" s="661"/>
      <c r="AD786" s="606"/>
      <c r="AE786" s="606"/>
      <c r="AF786" s="606"/>
      <c r="AG786" s="606"/>
    </row>
    <row r="787" spans="1:33" s="612" customFormat="1" hidden="1" outlineLevel="3" x14ac:dyDescent="0.2">
      <c r="A787" s="606"/>
      <c r="B787" s="606"/>
      <c r="C787" s="607"/>
      <c r="D787" s="608"/>
      <c r="E787" s="608"/>
      <c r="F787" s="608"/>
      <c r="G787" s="608"/>
      <c r="H787" s="609"/>
      <c r="I787" s="660"/>
      <c r="J787" s="660"/>
      <c r="K787" s="660"/>
      <c r="L787" s="660"/>
      <c r="M787" s="660"/>
      <c r="N787" s="660"/>
      <c r="O787" s="660"/>
      <c r="P787" s="660"/>
      <c r="Q787" s="660"/>
      <c r="R787" s="660"/>
      <c r="S787" s="660"/>
      <c r="T787" s="660"/>
      <c r="U787" s="660"/>
      <c r="V787" s="660"/>
      <c r="W787" s="660"/>
      <c r="X787" s="660"/>
      <c r="Y787" s="660"/>
      <c r="Z787" s="660"/>
      <c r="AA787" s="660"/>
      <c r="AB787" s="660"/>
      <c r="AC787" s="661"/>
      <c r="AD787" s="606"/>
      <c r="AE787" s="606"/>
      <c r="AF787" s="606"/>
      <c r="AG787" s="606"/>
    </row>
    <row r="788" spans="1:33" s="612" customFormat="1" hidden="1" outlineLevel="2" collapsed="1" x14ac:dyDescent="0.2">
      <c r="A788" s="606"/>
      <c r="B788" s="606"/>
      <c r="C788" s="613"/>
      <c r="D788" s="613"/>
      <c r="E788" s="609"/>
      <c r="F788" s="609"/>
      <c r="G788" s="609"/>
      <c r="H788" s="609"/>
      <c r="I788" s="662"/>
      <c r="J788" s="662"/>
      <c r="K788" s="662"/>
      <c r="L788" s="662"/>
      <c r="M788" s="662"/>
      <c r="N788" s="662"/>
      <c r="O788" s="662"/>
      <c r="P788" s="662"/>
      <c r="Q788" s="662"/>
      <c r="R788" s="662"/>
      <c r="S788" s="662"/>
      <c r="T788" s="662"/>
      <c r="U788" s="662"/>
      <c r="V788" s="662"/>
      <c r="W788" s="662"/>
      <c r="X788" s="662"/>
      <c r="Y788" s="662"/>
      <c r="Z788" s="662"/>
      <c r="AA788" s="662"/>
      <c r="AB788" s="662"/>
      <c r="AC788" s="661"/>
      <c r="AD788" s="606"/>
      <c r="AE788" s="606"/>
      <c r="AF788" s="606"/>
      <c r="AG788" s="606"/>
    </row>
    <row r="789" spans="1:33" s="612" customFormat="1" outlineLevel="1" collapsed="1" x14ac:dyDescent="0.2">
      <c r="A789" s="606"/>
      <c r="B789" s="606"/>
      <c r="C789" s="613"/>
      <c r="D789" s="609"/>
      <c r="E789" s="609"/>
      <c r="F789" s="609"/>
      <c r="G789" s="609"/>
      <c r="H789" s="609"/>
      <c r="I789" s="609"/>
      <c r="J789" s="609"/>
      <c r="K789" s="617"/>
      <c r="L789" s="617"/>
      <c r="M789" s="617"/>
      <c r="N789" s="622"/>
      <c r="O789" s="622"/>
      <c r="P789" s="622"/>
      <c r="Q789" s="622"/>
      <c r="R789" s="622"/>
      <c r="S789" s="606"/>
      <c r="T789" s="606"/>
      <c r="U789" s="606"/>
      <c r="V789" s="606"/>
      <c r="W789" s="606"/>
      <c r="X789" s="606"/>
      <c r="Y789" s="606"/>
      <c r="Z789" s="606"/>
      <c r="AA789" s="606"/>
      <c r="AB789" s="606"/>
      <c r="AC789" s="606"/>
      <c r="AD789" s="606"/>
      <c r="AE789" s="606"/>
      <c r="AF789" s="606"/>
      <c r="AG789" s="606"/>
    </row>
    <row r="790" spans="1:33" s="612" customFormat="1" x14ac:dyDescent="0.2">
      <c r="A790" s="606"/>
      <c r="B790" s="606"/>
      <c r="C790" s="623"/>
      <c r="D790" s="617"/>
      <c r="E790" s="617"/>
      <c r="F790" s="617"/>
      <c r="G790" s="618"/>
      <c r="H790" s="618"/>
      <c r="I790" s="618"/>
      <c r="J790" s="617"/>
      <c r="K790" s="617"/>
      <c r="L790" s="617"/>
      <c r="M790" s="617"/>
      <c r="N790" s="622"/>
      <c r="O790" s="622"/>
      <c r="P790" s="622"/>
      <c r="Q790" s="622"/>
      <c r="R790" s="622"/>
      <c r="S790" s="606"/>
      <c r="T790" s="606"/>
      <c r="U790" s="606"/>
      <c r="V790" s="606"/>
      <c r="W790" s="606"/>
      <c r="X790" s="606"/>
      <c r="Y790" s="606"/>
      <c r="Z790" s="606"/>
      <c r="AA790" s="606"/>
      <c r="AB790" s="606"/>
      <c r="AC790" s="606"/>
      <c r="AD790" s="606"/>
      <c r="AE790" s="606"/>
      <c r="AF790" s="606"/>
      <c r="AG790" s="606"/>
    </row>
    <row r="791" spans="1:33" ht="12.75" x14ac:dyDescent="0.2">
      <c r="A791" s="11"/>
      <c r="B791" s="12" t="str">
        <f>"Input table 25 | "&amp;previousyear&amp;" prices - CONFIDENTIAL tariffs"</f>
        <v>Input table 25 | 2020–21 prices - CONFIDENTIAL tariffs</v>
      </c>
      <c r="C791" s="11"/>
      <c r="D791" s="32" t="str">
        <f>D5</f>
        <v>Tariff class</v>
      </c>
      <c r="E791" s="32" t="str">
        <f>tariffid1</f>
        <v>Code</v>
      </c>
      <c r="F791" s="32" t="str">
        <f>tariffid2</f>
        <v>Trans. Node</v>
      </c>
      <c r="G791" s="32" t="str">
        <f>tariffid3</f>
        <v>Other identifier</v>
      </c>
      <c r="H791" s="32"/>
      <c r="I791" s="183" t="str">
        <f t="shared" ref="I791:AB791" si="36">I5</f>
        <v>Service</v>
      </c>
      <c r="J791" s="183" t="str">
        <f t="shared" si="36"/>
        <v>All energy</v>
      </c>
      <c r="K791" s="183" t="str">
        <f t="shared" si="36"/>
        <v>Peak energy</v>
      </c>
      <c r="L791" s="183" t="str">
        <f t="shared" si="36"/>
        <v>Shoulder energy</v>
      </c>
      <c r="M791" s="183" t="str">
        <f t="shared" si="36"/>
        <v>Off-peak energy</v>
      </c>
      <c r="N791" s="183" t="str">
        <f t="shared" si="36"/>
        <v>All demand</v>
      </c>
      <c r="O791" s="183" t="str">
        <f t="shared" si="36"/>
        <v>Peak demand</v>
      </c>
      <c r="P791" s="183" t="str">
        <f t="shared" si="36"/>
        <v>Off-peak demand</v>
      </c>
      <c r="Q791" s="183" t="str">
        <f t="shared" si="36"/>
        <v>Specified demand</v>
      </c>
      <c r="R791" s="183" t="str">
        <f t="shared" si="36"/>
        <v>Excess daily demand</v>
      </c>
      <c r="S791" s="183" t="str">
        <f t="shared" si="36"/>
        <v>Daily demand connection</v>
      </c>
      <c r="T791" s="183" t="str">
        <f t="shared" si="36"/>
        <v>Excess daily demand connection</v>
      </c>
      <c r="U791" s="183" t="str">
        <f t="shared" si="36"/>
        <v>All demand (lamps)</v>
      </c>
      <c r="V791" s="183">
        <f t="shared" si="36"/>
        <v>0</v>
      </c>
      <c r="W791" s="183">
        <f t="shared" si="36"/>
        <v>0</v>
      </c>
      <c r="X791" s="183">
        <f t="shared" si="36"/>
        <v>0</v>
      </c>
      <c r="Y791" s="183">
        <f t="shared" si="36"/>
        <v>0</v>
      </c>
      <c r="Z791" s="183">
        <f t="shared" si="36"/>
        <v>0</v>
      </c>
      <c r="AA791" s="183">
        <f t="shared" si="36"/>
        <v>0</v>
      </c>
      <c r="AB791" s="183">
        <f t="shared" si="36"/>
        <v>0</v>
      </c>
      <c r="AC791" s="32"/>
      <c r="AD791" s="15"/>
      <c r="AE791" s="15"/>
      <c r="AF791" s="15"/>
      <c r="AG791" s="15"/>
    </row>
    <row r="792" spans="1:33" outlineLevel="1" x14ac:dyDescent="0.2">
      <c r="A792" s="19"/>
      <c r="B792" s="19"/>
      <c r="C792" s="36"/>
      <c r="D792" s="20"/>
      <c r="E792" s="20"/>
      <c r="F792" s="20"/>
      <c r="G792" s="22"/>
      <c r="H792" s="22"/>
      <c r="I792" s="170" t="str">
        <f t="shared" ref="I792:AB792" si="37">I6</f>
        <v>cents/day</v>
      </c>
      <c r="J792" s="170" t="str">
        <f t="shared" si="37"/>
        <v>cents/kWh</v>
      </c>
      <c r="K792" s="170" t="str">
        <f t="shared" si="37"/>
        <v>cents/kWh</v>
      </c>
      <c r="L792" s="170" t="str">
        <f t="shared" si="37"/>
        <v>cents/kWh</v>
      </c>
      <c r="M792" s="170" t="str">
        <f t="shared" si="37"/>
        <v>cents/kWh</v>
      </c>
      <c r="N792" s="170" t="str">
        <f t="shared" si="37"/>
        <v>cents/kVA</v>
      </c>
      <c r="O792" s="170" t="str">
        <f t="shared" si="37"/>
        <v>cents/kVA</v>
      </c>
      <c r="P792" s="170" t="str">
        <f t="shared" si="37"/>
        <v>cents/kVA</v>
      </c>
      <c r="Q792" s="170" t="str">
        <f t="shared" si="37"/>
        <v>cents/kVA</v>
      </c>
      <c r="R792" s="170" t="str">
        <f t="shared" si="37"/>
        <v>cents/kVA</v>
      </c>
      <c r="S792" s="170" t="str">
        <f t="shared" si="37"/>
        <v>cents/kVA</v>
      </c>
      <c r="T792" s="170" t="str">
        <f t="shared" si="37"/>
        <v>cents/kVA</v>
      </c>
      <c r="U792" s="170" t="str">
        <f t="shared" si="37"/>
        <v>cents/LmpWtts/day</v>
      </c>
      <c r="V792" s="170">
        <f t="shared" si="37"/>
        <v>0</v>
      </c>
      <c r="W792" s="170">
        <f t="shared" si="37"/>
        <v>0</v>
      </c>
      <c r="X792" s="170">
        <f t="shared" si="37"/>
        <v>0</v>
      </c>
      <c r="Y792" s="170">
        <f t="shared" si="37"/>
        <v>0</v>
      </c>
      <c r="Z792" s="170">
        <f t="shared" si="37"/>
        <v>0</v>
      </c>
      <c r="AA792" s="170">
        <f t="shared" si="37"/>
        <v>0</v>
      </c>
      <c r="AB792" s="170">
        <f t="shared" si="37"/>
        <v>0</v>
      </c>
      <c r="AC792" s="22"/>
      <c r="AD792" s="19"/>
      <c r="AE792" s="19"/>
      <c r="AF792" s="19"/>
      <c r="AG792" s="19"/>
    </row>
    <row r="793" spans="1:33" outlineLevel="1" x14ac:dyDescent="0.2">
      <c r="A793" s="19"/>
      <c r="B793" s="19"/>
      <c r="C793" s="167" t="str">
        <f>C481</f>
        <v>Distribution</v>
      </c>
      <c r="D793" s="20"/>
      <c r="E793" s="20"/>
      <c r="F793" s="20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19"/>
      <c r="AE793" s="19"/>
      <c r="AF793" s="19"/>
      <c r="AG793" s="19"/>
    </row>
    <row r="794" spans="1:33" outlineLevel="2" x14ac:dyDescent="0.2">
      <c r="A794" s="606"/>
      <c r="B794" s="606"/>
      <c r="C794" s="607"/>
      <c r="D794" s="608"/>
      <c r="E794" s="608"/>
      <c r="F794" s="608"/>
      <c r="G794" s="608"/>
      <c r="H794" s="609"/>
      <c r="I794" s="660"/>
      <c r="J794" s="660"/>
      <c r="K794" s="660"/>
      <c r="L794" s="660"/>
      <c r="M794" s="660"/>
      <c r="N794" s="660"/>
      <c r="O794" s="660"/>
      <c r="P794" s="660"/>
      <c r="Q794" s="660"/>
      <c r="R794" s="660"/>
      <c r="S794" s="660"/>
      <c r="T794" s="660"/>
      <c r="U794" s="660"/>
      <c r="V794" s="660"/>
      <c r="W794" s="660"/>
      <c r="X794" s="660"/>
      <c r="Y794" s="660"/>
      <c r="Z794" s="660"/>
      <c r="AA794" s="660"/>
      <c r="AB794" s="660"/>
      <c r="AC794" s="661"/>
      <c r="AD794" s="606"/>
      <c r="AE794" s="19"/>
      <c r="AF794" s="19"/>
      <c r="AG794" s="19"/>
    </row>
    <row r="795" spans="1:33" outlineLevel="2" x14ac:dyDescent="0.2">
      <c r="A795" s="606"/>
      <c r="B795" s="606"/>
      <c r="C795" s="607"/>
      <c r="D795" s="608"/>
      <c r="E795" s="608"/>
      <c r="F795" s="608"/>
      <c r="G795" s="608"/>
      <c r="H795" s="609"/>
      <c r="I795" s="660"/>
      <c r="J795" s="660"/>
      <c r="K795" s="660"/>
      <c r="L795" s="660"/>
      <c r="M795" s="660"/>
      <c r="N795" s="660"/>
      <c r="O795" s="660"/>
      <c r="P795" s="660"/>
      <c r="Q795" s="660"/>
      <c r="R795" s="660"/>
      <c r="S795" s="660"/>
      <c r="T795" s="660"/>
      <c r="U795" s="660"/>
      <c r="V795" s="660"/>
      <c r="W795" s="660"/>
      <c r="X795" s="660"/>
      <c r="Y795" s="660"/>
      <c r="Z795" s="660"/>
      <c r="AA795" s="660"/>
      <c r="AB795" s="660"/>
      <c r="AC795" s="661"/>
      <c r="AD795" s="606"/>
      <c r="AE795" s="19"/>
      <c r="AF795" s="19"/>
      <c r="AG795" s="19"/>
    </row>
    <row r="796" spans="1:33" outlineLevel="2" x14ac:dyDescent="0.2">
      <c r="A796" s="606"/>
      <c r="B796" s="606"/>
      <c r="C796" s="607"/>
      <c r="D796" s="608"/>
      <c r="E796" s="608"/>
      <c r="F796" s="608"/>
      <c r="G796" s="608"/>
      <c r="H796" s="609"/>
      <c r="I796" s="660"/>
      <c r="J796" s="660"/>
      <c r="K796" s="660"/>
      <c r="L796" s="660"/>
      <c r="M796" s="660"/>
      <c r="N796" s="660"/>
      <c r="O796" s="660"/>
      <c r="P796" s="660"/>
      <c r="Q796" s="660"/>
      <c r="R796" s="660"/>
      <c r="S796" s="660"/>
      <c r="T796" s="660"/>
      <c r="U796" s="660"/>
      <c r="V796" s="660"/>
      <c r="W796" s="660"/>
      <c r="X796" s="660"/>
      <c r="Y796" s="660"/>
      <c r="Z796" s="660"/>
      <c r="AA796" s="660"/>
      <c r="AB796" s="660"/>
      <c r="AC796" s="661"/>
      <c r="AD796" s="606"/>
      <c r="AE796" s="19"/>
      <c r="AF796" s="19"/>
      <c r="AG796" s="19"/>
    </row>
    <row r="797" spans="1:33" outlineLevel="2" x14ac:dyDescent="0.2">
      <c r="A797" s="606"/>
      <c r="B797" s="606"/>
      <c r="C797" s="607"/>
      <c r="D797" s="608"/>
      <c r="E797" s="608"/>
      <c r="F797" s="608"/>
      <c r="G797" s="608"/>
      <c r="H797" s="609"/>
      <c r="I797" s="660"/>
      <c r="J797" s="660"/>
      <c r="K797" s="660"/>
      <c r="L797" s="660"/>
      <c r="M797" s="660"/>
      <c r="N797" s="660"/>
      <c r="O797" s="660"/>
      <c r="P797" s="660"/>
      <c r="Q797" s="660"/>
      <c r="R797" s="660"/>
      <c r="S797" s="660"/>
      <c r="T797" s="660"/>
      <c r="U797" s="660"/>
      <c r="V797" s="660"/>
      <c r="W797" s="660"/>
      <c r="X797" s="660"/>
      <c r="Y797" s="660"/>
      <c r="Z797" s="660"/>
      <c r="AA797" s="660"/>
      <c r="AB797" s="660"/>
      <c r="AC797" s="661"/>
      <c r="AD797" s="606"/>
      <c r="AE797" s="19"/>
      <c r="AF797" s="19"/>
      <c r="AG797" s="19"/>
    </row>
    <row r="798" spans="1:33" outlineLevel="2" x14ac:dyDescent="0.2">
      <c r="A798" s="606"/>
      <c r="B798" s="606"/>
      <c r="C798" s="607"/>
      <c r="D798" s="608"/>
      <c r="E798" s="608"/>
      <c r="F798" s="608"/>
      <c r="G798" s="608"/>
      <c r="H798" s="609"/>
      <c r="I798" s="660"/>
      <c r="J798" s="660"/>
      <c r="K798" s="660"/>
      <c r="L798" s="660"/>
      <c r="M798" s="660"/>
      <c r="N798" s="660"/>
      <c r="O798" s="660"/>
      <c r="P798" s="660"/>
      <c r="Q798" s="660"/>
      <c r="R798" s="660"/>
      <c r="S798" s="660"/>
      <c r="T798" s="660"/>
      <c r="U798" s="660"/>
      <c r="V798" s="660"/>
      <c r="W798" s="660"/>
      <c r="X798" s="660"/>
      <c r="Y798" s="660"/>
      <c r="Z798" s="660"/>
      <c r="AA798" s="660"/>
      <c r="AB798" s="660"/>
      <c r="AC798" s="661"/>
      <c r="AD798" s="606"/>
      <c r="AE798" s="19"/>
      <c r="AF798" s="19"/>
      <c r="AG798" s="19"/>
    </row>
    <row r="799" spans="1:33" outlineLevel="2" x14ac:dyDescent="0.2">
      <c r="A799" s="606"/>
      <c r="B799" s="606"/>
      <c r="C799" s="607"/>
      <c r="D799" s="608"/>
      <c r="E799" s="608"/>
      <c r="F799" s="608"/>
      <c r="G799" s="608"/>
      <c r="H799" s="609"/>
      <c r="I799" s="660"/>
      <c r="J799" s="660"/>
      <c r="K799" s="660"/>
      <c r="L799" s="660"/>
      <c r="M799" s="660"/>
      <c r="N799" s="660"/>
      <c r="O799" s="660"/>
      <c r="P799" s="660"/>
      <c r="Q799" s="660"/>
      <c r="R799" s="660"/>
      <c r="S799" s="660"/>
      <c r="T799" s="660"/>
      <c r="U799" s="660"/>
      <c r="V799" s="660"/>
      <c r="W799" s="660"/>
      <c r="X799" s="660"/>
      <c r="Y799" s="660"/>
      <c r="Z799" s="660"/>
      <c r="AA799" s="660"/>
      <c r="AB799" s="660"/>
      <c r="AC799" s="661"/>
      <c r="AD799" s="606"/>
      <c r="AE799" s="19"/>
      <c r="AF799" s="19"/>
      <c r="AG799" s="19"/>
    </row>
    <row r="800" spans="1:33" outlineLevel="2" x14ac:dyDescent="0.2">
      <c r="A800" s="606"/>
      <c r="B800" s="606"/>
      <c r="C800" s="607"/>
      <c r="D800" s="608"/>
      <c r="E800" s="608"/>
      <c r="F800" s="608"/>
      <c r="G800" s="608"/>
      <c r="H800" s="609"/>
      <c r="I800" s="660"/>
      <c r="J800" s="660"/>
      <c r="K800" s="660"/>
      <c r="L800" s="660"/>
      <c r="M800" s="660"/>
      <c r="N800" s="660"/>
      <c r="O800" s="660"/>
      <c r="P800" s="660"/>
      <c r="Q800" s="660"/>
      <c r="R800" s="660"/>
      <c r="S800" s="660"/>
      <c r="T800" s="660"/>
      <c r="U800" s="660"/>
      <c r="V800" s="660"/>
      <c r="W800" s="660"/>
      <c r="X800" s="660"/>
      <c r="Y800" s="660"/>
      <c r="Z800" s="660"/>
      <c r="AA800" s="660"/>
      <c r="AB800" s="660"/>
      <c r="AC800" s="661"/>
      <c r="AD800" s="606"/>
      <c r="AE800" s="19"/>
      <c r="AF800" s="19"/>
      <c r="AG800" s="19"/>
    </row>
    <row r="801" spans="1:33" outlineLevel="2" x14ac:dyDescent="0.2">
      <c r="A801" s="606"/>
      <c r="B801" s="606"/>
      <c r="C801" s="607"/>
      <c r="D801" s="608"/>
      <c r="E801" s="608"/>
      <c r="F801" s="608"/>
      <c r="G801" s="608"/>
      <c r="H801" s="609"/>
      <c r="I801" s="660"/>
      <c r="J801" s="660"/>
      <c r="K801" s="660"/>
      <c r="L801" s="660"/>
      <c r="M801" s="660"/>
      <c r="N801" s="660"/>
      <c r="O801" s="660"/>
      <c r="P801" s="660"/>
      <c r="Q801" s="660"/>
      <c r="R801" s="660"/>
      <c r="S801" s="660"/>
      <c r="T801" s="660"/>
      <c r="U801" s="660"/>
      <c r="V801" s="660"/>
      <c r="W801" s="660"/>
      <c r="X801" s="660"/>
      <c r="Y801" s="660"/>
      <c r="Z801" s="660"/>
      <c r="AA801" s="660"/>
      <c r="AB801" s="660"/>
      <c r="AC801" s="661"/>
      <c r="AD801" s="606"/>
      <c r="AE801" s="19"/>
      <c r="AF801" s="19"/>
      <c r="AG801" s="19"/>
    </row>
    <row r="802" spans="1:33" outlineLevel="2" x14ac:dyDescent="0.2">
      <c r="A802" s="606"/>
      <c r="B802" s="606"/>
      <c r="C802" s="607"/>
      <c r="D802" s="608"/>
      <c r="E802" s="608"/>
      <c r="F802" s="608"/>
      <c r="G802" s="608"/>
      <c r="H802" s="609"/>
      <c r="I802" s="660"/>
      <c r="J802" s="660"/>
      <c r="K802" s="660"/>
      <c r="L802" s="660"/>
      <c r="M802" s="660"/>
      <c r="N802" s="660"/>
      <c r="O802" s="660"/>
      <c r="P802" s="660"/>
      <c r="Q802" s="660"/>
      <c r="R802" s="660"/>
      <c r="S802" s="660"/>
      <c r="T802" s="660"/>
      <c r="U802" s="660"/>
      <c r="V802" s="660"/>
      <c r="W802" s="660"/>
      <c r="X802" s="660"/>
      <c r="Y802" s="660"/>
      <c r="Z802" s="660"/>
      <c r="AA802" s="660"/>
      <c r="AB802" s="660"/>
      <c r="AC802" s="661"/>
      <c r="AD802" s="606"/>
      <c r="AE802" s="19"/>
      <c r="AF802" s="19"/>
      <c r="AG802" s="19"/>
    </row>
    <row r="803" spans="1:33" outlineLevel="2" x14ac:dyDescent="0.2">
      <c r="A803" s="606"/>
      <c r="B803" s="606"/>
      <c r="C803" s="607"/>
      <c r="D803" s="608"/>
      <c r="E803" s="608"/>
      <c r="F803" s="608"/>
      <c r="G803" s="608"/>
      <c r="H803" s="609"/>
      <c r="I803" s="660"/>
      <c r="J803" s="660"/>
      <c r="K803" s="660"/>
      <c r="L803" s="660"/>
      <c r="M803" s="660"/>
      <c r="N803" s="660"/>
      <c r="O803" s="660"/>
      <c r="P803" s="660"/>
      <c r="Q803" s="660"/>
      <c r="R803" s="660"/>
      <c r="S803" s="660"/>
      <c r="T803" s="660"/>
      <c r="U803" s="660"/>
      <c r="V803" s="660"/>
      <c r="W803" s="660"/>
      <c r="X803" s="660"/>
      <c r="Y803" s="660"/>
      <c r="Z803" s="660"/>
      <c r="AA803" s="660"/>
      <c r="AB803" s="660"/>
      <c r="AC803" s="661"/>
      <c r="AD803" s="606"/>
      <c r="AE803" s="19"/>
      <c r="AF803" s="19"/>
      <c r="AG803" s="19"/>
    </row>
    <row r="804" spans="1:33" outlineLevel="2" x14ac:dyDescent="0.2">
      <c r="A804" s="606"/>
      <c r="B804" s="606"/>
      <c r="C804" s="607"/>
      <c r="D804" s="608"/>
      <c r="E804" s="608"/>
      <c r="F804" s="608"/>
      <c r="G804" s="608"/>
      <c r="H804" s="609"/>
      <c r="I804" s="660"/>
      <c r="J804" s="660"/>
      <c r="K804" s="660"/>
      <c r="L804" s="660"/>
      <c r="M804" s="660"/>
      <c r="N804" s="660"/>
      <c r="O804" s="660"/>
      <c r="P804" s="660"/>
      <c r="Q804" s="660"/>
      <c r="R804" s="660"/>
      <c r="S804" s="660"/>
      <c r="T804" s="660"/>
      <c r="U804" s="660"/>
      <c r="V804" s="660"/>
      <c r="W804" s="660"/>
      <c r="X804" s="660"/>
      <c r="Y804" s="660"/>
      <c r="Z804" s="660"/>
      <c r="AA804" s="660"/>
      <c r="AB804" s="660"/>
      <c r="AC804" s="661"/>
      <c r="AD804" s="606"/>
      <c r="AE804" s="19"/>
      <c r="AF804" s="19"/>
      <c r="AG804" s="19"/>
    </row>
    <row r="805" spans="1:33" outlineLevel="2" x14ac:dyDescent="0.2">
      <c r="A805" s="606"/>
      <c r="B805" s="606"/>
      <c r="C805" s="607"/>
      <c r="D805" s="608"/>
      <c r="E805" s="608"/>
      <c r="F805" s="608"/>
      <c r="G805" s="608"/>
      <c r="H805" s="609"/>
      <c r="I805" s="660"/>
      <c r="J805" s="660"/>
      <c r="K805" s="660"/>
      <c r="L805" s="660"/>
      <c r="M805" s="660"/>
      <c r="N805" s="660"/>
      <c r="O805" s="660"/>
      <c r="P805" s="660"/>
      <c r="Q805" s="660"/>
      <c r="R805" s="660"/>
      <c r="S805" s="660"/>
      <c r="T805" s="660"/>
      <c r="U805" s="660"/>
      <c r="V805" s="660"/>
      <c r="W805" s="660"/>
      <c r="X805" s="660"/>
      <c r="Y805" s="660"/>
      <c r="Z805" s="660"/>
      <c r="AA805" s="660"/>
      <c r="AB805" s="660"/>
      <c r="AC805" s="661"/>
      <c r="AD805" s="606"/>
      <c r="AE805" s="19"/>
      <c r="AF805" s="19"/>
      <c r="AG805" s="19"/>
    </row>
    <row r="806" spans="1:33" outlineLevel="2" x14ac:dyDescent="0.2">
      <c r="A806" s="606"/>
      <c r="B806" s="606"/>
      <c r="C806" s="607"/>
      <c r="D806" s="608"/>
      <c r="E806" s="608"/>
      <c r="F806" s="608"/>
      <c r="G806" s="608"/>
      <c r="H806" s="609"/>
      <c r="I806" s="660"/>
      <c r="J806" s="660"/>
      <c r="K806" s="660"/>
      <c r="L806" s="660"/>
      <c r="M806" s="660"/>
      <c r="N806" s="660"/>
      <c r="O806" s="660"/>
      <c r="P806" s="660"/>
      <c r="Q806" s="660"/>
      <c r="R806" s="660"/>
      <c r="S806" s="660"/>
      <c r="T806" s="660"/>
      <c r="U806" s="660"/>
      <c r="V806" s="660"/>
      <c r="W806" s="660"/>
      <c r="X806" s="660"/>
      <c r="Y806" s="660"/>
      <c r="Z806" s="660"/>
      <c r="AA806" s="660"/>
      <c r="AB806" s="660"/>
      <c r="AC806" s="661"/>
      <c r="AD806" s="606"/>
      <c r="AE806" s="19"/>
      <c r="AF806" s="19"/>
      <c r="AG806" s="19"/>
    </row>
    <row r="807" spans="1:33" outlineLevel="2" x14ac:dyDescent="0.2">
      <c r="A807" s="606"/>
      <c r="B807" s="606"/>
      <c r="C807" s="607"/>
      <c r="D807" s="608"/>
      <c r="E807" s="608"/>
      <c r="F807" s="608"/>
      <c r="G807" s="608"/>
      <c r="H807" s="609"/>
      <c r="I807" s="660"/>
      <c r="J807" s="660"/>
      <c r="K807" s="660"/>
      <c r="L807" s="660"/>
      <c r="M807" s="660"/>
      <c r="N807" s="660"/>
      <c r="O807" s="660"/>
      <c r="P807" s="660"/>
      <c r="Q807" s="660"/>
      <c r="R807" s="660"/>
      <c r="S807" s="660"/>
      <c r="T807" s="660"/>
      <c r="U807" s="660"/>
      <c r="V807" s="660"/>
      <c r="W807" s="660"/>
      <c r="X807" s="660"/>
      <c r="Y807" s="660"/>
      <c r="Z807" s="660"/>
      <c r="AA807" s="660"/>
      <c r="AB807" s="660"/>
      <c r="AC807" s="661"/>
      <c r="AD807" s="606"/>
      <c r="AE807" s="19"/>
      <c r="AF807" s="19"/>
      <c r="AG807" s="19"/>
    </row>
    <row r="808" spans="1:33" outlineLevel="2" x14ac:dyDescent="0.2">
      <c r="A808" s="606"/>
      <c r="B808" s="606"/>
      <c r="C808" s="607"/>
      <c r="D808" s="608"/>
      <c r="E808" s="608"/>
      <c r="F808" s="608"/>
      <c r="G808" s="608"/>
      <c r="H808" s="609"/>
      <c r="I808" s="660"/>
      <c r="J808" s="660"/>
      <c r="K808" s="660"/>
      <c r="L808" s="660"/>
      <c r="M808" s="660"/>
      <c r="N808" s="660"/>
      <c r="O808" s="660"/>
      <c r="P808" s="660"/>
      <c r="Q808" s="660"/>
      <c r="R808" s="660"/>
      <c r="S808" s="660"/>
      <c r="T808" s="660"/>
      <c r="U808" s="660"/>
      <c r="V808" s="660"/>
      <c r="W808" s="660"/>
      <c r="X808" s="660"/>
      <c r="Y808" s="660"/>
      <c r="Z808" s="660"/>
      <c r="AA808" s="660"/>
      <c r="AB808" s="660"/>
      <c r="AC808" s="661"/>
      <c r="AD808" s="606"/>
      <c r="AE808" s="19"/>
      <c r="AF808" s="19"/>
      <c r="AG808" s="19"/>
    </row>
    <row r="809" spans="1:33" outlineLevel="2" x14ac:dyDescent="0.2">
      <c r="A809" s="606"/>
      <c r="B809" s="606"/>
      <c r="C809" s="607"/>
      <c r="D809" s="608"/>
      <c r="E809" s="608"/>
      <c r="F809" s="608"/>
      <c r="G809" s="608"/>
      <c r="H809" s="609"/>
      <c r="I809" s="660"/>
      <c r="J809" s="660"/>
      <c r="K809" s="660"/>
      <c r="L809" s="660"/>
      <c r="M809" s="660"/>
      <c r="N809" s="660"/>
      <c r="O809" s="660"/>
      <c r="P809" s="660"/>
      <c r="Q809" s="660"/>
      <c r="R809" s="660"/>
      <c r="S809" s="660"/>
      <c r="T809" s="660"/>
      <c r="U809" s="660"/>
      <c r="V809" s="660"/>
      <c r="W809" s="660"/>
      <c r="X809" s="660"/>
      <c r="Y809" s="660"/>
      <c r="Z809" s="660"/>
      <c r="AA809" s="660"/>
      <c r="AB809" s="660"/>
      <c r="AC809" s="661"/>
      <c r="AD809" s="606"/>
      <c r="AE809" s="19"/>
      <c r="AF809" s="19"/>
      <c r="AG809" s="19"/>
    </row>
    <row r="810" spans="1:33" outlineLevel="2" x14ac:dyDescent="0.2">
      <c r="A810" s="606"/>
      <c r="B810" s="606"/>
      <c r="C810" s="607"/>
      <c r="D810" s="608"/>
      <c r="E810" s="608"/>
      <c r="F810" s="608"/>
      <c r="G810" s="608"/>
      <c r="H810" s="609"/>
      <c r="I810" s="660"/>
      <c r="J810" s="660"/>
      <c r="K810" s="660"/>
      <c r="L810" s="660"/>
      <c r="M810" s="660"/>
      <c r="N810" s="660"/>
      <c r="O810" s="660"/>
      <c r="P810" s="660"/>
      <c r="Q810" s="660"/>
      <c r="R810" s="660"/>
      <c r="S810" s="660"/>
      <c r="T810" s="660"/>
      <c r="U810" s="660"/>
      <c r="V810" s="660"/>
      <c r="W810" s="660"/>
      <c r="X810" s="660"/>
      <c r="Y810" s="660"/>
      <c r="Z810" s="660"/>
      <c r="AA810" s="660"/>
      <c r="AB810" s="660"/>
      <c r="AC810" s="661"/>
      <c r="AD810" s="606"/>
      <c r="AE810" s="19"/>
      <c r="AF810" s="19"/>
      <c r="AG810" s="19"/>
    </row>
    <row r="811" spans="1:33" outlineLevel="2" x14ac:dyDescent="0.2">
      <c r="A811" s="606"/>
      <c r="B811" s="606"/>
      <c r="C811" s="607"/>
      <c r="D811" s="608"/>
      <c r="E811" s="608"/>
      <c r="F811" s="608"/>
      <c r="G811" s="608"/>
      <c r="H811" s="609"/>
      <c r="I811" s="660"/>
      <c r="J811" s="660"/>
      <c r="K811" s="660"/>
      <c r="L811" s="660"/>
      <c r="M811" s="660"/>
      <c r="N811" s="660"/>
      <c r="O811" s="660"/>
      <c r="P811" s="660"/>
      <c r="Q811" s="660"/>
      <c r="R811" s="660"/>
      <c r="S811" s="660"/>
      <c r="T811" s="660"/>
      <c r="U811" s="660"/>
      <c r="V811" s="660"/>
      <c r="W811" s="660"/>
      <c r="X811" s="660"/>
      <c r="Y811" s="660"/>
      <c r="Z811" s="660"/>
      <c r="AA811" s="660"/>
      <c r="AB811" s="660"/>
      <c r="AC811" s="661"/>
      <c r="AD811" s="606"/>
      <c r="AE811" s="19"/>
      <c r="AF811" s="19"/>
      <c r="AG811" s="19"/>
    </row>
    <row r="812" spans="1:33" outlineLevel="2" x14ac:dyDescent="0.2">
      <c r="A812" s="606"/>
      <c r="B812" s="606"/>
      <c r="C812" s="607"/>
      <c r="D812" s="608"/>
      <c r="E812" s="608"/>
      <c r="F812" s="608"/>
      <c r="G812" s="608"/>
      <c r="H812" s="609"/>
      <c r="I812" s="660"/>
      <c r="J812" s="660"/>
      <c r="K812" s="660"/>
      <c r="L812" s="660"/>
      <c r="M812" s="660"/>
      <c r="N812" s="660"/>
      <c r="O812" s="660"/>
      <c r="P812" s="660"/>
      <c r="Q812" s="660"/>
      <c r="R812" s="660"/>
      <c r="S812" s="660"/>
      <c r="T812" s="660"/>
      <c r="U812" s="660"/>
      <c r="V812" s="660"/>
      <c r="W812" s="660"/>
      <c r="X812" s="660"/>
      <c r="Y812" s="660"/>
      <c r="Z812" s="660"/>
      <c r="AA812" s="660"/>
      <c r="AB812" s="660"/>
      <c r="AC812" s="661"/>
      <c r="AD812" s="606"/>
      <c r="AE812" s="19"/>
      <c r="AF812" s="19"/>
      <c r="AG812" s="19"/>
    </row>
    <row r="813" spans="1:33" outlineLevel="2" x14ac:dyDescent="0.2">
      <c r="A813" s="606"/>
      <c r="B813" s="606"/>
      <c r="C813" s="607"/>
      <c r="D813" s="608"/>
      <c r="E813" s="608"/>
      <c r="F813" s="608"/>
      <c r="G813" s="608"/>
      <c r="H813" s="609"/>
      <c r="I813" s="660"/>
      <c r="J813" s="660"/>
      <c r="K813" s="660"/>
      <c r="L813" s="660"/>
      <c r="M813" s="660"/>
      <c r="N813" s="660"/>
      <c r="O813" s="660"/>
      <c r="P813" s="660"/>
      <c r="Q813" s="660"/>
      <c r="R813" s="660"/>
      <c r="S813" s="660"/>
      <c r="T813" s="660"/>
      <c r="U813" s="660"/>
      <c r="V813" s="660"/>
      <c r="W813" s="660"/>
      <c r="X813" s="660"/>
      <c r="Y813" s="660"/>
      <c r="Z813" s="660"/>
      <c r="AA813" s="660"/>
      <c r="AB813" s="660"/>
      <c r="AC813" s="661"/>
      <c r="AD813" s="606"/>
      <c r="AE813" s="19"/>
      <c r="AF813" s="19"/>
      <c r="AG813" s="19"/>
    </row>
    <row r="814" spans="1:33" outlineLevel="2" x14ac:dyDescent="0.2">
      <c r="A814" s="606"/>
      <c r="B814" s="606"/>
      <c r="C814" s="607"/>
      <c r="D814" s="608"/>
      <c r="E814" s="608"/>
      <c r="F814" s="608"/>
      <c r="G814" s="608"/>
      <c r="H814" s="609"/>
      <c r="I814" s="660"/>
      <c r="J814" s="660"/>
      <c r="K814" s="660"/>
      <c r="L814" s="660"/>
      <c r="M814" s="660"/>
      <c r="N814" s="660"/>
      <c r="O814" s="660"/>
      <c r="P814" s="660"/>
      <c r="Q814" s="660"/>
      <c r="R814" s="660"/>
      <c r="S814" s="660"/>
      <c r="T814" s="660"/>
      <c r="U814" s="660"/>
      <c r="V814" s="660"/>
      <c r="W814" s="660"/>
      <c r="X814" s="660"/>
      <c r="Y814" s="660"/>
      <c r="Z814" s="660"/>
      <c r="AA814" s="660"/>
      <c r="AB814" s="660"/>
      <c r="AC814" s="661"/>
      <c r="AD814" s="606"/>
      <c r="AE814" s="19"/>
      <c r="AF814" s="19"/>
      <c r="AG814" s="19"/>
    </row>
    <row r="815" spans="1:33" outlineLevel="2" x14ac:dyDescent="0.2">
      <c r="A815" s="606"/>
      <c r="B815" s="606"/>
      <c r="C815" s="607"/>
      <c r="D815" s="608"/>
      <c r="E815" s="608"/>
      <c r="F815" s="608"/>
      <c r="G815" s="608"/>
      <c r="H815" s="609"/>
      <c r="I815" s="660"/>
      <c r="J815" s="660"/>
      <c r="K815" s="660"/>
      <c r="L815" s="660"/>
      <c r="M815" s="660"/>
      <c r="N815" s="660"/>
      <c r="O815" s="660"/>
      <c r="P815" s="660"/>
      <c r="Q815" s="660"/>
      <c r="R815" s="660"/>
      <c r="S815" s="660"/>
      <c r="T815" s="660"/>
      <c r="U815" s="660"/>
      <c r="V815" s="660"/>
      <c r="W815" s="660"/>
      <c r="X815" s="660"/>
      <c r="Y815" s="660"/>
      <c r="Z815" s="660"/>
      <c r="AA815" s="660"/>
      <c r="AB815" s="660"/>
      <c r="AC815" s="661"/>
      <c r="AD815" s="606"/>
      <c r="AE815" s="19"/>
      <c r="AF815" s="19"/>
      <c r="AG815" s="19"/>
    </row>
    <row r="816" spans="1:33" outlineLevel="2" x14ac:dyDescent="0.2">
      <c r="A816" s="606"/>
      <c r="B816" s="606"/>
      <c r="C816" s="607"/>
      <c r="D816" s="608"/>
      <c r="E816" s="608"/>
      <c r="F816" s="608"/>
      <c r="G816" s="608"/>
      <c r="H816" s="609"/>
      <c r="I816" s="660"/>
      <c r="J816" s="660"/>
      <c r="K816" s="660"/>
      <c r="L816" s="660"/>
      <c r="M816" s="660"/>
      <c r="N816" s="660"/>
      <c r="O816" s="660"/>
      <c r="P816" s="660"/>
      <c r="Q816" s="660"/>
      <c r="R816" s="660"/>
      <c r="S816" s="660"/>
      <c r="T816" s="660"/>
      <c r="U816" s="660"/>
      <c r="V816" s="660"/>
      <c r="W816" s="660"/>
      <c r="X816" s="660"/>
      <c r="Y816" s="660"/>
      <c r="Z816" s="660"/>
      <c r="AA816" s="660"/>
      <c r="AB816" s="660"/>
      <c r="AC816" s="661"/>
      <c r="AD816" s="606"/>
      <c r="AE816" s="19"/>
      <c r="AF816" s="19"/>
      <c r="AG816" s="19"/>
    </row>
    <row r="817" spans="1:33" outlineLevel="2" x14ac:dyDescent="0.2">
      <c r="A817" s="606"/>
      <c r="B817" s="606"/>
      <c r="C817" s="607"/>
      <c r="D817" s="608"/>
      <c r="E817" s="608"/>
      <c r="F817" s="608"/>
      <c r="G817" s="608"/>
      <c r="H817" s="609"/>
      <c r="I817" s="660"/>
      <c r="J817" s="660"/>
      <c r="K817" s="660"/>
      <c r="L817" s="660"/>
      <c r="M817" s="660"/>
      <c r="N817" s="660"/>
      <c r="O817" s="660"/>
      <c r="P817" s="660"/>
      <c r="Q817" s="660"/>
      <c r="R817" s="660"/>
      <c r="S817" s="660"/>
      <c r="T817" s="660"/>
      <c r="U817" s="660"/>
      <c r="V817" s="660"/>
      <c r="W817" s="660"/>
      <c r="X817" s="660"/>
      <c r="Y817" s="660"/>
      <c r="Z817" s="660"/>
      <c r="AA817" s="660"/>
      <c r="AB817" s="660"/>
      <c r="AC817" s="661"/>
      <c r="AD817" s="606"/>
      <c r="AE817" s="19"/>
      <c r="AF817" s="19"/>
      <c r="AG817" s="19"/>
    </row>
    <row r="818" spans="1:33" outlineLevel="2" x14ac:dyDescent="0.2">
      <c r="A818" s="606"/>
      <c r="B818" s="606"/>
      <c r="C818" s="607"/>
      <c r="D818" s="608"/>
      <c r="E818" s="608"/>
      <c r="F818" s="608"/>
      <c r="G818" s="608"/>
      <c r="H818" s="609"/>
      <c r="I818" s="660"/>
      <c r="J818" s="660"/>
      <c r="K818" s="660"/>
      <c r="L818" s="660"/>
      <c r="M818" s="660"/>
      <c r="N818" s="660"/>
      <c r="O818" s="660"/>
      <c r="P818" s="660"/>
      <c r="Q818" s="660"/>
      <c r="R818" s="660"/>
      <c r="S818" s="660"/>
      <c r="T818" s="660"/>
      <c r="U818" s="660"/>
      <c r="V818" s="660"/>
      <c r="W818" s="660"/>
      <c r="X818" s="660"/>
      <c r="Y818" s="660"/>
      <c r="Z818" s="660"/>
      <c r="AA818" s="660"/>
      <c r="AB818" s="660"/>
      <c r="AC818" s="661"/>
      <c r="AD818" s="606"/>
      <c r="AE818" s="19"/>
      <c r="AF818" s="19"/>
      <c r="AG818" s="19"/>
    </row>
    <row r="819" spans="1:33" outlineLevel="2" x14ac:dyDescent="0.2">
      <c r="A819" s="606"/>
      <c r="B819" s="606"/>
      <c r="C819" s="607"/>
      <c r="D819" s="608"/>
      <c r="E819" s="608"/>
      <c r="F819" s="608"/>
      <c r="G819" s="608"/>
      <c r="H819" s="609"/>
      <c r="I819" s="660"/>
      <c r="J819" s="660"/>
      <c r="K819" s="660"/>
      <c r="L819" s="660"/>
      <c r="M819" s="660"/>
      <c r="N819" s="660"/>
      <c r="O819" s="660"/>
      <c r="P819" s="660"/>
      <c r="Q819" s="660"/>
      <c r="R819" s="660"/>
      <c r="S819" s="660"/>
      <c r="T819" s="660"/>
      <c r="U819" s="660"/>
      <c r="V819" s="660"/>
      <c r="W819" s="660"/>
      <c r="X819" s="660"/>
      <c r="Y819" s="660"/>
      <c r="Z819" s="660"/>
      <c r="AA819" s="660"/>
      <c r="AB819" s="660"/>
      <c r="AC819" s="661"/>
      <c r="AD819" s="606"/>
      <c r="AE819" s="19"/>
      <c r="AF819" s="19"/>
      <c r="AG819" s="19"/>
    </row>
    <row r="820" spans="1:33" outlineLevel="2" x14ac:dyDescent="0.2">
      <c r="A820" s="606"/>
      <c r="B820" s="606"/>
      <c r="C820" s="607"/>
      <c r="D820" s="608"/>
      <c r="E820" s="608"/>
      <c r="F820" s="608"/>
      <c r="G820" s="608"/>
      <c r="H820" s="609"/>
      <c r="I820" s="660"/>
      <c r="J820" s="660"/>
      <c r="K820" s="660"/>
      <c r="L820" s="660"/>
      <c r="M820" s="660"/>
      <c r="N820" s="660"/>
      <c r="O820" s="660"/>
      <c r="P820" s="660"/>
      <c r="Q820" s="660"/>
      <c r="R820" s="660"/>
      <c r="S820" s="660"/>
      <c r="T820" s="660"/>
      <c r="U820" s="660"/>
      <c r="V820" s="660"/>
      <c r="W820" s="660"/>
      <c r="X820" s="660"/>
      <c r="Y820" s="660"/>
      <c r="Z820" s="660"/>
      <c r="AA820" s="660"/>
      <c r="AB820" s="660"/>
      <c r="AC820" s="661"/>
      <c r="AD820" s="606"/>
      <c r="AE820" s="19"/>
      <c r="AF820" s="19"/>
      <c r="AG820" s="19"/>
    </row>
    <row r="821" spans="1:33" outlineLevel="2" x14ac:dyDescent="0.2">
      <c r="A821" s="606"/>
      <c r="B821" s="606"/>
      <c r="C821" s="607"/>
      <c r="D821" s="608"/>
      <c r="E821" s="608"/>
      <c r="F821" s="608"/>
      <c r="G821" s="608"/>
      <c r="H821" s="609"/>
      <c r="I821" s="660"/>
      <c r="J821" s="660"/>
      <c r="K821" s="660"/>
      <c r="L821" s="660"/>
      <c r="M821" s="660"/>
      <c r="N821" s="660"/>
      <c r="O821" s="660"/>
      <c r="P821" s="660"/>
      <c r="Q821" s="660"/>
      <c r="R821" s="660"/>
      <c r="S821" s="660"/>
      <c r="T821" s="660"/>
      <c r="U821" s="660"/>
      <c r="V821" s="660"/>
      <c r="W821" s="660"/>
      <c r="X821" s="660"/>
      <c r="Y821" s="660"/>
      <c r="Z821" s="660"/>
      <c r="AA821" s="660"/>
      <c r="AB821" s="660"/>
      <c r="AC821" s="661"/>
      <c r="AD821" s="606"/>
      <c r="AE821" s="19"/>
      <c r="AF821" s="19"/>
      <c r="AG821" s="19"/>
    </row>
    <row r="822" spans="1:33" outlineLevel="2" x14ac:dyDescent="0.2">
      <c r="A822" s="606"/>
      <c r="B822" s="606"/>
      <c r="C822" s="607"/>
      <c r="D822" s="608"/>
      <c r="E822" s="608"/>
      <c r="F822" s="608"/>
      <c r="G822" s="608"/>
      <c r="H822" s="609"/>
      <c r="I822" s="660"/>
      <c r="J822" s="660"/>
      <c r="K822" s="660"/>
      <c r="L822" s="660"/>
      <c r="M822" s="660"/>
      <c r="N822" s="660"/>
      <c r="O822" s="660"/>
      <c r="P822" s="660"/>
      <c r="Q822" s="660"/>
      <c r="R822" s="660"/>
      <c r="S822" s="660"/>
      <c r="T822" s="660"/>
      <c r="U822" s="660"/>
      <c r="V822" s="660"/>
      <c r="W822" s="660"/>
      <c r="X822" s="660"/>
      <c r="Y822" s="660"/>
      <c r="Z822" s="660"/>
      <c r="AA822" s="660"/>
      <c r="AB822" s="660"/>
      <c r="AC822" s="661"/>
      <c r="AD822" s="606"/>
      <c r="AE822" s="19"/>
      <c r="AF822" s="19"/>
      <c r="AG822" s="19"/>
    </row>
    <row r="823" spans="1:33" outlineLevel="2" x14ac:dyDescent="0.2">
      <c r="A823" s="606"/>
      <c r="B823" s="606"/>
      <c r="C823" s="607"/>
      <c r="D823" s="608"/>
      <c r="E823" s="608"/>
      <c r="F823" s="608"/>
      <c r="G823" s="608"/>
      <c r="H823" s="609"/>
      <c r="I823" s="660"/>
      <c r="J823" s="660"/>
      <c r="K823" s="660"/>
      <c r="L823" s="660"/>
      <c r="M823" s="660"/>
      <c r="N823" s="660"/>
      <c r="O823" s="660"/>
      <c r="P823" s="660"/>
      <c r="Q823" s="660"/>
      <c r="R823" s="660"/>
      <c r="S823" s="660"/>
      <c r="T823" s="660"/>
      <c r="U823" s="660"/>
      <c r="V823" s="660"/>
      <c r="W823" s="660"/>
      <c r="X823" s="660"/>
      <c r="Y823" s="660"/>
      <c r="Z823" s="660"/>
      <c r="AA823" s="660"/>
      <c r="AB823" s="660"/>
      <c r="AC823" s="661"/>
      <c r="AD823" s="606"/>
      <c r="AE823" s="19"/>
      <c r="AF823" s="19"/>
      <c r="AG823" s="19"/>
    </row>
    <row r="824" spans="1:33" outlineLevel="2" x14ac:dyDescent="0.2">
      <c r="A824" s="606"/>
      <c r="B824" s="606"/>
      <c r="C824" s="607"/>
      <c r="D824" s="608"/>
      <c r="E824" s="608"/>
      <c r="F824" s="608"/>
      <c r="G824" s="608"/>
      <c r="H824" s="609"/>
      <c r="I824" s="660"/>
      <c r="J824" s="660"/>
      <c r="K824" s="660"/>
      <c r="L824" s="660"/>
      <c r="M824" s="660"/>
      <c r="N824" s="660"/>
      <c r="O824" s="660"/>
      <c r="P824" s="660"/>
      <c r="Q824" s="660"/>
      <c r="R824" s="660"/>
      <c r="S824" s="660"/>
      <c r="T824" s="660"/>
      <c r="U824" s="660"/>
      <c r="V824" s="660"/>
      <c r="W824" s="660"/>
      <c r="X824" s="660"/>
      <c r="Y824" s="660"/>
      <c r="Z824" s="660"/>
      <c r="AA824" s="660"/>
      <c r="AB824" s="660"/>
      <c r="AC824" s="661"/>
      <c r="AD824" s="606"/>
      <c r="AE824" s="19"/>
      <c r="AF824" s="19"/>
      <c r="AG824" s="19"/>
    </row>
    <row r="825" spans="1:33" outlineLevel="2" x14ac:dyDescent="0.2">
      <c r="A825" s="606"/>
      <c r="B825" s="606"/>
      <c r="C825" s="607"/>
      <c r="D825" s="608"/>
      <c r="E825" s="608"/>
      <c r="F825" s="608"/>
      <c r="G825" s="608"/>
      <c r="H825" s="609"/>
      <c r="I825" s="660"/>
      <c r="J825" s="660"/>
      <c r="K825" s="660"/>
      <c r="L825" s="660"/>
      <c r="M825" s="660"/>
      <c r="N825" s="660"/>
      <c r="O825" s="660"/>
      <c r="P825" s="660"/>
      <c r="Q825" s="660"/>
      <c r="R825" s="660"/>
      <c r="S825" s="660"/>
      <c r="T825" s="660"/>
      <c r="U825" s="660"/>
      <c r="V825" s="660"/>
      <c r="W825" s="660"/>
      <c r="X825" s="660"/>
      <c r="Y825" s="660"/>
      <c r="Z825" s="660"/>
      <c r="AA825" s="660"/>
      <c r="AB825" s="660"/>
      <c r="AC825" s="661"/>
      <c r="AD825" s="606"/>
      <c r="AE825" s="19"/>
      <c r="AF825" s="19"/>
      <c r="AG825" s="19"/>
    </row>
    <row r="826" spans="1:33" hidden="1" outlineLevel="3" x14ac:dyDescent="0.2">
      <c r="A826" s="606"/>
      <c r="B826" s="606"/>
      <c r="C826" s="607"/>
      <c r="D826" s="608"/>
      <c r="E826" s="608"/>
      <c r="F826" s="608"/>
      <c r="G826" s="608"/>
      <c r="H826" s="609"/>
      <c r="I826" s="660"/>
      <c r="J826" s="660"/>
      <c r="K826" s="660"/>
      <c r="L826" s="660"/>
      <c r="M826" s="660"/>
      <c r="N826" s="660"/>
      <c r="O826" s="660"/>
      <c r="P826" s="660"/>
      <c r="Q826" s="660"/>
      <c r="R826" s="660"/>
      <c r="S826" s="660"/>
      <c r="T826" s="660"/>
      <c r="U826" s="660"/>
      <c r="V826" s="660"/>
      <c r="W826" s="660"/>
      <c r="X826" s="660"/>
      <c r="Y826" s="660"/>
      <c r="Z826" s="660"/>
      <c r="AA826" s="660"/>
      <c r="AB826" s="660"/>
      <c r="AC826" s="661"/>
      <c r="AD826" s="606"/>
      <c r="AE826" s="19"/>
      <c r="AF826" s="19"/>
      <c r="AG826" s="19"/>
    </row>
    <row r="827" spans="1:33" hidden="1" outlineLevel="3" x14ac:dyDescent="0.2">
      <c r="A827" s="606"/>
      <c r="B827" s="606"/>
      <c r="C827" s="607"/>
      <c r="D827" s="608"/>
      <c r="E827" s="608"/>
      <c r="F827" s="608"/>
      <c r="G827" s="608"/>
      <c r="H827" s="609"/>
      <c r="I827" s="660"/>
      <c r="J827" s="660"/>
      <c r="K827" s="660"/>
      <c r="L827" s="660"/>
      <c r="M827" s="660"/>
      <c r="N827" s="660"/>
      <c r="O827" s="660"/>
      <c r="P827" s="660"/>
      <c r="Q827" s="660"/>
      <c r="R827" s="660"/>
      <c r="S827" s="660"/>
      <c r="T827" s="660"/>
      <c r="U827" s="660"/>
      <c r="V827" s="660"/>
      <c r="W827" s="660"/>
      <c r="X827" s="660"/>
      <c r="Y827" s="660"/>
      <c r="Z827" s="660"/>
      <c r="AA827" s="660"/>
      <c r="AB827" s="660"/>
      <c r="AC827" s="661"/>
      <c r="AD827" s="606"/>
      <c r="AE827" s="19"/>
      <c r="AF827" s="19"/>
      <c r="AG827" s="19"/>
    </row>
    <row r="828" spans="1:33" hidden="1" outlineLevel="3" x14ac:dyDescent="0.2">
      <c r="A828" s="606"/>
      <c r="B828" s="606"/>
      <c r="C828" s="607"/>
      <c r="D828" s="608"/>
      <c r="E828" s="608"/>
      <c r="F828" s="608"/>
      <c r="G828" s="608"/>
      <c r="H828" s="609"/>
      <c r="I828" s="660"/>
      <c r="J828" s="660"/>
      <c r="K828" s="660"/>
      <c r="L828" s="660"/>
      <c r="M828" s="660"/>
      <c r="N828" s="660"/>
      <c r="O828" s="660"/>
      <c r="P828" s="660"/>
      <c r="Q828" s="660"/>
      <c r="R828" s="660"/>
      <c r="S828" s="660"/>
      <c r="T828" s="660"/>
      <c r="U828" s="660"/>
      <c r="V828" s="660"/>
      <c r="W828" s="660"/>
      <c r="X828" s="660"/>
      <c r="Y828" s="660"/>
      <c r="Z828" s="660"/>
      <c r="AA828" s="660"/>
      <c r="AB828" s="660"/>
      <c r="AC828" s="661"/>
      <c r="AD828" s="606"/>
      <c r="AE828" s="19"/>
      <c r="AF828" s="19"/>
      <c r="AG828" s="19"/>
    </row>
    <row r="829" spans="1:33" hidden="1" outlineLevel="3" x14ac:dyDescent="0.2">
      <c r="A829" s="606"/>
      <c r="B829" s="606"/>
      <c r="C829" s="607"/>
      <c r="D829" s="608"/>
      <c r="E829" s="608"/>
      <c r="F829" s="608"/>
      <c r="G829" s="608"/>
      <c r="H829" s="609"/>
      <c r="I829" s="660"/>
      <c r="J829" s="660"/>
      <c r="K829" s="660"/>
      <c r="L829" s="660"/>
      <c r="M829" s="660"/>
      <c r="N829" s="660"/>
      <c r="O829" s="660"/>
      <c r="P829" s="660"/>
      <c r="Q829" s="660"/>
      <c r="R829" s="660"/>
      <c r="S829" s="660"/>
      <c r="T829" s="660"/>
      <c r="U829" s="660"/>
      <c r="V829" s="660"/>
      <c r="W829" s="660"/>
      <c r="X829" s="660"/>
      <c r="Y829" s="660"/>
      <c r="Z829" s="660"/>
      <c r="AA829" s="660"/>
      <c r="AB829" s="660"/>
      <c r="AC829" s="661"/>
      <c r="AD829" s="606"/>
      <c r="AE829" s="19"/>
      <c r="AF829" s="19"/>
      <c r="AG829" s="19"/>
    </row>
    <row r="830" spans="1:33" hidden="1" outlineLevel="3" x14ac:dyDescent="0.2">
      <c r="A830" s="606"/>
      <c r="B830" s="606"/>
      <c r="C830" s="607"/>
      <c r="D830" s="608"/>
      <c r="E830" s="608"/>
      <c r="F830" s="608"/>
      <c r="G830" s="608"/>
      <c r="H830" s="609"/>
      <c r="I830" s="660"/>
      <c r="J830" s="660"/>
      <c r="K830" s="660"/>
      <c r="L830" s="660"/>
      <c r="M830" s="660"/>
      <c r="N830" s="660"/>
      <c r="O830" s="660"/>
      <c r="P830" s="660"/>
      <c r="Q830" s="660"/>
      <c r="R830" s="660"/>
      <c r="S830" s="660"/>
      <c r="T830" s="660"/>
      <c r="U830" s="660"/>
      <c r="V830" s="660"/>
      <c r="W830" s="660"/>
      <c r="X830" s="660"/>
      <c r="Y830" s="660"/>
      <c r="Z830" s="660"/>
      <c r="AA830" s="660"/>
      <c r="AB830" s="660"/>
      <c r="AC830" s="661"/>
      <c r="AD830" s="606"/>
      <c r="AE830" s="19"/>
      <c r="AF830" s="19"/>
      <c r="AG830" s="19"/>
    </row>
    <row r="831" spans="1:33" hidden="1" outlineLevel="3" x14ac:dyDescent="0.2">
      <c r="A831" s="606"/>
      <c r="B831" s="606"/>
      <c r="C831" s="607"/>
      <c r="D831" s="608"/>
      <c r="E831" s="608"/>
      <c r="F831" s="608"/>
      <c r="G831" s="608"/>
      <c r="H831" s="609"/>
      <c r="I831" s="660"/>
      <c r="J831" s="660"/>
      <c r="K831" s="660"/>
      <c r="L831" s="660"/>
      <c r="M831" s="660"/>
      <c r="N831" s="660"/>
      <c r="O831" s="660"/>
      <c r="P831" s="660"/>
      <c r="Q831" s="660"/>
      <c r="R831" s="660"/>
      <c r="S831" s="660"/>
      <c r="T831" s="660"/>
      <c r="U831" s="660"/>
      <c r="V831" s="660"/>
      <c r="W831" s="660"/>
      <c r="X831" s="660"/>
      <c r="Y831" s="660"/>
      <c r="Z831" s="660"/>
      <c r="AA831" s="660"/>
      <c r="AB831" s="660"/>
      <c r="AC831" s="661"/>
      <c r="AD831" s="606"/>
      <c r="AE831" s="19"/>
      <c r="AF831" s="19"/>
      <c r="AG831" s="19"/>
    </row>
    <row r="832" spans="1:33" hidden="1" outlineLevel="3" x14ac:dyDescent="0.2">
      <c r="A832" s="606"/>
      <c r="B832" s="606"/>
      <c r="C832" s="607"/>
      <c r="D832" s="608"/>
      <c r="E832" s="608"/>
      <c r="F832" s="608"/>
      <c r="G832" s="608"/>
      <c r="H832" s="609"/>
      <c r="I832" s="660"/>
      <c r="J832" s="660"/>
      <c r="K832" s="660"/>
      <c r="L832" s="660"/>
      <c r="M832" s="660"/>
      <c r="N832" s="660"/>
      <c r="O832" s="660"/>
      <c r="P832" s="660"/>
      <c r="Q832" s="660"/>
      <c r="R832" s="660"/>
      <c r="S832" s="660"/>
      <c r="T832" s="660"/>
      <c r="U832" s="660"/>
      <c r="V832" s="660"/>
      <c r="W832" s="660"/>
      <c r="X832" s="660"/>
      <c r="Y832" s="660"/>
      <c r="Z832" s="660"/>
      <c r="AA832" s="660"/>
      <c r="AB832" s="660"/>
      <c r="AC832" s="661"/>
      <c r="AD832" s="606"/>
      <c r="AE832" s="19"/>
      <c r="AF832" s="19"/>
      <c r="AG832" s="19"/>
    </row>
    <row r="833" spans="1:33" hidden="1" outlineLevel="3" x14ac:dyDescent="0.2">
      <c r="A833" s="606"/>
      <c r="B833" s="606"/>
      <c r="C833" s="607"/>
      <c r="D833" s="608"/>
      <c r="E833" s="608"/>
      <c r="F833" s="608"/>
      <c r="G833" s="608"/>
      <c r="H833" s="609"/>
      <c r="I833" s="660"/>
      <c r="J833" s="660"/>
      <c r="K833" s="660"/>
      <c r="L833" s="660"/>
      <c r="M833" s="660"/>
      <c r="N833" s="660"/>
      <c r="O833" s="660"/>
      <c r="P833" s="660"/>
      <c r="Q833" s="660"/>
      <c r="R833" s="660"/>
      <c r="S833" s="660"/>
      <c r="T833" s="660"/>
      <c r="U833" s="660"/>
      <c r="V833" s="660"/>
      <c r="W833" s="660"/>
      <c r="X833" s="660"/>
      <c r="Y833" s="660"/>
      <c r="Z833" s="660"/>
      <c r="AA833" s="660"/>
      <c r="AB833" s="660"/>
      <c r="AC833" s="661"/>
      <c r="AD833" s="606"/>
      <c r="AE833" s="19"/>
      <c r="AF833" s="19"/>
      <c r="AG833" s="19"/>
    </row>
    <row r="834" spans="1:33" hidden="1" outlineLevel="3" x14ac:dyDescent="0.2">
      <c r="A834" s="606"/>
      <c r="B834" s="606"/>
      <c r="C834" s="607"/>
      <c r="D834" s="608"/>
      <c r="E834" s="608"/>
      <c r="F834" s="608"/>
      <c r="G834" s="608"/>
      <c r="H834" s="609"/>
      <c r="I834" s="660"/>
      <c r="J834" s="660"/>
      <c r="K834" s="660"/>
      <c r="L834" s="660"/>
      <c r="M834" s="660"/>
      <c r="N834" s="660"/>
      <c r="O834" s="660"/>
      <c r="P834" s="660"/>
      <c r="Q834" s="660"/>
      <c r="R834" s="660"/>
      <c r="S834" s="660"/>
      <c r="T834" s="660"/>
      <c r="U834" s="660"/>
      <c r="V834" s="660"/>
      <c r="W834" s="660"/>
      <c r="X834" s="660"/>
      <c r="Y834" s="660"/>
      <c r="Z834" s="660"/>
      <c r="AA834" s="660"/>
      <c r="AB834" s="660"/>
      <c r="AC834" s="661"/>
      <c r="AD834" s="606"/>
      <c r="AE834" s="19"/>
      <c r="AF834" s="19"/>
      <c r="AG834" s="19"/>
    </row>
    <row r="835" spans="1:33" hidden="1" outlineLevel="3" x14ac:dyDescent="0.2">
      <c r="A835" s="606"/>
      <c r="B835" s="606"/>
      <c r="C835" s="607"/>
      <c r="D835" s="608"/>
      <c r="E835" s="608"/>
      <c r="F835" s="608"/>
      <c r="G835" s="608"/>
      <c r="H835" s="609"/>
      <c r="I835" s="660"/>
      <c r="J835" s="660"/>
      <c r="K835" s="660"/>
      <c r="L835" s="660"/>
      <c r="M835" s="660"/>
      <c r="N835" s="660"/>
      <c r="O835" s="660"/>
      <c r="P835" s="660"/>
      <c r="Q835" s="660"/>
      <c r="R835" s="660"/>
      <c r="S835" s="660"/>
      <c r="T835" s="660"/>
      <c r="U835" s="660"/>
      <c r="V835" s="660"/>
      <c r="W835" s="660"/>
      <c r="X835" s="660"/>
      <c r="Y835" s="660"/>
      <c r="Z835" s="660"/>
      <c r="AA835" s="660"/>
      <c r="AB835" s="660"/>
      <c r="AC835" s="661"/>
      <c r="AD835" s="606"/>
      <c r="AE835" s="19"/>
      <c r="AF835" s="19"/>
      <c r="AG835" s="19"/>
    </row>
    <row r="836" spans="1:33" hidden="1" outlineLevel="3" x14ac:dyDescent="0.2">
      <c r="A836" s="606"/>
      <c r="B836" s="606"/>
      <c r="C836" s="607"/>
      <c r="D836" s="608"/>
      <c r="E836" s="608"/>
      <c r="F836" s="608"/>
      <c r="G836" s="608"/>
      <c r="H836" s="609"/>
      <c r="I836" s="660"/>
      <c r="J836" s="660"/>
      <c r="K836" s="660"/>
      <c r="L836" s="660"/>
      <c r="M836" s="660"/>
      <c r="N836" s="660"/>
      <c r="O836" s="660"/>
      <c r="P836" s="660"/>
      <c r="Q836" s="660"/>
      <c r="R836" s="660"/>
      <c r="S836" s="660"/>
      <c r="T836" s="660"/>
      <c r="U836" s="660"/>
      <c r="V836" s="660"/>
      <c r="W836" s="660"/>
      <c r="X836" s="660"/>
      <c r="Y836" s="660"/>
      <c r="Z836" s="660"/>
      <c r="AA836" s="660"/>
      <c r="AB836" s="660"/>
      <c r="AC836" s="661"/>
      <c r="AD836" s="606"/>
      <c r="AE836" s="19"/>
      <c r="AF836" s="19"/>
      <c r="AG836" s="19"/>
    </row>
    <row r="837" spans="1:33" hidden="1" outlineLevel="3" x14ac:dyDescent="0.2">
      <c r="A837" s="606"/>
      <c r="B837" s="606"/>
      <c r="C837" s="607"/>
      <c r="D837" s="608"/>
      <c r="E837" s="608"/>
      <c r="F837" s="608"/>
      <c r="G837" s="608"/>
      <c r="H837" s="609"/>
      <c r="I837" s="660"/>
      <c r="J837" s="660"/>
      <c r="K837" s="660"/>
      <c r="L837" s="660"/>
      <c r="M837" s="660"/>
      <c r="N837" s="660"/>
      <c r="O837" s="660"/>
      <c r="P837" s="660"/>
      <c r="Q837" s="660"/>
      <c r="R837" s="660"/>
      <c r="S837" s="660"/>
      <c r="T837" s="660"/>
      <c r="U837" s="660"/>
      <c r="V837" s="660"/>
      <c r="W837" s="660"/>
      <c r="X837" s="660"/>
      <c r="Y837" s="660"/>
      <c r="Z837" s="660"/>
      <c r="AA837" s="660"/>
      <c r="AB837" s="660"/>
      <c r="AC837" s="661"/>
      <c r="AD837" s="606"/>
      <c r="AE837" s="19"/>
      <c r="AF837" s="19"/>
      <c r="AG837" s="19"/>
    </row>
    <row r="838" spans="1:33" hidden="1" outlineLevel="3" x14ac:dyDescent="0.2">
      <c r="A838" s="606"/>
      <c r="B838" s="606"/>
      <c r="C838" s="607"/>
      <c r="D838" s="608"/>
      <c r="E838" s="608"/>
      <c r="F838" s="608"/>
      <c r="G838" s="608"/>
      <c r="H838" s="609"/>
      <c r="I838" s="660"/>
      <c r="J838" s="660"/>
      <c r="K838" s="660"/>
      <c r="L838" s="660"/>
      <c r="M838" s="660"/>
      <c r="N838" s="660"/>
      <c r="O838" s="660"/>
      <c r="P838" s="660"/>
      <c r="Q838" s="660"/>
      <c r="R838" s="660"/>
      <c r="S838" s="660"/>
      <c r="T838" s="660"/>
      <c r="U838" s="660"/>
      <c r="V838" s="660"/>
      <c r="W838" s="660"/>
      <c r="X838" s="660"/>
      <c r="Y838" s="660"/>
      <c r="Z838" s="660"/>
      <c r="AA838" s="660"/>
      <c r="AB838" s="660"/>
      <c r="AC838" s="661"/>
      <c r="AD838" s="606"/>
      <c r="AE838" s="19"/>
      <c r="AF838" s="19"/>
      <c r="AG838" s="19"/>
    </row>
    <row r="839" spans="1:33" hidden="1" outlineLevel="3" x14ac:dyDescent="0.2">
      <c r="A839" s="606"/>
      <c r="B839" s="606"/>
      <c r="C839" s="607"/>
      <c r="D839" s="608"/>
      <c r="E839" s="608"/>
      <c r="F839" s="608"/>
      <c r="G839" s="608"/>
      <c r="H839" s="609"/>
      <c r="I839" s="660"/>
      <c r="J839" s="660"/>
      <c r="K839" s="660"/>
      <c r="L839" s="660"/>
      <c r="M839" s="660"/>
      <c r="N839" s="660"/>
      <c r="O839" s="660"/>
      <c r="P839" s="660"/>
      <c r="Q839" s="660"/>
      <c r="R839" s="660"/>
      <c r="S839" s="660"/>
      <c r="T839" s="660"/>
      <c r="U839" s="660"/>
      <c r="V839" s="660"/>
      <c r="W839" s="660"/>
      <c r="X839" s="660"/>
      <c r="Y839" s="660"/>
      <c r="Z839" s="660"/>
      <c r="AA839" s="660"/>
      <c r="AB839" s="660"/>
      <c r="AC839" s="661"/>
      <c r="AD839" s="606"/>
      <c r="AE839" s="19"/>
      <c r="AF839" s="19"/>
      <c r="AG839" s="19"/>
    </row>
    <row r="840" spans="1:33" hidden="1" outlineLevel="3" x14ac:dyDescent="0.2">
      <c r="A840" s="606"/>
      <c r="B840" s="606"/>
      <c r="C840" s="607"/>
      <c r="D840" s="608"/>
      <c r="E840" s="608"/>
      <c r="F840" s="608"/>
      <c r="G840" s="608"/>
      <c r="H840" s="609"/>
      <c r="I840" s="660"/>
      <c r="J840" s="660"/>
      <c r="K840" s="660"/>
      <c r="L840" s="660"/>
      <c r="M840" s="660"/>
      <c r="N840" s="660"/>
      <c r="O840" s="660"/>
      <c r="P840" s="660"/>
      <c r="Q840" s="660"/>
      <c r="R840" s="660"/>
      <c r="S840" s="660"/>
      <c r="T840" s="660"/>
      <c r="U840" s="660"/>
      <c r="V840" s="660"/>
      <c r="W840" s="660"/>
      <c r="X840" s="660"/>
      <c r="Y840" s="660"/>
      <c r="Z840" s="660"/>
      <c r="AA840" s="660"/>
      <c r="AB840" s="660"/>
      <c r="AC840" s="661"/>
      <c r="AD840" s="606"/>
      <c r="AE840" s="19"/>
      <c r="AF840" s="19"/>
      <c r="AG840" s="19"/>
    </row>
    <row r="841" spans="1:33" hidden="1" outlineLevel="3" x14ac:dyDescent="0.2">
      <c r="A841" s="606"/>
      <c r="B841" s="606"/>
      <c r="C841" s="607"/>
      <c r="D841" s="608"/>
      <c r="E841" s="608"/>
      <c r="F841" s="608"/>
      <c r="G841" s="608"/>
      <c r="H841" s="609"/>
      <c r="I841" s="660"/>
      <c r="J841" s="660"/>
      <c r="K841" s="660"/>
      <c r="L841" s="660"/>
      <c r="M841" s="660"/>
      <c r="N841" s="660"/>
      <c r="O841" s="660"/>
      <c r="P841" s="660"/>
      <c r="Q841" s="660"/>
      <c r="R841" s="660"/>
      <c r="S841" s="660"/>
      <c r="T841" s="660"/>
      <c r="U841" s="660"/>
      <c r="V841" s="660"/>
      <c r="W841" s="660"/>
      <c r="X841" s="660"/>
      <c r="Y841" s="660"/>
      <c r="Z841" s="660"/>
      <c r="AA841" s="660"/>
      <c r="AB841" s="660"/>
      <c r="AC841" s="661"/>
      <c r="AD841" s="606"/>
      <c r="AE841" s="19"/>
      <c r="AF841" s="19"/>
      <c r="AG841" s="19"/>
    </row>
    <row r="842" spans="1:33" hidden="1" outlineLevel="3" x14ac:dyDescent="0.2">
      <c r="A842" s="606"/>
      <c r="B842" s="606"/>
      <c r="C842" s="607"/>
      <c r="D842" s="608"/>
      <c r="E842" s="608"/>
      <c r="F842" s="608"/>
      <c r="G842" s="608"/>
      <c r="H842" s="609"/>
      <c r="I842" s="660"/>
      <c r="J842" s="660"/>
      <c r="K842" s="660"/>
      <c r="L842" s="660"/>
      <c r="M842" s="660"/>
      <c r="N842" s="660"/>
      <c r="O842" s="660"/>
      <c r="P842" s="660"/>
      <c r="Q842" s="660"/>
      <c r="R842" s="660"/>
      <c r="S842" s="660"/>
      <c r="T842" s="660"/>
      <c r="U842" s="660"/>
      <c r="V842" s="660"/>
      <c r="W842" s="660"/>
      <c r="X842" s="660"/>
      <c r="Y842" s="660"/>
      <c r="Z842" s="660"/>
      <c r="AA842" s="660"/>
      <c r="AB842" s="660"/>
      <c r="AC842" s="661"/>
      <c r="AD842" s="606"/>
      <c r="AE842" s="19"/>
      <c r="AF842" s="19"/>
      <c r="AG842" s="19"/>
    </row>
    <row r="843" spans="1:33" hidden="1" outlineLevel="3" x14ac:dyDescent="0.2">
      <c r="A843" s="606"/>
      <c r="B843" s="606"/>
      <c r="C843" s="607"/>
      <c r="D843" s="608"/>
      <c r="E843" s="608"/>
      <c r="F843" s="608"/>
      <c r="G843" s="608"/>
      <c r="H843" s="609"/>
      <c r="I843" s="660"/>
      <c r="J843" s="660"/>
      <c r="K843" s="660"/>
      <c r="L843" s="660"/>
      <c r="M843" s="660"/>
      <c r="N843" s="660"/>
      <c r="O843" s="660"/>
      <c r="P843" s="660"/>
      <c r="Q843" s="660"/>
      <c r="R843" s="660"/>
      <c r="S843" s="660"/>
      <c r="T843" s="660"/>
      <c r="U843" s="660"/>
      <c r="V843" s="660"/>
      <c r="W843" s="660"/>
      <c r="X843" s="660"/>
      <c r="Y843" s="660"/>
      <c r="Z843" s="660"/>
      <c r="AA843" s="660"/>
      <c r="AB843" s="660"/>
      <c r="AC843" s="661"/>
      <c r="AD843" s="606"/>
      <c r="AE843" s="19"/>
      <c r="AF843" s="19"/>
      <c r="AG843" s="19"/>
    </row>
    <row r="844" spans="1:33" hidden="1" outlineLevel="3" x14ac:dyDescent="0.2">
      <c r="A844" s="606"/>
      <c r="B844" s="606"/>
      <c r="C844" s="607"/>
      <c r="D844" s="608"/>
      <c r="E844" s="608"/>
      <c r="F844" s="608"/>
      <c r="G844" s="608"/>
      <c r="H844" s="609"/>
      <c r="I844" s="660"/>
      <c r="J844" s="660"/>
      <c r="K844" s="660"/>
      <c r="L844" s="660"/>
      <c r="M844" s="660"/>
      <c r="N844" s="660"/>
      <c r="O844" s="660"/>
      <c r="P844" s="660"/>
      <c r="Q844" s="660"/>
      <c r="R844" s="660"/>
      <c r="S844" s="660"/>
      <c r="T844" s="660"/>
      <c r="U844" s="660"/>
      <c r="V844" s="660"/>
      <c r="W844" s="660"/>
      <c r="X844" s="660"/>
      <c r="Y844" s="660"/>
      <c r="Z844" s="660"/>
      <c r="AA844" s="660"/>
      <c r="AB844" s="660"/>
      <c r="AC844" s="661"/>
      <c r="AD844" s="606"/>
      <c r="AE844" s="19"/>
      <c r="AF844" s="19"/>
      <c r="AG844" s="19"/>
    </row>
    <row r="845" spans="1:33" hidden="1" outlineLevel="3" x14ac:dyDescent="0.2">
      <c r="A845" s="606"/>
      <c r="B845" s="606"/>
      <c r="C845" s="607"/>
      <c r="D845" s="608"/>
      <c r="E845" s="608"/>
      <c r="F845" s="608"/>
      <c r="G845" s="608"/>
      <c r="H845" s="609"/>
      <c r="I845" s="660"/>
      <c r="J845" s="660"/>
      <c r="K845" s="660"/>
      <c r="L845" s="660"/>
      <c r="M845" s="660"/>
      <c r="N845" s="660"/>
      <c r="O845" s="660"/>
      <c r="P845" s="660"/>
      <c r="Q845" s="660"/>
      <c r="R845" s="660"/>
      <c r="S845" s="660"/>
      <c r="T845" s="660"/>
      <c r="U845" s="660"/>
      <c r="V845" s="660"/>
      <c r="W845" s="660"/>
      <c r="X845" s="660"/>
      <c r="Y845" s="660"/>
      <c r="Z845" s="660"/>
      <c r="AA845" s="660"/>
      <c r="AB845" s="660"/>
      <c r="AC845" s="661"/>
      <c r="AD845" s="606"/>
      <c r="AE845" s="19"/>
      <c r="AF845" s="19"/>
      <c r="AG845" s="19"/>
    </row>
    <row r="846" spans="1:33" hidden="1" outlineLevel="3" x14ac:dyDescent="0.2">
      <c r="A846" s="606"/>
      <c r="B846" s="606"/>
      <c r="C846" s="607"/>
      <c r="D846" s="608"/>
      <c r="E846" s="608"/>
      <c r="F846" s="608"/>
      <c r="G846" s="608"/>
      <c r="H846" s="609"/>
      <c r="I846" s="660"/>
      <c r="J846" s="660"/>
      <c r="K846" s="660"/>
      <c r="L846" s="660"/>
      <c r="M846" s="660"/>
      <c r="N846" s="660"/>
      <c r="O846" s="660"/>
      <c r="P846" s="660"/>
      <c r="Q846" s="660"/>
      <c r="R846" s="660"/>
      <c r="S846" s="660"/>
      <c r="T846" s="660"/>
      <c r="U846" s="660"/>
      <c r="V846" s="660"/>
      <c r="W846" s="660"/>
      <c r="X846" s="660"/>
      <c r="Y846" s="660"/>
      <c r="Z846" s="660"/>
      <c r="AA846" s="660"/>
      <c r="AB846" s="660"/>
      <c r="AC846" s="661"/>
      <c r="AD846" s="606"/>
      <c r="AE846" s="19"/>
      <c r="AF846" s="19"/>
      <c r="AG846" s="19"/>
    </row>
    <row r="847" spans="1:33" hidden="1" outlineLevel="3" x14ac:dyDescent="0.2">
      <c r="A847" s="606"/>
      <c r="B847" s="606"/>
      <c r="C847" s="607"/>
      <c r="D847" s="608"/>
      <c r="E847" s="608"/>
      <c r="F847" s="608"/>
      <c r="G847" s="608"/>
      <c r="H847" s="609"/>
      <c r="I847" s="660"/>
      <c r="J847" s="660"/>
      <c r="K847" s="660"/>
      <c r="L847" s="660"/>
      <c r="M847" s="660"/>
      <c r="N847" s="660"/>
      <c r="O847" s="660"/>
      <c r="P847" s="660"/>
      <c r="Q847" s="660"/>
      <c r="R847" s="660"/>
      <c r="S847" s="660"/>
      <c r="T847" s="660"/>
      <c r="U847" s="660"/>
      <c r="V847" s="660"/>
      <c r="W847" s="660"/>
      <c r="X847" s="660"/>
      <c r="Y847" s="660"/>
      <c r="Z847" s="660"/>
      <c r="AA847" s="660"/>
      <c r="AB847" s="660"/>
      <c r="AC847" s="661"/>
      <c r="AD847" s="606"/>
      <c r="AE847" s="19"/>
      <c r="AF847" s="19"/>
      <c r="AG847" s="19"/>
    </row>
    <row r="848" spans="1:33" hidden="1" outlineLevel="3" x14ac:dyDescent="0.2">
      <c r="A848" s="606"/>
      <c r="B848" s="606"/>
      <c r="C848" s="607"/>
      <c r="D848" s="608"/>
      <c r="E848" s="608"/>
      <c r="F848" s="608"/>
      <c r="G848" s="608"/>
      <c r="H848" s="609"/>
      <c r="I848" s="660"/>
      <c r="J848" s="660"/>
      <c r="K848" s="660"/>
      <c r="L848" s="660"/>
      <c r="M848" s="660"/>
      <c r="N848" s="660"/>
      <c r="O848" s="660"/>
      <c r="P848" s="660"/>
      <c r="Q848" s="660"/>
      <c r="R848" s="660"/>
      <c r="S848" s="660"/>
      <c r="T848" s="660"/>
      <c r="U848" s="660"/>
      <c r="V848" s="660"/>
      <c r="W848" s="660"/>
      <c r="X848" s="660"/>
      <c r="Y848" s="660"/>
      <c r="Z848" s="660"/>
      <c r="AA848" s="660"/>
      <c r="AB848" s="660"/>
      <c r="AC848" s="661"/>
      <c r="AD848" s="606"/>
      <c r="AE848" s="19"/>
      <c r="AF848" s="19"/>
      <c r="AG848" s="19"/>
    </row>
    <row r="849" spans="1:33" hidden="1" outlineLevel="3" x14ac:dyDescent="0.2">
      <c r="A849" s="606"/>
      <c r="B849" s="606"/>
      <c r="C849" s="607"/>
      <c r="D849" s="608"/>
      <c r="E849" s="608"/>
      <c r="F849" s="608"/>
      <c r="G849" s="608"/>
      <c r="H849" s="609"/>
      <c r="I849" s="660"/>
      <c r="J849" s="660"/>
      <c r="K849" s="660"/>
      <c r="L849" s="660"/>
      <c r="M849" s="660"/>
      <c r="N849" s="660"/>
      <c r="O849" s="660"/>
      <c r="P849" s="660"/>
      <c r="Q849" s="660"/>
      <c r="R849" s="660"/>
      <c r="S849" s="660"/>
      <c r="T849" s="660"/>
      <c r="U849" s="660"/>
      <c r="V849" s="660"/>
      <c r="W849" s="660"/>
      <c r="X849" s="660"/>
      <c r="Y849" s="660"/>
      <c r="Z849" s="660"/>
      <c r="AA849" s="660"/>
      <c r="AB849" s="660"/>
      <c r="AC849" s="661"/>
      <c r="AD849" s="606"/>
      <c r="AE849" s="19"/>
      <c r="AF849" s="19"/>
      <c r="AG849" s="19"/>
    </row>
    <row r="850" spans="1:33" hidden="1" outlineLevel="3" x14ac:dyDescent="0.2">
      <c r="A850" s="606"/>
      <c r="B850" s="606"/>
      <c r="C850" s="607"/>
      <c r="D850" s="608"/>
      <c r="E850" s="608"/>
      <c r="F850" s="608"/>
      <c r="G850" s="608"/>
      <c r="H850" s="609"/>
      <c r="I850" s="660"/>
      <c r="J850" s="660"/>
      <c r="K850" s="660"/>
      <c r="L850" s="660"/>
      <c r="M850" s="660"/>
      <c r="N850" s="660"/>
      <c r="O850" s="660"/>
      <c r="P850" s="660"/>
      <c r="Q850" s="660"/>
      <c r="R850" s="660"/>
      <c r="S850" s="660"/>
      <c r="T850" s="660"/>
      <c r="U850" s="660"/>
      <c r="V850" s="660"/>
      <c r="W850" s="660"/>
      <c r="X850" s="660"/>
      <c r="Y850" s="660"/>
      <c r="Z850" s="660"/>
      <c r="AA850" s="660"/>
      <c r="AB850" s="660"/>
      <c r="AC850" s="661"/>
      <c r="AD850" s="606"/>
      <c r="AE850" s="19"/>
      <c r="AF850" s="19"/>
      <c r="AG850" s="19"/>
    </row>
    <row r="851" spans="1:33" hidden="1" outlineLevel="3" x14ac:dyDescent="0.2">
      <c r="A851" s="606"/>
      <c r="B851" s="606"/>
      <c r="C851" s="607"/>
      <c r="D851" s="608"/>
      <c r="E851" s="608"/>
      <c r="F851" s="608"/>
      <c r="G851" s="608"/>
      <c r="H851" s="609"/>
      <c r="I851" s="660"/>
      <c r="J851" s="660"/>
      <c r="K851" s="660"/>
      <c r="L851" s="660"/>
      <c r="M851" s="660"/>
      <c r="N851" s="660"/>
      <c r="O851" s="660"/>
      <c r="P851" s="660"/>
      <c r="Q851" s="660"/>
      <c r="R851" s="660"/>
      <c r="S851" s="660"/>
      <c r="T851" s="660"/>
      <c r="U851" s="660"/>
      <c r="V851" s="660"/>
      <c r="W851" s="660"/>
      <c r="X851" s="660"/>
      <c r="Y851" s="660"/>
      <c r="Z851" s="660"/>
      <c r="AA851" s="660"/>
      <c r="AB851" s="660"/>
      <c r="AC851" s="661"/>
      <c r="AD851" s="606"/>
      <c r="AE851" s="19"/>
      <c r="AF851" s="19"/>
      <c r="AG851" s="19"/>
    </row>
    <row r="852" spans="1:33" hidden="1" outlineLevel="3" x14ac:dyDescent="0.2">
      <c r="A852" s="606"/>
      <c r="B852" s="606"/>
      <c r="C852" s="607"/>
      <c r="D852" s="608"/>
      <c r="E852" s="608"/>
      <c r="F852" s="608"/>
      <c r="G852" s="608"/>
      <c r="H852" s="609"/>
      <c r="I852" s="660"/>
      <c r="J852" s="660"/>
      <c r="K852" s="660"/>
      <c r="L852" s="660"/>
      <c r="M852" s="660"/>
      <c r="N852" s="660"/>
      <c r="O852" s="660"/>
      <c r="P852" s="660"/>
      <c r="Q852" s="660"/>
      <c r="R852" s="660"/>
      <c r="S852" s="660"/>
      <c r="T852" s="660"/>
      <c r="U852" s="660"/>
      <c r="V852" s="660"/>
      <c r="W852" s="660"/>
      <c r="X852" s="660"/>
      <c r="Y852" s="660"/>
      <c r="Z852" s="660"/>
      <c r="AA852" s="660"/>
      <c r="AB852" s="660"/>
      <c r="AC852" s="661"/>
      <c r="AD852" s="606"/>
      <c r="AE852" s="19"/>
      <c r="AF852" s="19"/>
      <c r="AG852" s="19"/>
    </row>
    <row r="853" spans="1:33" hidden="1" outlineLevel="3" x14ac:dyDescent="0.2">
      <c r="A853" s="606"/>
      <c r="B853" s="606"/>
      <c r="C853" s="607"/>
      <c r="D853" s="608"/>
      <c r="E853" s="608"/>
      <c r="F853" s="608"/>
      <c r="G853" s="608"/>
      <c r="H853" s="609"/>
      <c r="I853" s="660"/>
      <c r="J853" s="660"/>
      <c r="K853" s="660"/>
      <c r="L853" s="660"/>
      <c r="M853" s="660"/>
      <c r="N853" s="660"/>
      <c r="O853" s="660"/>
      <c r="P853" s="660"/>
      <c r="Q853" s="660"/>
      <c r="R853" s="660"/>
      <c r="S853" s="660"/>
      <c r="T853" s="660"/>
      <c r="U853" s="660"/>
      <c r="V853" s="660"/>
      <c r="W853" s="660"/>
      <c r="X853" s="660"/>
      <c r="Y853" s="660"/>
      <c r="Z853" s="660"/>
      <c r="AA853" s="660"/>
      <c r="AB853" s="660"/>
      <c r="AC853" s="661"/>
      <c r="AD853" s="606"/>
      <c r="AE853" s="19"/>
      <c r="AF853" s="19"/>
      <c r="AG853" s="19"/>
    </row>
    <row r="854" spans="1:33" hidden="1" outlineLevel="3" x14ac:dyDescent="0.2">
      <c r="A854" s="606"/>
      <c r="B854" s="606"/>
      <c r="C854" s="607"/>
      <c r="D854" s="608"/>
      <c r="E854" s="608"/>
      <c r="F854" s="608"/>
      <c r="G854" s="608"/>
      <c r="H854" s="609"/>
      <c r="I854" s="660"/>
      <c r="J854" s="660"/>
      <c r="K854" s="660"/>
      <c r="L854" s="660"/>
      <c r="M854" s="660"/>
      <c r="N854" s="660"/>
      <c r="O854" s="660"/>
      <c r="P854" s="660"/>
      <c r="Q854" s="660"/>
      <c r="R854" s="660"/>
      <c r="S854" s="660"/>
      <c r="T854" s="660"/>
      <c r="U854" s="660"/>
      <c r="V854" s="660"/>
      <c r="W854" s="660"/>
      <c r="X854" s="660"/>
      <c r="Y854" s="660"/>
      <c r="Z854" s="660"/>
      <c r="AA854" s="660"/>
      <c r="AB854" s="660"/>
      <c r="AC854" s="661"/>
      <c r="AD854" s="606"/>
      <c r="AE854" s="19"/>
      <c r="AF854" s="19"/>
      <c r="AG854" s="19"/>
    </row>
    <row r="855" spans="1:33" hidden="1" outlineLevel="3" x14ac:dyDescent="0.2">
      <c r="A855" s="606"/>
      <c r="B855" s="606"/>
      <c r="C855" s="607"/>
      <c r="D855" s="608"/>
      <c r="E855" s="608"/>
      <c r="F855" s="608"/>
      <c r="G855" s="608"/>
      <c r="H855" s="609"/>
      <c r="I855" s="660"/>
      <c r="J855" s="660"/>
      <c r="K855" s="660"/>
      <c r="L855" s="660"/>
      <c r="M855" s="660"/>
      <c r="N855" s="660"/>
      <c r="O855" s="660"/>
      <c r="P855" s="660"/>
      <c r="Q855" s="660"/>
      <c r="R855" s="660"/>
      <c r="S855" s="660"/>
      <c r="T855" s="660"/>
      <c r="U855" s="660"/>
      <c r="V855" s="660"/>
      <c r="W855" s="660"/>
      <c r="X855" s="660"/>
      <c r="Y855" s="660"/>
      <c r="Z855" s="660"/>
      <c r="AA855" s="660"/>
      <c r="AB855" s="660"/>
      <c r="AC855" s="661"/>
      <c r="AD855" s="606"/>
      <c r="AE855" s="19"/>
      <c r="AF855" s="19"/>
      <c r="AG855" s="19"/>
    </row>
    <row r="856" spans="1:33" hidden="1" outlineLevel="3" x14ac:dyDescent="0.2">
      <c r="A856" s="606"/>
      <c r="B856" s="606"/>
      <c r="C856" s="607"/>
      <c r="D856" s="608"/>
      <c r="E856" s="608"/>
      <c r="F856" s="608"/>
      <c r="G856" s="608"/>
      <c r="H856" s="609"/>
      <c r="I856" s="660"/>
      <c r="J856" s="660"/>
      <c r="K856" s="660"/>
      <c r="L856" s="660"/>
      <c r="M856" s="660"/>
      <c r="N856" s="660"/>
      <c r="O856" s="660"/>
      <c r="P856" s="660"/>
      <c r="Q856" s="660"/>
      <c r="R856" s="660"/>
      <c r="S856" s="660"/>
      <c r="T856" s="660"/>
      <c r="U856" s="660"/>
      <c r="V856" s="660"/>
      <c r="W856" s="660"/>
      <c r="X856" s="660"/>
      <c r="Y856" s="660"/>
      <c r="Z856" s="660"/>
      <c r="AA856" s="660"/>
      <c r="AB856" s="660"/>
      <c r="AC856" s="661"/>
      <c r="AD856" s="606"/>
      <c r="AE856" s="19"/>
      <c r="AF856" s="19"/>
      <c r="AG856" s="19"/>
    </row>
    <row r="857" spans="1:33" hidden="1" outlineLevel="3" x14ac:dyDescent="0.2">
      <c r="A857" s="606"/>
      <c r="B857" s="606"/>
      <c r="C857" s="607"/>
      <c r="D857" s="608"/>
      <c r="E857" s="608"/>
      <c r="F857" s="608"/>
      <c r="G857" s="608"/>
      <c r="H857" s="609"/>
      <c r="I857" s="660"/>
      <c r="J857" s="660"/>
      <c r="K857" s="660"/>
      <c r="L857" s="660"/>
      <c r="M857" s="660"/>
      <c r="N857" s="660"/>
      <c r="O857" s="660"/>
      <c r="P857" s="660"/>
      <c r="Q857" s="660"/>
      <c r="R857" s="660"/>
      <c r="S857" s="660"/>
      <c r="T857" s="660"/>
      <c r="U857" s="660"/>
      <c r="V857" s="660"/>
      <c r="W857" s="660"/>
      <c r="X857" s="660"/>
      <c r="Y857" s="660"/>
      <c r="Z857" s="660"/>
      <c r="AA857" s="660"/>
      <c r="AB857" s="660"/>
      <c r="AC857" s="661"/>
      <c r="AD857" s="606"/>
      <c r="AE857" s="19"/>
      <c r="AF857" s="19"/>
      <c r="AG857" s="19"/>
    </row>
    <row r="858" spans="1:33" hidden="1" outlineLevel="3" x14ac:dyDescent="0.2">
      <c r="A858" s="606"/>
      <c r="B858" s="606"/>
      <c r="C858" s="607"/>
      <c r="D858" s="608"/>
      <c r="E858" s="608"/>
      <c r="F858" s="608"/>
      <c r="G858" s="608"/>
      <c r="H858" s="609"/>
      <c r="I858" s="660"/>
      <c r="J858" s="660"/>
      <c r="K858" s="660"/>
      <c r="L858" s="660"/>
      <c r="M858" s="660"/>
      <c r="N858" s="660"/>
      <c r="O858" s="660"/>
      <c r="P858" s="660"/>
      <c r="Q858" s="660"/>
      <c r="R858" s="660"/>
      <c r="S858" s="660"/>
      <c r="T858" s="660"/>
      <c r="U858" s="660"/>
      <c r="V858" s="660"/>
      <c r="W858" s="660"/>
      <c r="X858" s="660"/>
      <c r="Y858" s="660"/>
      <c r="Z858" s="660"/>
      <c r="AA858" s="660"/>
      <c r="AB858" s="660"/>
      <c r="AC858" s="661"/>
      <c r="AD858" s="606"/>
      <c r="AE858" s="19"/>
      <c r="AF858" s="19"/>
      <c r="AG858" s="19"/>
    </row>
    <row r="859" spans="1:33" hidden="1" outlineLevel="3" x14ac:dyDescent="0.2">
      <c r="A859" s="606"/>
      <c r="B859" s="606"/>
      <c r="C859" s="607"/>
      <c r="D859" s="608"/>
      <c r="E859" s="608"/>
      <c r="F859" s="608"/>
      <c r="G859" s="608"/>
      <c r="H859" s="609"/>
      <c r="I859" s="660"/>
      <c r="J859" s="660"/>
      <c r="K859" s="660"/>
      <c r="L859" s="660"/>
      <c r="M859" s="660"/>
      <c r="N859" s="660"/>
      <c r="O859" s="660"/>
      <c r="P859" s="660"/>
      <c r="Q859" s="660"/>
      <c r="R859" s="660"/>
      <c r="S859" s="660"/>
      <c r="T859" s="660"/>
      <c r="U859" s="660"/>
      <c r="V859" s="660"/>
      <c r="W859" s="660"/>
      <c r="X859" s="660"/>
      <c r="Y859" s="660"/>
      <c r="Z859" s="660"/>
      <c r="AA859" s="660"/>
      <c r="AB859" s="660"/>
      <c r="AC859" s="661"/>
      <c r="AD859" s="606"/>
      <c r="AE859" s="19"/>
      <c r="AF859" s="19"/>
      <c r="AG859" s="19"/>
    </row>
    <row r="860" spans="1:33" hidden="1" outlineLevel="3" x14ac:dyDescent="0.2">
      <c r="A860" s="606"/>
      <c r="B860" s="606"/>
      <c r="C860" s="607"/>
      <c r="D860" s="608"/>
      <c r="E860" s="608"/>
      <c r="F860" s="608"/>
      <c r="G860" s="608"/>
      <c r="H860" s="609"/>
      <c r="I860" s="660"/>
      <c r="J860" s="660"/>
      <c r="K860" s="660"/>
      <c r="L860" s="660"/>
      <c r="M860" s="660"/>
      <c r="N860" s="660"/>
      <c r="O860" s="660"/>
      <c r="P860" s="660"/>
      <c r="Q860" s="660"/>
      <c r="R860" s="660"/>
      <c r="S860" s="660"/>
      <c r="T860" s="660"/>
      <c r="U860" s="660"/>
      <c r="V860" s="660"/>
      <c r="W860" s="660"/>
      <c r="X860" s="660"/>
      <c r="Y860" s="660"/>
      <c r="Z860" s="660"/>
      <c r="AA860" s="660"/>
      <c r="AB860" s="660"/>
      <c r="AC860" s="661"/>
      <c r="AD860" s="606"/>
      <c r="AE860" s="19"/>
      <c r="AF860" s="19"/>
      <c r="AG860" s="19"/>
    </row>
    <row r="861" spans="1:33" hidden="1" outlineLevel="3" x14ac:dyDescent="0.2">
      <c r="A861" s="606"/>
      <c r="B861" s="606"/>
      <c r="C861" s="607"/>
      <c r="D861" s="608"/>
      <c r="E861" s="608"/>
      <c r="F861" s="608"/>
      <c r="G861" s="608"/>
      <c r="H861" s="609"/>
      <c r="I861" s="660"/>
      <c r="J861" s="660"/>
      <c r="K861" s="660"/>
      <c r="L861" s="660"/>
      <c r="M861" s="660"/>
      <c r="N861" s="660"/>
      <c r="O861" s="660"/>
      <c r="P861" s="660"/>
      <c r="Q861" s="660"/>
      <c r="R861" s="660"/>
      <c r="S861" s="660"/>
      <c r="T861" s="660"/>
      <c r="U861" s="660"/>
      <c r="V861" s="660"/>
      <c r="W861" s="660"/>
      <c r="X861" s="660"/>
      <c r="Y861" s="660"/>
      <c r="Z861" s="660"/>
      <c r="AA861" s="660"/>
      <c r="AB861" s="660"/>
      <c r="AC861" s="661"/>
      <c r="AD861" s="606"/>
      <c r="AE861" s="19"/>
      <c r="AF861" s="19"/>
      <c r="AG861" s="19"/>
    </row>
    <row r="862" spans="1:33" hidden="1" outlineLevel="3" x14ac:dyDescent="0.2">
      <c r="A862" s="606"/>
      <c r="B862" s="606"/>
      <c r="C862" s="607"/>
      <c r="D862" s="608"/>
      <c r="E862" s="608"/>
      <c r="F862" s="608"/>
      <c r="G862" s="608"/>
      <c r="H862" s="609"/>
      <c r="I862" s="660"/>
      <c r="J862" s="660"/>
      <c r="K862" s="660"/>
      <c r="L862" s="660"/>
      <c r="M862" s="660"/>
      <c r="N862" s="660"/>
      <c r="O862" s="660"/>
      <c r="P862" s="660"/>
      <c r="Q862" s="660"/>
      <c r="R862" s="660"/>
      <c r="S862" s="660"/>
      <c r="T862" s="660"/>
      <c r="U862" s="660"/>
      <c r="V862" s="660"/>
      <c r="W862" s="660"/>
      <c r="X862" s="660"/>
      <c r="Y862" s="660"/>
      <c r="Z862" s="660"/>
      <c r="AA862" s="660"/>
      <c r="AB862" s="660"/>
      <c r="AC862" s="661"/>
      <c r="AD862" s="606"/>
      <c r="AE862" s="19"/>
      <c r="AF862" s="19"/>
      <c r="AG862" s="19"/>
    </row>
    <row r="863" spans="1:33" hidden="1" outlineLevel="3" x14ac:dyDescent="0.2">
      <c r="A863" s="606"/>
      <c r="B863" s="606"/>
      <c r="C863" s="607"/>
      <c r="D863" s="608"/>
      <c r="E863" s="608"/>
      <c r="F863" s="608"/>
      <c r="G863" s="608"/>
      <c r="H863" s="609"/>
      <c r="I863" s="660"/>
      <c r="J863" s="660"/>
      <c r="K863" s="660"/>
      <c r="L863" s="660"/>
      <c r="M863" s="660"/>
      <c r="N863" s="660"/>
      <c r="O863" s="660"/>
      <c r="P863" s="660"/>
      <c r="Q863" s="660"/>
      <c r="R863" s="660"/>
      <c r="S863" s="660"/>
      <c r="T863" s="660"/>
      <c r="U863" s="660"/>
      <c r="V863" s="660"/>
      <c r="W863" s="660"/>
      <c r="X863" s="660"/>
      <c r="Y863" s="660"/>
      <c r="Z863" s="660"/>
      <c r="AA863" s="660"/>
      <c r="AB863" s="660"/>
      <c r="AC863" s="661"/>
      <c r="AD863" s="606"/>
      <c r="AE863" s="19"/>
      <c r="AF863" s="19"/>
      <c r="AG863" s="19"/>
    </row>
    <row r="864" spans="1:33" hidden="1" outlineLevel="3" x14ac:dyDescent="0.2">
      <c r="A864" s="606"/>
      <c r="B864" s="606"/>
      <c r="C864" s="607"/>
      <c r="D864" s="608"/>
      <c r="E864" s="608"/>
      <c r="F864" s="608"/>
      <c r="G864" s="608"/>
      <c r="H864" s="609"/>
      <c r="I864" s="660"/>
      <c r="J864" s="660"/>
      <c r="K864" s="660"/>
      <c r="L864" s="660"/>
      <c r="M864" s="660"/>
      <c r="N864" s="660"/>
      <c r="O864" s="660"/>
      <c r="P864" s="660"/>
      <c r="Q864" s="660"/>
      <c r="R864" s="660"/>
      <c r="S864" s="660"/>
      <c r="T864" s="660"/>
      <c r="U864" s="660"/>
      <c r="V864" s="660"/>
      <c r="W864" s="660"/>
      <c r="X864" s="660"/>
      <c r="Y864" s="660"/>
      <c r="Z864" s="660"/>
      <c r="AA864" s="660"/>
      <c r="AB864" s="660"/>
      <c r="AC864" s="661"/>
      <c r="AD864" s="606"/>
      <c r="AE864" s="19"/>
      <c r="AF864" s="19"/>
      <c r="AG864" s="19"/>
    </row>
    <row r="865" spans="1:33" hidden="1" outlineLevel="3" x14ac:dyDescent="0.2">
      <c r="A865" s="606"/>
      <c r="B865" s="606"/>
      <c r="C865" s="607"/>
      <c r="D865" s="608"/>
      <c r="E865" s="608"/>
      <c r="F865" s="608"/>
      <c r="G865" s="608"/>
      <c r="H865" s="609"/>
      <c r="I865" s="660"/>
      <c r="J865" s="660"/>
      <c r="K865" s="660"/>
      <c r="L865" s="660"/>
      <c r="M865" s="660"/>
      <c r="N865" s="660"/>
      <c r="O865" s="660"/>
      <c r="P865" s="660"/>
      <c r="Q865" s="660"/>
      <c r="R865" s="660"/>
      <c r="S865" s="660"/>
      <c r="T865" s="660"/>
      <c r="U865" s="660"/>
      <c r="V865" s="660"/>
      <c r="W865" s="660"/>
      <c r="X865" s="660"/>
      <c r="Y865" s="660"/>
      <c r="Z865" s="660"/>
      <c r="AA865" s="660"/>
      <c r="AB865" s="660"/>
      <c r="AC865" s="661"/>
      <c r="AD865" s="606"/>
      <c r="AE865" s="19"/>
      <c r="AF865" s="19"/>
      <c r="AG865" s="19"/>
    </row>
    <row r="866" spans="1:33" hidden="1" outlineLevel="3" x14ac:dyDescent="0.2">
      <c r="A866" s="606"/>
      <c r="B866" s="606"/>
      <c r="C866" s="607"/>
      <c r="D866" s="608"/>
      <c r="E866" s="608"/>
      <c r="F866" s="608"/>
      <c r="G866" s="608"/>
      <c r="H866" s="609"/>
      <c r="I866" s="660"/>
      <c r="J866" s="660"/>
      <c r="K866" s="660"/>
      <c r="L866" s="660"/>
      <c r="M866" s="660"/>
      <c r="N866" s="660"/>
      <c r="O866" s="660"/>
      <c r="P866" s="660"/>
      <c r="Q866" s="660"/>
      <c r="R866" s="660"/>
      <c r="S866" s="660"/>
      <c r="T866" s="660"/>
      <c r="U866" s="660"/>
      <c r="V866" s="660"/>
      <c r="W866" s="660"/>
      <c r="X866" s="660"/>
      <c r="Y866" s="660"/>
      <c r="Z866" s="660"/>
      <c r="AA866" s="660"/>
      <c r="AB866" s="660"/>
      <c r="AC866" s="661"/>
      <c r="AD866" s="606"/>
      <c r="AE866" s="19"/>
      <c r="AF866" s="19"/>
      <c r="AG866" s="19"/>
    </row>
    <row r="867" spans="1:33" hidden="1" outlineLevel="3" x14ac:dyDescent="0.2">
      <c r="A867" s="606"/>
      <c r="B867" s="606"/>
      <c r="C867" s="607"/>
      <c r="D867" s="608"/>
      <c r="E867" s="608"/>
      <c r="F867" s="608"/>
      <c r="G867" s="608"/>
      <c r="H867" s="609"/>
      <c r="I867" s="660"/>
      <c r="J867" s="660"/>
      <c r="K867" s="660"/>
      <c r="L867" s="660"/>
      <c r="M867" s="660"/>
      <c r="N867" s="660"/>
      <c r="O867" s="660"/>
      <c r="P867" s="660"/>
      <c r="Q867" s="660"/>
      <c r="R867" s="660"/>
      <c r="S867" s="660"/>
      <c r="T867" s="660"/>
      <c r="U867" s="660"/>
      <c r="V867" s="660"/>
      <c r="W867" s="660"/>
      <c r="X867" s="660"/>
      <c r="Y867" s="660"/>
      <c r="Z867" s="660"/>
      <c r="AA867" s="660"/>
      <c r="AB867" s="660"/>
      <c r="AC867" s="661"/>
      <c r="AD867" s="606"/>
      <c r="AE867" s="19"/>
      <c r="AF867" s="19"/>
      <c r="AG867" s="19"/>
    </row>
    <row r="868" spans="1:33" hidden="1" outlineLevel="3" x14ac:dyDescent="0.2">
      <c r="A868" s="606"/>
      <c r="B868" s="606"/>
      <c r="C868" s="607"/>
      <c r="D868" s="608"/>
      <c r="E868" s="608"/>
      <c r="F868" s="608"/>
      <c r="G868" s="608"/>
      <c r="H868" s="609"/>
      <c r="I868" s="660"/>
      <c r="J868" s="660"/>
      <c r="K868" s="660"/>
      <c r="L868" s="660"/>
      <c r="M868" s="660"/>
      <c r="N868" s="660"/>
      <c r="O868" s="660"/>
      <c r="P868" s="660"/>
      <c r="Q868" s="660"/>
      <c r="R868" s="660"/>
      <c r="S868" s="660"/>
      <c r="T868" s="660"/>
      <c r="U868" s="660"/>
      <c r="V868" s="660"/>
      <c r="W868" s="660"/>
      <c r="X868" s="660"/>
      <c r="Y868" s="660"/>
      <c r="Z868" s="660"/>
      <c r="AA868" s="660"/>
      <c r="AB868" s="660"/>
      <c r="AC868" s="661"/>
      <c r="AD868" s="606"/>
      <c r="AE868" s="19"/>
      <c r="AF868" s="19"/>
      <c r="AG868" s="19"/>
    </row>
    <row r="869" spans="1:33" hidden="1" outlineLevel="3" x14ac:dyDescent="0.2">
      <c r="A869" s="606"/>
      <c r="B869" s="606"/>
      <c r="C869" s="607"/>
      <c r="D869" s="608"/>
      <c r="E869" s="608"/>
      <c r="F869" s="608"/>
      <c r="G869" s="608"/>
      <c r="H869" s="609"/>
      <c r="I869" s="660"/>
      <c r="J869" s="660"/>
      <c r="K869" s="660"/>
      <c r="L869" s="660"/>
      <c r="M869" s="660"/>
      <c r="N869" s="660"/>
      <c r="O869" s="660"/>
      <c r="P869" s="660"/>
      <c r="Q869" s="660"/>
      <c r="R869" s="660"/>
      <c r="S869" s="660"/>
      <c r="T869" s="660"/>
      <c r="U869" s="660"/>
      <c r="V869" s="660"/>
      <c r="W869" s="660"/>
      <c r="X869" s="660"/>
      <c r="Y869" s="660"/>
      <c r="Z869" s="660"/>
      <c r="AA869" s="660"/>
      <c r="AB869" s="660"/>
      <c r="AC869" s="661"/>
      <c r="AD869" s="606"/>
      <c r="AE869" s="19"/>
      <c r="AF869" s="19"/>
      <c r="AG869" s="19"/>
    </row>
    <row r="870" spans="1:33" hidden="1" outlineLevel="3" x14ac:dyDescent="0.2">
      <c r="A870" s="606"/>
      <c r="B870" s="606"/>
      <c r="C870" s="607"/>
      <c r="D870" s="608"/>
      <c r="E870" s="608"/>
      <c r="F870" s="608"/>
      <c r="G870" s="608"/>
      <c r="H870" s="609"/>
      <c r="I870" s="660"/>
      <c r="J870" s="660"/>
      <c r="K870" s="660"/>
      <c r="L870" s="660"/>
      <c r="M870" s="660"/>
      <c r="N870" s="660"/>
      <c r="O870" s="660"/>
      <c r="P870" s="660"/>
      <c r="Q870" s="660"/>
      <c r="R870" s="660"/>
      <c r="S870" s="660"/>
      <c r="T870" s="660"/>
      <c r="U870" s="660"/>
      <c r="V870" s="660"/>
      <c r="W870" s="660"/>
      <c r="X870" s="660"/>
      <c r="Y870" s="660"/>
      <c r="Z870" s="660"/>
      <c r="AA870" s="660"/>
      <c r="AB870" s="660"/>
      <c r="AC870" s="661"/>
      <c r="AD870" s="606"/>
      <c r="AE870" s="19"/>
      <c r="AF870" s="19"/>
      <c r="AG870" s="19"/>
    </row>
    <row r="871" spans="1:33" hidden="1" outlineLevel="3" x14ac:dyDescent="0.2">
      <c r="A871" s="606"/>
      <c r="B871" s="606"/>
      <c r="C871" s="607"/>
      <c r="D871" s="608"/>
      <c r="E871" s="608"/>
      <c r="F871" s="608"/>
      <c r="G871" s="608"/>
      <c r="H871" s="609"/>
      <c r="I871" s="660"/>
      <c r="J871" s="660"/>
      <c r="K871" s="660"/>
      <c r="L871" s="660"/>
      <c r="M871" s="660"/>
      <c r="N871" s="660"/>
      <c r="O871" s="660"/>
      <c r="P871" s="660"/>
      <c r="Q871" s="660"/>
      <c r="R871" s="660"/>
      <c r="S871" s="660"/>
      <c r="T871" s="660"/>
      <c r="U871" s="660"/>
      <c r="V871" s="660"/>
      <c r="W871" s="660"/>
      <c r="X871" s="660"/>
      <c r="Y871" s="660"/>
      <c r="Z871" s="660"/>
      <c r="AA871" s="660"/>
      <c r="AB871" s="660"/>
      <c r="AC871" s="661"/>
      <c r="AD871" s="606"/>
      <c r="AE871" s="19"/>
      <c r="AF871" s="19"/>
      <c r="AG871" s="19"/>
    </row>
    <row r="872" spans="1:33" hidden="1" outlineLevel="3" x14ac:dyDescent="0.2">
      <c r="A872" s="606"/>
      <c r="B872" s="606"/>
      <c r="C872" s="607"/>
      <c r="D872" s="608"/>
      <c r="E872" s="608"/>
      <c r="F872" s="608"/>
      <c r="G872" s="608"/>
      <c r="H872" s="609"/>
      <c r="I872" s="660"/>
      <c r="J872" s="660"/>
      <c r="K872" s="660"/>
      <c r="L872" s="660"/>
      <c r="M872" s="660"/>
      <c r="N872" s="660"/>
      <c r="O872" s="660"/>
      <c r="P872" s="660"/>
      <c r="Q872" s="660"/>
      <c r="R872" s="660"/>
      <c r="S872" s="660"/>
      <c r="T872" s="660"/>
      <c r="U872" s="660"/>
      <c r="V872" s="660"/>
      <c r="W872" s="660"/>
      <c r="X872" s="660"/>
      <c r="Y872" s="660"/>
      <c r="Z872" s="660"/>
      <c r="AA872" s="660"/>
      <c r="AB872" s="660"/>
      <c r="AC872" s="661"/>
      <c r="AD872" s="606"/>
      <c r="AE872" s="19"/>
      <c r="AF872" s="19"/>
      <c r="AG872" s="19"/>
    </row>
    <row r="873" spans="1:33" hidden="1" outlineLevel="3" x14ac:dyDescent="0.2">
      <c r="A873" s="606"/>
      <c r="B873" s="606"/>
      <c r="C873" s="607"/>
      <c r="D873" s="608"/>
      <c r="E873" s="608"/>
      <c r="F873" s="608"/>
      <c r="G873" s="608"/>
      <c r="H873" s="609"/>
      <c r="I873" s="660"/>
      <c r="J873" s="660"/>
      <c r="K873" s="660"/>
      <c r="L873" s="660"/>
      <c r="M873" s="660"/>
      <c r="N873" s="660"/>
      <c r="O873" s="660"/>
      <c r="P873" s="660"/>
      <c r="Q873" s="660"/>
      <c r="R873" s="660"/>
      <c r="S873" s="660"/>
      <c r="T873" s="660"/>
      <c r="U873" s="660"/>
      <c r="V873" s="660"/>
      <c r="W873" s="660"/>
      <c r="X873" s="660"/>
      <c r="Y873" s="660"/>
      <c r="Z873" s="660"/>
      <c r="AA873" s="660"/>
      <c r="AB873" s="660"/>
      <c r="AC873" s="661"/>
      <c r="AD873" s="606"/>
      <c r="AE873" s="19"/>
      <c r="AF873" s="19"/>
      <c r="AG873" s="19"/>
    </row>
    <row r="874" spans="1:33" hidden="1" outlineLevel="3" x14ac:dyDescent="0.2">
      <c r="A874" s="606"/>
      <c r="B874" s="606"/>
      <c r="C874" s="607"/>
      <c r="D874" s="608"/>
      <c r="E874" s="608"/>
      <c r="F874" s="608"/>
      <c r="G874" s="608"/>
      <c r="H874" s="609"/>
      <c r="I874" s="660"/>
      <c r="J874" s="660"/>
      <c r="K874" s="660"/>
      <c r="L874" s="660"/>
      <c r="M874" s="660"/>
      <c r="N874" s="660"/>
      <c r="O874" s="660"/>
      <c r="P874" s="660"/>
      <c r="Q874" s="660"/>
      <c r="R874" s="660"/>
      <c r="S874" s="660"/>
      <c r="T874" s="660"/>
      <c r="U874" s="660"/>
      <c r="V874" s="660"/>
      <c r="W874" s="660"/>
      <c r="X874" s="660"/>
      <c r="Y874" s="660"/>
      <c r="Z874" s="660"/>
      <c r="AA874" s="660"/>
      <c r="AB874" s="660"/>
      <c r="AC874" s="661"/>
      <c r="AD874" s="606"/>
      <c r="AE874" s="19"/>
      <c r="AF874" s="19"/>
      <c r="AG874" s="19"/>
    </row>
    <row r="875" spans="1:33" hidden="1" outlineLevel="3" x14ac:dyDescent="0.2">
      <c r="A875" s="606"/>
      <c r="B875" s="606"/>
      <c r="C875" s="607"/>
      <c r="D875" s="608"/>
      <c r="E875" s="608"/>
      <c r="F875" s="608"/>
      <c r="G875" s="608"/>
      <c r="H875" s="609"/>
      <c r="I875" s="660"/>
      <c r="J875" s="660"/>
      <c r="K875" s="660"/>
      <c r="L875" s="660"/>
      <c r="M875" s="660"/>
      <c r="N875" s="660"/>
      <c r="O875" s="660"/>
      <c r="P875" s="660"/>
      <c r="Q875" s="660"/>
      <c r="R875" s="660"/>
      <c r="S875" s="660"/>
      <c r="T875" s="660"/>
      <c r="U875" s="660"/>
      <c r="V875" s="660"/>
      <c r="W875" s="660"/>
      <c r="X875" s="660"/>
      <c r="Y875" s="660"/>
      <c r="Z875" s="660"/>
      <c r="AA875" s="660"/>
      <c r="AB875" s="660"/>
      <c r="AC875" s="661"/>
      <c r="AD875" s="606"/>
      <c r="AE875" s="19"/>
      <c r="AF875" s="19"/>
      <c r="AG875" s="19"/>
    </row>
    <row r="876" spans="1:33" hidden="1" outlineLevel="3" x14ac:dyDescent="0.2">
      <c r="A876" s="606"/>
      <c r="B876" s="606"/>
      <c r="C876" s="607"/>
      <c r="D876" s="608"/>
      <c r="E876" s="608"/>
      <c r="F876" s="608"/>
      <c r="G876" s="608"/>
      <c r="H876" s="609"/>
      <c r="I876" s="660"/>
      <c r="J876" s="660"/>
      <c r="K876" s="660"/>
      <c r="L876" s="660"/>
      <c r="M876" s="660"/>
      <c r="N876" s="660"/>
      <c r="O876" s="660"/>
      <c r="P876" s="660"/>
      <c r="Q876" s="660"/>
      <c r="R876" s="660"/>
      <c r="S876" s="660"/>
      <c r="T876" s="660"/>
      <c r="U876" s="660"/>
      <c r="V876" s="660"/>
      <c r="W876" s="660"/>
      <c r="X876" s="660"/>
      <c r="Y876" s="660"/>
      <c r="Z876" s="660"/>
      <c r="AA876" s="660"/>
      <c r="AB876" s="660"/>
      <c r="AC876" s="661"/>
      <c r="AD876" s="606"/>
      <c r="AE876" s="19"/>
      <c r="AF876" s="19"/>
      <c r="AG876" s="19"/>
    </row>
    <row r="877" spans="1:33" hidden="1" outlineLevel="3" x14ac:dyDescent="0.2">
      <c r="A877" s="606"/>
      <c r="B877" s="606"/>
      <c r="C877" s="607"/>
      <c r="D877" s="608"/>
      <c r="E877" s="608"/>
      <c r="F877" s="608"/>
      <c r="G877" s="608"/>
      <c r="H877" s="609"/>
      <c r="I877" s="660"/>
      <c r="J877" s="660"/>
      <c r="K877" s="660"/>
      <c r="L877" s="660"/>
      <c r="M877" s="660"/>
      <c r="N877" s="660"/>
      <c r="O877" s="660"/>
      <c r="P877" s="660"/>
      <c r="Q877" s="660"/>
      <c r="R877" s="660"/>
      <c r="S877" s="660"/>
      <c r="T877" s="660"/>
      <c r="U877" s="660"/>
      <c r="V877" s="660"/>
      <c r="W877" s="660"/>
      <c r="X877" s="660"/>
      <c r="Y877" s="660"/>
      <c r="Z877" s="660"/>
      <c r="AA877" s="660"/>
      <c r="AB877" s="660"/>
      <c r="AC877" s="661"/>
      <c r="AD877" s="606"/>
      <c r="AE877" s="19"/>
      <c r="AF877" s="19"/>
      <c r="AG877" s="19"/>
    </row>
    <row r="878" spans="1:33" hidden="1" outlineLevel="3" x14ac:dyDescent="0.2">
      <c r="A878" s="606"/>
      <c r="B878" s="606"/>
      <c r="C878" s="607"/>
      <c r="D878" s="608"/>
      <c r="E878" s="608"/>
      <c r="F878" s="608"/>
      <c r="G878" s="608"/>
      <c r="H878" s="609"/>
      <c r="I878" s="660"/>
      <c r="J878" s="660"/>
      <c r="K878" s="660"/>
      <c r="L878" s="660"/>
      <c r="M878" s="660"/>
      <c r="N878" s="660"/>
      <c r="O878" s="660"/>
      <c r="P878" s="660"/>
      <c r="Q878" s="660"/>
      <c r="R878" s="660"/>
      <c r="S878" s="660"/>
      <c r="T878" s="660"/>
      <c r="U878" s="660"/>
      <c r="V878" s="660"/>
      <c r="W878" s="660"/>
      <c r="X878" s="660"/>
      <c r="Y878" s="660"/>
      <c r="Z878" s="660"/>
      <c r="AA878" s="660"/>
      <c r="AB878" s="660"/>
      <c r="AC878" s="661"/>
      <c r="AD878" s="606"/>
      <c r="AE878" s="19"/>
      <c r="AF878" s="19"/>
      <c r="AG878" s="19"/>
    </row>
    <row r="879" spans="1:33" hidden="1" outlineLevel="3" x14ac:dyDescent="0.2">
      <c r="A879" s="606"/>
      <c r="B879" s="606"/>
      <c r="C879" s="607"/>
      <c r="D879" s="608"/>
      <c r="E879" s="608"/>
      <c r="F879" s="608"/>
      <c r="G879" s="608"/>
      <c r="H879" s="609"/>
      <c r="I879" s="660"/>
      <c r="J879" s="660"/>
      <c r="K879" s="660"/>
      <c r="L879" s="660"/>
      <c r="M879" s="660"/>
      <c r="N879" s="660"/>
      <c r="O879" s="660"/>
      <c r="P879" s="660"/>
      <c r="Q879" s="660"/>
      <c r="R879" s="660"/>
      <c r="S879" s="660"/>
      <c r="T879" s="660"/>
      <c r="U879" s="660"/>
      <c r="V879" s="660"/>
      <c r="W879" s="660"/>
      <c r="X879" s="660"/>
      <c r="Y879" s="660"/>
      <c r="Z879" s="660"/>
      <c r="AA879" s="660"/>
      <c r="AB879" s="660"/>
      <c r="AC879" s="661"/>
      <c r="AD879" s="606"/>
      <c r="AE879" s="19"/>
      <c r="AF879" s="19"/>
      <c r="AG879" s="19"/>
    </row>
    <row r="880" spans="1:33" hidden="1" outlineLevel="3" x14ac:dyDescent="0.2">
      <c r="A880" s="606"/>
      <c r="B880" s="606"/>
      <c r="C880" s="607"/>
      <c r="D880" s="608"/>
      <c r="E880" s="608"/>
      <c r="F880" s="608"/>
      <c r="G880" s="608"/>
      <c r="H880" s="609"/>
      <c r="I880" s="660"/>
      <c r="J880" s="660"/>
      <c r="K880" s="660"/>
      <c r="L880" s="660"/>
      <c r="M880" s="660"/>
      <c r="N880" s="660"/>
      <c r="O880" s="660"/>
      <c r="P880" s="660"/>
      <c r="Q880" s="660"/>
      <c r="R880" s="660"/>
      <c r="S880" s="660"/>
      <c r="T880" s="660"/>
      <c r="U880" s="660"/>
      <c r="V880" s="660"/>
      <c r="W880" s="660"/>
      <c r="X880" s="660"/>
      <c r="Y880" s="660"/>
      <c r="Z880" s="660"/>
      <c r="AA880" s="660"/>
      <c r="AB880" s="660"/>
      <c r="AC880" s="661"/>
      <c r="AD880" s="606"/>
      <c r="AE880" s="19"/>
      <c r="AF880" s="19"/>
      <c r="AG880" s="19"/>
    </row>
    <row r="881" spans="1:33" hidden="1" outlineLevel="3" x14ac:dyDescent="0.2">
      <c r="A881" s="606"/>
      <c r="B881" s="606"/>
      <c r="C881" s="607"/>
      <c r="D881" s="608"/>
      <c r="E881" s="608"/>
      <c r="F881" s="608"/>
      <c r="G881" s="608"/>
      <c r="H881" s="609"/>
      <c r="I881" s="660"/>
      <c r="J881" s="660"/>
      <c r="K881" s="660"/>
      <c r="L881" s="660"/>
      <c r="M881" s="660"/>
      <c r="N881" s="660"/>
      <c r="O881" s="660"/>
      <c r="P881" s="660"/>
      <c r="Q881" s="660"/>
      <c r="R881" s="660"/>
      <c r="S881" s="660"/>
      <c r="T881" s="660"/>
      <c r="U881" s="660"/>
      <c r="V881" s="660"/>
      <c r="W881" s="660"/>
      <c r="X881" s="660"/>
      <c r="Y881" s="660"/>
      <c r="Z881" s="660"/>
      <c r="AA881" s="660"/>
      <c r="AB881" s="660"/>
      <c r="AC881" s="661"/>
      <c r="AD881" s="606"/>
      <c r="AE881" s="19"/>
      <c r="AF881" s="19"/>
      <c r="AG881" s="19"/>
    </row>
    <row r="882" spans="1:33" hidden="1" outlineLevel="3" x14ac:dyDescent="0.2">
      <c r="A882" s="606"/>
      <c r="B882" s="606"/>
      <c r="C882" s="607"/>
      <c r="D882" s="608"/>
      <c r="E882" s="608"/>
      <c r="F882" s="608"/>
      <c r="G882" s="608"/>
      <c r="H882" s="609"/>
      <c r="I882" s="660"/>
      <c r="J882" s="660"/>
      <c r="K882" s="660"/>
      <c r="L882" s="660"/>
      <c r="M882" s="660"/>
      <c r="N882" s="660"/>
      <c r="O882" s="660"/>
      <c r="P882" s="660"/>
      <c r="Q882" s="660"/>
      <c r="R882" s="660"/>
      <c r="S882" s="660"/>
      <c r="T882" s="660"/>
      <c r="U882" s="660"/>
      <c r="V882" s="660"/>
      <c r="W882" s="660"/>
      <c r="X882" s="660"/>
      <c r="Y882" s="660"/>
      <c r="Z882" s="660"/>
      <c r="AA882" s="660"/>
      <c r="AB882" s="660"/>
      <c r="AC882" s="661"/>
      <c r="AD882" s="606"/>
      <c r="AE882" s="19"/>
      <c r="AF882" s="19"/>
      <c r="AG882" s="19"/>
    </row>
    <row r="883" spans="1:33" hidden="1" outlineLevel="3" x14ac:dyDescent="0.2">
      <c r="A883" s="606"/>
      <c r="B883" s="606"/>
      <c r="C883" s="607"/>
      <c r="D883" s="608"/>
      <c r="E883" s="608"/>
      <c r="F883" s="608"/>
      <c r="G883" s="608"/>
      <c r="H883" s="609"/>
      <c r="I883" s="660"/>
      <c r="J883" s="660"/>
      <c r="K883" s="660"/>
      <c r="L883" s="660"/>
      <c r="M883" s="660"/>
      <c r="N883" s="660"/>
      <c r="O883" s="660"/>
      <c r="P883" s="660"/>
      <c r="Q883" s="660"/>
      <c r="R883" s="660"/>
      <c r="S883" s="660"/>
      <c r="T883" s="660"/>
      <c r="U883" s="660"/>
      <c r="V883" s="660"/>
      <c r="W883" s="660"/>
      <c r="X883" s="660"/>
      <c r="Y883" s="660"/>
      <c r="Z883" s="660"/>
      <c r="AA883" s="660"/>
      <c r="AB883" s="660"/>
      <c r="AC883" s="661"/>
      <c r="AD883" s="606"/>
      <c r="AE883" s="19"/>
      <c r="AF883" s="19"/>
      <c r="AG883" s="19"/>
    </row>
    <row r="884" spans="1:33" hidden="1" outlineLevel="3" x14ac:dyDescent="0.2">
      <c r="A884" s="606"/>
      <c r="B884" s="606"/>
      <c r="C884" s="607"/>
      <c r="D884" s="608"/>
      <c r="E884" s="608"/>
      <c r="F884" s="608"/>
      <c r="G884" s="608"/>
      <c r="H884" s="609"/>
      <c r="I884" s="660"/>
      <c r="J884" s="660"/>
      <c r="K884" s="660"/>
      <c r="L884" s="660"/>
      <c r="M884" s="660"/>
      <c r="N884" s="660"/>
      <c r="O884" s="660"/>
      <c r="P884" s="660"/>
      <c r="Q884" s="660"/>
      <c r="R884" s="660"/>
      <c r="S884" s="660"/>
      <c r="T884" s="660"/>
      <c r="U884" s="660"/>
      <c r="V884" s="660"/>
      <c r="W884" s="660"/>
      <c r="X884" s="660"/>
      <c r="Y884" s="660"/>
      <c r="Z884" s="660"/>
      <c r="AA884" s="660"/>
      <c r="AB884" s="660"/>
      <c r="AC884" s="661"/>
      <c r="AD884" s="606"/>
      <c r="AE884" s="19"/>
      <c r="AF884" s="19"/>
      <c r="AG884" s="19"/>
    </row>
    <row r="885" spans="1:33" hidden="1" outlineLevel="3" x14ac:dyDescent="0.2">
      <c r="A885" s="606"/>
      <c r="B885" s="606"/>
      <c r="C885" s="607"/>
      <c r="D885" s="608"/>
      <c r="E885" s="608"/>
      <c r="F885" s="608"/>
      <c r="G885" s="608"/>
      <c r="H885" s="609"/>
      <c r="I885" s="660"/>
      <c r="J885" s="660"/>
      <c r="K885" s="660"/>
      <c r="L885" s="660"/>
      <c r="M885" s="660"/>
      <c r="N885" s="660"/>
      <c r="O885" s="660"/>
      <c r="P885" s="660"/>
      <c r="Q885" s="660"/>
      <c r="R885" s="660"/>
      <c r="S885" s="660"/>
      <c r="T885" s="660"/>
      <c r="U885" s="660"/>
      <c r="V885" s="660"/>
      <c r="W885" s="660"/>
      <c r="X885" s="660"/>
      <c r="Y885" s="660"/>
      <c r="Z885" s="660"/>
      <c r="AA885" s="660"/>
      <c r="AB885" s="660"/>
      <c r="AC885" s="661"/>
      <c r="AD885" s="606"/>
      <c r="AE885" s="19"/>
      <c r="AF885" s="19"/>
      <c r="AG885" s="19"/>
    </row>
    <row r="886" spans="1:33" hidden="1" outlineLevel="3" x14ac:dyDescent="0.2">
      <c r="A886" s="606"/>
      <c r="B886" s="606"/>
      <c r="C886" s="607"/>
      <c r="D886" s="608"/>
      <c r="E886" s="608"/>
      <c r="F886" s="608"/>
      <c r="G886" s="608"/>
      <c r="H886" s="609"/>
      <c r="I886" s="660"/>
      <c r="J886" s="660"/>
      <c r="K886" s="660"/>
      <c r="L886" s="660"/>
      <c r="M886" s="660"/>
      <c r="N886" s="660"/>
      <c r="O886" s="660"/>
      <c r="P886" s="660"/>
      <c r="Q886" s="660"/>
      <c r="R886" s="660"/>
      <c r="S886" s="660"/>
      <c r="T886" s="660"/>
      <c r="U886" s="660"/>
      <c r="V886" s="660"/>
      <c r="W886" s="660"/>
      <c r="X886" s="660"/>
      <c r="Y886" s="660"/>
      <c r="Z886" s="660"/>
      <c r="AA886" s="660"/>
      <c r="AB886" s="660"/>
      <c r="AC886" s="661"/>
      <c r="AD886" s="606"/>
      <c r="AE886" s="19"/>
      <c r="AF886" s="19"/>
      <c r="AG886" s="19"/>
    </row>
    <row r="887" spans="1:33" hidden="1" outlineLevel="3" x14ac:dyDescent="0.2">
      <c r="A887" s="606"/>
      <c r="B887" s="606"/>
      <c r="C887" s="607"/>
      <c r="D887" s="608"/>
      <c r="E887" s="608"/>
      <c r="F887" s="608"/>
      <c r="G887" s="608"/>
      <c r="H887" s="609"/>
      <c r="I887" s="660"/>
      <c r="J887" s="660"/>
      <c r="K887" s="660"/>
      <c r="L887" s="660"/>
      <c r="M887" s="660"/>
      <c r="N887" s="660"/>
      <c r="O887" s="660"/>
      <c r="P887" s="660"/>
      <c r="Q887" s="660"/>
      <c r="R887" s="660"/>
      <c r="S887" s="660"/>
      <c r="T887" s="660"/>
      <c r="U887" s="660"/>
      <c r="V887" s="660"/>
      <c r="W887" s="660"/>
      <c r="X887" s="660"/>
      <c r="Y887" s="660"/>
      <c r="Z887" s="660"/>
      <c r="AA887" s="660"/>
      <c r="AB887" s="660"/>
      <c r="AC887" s="661"/>
      <c r="AD887" s="606"/>
      <c r="AE887" s="19"/>
      <c r="AF887" s="19"/>
      <c r="AG887" s="19"/>
    </row>
    <row r="888" spans="1:33" hidden="1" outlineLevel="3" x14ac:dyDescent="0.2">
      <c r="A888" s="606"/>
      <c r="B888" s="606"/>
      <c r="C888" s="607"/>
      <c r="D888" s="608"/>
      <c r="E888" s="608"/>
      <c r="F888" s="608"/>
      <c r="G888" s="608"/>
      <c r="H888" s="609"/>
      <c r="I888" s="660"/>
      <c r="J888" s="660"/>
      <c r="K888" s="660"/>
      <c r="L888" s="660"/>
      <c r="M888" s="660"/>
      <c r="N888" s="660"/>
      <c r="O888" s="660"/>
      <c r="P888" s="660"/>
      <c r="Q888" s="660"/>
      <c r="R888" s="660"/>
      <c r="S888" s="660"/>
      <c r="T888" s="660"/>
      <c r="U888" s="660"/>
      <c r="V888" s="660"/>
      <c r="W888" s="660"/>
      <c r="X888" s="660"/>
      <c r="Y888" s="660"/>
      <c r="Z888" s="660"/>
      <c r="AA888" s="660"/>
      <c r="AB888" s="660"/>
      <c r="AC888" s="661"/>
      <c r="AD888" s="606"/>
      <c r="AE888" s="19"/>
      <c r="AF888" s="19"/>
      <c r="AG888" s="19"/>
    </row>
    <row r="889" spans="1:33" hidden="1" outlineLevel="3" x14ac:dyDescent="0.2">
      <c r="A889" s="606"/>
      <c r="B889" s="606"/>
      <c r="C889" s="607"/>
      <c r="D889" s="608"/>
      <c r="E889" s="608"/>
      <c r="F889" s="608"/>
      <c r="G889" s="608"/>
      <c r="H889" s="609"/>
      <c r="I889" s="660"/>
      <c r="J889" s="660"/>
      <c r="K889" s="660"/>
      <c r="L889" s="660"/>
      <c r="M889" s="660"/>
      <c r="N889" s="660"/>
      <c r="O889" s="660"/>
      <c r="P889" s="660"/>
      <c r="Q889" s="660"/>
      <c r="R889" s="660"/>
      <c r="S889" s="660"/>
      <c r="T889" s="660"/>
      <c r="U889" s="660"/>
      <c r="V889" s="660"/>
      <c r="W889" s="660"/>
      <c r="X889" s="660"/>
      <c r="Y889" s="660"/>
      <c r="Z889" s="660"/>
      <c r="AA889" s="660"/>
      <c r="AB889" s="660"/>
      <c r="AC889" s="661"/>
      <c r="AD889" s="606"/>
      <c r="AE889" s="19"/>
      <c r="AF889" s="19"/>
      <c r="AG889" s="19"/>
    </row>
    <row r="890" spans="1:33" hidden="1" outlineLevel="3" x14ac:dyDescent="0.2">
      <c r="A890" s="606"/>
      <c r="B890" s="606"/>
      <c r="C890" s="607"/>
      <c r="D890" s="608"/>
      <c r="E890" s="608"/>
      <c r="F890" s="608"/>
      <c r="G890" s="608"/>
      <c r="H890" s="609"/>
      <c r="I890" s="660"/>
      <c r="J890" s="660"/>
      <c r="K890" s="660"/>
      <c r="L890" s="660"/>
      <c r="M890" s="660"/>
      <c r="N890" s="660"/>
      <c r="O890" s="660"/>
      <c r="P890" s="660"/>
      <c r="Q890" s="660"/>
      <c r="R890" s="660"/>
      <c r="S890" s="660"/>
      <c r="T890" s="660"/>
      <c r="U890" s="660"/>
      <c r="V890" s="660"/>
      <c r="W890" s="660"/>
      <c r="X890" s="660"/>
      <c r="Y890" s="660"/>
      <c r="Z890" s="660"/>
      <c r="AA890" s="660"/>
      <c r="AB890" s="660"/>
      <c r="AC890" s="661"/>
      <c r="AD890" s="606"/>
      <c r="AE890" s="19"/>
      <c r="AF890" s="19"/>
      <c r="AG890" s="19"/>
    </row>
    <row r="891" spans="1:33" hidden="1" outlineLevel="3" x14ac:dyDescent="0.2">
      <c r="A891" s="606"/>
      <c r="B891" s="606"/>
      <c r="C891" s="607"/>
      <c r="D891" s="608"/>
      <c r="E891" s="608"/>
      <c r="F891" s="608"/>
      <c r="G891" s="608"/>
      <c r="H891" s="609"/>
      <c r="I891" s="660"/>
      <c r="J891" s="660"/>
      <c r="K891" s="660"/>
      <c r="L891" s="660"/>
      <c r="M891" s="660"/>
      <c r="N891" s="660"/>
      <c r="O891" s="660"/>
      <c r="P891" s="660"/>
      <c r="Q891" s="660"/>
      <c r="R891" s="660"/>
      <c r="S891" s="660"/>
      <c r="T891" s="660"/>
      <c r="U891" s="660"/>
      <c r="V891" s="660"/>
      <c r="W891" s="660"/>
      <c r="X891" s="660"/>
      <c r="Y891" s="660"/>
      <c r="Z891" s="660"/>
      <c r="AA891" s="660"/>
      <c r="AB891" s="660"/>
      <c r="AC891" s="661"/>
      <c r="AD891" s="606"/>
      <c r="AE891" s="19"/>
      <c r="AF891" s="19"/>
      <c r="AG891" s="19"/>
    </row>
    <row r="892" spans="1:33" hidden="1" outlineLevel="3" x14ac:dyDescent="0.2">
      <c r="A892" s="606"/>
      <c r="B892" s="606"/>
      <c r="C892" s="607"/>
      <c r="D892" s="608"/>
      <c r="E892" s="608"/>
      <c r="F892" s="608"/>
      <c r="G892" s="608"/>
      <c r="H892" s="609"/>
      <c r="I892" s="660"/>
      <c r="J892" s="660"/>
      <c r="K892" s="660"/>
      <c r="L892" s="660"/>
      <c r="M892" s="660"/>
      <c r="N892" s="660"/>
      <c r="O892" s="660"/>
      <c r="P892" s="660"/>
      <c r="Q892" s="660"/>
      <c r="R892" s="660"/>
      <c r="S892" s="660"/>
      <c r="T892" s="660"/>
      <c r="U892" s="660"/>
      <c r="V892" s="660"/>
      <c r="W892" s="660"/>
      <c r="X892" s="660"/>
      <c r="Y892" s="660"/>
      <c r="Z892" s="660"/>
      <c r="AA892" s="660"/>
      <c r="AB892" s="660"/>
      <c r="AC892" s="661"/>
      <c r="AD892" s="606"/>
      <c r="AE892" s="19"/>
      <c r="AF892" s="19"/>
      <c r="AG892" s="19"/>
    </row>
    <row r="893" spans="1:33" hidden="1" outlineLevel="3" x14ac:dyDescent="0.2">
      <c r="A893" s="606"/>
      <c r="B893" s="606"/>
      <c r="C893" s="607"/>
      <c r="D893" s="608"/>
      <c r="E893" s="608"/>
      <c r="F893" s="608"/>
      <c r="G893" s="608"/>
      <c r="H893" s="609"/>
      <c r="I893" s="660"/>
      <c r="J893" s="660"/>
      <c r="K893" s="660"/>
      <c r="L893" s="660"/>
      <c r="M893" s="660"/>
      <c r="N893" s="660"/>
      <c r="O893" s="660"/>
      <c r="P893" s="660"/>
      <c r="Q893" s="660"/>
      <c r="R893" s="660"/>
      <c r="S893" s="660"/>
      <c r="T893" s="660"/>
      <c r="U893" s="660"/>
      <c r="V893" s="660"/>
      <c r="W893" s="660"/>
      <c r="X893" s="660"/>
      <c r="Y893" s="660"/>
      <c r="Z893" s="660"/>
      <c r="AA893" s="660"/>
      <c r="AB893" s="660"/>
      <c r="AC893" s="661"/>
      <c r="AD893" s="606"/>
      <c r="AE893" s="19"/>
      <c r="AF893" s="19"/>
      <c r="AG893" s="19"/>
    </row>
    <row r="894" spans="1:33" outlineLevel="2" collapsed="1" x14ac:dyDescent="0.2">
      <c r="A894" s="606"/>
      <c r="B894" s="606"/>
      <c r="C894" s="613"/>
      <c r="D894" s="609"/>
      <c r="E894" s="609"/>
      <c r="F894" s="609"/>
      <c r="G894" s="609"/>
      <c r="H894" s="609"/>
      <c r="I894" s="662"/>
      <c r="J894" s="662"/>
      <c r="K894" s="661"/>
      <c r="L894" s="661"/>
      <c r="M894" s="661"/>
      <c r="N894" s="663"/>
      <c r="O894" s="663"/>
      <c r="P894" s="663"/>
      <c r="Q894" s="663"/>
      <c r="R894" s="663"/>
      <c r="S894" s="661"/>
      <c r="T894" s="661"/>
      <c r="U894" s="661"/>
      <c r="V894" s="661"/>
      <c r="W894" s="661"/>
      <c r="X894" s="661"/>
      <c r="Y894" s="661"/>
      <c r="Z894" s="661"/>
      <c r="AA894" s="661"/>
      <c r="AB894" s="661"/>
      <c r="AC894" s="661"/>
      <c r="AD894" s="606"/>
      <c r="AE894" s="19"/>
      <c r="AF894" s="19"/>
      <c r="AG894" s="19"/>
    </row>
    <row r="895" spans="1:33" outlineLevel="1" x14ac:dyDescent="0.2">
      <c r="A895" s="606"/>
      <c r="B895" s="606"/>
      <c r="C895" s="613"/>
      <c r="D895" s="609"/>
      <c r="E895" s="609"/>
      <c r="F895" s="609"/>
      <c r="G895" s="609"/>
      <c r="H895" s="609"/>
      <c r="I895" s="662"/>
      <c r="J895" s="662"/>
      <c r="K895" s="661"/>
      <c r="L895" s="661"/>
      <c r="M895" s="661"/>
      <c r="N895" s="663"/>
      <c r="O895" s="663"/>
      <c r="P895" s="663"/>
      <c r="Q895" s="663"/>
      <c r="R895" s="663"/>
      <c r="S895" s="661"/>
      <c r="T895" s="661"/>
      <c r="U895" s="661"/>
      <c r="V895" s="661"/>
      <c r="W895" s="661"/>
      <c r="X895" s="661"/>
      <c r="Y895" s="661"/>
      <c r="Z895" s="661"/>
      <c r="AA895" s="661"/>
      <c r="AB895" s="661"/>
      <c r="AC895" s="661"/>
      <c r="AD895" s="606"/>
      <c r="AE895" s="19"/>
      <c r="AF895" s="19"/>
      <c r="AG895" s="19"/>
    </row>
    <row r="896" spans="1:33" outlineLevel="1" x14ac:dyDescent="0.2">
      <c r="A896" s="606"/>
      <c r="B896" s="606"/>
      <c r="C896" s="616"/>
      <c r="D896" s="617"/>
      <c r="E896" s="617"/>
      <c r="F896" s="617"/>
      <c r="G896" s="618"/>
      <c r="H896" s="618"/>
      <c r="I896" s="661"/>
      <c r="J896" s="661"/>
      <c r="K896" s="661"/>
      <c r="L896" s="661"/>
      <c r="M896" s="661"/>
      <c r="N896" s="661"/>
      <c r="O896" s="661"/>
      <c r="P896" s="661"/>
      <c r="Q896" s="661"/>
      <c r="R896" s="661"/>
      <c r="S896" s="661"/>
      <c r="T896" s="661"/>
      <c r="U896" s="661"/>
      <c r="V896" s="661"/>
      <c r="W896" s="661"/>
      <c r="X896" s="661"/>
      <c r="Y896" s="661"/>
      <c r="Z896" s="661"/>
      <c r="AA896" s="661"/>
      <c r="AB896" s="661"/>
      <c r="AC896" s="661"/>
      <c r="AD896" s="606"/>
      <c r="AE896" s="19"/>
      <c r="AF896" s="19"/>
      <c r="AG896" s="19"/>
    </row>
    <row r="897" spans="1:33" outlineLevel="2" x14ac:dyDescent="0.2">
      <c r="A897" s="606"/>
      <c r="B897" s="606"/>
      <c r="C897" s="607"/>
      <c r="D897" s="608"/>
      <c r="E897" s="608"/>
      <c r="F897" s="608"/>
      <c r="G897" s="608"/>
      <c r="H897" s="609"/>
      <c r="I897" s="660"/>
      <c r="J897" s="660"/>
      <c r="K897" s="660"/>
      <c r="L897" s="660"/>
      <c r="M897" s="660"/>
      <c r="N897" s="660"/>
      <c r="O897" s="660"/>
      <c r="P897" s="660"/>
      <c r="Q897" s="660"/>
      <c r="R897" s="660"/>
      <c r="S897" s="660"/>
      <c r="T897" s="660"/>
      <c r="U897" s="660"/>
      <c r="V897" s="660"/>
      <c r="W897" s="660"/>
      <c r="X897" s="660"/>
      <c r="Y897" s="660"/>
      <c r="Z897" s="660"/>
      <c r="AA897" s="660"/>
      <c r="AB897" s="660"/>
      <c r="AC897" s="661"/>
      <c r="AD897" s="606"/>
      <c r="AE897" s="19"/>
      <c r="AF897" s="19"/>
      <c r="AG897" s="19"/>
    </row>
    <row r="898" spans="1:33" outlineLevel="2" x14ac:dyDescent="0.2">
      <c r="A898" s="606"/>
      <c r="B898" s="606"/>
      <c r="C898" s="607"/>
      <c r="D898" s="608"/>
      <c r="E898" s="608"/>
      <c r="F898" s="608"/>
      <c r="G898" s="608"/>
      <c r="H898" s="609"/>
      <c r="I898" s="660"/>
      <c r="J898" s="660"/>
      <c r="K898" s="660"/>
      <c r="L898" s="660"/>
      <c r="M898" s="660"/>
      <c r="N898" s="660"/>
      <c r="O898" s="660"/>
      <c r="P898" s="660"/>
      <c r="Q898" s="660"/>
      <c r="R898" s="660"/>
      <c r="S898" s="660"/>
      <c r="T898" s="660"/>
      <c r="U898" s="660"/>
      <c r="V898" s="660"/>
      <c r="W898" s="660"/>
      <c r="X898" s="660"/>
      <c r="Y898" s="660"/>
      <c r="Z898" s="660"/>
      <c r="AA898" s="660"/>
      <c r="AB898" s="660"/>
      <c r="AC898" s="661"/>
      <c r="AD898" s="606"/>
      <c r="AE898" s="19"/>
      <c r="AF898" s="19"/>
      <c r="AG898" s="19"/>
    </row>
    <row r="899" spans="1:33" outlineLevel="2" x14ac:dyDescent="0.2">
      <c r="A899" s="606"/>
      <c r="B899" s="606"/>
      <c r="C899" s="607"/>
      <c r="D899" s="608"/>
      <c r="E899" s="608"/>
      <c r="F899" s="608"/>
      <c r="G899" s="608"/>
      <c r="H899" s="609"/>
      <c r="I899" s="660"/>
      <c r="J899" s="660"/>
      <c r="K899" s="660"/>
      <c r="L899" s="660"/>
      <c r="M899" s="660"/>
      <c r="N899" s="660"/>
      <c r="O899" s="660"/>
      <c r="P899" s="660"/>
      <c r="Q899" s="660"/>
      <c r="R899" s="660"/>
      <c r="S899" s="660"/>
      <c r="T899" s="660"/>
      <c r="U899" s="660"/>
      <c r="V899" s="660"/>
      <c r="W899" s="660"/>
      <c r="X899" s="660"/>
      <c r="Y899" s="660"/>
      <c r="Z899" s="660"/>
      <c r="AA899" s="660"/>
      <c r="AB899" s="660"/>
      <c r="AC899" s="661"/>
      <c r="AD899" s="606"/>
      <c r="AE899" s="19"/>
      <c r="AF899" s="19"/>
      <c r="AG899" s="19"/>
    </row>
    <row r="900" spans="1:33" outlineLevel="2" x14ac:dyDescent="0.2">
      <c r="A900" s="606"/>
      <c r="B900" s="606"/>
      <c r="C900" s="607"/>
      <c r="D900" s="608"/>
      <c r="E900" s="608"/>
      <c r="F900" s="608"/>
      <c r="G900" s="608"/>
      <c r="H900" s="609"/>
      <c r="I900" s="660"/>
      <c r="J900" s="660"/>
      <c r="K900" s="660"/>
      <c r="L900" s="660"/>
      <c r="M900" s="660"/>
      <c r="N900" s="660"/>
      <c r="O900" s="660"/>
      <c r="P900" s="660"/>
      <c r="Q900" s="660"/>
      <c r="R900" s="660"/>
      <c r="S900" s="660"/>
      <c r="T900" s="660"/>
      <c r="U900" s="660"/>
      <c r="V900" s="660"/>
      <c r="W900" s="660"/>
      <c r="X900" s="660"/>
      <c r="Y900" s="660"/>
      <c r="Z900" s="660"/>
      <c r="AA900" s="660"/>
      <c r="AB900" s="660"/>
      <c r="AC900" s="661"/>
      <c r="AD900" s="606"/>
      <c r="AE900" s="19"/>
      <c r="AF900" s="19"/>
      <c r="AG900" s="19"/>
    </row>
    <row r="901" spans="1:33" outlineLevel="2" x14ac:dyDescent="0.2">
      <c r="A901" s="606"/>
      <c r="B901" s="606"/>
      <c r="C901" s="607"/>
      <c r="D901" s="608"/>
      <c r="E901" s="608"/>
      <c r="F901" s="608"/>
      <c r="G901" s="608"/>
      <c r="H901" s="609"/>
      <c r="I901" s="660"/>
      <c r="J901" s="660"/>
      <c r="K901" s="660"/>
      <c r="L901" s="660"/>
      <c r="M901" s="660"/>
      <c r="N901" s="660"/>
      <c r="O901" s="660"/>
      <c r="P901" s="660"/>
      <c r="Q901" s="660"/>
      <c r="R901" s="660"/>
      <c r="S901" s="660"/>
      <c r="T901" s="660"/>
      <c r="U901" s="660"/>
      <c r="V901" s="660"/>
      <c r="W901" s="660"/>
      <c r="X901" s="660"/>
      <c r="Y901" s="660"/>
      <c r="Z901" s="660"/>
      <c r="AA901" s="660"/>
      <c r="AB901" s="660"/>
      <c r="AC901" s="661"/>
      <c r="AD901" s="606"/>
      <c r="AE901" s="19"/>
      <c r="AF901" s="19"/>
      <c r="AG901" s="19"/>
    </row>
    <row r="902" spans="1:33" outlineLevel="2" x14ac:dyDescent="0.2">
      <c r="A902" s="606"/>
      <c r="B902" s="606"/>
      <c r="C902" s="607"/>
      <c r="D902" s="608"/>
      <c r="E902" s="608"/>
      <c r="F902" s="608"/>
      <c r="G902" s="608"/>
      <c r="H902" s="609"/>
      <c r="I902" s="660"/>
      <c r="J902" s="660"/>
      <c r="K902" s="660"/>
      <c r="L902" s="660"/>
      <c r="M902" s="660"/>
      <c r="N902" s="660"/>
      <c r="O902" s="660"/>
      <c r="P902" s="660"/>
      <c r="Q902" s="660"/>
      <c r="R902" s="660"/>
      <c r="S902" s="660"/>
      <c r="T902" s="660"/>
      <c r="U902" s="660"/>
      <c r="V902" s="660"/>
      <c r="W902" s="660"/>
      <c r="X902" s="660"/>
      <c r="Y902" s="660"/>
      <c r="Z902" s="660"/>
      <c r="AA902" s="660"/>
      <c r="AB902" s="660"/>
      <c r="AC902" s="661"/>
      <c r="AD902" s="606"/>
      <c r="AE902" s="19"/>
      <c r="AF902" s="19"/>
      <c r="AG902" s="19"/>
    </row>
    <row r="903" spans="1:33" outlineLevel="2" x14ac:dyDescent="0.2">
      <c r="A903" s="606"/>
      <c r="B903" s="606"/>
      <c r="C903" s="607"/>
      <c r="D903" s="608"/>
      <c r="E903" s="608"/>
      <c r="F903" s="608"/>
      <c r="G903" s="608"/>
      <c r="H903" s="609"/>
      <c r="I903" s="660"/>
      <c r="J903" s="660"/>
      <c r="K903" s="660"/>
      <c r="L903" s="660"/>
      <c r="M903" s="660"/>
      <c r="N903" s="660"/>
      <c r="O903" s="660"/>
      <c r="P903" s="660"/>
      <c r="Q903" s="660"/>
      <c r="R903" s="660"/>
      <c r="S903" s="660"/>
      <c r="T903" s="660"/>
      <c r="U903" s="660"/>
      <c r="V903" s="660"/>
      <c r="W903" s="660"/>
      <c r="X903" s="660"/>
      <c r="Y903" s="660"/>
      <c r="Z903" s="660"/>
      <c r="AA903" s="660"/>
      <c r="AB903" s="660"/>
      <c r="AC903" s="661"/>
      <c r="AD903" s="606"/>
      <c r="AE903" s="19"/>
      <c r="AF903" s="19"/>
      <c r="AG903" s="19"/>
    </row>
    <row r="904" spans="1:33" outlineLevel="2" x14ac:dyDescent="0.2">
      <c r="A904" s="606"/>
      <c r="B904" s="606"/>
      <c r="C904" s="607"/>
      <c r="D904" s="608"/>
      <c r="E904" s="608"/>
      <c r="F904" s="608"/>
      <c r="G904" s="608"/>
      <c r="H904" s="609"/>
      <c r="I904" s="660"/>
      <c r="J904" s="660"/>
      <c r="K904" s="660"/>
      <c r="L904" s="660"/>
      <c r="M904" s="660"/>
      <c r="N904" s="660"/>
      <c r="O904" s="660"/>
      <c r="P904" s="660"/>
      <c r="Q904" s="660"/>
      <c r="R904" s="660"/>
      <c r="S904" s="660"/>
      <c r="T904" s="660"/>
      <c r="U904" s="660"/>
      <c r="V904" s="660"/>
      <c r="W904" s="660"/>
      <c r="X904" s="660"/>
      <c r="Y904" s="660"/>
      <c r="Z904" s="660"/>
      <c r="AA904" s="660"/>
      <c r="AB904" s="660"/>
      <c r="AC904" s="661"/>
      <c r="AD904" s="606"/>
      <c r="AE904" s="19"/>
      <c r="AF904" s="19"/>
      <c r="AG904" s="19"/>
    </row>
    <row r="905" spans="1:33" outlineLevel="2" x14ac:dyDescent="0.2">
      <c r="A905" s="606"/>
      <c r="B905" s="606"/>
      <c r="C905" s="607"/>
      <c r="D905" s="608"/>
      <c r="E905" s="608"/>
      <c r="F905" s="608"/>
      <c r="G905" s="608"/>
      <c r="H905" s="609"/>
      <c r="I905" s="660"/>
      <c r="J905" s="660"/>
      <c r="K905" s="660"/>
      <c r="L905" s="660"/>
      <c r="M905" s="660"/>
      <c r="N905" s="660"/>
      <c r="O905" s="660"/>
      <c r="P905" s="660"/>
      <c r="Q905" s="660"/>
      <c r="R905" s="660"/>
      <c r="S905" s="660"/>
      <c r="T905" s="660"/>
      <c r="U905" s="660"/>
      <c r="V905" s="660"/>
      <c r="W905" s="660"/>
      <c r="X905" s="660"/>
      <c r="Y905" s="660"/>
      <c r="Z905" s="660"/>
      <c r="AA905" s="660"/>
      <c r="AB905" s="660"/>
      <c r="AC905" s="661"/>
      <c r="AD905" s="606"/>
      <c r="AE905" s="19"/>
      <c r="AF905" s="19"/>
      <c r="AG905" s="19"/>
    </row>
    <row r="906" spans="1:33" outlineLevel="2" x14ac:dyDescent="0.2">
      <c r="A906" s="606"/>
      <c r="B906" s="606"/>
      <c r="C906" s="607"/>
      <c r="D906" s="608"/>
      <c r="E906" s="608"/>
      <c r="F906" s="608"/>
      <c r="G906" s="608"/>
      <c r="H906" s="609"/>
      <c r="I906" s="660"/>
      <c r="J906" s="660"/>
      <c r="K906" s="660"/>
      <c r="L906" s="660"/>
      <c r="M906" s="660"/>
      <c r="N906" s="660"/>
      <c r="O906" s="660"/>
      <c r="P906" s="660"/>
      <c r="Q906" s="660"/>
      <c r="R906" s="660"/>
      <c r="S906" s="660"/>
      <c r="T906" s="660"/>
      <c r="U906" s="660"/>
      <c r="V906" s="660"/>
      <c r="W906" s="660"/>
      <c r="X906" s="660"/>
      <c r="Y906" s="660"/>
      <c r="Z906" s="660"/>
      <c r="AA906" s="660"/>
      <c r="AB906" s="660"/>
      <c r="AC906" s="661"/>
      <c r="AD906" s="606"/>
      <c r="AE906" s="19"/>
      <c r="AF906" s="19"/>
      <c r="AG906" s="19"/>
    </row>
    <row r="907" spans="1:33" outlineLevel="2" x14ac:dyDescent="0.2">
      <c r="A907" s="606"/>
      <c r="B907" s="606"/>
      <c r="C907" s="607"/>
      <c r="D907" s="608"/>
      <c r="E907" s="608"/>
      <c r="F907" s="608"/>
      <c r="G907" s="608"/>
      <c r="H907" s="609"/>
      <c r="I907" s="660"/>
      <c r="J907" s="660"/>
      <c r="K907" s="660"/>
      <c r="L907" s="660"/>
      <c r="M907" s="660"/>
      <c r="N907" s="660"/>
      <c r="O907" s="660"/>
      <c r="P907" s="660"/>
      <c r="Q907" s="660"/>
      <c r="R907" s="660"/>
      <c r="S907" s="660"/>
      <c r="T907" s="660"/>
      <c r="U907" s="660"/>
      <c r="V907" s="660"/>
      <c r="W907" s="660"/>
      <c r="X907" s="660"/>
      <c r="Y907" s="660"/>
      <c r="Z907" s="660"/>
      <c r="AA907" s="660"/>
      <c r="AB907" s="660"/>
      <c r="AC907" s="661"/>
      <c r="AD907" s="606"/>
      <c r="AE907" s="19"/>
      <c r="AF907" s="19"/>
      <c r="AG907" s="19"/>
    </row>
    <row r="908" spans="1:33" outlineLevel="2" x14ac:dyDescent="0.2">
      <c r="A908" s="606"/>
      <c r="B908" s="606"/>
      <c r="C908" s="607"/>
      <c r="D908" s="608"/>
      <c r="E908" s="608"/>
      <c r="F908" s="608"/>
      <c r="G908" s="608"/>
      <c r="H908" s="609"/>
      <c r="I908" s="660"/>
      <c r="J908" s="660"/>
      <c r="K908" s="660"/>
      <c r="L908" s="660"/>
      <c r="M908" s="660"/>
      <c r="N908" s="660"/>
      <c r="O908" s="660"/>
      <c r="P908" s="660"/>
      <c r="Q908" s="660"/>
      <c r="R908" s="660"/>
      <c r="S908" s="660"/>
      <c r="T908" s="660"/>
      <c r="U908" s="660"/>
      <c r="V908" s="660"/>
      <c r="W908" s="660"/>
      <c r="X908" s="660"/>
      <c r="Y908" s="660"/>
      <c r="Z908" s="660"/>
      <c r="AA908" s="660"/>
      <c r="AB908" s="660"/>
      <c r="AC908" s="661"/>
      <c r="AD908" s="606"/>
      <c r="AE908" s="19"/>
      <c r="AF908" s="19"/>
      <c r="AG908" s="19"/>
    </row>
    <row r="909" spans="1:33" outlineLevel="2" x14ac:dyDescent="0.2">
      <c r="A909" s="606"/>
      <c r="B909" s="606"/>
      <c r="C909" s="607"/>
      <c r="D909" s="608"/>
      <c r="E909" s="608"/>
      <c r="F909" s="608"/>
      <c r="G909" s="608"/>
      <c r="H909" s="609"/>
      <c r="I909" s="660"/>
      <c r="J909" s="660"/>
      <c r="K909" s="660"/>
      <c r="L909" s="660"/>
      <c r="M909" s="660"/>
      <c r="N909" s="660"/>
      <c r="O909" s="660"/>
      <c r="P909" s="660"/>
      <c r="Q909" s="660"/>
      <c r="R909" s="660"/>
      <c r="S909" s="660"/>
      <c r="T909" s="660"/>
      <c r="U909" s="660"/>
      <c r="V909" s="660"/>
      <c r="W909" s="660"/>
      <c r="X909" s="660"/>
      <c r="Y909" s="660"/>
      <c r="Z909" s="660"/>
      <c r="AA909" s="660"/>
      <c r="AB909" s="660"/>
      <c r="AC909" s="661"/>
      <c r="AD909" s="606"/>
      <c r="AE909" s="19"/>
      <c r="AF909" s="19"/>
      <c r="AG909" s="19"/>
    </row>
    <row r="910" spans="1:33" outlineLevel="2" x14ac:dyDescent="0.2">
      <c r="A910" s="606"/>
      <c r="B910" s="606"/>
      <c r="C910" s="607"/>
      <c r="D910" s="608"/>
      <c r="E910" s="608"/>
      <c r="F910" s="608"/>
      <c r="G910" s="608"/>
      <c r="H910" s="609"/>
      <c r="I910" s="660"/>
      <c r="J910" s="660"/>
      <c r="K910" s="660"/>
      <c r="L910" s="660"/>
      <c r="M910" s="660"/>
      <c r="N910" s="660"/>
      <c r="O910" s="660"/>
      <c r="P910" s="660"/>
      <c r="Q910" s="660"/>
      <c r="R910" s="660"/>
      <c r="S910" s="660"/>
      <c r="T910" s="660"/>
      <c r="U910" s="660"/>
      <c r="V910" s="660"/>
      <c r="W910" s="660"/>
      <c r="X910" s="660"/>
      <c r="Y910" s="660"/>
      <c r="Z910" s="660"/>
      <c r="AA910" s="660"/>
      <c r="AB910" s="660"/>
      <c r="AC910" s="661"/>
      <c r="AD910" s="606"/>
      <c r="AE910" s="19"/>
      <c r="AF910" s="19"/>
      <c r="AG910" s="19"/>
    </row>
    <row r="911" spans="1:33" outlineLevel="2" x14ac:dyDescent="0.2">
      <c r="A911" s="606"/>
      <c r="B911" s="606"/>
      <c r="C911" s="607"/>
      <c r="D911" s="608"/>
      <c r="E911" s="608"/>
      <c r="F911" s="608"/>
      <c r="G911" s="608"/>
      <c r="H911" s="609"/>
      <c r="I911" s="660"/>
      <c r="J911" s="660"/>
      <c r="K911" s="660"/>
      <c r="L911" s="660"/>
      <c r="M911" s="660"/>
      <c r="N911" s="660"/>
      <c r="O911" s="660"/>
      <c r="P911" s="660"/>
      <c r="Q911" s="660"/>
      <c r="R911" s="660"/>
      <c r="S911" s="660"/>
      <c r="T911" s="660"/>
      <c r="U911" s="660"/>
      <c r="V911" s="660"/>
      <c r="W911" s="660"/>
      <c r="X911" s="660"/>
      <c r="Y911" s="660"/>
      <c r="Z911" s="660"/>
      <c r="AA911" s="660"/>
      <c r="AB911" s="660"/>
      <c r="AC911" s="661"/>
      <c r="AD911" s="606"/>
      <c r="AE911" s="19"/>
      <c r="AF911" s="19"/>
      <c r="AG911" s="19"/>
    </row>
    <row r="912" spans="1:33" outlineLevel="2" x14ac:dyDescent="0.2">
      <c r="A912" s="606"/>
      <c r="B912" s="606"/>
      <c r="C912" s="607"/>
      <c r="D912" s="608"/>
      <c r="E912" s="608"/>
      <c r="F912" s="608"/>
      <c r="G912" s="608"/>
      <c r="H912" s="609"/>
      <c r="I912" s="660"/>
      <c r="J912" s="660"/>
      <c r="K912" s="660"/>
      <c r="L912" s="660"/>
      <c r="M912" s="660"/>
      <c r="N912" s="660"/>
      <c r="O912" s="660"/>
      <c r="P912" s="660"/>
      <c r="Q912" s="660"/>
      <c r="R912" s="660"/>
      <c r="S912" s="660"/>
      <c r="T912" s="660"/>
      <c r="U912" s="660"/>
      <c r="V912" s="660"/>
      <c r="W912" s="660"/>
      <c r="X912" s="660"/>
      <c r="Y912" s="660"/>
      <c r="Z912" s="660"/>
      <c r="AA912" s="660"/>
      <c r="AB912" s="660"/>
      <c r="AC912" s="661"/>
      <c r="AD912" s="606"/>
      <c r="AE912" s="19"/>
      <c r="AF912" s="19"/>
      <c r="AG912" s="19"/>
    </row>
    <row r="913" spans="1:33" outlineLevel="2" x14ac:dyDescent="0.2">
      <c r="A913" s="606"/>
      <c r="B913" s="606"/>
      <c r="C913" s="607"/>
      <c r="D913" s="608"/>
      <c r="E913" s="608"/>
      <c r="F913" s="608"/>
      <c r="G913" s="608"/>
      <c r="H913" s="609"/>
      <c r="I913" s="660"/>
      <c r="J913" s="660"/>
      <c r="K913" s="660"/>
      <c r="L913" s="660"/>
      <c r="M913" s="660"/>
      <c r="N913" s="660"/>
      <c r="O913" s="660"/>
      <c r="P913" s="660"/>
      <c r="Q913" s="660"/>
      <c r="R913" s="660"/>
      <c r="S913" s="660"/>
      <c r="T913" s="660"/>
      <c r="U913" s="660"/>
      <c r="V913" s="660"/>
      <c r="W913" s="660"/>
      <c r="X913" s="660"/>
      <c r="Y913" s="660"/>
      <c r="Z913" s="660"/>
      <c r="AA913" s="660"/>
      <c r="AB913" s="660"/>
      <c r="AC913" s="661"/>
      <c r="AD913" s="606"/>
      <c r="AE913" s="19"/>
      <c r="AF913" s="19"/>
      <c r="AG913" s="19"/>
    </row>
    <row r="914" spans="1:33" outlineLevel="2" x14ac:dyDescent="0.2">
      <c r="A914" s="606"/>
      <c r="B914" s="606"/>
      <c r="C914" s="607"/>
      <c r="D914" s="608"/>
      <c r="E914" s="608"/>
      <c r="F914" s="608"/>
      <c r="G914" s="608"/>
      <c r="H914" s="609"/>
      <c r="I914" s="660"/>
      <c r="J914" s="660"/>
      <c r="K914" s="660"/>
      <c r="L914" s="660"/>
      <c r="M914" s="660"/>
      <c r="N914" s="660"/>
      <c r="O914" s="660"/>
      <c r="P914" s="660"/>
      <c r="Q914" s="660"/>
      <c r="R914" s="660"/>
      <c r="S914" s="660"/>
      <c r="T914" s="660"/>
      <c r="U914" s="660"/>
      <c r="V914" s="660"/>
      <c r="W914" s="660"/>
      <c r="X914" s="660"/>
      <c r="Y914" s="660"/>
      <c r="Z914" s="660"/>
      <c r="AA914" s="660"/>
      <c r="AB914" s="660"/>
      <c r="AC914" s="661"/>
      <c r="AD914" s="606"/>
      <c r="AE914" s="19"/>
      <c r="AF914" s="19"/>
      <c r="AG914" s="19"/>
    </row>
    <row r="915" spans="1:33" outlineLevel="2" x14ac:dyDescent="0.2">
      <c r="A915" s="606"/>
      <c r="B915" s="606"/>
      <c r="C915" s="607"/>
      <c r="D915" s="608"/>
      <c r="E915" s="608"/>
      <c r="F915" s="608"/>
      <c r="G915" s="608"/>
      <c r="H915" s="609"/>
      <c r="I915" s="660"/>
      <c r="J915" s="660"/>
      <c r="K915" s="660"/>
      <c r="L915" s="660"/>
      <c r="M915" s="660"/>
      <c r="N915" s="660"/>
      <c r="O915" s="660"/>
      <c r="P915" s="660"/>
      <c r="Q915" s="660"/>
      <c r="R915" s="660"/>
      <c r="S915" s="660"/>
      <c r="T915" s="660"/>
      <c r="U915" s="660"/>
      <c r="V915" s="660"/>
      <c r="W915" s="660"/>
      <c r="X915" s="660"/>
      <c r="Y915" s="660"/>
      <c r="Z915" s="660"/>
      <c r="AA915" s="660"/>
      <c r="AB915" s="660"/>
      <c r="AC915" s="661"/>
      <c r="AD915" s="606"/>
      <c r="AE915" s="19"/>
      <c r="AF915" s="19"/>
      <c r="AG915" s="19"/>
    </row>
    <row r="916" spans="1:33" outlineLevel="2" x14ac:dyDescent="0.2">
      <c r="A916" s="606"/>
      <c r="B916" s="606"/>
      <c r="C916" s="607"/>
      <c r="D916" s="608"/>
      <c r="E916" s="608"/>
      <c r="F916" s="608"/>
      <c r="G916" s="608"/>
      <c r="H916" s="609"/>
      <c r="I916" s="660"/>
      <c r="J916" s="660"/>
      <c r="K916" s="660"/>
      <c r="L916" s="660"/>
      <c r="M916" s="660"/>
      <c r="N916" s="660"/>
      <c r="O916" s="660"/>
      <c r="P916" s="660"/>
      <c r="Q916" s="660"/>
      <c r="R916" s="660"/>
      <c r="S916" s="660"/>
      <c r="T916" s="660"/>
      <c r="U916" s="660"/>
      <c r="V916" s="660"/>
      <c r="W916" s="660"/>
      <c r="X916" s="660"/>
      <c r="Y916" s="660"/>
      <c r="Z916" s="660"/>
      <c r="AA916" s="660"/>
      <c r="AB916" s="660"/>
      <c r="AC916" s="661"/>
      <c r="AD916" s="606"/>
      <c r="AE916" s="19"/>
      <c r="AF916" s="19"/>
      <c r="AG916" s="19"/>
    </row>
    <row r="917" spans="1:33" outlineLevel="2" x14ac:dyDescent="0.2">
      <c r="A917" s="606"/>
      <c r="B917" s="606"/>
      <c r="C917" s="607"/>
      <c r="D917" s="608"/>
      <c r="E917" s="608"/>
      <c r="F917" s="608"/>
      <c r="G917" s="608"/>
      <c r="H917" s="609"/>
      <c r="I917" s="660"/>
      <c r="J917" s="660"/>
      <c r="K917" s="660"/>
      <c r="L917" s="660"/>
      <c r="M917" s="660"/>
      <c r="N917" s="660"/>
      <c r="O917" s="660"/>
      <c r="P917" s="660"/>
      <c r="Q917" s="660"/>
      <c r="R917" s="660"/>
      <c r="S917" s="660"/>
      <c r="T917" s="660"/>
      <c r="U917" s="660"/>
      <c r="V917" s="660"/>
      <c r="W917" s="660"/>
      <c r="X917" s="660"/>
      <c r="Y917" s="660"/>
      <c r="Z917" s="660"/>
      <c r="AA917" s="660"/>
      <c r="AB917" s="660"/>
      <c r="AC917" s="661"/>
      <c r="AD917" s="606"/>
      <c r="AE917" s="19"/>
      <c r="AF917" s="19"/>
      <c r="AG917" s="19"/>
    </row>
    <row r="918" spans="1:33" outlineLevel="2" x14ac:dyDescent="0.2">
      <c r="A918" s="606"/>
      <c r="B918" s="606"/>
      <c r="C918" s="607"/>
      <c r="D918" s="608"/>
      <c r="E918" s="608"/>
      <c r="F918" s="608"/>
      <c r="G918" s="608"/>
      <c r="H918" s="609"/>
      <c r="I918" s="660"/>
      <c r="J918" s="660"/>
      <c r="K918" s="660"/>
      <c r="L918" s="660"/>
      <c r="M918" s="660"/>
      <c r="N918" s="660"/>
      <c r="O918" s="660"/>
      <c r="P918" s="660"/>
      <c r="Q918" s="660"/>
      <c r="R918" s="660"/>
      <c r="S918" s="660"/>
      <c r="T918" s="660"/>
      <c r="U918" s="660"/>
      <c r="V918" s="660"/>
      <c r="W918" s="660"/>
      <c r="X918" s="660"/>
      <c r="Y918" s="660"/>
      <c r="Z918" s="660"/>
      <c r="AA918" s="660"/>
      <c r="AB918" s="660"/>
      <c r="AC918" s="661"/>
      <c r="AD918" s="606"/>
      <c r="AE918" s="19"/>
      <c r="AF918" s="19"/>
      <c r="AG918" s="19"/>
    </row>
    <row r="919" spans="1:33" outlineLevel="2" x14ac:dyDescent="0.2">
      <c r="A919" s="606"/>
      <c r="B919" s="606"/>
      <c r="C919" s="607"/>
      <c r="D919" s="608"/>
      <c r="E919" s="608"/>
      <c r="F919" s="608"/>
      <c r="G919" s="608"/>
      <c r="H919" s="609"/>
      <c r="I919" s="660"/>
      <c r="J919" s="660"/>
      <c r="K919" s="660"/>
      <c r="L919" s="660"/>
      <c r="M919" s="660"/>
      <c r="N919" s="660"/>
      <c r="O919" s="660"/>
      <c r="P919" s="660"/>
      <c r="Q919" s="660"/>
      <c r="R919" s="660"/>
      <c r="S919" s="660"/>
      <c r="T919" s="660"/>
      <c r="U919" s="660"/>
      <c r="V919" s="660"/>
      <c r="W919" s="660"/>
      <c r="X919" s="660"/>
      <c r="Y919" s="660"/>
      <c r="Z919" s="660"/>
      <c r="AA919" s="660"/>
      <c r="AB919" s="660"/>
      <c r="AC919" s="661"/>
      <c r="AD919" s="606"/>
      <c r="AE919" s="19"/>
      <c r="AF919" s="19"/>
      <c r="AG919" s="19"/>
    </row>
    <row r="920" spans="1:33" outlineLevel="2" x14ac:dyDescent="0.2">
      <c r="A920" s="606"/>
      <c r="B920" s="606"/>
      <c r="C920" s="607"/>
      <c r="D920" s="608"/>
      <c r="E920" s="608"/>
      <c r="F920" s="608"/>
      <c r="G920" s="608"/>
      <c r="H920" s="609"/>
      <c r="I920" s="660"/>
      <c r="J920" s="660"/>
      <c r="K920" s="660"/>
      <c r="L920" s="660"/>
      <c r="M920" s="660"/>
      <c r="N920" s="660"/>
      <c r="O920" s="660"/>
      <c r="P920" s="660"/>
      <c r="Q920" s="660"/>
      <c r="R920" s="660"/>
      <c r="S920" s="660"/>
      <c r="T920" s="660"/>
      <c r="U920" s="660"/>
      <c r="V920" s="660"/>
      <c r="W920" s="660"/>
      <c r="X920" s="660"/>
      <c r="Y920" s="660"/>
      <c r="Z920" s="660"/>
      <c r="AA920" s="660"/>
      <c r="AB920" s="660"/>
      <c r="AC920" s="661"/>
      <c r="AD920" s="606"/>
      <c r="AE920" s="19"/>
      <c r="AF920" s="19"/>
      <c r="AG920" s="19"/>
    </row>
    <row r="921" spans="1:33" outlineLevel="2" x14ac:dyDescent="0.2">
      <c r="A921" s="606"/>
      <c r="B921" s="606"/>
      <c r="C921" s="607"/>
      <c r="D921" s="608"/>
      <c r="E921" s="608"/>
      <c r="F921" s="608"/>
      <c r="G921" s="608"/>
      <c r="H921" s="609"/>
      <c r="I921" s="660"/>
      <c r="J921" s="660"/>
      <c r="K921" s="660"/>
      <c r="L921" s="660"/>
      <c r="M921" s="660"/>
      <c r="N921" s="660"/>
      <c r="O921" s="660"/>
      <c r="P921" s="660"/>
      <c r="Q921" s="660"/>
      <c r="R921" s="660"/>
      <c r="S921" s="660"/>
      <c r="T921" s="660"/>
      <c r="U921" s="660"/>
      <c r="V921" s="660"/>
      <c r="W921" s="660"/>
      <c r="X921" s="660"/>
      <c r="Y921" s="660"/>
      <c r="Z921" s="660"/>
      <c r="AA921" s="660"/>
      <c r="AB921" s="660"/>
      <c r="AC921" s="661"/>
      <c r="AD921" s="606"/>
      <c r="AE921" s="19"/>
      <c r="AF921" s="19"/>
      <c r="AG921" s="19"/>
    </row>
    <row r="922" spans="1:33" outlineLevel="2" x14ac:dyDescent="0.2">
      <c r="A922" s="606"/>
      <c r="B922" s="606"/>
      <c r="C922" s="607"/>
      <c r="D922" s="608"/>
      <c r="E922" s="608"/>
      <c r="F922" s="608"/>
      <c r="G922" s="608"/>
      <c r="H922" s="609"/>
      <c r="I922" s="660"/>
      <c r="J922" s="660"/>
      <c r="K922" s="660"/>
      <c r="L922" s="660"/>
      <c r="M922" s="660"/>
      <c r="N922" s="660"/>
      <c r="O922" s="660"/>
      <c r="P922" s="660"/>
      <c r="Q922" s="660"/>
      <c r="R922" s="660"/>
      <c r="S922" s="660"/>
      <c r="T922" s="660"/>
      <c r="U922" s="660"/>
      <c r="V922" s="660"/>
      <c r="W922" s="660"/>
      <c r="X922" s="660"/>
      <c r="Y922" s="660"/>
      <c r="Z922" s="660"/>
      <c r="AA922" s="660"/>
      <c r="AB922" s="660"/>
      <c r="AC922" s="661"/>
      <c r="AD922" s="606"/>
      <c r="AE922" s="19"/>
      <c r="AF922" s="19"/>
      <c r="AG922" s="19"/>
    </row>
    <row r="923" spans="1:33" outlineLevel="2" x14ac:dyDescent="0.2">
      <c r="A923" s="606"/>
      <c r="B923" s="606"/>
      <c r="C923" s="607"/>
      <c r="D923" s="608"/>
      <c r="E923" s="608"/>
      <c r="F923" s="608"/>
      <c r="G923" s="608"/>
      <c r="H923" s="609"/>
      <c r="I923" s="660"/>
      <c r="J923" s="660"/>
      <c r="K923" s="660"/>
      <c r="L923" s="660"/>
      <c r="M923" s="660"/>
      <c r="N923" s="660"/>
      <c r="O923" s="660"/>
      <c r="P923" s="660"/>
      <c r="Q923" s="660"/>
      <c r="R923" s="660"/>
      <c r="S923" s="660"/>
      <c r="T923" s="660"/>
      <c r="U923" s="660"/>
      <c r="V923" s="660"/>
      <c r="W923" s="660"/>
      <c r="X923" s="660"/>
      <c r="Y923" s="660"/>
      <c r="Z923" s="660"/>
      <c r="AA923" s="660"/>
      <c r="AB923" s="660"/>
      <c r="AC923" s="661"/>
      <c r="AD923" s="606"/>
      <c r="AE923" s="19"/>
      <c r="AF923" s="19"/>
      <c r="AG923" s="19"/>
    </row>
    <row r="924" spans="1:33" outlineLevel="2" x14ac:dyDescent="0.2">
      <c r="A924" s="606"/>
      <c r="B924" s="606"/>
      <c r="C924" s="607"/>
      <c r="D924" s="608"/>
      <c r="E924" s="608"/>
      <c r="F924" s="608"/>
      <c r="G924" s="608"/>
      <c r="H924" s="609"/>
      <c r="I924" s="660"/>
      <c r="J924" s="660"/>
      <c r="K924" s="660"/>
      <c r="L924" s="660"/>
      <c r="M924" s="660"/>
      <c r="N924" s="660"/>
      <c r="O924" s="660"/>
      <c r="P924" s="660"/>
      <c r="Q924" s="660"/>
      <c r="R924" s="660"/>
      <c r="S924" s="660"/>
      <c r="T924" s="660"/>
      <c r="U924" s="660"/>
      <c r="V924" s="660"/>
      <c r="W924" s="660"/>
      <c r="X924" s="660"/>
      <c r="Y924" s="660"/>
      <c r="Z924" s="660"/>
      <c r="AA924" s="660"/>
      <c r="AB924" s="660"/>
      <c r="AC924" s="661"/>
      <c r="AD924" s="606"/>
      <c r="AE924" s="19"/>
      <c r="AF924" s="19"/>
      <c r="AG924" s="19"/>
    </row>
    <row r="925" spans="1:33" outlineLevel="2" x14ac:dyDescent="0.2">
      <c r="A925" s="606"/>
      <c r="B925" s="606"/>
      <c r="C925" s="607"/>
      <c r="D925" s="608"/>
      <c r="E925" s="608"/>
      <c r="F925" s="608"/>
      <c r="G925" s="608"/>
      <c r="H925" s="609"/>
      <c r="I925" s="660"/>
      <c r="J925" s="660"/>
      <c r="K925" s="660"/>
      <c r="L925" s="660"/>
      <c r="M925" s="660"/>
      <c r="N925" s="660"/>
      <c r="O925" s="660"/>
      <c r="P925" s="660"/>
      <c r="Q925" s="660"/>
      <c r="R925" s="660"/>
      <c r="S925" s="660"/>
      <c r="T925" s="660"/>
      <c r="U925" s="660"/>
      <c r="V925" s="660"/>
      <c r="W925" s="660"/>
      <c r="X925" s="660"/>
      <c r="Y925" s="660"/>
      <c r="Z925" s="660"/>
      <c r="AA925" s="660"/>
      <c r="AB925" s="660"/>
      <c r="AC925" s="661"/>
      <c r="AD925" s="606"/>
      <c r="AE925" s="19"/>
      <c r="AF925" s="19"/>
      <c r="AG925" s="19"/>
    </row>
    <row r="926" spans="1:33" outlineLevel="2" x14ac:dyDescent="0.2">
      <c r="A926" s="606"/>
      <c r="B926" s="606"/>
      <c r="C926" s="607"/>
      <c r="D926" s="608"/>
      <c r="E926" s="608"/>
      <c r="F926" s="608"/>
      <c r="G926" s="608"/>
      <c r="H926" s="609"/>
      <c r="I926" s="660"/>
      <c r="J926" s="660"/>
      <c r="K926" s="660"/>
      <c r="L926" s="660"/>
      <c r="M926" s="660"/>
      <c r="N926" s="660"/>
      <c r="O926" s="660"/>
      <c r="P926" s="660"/>
      <c r="Q926" s="660"/>
      <c r="R926" s="660"/>
      <c r="S926" s="660"/>
      <c r="T926" s="660"/>
      <c r="U926" s="660"/>
      <c r="V926" s="660"/>
      <c r="W926" s="660"/>
      <c r="X926" s="660"/>
      <c r="Y926" s="660"/>
      <c r="Z926" s="660"/>
      <c r="AA926" s="660"/>
      <c r="AB926" s="660"/>
      <c r="AC926" s="661"/>
      <c r="AD926" s="606"/>
      <c r="AE926" s="19"/>
      <c r="AF926" s="19"/>
      <c r="AG926" s="19"/>
    </row>
    <row r="927" spans="1:33" outlineLevel="2" x14ac:dyDescent="0.2">
      <c r="A927" s="606"/>
      <c r="B927" s="606"/>
      <c r="C927" s="607"/>
      <c r="D927" s="608"/>
      <c r="E927" s="608"/>
      <c r="F927" s="608"/>
      <c r="G927" s="608"/>
      <c r="H927" s="609"/>
      <c r="I927" s="660"/>
      <c r="J927" s="660"/>
      <c r="K927" s="660"/>
      <c r="L927" s="660"/>
      <c r="M927" s="660"/>
      <c r="N927" s="660"/>
      <c r="O927" s="660"/>
      <c r="P927" s="660"/>
      <c r="Q927" s="660"/>
      <c r="R927" s="660"/>
      <c r="S927" s="660"/>
      <c r="T927" s="660"/>
      <c r="U927" s="660"/>
      <c r="V927" s="660"/>
      <c r="W927" s="660"/>
      <c r="X927" s="660"/>
      <c r="Y927" s="660"/>
      <c r="Z927" s="660"/>
      <c r="AA927" s="660"/>
      <c r="AB927" s="660"/>
      <c r="AC927" s="661"/>
      <c r="AD927" s="606"/>
      <c r="AE927" s="19"/>
      <c r="AF927" s="19"/>
      <c r="AG927" s="19"/>
    </row>
    <row r="928" spans="1:33" outlineLevel="2" x14ac:dyDescent="0.2">
      <c r="A928" s="606"/>
      <c r="B928" s="606"/>
      <c r="C928" s="607"/>
      <c r="D928" s="608"/>
      <c r="E928" s="608"/>
      <c r="F928" s="608"/>
      <c r="G928" s="608"/>
      <c r="H928" s="609"/>
      <c r="I928" s="660"/>
      <c r="J928" s="660"/>
      <c r="K928" s="660"/>
      <c r="L928" s="660"/>
      <c r="M928" s="660"/>
      <c r="N928" s="660"/>
      <c r="O928" s="660"/>
      <c r="P928" s="660"/>
      <c r="Q928" s="660"/>
      <c r="R928" s="660"/>
      <c r="S928" s="660"/>
      <c r="T928" s="660"/>
      <c r="U928" s="660"/>
      <c r="V928" s="660"/>
      <c r="W928" s="660"/>
      <c r="X928" s="660"/>
      <c r="Y928" s="660"/>
      <c r="Z928" s="660"/>
      <c r="AA928" s="660"/>
      <c r="AB928" s="660"/>
      <c r="AC928" s="661"/>
      <c r="AD928" s="606"/>
      <c r="AE928" s="19"/>
      <c r="AF928" s="19"/>
      <c r="AG928" s="19"/>
    </row>
    <row r="929" spans="1:33" hidden="1" outlineLevel="3" x14ac:dyDescent="0.2">
      <c r="A929" s="606"/>
      <c r="B929" s="606"/>
      <c r="C929" s="607"/>
      <c r="D929" s="608"/>
      <c r="E929" s="608"/>
      <c r="F929" s="608"/>
      <c r="G929" s="608"/>
      <c r="H929" s="609"/>
      <c r="I929" s="660"/>
      <c r="J929" s="660"/>
      <c r="K929" s="660"/>
      <c r="L929" s="660"/>
      <c r="M929" s="660"/>
      <c r="N929" s="660"/>
      <c r="O929" s="660"/>
      <c r="P929" s="660"/>
      <c r="Q929" s="660"/>
      <c r="R929" s="660"/>
      <c r="S929" s="660"/>
      <c r="T929" s="660"/>
      <c r="U929" s="660"/>
      <c r="V929" s="660"/>
      <c r="W929" s="660"/>
      <c r="X929" s="660"/>
      <c r="Y929" s="660"/>
      <c r="Z929" s="660"/>
      <c r="AA929" s="660"/>
      <c r="AB929" s="660"/>
      <c r="AC929" s="661"/>
      <c r="AD929" s="606"/>
      <c r="AE929" s="19"/>
      <c r="AF929" s="19"/>
      <c r="AG929" s="19"/>
    </row>
    <row r="930" spans="1:33" hidden="1" outlineLevel="3" x14ac:dyDescent="0.2">
      <c r="A930" s="606"/>
      <c r="B930" s="606"/>
      <c r="C930" s="607"/>
      <c r="D930" s="608"/>
      <c r="E930" s="608"/>
      <c r="F930" s="608"/>
      <c r="G930" s="608"/>
      <c r="H930" s="609"/>
      <c r="I930" s="660"/>
      <c r="J930" s="660"/>
      <c r="K930" s="660"/>
      <c r="L930" s="660"/>
      <c r="M930" s="660"/>
      <c r="N930" s="660"/>
      <c r="O930" s="660"/>
      <c r="P930" s="660"/>
      <c r="Q930" s="660"/>
      <c r="R930" s="660"/>
      <c r="S930" s="660"/>
      <c r="T930" s="660"/>
      <c r="U930" s="660"/>
      <c r="V930" s="660"/>
      <c r="W930" s="660"/>
      <c r="X930" s="660"/>
      <c r="Y930" s="660"/>
      <c r="Z930" s="660"/>
      <c r="AA930" s="660"/>
      <c r="AB930" s="660"/>
      <c r="AC930" s="661"/>
      <c r="AD930" s="606"/>
      <c r="AE930" s="19"/>
      <c r="AF930" s="19"/>
      <c r="AG930" s="19"/>
    </row>
    <row r="931" spans="1:33" hidden="1" outlineLevel="3" x14ac:dyDescent="0.2">
      <c r="A931" s="606"/>
      <c r="B931" s="606"/>
      <c r="C931" s="607"/>
      <c r="D931" s="608"/>
      <c r="E931" s="608"/>
      <c r="F931" s="608"/>
      <c r="G931" s="608"/>
      <c r="H931" s="609"/>
      <c r="I931" s="660"/>
      <c r="J931" s="660"/>
      <c r="K931" s="660"/>
      <c r="L931" s="660"/>
      <c r="M931" s="660"/>
      <c r="N931" s="660"/>
      <c r="O931" s="660"/>
      <c r="P931" s="660"/>
      <c r="Q931" s="660"/>
      <c r="R931" s="660"/>
      <c r="S931" s="660"/>
      <c r="T931" s="660"/>
      <c r="U931" s="660"/>
      <c r="V931" s="660"/>
      <c r="W931" s="660"/>
      <c r="X931" s="660"/>
      <c r="Y931" s="660"/>
      <c r="Z931" s="660"/>
      <c r="AA931" s="660"/>
      <c r="AB931" s="660"/>
      <c r="AC931" s="661"/>
      <c r="AD931" s="606"/>
      <c r="AE931" s="19"/>
      <c r="AF931" s="19"/>
      <c r="AG931" s="19"/>
    </row>
    <row r="932" spans="1:33" hidden="1" outlineLevel="3" x14ac:dyDescent="0.2">
      <c r="A932" s="606"/>
      <c r="B932" s="606"/>
      <c r="C932" s="607"/>
      <c r="D932" s="608"/>
      <c r="E932" s="608"/>
      <c r="F932" s="608"/>
      <c r="G932" s="608"/>
      <c r="H932" s="609"/>
      <c r="I932" s="660"/>
      <c r="J932" s="660"/>
      <c r="K932" s="660"/>
      <c r="L932" s="660"/>
      <c r="M932" s="660"/>
      <c r="N932" s="660"/>
      <c r="O932" s="660"/>
      <c r="P932" s="660"/>
      <c r="Q932" s="660"/>
      <c r="R932" s="660"/>
      <c r="S932" s="660"/>
      <c r="T932" s="660"/>
      <c r="U932" s="660"/>
      <c r="V932" s="660"/>
      <c r="W932" s="660"/>
      <c r="X932" s="660"/>
      <c r="Y932" s="660"/>
      <c r="Z932" s="660"/>
      <c r="AA932" s="660"/>
      <c r="AB932" s="660"/>
      <c r="AC932" s="661"/>
      <c r="AD932" s="606"/>
      <c r="AE932" s="19"/>
      <c r="AF932" s="19"/>
      <c r="AG932" s="19"/>
    </row>
    <row r="933" spans="1:33" hidden="1" outlineLevel="3" x14ac:dyDescent="0.2">
      <c r="A933" s="606"/>
      <c r="B933" s="606"/>
      <c r="C933" s="607"/>
      <c r="D933" s="608"/>
      <c r="E933" s="608"/>
      <c r="F933" s="608"/>
      <c r="G933" s="608"/>
      <c r="H933" s="609"/>
      <c r="I933" s="660"/>
      <c r="J933" s="660"/>
      <c r="K933" s="660"/>
      <c r="L933" s="660"/>
      <c r="M933" s="660"/>
      <c r="N933" s="660"/>
      <c r="O933" s="660"/>
      <c r="P933" s="660"/>
      <c r="Q933" s="660"/>
      <c r="R933" s="660"/>
      <c r="S933" s="660"/>
      <c r="T933" s="660"/>
      <c r="U933" s="660"/>
      <c r="V933" s="660"/>
      <c r="W933" s="660"/>
      <c r="X933" s="660"/>
      <c r="Y933" s="660"/>
      <c r="Z933" s="660"/>
      <c r="AA933" s="660"/>
      <c r="AB933" s="660"/>
      <c r="AC933" s="661"/>
      <c r="AD933" s="606"/>
      <c r="AE933" s="19"/>
      <c r="AF933" s="19"/>
      <c r="AG933" s="19"/>
    </row>
    <row r="934" spans="1:33" hidden="1" outlineLevel="3" x14ac:dyDescent="0.2">
      <c r="A934" s="606"/>
      <c r="B934" s="606"/>
      <c r="C934" s="607"/>
      <c r="D934" s="608"/>
      <c r="E934" s="608"/>
      <c r="F934" s="608"/>
      <c r="G934" s="608"/>
      <c r="H934" s="609"/>
      <c r="I934" s="660"/>
      <c r="J934" s="660"/>
      <c r="K934" s="660"/>
      <c r="L934" s="660"/>
      <c r="M934" s="660"/>
      <c r="N934" s="660"/>
      <c r="O934" s="660"/>
      <c r="P934" s="660"/>
      <c r="Q934" s="660"/>
      <c r="R934" s="660"/>
      <c r="S934" s="660"/>
      <c r="T934" s="660"/>
      <c r="U934" s="660"/>
      <c r="V934" s="660"/>
      <c r="W934" s="660"/>
      <c r="X934" s="660"/>
      <c r="Y934" s="660"/>
      <c r="Z934" s="660"/>
      <c r="AA934" s="660"/>
      <c r="AB934" s="660"/>
      <c r="AC934" s="661"/>
      <c r="AD934" s="606"/>
      <c r="AE934" s="19"/>
      <c r="AF934" s="19"/>
      <c r="AG934" s="19"/>
    </row>
    <row r="935" spans="1:33" hidden="1" outlineLevel="3" x14ac:dyDescent="0.2">
      <c r="A935" s="606"/>
      <c r="B935" s="606"/>
      <c r="C935" s="607"/>
      <c r="D935" s="608"/>
      <c r="E935" s="608"/>
      <c r="F935" s="608"/>
      <c r="G935" s="608"/>
      <c r="H935" s="609"/>
      <c r="I935" s="660"/>
      <c r="J935" s="660"/>
      <c r="K935" s="660"/>
      <c r="L935" s="660"/>
      <c r="M935" s="660"/>
      <c r="N935" s="660"/>
      <c r="O935" s="660"/>
      <c r="P935" s="660"/>
      <c r="Q935" s="660"/>
      <c r="R935" s="660"/>
      <c r="S935" s="660"/>
      <c r="T935" s="660"/>
      <c r="U935" s="660"/>
      <c r="V935" s="660"/>
      <c r="W935" s="660"/>
      <c r="X935" s="660"/>
      <c r="Y935" s="660"/>
      <c r="Z935" s="660"/>
      <c r="AA935" s="660"/>
      <c r="AB935" s="660"/>
      <c r="AC935" s="661"/>
      <c r="AD935" s="606"/>
      <c r="AE935" s="19"/>
      <c r="AF935" s="19"/>
      <c r="AG935" s="19"/>
    </row>
    <row r="936" spans="1:33" hidden="1" outlineLevel="3" x14ac:dyDescent="0.2">
      <c r="A936" s="606"/>
      <c r="B936" s="606"/>
      <c r="C936" s="607"/>
      <c r="D936" s="608"/>
      <c r="E936" s="608"/>
      <c r="F936" s="608"/>
      <c r="G936" s="608"/>
      <c r="H936" s="609"/>
      <c r="I936" s="660"/>
      <c r="J936" s="660"/>
      <c r="K936" s="660"/>
      <c r="L936" s="660"/>
      <c r="M936" s="660"/>
      <c r="N936" s="660"/>
      <c r="O936" s="660"/>
      <c r="P936" s="660"/>
      <c r="Q936" s="660"/>
      <c r="R936" s="660"/>
      <c r="S936" s="660"/>
      <c r="T936" s="660"/>
      <c r="U936" s="660"/>
      <c r="V936" s="660"/>
      <c r="W936" s="660"/>
      <c r="X936" s="660"/>
      <c r="Y936" s="660"/>
      <c r="Z936" s="660"/>
      <c r="AA936" s="660"/>
      <c r="AB936" s="660"/>
      <c r="AC936" s="661"/>
      <c r="AD936" s="606"/>
      <c r="AE936" s="19"/>
      <c r="AF936" s="19"/>
      <c r="AG936" s="19"/>
    </row>
    <row r="937" spans="1:33" hidden="1" outlineLevel="3" x14ac:dyDescent="0.2">
      <c r="A937" s="606"/>
      <c r="B937" s="606"/>
      <c r="C937" s="607"/>
      <c r="D937" s="608"/>
      <c r="E937" s="608"/>
      <c r="F937" s="608"/>
      <c r="G937" s="608"/>
      <c r="H937" s="609"/>
      <c r="I937" s="660"/>
      <c r="J937" s="660"/>
      <c r="K937" s="660"/>
      <c r="L937" s="660"/>
      <c r="M937" s="660"/>
      <c r="N937" s="660"/>
      <c r="O937" s="660"/>
      <c r="P937" s="660"/>
      <c r="Q937" s="660"/>
      <c r="R937" s="660"/>
      <c r="S937" s="660"/>
      <c r="T937" s="660"/>
      <c r="U937" s="660"/>
      <c r="V937" s="660"/>
      <c r="W937" s="660"/>
      <c r="X937" s="660"/>
      <c r="Y937" s="660"/>
      <c r="Z937" s="660"/>
      <c r="AA937" s="660"/>
      <c r="AB937" s="660"/>
      <c r="AC937" s="661"/>
      <c r="AD937" s="606"/>
      <c r="AE937" s="19"/>
      <c r="AF937" s="19"/>
      <c r="AG937" s="19"/>
    </row>
    <row r="938" spans="1:33" hidden="1" outlineLevel="3" x14ac:dyDescent="0.2">
      <c r="A938" s="606"/>
      <c r="B938" s="606"/>
      <c r="C938" s="607"/>
      <c r="D938" s="608"/>
      <c r="E938" s="608"/>
      <c r="F938" s="608"/>
      <c r="G938" s="608"/>
      <c r="H938" s="609"/>
      <c r="I938" s="660"/>
      <c r="J938" s="660"/>
      <c r="K938" s="660"/>
      <c r="L938" s="660"/>
      <c r="M938" s="660"/>
      <c r="N938" s="660"/>
      <c r="O938" s="660"/>
      <c r="P938" s="660"/>
      <c r="Q938" s="660"/>
      <c r="R938" s="660"/>
      <c r="S938" s="660"/>
      <c r="T938" s="660"/>
      <c r="U938" s="660"/>
      <c r="V938" s="660"/>
      <c r="W938" s="660"/>
      <c r="X938" s="660"/>
      <c r="Y938" s="660"/>
      <c r="Z938" s="660"/>
      <c r="AA938" s="660"/>
      <c r="AB938" s="660"/>
      <c r="AC938" s="661"/>
      <c r="AD938" s="606"/>
      <c r="AE938" s="19"/>
      <c r="AF938" s="19"/>
      <c r="AG938" s="19"/>
    </row>
    <row r="939" spans="1:33" hidden="1" outlineLevel="3" x14ac:dyDescent="0.2">
      <c r="A939" s="606"/>
      <c r="B939" s="606"/>
      <c r="C939" s="607"/>
      <c r="D939" s="608"/>
      <c r="E939" s="608"/>
      <c r="F939" s="608"/>
      <c r="G939" s="608"/>
      <c r="H939" s="609"/>
      <c r="I939" s="660"/>
      <c r="J939" s="660"/>
      <c r="K939" s="660"/>
      <c r="L939" s="660"/>
      <c r="M939" s="660"/>
      <c r="N939" s="660"/>
      <c r="O939" s="660"/>
      <c r="P939" s="660"/>
      <c r="Q939" s="660"/>
      <c r="R939" s="660"/>
      <c r="S939" s="660"/>
      <c r="T939" s="660"/>
      <c r="U939" s="660"/>
      <c r="V939" s="660"/>
      <c r="W939" s="660"/>
      <c r="X939" s="660"/>
      <c r="Y939" s="660"/>
      <c r="Z939" s="660"/>
      <c r="AA939" s="660"/>
      <c r="AB939" s="660"/>
      <c r="AC939" s="661"/>
      <c r="AD939" s="606"/>
      <c r="AE939" s="19"/>
      <c r="AF939" s="19"/>
      <c r="AG939" s="19"/>
    </row>
    <row r="940" spans="1:33" hidden="1" outlineLevel="3" x14ac:dyDescent="0.2">
      <c r="A940" s="606"/>
      <c r="B940" s="606"/>
      <c r="C940" s="607"/>
      <c r="D940" s="608"/>
      <c r="E940" s="608"/>
      <c r="F940" s="608"/>
      <c r="G940" s="608"/>
      <c r="H940" s="609"/>
      <c r="I940" s="660"/>
      <c r="J940" s="660"/>
      <c r="K940" s="660"/>
      <c r="L940" s="660"/>
      <c r="M940" s="660"/>
      <c r="N940" s="660"/>
      <c r="O940" s="660"/>
      <c r="P940" s="660"/>
      <c r="Q940" s="660"/>
      <c r="R940" s="660"/>
      <c r="S940" s="660"/>
      <c r="T940" s="660"/>
      <c r="U940" s="660"/>
      <c r="V940" s="660"/>
      <c r="W940" s="660"/>
      <c r="X940" s="660"/>
      <c r="Y940" s="660"/>
      <c r="Z940" s="660"/>
      <c r="AA940" s="660"/>
      <c r="AB940" s="660"/>
      <c r="AC940" s="661"/>
      <c r="AD940" s="606"/>
      <c r="AE940" s="19"/>
      <c r="AF940" s="19"/>
      <c r="AG940" s="19"/>
    </row>
    <row r="941" spans="1:33" hidden="1" outlineLevel="3" x14ac:dyDescent="0.2">
      <c r="A941" s="606"/>
      <c r="B941" s="606"/>
      <c r="C941" s="607"/>
      <c r="D941" s="608"/>
      <c r="E941" s="608"/>
      <c r="F941" s="608"/>
      <c r="G941" s="608"/>
      <c r="H941" s="609"/>
      <c r="I941" s="660"/>
      <c r="J941" s="660"/>
      <c r="K941" s="660"/>
      <c r="L941" s="660"/>
      <c r="M941" s="660"/>
      <c r="N941" s="660"/>
      <c r="O941" s="660"/>
      <c r="P941" s="660"/>
      <c r="Q941" s="660"/>
      <c r="R941" s="660"/>
      <c r="S941" s="660"/>
      <c r="T941" s="660"/>
      <c r="U941" s="660"/>
      <c r="V941" s="660"/>
      <c r="W941" s="660"/>
      <c r="X941" s="660"/>
      <c r="Y941" s="660"/>
      <c r="Z941" s="660"/>
      <c r="AA941" s="660"/>
      <c r="AB941" s="660"/>
      <c r="AC941" s="661"/>
      <c r="AD941" s="606"/>
      <c r="AE941" s="19"/>
      <c r="AF941" s="19"/>
      <c r="AG941" s="19"/>
    </row>
    <row r="942" spans="1:33" hidden="1" outlineLevel="3" x14ac:dyDescent="0.2">
      <c r="A942" s="606"/>
      <c r="B942" s="606"/>
      <c r="C942" s="607"/>
      <c r="D942" s="608"/>
      <c r="E942" s="608"/>
      <c r="F942" s="608"/>
      <c r="G942" s="608"/>
      <c r="H942" s="609"/>
      <c r="I942" s="660"/>
      <c r="J942" s="660"/>
      <c r="K942" s="660"/>
      <c r="L942" s="660"/>
      <c r="M942" s="660"/>
      <c r="N942" s="660"/>
      <c r="O942" s="660"/>
      <c r="P942" s="660"/>
      <c r="Q942" s="660"/>
      <c r="R942" s="660"/>
      <c r="S942" s="660"/>
      <c r="T942" s="660"/>
      <c r="U942" s="660"/>
      <c r="V942" s="660"/>
      <c r="W942" s="660"/>
      <c r="X942" s="660"/>
      <c r="Y942" s="660"/>
      <c r="Z942" s="660"/>
      <c r="AA942" s="660"/>
      <c r="AB942" s="660"/>
      <c r="AC942" s="661"/>
      <c r="AD942" s="606"/>
      <c r="AE942" s="19"/>
      <c r="AF942" s="19"/>
      <c r="AG942" s="19"/>
    </row>
    <row r="943" spans="1:33" hidden="1" outlineLevel="3" x14ac:dyDescent="0.2">
      <c r="A943" s="606"/>
      <c r="B943" s="606"/>
      <c r="C943" s="607"/>
      <c r="D943" s="608"/>
      <c r="E943" s="608"/>
      <c r="F943" s="608"/>
      <c r="G943" s="608"/>
      <c r="H943" s="609"/>
      <c r="I943" s="660"/>
      <c r="J943" s="660"/>
      <c r="K943" s="660"/>
      <c r="L943" s="660"/>
      <c r="M943" s="660"/>
      <c r="N943" s="660"/>
      <c r="O943" s="660"/>
      <c r="P943" s="660"/>
      <c r="Q943" s="660"/>
      <c r="R943" s="660"/>
      <c r="S943" s="660"/>
      <c r="T943" s="660"/>
      <c r="U943" s="660"/>
      <c r="V943" s="660"/>
      <c r="W943" s="660"/>
      <c r="X943" s="660"/>
      <c r="Y943" s="660"/>
      <c r="Z943" s="660"/>
      <c r="AA943" s="660"/>
      <c r="AB943" s="660"/>
      <c r="AC943" s="661"/>
      <c r="AD943" s="606"/>
      <c r="AE943" s="19"/>
      <c r="AF943" s="19"/>
      <c r="AG943" s="19"/>
    </row>
    <row r="944" spans="1:33" hidden="1" outlineLevel="3" x14ac:dyDescent="0.2">
      <c r="A944" s="606"/>
      <c r="B944" s="606"/>
      <c r="C944" s="607"/>
      <c r="D944" s="608"/>
      <c r="E944" s="608"/>
      <c r="F944" s="608"/>
      <c r="G944" s="608"/>
      <c r="H944" s="609"/>
      <c r="I944" s="660"/>
      <c r="J944" s="660"/>
      <c r="K944" s="660"/>
      <c r="L944" s="660"/>
      <c r="M944" s="660"/>
      <c r="N944" s="660"/>
      <c r="O944" s="660"/>
      <c r="P944" s="660"/>
      <c r="Q944" s="660"/>
      <c r="R944" s="660"/>
      <c r="S944" s="660"/>
      <c r="T944" s="660"/>
      <c r="U944" s="660"/>
      <c r="V944" s="660"/>
      <c r="W944" s="660"/>
      <c r="X944" s="660"/>
      <c r="Y944" s="660"/>
      <c r="Z944" s="660"/>
      <c r="AA944" s="660"/>
      <c r="AB944" s="660"/>
      <c r="AC944" s="661"/>
      <c r="AD944" s="606"/>
      <c r="AE944" s="19"/>
      <c r="AF944" s="19"/>
      <c r="AG944" s="19"/>
    </row>
    <row r="945" spans="1:33" hidden="1" outlineLevel="3" x14ac:dyDescent="0.2">
      <c r="A945" s="606"/>
      <c r="B945" s="606"/>
      <c r="C945" s="607"/>
      <c r="D945" s="608"/>
      <c r="E945" s="608"/>
      <c r="F945" s="608"/>
      <c r="G945" s="608"/>
      <c r="H945" s="609"/>
      <c r="I945" s="660"/>
      <c r="J945" s="660"/>
      <c r="K945" s="660"/>
      <c r="L945" s="660"/>
      <c r="M945" s="660"/>
      <c r="N945" s="660"/>
      <c r="O945" s="660"/>
      <c r="P945" s="660"/>
      <c r="Q945" s="660"/>
      <c r="R945" s="660"/>
      <c r="S945" s="660"/>
      <c r="T945" s="660"/>
      <c r="U945" s="660"/>
      <c r="V945" s="660"/>
      <c r="W945" s="660"/>
      <c r="X945" s="660"/>
      <c r="Y945" s="660"/>
      <c r="Z945" s="660"/>
      <c r="AA945" s="660"/>
      <c r="AB945" s="660"/>
      <c r="AC945" s="661"/>
      <c r="AD945" s="606"/>
      <c r="AE945" s="19"/>
      <c r="AF945" s="19"/>
      <c r="AG945" s="19"/>
    </row>
    <row r="946" spans="1:33" hidden="1" outlineLevel="3" x14ac:dyDescent="0.2">
      <c r="A946" s="606"/>
      <c r="B946" s="606"/>
      <c r="C946" s="607"/>
      <c r="D946" s="608"/>
      <c r="E946" s="608"/>
      <c r="F946" s="608"/>
      <c r="G946" s="608"/>
      <c r="H946" s="609"/>
      <c r="I946" s="660"/>
      <c r="J946" s="660"/>
      <c r="K946" s="660"/>
      <c r="L946" s="660"/>
      <c r="M946" s="660"/>
      <c r="N946" s="660"/>
      <c r="O946" s="660"/>
      <c r="P946" s="660"/>
      <c r="Q946" s="660"/>
      <c r="R946" s="660"/>
      <c r="S946" s="660"/>
      <c r="T946" s="660"/>
      <c r="U946" s="660"/>
      <c r="V946" s="660"/>
      <c r="W946" s="660"/>
      <c r="X946" s="660"/>
      <c r="Y946" s="660"/>
      <c r="Z946" s="660"/>
      <c r="AA946" s="660"/>
      <c r="AB946" s="660"/>
      <c r="AC946" s="661"/>
      <c r="AD946" s="606"/>
      <c r="AE946" s="19"/>
      <c r="AF946" s="19"/>
      <c r="AG946" s="19"/>
    </row>
    <row r="947" spans="1:33" hidden="1" outlineLevel="3" x14ac:dyDescent="0.2">
      <c r="A947" s="606"/>
      <c r="B947" s="606"/>
      <c r="C947" s="607"/>
      <c r="D947" s="608"/>
      <c r="E947" s="608"/>
      <c r="F947" s="608"/>
      <c r="G947" s="608"/>
      <c r="H947" s="609"/>
      <c r="I947" s="660"/>
      <c r="J947" s="660"/>
      <c r="K947" s="660"/>
      <c r="L947" s="660"/>
      <c r="M947" s="660"/>
      <c r="N947" s="660"/>
      <c r="O947" s="660"/>
      <c r="P947" s="660"/>
      <c r="Q947" s="660"/>
      <c r="R947" s="660"/>
      <c r="S947" s="660"/>
      <c r="T947" s="660"/>
      <c r="U947" s="660"/>
      <c r="V947" s="660"/>
      <c r="W947" s="660"/>
      <c r="X947" s="660"/>
      <c r="Y947" s="660"/>
      <c r="Z947" s="660"/>
      <c r="AA947" s="660"/>
      <c r="AB947" s="660"/>
      <c r="AC947" s="661"/>
      <c r="AD947" s="606"/>
      <c r="AE947" s="19"/>
      <c r="AF947" s="19"/>
      <c r="AG947" s="19"/>
    </row>
    <row r="948" spans="1:33" hidden="1" outlineLevel="3" x14ac:dyDescent="0.2">
      <c r="A948" s="606"/>
      <c r="B948" s="606"/>
      <c r="C948" s="607"/>
      <c r="D948" s="608"/>
      <c r="E948" s="608"/>
      <c r="F948" s="608"/>
      <c r="G948" s="608"/>
      <c r="H948" s="609"/>
      <c r="I948" s="660"/>
      <c r="J948" s="660"/>
      <c r="K948" s="660"/>
      <c r="L948" s="660"/>
      <c r="M948" s="660"/>
      <c r="N948" s="660"/>
      <c r="O948" s="660"/>
      <c r="P948" s="660"/>
      <c r="Q948" s="660"/>
      <c r="R948" s="660"/>
      <c r="S948" s="660"/>
      <c r="T948" s="660"/>
      <c r="U948" s="660"/>
      <c r="V948" s="660"/>
      <c r="W948" s="660"/>
      <c r="X948" s="660"/>
      <c r="Y948" s="660"/>
      <c r="Z948" s="660"/>
      <c r="AA948" s="660"/>
      <c r="AB948" s="660"/>
      <c r="AC948" s="661"/>
      <c r="AD948" s="606"/>
      <c r="AE948" s="19"/>
      <c r="AF948" s="19"/>
      <c r="AG948" s="19"/>
    </row>
    <row r="949" spans="1:33" hidden="1" outlineLevel="3" x14ac:dyDescent="0.2">
      <c r="A949" s="606"/>
      <c r="B949" s="606"/>
      <c r="C949" s="607"/>
      <c r="D949" s="608"/>
      <c r="E949" s="608"/>
      <c r="F949" s="608"/>
      <c r="G949" s="608"/>
      <c r="H949" s="609"/>
      <c r="I949" s="660"/>
      <c r="J949" s="660"/>
      <c r="K949" s="660"/>
      <c r="L949" s="660"/>
      <c r="M949" s="660"/>
      <c r="N949" s="660"/>
      <c r="O949" s="660"/>
      <c r="P949" s="660"/>
      <c r="Q949" s="660"/>
      <c r="R949" s="660"/>
      <c r="S949" s="660"/>
      <c r="T949" s="660"/>
      <c r="U949" s="660"/>
      <c r="V949" s="660"/>
      <c r="W949" s="660"/>
      <c r="X949" s="660"/>
      <c r="Y949" s="660"/>
      <c r="Z949" s="660"/>
      <c r="AA949" s="660"/>
      <c r="AB949" s="660"/>
      <c r="AC949" s="661"/>
      <c r="AD949" s="606"/>
      <c r="AE949" s="19"/>
      <c r="AF949" s="19"/>
      <c r="AG949" s="19"/>
    </row>
    <row r="950" spans="1:33" hidden="1" outlineLevel="3" x14ac:dyDescent="0.2">
      <c r="A950" s="606"/>
      <c r="B950" s="606"/>
      <c r="C950" s="607"/>
      <c r="D950" s="608"/>
      <c r="E950" s="608"/>
      <c r="F950" s="608"/>
      <c r="G950" s="608"/>
      <c r="H950" s="609"/>
      <c r="I950" s="660"/>
      <c r="J950" s="660"/>
      <c r="K950" s="660"/>
      <c r="L950" s="660"/>
      <c r="M950" s="660"/>
      <c r="N950" s="660"/>
      <c r="O950" s="660"/>
      <c r="P950" s="660"/>
      <c r="Q950" s="660"/>
      <c r="R950" s="660"/>
      <c r="S950" s="660"/>
      <c r="T950" s="660"/>
      <c r="U950" s="660"/>
      <c r="V950" s="660"/>
      <c r="W950" s="660"/>
      <c r="X950" s="660"/>
      <c r="Y950" s="660"/>
      <c r="Z950" s="660"/>
      <c r="AA950" s="660"/>
      <c r="AB950" s="660"/>
      <c r="AC950" s="661"/>
      <c r="AD950" s="606"/>
      <c r="AE950" s="19"/>
      <c r="AF950" s="19"/>
      <c r="AG950" s="19"/>
    </row>
    <row r="951" spans="1:33" hidden="1" outlineLevel="3" x14ac:dyDescent="0.2">
      <c r="A951" s="606"/>
      <c r="B951" s="606"/>
      <c r="C951" s="607"/>
      <c r="D951" s="608"/>
      <c r="E951" s="608"/>
      <c r="F951" s="608"/>
      <c r="G951" s="608"/>
      <c r="H951" s="609"/>
      <c r="I951" s="660"/>
      <c r="J951" s="660"/>
      <c r="K951" s="660"/>
      <c r="L951" s="660"/>
      <c r="M951" s="660"/>
      <c r="N951" s="660"/>
      <c r="O951" s="660"/>
      <c r="P951" s="660"/>
      <c r="Q951" s="660"/>
      <c r="R951" s="660"/>
      <c r="S951" s="660"/>
      <c r="T951" s="660"/>
      <c r="U951" s="660"/>
      <c r="V951" s="660"/>
      <c r="W951" s="660"/>
      <c r="X951" s="660"/>
      <c r="Y951" s="660"/>
      <c r="Z951" s="660"/>
      <c r="AA951" s="660"/>
      <c r="AB951" s="660"/>
      <c r="AC951" s="661"/>
      <c r="AD951" s="606"/>
      <c r="AE951" s="19"/>
      <c r="AF951" s="19"/>
      <c r="AG951" s="19"/>
    </row>
    <row r="952" spans="1:33" hidden="1" outlineLevel="3" x14ac:dyDescent="0.2">
      <c r="A952" s="606"/>
      <c r="B952" s="606"/>
      <c r="C952" s="607"/>
      <c r="D952" s="608"/>
      <c r="E952" s="608"/>
      <c r="F952" s="608"/>
      <c r="G952" s="608"/>
      <c r="H952" s="609"/>
      <c r="I952" s="660"/>
      <c r="J952" s="660"/>
      <c r="K952" s="660"/>
      <c r="L952" s="660"/>
      <c r="M952" s="660"/>
      <c r="N952" s="660"/>
      <c r="O952" s="660"/>
      <c r="P952" s="660"/>
      <c r="Q952" s="660"/>
      <c r="R952" s="660"/>
      <c r="S952" s="660"/>
      <c r="T952" s="660"/>
      <c r="U952" s="660"/>
      <c r="V952" s="660"/>
      <c r="W952" s="660"/>
      <c r="X952" s="660"/>
      <c r="Y952" s="660"/>
      <c r="Z952" s="660"/>
      <c r="AA952" s="660"/>
      <c r="AB952" s="660"/>
      <c r="AC952" s="661"/>
      <c r="AD952" s="606"/>
      <c r="AE952" s="19"/>
      <c r="AF952" s="19"/>
      <c r="AG952" s="19"/>
    </row>
    <row r="953" spans="1:33" hidden="1" outlineLevel="3" x14ac:dyDescent="0.2">
      <c r="A953" s="606"/>
      <c r="B953" s="606"/>
      <c r="C953" s="607"/>
      <c r="D953" s="608"/>
      <c r="E953" s="608"/>
      <c r="F953" s="608"/>
      <c r="G953" s="608"/>
      <c r="H953" s="609"/>
      <c r="I953" s="660"/>
      <c r="J953" s="660"/>
      <c r="K953" s="660"/>
      <c r="L953" s="660"/>
      <c r="M953" s="660"/>
      <c r="N953" s="660"/>
      <c r="O953" s="660"/>
      <c r="P953" s="660"/>
      <c r="Q953" s="660"/>
      <c r="R953" s="660"/>
      <c r="S953" s="660"/>
      <c r="T953" s="660"/>
      <c r="U953" s="660"/>
      <c r="V953" s="660"/>
      <c r="W953" s="660"/>
      <c r="X953" s="660"/>
      <c r="Y953" s="660"/>
      <c r="Z953" s="660"/>
      <c r="AA953" s="660"/>
      <c r="AB953" s="660"/>
      <c r="AC953" s="661"/>
      <c r="AD953" s="606"/>
      <c r="AE953" s="19"/>
      <c r="AF953" s="19"/>
      <c r="AG953" s="19"/>
    </row>
    <row r="954" spans="1:33" hidden="1" outlineLevel="3" x14ac:dyDescent="0.2">
      <c r="A954" s="606"/>
      <c r="B954" s="606"/>
      <c r="C954" s="607"/>
      <c r="D954" s="608"/>
      <c r="E954" s="608"/>
      <c r="F954" s="608"/>
      <c r="G954" s="608"/>
      <c r="H954" s="609"/>
      <c r="I954" s="660"/>
      <c r="J954" s="660"/>
      <c r="K954" s="660"/>
      <c r="L954" s="660"/>
      <c r="M954" s="660"/>
      <c r="N954" s="660"/>
      <c r="O954" s="660"/>
      <c r="P954" s="660"/>
      <c r="Q954" s="660"/>
      <c r="R954" s="660"/>
      <c r="S954" s="660"/>
      <c r="T954" s="660"/>
      <c r="U954" s="660"/>
      <c r="V954" s="660"/>
      <c r="W954" s="660"/>
      <c r="X954" s="660"/>
      <c r="Y954" s="660"/>
      <c r="Z954" s="660"/>
      <c r="AA954" s="660"/>
      <c r="AB954" s="660"/>
      <c r="AC954" s="661"/>
      <c r="AD954" s="606"/>
      <c r="AE954" s="19"/>
      <c r="AF954" s="19"/>
      <c r="AG954" s="19"/>
    </row>
    <row r="955" spans="1:33" hidden="1" outlineLevel="3" x14ac:dyDescent="0.2">
      <c r="A955" s="606"/>
      <c r="B955" s="606"/>
      <c r="C955" s="607"/>
      <c r="D955" s="608"/>
      <c r="E955" s="608"/>
      <c r="F955" s="608"/>
      <c r="G955" s="608"/>
      <c r="H955" s="609"/>
      <c r="I955" s="660"/>
      <c r="J955" s="660"/>
      <c r="K955" s="660"/>
      <c r="L955" s="660"/>
      <c r="M955" s="660"/>
      <c r="N955" s="660"/>
      <c r="O955" s="660"/>
      <c r="P955" s="660"/>
      <c r="Q955" s="660"/>
      <c r="R955" s="660"/>
      <c r="S955" s="660"/>
      <c r="T955" s="660"/>
      <c r="U955" s="660"/>
      <c r="V955" s="660"/>
      <c r="W955" s="660"/>
      <c r="X955" s="660"/>
      <c r="Y955" s="660"/>
      <c r="Z955" s="660"/>
      <c r="AA955" s="660"/>
      <c r="AB955" s="660"/>
      <c r="AC955" s="661"/>
      <c r="AD955" s="606"/>
      <c r="AE955" s="19"/>
      <c r="AF955" s="19"/>
      <c r="AG955" s="19"/>
    </row>
    <row r="956" spans="1:33" hidden="1" outlineLevel="3" x14ac:dyDescent="0.2">
      <c r="A956" s="606"/>
      <c r="B956" s="606"/>
      <c r="C956" s="607"/>
      <c r="D956" s="608"/>
      <c r="E956" s="608"/>
      <c r="F956" s="608"/>
      <c r="G956" s="608"/>
      <c r="H956" s="609"/>
      <c r="I956" s="660"/>
      <c r="J956" s="660"/>
      <c r="K956" s="660"/>
      <c r="L956" s="660"/>
      <c r="M956" s="660"/>
      <c r="N956" s="660"/>
      <c r="O956" s="660"/>
      <c r="P956" s="660"/>
      <c r="Q956" s="660"/>
      <c r="R956" s="660"/>
      <c r="S956" s="660"/>
      <c r="T956" s="660"/>
      <c r="U956" s="660"/>
      <c r="V956" s="660"/>
      <c r="W956" s="660"/>
      <c r="X956" s="660"/>
      <c r="Y956" s="660"/>
      <c r="Z956" s="660"/>
      <c r="AA956" s="660"/>
      <c r="AB956" s="660"/>
      <c r="AC956" s="661"/>
      <c r="AD956" s="606"/>
      <c r="AE956" s="19"/>
      <c r="AF956" s="19"/>
      <c r="AG956" s="19"/>
    </row>
    <row r="957" spans="1:33" hidden="1" outlineLevel="3" x14ac:dyDescent="0.2">
      <c r="A957" s="606"/>
      <c r="B957" s="606"/>
      <c r="C957" s="607"/>
      <c r="D957" s="608"/>
      <c r="E957" s="608"/>
      <c r="F957" s="608"/>
      <c r="G957" s="608"/>
      <c r="H957" s="609"/>
      <c r="I957" s="660"/>
      <c r="J957" s="660"/>
      <c r="K957" s="660"/>
      <c r="L957" s="660"/>
      <c r="M957" s="660"/>
      <c r="N957" s="660"/>
      <c r="O957" s="660"/>
      <c r="P957" s="660"/>
      <c r="Q957" s="660"/>
      <c r="R957" s="660"/>
      <c r="S957" s="660"/>
      <c r="T957" s="660"/>
      <c r="U957" s="660"/>
      <c r="V957" s="660"/>
      <c r="W957" s="660"/>
      <c r="X957" s="660"/>
      <c r="Y957" s="660"/>
      <c r="Z957" s="660"/>
      <c r="AA957" s="660"/>
      <c r="AB957" s="660"/>
      <c r="AC957" s="661"/>
      <c r="AD957" s="606"/>
      <c r="AE957" s="19"/>
      <c r="AF957" s="19"/>
      <c r="AG957" s="19"/>
    </row>
    <row r="958" spans="1:33" hidden="1" outlineLevel="3" x14ac:dyDescent="0.2">
      <c r="A958" s="606"/>
      <c r="B958" s="606"/>
      <c r="C958" s="607"/>
      <c r="D958" s="608"/>
      <c r="E958" s="608"/>
      <c r="F958" s="608"/>
      <c r="G958" s="608"/>
      <c r="H958" s="609"/>
      <c r="I958" s="660"/>
      <c r="J958" s="660"/>
      <c r="K958" s="660"/>
      <c r="L958" s="660"/>
      <c r="M958" s="660"/>
      <c r="N958" s="660"/>
      <c r="O958" s="660"/>
      <c r="P958" s="660"/>
      <c r="Q958" s="660"/>
      <c r="R958" s="660"/>
      <c r="S958" s="660"/>
      <c r="T958" s="660"/>
      <c r="U958" s="660"/>
      <c r="V958" s="660"/>
      <c r="W958" s="660"/>
      <c r="X958" s="660"/>
      <c r="Y958" s="660"/>
      <c r="Z958" s="660"/>
      <c r="AA958" s="660"/>
      <c r="AB958" s="660"/>
      <c r="AC958" s="661"/>
      <c r="AD958" s="606"/>
      <c r="AE958" s="19"/>
      <c r="AF958" s="19"/>
      <c r="AG958" s="19"/>
    </row>
    <row r="959" spans="1:33" hidden="1" outlineLevel="3" x14ac:dyDescent="0.2">
      <c r="A959" s="606"/>
      <c r="B959" s="606"/>
      <c r="C959" s="607"/>
      <c r="D959" s="608"/>
      <c r="E959" s="608"/>
      <c r="F959" s="608"/>
      <c r="G959" s="608"/>
      <c r="H959" s="609"/>
      <c r="I959" s="660"/>
      <c r="J959" s="660"/>
      <c r="K959" s="660"/>
      <c r="L959" s="660"/>
      <c r="M959" s="660"/>
      <c r="N959" s="660"/>
      <c r="O959" s="660"/>
      <c r="P959" s="660"/>
      <c r="Q959" s="660"/>
      <c r="R959" s="660"/>
      <c r="S959" s="660"/>
      <c r="T959" s="660"/>
      <c r="U959" s="660"/>
      <c r="V959" s="660"/>
      <c r="W959" s="660"/>
      <c r="X959" s="660"/>
      <c r="Y959" s="660"/>
      <c r="Z959" s="660"/>
      <c r="AA959" s="660"/>
      <c r="AB959" s="660"/>
      <c r="AC959" s="661"/>
      <c r="AD959" s="606"/>
      <c r="AE959" s="19"/>
      <c r="AF959" s="19"/>
      <c r="AG959" s="19"/>
    </row>
    <row r="960" spans="1:33" hidden="1" outlineLevel="3" x14ac:dyDescent="0.2">
      <c r="A960" s="606"/>
      <c r="B960" s="606"/>
      <c r="C960" s="607"/>
      <c r="D960" s="608"/>
      <c r="E960" s="608"/>
      <c r="F960" s="608"/>
      <c r="G960" s="608"/>
      <c r="H960" s="609"/>
      <c r="I960" s="660"/>
      <c r="J960" s="660"/>
      <c r="K960" s="660"/>
      <c r="L960" s="660"/>
      <c r="M960" s="660"/>
      <c r="N960" s="660"/>
      <c r="O960" s="660"/>
      <c r="P960" s="660"/>
      <c r="Q960" s="660"/>
      <c r="R960" s="660"/>
      <c r="S960" s="660"/>
      <c r="T960" s="660"/>
      <c r="U960" s="660"/>
      <c r="V960" s="660"/>
      <c r="W960" s="660"/>
      <c r="X960" s="660"/>
      <c r="Y960" s="660"/>
      <c r="Z960" s="660"/>
      <c r="AA960" s="660"/>
      <c r="AB960" s="660"/>
      <c r="AC960" s="661"/>
      <c r="AD960" s="606"/>
      <c r="AE960" s="19"/>
      <c r="AF960" s="19"/>
      <c r="AG960" s="19"/>
    </row>
    <row r="961" spans="1:33" hidden="1" outlineLevel="3" x14ac:dyDescent="0.2">
      <c r="A961" s="606"/>
      <c r="B961" s="606"/>
      <c r="C961" s="607"/>
      <c r="D961" s="608"/>
      <c r="E961" s="608"/>
      <c r="F961" s="608"/>
      <c r="G961" s="608"/>
      <c r="H961" s="609"/>
      <c r="I961" s="660"/>
      <c r="J961" s="660"/>
      <c r="K961" s="660"/>
      <c r="L961" s="660"/>
      <c r="M961" s="660"/>
      <c r="N961" s="660"/>
      <c r="O961" s="660"/>
      <c r="P961" s="660"/>
      <c r="Q961" s="660"/>
      <c r="R961" s="660"/>
      <c r="S961" s="660"/>
      <c r="T961" s="660"/>
      <c r="U961" s="660"/>
      <c r="V961" s="660"/>
      <c r="W961" s="660"/>
      <c r="X961" s="660"/>
      <c r="Y961" s="660"/>
      <c r="Z961" s="660"/>
      <c r="AA961" s="660"/>
      <c r="AB961" s="660"/>
      <c r="AC961" s="661"/>
      <c r="AD961" s="606"/>
      <c r="AE961" s="19"/>
      <c r="AF961" s="19"/>
      <c r="AG961" s="19"/>
    </row>
    <row r="962" spans="1:33" hidden="1" outlineLevel="3" x14ac:dyDescent="0.2">
      <c r="A962" s="606"/>
      <c r="B962" s="606"/>
      <c r="C962" s="607"/>
      <c r="D962" s="608"/>
      <c r="E962" s="608"/>
      <c r="F962" s="608"/>
      <c r="G962" s="608"/>
      <c r="H962" s="609"/>
      <c r="I962" s="660"/>
      <c r="J962" s="660"/>
      <c r="K962" s="660"/>
      <c r="L962" s="660"/>
      <c r="M962" s="660"/>
      <c r="N962" s="660"/>
      <c r="O962" s="660"/>
      <c r="P962" s="660"/>
      <c r="Q962" s="660"/>
      <c r="R962" s="660"/>
      <c r="S962" s="660"/>
      <c r="T962" s="660"/>
      <c r="U962" s="660"/>
      <c r="V962" s="660"/>
      <c r="W962" s="660"/>
      <c r="X962" s="660"/>
      <c r="Y962" s="660"/>
      <c r="Z962" s="660"/>
      <c r="AA962" s="660"/>
      <c r="AB962" s="660"/>
      <c r="AC962" s="661"/>
      <c r="AD962" s="606"/>
      <c r="AE962" s="19"/>
      <c r="AF962" s="19"/>
      <c r="AG962" s="19"/>
    </row>
    <row r="963" spans="1:33" hidden="1" outlineLevel="3" x14ac:dyDescent="0.2">
      <c r="A963" s="606"/>
      <c r="B963" s="606"/>
      <c r="C963" s="607"/>
      <c r="D963" s="608"/>
      <c r="E963" s="608"/>
      <c r="F963" s="608"/>
      <c r="G963" s="608"/>
      <c r="H963" s="609"/>
      <c r="I963" s="660"/>
      <c r="J963" s="660"/>
      <c r="K963" s="660"/>
      <c r="L963" s="660"/>
      <c r="M963" s="660"/>
      <c r="N963" s="660"/>
      <c r="O963" s="660"/>
      <c r="P963" s="660"/>
      <c r="Q963" s="660"/>
      <c r="R963" s="660"/>
      <c r="S963" s="660"/>
      <c r="T963" s="660"/>
      <c r="U963" s="660"/>
      <c r="V963" s="660"/>
      <c r="W963" s="660"/>
      <c r="X963" s="660"/>
      <c r="Y963" s="660"/>
      <c r="Z963" s="660"/>
      <c r="AA963" s="660"/>
      <c r="AB963" s="660"/>
      <c r="AC963" s="661"/>
      <c r="AD963" s="606"/>
      <c r="AE963" s="19"/>
      <c r="AF963" s="19"/>
      <c r="AG963" s="19"/>
    </row>
    <row r="964" spans="1:33" hidden="1" outlineLevel="3" x14ac:dyDescent="0.2">
      <c r="A964" s="606"/>
      <c r="B964" s="606"/>
      <c r="C964" s="607"/>
      <c r="D964" s="608"/>
      <c r="E964" s="608"/>
      <c r="F964" s="608"/>
      <c r="G964" s="608"/>
      <c r="H964" s="609"/>
      <c r="I964" s="660"/>
      <c r="J964" s="660"/>
      <c r="K964" s="660"/>
      <c r="L964" s="660"/>
      <c r="M964" s="660"/>
      <c r="N964" s="660"/>
      <c r="O964" s="660"/>
      <c r="P964" s="660"/>
      <c r="Q964" s="660"/>
      <c r="R964" s="660"/>
      <c r="S964" s="660"/>
      <c r="T964" s="660"/>
      <c r="U964" s="660"/>
      <c r="V964" s="660"/>
      <c r="W964" s="660"/>
      <c r="X964" s="660"/>
      <c r="Y964" s="660"/>
      <c r="Z964" s="660"/>
      <c r="AA964" s="660"/>
      <c r="AB964" s="660"/>
      <c r="AC964" s="661"/>
      <c r="AD964" s="606"/>
      <c r="AE964" s="19"/>
      <c r="AF964" s="19"/>
      <c r="AG964" s="19"/>
    </row>
    <row r="965" spans="1:33" hidden="1" outlineLevel="3" x14ac:dyDescent="0.2">
      <c r="A965" s="606"/>
      <c r="B965" s="606"/>
      <c r="C965" s="607"/>
      <c r="D965" s="608"/>
      <c r="E965" s="608"/>
      <c r="F965" s="608"/>
      <c r="G965" s="608"/>
      <c r="H965" s="609"/>
      <c r="I965" s="660"/>
      <c r="J965" s="660"/>
      <c r="K965" s="660"/>
      <c r="L965" s="660"/>
      <c r="M965" s="660"/>
      <c r="N965" s="660"/>
      <c r="O965" s="660"/>
      <c r="P965" s="660"/>
      <c r="Q965" s="660"/>
      <c r="R965" s="660"/>
      <c r="S965" s="660"/>
      <c r="T965" s="660"/>
      <c r="U965" s="660"/>
      <c r="V965" s="660"/>
      <c r="W965" s="660"/>
      <c r="X965" s="660"/>
      <c r="Y965" s="660"/>
      <c r="Z965" s="660"/>
      <c r="AA965" s="660"/>
      <c r="AB965" s="660"/>
      <c r="AC965" s="661"/>
      <c r="AD965" s="606"/>
      <c r="AE965" s="19"/>
      <c r="AF965" s="19"/>
      <c r="AG965" s="19"/>
    </row>
    <row r="966" spans="1:33" hidden="1" outlineLevel="3" x14ac:dyDescent="0.2">
      <c r="A966" s="606"/>
      <c r="B966" s="606"/>
      <c r="C966" s="607"/>
      <c r="D966" s="608"/>
      <c r="E966" s="608"/>
      <c r="F966" s="608"/>
      <c r="G966" s="608"/>
      <c r="H966" s="609"/>
      <c r="I966" s="660"/>
      <c r="J966" s="660"/>
      <c r="K966" s="660"/>
      <c r="L966" s="660"/>
      <c r="M966" s="660"/>
      <c r="N966" s="660"/>
      <c r="O966" s="660"/>
      <c r="P966" s="660"/>
      <c r="Q966" s="660"/>
      <c r="R966" s="660"/>
      <c r="S966" s="660"/>
      <c r="T966" s="660"/>
      <c r="U966" s="660"/>
      <c r="V966" s="660"/>
      <c r="W966" s="660"/>
      <c r="X966" s="660"/>
      <c r="Y966" s="660"/>
      <c r="Z966" s="660"/>
      <c r="AA966" s="660"/>
      <c r="AB966" s="660"/>
      <c r="AC966" s="661"/>
      <c r="AD966" s="606"/>
      <c r="AE966" s="19"/>
      <c r="AF966" s="19"/>
      <c r="AG966" s="19"/>
    </row>
    <row r="967" spans="1:33" hidden="1" outlineLevel="3" x14ac:dyDescent="0.2">
      <c r="A967" s="606"/>
      <c r="B967" s="606"/>
      <c r="C967" s="607"/>
      <c r="D967" s="608"/>
      <c r="E967" s="608"/>
      <c r="F967" s="608"/>
      <c r="G967" s="608"/>
      <c r="H967" s="609"/>
      <c r="I967" s="660"/>
      <c r="J967" s="660"/>
      <c r="K967" s="660"/>
      <c r="L967" s="660"/>
      <c r="M967" s="660"/>
      <c r="N967" s="660"/>
      <c r="O967" s="660"/>
      <c r="P967" s="660"/>
      <c r="Q967" s="660"/>
      <c r="R967" s="660"/>
      <c r="S967" s="660"/>
      <c r="T967" s="660"/>
      <c r="U967" s="660"/>
      <c r="V967" s="660"/>
      <c r="W967" s="660"/>
      <c r="X967" s="660"/>
      <c r="Y967" s="660"/>
      <c r="Z967" s="660"/>
      <c r="AA967" s="660"/>
      <c r="AB967" s="660"/>
      <c r="AC967" s="661"/>
      <c r="AD967" s="606"/>
      <c r="AE967" s="19"/>
      <c r="AF967" s="19"/>
      <c r="AG967" s="19"/>
    </row>
    <row r="968" spans="1:33" hidden="1" outlineLevel="3" x14ac:dyDescent="0.2">
      <c r="A968" s="606"/>
      <c r="B968" s="606"/>
      <c r="C968" s="607"/>
      <c r="D968" s="608"/>
      <c r="E968" s="608"/>
      <c r="F968" s="608"/>
      <c r="G968" s="608"/>
      <c r="H968" s="609"/>
      <c r="I968" s="660"/>
      <c r="J968" s="660"/>
      <c r="K968" s="660"/>
      <c r="L968" s="660"/>
      <c r="M968" s="660"/>
      <c r="N968" s="660"/>
      <c r="O968" s="660"/>
      <c r="P968" s="660"/>
      <c r="Q968" s="660"/>
      <c r="R968" s="660"/>
      <c r="S968" s="660"/>
      <c r="T968" s="660"/>
      <c r="U968" s="660"/>
      <c r="V968" s="660"/>
      <c r="W968" s="660"/>
      <c r="X968" s="660"/>
      <c r="Y968" s="660"/>
      <c r="Z968" s="660"/>
      <c r="AA968" s="660"/>
      <c r="AB968" s="660"/>
      <c r="AC968" s="661"/>
      <c r="AD968" s="606"/>
      <c r="AE968" s="19"/>
      <c r="AF968" s="19"/>
      <c r="AG968" s="19"/>
    </row>
    <row r="969" spans="1:33" hidden="1" outlineLevel="3" x14ac:dyDescent="0.2">
      <c r="A969" s="606"/>
      <c r="B969" s="606"/>
      <c r="C969" s="607"/>
      <c r="D969" s="608"/>
      <c r="E969" s="608"/>
      <c r="F969" s="608"/>
      <c r="G969" s="608"/>
      <c r="H969" s="609"/>
      <c r="I969" s="660"/>
      <c r="J969" s="660"/>
      <c r="K969" s="660"/>
      <c r="L969" s="660"/>
      <c r="M969" s="660"/>
      <c r="N969" s="660"/>
      <c r="O969" s="660"/>
      <c r="P969" s="660"/>
      <c r="Q969" s="660"/>
      <c r="R969" s="660"/>
      <c r="S969" s="660"/>
      <c r="T969" s="660"/>
      <c r="U969" s="660"/>
      <c r="V969" s="660"/>
      <c r="W969" s="660"/>
      <c r="X969" s="660"/>
      <c r="Y969" s="660"/>
      <c r="Z969" s="660"/>
      <c r="AA969" s="660"/>
      <c r="AB969" s="660"/>
      <c r="AC969" s="661"/>
      <c r="AD969" s="606"/>
      <c r="AE969" s="19"/>
      <c r="AF969" s="19"/>
      <c r="AG969" s="19"/>
    </row>
    <row r="970" spans="1:33" hidden="1" outlineLevel="3" x14ac:dyDescent="0.2">
      <c r="A970" s="606"/>
      <c r="B970" s="606"/>
      <c r="C970" s="607"/>
      <c r="D970" s="608"/>
      <c r="E970" s="608"/>
      <c r="F970" s="608"/>
      <c r="G970" s="608"/>
      <c r="H970" s="609"/>
      <c r="I970" s="660"/>
      <c r="J970" s="660"/>
      <c r="K970" s="660"/>
      <c r="L970" s="660"/>
      <c r="M970" s="660"/>
      <c r="N970" s="660"/>
      <c r="O970" s="660"/>
      <c r="P970" s="660"/>
      <c r="Q970" s="660"/>
      <c r="R970" s="660"/>
      <c r="S970" s="660"/>
      <c r="T970" s="660"/>
      <c r="U970" s="660"/>
      <c r="V970" s="660"/>
      <c r="W970" s="660"/>
      <c r="X970" s="660"/>
      <c r="Y970" s="660"/>
      <c r="Z970" s="660"/>
      <c r="AA970" s="660"/>
      <c r="AB970" s="660"/>
      <c r="AC970" s="661"/>
      <c r="AD970" s="606"/>
      <c r="AE970" s="19"/>
      <c r="AF970" s="19"/>
      <c r="AG970" s="19"/>
    </row>
    <row r="971" spans="1:33" hidden="1" outlineLevel="3" x14ac:dyDescent="0.2">
      <c r="A971" s="606"/>
      <c r="B971" s="606"/>
      <c r="C971" s="607"/>
      <c r="D971" s="608"/>
      <c r="E971" s="608"/>
      <c r="F971" s="608"/>
      <c r="G971" s="608"/>
      <c r="H971" s="609"/>
      <c r="I971" s="660"/>
      <c r="J971" s="660"/>
      <c r="K971" s="660"/>
      <c r="L971" s="660"/>
      <c r="M971" s="660"/>
      <c r="N971" s="660"/>
      <c r="O971" s="660"/>
      <c r="P971" s="660"/>
      <c r="Q971" s="660"/>
      <c r="R971" s="660"/>
      <c r="S971" s="660"/>
      <c r="T971" s="660"/>
      <c r="U971" s="660"/>
      <c r="V971" s="660"/>
      <c r="W971" s="660"/>
      <c r="X971" s="660"/>
      <c r="Y971" s="660"/>
      <c r="Z971" s="660"/>
      <c r="AA971" s="660"/>
      <c r="AB971" s="660"/>
      <c r="AC971" s="661"/>
      <c r="AD971" s="606"/>
      <c r="AE971" s="19"/>
      <c r="AF971" s="19"/>
      <c r="AG971" s="19"/>
    </row>
    <row r="972" spans="1:33" hidden="1" outlineLevel="3" x14ac:dyDescent="0.2">
      <c r="A972" s="606"/>
      <c r="B972" s="606"/>
      <c r="C972" s="607"/>
      <c r="D972" s="608"/>
      <c r="E972" s="608"/>
      <c r="F972" s="608"/>
      <c r="G972" s="608"/>
      <c r="H972" s="609"/>
      <c r="I972" s="660"/>
      <c r="J972" s="660"/>
      <c r="K972" s="660"/>
      <c r="L972" s="660"/>
      <c r="M972" s="660"/>
      <c r="N972" s="660"/>
      <c r="O972" s="660"/>
      <c r="P972" s="660"/>
      <c r="Q972" s="660"/>
      <c r="R972" s="660"/>
      <c r="S972" s="660"/>
      <c r="T972" s="660"/>
      <c r="U972" s="660"/>
      <c r="V972" s="660"/>
      <c r="W972" s="660"/>
      <c r="X972" s="660"/>
      <c r="Y972" s="660"/>
      <c r="Z972" s="660"/>
      <c r="AA972" s="660"/>
      <c r="AB972" s="660"/>
      <c r="AC972" s="661"/>
      <c r="AD972" s="606"/>
      <c r="AE972" s="19"/>
      <c r="AF972" s="19"/>
      <c r="AG972" s="19"/>
    </row>
    <row r="973" spans="1:33" hidden="1" outlineLevel="3" x14ac:dyDescent="0.2">
      <c r="A973" s="606"/>
      <c r="B973" s="606"/>
      <c r="C973" s="607"/>
      <c r="D973" s="608"/>
      <c r="E973" s="608"/>
      <c r="F973" s="608"/>
      <c r="G973" s="608"/>
      <c r="H973" s="609"/>
      <c r="I973" s="660"/>
      <c r="J973" s="660"/>
      <c r="K973" s="660"/>
      <c r="L973" s="660"/>
      <c r="M973" s="660"/>
      <c r="N973" s="660"/>
      <c r="O973" s="660"/>
      <c r="P973" s="660"/>
      <c r="Q973" s="660"/>
      <c r="R973" s="660"/>
      <c r="S973" s="660"/>
      <c r="T973" s="660"/>
      <c r="U973" s="660"/>
      <c r="V973" s="660"/>
      <c r="W973" s="660"/>
      <c r="X973" s="660"/>
      <c r="Y973" s="660"/>
      <c r="Z973" s="660"/>
      <c r="AA973" s="660"/>
      <c r="AB973" s="660"/>
      <c r="AC973" s="661"/>
      <c r="AD973" s="606"/>
      <c r="AE973" s="19"/>
      <c r="AF973" s="19"/>
      <c r="AG973" s="19"/>
    </row>
    <row r="974" spans="1:33" hidden="1" outlineLevel="3" x14ac:dyDescent="0.2">
      <c r="A974" s="606"/>
      <c r="B974" s="606"/>
      <c r="C974" s="607"/>
      <c r="D974" s="608"/>
      <c r="E974" s="608"/>
      <c r="F974" s="608"/>
      <c r="G974" s="608"/>
      <c r="H974" s="609"/>
      <c r="I974" s="660"/>
      <c r="J974" s="660"/>
      <c r="K974" s="660"/>
      <c r="L974" s="660"/>
      <c r="M974" s="660"/>
      <c r="N974" s="660"/>
      <c r="O974" s="660"/>
      <c r="P974" s="660"/>
      <c r="Q974" s="660"/>
      <c r="R974" s="660"/>
      <c r="S974" s="660"/>
      <c r="T974" s="660"/>
      <c r="U974" s="660"/>
      <c r="V974" s="660"/>
      <c r="W974" s="660"/>
      <c r="X974" s="660"/>
      <c r="Y974" s="660"/>
      <c r="Z974" s="660"/>
      <c r="AA974" s="660"/>
      <c r="AB974" s="660"/>
      <c r="AC974" s="661"/>
      <c r="AD974" s="606"/>
      <c r="AE974" s="19"/>
      <c r="AF974" s="19"/>
      <c r="AG974" s="19"/>
    </row>
    <row r="975" spans="1:33" hidden="1" outlineLevel="3" x14ac:dyDescent="0.2">
      <c r="A975" s="606"/>
      <c r="B975" s="606"/>
      <c r="C975" s="607"/>
      <c r="D975" s="608"/>
      <c r="E975" s="608"/>
      <c r="F975" s="608"/>
      <c r="G975" s="608"/>
      <c r="H975" s="609"/>
      <c r="I975" s="660"/>
      <c r="J975" s="660"/>
      <c r="K975" s="660"/>
      <c r="L975" s="660"/>
      <c r="M975" s="660"/>
      <c r="N975" s="660"/>
      <c r="O975" s="660"/>
      <c r="P975" s="660"/>
      <c r="Q975" s="660"/>
      <c r="R975" s="660"/>
      <c r="S975" s="660"/>
      <c r="T975" s="660"/>
      <c r="U975" s="660"/>
      <c r="V975" s="660"/>
      <c r="W975" s="660"/>
      <c r="X975" s="660"/>
      <c r="Y975" s="660"/>
      <c r="Z975" s="660"/>
      <c r="AA975" s="660"/>
      <c r="AB975" s="660"/>
      <c r="AC975" s="661"/>
      <c r="AD975" s="606"/>
      <c r="AE975" s="19"/>
      <c r="AF975" s="19"/>
      <c r="AG975" s="19"/>
    </row>
    <row r="976" spans="1:33" hidden="1" outlineLevel="3" x14ac:dyDescent="0.2">
      <c r="A976" s="606"/>
      <c r="B976" s="606"/>
      <c r="C976" s="607"/>
      <c r="D976" s="608"/>
      <c r="E976" s="608"/>
      <c r="F976" s="608"/>
      <c r="G976" s="608"/>
      <c r="H976" s="609"/>
      <c r="I976" s="660"/>
      <c r="J976" s="660"/>
      <c r="K976" s="660"/>
      <c r="L976" s="660"/>
      <c r="M976" s="660"/>
      <c r="N976" s="660"/>
      <c r="O976" s="660"/>
      <c r="P976" s="660"/>
      <c r="Q976" s="660"/>
      <c r="R976" s="660"/>
      <c r="S976" s="660"/>
      <c r="T976" s="660"/>
      <c r="U976" s="660"/>
      <c r="V976" s="660"/>
      <c r="W976" s="660"/>
      <c r="X976" s="660"/>
      <c r="Y976" s="660"/>
      <c r="Z976" s="660"/>
      <c r="AA976" s="660"/>
      <c r="AB976" s="660"/>
      <c r="AC976" s="661"/>
      <c r="AD976" s="606"/>
      <c r="AE976" s="19"/>
      <c r="AF976" s="19"/>
      <c r="AG976" s="19"/>
    </row>
    <row r="977" spans="1:33" hidden="1" outlineLevel="3" x14ac:dyDescent="0.2">
      <c r="A977" s="606"/>
      <c r="B977" s="606"/>
      <c r="C977" s="607"/>
      <c r="D977" s="608"/>
      <c r="E977" s="608"/>
      <c r="F977" s="608"/>
      <c r="G977" s="608"/>
      <c r="H977" s="609"/>
      <c r="I977" s="660"/>
      <c r="J977" s="660"/>
      <c r="K977" s="660"/>
      <c r="L977" s="660"/>
      <c r="M977" s="660"/>
      <c r="N977" s="660"/>
      <c r="O977" s="660"/>
      <c r="P977" s="660"/>
      <c r="Q977" s="660"/>
      <c r="R977" s="660"/>
      <c r="S977" s="660"/>
      <c r="T977" s="660"/>
      <c r="U977" s="660"/>
      <c r="V977" s="660"/>
      <c r="W977" s="660"/>
      <c r="X977" s="660"/>
      <c r="Y977" s="660"/>
      <c r="Z977" s="660"/>
      <c r="AA977" s="660"/>
      <c r="AB977" s="660"/>
      <c r="AC977" s="661"/>
      <c r="AD977" s="606"/>
      <c r="AE977" s="19"/>
      <c r="AF977" s="19"/>
      <c r="AG977" s="19"/>
    </row>
    <row r="978" spans="1:33" hidden="1" outlineLevel="3" x14ac:dyDescent="0.2">
      <c r="A978" s="606"/>
      <c r="B978" s="606"/>
      <c r="C978" s="607"/>
      <c r="D978" s="608"/>
      <c r="E978" s="608"/>
      <c r="F978" s="608"/>
      <c r="G978" s="608"/>
      <c r="H978" s="609"/>
      <c r="I978" s="660"/>
      <c r="J978" s="660"/>
      <c r="K978" s="660"/>
      <c r="L978" s="660"/>
      <c r="M978" s="660"/>
      <c r="N978" s="660"/>
      <c r="O978" s="660"/>
      <c r="P978" s="660"/>
      <c r="Q978" s="660"/>
      <c r="R978" s="660"/>
      <c r="S978" s="660"/>
      <c r="T978" s="660"/>
      <c r="U978" s="660"/>
      <c r="V978" s="660"/>
      <c r="W978" s="660"/>
      <c r="X978" s="660"/>
      <c r="Y978" s="660"/>
      <c r="Z978" s="660"/>
      <c r="AA978" s="660"/>
      <c r="AB978" s="660"/>
      <c r="AC978" s="661"/>
      <c r="AD978" s="606"/>
      <c r="AE978" s="19"/>
      <c r="AF978" s="19"/>
      <c r="AG978" s="19"/>
    </row>
    <row r="979" spans="1:33" hidden="1" outlineLevel="3" x14ac:dyDescent="0.2">
      <c r="A979" s="606"/>
      <c r="B979" s="606"/>
      <c r="C979" s="607"/>
      <c r="D979" s="608"/>
      <c r="E979" s="608"/>
      <c r="F979" s="608"/>
      <c r="G979" s="608"/>
      <c r="H979" s="609"/>
      <c r="I979" s="660"/>
      <c r="J979" s="660"/>
      <c r="K979" s="660"/>
      <c r="L979" s="660"/>
      <c r="M979" s="660"/>
      <c r="N979" s="660"/>
      <c r="O979" s="660"/>
      <c r="P979" s="660"/>
      <c r="Q979" s="660"/>
      <c r="R979" s="660"/>
      <c r="S979" s="660"/>
      <c r="T979" s="660"/>
      <c r="U979" s="660"/>
      <c r="V979" s="660"/>
      <c r="W979" s="660"/>
      <c r="X979" s="660"/>
      <c r="Y979" s="660"/>
      <c r="Z979" s="660"/>
      <c r="AA979" s="660"/>
      <c r="AB979" s="660"/>
      <c r="AC979" s="661"/>
      <c r="AD979" s="606"/>
      <c r="AE979" s="19"/>
      <c r="AF979" s="19"/>
      <c r="AG979" s="19"/>
    </row>
    <row r="980" spans="1:33" hidden="1" outlineLevel="3" x14ac:dyDescent="0.2">
      <c r="A980" s="606"/>
      <c r="B980" s="606"/>
      <c r="C980" s="607"/>
      <c r="D980" s="608"/>
      <c r="E980" s="608"/>
      <c r="F980" s="608"/>
      <c r="G980" s="608"/>
      <c r="H980" s="609"/>
      <c r="I980" s="660"/>
      <c r="J980" s="660"/>
      <c r="K980" s="660"/>
      <c r="L980" s="660"/>
      <c r="M980" s="660"/>
      <c r="N980" s="660"/>
      <c r="O980" s="660"/>
      <c r="P980" s="660"/>
      <c r="Q980" s="660"/>
      <c r="R980" s="660"/>
      <c r="S980" s="660"/>
      <c r="T980" s="660"/>
      <c r="U980" s="660"/>
      <c r="V980" s="660"/>
      <c r="W980" s="660"/>
      <c r="X980" s="660"/>
      <c r="Y980" s="660"/>
      <c r="Z980" s="660"/>
      <c r="AA980" s="660"/>
      <c r="AB980" s="660"/>
      <c r="AC980" s="661"/>
      <c r="AD980" s="606"/>
      <c r="AE980" s="19"/>
      <c r="AF980" s="19"/>
      <c r="AG980" s="19"/>
    </row>
    <row r="981" spans="1:33" hidden="1" outlineLevel="3" x14ac:dyDescent="0.2">
      <c r="A981" s="606"/>
      <c r="B981" s="606"/>
      <c r="C981" s="607"/>
      <c r="D981" s="608"/>
      <c r="E981" s="608"/>
      <c r="F981" s="608"/>
      <c r="G981" s="608"/>
      <c r="H981" s="609"/>
      <c r="I981" s="660"/>
      <c r="J981" s="660"/>
      <c r="K981" s="660"/>
      <c r="L981" s="660"/>
      <c r="M981" s="660"/>
      <c r="N981" s="660"/>
      <c r="O981" s="660"/>
      <c r="P981" s="660"/>
      <c r="Q981" s="660"/>
      <c r="R981" s="660"/>
      <c r="S981" s="660"/>
      <c r="T981" s="660"/>
      <c r="U981" s="660"/>
      <c r="V981" s="660"/>
      <c r="W981" s="660"/>
      <c r="X981" s="660"/>
      <c r="Y981" s="660"/>
      <c r="Z981" s="660"/>
      <c r="AA981" s="660"/>
      <c r="AB981" s="660"/>
      <c r="AC981" s="661"/>
      <c r="AD981" s="606"/>
      <c r="AE981" s="19"/>
      <c r="AF981" s="19"/>
      <c r="AG981" s="19"/>
    </row>
    <row r="982" spans="1:33" hidden="1" outlineLevel="3" x14ac:dyDescent="0.2">
      <c r="A982" s="606"/>
      <c r="B982" s="606"/>
      <c r="C982" s="607"/>
      <c r="D982" s="608"/>
      <c r="E982" s="608"/>
      <c r="F982" s="608"/>
      <c r="G982" s="608"/>
      <c r="H982" s="609"/>
      <c r="I982" s="660"/>
      <c r="J982" s="660"/>
      <c r="K982" s="660"/>
      <c r="L982" s="660"/>
      <c r="M982" s="660"/>
      <c r="N982" s="660"/>
      <c r="O982" s="660"/>
      <c r="P982" s="660"/>
      <c r="Q982" s="660"/>
      <c r="R982" s="660"/>
      <c r="S982" s="660"/>
      <c r="T982" s="660"/>
      <c r="U982" s="660"/>
      <c r="V982" s="660"/>
      <c r="W982" s="660"/>
      <c r="X982" s="660"/>
      <c r="Y982" s="660"/>
      <c r="Z982" s="660"/>
      <c r="AA982" s="660"/>
      <c r="AB982" s="660"/>
      <c r="AC982" s="661"/>
      <c r="AD982" s="606"/>
      <c r="AE982" s="19"/>
      <c r="AF982" s="19"/>
      <c r="AG982" s="19"/>
    </row>
    <row r="983" spans="1:33" hidden="1" outlineLevel="3" x14ac:dyDescent="0.2">
      <c r="A983" s="606"/>
      <c r="B983" s="606"/>
      <c r="C983" s="607"/>
      <c r="D983" s="608"/>
      <c r="E983" s="608"/>
      <c r="F983" s="608"/>
      <c r="G983" s="608"/>
      <c r="H983" s="609"/>
      <c r="I983" s="660"/>
      <c r="J983" s="660"/>
      <c r="K983" s="660"/>
      <c r="L983" s="660"/>
      <c r="M983" s="660"/>
      <c r="N983" s="660"/>
      <c r="O983" s="660"/>
      <c r="P983" s="660"/>
      <c r="Q983" s="660"/>
      <c r="R983" s="660"/>
      <c r="S983" s="660"/>
      <c r="T983" s="660"/>
      <c r="U983" s="660"/>
      <c r="V983" s="660"/>
      <c r="W983" s="660"/>
      <c r="X983" s="660"/>
      <c r="Y983" s="660"/>
      <c r="Z983" s="660"/>
      <c r="AA983" s="660"/>
      <c r="AB983" s="660"/>
      <c r="AC983" s="661"/>
      <c r="AD983" s="606"/>
      <c r="AE983" s="19"/>
      <c r="AF983" s="19"/>
      <c r="AG983" s="19"/>
    </row>
    <row r="984" spans="1:33" hidden="1" outlineLevel="3" x14ac:dyDescent="0.2">
      <c r="A984" s="606"/>
      <c r="B984" s="606"/>
      <c r="C984" s="607"/>
      <c r="D984" s="608"/>
      <c r="E984" s="608"/>
      <c r="F984" s="608"/>
      <c r="G984" s="608"/>
      <c r="H984" s="609"/>
      <c r="I984" s="660"/>
      <c r="J984" s="660"/>
      <c r="K984" s="660"/>
      <c r="L984" s="660"/>
      <c r="M984" s="660"/>
      <c r="N984" s="660"/>
      <c r="O984" s="660"/>
      <c r="P984" s="660"/>
      <c r="Q984" s="660"/>
      <c r="R984" s="660"/>
      <c r="S984" s="660"/>
      <c r="T984" s="660"/>
      <c r="U984" s="660"/>
      <c r="V984" s="660"/>
      <c r="W984" s="660"/>
      <c r="X984" s="660"/>
      <c r="Y984" s="660"/>
      <c r="Z984" s="660"/>
      <c r="AA984" s="660"/>
      <c r="AB984" s="660"/>
      <c r="AC984" s="661"/>
      <c r="AD984" s="606"/>
      <c r="AE984" s="19"/>
      <c r="AF984" s="19"/>
      <c r="AG984" s="19"/>
    </row>
    <row r="985" spans="1:33" hidden="1" outlineLevel="3" x14ac:dyDescent="0.2">
      <c r="A985" s="606"/>
      <c r="B985" s="606"/>
      <c r="C985" s="607"/>
      <c r="D985" s="608"/>
      <c r="E985" s="608"/>
      <c r="F985" s="608"/>
      <c r="G985" s="608"/>
      <c r="H985" s="609"/>
      <c r="I985" s="660"/>
      <c r="J985" s="660"/>
      <c r="K985" s="660"/>
      <c r="L985" s="660"/>
      <c r="M985" s="660"/>
      <c r="N985" s="660"/>
      <c r="O985" s="660"/>
      <c r="P985" s="660"/>
      <c r="Q985" s="660"/>
      <c r="R985" s="660"/>
      <c r="S985" s="660"/>
      <c r="T985" s="660"/>
      <c r="U985" s="660"/>
      <c r="V985" s="660"/>
      <c r="W985" s="660"/>
      <c r="X985" s="660"/>
      <c r="Y985" s="660"/>
      <c r="Z985" s="660"/>
      <c r="AA985" s="660"/>
      <c r="AB985" s="660"/>
      <c r="AC985" s="661"/>
      <c r="AD985" s="606"/>
      <c r="AE985" s="19"/>
      <c r="AF985" s="19"/>
      <c r="AG985" s="19"/>
    </row>
    <row r="986" spans="1:33" hidden="1" outlineLevel="3" x14ac:dyDescent="0.2">
      <c r="A986" s="606"/>
      <c r="B986" s="606"/>
      <c r="C986" s="607"/>
      <c r="D986" s="608"/>
      <c r="E986" s="608"/>
      <c r="F986" s="608"/>
      <c r="G986" s="608"/>
      <c r="H986" s="609"/>
      <c r="I986" s="660"/>
      <c r="J986" s="660"/>
      <c r="K986" s="660"/>
      <c r="L986" s="660"/>
      <c r="M986" s="660"/>
      <c r="N986" s="660"/>
      <c r="O986" s="660"/>
      <c r="P986" s="660"/>
      <c r="Q986" s="660"/>
      <c r="R986" s="660"/>
      <c r="S986" s="660"/>
      <c r="T986" s="660"/>
      <c r="U986" s="660"/>
      <c r="V986" s="660"/>
      <c r="W986" s="660"/>
      <c r="X986" s="660"/>
      <c r="Y986" s="660"/>
      <c r="Z986" s="660"/>
      <c r="AA986" s="660"/>
      <c r="AB986" s="660"/>
      <c r="AC986" s="661"/>
      <c r="AD986" s="606"/>
      <c r="AE986" s="19"/>
      <c r="AF986" s="19"/>
      <c r="AG986" s="19"/>
    </row>
    <row r="987" spans="1:33" hidden="1" outlineLevel="3" x14ac:dyDescent="0.2">
      <c r="A987" s="606"/>
      <c r="B987" s="606"/>
      <c r="C987" s="607"/>
      <c r="D987" s="608"/>
      <c r="E987" s="608"/>
      <c r="F987" s="608"/>
      <c r="G987" s="608"/>
      <c r="H987" s="609"/>
      <c r="I987" s="660"/>
      <c r="J987" s="660"/>
      <c r="K987" s="660"/>
      <c r="L987" s="660"/>
      <c r="M987" s="660"/>
      <c r="N987" s="660"/>
      <c r="O987" s="660"/>
      <c r="P987" s="660"/>
      <c r="Q987" s="660"/>
      <c r="R987" s="660"/>
      <c r="S987" s="660"/>
      <c r="T987" s="660"/>
      <c r="U987" s="660"/>
      <c r="V987" s="660"/>
      <c r="W987" s="660"/>
      <c r="X987" s="660"/>
      <c r="Y987" s="660"/>
      <c r="Z987" s="660"/>
      <c r="AA987" s="660"/>
      <c r="AB987" s="660"/>
      <c r="AC987" s="661"/>
      <c r="AD987" s="606"/>
      <c r="AE987" s="19"/>
      <c r="AF987" s="19"/>
      <c r="AG987" s="19"/>
    </row>
    <row r="988" spans="1:33" hidden="1" outlineLevel="3" x14ac:dyDescent="0.2">
      <c r="A988" s="606"/>
      <c r="B988" s="606"/>
      <c r="C988" s="607"/>
      <c r="D988" s="608"/>
      <c r="E988" s="608"/>
      <c r="F988" s="608"/>
      <c r="G988" s="608"/>
      <c r="H988" s="609"/>
      <c r="I988" s="660"/>
      <c r="J988" s="660"/>
      <c r="K988" s="660"/>
      <c r="L988" s="660"/>
      <c r="M988" s="660"/>
      <c r="N988" s="660"/>
      <c r="O988" s="660"/>
      <c r="P988" s="660"/>
      <c r="Q988" s="660"/>
      <c r="R988" s="660"/>
      <c r="S988" s="660"/>
      <c r="T988" s="660"/>
      <c r="U988" s="660"/>
      <c r="V988" s="660"/>
      <c r="W988" s="660"/>
      <c r="X988" s="660"/>
      <c r="Y988" s="660"/>
      <c r="Z988" s="660"/>
      <c r="AA988" s="660"/>
      <c r="AB988" s="660"/>
      <c r="AC988" s="661"/>
      <c r="AD988" s="606"/>
      <c r="AE988" s="19"/>
      <c r="AF988" s="19"/>
      <c r="AG988" s="19"/>
    </row>
    <row r="989" spans="1:33" hidden="1" outlineLevel="3" x14ac:dyDescent="0.2">
      <c r="A989" s="606"/>
      <c r="B989" s="606"/>
      <c r="C989" s="607"/>
      <c r="D989" s="608"/>
      <c r="E989" s="608"/>
      <c r="F989" s="608"/>
      <c r="G989" s="608"/>
      <c r="H989" s="609"/>
      <c r="I989" s="660"/>
      <c r="J989" s="660"/>
      <c r="K989" s="660"/>
      <c r="L989" s="660"/>
      <c r="M989" s="660"/>
      <c r="N989" s="660"/>
      <c r="O989" s="660"/>
      <c r="P989" s="660"/>
      <c r="Q989" s="660"/>
      <c r="R989" s="660"/>
      <c r="S989" s="660"/>
      <c r="T989" s="660"/>
      <c r="U989" s="660"/>
      <c r="V989" s="660"/>
      <c r="W989" s="660"/>
      <c r="X989" s="660"/>
      <c r="Y989" s="660"/>
      <c r="Z989" s="660"/>
      <c r="AA989" s="660"/>
      <c r="AB989" s="660"/>
      <c r="AC989" s="661"/>
      <c r="AD989" s="606"/>
      <c r="AE989" s="19"/>
      <c r="AF989" s="19"/>
      <c r="AG989" s="19"/>
    </row>
    <row r="990" spans="1:33" hidden="1" outlineLevel="3" x14ac:dyDescent="0.2">
      <c r="A990" s="606"/>
      <c r="B990" s="606"/>
      <c r="C990" s="607"/>
      <c r="D990" s="608"/>
      <c r="E990" s="608"/>
      <c r="F990" s="608"/>
      <c r="G990" s="608"/>
      <c r="H990" s="609"/>
      <c r="I990" s="660"/>
      <c r="J990" s="660"/>
      <c r="K990" s="660"/>
      <c r="L990" s="660"/>
      <c r="M990" s="660"/>
      <c r="N990" s="660"/>
      <c r="O990" s="660"/>
      <c r="P990" s="660"/>
      <c r="Q990" s="660"/>
      <c r="R990" s="660"/>
      <c r="S990" s="660"/>
      <c r="T990" s="660"/>
      <c r="U990" s="660"/>
      <c r="V990" s="660"/>
      <c r="W990" s="660"/>
      <c r="X990" s="660"/>
      <c r="Y990" s="660"/>
      <c r="Z990" s="660"/>
      <c r="AA990" s="660"/>
      <c r="AB990" s="660"/>
      <c r="AC990" s="661"/>
      <c r="AD990" s="606"/>
      <c r="AE990" s="19"/>
      <c r="AF990" s="19"/>
      <c r="AG990" s="19"/>
    </row>
    <row r="991" spans="1:33" hidden="1" outlineLevel="3" x14ac:dyDescent="0.2">
      <c r="A991" s="606"/>
      <c r="B991" s="606"/>
      <c r="C991" s="607"/>
      <c r="D991" s="608"/>
      <c r="E991" s="608"/>
      <c r="F991" s="608"/>
      <c r="G991" s="608"/>
      <c r="H991" s="609"/>
      <c r="I991" s="660"/>
      <c r="J991" s="660"/>
      <c r="K991" s="660"/>
      <c r="L991" s="660"/>
      <c r="M991" s="660"/>
      <c r="N991" s="660"/>
      <c r="O991" s="660"/>
      <c r="P991" s="660"/>
      <c r="Q991" s="660"/>
      <c r="R991" s="660"/>
      <c r="S991" s="660"/>
      <c r="T991" s="660"/>
      <c r="U991" s="660"/>
      <c r="V991" s="660"/>
      <c r="W991" s="660"/>
      <c r="X991" s="660"/>
      <c r="Y991" s="660"/>
      <c r="Z991" s="660"/>
      <c r="AA991" s="660"/>
      <c r="AB991" s="660"/>
      <c r="AC991" s="661"/>
      <c r="AD991" s="606"/>
      <c r="AE991" s="19"/>
      <c r="AF991" s="19"/>
      <c r="AG991" s="19"/>
    </row>
    <row r="992" spans="1:33" hidden="1" outlineLevel="3" x14ac:dyDescent="0.2">
      <c r="A992" s="606"/>
      <c r="B992" s="606"/>
      <c r="C992" s="607"/>
      <c r="D992" s="608"/>
      <c r="E992" s="608"/>
      <c r="F992" s="608"/>
      <c r="G992" s="608"/>
      <c r="H992" s="609"/>
      <c r="I992" s="660"/>
      <c r="J992" s="660"/>
      <c r="K992" s="660"/>
      <c r="L992" s="660"/>
      <c r="M992" s="660"/>
      <c r="N992" s="660"/>
      <c r="O992" s="660"/>
      <c r="P992" s="660"/>
      <c r="Q992" s="660"/>
      <c r="R992" s="660"/>
      <c r="S992" s="660"/>
      <c r="T992" s="660"/>
      <c r="U992" s="660"/>
      <c r="V992" s="660"/>
      <c r="W992" s="660"/>
      <c r="X992" s="660"/>
      <c r="Y992" s="660"/>
      <c r="Z992" s="660"/>
      <c r="AA992" s="660"/>
      <c r="AB992" s="660"/>
      <c r="AC992" s="661"/>
      <c r="AD992" s="606"/>
      <c r="AE992" s="19"/>
      <c r="AF992" s="19"/>
      <c r="AG992" s="19"/>
    </row>
    <row r="993" spans="1:33" hidden="1" outlineLevel="3" x14ac:dyDescent="0.2">
      <c r="A993" s="606"/>
      <c r="B993" s="606"/>
      <c r="C993" s="607"/>
      <c r="D993" s="608"/>
      <c r="E993" s="608"/>
      <c r="F993" s="608"/>
      <c r="G993" s="608"/>
      <c r="H993" s="609"/>
      <c r="I993" s="660"/>
      <c r="J993" s="660"/>
      <c r="K993" s="660"/>
      <c r="L993" s="660"/>
      <c r="M993" s="660"/>
      <c r="N993" s="660"/>
      <c r="O993" s="660"/>
      <c r="P993" s="660"/>
      <c r="Q993" s="660"/>
      <c r="R993" s="660"/>
      <c r="S993" s="660"/>
      <c r="T993" s="660"/>
      <c r="U993" s="660"/>
      <c r="V993" s="660"/>
      <c r="W993" s="660"/>
      <c r="X993" s="660"/>
      <c r="Y993" s="660"/>
      <c r="Z993" s="660"/>
      <c r="AA993" s="660"/>
      <c r="AB993" s="660"/>
      <c r="AC993" s="661"/>
      <c r="AD993" s="606"/>
      <c r="AE993" s="19"/>
      <c r="AF993" s="19"/>
      <c r="AG993" s="19"/>
    </row>
    <row r="994" spans="1:33" hidden="1" outlineLevel="3" x14ac:dyDescent="0.2">
      <c r="A994" s="606"/>
      <c r="B994" s="606"/>
      <c r="C994" s="607"/>
      <c r="D994" s="608"/>
      <c r="E994" s="608"/>
      <c r="F994" s="608"/>
      <c r="G994" s="608"/>
      <c r="H994" s="609"/>
      <c r="I994" s="660"/>
      <c r="J994" s="660"/>
      <c r="K994" s="660"/>
      <c r="L994" s="660"/>
      <c r="M994" s="660"/>
      <c r="N994" s="660"/>
      <c r="O994" s="660"/>
      <c r="P994" s="660"/>
      <c r="Q994" s="660"/>
      <c r="R994" s="660"/>
      <c r="S994" s="660"/>
      <c r="T994" s="660"/>
      <c r="U994" s="660"/>
      <c r="V994" s="660"/>
      <c r="W994" s="660"/>
      <c r="X994" s="660"/>
      <c r="Y994" s="660"/>
      <c r="Z994" s="660"/>
      <c r="AA994" s="660"/>
      <c r="AB994" s="660"/>
      <c r="AC994" s="661"/>
      <c r="AD994" s="606"/>
      <c r="AE994" s="19"/>
      <c r="AF994" s="19"/>
      <c r="AG994" s="19"/>
    </row>
    <row r="995" spans="1:33" hidden="1" outlineLevel="3" x14ac:dyDescent="0.2">
      <c r="A995" s="606"/>
      <c r="B995" s="606"/>
      <c r="C995" s="607"/>
      <c r="D995" s="608"/>
      <c r="E995" s="608"/>
      <c r="F995" s="608"/>
      <c r="G995" s="608"/>
      <c r="H995" s="609"/>
      <c r="I995" s="660"/>
      <c r="J995" s="660"/>
      <c r="K995" s="660"/>
      <c r="L995" s="660"/>
      <c r="M995" s="660"/>
      <c r="N995" s="660"/>
      <c r="O995" s="660"/>
      <c r="P995" s="660"/>
      <c r="Q995" s="660"/>
      <c r="R995" s="660"/>
      <c r="S995" s="660"/>
      <c r="T995" s="660"/>
      <c r="U995" s="660"/>
      <c r="V995" s="660"/>
      <c r="W995" s="660"/>
      <c r="X995" s="660"/>
      <c r="Y995" s="660"/>
      <c r="Z995" s="660"/>
      <c r="AA995" s="660"/>
      <c r="AB995" s="660"/>
      <c r="AC995" s="661"/>
      <c r="AD995" s="606"/>
      <c r="AE995" s="19"/>
      <c r="AF995" s="19"/>
      <c r="AG995" s="19"/>
    </row>
    <row r="996" spans="1:33" hidden="1" outlineLevel="3" x14ac:dyDescent="0.2">
      <c r="A996" s="606"/>
      <c r="B996" s="606"/>
      <c r="C996" s="607"/>
      <c r="D996" s="608"/>
      <c r="E996" s="608"/>
      <c r="F996" s="608"/>
      <c r="G996" s="608"/>
      <c r="H996" s="609"/>
      <c r="I996" s="660"/>
      <c r="J996" s="660"/>
      <c r="K996" s="660"/>
      <c r="L996" s="660"/>
      <c r="M996" s="660"/>
      <c r="N996" s="660"/>
      <c r="O996" s="660"/>
      <c r="P996" s="660"/>
      <c r="Q996" s="660"/>
      <c r="R996" s="660"/>
      <c r="S996" s="660"/>
      <c r="T996" s="660"/>
      <c r="U996" s="660"/>
      <c r="V996" s="660"/>
      <c r="W996" s="660"/>
      <c r="X996" s="660"/>
      <c r="Y996" s="660"/>
      <c r="Z996" s="660"/>
      <c r="AA996" s="660"/>
      <c r="AB996" s="660"/>
      <c r="AC996" s="661"/>
      <c r="AD996" s="606"/>
      <c r="AE996" s="19"/>
      <c r="AF996" s="19"/>
      <c r="AG996" s="19"/>
    </row>
    <row r="997" spans="1:33" outlineLevel="2" collapsed="1" x14ac:dyDescent="0.2">
      <c r="A997" s="606"/>
      <c r="B997" s="606"/>
      <c r="C997" s="620"/>
      <c r="D997" s="621"/>
      <c r="E997" s="609"/>
      <c r="F997" s="609"/>
      <c r="G997" s="609"/>
      <c r="H997" s="609"/>
      <c r="I997" s="662"/>
      <c r="J997" s="662"/>
      <c r="K997" s="661"/>
      <c r="L997" s="661"/>
      <c r="M997" s="661"/>
      <c r="N997" s="663"/>
      <c r="O997" s="663"/>
      <c r="P997" s="663"/>
      <c r="Q997" s="663"/>
      <c r="R997" s="663"/>
      <c r="S997" s="661"/>
      <c r="T997" s="661"/>
      <c r="U997" s="661"/>
      <c r="V997" s="661"/>
      <c r="W997" s="661"/>
      <c r="X997" s="661"/>
      <c r="Y997" s="661"/>
      <c r="Z997" s="661"/>
      <c r="AA997" s="661"/>
      <c r="AB997" s="661"/>
      <c r="AC997" s="661"/>
      <c r="AD997" s="606"/>
      <c r="AE997" s="19"/>
      <c r="AF997" s="19"/>
      <c r="AG997" s="19"/>
    </row>
    <row r="998" spans="1:33" outlineLevel="1" x14ac:dyDescent="0.2">
      <c r="A998" s="606"/>
      <c r="B998" s="606"/>
      <c r="C998" s="613"/>
      <c r="D998" s="609"/>
      <c r="E998" s="609"/>
      <c r="F998" s="609"/>
      <c r="G998" s="609"/>
      <c r="H998" s="609"/>
      <c r="I998" s="662"/>
      <c r="J998" s="662"/>
      <c r="K998" s="661"/>
      <c r="L998" s="661"/>
      <c r="M998" s="661"/>
      <c r="N998" s="663"/>
      <c r="O998" s="663"/>
      <c r="P998" s="663"/>
      <c r="Q998" s="663"/>
      <c r="R998" s="663"/>
      <c r="S998" s="661"/>
      <c r="T998" s="661"/>
      <c r="U998" s="661"/>
      <c r="V998" s="661"/>
      <c r="W998" s="661"/>
      <c r="X998" s="661"/>
      <c r="Y998" s="661"/>
      <c r="Z998" s="661"/>
      <c r="AA998" s="661"/>
      <c r="AB998" s="661"/>
      <c r="AC998" s="661"/>
      <c r="AD998" s="606"/>
      <c r="AE998" s="19"/>
      <c r="AF998" s="19"/>
      <c r="AG998" s="19"/>
    </row>
    <row r="999" spans="1:33" outlineLevel="1" x14ac:dyDescent="0.2">
      <c r="A999" s="606"/>
      <c r="B999" s="606"/>
      <c r="C999" s="616"/>
      <c r="D999" s="617"/>
      <c r="E999" s="617"/>
      <c r="F999" s="617"/>
      <c r="G999" s="618"/>
      <c r="H999" s="618"/>
      <c r="I999" s="661"/>
      <c r="J999" s="661"/>
      <c r="K999" s="661"/>
      <c r="L999" s="661"/>
      <c r="M999" s="661"/>
      <c r="N999" s="661"/>
      <c r="O999" s="661"/>
      <c r="P999" s="661"/>
      <c r="Q999" s="661"/>
      <c r="R999" s="661"/>
      <c r="S999" s="661"/>
      <c r="T999" s="661"/>
      <c r="U999" s="661"/>
      <c r="V999" s="661"/>
      <c r="W999" s="661"/>
      <c r="X999" s="661"/>
      <c r="Y999" s="661"/>
      <c r="Z999" s="661"/>
      <c r="AA999" s="661"/>
      <c r="AB999" s="661"/>
      <c r="AC999" s="661"/>
      <c r="AD999" s="606"/>
      <c r="AE999" s="19"/>
      <c r="AF999" s="19"/>
      <c r="AG999" s="19"/>
    </row>
    <row r="1000" spans="1:33" hidden="1" outlineLevel="2" x14ac:dyDescent="0.2">
      <c r="A1000" s="606"/>
      <c r="B1000" s="606"/>
      <c r="C1000" s="607"/>
      <c r="D1000" s="608"/>
      <c r="E1000" s="608"/>
      <c r="F1000" s="608"/>
      <c r="G1000" s="608"/>
      <c r="H1000" s="609"/>
      <c r="I1000" s="660"/>
      <c r="J1000" s="660"/>
      <c r="K1000" s="660"/>
      <c r="L1000" s="660"/>
      <c r="M1000" s="660"/>
      <c r="N1000" s="660"/>
      <c r="O1000" s="660"/>
      <c r="P1000" s="660"/>
      <c r="Q1000" s="660"/>
      <c r="R1000" s="660"/>
      <c r="S1000" s="660"/>
      <c r="T1000" s="660"/>
      <c r="U1000" s="660"/>
      <c r="V1000" s="660"/>
      <c r="W1000" s="660"/>
      <c r="X1000" s="660"/>
      <c r="Y1000" s="660"/>
      <c r="Z1000" s="660"/>
      <c r="AA1000" s="660"/>
      <c r="AB1000" s="660"/>
      <c r="AC1000" s="661"/>
      <c r="AD1000" s="606"/>
      <c r="AE1000" s="19"/>
      <c r="AF1000" s="19"/>
      <c r="AG1000" s="19"/>
    </row>
    <row r="1001" spans="1:33" hidden="1" outlineLevel="2" x14ac:dyDescent="0.2">
      <c r="A1001" s="606"/>
      <c r="B1001" s="606"/>
      <c r="C1001" s="607"/>
      <c r="D1001" s="608"/>
      <c r="E1001" s="608"/>
      <c r="F1001" s="608"/>
      <c r="G1001" s="608"/>
      <c r="H1001" s="609"/>
      <c r="I1001" s="660"/>
      <c r="J1001" s="660"/>
      <c r="K1001" s="660"/>
      <c r="L1001" s="660"/>
      <c r="M1001" s="660"/>
      <c r="N1001" s="660"/>
      <c r="O1001" s="660"/>
      <c r="P1001" s="660"/>
      <c r="Q1001" s="660"/>
      <c r="R1001" s="660"/>
      <c r="S1001" s="660"/>
      <c r="T1001" s="660"/>
      <c r="U1001" s="660"/>
      <c r="V1001" s="660"/>
      <c r="W1001" s="660"/>
      <c r="X1001" s="660"/>
      <c r="Y1001" s="660"/>
      <c r="Z1001" s="660"/>
      <c r="AA1001" s="660"/>
      <c r="AB1001" s="660"/>
      <c r="AC1001" s="661"/>
      <c r="AD1001" s="606"/>
      <c r="AE1001" s="19"/>
      <c r="AF1001" s="19"/>
      <c r="AG1001" s="19"/>
    </row>
    <row r="1002" spans="1:33" hidden="1" outlineLevel="2" x14ac:dyDescent="0.2">
      <c r="A1002" s="606"/>
      <c r="B1002" s="606"/>
      <c r="C1002" s="607"/>
      <c r="D1002" s="608"/>
      <c r="E1002" s="608"/>
      <c r="F1002" s="608"/>
      <c r="G1002" s="608"/>
      <c r="H1002" s="609"/>
      <c r="I1002" s="660"/>
      <c r="J1002" s="660"/>
      <c r="K1002" s="660"/>
      <c r="L1002" s="660"/>
      <c r="M1002" s="660"/>
      <c r="N1002" s="660"/>
      <c r="O1002" s="660"/>
      <c r="P1002" s="660"/>
      <c r="Q1002" s="660"/>
      <c r="R1002" s="660"/>
      <c r="S1002" s="660"/>
      <c r="T1002" s="660"/>
      <c r="U1002" s="660"/>
      <c r="V1002" s="660"/>
      <c r="W1002" s="660"/>
      <c r="X1002" s="660"/>
      <c r="Y1002" s="660"/>
      <c r="Z1002" s="660"/>
      <c r="AA1002" s="660"/>
      <c r="AB1002" s="660"/>
      <c r="AC1002" s="661"/>
      <c r="AD1002" s="606"/>
      <c r="AE1002" s="19"/>
      <c r="AF1002" s="19"/>
      <c r="AG1002" s="19"/>
    </row>
    <row r="1003" spans="1:33" hidden="1" outlineLevel="2" x14ac:dyDescent="0.2">
      <c r="A1003" s="606"/>
      <c r="B1003" s="606"/>
      <c r="C1003" s="607"/>
      <c r="D1003" s="608"/>
      <c r="E1003" s="608"/>
      <c r="F1003" s="608"/>
      <c r="G1003" s="608"/>
      <c r="H1003" s="609"/>
      <c r="I1003" s="660"/>
      <c r="J1003" s="660"/>
      <c r="K1003" s="660"/>
      <c r="L1003" s="660"/>
      <c r="M1003" s="660"/>
      <c r="N1003" s="660"/>
      <c r="O1003" s="660"/>
      <c r="P1003" s="660"/>
      <c r="Q1003" s="660"/>
      <c r="R1003" s="660"/>
      <c r="S1003" s="660"/>
      <c r="T1003" s="660"/>
      <c r="U1003" s="660"/>
      <c r="V1003" s="660"/>
      <c r="W1003" s="660"/>
      <c r="X1003" s="660"/>
      <c r="Y1003" s="660"/>
      <c r="Z1003" s="660"/>
      <c r="AA1003" s="660"/>
      <c r="AB1003" s="660"/>
      <c r="AC1003" s="661"/>
      <c r="AD1003" s="606"/>
      <c r="AE1003" s="19"/>
      <c r="AF1003" s="19"/>
      <c r="AG1003" s="19"/>
    </row>
    <row r="1004" spans="1:33" hidden="1" outlineLevel="2" x14ac:dyDescent="0.2">
      <c r="A1004" s="606"/>
      <c r="B1004" s="606"/>
      <c r="C1004" s="607"/>
      <c r="D1004" s="608"/>
      <c r="E1004" s="608"/>
      <c r="F1004" s="608"/>
      <c r="G1004" s="608"/>
      <c r="H1004" s="609"/>
      <c r="I1004" s="660"/>
      <c r="J1004" s="660"/>
      <c r="K1004" s="660"/>
      <c r="L1004" s="660"/>
      <c r="M1004" s="660"/>
      <c r="N1004" s="660"/>
      <c r="O1004" s="660"/>
      <c r="P1004" s="660"/>
      <c r="Q1004" s="660"/>
      <c r="R1004" s="660"/>
      <c r="S1004" s="660"/>
      <c r="T1004" s="660"/>
      <c r="U1004" s="660"/>
      <c r="V1004" s="660"/>
      <c r="W1004" s="660"/>
      <c r="X1004" s="660"/>
      <c r="Y1004" s="660"/>
      <c r="Z1004" s="660"/>
      <c r="AA1004" s="660"/>
      <c r="AB1004" s="660"/>
      <c r="AC1004" s="661"/>
      <c r="AD1004" s="606"/>
      <c r="AE1004" s="19"/>
      <c r="AF1004" s="19"/>
      <c r="AG1004" s="19"/>
    </row>
    <row r="1005" spans="1:33" hidden="1" outlineLevel="2" x14ac:dyDescent="0.2">
      <c r="A1005" s="606"/>
      <c r="B1005" s="606"/>
      <c r="C1005" s="607"/>
      <c r="D1005" s="608"/>
      <c r="E1005" s="608"/>
      <c r="F1005" s="608"/>
      <c r="G1005" s="608"/>
      <c r="H1005" s="609"/>
      <c r="I1005" s="660"/>
      <c r="J1005" s="660"/>
      <c r="K1005" s="660"/>
      <c r="L1005" s="660"/>
      <c r="M1005" s="660"/>
      <c r="N1005" s="660"/>
      <c r="O1005" s="660"/>
      <c r="P1005" s="660"/>
      <c r="Q1005" s="660"/>
      <c r="R1005" s="660"/>
      <c r="S1005" s="660"/>
      <c r="T1005" s="660"/>
      <c r="U1005" s="660"/>
      <c r="V1005" s="660"/>
      <c r="W1005" s="660"/>
      <c r="X1005" s="660"/>
      <c r="Y1005" s="660"/>
      <c r="Z1005" s="660"/>
      <c r="AA1005" s="660"/>
      <c r="AB1005" s="660"/>
      <c r="AC1005" s="661"/>
      <c r="AD1005" s="606"/>
      <c r="AE1005" s="19"/>
      <c r="AF1005" s="19"/>
      <c r="AG1005" s="19"/>
    </row>
    <row r="1006" spans="1:33" hidden="1" outlineLevel="2" x14ac:dyDescent="0.2">
      <c r="A1006" s="606"/>
      <c r="B1006" s="606"/>
      <c r="C1006" s="607"/>
      <c r="D1006" s="608"/>
      <c r="E1006" s="608"/>
      <c r="F1006" s="608"/>
      <c r="G1006" s="608"/>
      <c r="H1006" s="609"/>
      <c r="I1006" s="660"/>
      <c r="J1006" s="660"/>
      <c r="K1006" s="660"/>
      <c r="L1006" s="660"/>
      <c r="M1006" s="660"/>
      <c r="N1006" s="660"/>
      <c r="O1006" s="660"/>
      <c r="P1006" s="660"/>
      <c r="Q1006" s="660"/>
      <c r="R1006" s="660"/>
      <c r="S1006" s="660"/>
      <c r="T1006" s="660"/>
      <c r="U1006" s="660"/>
      <c r="V1006" s="660"/>
      <c r="W1006" s="660"/>
      <c r="X1006" s="660"/>
      <c r="Y1006" s="660"/>
      <c r="Z1006" s="660"/>
      <c r="AA1006" s="660"/>
      <c r="AB1006" s="660"/>
      <c r="AC1006" s="661"/>
      <c r="AD1006" s="606"/>
      <c r="AE1006" s="19"/>
      <c r="AF1006" s="19"/>
      <c r="AG1006" s="19"/>
    </row>
    <row r="1007" spans="1:33" hidden="1" outlineLevel="2" x14ac:dyDescent="0.2">
      <c r="A1007" s="606"/>
      <c r="B1007" s="606"/>
      <c r="C1007" s="607"/>
      <c r="D1007" s="608"/>
      <c r="E1007" s="608"/>
      <c r="F1007" s="608"/>
      <c r="G1007" s="608"/>
      <c r="H1007" s="609"/>
      <c r="I1007" s="660"/>
      <c r="J1007" s="660"/>
      <c r="K1007" s="660"/>
      <c r="L1007" s="660"/>
      <c r="M1007" s="660"/>
      <c r="N1007" s="660"/>
      <c r="O1007" s="660"/>
      <c r="P1007" s="660"/>
      <c r="Q1007" s="660"/>
      <c r="R1007" s="660"/>
      <c r="S1007" s="660"/>
      <c r="T1007" s="660"/>
      <c r="U1007" s="660"/>
      <c r="V1007" s="660"/>
      <c r="W1007" s="660"/>
      <c r="X1007" s="660"/>
      <c r="Y1007" s="660"/>
      <c r="Z1007" s="660"/>
      <c r="AA1007" s="660"/>
      <c r="AB1007" s="660"/>
      <c r="AC1007" s="661"/>
      <c r="AD1007" s="606"/>
      <c r="AE1007" s="19"/>
      <c r="AF1007" s="19"/>
      <c r="AG1007" s="19"/>
    </row>
    <row r="1008" spans="1:33" hidden="1" outlineLevel="2" x14ac:dyDescent="0.2">
      <c r="A1008" s="606"/>
      <c r="B1008" s="606"/>
      <c r="C1008" s="607"/>
      <c r="D1008" s="608"/>
      <c r="E1008" s="608"/>
      <c r="F1008" s="608"/>
      <c r="G1008" s="608"/>
      <c r="H1008" s="609"/>
      <c r="I1008" s="660"/>
      <c r="J1008" s="660"/>
      <c r="K1008" s="660"/>
      <c r="L1008" s="660"/>
      <c r="M1008" s="660"/>
      <c r="N1008" s="660"/>
      <c r="O1008" s="660"/>
      <c r="P1008" s="660"/>
      <c r="Q1008" s="660"/>
      <c r="R1008" s="660"/>
      <c r="S1008" s="660"/>
      <c r="T1008" s="660"/>
      <c r="U1008" s="660"/>
      <c r="V1008" s="660"/>
      <c r="W1008" s="660"/>
      <c r="X1008" s="660"/>
      <c r="Y1008" s="660"/>
      <c r="Z1008" s="660"/>
      <c r="AA1008" s="660"/>
      <c r="AB1008" s="660"/>
      <c r="AC1008" s="661"/>
      <c r="AD1008" s="606"/>
      <c r="AE1008" s="19"/>
      <c r="AF1008" s="19"/>
      <c r="AG1008" s="19"/>
    </row>
    <row r="1009" spans="1:33" hidden="1" outlineLevel="2" x14ac:dyDescent="0.2">
      <c r="A1009" s="606"/>
      <c r="B1009" s="606"/>
      <c r="C1009" s="607"/>
      <c r="D1009" s="608"/>
      <c r="E1009" s="608"/>
      <c r="F1009" s="608"/>
      <c r="G1009" s="608"/>
      <c r="H1009" s="609"/>
      <c r="I1009" s="660"/>
      <c r="J1009" s="660"/>
      <c r="K1009" s="660"/>
      <c r="L1009" s="660"/>
      <c r="M1009" s="660"/>
      <c r="N1009" s="660"/>
      <c r="O1009" s="660"/>
      <c r="P1009" s="660"/>
      <c r="Q1009" s="660"/>
      <c r="R1009" s="660"/>
      <c r="S1009" s="660"/>
      <c r="T1009" s="660"/>
      <c r="U1009" s="660"/>
      <c r="V1009" s="660"/>
      <c r="W1009" s="660"/>
      <c r="X1009" s="660"/>
      <c r="Y1009" s="660"/>
      <c r="Z1009" s="660"/>
      <c r="AA1009" s="660"/>
      <c r="AB1009" s="660"/>
      <c r="AC1009" s="661"/>
      <c r="AD1009" s="606"/>
      <c r="AE1009" s="19"/>
      <c r="AF1009" s="19"/>
      <c r="AG1009" s="19"/>
    </row>
    <row r="1010" spans="1:33" hidden="1" outlineLevel="2" x14ac:dyDescent="0.2">
      <c r="A1010" s="606"/>
      <c r="B1010" s="606"/>
      <c r="C1010" s="607"/>
      <c r="D1010" s="608"/>
      <c r="E1010" s="608"/>
      <c r="F1010" s="608"/>
      <c r="G1010" s="608"/>
      <c r="H1010" s="609"/>
      <c r="I1010" s="660"/>
      <c r="J1010" s="660"/>
      <c r="K1010" s="660"/>
      <c r="L1010" s="660"/>
      <c r="M1010" s="660"/>
      <c r="N1010" s="660"/>
      <c r="O1010" s="660"/>
      <c r="P1010" s="660"/>
      <c r="Q1010" s="660"/>
      <c r="R1010" s="660"/>
      <c r="S1010" s="660"/>
      <c r="T1010" s="660"/>
      <c r="U1010" s="660"/>
      <c r="V1010" s="660"/>
      <c r="W1010" s="660"/>
      <c r="X1010" s="660"/>
      <c r="Y1010" s="660"/>
      <c r="Z1010" s="660"/>
      <c r="AA1010" s="660"/>
      <c r="AB1010" s="660"/>
      <c r="AC1010" s="661"/>
      <c r="AD1010" s="606"/>
      <c r="AE1010" s="19"/>
      <c r="AF1010" s="19"/>
      <c r="AG1010" s="19"/>
    </row>
    <row r="1011" spans="1:33" hidden="1" outlineLevel="3" x14ac:dyDescent="0.2">
      <c r="A1011" s="606"/>
      <c r="B1011" s="606"/>
      <c r="C1011" s="607"/>
      <c r="D1011" s="608"/>
      <c r="E1011" s="608"/>
      <c r="F1011" s="608"/>
      <c r="G1011" s="608"/>
      <c r="H1011" s="609"/>
      <c r="I1011" s="660"/>
      <c r="J1011" s="660"/>
      <c r="K1011" s="660"/>
      <c r="L1011" s="660"/>
      <c r="M1011" s="660"/>
      <c r="N1011" s="660"/>
      <c r="O1011" s="660"/>
      <c r="P1011" s="660"/>
      <c r="Q1011" s="660"/>
      <c r="R1011" s="660"/>
      <c r="S1011" s="660"/>
      <c r="T1011" s="660"/>
      <c r="U1011" s="660"/>
      <c r="V1011" s="660"/>
      <c r="W1011" s="660"/>
      <c r="X1011" s="660"/>
      <c r="Y1011" s="660"/>
      <c r="Z1011" s="660"/>
      <c r="AA1011" s="660"/>
      <c r="AB1011" s="660"/>
      <c r="AC1011" s="661"/>
      <c r="AD1011" s="606"/>
      <c r="AE1011" s="19"/>
      <c r="AF1011" s="19"/>
      <c r="AG1011" s="19"/>
    </row>
    <row r="1012" spans="1:33" hidden="1" outlineLevel="3" x14ac:dyDescent="0.2">
      <c r="A1012" s="606"/>
      <c r="B1012" s="606"/>
      <c r="C1012" s="607"/>
      <c r="D1012" s="608"/>
      <c r="E1012" s="608"/>
      <c r="F1012" s="608"/>
      <c r="G1012" s="608"/>
      <c r="H1012" s="609"/>
      <c r="I1012" s="660"/>
      <c r="J1012" s="660"/>
      <c r="K1012" s="660"/>
      <c r="L1012" s="660"/>
      <c r="M1012" s="660"/>
      <c r="N1012" s="660"/>
      <c r="O1012" s="660"/>
      <c r="P1012" s="660"/>
      <c r="Q1012" s="660"/>
      <c r="R1012" s="660"/>
      <c r="S1012" s="660"/>
      <c r="T1012" s="660"/>
      <c r="U1012" s="660"/>
      <c r="V1012" s="660"/>
      <c r="W1012" s="660"/>
      <c r="X1012" s="660"/>
      <c r="Y1012" s="660"/>
      <c r="Z1012" s="660"/>
      <c r="AA1012" s="660"/>
      <c r="AB1012" s="660"/>
      <c r="AC1012" s="661"/>
      <c r="AD1012" s="606"/>
      <c r="AE1012" s="19"/>
      <c r="AF1012" s="19"/>
      <c r="AG1012" s="19"/>
    </row>
    <row r="1013" spans="1:33" hidden="1" outlineLevel="3" x14ac:dyDescent="0.2">
      <c r="A1013" s="606"/>
      <c r="B1013" s="606"/>
      <c r="C1013" s="607"/>
      <c r="D1013" s="608"/>
      <c r="E1013" s="608"/>
      <c r="F1013" s="608"/>
      <c r="G1013" s="608"/>
      <c r="H1013" s="609"/>
      <c r="I1013" s="660"/>
      <c r="J1013" s="660"/>
      <c r="K1013" s="660"/>
      <c r="L1013" s="660"/>
      <c r="M1013" s="660"/>
      <c r="N1013" s="660"/>
      <c r="O1013" s="660"/>
      <c r="P1013" s="660"/>
      <c r="Q1013" s="660"/>
      <c r="R1013" s="660"/>
      <c r="S1013" s="660"/>
      <c r="T1013" s="660"/>
      <c r="U1013" s="660"/>
      <c r="V1013" s="660"/>
      <c r="W1013" s="660"/>
      <c r="X1013" s="660"/>
      <c r="Y1013" s="660"/>
      <c r="Z1013" s="660"/>
      <c r="AA1013" s="660"/>
      <c r="AB1013" s="660"/>
      <c r="AC1013" s="661"/>
      <c r="AD1013" s="606"/>
      <c r="AE1013" s="19"/>
      <c r="AF1013" s="19"/>
      <c r="AG1013" s="19"/>
    </row>
    <row r="1014" spans="1:33" hidden="1" outlineLevel="3" x14ac:dyDescent="0.2">
      <c r="A1014" s="606"/>
      <c r="B1014" s="606"/>
      <c r="C1014" s="607"/>
      <c r="D1014" s="608"/>
      <c r="E1014" s="608"/>
      <c r="F1014" s="608"/>
      <c r="G1014" s="608"/>
      <c r="H1014" s="609"/>
      <c r="I1014" s="660"/>
      <c r="J1014" s="660"/>
      <c r="K1014" s="660"/>
      <c r="L1014" s="660"/>
      <c r="M1014" s="660"/>
      <c r="N1014" s="660"/>
      <c r="O1014" s="660"/>
      <c r="P1014" s="660"/>
      <c r="Q1014" s="660"/>
      <c r="R1014" s="660"/>
      <c r="S1014" s="660"/>
      <c r="T1014" s="660"/>
      <c r="U1014" s="660"/>
      <c r="V1014" s="660"/>
      <c r="W1014" s="660"/>
      <c r="X1014" s="660"/>
      <c r="Y1014" s="660"/>
      <c r="Z1014" s="660"/>
      <c r="AA1014" s="660"/>
      <c r="AB1014" s="660"/>
      <c r="AC1014" s="661"/>
      <c r="AD1014" s="606"/>
      <c r="AE1014" s="19"/>
      <c r="AF1014" s="19"/>
      <c r="AG1014" s="19"/>
    </row>
    <row r="1015" spans="1:33" hidden="1" outlineLevel="3" x14ac:dyDescent="0.2">
      <c r="A1015" s="606"/>
      <c r="B1015" s="606"/>
      <c r="C1015" s="607"/>
      <c r="D1015" s="608"/>
      <c r="E1015" s="608"/>
      <c r="F1015" s="608"/>
      <c r="G1015" s="608"/>
      <c r="H1015" s="609"/>
      <c r="I1015" s="660"/>
      <c r="J1015" s="660"/>
      <c r="K1015" s="660"/>
      <c r="L1015" s="660"/>
      <c r="M1015" s="660"/>
      <c r="N1015" s="660"/>
      <c r="O1015" s="660"/>
      <c r="P1015" s="660"/>
      <c r="Q1015" s="660"/>
      <c r="R1015" s="660"/>
      <c r="S1015" s="660"/>
      <c r="T1015" s="660"/>
      <c r="U1015" s="660"/>
      <c r="V1015" s="660"/>
      <c r="W1015" s="660"/>
      <c r="X1015" s="660"/>
      <c r="Y1015" s="660"/>
      <c r="Z1015" s="660"/>
      <c r="AA1015" s="660"/>
      <c r="AB1015" s="660"/>
      <c r="AC1015" s="661"/>
      <c r="AD1015" s="606"/>
      <c r="AE1015" s="19"/>
      <c r="AF1015" s="19"/>
      <c r="AG1015" s="19"/>
    </row>
    <row r="1016" spans="1:33" hidden="1" outlineLevel="3" x14ac:dyDescent="0.2">
      <c r="A1016" s="606"/>
      <c r="B1016" s="606"/>
      <c r="C1016" s="607"/>
      <c r="D1016" s="608"/>
      <c r="E1016" s="608"/>
      <c r="F1016" s="608"/>
      <c r="G1016" s="608"/>
      <c r="H1016" s="609"/>
      <c r="I1016" s="660"/>
      <c r="J1016" s="660"/>
      <c r="K1016" s="660"/>
      <c r="L1016" s="660"/>
      <c r="M1016" s="660"/>
      <c r="N1016" s="660"/>
      <c r="O1016" s="660"/>
      <c r="P1016" s="660"/>
      <c r="Q1016" s="660"/>
      <c r="R1016" s="660"/>
      <c r="S1016" s="660"/>
      <c r="T1016" s="660"/>
      <c r="U1016" s="660"/>
      <c r="V1016" s="660"/>
      <c r="W1016" s="660"/>
      <c r="X1016" s="660"/>
      <c r="Y1016" s="660"/>
      <c r="Z1016" s="660"/>
      <c r="AA1016" s="660"/>
      <c r="AB1016" s="660"/>
      <c r="AC1016" s="661"/>
      <c r="AD1016" s="606"/>
      <c r="AE1016" s="19"/>
      <c r="AF1016" s="19"/>
      <c r="AG1016" s="19"/>
    </row>
    <row r="1017" spans="1:33" hidden="1" outlineLevel="3" x14ac:dyDescent="0.2">
      <c r="A1017" s="606"/>
      <c r="B1017" s="606"/>
      <c r="C1017" s="607"/>
      <c r="D1017" s="608"/>
      <c r="E1017" s="608"/>
      <c r="F1017" s="608"/>
      <c r="G1017" s="608"/>
      <c r="H1017" s="609"/>
      <c r="I1017" s="660"/>
      <c r="J1017" s="660"/>
      <c r="K1017" s="660"/>
      <c r="L1017" s="660"/>
      <c r="M1017" s="660"/>
      <c r="N1017" s="660"/>
      <c r="O1017" s="660"/>
      <c r="P1017" s="660"/>
      <c r="Q1017" s="660"/>
      <c r="R1017" s="660"/>
      <c r="S1017" s="660"/>
      <c r="T1017" s="660"/>
      <c r="U1017" s="660"/>
      <c r="V1017" s="660"/>
      <c r="W1017" s="660"/>
      <c r="X1017" s="660"/>
      <c r="Y1017" s="660"/>
      <c r="Z1017" s="660"/>
      <c r="AA1017" s="660"/>
      <c r="AB1017" s="660"/>
      <c r="AC1017" s="661"/>
      <c r="AD1017" s="606"/>
      <c r="AE1017" s="19"/>
      <c r="AF1017" s="19"/>
      <c r="AG1017" s="19"/>
    </row>
    <row r="1018" spans="1:33" hidden="1" outlineLevel="3" x14ac:dyDescent="0.2">
      <c r="A1018" s="606"/>
      <c r="B1018" s="606"/>
      <c r="C1018" s="607"/>
      <c r="D1018" s="608"/>
      <c r="E1018" s="608"/>
      <c r="F1018" s="608"/>
      <c r="G1018" s="608"/>
      <c r="H1018" s="609"/>
      <c r="I1018" s="660"/>
      <c r="J1018" s="660"/>
      <c r="K1018" s="660"/>
      <c r="L1018" s="660"/>
      <c r="M1018" s="660"/>
      <c r="N1018" s="660"/>
      <c r="O1018" s="660"/>
      <c r="P1018" s="660"/>
      <c r="Q1018" s="660"/>
      <c r="R1018" s="660"/>
      <c r="S1018" s="660"/>
      <c r="T1018" s="660"/>
      <c r="U1018" s="660"/>
      <c r="V1018" s="660"/>
      <c r="W1018" s="660"/>
      <c r="X1018" s="660"/>
      <c r="Y1018" s="660"/>
      <c r="Z1018" s="660"/>
      <c r="AA1018" s="660"/>
      <c r="AB1018" s="660"/>
      <c r="AC1018" s="661"/>
      <c r="AD1018" s="606"/>
      <c r="AE1018" s="19"/>
      <c r="AF1018" s="19"/>
      <c r="AG1018" s="19"/>
    </row>
    <row r="1019" spans="1:33" hidden="1" outlineLevel="3" x14ac:dyDescent="0.2">
      <c r="A1019" s="606"/>
      <c r="B1019" s="606"/>
      <c r="C1019" s="607"/>
      <c r="D1019" s="608"/>
      <c r="E1019" s="608"/>
      <c r="F1019" s="608"/>
      <c r="G1019" s="608"/>
      <c r="H1019" s="609"/>
      <c r="I1019" s="660"/>
      <c r="J1019" s="660"/>
      <c r="K1019" s="660"/>
      <c r="L1019" s="660"/>
      <c r="M1019" s="660"/>
      <c r="N1019" s="660"/>
      <c r="O1019" s="660"/>
      <c r="P1019" s="660"/>
      <c r="Q1019" s="660"/>
      <c r="R1019" s="660"/>
      <c r="S1019" s="660"/>
      <c r="T1019" s="660"/>
      <c r="U1019" s="660"/>
      <c r="V1019" s="660"/>
      <c r="W1019" s="660"/>
      <c r="X1019" s="660"/>
      <c r="Y1019" s="660"/>
      <c r="Z1019" s="660"/>
      <c r="AA1019" s="660"/>
      <c r="AB1019" s="660"/>
      <c r="AC1019" s="661"/>
      <c r="AD1019" s="606"/>
      <c r="AE1019" s="19"/>
      <c r="AF1019" s="19"/>
      <c r="AG1019" s="19"/>
    </row>
    <row r="1020" spans="1:33" hidden="1" outlineLevel="3" x14ac:dyDescent="0.2">
      <c r="A1020" s="606"/>
      <c r="B1020" s="606"/>
      <c r="C1020" s="607"/>
      <c r="D1020" s="608"/>
      <c r="E1020" s="608"/>
      <c r="F1020" s="608"/>
      <c r="G1020" s="608"/>
      <c r="H1020" s="609"/>
      <c r="I1020" s="660"/>
      <c r="J1020" s="660"/>
      <c r="K1020" s="660"/>
      <c r="L1020" s="660"/>
      <c r="M1020" s="660"/>
      <c r="N1020" s="660"/>
      <c r="O1020" s="660"/>
      <c r="P1020" s="660"/>
      <c r="Q1020" s="660"/>
      <c r="R1020" s="660"/>
      <c r="S1020" s="660"/>
      <c r="T1020" s="660"/>
      <c r="U1020" s="660"/>
      <c r="V1020" s="660"/>
      <c r="W1020" s="660"/>
      <c r="X1020" s="660"/>
      <c r="Y1020" s="660"/>
      <c r="Z1020" s="660"/>
      <c r="AA1020" s="660"/>
      <c r="AB1020" s="660"/>
      <c r="AC1020" s="661"/>
      <c r="AD1020" s="606"/>
      <c r="AE1020" s="19"/>
      <c r="AF1020" s="19"/>
      <c r="AG1020" s="19"/>
    </row>
    <row r="1021" spans="1:33" hidden="1" outlineLevel="3" x14ac:dyDescent="0.2">
      <c r="A1021" s="606"/>
      <c r="B1021" s="606"/>
      <c r="C1021" s="607"/>
      <c r="D1021" s="608"/>
      <c r="E1021" s="608"/>
      <c r="F1021" s="608"/>
      <c r="G1021" s="608"/>
      <c r="H1021" s="609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60"/>
      <c r="T1021" s="660"/>
      <c r="U1021" s="660"/>
      <c r="V1021" s="660"/>
      <c r="W1021" s="660"/>
      <c r="X1021" s="660"/>
      <c r="Y1021" s="660"/>
      <c r="Z1021" s="660"/>
      <c r="AA1021" s="660"/>
      <c r="AB1021" s="660"/>
      <c r="AC1021" s="661"/>
      <c r="AD1021" s="606"/>
      <c r="AE1021" s="19"/>
      <c r="AF1021" s="19"/>
      <c r="AG1021" s="19"/>
    </row>
    <row r="1022" spans="1:33" hidden="1" outlineLevel="3" x14ac:dyDescent="0.2">
      <c r="A1022" s="606"/>
      <c r="B1022" s="606"/>
      <c r="C1022" s="607"/>
      <c r="D1022" s="608"/>
      <c r="E1022" s="608"/>
      <c r="F1022" s="608"/>
      <c r="G1022" s="608"/>
      <c r="H1022" s="609"/>
      <c r="I1022" s="660"/>
      <c r="J1022" s="660"/>
      <c r="K1022" s="660"/>
      <c r="L1022" s="660"/>
      <c r="M1022" s="660"/>
      <c r="N1022" s="660"/>
      <c r="O1022" s="660"/>
      <c r="P1022" s="660"/>
      <c r="Q1022" s="660"/>
      <c r="R1022" s="660"/>
      <c r="S1022" s="660"/>
      <c r="T1022" s="660"/>
      <c r="U1022" s="660"/>
      <c r="V1022" s="660"/>
      <c r="W1022" s="660"/>
      <c r="X1022" s="660"/>
      <c r="Y1022" s="660"/>
      <c r="Z1022" s="660"/>
      <c r="AA1022" s="660"/>
      <c r="AB1022" s="660"/>
      <c r="AC1022" s="661"/>
      <c r="AD1022" s="606"/>
      <c r="AE1022" s="19"/>
      <c r="AF1022" s="19"/>
      <c r="AG1022" s="19"/>
    </row>
    <row r="1023" spans="1:33" hidden="1" outlineLevel="3" x14ac:dyDescent="0.2">
      <c r="A1023" s="606"/>
      <c r="B1023" s="606"/>
      <c r="C1023" s="607"/>
      <c r="D1023" s="608"/>
      <c r="E1023" s="608"/>
      <c r="F1023" s="608"/>
      <c r="G1023" s="608"/>
      <c r="H1023" s="609"/>
      <c r="I1023" s="660"/>
      <c r="J1023" s="660"/>
      <c r="K1023" s="660"/>
      <c r="L1023" s="660"/>
      <c r="M1023" s="660"/>
      <c r="N1023" s="660"/>
      <c r="O1023" s="660"/>
      <c r="P1023" s="660"/>
      <c r="Q1023" s="660"/>
      <c r="R1023" s="660"/>
      <c r="S1023" s="660"/>
      <c r="T1023" s="660"/>
      <c r="U1023" s="660"/>
      <c r="V1023" s="660"/>
      <c r="W1023" s="660"/>
      <c r="X1023" s="660"/>
      <c r="Y1023" s="660"/>
      <c r="Z1023" s="660"/>
      <c r="AA1023" s="660"/>
      <c r="AB1023" s="660"/>
      <c r="AC1023" s="661"/>
      <c r="AD1023" s="606"/>
      <c r="AE1023" s="19"/>
      <c r="AF1023" s="19"/>
      <c r="AG1023" s="19"/>
    </row>
    <row r="1024" spans="1:33" hidden="1" outlineLevel="3" x14ac:dyDescent="0.2">
      <c r="A1024" s="606"/>
      <c r="B1024" s="606"/>
      <c r="C1024" s="607"/>
      <c r="D1024" s="608"/>
      <c r="E1024" s="608"/>
      <c r="F1024" s="608"/>
      <c r="G1024" s="608"/>
      <c r="H1024" s="609"/>
      <c r="I1024" s="660"/>
      <c r="J1024" s="660"/>
      <c r="K1024" s="660"/>
      <c r="L1024" s="660"/>
      <c r="M1024" s="660"/>
      <c r="N1024" s="660"/>
      <c r="O1024" s="660"/>
      <c r="P1024" s="660"/>
      <c r="Q1024" s="660"/>
      <c r="R1024" s="660"/>
      <c r="S1024" s="660"/>
      <c r="T1024" s="660"/>
      <c r="U1024" s="660"/>
      <c r="V1024" s="660"/>
      <c r="W1024" s="660"/>
      <c r="X1024" s="660"/>
      <c r="Y1024" s="660"/>
      <c r="Z1024" s="660"/>
      <c r="AA1024" s="660"/>
      <c r="AB1024" s="660"/>
      <c r="AC1024" s="661"/>
      <c r="AD1024" s="606"/>
      <c r="AE1024" s="19"/>
      <c r="AF1024" s="19"/>
      <c r="AG1024" s="19"/>
    </row>
    <row r="1025" spans="1:33" hidden="1" outlineLevel="3" x14ac:dyDescent="0.2">
      <c r="A1025" s="606"/>
      <c r="B1025" s="606"/>
      <c r="C1025" s="607"/>
      <c r="D1025" s="608"/>
      <c r="E1025" s="608"/>
      <c r="F1025" s="608"/>
      <c r="G1025" s="608"/>
      <c r="H1025" s="609"/>
      <c r="I1025" s="660"/>
      <c r="J1025" s="660"/>
      <c r="K1025" s="660"/>
      <c r="L1025" s="660"/>
      <c r="M1025" s="660"/>
      <c r="N1025" s="660"/>
      <c r="O1025" s="660"/>
      <c r="P1025" s="660"/>
      <c r="Q1025" s="660"/>
      <c r="R1025" s="660"/>
      <c r="S1025" s="660"/>
      <c r="T1025" s="660"/>
      <c r="U1025" s="660"/>
      <c r="V1025" s="660"/>
      <c r="W1025" s="660"/>
      <c r="X1025" s="660"/>
      <c r="Y1025" s="660"/>
      <c r="Z1025" s="660"/>
      <c r="AA1025" s="660"/>
      <c r="AB1025" s="660"/>
      <c r="AC1025" s="661"/>
      <c r="AD1025" s="606"/>
      <c r="AE1025" s="19"/>
      <c r="AF1025" s="19"/>
      <c r="AG1025" s="19"/>
    </row>
    <row r="1026" spans="1:33" hidden="1" outlineLevel="3" x14ac:dyDescent="0.2">
      <c r="A1026" s="606"/>
      <c r="B1026" s="606"/>
      <c r="C1026" s="607"/>
      <c r="D1026" s="608"/>
      <c r="E1026" s="608"/>
      <c r="F1026" s="608"/>
      <c r="G1026" s="608"/>
      <c r="H1026" s="609"/>
      <c r="I1026" s="660"/>
      <c r="J1026" s="660"/>
      <c r="K1026" s="660"/>
      <c r="L1026" s="660"/>
      <c r="M1026" s="660"/>
      <c r="N1026" s="660"/>
      <c r="O1026" s="660"/>
      <c r="P1026" s="660"/>
      <c r="Q1026" s="660"/>
      <c r="R1026" s="660"/>
      <c r="S1026" s="660"/>
      <c r="T1026" s="660"/>
      <c r="U1026" s="660"/>
      <c r="V1026" s="660"/>
      <c r="W1026" s="660"/>
      <c r="X1026" s="660"/>
      <c r="Y1026" s="660"/>
      <c r="Z1026" s="660"/>
      <c r="AA1026" s="660"/>
      <c r="AB1026" s="660"/>
      <c r="AC1026" s="661"/>
      <c r="AD1026" s="606"/>
      <c r="AE1026" s="19"/>
      <c r="AF1026" s="19"/>
      <c r="AG1026" s="19"/>
    </row>
    <row r="1027" spans="1:33" hidden="1" outlineLevel="3" x14ac:dyDescent="0.2">
      <c r="A1027" s="606"/>
      <c r="B1027" s="606"/>
      <c r="C1027" s="607"/>
      <c r="D1027" s="608"/>
      <c r="E1027" s="608"/>
      <c r="F1027" s="608"/>
      <c r="G1027" s="608"/>
      <c r="H1027" s="609"/>
      <c r="I1027" s="660"/>
      <c r="J1027" s="660"/>
      <c r="K1027" s="660"/>
      <c r="L1027" s="660"/>
      <c r="M1027" s="660"/>
      <c r="N1027" s="660"/>
      <c r="O1027" s="660"/>
      <c r="P1027" s="660"/>
      <c r="Q1027" s="660"/>
      <c r="R1027" s="660"/>
      <c r="S1027" s="660"/>
      <c r="T1027" s="660"/>
      <c r="U1027" s="660"/>
      <c r="V1027" s="660"/>
      <c r="W1027" s="660"/>
      <c r="X1027" s="660"/>
      <c r="Y1027" s="660"/>
      <c r="Z1027" s="660"/>
      <c r="AA1027" s="660"/>
      <c r="AB1027" s="660"/>
      <c r="AC1027" s="661"/>
      <c r="AD1027" s="606"/>
      <c r="AE1027" s="19"/>
      <c r="AF1027" s="19"/>
      <c r="AG1027" s="19"/>
    </row>
    <row r="1028" spans="1:33" hidden="1" outlineLevel="3" x14ac:dyDescent="0.2">
      <c r="A1028" s="606"/>
      <c r="B1028" s="606"/>
      <c r="C1028" s="607"/>
      <c r="D1028" s="608"/>
      <c r="E1028" s="608"/>
      <c r="F1028" s="608"/>
      <c r="G1028" s="608"/>
      <c r="H1028" s="609"/>
      <c r="I1028" s="660"/>
      <c r="J1028" s="660"/>
      <c r="K1028" s="660"/>
      <c r="L1028" s="660"/>
      <c r="M1028" s="660"/>
      <c r="N1028" s="660"/>
      <c r="O1028" s="660"/>
      <c r="P1028" s="660"/>
      <c r="Q1028" s="660"/>
      <c r="R1028" s="660"/>
      <c r="S1028" s="660"/>
      <c r="T1028" s="660"/>
      <c r="U1028" s="660"/>
      <c r="V1028" s="660"/>
      <c r="W1028" s="660"/>
      <c r="X1028" s="660"/>
      <c r="Y1028" s="660"/>
      <c r="Z1028" s="660"/>
      <c r="AA1028" s="660"/>
      <c r="AB1028" s="660"/>
      <c r="AC1028" s="661"/>
      <c r="AD1028" s="606"/>
      <c r="AE1028" s="19"/>
      <c r="AF1028" s="19"/>
      <c r="AG1028" s="19"/>
    </row>
    <row r="1029" spans="1:33" hidden="1" outlineLevel="3" x14ac:dyDescent="0.2">
      <c r="A1029" s="606"/>
      <c r="B1029" s="606"/>
      <c r="C1029" s="607"/>
      <c r="D1029" s="608"/>
      <c r="E1029" s="608"/>
      <c r="F1029" s="608"/>
      <c r="G1029" s="608"/>
      <c r="H1029" s="609"/>
      <c r="I1029" s="660"/>
      <c r="J1029" s="660"/>
      <c r="K1029" s="660"/>
      <c r="L1029" s="660"/>
      <c r="M1029" s="660"/>
      <c r="N1029" s="660"/>
      <c r="O1029" s="660"/>
      <c r="P1029" s="660"/>
      <c r="Q1029" s="660"/>
      <c r="R1029" s="660"/>
      <c r="S1029" s="660"/>
      <c r="T1029" s="660"/>
      <c r="U1029" s="660"/>
      <c r="V1029" s="660"/>
      <c r="W1029" s="660"/>
      <c r="X1029" s="660"/>
      <c r="Y1029" s="660"/>
      <c r="Z1029" s="660"/>
      <c r="AA1029" s="660"/>
      <c r="AB1029" s="660"/>
      <c r="AC1029" s="661"/>
      <c r="AD1029" s="606"/>
      <c r="AE1029" s="19"/>
      <c r="AF1029" s="19"/>
      <c r="AG1029" s="19"/>
    </row>
    <row r="1030" spans="1:33" hidden="1" outlineLevel="3" x14ac:dyDescent="0.2">
      <c r="A1030" s="606"/>
      <c r="B1030" s="606"/>
      <c r="C1030" s="607"/>
      <c r="D1030" s="608"/>
      <c r="E1030" s="608"/>
      <c r="F1030" s="608"/>
      <c r="G1030" s="608"/>
      <c r="H1030" s="609"/>
      <c r="I1030" s="660"/>
      <c r="J1030" s="660"/>
      <c r="K1030" s="660"/>
      <c r="L1030" s="660"/>
      <c r="M1030" s="660"/>
      <c r="N1030" s="660"/>
      <c r="O1030" s="660"/>
      <c r="P1030" s="660"/>
      <c r="Q1030" s="660"/>
      <c r="R1030" s="660"/>
      <c r="S1030" s="660"/>
      <c r="T1030" s="660"/>
      <c r="U1030" s="660"/>
      <c r="V1030" s="660"/>
      <c r="W1030" s="660"/>
      <c r="X1030" s="660"/>
      <c r="Y1030" s="660"/>
      <c r="Z1030" s="660"/>
      <c r="AA1030" s="660"/>
      <c r="AB1030" s="660"/>
      <c r="AC1030" s="661"/>
      <c r="AD1030" s="606"/>
      <c r="AE1030" s="19"/>
      <c r="AF1030" s="19"/>
      <c r="AG1030" s="19"/>
    </row>
    <row r="1031" spans="1:33" hidden="1" outlineLevel="3" x14ac:dyDescent="0.2">
      <c r="A1031" s="606"/>
      <c r="B1031" s="606"/>
      <c r="C1031" s="607"/>
      <c r="D1031" s="608"/>
      <c r="E1031" s="608"/>
      <c r="F1031" s="608"/>
      <c r="G1031" s="608"/>
      <c r="H1031" s="609"/>
      <c r="I1031" s="660"/>
      <c r="J1031" s="660"/>
      <c r="K1031" s="660"/>
      <c r="L1031" s="660"/>
      <c r="M1031" s="660"/>
      <c r="N1031" s="660"/>
      <c r="O1031" s="660"/>
      <c r="P1031" s="660"/>
      <c r="Q1031" s="660"/>
      <c r="R1031" s="660"/>
      <c r="S1031" s="660"/>
      <c r="T1031" s="660"/>
      <c r="U1031" s="660"/>
      <c r="V1031" s="660"/>
      <c r="W1031" s="660"/>
      <c r="X1031" s="660"/>
      <c r="Y1031" s="660"/>
      <c r="Z1031" s="660"/>
      <c r="AA1031" s="660"/>
      <c r="AB1031" s="660"/>
      <c r="AC1031" s="661"/>
      <c r="AD1031" s="606"/>
      <c r="AE1031" s="19"/>
      <c r="AF1031" s="19"/>
      <c r="AG1031" s="19"/>
    </row>
    <row r="1032" spans="1:33" hidden="1" outlineLevel="3" x14ac:dyDescent="0.2">
      <c r="A1032" s="606"/>
      <c r="B1032" s="606"/>
      <c r="C1032" s="607"/>
      <c r="D1032" s="608"/>
      <c r="E1032" s="608"/>
      <c r="F1032" s="608"/>
      <c r="G1032" s="608"/>
      <c r="H1032" s="609"/>
      <c r="I1032" s="660"/>
      <c r="J1032" s="660"/>
      <c r="K1032" s="660"/>
      <c r="L1032" s="660"/>
      <c r="M1032" s="660"/>
      <c r="N1032" s="660"/>
      <c r="O1032" s="660"/>
      <c r="P1032" s="660"/>
      <c r="Q1032" s="660"/>
      <c r="R1032" s="660"/>
      <c r="S1032" s="660"/>
      <c r="T1032" s="660"/>
      <c r="U1032" s="660"/>
      <c r="V1032" s="660"/>
      <c r="W1032" s="660"/>
      <c r="X1032" s="660"/>
      <c r="Y1032" s="660"/>
      <c r="Z1032" s="660"/>
      <c r="AA1032" s="660"/>
      <c r="AB1032" s="660"/>
      <c r="AC1032" s="661"/>
      <c r="AD1032" s="606"/>
      <c r="AE1032" s="19"/>
      <c r="AF1032" s="19"/>
      <c r="AG1032" s="19"/>
    </row>
    <row r="1033" spans="1:33" hidden="1" outlineLevel="3" x14ac:dyDescent="0.2">
      <c r="A1033" s="606"/>
      <c r="B1033" s="606"/>
      <c r="C1033" s="607"/>
      <c r="D1033" s="608"/>
      <c r="E1033" s="608"/>
      <c r="F1033" s="608"/>
      <c r="G1033" s="608"/>
      <c r="H1033" s="609"/>
      <c r="I1033" s="660"/>
      <c r="J1033" s="660"/>
      <c r="K1033" s="660"/>
      <c r="L1033" s="660"/>
      <c r="M1033" s="660"/>
      <c r="N1033" s="660"/>
      <c r="O1033" s="660"/>
      <c r="P1033" s="660"/>
      <c r="Q1033" s="660"/>
      <c r="R1033" s="660"/>
      <c r="S1033" s="660"/>
      <c r="T1033" s="660"/>
      <c r="U1033" s="660"/>
      <c r="V1033" s="660"/>
      <c r="W1033" s="660"/>
      <c r="X1033" s="660"/>
      <c r="Y1033" s="660"/>
      <c r="Z1033" s="660"/>
      <c r="AA1033" s="660"/>
      <c r="AB1033" s="660"/>
      <c r="AC1033" s="661"/>
      <c r="AD1033" s="606"/>
      <c r="AE1033" s="19"/>
      <c r="AF1033" s="19"/>
      <c r="AG1033" s="19"/>
    </row>
    <row r="1034" spans="1:33" hidden="1" outlineLevel="3" x14ac:dyDescent="0.2">
      <c r="A1034" s="606"/>
      <c r="B1034" s="606"/>
      <c r="C1034" s="607"/>
      <c r="D1034" s="608"/>
      <c r="E1034" s="608"/>
      <c r="F1034" s="608"/>
      <c r="G1034" s="608"/>
      <c r="H1034" s="609"/>
      <c r="I1034" s="660"/>
      <c r="J1034" s="660"/>
      <c r="K1034" s="660"/>
      <c r="L1034" s="660"/>
      <c r="M1034" s="660"/>
      <c r="N1034" s="660"/>
      <c r="O1034" s="660"/>
      <c r="P1034" s="660"/>
      <c r="Q1034" s="660"/>
      <c r="R1034" s="660"/>
      <c r="S1034" s="660"/>
      <c r="T1034" s="660"/>
      <c r="U1034" s="660"/>
      <c r="V1034" s="660"/>
      <c r="W1034" s="660"/>
      <c r="X1034" s="660"/>
      <c r="Y1034" s="660"/>
      <c r="Z1034" s="660"/>
      <c r="AA1034" s="660"/>
      <c r="AB1034" s="660"/>
      <c r="AC1034" s="661"/>
      <c r="AD1034" s="606"/>
      <c r="AE1034" s="19"/>
      <c r="AF1034" s="19"/>
      <c r="AG1034" s="19"/>
    </row>
    <row r="1035" spans="1:33" hidden="1" outlineLevel="3" x14ac:dyDescent="0.2">
      <c r="A1035" s="606"/>
      <c r="B1035" s="606"/>
      <c r="C1035" s="607"/>
      <c r="D1035" s="608"/>
      <c r="E1035" s="608"/>
      <c r="F1035" s="608"/>
      <c r="G1035" s="608"/>
      <c r="H1035" s="609"/>
      <c r="I1035" s="660"/>
      <c r="J1035" s="660"/>
      <c r="K1035" s="660"/>
      <c r="L1035" s="660"/>
      <c r="M1035" s="660"/>
      <c r="N1035" s="660"/>
      <c r="O1035" s="660"/>
      <c r="P1035" s="660"/>
      <c r="Q1035" s="660"/>
      <c r="R1035" s="660"/>
      <c r="S1035" s="660"/>
      <c r="T1035" s="660"/>
      <c r="U1035" s="660"/>
      <c r="V1035" s="660"/>
      <c r="W1035" s="660"/>
      <c r="X1035" s="660"/>
      <c r="Y1035" s="660"/>
      <c r="Z1035" s="660"/>
      <c r="AA1035" s="660"/>
      <c r="AB1035" s="660"/>
      <c r="AC1035" s="661"/>
      <c r="AD1035" s="606"/>
      <c r="AE1035" s="19"/>
      <c r="AF1035" s="19"/>
      <c r="AG1035" s="19"/>
    </row>
    <row r="1036" spans="1:33" hidden="1" outlineLevel="3" x14ac:dyDescent="0.2">
      <c r="A1036" s="606"/>
      <c r="B1036" s="606"/>
      <c r="C1036" s="607"/>
      <c r="D1036" s="608"/>
      <c r="E1036" s="608"/>
      <c r="F1036" s="608"/>
      <c r="G1036" s="608"/>
      <c r="H1036" s="609"/>
      <c r="I1036" s="660"/>
      <c r="J1036" s="660"/>
      <c r="K1036" s="660"/>
      <c r="L1036" s="660"/>
      <c r="M1036" s="660"/>
      <c r="N1036" s="660"/>
      <c r="O1036" s="660"/>
      <c r="P1036" s="660"/>
      <c r="Q1036" s="660"/>
      <c r="R1036" s="660"/>
      <c r="S1036" s="660"/>
      <c r="T1036" s="660"/>
      <c r="U1036" s="660"/>
      <c r="V1036" s="660"/>
      <c r="W1036" s="660"/>
      <c r="X1036" s="660"/>
      <c r="Y1036" s="660"/>
      <c r="Z1036" s="660"/>
      <c r="AA1036" s="660"/>
      <c r="AB1036" s="660"/>
      <c r="AC1036" s="661"/>
      <c r="AD1036" s="606"/>
      <c r="AE1036" s="19"/>
      <c r="AF1036" s="19"/>
      <c r="AG1036" s="19"/>
    </row>
    <row r="1037" spans="1:33" hidden="1" outlineLevel="3" x14ac:dyDescent="0.2">
      <c r="A1037" s="606"/>
      <c r="B1037" s="606"/>
      <c r="C1037" s="607"/>
      <c r="D1037" s="608"/>
      <c r="E1037" s="608"/>
      <c r="F1037" s="608"/>
      <c r="G1037" s="608"/>
      <c r="H1037" s="609"/>
      <c r="I1037" s="660"/>
      <c r="J1037" s="660"/>
      <c r="K1037" s="660"/>
      <c r="L1037" s="660"/>
      <c r="M1037" s="660"/>
      <c r="N1037" s="660"/>
      <c r="O1037" s="660"/>
      <c r="P1037" s="660"/>
      <c r="Q1037" s="660"/>
      <c r="R1037" s="660"/>
      <c r="S1037" s="660"/>
      <c r="T1037" s="660"/>
      <c r="U1037" s="660"/>
      <c r="V1037" s="660"/>
      <c r="W1037" s="660"/>
      <c r="X1037" s="660"/>
      <c r="Y1037" s="660"/>
      <c r="Z1037" s="660"/>
      <c r="AA1037" s="660"/>
      <c r="AB1037" s="660"/>
      <c r="AC1037" s="661"/>
      <c r="AD1037" s="606"/>
      <c r="AE1037" s="19"/>
      <c r="AF1037" s="19"/>
      <c r="AG1037" s="19"/>
    </row>
    <row r="1038" spans="1:33" hidden="1" outlineLevel="3" x14ac:dyDescent="0.2">
      <c r="A1038" s="606"/>
      <c r="B1038" s="606"/>
      <c r="C1038" s="607"/>
      <c r="D1038" s="608"/>
      <c r="E1038" s="608"/>
      <c r="F1038" s="608"/>
      <c r="G1038" s="608"/>
      <c r="H1038" s="609"/>
      <c r="I1038" s="660"/>
      <c r="J1038" s="660"/>
      <c r="K1038" s="660"/>
      <c r="L1038" s="660"/>
      <c r="M1038" s="660"/>
      <c r="N1038" s="660"/>
      <c r="O1038" s="660"/>
      <c r="P1038" s="660"/>
      <c r="Q1038" s="660"/>
      <c r="R1038" s="660"/>
      <c r="S1038" s="660"/>
      <c r="T1038" s="660"/>
      <c r="U1038" s="660"/>
      <c r="V1038" s="660"/>
      <c r="W1038" s="660"/>
      <c r="X1038" s="660"/>
      <c r="Y1038" s="660"/>
      <c r="Z1038" s="660"/>
      <c r="AA1038" s="660"/>
      <c r="AB1038" s="660"/>
      <c r="AC1038" s="661"/>
      <c r="AD1038" s="606"/>
      <c r="AE1038" s="19"/>
      <c r="AF1038" s="19"/>
      <c r="AG1038" s="19"/>
    </row>
    <row r="1039" spans="1:33" hidden="1" outlineLevel="3" x14ac:dyDescent="0.2">
      <c r="A1039" s="606"/>
      <c r="B1039" s="606"/>
      <c r="C1039" s="607"/>
      <c r="D1039" s="608"/>
      <c r="E1039" s="608"/>
      <c r="F1039" s="608"/>
      <c r="G1039" s="608"/>
      <c r="H1039" s="609"/>
      <c r="I1039" s="660"/>
      <c r="J1039" s="660"/>
      <c r="K1039" s="660"/>
      <c r="L1039" s="660"/>
      <c r="M1039" s="660"/>
      <c r="N1039" s="660"/>
      <c r="O1039" s="660"/>
      <c r="P1039" s="660"/>
      <c r="Q1039" s="660"/>
      <c r="R1039" s="660"/>
      <c r="S1039" s="660"/>
      <c r="T1039" s="660"/>
      <c r="U1039" s="660"/>
      <c r="V1039" s="660"/>
      <c r="W1039" s="660"/>
      <c r="X1039" s="660"/>
      <c r="Y1039" s="660"/>
      <c r="Z1039" s="660"/>
      <c r="AA1039" s="660"/>
      <c r="AB1039" s="660"/>
      <c r="AC1039" s="661"/>
      <c r="AD1039" s="606"/>
      <c r="AE1039" s="19"/>
      <c r="AF1039" s="19"/>
      <c r="AG1039" s="19"/>
    </row>
    <row r="1040" spans="1:33" hidden="1" outlineLevel="3" x14ac:dyDescent="0.2">
      <c r="A1040" s="606"/>
      <c r="B1040" s="606"/>
      <c r="C1040" s="607"/>
      <c r="D1040" s="608"/>
      <c r="E1040" s="608"/>
      <c r="F1040" s="608"/>
      <c r="G1040" s="608"/>
      <c r="H1040" s="609"/>
      <c r="I1040" s="660"/>
      <c r="J1040" s="660"/>
      <c r="K1040" s="660"/>
      <c r="L1040" s="660"/>
      <c r="M1040" s="660"/>
      <c r="N1040" s="660"/>
      <c r="O1040" s="660"/>
      <c r="P1040" s="660"/>
      <c r="Q1040" s="660"/>
      <c r="R1040" s="660"/>
      <c r="S1040" s="660"/>
      <c r="T1040" s="660"/>
      <c r="U1040" s="660"/>
      <c r="V1040" s="660"/>
      <c r="W1040" s="660"/>
      <c r="X1040" s="660"/>
      <c r="Y1040" s="660"/>
      <c r="Z1040" s="660"/>
      <c r="AA1040" s="660"/>
      <c r="AB1040" s="660"/>
      <c r="AC1040" s="661"/>
      <c r="AD1040" s="606"/>
      <c r="AE1040" s="19"/>
      <c r="AF1040" s="19"/>
      <c r="AG1040" s="19"/>
    </row>
    <row r="1041" spans="1:33" hidden="1" outlineLevel="3" x14ac:dyDescent="0.2">
      <c r="A1041" s="606"/>
      <c r="B1041" s="606"/>
      <c r="C1041" s="607"/>
      <c r="D1041" s="608"/>
      <c r="E1041" s="608"/>
      <c r="F1041" s="608"/>
      <c r="G1041" s="608"/>
      <c r="H1041" s="609"/>
      <c r="I1041" s="660"/>
      <c r="J1041" s="660"/>
      <c r="K1041" s="660"/>
      <c r="L1041" s="660"/>
      <c r="M1041" s="660"/>
      <c r="N1041" s="660"/>
      <c r="O1041" s="660"/>
      <c r="P1041" s="660"/>
      <c r="Q1041" s="660"/>
      <c r="R1041" s="660"/>
      <c r="S1041" s="660"/>
      <c r="T1041" s="660"/>
      <c r="U1041" s="660"/>
      <c r="V1041" s="660"/>
      <c r="W1041" s="660"/>
      <c r="X1041" s="660"/>
      <c r="Y1041" s="660"/>
      <c r="Z1041" s="660"/>
      <c r="AA1041" s="660"/>
      <c r="AB1041" s="660"/>
      <c r="AC1041" s="661"/>
      <c r="AD1041" s="606"/>
      <c r="AE1041" s="19"/>
      <c r="AF1041" s="19"/>
      <c r="AG1041" s="19"/>
    </row>
    <row r="1042" spans="1:33" hidden="1" outlineLevel="3" x14ac:dyDescent="0.2">
      <c r="A1042" s="606"/>
      <c r="B1042" s="606"/>
      <c r="C1042" s="607"/>
      <c r="D1042" s="608"/>
      <c r="E1042" s="608"/>
      <c r="F1042" s="608"/>
      <c r="G1042" s="608"/>
      <c r="H1042" s="609"/>
      <c r="I1042" s="660"/>
      <c r="J1042" s="660"/>
      <c r="K1042" s="660"/>
      <c r="L1042" s="660"/>
      <c r="M1042" s="660"/>
      <c r="N1042" s="660"/>
      <c r="O1042" s="660"/>
      <c r="P1042" s="660"/>
      <c r="Q1042" s="660"/>
      <c r="R1042" s="660"/>
      <c r="S1042" s="660"/>
      <c r="T1042" s="660"/>
      <c r="U1042" s="660"/>
      <c r="V1042" s="660"/>
      <c r="W1042" s="660"/>
      <c r="X1042" s="660"/>
      <c r="Y1042" s="660"/>
      <c r="Z1042" s="660"/>
      <c r="AA1042" s="660"/>
      <c r="AB1042" s="660"/>
      <c r="AC1042" s="661"/>
      <c r="AD1042" s="606"/>
      <c r="AE1042" s="19"/>
      <c r="AF1042" s="19"/>
      <c r="AG1042" s="19"/>
    </row>
    <row r="1043" spans="1:33" hidden="1" outlineLevel="3" x14ac:dyDescent="0.2">
      <c r="A1043" s="606"/>
      <c r="B1043" s="606"/>
      <c r="C1043" s="607"/>
      <c r="D1043" s="608"/>
      <c r="E1043" s="608"/>
      <c r="F1043" s="608"/>
      <c r="G1043" s="608"/>
      <c r="H1043" s="609"/>
      <c r="I1043" s="660"/>
      <c r="J1043" s="660"/>
      <c r="K1043" s="660"/>
      <c r="L1043" s="660"/>
      <c r="M1043" s="660"/>
      <c r="N1043" s="660"/>
      <c r="O1043" s="660"/>
      <c r="P1043" s="660"/>
      <c r="Q1043" s="660"/>
      <c r="R1043" s="660"/>
      <c r="S1043" s="660"/>
      <c r="T1043" s="660"/>
      <c r="U1043" s="660"/>
      <c r="V1043" s="660"/>
      <c r="W1043" s="660"/>
      <c r="X1043" s="660"/>
      <c r="Y1043" s="660"/>
      <c r="Z1043" s="660"/>
      <c r="AA1043" s="660"/>
      <c r="AB1043" s="660"/>
      <c r="AC1043" s="661"/>
      <c r="AD1043" s="606"/>
      <c r="AE1043" s="19"/>
      <c r="AF1043" s="19"/>
      <c r="AG1043" s="19"/>
    </row>
    <row r="1044" spans="1:33" hidden="1" outlineLevel="3" x14ac:dyDescent="0.2">
      <c r="A1044" s="606"/>
      <c r="B1044" s="606"/>
      <c r="C1044" s="607"/>
      <c r="D1044" s="608"/>
      <c r="E1044" s="608"/>
      <c r="F1044" s="608"/>
      <c r="G1044" s="608"/>
      <c r="H1044" s="609"/>
      <c r="I1044" s="660"/>
      <c r="J1044" s="660"/>
      <c r="K1044" s="660"/>
      <c r="L1044" s="660"/>
      <c r="M1044" s="660"/>
      <c r="N1044" s="660"/>
      <c r="O1044" s="660"/>
      <c r="P1044" s="660"/>
      <c r="Q1044" s="660"/>
      <c r="R1044" s="660"/>
      <c r="S1044" s="660"/>
      <c r="T1044" s="660"/>
      <c r="U1044" s="660"/>
      <c r="V1044" s="660"/>
      <c r="W1044" s="660"/>
      <c r="X1044" s="660"/>
      <c r="Y1044" s="660"/>
      <c r="Z1044" s="660"/>
      <c r="AA1044" s="660"/>
      <c r="AB1044" s="660"/>
      <c r="AC1044" s="661"/>
      <c r="AD1044" s="606"/>
      <c r="AE1044" s="19"/>
      <c r="AF1044" s="19"/>
      <c r="AG1044" s="19"/>
    </row>
    <row r="1045" spans="1:33" hidden="1" outlineLevel="3" x14ac:dyDescent="0.2">
      <c r="A1045" s="606"/>
      <c r="B1045" s="606"/>
      <c r="C1045" s="607"/>
      <c r="D1045" s="608"/>
      <c r="E1045" s="608"/>
      <c r="F1045" s="608"/>
      <c r="G1045" s="608"/>
      <c r="H1045" s="609"/>
      <c r="I1045" s="660"/>
      <c r="J1045" s="660"/>
      <c r="K1045" s="660"/>
      <c r="L1045" s="660"/>
      <c r="M1045" s="660"/>
      <c r="N1045" s="660"/>
      <c r="O1045" s="660"/>
      <c r="P1045" s="660"/>
      <c r="Q1045" s="660"/>
      <c r="R1045" s="660"/>
      <c r="S1045" s="660"/>
      <c r="T1045" s="660"/>
      <c r="U1045" s="660"/>
      <c r="V1045" s="660"/>
      <c r="W1045" s="660"/>
      <c r="X1045" s="660"/>
      <c r="Y1045" s="660"/>
      <c r="Z1045" s="660"/>
      <c r="AA1045" s="660"/>
      <c r="AB1045" s="660"/>
      <c r="AC1045" s="661"/>
      <c r="AD1045" s="606"/>
      <c r="AE1045" s="19"/>
      <c r="AF1045" s="19"/>
      <c r="AG1045" s="19"/>
    </row>
    <row r="1046" spans="1:33" hidden="1" outlineLevel="3" x14ac:dyDescent="0.2">
      <c r="A1046" s="606"/>
      <c r="B1046" s="606"/>
      <c r="C1046" s="607"/>
      <c r="D1046" s="608"/>
      <c r="E1046" s="608"/>
      <c r="F1046" s="608"/>
      <c r="G1046" s="608"/>
      <c r="H1046" s="609"/>
      <c r="I1046" s="660"/>
      <c r="J1046" s="660"/>
      <c r="K1046" s="660"/>
      <c r="L1046" s="660"/>
      <c r="M1046" s="660"/>
      <c r="N1046" s="660"/>
      <c r="O1046" s="660"/>
      <c r="P1046" s="660"/>
      <c r="Q1046" s="660"/>
      <c r="R1046" s="660"/>
      <c r="S1046" s="660"/>
      <c r="T1046" s="660"/>
      <c r="U1046" s="660"/>
      <c r="V1046" s="660"/>
      <c r="W1046" s="660"/>
      <c r="X1046" s="660"/>
      <c r="Y1046" s="660"/>
      <c r="Z1046" s="660"/>
      <c r="AA1046" s="660"/>
      <c r="AB1046" s="660"/>
      <c r="AC1046" s="661"/>
      <c r="AD1046" s="606"/>
      <c r="AE1046" s="19"/>
      <c r="AF1046" s="19"/>
      <c r="AG1046" s="19"/>
    </row>
    <row r="1047" spans="1:33" hidden="1" outlineLevel="3" x14ac:dyDescent="0.2">
      <c r="A1047" s="606"/>
      <c r="B1047" s="606"/>
      <c r="C1047" s="607"/>
      <c r="D1047" s="608"/>
      <c r="E1047" s="608"/>
      <c r="F1047" s="608"/>
      <c r="G1047" s="608"/>
      <c r="H1047" s="609"/>
      <c r="I1047" s="660"/>
      <c r="J1047" s="660"/>
      <c r="K1047" s="660"/>
      <c r="L1047" s="660"/>
      <c r="M1047" s="660"/>
      <c r="N1047" s="660"/>
      <c r="O1047" s="660"/>
      <c r="P1047" s="660"/>
      <c r="Q1047" s="660"/>
      <c r="R1047" s="660"/>
      <c r="S1047" s="660"/>
      <c r="T1047" s="660"/>
      <c r="U1047" s="660"/>
      <c r="V1047" s="660"/>
      <c r="W1047" s="660"/>
      <c r="X1047" s="660"/>
      <c r="Y1047" s="660"/>
      <c r="Z1047" s="660"/>
      <c r="AA1047" s="660"/>
      <c r="AB1047" s="660"/>
      <c r="AC1047" s="661"/>
      <c r="AD1047" s="606"/>
      <c r="AE1047" s="19"/>
      <c r="AF1047" s="19"/>
      <c r="AG1047" s="19"/>
    </row>
    <row r="1048" spans="1:33" hidden="1" outlineLevel="3" x14ac:dyDescent="0.2">
      <c r="A1048" s="606"/>
      <c r="B1048" s="606"/>
      <c r="C1048" s="607"/>
      <c r="D1048" s="608"/>
      <c r="E1048" s="608"/>
      <c r="F1048" s="608"/>
      <c r="G1048" s="608"/>
      <c r="H1048" s="609"/>
      <c r="I1048" s="660"/>
      <c r="J1048" s="660"/>
      <c r="K1048" s="660"/>
      <c r="L1048" s="660"/>
      <c r="M1048" s="660"/>
      <c r="N1048" s="660"/>
      <c r="O1048" s="660"/>
      <c r="P1048" s="660"/>
      <c r="Q1048" s="660"/>
      <c r="R1048" s="660"/>
      <c r="S1048" s="660"/>
      <c r="T1048" s="660"/>
      <c r="U1048" s="660"/>
      <c r="V1048" s="660"/>
      <c r="W1048" s="660"/>
      <c r="X1048" s="660"/>
      <c r="Y1048" s="660"/>
      <c r="Z1048" s="660"/>
      <c r="AA1048" s="660"/>
      <c r="AB1048" s="660"/>
      <c r="AC1048" s="661"/>
      <c r="AD1048" s="606"/>
      <c r="AE1048" s="19"/>
      <c r="AF1048" s="19"/>
      <c r="AG1048" s="19"/>
    </row>
    <row r="1049" spans="1:33" hidden="1" outlineLevel="3" x14ac:dyDescent="0.2">
      <c r="A1049" s="606"/>
      <c r="B1049" s="606"/>
      <c r="C1049" s="607"/>
      <c r="D1049" s="608"/>
      <c r="E1049" s="608"/>
      <c r="F1049" s="608"/>
      <c r="G1049" s="608"/>
      <c r="H1049" s="609"/>
      <c r="I1049" s="660"/>
      <c r="J1049" s="660"/>
      <c r="K1049" s="660"/>
      <c r="L1049" s="660"/>
      <c r="M1049" s="660"/>
      <c r="N1049" s="660"/>
      <c r="O1049" s="660"/>
      <c r="P1049" s="660"/>
      <c r="Q1049" s="660"/>
      <c r="R1049" s="660"/>
      <c r="S1049" s="660"/>
      <c r="T1049" s="660"/>
      <c r="U1049" s="660"/>
      <c r="V1049" s="660"/>
      <c r="W1049" s="660"/>
      <c r="X1049" s="660"/>
      <c r="Y1049" s="660"/>
      <c r="Z1049" s="660"/>
      <c r="AA1049" s="660"/>
      <c r="AB1049" s="660"/>
      <c r="AC1049" s="661"/>
      <c r="AD1049" s="606"/>
      <c r="AE1049" s="19"/>
      <c r="AF1049" s="19"/>
      <c r="AG1049" s="19"/>
    </row>
    <row r="1050" spans="1:33" hidden="1" outlineLevel="3" x14ac:dyDescent="0.2">
      <c r="A1050" s="606"/>
      <c r="B1050" s="606"/>
      <c r="C1050" s="607"/>
      <c r="D1050" s="608"/>
      <c r="E1050" s="608"/>
      <c r="F1050" s="608"/>
      <c r="G1050" s="608"/>
      <c r="H1050" s="609"/>
      <c r="I1050" s="660"/>
      <c r="J1050" s="660"/>
      <c r="K1050" s="660"/>
      <c r="L1050" s="660"/>
      <c r="M1050" s="660"/>
      <c r="N1050" s="660"/>
      <c r="O1050" s="660"/>
      <c r="P1050" s="660"/>
      <c r="Q1050" s="660"/>
      <c r="R1050" s="660"/>
      <c r="S1050" s="660"/>
      <c r="T1050" s="660"/>
      <c r="U1050" s="660"/>
      <c r="V1050" s="660"/>
      <c r="W1050" s="660"/>
      <c r="X1050" s="660"/>
      <c r="Y1050" s="660"/>
      <c r="Z1050" s="660"/>
      <c r="AA1050" s="660"/>
      <c r="AB1050" s="660"/>
      <c r="AC1050" s="661"/>
      <c r="AD1050" s="606"/>
      <c r="AE1050" s="19"/>
      <c r="AF1050" s="19"/>
      <c r="AG1050" s="19"/>
    </row>
    <row r="1051" spans="1:33" hidden="1" outlineLevel="3" x14ac:dyDescent="0.2">
      <c r="A1051" s="606"/>
      <c r="B1051" s="606"/>
      <c r="C1051" s="607"/>
      <c r="D1051" s="608"/>
      <c r="E1051" s="608"/>
      <c r="F1051" s="608"/>
      <c r="G1051" s="608"/>
      <c r="H1051" s="609"/>
      <c r="I1051" s="660"/>
      <c r="J1051" s="660"/>
      <c r="K1051" s="660"/>
      <c r="L1051" s="660"/>
      <c r="M1051" s="660"/>
      <c r="N1051" s="660"/>
      <c r="O1051" s="660"/>
      <c r="P1051" s="660"/>
      <c r="Q1051" s="660"/>
      <c r="R1051" s="660"/>
      <c r="S1051" s="660"/>
      <c r="T1051" s="660"/>
      <c r="U1051" s="660"/>
      <c r="V1051" s="660"/>
      <c r="W1051" s="660"/>
      <c r="X1051" s="660"/>
      <c r="Y1051" s="660"/>
      <c r="Z1051" s="660"/>
      <c r="AA1051" s="660"/>
      <c r="AB1051" s="660"/>
      <c r="AC1051" s="661"/>
      <c r="AD1051" s="606"/>
      <c r="AE1051" s="19"/>
      <c r="AF1051" s="19"/>
      <c r="AG1051" s="19"/>
    </row>
    <row r="1052" spans="1:33" hidden="1" outlineLevel="3" x14ac:dyDescent="0.2">
      <c r="A1052" s="606"/>
      <c r="B1052" s="606"/>
      <c r="C1052" s="607"/>
      <c r="D1052" s="608"/>
      <c r="E1052" s="608"/>
      <c r="F1052" s="608"/>
      <c r="G1052" s="608"/>
      <c r="H1052" s="609"/>
      <c r="I1052" s="660"/>
      <c r="J1052" s="660"/>
      <c r="K1052" s="660"/>
      <c r="L1052" s="660"/>
      <c r="M1052" s="660"/>
      <c r="N1052" s="660"/>
      <c r="O1052" s="660"/>
      <c r="P1052" s="660"/>
      <c r="Q1052" s="660"/>
      <c r="R1052" s="660"/>
      <c r="S1052" s="660"/>
      <c r="T1052" s="660"/>
      <c r="U1052" s="660"/>
      <c r="V1052" s="660"/>
      <c r="W1052" s="660"/>
      <c r="X1052" s="660"/>
      <c r="Y1052" s="660"/>
      <c r="Z1052" s="660"/>
      <c r="AA1052" s="660"/>
      <c r="AB1052" s="660"/>
      <c r="AC1052" s="661"/>
      <c r="AD1052" s="606"/>
      <c r="AE1052" s="19"/>
      <c r="AF1052" s="19"/>
      <c r="AG1052" s="19"/>
    </row>
    <row r="1053" spans="1:33" hidden="1" outlineLevel="3" x14ac:dyDescent="0.2">
      <c r="A1053" s="606"/>
      <c r="B1053" s="606"/>
      <c r="C1053" s="607"/>
      <c r="D1053" s="608"/>
      <c r="E1053" s="608"/>
      <c r="F1053" s="608"/>
      <c r="G1053" s="608"/>
      <c r="H1053" s="609"/>
      <c r="I1053" s="660"/>
      <c r="J1053" s="660"/>
      <c r="K1053" s="660"/>
      <c r="L1053" s="660"/>
      <c r="M1053" s="660"/>
      <c r="N1053" s="660"/>
      <c r="O1053" s="660"/>
      <c r="P1053" s="660"/>
      <c r="Q1053" s="660"/>
      <c r="R1053" s="660"/>
      <c r="S1053" s="660"/>
      <c r="T1053" s="660"/>
      <c r="U1053" s="660"/>
      <c r="V1053" s="660"/>
      <c r="W1053" s="660"/>
      <c r="X1053" s="660"/>
      <c r="Y1053" s="660"/>
      <c r="Z1053" s="660"/>
      <c r="AA1053" s="660"/>
      <c r="AB1053" s="660"/>
      <c r="AC1053" s="661"/>
      <c r="AD1053" s="606"/>
      <c r="AE1053" s="19"/>
      <c r="AF1053" s="19"/>
      <c r="AG1053" s="19"/>
    </row>
    <row r="1054" spans="1:33" hidden="1" outlineLevel="3" x14ac:dyDescent="0.2">
      <c r="A1054" s="606"/>
      <c r="B1054" s="606"/>
      <c r="C1054" s="607"/>
      <c r="D1054" s="608"/>
      <c r="E1054" s="608"/>
      <c r="F1054" s="608"/>
      <c r="G1054" s="608"/>
      <c r="H1054" s="609"/>
      <c r="I1054" s="660"/>
      <c r="J1054" s="660"/>
      <c r="K1054" s="660"/>
      <c r="L1054" s="660"/>
      <c r="M1054" s="660"/>
      <c r="N1054" s="660"/>
      <c r="O1054" s="660"/>
      <c r="P1054" s="660"/>
      <c r="Q1054" s="660"/>
      <c r="R1054" s="660"/>
      <c r="S1054" s="660"/>
      <c r="T1054" s="660"/>
      <c r="U1054" s="660"/>
      <c r="V1054" s="660"/>
      <c r="W1054" s="660"/>
      <c r="X1054" s="660"/>
      <c r="Y1054" s="660"/>
      <c r="Z1054" s="660"/>
      <c r="AA1054" s="660"/>
      <c r="AB1054" s="660"/>
      <c r="AC1054" s="661"/>
      <c r="AD1054" s="606"/>
      <c r="AE1054" s="19"/>
      <c r="AF1054" s="19"/>
      <c r="AG1054" s="19"/>
    </row>
    <row r="1055" spans="1:33" hidden="1" outlineLevel="3" x14ac:dyDescent="0.2">
      <c r="A1055" s="606"/>
      <c r="B1055" s="606"/>
      <c r="C1055" s="607"/>
      <c r="D1055" s="608"/>
      <c r="E1055" s="608"/>
      <c r="F1055" s="608"/>
      <c r="G1055" s="608"/>
      <c r="H1055" s="609"/>
      <c r="I1055" s="660"/>
      <c r="J1055" s="660"/>
      <c r="K1055" s="660"/>
      <c r="L1055" s="660"/>
      <c r="M1055" s="660"/>
      <c r="N1055" s="660"/>
      <c r="O1055" s="660"/>
      <c r="P1055" s="660"/>
      <c r="Q1055" s="660"/>
      <c r="R1055" s="660"/>
      <c r="S1055" s="660"/>
      <c r="T1055" s="660"/>
      <c r="U1055" s="660"/>
      <c r="V1055" s="660"/>
      <c r="W1055" s="660"/>
      <c r="X1055" s="660"/>
      <c r="Y1055" s="660"/>
      <c r="Z1055" s="660"/>
      <c r="AA1055" s="660"/>
      <c r="AB1055" s="660"/>
      <c r="AC1055" s="661"/>
      <c r="AD1055" s="606"/>
      <c r="AE1055" s="19"/>
      <c r="AF1055" s="19"/>
      <c r="AG1055" s="19"/>
    </row>
    <row r="1056" spans="1:33" hidden="1" outlineLevel="3" x14ac:dyDescent="0.2">
      <c r="A1056" s="606"/>
      <c r="B1056" s="606"/>
      <c r="C1056" s="607"/>
      <c r="D1056" s="608"/>
      <c r="E1056" s="608"/>
      <c r="F1056" s="608"/>
      <c r="G1056" s="608"/>
      <c r="H1056" s="609"/>
      <c r="I1056" s="660"/>
      <c r="J1056" s="660"/>
      <c r="K1056" s="660"/>
      <c r="L1056" s="660"/>
      <c r="M1056" s="660"/>
      <c r="N1056" s="660"/>
      <c r="O1056" s="660"/>
      <c r="P1056" s="660"/>
      <c r="Q1056" s="660"/>
      <c r="R1056" s="660"/>
      <c r="S1056" s="660"/>
      <c r="T1056" s="660"/>
      <c r="U1056" s="660"/>
      <c r="V1056" s="660"/>
      <c r="W1056" s="660"/>
      <c r="X1056" s="660"/>
      <c r="Y1056" s="660"/>
      <c r="Z1056" s="660"/>
      <c r="AA1056" s="660"/>
      <c r="AB1056" s="660"/>
      <c r="AC1056" s="661"/>
      <c r="AD1056" s="606"/>
      <c r="AE1056" s="19"/>
      <c r="AF1056" s="19"/>
      <c r="AG1056" s="19"/>
    </row>
    <row r="1057" spans="1:33" hidden="1" outlineLevel="3" x14ac:dyDescent="0.2">
      <c r="A1057" s="606"/>
      <c r="B1057" s="606"/>
      <c r="C1057" s="607"/>
      <c r="D1057" s="608"/>
      <c r="E1057" s="608"/>
      <c r="F1057" s="608"/>
      <c r="G1057" s="608"/>
      <c r="H1057" s="609"/>
      <c r="I1057" s="660"/>
      <c r="J1057" s="660"/>
      <c r="K1057" s="660"/>
      <c r="L1057" s="660"/>
      <c r="M1057" s="660"/>
      <c r="N1057" s="660"/>
      <c r="O1057" s="660"/>
      <c r="P1057" s="660"/>
      <c r="Q1057" s="660"/>
      <c r="R1057" s="660"/>
      <c r="S1057" s="660"/>
      <c r="T1057" s="660"/>
      <c r="U1057" s="660"/>
      <c r="V1057" s="660"/>
      <c r="W1057" s="660"/>
      <c r="X1057" s="660"/>
      <c r="Y1057" s="660"/>
      <c r="Z1057" s="660"/>
      <c r="AA1057" s="660"/>
      <c r="AB1057" s="660"/>
      <c r="AC1057" s="661"/>
      <c r="AD1057" s="606"/>
      <c r="AE1057" s="19"/>
      <c r="AF1057" s="19"/>
      <c r="AG1057" s="19"/>
    </row>
    <row r="1058" spans="1:33" hidden="1" outlineLevel="3" x14ac:dyDescent="0.2">
      <c r="A1058" s="606"/>
      <c r="B1058" s="606"/>
      <c r="C1058" s="607"/>
      <c r="D1058" s="608"/>
      <c r="E1058" s="608"/>
      <c r="F1058" s="608"/>
      <c r="G1058" s="608"/>
      <c r="H1058" s="609"/>
      <c r="I1058" s="660"/>
      <c r="J1058" s="660"/>
      <c r="K1058" s="660"/>
      <c r="L1058" s="660"/>
      <c r="M1058" s="660"/>
      <c r="N1058" s="660"/>
      <c r="O1058" s="660"/>
      <c r="P1058" s="660"/>
      <c r="Q1058" s="660"/>
      <c r="R1058" s="660"/>
      <c r="S1058" s="660"/>
      <c r="T1058" s="660"/>
      <c r="U1058" s="660"/>
      <c r="V1058" s="660"/>
      <c r="W1058" s="660"/>
      <c r="X1058" s="660"/>
      <c r="Y1058" s="660"/>
      <c r="Z1058" s="660"/>
      <c r="AA1058" s="660"/>
      <c r="AB1058" s="660"/>
      <c r="AC1058" s="661"/>
      <c r="AD1058" s="606"/>
      <c r="AE1058" s="19"/>
      <c r="AF1058" s="19"/>
      <c r="AG1058" s="19"/>
    </row>
    <row r="1059" spans="1:33" hidden="1" outlineLevel="3" x14ac:dyDescent="0.2">
      <c r="A1059" s="606"/>
      <c r="B1059" s="606"/>
      <c r="C1059" s="607"/>
      <c r="D1059" s="608"/>
      <c r="E1059" s="608"/>
      <c r="F1059" s="608"/>
      <c r="G1059" s="608"/>
      <c r="H1059" s="609"/>
      <c r="I1059" s="660"/>
      <c r="J1059" s="660"/>
      <c r="K1059" s="660"/>
      <c r="L1059" s="660"/>
      <c r="M1059" s="660"/>
      <c r="N1059" s="660"/>
      <c r="O1059" s="660"/>
      <c r="P1059" s="660"/>
      <c r="Q1059" s="660"/>
      <c r="R1059" s="660"/>
      <c r="S1059" s="660"/>
      <c r="T1059" s="660"/>
      <c r="U1059" s="660"/>
      <c r="V1059" s="660"/>
      <c r="W1059" s="660"/>
      <c r="X1059" s="660"/>
      <c r="Y1059" s="660"/>
      <c r="Z1059" s="660"/>
      <c r="AA1059" s="660"/>
      <c r="AB1059" s="660"/>
      <c r="AC1059" s="661"/>
      <c r="AD1059" s="606"/>
      <c r="AE1059" s="19"/>
      <c r="AF1059" s="19"/>
      <c r="AG1059" s="19"/>
    </row>
    <row r="1060" spans="1:33" hidden="1" outlineLevel="3" x14ac:dyDescent="0.2">
      <c r="A1060" s="606"/>
      <c r="B1060" s="606"/>
      <c r="C1060" s="607"/>
      <c r="D1060" s="608"/>
      <c r="E1060" s="608"/>
      <c r="F1060" s="608"/>
      <c r="G1060" s="608"/>
      <c r="H1060" s="609"/>
      <c r="I1060" s="660"/>
      <c r="J1060" s="660"/>
      <c r="K1060" s="660"/>
      <c r="L1060" s="660"/>
      <c r="M1060" s="660"/>
      <c r="N1060" s="660"/>
      <c r="O1060" s="660"/>
      <c r="P1060" s="660"/>
      <c r="Q1060" s="660"/>
      <c r="R1060" s="660"/>
      <c r="S1060" s="660"/>
      <c r="T1060" s="660"/>
      <c r="U1060" s="660"/>
      <c r="V1060" s="660"/>
      <c r="W1060" s="660"/>
      <c r="X1060" s="660"/>
      <c r="Y1060" s="660"/>
      <c r="Z1060" s="660"/>
      <c r="AA1060" s="660"/>
      <c r="AB1060" s="660"/>
      <c r="AC1060" s="661"/>
      <c r="AD1060" s="606"/>
      <c r="AE1060" s="19"/>
      <c r="AF1060" s="19"/>
      <c r="AG1060" s="19"/>
    </row>
    <row r="1061" spans="1:33" hidden="1" outlineLevel="3" x14ac:dyDescent="0.2">
      <c r="A1061" s="606"/>
      <c r="B1061" s="606"/>
      <c r="C1061" s="607"/>
      <c r="D1061" s="608"/>
      <c r="E1061" s="608"/>
      <c r="F1061" s="608"/>
      <c r="G1061" s="608"/>
      <c r="H1061" s="609"/>
      <c r="I1061" s="660"/>
      <c r="J1061" s="660"/>
      <c r="K1061" s="660"/>
      <c r="L1061" s="660"/>
      <c r="M1061" s="660"/>
      <c r="N1061" s="660"/>
      <c r="O1061" s="660"/>
      <c r="P1061" s="660"/>
      <c r="Q1061" s="660"/>
      <c r="R1061" s="660"/>
      <c r="S1061" s="660"/>
      <c r="T1061" s="660"/>
      <c r="U1061" s="660"/>
      <c r="V1061" s="660"/>
      <c r="W1061" s="660"/>
      <c r="X1061" s="660"/>
      <c r="Y1061" s="660"/>
      <c r="Z1061" s="660"/>
      <c r="AA1061" s="660"/>
      <c r="AB1061" s="660"/>
      <c r="AC1061" s="661"/>
      <c r="AD1061" s="606"/>
      <c r="AE1061" s="19"/>
      <c r="AF1061" s="19"/>
      <c r="AG1061" s="19"/>
    </row>
    <row r="1062" spans="1:33" hidden="1" outlineLevel="3" x14ac:dyDescent="0.2">
      <c r="A1062" s="606"/>
      <c r="B1062" s="606"/>
      <c r="C1062" s="607"/>
      <c r="D1062" s="608"/>
      <c r="E1062" s="608"/>
      <c r="F1062" s="608"/>
      <c r="G1062" s="608"/>
      <c r="H1062" s="609"/>
      <c r="I1062" s="660"/>
      <c r="J1062" s="660"/>
      <c r="K1062" s="660"/>
      <c r="L1062" s="660"/>
      <c r="M1062" s="660"/>
      <c r="N1062" s="660"/>
      <c r="O1062" s="660"/>
      <c r="P1062" s="660"/>
      <c r="Q1062" s="660"/>
      <c r="R1062" s="660"/>
      <c r="S1062" s="660"/>
      <c r="T1062" s="660"/>
      <c r="U1062" s="660"/>
      <c r="V1062" s="660"/>
      <c r="W1062" s="660"/>
      <c r="X1062" s="660"/>
      <c r="Y1062" s="660"/>
      <c r="Z1062" s="660"/>
      <c r="AA1062" s="660"/>
      <c r="AB1062" s="660"/>
      <c r="AC1062" s="661"/>
      <c r="AD1062" s="606"/>
      <c r="AE1062" s="19"/>
      <c r="AF1062" s="19"/>
      <c r="AG1062" s="19"/>
    </row>
    <row r="1063" spans="1:33" hidden="1" outlineLevel="3" x14ac:dyDescent="0.2">
      <c r="A1063" s="606"/>
      <c r="B1063" s="606"/>
      <c r="C1063" s="607"/>
      <c r="D1063" s="608"/>
      <c r="E1063" s="608"/>
      <c r="F1063" s="608"/>
      <c r="G1063" s="608"/>
      <c r="H1063" s="609"/>
      <c r="I1063" s="660"/>
      <c r="J1063" s="660"/>
      <c r="K1063" s="660"/>
      <c r="L1063" s="660"/>
      <c r="M1063" s="660"/>
      <c r="N1063" s="660"/>
      <c r="O1063" s="660"/>
      <c r="P1063" s="660"/>
      <c r="Q1063" s="660"/>
      <c r="R1063" s="660"/>
      <c r="S1063" s="660"/>
      <c r="T1063" s="660"/>
      <c r="U1063" s="660"/>
      <c r="V1063" s="660"/>
      <c r="W1063" s="660"/>
      <c r="X1063" s="660"/>
      <c r="Y1063" s="660"/>
      <c r="Z1063" s="660"/>
      <c r="AA1063" s="660"/>
      <c r="AB1063" s="660"/>
      <c r="AC1063" s="661"/>
      <c r="AD1063" s="606"/>
      <c r="AE1063" s="19"/>
      <c r="AF1063" s="19"/>
      <c r="AG1063" s="19"/>
    </row>
    <row r="1064" spans="1:33" hidden="1" outlineLevel="3" x14ac:dyDescent="0.2">
      <c r="A1064" s="606"/>
      <c r="B1064" s="606"/>
      <c r="C1064" s="607"/>
      <c r="D1064" s="608"/>
      <c r="E1064" s="608"/>
      <c r="F1064" s="608"/>
      <c r="G1064" s="608"/>
      <c r="H1064" s="609"/>
      <c r="I1064" s="660"/>
      <c r="J1064" s="660"/>
      <c r="K1064" s="660"/>
      <c r="L1064" s="660"/>
      <c r="M1064" s="660"/>
      <c r="N1064" s="660"/>
      <c r="O1064" s="660"/>
      <c r="P1064" s="660"/>
      <c r="Q1064" s="660"/>
      <c r="R1064" s="660"/>
      <c r="S1064" s="660"/>
      <c r="T1064" s="660"/>
      <c r="U1064" s="660"/>
      <c r="V1064" s="660"/>
      <c r="W1064" s="660"/>
      <c r="X1064" s="660"/>
      <c r="Y1064" s="660"/>
      <c r="Z1064" s="660"/>
      <c r="AA1064" s="660"/>
      <c r="AB1064" s="660"/>
      <c r="AC1064" s="661"/>
      <c r="AD1064" s="606"/>
      <c r="AE1064" s="19"/>
      <c r="AF1064" s="19"/>
      <c r="AG1064" s="19"/>
    </row>
    <row r="1065" spans="1:33" hidden="1" outlineLevel="3" x14ac:dyDescent="0.2">
      <c r="A1065" s="606"/>
      <c r="B1065" s="606"/>
      <c r="C1065" s="607"/>
      <c r="D1065" s="608"/>
      <c r="E1065" s="608"/>
      <c r="F1065" s="608"/>
      <c r="G1065" s="608"/>
      <c r="H1065" s="609"/>
      <c r="I1065" s="660"/>
      <c r="J1065" s="660"/>
      <c r="K1065" s="660"/>
      <c r="L1065" s="660"/>
      <c r="M1065" s="660"/>
      <c r="N1065" s="660"/>
      <c r="O1065" s="660"/>
      <c r="P1065" s="660"/>
      <c r="Q1065" s="660"/>
      <c r="R1065" s="660"/>
      <c r="S1065" s="660"/>
      <c r="T1065" s="660"/>
      <c r="U1065" s="660"/>
      <c r="V1065" s="660"/>
      <c r="W1065" s="660"/>
      <c r="X1065" s="660"/>
      <c r="Y1065" s="660"/>
      <c r="Z1065" s="660"/>
      <c r="AA1065" s="660"/>
      <c r="AB1065" s="660"/>
      <c r="AC1065" s="661"/>
      <c r="AD1065" s="606"/>
      <c r="AE1065" s="19"/>
      <c r="AF1065" s="19"/>
      <c r="AG1065" s="19"/>
    </row>
    <row r="1066" spans="1:33" hidden="1" outlineLevel="3" x14ac:dyDescent="0.2">
      <c r="A1066" s="606"/>
      <c r="B1066" s="606"/>
      <c r="C1066" s="607"/>
      <c r="D1066" s="608"/>
      <c r="E1066" s="608"/>
      <c r="F1066" s="608"/>
      <c r="G1066" s="608"/>
      <c r="H1066" s="609"/>
      <c r="I1066" s="660"/>
      <c r="J1066" s="660"/>
      <c r="K1066" s="660"/>
      <c r="L1066" s="660"/>
      <c r="M1066" s="660"/>
      <c r="N1066" s="660"/>
      <c r="O1066" s="660"/>
      <c r="P1066" s="660"/>
      <c r="Q1066" s="660"/>
      <c r="R1066" s="660"/>
      <c r="S1066" s="660"/>
      <c r="T1066" s="660"/>
      <c r="U1066" s="660"/>
      <c r="V1066" s="660"/>
      <c r="W1066" s="660"/>
      <c r="X1066" s="660"/>
      <c r="Y1066" s="660"/>
      <c r="Z1066" s="660"/>
      <c r="AA1066" s="660"/>
      <c r="AB1066" s="660"/>
      <c r="AC1066" s="661"/>
      <c r="AD1066" s="606"/>
      <c r="AE1066" s="19"/>
      <c r="AF1066" s="19"/>
      <c r="AG1066" s="19"/>
    </row>
    <row r="1067" spans="1:33" hidden="1" outlineLevel="3" x14ac:dyDescent="0.2">
      <c r="A1067" s="606"/>
      <c r="B1067" s="606"/>
      <c r="C1067" s="607"/>
      <c r="D1067" s="608"/>
      <c r="E1067" s="608"/>
      <c r="F1067" s="608"/>
      <c r="G1067" s="608"/>
      <c r="H1067" s="609"/>
      <c r="I1067" s="660"/>
      <c r="J1067" s="660"/>
      <c r="K1067" s="660"/>
      <c r="L1067" s="660"/>
      <c r="M1067" s="660"/>
      <c r="N1067" s="660"/>
      <c r="O1067" s="660"/>
      <c r="P1067" s="660"/>
      <c r="Q1067" s="660"/>
      <c r="R1067" s="660"/>
      <c r="S1067" s="660"/>
      <c r="T1067" s="660"/>
      <c r="U1067" s="660"/>
      <c r="V1067" s="660"/>
      <c r="W1067" s="660"/>
      <c r="X1067" s="660"/>
      <c r="Y1067" s="660"/>
      <c r="Z1067" s="660"/>
      <c r="AA1067" s="660"/>
      <c r="AB1067" s="660"/>
      <c r="AC1067" s="661"/>
      <c r="AD1067" s="606"/>
      <c r="AE1067" s="19"/>
      <c r="AF1067" s="19"/>
      <c r="AG1067" s="19"/>
    </row>
    <row r="1068" spans="1:33" hidden="1" outlineLevel="3" x14ac:dyDescent="0.2">
      <c r="A1068" s="606"/>
      <c r="B1068" s="606"/>
      <c r="C1068" s="607"/>
      <c r="D1068" s="608"/>
      <c r="E1068" s="608"/>
      <c r="F1068" s="608"/>
      <c r="G1068" s="608"/>
      <c r="H1068" s="609"/>
      <c r="I1068" s="660"/>
      <c r="J1068" s="660"/>
      <c r="K1068" s="660"/>
      <c r="L1068" s="660"/>
      <c r="M1068" s="660"/>
      <c r="N1068" s="660"/>
      <c r="O1068" s="660"/>
      <c r="P1068" s="660"/>
      <c r="Q1068" s="660"/>
      <c r="R1068" s="660"/>
      <c r="S1068" s="660"/>
      <c r="T1068" s="660"/>
      <c r="U1068" s="660"/>
      <c r="V1068" s="660"/>
      <c r="W1068" s="660"/>
      <c r="X1068" s="660"/>
      <c r="Y1068" s="660"/>
      <c r="Z1068" s="660"/>
      <c r="AA1068" s="660"/>
      <c r="AB1068" s="660"/>
      <c r="AC1068" s="661"/>
      <c r="AD1068" s="606"/>
      <c r="AE1068" s="19"/>
      <c r="AF1068" s="19"/>
      <c r="AG1068" s="19"/>
    </row>
    <row r="1069" spans="1:33" hidden="1" outlineLevel="3" x14ac:dyDescent="0.2">
      <c r="A1069" s="606"/>
      <c r="B1069" s="606"/>
      <c r="C1069" s="607"/>
      <c r="D1069" s="608"/>
      <c r="E1069" s="608"/>
      <c r="F1069" s="608"/>
      <c r="G1069" s="608"/>
      <c r="H1069" s="609"/>
      <c r="I1069" s="660"/>
      <c r="J1069" s="660"/>
      <c r="K1069" s="660"/>
      <c r="L1069" s="660"/>
      <c r="M1069" s="660"/>
      <c r="N1069" s="660"/>
      <c r="O1069" s="660"/>
      <c r="P1069" s="660"/>
      <c r="Q1069" s="660"/>
      <c r="R1069" s="660"/>
      <c r="S1069" s="660"/>
      <c r="T1069" s="660"/>
      <c r="U1069" s="660"/>
      <c r="V1069" s="660"/>
      <c r="W1069" s="660"/>
      <c r="X1069" s="660"/>
      <c r="Y1069" s="660"/>
      <c r="Z1069" s="660"/>
      <c r="AA1069" s="660"/>
      <c r="AB1069" s="660"/>
      <c r="AC1069" s="661"/>
      <c r="AD1069" s="606"/>
      <c r="AE1069" s="19"/>
      <c r="AF1069" s="19"/>
      <c r="AG1069" s="19"/>
    </row>
    <row r="1070" spans="1:33" hidden="1" outlineLevel="3" x14ac:dyDescent="0.2">
      <c r="A1070" s="606"/>
      <c r="B1070" s="606"/>
      <c r="C1070" s="607"/>
      <c r="D1070" s="608"/>
      <c r="E1070" s="608"/>
      <c r="F1070" s="608"/>
      <c r="G1070" s="608"/>
      <c r="H1070" s="609"/>
      <c r="I1070" s="660"/>
      <c r="J1070" s="660"/>
      <c r="K1070" s="660"/>
      <c r="L1070" s="660"/>
      <c r="M1070" s="660"/>
      <c r="N1070" s="660"/>
      <c r="O1070" s="660"/>
      <c r="P1070" s="660"/>
      <c r="Q1070" s="660"/>
      <c r="R1070" s="660"/>
      <c r="S1070" s="660"/>
      <c r="T1070" s="660"/>
      <c r="U1070" s="660"/>
      <c r="V1070" s="660"/>
      <c r="W1070" s="660"/>
      <c r="X1070" s="660"/>
      <c r="Y1070" s="660"/>
      <c r="Z1070" s="660"/>
      <c r="AA1070" s="660"/>
      <c r="AB1070" s="660"/>
      <c r="AC1070" s="661"/>
      <c r="AD1070" s="606"/>
      <c r="AE1070" s="19"/>
      <c r="AF1070" s="19"/>
      <c r="AG1070" s="19"/>
    </row>
    <row r="1071" spans="1:33" hidden="1" outlineLevel="3" x14ac:dyDescent="0.2">
      <c r="A1071" s="606"/>
      <c r="B1071" s="606"/>
      <c r="C1071" s="607"/>
      <c r="D1071" s="608"/>
      <c r="E1071" s="608"/>
      <c r="F1071" s="608"/>
      <c r="G1071" s="608"/>
      <c r="H1071" s="609"/>
      <c r="I1071" s="660"/>
      <c r="J1071" s="660"/>
      <c r="K1071" s="660"/>
      <c r="L1071" s="660"/>
      <c r="M1071" s="660"/>
      <c r="N1071" s="660"/>
      <c r="O1071" s="660"/>
      <c r="P1071" s="660"/>
      <c r="Q1071" s="660"/>
      <c r="R1071" s="660"/>
      <c r="S1071" s="660"/>
      <c r="T1071" s="660"/>
      <c r="U1071" s="660"/>
      <c r="V1071" s="660"/>
      <c r="W1071" s="660"/>
      <c r="X1071" s="660"/>
      <c r="Y1071" s="660"/>
      <c r="Z1071" s="660"/>
      <c r="AA1071" s="660"/>
      <c r="AB1071" s="660"/>
      <c r="AC1071" s="661"/>
      <c r="AD1071" s="606"/>
      <c r="AE1071" s="19"/>
      <c r="AF1071" s="19"/>
      <c r="AG1071" s="19"/>
    </row>
    <row r="1072" spans="1:33" hidden="1" outlineLevel="3" x14ac:dyDescent="0.2">
      <c r="A1072" s="606"/>
      <c r="B1072" s="606"/>
      <c r="C1072" s="607"/>
      <c r="D1072" s="608"/>
      <c r="E1072" s="608"/>
      <c r="F1072" s="608"/>
      <c r="G1072" s="608"/>
      <c r="H1072" s="609"/>
      <c r="I1072" s="660"/>
      <c r="J1072" s="660"/>
      <c r="K1072" s="660"/>
      <c r="L1072" s="660"/>
      <c r="M1072" s="660"/>
      <c r="N1072" s="660"/>
      <c r="O1072" s="660"/>
      <c r="P1072" s="660"/>
      <c r="Q1072" s="660"/>
      <c r="R1072" s="660"/>
      <c r="S1072" s="660"/>
      <c r="T1072" s="660"/>
      <c r="U1072" s="660"/>
      <c r="V1072" s="660"/>
      <c r="W1072" s="660"/>
      <c r="X1072" s="660"/>
      <c r="Y1072" s="660"/>
      <c r="Z1072" s="660"/>
      <c r="AA1072" s="660"/>
      <c r="AB1072" s="660"/>
      <c r="AC1072" s="661"/>
      <c r="AD1072" s="606"/>
      <c r="AE1072" s="19"/>
      <c r="AF1072" s="19"/>
      <c r="AG1072" s="19"/>
    </row>
    <row r="1073" spans="1:33" hidden="1" outlineLevel="3" x14ac:dyDescent="0.2">
      <c r="A1073" s="606"/>
      <c r="B1073" s="606"/>
      <c r="C1073" s="607"/>
      <c r="D1073" s="608"/>
      <c r="E1073" s="608"/>
      <c r="F1073" s="608"/>
      <c r="G1073" s="608"/>
      <c r="H1073" s="609"/>
      <c r="I1073" s="660"/>
      <c r="J1073" s="660"/>
      <c r="K1073" s="660"/>
      <c r="L1073" s="660"/>
      <c r="M1073" s="660"/>
      <c r="N1073" s="660"/>
      <c r="O1073" s="660"/>
      <c r="P1073" s="660"/>
      <c r="Q1073" s="660"/>
      <c r="R1073" s="660"/>
      <c r="S1073" s="660"/>
      <c r="T1073" s="660"/>
      <c r="U1073" s="660"/>
      <c r="V1073" s="660"/>
      <c r="W1073" s="660"/>
      <c r="X1073" s="660"/>
      <c r="Y1073" s="660"/>
      <c r="Z1073" s="660"/>
      <c r="AA1073" s="660"/>
      <c r="AB1073" s="660"/>
      <c r="AC1073" s="661"/>
      <c r="AD1073" s="606"/>
      <c r="AE1073" s="19"/>
      <c r="AF1073" s="19"/>
      <c r="AG1073" s="19"/>
    </row>
    <row r="1074" spans="1:33" hidden="1" outlineLevel="3" x14ac:dyDescent="0.2">
      <c r="A1074" s="606"/>
      <c r="B1074" s="606"/>
      <c r="C1074" s="607"/>
      <c r="D1074" s="608"/>
      <c r="E1074" s="608"/>
      <c r="F1074" s="608"/>
      <c r="G1074" s="608"/>
      <c r="H1074" s="609"/>
      <c r="I1074" s="660"/>
      <c r="J1074" s="660"/>
      <c r="K1074" s="660"/>
      <c r="L1074" s="660"/>
      <c r="M1074" s="660"/>
      <c r="N1074" s="660"/>
      <c r="O1074" s="660"/>
      <c r="P1074" s="660"/>
      <c r="Q1074" s="660"/>
      <c r="R1074" s="660"/>
      <c r="S1074" s="660"/>
      <c r="T1074" s="660"/>
      <c r="U1074" s="660"/>
      <c r="V1074" s="660"/>
      <c r="W1074" s="660"/>
      <c r="X1074" s="660"/>
      <c r="Y1074" s="660"/>
      <c r="Z1074" s="660"/>
      <c r="AA1074" s="660"/>
      <c r="AB1074" s="660"/>
      <c r="AC1074" s="661"/>
      <c r="AD1074" s="606"/>
      <c r="AE1074" s="19"/>
      <c r="AF1074" s="19"/>
      <c r="AG1074" s="19"/>
    </row>
    <row r="1075" spans="1:33" hidden="1" outlineLevel="3" x14ac:dyDescent="0.2">
      <c r="A1075" s="606"/>
      <c r="B1075" s="606"/>
      <c r="C1075" s="607"/>
      <c r="D1075" s="608"/>
      <c r="E1075" s="608"/>
      <c r="F1075" s="608"/>
      <c r="G1075" s="608"/>
      <c r="H1075" s="609"/>
      <c r="I1075" s="660"/>
      <c r="J1075" s="660"/>
      <c r="K1075" s="660"/>
      <c r="L1075" s="660"/>
      <c r="M1075" s="660"/>
      <c r="N1075" s="660"/>
      <c r="O1075" s="660"/>
      <c r="P1075" s="660"/>
      <c r="Q1075" s="660"/>
      <c r="R1075" s="660"/>
      <c r="S1075" s="660"/>
      <c r="T1075" s="660"/>
      <c r="U1075" s="660"/>
      <c r="V1075" s="660"/>
      <c r="W1075" s="660"/>
      <c r="X1075" s="660"/>
      <c r="Y1075" s="660"/>
      <c r="Z1075" s="660"/>
      <c r="AA1075" s="660"/>
      <c r="AB1075" s="660"/>
      <c r="AC1075" s="661"/>
      <c r="AD1075" s="606"/>
      <c r="AE1075" s="19"/>
      <c r="AF1075" s="19"/>
      <c r="AG1075" s="19"/>
    </row>
    <row r="1076" spans="1:33" hidden="1" outlineLevel="3" x14ac:dyDescent="0.2">
      <c r="A1076" s="606"/>
      <c r="B1076" s="606"/>
      <c r="C1076" s="607"/>
      <c r="D1076" s="608"/>
      <c r="E1076" s="608"/>
      <c r="F1076" s="608"/>
      <c r="G1076" s="608"/>
      <c r="H1076" s="609"/>
      <c r="I1076" s="660"/>
      <c r="J1076" s="660"/>
      <c r="K1076" s="660"/>
      <c r="L1076" s="660"/>
      <c r="M1076" s="660"/>
      <c r="N1076" s="660"/>
      <c r="O1076" s="660"/>
      <c r="P1076" s="660"/>
      <c r="Q1076" s="660"/>
      <c r="R1076" s="660"/>
      <c r="S1076" s="660"/>
      <c r="T1076" s="660"/>
      <c r="U1076" s="660"/>
      <c r="V1076" s="660"/>
      <c r="W1076" s="660"/>
      <c r="X1076" s="660"/>
      <c r="Y1076" s="660"/>
      <c r="Z1076" s="660"/>
      <c r="AA1076" s="660"/>
      <c r="AB1076" s="660"/>
      <c r="AC1076" s="661"/>
      <c r="AD1076" s="606"/>
      <c r="AE1076" s="19"/>
      <c r="AF1076" s="19"/>
      <c r="AG1076" s="19"/>
    </row>
    <row r="1077" spans="1:33" hidden="1" outlineLevel="3" x14ac:dyDescent="0.2">
      <c r="A1077" s="606"/>
      <c r="B1077" s="606"/>
      <c r="C1077" s="607"/>
      <c r="D1077" s="608"/>
      <c r="E1077" s="608"/>
      <c r="F1077" s="608"/>
      <c r="G1077" s="608"/>
      <c r="H1077" s="609"/>
      <c r="I1077" s="660"/>
      <c r="J1077" s="660"/>
      <c r="K1077" s="660"/>
      <c r="L1077" s="660"/>
      <c r="M1077" s="660"/>
      <c r="N1077" s="660"/>
      <c r="O1077" s="660"/>
      <c r="P1077" s="660"/>
      <c r="Q1077" s="660"/>
      <c r="R1077" s="660"/>
      <c r="S1077" s="660"/>
      <c r="T1077" s="660"/>
      <c r="U1077" s="660"/>
      <c r="V1077" s="660"/>
      <c r="W1077" s="660"/>
      <c r="X1077" s="660"/>
      <c r="Y1077" s="660"/>
      <c r="Z1077" s="660"/>
      <c r="AA1077" s="660"/>
      <c r="AB1077" s="660"/>
      <c r="AC1077" s="661"/>
      <c r="AD1077" s="606"/>
      <c r="AE1077" s="19"/>
      <c r="AF1077" s="19"/>
      <c r="AG1077" s="19"/>
    </row>
    <row r="1078" spans="1:33" hidden="1" outlineLevel="3" x14ac:dyDescent="0.2">
      <c r="A1078" s="606"/>
      <c r="B1078" s="606"/>
      <c r="C1078" s="607"/>
      <c r="D1078" s="608"/>
      <c r="E1078" s="608"/>
      <c r="F1078" s="608"/>
      <c r="G1078" s="608"/>
      <c r="H1078" s="609"/>
      <c r="I1078" s="660"/>
      <c r="J1078" s="660"/>
      <c r="K1078" s="660"/>
      <c r="L1078" s="660"/>
      <c r="M1078" s="660"/>
      <c r="N1078" s="660"/>
      <c r="O1078" s="660"/>
      <c r="P1078" s="660"/>
      <c r="Q1078" s="660"/>
      <c r="R1078" s="660"/>
      <c r="S1078" s="660"/>
      <c r="T1078" s="660"/>
      <c r="U1078" s="660"/>
      <c r="V1078" s="660"/>
      <c r="W1078" s="660"/>
      <c r="X1078" s="660"/>
      <c r="Y1078" s="660"/>
      <c r="Z1078" s="660"/>
      <c r="AA1078" s="660"/>
      <c r="AB1078" s="660"/>
      <c r="AC1078" s="661"/>
      <c r="AD1078" s="606"/>
      <c r="AE1078" s="19"/>
      <c r="AF1078" s="19"/>
      <c r="AG1078" s="19"/>
    </row>
    <row r="1079" spans="1:33" hidden="1" outlineLevel="3" x14ac:dyDescent="0.2">
      <c r="A1079" s="606"/>
      <c r="B1079" s="606"/>
      <c r="C1079" s="607"/>
      <c r="D1079" s="608"/>
      <c r="E1079" s="608"/>
      <c r="F1079" s="608"/>
      <c r="G1079" s="608"/>
      <c r="H1079" s="609"/>
      <c r="I1079" s="660"/>
      <c r="J1079" s="660"/>
      <c r="K1079" s="660"/>
      <c r="L1079" s="660"/>
      <c r="M1079" s="660"/>
      <c r="N1079" s="660"/>
      <c r="O1079" s="660"/>
      <c r="P1079" s="660"/>
      <c r="Q1079" s="660"/>
      <c r="R1079" s="660"/>
      <c r="S1079" s="660"/>
      <c r="T1079" s="660"/>
      <c r="U1079" s="660"/>
      <c r="V1079" s="660"/>
      <c r="W1079" s="660"/>
      <c r="X1079" s="660"/>
      <c r="Y1079" s="660"/>
      <c r="Z1079" s="660"/>
      <c r="AA1079" s="660"/>
      <c r="AB1079" s="660"/>
      <c r="AC1079" s="661"/>
      <c r="AD1079" s="606"/>
      <c r="AE1079" s="19"/>
      <c r="AF1079" s="19"/>
      <c r="AG1079" s="19"/>
    </row>
    <row r="1080" spans="1:33" hidden="1" outlineLevel="3" x14ac:dyDescent="0.2">
      <c r="A1080" s="606"/>
      <c r="B1080" s="606"/>
      <c r="C1080" s="607"/>
      <c r="D1080" s="608"/>
      <c r="E1080" s="608"/>
      <c r="F1080" s="608"/>
      <c r="G1080" s="608"/>
      <c r="H1080" s="609"/>
      <c r="I1080" s="660"/>
      <c r="J1080" s="660"/>
      <c r="K1080" s="660"/>
      <c r="L1080" s="660"/>
      <c r="M1080" s="660"/>
      <c r="N1080" s="660"/>
      <c r="O1080" s="660"/>
      <c r="P1080" s="660"/>
      <c r="Q1080" s="660"/>
      <c r="R1080" s="660"/>
      <c r="S1080" s="660"/>
      <c r="T1080" s="660"/>
      <c r="U1080" s="660"/>
      <c r="V1080" s="660"/>
      <c r="W1080" s="660"/>
      <c r="X1080" s="660"/>
      <c r="Y1080" s="660"/>
      <c r="Z1080" s="660"/>
      <c r="AA1080" s="660"/>
      <c r="AB1080" s="660"/>
      <c r="AC1080" s="661"/>
      <c r="AD1080" s="606"/>
      <c r="AE1080" s="19"/>
      <c r="AF1080" s="19"/>
      <c r="AG1080" s="19"/>
    </row>
    <row r="1081" spans="1:33" hidden="1" outlineLevel="3" x14ac:dyDescent="0.2">
      <c r="A1081" s="606"/>
      <c r="B1081" s="606"/>
      <c r="C1081" s="607"/>
      <c r="D1081" s="608"/>
      <c r="E1081" s="608"/>
      <c r="F1081" s="608"/>
      <c r="G1081" s="608"/>
      <c r="H1081" s="609"/>
      <c r="I1081" s="660"/>
      <c r="J1081" s="660"/>
      <c r="K1081" s="660"/>
      <c r="L1081" s="660"/>
      <c r="M1081" s="660"/>
      <c r="N1081" s="660"/>
      <c r="O1081" s="660"/>
      <c r="P1081" s="660"/>
      <c r="Q1081" s="660"/>
      <c r="R1081" s="660"/>
      <c r="S1081" s="660"/>
      <c r="T1081" s="660"/>
      <c r="U1081" s="660"/>
      <c r="V1081" s="660"/>
      <c r="W1081" s="660"/>
      <c r="X1081" s="660"/>
      <c r="Y1081" s="660"/>
      <c r="Z1081" s="660"/>
      <c r="AA1081" s="660"/>
      <c r="AB1081" s="660"/>
      <c r="AC1081" s="661"/>
      <c r="AD1081" s="606"/>
      <c r="AE1081" s="19"/>
      <c r="AF1081" s="19"/>
      <c r="AG1081" s="19"/>
    </row>
    <row r="1082" spans="1:33" hidden="1" outlineLevel="3" x14ac:dyDescent="0.2">
      <c r="A1082" s="606"/>
      <c r="B1082" s="606"/>
      <c r="C1082" s="607"/>
      <c r="D1082" s="608"/>
      <c r="E1082" s="608"/>
      <c r="F1082" s="608"/>
      <c r="G1082" s="608"/>
      <c r="H1082" s="609"/>
      <c r="I1082" s="660"/>
      <c r="J1082" s="660"/>
      <c r="K1082" s="660"/>
      <c r="L1082" s="660"/>
      <c r="M1082" s="660"/>
      <c r="N1082" s="660"/>
      <c r="O1082" s="660"/>
      <c r="P1082" s="660"/>
      <c r="Q1082" s="660"/>
      <c r="R1082" s="660"/>
      <c r="S1082" s="660"/>
      <c r="T1082" s="660"/>
      <c r="U1082" s="660"/>
      <c r="V1082" s="660"/>
      <c r="W1082" s="660"/>
      <c r="X1082" s="660"/>
      <c r="Y1082" s="660"/>
      <c r="Z1082" s="660"/>
      <c r="AA1082" s="660"/>
      <c r="AB1082" s="660"/>
      <c r="AC1082" s="661"/>
      <c r="AD1082" s="606"/>
      <c r="AE1082" s="19"/>
      <c r="AF1082" s="19"/>
      <c r="AG1082" s="19"/>
    </row>
    <row r="1083" spans="1:33" hidden="1" outlineLevel="3" x14ac:dyDescent="0.2">
      <c r="A1083" s="606"/>
      <c r="B1083" s="606"/>
      <c r="C1083" s="607"/>
      <c r="D1083" s="608"/>
      <c r="E1083" s="608"/>
      <c r="F1083" s="608"/>
      <c r="G1083" s="608"/>
      <c r="H1083" s="609"/>
      <c r="I1083" s="660"/>
      <c r="J1083" s="660"/>
      <c r="K1083" s="660"/>
      <c r="L1083" s="660"/>
      <c r="M1083" s="660"/>
      <c r="N1083" s="660"/>
      <c r="O1083" s="660"/>
      <c r="P1083" s="660"/>
      <c r="Q1083" s="660"/>
      <c r="R1083" s="660"/>
      <c r="S1083" s="660"/>
      <c r="T1083" s="660"/>
      <c r="U1083" s="660"/>
      <c r="V1083" s="660"/>
      <c r="W1083" s="660"/>
      <c r="X1083" s="660"/>
      <c r="Y1083" s="660"/>
      <c r="Z1083" s="660"/>
      <c r="AA1083" s="660"/>
      <c r="AB1083" s="660"/>
      <c r="AC1083" s="661"/>
      <c r="AD1083" s="606"/>
      <c r="AE1083" s="19"/>
      <c r="AF1083" s="19"/>
      <c r="AG1083" s="19"/>
    </row>
    <row r="1084" spans="1:33" hidden="1" outlineLevel="3" x14ac:dyDescent="0.2">
      <c r="A1084" s="606"/>
      <c r="B1084" s="606"/>
      <c r="C1084" s="607"/>
      <c r="D1084" s="608"/>
      <c r="E1084" s="608"/>
      <c r="F1084" s="608"/>
      <c r="G1084" s="608"/>
      <c r="H1084" s="609"/>
      <c r="I1084" s="660"/>
      <c r="J1084" s="660"/>
      <c r="K1084" s="660"/>
      <c r="L1084" s="660"/>
      <c r="M1084" s="660"/>
      <c r="N1084" s="660"/>
      <c r="O1084" s="660"/>
      <c r="P1084" s="660"/>
      <c r="Q1084" s="660"/>
      <c r="R1084" s="660"/>
      <c r="S1084" s="660"/>
      <c r="T1084" s="660"/>
      <c r="U1084" s="660"/>
      <c r="V1084" s="660"/>
      <c r="W1084" s="660"/>
      <c r="X1084" s="660"/>
      <c r="Y1084" s="660"/>
      <c r="Z1084" s="660"/>
      <c r="AA1084" s="660"/>
      <c r="AB1084" s="660"/>
      <c r="AC1084" s="661"/>
      <c r="AD1084" s="606"/>
      <c r="AE1084" s="19"/>
      <c r="AF1084" s="19"/>
      <c r="AG1084" s="19"/>
    </row>
    <row r="1085" spans="1:33" hidden="1" outlineLevel="3" x14ac:dyDescent="0.2">
      <c r="A1085" s="606"/>
      <c r="B1085" s="606"/>
      <c r="C1085" s="607"/>
      <c r="D1085" s="608"/>
      <c r="E1085" s="608"/>
      <c r="F1085" s="608"/>
      <c r="G1085" s="608"/>
      <c r="H1085" s="609"/>
      <c r="I1085" s="660"/>
      <c r="J1085" s="660"/>
      <c r="K1085" s="660"/>
      <c r="L1085" s="660"/>
      <c r="M1085" s="660"/>
      <c r="N1085" s="660"/>
      <c r="O1085" s="660"/>
      <c r="P1085" s="660"/>
      <c r="Q1085" s="660"/>
      <c r="R1085" s="660"/>
      <c r="S1085" s="660"/>
      <c r="T1085" s="660"/>
      <c r="U1085" s="660"/>
      <c r="V1085" s="660"/>
      <c r="W1085" s="660"/>
      <c r="X1085" s="660"/>
      <c r="Y1085" s="660"/>
      <c r="Z1085" s="660"/>
      <c r="AA1085" s="660"/>
      <c r="AB1085" s="660"/>
      <c r="AC1085" s="661"/>
      <c r="AD1085" s="606"/>
      <c r="AE1085" s="19"/>
      <c r="AF1085" s="19"/>
      <c r="AG1085" s="19"/>
    </row>
    <row r="1086" spans="1:33" hidden="1" outlineLevel="3" x14ac:dyDescent="0.2">
      <c r="A1086" s="606"/>
      <c r="B1086" s="606"/>
      <c r="C1086" s="607"/>
      <c r="D1086" s="608"/>
      <c r="E1086" s="608"/>
      <c r="F1086" s="608"/>
      <c r="G1086" s="608"/>
      <c r="H1086" s="609"/>
      <c r="I1086" s="660"/>
      <c r="J1086" s="660"/>
      <c r="K1086" s="660"/>
      <c r="L1086" s="660"/>
      <c r="M1086" s="660"/>
      <c r="N1086" s="660"/>
      <c r="O1086" s="660"/>
      <c r="P1086" s="660"/>
      <c r="Q1086" s="660"/>
      <c r="R1086" s="660"/>
      <c r="S1086" s="660"/>
      <c r="T1086" s="660"/>
      <c r="U1086" s="660"/>
      <c r="V1086" s="660"/>
      <c r="W1086" s="660"/>
      <c r="X1086" s="660"/>
      <c r="Y1086" s="660"/>
      <c r="Z1086" s="660"/>
      <c r="AA1086" s="660"/>
      <c r="AB1086" s="660"/>
      <c r="AC1086" s="661"/>
      <c r="AD1086" s="606"/>
      <c r="AE1086" s="19"/>
      <c r="AF1086" s="19"/>
      <c r="AG1086" s="19"/>
    </row>
    <row r="1087" spans="1:33" hidden="1" outlineLevel="3" x14ac:dyDescent="0.2">
      <c r="A1087" s="606"/>
      <c r="B1087" s="606"/>
      <c r="C1087" s="607"/>
      <c r="D1087" s="608"/>
      <c r="E1087" s="608"/>
      <c r="F1087" s="608"/>
      <c r="G1087" s="608"/>
      <c r="H1087" s="609"/>
      <c r="I1087" s="660"/>
      <c r="J1087" s="660"/>
      <c r="K1087" s="660"/>
      <c r="L1087" s="660"/>
      <c r="M1087" s="660"/>
      <c r="N1087" s="660"/>
      <c r="O1087" s="660"/>
      <c r="P1087" s="660"/>
      <c r="Q1087" s="660"/>
      <c r="R1087" s="660"/>
      <c r="S1087" s="660"/>
      <c r="T1087" s="660"/>
      <c r="U1087" s="660"/>
      <c r="V1087" s="660"/>
      <c r="W1087" s="660"/>
      <c r="X1087" s="660"/>
      <c r="Y1087" s="660"/>
      <c r="Z1087" s="660"/>
      <c r="AA1087" s="660"/>
      <c r="AB1087" s="660"/>
      <c r="AC1087" s="661"/>
      <c r="AD1087" s="606"/>
      <c r="AE1087" s="19"/>
      <c r="AF1087" s="19"/>
      <c r="AG1087" s="19"/>
    </row>
    <row r="1088" spans="1:33" hidden="1" outlineLevel="3" x14ac:dyDescent="0.2">
      <c r="A1088" s="606"/>
      <c r="B1088" s="606"/>
      <c r="C1088" s="607"/>
      <c r="D1088" s="608"/>
      <c r="E1088" s="608"/>
      <c r="F1088" s="608"/>
      <c r="G1088" s="608"/>
      <c r="H1088" s="609"/>
      <c r="I1088" s="660"/>
      <c r="J1088" s="660"/>
      <c r="K1088" s="660"/>
      <c r="L1088" s="660"/>
      <c r="M1088" s="660"/>
      <c r="N1088" s="660"/>
      <c r="O1088" s="660"/>
      <c r="P1088" s="660"/>
      <c r="Q1088" s="660"/>
      <c r="R1088" s="660"/>
      <c r="S1088" s="660"/>
      <c r="T1088" s="660"/>
      <c r="U1088" s="660"/>
      <c r="V1088" s="660"/>
      <c r="W1088" s="660"/>
      <c r="X1088" s="660"/>
      <c r="Y1088" s="660"/>
      <c r="Z1088" s="660"/>
      <c r="AA1088" s="660"/>
      <c r="AB1088" s="660"/>
      <c r="AC1088" s="661"/>
      <c r="AD1088" s="606"/>
      <c r="AE1088" s="19"/>
      <c r="AF1088" s="19"/>
      <c r="AG1088" s="19"/>
    </row>
    <row r="1089" spans="1:33" hidden="1" outlineLevel="3" x14ac:dyDescent="0.2">
      <c r="A1089" s="606"/>
      <c r="B1089" s="606"/>
      <c r="C1089" s="607"/>
      <c r="D1089" s="608"/>
      <c r="E1089" s="608"/>
      <c r="F1089" s="608"/>
      <c r="G1089" s="608"/>
      <c r="H1089" s="609"/>
      <c r="I1089" s="660"/>
      <c r="J1089" s="660"/>
      <c r="K1089" s="660"/>
      <c r="L1089" s="660"/>
      <c r="M1089" s="660"/>
      <c r="N1089" s="660"/>
      <c r="O1089" s="660"/>
      <c r="P1089" s="660"/>
      <c r="Q1089" s="660"/>
      <c r="R1089" s="660"/>
      <c r="S1089" s="660"/>
      <c r="T1089" s="660"/>
      <c r="U1089" s="660"/>
      <c r="V1089" s="660"/>
      <c r="W1089" s="660"/>
      <c r="X1089" s="660"/>
      <c r="Y1089" s="660"/>
      <c r="Z1089" s="660"/>
      <c r="AA1089" s="660"/>
      <c r="AB1089" s="660"/>
      <c r="AC1089" s="661"/>
      <c r="AD1089" s="606"/>
      <c r="AE1089" s="19"/>
      <c r="AF1089" s="19"/>
      <c r="AG1089" s="19"/>
    </row>
    <row r="1090" spans="1:33" hidden="1" outlineLevel="3" x14ac:dyDescent="0.2">
      <c r="A1090" s="606"/>
      <c r="B1090" s="606"/>
      <c r="C1090" s="607"/>
      <c r="D1090" s="608"/>
      <c r="E1090" s="608"/>
      <c r="F1090" s="608"/>
      <c r="G1090" s="608"/>
      <c r="H1090" s="609"/>
      <c r="I1090" s="660"/>
      <c r="J1090" s="660"/>
      <c r="K1090" s="660"/>
      <c r="L1090" s="660"/>
      <c r="M1090" s="660"/>
      <c r="N1090" s="660"/>
      <c r="O1090" s="660"/>
      <c r="P1090" s="660"/>
      <c r="Q1090" s="660"/>
      <c r="R1090" s="660"/>
      <c r="S1090" s="660"/>
      <c r="T1090" s="660"/>
      <c r="U1090" s="660"/>
      <c r="V1090" s="660"/>
      <c r="W1090" s="660"/>
      <c r="X1090" s="660"/>
      <c r="Y1090" s="660"/>
      <c r="Z1090" s="660"/>
      <c r="AA1090" s="660"/>
      <c r="AB1090" s="660"/>
      <c r="AC1090" s="661"/>
      <c r="AD1090" s="606"/>
      <c r="AE1090" s="19"/>
      <c r="AF1090" s="19"/>
      <c r="AG1090" s="19"/>
    </row>
    <row r="1091" spans="1:33" hidden="1" outlineLevel="3" x14ac:dyDescent="0.2">
      <c r="A1091" s="606"/>
      <c r="B1091" s="606"/>
      <c r="C1091" s="607"/>
      <c r="D1091" s="608"/>
      <c r="E1091" s="608"/>
      <c r="F1091" s="608"/>
      <c r="G1091" s="608"/>
      <c r="H1091" s="609"/>
      <c r="I1091" s="660"/>
      <c r="J1091" s="660"/>
      <c r="K1091" s="660"/>
      <c r="L1091" s="660"/>
      <c r="M1091" s="660"/>
      <c r="N1091" s="660"/>
      <c r="O1091" s="660"/>
      <c r="P1091" s="660"/>
      <c r="Q1091" s="660"/>
      <c r="R1091" s="660"/>
      <c r="S1091" s="660"/>
      <c r="T1091" s="660"/>
      <c r="U1091" s="660"/>
      <c r="V1091" s="660"/>
      <c r="W1091" s="660"/>
      <c r="X1091" s="660"/>
      <c r="Y1091" s="660"/>
      <c r="Z1091" s="660"/>
      <c r="AA1091" s="660"/>
      <c r="AB1091" s="660"/>
      <c r="AC1091" s="661"/>
      <c r="AD1091" s="606"/>
      <c r="AE1091" s="19"/>
      <c r="AF1091" s="19"/>
      <c r="AG1091" s="19"/>
    </row>
    <row r="1092" spans="1:33" hidden="1" outlineLevel="3" x14ac:dyDescent="0.2">
      <c r="A1092" s="606"/>
      <c r="B1092" s="606"/>
      <c r="C1092" s="607"/>
      <c r="D1092" s="608"/>
      <c r="E1092" s="608"/>
      <c r="F1092" s="608"/>
      <c r="G1092" s="608"/>
      <c r="H1092" s="609"/>
      <c r="I1092" s="660"/>
      <c r="J1092" s="660"/>
      <c r="K1092" s="660"/>
      <c r="L1092" s="660"/>
      <c r="M1092" s="660"/>
      <c r="N1092" s="660"/>
      <c r="O1092" s="660"/>
      <c r="P1092" s="660"/>
      <c r="Q1092" s="660"/>
      <c r="R1092" s="660"/>
      <c r="S1092" s="660"/>
      <c r="T1092" s="660"/>
      <c r="U1092" s="660"/>
      <c r="V1092" s="660"/>
      <c r="W1092" s="660"/>
      <c r="X1092" s="660"/>
      <c r="Y1092" s="660"/>
      <c r="Z1092" s="660"/>
      <c r="AA1092" s="660"/>
      <c r="AB1092" s="660"/>
      <c r="AC1092" s="661"/>
      <c r="AD1092" s="606"/>
      <c r="AE1092" s="19"/>
      <c r="AF1092" s="19"/>
      <c r="AG1092" s="19"/>
    </row>
    <row r="1093" spans="1:33" hidden="1" outlineLevel="3" x14ac:dyDescent="0.2">
      <c r="A1093" s="606"/>
      <c r="B1093" s="606"/>
      <c r="C1093" s="607"/>
      <c r="D1093" s="608"/>
      <c r="E1093" s="608"/>
      <c r="F1093" s="608"/>
      <c r="G1093" s="608"/>
      <c r="H1093" s="609"/>
      <c r="I1093" s="660"/>
      <c r="J1093" s="660"/>
      <c r="K1093" s="660"/>
      <c r="L1093" s="660"/>
      <c r="M1093" s="660"/>
      <c r="N1093" s="660"/>
      <c r="O1093" s="660"/>
      <c r="P1093" s="660"/>
      <c r="Q1093" s="660"/>
      <c r="R1093" s="660"/>
      <c r="S1093" s="660"/>
      <c r="T1093" s="660"/>
      <c r="U1093" s="660"/>
      <c r="V1093" s="660"/>
      <c r="W1093" s="660"/>
      <c r="X1093" s="660"/>
      <c r="Y1093" s="660"/>
      <c r="Z1093" s="660"/>
      <c r="AA1093" s="660"/>
      <c r="AB1093" s="660"/>
      <c r="AC1093" s="661"/>
      <c r="AD1093" s="606"/>
      <c r="AE1093" s="19"/>
      <c r="AF1093" s="19"/>
      <c r="AG1093" s="19"/>
    </row>
    <row r="1094" spans="1:33" hidden="1" outlineLevel="3" x14ac:dyDescent="0.2">
      <c r="A1094" s="606"/>
      <c r="B1094" s="606"/>
      <c r="C1094" s="607"/>
      <c r="D1094" s="608"/>
      <c r="E1094" s="608"/>
      <c r="F1094" s="608"/>
      <c r="G1094" s="608"/>
      <c r="H1094" s="609"/>
      <c r="I1094" s="660"/>
      <c r="J1094" s="660"/>
      <c r="K1094" s="660"/>
      <c r="L1094" s="660"/>
      <c r="M1094" s="660"/>
      <c r="N1094" s="660"/>
      <c r="O1094" s="660"/>
      <c r="P1094" s="660"/>
      <c r="Q1094" s="660"/>
      <c r="R1094" s="660"/>
      <c r="S1094" s="660"/>
      <c r="T1094" s="660"/>
      <c r="U1094" s="660"/>
      <c r="V1094" s="660"/>
      <c r="W1094" s="660"/>
      <c r="X1094" s="660"/>
      <c r="Y1094" s="660"/>
      <c r="Z1094" s="660"/>
      <c r="AA1094" s="660"/>
      <c r="AB1094" s="660"/>
      <c r="AC1094" s="661"/>
      <c r="AD1094" s="606"/>
      <c r="AE1094" s="19"/>
      <c r="AF1094" s="19"/>
      <c r="AG1094" s="19"/>
    </row>
    <row r="1095" spans="1:33" hidden="1" outlineLevel="3" x14ac:dyDescent="0.2">
      <c r="A1095" s="606"/>
      <c r="B1095" s="606"/>
      <c r="C1095" s="607"/>
      <c r="D1095" s="608"/>
      <c r="E1095" s="608"/>
      <c r="F1095" s="608"/>
      <c r="G1095" s="608"/>
      <c r="H1095" s="609"/>
      <c r="I1095" s="660"/>
      <c r="J1095" s="660"/>
      <c r="K1095" s="660"/>
      <c r="L1095" s="660"/>
      <c r="M1095" s="660"/>
      <c r="N1095" s="660"/>
      <c r="O1095" s="660"/>
      <c r="P1095" s="660"/>
      <c r="Q1095" s="660"/>
      <c r="R1095" s="660"/>
      <c r="S1095" s="660"/>
      <c r="T1095" s="660"/>
      <c r="U1095" s="660"/>
      <c r="V1095" s="660"/>
      <c r="W1095" s="660"/>
      <c r="X1095" s="660"/>
      <c r="Y1095" s="660"/>
      <c r="Z1095" s="660"/>
      <c r="AA1095" s="660"/>
      <c r="AB1095" s="660"/>
      <c r="AC1095" s="661"/>
      <c r="AD1095" s="606"/>
      <c r="AE1095" s="19"/>
      <c r="AF1095" s="19"/>
      <c r="AG1095" s="19"/>
    </row>
    <row r="1096" spans="1:33" hidden="1" outlineLevel="3" x14ac:dyDescent="0.2">
      <c r="A1096" s="606"/>
      <c r="B1096" s="606"/>
      <c r="C1096" s="607"/>
      <c r="D1096" s="608"/>
      <c r="E1096" s="608"/>
      <c r="F1096" s="608"/>
      <c r="G1096" s="608"/>
      <c r="H1096" s="609"/>
      <c r="I1096" s="660"/>
      <c r="J1096" s="660"/>
      <c r="K1096" s="660"/>
      <c r="L1096" s="660"/>
      <c r="M1096" s="660"/>
      <c r="N1096" s="660"/>
      <c r="O1096" s="660"/>
      <c r="P1096" s="660"/>
      <c r="Q1096" s="660"/>
      <c r="R1096" s="660"/>
      <c r="S1096" s="660"/>
      <c r="T1096" s="660"/>
      <c r="U1096" s="660"/>
      <c r="V1096" s="660"/>
      <c r="W1096" s="660"/>
      <c r="X1096" s="660"/>
      <c r="Y1096" s="660"/>
      <c r="Z1096" s="660"/>
      <c r="AA1096" s="660"/>
      <c r="AB1096" s="660"/>
      <c r="AC1096" s="661"/>
      <c r="AD1096" s="606"/>
      <c r="AE1096" s="19"/>
      <c r="AF1096" s="19"/>
      <c r="AG1096" s="19"/>
    </row>
    <row r="1097" spans="1:33" hidden="1" outlineLevel="3" x14ac:dyDescent="0.2">
      <c r="A1097" s="606"/>
      <c r="B1097" s="606"/>
      <c r="C1097" s="607"/>
      <c r="D1097" s="608"/>
      <c r="E1097" s="608"/>
      <c r="F1097" s="608"/>
      <c r="G1097" s="608"/>
      <c r="H1097" s="609"/>
      <c r="I1097" s="660"/>
      <c r="J1097" s="660"/>
      <c r="K1097" s="660"/>
      <c r="L1097" s="660"/>
      <c r="M1097" s="660"/>
      <c r="N1097" s="660"/>
      <c r="O1097" s="660"/>
      <c r="P1097" s="660"/>
      <c r="Q1097" s="660"/>
      <c r="R1097" s="660"/>
      <c r="S1097" s="660"/>
      <c r="T1097" s="660"/>
      <c r="U1097" s="660"/>
      <c r="V1097" s="660"/>
      <c r="W1097" s="660"/>
      <c r="X1097" s="660"/>
      <c r="Y1097" s="660"/>
      <c r="Z1097" s="660"/>
      <c r="AA1097" s="660"/>
      <c r="AB1097" s="660"/>
      <c r="AC1097" s="661"/>
      <c r="AD1097" s="606"/>
      <c r="AE1097" s="19"/>
      <c r="AF1097" s="19"/>
      <c r="AG1097" s="19"/>
    </row>
    <row r="1098" spans="1:33" hidden="1" outlineLevel="3" x14ac:dyDescent="0.2">
      <c r="A1098" s="606"/>
      <c r="B1098" s="606"/>
      <c r="C1098" s="607"/>
      <c r="D1098" s="608"/>
      <c r="E1098" s="608"/>
      <c r="F1098" s="608"/>
      <c r="G1098" s="608"/>
      <c r="H1098" s="609"/>
      <c r="I1098" s="660"/>
      <c r="J1098" s="660"/>
      <c r="K1098" s="660"/>
      <c r="L1098" s="660"/>
      <c r="M1098" s="660"/>
      <c r="N1098" s="660"/>
      <c r="O1098" s="660"/>
      <c r="P1098" s="660"/>
      <c r="Q1098" s="660"/>
      <c r="R1098" s="660"/>
      <c r="S1098" s="660"/>
      <c r="T1098" s="660"/>
      <c r="U1098" s="660"/>
      <c r="V1098" s="660"/>
      <c r="W1098" s="660"/>
      <c r="X1098" s="660"/>
      <c r="Y1098" s="660"/>
      <c r="Z1098" s="660"/>
      <c r="AA1098" s="660"/>
      <c r="AB1098" s="660"/>
      <c r="AC1098" s="661"/>
      <c r="AD1098" s="606"/>
      <c r="AE1098" s="19"/>
      <c r="AF1098" s="19"/>
      <c r="AG1098" s="19"/>
    </row>
    <row r="1099" spans="1:33" hidden="1" outlineLevel="3" x14ac:dyDescent="0.2">
      <c r="A1099" s="606"/>
      <c r="B1099" s="606"/>
      <c r="C1099" s="607"/>
      <c r="D1099" s="608"/>
      <c r="E1099" s="608"/>
      <c r="F1099" s="608"/>
      <c r="G1099" s="608"/>
      <c r="H1099" s="609"/>
      <c r="I1099" s="660"/>
      <c r="J1099" s="660"/>
      <c r="K1099" s="660"/>
      <c r="L1099" s="660"/>
      <c r="M1099" s="660"/>
      <c r="N1099" s="660"/>
      <c r="O1099" s="660"/>
      <c r="P1099" s="660"/>
      <c r="Q1099" s="660"/>
      <c r="R1099" s="660"/>
      <c r="S1099" s="660"/>
      <c r="T1099" s="660"/>
      <c r="U1099" s="660"/>
      <c r="V1099" s="660"/>
      <c r="W1099" s="660"/>
      <c r="X1099" s="660"/>
      <c r="Y1099" s="660"/>
      <c r="Z1099" s="660"/>
      <c r="AA1099" s="660"/>
      <c r="AB1099" s="660"/>
      <c r="AC1099" s="661"/>
      <c r="AD1099" s="606"/>
      <c r="AE1099" s="19"/>
      <c r="AF1099" s="19"/>
      <c r="AG1099" s="19"/>
    </row>
    <row r="1100" spans="1:33" hidden="1" outlineLevel="2" collapsed="1" x14ac:dyDescent="0.2">
      <c r="A1100" s="606"/>
      <c r="B1100" s="606"/>
      <c r="C1100" s="613"/>
      <c r="D1100" s="613"/>
      <c r="E1100" s="609"/>
      <c r="F1100" s="609"/>
      <c r="G1100" s="609"/>
      <c r="H1100" s="609"/>
      <c r="I1100" s="662"/>
      <c r="J1100" s="662"/>
      <c r="K1100" s="662"/>
      <c r="L1100" s="662"/>
      <c r="M1100" s="662"/>
      <c r="N1100" s="662"/>
      <c r="O1100" s="662"/>
      <c r="P1100" s="662"/>
      <c r="Q1100" s="662"/>
      <c r="R1100" s="662"/>
      <c r="S1100" s="662"/>
      <c r="T1100" s="662"/>
      <c r="U1100" s="662"/>
      <c r="V1100" s="662"/>
      <c r="W1100" s="662"/>
      <c r="X1100" s="662"/>
      <c r="Y1100" s="662"/>
      <c r="Z1100" s="662"/>
      <c r="AA1100" s="662"/>
      <c r="AB1100" s="662"/>
      <c r="AC1100" s="667"/>
      <c r="AD1100" s="606"/>
      <c r="AE1100" s="19"/>
      <c r="AF1100" s="19"/>
      <c r="AG1100" s="19"/>
    </row>
    <row r="1101" spans="1:33" outlineLevel="1" collapsed="1" x14ac:dyDescent="0.2">
      <c r="A1101" s="606"/>
      <c r="B1101" s="606"/>
      <c r="C1101" s="613"/>
      <c r="D1101" s="609"/>
      <c r="E1101" s="609"/>
      <c r="F1101" s="609"/>
      <c r="G1101" s="609"/>
      <c r="H1101" s="609"/>
      <c r="I1101" s="609"/>
      <c r="J1101" s="609"/>
      <c r="K1101" s="617"/>
      <c r="L1101" s="617"/>
      <c r="M1101" s="617"/>
      <c r="N1101" s="622"/>
      <c r="O1101" s="622"/>
      <c r="P1101" s="622"/>
      <c r="Q1101" s="622"/>
      <c r="R1101" s="622"/>
      <c r="S1101" s="606"/>
      <c r="T1101" s="606"/>
      <c r="U1101" s="606"/>
      <c r="V1101" s="606"/>
      <c r="W1101" s="606"/>
      <c r="X1101" s="606"/>
      <c r="Y1101" s="606"/>
      <c r="Z1101" s="606"/>
      <c r="AA1101" s="606"/>
      <c r="AB1101" s="606"/>
      <c r="AC1101" s="606"/>
      <c r="AD1101" s="606"/>
      <c r="AE1101" s="19"/>
      <c r="AF1101" s="19"/>
      <c r="AG1101" s="19"/>
    </row>
    <row r="1102" spans="1:33" x14ac:dyDescent="0.2">
      <c r="A1102" s="606"/>
      <c r="B1102" s="606"/>
      <c r="C1102" s="623"/>
      <c r="D1102" s="617"/>
      <c r="E1102" s="617"/>
      <c r="F1102" s="617"/>
      <c r="G1102" s="618"/>
      <c r="H1102" s="618"/>
      <c r="I1102" s="618"/>
      <c r="J1102" s="617"/>
      <c r="K1102" s="617"/>
      <c r="L1102" s="617"/>
      <c r="M1102" s="617"/>
      <c r="N1102" s="622"/>
      <c r="O1102" s="622"/>
      <c r="P1102" s="622"/>
      <c r="Q1102" s="622"/>
      <c r="R1102" s="622"/>
      <c r="S1102" s="606"/>
      <c r="T1102" s="606"/>
      <c r="U1102" s="606"/>
      <c r="V1102" s="606"/>
      <c r="W1102" s="606"/>
      <c r="X1102" s="606"/>
      <c r="Y1102" s="606"/>
      <c r="Z1102" s="606"/>
      <c r="AA1102" s="606"/>
      <c r="AB1102" s="606"/>
      <c r="AC1102" s="606"/>
      <c r="AD1102" s="606"/>
      <c r="AE1102" s="19"/>
      <c r="AF1102" s="19"/>
      <c r="AG1102" s="19"/>
    </row>
    <row r="1103" spans="1:33" ht="12.75" x14ac:dyDescent="0.2">
      <c r="A1103" s="11"/>
      <c r="B1103" s="12" t="s">
        <v>8</v>
      </c>
      <c r="C1103" s="11"/>
      <c r="D1103" s="11"/>
      <c r="E1103" s="11"/>
      <c r="F1103" s="11"/>
      <c r="G1103" s="13"/>
      <c r="H1103" s="13"/>
      <c r="I1103" s="13"/>
      <c r="J1103" s="13"/>
      <c r="K1103" s="13"/>
      <c r="L1103" s="13"/>
      <c r="M1103" s="13"/>
      <c r="N1103" s="14"/>
      <c r="O1103" s="15"/>
      <c r="P1103" s="14"/>
      <c r="Q1103" s="15"/>
      <c r="R1103" s="14"/>
      <c r="S1103" s="14"/>
      <c r="T1103" s="14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</row>
  </sheetData>
  <sheetProtection formatColumns="0" formatRows="0"/>
  <hyperlinks>
    <hyperlink ref="I1" location="'Pricing model'!A51" display="Back to Index" xr:uid="{00000000-0004-0000-10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>
    <tabColor theme="4" tint="0.79998168889431442"/>
  </sheetPr>
  <dimension ref="A1:AP916"/>
  <sheetViews>
    <sheetView showGridLines="0" zoomScaleNormal="100" workbookViewId="0">
      <pane xSplit="7" ySplit="6" topLeftCell="H7" activePane="bottomRight" state="frozen"/>
      <selection pane="topRight" activeCell="G1" sqref="G1"/>
      <selection pane="bottomLeft" activeCell="A7" sqref="A7"/>
      <selection pane="bottomRight" activeCell="A401" sqref="A401:XFD915"/>
    </sheetView>
  </sheetViews>
  <sheetFormatPr defaultColWidth="9.140625" defaultRowHeight="11.25" zeroHeight="1" outlineLevelRow="3" outlineLevelCol="1" x14ac:dyDescent="0.2"/>
  <cols>
    <col min="1" max="2" width="1.42578125" style="18" customWidth="1"/>
    <col min="3" max="3" width="40" style="18" customWidth="1"/>
    <col min="4" max="4" width="16.85546875" style="18" customWidth="1"/>
    <col min="5" max="5" width="12.85546875" style="18" customWidth="1"/>
    <col min="6" max="6" width="14.42578125" style="18" customWidth="1"/>
    <col min="7" max="7" width="13.85546875" style="18" bestFit="1" customWidth="1"/>
    <col min="8" max="8" width="4.42578125" style="18" customWidth="1"/>
    <col min="9" max="21" width="11.28515625" style="18" customWidth="1"/>
    <col min="22" max="22" width="9.28515625" style="18" customWidth="1"/>
    <col min="23" max="28" width="9.28515625" style="18" hidden="1" customWidth="1" outlineLevel="1"/>
    <col min="29" max="29" width="9.28515625" style="18" customWidth="1" collapsed="1"/>
    <col min="30" max="16384" width="9.140625" style="18"/>
  </cols>
  <sheetData>
    <row r="1" spans="1:42" ht="15.75" x14ac:dyDescent="0.25">
      <c r="A1" s="1"/>
      <c r="B1" s="2" t="str">
        <f>'Inputs&gt;&gt;'!B1</f>
        <v>AER pricing model - TasNetworks 2022–23</v>
      </c>
      <c r="C1" s="2"/>
      <c r="D1" s="2"/>
      <c r="E1" s="2"/>
      <c r="F1" s="2"/>
      <c r="G1" s="3"/>
      <c r="H1" s="4"/>
      <c r="I1" s="160" t="s">
        <v>0</v>
      </c>
      <c r="J1" s="111"/>
      <c r="K1" s="112"/>
      <c r="L1" s="112"/>
      <c r="M1" s="51"/>
      <c r="P1" s="111"/>
      <c r="Q1" s="113"/>
      <c r="S1" s="114"/>
      <c r="T1" s="113"/>
      <c r="U1" s="5"/>
      <c r="V1" s="3"/>
      <c r="W1" s="3"/>
      <c r="X1" s="3"/>
      <c r="Y1" s="5"/>
      <c r="Z1" s="5"/>
      <c r="AA1" s="5"/>
      <c r="AB1" s="5"/>
      <c r="AC1" s="5"/>
      <c r="AD1" s="1"/>
    </row>
    <row r="2" spans="1:42" ht="13.5" thickBot="1" x14ac:dyDescent="0.25">
      <c r="A2" s="6"/>
      <c r="B2" s="7" t="str">
        <f>'Inputs&gt;&gt;'!C15</f>
        <v>Indicative prices</v>
      </c>
      <c r="C2" s="7"/>
      <c r="D2" s="7"/>
      <c r="E2" s="7"/>
      <c r="F2" s="7"/>
      <c r="G2" s="8"/>
      <c r="H2" s="8"/>
      <c r="I2" s="8"/>
      <c r="J2" s="8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42" x14ac:dyDescent="0.2">
      <c r="A3" s="27"/>
      <c r="B3" s="296" t="str">
        <f>'Inputs&gt;&gt;'!D15</f>
        <v>Inputs indicative tariffs to update the schedule for the remainder of the regulatory control period (updates previous schedule for only remaining years)</v>
      </c>
      <c r="C3" s="27"/>
      <c r="D3" s="28"/>
      <c r="E3" s="28"/>
      <c r="F3" s="28"/>
      <c r="G3" s="28"/>
      <c r="H3" s="28"/>
      <c r="I3" s="28"/>
      <c r="J3" s="28"/>
      <c r="K3" s="29"/>
      <c r="L3" s="30"/>
      <c r="M3" s="30"/>
      <c r="N3" s="30"/>
      <c r="O3" s="30"/>
      <c r="P3" s="30"/>
      <c r="Q3" s="30"/>
      <c r="R3" s="30"/>
      <c r="S3" s="30"/>
      <c r="T3" s="30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42" x14ac:dyDescent="0.2">
      <c r="A4" s="9"/>
      <c r="B4" s="9"/>
      <c r="C4" s="9"/>
      <c r="D4" s="10"/>
      <c r="E4" s="10"/>
      <c r="F4" s="10"/>
      <c r="G4" s="10"/>
      <c r="H4" s="10"/>
      <c r="I4" s="10"/>
      <c r="J4" s="10"/>
      <c r="K4" s="50"/>
      <c r="L4" s="50"/>
      <c r="M4" s="50"/>
      <c r="N4" s="50"/>
      <c r="O4" s="50"/>
      <c r="P4" s="50"/>
      <c r="Q4" s="50"/>
      <c r="R4" s="50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42" ht="52.5" x14ac:dyDescent="0.2">
      <c r="A5" s="11"/>
      <c r="B5" s="12" t="s">
        <v>686</v>
      </c>
      <c r="C5" s="11"/>
      <c r="D5" s="32" t="s">
        <v>199</v>
      </c>
      <c r="E5" s="32" t="str">
        <f>tariffid1</f>
        <v>Code</v>
      </c>
      <c r="F5" s="32" t="str">
        <f>tariffid2</f>
        <v>Trans. Node</v>
      </c>
      <c r="G5" s="33" t="str">
        <f>tariffid3</f>
        <v>Other identifier</v>
      </c>
      <c r="H5" s="33"/>
      <c r="I5" s="597" t="str">
        <f>Qty!M5</f>
        <v>Service</v>
      </c>
      <c r="J5" s="597" t="str">
        <f>Qty!N5</f>
        <v>All energy</v>
      </c>
      <c r="K5" s="597" t="str">
        <f>Qty!O5</f>
        <v>Peak energy</v>
      </c>
      <c r="L5" s="597" t="str">
        <f>Qty!P5</f>
        <v>Shoulder energy</v>
      </c>
      <c r="M5" s="597" t="str">
        <f>Qty!Q5</f>
        <v>Off-peak energy</v>
      </c>
      <c r="N5" s="597" t="str">
        <f>Qty!R5</f>
        <v>All demand</v>
      </c>
      <c r="O5" s="597" t="str">
        <f>Qty!S5</f>
        <v>Peak demand</v>
      </c>
      <c r="P5" s="597" t="str">
        <f>Qty!T5</f>
        <v>Off-peak demand</v>
      </c>
      <c r="Q5" s="597" t="str">
        <f>Qty!U5</f>
        <v>Specified demand</v>
      </c>
      <c r="R5" s="597" t="str">
        <f>Qty!V5</f>
        <v>Excess daily demand</v>
      </c>
      <c r="S5" s="597" t="str">
        <f>Qty!W5</f>
        <v>Daily demand connection</v>
      </c>
      <c r="T5" s="597" t="str">
        <f>Qty!X5</f>
        <v>Excess daily demand connection</v>
      </c>
      <c r="U5" s="597" t="str">
        <f>Qty!Y5</f>
        <v>All demand (lamps)</v>
      </c>
      <c r="V5" s="169">
        <f>Qty!Z5</f>
        <v>0</v>
      </c>
      <c r="W5" s="169">
        <f>Qty!AA5</f>
        <v>0</v>
      </c>
      <c r="X5" s="169">
        <f>Qty!AB5</f>
        <v>0</v>
      </c>
      <c r="Y5" s="169">
        <f>Qty!AC5</f>
        <v>0</v>
      </c>
      <c r="Z5" s="169">
        <f>Qty!AD5</f>
        <v>0</v>
      </c>
      <c r="AA5" s="169">
        <f>Qty!AE5</f>
        <v>0</v>
      </c>
      <c r="AB5" s="169">
        <f>Qty!AF5</f>
        <v>0</v>
      </c>
      <c r="AC5" s="64"/>
      <c r="AD5" s="597" t="s">
        <v>938</v>
      </c>
      <c r="AE5" s="597" t="s">
        <v>872</v>
      </c>
      <c r="AF5" s="597" t="s">
        <v>867</v>
      </c>
      <c r="AG5" s="597" t="s">
        <v>870</v>
      </c>
      <c r="AH5" s="597" t="s">
        <v>869</v>
      </c>
      <c r="AI5" s="597" t="s">
        <v>914</v>
      </c>
      <c r="AJ5" s="597" t="s">
        <v>939</v>
      </c>
      <c r="AK5" s="597" t="s">
        <v>940</v>
      </c>
      <c r="AL5" s="597" t="s">
        <v>915</v>
      </c>
      <c r="AM5" s="597" t="s">
        <v>941</v>
      </c>
      <c r="AN5" s="597" t="s">
        <v>916</v>
      </c>
      <c r="AO5" s="597" t="s">
        <v>917</v>
      </c>
      <c r="AP5" s="597" t="s">
        <v>937</v>
      </c>
    </row>
    <row r="6" spans="1:42" outlineLevel="1" x14ac:dyDescent="0.2">
      <c r="A6" s="19"/>
      <c r="B6" s="19"/>
      <c r="C6" s="36"/>
      <c r="D6" s="20"/>
      <c r="E6" s="20"/>
      <c r="F6" s="20"/>
      <c r="G6" s="22"/>
      <c r="H6" s="22"/>
      <c r="I6" s="170" t="str">
        <f>'Prop. prices'!I6</f>
        <v>cents/day</v>
      </c>
      <c r="J6" s="170" t="str">
        <f>'Prop. prices'!J6</f>
        <v>cents/kWh</v>
      </c>
      <c r="K6" s="170" t="str">
        <f>'Prop. prices'!K6</f>
        <v>cents/kWh</v>
      </c>
      <c r="L6" s="170" t="str">
        <f>'Prop. prices'!L6</f>
        <v>cents/kWh</v>
      </c>
      <c r="M6" s="170" t="str">
        <f>'Prop. prices'!M6</f>
        <v>cents/kWh</v>
      </c>
      <c r="N6" s="170" t="str">
        <f>'Prop. prices'!N6</f>
        <v>cents/kVA</v>
      </c>
      <c r="O6" s="170" t="str">
        <f>'Prop. prices'!O6</f>
        <v>cents/kVA</v>
      </c>
      <c r="P6" s="170" t="str">
        <f>'Prop. prices'!P6</f>
        <v>cents/kVA</v>
      </c>
      <c r="Q6" s="170" t="str">
        <f>'Prop. prices'!Q6</f>
        <v>cents/kVA</v>
      </c>
      <c r="R6" s="170" t="str">
        <f>'Prop. prices'!R6</f>
        <v>cents/kVA</v>
      </c>
      <c r="S6" s="170" t="str">
        <f>'Prop. prices'!S6</f>
        <v>cents/kVA</v>
      </c>
      <c r="T6" s="170" t="str">
        <f>'Prop. prices'!T6</f>
        <v>cents/kVA</v>
      </c>
      <c r="U6" s="170" t="str">
        <f>'Prop. prices'!U6</f>
        <v>cents/LmpWtts/day</v>
      </c>
      <c r="V6" s="170">
        <f>'Prop. prices'!V6</f>
        <v>0</v>
      </c>
      <c r="W6" s="170">
        <f>'Prop. prices'!W6</f>
        <v>0</v>
      </c>
      <c r="X6" s="170">
        <f>'Prop. prices'!X6</f>
        <v>0</v>
      </c>
      <c r="Y6" s="170">
        <f>'Prop. prices'!Y6</f>
        <v>0</v>
      </c>
      <c r="Z6" s="170">
        <f>'Prop. prices'!Z6</f>
        <v>0</v>
      </c>
      <c r="AA6" s="170">
        <f>'Prop. prices'!AA6</f>
        <v>0</v>
      </c>
      <c r="AB6" s="170">
        <f>'Prop. prices'!AB6</f>
        <v>0</v>
      </c>
      <c r="AC6" s="19"/>
      <c r="AD6" s="19"/>
      <c r="AE6" s="19"/>
      <c r="AF6" s="19"/>
      <c r="AG6" s="19"/>
    </row>
    <row r="7" spans="1:42" outlineLevel="1" x14ac:dyDescent="0.2">
      <c r="A7" s="19"/>
      <c r="B7" s="19"/>
      <c r="C7" s="167" t="str">
        <f>RCP_firstyear</f>
        <v>2019–20</v>
      </c>
      <c r="D7" s="20"/>
      <c r="E7" s="20"/>
      <c r="F7" s="20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19"/>
      <c r="AD7" s="19"/>
      <c r="AE7" s="19"/>
      <c r="AF7" s="19"/>
      <c r="AG7" s="19"/>
    </row>
    <row r="8" spans="1:42" hidden="1" outlineLevel="2" x14ac:dyDescent="0.2">
      <c r="A8" s="19"/>
      <c r="B8" s="19"/>
      <c r="C8" s="506" t="str">
        <f>Qty!C8</f>
        <v>Residential time of use consumption</v>
      </c>
      <c r="D8" s="505" t="str">
        <f>Qty!D8</f>
        <v>Residential</v>
      </c>
      <c r="E8" s="505" t="str">
        <f>Qty!E8</f>
        <v>TAS93</v>
      </c>
      <c r="F8" s="505">
        <f>Qty!F8</f>
        <v>0</v>
      </c>
      <c r="G8" s="505">
        <f>Qty!G8</f>
        <v>0</v>
      </c>
      <c r="H8" s="22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  <c r="Z8" s="189"/>
      <c r="AA8" s="189"/>
      <c r="AB8" s="189"/>
      <c r="AC8" s="187"/>
      <c r="AD8" s="19"/>
      <c r="AE8" s="19"/>
      <c r="AF8" s="19"/>
      <c r="AG8" s="19"/>
    </row>
    <row r="9" spans="1:42" s="59" customFormat="1" hidden="1" outlineLevel="2" x14ac:dyDescent="0.2">
      <c r="A9" s="57"/>
      <c r="B9" s="57"/>
      <c r="C9" s="506" t="str">
        <f>Qty!C9</f>
        <v>Residential general light and power</v>
      </c>
      <c r="D9" s="505" t="str">
        <f>Qty!D9</f>
        <v>Residential</v>
      </c>
      <c r="E9" s="505" t="str">
        <f>Qty!E9</f>
        <v>TAS31</v>
      </c>
      <c r="F9" s="505">
        <f>Qty!F9</f>
        <v>0</v>
      </c>
      <c r="G9" s="505">
        <f>Qty!G9</f>
        <v>0</v>
      </c>
      <c r="H9" s="58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6"/>
      <c r="AD9" s="57"/>
      <c r="AE9" s="57"/>
      <c r="AF9" s="57"/>
      <c r="AG9" s="57"/>
    </row>
    <row r="10" spans="1:42" hidden="1" outlineLevel="2" x14ac:dyDescent="0.2">
      <c r="A10" s="19"/>
      <c r="B10" s="19"/>
      <c r="C10" s="506" t="str">
        <f>Qty!C10</f>
        <v>Residential time of use demand</v>
      </c>
      <c r="D10" s="505" t="str">
        <f>Qty!D10</f>
        <v>Residential</v>
      </c>
      <c r="E10" s="505" t="str">
        <f>Qty!E10</f>
        <v>TAS87</v>
      </c>
      <c r="F10" s="505">
        <f>Qty!F10</f>
        <v>0</v>
      </c>
      <c r="G10" s="505">
        <f>Qty!G10</f>
        <v>0</v>
      </c>
      <c r="H10" s="58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7"/>
      <c r="AD10" s="19"/>
      <c r="AE10" s="19"/>
      <c r="AF10" s="19"/>
      <c r="AG10" s="19"/>
    </row>
    <row r="11" spans="1:42" hidden="1" outlineLevel="2" x14ac:dyDescent="0.2">
      <c r="A11" s="19"/>
      <c r="B11" s="19"/>
      <c r="C11" s="506" t="str">
        <f>Qty!C11</f>
        <v>Residential time of use demand DER</v>
      </c>
      <c r="D11" s="505" t="str">
        <f>Qty!D11</f>
        <v>Residential</v>
      </c>
      <c r="E11" s="505" t="str">
        <f>Qty!E11</f>
        <v>TAS97</v>
      </c>
      <c r="F11" s="505">
        <f>Qty!F11</f>
        <v>0</v>
      </c>
      <c r="G11" s="505">
        <f>Qty!G11</f>
        <v>0</v>
      </c>
      <c r="H11" s="58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7"/>
      <c r="AD11" s="19"/>
      <c r="AE11" s="19"/>
      <c r="AF11" s="19"/>
      <c r="AG11" s="19"/>
    </row>
    <row r="12" spans="1:42" hidden="1" outlineLevel="2" x14ac:dyDescent="0.2">
      <c r="A12" s="19"/>
      <c r="B12" s="19"/>
      <c r="C12" s="506" t="str">
        <f>Qty!C12</f>
        <v>Residential pay as you go</v>
      </c>
      <c r="D12" s="505" t="str">
        <f>Qty!D12</f>
        <v>Residential</v>
      </c>
      <c r="E12" s="505" t="str">
        <f>Qty!E12</f>
        <v>TAS101</v>
      </c>
      <c r="F12" s="505">
        <f>Qty!F12</f>
        <v>0</v>
      </c>
      <c r="G12" s="505">
        <f>Qty!G12</f>
        <v>0</v>
      </c>
      <c r="H12" s="58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7"/>
      <c r="AD12" s="19"/>
      <c r="AE12" s="19"/>
      <c r="AF12" s="19"/>
      <c r="AG12" s="19"/>
    </row>
    <row r="13" spans="1:42" hidden="1" outlineLevel="2" x14ac:dyDescent="0.2">
      <c r="A13" s="19"/>
      <c r="B13" s="19"/>
      <c r="C13" s="506" t="str">
        <f>Qty!C13</f>
        <v>Residential pay as you go time of use</v>
      </c>
      <c r="D13" s="505" t="str">
        <f>Qty!D13</f>
        <v>Residential</v>
      </c>
      <c r="E13" s="505" t="str">
        <f>Qty!E13</f>
        <v>TAS92</v>
      </c>
      <c r="F13" s="505">
        <f>Qty!F13</f>
        <v>0</v>
      </c>
      <c r="G13" s="505">
        <f>Qty!G13</f>
        <v>0</v>
      </c>
      <c r="H13" s="58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7"/>
      <c r="AD13" s="19"/>
      <c r="AE13" s="19"/>
      <c r="AF13" s="19"/>
      <c r="AG13" s="19"/>
    </row>
    <row r="14" spans="1:42" hidden="1" outlineLevel="2" x14ac:dyDescent="0.2">
      <c r="A14" s="19"/>
      <c r="B14" s="19"/>
      <c r="C14" s="506" t="str">
        <f>Qty!C14</f>
        <v>Small business time of use consumption</v>
      </c>
      <c r="D14" s="505" t="str">
        <f>Qty!D14</f>
        <v>Small Business LV</v>
      </c>
      <c r="E14" s="505" t="str">
        <f>Qty!E14</f>
        <v>TAS94</v>
      </c>
      <c r="F14" s="505">
        <f>Qty!F14</f>
        <v>0</v>
      </c>
      <c r="G14" s="505">
        <f>Qty!G14</f>
        <v>0</v>
      </c>
      <c r="H14" s="58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7"/>
      <c r="AD14" s="19"/>
      <c r="AE14" s="19"/>
      <c r="AF14" s="19"/>
      <c r="AG14" s="19"/>
    </row>
    <row r="15" spans="1:42" hidden="1" outlineLevel="2" x14ac:dyDescent="0.2">
      <c r="A15" s="19"/>
      <c r="B15" s="19"/>
      <c r="C15" s="506" t="str">
        <f>Qty!C15</f>
        <v>Small business general light and power</v>
      </c>
      <c r="D15" s="505" t="str">
        <f>Qty!D15</f>
        <v>Small Business LV</v>
      </c>
      <c r="E15" s="505" t="str">
        <f>Qty!E15</f>
        <v>TAS22</v>
      </c>
      <c r="F15" s="505">
        <f>Qty!F15</f>
        <v>0</v>
      </c>
      <c r="G15" s="505">
        <f>Qty!G15</f>
        <v>0</v>
      </c>
      <c r="H15" s="58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7"/>
      <c r="AD15" s="19"/>
      <c r="AE15" s="19"/>
      <c r="AF15" s="19"/>
      <c r="AG15" s="19"/>
    </row>
    <row r="16" spans="1:42" hidden="1" outlineLevel="2" x14ac:dyDescent="0.2">
      <c r="A16" s="19"/>
      <c r="B16" s="19"/>
      <c r="C16" s="506" t="str">
        <f>Qty!C16</f>
        <v>Small business time of use demand</v>
      </c>
      <c r="D16" s="505" t="str">
        <f>Qty!D16</f>
        <v>Small Business LV</v>
      </c>
      <c r="E16" s="505" t="str">
        <f>Qty!E16</f>
        <v>TAS88</v>
      </c>
      <c r="F16" s="505">
        <f>Qty!F16</f>
        <v>0</v>
      </c>
      <c r="G16" s="505">
        <f>Qty!G16</f>
        <v>0</v>
      </c>
      <c r="H16" s="58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7"/>
      <c r="AD16" s="19"/>
      <c r="AE16" s="19"/>
      <c r="AF16" s="19"/>
      <c r="AG16" s="19"/>
    </row>
    <row r="17" spans="1:33" hidden="1" outlineLevel="2" x14ac:dyDescent="0.2">
      <c r="A17" s="19"/>
      <c r="B17" s="19"/>
      <c r="C17" s="506" t="str">
        <f>Qty!C17</f>
        <v>Small business time of use demand DER</v>
      </c>
      <c r="D17" s="505" t="str">
        <f>Qty!D17</f>
        <v>Small Business LV</v>
      </c>
      <c r="E17" s="505" t="str">
        <f>Qty!E17</f>
        <v>TAS98</v>
      </c>
      <c r="F17" s="505">
        <f>Qty!F17</f>
        <v>0</v>
      </c>
      <c r="G17" s="505">
        <f>Qty!G17</f>
        <v>0</v>
      </c>
      <c r="H17" s="58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7"/>
      <c r="AD17" s="19"/>
      <c r="AE17" s="19"/>
      <c r="AF17" s="19"/>
      <c r="AG17" s="19"/>
    </row>
    <row r="18" spans="1:33" hidden="1" outlineLevel="2" x14ac:dyDescent="0.2">
      <c r="A18" s="19"/>
      <c r="B18" s="19"/>
      <c r="C18" s="506" t="str">
        <f>Qty!C18</f>
        <v>Large business kVA demand</v>
      </c>
      <c r="D18" s="505" t="str">
        <f>Qty!D18</f>
        <v>Large Business LV</v>
      </c>
      <c r="E18" s="505" t="str">
        <f>Qty!E18</f>
        <v>TAS82</v>
      </c>
      <c r="F18" s="505">
        <f>Qty!F18</f>
        <v>0</v>
      </c>
      <c r="G18" s="505">
        <f>Qty!G18</f>
        <v>0</v>
      </c>
      <c r="H18" s="58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7"/>
      <c r="AD18" s="19"/>
      <c r="AE18" s="19"/>
      <c r="AF18" s="19"/>
      <c r="AG18" s="19"/>
    </row>
    <row r="19" spans="1:33" hidden="1" outlineLevel="2" x14ac:dyDescent="0.2">
      <c r="A19" s="19"/>
      <c r="B19" s="19"/>
      <c r="C19" s="506" t="str">
        <f>Qty!C19</f>
        <v>Large business time of use demand</v>
      </c>
      <c r="D19" s="505" t="str">
        <f>Qty!D19</f>
        <v>Large Business LV</v>
      </c>
      <c r="E19" s="505" t="str">
        <f>Qty!E19</f>
        <v>TAS89</v>
      </c>
      <c r="F19" s="505">
        <f>Qty!F19</f>
        <v>0</v>
      </c>
      <c r="G19" s="505">
        <f>Qty!G19</f>
        <v>0</v>
      </c>
      <c r="H19" s="58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7"/>
      <c r="AD19" s="19"/>
      <c r="AE19" s="19"/>
      <c r="AF19" s="19"/>
      <c r="AG19" s="19"/>
    </row>
    <row r="20" spans="1:33" hidden="1" outlineLevel="2" x14ac:dyDescent="0.2">
      <c r="A20" s="19"/>
      <c r="B20" s="19"/>
      <c r="C20" s="506" t="str">
        <f>Qty!C20</f>
        <v>Irrigation time of use consumption</v>
      </c>
      <c r="D20" s="505" t="str">
        <f>Qty!D20</f>
        <v>Irrigation</v>
      </c>
      <c r="E20" s="505" t="str">
        <f>Qty!E20</f>
        <v>TAS75</v>
      </c>
      <c r="F20" s="505">
        <f>Qty!F20</f>
        <v>0</v>
      </c>
      <c r="G20" s="505">
        <f>Qty!G20</f>
        <v>0</v>
      </c>
      <c r="H20" s="58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7"/>
      <c r="AD20" s="19"/>
      <c r="AE20" s="19"/>
      <c r="AF20" s="19"/>
      <c r="AG20" s="19"/>
    </row>
    <row r="21" spans="1:33" hidden="1" outlineLevel="2" x14ac:dyDescent="0.2">
      <c r="A21" s="19"/>
      <c r="B21" s="19"/>
      <c r="C21" s="506" t="str">
        <f>Qty!C21</f>
        <v>Business HV kVA specified demand &lt;2MVA</v>
      </c>
      <c r="D21" s="505" t="str">
        <f>Qty!D21</f>
        <v>Large Business HV</v>
      </c>
      <c r="E21" s="505" t="str">
        <f>Qty!E21</f>
        <v>TASSDM</v>
      </c>
      <c r="F21" s="505">
        <f>Qty!F21</f>
        <v>0</v>
      </c>
      <c r="G21" s="505">
        <f>Qty!G21</f>
        <v>0</v>
      </c>
      <c r="H21" s="58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7"/>
      <c r="AD21" s="19"/>
      <c r="AE21" s="19"/>
      <c r="AF21" s="19"/>
      <c r="AG21" s="19"/>
    </row>
    <row r="22" spans="1:33" hidden="1" outlineLevel="2" x14ac:dyDescent="0.2">
      <c r="A22" s="19"/>
      <c r="B22" s="19"/>
      <c r="C22" s="506" t="str">
        <f>Qty!C22</f>
        <v>Business HV kVA specified demand &gt;2MVA</v>
      </c>
      <c r="D22" s="505" t="str">
        <f>Qty!D22</f>
        <v>Large Business HV</v>
      </c>
      <c r="E22" s="505" t="str">
        <f>Qty!E22</f>
        <v>TAS15*</v>
      </c>
      <c r="F22" s="505">
        <f>Qty!F22</f>
        <v>0</v>
      </c>
      <c r="G22" s="505">
        <f>Qty!G22</f>
        <v>0</v>
      </c>
      <c r="H22" s="58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7"/>
      <c r="AD22" s="19"/>
      <c r="AE22" s="19"/>
      <c r="AF22" s="19"/>
      <c r="AG22" s="19"/>
    </row>
    <row r="23" spans="1:33" hidden="1" outlineLevel="2" x14ac:dyDescent="0.2">
      <c r="A23" s="19"/>
      <c r="B23" s="19"/>
      <c r="C23" s="506" t="str">
        <f>Qty!C23</f>
        <v>Uncontrolled low voltage heating and hot water</v>
      </c>
      <c r="D23" s="505" t="str">
        <f>Qty!D23</f>
        <v>Uncontrolled energy</v>
      </c>
      <c r="E23" s="505" t="str">
        <f>Qty!E23</f>
        <v>TAS41</v>
      </c>
      <c r="F23" s="505">
        <f>Qty!F23</f>
        <v>0</v>
      </c>
      <c r="G23" s="505">
        <f>Qty!G23</f>
        <v>0</v>
      </c>
      <c r="H23" s="58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7"/>
      <c r="AD23" s="19"/>
      <c r="AE23" s="19"/>
      <c r="AF23" s="19"/>
      <c r="AG23" s="19"/>
    </row>
    <row r="24" spans="1:33" hidden="1" outlineLevel="2" x14ac:dyDescent="0.2">
      <c r="A24" s="19"/>
      <c r="B24" s="19"/>
      <c r="C24" s="506" t="str">
        <f>Qty!C24</f>
        <v>Controlled low voltage night period only</v>
      </c>
      <c r="D24" s="505" t="str">
        <f>Qty!D24</f>
        <v>Controlled energy</v>
      </c>
      <c r="E24" s="505" t="str">
        <f>Qty!E24</f>
        <v>TAS63</v>
      </c>
      <c r="F24" s="505">
        <f>Qty!F24</f>
        <v>0</v>
      </c>
      <c r="G24" s="505">
        <f>Qty!G24</f>
        <v>0</v>
      </c>
      <c r="H24" s="58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7"/>
      <c r="AD24" s="19"/>
      <c r="AE24" s="19"/>
      <c r="AF24" s="19"/>
      <c r="AG24" s="19"/>
    </row>
    <row r="25" spans="1:33" hidden="1" outlineLevel="2" x14ac:dyDescent="0.2">
      <c r="A25" s="19"/>
      <c r="B25" s="19"/>
      <c r="C25" s="506" t="str">
        <f>Qty!C25</f>
        <v>Controlled low voltage off peak with afternoon boost</v>
      </c>
      <c r="D25" s="505" t="str">
        <f>Qty!D25</f>
        <v>Controlled energy</v>
      </c>
      <c r="E25" s="505" t="str">
        <f>Qty!E25</f>
        <v>TAS61</v>
      </c>
      <c r="F25" s="505">
        <f>Qty!F25</f>
        <v>0</v>
      </c>
      <c r="G25" s="505">
        <f>Qty!G25</f>
        <v>0</v>
      </c>
      <c r="H25" s="58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7"/>
      <c r="AD25" s="19"/>
      <c r="AE25" s="19"/>
      <c r="AF25" s="19"/>
      <c r="AG25" s="19"/>
    </row>
    <row r="26" spans="1:33" hidden="1" outlineLevel="2" x14ac:dyDescent="0.2">
      <c r="A26" s="19"/>
      <c r="B26" s="19"/>
      <c r="C26" s="506" t="str">
        <f>Qty!C26</f>
        <v>Unmetered supply general</v>
      </c>
      <c r="D26" s="505" t="str">
        <f>Qty!D26</f>
        <v>Unmetered supplies</v>
      </c>
      <c r="E26" s="505" t="str">
        <f>Qty!E26</f>
        <v>TASUMS</v>
      </c>
      <c r="F26" s="505">
        <f>Qty!F26</f>
        <v>0</v>
      </c>
      <c r="G26" s="505">
        <f>Qty!G26</f>
        <v>0</v>
      </c>
      <c r="H26" s="58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7"/>
      <c r="AD26" s="19"/>
      <c r="AE26" s="19"/>
      <c r="AF26" s="19"/>
      <c r="AG26" s="19"/>
    </row>
    <row r="27" spans="1:33" hidden="1" outlineLevel="2" x14ac:dyDescent="0.2">
      <c r="A27" s="19"/>
      <c r="B27" s="19"/>
      <c r="C27" s="506" t="str">
        <f>Qty!C27</f>
        <v>Street lighting</v>
      </c>
      <c r="D27" s="505" t="str">
        <f>Qty!D27</f>
        <v>Street lighting</v>
      </c>
      <c r="E27" s="505" t="str">
        <f>Qty!E27</f>
        <v>TASUMSSL</v>
      </c>
      <c r="F27" s="505">
        <f>Qty!F27</f>
        <v>0</v>
      </c>
      <c r="G27" s="505">
        <f>Qty!G27</f>
        <v>0</v>
      </c>
      <c r="H27" s="58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7"/>
      <c r="AD27" s="19"/>
      <c r="AE27" s="19"/>
      <c r="AF27" s="19"/>
      <c r="AG27" s="19"/>
    </row>
    <row r="28" spans="1:33" hidden="1" outlineLevel="2" x14ac:dyDescent="0.2">
      <c r="A28" s="19"/>
      <c r="B28" s="19"/>
      <c r="C28" s="506">
        <f>Qty!C28</f>
        <v>0</v>
      </c>
      <c r="D28" s="505">
        <f>Qty!D28</f>
        <v>0</v>
      </c>
      <c r="E28" s="505">
        <f>Qty!E28</f>
        <v>0</v>
      </c>
      <c r="F28" s="505">
        <f>Qty!F28</f>
        <v>0</v>
      </c>
      <c r="G28" s="505">
        <f>Qty!G28</f>
        <v>0</v>
      </c>
      <c r="H28" s="58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7"/>
      <c r="AD28" s="19"/>
      <c r="AE28" s="19"/>
      <c r="AF28" s="19"/>
      <c r="AG28" s="19"/>
    </row>
    <row r="29" spans="1:33" hidden="1" outlineLevel="2" x14ac:dyDescent="0.2">
      <c r="A29" s="19"/>
      <c r="B29" s="19"/>
      <c r="C29" s="506">
        <f>Qty!C29</f>
        <v>0</v>
      </c>
      <c r="D29" s="505">
        <f>Qty!D29</f>
        <v>0</v>
      </c>
      <c r="E29" s="505">
        <f>Qty!E29</f>
        <v>0</v>
      </c>
      <c r="F29" s="505">
        <f>Qty!F29</f>
        <v>0</v>
      </c>
      <c r="G29" s="505">
        <f>Qty!G29</f>
        <v>0</v>
      </c>
      <c r="H29" s="58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7"/>
      <c r="AD29" s="19"/>
      <c r="AE29" s="19"/>
      <c r="AF29" s="19"/>
      <c r="AG29" s="19"/>
    </row>
    <row r="30" spans="1:33" hidden="1" outlineLevel="2" x14ac:dyDescent="0.2">
      <c r="A30" s="19"/>
      <c r="B30" s="19"/>
      <c r="C30" s="506">
        <f>Qty!C30</f>
        <v>0</v>
      </c>
      <c r="D30" s="505">
        <f>Qty!D30</f>
        <v>0</v>
      </c>
      <c r="E30" s="505">
        <f>Qty!E30</f>
        <v>0</v>
      </c>
      <c r="F30" s="505">
        <f>Qty!F30</f>
        <v>0</v>
      </c>
      <c r="G30" s="505">
        <f>Qty!G30</f>
        <v>0</v>
      </c>
      <c r="H30" s="58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7"/>
      <c r="AD30" s="19"/>
      <c r="AE30" s="19"/>
      <c r="AF30" s="19"/>
      <c r="AG30" s="19"/>
    </row>
    <row r="31" spans="1:33" hidden="1" outlineLevel="2" x14ac:dyDescent="0.2">
      <c r="A31" s="19"/>
      <c r="B31" s="19"/>
      <c r="C31" s="506">
        <f>Qty!C31</f>
        <v>0</v>
      </c>
      <c r="D31" s="505">
        <f>Qty!D31</f>
        <v>0</v>
      </c>
      <c r="E31" s="505">
        <f>Qty!E31</f>
        <v>0</v>
      </c>
      <c r="F31" s="505">
        <f>Qty!F31</f>
        <v>0</v>
      </c>
      <c r="G31" s="505">
        <f>Qty!G31</f>
        <v>0</v>
      </c>
      <c r="H31" s="58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7"/>
      <c r="AD31" s="19"/>
      <c r="AE31" s="19"/>
      <c r="AF31" s="19"/>
      <c r="AG31" s="19"/>
    </row>
    <row r="32" spans="1:33" hidden="1" outlineLevel="2" x14ac:dyDescent="0.2">
      <c r="A32" s="19"/>
      <c r="B32" s="19"/>
      <c r="C32" s="506">
        <f>Qty!C32</f>
        <v>0</v>
      </c>
      <c r="D32" s="505">
        <f>Qty!D32</f>
        <v>0</v>
      </c>
      <c r="E32" s="505">
        <f>Qty!E32</f>
        <v>0</v>
      </c>
      <c r="F32" s="505">
        <f>Qty!F32</f>
        <v>0</v>
      </c>
      <c r="G32" s="505">
        <f>Qty!G32</f>
        <v>0</v>
      </c>
      <c r="H32" s="58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7"/>
      <c r="AD32" s="19"/>
      <c r="AE32" s="19"/>
      <c r="AF32" s="19"/>
      <c r="AG32" s="19"/>
    </row>
    <row r="33" spans="1:33" hidden="1" outlineLevel="2" x14ac:dyDescent="0.2">
      <c r="A33" s="19"/>
      <c r="B33" s="19"/>
      <c r="C33" s="506">
        <f>Qty!C33</f>
        <v>0</v>
      </c>
      <c r="D33" s="505">
        <f>Qty!D33</f>
        <v>0</v>
      </c>
      <c r="E33" s="505">
        <f>Qty!E33</f>
        <v>0</v>
      </c>
      <c r="F33" s="505">
        <f>Qty!F33</f>
        <v>0</v>
      </c>
      <c r="G33" s="505">
        <f>Qty!G33</f>
        <v>0</v>
      </c>
      <c r="H33" s="58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7"/>
      <c r="AD33" s="19"/>
      <c r="AE33" s="19"/>
      <c r="AF33" s="19"/>
      <c r="AG33" s="19"/>
    </row>
    <row r="34" spans="1:33" hidden="1" outlineLevel="2" x14ac:dyDescent="0.2">
      <c r="A34" s="19"/>
      <c r="B34" s="19"/>
      <c r="C34" s="506">
        <f>Qty!C34</f>
        <v>0</v>
      </c>
      <c r="D34" s="505">
        <f>Qty!D34</f>
        <v>0</v>
      </c>
      <c r="E34" s="505">
        <f>Qty!E34</f>
        <v>0</v>
      </c>
      <c r="F34" s="505">
        <f>Qty!F34</f>
        <v>0</v>
      </c>
      <c r="G34" s="505">
        <f>Qty!G34</f>
        <v>0</v>
      </c>
      <c r="H34" s="58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7"/>
      <c r="AD34" s="19"/>
      <c r="AE34" s="19"/>
      <c r="AF34" s="19"/>
      <c r="AG34" s="19"/>
    </row>
    <row r="35" spans="1:33" hidden="1" outlineLevel="2" x14ac:dyDescent="0.2">
      <c r="A35" s="19"/>
      <c r="B35" s="19"/>
      <c r="C35" s="506">
        <f>Qty!C35</f>
        <v>0</v>
      </c>
      <c r="D35" s="505">
        <f>Qty!D35</f>
        <v>0</v>
      </c>
      <c r="E35" s="505">
        <f>Qty!E35</f>
        <v>0</v>
      </c>
      <c r="F35" s="505">
        <f>Qty!F35</f>
        <v>0</v>
      </c>
      <c r="G35" s="505">
        <f>Qty!G35</f>
        <v>0</v>
      </c>
      <c r="H35" s="58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7"/>
      <c r="AD35" s="19"/>
      <c r="AE35" s="19"/>
      <c r="AF35" s="19"/>
      <c r="AG35" s="19"/>
    </row>
    <row r="36" spans="1:33" hidden="1" outlineLevel="2" x14ac:dyDescent="0.2">
      <c r="A36" s="19"/>
      <c r="B36" s="19"/>
      <c r="C36" s="506">
        <f>Qty!C36</f>
        <v>0</v>
      </c>
      <c r="D36" s="505">
        <f>Qty!D36</f>
        <v>0</v>
      </c>
      <c r="E36" s="505">
        <f>Qty!E36</f>
        <v>0</v>
      </c>
      <c r="F36" s="505">
        <f>Qty!F36</f>
        <v>0</v>
      </c>
      <c r="G36" s="505">
        <f>Qty!G36</f>
        <v>0</v>
      </c>
      <c r="H36" s="58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7"/>
      <c r="AD36" s="19"/>
      <c r="AE36" s="19"/>
      <c r="AF36" s="19"/>
      <c r="AG36" s="19"/>
    </row>
    <row r="37" spans="1:33" hidden="1" outlineLevel="2" x14ac:dyDescent="0.2">
      <c r="A37" s="19"/>
      <c r="B37" s="19"/>
      <c r="C37" s="506">
        <f>Qty!C37</f>
        <v>0</v>
      </c>
      <c r="D37" s="505">
        <f>Qty!D37</f>
        <v>0</v>
      </c>
      <c r="E37" s="505">
        <f>Qty!E37</f>
        <v>0</v>
      </c>
      <c r="F37" s="505">
        <f>Qty!F37</f>
        <v>0</v>
      </c>
      <c r="G37" s="505">
        <f>Qty!G37</f>
        <v>0</v>
      </c>
      <c r="H37" s="58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7"/>
      <c r="AD37" s="19"/>
      <c r="AE37" s="19"/>
      <c r="AF37" s="19"/>
      <c r="AG37" s="19"/>
    </row>
    <row r="38" spans="1:33" hidden="1" outlineLevel="2" x14ac:dyDescent="0.2">
      <c r="A38" s="19"/>
      <c r="B38" s="19"/>
      <c r="C38" s="506">
        <f>Qty!C38</f>
        <v>0</v>
      </c>
      <c r="D38" s="505">
        <f>Qty!D38</f>
        <v>0</v>
      </c>
      <c r="E38" s="505">
        <f>Qty!E38</f>
        <v>0</v>
      </c>
      <c r="F38" s="505">
        <f>Qty!F38</f>
        <v>0</v>
      </c>
      <c r="G38" s="505">
        <f>Qty!G38</f>
        <v>0</v>
      </c>
      <c r="H38" s="58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7"/>
      <c r="AD38" s="19"/>
      <c r="AE38" s="19"/>
      <c r="AF38" s="19"/>
      <c r="AG38" s="19"/>
    </row>
    <row r="39" spans="1:33" hidden="1" outlineLevel="2" x14ac:dyDescent="0.2">
      <c r="A39" s="19"/>
      <c r="B39" s="19"/>
      <c r="C39" s="506">
        <f>Qty!C39</f>
        <v>0</v>
      </c>
      <c r="D39" s="505">
        <f>Qty!D39</f>
        <v>0</v>
      </c>
      <c r="E39" s="505">
        <f>Qty!E39</f>
        <v>0</v>
      </c>
      <c r="F39" s="505">
        <f>Qty!F39</f>
        <v>0</v>
      </c>
      <c r="G39" s="505">
        <f>Qty!G39</f>
        <v>0</v>
      </c>
      <c r="H39" s="58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7"/>
      <c r="AD39" s="19"/>
      <c r="AE39" s="19"/>
      <c r="AF39" s="19"/>
      <c r="AG39" s="19"/>
    </row>
    <row r="40" spans="1:33" hidden="1" outlineLevel="2" x14ac:dyDescent="0.2">
      <c r="A40" s="19"/>
      <c r="B40" s="19"/>
      <c r="C40" s="506">
        <f>Qty!C40</f>
        <v>0</v>
      </c>
      <c r="D40" s="505">
        <f>Qty!D40</f>
        <v>0</v>
      </c>
      <c r="E40" s="505">
        <f>Qty!E40</f>
        <v>0</v>
      </c>
      <c r="F40" s="505">
        <f>Qty!F40</f>
        <v>0</v>
      </c>
      <c r="G40" s="505">
        <f>Qty!G40</f>
        <v>0</v>
      </c>
      <c r="H40" s="58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7"/>
      <c r="AD40" s="19"/>
      <c r="AE40" s="19"/>
      <c r="AF40" s="19"/>
      <c r="AG40" s="19"/>
    </row>
    <row r="41" spans="1:33" hidden="1" outlineLevel="2" x14ac:dyDescent="0.2">
      <c r="A41" s="19"/>
      <c r="B41" s="19"/>
      <c r="C41" s="506">
        <f>Qty!C41</f>
        <v>0</v>
      </c>
      <c r="D41" s="505">
        <f>Qty!D41</f>
        <v>0</v>
      </c>
      <c r="E41" s="505">
        <f>Qty!E41</f>
        <v>0</v>
      </c>
      <c r="F41" s="505">
        <f>Qty!F41</f>
        <v>0</v>
      </c>
      <c r="G41" s="505">
        <f>Qty!G41</f>
        <v>0</v>
      </c>
      <c r="H41" s="58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7"/>
      <c r="AD41" s="19"/>
      <c r="AE41" s="19"/>
      <c r="AF41" s="19"/>
      <c r="AG41" s="19"/>
    </row>
    <row r="42" spans="1:33" hidden="1" outlineLevel="2" x14ac:dyDescent="0.2">
      <c r="A42" s="19"/>
      <c r="B42" s="19"/>
      <c r="C42" s="506">
        <f>Qty!C42</f>
        <v>0</v>
      </c>
      <c r="D42" s="505">
        <f>Qty!D42</f>
        <v>0</v>
      </c>
      <c r="E42" s="505">
        <f>Qty!E42</f>
        <v>0</v>
      </c>
      <c r="F42" s="505">
        <f>Qty!F42</f>
        <v>0</v>
      </c>
      <c r="G42" s="505">
        <f>Qty!G42</f>
        <v>0</v>
      </c>
      <c r="H42" s="58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7"/>
      <c r="AD42" s="19"/>
      <c r="AE42" s="19"/>
      <c r="AF42" s="19"/>
      <c r="AG42" s="19"/>
    </row>
    <row r="43" spans="1:33" hidden="1" outlineLevel="2" x14ac:dyDescent="0.2">
      <c r="A43" s="19"/>
      <c r="B43" s="19"/>
      <c r="C43" s="506">
        <f>Qty!C43</f>
        <v>0</v>
      </c>
      <c r="D43" s="505">
        <f>Qty!D43</f>
        <v>0</v>
      </c>
      <c r="E43" s="505">
        <f>Qty!E43</f>
        <v>0</v>
      </c>
      <c r="F43" s="505">
        <f>Qty!F43</f>
        <v>0</v>
      </c>
      <c r="G43" s="505">
        <f>Qty!G43</f>
        <v>0</v>
      </c>
      <c r="H43" s="58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7"/>
      <c r="AD43" s="19"/>
      <c r="AE43" s="19"/>
      <c r="AF43" s="19"/>
      <c r="AG43" s="19"/>
    </row>
    <row r="44" spans="1:33" hidden="1" outlineLevel="2" x14ac:dyDescent="0.2">
      <c r="A44" s="19"/>
      <c r="B44" s="19"/>
      <c r="C44" s="506">
        <f>Qty!C44</f>
        <v>0</v>
      </c>
      <c r="D44" s="505">
        <f>Qty!D44</f>
        <v>0</v>
      </c>
      <c r="E44" s="505">
        <f>Qty!E44</f>
        <v>0</v>
      </c>
      <c r="F44" s="505">
        <f>Qty!F44</f>
        <v>0</v>
      </c>
      <c r="G44" s="505">
        <f>Qty!G44</f>
        <v>0</v>
      </c>
      <c r="H44" s="58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7"/>
      <c r="AD44" s="19"/>
      <c r="AE44" s="19"/>
      <c r="AF44" s="19"/>
      <c r="AG44" s="19"/>
    </row>
    <row r="45" spans="1:33" hidden="1" outlineLevel="2" x14ac:dyDescent="0.2">
      <c r="A45" s="19"/>
      <c r="B45" s="19"/>
      <c r="C45" s="506">
        <f>Qty!C45</f>
        <v>0</v>
      </c>
      <c r="D45" s="505">
        <f>Qty!D45</f>
        <v>0</v>
      </c>
      <c r="E45" s="505">
        <f>Qty!E45</f>
        <v>0</v>
      </c>
      <c r="F45" s="505">
        <f>Qty!F45</f>
        <v>0</v>
      </c>
      <c r="G45" s="505">
        <f>Qty!G45</f>
        <v>0</v>
      </c>
      <c r="H45" s="58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7"/>
      <c r="AD45" s="19"/>
      <c r="AE45" s="19"/>
      <c r="AF45" s="19"/>
      <c r="AG45" s="19"/>
    </row>
    <row r="46" spans="1:33" hidden="1" outlineLevel="2" x14ac:dyDescent="0.2">
      <c r="A46" s="19"/>
      <c r="B46" s="19"/>
      <c r="C46" s="506">
        <f>Qty!C46</f>
        <v>0</v>
      </c>
      <c r="D46" s="505">
        <f>Qty!D46</f>
        <v>0</v>
      </c>
      <c r="E46" s="505">
        <f>Qty!E46</f>
        <v>0</v>
      </c>
      <c r="F46" s="505">
        <f>Qty!F46</f>
        <v>0</v>
      </c>
      <c r="G46" s="505">
        <f>Qty!G46</f>
        <v>0</v>
      </c>
      <c r="H46" s="58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7"/>
      <c r="AD46" s="19"/>
      <c r="AE46" s="19"/>
      <c r="AF46" s="19"/>
      <c r="AG46" s="19"/>
    </row>
    <row r="47" spans="1:33" hidden="1" outlineLevel="2" x14ac:dyDescent="0.2">
      <c r="A47" s="19"/>
      <c r="B47" s="19"/>
      <c r="C47" s="506">
        <f>Qty!C47</f>
        <v>0</v>
      </c>
      <c r="D47" s="505">
        <f>Qty!D47</f>
        <v>0</v>
      </c>
      <c r="E47" s="505">
        <f>Qty!E47</f>
        <v>0</v>
      </c>
      <c r="F47" s="505">
        <f>Qty!F47</f>
        <v>0</v>
      </c>
      <c r="G47" s="505">
        <f>Qty!G47</f>
        <v>0</v>
      </c>
      <c r="H47" s="58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7"/>
      <c r="AD47" s="19"/>
      <c r="AE47" s="19"/>
      <c r="AF47" s="19"/>
      <c r="AG47" s="19"/>
    </row>
    <row r="48" spans="1:33" hidden="1" outlineLevel="2" x14ac:dyDescent="0.2">
      <c r="A48" s="19"/>
      <c r="B48" s="19"/>
      <c r="C48" s="506">
        <f>Qty!C48</f>
        <v>0</v>
      </c>
      <c r="D48" s="505">
        <f>Qty!D48</f>
        <v>0</v>
      </c>
      <c r="E48" s="505">
        <f>Qty!E48</f>
        <v>0</v>
      </c>
      <c r="F48" s="505">
        <f>Qty!F48</f>
        <v>0</v>
      </c>
      <c r="G48" s="505">
        <f>Qty!G48</f>
        <v>0</v>
      </c>
      <c r="H48" s="58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7"/>
      <c r="AD48" s="19"/>
      <c r="AE48" s="19"/>
      <c r="AF48" s="19"/>
      <c r="AG48" s="19"/>
    </row>
    <row r="49" spans="1:33" hidden="1" outlineLevel="2" x14ac:dyDescent="0.2">
      <c r="A49" s="19"/>
      <c r="B49" s="19"/>
      <c r="C49" s="506">
        <f>Qty!C49</f>
        <v>0</v>
      </c>
      <c r="D49" s="505">
        <f>Qty!D49</f>
        <v>0</v>
      </c>
      <c r="E49" s="505">
        <f>Qty!E49</f>
        <v>0</v>
      </c>
      <c r="F49" s="505">
        <f>Qty!F49</f>
        <v>0</v>
      </c>
      <c r="G49" s="505">
        <f>Qty!G49</f>
        <v>0</v>
      </c>
      <c r="H49" s="58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7"/>
      <c r="AD49" s="19"/>
      <c r="AE49" s="19"/>
      <c r="AF49" s="19"/>
      <c r="AG49" s="19"/>
    </row>
    <row r="50" spans="1:33" hidden="1" outlineLevel="2" x14ac:dyDescent="0.2">
      <c r="A50" s="19"/>
      <c r="B50" s="19"/>
      <c r="C50" s="506">
        <f>Qty!C50</f>
        <v>0</v>
      </c>
      <c r="D50" s="505">
        <f>Qty!D50</f>
        <v>0</v>
      </c>
      <c r="E50" s="505">
        <f>Qty!E50</f>
        <v>0</v>
      </c>
      <c r="F50" s="505">
        <f>Qty!F50</f>
        <v>0</v>
      </c>
      <c r="G50" s="505">
        <f>Qty!G50</f>
        <v>0</v>
      </c>
      <c r="H50" s="58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7"/>
      <c r="AD50" s="19"/>
      <c r="AE50" s="19"/>
      <c r="AF50" s="19"/>
      <c r="AG50" s="19"/>
    </row>
    <row r="51" spans="1:33" hidden="1" outlineLevel="2" x14ac:dyDescent="0.2">
      <c r="A51" s="19"/>
      <c r="B51" s="19"/>
      <c r="C51" s="506">
        <f>Qty!C51</f>
        <v>0</v>
      </c>
      <c r="D51" s="505">
        <f>Qty!D51</f>
        <v>0</v>
      </c>
      <c r="E51" s="505">
        <f>Qty!E51</f>
        <v>0</v>
      </c>
      <c r="F51" s="505">
        <f>Qty!F51</f>
        <v>0</v>
      </c>
      <c r="G51" s="505">
        <f>Qty!G51</f>
        <v>0</v>
      </c>
      <c r="H51" s="58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7"/>
      <c r="AD51" s="19"/>
      <c r="AE51" s="19"/>
      <c r="AF51" s="19"/>
      <c r="AG51" s="19"/>
    </row>
    <row r="52" spans="1:33" hidden="1" outlineLevel="2" x14ac:dyDescent="0.2">
      <c r="A52" s="19"/>
      <c r="B52" s="19"/>
      <c r="C52" s="506">
        <f>Qty!C52</f>
        <v>0</v>
      </c>
      <c r="D52" s="505">
        <f>Qty!D52</f>
        <v>0</v>
      </c>
      <c r="E52" s="505">
        <f>Qty!E52</f>
        <v>0</v>
      </c>
      <c r="F52" s="505">
        <f>Qty!F52</f>
        <v>0</v>
      </c>
      <c r="G52" s="505">
        <f>Qty!G52</f>
        <v>0</v>
      </c>
      <c r="H52" s="58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7"/>
      <c r="AD52" s="19"/>
      <c r="AE52" s="19"/>
      <c r="AF52" s="19"/>
      <c r="AG52" s="19"/>
    </row>
    <row r="53" spans="1:33" hidden="1" outlineLevel="2" x14ac:dyDescent="0.2">
      <c r="A53" s="19"/>
      <c r="B53" s="19"/>
      <c r="C53" s="506">
        <f>Qty!C53</f>
        <v>0</v>
      </c>
      <c r="D53" s="505">
        <f>Qty!D53</f>
        <v>0</v>
      </c>
      <c r="E53" s="505">
        <f>Qty!E53</f>
        <v>0</v>
      </c>
      <c r="F53" s="505">
        <f>Qty!F53</f>
        <v>0</v>
      </c>
      <c r="G53" s="505">
        <f>Qty!G53</f>
        <v>0</v>
      </c>
      <c r="H53" s="58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7"/>
      <c r="AD53" s="19"/>
      <c r="AE53" s="19"/>
      <c r="AF53" s="19"/>
      <c r="AG53" s="19"/>
    </row>
    <row r="54" spans="1:33" hidden="1" outlineLevel="2" x14ac:dyDescent="0.2">
      <c r="A54" s="19"/>
      <c r="B54" s="19"/>
      <c r="C54" s="506">
        <f>Qty!C54</f>
        <v>0</v>
      </c>
      <c r="D54" s="505">
        <f>Qty!D54</f>
        <v>0</v>
      </c>
      <c r="E54" s="505">
        <f>Qty!E54</f>
        <v>0</v>
      </c>
      <c r="F54" s="505">
        <f>Qty!F54</f>
        <v>0</v>
      </c>
      <c r="G54" s="505">
        <f>Qty!G54</f>
        <v>0</v>
      </c>
      <c r="H54" s="58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7"/>
      <c r="AD54" s="19"/>
      <c r="AE54" s="19"/>
      <c r="AF54" s="19"/>
      <c r="AG54" s="19"/>
    </row>
    <row r="55" spans="1:33" hidden="1" outlineLevel="3" x14ac:dyDescent="0.2">
      <c r="A55" s="19"/>
      <c r="B55" s="19"/>
      <c r="C55" s="506">
        <f>Qty!C55</f>
        <v>0</v>
      </c>
      <c r="D55" s="505">
        <f>Qty!D55</f>
        <v>0</v>
      </c>
      <c r="E55" s="505">
        <f>Qty!E55</f>
        <v>0</v>
      </c>
      <c r="F55" s="505">
        <f>Qty!F55</f>
        <v>0</v>
      </c>
      <c r="G55" s="505">
        <f>Qty!G55</f>
        <v>0</v>
      </c>
      <c r="H55" s="58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7"/>
      <c r="AD55" s="19"/>
      <c r="AE55" s="19"/>
      <c r="AF55" s="19"/>
      <c r="AG55" s="19"/>
    </row>
    <row r="56" spans="1:33" hidden="1" outlineLevel="3" x14ac:dyDescent="0.2">
      <c r="A56" s="19"/>
      <c r="B56" s="19"/>
      <c r="C56" s="506">
        <f>Qty!C56</f>
        <v>0</v>
      </c>
      <c r="D56" s="505">
        <f>Qty!D56</f>
        <v>0</v>
      </c>
      <c r="E56" s="505">
        <f>Qty!E56</f>
        <v>0</v>
      </c>
      <c r="F56" s="505">
        <f>Qty!F56</f>
        <v>0</v>
      </c>
      <c r="G56" s="505">
        <f>Qty!G56</f>
        <v>0</v>
      </c>
      <c r="H56" s="58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7"/>
      <c r="AD56" s="19"/>
      <c r="AE56" s="19"/>
      <c r="AF56" s="19"/>
      <c r="AG56" s="19"/>
    </row>
    <row r="57" spans="1:33" hidden="1" outlineLevel="3" x14ac:dyDescent="0.2">
      <c r="A57" s="19"/>
      <c r="B57" s="19"/>
      <c r="C57" s="506">
        <f>Qty!C57</f>
        <v>0</v>
      </c>
      <c r="D57" s="505">
        <f>Qty!D57</f>
        <v>0</v>
      </c>
      <c r="E57" s="505">
        <f>Qty!E57</f>
        <v>0</v>
      </c>
      <c r="F57" s="505">
        <f>Qty!F57</f>
        <v>0</v>
      </c>
      <c r="G57" s="505">
        <f>Qty!G57</f>
        <v>0</v>
      </c>
      <c r="H57" s="58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7"/>
      <c r="AD57" s="19"/>
      <c r="AE57" s="19"/>
      <c r="AF57" s="19"/>
      <c r="AG57" s="19"/>
    </row>
    <row r="58" spans="1:33" hidden="1" outlineLevel="3" x14ac:dyDescent="0.2">
      <c r="A58" s="19"/>
      <c r="B58" s="19"/>
      <c r="C58" s="506">
        <f>Qty!C58</f>
        <v>0</v>
      </c>
      <c r="D58" s="505">
        <f>Qty!D58</f>
        <v>0</v>
      </c>
      <c r="E58" s="505">
        <f>Qty!E58</f>
        <v>0</v>
      </c>
      <c r="F58" s="505">
        <f>Qty!F58</f>
        <v>0</v>
      </c>
      <c r="G58" s="505">
        <f>Qty!G58</f>
        <v>0</v>
      </c>
      <c r="H58" s="58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7"/>
      <c r="AD58" s="19"/>
      <c r="AE58" s="19"/>
      <c r="AF58" s="19"/>
      <c r="AG58" s="19"/>
    </row>
    <row r="59" spans="1:33" hidden="1" outlineLevel="3" x14ac:dyDescent="0.2">
      <c r="A59" s="19"/>
      <c r="B59" s="19"/>
      <c r="C59" s="506">
        <f>Qty!C59</f>
        <v>0</v>
      </c>
      <c r="D59" s="505">
        <f>Qty!D59</f>
        <v>0</v>
      </c>
      <c r="E59" s="505">
        <f>Qty!E59</f>
        <v>0</v>
      </c>
      <c r="F59" s="505">
        <f>Qty!F59</f>
        <v>0</v>
      </c>
      <c r="G59" s="505">
        <f>Qty!G59</f>
        <v>0</v>
      </c>
      <c r="H59" s="58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7"/>
      <c r="AD59" s="19"/>
      <c r="AE59" s="19"/>
      <c r="AF59" s="19"/>
      <c r="AG59" s="19"/>
    </row>
    <row r="60" spans="1:33" hidden="1" outlineLevel="3" x14ac:dyDescent="0.2">
      <c r="A60" s="19"/>
      <c r="B60" s="19"/>
      <c r="C60" s="506">
        <f>Qty!C60</f>
        <v>0</v>
      </c>
      <c r="D60" s="505">
        <f>Qty!D60</f>
        <v>0</v>
      </c>
      <c r="E60" s="505">
        <f>Qty!E60</f>
        <v>0</v>
      </c>
      <c r="F60" s="505">
        <f>Qty!F60</f>
        <v>0</v>
      </c>
      <c r="G60" s="505">
        <f>Qty!G60</f>
        <v>0</v>
      </c>
      <c r="H60" s="58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7"/>
      <c r="AD60" s="19"/>
      <c r="AE60" s="19"/>
      <c r="AF60" s="19"/>
      <c r="AG60" s="19"/>
    </row>
    <row r="61" spans="1:33" hidden="1" outlineLevel="3" x14ac:dyDescent="0.2">
      <c r="A61" s="19"/>
      <c r="B61" s="19"/>
      <c r="C61" s="506">
        <f>Qty!C61</f>
        <v>0</v>
      </c>
      <c r="D61" s="505">
        <f>Qty!D61</f>
        <v>0</v>
      </c>
      <c r="E61" s="505">
        <f>Qty!E61</f>
        <v>0</v>
      </c>
      <c r="F61" s="505">
        <f>Qty!F61</f>
        <v>0</v>
      </c>
      <c r="G61" s="505">
        <f>Qty!G61</f>
        <v>0</v>
      </c>
      <c r="H61" s="58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7"/>
      <c r="AD61" s="19"/>
      <c r="AE61" s="19"/>
      <c r="AF61" s="19"/>
      <c r="AG61" s="19"/>
    </row>
    <row r="62" spans="1:33" hidden="1" outlineLevel="3" x14ac:dyDescent="0.2">
      <c r="A62" s="19"/>
      <c r="B62" s="19"/>
      <c r="C62" s="506">
        <f>Qty!C62</f>
        <v>0</v>
      </c>
      <c r="D62" s="505">
        <f>Qty!D62</f>
        <v>0</v>
      </c>
      <c r="E62" s="505">
        <f>Qty!E62</f>
        <v>0</v>
      </c>
      <c r="F62" s="505">
        <f>Qty!F62</f>
        <v>0</v>
      </c>
      <c r="G62" s="505">
        <f>Qty!G62</f>
        <v>0</v>
      </c>
      <c r="H62" s="58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7"/>
      <c r="AD62" s="19"/>
      <c r="AE62" s="19"/>
      <c r="AF62" s="19"/>
      <c r="AG62" s="19"/>
    </row>
    <row r="63" spans="1:33" hidden="1" outlineLevel="3" x14ac:dyDescent="0.2">
      <c r="A63" s="19"/>
      <c r="B63" s="19"/>
      <c r="C63" s="506">
        <f>Qty!C63</f>
        <v>0</v>
      </c>
      <c r="D63" s="505">
        <f>Qty!D63</f>
        <v>0</v>
      </c>
      <c r="E63" s="505">
        <f>Qty!E63</f>
        <v>0</v>
      </c>
      <c r="F63" s="505">
        <f>Qty!F63</f>
        <v>0</v>
      </c>
      <c r="G63" s="505">
        <f>Qty!G63</f>
        <v>0</v>
      </c>
      <c r="H63" s="58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7"/>
      <c r="AD63" s="19"/>
      <c r="AE63" s="19"/>
      <c r="AF63" s="19"/>
      <c r="AG63" s="19"/>
    </row>
    <row r="64" spans="1:33" hidden="1" outlineLevel="3" x14ac:dyDescent="0.2">
      <c r="A64" s="19"/>
      <c r="B64" s="19"/>
      <c r="C64" s="506">
        <f>Qty!C64</f>
        <v>0</v>
      </c>
      <c r="D64" s="505">
        <f>Qty!D64</f>
        <v>0</v>
      </c>
      <c r="E64" s="505">
        <f>Qty!E64</f>
        <v>0</v>
      </c>
      <c r="F64" s="505">
        <f>Qty!F64</f>
        <v>0</v>
      </c>
      <c r="G64" s="505">
        <f>Qty!G64</f>
        <v>0</v>
      </c>
      <c r="H64" s="58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7"/>
      <c r="AD64" s="19"/>
      <c r="AE64" s="19"/>
      <c r="AF64" s="19"/>
      <c r="AG64" s="19"/>
    </row>
    <row r="65" spans="1:33" hidden="1" outlineLevel="3" x14ac:dyDescent="0.2">
      <c r="A65" s="19"/>
      <c r="B65" s="19"/>
      <c r="C65" s="506">
        <f>Qty!C65</f>
        <v>0</v>
      </c>
      <c r="D65" s="505">
        <f>Qty!D65</f>
        <v>0</v>
      </c>
      <c r="E65" s="505">
        <f>Qty!E65</f>
        <v>0</v>
      </c>
      <c r="F65" s="505">
        <f>Qty!F65</f>
        <v>0</v>
      </c>
      <c r="G65" s="505">
        <f>Qty!G65</f>
        <v>0</v>
      </c>
      <c r="H65" s="58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7"/>
      <c r="AD65" s="19"/>
      <c r="AE65" s="19"/>
      <c r="AF65" s="19"/>
      <c r="AG65" s="19"/>
    </row>
    <row r="66" spans="1:33" hidden="1" outlineLevel="3" x14ac:dyDescent="0.2">
      <c r="A66" s="19"/>
      <c r="B66" s="19"/>
      <c r="C66" s="506">
        <f>Qty!C66</f>
        <v>0</v>
      </c>
      <c r="D66" s="505">
        <f>Qty!D66</f>
        <v>0</v>
      </c>
      <c r="E66" s="505">
        <f>Qty!E66</f>
        <v>0</v>
      </c>
      <c r="F66" s="505">
        <f>Qty!F66</f>
        <v>0</v>
      </c>
      <c r="G66" s="505">
        <f>Qty!G66</f>
        <v>0</v>
      </c>
      <c r="H66" s="58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7"/>
      <c r="AD66" s="19"/>
      <c r="AE66" s="19"/>
      <c r="AF66" s="19"/>
      <c r="AG66" s="19"/>
    </row>
    <row r="67" spans="1:33" hidden="1" outlineLevel="3" x14ac:dyDescent="0.2">
      <c r="A67" s="19"/>
      <c r="B67" s="19"/>
      <c r="C67" s="506">
        <f>Qty!C67</f>
        <v>0</v>
      </c>
      <c r="D67" s="505">
        <f>Qty!D67</f>
        <v>0</v>
      </c>
      <c r="E67" s="505">
        <f>Qty!E67</f>
        <v>0</v>
      </c>
      <c r="F67" s="505">
        <f>Qty!F67</f>
        <v>0</v>
      </c>
      <c r="G67" s="505">
        <f>Qty!G67</f>
        <v>0</v>
      </c>
      <c r="H67" s="58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7"/>
      <c r="AD67" s="19"/>
      <c r="AE67" s="19"/>
      <c r="AF67" s="19"/>
      <c r="AG67" s="19"/>
    </row>
    <row r="68" spans="1:33" hidden="1" outlineLevel="3" x14ac:dyDescent="0.2">
      <c r="A68" s="19"/>
      <c r="B68" s="19"/>
      <c r="C68" s="506">
        <f>Qty!C68</f>
        <v>0</v>
      </c>
      <c r="D68" s="505">
        <f>Qty!D68</f>
        <v>0</v>
      </c>
      <c r="E68" s="505">
        <f>Qty!E68</f>
        <v>0</v>
      </c>
      <c r="F68" s="505">
        <f>Qty!F68</f>
        <v>0</v>
      </c>
      <c r="G68" s="505">
        <f>Qty!G68</f>
        <v>0</v>
      </c>
      <c r="H68" s="58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7"/>
      <c r="AD68" s="19"/>
      <c r="AE68" s="19"/>
      <c r="AF68" s="19"/>
      <c r="AG68" s="19"/>
    </row>
    <row r="69" spans="1:33" hidden="1" outlineLevel="3" x14ac:dyDescent="0.2">
      <c r="A69" s="19"/>
      <c r="B69" s="19"/>
      <c r="C69" s="506">
        <f>Qty!C69</f>
        <v>0</v>
      </c>
      <c r="D69" s="505">
        <f>Qty!D69</f>
        <v>0</v>
      </c>
      <c r="E69" s="505">
        <f>Qty!E69</f>
        <v>0</v>
      </c>
      <c r="F69" s="505">
        <f>Qty!F69</f>
        <v>0</v>
      </c>
      <c r="G69" s="505">
        <f>Qty!G69</f>
        <v>0</v>
      </c>
      <c r="H69" s="58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7"/>
      <c r="AD69" s="19"/>
      <c r="AE69" s="19"/>
      <c r="AF69" s="19"/>
      <c r="AG69" s="19"/>
    </row>
    <row r="70" spans="1:33" hidden="1" outlineLevel="3" x14ac:dyDescent="0.2">
      <c r="A70" s="19"/>
      <c r="B70" s="19"/>
      <c r="C70" s="506">
        <f>Qty!C70</f>
        <v>0</v>
      </c>
      <c r="D70" s="505">
        <f>Qty!D70</f>
        <v>0</v>
      </c>
      <c r="E70" s="505">
        <f>Qty!E70</f>
        <v>0</v>
      </c>
      <c r="F70" s="505">
        <f>Qty!F70</f>
        <v>0</v>
      </c>
      <c r="G70" s="505">
        <f>Qty!G70</f>
        <v>0</v>
      </c>
      <c r="H70" s="58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7"/>
      <c r="AD70" s="19"/>
      <c r="AE70" s="19"/>
      <c r="AF70" s="19"/>
      <c r="AG70" s="19"/>
    </row>
    <row r="71" spans="1:33" hidden="1" outlineLevel="3" x14ac:dyDescent="0.2">
      <c r="A71" s="19"/>
      <c r="B71" s="19"/>
      <c r="C71" s="506">
        <f>Qty!C71</f>
        <v>0</v>
      </c>
      <c r="D71" s="505">
        <f>Qty!D71</f>
        <v>0</v>
      </c>
      <c r="E71" s="505">
        <f>Qty!E71</f>
        <v>0</v>
      </c>
      <c r="F71" s="505">
        <f>Qty!F71</f>
        <v>0</v>
      </c>
      <c r="G71" s="505">
        <f>Qty!G71</f>
        <v>0</v>
      </c>
      <c r="H71" s="58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7"/>
      <c r="AD71" s="19"/>
      <c r="AE71" s="19"/>
      <c r="AF71" s="19"/>
      <c r="AG71" s="19"/>
    </row>
    <row r="72" spans="1:33" hidden="1" outlineLevel="3" x14ac:dyDescent="0.2">
      <c r="A72" s="19"/>
      <c r="B72" s="19"/>
      <c r="C72" s="506">
        <f>Qty!C72</f>
        <v>0</v>
      </c>
      <c r="D72" s="505">
        <f>Qty!D72</f>
        <v>0</v>
      </c>
      <c r="E72" s="505">
        <f>Qty!E72</f>
        <v>0</v>
      </c>
      <c r="F72" s="505">
        <f>Qty!F72</f>
        <v>0</v>
      </c>
      <c r="G72" s="505">
        <f>Qty!G72</f>
        <v>0</v>
      </c>
      <c r="H72" s="58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7"/>
      <c r="AD72" s="19"/>
      <c r="AE72" s="19"/>
      <c r="AF72" s="19"/>
      <c r="AG72" s="19"/>
    </row>
    <row r="73" spans="1:33" hidden="1" outlineLevel="3" x14ac:dyDescent="0.2">
      <c r="A73" s="19"/>
      <c r="B73" s="19"/>
      <c r="C73" s="506">
        <f>Qty!C73</f>
        <v>0</v>
      </c>
      <c r="D73" s="505">
        <f>Qty!D73</f>
        <v>0</v>
      </c>
      <c r="E73" s="505">
        <f>Qty!E73</f>
        <v>0</v>
      </c>
      <c r="F73" s="505">
        <f>Qty!F73</f>
        <v>0</v>
      </c>
      <c r="G73" s="505">
        <f>Qty!G73</f>
        <v>0</v>
      </c>
      <c r="H73" s="58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7"/>
      <c r="AD73" s="19"/>
      <c r="AE73" s="19"/>
      <c r="AF73" s="19"/>
      <c r="AG73" s="19"/>
    </row>
    <row r="74" spans="1:33" hidden="1" outlineLevel="3" x14ac:dyDescent="0.2">
      <c r="A74" s="19"/>
      <c r="B74" s="19"/>
      <c r="C74" s="506">
        <f>Qty!C74</f>
        <v>0</v>
      </c>
      <c r="D74" s="505">
        <f>Qty!D74</f>
        <v>0</v>
      </c>
      <c r="E74" s="505">
        <f>Qty!E74</f>
        <v>0</v>
      </c>
      <c r="F74" s="505">
        <f>Qty!F74</f>
        <v>0</v>
      </c>
      <c r="G74" s="505">
        <f>Qty!G74</f>
        <v>0</v>
      </c>
      <c r="H74" s="58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7"/>
      <c r="AD74" s="19"/>
      <c r="AE74" s="19"/>
      <c r="AF74" s="19"/>
      <c r="AG74" s="19"/>
    </row>
    <row r="75" spans="1:33" hidden="1" outlineLevel="3" x14ac:dyDescent="0.2">
      <c r="A75" s="19"/>
      <c r="B75" s="19"/>
      <c r="C75" s="506">
        <f>Qty!C75</f>
        <v>0</v>
      </c>
      <c r="D75" s="505">
        <f>Qty!D75</f>
        <v>0</v>
      </c>
      <c r="E75" s="505">
        <f>Qty!E75</f>
        <v>0</v>
      </c>
      <c r="F75" s="505">
        <f>Qty!F75</f>
        <v>0</v>
      </c>
      <c r="G75" s="505">
        <f>Qty!G75</f>
        <v>0</v>
      </c>
      <c r="H75" s="58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7"/>
      <c r="AD75" s="19"/>
      <c r="AE75" s="19"/>
      <c r="AF75" s="19"/>
      <c r="AG75" s="19"/>
    </row>
    <row r="76" spans="1:33" hidden="1" outlineLevel="3" x14ac:dyDescent="0.2">
      <c r="A76" s="19"/>
      <c r="B76" s="19"/>
      <c r="C76" s="506">
        <f>Qty!C76</f>
        <v>0</v>
      </c>
      <c r="D76" s="505">
        <f>Qty!D76</f>
        <v>0</v>
      </c>
      <c r="E76" s="505">
        <f>Qty!E76</f>
        <v>0</v>
      </c>
      <c r="F76" s="505">
        <f>Qty!F76</f>
        <v>0</v>
      </c>
      <c r="G76" s="505">
        <f>Qty!G76</f>
        <v>0</v>
      </c>
      <c r="H76" s="58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7"/>
      <c r="AD76" s="19"/>
      <c r="AE76" s="19"/>
      <c r="AF76" s="19"/>
      <c r="AG76" s="19"/>
    </row>
    <row r="77" spans="1:33" hidden="1" outlineLevel="3" x14ac:dyDescent="0.2">
      <c r="A77" s="19"/>
      <c r="B77" s="19"/>
      <c r="C77" s="506">
        <f>Qty!C77</f>
        <v>0</v>
      </c>
      <c r="D77" s="505">
        <f>Qty!D77</f>
        <v>0</v>
      </c>
      <c r="E77" s="505">
        <f>Qty!E77</f>
        <v>0</v>
      </c>
      <c r="F77" s="505">
        <f>Qty!F77</f>
        <v>0</v>
      </c>
      <c r="G77" s="505">
        <f>Qty!G77</f>
        <v>0</v>
      </c>
      <c r="H77" s="58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7"/>
      <c r="AD77" s="19"/>
      <c r="AE77" s="19"/>
      <c r="AF77" s="19"/>
      <c r="AG77" s="19"/>
    </row>
    <row r="78" spans="1:33" hidden="1" outlineLevel="3" x14ac:dyDescent="0.2">
      <c r="A78" s="19"/>
      <c r="B78" s="19"/>
      <c r="C78" s="506">
        <f>Qty!C78</f>
        <v>0</v>
      </c>
      <c r="D78" s="505">
        <f>Qty!D78</f>
        <v>0</v>
      </c>
      <c r="E78" s="505">
        <f>Qty!E78</f>
        <v>0</v>
      </c>
      <c r="F78" s="505">
        <f>Qty!F78</f>
        <v>0</v>
      </c>
      <c r="G78" s="505">
        <f>Qty!G78</f>
        <v>0</v>
      </c>
      <c r="H78" s="58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7"/>
      <c r="AD78" s="19"/>
      <c r="AE78" s="19"/>
      <c r="AF78" s="19"/>
      <c r="AG78" s="19"/>
    </row>
    <row r="79" spans="1:33" hidden="1" outlineLevel="3" x14ac:dyDescent="0.2">
      <c r="A79" s="19"/>
      <c r="B79" s="19"/>
      <c r="C79" s="506">
        <f>Qty!C79</f>
        <v>0</v>
      </c>
      <c r="D79" s="505">
        <f>Qty!D79</f>
        <v>0</v>
      </c>
      <c r="E79" s="505">
        <f>Qty!E79</f>
        <v>0</v>
      </c>
      <c r="F79" s="505">
        <f>Qty!F79</f>
        <v>0</v>
      </c>
      <c r="G79" s="505">
        <f>Qty!G79</f>
        <v>0</v>
      </c>
      <c r="H79" s="58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7"/>
      <c r="AD79" s="19"/>
      <c r="AE79" s="19"/>
      <c r="AF79" s="19"/>
      <c r="AG79" s="19"/>
    </row>
    <row r="80" spans="1:33" hidden="1" outlineLevel="3" x14ac:dyDescent="0.2">
      <c r="A80" s="19"/>
      <c r="B80" s="19"/>
      <c r="C80" s="506">
        <f>Qty!C80</f>
        <v>0</v>
      </c>
      <c r="D80" s="505">
        <f>Qty!D80</f>
        <v>0</v>
      </c>
      <c r="E80" s="505">
        <f>Qty!E80</f>
        <v>0</v>
      </c>
      <c r="F80" s="505">
        <f>Qty!F80</f>
        <v>0</v>
      </c>
      <c r="G80" s="505">
        <f>Qty!G80</f>
        <v>0</v>
      </c>
      <c r="H80" s="58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7"/>
      <c r="AD80" s="19"/>
      <c r="AE80" s="19"/>
      <c r="AF80" s="19"/>
      <c r="AG80" s="19"/>
    </row>
    <row r="81" spans="1:33" hidden="1" outlineLevel="3" x14ac:dyDescent="0.2">
      <c r="A81" s="19"/>
      <c r="B81" s="19"/>
      <c r="C81" s="506">
        <f>Qty!C81</f>
        <v>0</v>
      </c>
      <c r="D81" s="505">
        <f>Qty!D81</f>
        <v>0</v>
      </c>
      <c r="E81" s="505">
        <f>Qty!E81</f>
        <v>0</v>
      </c>
      <c r="F81" s="505">
        <f>Qty!F81</f>
        <v>0</v>
      </c>
      <c r="G81" s="505">
        <f>Qty!G81</f>
        <v>0</v>
      </c>
      <c r="H81" s="58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7"/>
      <c r="AD81" s="19"/>
      <c r="AE81" s="19"/>
      <c r="AF81" s="19"/>
      <c r="AG81" s="19"/>
    </row>
    <row r="82" spans="1:33" hidden="1" outlineLevel="3" x14ac:dyDescent="0.2">
      <c r="A82" s="19"/>
      <c r="B82" s="19"/>
      <c r="C82" s="506">
        <f>Qty!C82</f>
        <v>0</v>
      </c>
      <c r="D82" s="505">
        <f>Qty!D82</f>
        <v>0</v>
      </c>
      <c r="E82" s="505">
        <f>Qty!E82</f>
        <v>0</v>
      </c>
      <c r="F82" s="505">
        <f>Qty!F82</f>
        <v>0</v>
      </c>
      <c r="G82" s="505">
        <f>Qty!G82</f>
        <v>0</v>
      </c>
      <c r="H82" s="58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7"/>
      <c r="AD82" s="19"/>
      <c r="AE82" s="19"/>
      <c r="AF82" s="19"/>
      <c r="AG82" s="19"/>
    </row>
    <row r="83" spans="1:33" hidden="1" outlineLevel="2" collapsed="1" x14ac:dyDescent="0.2">
      <c r="A83" s="19"/>
      <c r="B83" s="19"/>
      <c r="C83" s="60"/>
      <c r="D83" s="61"/>
      <c r="E83" s="58"/>
      <c r="F83" s="58"/>
      <c r="G83" s="58"/>
      <c r="H83" s="58"/>
      <c r="I83" s="186"/>
      <c r="J83" s="186"/>
      <c r="K83" s="187"/>
      <c r="L83" s="187"/>
      <c r="M83" s="187"/>
      <c r="N83" s="188"/>
      <c r="O83" s="188"/>
      <c r="P83" s="188"/>
      <c r="Q83" s="188"/>
      <c r="R83" s="18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9"/>
      <c r="AE83" s="19"/>
      <c r="AF83" s="19"/>
      <c r="AG83" s="19"/>
    </row>
    <row r="84" spans="1:33" outlineLevel="1" collapsed="1" x14ac:dyDescent="0.2">
      <c r="A84" s="19"/>
      <c r="B84" s="19"/>
      <c r="C84" s="66"/>
      <c r="D84" s="58"/>
      <c r="E84" s="58"/>
      <c r="F84" s="58"/>
      <c r="G84" s="58"/>
      <c r="H84" s="58"/>
      <c r="I84" s="186"/>
      <c r="J84" s="186"/>
      <c r="K84" s="187"/>
      <c r="L84" s="187"/>
      <c r="M84" s="187"/>
      <c r="N84" s="188"/>
      <c r="O84" s="188"/>
      <c r="P84" s="188"/>
      <c r="Q84" s="188"/>
      <c r="R84" s="188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9"/>
      <c r="AE84" s="19"/>
      <c r="AF84" s="19"/>
      <c r="AG84" s="19"/>
    </row>
    <row r="85" spans="1:33" outlineLevel="1" x14ac:dyDescent="0.2">
      <c r="A85" s="19"/>
      <c r="B85" s="19"/>
      <c r="C85" s="167" t="str">
        <f>RCP_secondyear</f>
        <v>2020–21</v>
      </c>
      <c r="D85" s="20"/>
      <c r="E85" s="20"/>
      <c r="F85" s="20"/>
      <c r="G85" s="22"/>
      <c r="H85" s="22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9"/>
      <c r="AE85" s="19"/>
      <c r="AF85" s="19"/>
      <c r="AG85" s="19"/>
    </row>
    <row r="86" spans="1:33" hidden="1" outlineLevel="2" x14ac:dyDescent="0.2">
      <c r="A86" s="19"/>
      <c r="B86" s="19"/>
      <c r="C86" s="506" t="str">
        <f t="shared" ref="C86:G95" si="0">C8</f>
        <v>Residential time of use consumption</v>
      </c>
      <c r="D86" s="505" t="str">
        <f t="shared" si="0"/>
        <v>Residential</v>
      </c>
      <c r="E86" s="505" t="str">
        <f t="shared" si="0"/>
        <v>TAS93</v>
      </c>
      <c r="F86" s="505">
        <f t="shared" si="0"/>
        <v>0</v>
      </c>
      <c r="G86" s="505">
        <f t="shared" si="0"/>
        <v>0</v>
      </c>
      <c r="H86" s="22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7"/>
      <c r="AD86" s="19"/>
      <c r="AE86" s="19"/>
      <c r="AF86" s="19"/>
      <c r="AG86" s="19"/>
    </row>
    <row r="87" spans="1:33" s="59" customFormat="1" hidden="1" outlineLevel="2" x14ac:dyDescent="0.2">
      <c r="A87" s="57"/>
      <c r="B87" s="57"/>
      <c r="C87" s="506" t="str">
        <f t="shared" si="0"/>
        <v>Residential general light and power</v>
      </c>
      <c r="D87" s="505" t="str">
        <f t="shared" si="0"/>
        <v>Residential</v>
      </c>
      <c r="E87" s="505" t="str">
        <f t="shared" si="0"/>
        <v>TAS31</v>
      </c>
      <c r="F87" s="505">
        <f t="shared" si="0"/>
        <v>0</v>
      </c>
      <c r="G87" s="505">
        <f t="shared" si="0"/>
        <v>0</v>
      </c>
      <c r="H87" s="58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6"/>
      <c r="AD87" s="57"/>
      <c r="AE87" s="57"/>
      <c r="AF87" s="57"/>
      <c r="AG87" s="57"/>
    </row>
    <row r="88" spans="1:33" hidden="1" outlineLevel="2" x14ac:dyDescent="0.2">
      <c r="A88" s="19"/>
      <c r="B88" s="19"/>
      <c r="C88" s="506" t="str">
        <f t="shared" si="0"/>
        <v>Residential time of use demand</v>
      </c>
      <c r="D88" s="505" t="str">
        <f t="shared" si="0"/>
        <v>Residential</v>
      </c>
      <c r="E88" s="505" t="str">
        <f t="shared" si="0"/>
        <v>TAS87</v>
      </c>
      <c r="F88" s="505">
        <f t="shared" si="0"/>
        <v>0</v>
      </c>
      <c r="G88" s="505">
        <f t="shared" si="0"/>
        <v>0</v>
      </c>
      <c r="H88" s="58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7"/>
      <c r="AD88" s="19"/>
      <c r="AE88" s="19"/>
      <c r="AF88" s="19"/>
      <c r="AG88" s="19"/>
    </row>
    <row r="89" spans="1:33" hidden="1" outlineLevel="2" x14ac:dyDescent="0.2">
      <c r="A89" s="19"/>
      <c r="B89" s="19"/>
      <c r="C89" s="506" t="str">
        <f t="shared" si="0"/>
        <v>Residential time of use demand DER</v>
      </c>
      <c r="D89" s="505" t="str">
        <f t="shared" si="0"/>
        <v>Residential</v>
      </c>
      <c r="E89" s="505" t="str">
        <f t="shared" si="0"/>
        <v>TAS97</v>
      </c>
      <c r="F89" s="505">
        <f t="shared" si="0"/>
        <v>0</v>
      </c>
      <c r="G89" s="505">
        <f t="shared" si="0"/>
        <v>0</v>
      </c>
      <c r="H89" s="58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7"/>
      <c r="AD89" s="19"/>
      <c r="AE89" s="19"/>
      <c r="AF89" s="19"/>
      <c r="AG89" s="19"/>
    </row>
    <row r="90" spans="1:33" hidden="1" outlineLevel="2" x14ac:dyDescent="0.2">
      <c r="A90" s="19"/>
      <c r="B90" s="19"/>
      <c r="C90" s="506" t="str">
        <f t="shared" si="0"/>
        <v>Residential pay as you go</v>
      </c>
      <c r="D90" s="505" t="str">
        <f t="shared" si="0"/>
        <v>Residential</v>
      </c>
      <c r="E90" s="505" t="str">
        <f t="shared" si="0"/>
        <v>TAS101</v>
      </c>
      <c r="F90" s="505">
        <f t="shared" si="0"/>
        <v>0</v>
      </c>
      <c r="G90" s="505">
        <f t="shared" si="0"/>
        <v>0</v>
      </c>
      <c r="H90" s="58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7"/>
      <c r="AD90" s="19"/>
      <c r="AE90" s="19"/>
      <c r="AF90" s="19"/>
      <c r="AG90" s="19"/>
    </row>
    <row r="91" spans="1:33" hidden="1" outlineLevel="2" x14ac:dyDescent="0.2">
      <c r="A91" s="19"/>
      <c r="B91" s="19"/>
      <c r="C91" s="506" t="str">
        <f t="shared" si="0"/>
        <v>Residential pay as you go time of use</v>
      </c>
      <c r="D91" s="505" t="str">
        <f t="shared" si="0"/>
        <v>Residential</v>
      </c>
      <c r="E91" s="505" t="str">
        <f t="shared" si="0"/>
        <v>TAS92</v>
      </c>
      <c r="F91" s="505">
        <f t="shared" si="0"/>
        <v>0</v>
      </c>
      <c r="G91" s="505">
        <f t="shared" si="0"/>
        <v>0</v>
      </c>
      <c r="H91" s="58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7"/>
      <c r="AD91" s="19"/>
      <c r="AE91" s="19"/>
      <c r="AF91" s="19"/>
      <c r="AG91" s="19"/>
    </row>
    <row r="92" spans="1:33" hidden="1" outlineLevel="2" x14ac:dyDescent="0.2">
      <c r="A92" s="19"/>
      <c r="B92" s="19"/>
      <c r="C92" s="506" t="str">
        <f t="shared" si="0"/>
        <v>Small business time of use consumption</v>
      </c>
      <c r="D92" s="505" t="str">
        <f t="shared" si="0"/>
        <v>Small Business LV</v>
      </c>
      <c r="E92" s="505" t="str">
        <f t="shared" si="0"/>
        <v>TAS94</v>
      </c>
      <c r="F92" s="505">
        <f t="shared" si="0"/>
        <v>0</v>
      </c>
      <c r="G92" s="505">
        <f t="shared" si="0"/>
        <v>0</v>
      </c>
      <c r="H92" s="58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7"/>
      <c r="AD92" s="19"/>
      <c r="AE92" s="19"/>
      <c r="AF92" s="19"/>
      <c r="AG92" s="19"/>
    </row>
    <row r="93" spans="1:33" hidden="1" outlineLevel="2" x14ac:dyDescent="0.2">
      <c r="A93" s="19"/>
      <c r="B93" s="19"/>
      <c r="C93" s="506" t="str">
        <f t="shared" si="0"/>
        <v>Small business general light and power</v>
      </c>
      <c r="D93" s="505" t="str">
        <f t="shared" si="0"/>
        <v>Small Business LV</v>
      </c>
      <c r="E93" s="505" t="str">
        <f t="shared" si="0"/>
        <v>TAS22</v>
      </c>
      <c r="F93" s="505">
        <f t="shared" si="0"/>
        <v>0</v>
      </c>
      <c r="G93" s="505">
        <f t="shared" si="0"/>
        <v>0</v>
      </c>
      <c r="H93" s="58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7"/>
      <c r="AD93" s="19"/>
      <c r="AE93" s="19"/>
      <c r="AF93" s="19"/>
      <c r="AG93" s="19"/>
    </row>
    <row r="94" spans="1:33" hidden="1" outlineLevel="2" x14ac:dyDescent="0.2">
      <c r="A94" s="19"/>
      <c r="B94" s="19"/>
      <c r="C94" s="506" t="str">
        <f t="shared" si="0"/>
        <v>Small business time of use demand</v>
      </c>
      <c r="D94" s="505" t="str">
        <f t="shared" si="0"/>
        <v>Small Business LV</v>
      </c>
      <c r="E94" s="505" t="str">
        <f t="shared" si="0"/>
        <v>TAS88</v>
      </c>
      <c r="F94" s="505">
        <f t="shared" si="0"/>
        <v>0</v>
      </c>
      <c r="G94" s="505">
        <f t="shared" si="0"/>
        <v>0</v>
      </c>
      <c r="H94" s="58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7"/>
      <c r="AD94" s="19"/>
      <c r="AE94" s="19"/>
      <c r="AF94" s="19"/>
      <c r="AG94" s="19"/>
    </row>
    <row r="95" spans="1:33" hidden="1" outlineLevel="2" x14ac:dyDescent="0.2">
      <c r="A95" s="19"/>
      <c r="B95" s="19"/>
      <c r="C95" s="506" t="str">
        <f t="shared" si="0"/>
        <v>Small business time of use demand DER</v>
      </c>
      <c r="D95" s="505" t="str">
        <f t="shared" si="0"/>
        <v>Small Business LV</v>
      </c>
      <c r="E95" s="505" t="str">
        <f t="shared" si="0"/>
        <v>TAS98</v>
      </c>
      <c r="F95" s="505">
        <f t="shared" si="0"/>
        <v>0</v>
      </c>
      <c r="G95" s="505">
        <f t="shared" si="0"/>
        <v>0</v>
      </c>
      <c r="H95" s="58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7"/>
      <c r="AD95" s="19"/>
      <c r="AE95" s="19"/>
      <c r="AF95" s="19"/>
      <c r="AG95" s="19"/>
    </row>
    <row r="96" spans="1:33" hidden="1" outlineLevel="2" x14ac:dyDescent="0.2">
      <c r="A96" s="19"/>
      <c r="B96" s="19"/>
      <c r="C96" s="506" t="str">
        <f t="shared" ref="C96:G105" si="1">C18</f>
        <v>Large business kVA demand</v>
      </c>
      <c r="D96" s="505" t="str">
        <f t="shared" si="1"/>
        <v>Large Business LV</v>
      </c>
      <c r="E96" s="505" t="str">
        <f t="shared" si="1"/>
        <v>TAS82</v>
      </c>
      <c r="F96" s="505">
        <f t="shared" si="1"/>
        <v>0</v>
      </c>
      <c r="G96" s="505">
        <f t="shared" si="1"/>
        <v>0</v>
      </c>
      <c r="H96" s="58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7"/>
      <c r="AD96" s="19"/>
      <c r="AE96" s="19"/>
      <c r="AF96" s="19"/>
      <c r="AG96" s="19"/>
    </row>
    <row r="97" spans="1:33" hidden="1" outlineLevel="2" x14ac:dyDescent="0.2">
      <c r="A97" s="19"/>
      <c r="B97" s="19"/>
      <c r="C97" s="506" t="str">
        <f t="shared" si="1"/>
        <v>Large business time of use demand</v>
      </c>
      <c r="D97" s="505" t="str">
        <f t="shared" si="1"/>
        <v>Large Business LV</v>
      </c>
      <c r="E97" s="505" t="str">
        <f t="shared" si="1"/>
        <v>TAS89</v>
      </c>
      <c r="F97" s="505">
        <f t="shared" si="1"/>
        <v>0</v>
      </c>
      <c r="G97" s="505">
        <f t="shared" si="1"/>
        <v>0</v>
      </c>
      <c r="H97" s="58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7"/>
      <c r="AD97" s="19"/>
      <c r="AE97" s="19"/>
      <c r="AF97" s="19"/>
      <c r="AG97" s="19"/>
    </row>
    <row r="98" spans="1:33" hidden="1" outlineLevel="2" x14ac:dyDescent="0.2">
      <c r="A98" s="19"/>
      <c r="B98" s="19"/>
      <c r="C98" s="506" t="str">
        <f t="shared" si="1"/>
        <v>Irrigation time of use consumption</v>
      </c>
      <c r="D98" s="505" t="str">
        <f t="shared" si="1"/>
        <v>Irrigation</v>
      </c>
      <c r="E98" s="505" t="str">
        <f t="shared" si="1"/>
        <v>TAS75</v>
      </c>
      <c r="F98" s="505">
        <f t="shared" si="1"/>
        <v>0</v>
      </c>
      <c r="G98" s="505">
        <f t="shared" si="1"/>
        <v>0</v>
      </c>
      <c r="H98" s="58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7"/>
      <c r="AD98" s="19"/>
      <c r="AE98" s="19"/>
      <c r="AF98" s="19"/>
      <c r="AG98" s="19"/>
    </row>
    <row r="99" spans="1:33" hidden="1" outlineLevel="2" x14ac:dyDescent="0.2">
      <c r="A99" s="19"/>
      <c r="B99" s="19"/>
      <c r="C99" s="506" t="str">
        <f t="shared" si="1"/>
        <v>Business HV kVA specified demand &lt;2MVA</v>
      </c>
      <c r="D99" s="505" t="str">
        <f t="shared" si="1"/>
        <v>Large Business HV</v>
      </c>
      <c r="E99" s="505" t="str">
        <f t="shared" si="1"/>
        <v>TASSDM</v>
      </c>
      <c r="F99" s="505">
        <f t="shared" si="1"/>
        <v>0</v>
      </c>
      <c r="G99" s="505">
        <f t="shared" si="1"/>
        <v>0</v>
      </c>
      <c r="H99" s="58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7"/>
      <c r="AD99" s="19"/>
      <c r="AE99" s="19"/>
      <c r="AF99" s="19"/>
      <c r="AG99" s="19"/>
    </row>
    <row r="100" spans="1:33" hidden="1" outlineLevel="2" x14ac:dyDescent="0.2">
      <c r="A100" s="19"/>
      <c r="B100" s="19"/>
      <c r="C100" s="506" t="str">
        <f t="shared" si="1"/>
        <v>Business HV kVA specified demand &gt;2MVA</v>
      </c>
      <c r="D100" s="505" t="str">
        <f t="shared" si="1"/>
        <v>Large Business HV</v>
      </c>
      <c r="E100" s="505" t="str">
        <f t="shared" si="1"/>
        <v>TAS15*</v>
      </c>
      <c r="F100" s="505">
        <f t="shared" si="1"/>
        <v>0</v>
      </c>
      <c r="G100" s="505">
        <f t="shared" si="1"/>
        <v>0</v>
      </c>
      <c r="H100" s="58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7"/>
      <c r="AD100" s="19"/>
      <c r="AE100" s="19"/>
      <c r="AF100" s="19"/>
      <c r="AG100" s="19"/>
    </row>
    <row r="101" spans="1:33" hidden="1" outlineLevel="2" x14ac:dyDescent="0.2">
      <c r="A101" s="19"/>
      <c r="B101" s="19"/>
      <c r="C101" s="506" t="str">
        <f t="shared" si="1"/>
        <v>Uncontrolled low voltage heating and hot water</v>
      </c>
      <c r="D101" s="505" t="str">
        <f t="shared" si="1"/>
        <v>Uncontrolled energy</v>
      </c>
      <c r="E101" s="505" t="str">
        <f t="shared" si="1"/>
        <v>TAS41</v>
      </c>
      <c r="F101" s="505">
        <f t="shared" si="1"/>
        <v>0</v>
      </c>
      <c r="G101" s="505">
        <f t="shared" si="1"/>
        <v>0</v>
      </c>
      <c r="H101" s="58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7"/>
      <c r="AD101" s="19"/>
      <c r="AE101" s="19"/>
      <c r="AF101" s="19"/>
      <c r="AG101" s="19"/>
    </row>
    <row r="102" spans="1:33" hidden="1" outlineLevel="2" x14ac:dyDescent="0.2">
      <c r="A102" s="19"/>
      <c r="B102" s="19"/>
      <c r="C102" s="506" t="str">
        <f t="shared" si="1"/>
        <v>Controlled low voltage night period only</v>
      </c>
      <c r="D102" s="505" t="str">
        <f t="shared" si="1"/>
        <v>Controlled energy</v>
      </c>
      <c r="E102" s="505" t="str">
        <f t="shared" si="1"/>
        <v>TAS63</v>
      </c>
      <c r="F102" s="505">
        <f t="shared" si="1"/>
        <v>0</v>
      </c>
      <c r="G102" s="505">
        <f t="shared" si="1"/>
        <v>0</v>
      </c>
      <c r="H102" s="58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5"/>
      <c r="AC102" s="187"/>
      <c r="AD102" s="19"/>
      <c r="AE102" s="19"/>
      <c r="AF102" s="19"/>
      <c r="AG102" s="19"/>
    </row>
    <row r="103" spans="1:33" hidden="1" outlineLevel="2" x14ac:dyDescent="0.2">
      <c r="A103" s="19"/>
      <c r="B103" s="19"/>
      <c r="C103" s="506" t="str">
        <f t="shared" si="1"/>
        <v>Controlled low voltage off peak with afternoon boost</v>
      </c>
      <c r="D103" s="505" t="str">
        <f t="shared" si="1"/>
        <v>Controlled energy</v>
      </c>
      <c r="E103" s="505" t="str">
        <f t="shared" si="1"/>
        <v>TAS61</v>
      </c>
      <c r="F103" s="505">
        <f t="shared" si="1"/>
        <v>0</v>
      </c>
      <c r="G103" s="505">
        <f t="shared" si="1"/>
        <v>0</v>
      </c>
      <c r="H103" s="58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7"/>
      <c r="AD103" s="19"/>
      <c r="AE103" s="19"/>
      <c r="AF103" s="19"/>
      <c r="AG103" s="19"/>
    </row>
    <row r="104" spans="1:33" hidden="1" outlineLevel="2" x14ac:dyDescent="0.2">
      <c r="A104" s="19"/>
      <c r="B104" s="19"/>
      <c r="C104" s="506" t="str">
        <f t="shared" si="1"/>
        <v>Unmetered supply general</v>
      </c>
      <c r="D104" s="505" t="str">
        <f t="shared" si="1"/>
        <v>Unmetered supplies</v>
      </c>
      <c r="E104" s="505" t="str">
        <f t="shared" si="1"/>
        <v>TASUMS</v>
      </c>
      <c r="F104" s="505">
        <f t="shared" si="1"/>
        <v>0</v>
      </c>
      <c r="G104" s="505">
        <f t="shared" si="1"/>
        <v>0</v>
      </c>
      <c r="H104" s="58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7"/>
      <c r="AD104" s="19"/>
      <c r="AE104" s="19"/>
      <c r="AF104" s="19"/>
      <c r="AG104" s="19"/>
    </row>
    <row r="105" spans="1:33" hidden="1" outlineLevel="2" x14ac:dyDescent="0.2">
      <c r="A105" s="19"/>
      <c r="B105" s="19"/>
      <c r="C105" s="506" t="str">
        <f t="shared" si="1"/>
        <v>Street lighting</v>
      </c>
      <c r="D105" s="505" t="str">
        <f t="shared" si="1"/>
        <v>Street lighting</v>
      </c>
      <c r="E105" s="505" t="str">
        <f t="shared" si="1"/>
        <v>TASUMSSL</v>
      </c>
      <c r="F105" s="505">
        <f t="shared" si="1"/>
        <v>0</v>
      </c>
      <c r="G105" s="505">
        <f t="shared" si="1"/>
        <v>0</v>
      </c>
      <c r="H105" s="58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7"/>
      <c r="AD105" s="19"/>
      <c r="AE105" s="19"/>
      <c r="AF105" s="19"/>
      <c r="AG105" s="19"/>
    </row>
    <row r="106" spans="1:33" hidden="1" outlineLevel="2" x14ac:dyDescent="0.2">
      <c r="A106" s="19"/>
      <c r="B106" s="19"/>
      <c r="C106" s="506">
        <f t="shared" ref="C106:G115" si="2">C28</f>
        <v>0</v>
      </c>
      <c r="D106" s="505">
        <f t="shared" si="2"/>
        <v>0</v>
      </c>
      <c r="E106" s="505">
        <f t="shared" si="2"/>
        <v>0</v>
      </c>
      <c r="F106" s="505">
        <f t="shared" si="2"/>
        <v>0</v>
      </c>
      <c r="G106" s="505">
        <f t="shared" si="2"/>
        <v>0</v>
      </c>
      <c r="H106" s="58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7"/>
      <c r="AD106" s="19"/>
      <c r="AE106" s="19"/>
      <c r="AF106" s="19"/>
      <c r="AG106" s="19"/>
    </row>
    <row r="107" spans="1:33" hidden="1" outlineLevel="2" x14ac:dyDescent="0.2">
      <c r="A107" s="19"/>
      <c r="B107" s="19"/>
      <c r="C107" s="506">
        <f t="shared" si="2"/>
        <v>0</v>
      </c>
      <c r="D107" s="505">
        <f t="shared" si="2"/>
        <v>0</v>
      </c>
      <c r="E107" s="505">
        <f t="shared" si="2"/>
        <v>0</v>
      </c>
      <c r="F107" s="505">
        <f t="shared" si="2"/>
        <v>0</v>
      </c>
      <c r="G107" s="505">
        <f t="shared" si="2"/>
        <v>0</v>
      </c>
      <c r="H107" s="58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7"/>
      <c r="AD107" s="19"/>
      <c r="AE107" s="19"/>
      <c r="AF107" s="19"/>
      <c r="AG107" s="19"/>
    </row>
    <row r="108" spans="1:33" hidden="1" outlineLevel="2" x14ac:dyDescent="0.2">
      <c r="A108" s="19"/>
      <c r="B108" s="19"/>
      <c r="C108" s="506">
        <f t="shared" si="2"/>
        <v>0</v>
      </c>
      <c r="D108" s="505">
        <f t="shared" si="2"/>
        <v>0</v>
      </c>
      <c r="E108" s="505">
        <f t="shared" si="2"/>
        <v>0</v>
      </c>
      <c r="F108" s="505">
        <f t="shared" si="2"/>
        <v>0</v>
      </c>
      <c r="G108" s="505">
        <f t="shared" si="2"/>
        <v>0</v>
      </c>
      <c r="H108" s="58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7"/>
      <c r="AD108" s="19"/>
      <c r="AE108" s="19"/>
      <c r="AF108" s="19"/>
      <c r="AG108" s="19"/>
    </row>
    <row r="109" spans="1:33" hidden="1" outlineLevel="2" x14ac:dyDescent="0.2">
      <c r="A109" s="19"/>
      <c r="B109" s="19"/>
      <c r="C109" s="506">
        <f t="shared" si="2"/>
        <v>0</v>
      </c>
      <c r="D109" s="505">
        <f t="shared" si="2"/>
        <v>0</v>
      </c>
      <c r="E109" s="505">
        <f t="shared" si="2"/>
        <v>0</v>
      </c>
      <c r="F109" s="505">
        <f t="shared" si="2"/>
        <v>0</v>
      </c>
      <c r="G109" s="505">
        <f t="shared" si="2"/>
        <v>0</v>
      </c>
      <c r="H109" s="58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7"/>
      <c r="AD109" s="19"/>
      <c r="AE109" s="19"/>
      <c r="AF109" s="19"/>
      <c r="AG109" s="19"/>
    </row>
    <row r="110" spans="1:33" hidden="1" outlineLevel="2" x14ac:dyDescent="0.2">
      <c r="A110" s="19"/>
      <c r="B110" s="19"/>
      <c r="C110" s="506">
        <f t="shared" si="2"/>
        <v>0</v>
      </c>
      <c r="D110" s="505">
        <f t="shared" si="2"/>
        <v>0</v>
      </c>
      <c r="E110" s="505">
        <f t="shared" si="2"/>
        <v>0</v>
      </c>
      <c r="F110" s="505">
        <f t="shared" si="2"/>
        <v>0</v>
      </c>
      <c r="G110" s="505">
        <f t="shared" si="2"/>
        <v>0</v>
      </c>
      <c r="H110" s="58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7"/>
      <c r="AD110" s="19"/>
      <c r="AE110" s="19"/>
      <c r="AF110" s="19"/>
      <c r="AG110" s="19"/>
    </row>
    <row r="111" spans="1:33" hidden="1" outlineLevel="2" x14ac:dyDescent="0.2">
      <c r="A111" s="19"/>
      <c r="B111" s="19"/>
      <c r="C111" s="506">
        <f t="shared" si="2"/>
        <v>0</v>
      </c>
      <c r="D111" s="505">
        <f t="shared" si="2"/>
        <v>0</v>
      </c>
      <c r="E111" s="505">
        <f t="shared" si="2"/>
        <v>0</v>
      </c>
      <c r="F111" s="505">
        <f t="shared" si="2"/>
        <v>0</v>
      </c>
      <c r="G111" s="505">
        <f t="shared" si="2"/>
        <v>0</v>
      </c>
      <c r="H111" s="58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7"/>
      <c r="AD111" s="19"/>
      <c r="AE111" s="19"/>
      <c r="AF111" s="19"/>
      <c r="AG111" s="19"/>
    </row>
    <row r="112" spans="1:33" hidden="1" outlineLevel="2" x14ac:dyDescent="0.2">
      <c r="A112" s="19"/>
      <c r="B112" s="19"/>
      <c r="C112" s="506">
        <f t="shared" si="2"/>
        <v>0</v>
      </c>
      <c r="D112" s="505">
        <f t="shared" si="2"/>
        <v>0</v>
      </c>
      <c r="E112" s="505">
        <f t="shared" si="2"/>
        <v>0</v>
      </c>
      <c r="F112" s="505">
        <f t="shared" si="2"/>
        <v>0</v>
      </c>
      <c r="G112" s="505">
        <f t="shared" si="2"/>
        <v>0</v>
      </c>
      <c r="H112" s="58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7"/>
      <c r="AD112" s="19"/>
      <c r="AE112" s="19"/>
      <c r="AF112" s="19"/>
      <c r="AG112" s="19"/>
    </row>
    <row r="113" spans="1:33" hidden="1" outlineLevel="2" x14ac:dyDescent="0.2">
      <c r="A113" s="19"/>
      <c r="B113" s="19"/>
      <c r="C113" s="506">
        <f t="shared" si="2"/>
        <v>0</v>
      </c>
      <c r="D113" s="505">
        <f t="shared" si="2"/>
        <v>0</v>
      </c>
      <c r="E113" s="505">
        <f t="shared" si="2"/>
        <v>0</v>
      </c>
      <c r="F113" s="505">
        <f t="shared" si="2"/>
        <v>0</v>
      </c>
      <c r="G113" s="505">
        <f t="shared" si="2"/>
        <v>0</v>
      </c>
      <c r="H113" s="58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7"/>
      <c r="AD113" s="19"/>
      <c r="AE113" s="19"/>
      <c r="AF113" s="19"/>
      <c r="AG113" s="19"/>
    </row>
    <row r="114" spans="1:33" hidden="1" outlineLevel="2" x14ac:dyDescent="0.2">
      <c r="A114" s="19"/>
      <c r="B114" s="19"/>
      <c r="C114" s="506">
        <f t="shared" si="2"/>
        <v>0</v>
      </c>
      <c r="D114" s="505">
        <f t="shared" si="2"/>
        <v>0</v>
      </c>
      <c r="E114" s="505">
        <f t="shared" si="2"/>
        <v>0</v>
      </c>
      <c r="F114" s="505">
        <f t="shared" si="2"/>
        <v>0</v>
      </c>
      <c r="G114" s="505">
        <f t="shared" si="2"/>
        <v>0</v>
      </c>
      <c r="H114" s="58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7"/>
      <c r="AD114" s="19"/>
      <c r="AE114" s="19"/>
      <c r="AF114" s="19"/>
      <c r="AG114" s="19"/>
    </row>
    <row r="115" spans="1:33" hidden="1" outlineLevel="2" x14ac:dyDescent="0.2">
      <c r="A115" s="19"/>
      <c r="B115" s="19"/>
      <c r="C115" s="506">
        <f t="shared" si="2"/>
        <v>0</v>
      </c>
      <c r="D115" s="505">
        <f t="shared" si="2"/>
        <v>0</v>
      </c>
      <c r="E115" s="505">
        <f t="shared" si="2"/>
        <v>0</v>
      </c>
      <c r="F115" s="505">
        <f t="shared" si="2"/>
        <v>0</v>
      </c>
      <c r="G115" s="505">
        <f t="shared" si="2"/>
        <v>0</v>
      </c>
      <c r="H115" s="58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7"/>
      <c r="AD115" s="19"/>
      <c r="AE115" s="19"/>
      <c r="AF115" s="19"/>
      <c r="AG115" s="19"/>
    </row>
    <row r="116" spans="1:33" hidden="1" outlineLevel="2" x14ac:dyDescent="0.2">
      <c r="A116" s="19"/>
      <c r="B116" s="19"/>
      <c r="C116" s="506">
        <f t="shared" ref="C116:G125" si="3">C38</f>
        <v>0</v>
      </c>
      <c r="D116" s="505">
        <f t="shared" si="3"/>
        <v>0</v>
      </c>
      <c r="E116" s="505">
        <f t="shared" si="3"/>
        <v>0</v>
      </c>
      <c r="F116" s="505">
        <f t="shared" si="3"/>
        <v>0</v>
      </c>
      <c r="G116" s="505">
        <f t="shared" si="3"/>
        <v>0</v>
      </c>
      <c r="H116" s="58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7"/>
      <c r="AD116" s="19"/>
      <c r="AE116" s="19"/>
      <c r="AF116" s="19"/>
      <c r="AG116" s="19"/>
    </row>
    <row r="117" spans="1:33" hidden="1" outlineLevel="2" x14ac:dyDescent="0.2">
      <c r="A117" s="19"/>
      <c r="B117" s="19"/>
      <c r="C117" s="506">
        <f t="shared" si="3"/>
        <v>0</v>
      </c>
      <c r="D117" s="505">
        <f t="shared" si="3"/>
        <v>0</v>
      </c>
      <c r="E117" s="505">
        <f t="shared" si="3"/>
        <v>0</v>
      </c>
      <c r="F117" s="505">
        <f t="shared" si="3"/>
        <v>0</v>
      </c>
      <c r="G117" s="505">
        <f t="shared" si="3"/>
        <v>0</v>
      </c>
      <c r="H117" s="58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7"/>
      <c r="AD117" s="19"/>
      <c r="AE117" s="19"/>
      <c r="AF117" s="19"/>
      <c r="AG117" s="19"/>
    </row>
    <row r="118" spans="1:33" hidden="1" outlineLevel="2" x14ac:dyDescent="0.2">
      <c r="A118" s="19"/>
      <c r="B118" s="19"/>
      <c r="C118" s="506">
        <f t="shared" si="3"/>
        <v>0</v>
      </c>
      <c r="D118" s="505">
        <f t="shared" si="3"/>
        <v>0</v>
      </c>
      <c r="E118" s="505">
        <f t="shared" si="3"/>
        <v>0</v>
      </c>
      <c r="F118" s="505">
        <f t="shared" si="3"/>
        <v>0</v>
      </c>
      <c r="G118" s="505">
        <f t="shared" si="3"/>
        <v>0</v>
      </c>
      <c r="H118" s="58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7"/>
      <c r="AD118" s="19"/>
      <c r="AE118" s="19"/>
      <c r="AF118" s="19"/>
      <c r="AG118" s="19"/>
    </row>
    <row r="119" spans="1:33" hidden="1" outlineLevel="2" x14ac:dyDescent="0.2">
      <c r="A119" s="19"/>
      <c r="B119" s="19"/>
      <c r="C119" s="506">
        <f t="shared" si="3"/>
        <v>0</v>
      </c>
      <c r="D119" s="505">
        <f t="shared" si="3"/>
        <v>0</v>
      </c>
      <c r="E119" s="505">
        <f t="shared" si="3"/>
        <v>0</v>
      </c>
      <c r="F119" s="505">
        <f t="shared" si="3"/>
        <v>0</v>
      </c>
      <c r="G119" s="505">
        <f t="shared" si="3"/>
        <v>0</v>
      </c>
      <c r="H119" s="58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7"/>
      <c r="AD119" s="19"/>
      <c r="AE119" s="19"/>
      <c r="AF119" s="19"/>
      <c r="AG119" s="19"/>
    </row>
    <row r="120" spans="1:33" hidden="1" outlineLevel="2" x14ac:dyDescent="0.2">
      <c r="A120" s="19"/>
      <c r="B120" s="19"/>
      <c r="C120" s="506">
        <f t="shared" si="3"/>
        <v>0</v>
      </c>
      <c r="D120" s="505">
        <f t="shared" si="3"/>
        <v>0</v>
      </c>
      <c r="E120" s="505">
        <f t="shared" si="3"/>
        <v>0</v>
      </c>
      <c r="F120" s="505">
        <f t="shared" si="3"/>
        <v>0</v>
      </c>
      <c r="G120" s="505">
        <f t="shared" si="3"/>
        <v>0</v>
      </c>
      <c r="H120" s="58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7"/>
      <c r="AD120" s="19"/>
      <c r="AE120" s="19"/>
      <c r="AF120" s="19"/>
      <c r="AG120" s="19"/>
    </row>
    <row r="121" spans="1:33" hidden="1" outlineLevel="2" x14ac:dyDescent="0.2">
      <c r="A121" s="19"/>
      <c r="B121" s="19"/>
      <c r="C121" s="506">
        <f t="shared" si="3"/>
        <v>0</v>
      </c>
      <c r="D121" s="505">
        <f t="shared" si="3"/>
        <v>0</v>
      </c>
      <c r="E121" s="505">
        <f t="shared" si="3"/>
        <v>0</v>
      </c>
      <c r="F121" s="505">
        <f t="shared" si="3"/>
        <v>0</v>
      </c>
      <c r="G121" s="505">
        <f t="shared" si="3"/>
        <v>0</v>
      </c>
      <c r="H121" s="58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7"/>
      <c r="AD121" s="19"/>
      <c r="AE121" s="19"/>
      <c r="AF121" s="19"/>
      <c r="AG121" s="19"/>
    </row>
    <row r="122" spans="1:33" hidden="1" outlineLevel="2" x14ac:dyDescent="0.2">
      <c r="A122" s="19"/>
      <c r="B122" s="19"/>
      <c r="C122" s="506">
        <f t="shared" si="3"/>
        <v>0</v>
      </c>
      <c r="D122" s="505">
        <f t="shared" si="3"/>
        <v>0</v>
      </c>
      <c r="E122" s="505">
        <f t="shared" si="3"/>
        <v>0</v>
      </c>
      <c r="F122" s="505">
        <f t="shared" si="3"/>
        <v>0</v>
      </c>
      <c r="G122" s="505">
        <f t="shared" si="3"/>
        <v>0</v>
      </c>
      <c r="H122" s="58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7"/>
      <c r="AD122" s="19"/>
      <c r="AE122" s="19"/>
      <c r="AF122" s="19"/>
      <c r="AG122" s="19"/>
    </row>
    <row r="123" spans="1:33" hidden="1" outlineLevel="2" x14ac:dyDescent="0.2">
      <c r="A123" s="19"/>
      <c r="B123" s="19"/>
      <c r="C123" s="506">
        <f t="shared" si="3"/>
        <v>0</v>
      </c>
      <c r="D123" s="505">
        <f t="shared" si="3"/>
        <v>0</v>
      </c>
      <c r="E123" s="505">
        <f t="shared" si="3"/>
        <v>0</v>
      </c>
      <c r="F123" s="505">
        <f t="shared" si="3"/>
        <v>0</v>
      </c>
      <c r="G123" s="505">
        <f t="shared" si="3"/>
        <v>0</v>
      </c>
      <c r="H123" s="58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7"/>
      <c r="AD123" s="19"/>
      <c r="AE123" s="19"/>
      <c r="AF123" s="19"/>
      <c r="AG123" s="19"/>
    </row>
    <row r="124" spans="1:33" hidden="1" outlineLevel="2" x14ac:dyDescent="0.2">
      <c r="A124" s="19"/>
      <c r="B124" s="19"/>
      <c r="C124" s="506">
        <f t="shared" si="3"/>
        <v>0</v>
      </c>
      <c r="D124" s="505">
        <f t="shared" si="3"/>
        <v>0</v>
      </c>
      <c r="E124" s="505">
        <f t="shared" si="3"/>
        <v>0</v>
      </c>
      <c r="F124" s="505">
        <f t="shared" si="3"/>
        <v>0</v>
      </c>
      <c r="G124" s="505">
        <f t="shared" si="3"/>
        <v>0</v>
      </c>
      <c r="H124" s="58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7"/>
      <c r="AD124" s="19"/>
      <c r="AE124" s="19"/>
      <c r="AF124" s="19"/>
      <c r="AG124" s="19"/>
    </row>
    <row r="125" spans="1:33" hidden="1" outlineLevel="2" x14ac:dyDescent="0.2">
      <c r="A125" s="19"/>
      <c r="B125" s="19"/>
      <c r="C125" s="506">
        <f t="shared" si="3"/>
        <v>0</v>
      </c>
      <c r="D125" s="505">
        <f t="shared" si="3"/>
        <v>0</v>
      </c>
      <c r="E125" s="505">
        <f t="shared" si="3"/>
        <v>0</v>
      </c>
      <c r="F125" s="505">
        <f t="shared" si="3"/>
        <v>0</v>
      </c>
      <c r="G125" s="505">
        <f t="shared" si="3"/>
        <v>0</v>
      </c>
      <c r="H125" s="58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7"/>
      <c r="AD125" s="19"/>
      <c r="AE125" s="19"/>
      <c r="AF125" s="19"/>
      <c r="AG125" s="19"/>
    </row>
    <row r="126" spans="1:33" hidden="1" outlineLevel="2" x14ac:dyDescent="0.2">
      <c r="A126" s="19"/>
      <c r="B126" s="19"/>
      <c r="C126" s="506">
        <f t="shared" ref="C126:G135" si="4">C48</f>
        <v>0</v>
      </c>
      <c r="D126" s="505">
        <f t="shared" si="4"/>
        <v>0</v>
      </c>
      <c r="E126" s="505">
        <f t="shared" si="4"/>
        <v>0</v>
      </c>
      <c r="F126" s="505">
        <f t="shared" si="4"/>
        <v>0</v>
      </c>
      <c r="G126" s="505">
        <f t="shared" si="4"/>
        <v>0</v>
      </c>
      <c r="H126" s="58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7"/>
      <c r="AD126" s="19"/>
      <c r="AE126" s="19"/>
      <c r="AF126" s="19"/>
      <c r="AG126" s="19"/>
    </row>
    <row r="127" spans="1:33" hidden="1" outlineLevel="2" x14ac:dyDescent="0.2">
      <c r="A127" s="19"/>
      <c r="B127" s="19"/>
      <c r="C127" s="506">
        <f t="shared" si="4"/>
        <v>0</v>
      </c>
      <c r="D127" s="505">
        <f t="shared" si="4"/>
        <v>0</v>
      </c>
      <c r="E127" s="505">
        <f t="shared" si="4"/>
        <v>0</v>
      </c>
      <c r="F127" s="505">
        <f t="shared" si="4"/>
        <v>0</v>
      </c>
      <c r="G127" s="505">
        <f t="shared" si="4"/>
        <v>0</v>
      </c>
      <c r="H127" s="58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7"/>
      <c r="AD127" s="19"/>
      <c r="AE127" s="19"/>
      <c r="AF127" s="19"/>
      <c r="AG127" s="19"/>
    </row>
    <row r="128" spans="1:33" hidden="1" outlineLevel="2" x14ac:dyDescent="0.2">
      <c r="A128" s="19"/>
      <c r="B128" s="19"/>
      <c r="C128" s="506">
        <f t="shared" si="4"/>
        <v>0</v>
      </c>
      <c r="D128" s="505">
        <f t="shared" si="4"/>
        <v>0</v>
      </c>
      <c r="E128" s="505">
        <f t="shared" si="4"/>
        <v>0</v>
      </c>
      <c r="F128" s="505">
        <f t="shared" si="4"/>
        <v>0</v>
      </c>
      <c r="G128" s="505">
        <f t="shared" si="4"/>
        <v>0</v>
      </c>
      <c r="H128" s="58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7"/>
      <c r="AD128" s="19"/>
      <c r="AE128" s="19"/>
      <c r="AF128" s="19"/>
      <c r="AG128" s="19"/>
    </row>
    <row r="129" spans="1:33" hidden="1" outlineLevel="2" x14ac:dyDescent="0.2">
      <c r="A129" s="19"/>
      <c r="B129" s="19"/>
      <c r="C129" s="506">
        <f t="shared" si="4"/>
        <v>0</v>
      </c>
      <c r="D129" s="505">
        <f t="shared" si="4"/>
        <v>0</v>
      </c>
      <c r="E129" s="505">
        <f t="shared" si="4"/>
        <v>0</v>
      </c>
      <c r="F129" s="505">
        <f t="shared" si="4"/>
        <v>0</v>
      </c>
      <c r="G129" s="505">
        <f t="shared" si="4"/>
        <v>0</v>
      </c>
      <c r="H129" s="58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7"/>
      <c r="AD129" s="19"/>
      <c r="AE129" s="19"/>
      <c r="AF129" s="19"/>
      <c r="AG129" s="19"/>
    </row>
    <row r="130" spans="1:33" hidden="1" outlineLevel="2" x14ac:dyDescent="0.2">
      <c r="A130" s="19"/>
      <c r="B130" s="19"/>
      <c r="C130" s="506">
        <f t="shared" si="4"/>
        <v>0</v>
      </c>
      <c r="D130" s="505">
        <f t="shared" si="4"/>
        <v>0</v>
      </c>
      <c r="E130" s="505">
        <f t="shared" si="4"/>
        <v>0</v>
      </c>
      <c r="F130" s="505">
        <f t="shared" si="4"/>
        <v>0</v>
      </c>
      <c r="G130" s="505">
        <f t="shared" si="4"/>
        <v>0</v>
      </c>
      <c r="H130" s="58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7"/>
      <c r="AD130" s="19"/>
      <c r="AE130" s="19"/>
      <c r="AF130" s="19"/>
      <c r="AG130" s="19"/>
    </row>
    <row r="131" spans="1:33" hidden="1" outlineLevel="2" x14ac:dyDescent="0.2">
      <c r="A131" s="19"/>
      <c r="B131" s="19"/>
      <c r="C131" s="506">
        <f t="shared" si="4"/>
        <v>0</v>
      </c>
      <c r="D131" s="505">
        <f t="shared" si="4"/>
        <v>0</v>
      </c>
      <c r="E131" s="505">
        <f t="shared" si="4"/>
        <v>0</v>
      </c>
      <c r="F131" s="505">
        <f t="shared" si="4"/>
        <v>0</v>
      </c>
      <c r="G131" s="505">
        <f t="shared" si="4"/>
        <v>0</v>
      </c>
      <c r="H131" s="58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7"/>
      <c r="AD131" s="19"/>
      <c r="AE131" s="19"/>
      <c r="AF131" s="19"/>
      <c r="AG131" s="19"/>
    </row>
    <row r="132" spans="1:33" hidden="1" outlineLevel="2" x14ac:dyDescent="0.2">
      <c r="A132" s="19"/>
      <c r="B132" s="19"/>
      <c r="C132" s="506">
        <f t="shared" si="4"/>
        <v>0</v>
      </c>
      <c r="D132" s="505">
        <f t="shared" si="4"/>
        <v>0</v>
      </c>
      <c r="E132" s="505">
        <f t="shared" si="4"/>
        <v>0</v>
      </c>
      <c r="F132" s="505">
        <f t="shared" si="4"/>
        <v>0</v>
      </c>
      <c r="G132" s="505">
        <f t="shared" si="4"/>
        <v>0</v>
      </c>
      <c r="H132" s="58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7"/>
      <c r="AD132" s="19"/>
      <c r="AE132" s="19"/>
      <c r="AF132" s="19"/>
      <c r="AG132" s="19"/>
    </row>
    <row r="133" spans="1:33" hidden="1" outlineLevel="3" x14ac:dyDescent="0.2">
      <c r="A133" s="19"/>
      <c r="B133" s="19"/>
      <c r="C133" s="506">
        <f t="shared" si="4"/>
        <v>0</v>
      </c>
      <c r="D133" s="505">
        <f t="shared" si="4"/>
        <v>0</v>
      </c>
      <c r="E133" s="505">
        <f t="shared" si="4"/>
        <v>0</v>
      </c>
      <c r="F133" s="505">
        <f t="shared" si="4"/>
        <v>0</v>
      </c>
      <c r="G133" s="505">
        <f t="shared" si="4"/>
        <v>0</v>
      </c>
      <c r="H133" s="58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7"/>
      <c r="AD133" s="19"/>
      <c r="AE133" s="19"/>
      <c r="AF133" s="19"/>
      <c r="AG133" s="19"/>
    </row>
    <row r="134" spans="1:33" hidden="1" outlineLevel="3" x14ac:dyDescent="0.2">
      <c r="A134" s="19"/>
      <c r="B134" s="19"/>
      <c r="C134" s="506">
        <f t="shared" si="4"/>
        <v>0</v>
      </c>
      <c r="D134" s="505">
        <f t="shared" si="4"/>
        <v>0</v>
      </c>
      <c r="E134" s="505">
        <f t="shared" si="4"/>
        <v>0</v>
      </c>
      <c r="F134" s="505">
        <f t="shared" si="4"/>
        <v>0</v>
      </c>
      <c r="G134" s="505">
        <f t="shared" si="4"/>
        <v>0</v>
      </c>
      <c r="H134" s="58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7"/>
      <c r="AD134" s="19"/>
      <c r="AE134" s="19"/>
      <c r="AF134" s="19"/>
      <c r="AG134" s="19"/>
    </row>
    <row r="135" spans="1:33" hidden="1" outlineLevel="3" x14ac:dyDescent="0.2">
      <c r="A135" s="19"/>
      <c r="B135" s="19"/>
      <c r="C135" s="506">
        <f t="shared" si="4"/>
        <v>0</v>
      </c>
      <c r="D135" s="505">
        <f t="shared" si="4"/>
        <v>0</v>
      </c>
      <c r="E135" s="505">
        <f t="shared" si="4"/>
        <v>0</v>
      </c>
      <c r="F135" s="505">
        <f t="shared" si="4"/>
        <v>0</v>
      </c>
      <c r="G135" s="505">
        <f t="shared" si="4"/>
        <v>0</v>
      </c>
      <c r="H135" s="58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7"/>
      <c r="AD135" s="19"/>
      <c r="AE135" s="19"/>
      <c r="AF135" s="19"/>
      <c r="AG135" s="19"/>
    </row>
    <row r="136" spans="1:33" hidden="1" outlineLevel="3" x14ac:dyDescent="0.2">
      <c r="A136" s="19"/>
      <c r="B136" s="19"/>
      <c r="C136" s="506">
        <f t="shared" ref="C136:G145" si="5">C58</f>
        <v>0</v>
      </c>
      <c r="D136" s="505">
        <f t="shared" si="5"/>
        <v>0</v>
      </c>
      <c r="E136" s="505">
        <f t="shared" si="5"/>
        <v>0</v>
      </c>
      <c r="F136" s="505">
        <f t="shared" si="5"/>
        <v>0</v>
      </c>
      <c r="G136" s="505">
        <f t="shared" si="5"/>
        <v>0</v>
      </c>
      <c r="H136" s="58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7"/>
      <c r="AD136" s="19"/>
      <c r="AE136" s="19"/>
      <c r="AF136" s="19"/>
      <c r="AG136" s="19"/>
    </row>
    <row r="137" spans="1:33" hidden="1" outlineLevel="3" x14ac:dyDescent="0.2">
      <c r="A137" s="19"/>
      <c r="B137" s="19"/>
      <c r="C137" s="506">
        <f t="shared" si="5"/>
        <v>0</v>
      </c>
      <c r="D137" s="505">
        <f t="shared" si="5"/>
        <v>0</v>
      </c>
      <c r="E137" s="505">
        <f t="shared" si="5"/>
        <v>0</v>
      </c>
      <c r="F137" s="505">
        <f t="shared" si="5"/>
        <v>0</v>
      </c>
      <c r="G137" s="505">
        <f t="shared" si="5"/>
        <v>0</v>
      </c>
      <c r="H137" s="58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7"/>
      <c r="AD137" s="19"/>
      <c r="AE137" s="19"/>
      <c r="AF137" s="19"/>
      <c r="AG137" s="19"/>
    </row>
    <row r="138" spans="1:33" hidden="1" outlineLevel="3" x14ac:dyDescent="0.2">
      <c r="A138" s="19"/>
      <c r="B138" s="19"/>
      <c r="C138" s="506">
        <f t="shared" si="5"/>
        <v>0</v>
      </c>
      <c r="D138" s="505">
        <f t="shared" si="5"/>
        <v>0</v>
      </c>
      <c r="E138" s="505">
        <f t="shared" si="5"/>
        <v>0</v>
      </c>
      <c r="F138" s="505">
        <f t="shared" si="5"/>
        <v>0</v>
      </c>
      <c r="G138" s="505">
        <f t="shared" si="5"/>
        <v>0</v>
      </c>
      <c r="H138" s="58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7"/>
      <c r="AD138" s="19"/>
      <c r="AE138" s="19"/>
      <c r="AF138" s="19"/>
      <c r="AG138" s="19"/>
    </row>
    <row r="139" spans="1:33" hidden="1" outlineLevel="3" x14ac:dyDescent="0.2">
      <c r="A139" s="19"/>
      <c r="B139" s="19"/>
      <c r="C139" s="506">
        <f t="shared" si="5"/>
        <v>0</v>
      </c>
      <c r="D139" s="505">
        <f t="shared" si="5"/>
        <v>0</v>
      </c>
      <c r="E139" s="505">
        <f t="shared" si="5"/>
        <v>0</v>
      </c>
      <c r="F139" s="505">
        <f t="shared" si="5"/>
        <v>0</v>
      </c>
      <c r="G139" s="505">
        <f t="shared" si="5"/>
        <v>0</v>
      </c>
      <c r="H139" s="58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7"/>
      <c r="AD139" s="19"/>
      <c r="AE139" s="19"/>
      <c r="AF139" s="19"/>
      <c r="AG139" s="19"/>
    </row>
    <row r="140" spans="1:33" hidden="1" outlineLevel="3" x14ac:dyDescent="0.2">
      <c r="A140" s="19"/>
      <c r="B140" s="19"/>
      <c r="C140" s="506">
        <f t="shared" si="5"/>
        <v>0</v>
      </c>
      <c r="D140" s="505">
        <f t="shared" si="5"/>
        <v>0</v>
      </c>
      <c r="E140" s="505">
        <f t="shared" si="5"/>
        <v>0</v>
      </c>
      <c r="F140" s="505">
        <f t="shared" si="5"/>
        <v>0</v>
      </c>
      <c r="G140" s="505">
        <f t="shared" si="5"/>
        <v>0</v>
      </c>
      <c r="H140" s="58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7"/>
      <c r="AD140" s="19"/>
      <c r="AE140" s="19"/>
      <c r="AF140" s="19"/>
      <c r="AG140" s="19"/>
    </row>
    <row r="141" spans="1:33" hidden="1" outlineLevel="3" x14ac:dyDescent="0.2">
      <c r="A141" s="19"/>
      <c r="B141" s="19"/>
      <c r="C141" s="506">
        <f t="shared" si="5"/>
        <v>0</v>
      </c>
      <c r="D141" s="505">
        <f t="shared" si="5"/>
        <v>0</v>
      </c>
      <c r="E141" s="505">
        <f t="shared" si="5"/>
        <v>0</v>
      </c>
      <c r="F141" s="505">
        <f t="shared" si="5"/>
        <v>0</v>
      </c>
      <c r="G141" s="505">
        <f t="shared" si="5"/>
        <v>0</v>
      </c>
      <c r="H141" s="58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7"/>
      <c r="AD141" s="19"/>
      <c r="AE141" s="19"/>
      <c r="AF141" s="19"/>
      <c r="AG141" s="19"/>
    </row>
    <row r="142" spans="1:33" hidden="1" outlineLevel="3" x14ac:dyDescent="0.2">
      <c r="A142" s="19"/>
      <c r="B142" s="19"/>
      <c r="C142" s="506">
        <f t="shared" si="5"/>
        <v>0</v>
      </c>
      <c r="D142" s="505">
        <f t="shared" si="5"/>
        <v>0</v>
      </c>
      <c r="E142" s="505">
        <f t="shared" si="5"/>
        <v>0</v>
      </c>
      <c r="F142" s="505">
        <f t="shared" si="5"/>
        <v>0</v>
      </c>
      <c r="G142" s="505">
        <f t="shared" si="5"/>
        <v>0</v>
      </c>
      <c r="H142" s="58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7"/>
      <c r="AD142" s="19"/>
      <c r="AE142" s="19"/>
      <c r="AF142" s="19"/>
      <c r="AG142" s="19"/>
    </row>
    <row r="143" spans="1:33" hidden="1" outlineLevel="3" x14ac:dyDescent="0.2">
      <c r="A143" s="19"/>
      <c r="B143" s="19"/>
      <c r="C143" s="506">
        <f t="shared" si="5"/>
        <v>0</v>
      </c>
      <c r="D143" s="505">
        <f t="shared" si="5"/>
        <v>0</v>
      </c>
      <c r="E143" s="505">
        <f t="shared" si="5"/>
        <v>0</v>
      </c>
      <c r="F143" s="505">
        <f t="shared" si="5"/>
        <v>0</v>
      </c>
      <c r="G143" s="505">
        <f t="shared" si="5"/>
        <v>0</v>
      </c>
      <c r="H143" s="58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7"/>
      <c r="AD143" s="19"/>
      <c r="AE143" s="19"/>
      <c r="AF143" s="19"/>
      <c r="AG143" s="19"/>
    </row>
    <row r="144" spans="1:33" hidden="1" outlineLevel="3" x14ac:dyDescent="0.2">
      <c r="A144" s="19"/>
      <c r="B144" s="19"/>
      <c r="C144" s="506">
        <f t="shared" si="5"/>
        <v>0</v>
      </c>
      <c r="D144" s="505">
        <f t="shared" si="5"/>
        <v>0</v>
      </c>
      <c r="E144" s="505">
        <f t="shared" si="5"/>
        <v>0</v>
      </c>
      <c r="F144" s="505">
        <f t="shared" si="5"/>
        <v>0</v>
      </c>
      <c r="G144" s="505">
        <f t="shared" si="5"/>
        <v>0</v>
      </c>
      <c r="H144" s="58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7"/>
      <c r="AD144" s="19"/>
      <c r="AE144" s="19"/>
      <c r="AF144" s="19"/>
      <c r="AG144" s="19"/>
    </row>
    <row r="145" spans="1:33" hidden="1" outlineLevel="3" x14ac:dyDescent="0.2">
      <c r="A145" s="19"/>
      <c r="B145" s="19"/>
      <c r="C145" s="506">
        <f t="shared" si="5"/>
        <v>0</v>
      </c>
      <c r="D145" s="505">
        <f t="shared" si="5"/>
        <v>0</v>
      </c>
      <c r="E145" s="505">
        <f t="shared" si="5"/>
        <v>0</v>
      </c>
      <c r="F145" s="505">
        <f t="shared" si="5"/>
        <v>0</v>
      </c>
      <c r="G145" s="505">
        <f t="shared" si="5"/>
        <v>0</v>
      </c>
      <c r="H145" s="58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7"/>
      <c r="AD145" s="19"/>
      <c r="AE145" s="19"/>
      <c r="AF145" s="19"/>
      <c r="AG145" s="19"/>
    </row>
    <row r="146" spans="1:33" hidden="1" outlineLevel="3" x14ac:dyDescent="0.2">
      <c r="A146" s="19"/>
      <c r="B146" s="19"/>
      <c r="C146" s="506">
        <f t="shared" ref="C146:G155" si="6">C68</f>
        <v>0</v>
      </c>
      <c r="D146" s="505">
        <f t="shared" si="6"/>
        <v>0</v>
      </c>
      <c r="E146" s="505">
        <f t="shared" si="6"/>
        <v>0</v>
      </c>
      <c r="F146" s="505">
        <f t="shared" si="6"/>
        <v>0</v>
      </c>
      <c r="G146" s="505">
        <f t="shared" si="6"/>
        <v>0</v>
      </c>
      <c r="H146" s="58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7"/>
      <c r="AD146" s="19"/>
      <c r="AE146" s="19"/>
      <c r="AF146" s="19"/>
      <c r="AG146" s="19"/>
    </row>
    <row r="147" spans="1:33" hidden="1" outlineLevel="3" x14ac:dyDescent="0.2">
      <c r="A147" s="19"/>
      <c r="B147" s="19"/>
      <c r="C147" s="506">
        <f t="shared" si="6"/>
        <v>0</v>
      </c>
      <c r="D147" s="505">
        <f t="shared" si="6"/>
        <v>0</v>
      </c>
      <c r="E147" s="505">
        <f t="shared" si="6"/>
        <v>0</v>
      </c>
      <c r="F147" s="505">
        <f t="shared" si="6"/>
        <v>0</v>
      </c>
      <c r="G147" s="505">
        <f t="shared" si="6"/>
        <v>0</v>
      </c>
      <c r="H147" s="58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7"/>
      <c r="AD147" s="19"/>
      <c r="AE147" s="19"/>
      <c r="AF147" s="19"/>
      <c r="AG147" s="19"/>
    </row>
    <row r="148" spans="1:33" hidden="1" outlineLevel="3" x14ac:dyDescent="0.2">
      <c r="A148" s="19"/>
      <c r="B148" s="19"/>
      <c r="C148" s="506">
        <f t="shared" si="6"/>
        <v>0</v>
      </c>
      <c r="D148" s="505">
        <f t="shared" si="6"/>
        <v>0</v>
      </c>
      <c r="E148" s="505">
        <f t="shared" si="6"/>
        <v>0</v>
      </c>
      <c r="F148" s="505">
        <f t="shared" si="6"/>
        <v>0</v>
      </c>
      <c r="G148" s="505">
        <f t="shared" si="6"/>
        <v>0</v>
      </c>
      <c r="H148" s="58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7"/>
      <c r="AD148" s="19"/>
      <c r="AE148" s="19"/>
      <c r="AF148" s="19"/>
      <c r="AG148" s="19"/>
    </row>
    <row r="149" spans="1:33" hidden="1" outlineLevel="3" x14ac:dyDescent="0.2">
      <c r="A149" s="19"/>
      <c r="B149" s="19"/>
      <c r="C149" s="506">
        <f t="shared" si="6"/>
        <v>0</v>
      </c>
      <c r="D149" s="505">
        <f t="shared" si="6"/>
        <v>0</v>
      </c>
      <c r="E149" s="505">
        <f t="shared" si="6"/>
        <v>0</v>
      </c>
      <c r="F149" s="505">
        <f t="shared" si="6"/>
        <v>0</v>
      </c>
      <c r="G149" s="505">
        <f t="shared" si="6"/>
        <v>0</v>
      </c>
      <c r="H149" s="58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7"/>
      <c r="AD149" s="19"/>
      <c r="AE149" s="19"/>
      <c r="AF149" s="19"/>
      <c r="AG149" s="19"/>
    </row>
    <row r="150" spans="1:33" hidden="1" outlineLevel="3" x14ac:dyDescent="0.2">
      <c r="A150" s="19"/>
      <c r="B150" s="19"/>
      <c r="C150" s="506">
        <f t="shared" si="6"/>
        <v>0</v>
      </c>
      <c r="D150" s="505">
        <f t="shared" si="6"/>
        <v>0</v>
      </c>
      <c r="E150" s="505">
        <f t="shared" si="6"/>
        <v>0</v>
      </c>
      <c r="F150" s="505">
        <f t="shared" si="6"/>
        <v>0</v>
      </c>
      <c r="G150" s="505">
        <f t="shared" si="6"/>
        <v>0</v>
      </c>
      <c r="H150" s="58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7"/>
      <c r="AD150" s="19"/>
      <c r="AE150" s="19"/>
      <c r="AF150" s="19"/>
      <c r="AG150" s="19"/>
    </row>
    <row r="151" spans="1:33" hidden="1" outlineLevel="3" x14ac:dyDescent="0.2">
      <c r="A151" s="19"/>
      <c r="B151" s="19"/>
      <c r="C151" s="506">
        <f t="shared" si="6"/>
        <v>0</v>
      </c>
      <c r="D151" s="505">
        <f t="shared" si="6"/>
        <v>0</v>
      </c>
      <c r="E151" s="505">
        <f t="shared" si="6"/>
        <v>0</v>
      </c>
      <c r="F151" s="505">
        <f t="shared" si="6"/>
        <v>0</v>
      </c>
      <c r="G151" s="505">
        <f t="shared" si="6"/>
        <v>0</v>
      </c>
      <c r="H151" s="58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7"/>
      <c r="AD151" s="19"/>
      <c r="AE151" s="19"/>
      <c r="AF151" s="19"/>
      <c r="AG151" s="19"/>
    </row>
    <row r="152" spans="1:33" hidden="1" outlineLevel="3" x14ac:dyDescent="0.2">
      <c r="A152" s="19"/>
      <c r="B152" s="19"/>
      <c r="C152" s="506">
        <f t="shared" si="6"/>
        <v>0</v>
      </c>
      <c r="D152" s="505">
        <f t="shared" si="6"/>
        <v>0</v>
      </c>
      <c r="E152" s="505">
        <f t="shared" si="6"/>
        <v>0</v>
      </c>
      <c r="F152" s="505">
        <f t="shared" si="6"/>
        <v>0</v>
      </c>
      <c r="G152" s="505">
        <f t="shared" si="6"/>
        <v>0</v>
      </c>
      <c r="H152" s="58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7"/>
      <c r="AD152" s="19"/>
      <c r="AE152" s="19"/>
      <c r="AF152" s="19"/>
      <c r="AG152" s="19"/>
    </row>
    <row r="153" spans="1:33" hidden="1" outlineLevel="3" x14ac:dyDescent="0.2">
      <c r="A153" s="19"/>
      <c r="B153" s="19"/>
      <c r="C153" s="506">
        <f t="shared" si="6"/>
        <v>0</v>
      </c>
      <c r="D153" s="505">
        <f t="shared" si="6"/>
        <v>0</v>
      </c>
      <c r="E153" s="505">
        <f t="shared" si="6"/>
        <v>0</v>
      </c>
      <c r="F153" s="505">
        <f t="shared" si="6"/>
        <v>0</v>
      </c>
      <c r="G153" s="505">
        <f t="shared" si="6"/>
        <v>0</v>
      </c>
      <c r="H153" s="58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7"/>
      <c r="AD153" s="19"/>
      <c r="AE153" s="19"/>
      <c r="AF153" s="19"/>
      <c r="AG153" s="19"/>
    </row>
    <row r="154" spans="1:33" hidden="1" outlineLevel="3" x14ac:dyDescent="0.2">
      <c r="A154" s="19"/>
      <c r="B154" s="19"/>
      <c r="C154" s="506">
        <f t="shared" si="6"/>
        <v>0</v>
      </c>
      <c r="D154" s="505">
        <f t="shared" si="6"/>
        <v>0</v>
      </c>
      <c r="E154" s="505">
        <f t="shared" si="6"/>
        <v>0</v>
      </c>
      <c r="F154" s="505">
        <f t="shared" si="6"/>
        <v>0</v>
      </c>
      <c r="G154" s="505">
        <f t="shared" si="6"/>
        <v>0</v>
      </c>
      <c r="H154" s="58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7"/>
      <c r="AD154" s="19"/>
      <c r="AE154" s="19"/>
      <c r="AF154" s="19"/>
      <c r="AG154" s="19"/>
    </row>
    <row r="155" spans="1:33" hidden="1" outlineLevel="3" x14ac:dyDescent="0.2">
      <c r="A155" s="19"/>
      <c r="B155" s="19"/>
      <c r="C155" s="506">
        <f t="shared" si="6"/>
        <v>0</v>
      </c>
      <c r="D155" s="505">
        <f t="shared" si="6"/>
        <v>0</v>
      </c>
      <c r="E155" s="505">
        <f t="shared" si="6"/>
        <v>0</v>
      </c>
      <c r="F155" s="505">
        <f t="shared" si="6"/>
        <v>0</v>
      </c>
      <c r="G155" s="505">
        <f t="shared" si="6"/>
        <v>0</v>
      </c>
      <c r="H155" s="58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7"/>
      <c r="AD155" s="19"/>
      <c r="AE155" s="19"/>
      <c r="AF155" s="19"/>
      <c r="AG155" s="19"/>
    </row>
    <row r="156" spans="1:33" hidden="1" outlineLevel="3" x14ac:dyDescent="0.2">
      <c r="A156" s="19"/>
      <c r="B156" s="19"/>
      <c r="C156" s="506">
        <f t="shared" ref="C156:G160" si="7">C78</f>
        <v>0</v>
      </c>
      <c r="D156" s="505">
        <f t="shared" si="7"/>
        <v>0</v>
      </c>
      <c r="E156" s="505">
        <f t="shared" si="7"/>
        <v>0</v>
      </c>
      <c r="F156" s="505">
        <f t="shared" si="7"/>
        <v>0</v>
      </c>
      <c r="G156" s="505">
        <f t="shared" si="7"/>
        <v>0</v>
      </c>
      <c r="H156" s="58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7"/>
      <c r="AD156" s="19"/>
      <c r="AE156" s="19"/>
      <c r="AF156" s="19"/>
      <c r="AG156" s="19"/>
    </row>
    <row r="157" spans="1:33" hidden="1" outlineLevel="3" x14ac:dyDescent="0.2">
      <c r="A157" s="19"/>
      <c r="B157" s="19"/>
      <c r="C157" s="506">
        <f t="shared" si="7"/>
        <v>0</v>
      </c>
      <c r="D157" s="505">
        <f t="shared" si="7"/>
        <v>0</v>
      </c>
      <c r="E157" s="505">
        <f t="shared" si="7"/>
        <v>0</v>
      </c>
      <c r="F157" s="505">
        <f t="shared" si="7"/>
        <v>0</v>
      </c>
      <c r="G157" s="505">
        <f t="shared" si="7"/>
        <v>0</v>
      </c>
      <c r="H157" s="58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7"/>
      <c r="AD157" s="19"/>
      <c r="AE157" s="19"/>
      <c r="AF157" s="19"/>
      <c r="AG157" s="19"/>
    </row>
    <row r="158" spans="1:33" hidden="1" outlineLevel="3" x14ac:dyDescent="0.2">
      <c r="A158" s="19"/>
      <c r="B158" s="19"/>
      <c r="C158" s="506">
        <f t="shared" si="7"/>
        <v>0</v>
      </c>
      <c r="D158" s="505">
        <f t="shared" si="7"/>
        <v>0</v>
      </c>
      <c r="E158" s="505">
        <f t="shared" si="7"/>
        <v>0</v>
      </c>
      <c r="F158" s="505">
        <f t="shared" si="7"/>
        <v>0</v>
      </c>
      <c r="G158" s="505">
        <f t="shared" si="7"/>
        <v>0</v>
      </c>
      <c r="H158" s="58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7"/>
      <c r="AD158" s="19"/>
      <c r="AE158" s="19"/>
      <c r="AF158" s="19"/>
      <c r="AG158" s="19"/>
    </row>
    <row r="159" spans="1:33" hidden="1" outlineLevel="3" x14ac:dyDescent="0.2">
      <c r="A159" s="19"/>
      <c r="B159" s="19"/>
      <c r="C159" s="506">
        <f t="shared" si="7"/>
        <v>0</v>
      </c>
      <c r="D159" s="505">
        <f t="shared" si="7"/>
        <v>0</v>
      </c>
      <c r="E159" s="505">
        <f t="shared" si="7"/>
        <v>0</v>
      </c>
      <c r="F159" s="505">
        <f t="shared" si="7"/>
        <v>0</v>
      </c>
      <c r="G159" s="505">
        <f t="shared" si="7"/>
        <v>0</v>
      </c>
      <c r="H159" s="58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7"/>
      <c r="AD159" s="19"/>
      <c r="AE159" s="19"/>
      <c r="AF159" s="19"/>
      <c r="AG159" s="19"/>
    </row>
    <row r="160" spans="1:33" hidden="1" outlineLevel="3" x14ac:dyDescent="0.2">
      <c r="A160" s="19"/>
      <c r="B160" s="19"/>
      <c r="C160" s="506">
        <f t="shared" si="7"/>
        <v>0</v>
      </c>
      <c r="D160" s="505">
        <f t="shared" si="7"/>
        <v>0</v>
      </c>
      <c r="E160" s="505">
        <f t="shared" si="7"/>
        <v>0</v>
      </c>
      <c r="F160" s="505">
        <f t="shared" si="7"/>
        <v>0</v>
      </c>
      <c r="G160" s="505">
        <f t="shared" si="7"/>
        <v>0</v>
      </c>
      <c r="H160" s="58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7"/>
      <c r="AD160" s="19"/>
      <c r="AE160" s="19"/>
      <c r="AF160" s="19"/>
      <c r="AG160" s="19"/>
    </row>
    <row r="161" spans="1:33" hidden="1" outlineLevel="2" collapsed="1" x14ac:dyDescent="0.2">
      <c r="A161" s="19"/>
      <c r="B161" s="19"/>
      <c r="C161" s="66"/>
      <c r="D161" s="58"/>
      <c r="E161" s="58"/>
      <c r="F161" s="58"/>
      <c r="G161" s="58"/>
      <c r="H161" s="58"/>
      <c r="I161" s="186"/>
      <c r="J161" s="186"/>
      <c r="K161" s="187"/>
      <c r="L161" s="187"/>
      <c r="M161" s="187"/>
      <c r="N161" s="188"/>
      <c r="O161" s="188"/>
      <c r="P161" s="188"/>
      <c r="Q161" s="188"/>
      <c r="R161" s="188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9"/>
      <c r="AE161" s="19"/>
      <c r="AF161" s="19"/>
      <c r="AG161" s="19"/>
    </row>
    <row r="162" spans="1:33" outlineLevel="1" collapsed="1" x14ac:dyDescent="0.2">
      <c r="A162" s="19"/>
      <c r="B162" s="19"/>
      <c r="C162" s="66"/>
      <c r="D162" s="58"/>
      <c r="E162" s="58"/>
      <c r="F162" s="58"/>
      <c r="G162" s="58"/>
      <c r="H162" s="58"/>
      <c r="I162" s="186"/>
      <c r="J162" s="186"/>
      <c r="K162" s="187"/>
      <c r="L162" s="187"/>
      <c r="M162" s="187"/>
      <c r="N162" s="188"/>
      <c r="O162" s="188"/>
      <c r="P162" s="188"/>
      <c r="Q162" s="188"/>
      <c r="R162" s="188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9"/>
      <c r="AE162" s="19"/>
      <c r="AF162" s="19"/>
      <c r="AG162" s="19"/>
    </row>
    <row r="163" spans="1:33" outlineLevel="1" x14ac:dyDescent="0.2">
      <c r="A163" s="19"/>
      <c r="B163" s="19"/>
      <c r="C163" s="167" t="str">
        <f>RCP_thirdyear</f>
        <v>2021–22</v>
      </c>
      <c r="D163" s="20"/>
      <c r="E163" s="20"/>
      <c r="F163" s="20"/>
      <c r="G163" s="22"/>
      <c r="H163" s="22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9"/>
      <c r="AE163" s="19"/>
      <c r="AF163" s="19"/>
      <c r="AG163" s="19"/>
    </row>
    <row r="164" spans="1:33" hidden="1" outlineLevel="2" x14ac:dyDescent="0.2">
      <c r="A164" s="19"/>
      <c r="B164" s="19"/>
      <c r="C164" s="506" t="str">
        <f t="shared" ref="C164:G173" si="8">C8</f>
        <v>Residential time of use consumption</v>
      </c>
      <c r="D164" s="505" t="str">
        <f t="shared" si="8"/>
        <v>Residential</v>
      </c>
      <c r="E164" s="505" t="str">
        <f t="shared" si="8"/>
        <v>TAS93</v>
      </c>
      <c r="F164" s="505">
        <f t="shared" si="8"/>
        <v>0</v>
      </c>
      <c r="G164" s="505">
        <f t="shared" si="8"/>
        <v>0</v>
      </c>
      <c r="H164" s="22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7"/>
      <c r="AD164" s="19"/>
      <c r="AE164" s="19"/>
      <c r="AF164" s="19"/>
      <c r="AG164" s="19"/>
    </row>
    <row r="165" spans="1:33" s="59" customFormat="1" hidden="1" outlineLevel="2" x14ac:dyDescent="0.2">
      <c r="A165" s="57"/>
      <c r="B165" s="57"/>
      <c r="C165" s="506" t="str">
        <f t="shared" si="8"/>
        <v>Residential general light and power</v>
      </c>
      <c r="D165" s="505" t="str">
        <f t="shared" si="8"/>
        <v>Residential</v>
      </c>
      <c r="E165" s="505" t="str">
        <f t="shared" si="8"/>
        <v>TAS31</v>
      </c>
      <c r="F165" s="505">
        <f t="shared" si="8"/>
        <v>0</v>
      </c>
      <c r="G165" s="505">
        <f t="shared" si="8"/>
        <v>0</v>
      </c>
      <c r="H165" s="58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6"/>
      <c r="AD165" s="57"/>
      <c r="AE165" s="57"/>
      <c r="AF165" s="57"/>
      <c r="AG165" s="57"/>
    </row>
    <row r="166" spans="1:33" hidden="1" outlineLevel="2" x14ac:dyDescent="0.2">
      <c r="A166" s="19"/>
      <c r="B166" s="19"/>
      <c r="C166" s="506" t="str">
        <f t="shared" si="8"/>
        <v>Residential time of use demand</v>
      </c>
      <c r="D166" s="505" t="str">
        <f t="shared" si="8"/>
        <v>Residential</v>
      </c>
      <c r="E166" s="505" t="str">
        <f t="shared" si="8"/>
        <v>TAS87</v>
      </c>
      <c r="F166" s="505">
        <f t="shared" si="8"/>
        <v>0</v>
      </c>
      <c r="G166" s="505">
        <f t="shared" si="8"/>
        <v>0</v>
      </c>
      <c r="H166" s="58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  <c r="AA166" s="185"/>
      <c r="AB166" s="185"/>
      <c r="AC166" s="187"/>
      <c r="AD166" s="19"/>
      <c r="AE166" s="19"/>
      <c r="AF166" s="19"/>
      <c r="AG166" s="19"/>
    </row>
    <row r="167" spans="1:33" hidden="1" outlineLevel="2" x14ac:dyDescent="0.2">
      <c r="A167" s="19"/>
      <c r="B167" s="19"/>
      <c r="C167" s="506" t="str">
        <f t="shared" si="8"/>
        <v>Residential time of use demand DER</v>
      </c>
      <c r="D167" s="505" t="str">
        <f t="shared" si="8"/>
        <v>Residential</v>
      </c>
      <c r="E167" s="505" t="str">
        <f t="shared" si="8"/>
        <v>TAS97</v>
      </c>
      <c r="F167" s="505">
        <f t="shared" si="8"/>
        <v>0</v>
      </c>
      <c r="G167" s="505">
        <f t="shared" si="8"/>
        <v>0</v>
      </c>
      <c r="H167" s="58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7"/>
      <c r="AD167" s="19"/>
      <c r="AE167" s="19"/>
      <c r="AF167" s="19"/>
      <c r="AG167" s="19"/>
    </row>
    <row r="168" spans="1:33" hidden="1" outlineLevel="2" x14ac:dyDescent="0.2">
      <c r="A168" s="19"/>
      <c r="B168" s="19"/>
      <c r="C168" s="506" t="str">
        <f t="shared" si="8"/>
        <v>Residential pay as you go</v>
      </c>
      <c r="D168" s="505" t="str">
        <f t="shared" si="8"/>
        <v>Residential</v>
      </c>
      <c r="E168" s="505" t="str">
        <f t="shared" si="8"/>
        <v>TAS101</v>
      </c>
      <c r="F168" s="505">
        <f t="shared" si="8"/>
        <v>0</v>
      </c>
      <c r="G168" s="505">
        <f t="shared" si="8"/>
        <v>0</v>
      </c>
      <c r="H168" s="58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7"/>
      <c r="AD168" s="19"/>
      <c r="AE168" s="19"/>
      <c r="AF168" s="19"/>
      <c r="AG168" s="19"/>
    </row>
    <row r="169" spans="1:33" hidden="1" outlineLevel="2" x14ac:dyDescent="0.2">
      <c r="A169" s="19"/>
      <c r="B169" s="19"/>
      <c r="C169" s="506" t="str">
        <f t="shared" si="8"/>
        <v>Residential pay as you go time of use</v>
      </c>
      <c r="D169" s="505" t="str">
        <f t="shared" si="8"/>
        <v>Residential</v>
      </c>
      <c r="E169" s="505" t="str">
        <f t="shared" si="8"/>
        <v>TAS92</v>
      </c>
      <c r="F169" s="505">
        <f t="shared" si="8"/>
        <v>0</v>
      </c>
      <c r="G169" s="505">
        <f t="shared" si="8"/>
        <v>0</v>
      </c>
      <c r="H169" s="58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7"/>
      <c r="AD169" s="19"/>
      <c r="AE169" s="19"/>
      <c r="AF169" s="19"/>
      <c r="AG169" s="19"/>
    </row>
    <row r="170" spans="1:33" hidden="1" outlineLevel="2" x14ac:dyDescent="0.2">
      <c r="A170" s="19"/>
      <c r="B170" s="19"/>
      <c r="C170" s="506" t="str">
        <f t="shared" si="8"/>
        <v>Small business time of use consumption</v>
      </c>
      <c r="D170" s="505" t="str">
        <f t="shared" si="8"/>
        <v>Small Business LV</v>
      </c>
      <c r="E170" s="505" t="str">
        <f t="shared" si="8"/>
        <v>TAS94</v>
      </c>
      <c r="F170" s="505">
        <f t="shared" si="8"/>
        <v>0</v>
      </c>
      <c r="G170" s="505">
        <f t="shared" si="8"/>
        <v>0</v>
      </c>
      <c r="H170" s="58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7"/>
      <c r="AD170" s="19"/>
      <c r="AE170" s="19"/>
      <c r="AF170" s="19"/>
      <c r="AG170" s="19"/>
    </row>
    <row r="171" spans="1:33" hidden="1" outlineLevel="2" x14ac:dyDescent="0.2">
      <c r="A171" s="19"/>
      <c r="B171" s="19"/>
      <c r="C171" s="506" t="str">
        <f t="shared" si="8"/>
        <v>Small business general light and power</v>
      </c>
      <c r="D171" s="505" t="str">
        <f t="shared" si="8"/>
        <v>Small Business LV</v>
      </c>
      <c r="E171" s="505" t="str">
        <f t="shared" si="8"/>
        <v>TAS22</v>
      </c>
      <c r="F171" s="505">
        <f t="shared" si="8"/>
        <v>0</v>
      </c>
      <c r="G171" s="505">
        <f t="shared" si="8"/>
        <v>0</v>
      </c>
      <c r="H171" s="58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7"/>
      <c r="AD171" s="19"/>
      <c r="AE171" s="19"/>
      <c r="AF171" s="19"/>
      <c r="AG171" s="19"/>
    </row>
    <row r="172" spans="1:33" hidden="1" outlineLevel="2" x14ac:dyDescent="0.2">
      <c r="A172" s="19"/>
      <c r="B172" s="19"/>
      <c r="C172" s="506" t="str">
        <f t="shared" si="8"/>
        <v>Small business time of use demand</v>
      </c>
      <c r="D172" s="505" t="str">
        <f t="shared" si="8"/>
        <v>Small Business LV</v>
      </c>
      <c r="E172" s="505" t="str">
        <f t="shared" si="8"/>
        <v>TAS88</v>
      </c>
      <c r="F172" s="505">
        <f t="shared" si="8"/>
        <v>0</v>
      </c>
      <c r="G172" s="505">
        <f t="shared" si="8"/>
        <v>0</v>
      </c>
      <c r="H172" s="58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7"/>
      <c r="AD172" s="19"/>
      <c r="AE172" s="19"/>
      <c r="AF172" s="19"/>
      <c r="AG172" s="19"/>
    </row>
    <row r="173" spans="1:33" hidden="1" outlineLevel="2" x14ac:dyDescent="0.2">
      <c r="A173" s="19"/>
      <c r="B173" s="19"/>
      <c r="C173" s="506" t="str">
        <f t="shared" si="8"/>
        <v>Small business time of use demand DER</v>
      </c>
      <c r="D173" s="505" t="str">
        <f t="shared" si="8"/>
        <v>Small Business LV</v>
      </c>
      <c r="E173" s="505" t="str">
        <f t="shared" si="8"/>
        <v>TAS98</v>
      </c>
      <c r="F173" s="505">
        <f t="shared" si="8"/>
        <v>0</v>
      </c>
      <c r="G173" s="505">
        <f t="shared" si="8"/>
        <v>0</v>
      </c>
      <c r="H173" s="58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7"/>
      <c r="AD173" s="19"/>
      <c r="AE173" s="19"/>
      <c r="AF173" s="19"/>
      <c r="AG173" s="19"/>
    </row>
    <row r="174" spans="1:33" hidden="1" outlineLevel="2" x14ac:dyDescent="0.2">
      <c r="A174" s="19"/>
      <c r="B174" s="19"/>
      <c r="C174" s="506" t="str">
        <f t="shared" ref="C174:G183" si="9">C18</f>
        <v>Large business kVA demand</v>
      </c>
      <c r="D174" s="505" t="str">
        <f t="shared" si="9"/>
        <v>Large Business LV</v>
      </c>
      <c r="E174" s="505" t="str">
        <f t="shared" si="9"/>
        <v>TAS82</v>
      </c>
      <c r="F174" s="505">
        <f t="shared" si="9"/>
        <v>0</v>
      </c>
      <c r="G174" s="505">
        <f t="shared" si="9"/>
        <v>0</v>
      </c>
      <c r="H174" s="58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7"/>
      <c r="AD174" s="19"/>
      <c r="AE174" s="19"/>
      <c r="AF174" s="19"/>
      <c r="AG174" s="19"/>
    </row>
    <row r="175" spans="1:33" hidden="1" outlineLevel="2" x14ac:dyDescent="0.2">
      <c r="A175" s="19"/>
      <c r="B175" s="19"/>
      <c r="C175" s="506" t="str">
        <f t="shared" si="9"/>
        <v>Large business time of use demand</v>
      </c>
      <c r="D175" s="505" t="str">
        <f t="shared" si="9"/>
        <v>Large Business LV</v>
      </c>
      <c r="E175" s="505" t="str">
        <f t="shared" si="9"/>
        <v>TAS89</v>
      </c>
      <c r="F175" s="505">
        <f t="shared" si="9"/>
        <v>0</v>
      </c>
      <c r="G175" s="505">
        <f t="shared" si="9"/>
        <v>0</v>
      </c>
      <c r="H175" s="58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7"/>
      <c r="AD175" s="19"/>
      <c r="AE175" s="19"/>
      <c r="AF175" s="19"/>
      <c r="AG175" s="19"/>
    </row>
    <row r="176" spans="1:33" hidden="1" outlineLevel="2" x14ac:dyDescent="0.2">
      <c r="A176" s="19"/>
      <c r="B176" s="19"/>
      <c r="C176" s="506" t="str">
        <f t="shared" si="9"/>
        <v>Irrigation time of use consumption</v>
      </c>
      <c r="D176" s="505" t="str">
        <f t="shared" si="9"/>
        <v>Irrigation</v>
      </c>
      <c r="E176" s="505" t="str">
        <f t="shared" si="9"/>
        <v>TAS75</v>
      </c>
      <c r="F176" s="505">
        <f t="shared" si="9"/>
        <v>0</v>
      </c>
      <c r="G176" s="505">
        <f t="shared" si="9"/>
        <v>0</v>
      </c>
      <c r="H176" s="58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7"/>
      <c r="AD176" s="19"/>
      <c r="AE176" s="19"/>
      <c r="AF176" s="19"/>
      <c r="AG176" s="19"/>
    </row>
    <row r="177" spans="1:33" hidden="1" outlineLevel="2" x14ac:dyDescent="0.2">
      <c r="A177" s="19"/>
      <c r="B177" s="19"/>
      <c r="C177" s="506" t="str">
        <f t="shared" si="9"/>
        <v>Business HV kVA specified demand &lt;2MVA</v>
      </c>
      <c r="D177" s="505" t="str">
        <f t="shared" si="9"/>
        <v>Large Business HV</v>
      </c>
      <c r="E177" s="505" t="str">
        <f t="shared" si="9"/>
        <v>TASSDM</v>
      </c>
      <c r="F177" s="505">
        <f t="shared" si="9"/>
        <v>0</v>
      </c>
      <c r="G177" s="505">
        <f t="shared" si="9"/>
        <v>0</v>
      </c>
      <c r="H177" s="58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7"/>
      <c r="AD177" s="19"/>
      <c r="AE177" s="19"/>
      <c r="AF177" s="19"/>
      <c r="AG177" s="19"/>
    </row>
    <row r="178" spans="1:33" hidden="1" outlineLevel="2" x14ac:dyDescent="0.2">
      <c r="A178" s="19"/>
      <c r="B178" s="19"/>
      <c r="C178" s="506" t="str">
        <f t="shared" si="9"/>
        <v>Business HV kVA specified demand &gt;2MVA</v>
      </c>
      <c r="D178" s="505" t="str">
        <f t="shared" si="9"/>
        <v>Large Business HV</v>
      </c>
      <c r="E178" s="505" t="str">
        <f t="shared" si="9"/>
        <v>TAS15*</v>
      </c>
      <c r="F178" s="505">
        <f t="shared" si="9"/>
        <v>0</v>
      </c>
      <c r="G178" s="505">
        <f t="shared" si="9"/>
        <v>0</v>
      </c>
      <c r="H178" s="58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7"/>
      <c r="AD178" s="19"/>
      <c r="AE178" s="19"/>
      <c r="AF178" s="19"/>
      <c r="AG178" s="19"/>
    </row>
    <row r="179" spans="1:33" hidden="1" outlineLevel="2" x14ac:dyDescent="0.2">
      <c r="A179" s="19"/>
      <c r="B179" s="19"/>
      <c r="C179" s="506" t="str">
        <f t="shared" si="9"/>
        <v>Uncontrolled low voltage heating and hot water</v>
      </c>
      <c r="D179" s="505" t="str">
        <f t="shared" si="9"/>
        <v>Uncontrolled energy</v>
      </c>
      <c r="E179" s="505" t="str">
        <f t="shared" si="9"/>
        <v>TAS41</v>
      </c>
      <c r="F179" s="505">
        <f t="shared" si="9"/>
        <v>0</v>
      </c>
      <c r="G179" s="505">
        <f t="shared" si="9"/>
        <v>0</v>
      </c>
      <c r="H179" s="58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7"/>
      <c r="AD179" s="19"/>
      <c r="AE179" s="19"/>
      <c r="AF179" s="19"/>
      <c r="AG179" s="19"/>
    </row>
    <row r="180" spans="1:33" hidden="1" outlineLevel="2" x14ac:dyDescent="0.2">
      <c r="A180" s="19"/>
      <c r="B180" s="19"/>
      <c r="C180" s="506" t="str">
        <f t="shared" si="9"/>
        <v>Controlled low voltage night period only</v>
      </c>
      <c r="D180" s="505" t="str">
        <f t="shared" si="9"/>
        <v>Controlled energy</v>
      </c>
      <c r="E180" s="505" t="str">
        <f t="shared" si="9"/>
        <v>TAS63</v>
      </c>
      <c r="F180" s="505">
        <f t="shared" si="9"/>
        <v>0</v>
      </c>
      <c r="G180" s="505">
        <f t="shared" si="9"/>
        <v>0</v>
      </c>
      <c r="H180" s="58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7"/>
      <c r="AD180" s="19"/>
      <c r="AE180" s="19"/>
      <c r="AF180" s="19"/>
      <c r="AG180" s="19"/>
    </row>
    <row r="181" spans="1:33" hidden="1" outlineLevel="2" x14ac:dyDescent="0.2">
      <c r="A181" s="19"/>
      <c r="B181" s="19"/>
      <c r="C181" s="506" t="str">
        <f t="shared" si="9"/>
        <v>Controlled low voltage off peak with afternoon boost</v>
      </c>
      <c r="D181" s="505" t="str">
        <f t="shared" si="9"/>
        <v>Controlled energy</v>
      </c>
      <c r="E181" s="505" t="str">
        <f t="shared" si="9"/>
        <v>TAS61</v>
      </c>
      <c r="F181" s="505">
        <f t="shared" si="9"/>
        <v>0</v>
      </c>
      <c r="G181" s="505">
        <f t="shared" si="9"/>
        <v>0</v>
      </c>
      <c r="H181" s="58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7"/>
      <c r="AD181" s="19"/>
      <c r="AE181" s="19"/>
      <c r="AF181" s="19"/>
      <c r="AG181" s="19"/>
    </row>
    <row r="182" spans="1:33" hidden="1" outlineLevel="2" x14ac:dyDescent="0.2">
      <c r="A182" s="19"/>
      <c r="B182" s="19"/>
      <c r="C182" s="506" t="str">
        <f t="shared" si="9"/>
        <v>Unmetered supply general</v>
      </c>
      <c r="D182" s="505" t="str">
        <f t="shared" si="9"/>
        <v>Unmetered supplies</v>
      </c>
      <c r="E182" s="505" t="str">
        <f t="shared" si="9"/>
        <v>TASUMS</v>
      </c>
      <c r="F182" s="505">
        <f t="shared" si="9"/>
        <v>0</v>
      </c>
      <c r="G182" s="505">
        <f t="shared" si="9"/>
        <v>0</v>
      </c>
      <c r="H182" s="58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5"/>
      <c r="AC182" s="187"/>
      <c r="AD182" s="19"/>
      <c r="AE182" s="19"/>
      <c r="AF182" s="19"/>
      <c r="AG182" s="19"/>
    </row>
    <row r="183" spans="1:33" hidden="1" outlineLevel="2" x14ac:dyDescent="0.2">
      <c r="A183" s="19"/>
      <c r="B183" s="19"/>
      <c r="C183" s="506" t="str">
        <f t="shared" si="9"/>
        <v>Street lighting</v>
      </c>
      <c r="D183" s="505" t="str">
        <f t="shared" si="9"/>
        <v>Street lighting</v>
      </c>
      <c r="E183" s="505" t="str">
        <f t="shared" si="9"/>
        <v>TASUMSSL</v>
      </c>
      <c r="F183" s="505">
        <f t="shared" si="9"/>
        <v>0</v>
      </c>
      <c r="G183" s="505">
        <f t="shared" si="9"/>
        <v>0</v>
      </c>
      <c r="H183" s="58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7"/>
      <c r="AD183" s="19"/>
      <c r="AE183" s="19"/>
      <c r="AF183" s="19"/>
      <c r="AG183" s="19"/>
    </row>
    <row r="184" spans="1:33" hidden="1" outlineLevel="2" x14ac:dyDescent="0.2">
      <c r="A184" s="19"/>
      <c r="B184" s="19"/>
      <c r="C184" s="506">
        <f t="shared" ref="C184:G193" si="10">C28</f>
        <v>0</v>
      </c>
      <c r="D184" s="505">
        <f t="shared" si="10"/>
        <v>0</v>
      </c>
      <c r="E184" s="505">
        <f t="shared" si="10"/>
        <v>0</v>
      </c>
      <c r="F184" s="505">
        <f t="shared" si="10"/>
        <v>0</v>
      </c>
      <c r="G184" s="505">
        <f t="shared" si="10"/>
        <v>0</v>
      </c>
      <c r="H184" s="58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7"/>
      <c r="AD184" s="19"/>
      <c r="AE184" s="19"/>
      <c r="AF184" s="19"/>
      <c r="AG184" s="19"/>
    </row>
    <row r="185" spans="1:33" hidden="1" outlineLevel="2" x14ac:dyDescent="0.2">
      <c r="A185" s="19"/>
      <c r="B185" s="19"/>
      <c r="C185" s="506">
        <f t="shared" si="10"/>
        <v>0</v>
      </c>
      <c r="D185" s="505">
        <f t="shared" si="10"/>
        <v>0</v>
      </c>
      <c r="E185" s="505">
        <f t="shared" si="10"/>
        <v>0</v>
      </c>
      <c r="F185" s="505">
        <f t="shared" si="10"/>
        <v>0</v>
      </c>
      <c r="G185" s="505">
        <f t="shared" si="10"/>
        <v>0</v>
      </c>
      <c r="H185" s="58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5"/>
      <c r="AC185" s="187"/>
      <c r="AD185" s="19"/>
      <c r="AE185" s="19"/>
      <c r="AF185" s="19"/>
      <c r="AG185" s="19"/>
    </row>
    <row r="186" spans="1:33" hidden="1" outlineLevel="2" x14ac:dyDescent="0.2">
      <c r="A186" s="19"/>
      <c r="B186" s="19"/>
      <c r="C186" s="506">
        <f t="shared" si="10"/>
        <v>0</v>
      </c>
      <c r="D186" s="505">
        <f t="shared" si="10"/>
        <v>0</v>
      </c>
      <c r="E186" s="505">
        <f t="shared" si="10"/>
        <v>0</v>
      </c>
      <c r="F186" s="505">
        <f t="shared" si="10"/>
        <v>0</v>
      </c>
      <c r="G186" s="505">
        <f t="shared" si="10"/>
        <v>0</v>
      </c>
      <c r="H186" s="58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7"/>
      <c r="AD186" s="19"/>
      <c r="AE186" s="19"/>
      <c r="AF186" s="19"/>
      <c r="AG186" s="19"/>
    </row>
    <row r="187" spans="1:33" hidden="1" outlineLevel="2" x14ac:dyDescent="0.2">
      <c r="A187" s="19"/>
      <c r="B187" s="19"/>
      <c r="C187" s="506">
        <f t="shared" si="10"/>
        <v>0</v>
      </c>
      <c r="D187" s="505">
        <f t="shared" si="10"/>
        <v>0</v>
      </c>
      <c r="E187" s="505">
        <f t="shared" si="10"/>
        <v>0</v>
      </c>
      <c r="F187" s="505">
        <f t="shared" si="10"/>
        <v>0</v>
      </c>
      <c r="G187" s="505">
        <f t="shared" si="10"/>
        <v>0</v>
      </c>
      <c r="H187" s="58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7"/>
      <c r="AD187" s="19"/>
      <c r="AE187" s="19"/>
      <c r="AF187" s="19"/>
      <c r="AG187" s="19"/>
    </row>
    <row r="188" spans="1:33" hidden="1" outlineLevel="2" x14ac:dyDescent="0.2">
      <c r="A188" s="19"/>
      <c r="B188" s="19"/>
      <c r="C188" s="506">
        <f t="shared" si="10"/>
        <v>0</v>
      </c>
      <c r="D188" s="505">
        <f t="shared" si="10"/>
        <v>0</v>
      </c>
      <c r="E188" s="505">
        <f t="shared" si="10"/>
        <v>0</v>
      </c>
      <c r="F188" s="505">
        <f t="shared" si="10"/>
        <v>0</v>
      </c>
      <c r="G188" s="505">
        <f t="shared" si="10"/>
        <v>0</v>
      </c>
      <c r="H188" s="58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7"/>
      <c r="AD188" s="19"/>
      <c r="AE188" s="19"/>
      <c r="AF188" s="19"/>
      <c r="AG188" s="19"/>
    </row>
    <row r="189" spans="1:33" hidden="1" outlineLevel="2" x14ac:dyDescent="0.2">
      <c r="A189" s="19"/>
      <c r="B189" s="19"/>
      <c r="C189" s="506">
        <f t="shared" si="10"/>
        <v>0</v>
      </c>
      <c r="D189" s="505">
        <f t="shared" si="10"/>
        <v>0</v>
      </c>
      <c r="E189" s="505">
        <f t="shared" si="10"/>
        <v>0</v>
      </c>
      <c r="F189" s="505">
        <f t="shared" si="10"/>
        <v>0</v>
      </c>
      <c r="G189" s="505">
        <f t="shared" si="10"/>
        <v>0</v>
      </c>
      <c r="H189" s="58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7"/>
      <c r="AD189" s="19"/>
      <c r="AE189" s="19"/>
      <c r="AF189" s="19"/>
      <c r="AG189" s="19"/>
    </row>
    <row r="190" spans="1:33" hidden="1" outlineLevel="2" x14ac:dyDescent="0.2">
      <c r="A190" s="19"/>
      <c r="B190" s="19"/>
      <c r="C190" s="506">
        <f t="shared" si="10"/>
        <v>0</v>
      </c>
      <c r="D190" s="505">
        <f t="shared" si="10"/>
        <v>0</v>
      </c>
      <c r="E190" s="505">
        <f t="shared" si="10"/>
        <v>0</v>
      </c>
      <c r="F190" s="505">
        <f t="shared" si="10"/>
        <v>0</v>
      </c>
      <c r="G190" s="505">
        <f t="shared" si="10"/>
        <v>0</v>
      </c>
      <c r="H190" s="58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7"/>
      <c r="AD190" s="19"/>
      <c r="AE190" s="19"/>
      <c r="AF190" s="19"/>
      <c r="AG190" s="19"/>
    </row>
    <row r="191" spans="1:33" hidden="1" outlineLevel="2" x14ac:dyDescent="0.2">
      <c r="A191" s="19"/>
      <c r="B191" s="19"/>
      <c r="C191" s="506">
        <f t="shared" si="10"/>
        <v>0</v>
      </c>
      <c r="D191" s="505">
        <f t="shared" si="10"/>
        <v>0</v>
      </c>
      <c r="E191" s="505">
        <f t="shared" si="10"/>
        <v>0</v>
      </c>
      <c r="F191" s="505">
        <f t="shared" si="10"/>
        <v>0</v>
      </c>
      <c r="G191" s="505">
        <f t="shared" si="10"/>
        <v>0</v>
      </c>
      <c r="H191" s="58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5"/>
      <c r="AC191" s="187"/>
      <c r="AD191" s="19"/>
      <c r="AE191" s="19"/>
      <c r="AF191" s="19"/>
      <c r="AG191" s="19"/>
    </row>
    <row r="192" spans="1:33" hidden="1" outlineLevel="2" x14ac:dyDescent="0.2">
      <c r="A192" s="19"/>
      <c r="B192" s="19"/>
      <c r="C192" s="506">
        <f t="shared" si="10"/>
        <v>0</v>
      </c>
      <c r="D192" s="505">
        <f t="shared" si="10"/>
        <v>0</v>
      </c>
      <c r="E192" s="505">
        <f t="shared" si="10"/>
        <v>0</v>
      </c>
      <c r="F192" s="505">
        <f t="shared" si="10"/>
        <v>0</v>
      </c>
      <c r="G192" s="505">
        <f t="shared" si="10"/>
        <v>0</v>
      </c>
      <c r="H192" s="58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  <c r="AA192" s="185"/>
      <c r="AB192" s="185"/>
      <c r="AC192" s="187"/>
      <c r="AD192" s="19"/>
      <c r="AE192" s="19"/>
      <c r="AF192" s="19"/>
      <c r="AG192" s="19"/>
    </row>
    <row r="193" spans="1:33" hidden="1" outlineLevel="2" x14ac:dyDescent="0.2">
      <c r="A193" s="19"/>
      <c r="B193" s="19"/>
      <c r="C193" s="506">
        <f t="shared" si="10"/>
        <v>0</v>
      </c>
      <c r="D193" s="505">
        <f t="shared" si="10"/>
        <v>0</v>
      </c>
      <c r="E193" s="505">
        <f t="shared" si="10"/>
        <v>0</v>
      </c>
      <c r="F193" s="505">
        <f t="shared" si="10"/>
        <v>0</v>
      </c>
      <c r="G193" s="505">
        <f t="shared" si="10"/>
        <v>0</v>
      </c>
      <c r="H193" s="58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5"/>
      <c r="AC193" s="187"/>
      <c r="AD193" s="19"/>
      <c r="AE193" s="19"/>
      <c r="AF193" s="19"/>
      <c r="AG193" s="19"/>
    </row>
    <row r="194" spans="1:33" hidden="1" outlineLevel="2" x14ac:dyDescent="0.2">
      <c r="A194" s="19"/>
      <c r="B194" s="19"/>
      <c r="C194" s="506">
        <f t="shared" ref="C194:G203" si="11">C38</f>
        <v>0</v>
      </c>
      <c r="D194" s="505">
        <f t="shared" si="11"/>
        <v>0</v>
      </c>
      <c r="E194" s="505">
        <f t="shared" si="11"/>
        <v>0</v>
      </c>
      <c r="F194" s="505">
        <f t="shared" si="11"/>
        <v>0</v>
      </c>
      <c r="G194" s="505">
        <f t="shared" si="11"/>
        <v>0</v>
      </c>
      <c r="H194" s="58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  <c r="AA194" s="185"/>
      <c r="AB194" s="185"/>
      <c r="AC194" s="187"/>
      <c r="AD194" s="19"/>
      <c r="AE194" s="19"/>
      <c r="AF194" s="19"/>
      <c r="AG194" s="19"/>
    </row>
    <row r="195" spans="1:33" hidden="1" outlineLevel="2" x14ac:dyDescent="0.2">
      <c r="A195" s="19"/>
      <c r="B195" s="19"/>
      <c r="C195" s="506">
        <f t="shared" si="11"/>
        <v>0</v>
      </c>
      <c r="D195" s="505">
        <f t="shared" si="11"/>
        <v>0</v>
      </c>
      <c r="E195" s="505">
        <f t="shared" si="11"/>
        <v>0</v>
      </c>
      <c r="F195" s="505">
        <f t="shared" si="11"/>
        <v>0</v>
      </c>
      <c r="G195" s="505">
        <f t="shared" si="11"/>
        <v>0</v>
      </c>
      <c r="H195" s="58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5"/>
      <c r="AC195" s="187"/>
      <c r="AD195" s="19"/>
      <c r="AE195" s="19"/>
      <c r="AF195" s="19"/>
      <c r="AG195" s="19"/>
    </row>
    <row r="196" spans="1:33" hidden="1" outlineLevel="2" x14ac:dyDescent="0.2">
      <c r="A196" s="19"/>
      <c r="B196" s="19"/>
      <c r="C196" s="506">
        <f t="shared" si="11"/>
        <v>0</v>
      </c>
      <c r="D196" s="505">
        <f t="shared" si="11"/>
        <v>0</v>
      </c>
      <c r="E196" s="505">
        <f t="shared" si="11"/>
        <v>0</v>
      </c>
      <c r="F196" s="505">
        <f t="shared" si="11"/>
        <v>0</v>
      </c>
      <c r="G196" s="505">
        <f t="shared" si="11"/>
        <v>0</v>
      </c>
      <c r="H196" s="58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7"/>
      <c r="AD196" s="19"/>
      <c r="AE196" s="19"/>
      <c r="AF196" s="19"/>
      <c r="AG196" s="19"/>
    </row>
    <row r="197" spans="1:33" hidden="1" outlineLevel="2" x14ac:dyDescent="0.2">
      <c r="A197" s="19"/>
      <c r="B197" s="19"/>
      <c r="C197" s="506">
        <f t="shared" si="11"/>
        <v>0</v>
      </c>
      <c r="D197" s="505">
        <f t="shared" si="11"/>
        <v>0</v>
      </c>
      <c r="E197" s="505">
        <f t="shared" si="11"/>
        <v>0</v>
      </c>
      <c r="F197" s="505">
        <f t="shared" si="11"/>
        <v>0</v>
      </c>
      <c r="G197" s="505">
        <f t="shared" si="11"/>
        <v>0</v>
      </c>
      <c r="H197" s="58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7"/>
      <c r="AD197" s="19"/>
      <c r="AE197" s="19"/>
      <c r="AF197" s="19"/>
      <c r="AG197" s="19"/>
    </row>
    <row r="198" spans="1:33" hidden="1" outlineLevel="2" x14ac:dyDescent="0.2">
      <c r="A198" s="19"/>
      <c r="B198" s="19"/>
      <c r="C198" s="506">
        <f t="shared" si="11"/>
        <v>0</v>
      </c>
      <c r="D198" s="505">
        <f t="shared" si="11"/>
        <v>0</v>
      </c>
      <c r="E198" s="505">
        <f t="shared" si="11"/>
        <v>0</v>
      </c>
      <c r="F198" s="505">
        <f t="shared" si="11"/>
        <v>0</v>
      </c>
      <c r="G198" s="505">
        <f t="shared" si="11"/>
        <v>0</v>
      </c>
      <c r="H198" s="58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7"/>
      <c r="AD198" s="19"/>
      <c r="AE198" s="19"/>
      <c r="AF198" s="19"/>
      <c r="AG198" s="19"/>
    </row>
    <row r="199" spans="1:33" hidden="1" outlineLevel="2" x14ac:dyDescent="0.2">
      <c r="A199" s="19"/>
      <c r="B199" s="19"/>
      <c r="C199" s="506">
        <f t="shared" si="11"/>
        <v>0</v>
      </c>
      <c r="D199" s="505">
        <f t="shared" si="11"/>
        <v>0</v>
      </c>
      <c r="E199" s="505">
        <f t="shared" si="11"/>
        <v>0</v>
      </c>
      <c r="F199" s="505">
        <f t="shared" si="11"/>
        <v>0</v>
      </c>
      <c r="G199" s="505">
        <f t="shared" si="11"/>
        <v>0</v>
      </c>
      <c r="H199" s="58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7"/>
      <c r="AD199" s="19"/>
      <c r="AE199" s="19"/>
      <c r="AF199" s="19"/>
      <c r="AG199" s="19"/>
    </row>
    <row r="200" spans="1:33" hidden="1" outlineLevel="2" x14ac:dyDescent="0.2">
      <c r="A200" s="19"/>
      <c r="B200" s="19"/>
      <c r="C200" s="506">
        <f t="shared" si="11"/>
        <v>0</v>
      </c>
      <c r="D200" s="505">
        <f t="shared" si="11"/>
        <v>0</v>
      </c>
      <c r="E200" s="505">
        <f t="shared" si="11"/>
        <v>0</v>
      </c>
      <c r="F200" s="505">
        <f t="shared" si="11"/>
        <v>0</v>
      </c>
      <c r="G200" s="505">
        <f t="shared" si="11"/>
        <v>0</v>
      </c>
      <c r="H200" s="58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7"/>
      <c r="AD200" s="19"/>
      <c r="AE200" s="19"/>
      <c r="AF200" s="19"/>
      <c r="AG200" s="19"/>
    </row>
    <row r="201" spans="1:33" hidden="1" outlineLevel="2" x14ac:dyDescent="0.2">
      <c r="A201" s="19"/>
      <c r="B201" s="19"/>
      <c r="C201" s="506">
        <f t="shared" si="11"/>
        <v>0</v>
      </c>
      <c r="D201" s="505">
        <f t="shared" si="11"/>
        <v>0</v>
      </c>
      <c r="E201" s="505">
        <f t="shared" si="11"/>
        <v>0</v>
      </c>
      <c r="F201" s="505">
        <f t="shared" si="11"/>
        <v>0</v>
      </c>
      <c r="G201" s="505">
        <f t="shared" si="11"/>
        <v>0</v>
      </c>
      <c r="H201" s="58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7"/>
      <c r="AD201" s="19"/>
      <c r="AE201" s="19"/>
      <c r="AF201" s="19"/>
      <c r="AG201" s="19"/>
    </row>
    <row r="202" spans="1:33" hidden="1" outlineLevel="2" x14ac:dyDescent="0.2">
      <c r="A202" s="19"/>
      <c r="B202" s="19"/>
      <c r="C202" s="506">
        <f t="shared" si="11"/>
        <v>0</v>
      </c>
      <c r="D202" s="505">
        <f t="shared" si="11"/>
        <v>0</v>
      </c>
      <c r="E202" s="505">
        <f t="shared" si="11"/>
        <v>0</v>
      </c>
      <c r="F202" s="505">
        <f t="shared" si="11"/>
        <v>0</v>
      </c>
      <c r="G202" s="505">
        <f t="shared" si="11"/>
        <v>0</v>
      </c>
      <c r="H202" s="58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  <c r="AC202" s="187"/>
      <c r="AD202" s="19"/>
      <c r="AE202" s="19"/>
      <c r="AF202" s="19"/>
      <c r="AG202" s="19"/>
    </row>
    <row r="203" spans="1:33" hidden="1" outlineLevel="2" x14ac:dyDescent="0.2">
      <c r="A203" s="19"/>
      <c r="B203" s="19"/>
      <c r="C203" s="506">
        <f t="shared" si="11"/>
        <v>0</v>
      </c>
      <c r="D203" s="505">
        <f t="shared" si="11"/>
        <v>0</v>
      </c>
      <c r="E203" s="505">
        <f t="shared" si="11"/>
        <v>0</v>
      </c>
      <c r="F203" s="505">
        <f t="shared" si="11"/>
        <v>0</v>
      </c>
      <c r="G203" s="505">
        <f t="shared" si="11"/>
        <v>0</v>
      </c>
      <c r="H203" s="58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7"/>
      <c r="AD203" s="19"/>
      <c r="AE203" s="19"/>
      <c r="AF203" s="19"/>
      <c r="AG203" s="19"/>
    </row>
    <row r="204" spans="1:33" hidden="1" outlineLevel="2" x14ac:dyDescent="0.2">
      <c r="A204" s="19"/>
      <c r="B204" s="19"/>
      <c r="C204" s="506">
        <f t="shared" ref="C204:G213" si="12">C48</f>
        <v>0</v>
      </c>
      <c r="D204" s="505">
        <f t="shared" si="12"/>
        <v>0</v>
      </c>
      <c r="E204" s="505">
        <f t="shared" si="12"/>
        <v>0</v>
      </c>
      <c r="F204" s="505">
        <f t="shared" si="12"/>
        <v>0</v>
      </c>
      <c r="G204" s="505">
        <f t="shared" si="12"/>
        <v>0</v>
      </c>
      <c r="H204" s="58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7"/>
      <c r="AD204" s="19"/>
      <c r="AE204" s="19"/>
      <c r="AF204" s="19"/>
      <c r="AG204" s="19"/>
    </row>
    <row r="205" spans="1:33" hidden="1" outlineLevel="2" x14ac:dyDescent="0.2">
      <c r="A205" s="19"/>
      <c r="B205" s="19"/>
      <c r="C205" s="506">
        <f t="shared" si="12"/>
        <v>0</v>
      </c>
      <c r="D205" s="505">
        <f t="shared" si="12"/>
        <v>0</v>
      </c>
      <c r="E205" s="505">
        <f t="shared" si="12"/>
        <v>0</v>
      </c>
      <c r="F205" s="505">
        <f t="shared" si="12"/>
        <v>0</v>
      </c>
      <c r="G205" s="505">
        <f t="shared" si="12"/>
        <v>0</v>
      </c>
      <c r="H205" s="58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7"/>
      <c r="AD205" s="19"/>
      <c r="AE205" s="19"/>
      <c r="AF205" s="19"/>
      <c r="AG205" s="19"/>
    </row>
    <row r="206" spans="1:33" hidden="1" outlineLevel="2" x14ac:dyDescent="0.2">
      <c r="A206" s="19"/>
      <c r="B206" s="19"/>
      <c r="C206" s="506">
        <f t="shared" si="12"/>
        <v>0</v>
      </c>
      <c r="D206" s="505">
        <f t="shared" si="12"/>
        <v>0</v>
      </c>
      <c r="E206" s="505">
        <f t="shared" si="12"/>
        <v>0</v>
      </c>
      <c r="F206" s="505">
        <f t="shared" si="12"/>
        <v>0</v>
      </c>
      <c r="G206" s="505">
        <f t="shared" si="12"/>
        <v>0</v>
      </c>
      <c r="H206" s="58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7"/>
      <c r="AD206" s="19"/>
      <c r="AE206" s="19"/>
      <c r="AF206" s="19"/>
      <c r="AG206" s="19"/>
    </row>
    <row r="207" spans="1:33" hidden="1" outlineLevel="2" x14ac:dyDescent="0.2">
      <c r="A207" s="19"/>
      <c r="B207" s="19"/>
      <c r="C207" s="506">
        <f t="shared" si="12"/>
        <v>0</v>
      </c>
      <c r="D207" s="505">
        <f t="shared" si="12"/>
        <v>0</v>
      </c>
      <c r="E207" s="505">
        <f t="shared" si="12"/>
        <v>0</v>
      </c>
      <c r="F207" s="505">
        <f t="shared" si="12"/>
        <v>0</v>
      </c>
      <c r="G207" s="505">
        <f t="shared" si="12"/>
        <v>0</v>
      </c>
      <c r="H207" s="58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7"/>
      <c r="AD207" s="19"/>
      <c r="AE207" s="19"/>
      <c r="AF207" s="19"/>
      <c r="AG207" s="19"/>
    </row>
    <row r="208" spans="1:33" hidden="1" outlineLevel="2" x14ac:dyDescent="0.2">
      <c r="A208" s="19"/>
      <c r="B208" s="19"/>
      <c r="C208" s="506">
        <f t="shared" si="12"/>
        <v>0</v>
      </c>
      <c r="D208" s="505">
        <f t="shared" si="12"/>
        <v>0</v>
      </c>
      <c r="E208" s="505">
        <f t="shared" si="12"/>
        <v>0</v>
      </c>
      <c r="F208" s="505">
        <f t="shared" si="12"/>
        <v>0</v>
      </c>
      <c r="G208" s="505">
        <f t="shared" si="12"/>
        <v>0</v>
      </c>
      <c r="H208" s="58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7"/>
      <c r="AD208" s="19"/>
      <c r="AE208" s="19"/>
      <c r="AF208" s="19"/>
      <c r="AG208" s="19"/>
    </row>
    <row r="209" spans="1:33" hidden="1" outlineLevel="2" x14ac:dyDescent="0.2">
      <c r="A209" s="19"/>
      <c r="B209" s="19"/>
      <c r="C209" s="506">
        <f t="shared" si="12"/>
        <v>0</v>
      </c>
      <c r="D209" s="505">
        <f t="shared" si="12"/>
        <v>0</v>
      </c>
      <c r="E209" s="505">
        <f t="shared" si="12"/>
        <v>0</v>
      </c>
      <c r="F209" s="505">
        <f t="shared" si="12"/>
        <v>0</v>
      </c>
      <c r="G209" s="505">
        <f t="shared" si="12"/>
        <v>0</v>
      </c>
      <c r="H209" s="58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7"/>
      <c r="AD209" s="19"/>
      <c r="AE209" s="19"/>
      <c r="AF209" s="19"/>
      <c r="AG209" s="19"/>
    </row>
    <row r="210" spans="1:33" hidden="1" outlineLevel="2" x14ac:dyDescent="0.2">
      <c r="A210" s="19"/>
      <c r="B210" s="19"/>
      <c r="C210" s="506">
        <f t="shared" si="12"/>
        <v>0</v>
      </c>
      <c r="D210" s="505">
        <f t="shared" si="12"/>
        <v>0</v>
      </c>
      <c r="E210" s="505">
        <f t="shared" si="12"/>
        <v>0</v>
      </c>
      <c r="F210" s="505">
        <f t="shared" si="12"/>
        <v>0</v>
      </c>
      <c r="G210" s="505">
        <f t="shared" si="12"/>
        <v>0</v>
      </c>
      <c r="H210" s="58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7"/>
      <c r="AD210" s="19"/>
      <c r="AE210" s="19"/>
      <c r="AF210" s="19"/>
      <c r="AG210" s="19"/>
    </row>
    <row r="211" spans="1:33" hidden="1" outlineLevel="3" x14ac:dyDescent="0.2">
      <c r="A211" s="19"/>
      <c r="B211" s="19"/>
      <c r="C211" s="506">
        <f t="shared" si="12"/>
        <v>0</v>
      </c>
      <c r="D211" s="505">
        <f t="shared" si="12"/>
        <v>0</v>
      </c>
      <c r="E211" s="505">
        <f t="shared" si="12"/>
        <v>0</v>
      </c>
      <c r="F211" s="505">
        <f t="shared" si="12"/>
        <v>0</v>
      </c>
      <c r="G211" s="505">
        <f t="shared" si="12"/>
        <v>0</v>
      </c>
      <c r="H211" s="58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7"/>
      <c r="AD211" s="19"/>
      <c r="AE211" s="19"/>
      <c r="AF211" s="19"/>
      <c r="AG211" s="19"/>
    </row>
    <row r="212" spans="1:33" hidden="1" outlineLevel="3" x14ac:dyDescent="0.2">
      <c r="A212" s="19"/>
      <c r="B212" s="19"/>
      <c r="C212" s="506">
        <f t="shared" si="12"/>
        <v>0</v>
      </c>
      <c r="D212" s="505">
        <f t="shared" si="12"/>
        <v>0</v>
      </c>
      <c r="E212" s="505">
        <f t="shared" si="12"/>
        <v>0</v>
      </c>
      <c r="F212" s="505">
        <f t="shared" si="12"/>
        <v>0</v>
      </c>
      <c r="G212" s="505">
        <f t="shared" si="12"/>
        <v>0</v>
      </c>
      <c r="H212" s="58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7"/>
      <c r="AD212" s="19"/>
      <c r="AE212" s="19"/>
      <c r="AF212" s="19"/>
      <c r="AG212" s="19"/>
    </row>
    <row r="213" spans="1:33" hidden="1" outlineLevel="3" x14ac:dyDescent="0.2">
      <c r="A213" s="19"/>
      <c r="B213" s="19"/>
      <c r="C213" s="506">
        <f t="shared" si="12"/>
        <v>0</v>
      </c>
      <c r="D213" s="505">
        <f t="shared" si="12"/>
        <v>0</v>
      </c>
      <c r="E213" s="505">
        <f t="shared" si="12"/>
        <v>0</v>
      </c>
      <c r="F213" s="505">
        <f t="shared" si="12"/>
        <v>0</v>
      </c>
      <c r="G213" s="505">
        <f t="shared" si="12"/>
        <v>0</v>
      </c>
      <c r="H213" s="58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7"/>
      <c r="AD213" s="19"/>
      <c r="AE213" s="19"/>
      <c r="AF213" s="19"/>
      <c r="AG213" s="19"/>
    </row>
    <row r="214" spans="1:33" hidden="1" outlineLevel="3" x14ac:dyDescent="0.2">
      <c r="A214" s="19"/>
      <c r="B214" s="19"/>
      <c r="C214" s="506">
        <f t="shared" ref="C214:G223" si="13">C58</f>
        <v>0</v>
      </c>
      <c r="D214" s="505">
        <f t="shared" si="13"/>
        <v>0</v>
      </c>
      <c r="E214" s="505">
        <f t="shared" si="13"/>
        <v>0</v>
      </c>
      <c r="F214" s="505">
        <f t="shared" si="13"/>
        <v>0</v>
      </c>
      <c r="G214" s="505">
        <f t="shared" si="13"/>
        <v>0</v>
      </c>
      <c r="H214" s="58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7"/>
      <c r="AD214" s="19"/>
      <c r="AE214" s="19"/>
      <c r="AF214" s="19"/>
      <c r="AG214" s="19"/>
    </row>
    <row r="215" spans="1:33" hidden="1" outlineLevel="3" x14ac:dyDescent="0.2">
      <c r="A215" s="19"/>
      <c r="B215" s="19"/>
      <c r="C215" s="506">
        <f t="shared" si="13"/>
        <v>0</v>
      </c>
      <c r="D215" s="505">
        <f t="shared" si="13"/>
        <v>0</v>
      </c>
      <c r="E215" s="505">
        <f t="shared" si="13"/>
        <v>0</v>
      </c>
      <c r="F215" s="505">
        <f t="shared" si="13"/>
        <v>0</v>
      </c>
      <c r="G215" s="505">
        <f t="shared" si="13"/>
        <v>0</v>
      </c>
      <c r="H215" s="58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  <c r="AC215" s="187"/>
      <c r="AD215" s="19"/>
      <c r="AE215" s="19"/>
      <c r="AF215" s="19"/>
      <c r="AG215" s="19"/>
    </row>
    <row r="216" spans="1:33" hidden="1" outlineLevel="3" x14ac:dyDescent="0.2">
      <c r="A216" s="19"/>
      <c r="B216" s="19"/>
      <c r="C216" s="506">
        <f t="shared" si="13"/>
        <v>0</v>
      </c>
      <c r="D216" s="505">
        <f t="shared" si="13"/>
        <v>0</v>
      </c>
      <c r="E216" s="505">
        <f t="shared" si="13"/>
        <v>0</v>
      </c>
      <c r="F216" s="505">
        <f t="shared" si="13"/>
        <v>0</v>
      </c>
      <c r="G216" s="505">
        <f t="shared" si="13"/>
        <v>0</v>
      </c>
      <c r="H216" s="58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7"/>
      <c r="AD216" s="19"/>
      <c r="AE216" s="19"/>
      <c r="AF216" s="19"/>
      <c r="AG216" s="19"/>
    </row>
    <row r="217" spans="1:33" hidden="1" outlineLevel="3" x14ac:dyDescent="0.2">
      <c r="A217" s="19"/>
      <c r="B217" s="19"/>
      <c r="C217" s="506">
        <f t="shared" si="13"/>
        <v>0</v>
      </c>
      <c r="D217" s="505">
        <f t="shared" si="13"/>
        <v>0</v>
      </c>
      <c r="E217" s="505">
        <f t="shared" si="13"/>
        <v>0</v>
      </c>
      <c r="F217" s="505">
        <f t="shared" si="13"/>
        <v>0</v>
      </c>
      <c r="G217" s="505">
        <f t="shared" si="13"/>
        <v>0</v>
      </c>
      <c r="H217" s="58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  <c r="AC217" s="187"/>
      <c r="AD217" s="19"/>
      <c r="AE217" s="19"/>
      <c r="AF217" s="19"/>
      <c r="AG217" s="19"/>
    </row>
    <row r="218" spans="1:33" hidden="1" outlineLevel="3" x14ac:dyDescent="0.2">
      <c r="A218" s="19"/>
      <c r="B218" s="19"/>
      <c r="C218" s="506">
        <f t="shared" si="13"/>
        <v>0</v>
      </c>
      <c r="D218" s="505">
        <f t="shared" si="13"/>
        <v>0</v>
      </c>
      <c r="E218" s="505">
        <f t="shared" si="13"/>
        <v>0</v>
      </c>
      <c r="F218" s="505">
        <f t="shared" si="13"/>
        <v>0</v>
      </c>
      <c r="G218" s="505">
        <f t="shared" si="13"/>
        <v>0</v>
      </c>
      <c r="H218" s="58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7"/>
      <c r="AD218" s="19"/>
      <c r="AE218" s="19"/>
      <c r="AF218" s="19"/>
      <c r="AG218" s="19"/>
    </row>
    <row r="219" spans="1:33" hidden="1" outlineLevel="3" x14ac:dyDescent="0.2">
      <c r="A219" s="19"/>
      <c r="B219" s="19"/>
      <c r="C219" s="506">
        <f t="shared" si="13"/>
        <v>0</v>
      </c>
      <c r="D219" s="505">
        <f t="shared" si="13"/>
        <v>0</v>
      </c>
      <c r="E219" s="505">
        <f t="shared" si="13"/>
        <v>0</v>
      </c>
      <c r="F219" s="505">
        <f t="shared" si="13"/>
        <v>0</v>
      </c>
      <c r="G219" s="505">
        <f t="shared" si="13"/>
        <v>0</v>
      </c>
      <c r="H219" s="58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7"/>
      <c r="AD219" s="19"/>
      <c r="AE219" s="19"/>
      <c r="AF219" s="19"/>
      <c r="AG219" s="19"/>
    </row>
    <row r="220" spans="1:33" hidden="1" outlineLevel="3" x14ac:dyDescent="0.2">
      <c r="A220" s="19"/>
      <c r="B220" s="19"/>
      <c r="C220" s="506">
        <f t="shared" si="13"/>
        <v>0</v>
      </c>
      <c r="D220" s="505">
        <f t="shared" si="13"/>
        <v>0</v>
      </c>
      <c r="E220" s="505">
        <f t="shared" si="13"/>
        <v>0</v>
      </c>
      <c r="F220" s="505">
        <f t="shared" si="13"/>
        <v>0</v>
      </c>
      <c r="G220" s="505">
        <f t="shared" si="13"/>
        <v>0</v>
      </c>
      <c r="H220" s="58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  <c r="AC220" s="187"/>
      <c r="AD220" s="19"/>
      <c r="AE220" s="19"/>
      <c r="AF220" s="19"/>
      <c r="AG220" s="19"/>
    </row>
    <row r="221" spans="1:33" hidden="1" outlineLevel="3" x14ac:dyDescent="0.2">
      <c r="A221" s="19"/>
      <c r="B221" s="19"/>
      <c r="C221" s="506">
        <f t="shared" si="13"/>
        <v>0</v>
      </c>
      <c r="D221" s="505">
        <f t="shared" si="13"/>
        <v>0</v>
      </c>
      <c r="E221" s="505">
        <f t="shared" si="13"/>
        <v>0</v>
      </c>
      <c r="F221" s="505">
        <f t="shared" si="13"/>
        <v>0</v>
      </c>
      <c r="G221" s="505">
        <f t="shared" si="13"/>
        <v>0</v>
      </c>
      <c r="H221" s="58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7"/>
      <c r="AD221" s="19"/>
      <c r="AE221" s="19"/>
      <c r="AF221" s="19"/>
      <c r="AG221" s="19"/>
    </row>
    <row r="222" spans="1:33" hidden="1" outlineLevel="3" x14ac:dyDescent="0.2">
      <c r="A222" s="19"/>
      <c r="B222" s="19"/>
      <c r="C222" s="506">
        <f t="shared" si="13"/>
        <v>0</v>
      </c>
      <c r="D222" s="505">
        <f t="shared" si="13"/>
        <v>0</v>
      </c>
      <c r="E222" s="505">
        <f t="shared" si="13"/>
        <v>0</v>
      </c>
      <c r="F222" s="505">
        <f t="shared" si="13"/>
        <v>0</v>
      </c>
      <c r="G222" s="505">
        <f t="shared" si="13"/>
        <v>0</v>
      </c>
      <c r="H222" s="58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7"/>
      <c r="AD222" s="19"/>
      <c r="AE222" s="19"/>
      <c r="AF222" s="19"/>
      <c r="AG222" s="19"/>
    </row>
    <row r="223" spans="1:33" hidden="1" outlineLevel="3" x14ac:dyDescent="0.2">
      <c r="A223" s="19"/>
      <c r="B223" s="19"/>
      <c r="C223" s="506">
        <f t="shared" si="13"/>
        <v>0</v>
      </c>
      <c r="D223" s="505">
        <f t="shared" si="13"/>
        <v>0</v>
      </c>
      <c r="E223" s="505">
        <f t="shared" si="13"/>
        <v>0</v>
      </c>
      <c r="F223" s="505">
        <f t="shared" si="13"/>
        <v>0</v>
      </c>
      <c r="G223" s="505">
        <f t="shared" si="13"/>
        <v>0</v>
      </c>
      <c r="H223" s="58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7"/>
      <c r="AD223" s="19"/>
      <c r="AE223" s="19"/>
      <c r="AF223" s="19"/>
      <c r="AG223" s="19"/>
    </row>
    <row r="224" spans="1:33" hidden="1" outlineLevel="3" x14ac:dyDescent="0.2">
      <c r="A224" s="19"/>
      <c r="B224" s="19"/>
      <c r="C224" s="506">
        <f t="shared" ref="C224:G233" si="14">C68</f>
        <v>0</v>
      </c>
      <c r="D224" s="505">
        <f t="shared" si="14"/>
        <v>0</v>
      </c>
      <c r="E224" s="505">
        <f t="shared" si="14"/>
        <v>0</v>
      </c>
      <c r="F224" s="505">
        <f t="shared" si="14"/>
        <v>0</v>
      </c>
      <c r="G224" s="505">
        <f t="shared" si="14"/>
        <v>0</v>
      </c>
      <c r="H224" s="58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7"/>
      <c r="AD224" s="19"/>
      <c r="AE224" s="19"/>
      <c r="AF224" s="19"/>
      <c r="AG224" s="19"/>
    </row>
    <row r="225" spans="1:33" hidden="1" outlineLevel="3" x14ac:dyDescent="0.2">
      <c r="A225" s="19"/>
      <c r="B225" s="19"/>
      <c r="C225" s="506">
        <f t="shared" si="14"/>
        <v>0</v>
      </c>
      <c r="D225" s="505">
        <f t="shared" si="14"/>
        <v>0</v>
      </c>
      <c r="E225" s="505">
        <f t="shared" si="14"/>
        <v>0</v>
      </c>
      <c r="F225" s="505">
        <f t="shared" si="14"/>
        <v>0</v>
      </c>
      <c r="G225" s="505">
        <f t="shared" si="14"/>
        <v>0</v>
      </c>
      <c r="H225" s="58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7"/>
      <c r="AD225" s="19"/>
      <c r="AE225" s="19"/>
      <c r="AF225" s="19"/>
      <c r="AG225" s="19"/>
    </row>
    <row r="226" spans="1:33" hidden="1" outlineLevel="3" x14ac:dyDescent="0.2">
      <c r="A226" s="19"/>
      <c r="B226" s="19"/>
      <c r="C226" s="506">
        <f t="shared" si="14"/>
        <v>0</v>
      </c>
      <c r="D226" s="505">
        <f t="shared" si="14"/>
        <v>0</v>
      </c>
      <c r="E226" s="505">
        <f t="shared" si="14"/>
        <v>0</v>
      </c>
      <c r="F226" s="505">
        <f t="shared" si="14"/>
        <v>0</v>
      </c>
      <c r="G226" s="505">
        <f t="shared" si="14"/>
        <v>0</v>
      </c>
      <c r="H226" s="58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7"/>
      <c r="AD226" s="19"/>
      <c r="AE226" s="19"/>
      <c r="AF226" s="19"/>
      <c r="AG226" s="19"/>
    </row>
    <row r="227" spans="1:33" hidden="1" outlineLevel="3" x14ac:dyDescent="0.2">
      <c r="A227" s="19"/>
      <c r="B227" s="19"/>
      <c r="C227" s="506">
        <f t="shared" si="14"/>
        <v>0</v>
      </c>
      <c r="D227" s="505">
        <f t="shared" si="14"/>
        <v>0</v>
      </c>
      <c r="E227" s="505">
        <f t="shared" si="14"/>
        <v>0</v>
      </c>
      <c r="F227" s="505">
        <f t="shared" si="14"/>
        <v>0</v>
      </c>
      <c r="G227" s="505">
        <f t="shared" si="14"/>
        <v>0</v>
      </c>
      <c r="H227" s="58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7"/>
      <c r="AD227" s="19"/>
      <c r="AE227" s="19"/>
      <c r="AF227" s="19"/>
      <c r="AG227" s="19"/>
    </row>
    <row r="228" spans="1:33" hidden="1" outlineLevel="3" x14ac:dyDescent="0.2">
      <c r="A228" s="19"/>
      <c r="B228" s="19"/>
      <c r="C228" s="506">
        <f t="shared" si="14"/>
        <v>0</v>
      </c>
      <c r="D228" s="505">
        <f t="shared" si="14"/>
        <v>0</v>
      </c>
      <c r="E228" s="505">
        <f t="shared" si="14"/>
        <v>0</v>
      </c>
      <c r="F228" s="505">
        <f t="shared" si="14"/>
        <v>0</v>
      </c>
      <c r="G228" s="505">
        <f t="shared" si="14"/>
        <v>0</v>
      </c>
      <c r="H228" s="58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7"/>
      <c r="AD228" s="19"/>
      <c r="AE228" s="19"/>
      <c r="AF228" s="19"/>
      <c r="AG228" s="19"/>
    </row>
    <row r="229" spans="1:33" hidden="1" outlineLevel="3" x14ac:dyDescent="0.2">
      <c r="A229" s="19"/>
      <c r="B229" s="19"/>
      <c r="C229" s="506">
        <f t="shared" si="14"/>
        <v>0</v>
      </c>
      <c r="D229" s="505">
        <f t="shared" si="14"/>
        <v>0</v>
      </c>
      <c r="E229" s="505">
        <f t="shared" si="14"/>
        <v>0</v>
      </c>
      <c r="F229" s="505">
        <f t="shared" si="14"/>
        <v>0</v>
      </c>
      <c r="G229" s="505">
        <f t="shared" si="14"/>
        <v>0</v>
      </c>
      <c r="H229" s="58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7"/>
      <c r="AD229" s="19"/>
      <c r="AE229" s="19"/>
      <c r="AF229" s="19"/>
      <c r="AG229" s="19"/>
    </row>
    <row r="230" spans="1:33" hidden="1" outlineLevel="3" x14ac:dyDescent="0.2">
      <c r="A230" s="19"/>
      <c r="B230" s="19"/>
      <c r="C230" s="506">
        <f t="shared" si="14"/>
        <v>0</v>
      </c>
      <c r="D230" s="505">
        <f t="shared" si="14"/>
        <v>0</v>
      </c>
      <c r="E230" s="505">
        <f t="shared" si="14"/>
        <v>0</v>
      </c>
      <c r="F230" s="505">
        <f t="shared" si="14"/>
        <v>0</v>
      </c>
      <c r="G230" s="505">
        <f t="shared" si="14"/>
        <v>0</v>
      </c>
      <c r="H230" s="58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7"/>
      <c r="AD230" s="19"/>
      <c r="AE230" s="19"/>
      <c r="AF230" s="19"/>
      <c r="AG230" s="19"/>
    </row>
    <row r="231" spans="1:33" hidden="1" outlineLevel="3" x14ac:dyDescent="0.2">
      <c r="A231" s="19"/>
      <c r="B231" s="19"/>
      <c r="C231" s="506">
        <f t="shared" si="14"/>
        <v>0</v>
      </c>
      <c r="D231" s="505">
        <f t="shared" si="14"/>
        <v>0</v>
      </c>
      <c r="E231" s="505">
        <f t="shared" si="14"/>
        <v>0</v>
      </c>
      <c r="F231" s="505">
        <f t="shared" si="14"/>
        <v>0</v>
      </c>
      <c r="G231" s="505">
        <f t="shared" si="14"/>
        <v>0</v>
      </c>
      <c r="H231" s="58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7"/>
      <c r="AD231" s="19"/>
      <c r="AE231" s="19"/>
      <c r="AF231" s="19"/>
      <c r="AG231" s="19"/>
    </row>
    <row r="232" spans="1:33" hidden="1" outlineLevel="3" x14ac:dyDescent="0.2">
      <c r="A232" s="19"/>
      <c r="B232" s="19"/>
      <c r="C232" s="506">
        <f t="shared" si="14"/>
        <v>0</v>
      </c>
      <c r="D232" s="505">
        <f t="shared" si="14"/>
        <v>0</v>
      </c>
      <c r="E232" s="505">
        <f t="shared" si="14"/>
        <v>0</v>
      </c>
      <c r="F232" s="505">
        <f t="shared" si="14"/>
        <v>0</v>
      </c>
      <c r="G232" s="505">
        <f t="shared" si="14"/>
        <v>0</v>
      </c>
      <c r="H232" s="58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7"/>
      <c r="AD232" s="19"/>
      <c r="AE232" s="19"/>
      <c r="AF232" s="19"/>
      <c r="AG232" s="19"/>
    </row>
    <row r="233" spans="1:33" hidden="1" outlineLevel="3" x14ac:dyDescent="0.2">
      <c r="A233" s="19"/>
      <c r="B233" s="19"/>
      <c r="C233" s="506">
        <f t="shared" si="14"/>
        <v>0</v>
      </c>
      <c r="D233" s="505">
        <f t="shared" si="14"/>
        <v>0</v>
      </c>
      <c r="E233" s="505">
        <f t="shared" si="14"/>
        <v>0</v>
      </c>
      <c r="F233" s="505">
        <f t="shared" si="14"/>
        <v>0</v>
      </c>
      <c r="G233" s="505">
        <f t="shared" si="14"/>
        <v>0</v>
      </c>
      <c r="H233" s="58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7"/>
      <c r="AD233" s="19"/>
      <c r="AE233" s="19"/>
      <c r="AF233" s="19"/>
      <c r="AG233" s="19"/>
    </row>
    <row r="234" spans="1:33" hidden="1" outlineLevel="3" x14ac:dyDescent="0.2">
      <c r="A234" s="19"/>
      <c r="B234" s="19"/>
      <c r="C234" s="506">
        <f t="shared" ref="C234:G238" si="15">C78</f>
        <v>0</v>
      </c>
      <c r="D234" s="505">
        <f t="shared" si="15"/>
        <v>0</v>
      </c>
      <c r="E234" s="505">
        <f t="shared" si="15"/>
        <v>0</v>
      </c>
      <c r="F234" s="505">
        <f t="shared" si="15"/>
        <v>0</v>
      </c>
      <c r="G234" s="505">
        <f t="shared" si="15"/>
        <v>0</v>
      </c>
      <c r="H234" s="58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7"/>
      <c r="AD234" s="19"/>
      <c r="AE234" s="19"/>
      <c r="AF234" s="19"/>
      <c r="AG234" s="19"/>
    </row>
    <row r="235" spans="1:33" hidden="1" outlineLevel="3" x14ac:dyDescent="0.2">
      <c r="A235" s="19"/>
      <c r="B235" s="19"/>
      <c r="C235" s="506">
        <f t="shared" si="15"/>
        <v>0</v>
      </c>
      <c r="D235" s="505">
        <f t="shared" si="15"/>
        <v>0</v>
      </c>
      <c r="E235" s="505">
        <f t="shared" si="15"/>
        <v>0</v>
      </c>
      <c r="F235" s="505">
        <f t="shared" si="15"/>
        <v>0</v>
      </c>
      <c r="G235" s="505">
        <f t="shared" si="15"/>
        <v>0</v>
      </c>
      <c r="H235" s="58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7"/>
      <c r="AD235" s="19"/>
      <c r="AE235" s="19"/>
      <c r="AF235" s="19"/>
      <c r="AG235" s="19"/>
    </row>
    <row r="236" spans="1:33" hidden="1" outlineLevel="3" x14ac:dyDescent="0.2">
      <c r="A236" s="19"/>
      <c r="B236" s="19"/>
      <c r="C236" s="506">
        <f t="shared" si="15"/>
        <v>0</v>
      </c>
      <c r="D236" s="505">
        <f t="shared" si="15"/>
        <v>0</v>
      </c>
      <c r="E236" s="505">
        <f t="shared" si="15"/>
        <v>0</v>
      </c>
      <c r="F236" s="505">
        <f t="shared" si="15"/>
        <v>0</v>
      </c>
      <c r="G236" s="505">
        <f t="shared" si="15"/>
        <v>0</v>
      </c>
      <c r="H236" s="58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7"/>
      <c r="AD236" s="19"/>
      <c r="AE236" s="19"/>
      <c r="AF236" s="19"/>
      <c r="AG236" s="19"/>
    </row>
    <row r="237" spans="1:33" hidden="1" outlineLevel="3" x14ac:dyDescent="0.2">
      <c r="A237" s="19"/>
      <c r="B237" s="19"/>
      <c r="C237" s="506">
        <f t="shared" si="15"/>
        <v>0</v>
      </c>
      <c r="D237" s="505">
        <f t="shared" si="15"/>
        <v>0</v>
      </c>
      <c r="E237" s="505">
        <f t="shared" si="15"/>
        <v>0</v>
      </c>
      <c r="F237" s="505">
        <f t="shared" si="15"/>
        <v>0</v>
      </c>
      <c r="G237" s="505">
        <f t="shared" si="15"/>
        <v>0</v>
      </c>
      <c r="H237" s="58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7"/>
      <c r="AD237" s="19"/>
      <c r="AE237" s="19"/>
      <c r="AF237" s="19"/>
      <c r="AG237" s="19"/>
    </row>
    <row r="238" spans="1:33" hidden="1" outlineLevel="3" x14ac:dyDescent="0.2">
      <c r="A238" s="19"/>
      <c r="B238" s="19"/>
      <c r="C238" s="506">
        <f t="shared" si="15"/>
        <v>0</v>
      </c>
      <c r="D238" s="505">
        <f t="shared" si="15"/>
        <v>0</v>
      </c>
      <c r="E238" s="505">
        <f t="shared" si="15"/>
        <v>0</v>
      </c>
      <c r="F238" s="505">
        <f t="shared" si="15"/>
        <v>0</v>
      </c>
      <c r="G238" s="505">
        <f t="shared" si="15"/>
        <v>0</v>
      </c>
      <c r="H238" s="58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7"/>
      <c r="AD238" s="19"/>
      <c r="AE238" s="19"/>
      <c r="AF238" s="19"/>
      <c r="AG238" s="19"/>
    </row>
    <row r="239" spans="1:33" hidden="1" outlineLevel="2" collapsed="1" x14ac:dyDescent="0.2">
      <c r="A239" s="19"/>
      <c r="B239" s="19"/>
      <c r="C239" s="66"/>
      <c r="D239" s="58"/>
      <c r="E239" s="58"/>
      <c r="F239" s="58"/>
      <c r="G239" s="58"/>
      <c r="H239" s="58"/>
      <c r="I239" s="186"/>
      <c r="J239" s="186"/>
      <c r="K239" s="187"/>
      <c r="L239" s="187"/>
      <c r="M239" s="187"/>
      <c r="N239" s="188"/>
      <c r="O239" s="188"/>
      <c r="P239" s="188"/>
      <c r="Q239" s="188"/>
      <c r="R239" s="188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9"/>
      <c r="AE239" s="19"/>
      <c r="AF239" s="19"/>
      <c r="AG239" s="19"/>
    </row>
    <row r="240" spans="1:33" outlineLevel="1" collapsed="1" x14ac:dyDescent="0.2">
      <c r="A240" s="19"/>
      <c r="B240" s="19"/>
      <c r="C240" s="66"/>
      <c r="D240" s="58"/>
      <c r="E240" s="58"/>
      <c r="F240" s="58"/>
      <c r="G240" s="58"/>
      <c r="H240" s="58"/>
      <c r="I240" s="192"/>
      <c r="J240" s="192"/>
      <c r="K240" s="193"/>
      <c r="L240" s="193"/>
      <c r="M240" s="193"/>
      <c r="N240" s="194"/>
      <c r="O240" s="194"/>
      <c r="P240" s="194"/>
      <c r="Q240" s="194"/>
      <c r="R240" s="194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"/>
      <c r="AE240" s="19"/>
      <c r="AF240" s="19"/>
      <c r="AG240" s="19"/>
    </row>
    <row r="241" spans="1:33" outlineLevel="1" x14ac:dyDescent="0.2">
      <c r="A241" s="19"/>
      <c r="B241" s="19"/>
      <c r="C241" s="167" t="str">
        <f>RCP_fourthyear</f>
        <v>2022–23</v>
      </c>
      <c r="D241" s="20"/>
      <c r="E241" s="20"/>
      <c r="F241" s="20"/>
      <c r="G241" s="22"/>
      <c r="H241" s="22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9"/>
      <c r="AE241" s="19"/>
      <c r="AF241" s="19"/>
      <c r="AG241" s="19"/>
    </row>
    <row r="242" spans="1:33" outlineLevel="2" x14ac:dyDescent="0.2">
      <c r="A242" s="19"/>
      <c r="B242" s="19"/>
      <c r="C242" s="506" t="str">
        <f t="shared" ref="C242:G251" si="16">C8</f>
        <v>Residential time of use consumption</v>
      </c>
      <c r="D242" s="505" t="str">
        <f t="shared" si="16"/>
        <v>Residential</v>
      </c>
      <c r="E242" s="505" t="str">
        <f t="shared" si="16"/>
        <v>TAS93</v>
      </c>
      <c r="F242" s="505">
        <f t="shared" si="16"/>
        <v>0</v>
      </c>
      <c r="G242" s="505">
        <f t="shared" si="16"/>
        <v>0</v>
      </c>
      <c r="H242" s="22"/>
      <c r="I242" s="189">
        <v>59.329000000000001</v>
      </c>
      <c r="J242" s="189"/>
      <c r="K242" s="189">
        <v>15.481999999999999</v>
      </c>
      <c r="L242" s="189"/>
      <c r="M242" s="189">
        <v>3.097</v>
      </c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7"/>
      <c r="AD242" s="19"/>
      <c r="AE242" s="19"/>
      <c r="AF242" s="19"/>
      <c r="AG242" s="19"/>
    </row>
    <row r="243" spans="1:33" s="59" customFormat="1" outlineLevel="2" x14ac:dyDescent="0.2">
      <c r="A243" s="57"/>
      <c r="B243" s="57"/>
      <c r="C243" s="506" t="str">
        <f t="shared" si="16"/>
        <v>Residential general light and power</v>
      </c>
      <c r="D243" s="505" t="str">
        <f t="shared" si="16"/>
        <v>Residential</v>
      </c>
      <c r="E243" s="505" t="str">
        <f t="shared" si="16"/>
        <v>TAS31</v>
      </c>
      <c r="F243" s="505">
        <f t="shared" si="16"/>
        <v>0</v>
      </c>
      <c r="G243" s="505">
        <f t="shared" si="16"/>
        <v>0</v>
      </c>
      <c r="H243" s="58"/>
      <c r="I243" s="189">
        <v>54.268999999999998</v>
      </c>
      <c r="J243" s="189">
        <v>8.6910000000000007</v>
      </c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5"/>
      <c r="W243" s="185"/>
      <c r="X243" s="185"/>
      <c r="Y243" s="185"/>
      <c r="Z243" s="185"/>
      <c r="AA243" s="185"/>
      <c r="AB243" s="185"/>
      <c r="AC243" s="186"/>
      <c r="AD243" s="57"/>
      <c r="AE243" s="57"/>
      <c r="AF243" s="57"/>
      <c r="AG243" s="57"/>
    </row>
    <row r="244" spans="1:33" outlineLevel="2" x14ac:dyDescent="0.2">
      <c r="A244" s="19"/>
      <c r="B244" s="19"/>
      <c r="C244" s="506" t="str">
        <f t="shared" si="16"/>
        <v>Residential time of use demand</v>
      </c>
      <c r="D244" s="505" t="str">
        <f t="shared" si="16"/>
        <v>Residential</v>
      </c>
      <c r="E244" s="505" t="str">
        <f t="shared" si="16"/>
        <v>TAS87</v>
      </c>
      <c r="F244" s="505">
        <f t="shared" si="16"/>
        <v>0</v>
      </c>
      <c r="G244" s="505">
        <f t="shared" si="16"/>
        <v>0</v>
      </c>
      <c r="H244" s="58"/>
      <c r="I244" s="189">
        <v>60.366999999999997</v>
      </c>
      <c r="J244" s="189"/>
      <c r="K244" s="189"/>
      <c r="L244" s="189"/>
      <c r="M244" s="189"/>
      <c r="N244" s="189"/>
      <c r="O244" s="189">
        <v>26.902999999999999</v>
      </c>
      <c r="P244" s="189">
        <v>7.1669999999999998</v>
      </c>
      <c r="Q244" s="189"/>
      <c r="R244" s="189"/>
      <c r="S244" s="189"/>
      <c r="T244" s="189"/>
      <c r="U244" s="189"/>
      <c r="V244" s="185"/>
      <c r="W244" s="185"/>
      <c r="X244" s="185"/>
      <c r="Y244" s="185"/>
      <c r="Z244" s="185"/>
      <c r="AA244" s="185"/>
      <c r="AB244" s="185"/>
      <c r="AC244" s="187"/>
      <c r="AD244" s="19"/>
      <c r="AE244" s="19"/>
      <c r="AF244" s="19"/>
      <c r="AG244" s="19"/>
    </row>
    <row r="245" spans="1:33" outlineLevel="2" x14ac:dyDescent="0.2">
      <c r="A245" s="19"/>
      <c r="B245" s="19"/>
      <c r="C245" s="506" t="str">
        <f t="shared" si="16"/>
        <v>Residential time of use demand DER</v>
      </c>
      <c r="D245" s="505" t="str">
        <f t="shared" si="16"/>
        <v>Residential</v>
      </c>
      <c r="E245" s="505" t="str">
        <f t="shared" si="16"/>
        <v>TAS97</v>
      </c>
      <c r="F245" s="505">
        <f t="shared" si="16"/>
        <v>0</v>
      </c>
      <c r="G245" s="505">
        <f t="shared" si="16"/>
        <v>0</v>
      </c>
      <c r="H245" s="58"/>
      <c r="I245" s="189">
        <v>60.366999999999997</v>
      </c>
      <c r="J245" s="189"/>
      <c r="K245" s="189"/>
      <c r="L245" s="189"/>
      <c r="M245" s="189"/>
      <c r="N245" s="189"/>
      <c r="O245" s="189">
        <v>26.902999999999999</v>
      </c>
      <c r="P245" s="189">
        <v>7.1669999999999998</v>
      </c>
      <c r="Q245" s="189"/>
      <c r="R245" s="189"/>
      <c r="S245" s="189"/>
      <c r="T245" s="189"/>
      <c r="U245" s="189"/>
      <c r="V245" s="185"/>
      <c r="W245" s="185"/>
      <c r="X245" s="185"/>
      <c r="Y245" s="185"/>
      <c r="Z245" s="185"/>
      <c r="AA245" s="185"/>
      <c r="AB245" s="185"/>
      <c r="AC245" s="187"/>
      <c r="AD245" s="19"/>
      <c r="AE245" s="19"/>
      <c r="AF245" s="19"/>
      <c r="AG245" s="19"/>
    </row>
    <row r="246" spans="1:33" outlineLevel="2" x14ac:dyDescent="0.2">
      <c r="A246" s="19"/>
      <c r="B246" s="19"/>
      <c r="C246" s="506" t="str">
        <f t="shared" si="16"/>
        <v>Residential pay as you go</v>
      </c>
      <c r="D246" s="505" t="str">
        <f t="shared" si="16"/>
        <v>Residential</v>
      </c>
      <c r="E246" s="505" t="str">
        <f t="shared" si="16"/>
        <v>TAS101</v>
      </c>
      <c r="F246" s="505">
        <f t="shared" si="16"/>
        <v>0</v>
      </c>
      <c r="G246" s="505">
        <f t="shared" si="16"/>
        <v>0</v>
      </c>
      <c r="H246" s="58"/>
      <c r="I246" s="189">
        <v>54.712000000000003</v>
      </c>
      <c r="J246" s="189">
        <v>7.7009999999999996</v>
      </c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5"/>
      <c r="W246" s="185"/>
      <c r="X246" s="185"/>
      <c r="Y246" s="185"/>
      <c r="Z246" s="185"/>
      <c r="AA246" s="185"/>
      <c r="AB246" s="185"/>
      <c r="AC246" s="187"/>
      <c r="AD246" s="19"/>
      <c r="AE246" s="19"/>
      <c r="AF246" s="19"/>
      <c r="AG246" s="19"/>
    </row>
    <row r="247" spans="1:33" outlineLevel="2" x14ac:dyDescent="0.2">
      <c r="A247" s="19"/>
      <c r="B247" s="19"/>
      <c r="C247" s="506" t="str">
        <f t="shared" si="16"/>
        <v>Residential pay as you go time of use</v>
      </c>
      <c r="D247" s="505" t="str">
        <f t="shared" si="16"/>
        <v>Residential</v>
      </c>
      <c r="E247" s="505" t="str">
        <f t="shared" si="16"/>
        <v>TAS92</v>
      </c>
      <c r="F247" s="505">
        <f t="shared" si="16"/>
        <v>0</v>
      </c>
      <c r="G247" s="505">
        <f t="shared" si="16"/>
        <v>0</v>
      </c>
      <c r="H247" s="58"/>
      <c r="I247" s="189">
        <v>59.329000000000001</v>
      </c>
      <c r="J247" s="189"/>
      <c r="K247" s="189">
        <v>15.481999999999999</v>
      </c>
      <c r="L247" s="189"/>
      <c r="M247" s="189">
        <v>3.097</v>
      </c>
      <c r="N247" s="189"/>
      <c r="O247" s="189"/>
      <c r="P247" s="189"/>
      <c r="Q247" s="189"/>
      <c r="R247" s="189"/>
      <c r="S247" s="189"/>
      <c r="T247" s="189"/>
      <c r="U247" s="189"/>
      <c r="V247" s="185"/>
      <c r="W247" s="185"/>
      <c r="X247" s="185"/>
      <c r="Y247" s="185"/>
      <c r="Z247" s="185"/>
      <c r="AA247" s="185"/>
      <c r="AB247" s="185"/>
      <c r="AC247" s="187"/>
      <c r="AD247" s="19"/>
      <c r="AE247" s="19"/>
      <c r="AF247" s="19"/>
      <c r="AG247" s="19"/>
    </row>
    <row r="248" spans="1:33" outlineLevel="2" x14ac:dyDescent="0.2">
      <c r="A248" s="19"/>
      <c r="B248" s="19"/>
      <c r="C248" s="506" t="str">
        <f t="shared" si="16"/>
        <v>Small business time of use consumption</v>
      </c>
      <c r="D248" s="505" t="str">
        <f t="shared" si="16"/>
        <v>Small Business LV</v>
      </c>
      <c r="E248" s="505" t="str">
        <f t="shared" si="16"/>
        <v>TAS94</v>
      </c>
      <c r="F248" s="505">
        <f t="shared" si="16"/>
        <v>0</v>
      </c>
      <c r="G248" s="505">
        <f t="shared" si="16"/>
        <v>0</v>
      </c>
      <c r="H248" s="58"/>
      <c r="I248" s="189">
        <v>70.975999999999999</v>
      </c>
      <c r="J248" s="189"/>
      <c r="K248" s="189">
        <v>10.776</v>
      </c>
      <c r="L248" s="189">
        <v>6.4649999999999999</v>
      </c>
      <c r="M248" s="189">
        <v>1.617</v>
      </c>
      <c r="N248" s="189"/>
      <c r="O248" s="189"/>
      <c r="P248" s="189"/>
      <c r="Q248" s="189"/>
      <c r="R248" s="189"/>
      <c r="S248" s="189"/>
      <c r="T248" s="189"/>
      <c r="U248" s="189"/>
      <c r="V248" s="185"/>
      <c r="W248" s="185"/>
      <c r="X248" s="185"/>
      <c r="Y248" s="185"/>
      <c r="Z248" s="185"/>
      <c r="AA248" s="185"/>
      <c r="AB248" s="185"/>
      <c r="AC248" s="187"/>
      <c r="AD248" s="19"/>
      <c r="AE248" s="19"/>
      <c r="AF248" s="19"/>
      <c r="AG248" s="19"/>
    </row>
    <row r="249" spans="1:33" outlineLevel="2" x14ac:dyDescent="0.2">
      <c r="A249" s="19"/>
      <c r="B249" s="19"/>
      <c r="C249" s="506" t="str">
        <f t="shared" si="16"/>
        <v>Small business general light and power</v>
      </c>
      <c r="D249" s="505" t="str">
        <f t="shared" si="16"/>
        <v>Small Business LV</v>
      </c>
      <c r="E249" s="505" t="str">
        <f t="shared" si="16"/>
        <v>TAS22</v>
      </c>
      <c r="F249" s="505">
        <f t="shared" si="16"/>
        <v>0</v>
      </c>
      <c r="G249" s="505">
        <f t="shared" si="16"/>
        <v>0</v>
      </c>
      <c r="H249" s="58"/>
      <c r="I249" s="189">
        <v>53.96</v>
      </c>
      <c r="J249" s="189">
        <v>9.5229999999999997</v>
      </c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5"/>
      <c r="W249" s="185"/>
      <c r="X249" s="185"/>
      <c r="Y249" s="185"/>
      <c r="Z249" s="185"/>
      <c r="AA249" s="185"/>
      <c r="AB249" s="185"/>
      <c r="AC249" s="187"/>
      <c r="AD249" s="19"/>
      <c r="AE249" s="19"/>
      <c r="AF249" s="19"/>
      <c r="AG249" s="19"/>
    </row>
    <row r="250" spans="1:33" outlineLevel="2" x14ac:dyDescent="0.2">
      <c r="A250" s="19"/>
      <c r="B250" s="19"/>
      <c r="C250" s="506" t="str">
        <f t="shared" si="16"/>
        <v>Small business time of use demand</v>
      </c>
      <c r="D250" s="505" t="str">
        <f t="shared" si="16"/>
        <v>Small Business LV</v>
      </c>
      <c r="E250" s="505" t="str">
        <f t="shared" si="16"/>
        <v>TAS88</v>
      </c>
      <c r="F250" s="505">
        <f t="shared" si="16"/>
        <v>0</v>
      </c>
      <c r="G250" s="505">
        <f t="shared" si="16"/>
        <v>0</v>
      </c>
      <c r="H250" s="58"/>
      <c r="I250" s="189">
        <v>78.5</v>
      </c>
      <c r="J250" s="189"/>
      <c r="K250" s="189"/>
      <c r="L250" s="189"/>
      <c r="M250" s="189"/>
      <c r="N250" s="189"/>
      <c r="O250" s="189">
        <v>59.584000000000003</v>
      </c>
      <c r="P250" s="189">
        <v>15.872999999999999</v>
      </c>
      <c r="Q250" s="189"/>
      <c r="R250" s="189"/>
      <c r="S250" s="189"/>
      <c r="T250" s="189"/>
      <c r="U250" s="189"/>
      <c r="V250" s="185"/>
      <c r="W250" s="185"/>
      <c r="X250" s="185"/>
      <c r="Y250" s="185"/>
      <c r="Z250" s="185"/>
      <c r="AA250" s="185"/>
      <c r="AB250" s="185"/>
      <c r="AC250" s="187"/>
      <c r="AD250" s="19"/>
      <c r="AE250" s="19"/>
      <c r="AF250" s="19"/>
      <c r="AG250" s="19"/>
    </row>
    <row r="251" spans="1:33" outlineLevel="2" x14ac:dyDescent="0.2">
      <c r="A251" s="19"/>
      <c r="B251" s="19"/>
      <c r="C251" s="506" t="str">
        <f t="shared" si="16"/>
        <v>Small business time of use demand DER</v>
      </c>
      <c r="D251" s="505" t="str">
        <f t="shared" si="16"/>
        <v>Small Business LV</v>
      </c>
      <c r="E251" s="505" t="str">
        <f t="shared" si="16"/>
        <v>TAS98</v>
      </c>
      <c r="F251" s="505">
        <f t="shared" si="16"/>
        <v>0</v>
      </c>
      <c r="G251" s="505">
        <f t="shared" si="16"/>
        <v>0</v>
      </c>
      <c r="H251" s="58"/>
      <c r="I251" s="189">
        <v>78.5</v>
      </c>
      <c r="J251" s="189"/>
      <c r="K251" s="189"/>
      <c r="L251" s="189"/>
      <c r="M251" s="189"/>
      <c r="N251" s="189"/>
      <c r="O251" s="189">
        <v>59.584000000000003</v>
      </c>
      <c r="P251" s="189">
        <v>15.872999999999999</v>
      </c>
      <c r="Q251" s="189"/>
      <c r="R251" s="189"/>
      <c r="S251" s="189"/>
      <c r="T251" s="189"/>
      <c r="U251" s="189"/>
      <c r="V251" s="185"/>
      <c r="W251" s="185"/>
      <c r="X251" s="185"/>
      <c r="Y251" s="185"/>
      <c r="Z251" s="185"/>
      <c r="AA251" s="185"/>
      <c r="AB251" s="185"/>
      <c r="AC251" s="187"/>
      <c r="AD251" s="19"/>
      <c r="AE251" s="19"/>
      <c r="AF251" s="19"/>
      <c r="AG251" s="19"/>
    </row>
    <row r="252" spans="1:33" outlineLevel="2" x14ac:dyDescent="0.2">
      <c r="A252" s="19"/>
      <c r="B252" s="19"/>
      <c r="C252" s="506" t="str">
        <f t="shared" ref="C252:G261" si="17">C18</f>
        <v>Large business kVA demand</v>
      </c>
      <c r="D252" s="505" t="str">
        <f t="shared" si="17"/>
        <v>Large Business LV</v>
      </c>
      <c r="E252" s="505" t="str">
        <f t="shared" si="17"/>
        <v>TAS82</v>
      </c>
      <c r="F252" s="505">
        <f t="shared" si="17"/>
        <v>0</v>
      </c>
      <c r="G252" s="505">
        <f t="shared" si="17"/>
        <v>0</v>
      </c>
      <c r="H252" s="58"/>
      <c r="I252" s="189">
        <v>362.53100000000001</v>
      </c>
      <c r="J252" s="189">
        <v>2.4319999999999999</v>
      </c>
      <c r="K252" s="189"/>
      <c r="L252" s="189"/>
      <c r="M252" s="189"/>
      <c r="N252" s="189">
        <v>34.732999999999997</v>
      </c>
      <c r="O252" s="189"/>
      <c r="P252" s="189"/>
      <c r="Q252" s="189"/>
      <c r="R252" s="189"/>
      <c r="S252" s="189"/>
      <c r="T252" s="189"/>
      <c r="U252" s="189"/>
      <c r="V252" s="185"/>
      <c r="W252" s="185"/>
      <c r="X252" s="185"/>
      <c r="Y252" s="185"/>
      <c r="Z252" s="185"/>
      <c r="AA252" s="185"/>
      <c r="AB252" s="185"/>
      <c r="AC252" s="187"/>
      <c r="AD252" s="19"/>
      <c r="AE252" s="19"/>
      <c r="AF252" s="19"/>
      <c r="AG252" s="19"/>
    </row>
    <row r="253" spans="1:33" outlineLevel="2" x14ac:dyDescent="0.2">
      <c r="A253" s="19"/>
      <c r="B253" s="19"/>
      <c r="C253" s="506" t="str">
        <f t="shared" si="17"/>
        <v>Large business time of use demand</v>
      </c>
      <c r="D253" s="505" t="str">
        <f t="shared" si="17"/>
        <v>Large Business LV</v>
      </c>
      <c r="E253" s="505" t="str">
        <f t="shared" si="17"/>
        <v>TAS89</v>
      </c>
      <c r="F253" s="505">
        <f t="shared" si="17"/>
        <v>0</v>
      </c>
      <c r="G253" s="505">
        <f t="shared" si="17"/>
        <v>0</v>
      </c>
      <c r="H253" s="58"/>
      <c r="I253" s="189">
        <v>510.70499999999998</v>
      </c>
      <c r="J253" s="189"/>
      <c r="K253" s="189"/>
      <c r="L253" s="189"/>
      <c r="M253" s="189"/>
      <c r="N253" s="189"/>
      <c r="O253" s="189">
        <v>45.743000000000002</v>
      </c>
      <c r="P253" s="189">
        <v>15.233000000000001</v>
      </c>
      <c r="Q253" s="189"/>
      <c r="R253" s="189"/>
      <c r="S253" s="189"/>
      <c r="T253" s="189"/>
      <c r="U253" s="189"/>
      <c r="V253" s="185"/>
      <c r="W253" s="185"/>
      <c r="X253" s="185"/>
      <c r="Y253" s="185"/>
      <c r="Z253" s="185"/>
      <c r="AA253" s="185"/>
      <c r="AB253" s="185"/>
      <c r="AC253" s="187"/>
      <c r="AD253" s="19"/>
      <c r="AE253" s="19"/>
      <c r="AF253" s="19"/>
      <c r="AG253" s="19"/>
    </row>
    <row r="254" spans="1:33" outlineLevel="2" x14ac:dyDescent="0.2">
      <c r="A254" s="19"/>
      <c r="B254" s="19"/>
      <c r="C254" s="506" t="str">
        <f t="shared" si="17"/>
        <v>Irrigation time of use consumption</v>
      </c>
      <c r="D254" s="505" t="str">
        <f t="shared" si="17"/>
        <v>Irrigation</v>
      </c>
      <c r="E254" s="505" t="str">
        <f t="shared" si="17"/>
        <v>TAS75</v>
      </c>
      <c r="F254" s="505">
        <f t="shared" si="17"/>
        <v>0</v>
      </c>
      <c r="G254" s="505">
        <f t="shared" si="17"/>
        <v>0</v>
      </c>
      <c r="H254" s="58"/>
      <c r="I254" s="189">
        <v>259.733</v>
      </c>
      <c r="J254" s="189"/>
      <c r="K254" s="189">
        <v>10.898</v>
      </c>
      <c r="L254" s="189">
        <v>6.54</v>
      </c>
      <c r="M254" s="189">
        <v>1.635</v>
      </c>
      <c r="N254" s="189"/>
      <c r="O254" s="189"/>
      <c r="P254" s="189"/>
      <c r="Q254" s="189"/>
      <c r="R254" s="189"/>
      <c r="S254" s="189"/>
      <c r="T254" s="189"/>
      <c r="U254" s="189"/>
      <c r="V254" s="185"/>
      <c r="W254" s="185"/>
      <c r="X254" s="185"/>
      <c r="Y254" s="185"/>
      <c r="Z254" s="185"/>
      <c r="AA254" s="185"/>
      <c r="AB254" s="185"/>
      <c r="AC254" s="187"/>
      <c r="AD254" s="19"/>
      <c r="AE254" s="19"/>
      <c r="AF254" s="19"/>
      <c r="AG254" s="19"/>
    </row>
    <row r="255" spans="1:33" outlineLevel="2" x14ac:dyDescent="0.2">
      <c r="A255" s="19"/>
      <c r="B255" s="19"/>
      <c r="C255" s="506" t="str">
        <f t="shared" si="17"/>
        <v>Business HV kVA specified demand &lt;2MVA</v>
      </c>
      <c r="D255" s="505" t="str">
        <f t="shared" si="17"/>
        <v>Large Business HV</v>
      </c>
      <c r="E255" s="505" t="str">
        <f t="shared" si="17"/>
        <v>TASSDM</v>
      </c>
      <c r="F255" s="505">
        <f t="shared" si="17"/>
        <v>0</v>
      </c>
      <c r="G255" s="505">
        <f t="shared" si="17"/>
        <v>0</v>
      </c>
      <c r="H255" s="58"/>
      <c r="I255" s="189">
        <v>366.03300000000002</v>
      </c>
      <c r="J255" s="189"/>
      <c r="K255" s="189">
        <v>1.179</v>
      </c>
      <c r="L255" s="189">
        <v>0.70699999999999996</v>
      </c>
      <c r="M255" s="189">
        <v>0.17599999999999999</v>
      </c>
      <c r="N255" s="189"/>
      <c r="O255" s="189"/>
      <c r="P255" s="189"/>
      <c r="Q255" s="189">
        <v>20.152999999999999</v>
      </c>
      <c r="R255" s="189">
        <v>201.52099999999999</v>
      </c>
      <c r="S255" s="189"/>
      <c r="T255" s="189"/>
      <c r="U255" s="189"/>
      <c r="V255" s="185"/>
      <c r="W255" s="185"/>
      <c r="X255" s="185"/>
      <c r="Y255" s="185"/>
      <c r="Z255" s="185"/>
      <c r="AA255" s="185"/>
      <c r="AB255" s="185"/>
      <c r="AC255" s="187"/>
      <c r="AD255" s="19"/>
      <c r="AE255" s="19"/>
      <c r="AF255" s="19"/>
      <c r="AG255" s="19"/>
    </row>
    <row r="256" spans="1:33" outlineLevel="2" x14ac:dyDescent="0.2">
      <c r="A256" s="19"/>
      <c r="B256" s="19"/>
      <c r="C256" s="506" t="str">
        <f t="shared" si="17"/>
        <v>Business HV kVA specified demand &gt;2MVA</v>
      </c>
      <c r="D256" s="505" t="str">
        <f t="shared" si="17"/>
        <v>Large Business HV</v>
      </c>
      <c r="E256" s="505" t="str">
        <f t="shared" si="17"/>
        <v>TAS15*</v>
      </c>
      <c r="F256" s="505">
        <f t="shared" si="17"/>
        <v>0</v>
      </c>
      <c r="G256" s="505">
        <f t="shared" si="17"/>
        <v>0</v>
      </c>
      <c r="H256" s="58"/>
      <c r="I256" s="189">
        <f>30.047*100</f>
        <v>3004.7000000000003</v>
      </c>
      <c r="J256" s="189"/>
      <c r="K256" s="189">
        <v>0.98299999999999998</v>
      </c>
      <c r="L256" s="189">
        <v>0.59</v>
      </c>
      <c r="M256" s="189">
        <v>0.14799999999999999</v>
      </c>
      <c r="N256" s="189"/>
      <c r="O256" s="189"/>
      <c r="P256" s="189"/>
      <c r="Q256" s="189">
        <v>9.8629999999999995</v>
      </c>
      <c r="R256" s="189">
        <v>49.317999999999998</v>
      </c>
      <c r="S256" s="189">
        <v>0.35899999999999999</v>
      </c>
      <c r="T256" s="189">
        <v>1.792</v>
      </c>
      <c r="U256" s="189"/>
      <c r="V256" s="185"/>
      <c r="W256" s="185"/>
      <c r="X256" s="185"/>
      <c r="Y256" s="185"/>
      <c r="Z256" s="185"/>
      <c r="AA256" s="185"/>
      <c r="AB256" s="185"/>
      <c r="AC256" s="187"/>
      <c r="AD256" s="19"/>
      <c r="AE256" s="19"/>
      <c r="AF256" s="19"/>
      <c r="AG256" s="19"/>
    </row>
    <row r="257" spans="1:33" outlineLevel="2" x14ac:dyDescent="0.2">
      <c r="A257" s="19"/>
      <c r="B257" s="19"/>
      <c r="C257" s="506" t="str">
        <f t="shared" si="17"/>
        <v>Uncontrolled low voltage heating and hot water</v>
      </c>
      <c r="D257" s="505" t="str">
        <f t="shared" si="17"/>
        <v>Uncontrolled energy</v>
      </c>
      <c r="E257" s="505" t="str">
        <f t="shared" si="17"/>
        <v>TAS41</v>
      </c>
      <c r="F257" s="505">
        <f t="shared" si="17"/>
        <v>0</v>
      </c>
      <c r="G257" s="505">
        <f t="shared" si="17"/>
        <v>0</v>
      </c>
      <c r="H257" s="58"/>
      <c r="I257" s="189">
        <v>6.7060000000000004</v>
      </c>
      <c r="J257" s="189">
        <v>5.9390000000000001</v>
      </c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5"/>
      <c r="W257" s="185"/>
      <c r="X257" s="185"/>
      <c r="Y257" s="185"/>
      <c r="Z257" s="185"/>
      <c r="AA257" s="185"/>
      <c r="AB257" s="185"/>
      <c r="AC257" s="187"/>
      <c r="AD257" s="19"/>
      <c r="AE257" s="19"/>
      <c r="AF257" s="19"/>
      <c r="AG257" s="19"/>
    </row>
    <row r="258" spans="1:33" outlineLevel="2" x14ac:dyDescent="0.2">
      <c r="A258" s="19"/>
      <c r="B258" s="19"/>
      <c r="C258" s="506" t="str">
        <f t="shared" si="17"/>
        <v>Controlled low voltage night period only</v>
      </c>
      <c r="D258" s="505" t="str">
        <f t="shared" si="17"/>
        <v>Controlled energy</v>
      </c>
      <c r="E258" s="505" t="str">
        <f t="shared" si="17"/>
        <v>TAS63</v>
      </c>
      <c r="F258" s="505">
        <f t="shared" si="17"/>
        <v>0</v>
      </c>
      <c r="G258" s="505">
        <f t="shared" si="17"/>
        <v>0</v>
      </c>
      <c r="H258" s="58"/>
      <c r="I258" s="189">
        <v>12.776999999999999</v>
      </c>
      <c r="J258" s="189">
        <v>1.4019999999999999</v>
      </c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5"/>
      <c r="W258" s="185"/>
      <c r="X258" s="185"/>
      <c r="Y258" s="185"/>
      <c r="Z258" s="185"/>
      <c r="AA258" s="185"/>
      <c r="AB258" s="185"/>
      <c r="AC258" s="187"/>
      <c r="AD258" s="19"/>
      <c r="AE258" s="19"/>
      <c r="AF258" s="19"/>
      <c r="AG258" s="19"/>
    </row>
    <row r="259" spans="1:33" outlineLevel="2" x14ac:dyDescent="0.2">
      <c r="A259" s="19"/>
      <c r="B259" s="19"/>
      <c r="C259" s="506" t="str">
        <f t="shared" si="17"/>
        <v>Controlled low voltage off peak with afternoon boost</v>
      </c>
      <c r="D259" s="505" t="str">
        <f t="shared" si="17"/>
        <v>Controlled energy</v>
      </c>
      <c r="E259" s="505" t="str">
        <f t="shared" si="17"/>
        <v>TAS61</v>
      </c>
      <c r="F259" s="505">
        <f t="shared" si="17"/>
        <v>0</v>
      </c>
      <c r="G259" s="505">
        <f t="shared" si="17"/>
        <v>0</v>
      </c>
      <c r="H259" s="58"/>
      <c r="I259" s="189">
        <v>12.776999999999999</v>
      </c>
      <c r="J259" s="189">
        <v>1.623</v>
      </c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5"/>
      <c r="W259" s="185"/>
      <c r="X259" s="185"/>
      <c r="Y259" s="185"/>
      <c r="Z259" s="185"/>
      <c r="AA259" s="185"/>
      <c r="AB259" s="185"/>
      <c r="AC259" s="187"/>
      <c r="AD259" s="19"/>
      <c r="AE259" s="19"/>
      <c r="AF259" s="19"/>
      <c r="AG259" s="19"/>
    </row>
    <row r="260" spans="1:33" outlineLevel="2" x14ac:dyDescent="0.2">
      <c r="A260" s="19"/>
      <c r="B260" s="19"/>
      <c r="C260" s="506" t="str">
        <f t="shared" si="17"/>
        <v>Unmetered supply general</v>
      </c>
      <c r="D260" s="505" t="str">
        <f t="shared" si="17"/>
        <v>Unmetered supplies</v>
      </c>
      <c r="E260" s="505" t="str">
        <f t="shared" si="17"/>
        <v>TASUMS</v>
      </c>
      <c r="F260" s="505">
        <f t="shared" si="17"/>
        <v>0</v>
      </c>
      <c r="G260" s="505">
        <f t="shared" si="17"/>
        <v>0</v>
      </c>
      <c r="H260" s="58"/>
      <c r="I260" s="189">
        <v>53.96</v>
      </c>
      <c r="J260" s="189">
        <v>11.157999999999999</v>
      </c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5"/>
      <c r="W260" s="185"/>
      <c r="X260" s="185"/>
      <c r="Y260" s="185"/>
      <c r="Z260" s="185"/>
      <c r="AA260" s="185"/>
      <c r="AB260" s="185"/>
      <c r="AC260" s="187"/>
      <c r="AD260" s="19"/>
      <c r="AE260" s="19"/>
      <c r="AF260" s="19"/>
      <c r="AG260" s="19"/>
    </row>
    <row r="261" spans="1:33" outlineLevel="2" x14ac:dyDescent="0.2">
      <c r="A261" s="19"/>
      <c r="B261" s="19"/>
      <c r="C261" s="506" t="str">
        <f t="shared" si="17"/>
        <v>Street lighting</v>
      </c>
      <c r="D261" s="505" t="str">
        <f t="shared" si="17"/>
        <v>Street lighting</v>
      </c>
      <c r="E261" s="505" t="str">
        <f t="shared" si="17"/>
        <v>TASUMSSL</v>
      </c>
      <c r="F261" s="505">
        <f t="shared" si="17"/>
        <v>0</v>
      </c>
      <c r="G261" s="505">
        <f t="shared" si="17"/>
        <v>0</v>
      </c>
      <c r="H261" s="58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>
        <v>0.115</v>
      </c>
      <c r="V261" s="185"/>
      <c r="W261" s="185"/>
      <c r="X261" s="185"/>
      <c r="Y261" s="185"/>
      <c r="Z261" s="185"/>
      <c r="AA261" s="185"/>
      <c r="AB261" s="185"/>
      <c r="AC261" s="187"/>
      <c r="AD261" s="19"/>
      <c r="AE261" s="19"/>
      <c r="AF261" s="19"/>
      <c r="AG261" s="19"/>
    </row>
    <row r="262" spans="1:33" outlineLevel="2" x14ac:dyDescent="0.2">
      <c r="A262" s="19"/>
      <c r="B262" s="19"/>
      <c r="C262" s="506">
        <f t="shared" ref="C262:G271" si="18">C28</f>
        <v>0</v>
      </c>
      <c r="D262" s="505">
        <f t="shared" si="18"/>
        <v>0</v>
      </c>
      <c r="E262" s="505">
        <f t="shared" si="18"/>
        <v>0</v>
      </c>
      <c r="F262" s="505">
        <f t="shared" si="18"/>
        <v>0</v>
      </c>
      <c r="G262" s="505">
        <f t="shared" si="18"/>
        <v>0</v>
      </c>
      <c r="H262" s="58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  <c r="AC262" s="187"/>
      <c r="AD262" s="19"/>
      <c r="AE262" s="19"/>
      <c r="AF262" s="19"/>
      <c r="AG262" s="19"/>
    </row>
    <row r="263" spans="1:33" hidden="1" outlineLevel="3" x14ac:dyDescent="0.2">
      <c r="A263" s="19"/>
      <c r="B263" s="19"/>
      <c r="C263" s="506">
        <f t="shared" si="18"/>
        <v>0</v>
      </c>
      <c r="D263" s="505">
        <f t="shared" si="18"/>
        <v>0</v>
      </c>
      <c r="E263" s="505">
        <f t="shared" si="18"/>
        <v>0</v>
      </c>
      <c r="F263" s="505">
        <f t="shared" si="18"/>
        <v>0</v>
      </c>
      <c r="G263" s="505">
        <f t="shared" si="18"/>
        <v>0</v>
      </c>
      <c r="H263" s="58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  <c r="AC263" s="187"/>
      <c r="AD263" s="19"/>
      <c r="AE263" s="19"/>
      <c r="AF263" s="19"/>
      <c r="AG263" s="19"/>
    </row>
    <row r="264" spans="1:33" hidden="1" outlineLevel="3" x14ac:dyDescent="0.2">
      <c r="A264" s="19"/>
      <c r="B264" s="19"/>
      <c r="C264" s="506">
        <f t="shared" si="18"/>
        <v>0</v>
      </c>
      <c r="D264" s="505">
        <f t="shared" si="18"/>
        <v>0</v>
      </c>
      <c r="E264" s="505">
        <f t="shared" si="18"/>
        <v>0</v>
      </c>
      <c r="F264" s="505">
        <f t="shared" si="18"/>
        <v>0</v>
      </c>
      <c r="G264" s="505">
        <f t="shared" si="18"/>
        <v>0</v>
      </c>
      <c r="H264" s="58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7"/>
      <c r="AD264" s="19"/>
      <c r="AE264" s="19"/>
      <c r="AF264" s="19"/>
      <c r="AG264" s="19"/>
    </row>
    <row r="265" spans="1:33" hidden="1" outlineLevel="3" x14ac:dyDescent="0.2">
      <c r="A265" s="19"/>
      <c r="B265" s="19"/>
      <c r="C265" s="506">
        <f t="shared" si="18"/>
        <v>0</v>
      </c>
      <c r="D265" s="505">
        <f t="shared" si="18"/>
        <v>0</v>
      </c>
      <c r="E265" s="505">
        <f t="shared" si="18"/>
        <v>0</v>
      </c>
      <c r="F265" s="505">
        <f t="shared" si="18"/>
        <v>0</v>
      </c>
      <c r="G265" s="505">
        <f t="shared" si="18"/>
        <v>0</v>
      </c>
      <c r="H265" s="58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7"/>
      <c r="AD265" s="19"/>
      <c r="AE265" s="19"/>
      <c r="AF265" s="19"/>
      <c r="AG265" s="19"/>
    </row>
    <row r="266" spans="1:33" hidden="1" outlineLevel="3" x14ac:dyDescent="0.2">
      <c r="A266" s="19"/>
      <c r="B266" s="19"/>
      <c r="C266" s="506">
        <f t="shared" si="18"/>
        <v>0</v>
      </c>
      <c r="D266" s="505">
        <f t="shared" si="18"/>
        <v>0</v>
      </c>
      <c r="E266" s="505">
        <f t="shared" si="18"/>
        <v>0</v>
      </c>
      <c r="F266" s="505">
        <f t="shared" si="18"/>
        <v>0</v>
      </c>
      <c r="G266" s="505">
        <f t="shared" si="18"/>
        <v>0</v>
      </c>
      <c r="H266" s="58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  <c r="AA266" s="185"/>
      <c r="AB266" s="185"/>
      <c r="AC266" s="187"/>
      <c r="AD266" s="19"/>
      <c r="AE266" s="19"/>
      <c r="AF266" s="19"/>
      <c r="AG266" s="19"/>
    </row>
    <row r="267" spans="1:33" hidden="1" outlineLevel="3" x14ac:dyDescent="0.2">
      <c r="A267" s="19"/>
      <c r="B267" s="19"/>
      <c r="C267" s="506">
        <f t="shared" si="18"/>
        <v>0</v>
      </c>
      <c r="D267" s="505">
        <f t="shared" si="18"/>
        <v>0</v>
      </c>
      <c r="E267" s="505">
        <f t="shared" si="18"/>
        <v>0</v>
      </c>
      <c r="F267" s="505">
        <f t="shared" si="18"/>
        <v>0</v>
      </c>
      <c r="G267" s="505">
        <f t="shared" si="18"/>
        <v>0</v>
      </c>
      <c r="H267" s="58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  <c r="AC267" s="187"/>
      <c r="AD267" s="19"/>
      <c r="AE267" s="19"/>
      <c r="AF267" s="19"/>
      <c r="AG267" s="19"/>
    </row>
    <row r="268" spans="1:33" hidden="1" outlineLevel="3" x14ac:dyDescent="0.2">
      <c r="A268" s="19"/>
      <c r="B268" s="19"/>
      <c r="C268" s="506">
        <f t="shared" si="18"/>
        <v>0</v>
      </c>
      <c r="D268" s="505">
        <f t="shared" si="18"/>
        <v>0</v>
      </c>
      <c r="E268" s="505">
        <f t="shared" si="18"/>
        <v>0</v>
      </c>
      <c r="F268" s="505">
        <f t="shared" si="18"/>
        <v>0</v>
      </c>
      <c r="G268" s="505">
        <f t="shared" si="18"/>
        <v>0</v>
      </c>
      <c r="H268" s="58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7"/>
      <c r="AD268" s="19"/>
      <c r="AE268" s="19"/>
      <c r="AF268" s="19"/>
      <c r="AG268" s="19"/>
    </row>
    <row r="269" spans="1:33" hidden="1" outlineLevel="3" x14ac:dyDescent="0.2">
      <c r="A269" s="19"/>
      <c r="B269" s="19"/>
      <c r="C269" s="506">
        <f t="shared" si="18"/>
        <v>0</v>
      </c>
      <c r="D269" s="505">
        <f t="shared" si="18"/>
        <v>0</v>
      </c>
      <c r="E269" s="505">
        <f t="shared" si="18"/>
        <v>0</v>
      </c>
      <c r="F269" s="505">
        <f t="shared" si="18"/>
        <v>0</v>
      </c>
      <c r="G269" s="505">
        <f t="shared" si="18"/>
        <v>0</v>
      </c>
      <c r="H269" s="58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7"/>
      <c r="AD269" s="19"/>
      <c r="AE269" s="19"/>
      <c r="AF269" s="19"/>
      <c r="AG269" s="19"/>
    </row>
    <row r="270" spans="1:33" hidden="1" outlineLevel="3" x14ac:dyDescent="0.2">
      <c r="A270" s="19"/>
      <c r="B270" s="19"/>
      <c r="C270" s="506">
        <f t="shared" si="18"/>
        <v>0</v>
      </c>
      <c r="D270" s="505">
        <f t="shared" si="18"/>
        <v>0</v>
      </c>
      <c r="E270" s="505">
        <f t="shared" si="18"/>
        <v>0</v>
      </c>
      <c r="F270" s="505">
        <f t="shared" si="18"/>
        <v>0</v>
      </c>
      <c r="G270" s="505">
        <f t="shared" si="18"/>
        <v>0</v>
      </c>
      <c r="H270" s="58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7"/>
      <c r="AD270" s="19"/>
      <c r="AE270" s="19"/>
      <c r="AF270" s="19"/>
      <c r="AG270" s="19"/>
    </row>
    <row r="271" spans="1:33" hidden="1" outlineLevel="3" x14ac:dyDescent="0.2">
      <c r="A271" s="19"/>
      <c r="B271" s="19"/>
      <c r="C271" s="506">
        <f t="shared" si="18"/>
        <v>0</v>
      </c>
      <c r="D271" s="505">
        <f t="shared" si="18"/>
        <v>0</v>
      </c>
      <c r="E271" s="505">
        <f t="shared" si="18"/>
        <v>0</v>
      </c>
      <c r="F271" s="505">
        <f t="shared" si="18"/>
        <v>0</v>
      </c>
      <c r="G271" s="505">
        <f t="shared" si="18"/>
        <v>0</v>
      </c>
      <c r="H271" s="58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  <c r="AC271" s="187"/>
      <c r="AD271" s="19"/>
      <c r="AE271" s="19"/>
      <c r="AF271" s="19"/>
      <c r="AG271" s="19"/>
    </row>
    <row r="272" spans="1:33" hidden="1" outlineLevel="3" x14ac:dyDescent="0.2">
      <c r="A272" s="19"/>
      <c r="B272" s="19"/>
      <c r="C272" s="506">
        <f t="shared" ref="C272:G281" si="19">C38</f>
        <v>0</v>
      </c>
      <c r="D272" s="505">
        <f t="shared" si="19"/>
        <v>0</v>
      </c>
      <c r="E272" s="505">
        <f t="shared" si="19"/>
        <v>0</v>
      </c>
      <c r="F272" s="505">
        <f t="shared" si="19"/>
        <v>0</v>
      </c>
      <c r="G272" s="505">
        <f t="shared" si="19"/>
        <v>0</v>
      </c>
      <c r="H272" s="58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  <c r="AC272" s="187"/>
      <c r="AD272" s="19"/>
      <c r="AE272" s="19"/>
      <c r="AF272" s="19"/>
      <c r="AG272" s="19"/>
    </row>
    <row r="273" spans="1:33" hidden="1" outlineLevel="3" x14ac:dyDescent="0.2">
      <c r="A273" s="19"/>
      <c r="B273" s="19"/>
      <c r="C273" s="506">
        <f t="shared" si="19"/>
        <v>0</v>
      </c>
      <c r="D273" s="505">
        <f t="shared" si="19"/>
        <v>0</v>
      </c>
      <c r="E273" s="505">
        <f t="shared" si="19"/>
        <v>0</v>
      </c>
      <c r="F273" s="505">
        <f t="shared" si="19"/>
        <v>0</v>
      </c>
      <c r="G273" s="505">
        <f t="shared" si="19"/>
        <v>0</v>
      </c>
      <c r="H273" s="58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  <c r="AC273" s="187"/>
      <c r="AD273" s="19"/>
      <c r="AE273" s="19"/>
      <c r="AF273" s="19"/>
      <c r="AG273" s="19"/>
    </row>
    <row r="274" spans="1:33" hidden="1" outlineLevel="3" x14ac:dyDescent="0.2">
      <c r="A274" s="19"/>
      <c r="B274" s="19"/>
      <c r="C274" s="506">
        <f t="shared" si="19"/>
        <v>0</v>
      </c>
      <c r="D274" s="505">
        <f t="shared" si="19"/>
        <v>0</v>
      </c>
      <c r="E274" s="505">
        <f t="shared" si="19"/>
        <v>0</v>
      </c>
      <c r="F274" s="505">
        <f t="shared" si="19"/>
        <v>0</v>
      </c>
      <c r="G274" s="505">
        <f t="shared" si="19"/>
        <v>0</v>
      </c>
      <c r="H274" s="58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7"/>
      <c r="AD274" s="19"/>
      <c r="AE274" s="19"/>
      <c r="AF274" s="19"/>
      <c r="AG274" s="19"/>
    </row>
    <row r="275" spans="1:33" hidden="1" outlineLevel="3" x14ac:dyDescent="0.2">
      <c r="A275" s="19"/>
      <c r="B275" s="19"/>
      <c r="C275" s="506">
        <f t="shared" si="19"/>
        <v>0</v>
      </c>
      <c r="D275" s="505">
        <f t="shared" si="19"/>
        <v>0</v>
      </c>
      <c r="E275" s="505">
        <f t="shared" si="19"/>
        <v>0</v>
      </c>
      <c r="F275" s="505">
        <f t="shared" si="19"/>
        <v>0</v>
      </c>
      <c r="G275" s="505">
        <f t="shared" si="19"/>
        <v>0</v>
      </c>
      <c r="H275" s="58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7"/>
      <c r="AD275" s="19"/>
      <c r="AE275" s="19"/>
      <c r="AF275" s="19"/>
      <c r="AG275" s="19"/>
    </row>
    <row r="276" spans="1:33" hidden="1" outlineLevel="3" x14ac:dyDescent="0.2">
      <c r="A276" s="19"/>
      <c r="B276" s="19"/>
      <c r="C276" s="506">
        <f t="shared" si="19"/>
        <v>0</v>
      </c>
      <c r="D276" s="505">
        <f t="shared" si="19"/>
        <v>0</v>
      </c>
      <c r="E276" s="505">
        <f t="shared" si="19"/>
        <v>0</v>
      </c>
      <c r="F276" s="505">
        <f t="shared" si="19"/>
        <v>0</v>
      </c>
      <c r="G276" s="505">
        <f t="shared" si="19"/>
        <v>0</v>
      </c>
      <c r="H276" s="58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  <c r="AC276" s="187"/>
      <c r="AD276" s="19"/>
      <c r="AE276" s="19"/>
      <c r="AF276" s="19"/>
      <c r="AG276" s="19"/>
    </row>
    <row r="277" spans="1:33" hidden="1" outlineLevel="3" x14ac:dyDescent="0.2">
      <c r="A277" s="19"/>
      <c r="B277" s="19"/>
      <c r="C277" s="506">
        <f t="shared" si="19"/>
        <v>0</v>
      </c>
      <c r="D277" s="505">
        <f t="shared" si="19"/>
        <v>0</v>
      </c>
      <c r="E277" s="505">
        <f t="shared" si="19"/>
        <v>0</v>
      </c>
      <c r="F277" s="505">
        <f t="shared" si="19"/>
        <v>0</v>
      </c>
      <c r="G277" s="505">
        <f t="shared" si="19"/>
        <v>0</v>
      </c>
      <c r="H277" s="58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7"/>
      <c r="AD277" s="19"/>
      <c r="AE277" s="19"/>
      <c r="AF277" s="19"/>
      <c r="AG277" s="19"/>
    </row>
    <row r="278" spans="1:33" hidden="1" outlineLevel="3" x14ac:dyDescent="0.2">
      <c r="A278" s="19"/>
      <c r="B278" s="19"/>
      <c r="C278" s="506">
        <f t="shared" si="19"/>
        <v>0</v>
      </c>
      <c r="D278" s="505">
        <f t="shared" si="19"/>
        <v>0</v>
      </c>
      <c r="E278" s="505">
        <f t="shared" si="19"/>
        <v>0</v>
      </c>
      <c r="F278" s="505">
        <f t="shared" si="19"/>
        <v>0</v>
      </c>
      <c r="G278" s="505">
        <f t="shared" si="19"/>
        <v>0</v>
      </c>
      <c r="H278" s="58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  <c r="V278" s="185"/>
      <c r="W278" s="185"/>
      <c r="X278" s="185"/>
      <c r="Y278" s="185"/>
      <c r="Z278" s="185"/>
      <c r="AA278" s="185"/>
      <c r="AB278" s="185"/>
      <c r="AC278" s="187"/>
      <c r="AD278" s="19"/>
      <c r="AE278" s="19"/>
      <c r="AF278" s="19"/>
      <c r="AG278" s="19"/>
    </row>
    <row r="279" spans="1:33" hidden="1" outlineLevel="3" x14ac:dyDescent="0.2">
      <c r="A279" s="19"/>
      <c r="B279" s="19"/>
      <c r="C279" s="506">
        <f t="shared" si="19"/>
        <v>0</v>
      </c>
      <c r="D279" s="505">
        <f t="shared" si="19"/>
        <v>0</v>
      </c>
      <c r="E279" s="505">
        <f t="shared" si="19"/>
        <v>0</v>
      </c>
      <c r="F279" s="505">
        <f t="shared" si="19"/>
        <v>0</v>
      </c>
      <c r="G279" s="505">
        <f t="shared" si="19"/>
        <v>0</v>
      </c>
      <c r="H279" s="58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  <c r="AA279" s="185"/>
      <c r="AB279" s="185"/>
      <c r="AC279" s="187"/>
      <c r="AD279" s="19"/>
      <c r="AE279" s="19"/>
      <c r="AF279" s="19"/>
      <c r="AG279" s="19"/>
    </row>
    <row r="280" spans="1:33" hidden="1" outlineLevel="3" x14ac:dyDescent="0.2">
      <c r="A280" s="19"/>
      <c r="B280" s="19"/>
      <c r="C280" s="506">
        <f t="shared" si="19"/>
        <v>0</v>
      </c>
      <c r="D280" s="505">
        <f t="shared" si="19"/>
        <v>0</v>
      </c>
      <c r="E280" s="505">
        <f t="shared" si="19"/>
        <v>0</v>
      </c>
      <c r="F280" s="505">
        <f t="shared" si="19"/>
        <v>0</v>
      </c>
      <c r="G280" s="505">
        <f t="shared" si="19"/>
        <v>0</v>
      </c>
      <c r="H280" s="58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  <c r="AC280" s="187"/>
      <c r="AD280" s="19"/>
      <c r="AE280" s="19"/>
      <c r="AF280" s="19"/>
      <c r="AG280" s="19"/>
    </row>
    <row r="281" spans="1:33" hidden="1" outlineLevel="3" x14ac:dyDescent="0.2">
      <c r="A281" s="19"/>
      <c r="B281" s="19"/>
      <c r="C281" s="506">
        <f t="shared" si="19"/>
        <v>0</v>
      </c>
      <c r="D281" s="505">
        <f t="shared" si="19"/>
        <v>0</v>
      </c>
      <c r="E281" s="505">
        <f t="shared" si="19"/>
        <v>0</v>
      </c>
      <c r="F281" s="505">
        <f t="shared" si="19"/>
        <v>0</v>
      </c>
      <c r="G281" s="505">
        <f t="shared" si="19"/>
        <v>0</v>
      </c>
      <c r="H281" s="58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  <c r="AC281" s="187"/>
      <c r="AD281" s="19"/>
      <c r="AE281" s="19"/>
      <c r="AF281" s="19"/>
      <c r="AG281" s="19"/>
    </row>
    <row r="282" spans="1:33" hidden="1" outlineLevel="3" x14ac:dyDescent="0.2">
      <c r="A282" s="19"/>
      <c r="B282" s="19"/>
      <c r="C282" s="506">
        <f t="shared" ref="C282:G291" si="20">C48</f>
        <v>0</v>
      </c>
      <c r="D282" s="505">
        <f t="shared" si="20"/>
        <v>0</v>
      </c>
      <c r="E282" s="505">
        <f t="shared" si="20"/>
        <v>0</v>
      </c>
      <c r="F282" s="505">
        <f t="shared" si="20"/>
        <v>0</v>
      </c>
      <c r="G282" s="505">
        <f t="shared" si="20"/>
        <v>0</v>
      </c>
      <c r="H282" s="58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  <c r="AC282" s="187"/>
      <c r="AD282" s="19"/>
      <c r="AE282" s="19"/>
      <c r="AF282" s="19"/>
      <c r="AG282" s="19"/>
    </row>
    <row r="283" spans="1:33" hidden="1" outlineLevel="3" x14ac:dyDescent="0.2">
      <c r="A283" s="19"/>
      <c r="B283" s="19"/>
      <c r="C283" s="506">
        <f t="shared" si="20"/>
        <v>0</v>
      </c>
      <c r="D283" s="505">
        <f t="shared" si="20"/>
        <v>0</v>
      </c>
      <c r="E283" s="505">
        <f t="shared" si="20"/>
        <v>0</v>
      </c>
      <c r="F283" s="505">
        <f t="shared" si="20"/>
        <v>0</v>
      </c>
      <c r="G283" s="505">
        <f t="shared" si="20"/>
        <v>0</v>
      </c>
      <c r="H283" s="58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  <c r="AC283" s="187"/>
      <c r="AD283" s="19"/>
      <c r="AE283" s="19"/>
      <c r="AF283" s="19"/>
      <c r="AG283" s="19"/>
    </row>
    <row r="284" spans="1:33" hidden="1" outlineLevel="3" x14ac:dyDescent="0.2">
      <c r="A284" s="19"/>
      <c r="B284" s="19"/>
      <c r="C284" s="506">
        <f t="shared" si="20"/>
        <v>0</v>
      </c>
      <c r="D284" s="505">
        <f t="shared" si="20"/>
        <v>0</v>
      </c>
      <c r="E284" s="505">
        <f t="shared" si="20"/>
        <v>0</v>
      </c>
      <c r="F284" s="505">
        <f t="shared" si="20"/>
        <v>0</v>
      </c>
      <c r="G284" s="505">
        <f t="shared" si="20"/>
        <v>0</v>
      </c>
      <c r="H284" s="58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7"/>
      <c r="AD284" s="19"/>
      <c r="AE284" s="19"/>
      <c r="AF284" s="19"/>
      <c r="AG284" s="19"/>
    </row>
    <row r="285" spans="1:33" hidden="1" outlineLevel="3" x14ac:dyDescent="0.2">
      <c r="A285" s="19"/>
      <c r="B285" s="19"/>
      <c r="C285" s="506">
        <f t="shared" si="20"/>
        <v>0</v>
      </c>
      <c r="D285" s="505">
        <f t="shared" si="20"/>
        <v>0</v>
      </c>
      <c r="E285" s="505">
        <f t="shared" si="20"/>
        <v>0</v>
      </c>
      <c r="F285" s="505">
        <f t="shared" si="20"/>
        <v>0</v>
      </c>
      <c r="G285" s="505">
        <f t="shared" si="20"/>
        <v>0</v>
      </c>
      <c r="H285" s="58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  <c r="AC285" s="187"/>
      <c r="AD285" s="19"/>
      <c r="AE285" s="19"/>
      <c r="AF285" s="19"/>
      <c r="AG285" s="19"/>
    </row>
    <row r="286" spans="1:33" hidden="1" outlineLevel="3" x14ac:dyDescent="0.2">
      <c r="A286" s="19"/>
      <c r="B286" s="19"/>
      <c r="C286" s="506">
        <f t="shared" si="20"/>
        <v>0</v>
      </c>
      <c r="D286" s="505">
        <f t="shared" si="20"/>
        <v>0</v>
      </c>
      <c r="E286" s="505">
        <f t="shared" si="20"/>
        <v>0</v>
      </c>
      <c r="F286" s="505">
        <f t="shared" si="20"/>
        <v>0</v>
      </c>
      <c r="G286" s="505">
        <f t="shared" si="20"/>
        <v>0</v>
      </c>
      <c r="H286" s="58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5"/>
      <c r="Z286" s="185"/>
      <c r="AA286" s="185"/>
      <c r="AB286" s="185"/>
      <c r="AC286" s="187"/>
      <c r="AD286" s="19"/>
      <c r="AE286" s="19"/>
      <c r="AF286" s="19"/>
      <c r="AG286" s="19"/>
    </row>
    <row r="287" spans="1:33" hidden="1" outlineLevel="3" x14ac:dyDescent="0.2">
      <c r="A287" s="19"/>
      <c r="B287" s="19"/>
      <c r="C287" s="506">
        <f t="shared" si="20"/>
        <v>0</v>
      </c>
      <c r="D287" s="505">
        <f t="shared" si="20"/>
        <v>0</v>
      </c>
      <c r="E287" s="505">
        <f t="shared" si="20"/>
        <v>0</v>
      </c>
      <c r="F287" s="505">
        <f t="shared" si="20"/>
        <v>0</v>
      </c>
      <c r="G287" s="505">
        <f t="shared" si="20"/>
        <v>0</v>
      </c>
      <c r="H287" s="58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  <c r="AA287" s="185"/>
      <c r="AB287" s="185"/>
      <c r="AC287" s="187"/>
      <c r="AD287" s="19"/>
      <c r="AE287" s="19"/>
      <c r="AF287" s="19"/>
      <c r="AG287" s="19"/>
    </row>
    <row r="288" spans="1:33" hidden="1" outlineLevel="3" x14ac:dyDescent="0.2">
      <c r="A288" s="19"/>
      <c r="B288" s="19"/>
      <c r="C288" s="506">
        <f t="shared" si="20"/>
        <v>0</v>
      </c>
      <c r="D288" s="505">
        <f t="shared" si="20"/>
        <v>0</v>
      </c>
      <c r="E288" s="505">
        <f t="shared" si="20"/>
        <v>0</v>
      </c>
      <c r="F288" s="505">
        <f t="shared" si="20"/>
        <v>0</v>
      </c>
      <c r="G288" s="505">
        <f t="shared" si="20"/>
        <v>0</v>
      </c>
      <c r="H288" s="58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  <c r="AA288" s="185"/>
      <c r="AB288" s="185"/>
      <c r="AC288" s="187"/>
      <c r="AD288" s="19"/>
      <c r="AE288" s="19"/>
      <c r="AF288" s="19"/>
      <c r="AG288" s="19"/>
    </row>
    <row r="289" spans="1:33" hidden="1" outlineLevel="3" x14ac:dyDescent="0.2">
      <c r="A289" s="19"/>
      <c r="B289" s="19"/>
      <c r="C289" s="506">
        <f t="shared" si="20"/>
        <v>0</v>
      </c>
      <c r="D289" s="505">
        <f t="shared" si="20"/>
        <v>0</v>
      </c>
      <c r="E289" s="505">
        <f t="shared" si="20"/>
        <v>0</v>
      </c>
      <c r="F289" s="505">
        <f t="shared" si="20"/>
        <v>0</v>
      </c>
      <c r="G289" s="505">
        <f t="shared" si="20"/>
        <v>0</v>
      </c>
      <c r="H289" s="58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  <c r="AA289" s="185"/>
      <c r="AB289" s="185"/>
      <c r="AC289" s="187"/>
      <c r="AD289" s="19"/>
      <c r="AE289" s="19"/>
      <c r="AF289" s="19"/>
      <c r="AG289" s="19"/>
    </row>
    <row r="290" spans="1:33" hidden="1" outlineLevel="3" x14ac:dyDescent="0.2">
      <c r="A290" s="19"/>
      <c r="B290" s="19"/>
      <c r="C290" s="506">
        <f t="shared" si="20"/>
        <v>0</v>
      </c>
      <c r="D290" s="505">
        <f t="shared" si="20"/>
        <v>0</v>
      </c>
      <c r="E290" s="505">
        <f t="shared" si="20"/>
        <v>0</v>
      </c>
      <c r="F290" s="505">
        <f t="shared" si="20"/>
        <v>0</v>
      </c>
      <c r="G290" s="505">
        <f t="shared" si="20"/>
        <v>0</v>
      </c>
      <c r="H290" s="58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  <c r="AC290" s="187"/>
      <c r="AD290" s="19"/>
      <c r="AE290" s="19"/>
      <c r="AF290" s="19"/>
      <c r="AG290" s="19"/>
    </row>
    <row r="291" spans="1:33" hidden="1" outlineLevel="3" x14ac:dyDescent="0.2">
      <c r="A291" s="19"/>
      <c r="B291" s="19"/>
      <c r="C291" s="506">
        <f t="shared" si="20"/>
        <v>0</v>
      </c>
      <c r="D291" s="505">
        <f t="shared" si="20"/>
        <v>0</v>
      </c>
      <c r="E291" s="505">
        <f t="shared" si="20"/>
        <v>0</v>
      </c>
      <c r="F291" s="505">
        <f t="shared" si="20"/>
        <v>0</v>
      </c>
      <c r="G291" s="505">
        <f t="shared" si="20"/>
        <v>0</v>
      </c>
      <c r="H291" s="58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  <c r="AA291" s="185"/>
      <c r="AB291" s="185"/>
      <c r="AC291" s="187"/>
      <c r="AD291" s="19"/>
      <c r="AE291" s="19"/>
      <c r="AF291" s="19"/>
      <c r="AG291" s="19"/>
    </row>
    <row r="292" spans="1:33" hidden="1" outlineLevel="3" x14ac:dyDescent="0.2">
      <c r="A292" s="19"/>
      <c r="B292" s="19"/>
      <c r="C292" s="506">
        <f t="shared" ref="C292:G301" si="21">C58</f>
        <v>0</v>
      </c>
      <c r="D292" s="505">
        <f t="shared" si="21"/>
        <v>0</v>
      </c>
      <c r="E292" s="505">
        <f t="shared" si="21"/>
        <v>0</v>
      </c>
      <c r="F292" s="505">
        <f t="shared" si="21"/>
        <v>0</v>
      </c>
      <c r="G292" s="505">
        <f t="shared" si="21"/>
        <v>0</v>
      </c>
      <c r="H292" s="58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  <c r="V292" s="185"/>
      <c r="W292" s="185"/>
      <c r="X292" s="185"/>
      <c r="Y292" s="185"/>
      <c r="Z292" s="185"/>
      <c r="AA292" s="185"/>
      <c r="AB292" s="185"/>
      <c r="AC292" s="187"/>
      <c r="AD292" s="19"/>
      <c r="AE292" s="19"/>
      <c r="AF292" s="19"/>
      <c r="AG292" s="19"/>
    </row>
    <row r="293" spans="1:33" hidden="1" outlineLevel="3" x14ac:dyDescent="0.2">
      <c r="A293" s="19"/>
      <c r="B293" s="19"/>
      <c r="C293" s="506">
        <f t="shared" si="21"/>
        <v>0</v>
      </c>
      <c r="D293" s="505">
        <f t="shared" si="21"/>
        <v>0</v>
      </c>
      <c r="E293" s="505">
        <f t="shared" si="21"/>
        <v>0</v>
      </c>
      <c r="F293" s="505">
        <f t="shared" si="21"/>
        <v>0</v>
      </c>
      <c r="G293" s="505">
        <f t="shared" si="21"/>
        <v>0</v>
      </c>
      <c r="H293" s="58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  <c r="AC293" s="187"/>
      <c r="AD293" s="19"/>
      <c r="AE293" s="19"/>
      <c r="AF293" s="19"/>
      <c r="AG293" s="19"/>
    </row>
    <row r="294" spans="1:33" hidden="1" outlineLevel="3" x14ac:dyDescent="0.2">
      <c r="A294" s="19"/>
      <c r="B294" s="19"/>
      <c r="C294" s="506">
        <f t="shared" si="21"/>
        <v>0</v>
      </c>
      <c r="D294" s="505">
        <f t="shared" si="21"/>
        <v>0</v>
      </c>
      <c r="E294" s="505">
        <f t="shared" si="21"/>
        <v>0</v>
      </c>
      <c r="F294" s="505">
        <f t="shared" si="21"/>
        <v>0</v>
      </c>
      <c r="G294" s="505">
        <f t="shared" si="21"/>
        <v>0</v>
      </c>
      <c r="H294" s="58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  <c r="AC294" s="187"/>
      <c r="AD294" s="19"/>
      <c r="AE294" s="19"/>
      <c r="AF294" s="19"/>
      <c r="AG294" s="19"/>
    </row>
    <row r="295" spans="1:33" hidden="1" outlineLevel="3" x14ac:dyDescent="0.2">
      <c r="A295" s="19"/>
      <c r="B295" s="19"/>
      <c r="C295" s="506">
        <f t="shared" si="21"/>
        <v>0</v>
      </c>
      <c r="D295" s="505">
        <f t="shared" si="21"/>
        <v>0</v>
      </c>
      <c r="E295" s="505">
        <f t="shared" si="21"/>
        <v>0</v>
      </c>
      <c r="F295" s="505">
        <f t="shared" si="21"/>
        <v>0</v>
      </c>
      <c r="G295" s="505">
        <f t="shared" si="21"/>
        <v>0</v>
      </c>
      <c r="H295" s="58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7"/>
      <c r="AD295" s="19"/>
      <c r="AE295" s="19"/>
      <c r="AF295" s="19"/>
      <c r="AG295" s="19"/>
    </row>
    <row r="296" spans="1:33" hidden="1" outlineLevel="3" x14ac:dyDescent="0.2">
      <c r="A296" s="19"/>
      <c r="B296" s="19"/>
      <c r="C296" s="506">
        <f t="shared" si="21"/>
        <v>0</v>
      </c>
      <c r="D296" s="505">
        <f t="shared" si="21"/>
        <v>0</v>
      </c>
      <c r="E296" s="505">
        <f t="shared" si="21"/>
        <v>0</v>
      </c>
      <c r="F296" s="505">
        <f t="shared" si="21"/>
        <v>0</v>
      </c>
      <c r="G296" s="505">
        <f t="shared" si="21"/>
        <v>0</v>
      </c>
      <c r="H296" s="58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7"/>
      <c r="AD296" s="19"/>
      <c r="AE296" s="19"/>
      <c r="AF296" s="19"/>
      <c r="AG296" s="19"/>
    </row>
    <row r="297" spans="1:33" hidden="1" outlineLevel="3" x14ac:dyDescent="0.2">
      <c r="A297" s="19"/>
      <c r="B297" s="19"/>
      <c r="C297" s="506">
        <f t="shared" si="21"/>
        <v>0</v>
      </c>
      <c r="D297" s="505">
        <f t="shared" si="21"/>
        <v>0</v>
      </c>
      <c r="E297" s="505">
        <f t="shared" si="21"/>
        <v>0</v>
      </c>
      <c r="F297" s="505">
        <f t="shared" si="21"/>
        <v>0</v>
      </c>
      <c r="G297" s="505">
        <f t="shared" si="21"/>
        <v>0</v>
      </c>
      <c r="H297" s="58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7"/>
      <c r="AD297" s="19"/>
      <c r="AE297" s="19"/>
      <c r="AF297" s="19"/>
      <c r="AG297" s="19"/>
    </row>
    <row r="298" spans="1:33" hidden="1" outlineLevel="3" x14ac:dyDescent="0.2">
      <c r="A298" s="19"/>
      <c r="B298" s="19"/>
      <c r="C298" s="506">
        <f t="shared" si="21"/>
        <v>0</v>
      </c>
      <c r="D298" s="505">
        <f t="shared" si="21"/>
        <v>0</v>
      </c>
      <c r="E298" s="505">
        <f t="shared" si="21"/>
        <v>0</v>
      </c>
      <c r="F298" s="505">
        <f t="shared" si="21"/>
        <v>0</v>
      </c>
      <c r="G298" s="505">
        <f t="shared" si="21"/>
        <v>0</v>
      </c>
      <c r="H298" s="58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7"/>
      <c r="AD298" s="19"/>
      <c r="AE298" s="19"/>
      <c r="AF298" s="19"/>
      <c r="AG298" s="19"/>
    </row>
    <row r="299" spans="1:33" hidden="1" outlineLevel="3" x14ac:dyDescent="0.2">
      <c r="A299" s="19"/>
      <c r="B299" s="19"/>
      <c r="C299" s="506">
        <f t="shared" si="21"/>
        <v>0</v>
      </c>
      <c r="D299" s="505">
        <f t="shared" si="21"/>
        <v>0</v>
      </c>
      <c r="E299" s="505">
        <f t="shared" si="21"/>
        <v>0</v>
      </c>
      <c r="F299" s="505">
        <f t="shared" si="21"/>
        <v>0</v>
      </c>
      <c r="G299" s="505">
        <f t="shared" si="21"/>
        <v>0</v>
      </c>
      <c r="H299" s="58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7"/>
      <c r="AD299" s="19"/>
      <c r="AE299" s="19"/>
      <c r="AF299" s="19"/>
      <c r="AG299" s="19"/>
    </row>
    <row r="300" spans="1:33" hidden="1" outlineLevel="3" x14ac:dyDescent="0.2">
      <c r="A300" s="19"/>
      <c r="B300" s="19"/>
      <c r="C300" s="506">
        <f t="shared" si="21"/>
        <v>0</v>
      </c>
      <c r="D300" s="505">
        <f t="shared" si="21"/>
        <v>0</v>
      </c>
      <c r="E300" s="505">
        <f t="shared" si="21"/>
        <v>0</v>
      </c>
      <c r="F300" s="505">
        <f t="shared" si="21"/>
        <v>0</v>
      </c>
      <c r="G300" s="505">
        <f t="shared" si="21"/>
        <v>0</v>
      </c>
      <c r="H300" s="58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7"/>
      <c r="AD300" s="19"/>
      <c r="AE300" s="19"/>
      <c r="AF300" s="19"/>
      <c r="AG300" s="19"/>
    </row>
    <row r="301" spans="1:33" hidden="1" outlineLevel="3" x14ac:dyDescent="0.2">
      <c r="A301" s="19"/>
      <c r="B301" s="19"/>
      <c r="C301" s="506">
        <f t="shared" si="21"/>
        <v>0</v>
      </c>
      <c r="D301" s="505">
        <f t="shared" si="21"/>
        <v>0</v>
      </c>
      <c r="E301" s="505">
        <f t="shared" si="21"/>
        <v>0</v>
      </c>
      <c r="F301" s="505">
        <f t="shared" si="21"/>
        <v>0</v>
      </c>
      <c r="G301" s="505">
        <f t="shared" si="21"/>
        <v>0</v>
      </c>
      <c r="H301" s="58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7"/>
      <c r="AD301" s="19"/>
      <c r="AE301" s="19"/>
      <c r="AF301" s="19"/>
      <c r="AG301" s="19"/>
    </row>
    <row r="302" spans="1:33" hidden="1" outlineLevel="3" x14ac:dyDescent="0.2">
      <c r="A302" s="19"/>
      <c r="B302" s="19"/>
      <c r="C302" s="506">
        <f t="shared" ref="C302:G311" si="22">C68</f>
        <v>0</v>
      </c>
      <c r="D302" s="505">
        <f t="shared" si="22"/>
        <v>0</v>
      </c>
      <c r="E302" s="505">
        <f t="shared" si="22"/>
        <v>0</v>
      </c>
      <c r="F302" s="505">
        <f t="shared" si="22"/>
        <v>0</v>
      </c>
      <c r="G302" s="505">
        <f t="shared" si="22"/>
        <v>0</v>
      </c>
      <c r="H302" s="58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7"/>
      <c r="AD302" s="19"/>
      <c r="AE302" s="19"/>
      <c r="AF302" s="19"/>
      <c r="AG302" s="19"/>
    </row>
    <row r="303" spans="1:33" hidden="1" outlineLevel="3" x14ac:dyDescent="0.2">
      <c r="A303" s="19"/>
      <c r="B303" s="19"/>
      <c r="C303" s="506">
        <f t="shared" si="22"/>
        <v>0</v>
      </c>
      <c r="D303" s="505">
        <f t="shared" si="22"/>
        <v>0</v>
      </c>
      <c r="E303" s="505">
        <f t="shared" si="22"/>
        <v>0</v>
      </c>
      <c r="F303" s="505">
        <f t="shared" si="22"/>
        <v>0</v>
      </c>
      <c r="G303" s="505">
        <f t="shared" si="22"/>
        <v>0</v>
      </c>
      <c r="H303" s="58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  <c r="AC303" s="187"/>
      <c r="AD303" s="19"/>
      <c r="AE303" s="19"/>
      <c r="AF303" s="19"/>
      <c r="AG303" s="19"/>
    </row>
    <row r="304" spans="1:33" hidden="1" outlineLevel="3" x14ac:dyDescent="0.2">
      <c r="A304" s="19"/>
      <c r="B304" s="19"/>
      <c r="C304" s="506">
        <f t="shared" si="22"/>
        <v>0</v>
      </c>
      <c r="D304" s="505">
        <f t="shared" si="22"/>
        <v>0</v>
      </c>
      <c r="E304" s="505">
        <f t="shared" si="22"/>
        <v>0</v>
      </c>
      <c r="F304" s="505">
        <f t="shared" si="22"/>
        <v>0</v>
      </c>
      <c r="G304" s="505">
        <f t="shared" si="22"/>
        <v>0</v>
      </c>
      <c r="H304" s="58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  <c r="AC304" s="187"/>
      <c r="AD304" s="19"/>
      <c r="AE304" s="19"/>
      <c r="AF304" s="19"/>
      <c r="AG304" s="19"/>
    </row>
    <row r="305" spans="1:42" hidden="1" outlineLevel="3" x14ac:dyDescent="0.2">
      <c r="A305" s="19"/>
      <c r="B305" s="19"/>
      <c r="C305" s="506">
        <f t="shared" si="22"/>
        <v>0</v>
      </c>
      <c r="D305" s="505">
        <f t="shared" si="22"/>
        <v>0</v>
      </c>
      <c r="E305" s="505">
        <f t="shared" si="22"/>
        <v>0</v>
      </c>
      <c r="F305" s="505">
        <f t="shared" si="22"/>
        <v>0</v>
      </c>
      <c r="G305" s="505">
        <f t="shared" si="22"/>
        <v>0</v>
      </c>
      <c r="H305" s="58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  <c r="AC305" s="187"/>
      <c r="AD305" s="19"/>
      <c r="AE305" s="19"/>
      <c r="AF305" s="19"/>
      <c r="AG305" s="19"/>
    </row>
    <row r="306" spans="1:42" hidden="1" outlineLevel="3" x14ac:dyDescent="0.2">
      <c r="A306" s="19"/>
      <c r="B306" s="19"/>
      <c r="C306" s="506">
        <f t="shared" si="22"/>
        <v>0</v>
      </c>
      <c r="D306" s="505">
        <f t="shared" si="22"/>
        <v>0</v>
      </c>
      <c r="E306" s="505">
        <f t="shared" si="22"/>
        <v>0</v>
      </c>
      <c r="F306" s="505">
        <f t="shared" si="22"/>
        <v>0</v>
      </c>
      <c r="G306" s="505">
        <f t="shared" si="22"/>
        <v>0</v>
      </c>
      <c r="H306" s="58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  <c r="AA306" s="185"/>
      <c r="AB306" s="185"/>
      <c r="AC306" s="187"/>
      <c r="AD306" s="19"/>
      <c r="AE306" s="19"/>
      <c r="AF306" s="19"/>
      <c r="AG306" s="19"/>
    </row>
    <row r="307" spans="1:42" hidden="1" outlineLevel="3" x14ac:dyDescent="0.2">
      <c r="A307" s="19"/>
      <c r="B307" s="19"/>
      <c r="C307" s="506">
        <f t="shared" si="22"/>
        <v>0</v>
      </c>
      <c r="D307" s="505">
        <f t="shared" si="22"/>
        <v>0</v>
      </c>
      <c r="E307" s="505">
        <f t="shared" si="22"/>
        <v>0</v>
      </c>
      <c r="F307" s="505">
        <f t="shared" si="22"/>
        <v>0</v>
      </c>
      <c r="G307" s="505">
        <f t="shared" si="22"/>
        <v>0</v>
      </c>
      <c r="H307" s="58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  <c r="AC307" s="187"/>
      <c r="AD307" s="19"/>
      <c r="AE307" s="19"/>
      <c r="AF307" s="19"/>
      <c r="AG307" s="19"/>
    </row>
    <row r="308" spans="1:42" hidden="1" outlineLevel="3" x14ac:dyDescent="0.2">
      <c r="A308" s="19"/>
      <c r="B308" s="19"/>
      <c r="C308" s="506">
        <f t="shared" si="22"/>
        <v>0</v>
      </c>
      <c r="D308" s="505">
        <f t="shared" si="22"/>
        <v>0</v>
      </c>
      <c r="E308" s="505">
        <f t="shared" si="22"/>
        <v>0</v>
      </c>
      <c r="F308" s="505">
        <f t="shared" si="22"/>
        <v>0</v>
      </c>
      <c r="G308" s="505">
        <f t="shared" si="22"/>
        <v>0</v>
      </c>
      <c r="H308" s="58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  <c r="AA308" s="185"/>
      <c r="AB308" s="185"/>
      <c r="AC308" s="187"/>
      <c r="AD308" s="19"/>
      <c r="AE308" s="19"/>
      <c r="AF308" s="19"/>
      <c r="AG308" s="19"/>
    </row>
    <row r="309" spans="1:42" hidden="1" outlineLevel="3" x14ac:dyDescent="0.2">
      <c r="A309" s="19"/>
      <c r="B309" s="19"/>
      <c r="C309" s="506">
        <f t="shared" si="22"/>
        <v>0</v>
      </c>
      <c r="D309" s="505">
        <f t="shared" si="22"/>
        <v>0</v>
      </c>
      <c r="E309" s="505">
        <f t="shared" si="22"/>
        <v>0</v>
      </c>
      <c r="F309" s="505">
        <f t="shared" si="22"/>
        <v>0</v>
      </c>
      <c r="G309" s="505">
        <f t="shared" si="22"/>
        <v>0</v>
      </c>
      <c r="H309" s="58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  <c r="AA309" s="185"/>
      <c r="AB309" s="185"/>
      <c r="AC309" s="187"/>
      <c r="AD309" s="19"/>
      <c r="AE309" s="19"/>
      <c r="AF309" s="19"/>
      <c r="AG309" s="19"/>
    </row>
    <row r="310" spans="1:42" hidden="1" outlineLevel="3" x14ac:dyDescent="0.2">
      <c r="A310" s="19"/>
      <c r="B310" s="19"/>
      <c r="C310" s="506">
        <f t="shared" si="22"/>
        <v>0</v>
      </c>
      <c r="D310" s="505">
        <f t="shared" si="22"/>
        <v>0</v>
      </c>
      <c r="E310" s="505">
        <f t="shared" si="22"/>
        <v>0</v>
      </c>
      <c r="F310" s="505">
        <f t="shared" si="22"/>
        <v>0</v>
      </c>
      <c r="G310" s="505">
        <f t="shared" si="22"/>
        <v>0</v>
      </c>
      <c r="H310" s="58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7"/>
      <c r="AD310" s="19"/>
      <c r="AE310" s="19"/>
      <c r="AF310" s="19"/>
      <c r="AG310" s="19"/>
    </row>
    <row r="311" spans="1:42" hidden="1" outlineLevel="3" x14ac:dyDescent="0.2">
      <c r="A311" s="19"/>
      <c r="B311" s="19"/>
      <c r="C311" s="506">
        <f t="shared" si="22"/>
        <v>0</v>
      </c>
      <c r="D311" s="505">
        <f t="shared" si="22"/>
        <v>0</v>
      </c>
      <c r="E311" s="505">
        <f t="shared" si="22"/>
        <v>0</v>
      </c>
      <c r="F311" s="505">
        <f t="shared" si="22"/>
        <v>0</v>
      </c>
      <c r="G311" s="505">
        <f t="shared" si="22"/>
        <v>0</v>
      </c>
      <c r="H311" s="58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7"/>
      <c r="AD311" s="19"/>
      <c r="AE311" s="19"/>
      <c r="AF311" s="19"/>
      <c r="AG311" s="19"/>
    </row>
    <row r="312" spans="1:42" hidden="1" outlineLevel="3" x14ac:dyDescent="0.2">
      <c r="A312" s="19"/>
      <c r="B312" s="19"/>
      <c r="C312" s="506">
        <f t="shared" ref="C312:G316" si="23">C78</f>
        <v>0</v>
      </c>
      <c r="D312" s="505">
        <f t="shared" si="23"/>
        <v>0</v>
      </c>
      <c r="E312" s="505">
        <f t="shared" si="23"/>
        <v>0</v>
      </c>
      <c r="F312" s="505">
        <f t="shared" si="23"/>
        <v>0</v>
      </c>
      <c r="G312" s="505">
        <f t="shared" si="23"/>
        <v>0</v>
      </c>
      <c r="H312" s="58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185"/>
      <c r="AC312" s="187"/>
      <c r="AD312" s="19"/>
      <c r="AE312" s="19"/>
      <c r="AF312" s="19"/>
      <c r="AG312" s="19"/>
    </row>
    <row r="313" spans="1:42" hidden="1" outlineLevel="3" x14ac:dyDescent="0.2">
      <c r="A313" s="19"/>
      <c r="B313" s="19"/>
      <c r="C313" s="506">
        <f t="shared" si="23"/>
        <v>0</v>
      </c>
      <c r="D313" s="505">
        <f t="shared" si="23"/>
        <v>0</v>
      </c>
      <c r="E313" s="505">
        <f t="shared" si="23"/>
        <v>0</v>
      </c>
      <c r="F313" s="505">
        <f t="shared" si="23"/>
        <v>0</v>
      </c>
      <c r="G313" s="505">
        <f t="shared" si="23"/>
        <v>0</v>
      </c>
      <c r="H313" s="58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  <c r="AC313" s="187"/>
      <c r="AD313" s="19"/>
      <c r="AE313" s="19"/>
      <c r="AF313" s="19"/>
      <c r="AG313" s="19"/>
    </row>
    <row r="314" spans="1:42" hidden="1" outlineLevel="3" x14ac:dyDescent="0.2">
      <c r="A314" s="19"/>
      <c r="B314" s="19"/>
      <c r="C314" s="506">
        <f t="shared" si="23"/>
        <v>0</v>
      </c>
      <c r="D314" s="505">
        <f t="shared" si="23"/>
        <v>0</v>
      </c>
      <c r="E314" s="505">
        <f t="shared" si="23"/>
        <v>0</v>
      </c>
      <c r="F314" s="505">
        <f t="shared" si="23"/>
        <v>0</v>
      </c>
      <c r="G314" s="505">
        <f t="shared" si="23"/>
        <v>0</v>
      </c>
      <c r="H314" s="58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7"/>
      <c r="AD314" s="19"/>
      <c r="AE314" s="19"/>
      <c r="AF314" s="19"/>
      <c r="AG314" s="19"/>
    </row>
    <row r="315" spans="1:42" hidden="1" outlineLevel="3" x14ac:dyDescent="0.2">
      <c r="A315" s="19"/>
      <c r="B315" s="19"/>
      <c r="C315" s="506">
        <f t="shared" si="23"/>
        <v>0</v>
      </c>
      <c r="D315" s="505">
        <f t="shared" si="23"/>
        <v>0</v>
      </c>
      <c r="E315" s="505">
        <f t="shared" si="23"/>
        <v>0</v>
      </c>
      <c r="F315" s="505">
        <f t="shared" si="23"/>
        <v>0</v>
      </c>
      <c r="G315" s="505">
        <f t="shared" si="23"/>
        <v>0</v>
      </c>
      <c r="H315" s="58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  <c r="AC315" s="187"/>
      <c r="AD315" s="19"/>
      <c r="AE315" s="19"/>
      <c r="AF315" s="19"/>
      <c r="AG315" s="19"/>
    </row>
    <row r="316" spans="1:42" hidden="1" outlineLevel="3" x14ac:dyDescent="0.2">
      <c r="A316" s="19"/>
      <c r="B316" s="19"/>
      <c r="C316" s="506">
        <f t="shared" si="23"/>
        <v>0</v>
      </c>
      <c r="D316" s="505">
        <f t="shared" si="23"/>
        <v>0</v>
      </c>
      <c r="E316" s="505">
        <f t="shared" si="23"/>
        <v>0</v>
      </c>
      <c r="F316" s="505">
        <f t="shared" si="23"/>
        <v>0</v>
      </c>
      <c r="G316" s="505">
        <f t="shared" si="23"/>
        <v>0</v>
      </c>
      <c r="H316" s="58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  <c r="AC316" s="187"/>
      <c r="AD316" s="19"/>
      <c r="AE316" s="19"/>
      <c r="AF316" s="19"/>
      <c r="AG316" s="19"/>
    </row>
    <row r="317" spans="1:42" outlineLevel="2" collapsed="1" x14ac:dyDescent="0.2">
      <c r="A317" s="19"/>
      <c r="B317" s="19"/>
      <c r="C317" s="66"/>
      <c r="D317" s="58"/>
      <c r="E317" s="58"/>
      <c r="F317" s="58"/>
      <c r="G317" s="58"/>
      <c r="H317" s="58"/>
      <c r="I317" s="186"/>
      <c r="J317" s="186"/>
      <c r="K317" s="187"/>
      <c r="L317" s="187"/>
      <c r="M317" s="187"/>
      <c r="N317" s="188"/>
      <c r="O317" s="188"/>
      <c r="P317" s="188"/>
      <c r="Q317" s="188"/>
      <c r="R317" s="188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9"/>
      <c r="AE317" s="19"/>
      <c r="AF317" s="19"/>
      <c r="AG317" s="19"/>
    </row>
    <row r="318" spans="1:42" outlineLevel="1" x14ac:dyDescent="0.2">
      <c r="A318" s="19"/>
      <c r="B318" s="19"/>
      <c r="C318" s="66"/>
      <c r="D318" s="58"/>
      <c r="E318" s="58"/>
      <c r="F318" s="58"/>
      <c r="G318" s="58"/>
      <c r="H318" s="58"/>
      <c r="I318" s="192"/>
      <c r="J318" s="192"/>
      <c r="K318" s="193"/>
      <c r="L318" s="193"/>
      <c r="M318" s="193"/>
      <c r="N318" s="194"/>
      <c r="O318" s="194"/>
      <c r="P318" s="194"/>
      <c r="Q318" s="194"/>
      <c r="R318" s="194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"/>
      <c r="AE318" s="19"/>
      <c r="AF318" s="19"/>
      <c r="AG318" s="19"/>
    </row>
    <row r="319" spans="1:42" outlineLevel="1" x14ac:dyDescent="0.2">
      <c r="A319" s="19"/>
      <c r="B319" s="19"/>
      <c r="C319" s="167" t="str">
        <f>RCP_lastyear</f>
        <v>2023–24</v>
      </c>
      <c r="D319" s="20"/>
      <c r="E319" s="20"/>
      <c r="F319" s="20"/>
      <c r="G319" s="22"/>
      <c r="H319" s="22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9"/>
      <c r="AE319" s="19"/>
      <c r="AF319" s="19"/>
      <c r="AG319" s="19"/>
    </row>
    <row r="320" spans="1:42" outlineLevel="2" x14ac:dyDescent="0.2">
      <c r="A320" s="19"/>
      <c r="B320" s="19"/>
      <c r="C320" s="506" t="str">
        <f t="shared" ref="C320:G329" si="24">C8</f>
        <v>Residential time of use consumption</v>
      </c>
      <c r="D320" s="505" t="str">
        <f t="shared" si="24"/>
        <v>Residential</v>
      </c>
      <c r="E320" s="505" t="str">
        <f t="shared" si="24"/>
        <v>TAS93</v>
      </c>
      <c r="F320" s="505">
        <f t="shared" si="24"/>
        <v>0</v>
      </c>
      <c r="G320" s="505">
        <f t="shared" si="24"/>
        <v>0</v>
      </c>
      <c r="H320" s="22"/>
      <c r="I320" s="189">
        <v>61.109000000000002</v>
      </c>
      <c r="J320" s="189"/>
      <c r="K320" s="189">
        <v>15.298</v>
      </c>
      <c r="L320" s="189"/>
      <c r="M320" s="189">
        <v>3.1360000000000001</v>
      </c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7"/>
      <c r="AD320" s="604">
        <f>IFERROR(I320/'Tariff schedule'!I19-1,"")</f>
        <v>3.0002191171265347E-2</v>
      </c>
      <c r="AE320" s="604" t="str">
        <f>IFERROR(J320/'Tariff schedule'!J19-1,"")</f>
        <v/>
      </c>
      <c r="AF320" s="604">
        <f>IFERROR(K320/'Tariff schedule'!K19-1,"")</f>
        <v>4.8670139840965021E-2</v>
      </c>
      <c r="AG320" s="604" t="str">
        <f>IFERROR(L320/'Tariff schedule'!L19-1,"")</f>
        <v/>
      </c>
      <c r="AH320" s="604">
        <f>IFERROR(M320/'Tariff schedule'!M19-1,"")</f>
        <v>7.5077134041823923E-2</v>
      </c>
      <c r="AI320" s="604" t="str">
        <f>IFERROR(N320/'Tariff schedule'!N19-1,"")</f>
        <v/>
      </c>
      <c r="AJ320" s="604" t="str">
        <f>IFERROR(O320/'Tariff schedule'!O19-1,"")</f>
        <v/>
      </c>
      <c r="AK320" s="604" t="str">
        <f>IFERROR(P320/'Tariff schedule'!P19-1,"")</f>
        <v/>
      </c>
      <c r="AL320" s="604" t="str">
        <f>IFERROR(Q320/'Tariff schedule'!Q19-1,"")</f>
        <v/>
      </c>
      <c r="AM320" s="604" t="str">
        <f>IFERROR(R320/'Tariff schedule'!R19-1,"")</f>
        <v/>
      </c>
      <c r="AN320" s="604" t="str">
        <f>IFERROR(S320/'Tariff schedule'!S19-1,"")</f>
        <v/>
      </c>
      <c r="AO320" s="604" t="str">
        <f>IFERROR(T320/'Tariff schedule'!T19-1,"")</f>
        <v/>
      </c>
      <c r="AP320" s="604" t="str">
        <f>IFERROR(U320/'Tariff schedule'!U19-1,"")</f>
        <v/>
      </c>
    </row>
    <row r="321" spans="1:42" s="59" customFormat="1" outlineLevel="2" x14ac:dyDescent="0.2">
      <c r="A321" s="57"/>
      <c r="B321" s="57"/>
      <c r="C321" s="506" t="str">
        <f t="shared" si="24"/>
        <v>Residential general light and power</v>
      </c>
      <c r="D321" s="505" t="str">
        <f t="shared" si="24"/>
        <v>Residential</v>
      </c>
      <c r="E321" s="505" t="str">
        <f t="shared" si="24"/>
        <v>TAS31</v>
      </c>
      <c r="F321" s="505">
        <f t="shared" si="24"/>
        <v>0</v>
      </c>
      <c r="G321" s="505">
        <f t="shared" si="24"/>
        <v>0</v>
      </c>
      <c r="H321" s="58"/>
      <c r="I321" s="189">
        <v>55.896999999999998</v>
      </c>
      <c r="J321" s="189">
        <v>8.1890000000000001</v>
      </c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5"/>
      <c r="W321" s="185"/>
      <c r="X321" s="185"/>
      <c r="Y321" s="185"/>
      <c r="Z321" s="185"/>
      <c r="AA321" s="185"/>
      <c r="AB321" s="185"/>
      <c r="AC321" s="186"/>
      <c r="AD321" s="604">
        <f>IFERROR(I321/'Tariff schedule'!I20-1,"")</f>
        <v>2.9998710129171435E-2</v>
      </c>
      <c r="AE321" s="604">
        <f>IFERROR(J321/'Tariff schedule'!J20-1,"")</f>
        <v>3.2530576219896634E-2</v>
      </c>
      <c r="AF321" s="604" t="str">
        <f>IFERROR(K321/'Tariff schedule'!K20-1,"")</f>
        <v/>
      </c>
      <c r="AG321" s="604" t="str">
        <f>IFERROR(L321/'Tariff schedule'!L20-1,"")</f>
        <v/>
      </c>
      <c r="AH321" s="604" t="str">
        <f>IFERROR(M321/'Tariff schedule'!M20-1,"")</f>
        <v/>
      </c>
      <c r="AI321" s="604" t="str">
        <f>IFERROR(N321/'Tariff schedule'!N20-1,"")</f>
        <v/>
      </c>
      <c r="AJ321" s="604" t="str">
        <f>IFERROR(O321/'Tariff schedule'!O20-1,"")</f>
        <v/>
      </c>
      <c r="AK321" s="604" t="str">
        <f>IFERROR(P321/'Tariff schedule'!P20-1,"")</f>
        <v/>
      </c>
      <c r="AL321" s="604" t="str">
        <f>IFERROR(Q321/'Tariff schedule'!Q20-1,"")</f>
        <v/>
      </c>
      <c r="AM321" s="604" t="str">
        <f>IFERROR(R321/'Tariff schedule'!R20-1,"")</f>
        <v/>
      </c>
      <c r="AN321" s="604" t="str">
        <f>IFERROR(S321/'Tariff schedule'!S20-1,"")</f>
        <v/>
      </c>
      <c r="AO321" s="604" t="str">
        <f>IFERROR(T321/'Tariff schedule'!T20-1,"")</f>
        <v/>
      </c>
      <c r="AP321" s="604" t="str">
        <f>IFERROR(U321/'Tariff schedule'!U20-1,"")</f>
        <v/>
      </c>
    </row>
    <row r="322" spans="1:42" outlineLevel="2" x14ac:dyDescent="0.2">
      <c r="A322" s="19"/>
      <c r="B322" s="19"/>
      <c r="C322" s="506" t="str">
        <f t="shared" si="24"/>
        <v>Residential time of use demand</v>
      </c>
      <c r="D322" s="505" t="str">
        <f t="shared" si="24"/>
        <v>Residential</v>
      </c>
      <c r="E322" s="505" t="str">
        <f t="shared" si="24"/>
        <v>TAS87</v>
      </c>
      <c r="F322" s="505">
        <f t="shared" si="24"/>
        <v>0</v>
      </c>
      <c r="G322" s="505">
        <f t="shared" si="24"/>
        <v>0</v>
      </c>
      <c r="H322" s="58"/>
      <c r="I322" s="189">
        <v>62.177999999999997</v>
      </c>
      <c r="J322" s="189"/>
      <c r="K322" s="189"/>
      <c r="L322" s="189"/>
      <c r="M322" s="189"/>
      <c r="N322" s="189"/>
      <c r="O322" s="189">
        <v>26.702000000000002</v>
      </c>
      <c r="P322" s="189">
        <v>8.0030000000000001</v>
      </c>
      <c r="Q322" s="189"/>
      <c r="R322" s="189"/>
      <c r="S322" s="189"/>
      <c r="T322" s="189"/>
      <c r="U322" s="189"/>
      <c r="V322" s="185"/>
      <c r="W322" s="185"/>
      <c r="X322" s="185"/>
      <c r="Y322" s="185"/>
      <c r="Z322" s="185"/>
      <c r="AA322" s="185"/>
      <c r="AB322" s="185"/>
      <c r="AC322" s="187"/>
      <c r="AD322" s="604">
        <f>IFERROR(I322/'Tariff schedule'!I21-1,"")</f>
        <v>2.9999834346580156E-2</v>
      </c>
      <c r="AE322" s="604" t="str">
        <f>IFERROR(J322/'Tariff schedule'!J21-1,"")</f>
        <v/>
      </c>
      <c r="AF322" s="604" t="str">
        <f>IFERROR(K322/'Tariff schedule'!K21-1,"")</f>
        <v/>
      </c>
      <c r="AG322" s="604" t="str">
        <f>IFERROR(L322/'Tariff schedule'!L21-1,"")</f>
        <v/>
      </c>
      <c r="AH322" s="604" t="str">
        <f>IFERROR(M322/'Tariff schedule'!M21-1,"")</f>
        <v/>
      </c>
      <c r="AI322" s="604" t="str">
        <f>IFERROR(N322/'Tariff schedule'!N21-1,"")</f>
        <v/>
      </c>
      <c r="AJ322" s="604">
        <f>IFERROR(O322/'Tariff schedule'!O21-1,"")</f>
        <v>5.5039709194357744E-2</v>
      </c>
      <c r="AK322" s="604">
        <f>IFERROR(P322/'Tariff schedule'!P21-1,"")</f>
        <v>0.18703648768911285</v>
      </c>
      <c r="AL322" s="604" t="str">
        <f>IFERROR(Q322/'Tariff schedule'!Q21-1,"")</f>
        <v/>
      </c>
      <c r="AM322" s="604" t="str">
        <f>IFERROR(R322/'Tariff schedule'!R21-1,"")</f>
        <v/>
      </c>
      <c r="AN322" s="604" t="str">
        <f>IFERROR(S322/'Tariff schedule'!S21-1,"")</f>
        <v/>
      </c>
      <c r="AO322" s="604" t="str">
        <f>IFERROR(T322/'Tariff schedule'!T21-1,"")</f>
        <v/>
      </c>
      <c r="AP322" s="604" t="str">
        <f>IFERROR(U322/'Tariff schedule'!U21-1,"")</f>
        <v/>
      </c>
    </row>
    <row r="323" spans="1:42" outlineLevel="2" x14ac:dyDescent="0.2">
      <c r="A323" s="19"/>
      <c r="B323" s="19"/>
      <c r="C323" s="506" t="str">
        <f t="shared" si="24"/>
        <v>Residential time of use demand DER</v>
      </c>
      <c r="D323" s="505" t="str">
        <f t="shared" si="24"/>
        <v>Residential</v>
      </c>
      <c r="E323" s="505" t="str">
        <f t="shared" si="24"/>
        <v>TAS97</v>
      </c>
      <c r="F323" s="505">
        <f t="shared" si="24"/>
        <v>0</v>
      </c>
      <c r="G323" s="505">
        <f t="shared" si="24"/>
        <v>0</v>
      </c>
      <c r="H323" s="58"/>
      <c r="I323" s="189">
        <v>62.177999999999997</v>
      </c>
      <c r="J323" s="189"/>
      <c r="K323" s="189"/>
      <c r="L323" s="189"/>
      <c r="M323" s="189"/>
      <c r="N323" s="189"/>
      <c r="O323" s="189">
        <v>26.702000000000002</v>
      </c>
      <c r="P323" s="189">
        <v>8.0030000000000001</v>
      </c>
      <c r="Q323" s="189"/>
      <c r="R323" s="189"/>
      <c r="S323" s="189"/>
      <c r="T323" s="189"/>
      <c r="U323" s="189"/>
      <c r="V323" s="185"/>
      <c r="W323" s="185"/>
      <c r="X323" s="185"/>
      <c r="Y323" s="185"/>
      <c r="Z323" s="185"/>
      <c r="AA323" s="185"/>
      <c r="AB323" s="185"/>
      <c r="AC323" s="187"/>
      <c r="AD323" s="604">
        <f>IFERROR(I323/'Tariff schedule'!I22-1,"")</f>
        <v>2.9999834346580156E-2</v>
      </c>
      <c r="AE323" s="604" t="str">
        <f>IFERROR(J323/'Tariff schedule'!J22-1,"")</f>
        <v/>
      </c>
      <c r="AF323" s="604" t="str">
        <f>IFERROR(K323/'Tariff schedule'!K22-1,"")</f>
        <v/>
      </c>
      <c r="AG323" s="604" t="str">
        <f>IFERROR(L323/'Tariff schedule'!L22-1,"")</f>
        <v/>
      </c>
      <c r="AH323" s="604" t="str">
        <f>IFERROR(M323/'Tariff schedule'!M22-1,"")</f>
        <v/>
      </c>
      <c r="AI323" s="604" t="str">
        <f>IFERROR(N323/'Tariff schedule'!N22-1,"")</f>
        <v/>
      </c>
      <c r="AJ323" s="604">
        <f>IFERROR(O323/'Tariff schedule'!O22-1,"")</f>
        <v>5.5039709194357744E-2</v>
      </c>
      <c r="AK323" s="604">
        <f>IFERROR(P323/'Tariff schedule'!P22-1,"")</f>
        <v>0.18703648768911285</v>
      </c>
      <c r="AL323" s="604" t="str">
        <f>IFERROR(Q323/'Tariff schedule'!Q22-1,"")</f>
        <v/>
      </c>
      <c r="AM323" s="604" t="str">
        <f>IFERROR(R323/'Tariff schedule'!R22-1,"")</f>
        <v/>
      </c>
      <c r="AN323" s="604" t="str">
        <f>IFERROR(S323/'Tariff schedule'!S22-1,"")</f>
        <v/>
      </c>
      <c r="AO323" s="604" t="str">
        <f>IFERROR(T323/'Tariff schedule'!T22-1,"")</f>
        <v/>
      </c>
      <c r="AP323" s="604" t="str">
        <f>IFERROR(U323/'Tariff schedule'!U22-1,"")</f>
        <v/>
      </c>
    </row>
    <row r="324" spans="1:42" outlineLevel="2" x14ac:dyDescent="0.2">
      <c r="A324" s="19"/>
      <c r="B324" s="19"/>
      <c r="C324" s="506" t="str">
        <f t="shared" si="24"/>
        <v>Residential pay as you go</v>
      </c>
      <c r="D324" s="505" t="str">
        <f t="shared" si="24"/>
        <v>Residential</v>
      </c>
      <c r="E324" s="505" t="str">
        <f t="shared" si="24"/>
        <v>TAS101</v>
      </c>
      <c r="F324" s="505">
        <f t="shared" si="24"/>
        <v>0</v>
      </c>
      <c r="G324" s="505">
        <f t="shared" si="24"/>
        <v>0</v>
      </c>
      <c r="H324" s="58"/>
      <c r="I324" s="189">
        <v>56.353000000000002</v>
      </c>
      <c r="J324" s="189">
        <v>7.71</v>
      </c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5"/>
      <c r="W324" s="185"/>
      <c r="X324" s="185"/>
      <c r="Y324" s="185"/>
      <c r="Z324" s="185"/>
      <c r="AA324" s="185"/>
      <c r="AB324" s="185"/>
      <c r="AC324" s="187"/>
      <c r="AD324" s="604">
        <f>IFERROR(I324/'Tariff schedule'!I23-1,"")</f>
        <v>2.999342009065642E-2</v>
      </c>
      <c r="AE324" s="604">
        <f>IFERROR(J324/'Tariff schedule'!J23-1,"")</f>
        <v>5.7323093801426195E-2</v>
      </c>
      <c r="AF324" s="604" t="str">
        <f>IFERROR(K324/'Tariff schedule'!K23-1,"")</f>
        <v/>
      </c>
      <c r="AG324" s="604" t="str">
        <f>IFERROR(L324/'Tariff schedule'!L23-1,"")</f>
        <v/>
      </c>
      <c r="AH324" s="604" t="str">
        <f>IFERROR(M324/'Tariff schedule'!M23-1,"")</f>
        <v/>
      </c>
      <c r="AI324" s="604" t="str">
        <f>IFERROR(N324/'Tariff schedule'!N23-1,"")</f>
        <v/>
      </c>
      <c r="AJ324" s="604" t="str">
        <f>IFERROR(O324/'Tariff schedule'!O23-1,"")</f>
        <v/>
      </c>
      <c r="AK324" s="604" t="str">
        <f>IFERROR(P324/'Tariff schedule'!P23-1,"")</f>
        <v/>
      </c>
      <c r="AL324" s="604" t="str">
        <f>IFERROR(Q324/'Tariff schedule'!Q23-1,"")</f>
        <v/>
      </c>
      <c r="AM324" s="604" t="str">
        <f>IFERROR(R324/'Tariff schedule'!R23-1,"")</f>
        <v/>
      </c>
      <c r="AN324" s="604" t="str">
        <f>IFERROR(S324/'Tariff schedule'!S23-1,"")</f>
        <v/>
      </c>
      <c r="AO324" s="604" t="str">
        <f>IFERROR(T324/'Tariff schedule'!T23-1,"")</f>
        <v/>
      </c>
      <c r="AP324" s="604" t="str">
        <f>IFERROR(U324/'Tariff schedule'!U23-1,"")</f>
        <v/>
      </c>
    </row>
    <row r="325" spans="1:42" outlineLevel="2" x14ac:dyDescent="0.2">
      <c r="A325" s="19"/>
      <c r="B325" s="19"/>
      <c r="C325" s="506" t="str">
        <f t="shared" si="24"/>
        <v>Residential pay as you go time of use</v>
      </c>
      <c r="D325" s="505" t="str">
        <f t="shared" si="24"/>
        <v>Residential</v>
      </c>
      <c r="E325" s="505" t="str">
        <f t="shared" si="24"/>
        <v>TAS92</v>
      </c>
      <c r="F325" s="505">
        <f t="shared" si="24"/>
        <v>0</v>
      </c>
      <c r="G325" s="505">
        <f t="shared" si="24"/>
        <v>0</v>
      </c>
      <c r="H325" s="58"/>
      <c r="I325" s="189">
        <v>61.109000000000002</v>
      </c>
      <c r="J325" s="189"/>
      <c r="K325" s="189">
        <v>15.298</v>
      </c>
      <c r="L325" s="189"/>
      <c r="M325" s="189">
        <v>3.1360000000000001</v>
      </c>
      <c r="N325" s="189"/>
      <c r="O325" s="189"/>
      <c r="P325" s="189"/>
      <c r="Q325" s="189"/>
      <c r="R325" s="189"/>
      <c r="S325" s="189"/>
      <c r="T325" s="189"/>
      <c r="U325" s="189"/>
      <c r="V325" s="185"/>
      <c r="W325" s="185"/>
      <c r="X325" s="185"/>
      <c r="Y325" s="185"/>
      <c r="Z325" s="185"/>
      <c r="AA325" s="185"/>
      <c r="AB325" s="185"/>
      <c r="AC325" s="187"/>
      <c r="AD325" s="604">
        <f>IFERROR(I325/'Tariff schedule'!I24-1,"")</f>
        <v>3.0002191171265347E-2</v>
      </c>
      <c r="AE325" s="604" t="str">
        <f>IFERROR(J325/'Tariff schedule'!J24-1,"")</f>
        <v/>
      </c>
      <c r="AF325" s="604">
        <f>IFERROR(K325/'Tariff schedule'!K24-1,"")</f>
        <v>4.8670139840965021E-2</v>
      </c>
      <c r="AG325" s="604" t="str">
        <f>IFERROR(L325/'Tariff schedule'!L24-1,"")</f>
        <v/>
      </c>
      <c r="AH325" s="604">
        <f>IFERROR(M325/'Tariff schedule'!M24-1,"")</f>
        <v>7.5077134041823923E-2</v>
      </c>
      <c r="AI325" s="604" t="str">
        <f>IFERROR(N325/'Tariff schedule'!N24-1,"")</f>
        <v/>
      </c>
      <c r="AJ325" s="604" t="str">
        <f>IFERROR(O325/'Tariff schedule'!O24-1,"")</f>
        <v/>
      </c>
      <c r="AK325" s="604" t="str">
        <f>IFERROR(P325/'Tariff schedule'!P24-1,"")</f>
        <v/>
      </c>
      <c r="AL325" s="604" t="str">
        <f>IFERROR(Q325/'Tariff schedule'!Q24-1,"")</f>
        <v/>
      </c>
      <c r="AM325" s="604" t="str">
        <f>IFERROR(R325/'Tariff schedule'!R24-1,"")</f>
        <v/>
      </c>
      <c r="AN325" s="604" t="str">
        <f>IFERROR(S325/'Tariff schedule'!S24-1,"")</f>
        <v/>
      </c>
      <c r="AO325" s="604" t="str">
        <f>IFERROR(T325/'Tariff schedule'!T24-1,"")</f>
        <v/>
      </c>
      <c r="AP325" s="604" t="str">
        <f>IFERROR(U325/'Tariff schedule'!U24-1,"")</f>
        <v/>
      </c>
    </row>
    <row r="326" spans="1:42" outlineLevel="2" x14ac:dyDescent="0.2">
      <c r="A326" s="19"/>
      <c r="B326" s="19"/>
      <c r="C326" s="506" t="str">
        <f t="shared" si="24"/>
        <v>Small business time of use consumption</v>
      </c>
      <c r="D326" s="505" t="str">
        <f t="shared" si="24"/>
        <v>Small Business LV</v>
      </c>
      <c r="E326" s="505" t="str">
        <f t="shared" si="24"/>
        <v>TAS94</v>
      </c>
      <c r="F326" s="505">
        <f t="shared" si="24"/>
        <v>0</v>
      </c>
      <c r="G326" s="505">
        <f t="shared" si="24"/>
        <v>0</v>
      </c>
      <c r="H326" s="58"/>
      <c r="I326" s="189">
        <v>73.105000000000004</v>
      </c>
      <c r="J326" s="189"/>
      <c r="K326" s="189">
        <v>11.051</v>
      </c>
      <c r="L326" s="189">
        <v>6.63</v>
      </c>
      <c r="M326" s="189">
        <v>1.6579999999999999</v>
      </c>
      <c r="N326" s="189"/>
      <c r="O326" s="189"/>
      <c r="P326" s="189"/>
      <c r="Q326" s="189"/>
      <c r="R326" s="189"/>
      <c r="S326" s="189"/>
      <c r="T326" s="189"/>
      <c r="U326" s="189"/>
      <c r="V326" s="185"/>
      <c r="W326" s="185"/>
      <c r="X326" s="185"/>
      <c r="Y326" s="185"/>
      <c r="Z326" s="185"/>
      <c r="AA326" s="185"/>
      <c r="AB326" s="185"/>
      <c r="AC326" s="187"/>
      <c r="AD326" s="604">
        <f>IFERROR(I326/'Tariff schedule'!I25-1,"")</f>
        <v>2.9996055004508637E-2</v>
      </c>
      <c r="AE326" s="604" t="str">
        <f>IFERROR(J326/'Tariff schedule'!J25-1,"")</f>
        <v/>
      </c>
      <c r="AF326" s="604">
        <f>IFERROR(K326/'Tariff schedule'!K25-1,"")</f>
        <v>8.2370225269343678E-2</v>
      </c>
      <c r="AG326" s="604">
        <f>IFERROR(L326/'Tariff schedule'!L25-1,"")</f>
        <v>8.2272282076395697E-2</v>
      </c>
      <c r="AH326" s="604">
        <f>IFERROR(M326/'Tariff schedule'!M25-1,"")</f>
        <v>8.2245430809399389E-2</v>
      </c>
      <c r="AI326" s="604" t="str">
        <f>IFERROR(N326/'Tariff schedule'!N25-1,"")</f>
        <v/>
      </c>
      <c r="AJ326" s="604" t="str">
        <f>IFERROR(O326/'Tariff schedule'!O25-1,"")</f>
        <v/>
      </c>
      <c r="AK326" s="604" t="str">
        <f>IFERROR(P326/'Tariff schedule'!P25-1,"")</f>
        <v/>
      </c>
      <c r="AL326" s="604" t="str">
        <f>IFERROR(Q326/'Tariff schedule'!Q25-1,"")</f>
        <v/>
      </c>
      <c r="AM326" s="604" t="str">
        <f>IFERROR(R326/'Tariff schedule'!R25-1,"")</f>
        <v/>
      </c>
      <c r="AN326" s="604" t="str">
        <f>IFERROR(S326/'Tariff schedule'!S25-1,"")</f>
        <v/>
      </c>
      <c r="AO326" s="604" t="str">
        <f>IFERROR(T326/'Tariff schedule'!T25-1,"")</f>
        <v/>
      </c>
      <c r="AP326" s="604" t="str">
        <f>IFERROR(U326/'Tariff schedule'!U25-1,"")</f>
        <v/>
      </c>
    </row>
    <row r="327" spans="1:42" outlineLevel="2" x14ac:dyDescent="0.2">
      <c r="A327" s="19"/>
      <c r="B327" s="19"/>
      <c r="C327" s="506" t="str">
        <f t="shared" si="24"/>
        <v>Small business general light and power</v>
      </c>
      <c r="D327" s="505" t="str">
        <f t="shared" si="24"/>
        <v>Small Business LV</v>
      </c>
      <c r="E327" s="505" t="str">
        <f t="shared" si="24"/>
        <v>TAS22</v>
      </c>
      <c r="F327" s="505">
        <f t="shared" si="24"/>
        <v>0</v>
      </c>
      <c r="G327" s="505">
        <f t="shared" si="24"/>
        <v>0</v>
      </c>
      <c r="H327" s="58"/>
      <c r="I327" s="189">
        <v>55.579000000000001</v>
      </c>
      <c r="J327" s="189">
        <v>9.5340000000000007</v>
      </c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5"/>
      <c r="W327" s="185"/>
      <c r="X327" s="185"/>
      <c r="Y327" s="185"/>
      <c r="Z327" s="185"/>
      <c r="AA327" s="185"/>
      <c r="AB327" s="185"/>
      <c r="AC327" s="187"/>
      <c r="AD327" s="604">
        <f>IFERROR(I327/'Tariff schedule'!I26-1,"")</f>
        <v>3.0003706449221568E-2</v>
      </c>
      <c r="AE327" s="604">
        <f>IFERROR(J327/'Tariff schedule'!J26-1,"")</f>
        <v>5.0925925925926041E-2</v>
      </c>
      <c r="AF327" s="604" t="str">
        <f>IFERROR(K327/'Tariff schedule'!K26-1,"")</f>
        <v/>
      </c>
      <c r="AG327" s="604" t="str">
        <f>IFERROR(L327/'Tariff schedule'!L26-1,"")</f>
        <v/>
      </c>
      <c r="AH327" s="604" t="str">
        <f>IFERROR(M327/'Tariff schedule'!M26-1,"")</f>
        <v/>
      </c>
      <c r="AI327" s="604" t="str">
        <f>IFERROR(N327/'Tariff schedule'!N26-1,"")</f>
        <v/>
      </c>
      <c r="AJ327" s="604" t="str">
        <f>IFERROR(O327/'Tariff schedule'!O26-1,"")</f>
        <v/>
      </c>
      <c r="AK327" s="604" t="str">
        <f>IFERROR(P327/'Tariff schedule'!P26-1,"")</f>
        <v/>
      </c>
      <c r="AL327" s="604" t="str">
        <f>IFERROR(Q327/'Tariff schedule'!Q26-1,"")</f>
        <v/>
      </c>
      <c r="AM327" s="604" t="str">
        <f>IFERROR(R327/'Tariff schedule'!R26-1,"")</f>
        <v/>
      </c>
      <c r="AN327" s="604" t="str">
        <f>IFERROR(S327/'Tariff schedule'!S26-1,"")</f>
        <v/>
      </c>
      <c r="AO327" s="604" t="str">
        <f>IFERROR(T327/'Tariff schedule'!T26-1,"")</f>
        <v/>
      </c>
      <c r="AP327" s="604" t="str">
        <f>IFERROR(U327/'Tariff schedule'!U26-1,"")</f>
        <v/>
      </c>
    </row>
    <row r="328" spans="1:42" outlineLevel="2" x14ac:dyDescent="0.2">
      <c r="A328" s="19"/>
      <c r="B328" s="19"/>
      <c r="C328" s="506" t="str">
        <f t="shared" si="24"/>
        <v>Small business time of use demand</v>
      </c>
      <c r="D328" s="505" t="str">
        <f t="shared" si="24"/>
        <v>Small Business LV</v>
      </c>
      <c r="E328" s="505" t="str">
        <f t="shared" si="24"/>
        <v>TAS88</v>
      </c>
      <c r="F328" s="505">
        <f t="shared" si="24"/>
        <v>0</v>
      </c>
      <c r="G328" s="505">
        <f t="shared" si="24"/>
        <v>0</v>
      </c>
      <c r="H328" s="58"/>
      <c r="I328" s="189">
        <v>80.855000000000004</v>
      </c>
      <c r="J328" s="189"/>
      <c r="K328" s="189"/>
      <c r="L328" s="189"/>
      <c r="M328" s="189"/>
      <c r="N328" s="189"/>
      <c r="O328" s="189">
        <v>60.337000000000003</v>
      </c>
      <c r="P328" s="189">
        <v>18.082999999999998</v>
      </c>
      <c r="Q328" s="189"/>
      <c r="R328" s="189"/>
      <c r="S328" s="189"/>
      <c r="T328" s="189"/>
      <c r="U328" s="189"/>
      <c r="V328" s="185"/>
      <c r="W328" s="185"/>
      <c r="X328" s="185"/>
      <c r="Y328" s="185"/>
      <c r="Z328" s="185"/>
      <c r="AA328" s="185"/>
      <c r="AB328" s="185"/>
      <c r="AC328" s="187"/>
      <c r="AD328" s="604">
        <f>IFERROR(I328/'Tariff schedule'!I27-1,"")</f>
        <v>3.0000000000000027E-2</v>
      </c>
      <c r="AE328" s="604" t="str">
        <f>IFERROR(J328/'Tariff schedule'!J27-1,"")</f>
        <v/>
      </c>
      <c r="AF328" s="604" t="str">
        <f>IFERROR(K328/'Tariff schedule'!K27-1,"")</f>
        <v/>
      </c>
      <c r="AG328" s="604" t="str">
        <f>IFERROR(L328/'Tariff schedule'!L27-1,"")</f>
        <v/>
      </c>
      <c r="AH328" s="604" t="str">
        <f>IFERROR(M328/'Tariff schedule'!M27-1,"")</f>
        <v/>
      </c>
      <c r="AI328" s="604" t="str">
        <f>IFERROR(N328/'Tariff schedule'!N27-1,"")</f>
        <v/>
      </c>
      <c r="AJ328" s="604">
        <f>IFERROR(O328/'Tariff schedule'!O27-1,"")</f>
        <v>5.2193777901785809E-2</v>
      </c>
      <c r="AK328" s="604">
        <f>IFERROR(P328/'Tariff schedule'!P27-1,"")</f>
        <v>0.18367480526281321</v>
      </c>
      <c r="AL328" s="604" t="str">
        <f>IFERROR(Q328/'Tariff schedule'!Q27-1,"")</f>
        <v/>
      </c>
      <c r="AM328" s="604" t="str">
        <f>IFERROR(R328/'Tariff schedule'!R27-1,"")</f>
        <v/>
      </c>
      <c r="AN328" s="604" t="str">
        <f>IFERROR(S328/'Tariff schedule'!S27-1,"")</f>
        <v/>
      </c>
      <c r="AO328" s="604" t="str">
        <f>IFERROR(T328/'Tariff schedule'!T27-1,"")</f>
        <v/>
      </c>
      <c r="AP328" s="604" t="str">
        <f>IFERROR(U328/'Tariff schedule'!U27-1,"")</f>
        <v/>
      </c>
    </row>
    <row r="329" spans="1:42" outlineLevel="2" x14ac:dyDescent="0.2">
      <c r="A329" s="19"/>
      <c r="B329" s="19"/>
      <c r="C329" s="506" t="str">
        <f t="shared" si="24"/>
        <v>Small business time of use demand DER</v>
      </c>
      <c r="D329" s="505" t="str">
        <f t="shared" si="24"/>
        <v>Small Business LV</v>
      </c>
      <c r="E329" s="505" t="str">
        <f t="shared" si="24"/>
        <v>TAS98</v>
      </c>
      <c r="F329" s="505">
        <f t="shared" si="24"/>
        <v>0</v>
      </c>
      <c r="G329" s="505">
        <f t="shared" si="24"/>
        <v>0</v>
      </c>
      <c r="H329" s="58"/>
      <c r="I329" s="189">
        <v>80.855000000000004</v>
      </c>
      <c r="J329" s="189"/>
      <c r="K329" s="189"/>
      <c r="L329" s="189"/>
      <c r="M329" s="189"/>
      <c r="N329" s="189"/>
      <c r="O329" s="189">
        <v>60.337000000000003</v>
      </c>
      <c r="P329" s="189">
        <v>18.082999999999998</v>
      </c>
      <c r="Q329" s="189"/>
      <c r="R329" s="189"/>
      <c r="S329" s="189"/>
      <c r="T329" s="189"/>
      <c r="U329" s="189"/>
      <c r="V329" s="185"/>
      <c r="W329" s="185"/>
      <c r="X329" s="185"/>
      <c r="Y329" s="185"/>
      <c r="Z329" s="185"/>
      <c r="AA329" s="185"/>
      <c r="AB329" s="185"/>
      <c r="AC329" s="187"/>
      <c r="AD329" s="604">
        <f>IFERROR(I329/'Tariff schedule'!I28-1,"")</f>
        <v>3.0000000000000027E-2</v>
      </c>
      <c r="AE329" s="604" t="str">
        <f>IFERROR(J329/'Tariff schedule'!J28-1,"")</f>
        <v/>
      </c>
      <c r="AF329" s="604" t="str">
        <f>IFERROR(K329/'Tariff schedule'!K28-1,"")</f>
        <v/>
      </c>
      <c r="AG329" s="604" t="str">
        <f>IFERROR(L329/'Tariff schedule'!L28-1,"")</f>
        <v/>
      </c>
      <c r="AH329" s="604" t="str">
        <f>IFERROR(M329/'Tariff schedule'!M28-1,"")</f>
        <v/>
      </c>
      <c r="AI329" s="604" t="str">
        <f>IFERROR(N329/'Tariff schedule'!N28-1,"")</f>
        <v/>
      </c>
      <c r="AJ329" s="604">
        <f>IFERROR(O329/'Tariff schedule'!O28-1,"")</f>
        <v>5.2193777901785809E-2</v>
      </c>
      <c r="AK329" s="604">
        <f>IFERROR(P329/'Tariff schedule'!P28-1,"")</f>
        <v>0.18367480526281321</v>
      </c>
      <c r="AL329" s="604" t="str">
        <f>IFERROR(Q329/'Tariff schedule'!Q28-1,"")</f>
        <v/>
      </c>
      <c r="AM329" s="604" t="str">
        <f>IFERROR(R329/'Tariff schedule'!R28-1,"")</f>
        <v/>
      </c>
      <c r="AN329" s="604" t="str">
        <f>IFERROR(S329/'Tariff schedule'!S28-1,"")</f>
        <v/>
      </c>
      <c r="AO329" s="604" t="str">
        <f>IFERROR(T329/'Tariff schedule'!T28-1,"")</f>
        <v/>
      </c>
      <c r="AP329" s="604" t="str">
        <f>IFERROR(U329/'Tariff schedule'!U28-1,"")</f>
        <v/>
      </c>
    </row>
    <row r="330" spans="1:42" outlineLevel="2" x14ac:dyDescent="0.2">
      <c r="A330" s="19"/>
      <c r="B330" s="19"/>
      <c r="C330" s="506" t="str">
        <f t="shared" ref="C330:G339" si="25">C18</f>
        <v>Large business kVA demand</v>
      </c>
      <c r="D330" s="505" t="str">
        <f t="shared" si="25"/>
        <v>Large Business LV</v>
      </c>
      <c r="E330" s="505" t="str">
        <f t="shared" si="25"/>
        <v>TAS82</v>
      </c>
      <c r="F330" s="505">
        <f t="shared" si="25"/>
        <v>0</v>
      </c>
      <c r="G330" s="505">
        <f t="shared" si="25"/>
        <v>0</v>
      </c>
      <c r="H330" s="58"/>
      <c r="I330" s="189">
        <v>378.84500000000003</v>
      </c>
      <c r="J330" s="189">
        <v>2.4409999999999998</v>
      </c>
      <c r="K330" s="189"/>
      <c r="L330" s="189"/>
      <c r="M330" s="189"/>
      <c r="N330" s="189">
        <v>35.499000000000002</v>
      </c>
      <c r="O330" s="189"/>
      <c r="P330" s="189"/>
      <c r="Q330" s="189"/>
      <c r="R330" s="189"/>
      <c r="S330" s="189"/>
      <c r="T330" s="189"/>
      <c r="U330" s="189"/>
      <c r="V330" s="185"/>
      <c r="W330" s="185"/>
      <c r="X330" s="185"/>
      <c r="Y330" s="185"/>
      <c r="Z330" s="185"/>
      <c r="AA330" s="185"/>
      <c r="AB330" s="185"/>
      <c r="AC330" s="187"/>
      <c r="AD330" s="604">
        <f>IFERROR(I330/'Tariff schedule'!I29-1,"")</f>
        <v>4.5000289630404033E-2</v>
      </c>
      <c r="AE330" s="604">
        <f>IFERROR(J330/'Tariff schedule'!J29-1,"")</f>
        <v>5.0344234079173766E-2</v>
      </c>
      <c r="AF330" s="604" t="str">
        <f>IFERROR(K330/'Tariff schedule'!K29-1,"")</f>
        <v/>
      </c>
      <c r="AG330" s="604" t="str">
        <f>IFERROR(L330/'Tariff schedule'!L29-1,"")</f>
        <v/>
      </c>
      <c r="AH330" s="604" t="str">
        <f>IFERROR(M330/'Tariff schedule'!M29-1,"")</f>
        <v/>
      </c>
      <c r="AI330" s="604">
        <f>IFERROR(N330/'Tariff schedule'!N29-1,"")</f>
        <v>6.6708735238438788E-2</v>
      </c>
      <c r="AJ330" s="604" t="str">
        <f>IFERROR(O330/'Tariff schedule'!O29-1,"")</f>
        <v/>
      </c>
      <c r="AK330" s="604" t="str">
        <f>IFERROR(P330/'Tariff schedule'!P29-1,"")</f>
        <v/>
      </c>
      <c r="AL330" s="604" t="str">
        <f>IFERROR(Q330/'Tariff schedule'!Q29-1,"")</f>
        <v/>
      </c>
      <c r="AM330" s="604" t="str">
        <f>IFERROR(R330/'Tariff schedule'!R29-1,"")</f>
        <v/>
      </c>
      <c r="AN330" s="604" t="str">
        <f>IFERROR(S330/'Tariff schedule'!S29-1,"")</f>
        <v/>
      </c>
      <c r="AO330" s="604" t="str">
        <f>IFERROR(T330/'Tariff schedule'!T29-1,"")</f>
        <v/>
      </c>
      <c r="AP330" s="604" t="str">
        <f>IFERROR(U330/'Tariff schedule'!U29-1,"")</f>
        <v/>
      </c>
    </row>
    <row r="331" spans="1:42" outlineLevel="2" x14ac:dyDescent="0.2">
      <c r="A331" s="19"/>
      <c r="B331" s="19"/>
      <c r="C331" s="506" t="str">
        <f t="shared" si="25"/>
        <v>Large business time of use demand</v>
      </c>
      <c r="D331" s="505" t="str">
        <f t="shared" si="25"/>
        <v>Large Business LV</v>
      </c>
      <c r="E331" s="505" t="str">
        <f t="shared" si="25"/>
        <v>TAS89</v>
      </c>
      <c r="F331" s="505">
        <f t="shared" si="25"/>
        <v>0</v>
      </c>
      <c r="G331" s="505">
        <f t="shared" si="25"/>
        <v>0</v>
      </c>
      <c r="H331" s="58"/>
      <c r="I331" s="189">
        <v>533.68700000000001</v>
      </c>
      <c r="J331" s="189"/>
      <c r="K331" s="189"/>
      <c r="L331" s="189"/>
      <c r="M331" s="189"/>
      <c r="N331" s="189"/>
      <c r="O331" s="189">
        <v>46.341999999999999</v>
      </c>
      <c r="P331" s="189">
        <v>15.432</v>
      </c>
      <c r="Q331" s="189"/>
      <c r="R331" s="189"/>
      <c r="S331" s="189"/>
      <c r="T331" s="189"/>
      <c r="U331" s="189"/>
      <c r="V331" s="185"/>
      <c r="W331" s="185"/>
      <c r="X331" s="185"/>
      <c r="Y331" s="185"/>
      <c r="Z331" s="185"/>
      <c r="AA331" s="185"/>
      <c r="AB331" s="185"/>
      <c r="AC331" s="187"/>
      <c r="AD331" s="604">
        <f>IFERROR(I331/'Tariff schedule'!I30-1,"")</f>
        <v>4.500053847132901E-2</v>
      </c>
      <c r="AE331" s="604" t="str">
        <f>IFERROR(J331/'Tariff schedule'!J30-1,"")</f>
        <v/>
      </c>
      <c r="AF331" s="604" t="str">
        <f>IFERROR(K331/'Tariff schedule'!K30-1,"")</f>
        <v/>
      </c>
      <c r="AG331" s="604" t="str">
        <f>IFERROR(L331/'Tariff schedule'!L30-1,"")</f>
        <v/>
      </c>
      <c r="AH331" s="604" t="str">
        <f>IFERROR(M331/'Tariff schedule'!M30-1,"")</f>
        <v/>
      </c>
      <c r="AI331" s="604" t="str">
        <f>IFERROR(N331/'Tariff schedule'!N30-1,"")</f>
        <v/>
      </c>
      <c r="AJ331" s="604">
        <f>IFERROR(O331/'Tariff schedule'!O30-1,"")</f>
        <v>6.1818348455686678E-2</v>
      </c>
      <c r="AK331" s="604">
        <f>IFERROR(P331/'Tariff schedule'!P30-1,"")</f>
        <v>6.1786156598321318E-2</v>
      </c>
      <c r="AL331" s="604" t="str">
        <f>IFERROR(Q331/'Tariff schedule'!Q30-1,"")</f>
        <v/>
      </c>
      <c r="AM331" s="604" t="str">
        <f>IFERROR(R331/'Tariff schedule'!R30-1,"")</f>
        <v/>
      </c>
      <c r="AN331" s="604" t="str">
        <f>IFERROR(S331/'Tariff schedule'!S30-1,"")</f>
        <v/>
      </c>
      <c r="AO331" s="604" t="str">
        <f>IFERROR(T331/'Tariff schedule'!T30-1,"")</f>
        <v/>
      </c>
      <c r="AP331" s="604" t="str">
        <f>IFERROR(U331/'Tariff schedule'!U30-1,"")</f>
        <v/>
      </c>
    </row>
    <row r="332" spans="1:42" outlineLevel="2" x14ac:dyDescent="0.2">
      <c r="A332" s="19"/>
      <c r="B332" s="19"/>
      <c r="C332" s="506" t="str">
        <f t="shared" si="25"/>
        <v>Irrigation time of use consumption</v>
      </c>
      <c r="D332" s="505" t="str">
        <f t="shared" si="25"/>
        <v>Irrigation</v>
      </c>
      <c r="E332" s="505" t="str">
        <f t="shared" si="25"/>
        <v>TAS75</v>
      </c>
      <c r="F332" s="505">
        <f t="shared" si="25"/>
        <v>0</v>
      </c>
      <c r="G332" s="505">
        <f t="shared" si="25"/>
        <v>0</v>
      </c>
      <c r="H332" s="58"/>
      <c r="I332" s="189">
        <v>267.52499999999998</v>
      </c>
      <c r="J332" s="189"/>
      <c r="K332" s="189">
        <v>11.237</v>
      </c>
      <c r="L332" s="189">
        <v>6.7430000000000003</v>
      </c>
      <c r="M332" s="189">
        <v>1.6859999999999999</v>
      </c>
      <c r="N332" s="189"/>
      <c r="O332" s="189"/>
      <c r="P332" s="189"/>
      <c r="Q332" s="189"/>
      <c r="R332" s="189"/>
      <c r="S332" s="189"/>
      <c r="T332" s="189"/>
      <c r="U332" s="189"/>
      <c r="V332" s="185"/>
      <c r="W332" s="185"/>
      <c r="X332" s="185"/>
      <c r="Y332" s="185"/>
      <c r="Z332" s="185"/>
      <c r="AA332" s="185"/>
      <c r="AB332" s="185"/>
      <c r="AC332" s="187"/>
      <c r="AD332" s="604">
        <f>IFERROR(I332/'Tariff schedule'!I31-1,"")</f>
        <v>3.000003850107591E-2</v>
      </c>
      <c r="AE332" s="604" t="str">
        <f>IFERROR(J332/'Tariff schedule'!J31-1,"")</f>
        <v/>
      </c>
      <c r="AF332" s="604">
        <f>IFERROR(K332/'Tariff schedule'!K31-1,"")</f>
        <v>0.10993678387988925</v>
      </c>
      <c r="AG332" s="604">
        <f>IFERROR(L332/'Tariff schedule'!L31-1,"")</f>
        <v>0.11014158709252553</v>
      </c>
      <c r="AH332" s="604">
        <f>IFERROR(M332/'Tariff schedule'!M31-1,"")</f>
        <v>0.10994075049374574</v>
      </c>
      <c r="AI332" s="604" t="str">
        <f>IFERROR(N332/'Tariff schedule'!N31-1,"")</f>
        <v/>
      </c>
      <c r="AJ332" s="604" t="str">
        <f>IFERROR(O332/'Tariff schedule'!O31-1,"")</f>
        <v/>
      </c>
      <c r="AK332" s="604" t="str">
        <f>IFERROR(P332/'Tariff schedule'!P31-1,"")</f>
        <v/>
      </c>
      <c r="AL332" s="604" t="str">
        <f>IFERROR(Q332/'Tariff schedule'!Q31-1,"")</f>
        <v/>
      </c>
      <c r="AM332" s="604" t="str">
        <f>IFERROR(R332/'Tariff schedule'!R31-1,"")</f>
        <v/>
      </c>
      <c r="AN332" s="604" t="str">
        <f>IFERROR(S332/'Tariff schedule'!S31-1,"")</f>
        <v/>
      </c>
      <c r="AO332" s="604" t="str">
        <f>IFERROR(T332/'Tariff schedule'!T31-1,"")</f>
        <v/>
      </c>
      <c r="AP332" s="604" t="str">
        <f>IFERROR(U332/'Tariff schedule'!U31-1,"")</f>
        <v/>
      </c>
    </row>
    <row r="333" spans="1:42" outlineLevel="2" x14ac:dyDescent="0.2">
      <c r="A333" s="19"/>
      <c r="B333" s="19"/>
      <c r="C333" s="506" t="str">
        <f t="shared" si="25"/>
        <v>Business HV kVA specified demand &lt;2MVA</v>
      </c>
      <c r="D333" s="505" t="str">
        <f t="shared" si="25"/>
        <v>Large Business HV</v>
      </c>
      <c r="E333" s="505" t="str">
        <f t="shared" si="25"/>
        <v>TASSDM</v>
      </c>
      <c r="F333" s="505">
        <f t="shared" si="25"/>
        <v>0</v>
      </c>
      <c r="G333" s="505">
        <f t="shared" si="25"/>
        <v>0</v>
      </c>
      <c r="H333" s="58"/>
      <c r="I333" s="189">
        <v>382.50400000000002</v>
      </c>
      <c r="J333" s="189"/>
      <c r="K333" s="189">
        <v>1.234</v>
      </c>
      <c r="L333" s="189">
        <v>0.74</v>
      </c>
      <c r="M333" s="189">
        <v>0.185</v>
      </c>
      <c r="N333" s="189"/>
      <c r="O333" s="189"/>
      <c r="P333" s="189"/>
      <c r="Q333" s="189">
        <v>20.253</v>
      </c>
      <c r="R333" s="189">
        <v>202.53</v>
      </c>
      <c r="S333" s="189"/>
      <c r="T333" s="189"/>
      <c r="U333" s="189"/>
      <c r="V333" s="185"/>
      <c r="W333" s="185"/>
      <c r="X333" s="185"/>
      <c r="Y333" s="185"/>
      <c r="Z333" s="185"/>
      <c r="AA333" s="185"/>
      <c r="AB333" s="185"/>
      <c r="AC333" s="187"/>
      <c r="AD333" s="604">
        <f>IFERROR(I333/'Tariff schedule'!I32-1,"")</f>
        <v>4.4998674982856812E-2</v>
      </c>
      <c r="AE333" s="604" t="str">
        <f>IFERROR(J333/'Tariff schedule'!J32-1,"")</f>
        <v/>
      </c>
      <c r="AF333" s="604">
        <f>IFERROR(K333/'Tariff schedule'!K32-1,"")</f>
        <v>5.2003410059676014E-2</v>
      </c>
      <c r="AG333" s="604">
        <f>IFERROR(L333/'Tariff schedule'!L32-1,"")</f>
        <v>5.1136363636363757E-2</v>
      </c>
      <c r="AH333" s="604">
        <f>IFERROR(M333/'Tariff schedule'!M32-1,"")</f>
        <v>5.1136363636363757E-2</v>
      </c>
      <c r="AI333" s="604" t="str">
        <f>IFERROR(N333/'Tariff schedule'!N32-1,"")</f>
        <v/>
      </c>
      <c r="AJ333" s="604" t="str">
        <f>IFERROR(O333/'Tariff schedule'!O32-1,"")</f>
        <v/>
      </c>
      <c r="AK333" s="604" t="str">
        <f>IFERROR(P333/'Tariff schedule'!P32-1,"")</f>
        <v/>
      </c>
      <c r="AL333" s="604">
        <f>IFERROR(Q333/'Tariff schedule'!Q32-1,"")</f>
        <v>5.9922545530667781E-2</v>
      </c>
      <c r="AM333" s="604">
        <f>IFERROR(R333/'Tariff schedule'!R32-1,"")</f>
        <v>5.9922545530667781E-2</v>
      </c>
      <c r="AN333" s="604" t="str">
        <f>IFERROR(S333/'Tariff schedule'!S32-1,"")</f>
        <v/>
      </c>
      <c r="AO333" s="604" t="str">
        <f>IFERROR(T333/'Tariff schedule'!T32-1,"")</f>
        <v/>
      </c>
      <c r="AP333" s="604" t="str">
        <f>IFERROR(U333/'Tariff schedule'!U32-1,"")</f>
        <v/>
      </c>
    </row>
    <row r="334" spans="1:42" outlineLevel="2" x14ac:dyDescent="0.2">
      <c r="A334" s="19"/>
      <c r="B334" s="19"/>
      <c r="C334" s="506" t="str">
        <f t="shared" si="25"/>
        <v>Business HV kVA specified demand &gt;2MVA</v>
      </c>
      <c r="D334" s="505" t="str">
        <f t="shared" si="25"/>
        <v>Large Business HV</v>
      </c>
      <c r="E334" s="505" t="str">
        <f t="shared" si="25"/>
        <v>TAS15*</v>
      </c>
      <c r="F334" s="505">
        <f t="shared" si="25"/>
        <v>0</v>
      </c>
      <c r="G334" s="505">
        <f t="shared" si="25"/>
        <v>0</v>
      </c>
      <c r="H334" s="58"/>
      <c r="I334" s="189">
        <v>3139.9</v>
      </c>
      <c r="J334" s="189"/>
      <c r="K334" s="189">
        <v>0.96499999999999997</v>
      </c>
      <c r="L334" s="189">
        <v>0.57899999999999996</v>
      </c>
      <c r="M334" s="189">
        <v>0.14499999999999999</v>
      </c>
      <c r="N334" s="189"/>
      <c r="O334" s="189"/>
      <c r="P334" s="189"/>
      <c r="Q334" s="189">
        <v>9.77</v>
      </c>
      <c r="R334" s="189">
        <v>48.85</v>
      </c>
      <c r="S334" s="189">
        <v>0.36099999999999999</v>
      </c>
      <c r="T334" s="189">
        <v>1.8049999999999999</v>
      </c>
      <c r="U334" s="189"/>
      <c r="V334" s="185"/>
      <c r="W334" s="185"/>
      <c r="X334" s="185"/>
      <c r="Y334" s="185"/>
      <c r="Z334" s="185"/>
      <c r="AA334" s="185"/>
      <c r="AB334" s="185"/>
      <c r="AC334" s="187"/>
      <c r="AD334" s="604"/>
      <c r="AE334" s="604"/>
      <c r="AF334" s="604"/>
      <c r="AG334" s="604"/>
      <c r="AH334" s="604"/>
      <c r="AI334" s="604"/>
      <c r="AJ334" s="604"/>
      <c r="AK334" s="604"/>
      <c r="AL334" s="604"/>
      <c r="AM334" s="604"/>
      <c r="AN334" s="604"/>
      <c r="AO334" s="604"/>
      <c r="AP334" s="604" t="str">
        <f>IFERROR(U334/'Tariff schedule'!U33-1,"")</f>
        <v/>
      </c>
    </row>
    <row r="335" spans="1:42" outlineLevel="2" x14ac:dyDescent="0.2">
      <c r="A335" s="19"/>
      <c r="B335" s="19"/>
      <c r="C335" s="506" t="str">
        <f t="shared" si="25"/>
        <v>Uncontrolled low voltage heating and hot water</v>
      </c>
      <c r="D335" s="505" t="str">
        <f t="shared" si="25"/>
        <v>Uncontrolled energy</v>
      </c>
      <c r="E335" s="505" t="str">
        <f t="shared" si="25"/>
        <v>TAS41</v>
      </c>
      <c r="F335" s="505">
        <f t="shared" si="25"/>
        <v>0</v>
      </c>
      <c r="G335" s="505">
        <f t="shared" si="25"/>
        <v>0</v>
      </c>
      <c r="H335" s="58"/>
      <c r="I335" s="189">
        <v>6.907</v>
      </c>
      <c r="J335" s="189">
        <v>6.3040000000000003</v>
      </c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5"/>
      <c r="W335" s="185"/>
      <c r="X335" s="185"/>
      <c r="Y335" s="185"/>
      <c r="Z335" s="185"/>
      <c r="AA335" s="185"/>
      <c r="AB335" s="185"/>
      <c r="AC335" s="187"/>
      <c r="AD335" s="604">
        <f>IFERROR(I335/'Tariff schedule'!I34-1,"")</f>
        <v>2.9973158365642627E-2</v>
      </c>
      <c r="AE335" s="604">
        <f>IFERROR(J335/'Tariff schedule'!J34-1,"")</f>
        <v>8.2789419443490164E-2</v>
      </c>
      <c r="AF335" s="604" t="str">
        <f>IFERROR(K335/'Tariff schedule'!K34-1,"")</f>
        <v/>
      </c>
      <c r="AG335" s="604" t="str">
        <f>IFERROR(L335/'Tariff schedule'!L34-1,"")</f>
        <v/>
      </c>
      <c r="AH335" s="604" t="str">
        <f>IFERROR(M335/'Tariff schedule'!M34-1,"")</f>
        <v/>
      </c>
      <c r="AI335" s="604" t="str">
        <f>IFERROR(N335/'Tariff schedule'!N34-1,"")</f>
        <v/>
      </c>
      <c r="AJ335" s="604" t="str">
        <f>IFERROR(O335/'Tariff schedule'!O34-1,"")</f>
        <v/>
      </c>
      <c r="AK335" s="604" t="str">
        <f>IFERROR(P335/'Tariff schedule'!P34-1,"")</f>
        <v/>
      </c>
      <c r="AL335" s="604" t="str">
        <f>IFERROR(Q335/'Tariff schedule'!Q34-1,"")</f>
        <v/>
      </c>
      <c r="AM335" s="604" t="str">
        <f>IFERROR(R335/'Tariff schedule'!R34-1,"")</f>
        <v/>
      </c>
      <c r="AN335" s="604" t="str">
        <f>IFERROR(S335/'Tariff schedule'!S34-1,"")</f>
        <v/>
      </c>
      <c r="AO335" s="604" t="str">
        <f>IFERROR(T335/'Tariff schedule'!T34-1,"")</f>
        <v/>
      </c>
      <c r="AP335" s="604" t="str">
        <f>IFERROR(U335/'Tariff schedule'!U34-1,"")</f>
        <v/>
      </c>
    </row>
    <row r="336" spans="1:42" outlineLevel="2" x14ac:dyDescent="0.2">
      <c r="A336" s="19"/>
      <c r="B336" s="19"/>
      <c r="C336" s="506" t="str">
        <f t="shared" si="25"/>
        <v>Controlled low voltage night period only</v>
      </c>
      <c r="D336" s="505" t="str">
        <f t="shared" si="25"/>
        <v>Controlled energy</v>
      </c>
      <c r="E336" s="505" t="str">
        <f t="shared" si="25"/>
        <v>TAS63</v>
      </c>
      <c r="F336" s="505">
        <f t="shared" si="25"/>
        <v>0</v>
      </c>
      <c r="G336" s="505">
        <f t="shared" si="25"/>
        <v>0</v>
      </c>
      <c r="H336" s="58"/>
      <c r="I336" s="189">
        <v>13.16</v>
      </c>
      <c r="J336" s="189">
        <v>1.4219999999999999</v>
      </c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5"/>
      <c r="W336" s="185"/>
      <c r="X336" s="185"/>
      <c r="Y336" s="185"/>
      <c r="Z336" s="185"/>
      <c r="AA336" s="185"/>
      <c r="AB336" s="185"/>
      <c r="AC336" s="187"/>
      <c r="AD336" s="604">
        <f>IFERROR(I336/'Tariff schedule'!I35-1,"")</f>
        <v>2.997573765359629E-2</v>
      </c>
      <c r="AE336" s="604">
        <f>IFERROR(J336/'Tariff schedule'!J35-1,"")</f>
        <v>5.7249070631970156E-2</v>
      </c>
      <c r="AF336" s="604" t="str">
        <f>IFERROR(K336/'Tariff schedule'!K35-1,"")</f>
        <v/>
      </c>
      <c r="AG336" s="604" t="str">
        <f>IFERROR(L336/'Tariff schedule'!L35-1,"")</f>
        <v/>
      </c>
      <c r="AH336" s="604" t="str">
        <f>IFERROR(M336/'Tariff schedule'!M35-1,"")</f>
        <v/>
      </c>
      <c r="AI336" s="604" t="str">
        <f>IFERROR(N336/'Tariff schedule'!N35-1,"")</f>
        <v/>
      </c>
      <c r="AJ336" s="604" t="str">
        <f>IFERROR(O336/'Tariff schedule'!O35-1,"")</f>
        <v/>
      </c>
      <c r="AK336" s="604" t="str">
        <f>IFERROR(P336/'Tariff schedule'!P35-1,"")</f>
        <v/>
      </c>
      <c r="AL336" s="604" t="str">
        <f>IFERROR(Q336/'Tariff schedule'!Q35-1,"")</f>
        <v/>
      </c>
      <c r="AM336" s="604" t="str">
        <f>IFERROR(R336/'Tariff schedule'!R35-1,"")</f>
        <v/>
      </c>
      <c r="AN336" s="604" t="str">
        <f>IFERROR(S336/'Tariff schedule'!S35-1,"")</f>
        <v/>
      </c>
      <c r="AO336" s="604" t="str">
        <f>IFERROR(T336/'Tariff schedule'!T35-1,"")</f>
        <v/>
      </c>
      <c r="AP336" s="604" t="str">
        <f>IFERROR(U336/'Tariff schedule'!U35-1,"")</f>
        <v/>
      </c>
    </row>
    <row r="337" spans="1:42" outlineLevel="2" x14ac:dyDescent="0.2">
      <c r="A337" s="19"/>
      <c r="B337" s="19"/>
      <c r="C337" s="506" t="str">
        <f t="shared" si="25"/>
        <v>Controlled low voltage off peak with afternoon boost</v>
      </c>
      <c r="D337" s="505" t="str">
        <f t="shared" si="25"/>
        <v>Controlled energy</v>
      </c>
      <c r="E337" s="505" t="str">
        <f t="shared" si="25"/>
        <v>TAS61</v>
      </c>
      <c r="F337" s="505">
        <f t="shared" si="25"/>
        <v>0</v>
      </c>
      <c r="G337" s="505">
        <f t="shared" si="25"/>
        <v>0</v>
      </c>
      <c r="H337" s="58"/>
      <c r="I337" s="189">
        <v>13.16</v>
      </c>
      <c r="J337" s="189">
        <v>1.65</v>
      </c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5"/>
      <c r="W337" s="185"/>
      <c r="X337" s="185"/>
      <c r="Y337" s="185"/>
      <c r="Z337" s="185"/>
      <c r="AA337" s="185"/>
      <c r="AB337" s="185"/>
      <c r="AC337" s="187"/>
      <c r="AD337" s="604">
        <f>IFERROR(I337/'Tariff schedule'!I36-1,"")</f>
        <v>2.997573765359629E-2</v>
      </c>
      <c r="AE337" s="604">
        <f>IFERROR(J337/'Tariff schedule'!J36-1,"")</f>
        <v>5.9050064184852369E-2</v>
      </c>
      <c r="AF337" s="604" t="str">
        <f>IFERROR(K337/'Tariff schedule'!K36-1,"")</f>
        <v/>
      </c>
      <c r="AG337" s="604" t="str">
        <f>IFERROR(L337/'Tariff schedule'!L36-1,"")</f>
        <v/>
      </c>
      <c r="AH337" s="604" t="str">
        <f>IFERROR(M337/'Tariff schedule'!M36-1,"")</f>
        <v/>
      </c>
      <c r="AI337" s="604" t="str">
        <f>IFERROR(N337/'Tariff schedule'!N36-1,"")</f>
        <v/>
      </c>
      <c r="AJ337" s="604" t="str">
        <f>IFERROR(O337/'Tariff schedule'!O36-1,"")</f>
        <v/>
      </c>
      <c r="AK337" s="604" t="str">
        <f>IFERROR(P337/'Tariff schedule'!P36-1,"")</f>
        <v/>
      </c>
      <c r="AL337" s="604" t="str">
        <f>IFERROR(Q337/'Tariff schedule'!Q36-1,"")</f>
        <v/>
      </c>
      <c r="AM337" s="604" t="str">
        <f>IFERROR(R337/'Tariff schedule'!R36-1,"")</f>
        <v/>
      </c>
      <c r="AN337" s="604" t="str">
        <f>IFERROR(S337/'Tariff schedule'!S36-1,"")</f>
        <v/>
      </c>
      <c r="AO337" s="604" t="str">
        <f>IFERROR(T337/'Tariff schedule'!T36-1,"")</f>
        <v/>
      </c>
      <c r="AP337" s="604" t="str">
        <f>IFERROR(U337/'Tariff schedule'!U36-1,"")</f>
        <v/>
      </c>
    </row>
    <row r="338" spans="1:42" outlineLevel="2" x14ac:dyDescent="0.2">
      <c r="A338" s="19"/>
      <c r="B338" s="19"/>
      <c r="C338" s="506" t="str">
        <f t="shared" si="25"/>
        <v>Unmetered supply general</v>
      </c>
      <c r="D338" s="505" t="str">
        <f t="shared" si="25"/>
        <v>Unmetered supplies</v>
      </c>
      <c r="E338" s="505" t="str">
        <f t="shared" si="25"/>
        <v>TASUMS</v>
      </c>
      <c r="F338" s="505">
        <f t="shared" si="25"/>
        <v>0</v>
      </c>
      <c r="G338" s="505">
        <f t="shared" si="25"/>
        <v>0</v>
      </c>
      <c r="H338" s="58"/>
      <c r="I338" s="189">
        <v>55.579000000000001</v>
      </c>
      <c r="J338" s="189">
        <v>11.242000000000001</v>
      </c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5"/>
      <c r="W338" s="185"/>
      <c r="X338" s="185"/>
      <c r="Y338" s="185"/>
      <c r="Z338" s="185"/>
      <c r="AA338" s="185"/>
      <c r="AB338" s="185"/>
      <c r="AC338" s="187"/>
      <c r="AD338" s="604">
        <f>IFERROR(I338/'Tariff schedule'!I37-1,"")</f>
        <v>3.0003706449221568E-2</v>
      </c>
      <c r="AE338" s="604">
        <f>IFERROR(J338/'Tariff schedule'!J37-1,"")</f>
        <v>5.6876938986556436E-2</v>
      </c>
      <c r="AF338" s="604" t="str">
        <f>IFERROR(K338/'Tariff schedule'!K37-1,"")</f>
        <v/>
      </c>
      <c r="AG338" s="604" t="str">
        <f>IFERROR(L338/'Tariff schedule'!L37-1,"")</f>
        <v/>
      </c>
      <c r="AH338" s="604" t="str">
        <f>IFERROR(M338/'Tariff schedule'!M37-1,"")</f>
        <v/>
      </c>
      <c r="AI338" s="604" t="str">
        <f>IFERROR(N338/'Tariff schedule'!N37-1,"")</f>
        <v/>
      </c>
      <c r="AJ338" s="604" t="str">
        <f>IFERROR(O338/'Tariff schedule'!O37-1,"")</f>
        <v/>
      </c>
      <c r="AK338" s="604" t="str">
        <f>IFERROR(P338/'Tariff schedule'!P37-1,"")</f>
        <v/>
      </c>
      <c r="AL338" s="604" t="str">
        <f>IFERROR(Q338/'Tariff schedule'!Q37-1,"")</f>
        <v/>
      </c>
      <c r="AM338" s="604" t="str">
        <f>IFERROR(R338/'Tariff schedule'!R37-1,"")</f>
        <v/>
      </c>
      <c r="AN338" s="604" t="str">
        <f>IFERROR(S338/'Tariff schedule'!S37-1,"")</f>
        <v/>
      </c>
      <c r="AO338" s="604" t="str">
        <f>IFERROR(T338/'Tariff schedule'!T37-1,"")</f>
        <v/>
      </c>
      <c r="AP338" s="604" t="str">
        <f>IFERROR(U338/'Tariff schedule'!U37-1,"")</f>
        <v/>
      </c>
    </row>
    <row r="339" spans="1:42" outlineLevel="2" x14ac:dyDescent="0.2">
      <c r="A339" s="19"/>
      <c r="B339" s="19"/>
      <c r="C339" s="506" t="str">
        <f t="shared" si="25"/>
        <v>Street lighting</v>
      </c>
      <c r="D339" s="505" t="str">
        <f t="shared" si="25"/>
        <v>Street lighting</v>
      </c>
      <c r="E339" s="505" t="str">
        <f t="shared" si="25"/>
        <v>TASUMSSL</v>
      </c>
      <c r="F339" s="505">
        <f t="shared" si="25"/>
        <v>0</v>
      </c>
      <c r="G339" s="505">
        <f t="shared" si="25"/>
        <v>0</v>
      </c>
      <c r="H339" s="58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9">
        <v>0.11600000000000001</v>
      </c>
      <c r="V339" s="185"/>
      <c r="W339" s="185"/>
      <c r="X339" s="185"/>
      <c r="Y339" s="185"/>
      <c r="Z339" s="185"/>
      <c r="AA339" s="185"/>
      <c r="AB339" s="185"/>
      <c r="AC339" s="187"/>
      <c r="AD339" s="604" t="str">
        <f>IFERROR(I339/'Tariff schedule'!I38-1,"")</f>
        <v/>
      </c>
      <c r="AE339" s="604" t="str">
        <f>IFERROR(J339/'Tariff schedule'!J38-1,"")</f>
        <v/>
      </c>
      <c r="AF339" s="604" t="str">
        <f>IFERROR(K339/'Tariff schedule'!K38-1,"")</f>
        <v/>
      </c>
      <c r="AG339" s="604" t="str">
        <f>IFERROR(L339/'Tariff schedule'!L38-1,"")</f>
        <v/>
      </c>
      <c r="AH339" s="604" t="str">
        <f>IFERROR(M339/'Tariff schedule'!M38-1,"")</f>
        <v/>
      </c>
      <c r="AI339" s="604" t="str">
        <f>IFERROR(N339/'Tariff schedule'!N38-1,"")</f>
        <v/>
      </c>
      <c r="AJ339" s="604" t="str">
        <f>IFERROR(O339/'Tariff schedule'!O38-1,"")</f>
        <v/>
      </c>
      <c r="AK339" s="604" t="str">
        <f>IFERROR(P339/'Tariff schedule'!P38-1,"")</f>
        <v/>
      </c>
      <c r="AL339" s="604" t="str">
        <f>IFERROR(Q339/'Tariff schedule'!Q38-1,"")</f>
        <v/>
      </c>
      <c r="AM339" s="604" t="str">
        <f>IFERROR(R339/'Tariff schedule'!R38-1,"")</f>
        <v/>
      </c>
      <c r="AN339" s="604" t="str">
        <f>IFERROR(S339/'Tariff schedule'!S38-1,"")</f>
        <v/>
      </c>
      <c r="AO339" s="604" t="str">
        <f>IFERROR(T339/'Tariff schedule'!T38-1,"")</f>
        <v/>
      </c>
      <c r="AP339" s="604">
        <f>IFERROR(U339/'Tariff schedule'!U38-1,"")</f>
        <v>5.4545454545454675E-2</v>
      </c>
    </row>
    <row r="340" spans="1:42" outlineLevel="2" x14ac:dyDescent="0.2">
      <c r="A340" s="19"/>
      <c r="B340" s="19"/>
      <c r="C340" s="506">
        <f t="shared" ref="C340:G349" si="26">C28</f>
        <v>0</v>
      </c>
      <c r="D340" s="505">
        <f t="shared" si="26"/>
        <v>0</v>
      </c>
      <c r="E340" s="505">
        <f t="shared" si="26"/>
        <v>0</v>
      </c>
      <c r="F340" s="505">
        <f t="shared" si="26"/>
        <v>0</v>
      </c>
      <c r="G340" s="505">
        <f t="shared" si="26"/>
        <v>0</v>
      </c>
      <c r="H340" s="58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  <c r="AA340" s="185"/>
      <c r="AB340" s="185"/>
      <c r="AC340" s="187"/>
      <c r="AD340" s="19"/>
      <c r="AE340" s="19"/>
      <c r="AF340" s="19"/>
      <c r="AG340" s="19"/>
    </row>
    <row r="341" spans="1:42" hidden="1" outlineLevel="3" x14ac:dyDescent="0.2">
      <c r="A341" s="19"/>
      <c r="B341" s="19"/>
      <c r="C341" s="506">
        <f t="shared" si="26"/>
        <v>0</v>
      </c>
      <c r="D341" s="505">
        <f t="shared" si="26"/>
        <v>0</v>
      </c>
      <c r="E341" s="505">
        <f t="shared" si="26"/>
        <v>0</v>
      </c>
      <c r="F341" s="505">
        <f t="shared" si="26"/>
        <v>0</v>
      </c>
      <c r="G341" s="505">
        <f t="shared" si="26"/>
        <v>0</v>
      </c>
      <c r="H341" s="58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  <c r="AA341" s="185"/>
      <c r="AB341" s="185"/>
      <c r="AC341" s="187"/>
      <c r="AD341" s="19"/>
      <c r="AE341" s="19"/>
      <c r="AF341" s="19"/>
      <c r="AG341" s="19"/>
    </row>
    <row r="342" spans="1:42" hidden="1" outlineLevel="3" x14ac:dyDescent="0.2">
      <c r="A342" s="19"/>
      <c r="B342" s="19"/>
      <c r="C342" s="506">
        <f t="shared" si="26"/>
        <v>0</v>
      </c>
      <c r="D342" s="505">
        <f t="shared" si="26"/>
        <v>0</v>
      </c>
      <c r="E342" s="505">
        <f t="shared" si="26"/>
        <v>0</v>
      </c>
      <c r="F342" s="505">
        <f t="shared" si="26"/>
        <v>0</v>
      </c>
      <c r="G342" s="505">
        <f t="shared" si="26"/>
        <v>0</v>
      </c>
      <c r="H342" s="58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  <c r="AC342" s="187"/>
      <c r="AD342" s="19"/>
      <c r="AE342" s="19"/>
      <c r="AF342" s="19"/>
      <c r="AG342" s="19"/>
    </row>
    <row r="343" spans="1:42" hidden="1" outlineLevel="3" x14ac:dyDescent="0.2">
      <c r="A343" s="19"/>
      <c r="B343" s="19"/>
      <c r="C343" s="506">
        <f t="shared" si="26"/>
        <v>0</v>
      </c>
      <c r="D343" s="505">
        <f t="shared" si="26"/>
        <v>0</v>
      </c>
      <c r="E343" s="505">
        <f t="shared" si="26"/>
        <v>0</v>
      </c>
      <c r="F343" s="505">
        <f t="shared" si="26"/>
        <v>0</v>
      </c>
      <c r="G343" s="505">
        <f t="shared" si="26"/>
        <v>0</v>
      </c>
      <c r="H343" s="58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  <c r="AC343" s="187"/>
      <c r="AD343" s="19"/>
      <c r="AE343" s="19"/>
      <c r="AF343" s="19"/>
      <c r="AG343" s="19"/>
    </row>
    <row r="344" spans="1:42" hidden="1" outlineLevel="3" x14ac:dyDescent="0.2">
      <c r="A344" s="19"/>
      <c r="B344" s="19"/>
      <c r="C344" s="506">
        <f t="shared" si="26"/>
        <v>0</v>
      </c>
      <c r="D344" s="505">
        <f t="shared" si="26"/>
        <v>0</v>
      </c>
      <c r="E344" s="505">
        <f t="shared" si="26"/>
        <v>0</v>
      </c>
      <c r="F344" s="505">
        <f t="shared" si="26"/>
        <v>0</v>
      </c>
      <c r="G344" s="505">
        <f t="shared" si="26"/>
        <v>0</v>
      </c>
      <c r="H344" s="58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7"/>
      <c r="AD344" s="19"/>
      <c r="AE344" s="19"/>
      <c r="AF344" s="19"/>
      <c r="AG344" s="19"/>
    </row>
    <row r="345" spans="1:42" hidden="1" outlineLevel="3" x14ac:dyDescent="0.2">
      <c r="A345" s="19"/>
      <c r="B345" s="19"/>
      <c r="C345" s="506">
        <f t="shared" si="26"/>
        <v>0</v>
      </c>
      <c r="D345" s="505">
        <f t="shared" si="26"/>
        <v>0</v>
      </c>
      <c r="E345" s="505">
        <f t="shared" si="26"/>
        <v>0</v>
      </c>
      <c r="F345" s="505">
        <f t="shared" si="26"/>
        <v>0</v>
      </c>
      <c r="G345" s="505">
        <f t="shared" si="26"/>
        <v>0</v>
      </c>
      <c r="H345" s="58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  <c r="AA345" s="185"/>
      <c r="AB345" s="185"/>
      <c r="AC345" s="187"/>
      <c r="AD345" s="19"/>
      <c r="AE345" s="19"/>
      <c r="AF345" s="19"/>
      <c r="AG345" s="19"/>
    </row>
    <row r="346" spans="1:42" hidden="1" outlineLevel="3" x14ac:dyDescent="0.2">
      <c r="A346" s="19"/>
      <c r="B346" s="19"/>
      <c r="C346" s="506">
        <f t="shared" si="26"/>
        <v>0</v>
      </c>
      <c r="D346" s="505">
        <f t="shared" si="26"/>
        <v>0</v>
      </c>
      <c r="E346" s="505">
        <f t="shared" si="26"/>
        <v>0</v>
      </c>
      <c r="F346" s="505">
        <f t="shared" si="26"/>
        <v>0</v>
      </c>
      <c r="G346" s="505">
        <f t="shared" si="26"/>
        <v>0</v>
      </c>
      <c r="H346" s="58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  <c r="V346" s="185"/>
      <c r="W346" s="185"/>
      <c r="X346" s="185"/>
      <c r="Y346" s="185"/>
      <c r="Z346" s="185"/>
      <c r="AA346" s="185"/>
      <c r="AB346" s="185"/>
      <c r="AC346" s="187"/>
      <c r="AD346" s="19"/>
      <c r="AE346" s="19"/>
      <c r="AF346" s="19"/>
      <c r="AG346" s="19"/>
    </row>
    <row r="347" spans="1:42" hidden="1" outlineLevel="3" x14ac:dyDescent="0.2">
      <c r="A347" s="19"/>
      <c r="B347" s="19"/>
      <c r="C347" s="506">
        <f t="shared" si="26"/>
        <v>0</v>
      </c>
      <c r="D347" s="505">
        <f t="shared" si="26"/>
        <v>0</v>
      </c>
      <c r="E347" s="505">
        <f t="shared" si="26"/>
        <v>0</v>
      </c>
      <c r="F347" s="505">
        <f t="shared" si="26"/>
        <v>0</v>
      </c>
      <c r="G347" s="505">
        <f t="shared" si="26"/>
        <v>0</v>
      </c>
      <c r="H347" s="58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  <c r="AA347" s="185"/>
      <c r="AB347" s="185"/>
      <c r="AC347" s="187"/>
      <c r="AD347" s="19"/>
      <c r="AE347" s="19"/>
      <c r="AF347" s="19"/>
      <c r="AG347" s="19"/>
    </row>
    <row r="348" spans="1:42" hidden="1" outlineLevel="3" x14ac:dyDescent="0.2">
      <c r="A348" s="19"/>
      <c r="B348" s="19"/>
      <c r="C348" s="506">
        <f t="shared" si="26"/>
        <v>0</v>
      </c>
      <c r="D348" s="505">
        <f t="shared" si="26"/>
        <v>0</v>
      </c>
      <c r="E348" s="505">
        <f t="shared" si="26"/>
        <v>0</v>
      </c>
      <c r="F348" s="505">
        <f t="shared" si="26"/>
        <v>0</v>
      </c>
      <c r="G348" s="505">
        <f t="shared" si="26"/>
        <v>0</v>
      </c>
      <c r="H348" s="58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  <c r="AA348" s="185"/>
      <c r="AB348" s="185"/>
      <c r="AC348" s="187"/>
      <c r="AD348" s="19"/>
      <c r="AE348" s="19"/>
      <c r="AF348" s="19"/>
      <c r="AG348" s="19"/>
    </row>
    <row r="349" spans="1:42" hidden="1" outlineLevel="3" x14ac:dyDescent="0.2">
      <c r="A349" s="19"/>
      <c r="B349" s="19"/>
      <c r="C349" s="506">
        <f t="shared" si="26"/>
        <v>0</v>
      </c>
      <c r="D349" s="505">
        <f t="shared" si="26"/>
        <v>0</v>
      </c>
      <c r="E349" s="505">
        <f t="shared" si="26"/>
        <v>0</v>
      </c>
      <c r="F349" s="505">
        <f t="shared" si="26"/>
        <v>0</v>
      </c>
      <c r="G349" s="505">
        <f t="shared" si="26"/>
        <v>0</v>
      </c>
      <c r="H349" s="58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  <c r="AA349" s="185"/>
      <c r="AB349" s="185"/>
      <c r="AC349" s="187"/>
      <c r="AD349" s="19"/>
      <c r="AE349" s="19"/>
      <c r="AF349" s="19"/>
      <c r="AG349" s="19"/>
    </row>
    <row r="350" spans="1:42" hidden="1" outlineLevel="3" x14ac:dyDescent="0.2">
      <c r="A350" s="19"/>
      <c r="B350" s="19"/>
      <c r="C350" s="506">
        <f t="shared" ref="C350:G359" si="27">C38</f>
        <v>0</v>
      </c>
      <c r="D350" s="505">
        <f t="shared" si="27"/>
        <v>0</v>
      </c>
      <c r="E350" s="505">
        <f t="shared" si="27"/>
        <v>0</v>
      </c>
      <c r="F350" s="505">
        <f t="shared" si="27"/>
        <v>0</v>
      </c>
      <c r="G350" s="505">
        <f t="shared" si="27"/>
        <v>0</v>
      </c>
      <c r="H350" s="58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  <c r="AA350" s="185"/>
      <c r="AB350" s="185"/>
      <c r="AC350" s="187"/>
      <c r="AD350" s="19"/>
      <c r="AE350" s="19"/>
      <c r="AF350" s="19"/>
      <c r="AG350" s="19"/>
    </row>
    <row r="351" spans="1:42" hidden="1" outlineLevel="3" x14ac:dyDescent="0.2">
      <c r="A351" s="19"/>
      <c r="B351" s="19"/>
      <c r="C351" s="506">
        <f t="shared" si="27"/>
        <v>0</v>
      </c>
      <c r="D351" s="505">
        <f t="shared" si="27"/>
        <v>0</v>
      </c>
      <c r="E351" s="505">
        <f t="shared" si="27"/>
        <v>0</v>
      </c>
      <c r="F351" s="505">
        <f t="shared" si="27"/>
        <v>0</v>
      </c>
      <c r="G351" s="505">
        <f t="shared" si="27"/>
        <v>0</v>
      </c>
      <c r="H351" s="58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  <c r="AA351" s="185"/>
      <c r="AB351" s="185"/>
      <c r="AC351" s="187"/>
      <c r="AD351" s="19"/>
      <c r="AE351" s="19"/>
      <c r="AF351" s="19"/>
      <c r="AG351" s="19"/>
    </row>
    <row r="352" spans="1:42" hidden="1" outlineLevel="3" x14ac:dyDescent="0.2">
      <c r="A352" s="19"/>
      <c r="B352" s="19"/>
      <c r="C352" s="506">
        <f t="shared" si="27"/>
        <v>0</v>
      </c>
      <c r="D352" s="505">
        <f t="shared" si="27"/>
        <v>0</v>
      </c>
      <c r="E352" s="505">
        <f t="shared" si="27"/>
        <v>0</v>
      </c>
      <c r="F352" s="505">
        <f t="shared" si="27"/>
        <v>0</v>
      </c>
      <c r="G352" s="505">
        <f t="shared" si="27"/>
        <v>0</v>
      </c>
      <c r="H352" s="58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  <c r="AA352" s="185"/>
      <c r="AB352" s="185"/>
      <c r="AC352" s="187"/>
      <c r="AD352" s="19"/>
      <c r="AE352" s="19"/>
      <c r="AF352" s="19"/>
      <c r="AG352" s="19"/>
    </row>
    <row r="353" spans="1:33" hidden="1" outlineLevel="3" x14ac:dyDescent="0.2">
      <c r="A353" s="19"/>
      <c r="B353" s="19"/>
      <c r="C353" s="506">
        <f t="shared" si="27"/>
        <v>0</v>
      </c>
      <c r="D353" s="505">
        <f t="shared" si="27"/>
        <v>0</v>
      </c>
      <c r="E353" s="505">
        <f t="shared" si="27"/>
        <v>0</v>
      </c>
      <c r="F353" s="505">
        <f t="shared" si="27"/>
        <v>0</v>
      </c>
      <c r="G353" s="505">
        <f t="shared" si="27"/>
        <v>0</v>
      </c>
      <c r="H353" s="58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  <c r="AA353" s="185"/>
      <c r="AB353" s="185"/>
      <c r="AC353" s="187"/>
      <c r="AD353" s="19"/>
      <c r="AE353" s="19"/>
      <c r="AF353" s="19"/>
      <c r="AG353" s="19"/>
    </row>
    <row r="354" spans="1:33" hidden="1" outlineLevel="3" x14ac:dyDescent="0.2">
      <c r="A354" s="19"/>
      <c r="B354" s="19"/>
      <c r="C354" s="506">
        <f t="shared" si="27"/>
        <v>0</v>
      </c>
      <c r="D354" s="505">
        <f t="shared" si="27"/>
        <v>0</v>
      </c>
      <c r="E354" s="505">
        <f t="shared" si="27"/>
        <v>0</v>
      </c>
      <c r="F354" s="505">
        <f t="shared" si="27"/>
        <v>0</v>
      </c>
      <c r="G354" s="505">
        <f t="shared" si="27"/>
        <v>0</v>
      </c>
      <c r="H354" s="58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  <c r="AC354" s="187"/>
      <c r="AD354" s="19"/>
      <c r="AE354" s="19"/>
      <c r="AF354" s="19"/>
      <c r="AG354" s="19"/>
    </row>
    <row r="355" spans="1:33" hidden="1" outlineLevel="3" x14ac:dyDescent="0.2">
      <c r="A355" s="19"/>
      <c r="B355" s="19"/>
      <c r="C355" s="506">
        <f t="shared" si="27"/>
        <v>0</v>
      </c>
      <c r="D355" s="505">
        <f t="shared" si="27"/>
        <v>0</v>
      </c>
      <c r="E355" s="505">
        <f t="shared" si="27"/>
        <v>0</v>
      </c>
      <c r="F355" s="505">
        <f t="shared" si="27"/>
        <v>0</v>
      </c>
      <c r="G355" s="505">
        <f t="shared" si="27"/>
        <v>0</v>
      </c>
      <c r="H355" s="58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  <c r="AA355" s="185"/>
      <c r="AB355" s="185"/>
      <c r="AC355" s="187"/>
      <c r="AD355" s="19"/>
      <c r="AE355" s="19"/>
      <c r="AF355" s="19"/>
      <c r="AG355" s="19"/>
    </row>
    <row r="356" spans="1:33" hidden="1" outlineLevel="3" x14ac:dyDescent="0.2">
      <c r="A356" s="19"/>
      <c r="B356" s="19"/>
      <c r="C356" s="506">
        <f t="shared" si="27"/>
        <v>0</v>
      </c>
      <c r="D356" s="505">
        <f t="shared" si="27"/>
        <v>0</v>
      </c>
      <c r="E356" s="505">
        <f t="shared" si="27"/>
        <v>0</v>
      </c>
      <c r="F356" s="505">
        <f t="shared" si="27"/>
        <v>0</v>
      </c>
      <c r="G356" s="505">
        <f t="shared" si="27"/>
        <v>0</v>
      </c>
      <c r="H356" s="58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  <c r="AA356" s="185"/>
      <c r="AB356" s="185"/>
      <c r="AC356" s="187"/>
      <c r="AD356" s="19"/>
      <c r="AE356" s="19"/>
      <c r="AF356" s="19"/>
      <c r="AG356" s="19"/>
    </row>
    <row r="357" spans="1:33" hidden="1" outlineLevel="3" x14ac:dyDescent="0.2">
      <c r="A357" s="19"/>
      <c r="B357" s="19"/>
      <c r="C357" s="506">
        <f t="shared" si="27"/>
        <v>0</v>
      </c>
      <c r="D357" s="505">
        <f t="shared" si="27"/>
        <v>0</v>
      </c>
      <c r="E357" s="505">
        <f t="shared" si="27"/>
        <v>0</v>
      </c>
      <c r="F357" s="505">
        <f t="shared" si="27"/>
        <v>0</v>
      </c>
      <c r="G357" s="505">
        <f t="shared" si="27"/>
        <v>0</v>
      </c>
      <c r="H357" s="58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7"/>
      <c r="AD357" s="19"/>
      <c r="AE357" s="19"/>
      <c r="AF357" s="19"/>
      <c r="AG357" s="19"/>
    </row>
    <row r="358" spans="1:33" hidden="1" outlineLevel="3" x14ac:dyDescent="0.2">
      <c r="A358" s="19"/>
      <c r="B358" s="19"/>
      <c r="C358" s="506">
        <f t="shared" si="27"/>
        <v>0</v>
      </c>
      <c r="D358" s="505">
        <f t="shared" si="27"/>
        <v>0</v>
      </c>
      <c r="E358" s="505">
        <f t="shared" si="27"/>
        <v>0</v>
      </c>
      <c r="F358" s="505">
        <f t="shared" si="27"/>
        <v>0</v>
      </c>
      <c r="G358" s="505">
        <f t="shared" si="27"/>
        <v>0</v>
      </c>
      <c r="H358" s="58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7"/>
      <c r="AD358" s="19"/>
      <c r="AE358" s="19"/>
      <c r="AF358" s="19"/>
      <c r="AG358" s="19"/>
    </row>
    <row r="359" spans="1:33" hidden="1" outlineLevel="3" x14ac:dyDescent="0.2">
      <c r="A359" s="19"/>
      <c r="B359" s="19"/>
      <c r="C359" s="506">
        <f t="shared" si="27"/>
        <v>0</v>
      </c>
      <c r="D359" s="505">
        <f t="shared" si="27"/>
        <v>0</v>
      </c>
      <c r="E359" s="505">
        <f t="shared" si="27"/>
        <v>0</v>
      </c>
      <c r="F359" s="505">
        <f t="shared" si="27"/>
        <v>0</v>
      </c>
      <c r="G359" s="505">
        <f t="shared" si="27"/>
        <v>0</v>
      </c>
      <c r="H359" s="58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7"/>
      <c r="AD359" s="19"/>
      <c r="AE359" s="19"/>
      <c r="AF359" s="19"/>
      <c r="AG359" s="19"/>
    </row>
    <row r="360" spans="1:33" hidden="1" outlineLevel="3" x14ac:dyDescent="0.2">
      <c r="A360" s="19"/>
      <c r="B360" s="19"/>
      <c r="C360" s="506">
        <f t="shared" ref="C360:G369" si="28">C48</f>
        <v>0</v>
      </c>
      <c r="D360" s="505">
        <f t="shared" si="28"/>
        <v>0</v>
      </c>
      <c r="E360" s="505">
        <f t="shared" si="28"/>
        <v>0</v>
      </c>
      <c r="F360" s="505">
        <f t="shared" si="28"/>
        <v>0</v>
      </c>
      <c r="G360" s="505">
        <f t="shared" si="28"/>
        <v>0</v>
      </c>
      <c r="H360" s="58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  <c r="AA360" s="185"/>
      <c r="AB360" s="185"/>
      <c r="AC360" s="187"/>
      <c r="AD360" s="19"/>
      <c r="AE360" s="19"/>
      <c r="AF360" s="19"/>
      <c r="AG360" s="19"/>
    </row>
    <row r="361" spans="1:33" hidden="1" outlineLevel="3" x14ac:dyDescent="0.2">
      <c r="A361" s="19"/>
      <c r="B361" s="19"/>
      <c r="C361" s="506">
        <f t="shared" si="28"/>
        <v>0</v>
      </c>
      <c r="D361" s="505">
        <f t="shared" si="28"/>
        <v>0</v>
      </c>
      <c r="E361" s="505">
        <f t="shared" si="28"/>
        <v>0</v>
      </c>
      <c r="F361" s="505">
        <f t="shared" si="28"/>
        <v>0</v>
      </c>
      <c r="G361" s="505">
        <f t="shared" si="28"/>
        <v>0</v>
      </c>
      <c r="H361" s="58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  <c r="AA361" s="185"/>
      <c r="AB361" s="185"/>
      <c r="AC361" s="187"/>
      <c r="AD361" s="19"/>
      <c r="AE361" s="19"/>
      <c r="AF361" s="19"/>
      <c r="AG361" s="19"/>
    </row>
    <row r="362" spans="1:33" hidden="1" outlineLevel="3" x14ac:dyDescent="0.2">
      <c r="A362" s="19"/>
      <c r="B362" s="19"/>
      <c r="C362" s="506">
        <f t="shared" si="28"/>
        <v>0</v>
      </c>
      <c r="D362" s="505">
        <f t="shared" si="28"/>
        <v>0</v>
      </c>
      <c r="E362" s="505">
        <f t="shared" si="28"/>
        <v>0</v>
      </c>
      <c r="F362" s="505">
        <f t="shared" si="28"/>
        <v>0</v>
      </c>
      <c r="G362" s="505">
        <f t="shared" si="28"/>
        <v>0</v>
      </c>
      <c r="H362" s="58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  <c r="AA362" s="185"/>
      <c r="AB362" s="185"/>
      <c r="AC362" s="187"/>
      <c r="AD362" s="19"/>
      <c r="AE362" s="19"/>
      <c r="AF362" s="19"/>
      <c r="AG362" s="19"/>
    </row>
    <row r="363" spans="1:33" hidden="1" outlineLevel="3" x14ac:dyDescent="0.2">
      <c r="A363" s="19"/>
      <c r="B363" s="19"/>
      <c r="C363" s="506">
        <f t="shared" si="28"/>
        <v>0</v>
      </c>
      <c r="D363" s="505">
        <f t="shared" si="28"/>
        <v>0</v>
      </c>
      <c r="E363" s="505">
        <f t="shared" si="28"/>
        <v>0</v>
      </c>
      <c r="F363" s="505">
        <f t="shared" si="28"/>
        <v>0</v>
      </c>
      <c r="G363" s="505">
        <f t="shared" si="28"/>
        <v>0</v>
      </c>
      <c r="H363" s="58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  <c r="AA363" s="185"/>
      <c r="AB363" s="185"/>
      <c r="AC363" s="187"/>
      <c r="AD363" s="19"/>
      <c r="AE363" s="19"/>
      <c r="AF363" s="19"/>
      <c r="AG363" s="19"/>
    </row>
    <row r="364" spans="1:33" hidden="1" outlineLevel="3" x14ac:dyDescent="0.2">
      <c r="A364" s="19"/>
      <c r="B364" s="19"/>
      <c r="C364" s="506">
        <f t="shared" si="28"/>
        <v>0</v>
      </c>
      <c r="D364" s="505">
        <f t="shared" si="28"/>
        <v>0</v>
      </c>
      <c r="E364" s="505">
        <f t="shared" si="28"/>
        <v>0</v>
      </c>
      <c r="F364" s="505">
        <f t="shared" si="28"/>
        <v>0</v>
      </c>
      <c r="G364" s="505">
        <f t="shared" si="28"/>
        <v>0</v>
      </c>
      <c r="H364" s="58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7"/>
      <c r="AD364" s="19"/>
      <c r="AE364" s="19"/>
      <c r="AF364" s="19"/>
      <c r="AG364" s="19"/>
    </row>
    <row r="365" spans="1:33" hidden="1" outlineLevel="3" x14ac:dyDescent="0.2">
      <c r="A365" s="19"/>
      <c r="B365" s="19"/>
      <c r="C365" s="506">
        <f t="shared" si="28"/>
        <v>0</v>
      </c>
      <c r="D365" s="505">
        <f t="shared" si="28"/>
        <v>0</v>
      </c>
      <c r="E365" s="505">
        <f t="shared" si="28"/>
        <v>0</v>
      </c>
      <c r="F365" s="505">
        <f t="shared" si="28"/>
        <v>0</v>
      </c>
      <c r="G365" s="505">
        <f t="shared" si="28"/>
        <v>0</v>
      </c>
      <c r="H365" s="58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  <c r="AA365" s="185"/>
      <c r="AB365" s="185"/>
      <c r="AC365" s="187"/>
      <c r="AD365" s="19"/>
      <c r="AE365" s="19"/>
      <c r="AF365" s="19"/>
      <c r="AG365" s="19"/>
    </row>
    <row r="366" spans="1:33" hidden="1" outlineLevel="3" x14ac:dyDescent="0.2">
      <c r="A366" s="19"/>
      <c r="B366" s="19"/>
      <c r="C366" s="506">
        <f t="shared" si="28"/>
        <v>0</v>
      </c>
      <c r="D366" s="505">
        <f t="shared" si="28"/>
        <v>0</v>
      </c>
      <c r="E366" s="505">
        <f t="shared" si="28"/>
        <v>0</v>
      </c>
      <c r="F366" s="505">
        <f t="shared" si="28"/>
        <v>0</v>
      </c>
      <c r="G366" s="505">
        <f t="shared" si="28"/>
        <v>0</v>
      </c>
      <c r="H366" s="58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  <c r="AA366" s="185"/>
      <c r="AB366" s="185"/>
      <c r="AC366" s="187"/>
      <c r="AD366" s="19"/>
      <c r="AE366" s="19"/>
      <c r="AF366" s="19"/>
      <c r="AG366" s="19"/>
    </row>
    <row r="367" spans="1:33" hidden="1" outlineLevel="3" x14ac:dyDescent="0.2">
      <c r="A367" s="19"/>
      <c r="B367" s="19"/>
      <c r="C367" s="506">
        <f t="shared" si="28"/>
        <v>0</v>
      </c>
      <c r="D367" s="505">
        <f t="shared" si="28"/>
        <v>0</v>
      </c>
      <c r="E367" s="505">
        <f t="shared" si="28"/>
        <v>0</v>
      </c>
      <c r="F367" s="505">
        <f t="shared" si="28"/>
        <v>0</v>
      </c>
      <c r="G367" s="505">
        <f t="shared" si="28"/>
        <v>0</v>
      </c>
      <c r="H367" s="58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  <c r="AA367" s="185"/>
      <c r="AB367" s="185"/>
      <c r="AC367" s="187"/>
      <c r="AD367" s="19"/>
      <c r="AE367" s="19"/>
      <c r="AF367" s="19"/>
      <c r="AG367" s="19"/>
    </row>
    <row r="368" spans="1:33" hidden="1" outlineLevel="3" x14ac:dyDescent="0.2">
      <c r="A368" s="19"/>
      <c r="B368" s="19"/>
      <c r="C368" s="506">
        <f t="shared" si="28"/>
        <v>0</v>
      </c>
      <c r="D368" s="505">
        <f t="shared" si="28"/>
        <v>0</v>
      </c>
      <c r="E368" s="505">
        <f t="shared" si="28"/>
        <v>0</v>
      </c>
      <c r="F368" s="505">
        <f t="shared" si="28"/>
        <v>0</v>
      </c>
      <c r="G368" s="505">
        <f t="shared" si="28"/>
        <v>0</v>
      </c>
      <c r="H368" s="58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  <c r="AA368" s="185"/>
      <c r="AB368" s="185"/>
      <c r="AC368" s="187"/>
      <c r="AD368" s="19"/>
      <c r="AE368" s="19"/>
      <c r="AF368" s="19"/>
      <c r="AG368" s="19"/>
    </row>
    <row r="369" spans="1:33" hidden="1" outlineLevel="3" x14ac:dyDescent="0.2">
      <c r="A369" s="19"/>
      <c r="B369" s="19"/>
      <c r="C369" s="506">
        <f t="shared" si="28"/>
        <v>0</v>
      </c>
      <c r="D369" s="505">
        <f t="shared" si="28"/>
        <v>0</v>
      </c>
      <c r="E369" s="505">
        <f t="shared" si="28"/>
        <v>0</v>
      </c>
      <c r="F369" s="505">
        <f t="shared" si="28"/>
        <v>0</v>
      </c>
      <c r="G369" s="505">
        <f t="shared" si="28"/>
        <v>0</v>
      </c>
      <c r="H369" s="58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  <c r="AA369" s="185"/>
      <c r="AB369" s="185"/>
      <c r="AC369" s="187"/>
      <c r="AD369" s="19"/>
      <c r="AE369" s="19"/>
      <c r="AF369" s="19"/>
      <c r="AG369" s="19"/>
    </row>
    <row r="370" spans="1:33" hidden="1" outlineLevel="3" x14ac:dyDescent="0.2">
      <c r="A370" s="19"/>
      <c r="B370" s="19"/>
      <c r="C370" s="506">
        <f t="shared" ref="C370:G379" si="29">C58</f>
        <v>0</v>
      </c>
      <c r="D370" s="505">
        <f t="shared" si="29"/>
        <v>0</v>
      </c>
      <c r="E370" s="505">
        <f t="shared" si="29"/>
        <v>0</v>
      </c>
      <c r="F370" s="505">
        <f t="shared" si="29"/>
        <v>0</v>
      </c>
      <c r="G370" s="505">
        <f t="shared" si="29"/>
        <v>0</v>
      </c>
      <c r="H370" s="58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  <c r="AA370" s="185"/>
      <c r="AB370" s="185"/>
      <c r="AC370" s="187"/>
      <c r="AD370" s="19"/>
      <c r="AE370" s="19"/>
      <c r="AF370" s="19"/>
      <c r="AG370" s="19"/>
    </row>
    <row r="371" spans="1:33" hidden="1" outlineLevel="3" x14ac:dyDescent="0.2">
      <c r="A371" s="19"/>
      <c r="B371" s="19"/>
      <c r="C371" s="506">
        <f t="shared" si="29"/>
        <v>0</v>
      </c>
      <c r="D371" s="505">
        <f t="shared" si="29"/>
        <v>0</v>
      </c>
      <c r="E371" s="505">
        <f t="shared" si="29"/>
        <v>0</v>
      </c>
      <c r="F371" s="505">
        <f t="shared" si="29"/>
        <v>0</v>
      </c>
      <c r="G371" s="505">
        <f t="shared" si="29"/>
        <v>0</v>
      </c>
      <c r="H371" s="58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  <c r="AA371" s="185"/>
      <c r="AB371" s="185"/>
      <c r="AC371" s="187"/>
      <c r="AD371" s="19"/>
      <c r="AE371" s="19"/>
      <c r="AF371" s="19"/>
      <c r="AG371" s="19"/>
    </row>
    <row r="372" spans="1:33" hidden="1" outlineLevel="3" x14ac:dyDescent="0.2">
      <c r="A372" s="19"/>
      <c r="B372" s="19"/>
      <c r="C372" s="506">
        <f t="shared" si="29"/>
        <v>0</v>
      </c>
      <c r="D372" s="505">
        <f t="shared" si="29"/>
        <v>0</v>
      </c>
      <c r="E372" s="505">
        <f t="shared" si="29"/>
        <v>0</v>
      </c>
      <c r="F372" s="505">
        <f t="shared" si="29"/>
        <v>0</v>
      </c>
      <c r="G372" s="505">
        <f t="shared" si="29"/>
        <v>0</v>
      </c>
      <c r="H372" s="58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  <c r="AA372" s="185"/>
      <c r="AB372" s="185"/>
      <c r="AC372" s="187"/>
      <c r="AD372" s="19"/>
      <c r="AE372" s="19"/>
      <c r="AF372" s="19"/>
      <c r="AG372" s="19"/>
    </row>
    <row r="373" spans="1:33" hidden="1" outlineLevel="3" x14ac:dyDescent="0.2">
      <c r="A373" s="19"/>
      <c r="B373" s="19"/>
      <c r="C373" s="506">
        <f t="shared" si="29"/>
        <v>0</v>
      </c>
      <c r="D373" s="505">
        <f t="shared" si="29"/>
        <v>0</v>
      </c>
      <c r="E373" s="505">
        <f t="shared" si="29"/>
        <v>0</v>
      </c>
      <c r="F373" s="505">
        <f t="shared" si="29"/>
        <v>0</v>
      </c>
      <c r="G373" s="505">
        <f t="shared" si="29"/>
        <v>0</v>
      </c>
      <c r="H373" s="58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  <c r="AC373" s="187"/>
      <c r="AD373" s="19"/>
      <c r="AE373" s="19"/>
      <c r="AF373" s="19"/>
      <c r="AG373" s="19"/>
    </row>
    <row r="374" spans="1:33" hidden="1" outlineLevel="3" x14ac:dyDescent="0.2">
      <c r="A374" s="19"/>
      <c r="B374" s="19"/>
      <c r="C374" s="506">
        <f t="shared" si="29"/>
        <v>0</v>
      </c>
      <c r="D374" s="505">
        <f t="shared" si="29"/>
        <v>0</v>
      </c>
      <c r="E374" s="505">
        <f t="shared" si="29"/>
        <v>0</v>
      </c>
      <c r="F374" s="505">
        <f t="shared" si="29"/>
        <v>0</v>
      </c>
      <c r="G374" s="505">
        <f t="shared" si="29"/>
        <v>0</v>
      </c>
      <c r="H374" s="58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  <c r="AC374" s="187"/>
      <c r="AD374" s="19"/>
      <c r="AE374" s="19"/>
      <c r="AF374" s="19"/>
      <c r="AG374" s="19"/>
    </row>
    <row r="375" spans="1:33" hidden="1" outlineLevel="3" x14ac:dyDescent="0.2">
      <c r="A375" s="19"/>
      <c r="B375" s="19"/>
      <c r="C375" s="506">
        <f t="shared" si="29"/>
        <v>0</v>
      </c>
      <c r="D375" s="505">
        <f t="shared" si="29"/>
        <v>0</v>
      </c>
      <c r="E375" s="505">
        <f t="shared" si="29"/>
        <v>0</v>
      </c>
      <c r="F375" s="505">
        <f t="shared" si="29"/>
        <v>0</v>
      </c>
      <c r="G375" s="505">
        <f t="shared" si="29"/>
        <v>0</v>
      </c>
      <c r="H375" s="58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  <c r="AC375" s="187"/>
      <c r="AD375" s="19"/>
      <c r="AE375" s="19"/>
      <c r="AF375" s="19"/>
      <c r="AG375" s="19"/>
    </row>
    <row r="376" spans="1:33" hidden="1" outlineLevel="3" x14ac:dyDescent="0.2">
      <c r="A376" s="19"/>
      <c r="B376" s="19"/>
      <c r="C376" s="506">
        <f t="shared" si="29"/>
        <v>0</v>
      </c>
      <c r="D376" s="505">
        <f t="shared" si="29"/>
        <v>0</v>
      </c>
      <c r="E376" s="505">
        <f t="shared" si="29"/>
        <v>0</v>
      </c>
      <c r="F376" s="505">
        <f t="shared" si="29"/>
        <v>0</v>
      </c>
      <c r="G376" s="505">
        <f t="shared" si="29"/>
        <v>0</v>
      </c>
      <c r="H376" s="58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  <c r="AA376" s="185"/>
      <c r="AB376" s="185"/>
      <c r="AC376" s="187"/>
      <c r="AD376" s="19"/>
      <c r="AE376" s="19"/>
      <c r="AF376" s="19"/>
      <c r="AG376" s="19"/>
    </row>
    <row r="377" spans="1:33" hidden="1" outlineLevel="3" x14ac:dyDescent="0.2">
      <c r="A377" s="19"/>
      <c r="B377" s="19"/>
      <c r="C377" s="506">
        <f t="shared" si="29"/>
        <v>0</v>
      </c>
      <c r="D377" s="505">
        <f t="shared" si="29"/>
        <v>0</v>
      </c>
      <c r="E377" s="505">
        <f t="shared" si="29"/>
        <v>0</v>
      </c>
      <c r="F377" s="505">
        <f t="shared" si="29"/>
        <v>0</v>
      </c>
      <c r="G377" s="505">
        <f t="shared" si="29"/>
        <v>0</v>
      </c>
      <c r="H377" s="58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  <c r="AA377" s="185"/>
      <c r="AB377" s="185"/>
      <c r="AC377" s="187"/>
      <c r="AD377" s="19"/>
      <c r="AE377" s="19"/>
      <c r="AF377" s="19"/>
      <c r="AG377" s="19"/>
    </row>
    <row r="378" spans="1:33" hidden="1" outlineLevel="3" x14ac:dyDescent="0.2">
      <c r="A378" s="19"/>
      <c r="B378" s="19"/>
      <c r="C378" s="506">
        <f t="shared" si="29"/>
        <v>0</v>
      </c>
      <c r="D378" s="505">
        <f t="shared" si="29"/>
        <v>0</v>
      </c>
      <c r="E378" s="505">
        <f t="shared" si="29"/>
        <v>0</v>
      </c>
      <c r="F378" s="505">
        <f t="shared" si="29"/>
        <v>0</v>
      </c>
      <c r="G378" s="505">
        <f t="shared" si="29"/>
        <v>0</v>
      </c>
      <c r="H378" s="58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  <c r="AA378" s="185"/>
      <c r="AB378" s="185"/>
      <c r="AC378" s="187"/>
      <c r="AD378" s="19"/>
      <c r="AE378" s="19"/>
      <c r="AF378" s="19"/>
      <c r="AG378" s="19"/>
    </row>
    <row r="379" spans="1:33" hidden="1" outlineLevel="3" x14ac:dyDescent="0.2">
      <c r="A379" s="19"/>
      <c r="B379" s="19"/>
      <c r="C379" s="506">
        <f t="shared" si="29"/>
        <v>0</v>
      </c>
      <c r="D379" s="505">
        <f t="shared" si="29"/>
        <v>0</v>
      </c>
      <c r="E379" s="505">
        <f t="shared" si="29"/>
        <v>0</v>
      </c>
      <c r="F379" s="505">
        <f t="shared" si="29"/>
        <v>0</v>
      </c>
      <c r="G379" s="505">
        <f t="shared" si="29"/>
        <v>0</v>
      </c>
      <c r="H379" s="58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  <c r="AA379" s="185"/>
      <c r="AB379" s="185"/>
      <c r="AC379" s="187"/>
      <c r="AD379" s="19"/>
      <c r="AE379" s="19"/>
      <c r="AF379" s="19"/>
      <c r="AG379" s="19"/>
    </row>
    <row r="380" spans="1:33" hidden="1" outlineLevel="3" x14ac:dyDescent="0.2">
      <c r="A380" s="19"/>
      <c r="B380" s="19"/>
      <c r="C380" s="506">
        <f t="shared" ref="C380:G389" si="30">C68</f>
        <v>0</v>
      </c>
      <c r="D380" s="505">
        <f t="shared" si="30"/>
        <v>0</v>
      </c>
      <c r="E380" s="505">
        <f t="shared" si="30"/>
        <v>0</v>
      </c>
      <c r="F380" s="505">
        <f t="shared" si="30"/>
        <v>0</v>
      </c>
      <c r="G380" s="505">
        <f t="shared" si="30"/>
        <v>0</v>
      </c>
      <c r="H380" s="58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  <c r="AA380" s="185"/>
      <c r="AB380" s="185"/>
      <c r="AC380" s="187"/>
      <c r="AD380" s="19"/>
      <c r="AE380" s="19"/>
      <c r="AF380" s="19"/>
      <c r="AG380" s="19"/>
    </row>
    <row r="381" spans="1:33" hidden="1" outlineLevel="3" x14ac:dyDescent="0.2">
      <c r="A381" s="19"/>
      <c r="B381" s="19"/>
      <c r="C381" s="506">
        <f t="shared" si="30"/>
        <v>0</v>
      </c>
      <c r="D381" s="505">
        <f t="shared" si="30"/>
        <v>0</v>
      </c>
      <c r="E381" s="505">
        <f t="shared" si="30"/>
        <v>0</v>
      </c>
      <c r="F381" s="505">
        <f t="shared" si="30"/>
        <v>0</v>
      </c>
      <c r="G381" s="505">
        <f t="shared" si="30"/>
        <v>0</v>
      </c>
      <c r="H381" s="58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  <c r="AA381" s="185"/>
      <c r="AB381" s="185"/>
      <c r="AC381" s="187"/>
      <c r="AD381" s="19"/>
      <c r="AE381" s="19"/>
      <c r="AF381" s="19"/>
      <c r="AG381" s="19"/>
    </row>
    <row r="382" spans="1:33" hidden="1" outlineLevel="3" x14ac:dyDescent="0.2">
      <c r="A382" s="19"/>
      <c r="B382" s="19"/>
      <c r="C382" s="506">
        <f t="shared" si="30"/>
        <v>0</v>
      </c>
      <c r="D382" s="505">
        <f t="shared" si="30"/>
        <v>0</v>
      </c>
      <c r="E382" s="505">
        <f t="shared" si="30"/>
        <v>0</v>
      </c>
      <c r="F382" s="505">
        <f t="shared" si="30"/>
        <v>0</v>
      </c>
      <c r="G382" s="505">
        <f t="shared" si="30"/>
        <v>0</v>
      </c>
      <c r="H382" s="58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  <c r="AA382" s="185"/>
      <c r="AB382" s="185"/>
      <c r="AC382" s="187"/>
      <c r="AD382" s="19"/>
      <c r="AE382" s="19"/>
      <c r="AF382" s="19"/>
      <c r="AG382" s="19"/>
    </row>
    <row r="383" spans="1:33" hidden="1" outlineLevel="3" x14ac:dyDescent="0.2">
      <c r="A383" s="19"/>
      <c r="B383" s="19"/>
      <c r="C383" s="506">
        <f t="shared" si="30"/>
        <v>0</v>
      </c>
      <c r="D383" s="505">
        <f t="shared" si="30"/>
        <v>0</v>
      </c>
      <c r="E383" s="505">
        <f t="shared" si="30"/>
        <v>0</v>
      </c>
      <c r="F383" s="505">
        <f t="shared" si="30"/>
        <v>0</v>
      </c>
      <c r="G383" s="505">
        <f t="shared" si="30"/>
        <v>0</v>
      </c>
      <c r="H383" s="58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  <c r="AA383" s="185"/>
      <c r="AB383" s="185"/>
      <c r="AC383" s="187"/>
      <c r="AD383" s="19"/>
      <c r="AE383" s="19"/>
      <c r="AF383" s="19"/>
      <c r="AG383" s="19"/>
    </row>
    <row r="384" spans="1:33" hidden="1" outlineLevel="3" x14ac:dyDescent="0.2">
      <c r="A384" s="19"/>
      <c r="B384" s="19"/>
      <c r="C384" s="506">
        <f t="shared" si="30"/>
        <v>0</v>
      </c>
      <c r="D384" s="505">
        <f t="shared" si="30"/>
        <v>0</v>
      </c>
      <c r="E384" s="505">
        <f t="shared" si="30"/>
        <v>0</v>
      </c>
      <c r="F384" s="505">
        <f t="shared" si="30"/>
        <v>0</v>
      </c>
      <c r="G384" s="505">
        <f t="shared" si="30"/>
        <v>0</v>
      </c>
      <c r="H384" s="58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  <c r="AC384" s="187"/>
      <c r="AD384" s="19"/>
      <c r="AE384" s="19"/>
      <c r="AF384" s="19"/>
      <c r="AG384" s="19"/>
    </row>
    <row r="385" spans="1:33" hidden="1" outlineLevel="3" x14ac:dyDescent="0.2">
      <c r="A385" s="19"/>
      <c r="B385" s="19"/>
      <c r="C385" s="506">
        <f t="shared" si="30"/>
        <v>0</v>
      </c>
      <c r="D385" s="505">
        <f t="shared" si="30"/>
        <v>0</v>
      </c>
      <c r="E385" s="505">
        <f t="shared" si="30"/>
        <v>0</v>
      </c>
      <c r="F385" s="505">
        <f t="shared" si="30"/>
        <v>0</v>
      </c>
      <c r="G385" s="505">
        <f t="shared" si="30"/>
        <v>0</v>
      </c>
      <c r="H385" s="58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  <c r="AC385" s="187"/>
      <c r="AD385" s="19"/>
      <c r="AE385" s="19"/>
      <c r="AF385" s="19"/>
      <c r="AG385" s="19"/>
    </row>
    <row r="386" spans="1:33" hidden="1" outlineLevel="3" x14ac:dyDescent="0.2">
      <c r="A386" s="19"/>
      <c r="B386" s="19"/>
      <c r="C386" s="506">
        <f t="shared" si="30"/>
        <v>0</v>
      </c>
      <c r="D386" s="505">
        <f t="shared" si="30"/>
        <v>0</v>
      </c>
      <c r="E386" s="505">
        <f t="shared" si="30"/>
        <v>0</v>
      </c>
      <c r="F386" s="505">
        <f t="shared" si="30"/>
        <v>0</v>
      </c>
      <c r="G386" s="505">
        <f t="shared" si="30"/>
        <v>0</v>
      </c>
      <c r="H386" s="58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  <c r="AC386" s="187"/>
      <c r="AD386" s="19"/>
      <c r="AE386" s="19"/>
      <c r="AF386" s="19"/>
      <c r="AG386" s="19"/>
    </row>
    <row r="387" spans="1:33" hidden="1" outlineLevel="3" x14ac:dyDescent="0.2">
      <c r="A387" s="19"/>
      <c r="B387" s="19"/>
      <c r="C387" s="506">
        <f t="shared" si="30"/>
        <v>0</v>
      </c>
      <c r="D387" s="505">
        <f t="shared" si="30"/>
        <v>0</v>
      </c>
      <c r="E387" s="505">
        <f t="shared" si="30"/>
        <v>0</v>
      </c>
      <c r="F387" s="505">
        <f t="shared" si="30"/>
        <v>0</v>
      </c>
      <c r="G387" s="505">
        <f t="shared" si="30"/>
        <v>0</v>
      </c>
      <c r="H387" s="58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  <c r="AA387" s="185"/>
      <c r="AB387" s="185"/>
      <c r="AC387" s="187"/>
      <c r="AD387" s="19"/>
      <c r="AE387" s="19"/>
      <c r="AF387" s="19"/>
      <c r="AG387" s="19"/>
    </row>
    <row r="388" spans="1:33" hidden="1" outlineLevel="3" x14ac:dyDescent="0.2">
      <c r="A388" s="19"/>
      <c r="B388" s="19"/>
      <c r="C388" s="506">
        <f t="shared" si="30"/>
        <v>0</v>
      </c>
      <c r="D388" s="505">
        <f t="shared" si="30"/>
        <v>0</v>
      </c>
      <c r="E388" s="505">
        <f t="shared" si="30"/>
        <v>0</v>
      </c>
      <c r="F388" s="505">
        <f t="shared" si="30"/>
        <v>0</v>
      </c>
      <c r="G388" s="505">
        <f t="shared" si="30"/>
        <v>0</v>
      </c>
      <c r="H388" s="58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5"/>
      <c r="Z388" s="185"/>
      <c r="AA388" s="185"/>
      <c r="AB388" s="185"/>
      <c r="AC388" s="187"/>
      <c r="AD388" s="19"/>
      <c r="AE388" s="19"/>
      <c r="AF388" s="19"/>
      <c r="AG388" s="19"/>
    </row>
    <row r="389" spans="1:33" hidden="1" outlineLevel="3" x14ac:dyDescent="0.2">
      <c r="A389" s="19"/>
      <c r="B389" s="19"/>
      <c r="C389" s="506">
        <f t="shared" si="30"/>
        <v>0</v>
      </c>
      <c r="D389" s="505">
        <f t="shared" si="30"/>
        <v>0</v>
      </c>
      <c r="E389" s="505">
        <f t="shared" si="30"/>
        <v>0</v>
      </c>
      <c r="F389" s="505">
        <f t="shared" si="30"/>
        <v>0</v>
      </c>
      <c r="G389" s="505">
        <f t="shared" si="30"/>
        <v>0</v>
      </c>
      <c r="H389" s="58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  <c r="AA389" s="185"/>
      <c r="AB389" s="185"/>
      <c r="AC389" s="187"/>
      <c r="AD389" s="19"/>
      <c r="AE389" s="19"/>
      <c r="AF389" s="19"/>
      <c r="AG389" s="19"/>
    </row>
    <row r="390" spans="1:33" hidden="1" outlineLevel="3" x14ac:dyDescent="0.2">
      <c r="A390" s="19"/>
      <c r="B390" s="19"/>
      <c r="C390" s="506">
        <f t="shared" ref="C390:G394" si="31">C78</f>
        <v>0</v>
      </c>
      <c r="D390" s="505">
        <f t="shared" si="31"/>
        <v>0</v>
      </c>
      <c r="E390" s="505">
        <f t="shared" si="31"/>
        <v>0</v>
      </c>
      <c r="F390" s="505">
        <f t="shared" si="31"/>
        <v>0</v>
      </c>
      <c r="G390" s="505">
        <f t="shared" si="31"/>
        <v>0</v>
      </c>
      <c r="H390" s="58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  <c r="AA390" s="185"/>
      <c r="AB390" s="185"/>
      <c r="AC390" s="187"/>
      <c r="AD390" s="19"/>
      <c r="AE390" s="19"/>
      <c r="AF390" s="19"/>
      <c r="AG390" s="19"/>
    </row>
    <row r="391" spans="1:33" hidden="1" outlineLevel="3" x14ac:dyDescent="0.2">
      <c r="A391" s="19"/>
      <c r="B391" s="19"/>
      <c r="C391" s="506">
        <f t="shared" si="31"/>
        <v>0</v>
      </c>
      <c r="D391" s="505">
        <f t="shared" si="31"/>
        <v>0</v>
      </c>
      <c r="E391" s="505">
        <f t="shared" si="31"/>
        <v>0</v>
      </c>
      <c r="F391" s="505">
        <f t="shared" si="31"/>
        <v>0</v>
      </c>
      <c r="G391" s="505">
        <f t="shared" si="31"/>
        <v>0</v>
      </c>
      <c r="H391" s="58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  <c r="AA391" s="185"/>
      <c r="AB391" s="185"/>
      <c r="AC391" s="187"/>
      <c r="AD391" s="19"/>
      <c r="AE391" s="19"/>
      <c r="AF391" s="19"/>
      <c r="AG391" s="19"/>
    </row>
    <row r="392" spans="1:33" hidden="1" outlineLevel="3" x14ac:dyDescent="0.2">
      <c r="A392" s="19"/>
      <c r="B392" s="19"/>
      <c r="C392" s="506">
        <f t="shared" si="31"/>
        <v>0</v>
      </c>
      <c r="D392" s="505">
        <f t="shared" si="31"/>
        <v>0</v>
      </c>
      <c r="E392" s="505">
        <f t="shared" si="31"/>
        <v>0</v>
      </c>
      <c r="F392" s="505">
        <f t="shared" si="31"/>
        <v>0</v>
      </c>
      <c r="G392" s="505">
        <f t="shared" si="31"/>
        <v>0</v>
      </c>
      <c r="H392" s="58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  <c r="AA392" s="185"/>
      <c r="AB392" s="185"/>
      <c r="AC392" s="187"/>
      <c r="AD392" s="19"/>
      <c r="AE392" s="19"/>
      <c r="AF392" s="19"/>
      <c r="AG392" s="19"/>
    </row>
    <row r="393" spans="1:33" hidden="1" outlineLevel="3" x14ac:dyDescent="0.2">
      <c r="A393" s="19"/>
      <c r="B393" s="19"/>
      <c r="C393" s="506">
        <f t="shared" si="31"/>
        <v>0</v>
      </c>
      <c r="D393" s="505">
        <f t="shared" si="31"/>
        <v>0</v>
      </c>
      <c r="E393" s="505">
        <f t="shared" si="31"/>
        <v>0</v>
      </c>
      <c r="F393" s="505">
        <f t="shared" si="31"/>
        <v>0</v>
      </c>
      <c r="G393" s="505">
        <f t="shared" si="31"/>
        <v>0</v>
      </c>
      <c r="H393" s="58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  <c r="V393" s="185"/>
      <c r="W393" s="185"/>
      <c r="X393" s="185"/>
      <c r="Y393" s="185"/>
      <c r="Z393" s="185"/>
      <c r="AA393" s="185"/>
      <c r="AB393" s="185"/>
      <c r="AC393" s="187"/>
      <c r="AD393" s="19"/>
      <c r="AE393" s="19"/>
      <c r="AF393" s="19"/>
      <c r="AG393" s="19"/>
    </row>
    <row r="394" spans="1:33" hidden="1" outlineLevel="3" x14ac:dyDescent="0.2">
      <c r="A394" s="19"/>
      <c r="B394" s="19"/>
      <c r="C394" s="506">
        <f t="shared" si="31"/>
        <v>0</v>
      </c>
      <c r="D394" s="505">
        <f t="shared" si="31"/>
        <v>0</v>
      </c>
      <c r="E394" s="505">
        <f t="shared" si="31"/>
        <v>0</v>
      </c>
      <c r="F394" s="505">
        <f t="shared" si="31"/>
        <v>0</v>
      </c>
      <c r="G394" s="505">
        <f t="shared" si="31"/>
        <v>0</v>
      </c>
      <c r="H394" s="58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  <c r="AA394" s="185"/>
      <c r="AB394" s="185"/>
      <c r="AC394" s="187"/>
      <c r="AD394" s="19"/>
      <c r="AE394" s="19"/>
      <c r="AF394" s="19"/>
      <c r="AG394" s="19"/>
    </row>
    <row r="395" spans="1:33" outlineLevel="2" collapsed="1" x14ac:dyDescent="0.2">
      <c r="A395" s="19"/>
      <c r="B395" s="19"/>
      <c r="C395" s="66"/>
      <c r="D395" s="58"/>
      <c r="E395" s="58"/>
      <c r="F395" s="58"/>
      <c r="G395" s="58"/>
      <c r="H395" s="58"/>
      <c r="I395" s="186"/>
      <c r="J395" s="186"/>
      <c r="K395" s="187"/>
      <c r="L395" s="187"/>
      <c r="M395" s="187"/>
      <c r="N395" s="188"/>
      <c r="O395" s="188"/>
      <c r="P395" s="188"/>
      <c r="Q395" s="188"/>
      <c r="R395" s="188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9"/>
      <c r="AE395" s="19"/>
      <c r="AF395" s="19"/>
      <c r="AG395" s="19"/>
    </row>
    <row r="396" spans="1:33" outlineLevel="1" x14ac:dyDescent="0.2">
      <c r="A396" s="19"/>
      <c r="B396" s="19"/>
      <c r="C396" s="66"/>
      <c r="D396" s="58"/>
      <c r="E396" s="58"/>
      <c r="F396" s="58"/>
      <c r="G396" s="58"/>
      <c r="H396" s="58"/>
      <c r="I396" s="58"/>
      <c r="J396" s="58"/>
      <c r="K396" s="20"/>
      <c r="L396" s="20"/>
      <c r="M396" s="20"/>
      <c r="N396" s="37"/>
      <c r="O396" s="37"/>
      <c r="P396" s="37"/>
      <c r="Q396" s="37"/>
      <c r="R396" s="37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</row>
    <row r="397" spans="1:33" x14ac:dyDescent="0.2">
      <c r="A397" s="19"/>
      <c r="B397" s="19"/>
      <c r="C397" s="36"/>
      <c r="D397" s="20"/>
      <c r="E397" s="20"/>
      <c r="F397" s="20"/>
      <c r="G397" s="22"/>
      <c r="H397" s="22"/>
      <c r="I397" s="22"/>
      <c r="J397" s="20"/>
      <c r="K397" s="20"/>
      <c r="L397" s="20"/>
      <c r="M397" s="20"/>
      <c r="N397" s="37"/>
      <c r="O397" s="37"/>
      <c r="P397" s="37"/>
      <c r="Q397" s="37"/>
      <c r="R397" s="37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</row>
    <row r="398" spans="1:33" ht="12.75" x14ac:dyDescent="0.2">
      <c r="A398" s="11"/>
      <c r="B398" s="12" t="s">
        <v>687</v>
      </c>
      <c r="C398" s="11"/>
      <c r="D398" s="32" t="str">
        <f>D5</f>
        <v>Tariff class</v>
      </c>
      <c r="E398" s="32" t="str">
        <f>tariffid1</f>
        <v>Code</v>
      </c>
      <c r="F398" s="32" t="str">
        <f>tariffid2</f>
        <v>Trans. Node</v>
      </c>
      <c r="G398" s="32" t="str">
        <f>tariffid3</f>
        <v>Other identifier</v>
      </c>
      <c r="H398" s="32"/>
      <c r="I398" s="183" t="str">
        <f t="shared" ref="I398:AB398" si="32">I5</f>
        <v>Service</v>
      </c>
      <c r="J398" s="183" t="str">
        <f t="shared" si="32"/>
        <v>All energy</v>
      </c>
      <c r="K398" s="183" t="str">
        <f t="shared" si="32"/>
        <v>Peak energy</v>
      </c>
      <c r="L398" s="183" t="str">
        <f t="shared" si="32"/>
        <v>Shoulder energy</v>
      </c>
      <c r="M398" s="183" t="str">
        <f t="shared" si="32"/>
        <v>Off-peak energy</v>
      </c>
      <c r="N398" s="183" t="str">
        <f t="shared" si="32"/>
        <v>All demand</v>
      </c>
      <c r="O398" s="183" t="str">
        <f t="shared" si="32"/>
        <v>Peak demand</v>
      </c>
      <c r="P398" s="183" t="str">
        <f t="shared" si="32"/>
        <v>Off-peak demand</v>
      </c>
      <c r="Q398" s="183" t="str">
        <f t="shared" si="32"/>
        <v>Specified demand</v>
      </c>
      <c r="R398" s="183" t="str">
        <f t="shared" si="32"/>
        <v>Excess daily demand</v>
      </c>
      <c r="S398" s="183" t="str">
        <f t="shared" si="32"/>
        <v>Daily demand connection</v>
      </c>
      <c r="T398" s="183" t="str">
        <f t="shared" si="32"/>
        <v>Excess daily demand connection</v>
      </c>
      <c r="U398" s="183" t="str">
        <f t="shared" si="32"/>
        <v>All demand (lamps)</v>
      </c>
      <c r="V398" s="183">
        <f t="shared" si="32"/>
        <v>0</v>
      </c>
      <c r="W398" s="183">
        <f t="shared" si="32"/>
        <v>0</v>
      </c>
      <c r="X398" s="183">
        <f t="shared" si="32"/>
        <v>0</v>
      </c>
      <c r="Y398" s="183">
        <f t="shared" si="32"/>
        <v>0</v>
      </c>
      <c r="Z398" s="183">
        <f t="shared" si="32"/>
        <v>0</v>
      </c>
      <c r="AA398" s="183">
        <f t="shared" si="32"/>
        <v>0</v>
      </c>
      <c r="AB398" s="183">
        <f t="shared" si="32"/>
        <v>0</v>
      </c>
      <c r="AC398" s="32"/>
      <c r="AD398" s="15"/>
      <c r="AE398" s="15"/>
      <c r="AF398" s="15"/>
      <c r="AG398" s="15"/>
    </row>
    <row r="399" spans="1:33" outlineLevel="1" x14ac:dyDescent="0.2">
      <c r="A399" s="19"/>
      <c r="B399" s="19"/>
      <c r="C399" s="36"/>
      <c r="D399" s="20"/>
      <c r="E399" s="20"/>
      <c r="F399" s="20"/>
      <c r="G399" s="22"/>
      <c r="H399" s="22"/>
      <c r="I399" s="170" t="str">
        <f t="shared" ref="I399:AB399" si="33">I6</f>
        <v>cents/day</v>
      </c>
      <c r="J399" s="170" t="str">
        <f t="shared" si="33"/>
        <v>cents/kWh</v>
      </c>
      <c r="K399" s="170" t="str">
        <f t="shared" si="33"/>
        <v>cents/kWh</v>
      </c>
      <c r="L399" s="170" t="str">
        <f t="shared" si="33"/>
        <v>cents/kWh</v>
      </c>
      <c r="M399" s="170" t="str">
        <f t="shared" si="33"/>
        <v>cents/kWh</v>
      </c>
      <c r="N399" s="170" t="str">
        <f t="shared" si="33"/>
        <v>cents/kVA</v>
      </c>
      <c r="O399" s="170" t="str">
        <f t="shared" si="33"/>
        <v>cents/kVA</v>
      </c>
      <c r="P399" s="170" t="str">
        <f t="shared" si="33"/>
        <v>cents/kVA</v>
      </c>
      <c r="Q399" s="170" t="str">
        <f t="shared" si="33"/>
        <v>cents/kVA</v>
      </c>
      <c r="R399" s="170" t="str">
        <f t="shared" si="33"/>
        <v>cents/kVA</v>
      </c>
      <c r="S399" s="170" t="str">
        <f t="shared" si="33"/>
        <v>cents/kVA</v>
      </c>
      <c r="T399" s="170" t="str">
        <f t="shared" si="33"/>
        <v>cents/kVA</v>
      </c>
      <c r="U399" s="170" t="str">
        <f t="shared" si="33"/>
        <v>cents/LmpWtts/day</v>
      </c>
      <c r="V399" s="170">
        <f t="shared" si="33"/>
        <v>0</v>
      </c>
      <c r="W399" s="170">
        <f t="shared" si="33"/>
        <v>0</v>
      </c>
      <c r="X399" s="170">
        <f t="shared" si="33"/>
        <v>0</v>
      </c>
      <c r="Y399" s="170">
        <f t="shared" si="33"/>
        <v>0</v>
      </c>
      <c r="Z399" s="170">
        <f t="shared" si="33"/>
        <v>0</v>
      </c>
      <c r="AA399" s="170">
        <f t="shared" si="33"/>
        <v>0</v>
      </c>
      <c r="AB399" s="170">
        <f t="shared" si="33"/>
        <v>0</v>
      </c>
      <c r="AC399" s="22"/>
      <c r="AD399" s="19"/>
      <c r="AE399" s="19"/>
      <c r="AF399" s="19"/>
      <c r="AG399" s="19"/>
    </row>
    <row r="400" spans="1:33" outlineLevel="1" x14ac:dyDescent="0.2">
      <c r="A400" s="19"/>
      <c r="B400" s="19"/>
      <c r="C400" s="167" t="str">
        <f>C7</f>
        <v>2019–20</v>
      </c>
      <c r="D400" s="20"/>
      <c r="E400" s="20"/>
      <c r="F400" s="20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19"/>
      <c r="AE400" s="19"/>
      <c r="AF400" s="19"/>
      <c r="AG400" s="19"/>
    </row>
    <row r="401" spans="1:33" s="612" customFormat="1" hidden="1" outlineLevel="2" x14ac:dyDescent="0.2">
      <c r="A401" s="606"/>
      <c r="B401" s="606"/>
      <c r="C401" s="607"/>
      <c r="D401" s="608"/>
      <c r="E401" s="608"/>
      <c r="F401" s="608"/>
      <c r="G401" s="608"/>
      <c r="H401" s="609"/>
      <c r="I401" s="660"/>
      <c r="J401" s="660"/>
      <c r="K401" s="660"/>
      <c r="L401" s="660"/>
      <c r="M401" s="660"/>
      <c r="N401" s="660"/>
      <c r="O401" s="660"/>
      <c r="P401" s="660"/>
      <c r="Q401" s="660"/>
      <c r="R401" s="660"/>
      <c r="S401" s="660"/>
      <c r="T401" s="660"/>
      <c r="U401" s="660"/>
      <c r="V401" s="660"/>
      <c r="W401" s="660"/>
      <c r="X401" s="660"/>
      <c r="Y401" s="660"/>
      <c r="Z401" s="660"/>
      <c r="AA401" s="660"/>
      <c r="AB401" s="660"/>
      <c r="AC401" s="661"/>
      <c r="AD401" s="606"/>
      <c r="AE401" s="606"/>
      <c r="AF401" s="606"/>
      <c r="AG401" s="606"/>
    </row>
    <row r="402" spans="1:33" s="612" customFormat="1" hidden="1" outlineLevel="2" x14ac:dyDescent="0.2">
      <c r="A402" s="606"/>
      <c r="B402" s="606"/>
      <c r="C402" s="607"/>
      <c r="D402" s="608"/>
      <c r="E402" s="608"/>
      <c r="F402" s="608"/>
      <c r="G402" s="608"/>
      <c r="H402" s="609"/>
      <c r="I402" s="660"/>
      <c r="J402" s="660"/>
      <c r="K402" s="660"/>
      <c r="L402" s="660"/>
      <c r="M402" s="660"/>
      <c r="N402" s="660"/>
      <c r="O402" s="660"/>
      <c r="P402" s="660"/>
      <c r="Q402" s="660"/>
      <c r="R402" s="660"/>
      <c r="S402" s="660"/>
      <c r="T402" s="660"/>
      <c r="U402" s="660"/>
      <c r="V402" s="660"/>
      <c r="W402" s="660"/>
      <c r="X402" s="660"/>
      <c r="Y402" s="660"/>
      <c r="Z402" s="660"/>
      <c r="AA402" s="660"/>
      <c r="AB402" s="660"/>
      <c r="AC402" s="661"/>
      <c r="AD402" s="606"/>
      <c r="AE402" s="606"/>
      <c r="AF402" s="606"/>
      <c r="AG402" s="606"/>
    </row>
    <row r="403" spans="1:33" s="612" customFormat="1" hidden="1" outlineLevel="2" x14ac:dyDescent="0.2">
      <c r="A403" s="606"/>
      <c r="B403" s="606"/>
      <c r="C403" s="607"/>
      <c r="D403" s="608"/>
      <c r="E403" s="608"/>
      <c r="F403" s="608"/>
      <c r="G403" s="608"/>
      <c r="H403" s="609"/>
      <c r="I403" s="660"/>
      <c r="J403" s="660"/>
      <c r="K403" s="660"/>
      <c r="L403" s="660"/>
      <c r="M403" s="660"/>
      <c r="N403" s="660"/>
      <c r="O403" s="660"/>
      <c r="P403" s="660"/>
      <c r="Q403" s="660"/>
      <c r="R403" s="660"/>
      <c r="S403" s="660"/>
      <c r="T403" s="660"/>
      <c r="U403" s="660"/>
      <c r="V403" s="660"/>
      <c r="W403" s="660"/>
      <c r="X403" s="660"/>
      <c r="Y403" s="660"/>
      <c r="Z403" s="660"/>
      <c r="AA403" s="660"/>
      <c r="AB403" s="660"/>
      <c r="AC403" s="661"/>
      <c r="AD403" s="606"/>
      <c r="AE403" s="606"/>
      <c r="AF403" s="606"/>
      <c r="AG403" s="606"/>
    </row>
    <row r="404" spans="1:33" s="612" customFormat="1" hidden="1" outlineLevel="2" x14ac:dyDescent="0.2">
      <c r="A404" s="606"/>
      <c r="B404" s="606"/>
      <c r="C404" s="607"/>
      <c r="D404" s="608"/>
      <c r="E404" s="608"/>
      <c r="F404" s="608"/>
      <c r="G404" s="608"/>
      <c r="H404" s="609"/>
      <c r="I404" s="660"/>
      <c r="J404" s="660"/>
      <c r="K404" s="660"/>
      <c r="L404" s="660"/>
      <c r="M404" s="660"/>
      <c r="N404" s="660"/>
      <c r="O404" s="660"/>
      <c r="P404" s="660"/>
      <c r="Q404" s="660"/>
      <c r="R404" s="660"/>
      <c r="S404" s="660"/>
      <c r="T404" s="660"/>
      <c r="U404" s="660"/>
      <c r="V404" s="660"/>
      <c r="W404" s="660"/>
      <c r="X404" s="660"/>
      <c r="Y404" s="660"/>
      <c r="Z404" s="660"/>
      <c r="AA404" s="660"/>
      <c r="AB404" s="660"/>
      <c r="AC404" s="661"/>
      <c r="AD404" s="606"/>
      <c r="AE404" s="606"/>
      <c r="AF404" s="606"/>
      <c r="AG404" s="606"/>
    </row>
    <row r="405" spans="1:33" s="612" customFormat="1" hidden="1" outlineLevel="2" x14ac:dyDescent="0.2">
      <c r="A405" s="606"/>
      <c r="B405" s="606"/>
      <c r="C405" s="607"/>
      <c r="D405" s="608"/>
      <c r="E405" s="608"/>
      <c r="F405" s="608"/>
      <c r="G405" s="608"/>
      <c r="H405" s="609"/>
      <c r="I405" s="660"/>
      <c r="J405" s="660"/>
      <c r="K405" s="660"/>
      <c r="L405" s="660"/>
      <c r="M405" s="660"/>
      <c r="N405" s="660"/>
      <c r="O405" s="660"/>
      <c r="P405" s="660"/>
      <c r="Q405" s="660"/>
      <c r="R405" s="660"/>
      <c r="S405" s="660"/>
      <c r="T405" s="660"/>
      <c r="U405" s="660"/>
      <c r="V405" s="660"/>
      <c r="W405" s="660"/>
      <c r="X405" s="660"/>
      <c r="Y405" s="660"/>
      <c r="Z405" s="660"/>
      <c r="AA405" s="660"/>
      <c r="AB405" s="660"/>
      <c r="AC405" s="661"/>
      <c r="AD405" s="606"/>
      <c r="AE405" s="606"/>
      <c r="AF405" s="606"/>
      <c r="AG405" s="606"/>
    </row>
    <row r="406" spans="1:33" s="612" customFormat="1" hidden="1" outlineLevel="2" x14ac:dyDescent="0.2">
      <c r="A406" s="606"/>
      <c r="B406" s="606"/>
      <c r="C406" s="607"/>
      <c r="D406" s="608"/>
      <c r="E406" s="608"/>
      <c r="F406" s="608"/>
      <c r="G406" s="608"/>
      <c r="H406" s="609"/>
      <c r="I406" s="660"/>
      <c r="J406" s="660"/>
      <c r="K406" s="660"/>
      <c r="L406" s="660"/>
      <c r="M406" s="660"/>
      <c r="N406" s="660"/>
      <c r="O406" s="660"/>
      <c r="P406" s="660"/>
      <c r="Q406" s="660"/>
      <c r="R406" s="660"/>
      <c r="S406" s="660"/>
      <c r="T406" s="660"/>
      <c r="U406" s="660"/>
      <c r="V406" s="660"/>
      <c r="W406" s="660"/>
      <c r="X406" s="660"/>
      <c r="Y406" s="660"/>
      <c r="Z406" s="660"/>
      <c r="AA406" s="660"/>
      <c r="AB406" s="660"/>
      <c r="AC406" s="661"/>
      <c r="AD406" s="606"/>
      <c r="AE406" s="606"/>
      <c r="AF406" s="606"/>
      <c r="AG406" s="606"/>
    </row>
    <row r="407" spans="1:33" s="612" customFormat="1" hidden="1" outlineLevel="2" x14ac:dyDescent="0.2">
      <c r="A407" s="606"/>
      <c r="B407" s="606"/>
      <c r="C407" s="607"/>
      <c r="D407" s="608"/>
      <c r="E407" s="608"/>
      <c r="F407" s="608"/>
      <c r="G407" s="608"/>
      <c r="H407" s="609"/>
      <c r="I407" s="660"/>
      <c r="J407" s="660"/>
      <c r="K407" s="660"/>
      <c r="L407" s="660"/>
      <c r="M407" s="660"/>
      <c r="N407" s="660"/>
      <c r="O407" s="660"/>
      <c r="P407" s="660"/>
      <c r="Q407" s="660"/>
      <c r="R407" s="660"/>
      <c r="S407" s="660"/>
      <c r="T407" s="660"/>
      <c r="U407" s="660"/>
      <c r="V407" s="660"/>
      <c r="W407" s="660"/>
      <c r="X407" s="660"/>
      <c r="Y407" s="660"/>
      <c r="Z407" s="660"/>
      <c r="AA407" s="660"/>
      <c r="AB407" s="660"/>
      <c r="AC407" s="661"/>
      <c r="AD407" s="606"/>
      <c r="AE407" s="606"/>
      <c r="AF407" s="606"/>
      <c r="AG407" s="606"/>
    </row>
    <row r="408" spans="1:33" s="612" customFormat="1" hidden="1" outlineLevel="2" x14ac:dyDescent="0.2">
      <c r="A408" s="606"/>
      <c r="B408" s="606"/>
      <c r="C408" s="607"/>
      <c r="D408" s="608"/>
      <c r="E408" s="608"/>
      <c r="F408" s="608"/>
      <c r="G408" s="608"/>
      <c r="H408" s="609"/>
      <c r="I408" s="660"/>
      <c r="J408" s="660"/>
      <c r="K408" s="660"/>
      <c r="L408" s="660"/>
      <c r="M408" s="660"/>
      <c r="N408" s="660"/>
      <c r="O408" s="660"/>
      <c r="P408" s="660"/>
      <c r="Q408" s="660"/>
      <c r="R408" s="660"/>
      <c r="S408" s="660"/>
      <c r="T408" s="660"/>
      <c r="U408" s="660"/>
      <c r="V408" s="660"/>
      <c r="W408" s="660"/>
      <c r="X408" s="660"/>
      <c r="Y408" s="660"/>
      <c r="Z408" s="660"/>
      <c r="AA408" s="660"/>
      <c r="AB408" s="660"/>
      <c r="AC408" s="661"/>
      <c r="AD408" s="606"/>
      <c r="AE408" s="606"/>
      <c r="AF408" s="606"/>
      <c r="AG408" s="606"/>
    </row>
    <row r="409" spans="1:33" s="612" customFormat="1" hidden="1" outlineLevel="2" x14ac:dyDescent="0.2">
      <c r="A409" s="606"/>
      <c r="B409" s="606"/>
      <c r="C409" s="607"/>
      <c r="D409" s="608"/>
      <c r="E409" s="608"/>
      <c r="F409" s="608"/>
      <c r="G409" s="608"/>
      <c r="H409" s="609"/>
      <c r="I409" s="660"/>
      <c r="J409" s="660"/>
      <c r="K409" s="660"/>
      <c r="L409" s="660"/>
      <c r="M409" s="660"/>
      <c r="N409" s="660"/>
      <c r="O409" s="660"/>
      <c r="P409" s="660"/>
      <c r="Q409" s="660"/>
      <c r="R409" s="660"/>
      <c r="S409" s="660"/>
      <c r="T409" s="660"/>
      <c r="U409" s="660"/>
      <c r="V409" s="660"/>
      <c r="W409" s="660"/>
      <c r="X409" s="660"/>
      <c r="Y409" s="660"/>
      <c r="Z409" s="660"/>
      <c r="AA409" s="660"/>
      <c r="AB409" s="660"/>
      <c r="AC409" s="661"/>
      <c r="AD409" s="606"/>
      <c r="AE409" s="606"/>
      <c r="AF409" s="606"/>
      <c r="AG409" s="606"/>
    </row>
    <row r="410" spans="1:33" s="612" customFormat="1" hidden="1" outlineLevel="2" x14ac:dyDescent="0.2">
      <c r="A410" s="606"/>
      <c r="B410" s="606"/>
      <c r="C410" s="607"/>
      <c r="D410" s="608"/>
      <c r="E410" s="608"/>
      <c r="F410" s="608"/>
      <c r="G410" s="608"/>
      <c r="H410" s="609"/>
      <c r="I410" s="660"/>
      <c r="J410" s="660"/>
      <c r="K410" s="660"/>
      <c r="L410" s="660"/>
      <c r="M410" s="660"/>
      <c r="N410" s="660"/>
      <c r="O410" s="660"/>
      <c r="P410" s="660"/>
      <c r="Q410" s="660"/>
      <c r="R410" s="660"/>
      <c r="S410" s="660"/>
      <c r="T410" s="660"/>
      <c r="U410" s="660"/>
      <c r="V410" s="660"/>
      <c r="W410" s="660"/>
      <c r="X410" s="660"/>
      <c r="Y410" s="660"/>
      <c r="Z410" s="660"/>
      <c r="AA410" s="660"/>
      <c r="AB410" s="660"/>
      <c r="AC410" s="661"/>
      <c r="AD410" s="606"/>
      <c r="AE410" s="606"/>
      <c r="AF410" s="606"/>
      <c r="AG410" s="606"/>
    </row>
    <row r="411" spans="1:33" s="612" customFormat="1" hidden="1" outlineLevel="2" x14ac:dyDescent="0.2">
      <c r="A411" s="606"/>
      <c r="B411" s="606"/>
      <c r="C411" s="607"/>
      <c r="D411" s="608"/>
      <c r="E411" s="608"/>
      <c r="F411" s="608"/>
      <c r="G411" s="608"/>
      <c r="H411" s="609"/>
      <c r="I411" s="660"/>
      <c r="J411" s="660"/>
      <c r="K411" s="660"/>
      <c r="L411" s="660"/>
      <c r="M411" s="660"/>
      <c r="N411" s="660"/>
      <c r="O411" s="660"/>
      <c r="P411" s="660"/>
      <c r="Q411" s="660"/>
      <c r="R411" s="660"/>
      <c r="S411" s="660"/>
      <c r="T411" s="660"/>
      <c r="U411" s="660"/>
      <c r="V411" s="660"/>
      <c r="W411" s="660"/>
      <c r="X411" s="660"/>
      <c r="Y411" s="660"/>
      <c r="Z411" s="660"/>
      <c r="AA411" s="660"/>
      <c r="AB411" s="660"/>
      <c r="AC411" s="661"/>
      <c r="AD411" s="606"/>
      <c r="AE411" s="606"/>
      <c r="AF411" s="606"/>
      <c r="AG411" s="606"/>
    </row>
    <row r="412" spans="1:33" s="612" customFormat="1" hidden="1" outlineLevel="2" x14ac:dyDescent="0.2">
      <c r="A412" s="606"/>
      <c r="B412" s="606"/>
      <c r="C412" s="607"/>
      <c r="D412" s="608"/>
      <c r="E412" s="608"/>
      <c r="F412" s="608"/>
      <c r="G412" s="608"/>
      <c r="H412" s="609"/>
      <c r="I412" s="660"/>
      <c r="J412" s="660"/>
      <c r="K412" s="660"/>
      <c r="L412" s="660"/>
      <c r="M412" s="660"/>
      <c r="N412" s="660"/>
      <c r="O412" s="660"/>
      <c r="P412" s="660"/>
      <c r="Q412" s="660"/>
      <c r="R412" s="660"/>
      <c r="S412" s="660"/>
      <c r="T412" s="660"/>
      <c r="U412" s="660"/>
      <c r="V412" s="660"/>
      <c r="W412" s="660"/>
      <c r="X412" s="660"/>
      <c r="Y412" s="660"/>
      <c r="Z412" s="660"/>
      <c r="AA412" s="660"/>
      <c r="AB412" s="660"/>
      <c r="AC412" s="661"/>
      <c r="AD412" s="606"/>
      <c r="AE412" s="606"/>
      <c r="AF412" s="606"/>
      <c r="AG412" s="606"/>
    </row>
    <row r="413" spans="1:33" s="612" customFormat="1" hidden="1" outlineLevel="2" x14ac:dyDescent="0.2">
      <c r="A413" s="606"/>
      <c r="B413" s="606"/>
      <c r="C413" s="607"/>
      <c r="D413" s="608"/>
      <c r="E413" s="608"/>
      <c r="F413" s="608"/>
      <c r="G413" s="608"/>
      <c r="H413" s="609"/>
      <c r="I413" s="660"/>
      <c r="J413" s="660"/>
      <c r="K413" s="660"/>
      <c r="L413" s="660"/>
      <c r="M413" s="660"/>
      <c r="N413" s="660"/>
      <c r="O413" s="660"/>
      <c r="P413" s="660"/>
      <c r="Q413" s="660"/>
      <c r="R413" s="660"/>
      <c r="S413" s="660"/>
      <c r="T413" s="660"/>
      <c r="U413" s="660"/>
      <c r="V413" s="660"/>
      <c r="W413" s="660"/>
      <c r="X413" s="660"/>
      <c r="Y413" s="660"/>
      <c r="Z413" s="660"/>
      <c r="AA413" s="660"/>
      <c r="AB413" s="660"/>
      <c r="AC413" s="661"/>
      <c r="AD413" s="606"/>
      <c r="AE413" s="606"/>
      <c r="AF413" s="606"/>
      <c r="AG413" s="606"/>
    </row>
    <row r="414" spans="1:33" s="612" customFormat="1" hidden="1" outlineLevel="2" x14ac:dyDescent="0.2">
      <c r="A414" s="606"/>
      <c r="B414" s="606"/>
      <c r="C414" s="607"/>
      <c r="D414" s="608"/>
      <c r="E414" s="608"/>
      <c r="F414" s="608"/>
      <c r="G414" s="608"/>
      <c r="H414" s="609"/>
      <c r="I414" s="660"/>
      <c r="J414" s="660"/>
      <c r="K414" s="660"/>
      <c r="L414" s="660"/>
      <c r="M414" s="660"/>
      <c r="N414" s="660"/>
      <c r="O414" s="660"/>
      <c r="P414" s="660"/>
      <c r="Q414" s="660"/>
      <c r="R414" s="660"/>
      <c r="S414" s="660"/>
      <c r="T414" s="660"/>
      <c r="U414" s="660"/>
      <c r="V414" s="660"/>
      <c r="W414" s="660"/>
      <c r="X414" s="660"/>
      <c r="Y414" s="660"/>
      <c r="Z414" s="660"/>
      <c r="AA414" s="660"/>
      <c r="AB414" s="660"/>
      <c r="AC414" s="661"/>
      <c r="AD414" s="606"/>
      <c r="AE414" s="606"/>
      <c r="AF414" s="606"/>
      <c r="AG414" s="606"/>
    </row>
    <row r="415" spans="1:33" s="612" customFormat="1" hidden="1" outlineLevel="2" x14ac:dyDescent="0.2">
      <c r="A415" s="606"/>
      <c r="B415" s="606"/>
      <c r="C415" s="607"/>
      <c r="D415" s="608"/>
      <c r="E415" s="608"/>
      <c r="F415" s="608"/>
      <c r="G415" s="608"/>
      <c r="H415" s="609"/>
      <c r="I415" s="660"/>
      <c r="J415" s="660"/>
      <c r="K415" s="660"/>
      <c r="L415" s="660"/>
      <c r="M415" s="660"/>
      <c r="N415" s="660"/>
      <c r="O415" s="660"/>
      <c r="P415" s="660"/>
      <c r="Q415" s="660"/>
      <c r="R415" s="660"/>
      <c r="S415" s="660"/>
      <c r="T415" s="660"/>
      <c r="U415" s="660"/>
      <c r="V415" s="660"/>
      <c r="W415" s="660"/>
      <c r="X415" s="660"/>
      <c r="Y415" s="660"/>
      <c r="Z415" s="660"/>
      <c r="AA415" s="660"/>
      <c r="AB415" s="660"/>
      <c r="AC415" s="661"/>
      <c r="AD415" s="606"/>
      <c r="AE415" s="606"/>
      <c r="AF415" s="606"/>
      <c r="AG415" s="606"/>
    </row>
    <row r="416" spans="1:33" s="612" customFormat="1" hidden="1" outlineLevel="2" x14ac:dyDescent="0.2">
      <c r="A416" s="606"/>
      <c r="B416" s="606"/>
      <c r="C416" s="607"/>
      <c r="D416" s="608"/>
      <c r="E416" s="608"/>
      <c r="F416" s="608"/>
      <c r="G416" s="608"/>
      <c r="H416" s="609"/>
      <c r="I416" s="660"/>
      <c r="J416" s="660"/>
      <c r="K416" s="660"/>
      <c r="L416" s="660"/>
      <c r="M416" s="660"/>
      <c r="N416" s="660"/>
      <c r="O416" s="660"/>
      <c r="P416" s="660"/>
      <c r="Q416" s="660"/>
      <c r="R416" s="660"/>
      <c r="S416" s="660"/>
      <c r="T416" s="660"/>
      <c r="U416" s="660"/>
      <c r="V416" s="660"/>
      <c r="W416" s="660"/>
      <c r="X416" s="660"/>
      <c r="Y416" s="660"/>
      <c r="Z416" s="660"/>
      <c r="AA416" s="660"/>
      <c r="AB416" s="660"/>
      <c r="AC416" s="661"/>
      <c r="AD416" s="606"/>
      <c r="AE416" s="606"/>
      <c r="AF416" s="606"/>
      <c r="AG416" s="606"/>
    </row>
    <row r="417" spans="1:33" s="612" customFormat="1" hidden="1" outlineLevel="2" x14ac:dyDescent="0.2">
      <c r="A417" s="606"/>
      <c r="B417" s="606"/>
      <c r="C417" s="607"/>
      <c r="D417" s="608"/>
      <c r="E417" s="608"/>
      <c r="F417" s="608"/>
      <c r="G417" s="608"/>
      <c r="H417" s="609"/>
      <c r="I417" s="660"/>
      <c r="J417" s="660"/>
      <c r="K417" s="660"/>
      <c r="L417" s="660"/>
      <c r="M417" s="660"/>
      <c r="N417" s="660"/>
      <c r="O417" s="660"/>
      <c r="P417" s="660"/>
      <c r="Q417" s="660"/>
      <c r="R417" s="660"/>
      <c r="S417" s="660"/>
      <c r="T417" s="660"/>
      <c r="U417" s="660"/>
      <c r="V417" s="660"/>
      <c r="W417" s="660"/>
      <c r="X417" s="660"/>
      <c r="Y417" s="660"/>
      <c r="Z417" s="660"/>
      <c r="AA417" s="660"/>
      <c r="AB417" s="660"/>
      <c r="AC417" s="661"/>
      <c r="AD417" s="606"/>
      <c r="AE417" s="606"/>
      <c r="AF417" s="606"/>
      <c r="AG417" s="606"/>
    </row>
    <row r="418" spans="1:33" s="612" customFormat="1" hidden="1" outlineLevel="2" x14ac:dyDescent="0.2">
      <c r="A418" s="606"/>
      <c r="B418" s="606"/>
      <c r="C418" s="607"/>
      <c r="D418" s="608"/>
      <c r="E418" s="608"/>
      <c r="F418" s="608"/>
      <c r="G418" s="608"/>
      <c r="H418" s="609"/>
      <c r="I418" s="660"/>
      <c r="J418" s="660"/>
      <c r="K418" s="660"/>
      <c r="L418" s="660"/>
      <c r="M418" s="660"/>
      <c r="N418" s="660"/>
      <c r="O418" s="660"/>
      <c r="P418" s="660"/>
      <c r="Q418" s="660"/>
      <c r="R418" s="660"/>
      <c r="S418" s="660"/>
      <c r="T418" s="660"/>
      <c r="U418" s="660"/>
      <c r="V418" s="660"/>
      <c r="W418" s="660"/>
      <c r="X418" s="660"/>
      <c r="Y418" s="660"/>
      <c r="Z418" s="660"/>
      <c r="AA418" s="660"/>
      <c r="AB418" s="660"/>
      <c r="AC418" s="661"/>
      <c r="AD418" s="606"/>
      <c r="AE418" s="606"/>
      <c r="AF418" s="606"/>
      <c r="AG418" s="606"/>
    </row>
    <row r="419" spans="1:33" s="612" customFormat="1" hidden="1" outlineLevel="2" x14ac:dyDescent="0.2">
      <c r="A419" s="606"/>
      <c r="B419" s="606"/>
      <c r="C419" s="607"/>
      <c r="D419" s="608"/>
      <c r="E419" s="608"/>
      <c r="F419" s="608"/>
      <c r="G419" s="608"/>
      <c r="H419" s="609"/>
      <c r="I419" s="660"/>
      <c r="J419" s="660"/>
      <c r="K419" s="660"/>
      <c r="L419" s="660"/>
      <c r="M419" s="660"/>
      <c r="N419" s="660"/>
      <c r="O419" s="660"/>
      <c r="P419" s="660"/>
      <c r="Q419" s="660"/>
      <c r="R419" s="660"/>
      <c r="S419" s="660"/>
      <c r="T419" s="660"/>
      <c r="U419" s="660"/>
      <c r="V419" s="660"/>
      <c r="W419" s="660"/>
      <c r="X419" s="660"/>
      <c r="Y419" s="660"/>
      <c r="Z419" s="660"/>
      <c r="AA419" s="660"/>
      <c r="AB419" s="660"/>
      <c r="AC419" s="661"/>
      <c r="AD419" s="606"/>
      <c r="AE419" s="606"/>
      <c r="AF419" s="606"/>
      <c r="AG419" s="606"/>
    </row>
    <row r="420" spans="1:33" s="612" customFormat="1" hidden="1" outlineLevel="2" x14ac:dyDescent="0.2">
      <c r="A420" s="606"/>
      <c r="B420" s="606"/>
      <c r="C420" s="607"/>
      <c r="D420" s="608"/>
      <c r="E420" s="608"/>
      <c r="F420" s="608"/>
      <c r="G420" s="608"/>
      <c r="H420" s="609"/>
      <c r="I420" s="660"/>
      <c r="J420" s="660"/>
      <c r="K420" s="660"/>
      <c r="L420" s="660"/>
      <c r="M420" s="660"/>
      <c r="N420" s="660"/>
      <c r="O420" s="660"/>
      <c r="P420" s="660"/>
      <c r="Q420" s="660"/>
      <c r="R420" s="660"/>
      <c r="S420" s="660"/>
      <c r="T420" s="660"/>
      <c r="U420" s="660"/>
      <c r="V420" s="660"/>
      <c r="W420" s="660"/>
      <c r="X420" s="660"/>
      <c r="Y420" s="660"/>
      <c r="Z420" s="660"/>
      <c r="AA420" s="660"/>
      <c r="AB420" s="660"/>
      <c r="AC420" s="661"/>
      <c r="AD420" s="606"/>
      <c r="AE420" s="606"/>
      <c r="AF420" s="606"/>
      <c r="AG420" s="606"/>
    </row>
    <row r="421" spans="1:33" s="612" customFormat="1" hidden="1" outlineLevel="2" x14ac:dyDescent="0.2">
      <c r="A421" s="606"/>
      <c r="B421" s="606"/>
      <c r="C421" s="607"/>
      <c r="D421" s="608"/>
      <c r="E421" s="608"/>
      <c r="F421" s="608"/>
      <c r="G421" s="608"/>
      <c r="H421" s="609"/>
      <c r="I421" s="660"/>
      <c r="J421" s="660"/>
      <c r="K421" s="660"/>
      <c r="L421" s="660"/>
      <c r="M421" s="660"/>
      <c r="N421" s="660"/>
      <c r="O421" s="660"/>
      <c r="P421" s="660"/>
      <c r="Q421" s="660"/>
      <c r="R421" s="660"/>
      <c r="S421" s="660"/>
      <c r="T421" s="660"/>
      <c r="U421" s="660"/>
      <c r="V421" s="660"/>
      <c r="W421" s="660"/>
      <c r="X421" s="660"/>
      <c r="Y421" s="660"/>
      <c r="Z421" s="660"/>
      <c r="AA421" s="660"/>
      <c r="AB421" s="660"/>
      <c r="AC421" s="661"/>
      <c r="AD421" s="606"/>
      <c r="AE421" s="606"/>
      <c r="AF421" s="606"/>
      <c r="AG421" s="606"/>
    </row>
    <row r="422" spans="1:33" s="612" customFormat="1" hidden="1" outlineLevel="2" x14ac:dyDescent="0.2">
      <c r="A422" s="606"/>
      <c r="B422" s="606"/>
      <c r="C422" s="607"/>
      <c r="D422" s="608"/>
      <c r="E422" s="608"/>
      <c r="F422" s="608"/>
      <c r="G422" s="608"/>
      <c r="H422" s="609"/>
      <c r="I422" s="660"/>
      <c r="J422" s="660"/>
      <c r="K422" s="660"/>
      <c r="L422" s="660"/>
      <c r="M422" s="660"/>
      <c r="N422" s="660"/>
      <c r="O422" s="660"/>
      <c r="P422" s="660"/>
      <c r="Q422" s="660"/>
      <c r="R422" s="660"/>
      <c r="S422" s="660"/>
      <c r="T422" s="660"/>
      <c r="U422" s="660"/>
      <c r="V422" s="660"/>
      <c r="W422" s="660"/>
      <c r="X422" s="660"/>
      <c r="Y422" s="660"/>
      <c r="Z422" s="660"/>
      <c r="AA422" s="660"/>
      <c r="AB422" s="660"/>
      <c r="AC422" s="661"/>
      <c r="AD422" s="606"/>
      <c r="AE422" s="606"/>
      <c r="AF422" s="606"/>
      <c r="AG422" s="606"/>
    </row>
    <row r="423" spans="1:33" s="612" customFormat="1" hidden="1" outlineLevel="2" x14ac:dyDescent="0.2">
      <c r="A423" s="606"/>
      <c r="B423" s="606"/>
      <c r="C423" s="607"/>
      <c r="D423" s="608"/>
      <c r="E423" s="608"/>
      <c r="F423" s="608"/>
      <c r="G423" s="608"/>
      <c r="H423" s="609"/>
      <c r="I423" s="660"/>
      <c r="J423" s="660"/>
      <c r="K423" s="660"/>
      <c r="L423" s="660"/>
      <c r="M423" s="660"/>
      <c r="N423" s="660"/>
      <c r="O423" s="660"/>
      <c r="P423" s="660"/>
      <c r="Q423" s="660"/>
      <c r="R423" s="660"/>
      <c r="S423" s="660"/>
      <c r="T423" s="660"/>
      <c r="U423" s="660"/>
      <c r="V423" s="660"/>
      <c r="W423" s="660"/>
      <c r="X423" s="660"/>
      <c r="Y423" s="660"/>
      <c r="Z423" s="660"/>
      <c r="AA423" s="660"/>
      <c r="AB423" s="660"/>
      <c r="AC423" s="661"/>
      <c r="AD423" s="606"/>
      <c r="AE423" s="606"/>
      <c r="AF423" s="606"/>
      <c r="AG423" s="606"/>
    </row>
    <row r="424" spans="1:33" s="612" customFormat="1" hidden="1" outlineLevel="2" x14ac:dyDescent="0.2">
      <c r="A424" s="606"/>
      <c r="B424" s="606"/>
      <c r="C424" s="607"/>
      <c r="D424" s="608"/>
      <c r="E424" s="608"/>
      <c r="F424" s="608"/>
      <c r="G424" s="608"/>
      <c r="H424" s="609"/>
      <c r="I424" s="660"/>
      <c r="J424" s="660"/>
      <c r="K424" s="660"/>
      <c r="L424" s="660"/>
      <c r="M424" s="660"/>
      <c r="N424" s="660"/>
      <c r="O424" s="660"/>
      <c r="P424" s="660"/>
      <c r="Q424" s="660"/>
      <c r="R424" s="660"/>
      <c r="S424" s="660"/>
      <c r="T424" s="660"/>
      <c r="U424" s="660"/>
      <c r="V424" s="660"/>
      <c r="W424" s="660"/>
      <c r="X424" s="660"/>
      <c r="Y424" s="660"/>
      <c r="Z424" s="660"/>
      <c r="AA424" s="660"/>
      <c r="AB424" s="660"/>
      <c r="AC424" s="661"/>
      <c r="AD424" s="606"/>
      <c r="AE424" s="606"/>
      <c r="AF424" s="606"/>
      <c r="AG424" s="606"/>
    </row>
    <row r="425" spans="1:33" s="612" customFormat="1" hidden="1" outlineLevel="2" x14ac:dyDescent="0.2">
      <c r="A425" s="606"/>
      <c r="B425" s="606"/>
      <c r="C425" s="607"/>
      <c r="D425" s="608"/>
      <c r="E425" s="608"/>
      <c r="F425" s="608"/>
      <c r="G425" s="608"/>
      <c r="H425" s="609"/>
      <c r="I425" s="660"/>
      <c r="J425" s="660"/>
      <c r="K425" s="660"/>
      <c r="L425" s="660"/>
      <c r="M425" s="660"/>
      <c r="N425" s="660"/>
      <c r="O425" s="660"/>
      <c r="P425" s="660"/>
      <c r="Q425" s="660"/>
      <c r="R425" s="660"/>
      <c r="S425" s="660"/>
      <c r="T425" s="660"/>
      <c r="U425" s="660"/>
      <c r="V425" s="660"/>
      <c r="W425" s="660"/>
      <c r="X425" s="660"/>
      <c r="Y425" s="660"/>
      <c r="Z425" s="660"/>
      <c r="AA425" s="660"/>
      <c r="AB425" s="660"/>
      <c r="AC425" s="661"/>
      <c r="AD425" s="606"/>
      <c r="AE425" s="606"/>
      <c r="AF425" s="606"/>
      <c r="AG425" s="606"/>
    </row>
    <row r="426" spans="1:33" s="612" customFormat="1" hidden="1" outlineLevel="2" x14ac:dyDescent="0.2">
      <c r="A426" s="606"/>
      <c r="B426" s="606"/>
      <c r="C426" s="607"/>
      <c r="D426" s="608"/>
      <c r="E426" s="608"/>
      <c r="F426" s="608"/>
      <c r="G426" s="608"/>
      <c r="H426" s="609"/>
      <c r="I426" s="660"/>
      <c r="J426" s="660"/>
      <c r="K426" s="660"/>
      <c r="L426" s="660"/>
      <c r="M426" s="660"/>
      <c r="N426" s="660"/>
      <c r="O426" s="660"/>
      <c r="P426" s="660"/>
      <c r="Q426" s="660"/>
      <c r="R426" s="660"/>
      <c r="S426" s="660"/>
      <c r="T426" s="660"/>
      <c r="U426" s="660"/>
      <c r="V426" s="660"/>
      <c r="W426" s="660"/>
      <c r="X426" s="660"/>
      <c r="Y426" s="660"/>
      <c r="Z426" s="660"/>
      <c r="AA426" s="660"/>
      <c r="AB426" s="660"/>
      <c r="AC426" s="661"/>
      <c r="AD426" s="606"/>
      <c r="AE426" s="606"/>
      <c r="AF426" s="606"/>
      <c r="AG426" s="606"/>
    </row>
    <row r="427" spans="1:33" s="612" customFormat="1" hidden="1" outlineLevel="2" x14ac:dyDescent="0.2">
      <c r="A427" s="606"/>
      <c r="B427" s="606"/>
      <c r="C427" s="607"/>
      <c r="D427" s="608"/>
      <c r="E427" s="608"/>
      <c r="F427" s="608"/>
      <c r="G427" s="608"/>
      <c r="H427" s="609"/>
      <c r="I427" s="660"/>
      <c r="J427" s="660"/>
      <c r="K427" s="660"/>
      <c r="L427" s="660"/>
      <c r="M427" s="660"/>
      <c r="N427" s="660"/>
      <c r="O427" s="660"/>
      <c r="P427" s="660"/>
      <c r="Q427" s="660"/>
      <c r="R427" s="660"/>
      <c r="S427" s="660"/>
      <c r="T427" s="660"/>
      <c r="U427" s="660"/>
      <c r="V427" s="660"/>
      <c r="W427" s="660"/>
      <c r="X427" s="660"/>
      <c r="Y427" s="660"/>
      <c r="Z427" s="660"/>
      <c r="AA427" s="660"/>
      <c r="AB427" s="660"/>
      <c r="AC427" s="661"/>
      <c r="AD427" s="606"/>
      <c r="AE427" s="606"/>
      <c r="AF427" s="606"/>
      <c r="AG427" s="606"/>
    </row>
    <row r="428" spans="1:33" s="612" customFormat="1" hidden="1" outlineLevel="2" x14ac:dyDescent="0.2">
      <c r="A428" s="606"/>
      <c r="B428" s="606"/>
      <c r="C428" s="607"/>
      <c r="D428" s="608"/>
      <c r="E428" s="608"/>
      <c r="F428" s="608"/>
      <c r="G428" s="608"/>
      <c r="H428" s="609"/>
      <c r="I428" s="660"/>
      <c r="J428" s="660"/>
      <c r="K428" s="660"/>
      <c r="L428" s="660"/>
      <c r="M428" s="660"/>
      <c r="N428" s="660"/>
      <c r="O428" s="660"/>
      <c r="P428" s="660"/>
      <c r="Q428" s="660"/>
      <c r="R428" s="660"/>
      <c r="S428" s="660"/>
      <c r="T428" s="660"/>
      <c r="U428" s="660"/>
      <c r="V428" s="660"/>
      <c r="W428" s="660"/>
      <c r="X428" s="660"/>
      <c r="Y428" s="660"/>
      <c r="Z428" s="660"/>
      <c r="AA428" s="660"/>
      <c r="AB428" s="660"/>
      <c r="AC428" s="661"/>
      <c r="AD428" s="606"/>
      <c r="AE428" s="606"/>
      <c r="AF428" s="606"/>
      <c r="AG428" s="606"/>
    </row>
    <row r="429" spans="1:33" s="612" customFormat="1" hidden="1" outlineLevel="2" x14ac:dyDescent="0.2">
      <c r="A429" s="606"/>
      <c r="B429" s="606"/>
      <c r="C429" s="607"/>
      <c r="D429" s="608"/>
      <c r="E429" s="608"/>
      <c r="F429" s="608"/>
      <c r="G429" s="608"/>
      <c r="H429" s="609"/>
      <c r="I429" s="660"/>
      <c r="J429" s="660"/>
      <c r="K429" s="660"/>
      <c r="L429" s="660"/>
      <c r="M429" s="660"/>
      <c r="N429" s="660"/>
      <c r="O429" s="660"/>
      <c r="P429" s="660"/>
      <c r="Q429" s="660"/>
      <c r="R429" s="660"/>
      <c r="S429" s="660"/>
      <c r="T429" s="660"/>
      <c r="U429" s="660"/>
      <c r="V429" s="660"/>
      <c r="W429" s="660"/>
      <c r="X429" s="660"/>
      <c r="Y429" s="660"/>
      <c r="Z429" s="660"/>
      <c r="AA429" s="660"/>
      <c r="AB429" s="660"/>
      <c r="AC429" s="661"/>
      <c r="AD429" s="606"/>
      <c r="AE429" s="606"/>
      <c r="AF429" s="606"/>
      <c r="AG429" s="606"/>
    </row>
    <row r="430" spans="1:33" s="612" customFormat="1" hidden="1" outlineLevel="2" x14ac:dyDescent="0.2">
      <c r="A430" s="606"/>
      <c r="B430" s="606"/>
      <c r="C430" s="607"/>
      <c r="D430" s="608"/>
      <c r="E430" s="608"/>
      <c r="F430" s="608"/>
      <c r="G430" s="608"/>
      <c r="H430" s="609"/>
      <c r="I430" s="660"/>
      <c r="J430" s="660"/>
      <c r="K430" s="660"/>
      <c r="L430" s="660"/>
      <c r="M430" s="660"/>
      <c r="N430" s="660"/>
      <c r="O430" s="660"/>
      <c r="P430" s="660"/>
      <c r="Q430" s="660"/>
      <c r="R430" s="660"/>
      <c r="S430" s="660"/>
      <c r="T430" s="660"/>
      <c r="U430" s="660"/>
      <c r="V430" s="660"/>
      <c r="W430" s="660"/>
      <c r="X430" s="660"/>
      <c r="Y430" s="660"/>
      <c r="Z430" s="660"/>
      <c r="AA430" s="660"/>
      <c r="AB430" s="660"/>
      <c r="AC430" s="661"/>
      <c r="AD430" s="606"/>
      <c r="AE430" s="606"/>
      <c r="AF430" s="606"/>
      <c r="AG430" s="606"/>
    </row>
    <row r="431" spans="1:33" s="612" customFormat="1" hidden="1" outlineLevel="2" x14ac:dyDescent="0.2">
      <c r="A431" s="606"/>
      <c r="B431" s="606"/>
      <c r="C431" s="607"/>
      <c r="D431" s="608"/>
      <c r="E431" s="608"/>
      <c r="F431" s="608"/>
      <c r="G431" s="608"/>
      <c r="H431" s="609"/>
      <c r="I431" s="660"/>
      <c r="J431" s="660"/>
      <c r="K431" s="660"/>
      <c r="L431" s="660"/>
      <c r="M431" s="660"/>
      <c r="N431" s="660"/>
      <c r="O431" s="660"/>
      <c r="P431" s="660"/>
      <c r="Q431" s="660"/>
      <c r="R431" s="660"/>
      <c r="S431" s="660"/>
      <c r="T431" s="660"/>
      <c r="U431" s="660"/>
      <c r="V431" s="660"/>
      <c r="W431" s="660"/>
      <c r="X431" s="660"/>
      <c r="Y431" s="660"/>
      <c r="Z431" s="660"/>
      <c r="AA431" s="660"/>
      <c r="AB431" s="660"/>
      <c r="AC431" s="661"/>
      <c r="AD431" s="606"/>
      <c r="AE431" s="606"/>
      <c r="AF431" s="606"/>
      <c r="AG431" s="606"/>
    </row>
    <row r="432" spans="1:33" s="612" customFormat="1" hidden="1" outlineLevel="2" x14ac:dyDescent="0.2">
      <c r="A432" s="606"/>
      <c r="B432" s="606"/>
      <c r="C432" s="607"/>
      <c r="D432" s="608"/>
      <c r="E432" s="608"/>
      <c r="F432" s="608"/>
      <c r="G432" s="608"/>
      <c r="H432" s="609"/>
      <c r="I432" s="660"/>
      <c r="J432" s="660"/>
      <c r="K432" s="660"/>
      <c r="L432" s="660"/>
      <c r="M432" s="660"/>
      <c r="N432" s="660"/>
      <c r="O432" s="660"/>
      <c r="P432" s="660"/>
      <c r="Q432" s="660"/>
      <c r="R432" s="660"/>
      <c r="S432" s="660"/>
      <c r="T432" s="660"/>
      <c r="U432" s="660"/>
      <c r="V432" s="660"/>
      <c r="W432" s="660"/>
      <c r="X432" s="660"/>
      <c r="Y432" s="660"/>
      <c r="Z432" s="660"/>
      <c r="AA432" s="660"/>
      <c r="AB432" s="660"/>
      <c r="AC432" s="661"/>
      <c r="AD432" s="606"/>
      <c r="AE432" s="606"/>
      <c r="AF432" s="606"/>
      <c r="AG432" s="606"/>
    </row>
    <row r="433" spans="1:33" s="612" customFormat="1" hidden="1" outlineLevel="3" x14ac:dyDescent="0.2">
      <c r="A433" s="606"/>
      <c r="B433" s="606"/>
      <c r="C433" s="607"/>
      <c r="D433" s="608"/>
      <c r="E433" s="608"/>
      <c r="F433" s="608"/>
      <c r="G433" s="608"/>
      <c r="H433" s="609"/>
      <c r="I433" s="660"/>
      <c r="J433" s="660"/>
      <c r="K433" s="660"/>
      <c r="L433" s="660"/>
      <c r="M433" s="660"/>
      <c r="N433" s="660"/>
      <c r="O433" s="660"/>
      <c r="P433" s="660"/>
      <c r="Q433" s="660"/>
      <c r="R433" s="660"/>
      <c r="S433" s="660"/>
      <c r="T433" s="660"/>
      <c r="U433" s="660"/>
      <c r="V433" s="660"/>
      <c r="W433" s="660"/>
      <c r="X433" s="660"/>
      <c r="Y433" s="660"/>
      <c r="Z433" s="660"/>
      <c r="AA433" s="660"/>
      <c r="AB433" s="660"/>
      <c r="AC433" s="661"/>
      <c r="AD433" s="606"/>
      <c r="AE433" s="606"/>
      <c r="AF433" s="606"/>
      <c r="AG433" s="606"/>
    </row>
    <row r="434" spans="1:33" s="612" customFormat="1" hidden="1" outlineLevel="3" x14ac:dyDescent="0.2">
      <c r="A434" s="606"/>
      <c r="B434" s="606"/>
      <c r="C434" s="607"/>
      <c r="D434" s="608"/>
      <c r="E434" s="608"/>
      <c r="F434" s="608"/>
      <c r="G434" s="608"/>
      <c r="H434" s="609"/>
      <c r="I434" s="660"/>
      <c r="J434" s="660"/>
      <c r="K434" s="660"/>
      <c r="L434" s="660"/>
      <c r="M434" s="660"/>
      <c r="N434" s="660"/>
      <c r="O434" s="660"/>
      <c r="P434" s="660"/>
      <c r="Q434" s="660"/>
      <c r="R434" s="660"/>
      <c r="S434" s="660"/>
      <c r="T434" s="660"/>
      <c r="U434" s="660"/>
      <c r="V434" s="660"/>
      <c r="W434" s="660"/>
      <c r="X434" s="660"/>
      <c r="Y434" s="660"/>
      <c r="Z434" s="660"/>
      <c r="AA434" s="660"/>
      <c r="AB434" s="660"/>
      <c r="AC434" s="661"/>
      <c r="AD434" s="606"/>
      <c r="AE434" s="606"/>
      <c r="AF434" s="606"/>
      <c r="AG434" s="606"/>
    </row>
    <row r="435" spans="1:33" s="612" customFormat="1" hidden="1" outlineLevel="3" x14ac:dyDescent="0.2">
      <c r="A435" s="606"/>
      <c r="B435" s="606"/>
      <c r="C435" s="607"/>
      <c r="D435" s="608"/>
      <c r="E435" s="608"/>
      <c r="F435" s="608"/>
      <c r="G435" s="608"/>
      <c r="H435" s="609"/>
      <c r="I435" s="660"/>
      <c r="J435" s="660"/>
      <c r="K435" s="660"/>
      <c r="L435" s="660"/>
      <c r="M435" s="660"/>
      <c r="N435" s="660"/>
      <c r="O435" s="660"/>
      <c r="P435" s="660"/>
      <c r="Q435" s="660"/>
      <c r="R435" s="660"/>
      <c r="S435" s="660"/>
      <c r="T435" s="660"/>
      <c r="U435" s="660"/>
      <c r="V435" s="660"/>
      <c r="W435" s="660"/>
      <c r="X435" s="660"/>
      <c r="Y435" s="660"/>
      <c r="Z435" s="660"/>
      <c r="AA435" s="660"/>
      <c r="AB435" s="660"/>
      <c r="AC435" s="661"/>
      <c r="AD435" s="606"/>
      <c r="AE435" s="606"/>
      <c r="AF435" s="606"/>
      <c r="AG435" s="606"/>
    </row>
    <row r="436" spans="1:33" s="612" customFormat="1" hidden="1" outlineLevel="3" x14ac:dyDescent="0.2">
      <c r="A436" s="606"/>
      <c r="B436" s="606"/>
      <c r="C436" s="607"/>
      <c r="D436" s="608"/>
      <c r="E436" s="608"/>
      <c r="F436" s="608"/>
      <c r="G436" s="608"/>
      <c r="H436" s="609"/>
      <c r="I436" s="660"/>
      <c r="J436" s="660"/>
      <c r="K436" s="660"/>
      <c r="L436" s="660"/>
      <c r="M436" s="660"/>
      <c r="N436" s="660"/>
      <c r="O436" s="660"/>
      <c r="P436" s="660"/>
      <c r="Q436" s="660"/>
      <c r="R436" s="660"/>
      <c r="S436" s="660"/>
      <c r="T436" s="660"/>
      <c r="U436" s="660"/>
      <c r="V436" s="660"/>
      <c r="W436" s="660"/>
      <c r="X436" s="660"/>
      <c r="Y436" s="660"/>
      <c r="Z436" s="660"/>
      <c r="AA436" s="660"/>
      <c r="AB436" s="660"/>
      <c r="AC436" s="661"/>
      <c r="AD436" s="606"/>
      <c r="AE436" s="606"/>
      <c r="AF436" s="606"/>
      <c r="AG436" s="606"/>
    </row>
    <row r="437" spans="1:33" s="612" customFormat="1" hidden="1" outlineLevel="3" x14ac:dyDescent="0.2">
      <c r="A437" s="606"/>
      <c r="B437" s="606"/>
      <c r="C437" s="607"/>
      <c r="D437" s="608"/>
      <c r="E437" s="608"/>
      <c r="F437" s="608"/>
      <c r="G437" s="608"/>
      <c r="H437" s="609"/>
      <c r="I437" s="660"/>
      <c r="J437" s="660"/>
      <c r="K437" s="660"/>
      <c r="L437" s="660"/>
      <c r="M437" s="660"/>
      <c r="N437" s="660"/>
      <c r="O437" s="660"/>
      <c r="P437" s="660"/>
      <c r="Q437" s="660"/>
      <c r="R437" s="660"/>
      <c r="S437" s="660"/>
      <c r="T437" s="660"/>
      <c r="U437" s="660"/>
      <c r="V437" s="660"/>
      <c r="W437" s="660"/>
      <c r="X437" s="660"/>
      <c r="Y437" s="660"/>
      <c r="Z437" s="660"/>
      <c r="AA437" s="660"/>
      <c r="AB437" s="660"/>
      <c r="AC437" s="661"/>
      <c r="AD437" s="606"/>
      <c r="AE437" s="606"/>
      <c r="AF437" s="606"/>
      <c r="AG437" s="606"/>
    </row>
    <row r="438" spans="1:33" s="612" customFormat="1" hidden="1" outlineLevel="3" x14ac:dyDescent="0.2">
      <c r="A438" s="606"/>
      <c r="B438" s="606"/>
      <c r="C438" s="607"/>
      <c r="D438" s="608"/>
      <c r="E438" s="608"/>
      <c r="F438" s="608"/>
      <c r="G438" s="608"/>
      <c r="H438" s="609"/>
      <c r="I438" s="660"/>
      <c r="J438" s="660"/>
      <c r="K438" s="660"/>
      <c r="L438" s="660"/>
      <c r="M438" s="660"/>
      <c r="N438" s="660"/>
      <c r="O438" s="660"/>
      <c r="P438" s="660"/>
      <c r="Q438" s="660"/>
      <c r="R438" s="660"/>
      <c r="S438" s="660"/>
      <c r="T438" s="660"/>
      <c r="U438" s="660"/>
      <c r="V438" s="660"/>
      <c r="W438" s="660"/>
      <c r="X438" s="660"/>
      <c r="Y438" s="660"/>
      <c r="Z438" s="660"/>
      <c r="AA438" s="660"/>
      <c r="AB438" s="660"/>
      <c r="AC438" s="661"/>
      <c r="AD438" s="606"/>
      <c r="AE438" s="606"/>
      <c r="AF438" s="606"/>
      <c r="AG438" s="606"/>
    </row>
    <row r="439" spans="1:33" s="612" customFormat="1" hidden="1" outlineLevel="3" x14ac:dyDescent="0.2">
      <c r="A439" s="606"/>
      <c r="B439" s="606"/>
      <c r="C439" s="607"/>
      <c r="D439" s="608"/>
      <c r="E439" s="608"/>
      <c r="F439" s="608"/>
      <c r="G439" s="608"/>
      <c r="H439" s="609"/>
      <c r="I439" s="660"/>
      <c r="J439" s="660"/>
      <c r="K439" s="660"/>
      <c r="L439" s="660"/>
      <c r="M439" s="660"/>
      <c r="N439" s="660"/>
      <c r="O439" s="660"/>
      <c r="P439" s="660"/>
      <c r="Q439" s="660"/>
      <c r="R439" s="660"/>
      <c r="S439" s="660"/>
      <c r="T439" s="660"/>
      <c r="U439" s="660"/>
      <c r="V439" s="660"/>
      <c r="W439" s="660"/>
      <c r="X439" s="660"/>
      <c r="Y439" s="660"/>
      <c r="Z439" s="660"/>
      <c r="AA439" s="660"/>
      <c r="AB439" s="660"/>
      <c r="AC439" s="661"/>
      <c r="AD439" s="606"/>
      <c r="AE439" s="606"/>
      <c r="AF439" s="606"/>
      <c r="AG439" s="606"/>
    </row>
    <row r="440" spans="1:33" s="612" customFormat="1" hidden="1" outlineLevel="3" x14ac:dyDescent="0.2">
      <c r="A440" s="606"/>
      <c r="B440" s="606"/>
      <c r="C440" s="607"/>
      <c r="D440" s="608"/>
      <c r="E440" s="608"/>
      <c r="F440" s="608"/>
      <c r="G440" s="608"/>
      <c r="H440" s="609"/>
      <c r="I440" s="660"/>
      <c r="J440" s="660"/>
      <c r="K440" s="660"/>
      <c r="L440" s="660"/>
      <c r="M440" s="660"/>
      <c r="N440" s="660"/>
      <c r="O440" s="660"/>
      <c r="P440" s="660"/>
      <c r="Q440" s="660"/>
      <c r="R440" s="660"/>
      <c r="S440" s="660"/>
      <c r="T440" s="660"/>
      <c r="U440" s="660"/>
      <c r="V440" s="660"/>
      <c r="W440" s="660"/>
      <c r="X440" s="660"/>
      <c r="Y440" s="660"/>
      <c r="Z440" s="660"/>
      <c r="AA440" s="660"/>
      <c r="AB440" s="660"/>
      <c r="AC440" s="661"/>
      <c r="AD440" s="606"/>
      <c r="AE440" s="606"/>
      <c r="AF440" s="606"/>
      <c r="AG440" s="606"/>
    </row>
    <row r="441" spans="1:33" s="612" customFormat="1" hidden="1" outlineLevel="3" x14ac:dyDescent="0.2">
      <c r="A441" s="606"/>
      <c r="B441" s="606"/>
      <c r="C441" s="607"/>
      <c r="D441" s="608"/>
      <c r="E441" s="608"/>
      <c r="F441" s="608"/>
      <c r="G441" s="608"/>
      <c r="H441" s="609"/>
      <c r="I441" s="660"/>
      <c r="J441" s="660"/>
      <c r="K441" s="660"/>
      <c r="L441" s="660"/>
      <c r="M441" s="660"/>
      <c r="N441" s="660"/>
      <c r="O441" s="660"/>
      <c r="P441" s="660"/>
      <c r="Q441" s="660"/>
      <c r="R441" s="660"/>
      <c r="S441" s="660"/>
      <c r="T441" s="660"/>
      <c r="U441" s="660"/>
      <c r="V441" s="660"/>
      <c r="W441" s="660"/>
      <c r="X441" s="660"/>
      <c r="Y441" s="660"/>
      <c r="Z441" s="660"/>
      <c r="AA441" s="660"/>
      <c r="AB441" s="660"/>
      <c r="AC441" s="661"/>
      <c r="AD441" s="606"/>
      <c r="AE441" s="606"/>
      <c r="AF441" s="606"/>
      <c r="AG441" s="606"/>
    </row>
    <row r="442" spans="1:33" s="612" customFormat="1" hidden="1" outlineLevel="3" x14ac:dyDescent="0.2">
      <c r="A442" s="606"/>
      <c r="B442" s="606"/>
      <c r="C442" s="607"/>
      <c r="D442" s="608"/>
      <c r="E442" s="608"/>
      <c r="F442" s="608"/>
      <c r="G442" s="608"/>
      <c r="H442" s="609"/>
      <c r="I442" s="660"/>
      <c r="J442" s="660"/>
      <c r="K442" s="660"/>
      <c r="L442" s="660"/>
      <c r="M442" s="660"/>
      <c r="N442" s="660"/>
      <c r="O442" s="660"/>
      <c r="P442" s="660"/>
      <c r="Q442" s="660"/>
      <c r="R442" s="660"/>
      <c r="S442" s="660"/>
      <c r="T442" s="660"/>
      <c r="U442" s="660"/>
      <c r="V442" s="660"/>
      <c r="W442" s="660"/>
      <c r="X442" s="660"/>
      <c r="Y442" s="660"/>
      <c r="Z442" s="660"/>
      <c r="AA442" s="660"/>
      <c r="AB442" s="660"/>
      <c r="AC442" s="661"/>
      <c r="AD442" s="606"/>
      <c r="AE442" s="606"/>
      <c r="AF442" s="606"/>
      <c r="AG442" s="606"/>
    </row>
    <row r="443" spans="1:33" s="612" customFormat="1" hidden="1" outlineLevel="3" x14ac:dyDescent="0.2">
      <c r="A443" s="606"/>
      <c r="B443" s="606"/>
      <c r="C443" s="607"/>
      <c r="D443" s="608"/>
      <c r="E443" s="608"/>
      <c r="F443" s="608"/>
      <c r="G443" s="608"/>
      <c r="H443" s="609"/>
      <c r="I443" s="660"/>
      <c r="J443" s="660"/>
      <c r="K443" s="660"/>
      <c r="L443" s="660"/>
      <c r="M443" s="660"/>
      <c r="N443" s="660"/>
      <c r="O443" s="660"/>
      <c r="P443" s="660"/>
      <c r="Q443" s="660"/>
      <c r="R443" s="660"/>
      <c r="S443" s="660"/>
      <c r="T443" s="660"/>
      <c r="U443" s="660"/>
      <c r="V443" s="660"/>
      <c r="W443" s="660"/>
      <c r="X443" s="660"/>
      <c r="Y443" s="660"/>
      <c r="Z443" s="660"/>
      <c r="AA443" s="660"/>
      <c r="AB443" s="660"/>
      <c r="AC443" s="661"/>
      <c r="AD443" s="606"/>
      <c r="AE443" s="606"/>
      <c r="AF443" s="606"/>
      <c r="AG443" s="606"/>
    </row>
    <row r="444" spans="1:33" s="612" customFormat="1" hidden="1" outlineLevel="3" x14ac:dyDescent="0.2">
      <c r="A444" s="606"/>
      <c r="B444" s="606"/>
      <c r="C444" s="607"/>
      <c r="D444" s="608"/>
      <c r="E444" s="608"/>
      <c r="F444" s="608"/>
      <c r="G444" s="608"/>
      <c r="H444" s="609"/>
      <c r="I444" s="660"/>
      <c r="J444" s="660"/>
      <c r="K444" s="660"/>
      <c r="L444" s="660"/>
      <c r="M444" s="660"/>
      <c r="N444" s="660"/>
      <c r="O444" s="660"/>
      <c r="P444" s="660"/>
      <c r="Q444" s="660"/>
      <c r="R444" s="660"/>
      <c r="S444" s="660"/>
      <c r="T444" s="660"/>
      <c r="U444" s="660"/>
      <c r="V444" s="660"/>
      <c r="W444" s="660"/>
      <c r="X444" s="660"/>
      <c r="Y444" s="660"/>
      <c r="Z444" s="660"/>
      <c r="AA444" s="660"/>
      <c r="AB444" s="660"/>
      <c r="AC444" s="661"/>
      <c r="AD444" s="606"/>
      <c r="AE444" s="606"/>
      <c r="AF444" s="606"/>
      <c r="AG444" s="606"/>
    </row>
    <row r="445" spans="1:33" s="612" customFormat="1" hidden="1" outlineLevel="3" x14ac:dyDescent="0.2">
      <c r="A445" s="606"/>
      <c r="B445" s="606"/>
      <c r="C445" s="607"/>
      <c r="D445" s="608"/>
      <c r="E445" s="608"/>
      <c r="F445" s="608"/>
      <c r="G445" s="608"/>
      <c r="H445" s="609"/>
      <c r="I445" s="660"/>
      <c r="J445" s="660"/>
      <c r="K445" s="660"/>
      <c r="L445" s="660"/>
      <c r="M445" s="660"/>
      <c r="N445" s="660"/>
      <c r="O445" s="660"/>
      <c r="P445" s="660"/>
      <c r="Q445" s="660"/>
      <c r="R445" s="660"/>
      <c r="S445" s="660"/>
      <c r="T445" s="660"/>
      <c r="U445" s="660"/>
      <c r="V445" s="660"/>
      <c r="W445" s="660"/>
      <c r="X445" s="660"/>
      <c r="Y445" s="660"/>
      <c r="Z445" s="660"/>
      <c r="AA445" s="660"/>
      <c r="AB445" s="660"/>
      <c r="AC445" s="661"/>
      <c r="AD445" s="606"/>
      <c r="AE445" s="606"/>
      <c r="AF445" s="606"/>
      <c r="AG445" s="606"/>
    </row>
    <row r="446" spans="1:33" s="612" customFormat="1" hidden="1" outlineLevel="3" x14ac:dyDescent="0.2">
      <c r="A446" s="606"/>
      <c r="B446" s="606"/>
      <c r="C446" s="607"/>
      <c r="D446" s="608"/>
      <c r="E446" s="608"/>
      <c r="F446" s="608"/>
      <c r="G446" s="608"/>
      <c r="H446" s="609"/>
      <c r="I446" s="660"/>
      <c r="J446" s="660"/>
      <c r="K446" s="660"/>
      <c r="L446" s="660"/>
      <c r="M446" s="660"/>
      <c r="N446" s="660"/>
      <c r="O446" s="660"/>
      <c r="P446" s="660"/>
      <c r="Q446" s="660"/>
      <c r="R446" s="660"/>
      <c r="S446" s="660"/>
      <c r="T446" s="660"/>
      <c r="U446" s="660"/>
      <c r="V446" s="660"/>
      <c r="W446" s="660"/>
      <c r="X446" s="660"/>
      <c r="Y446" s="660"/>
      <c r="Z446" s="660"/>
      <c r="AA446" s="660"/>
      <c r="AB446" s="660"/>
      <c r="AC446" s="661"/>
      <c r="AD446" s="606"/>
      <c r="AE446" s="606"/>
      <c r="AF446" s="606"/>
      <c r="AG446" s="606"/>
    </row>
    <row r="447" spans="1:33" s="612" customFormat="1" hidden="1" outlineLevel="3" x14ac:dyDescent="0.2">
      <c r="A447" s="606"/>
      <c r="B447" s="606"/>
      <c r="C447" s="607"/>
      <c r="D447" s="608"/>
      <c r="E447" s="608"/>
      <c r="F447" s="608"/>
      <c r="G447" s="608"/>
      <c r="H447" s="609"/>
      <c r="I447" s="660"/>
      <c r="J447" s="660"/>
      <c r="K447" s="660"/>
      <c r="L447" s="660"/>
      <c r="M447" s="660"/>
      <c r="N447" s="660"/>
      <c r="O447" s="660"/>
      <c r="P447" s="660"/>
      <c r="Q447" s="660"/>
      <c r="R447" s="660"/>
      <c r="S447" s="660"/>
      <c r="T447" s="660"/>
      <c r="U447" s="660"/>
      <c r="V447" s="660"/>
      <c r="W447" s="660"/>
      <c r="X447" s="660"/>
      <c r="Y447" s="660"/>
      <c r="Z447" s="660"/>
      <c r="AA447" s="660"/>
      <c r="AB447" s="660"/>
      <c r="AC447" s="661"/>
      <c r="AD447" s="606"/>
      <c r="AE447" s="606"/>
      <c r="AF447" s="606"/>
      <c r="AG447" s="606"/>
    </row>
    <row r="448" spans="1:33" s="612" customFormat="1" hidden="1" outlineLevel="3" x14ac:dyDescent="0.2">
      <c r="A448" s="606"/>
      <c r="B448" s="606"/>
      <c r="C448" s="607"/>
      <c r="D448" s="608"/>
      <c r="E448" s="608"/>
      <c r="F448" s="608"/>
      <c r="G448" s="608"/>
      <c r="H448" s="609"/>
      <c r="I448" s="660"/>
      <c r="J448" s="660"/>
      <c r="K448" s="660"/>
      <c r="L448" s="660"/>
      <c r="M448" s="660"/>
      <c r="N448" s="660"/>
      <c r="O448" s="660"/>
      <c r="P448" s="660"/>
      <c r="Q448" s="660"/>
      <c r="R448" s="660"/>
      <c r="S448" s="660"/>
      <c r="T448" s="660"/>
      <c r="U448" s="660"/>
      <c r="V448" s="660"/>
      <c r="W448" s="660"/>
      <c r="X448" s="660"/>
      <c r="Y448" s="660"/>
      <c r="Z448" s="660"/>
      <c r="AA448" s="660"/>
      <c r="AB448" s="660"/>
      <c r="AC448" s="661"/>
      <c r="AD448" s="606"/>
      <c r="AE448" s="606"/>
      <c r="AF448" s="606"/>
      <c r="AG448" s="606"/>
    </row>
    <row r="449" spans="1:33" s="612" customFormat="1" hidden="1" outlineLevel="3" x14ac:dyDescent="0.2">
      <c r="A449" s="606"/>
      <c r="B449" s="606"/>
      <c r="C449" s="607"/>
      <c r="D449" s="608"/>
      <c r="E449" s="608"/>
      <c r="F449" s="608"/>
      <c r="G449" s="608"/>
      <c r="H449" s="609"/>
      <c r="I449" s="660"/>
      <c r="J449" s="660"/>
      <c r="K449" s="660"/>
      <c r="L449" s="660"/>
      <c r="M449" s="660"/>
      <c r="N449" s="660"/>
      <c r="O449" s="660"/>
      <c r="P449" s="660"/>
      <c r="Q449" s="660"/>
      <c r="R449" s="660"/>
      <c r="S449" s="660"/>
      <c r="T449" s="660"/>
      <c r="U449" s="660"/>
      <c r="V449" s="660"/>
      <c r="W449" s="660"/>
      <c r="X449" s="660"/>
      <c r="Y449" s="660"/>
      <c r="Z449" s="660"/>
      <c r="AA449" s="660"/>
      <c r="AB449" s="660"/>
      <c r="AC449" s="661"/>
      <c r="AD449" s="606"/>
      <c r="AE449" s="606"/>
      <c r="AF449" s="606"/>
      <c r="AG449" s="606"/>
    </row>
    <row r="450" spans="1:33" s="612" customFormat="1" hidden="1" outlineLevel="3" x14ac:dyDescent="0.2">
      <c r="A450" s="606"/>
      <c r="B450" s="606"/>
      <c r="C450" s="607"/>
      <c r="D450" s="608"/>
      <c r="E450" s="608"/>
      <c r="F450" s="608"/>
      <c r="G450" s="608"/>
      <c r="H450" s="609"/>
      <c r="I450" s="660"/>
      <c r="J450" s="660"/>
      <c r="K450" s="660"/>
      <c r="L450" s="660"/>
      <c r="M450" s="660"/>
      <c r="N450" s="660"/>
      <c r="O450" s="660"/>
      <c r="P450" s="660"/>
      <c r="Q450" s="660"/>
      <c r="R450" s="660"/>
      <c r="S450" s="660"/>
      <c r="T450" s="660"/>
      <c r="U450" s="660"/>
      <c r="V450" s="660"/>
      <c r="W450" s="660"/>
      <c r="X450" s="660"/>
      <c r="Y450" s="660"/>
      <c r="Z450" s="660"/>
      <c r="AA450" s="660"/>
      <c r="AB450" s="660"/>
      <c r="AC450" s="661"/>
      <c r="AD450" s="606"/>
      <c r="AE450" s="606"/>
      <c r="AF450" s="606"/>
      <c r="AG450" s="606"/>
    </row>
    <row r="451" spans="1:33" s="612" customFormat="1" hidden="1" outlineLevel="3" x14ac:dyDescent="0.2">
      <c r="A451" s="606"/>
      <c r="B451" s="606"/>
      <c r="C451" s="607"/>
      <c r="D451" s="608"/>
      <c r="E451" s="608"/>
      <c r="F451" s="608"/>
      <c r="G451" s="608"/>
      <c r="H451" s="609"/>
      <c r="I451" s="660"/>
      <c r="J451" s="660"/>
      <c r="K451" s="660"/>
      <c r="L451" s="660"/>
      <c r="M451" s="660"/>
      <c r="N451" s="660"/>
      <c r="O451" s="660"/>
      <c r="P451" s="660"/>
      <c r="Q451" s="660"/>
      <c r="R451" s="660"/>
      <c r="S451" s="660"/>
      <c r="T451" s="660"/>
      <c r="U451" s="660"/>
      <c r="V451" s="660"/>
      <c r="W451" s="660"/>
      <c r="X451" s="660"/>
      <c r="Y451" s="660"/>
      <c r="Z451" s="660"/>
      <c r="AA451" s="660"/>
      <c r="AB451" s="660"/>
      <c r="AC451" s="661"/>
      <c r="AD451" s="606"/>
      <c r="AE451" s="606"/>
      <c r="AF451" s="606"/>
      <c r="AG451" s="606"/>
    </row>
    <row r="452" spans="1:33" s="612" customFormat="1" hidden="1" outlineLevel="3" x14ac:dyDescent="0.2">
      <c r="A452" s="606"/>
      <c r="B452" s="606"/>
      <c r="C452" s="607"/>
      <c r="D452" s="608"/>
      <c r="E452" s="608"/>
      <c r="F452" s="608"/>
      <c r="G452" s="608"/>
      <c r="H452" s="609"/>
      <c r="I452" s="660"/>
      <c r="J452" s="660"/>
      <c r="K452" s="660"/>
      <c r="L452" s="660"/>
      <c r="M452" s="660"/>
      <c r="N452" s="660"/>
      <c r="O452" s="660"/>
      <c r="P452" s="660"/>
      <c r="Q452" s="660"/>
      <c r="R452" s="660"/>
      <c r="S452" s="660"/>
      <c r="T452" s="660"/>
      <c r="U452" s="660"/>
      <c r="V452" s="660"/>
      <c r="W452" s="660"/>
      <c r="X452" s="660"/>
      <c r="Y452" s="660"/>
      <c r="Z452" s="660"/>
      <c r="AA452" s="660"/>
      <c r="AB452" s="660"/>
      <c r="AC452" s="661"/>
      <c r="AD452" s="606"/>
      <c r="AE452" s="606"/>
      <c r="AF452" s="606"/>
      <c r="AG452" s="606"/>
    </row>
    <row r="453" spans="1:33" s="612" customFormat="1" hidden="1" outlineLevel="3" x14ac:dyDescent="0.2">
      <c r="A453" s="606"/>
      <c r="B453" s="606"/>
      <c r="C453" s="607"/>
      <c r="D453" s="608"/>
      <c r="E453" s="608"/>
      <c r="F453" s="608"/>
      <c r="G453" s="608"/>
      <c r="H453" s="609"/>
      <c r="I453" s="660"/>
      <c r="J453" s="660"/>
      <c r="K453" s="660"/>
      <c r="L453" s="660"/>
      <c r="M453" s="660"/>
      <c r="N453" s="660"/>
      <c r="O453" s="660"/>
      <c r="P453" s="660"/>
      <c r="Q453" s="660"/>
      <c r="R453" s="660"/>
      <c r="S453" s="660"/>
      <c r="T453" s="660"/>
      <c r="U453" s="660"/>
      <c r="V453" s="660"/>
      <c r="W453" s="660"/>
      <c r="X453" s="660"/>
      <c r="Y453" s="660"/>
      <c r="Z453" s="660"/>
      <c r="AA453" s="660"/>
      <c r="AB453" s="660"/>
      <c r="AC453" s="661"/>
      <c r="AD453" s="606"/>
      <c r="AE453" s="606"/>
      <c r="AF453" s="606"/>
      <c r="AG453" s="606"/>
    </row>
    <row r="454" spans="1:33" s="612" customFormat="1" hidden="1" outlineLevel="3" x14ac:dyDescent="0.2">
      <c r="A454" s="606"/>
      <c r="B454" s="606"/>
      <c r="C454" s="607"/>
      <c r="D454" s="608"/>
      <c r="E454" s="608"/>
      <c r="F454" s="608"/>
      <c r="G454" s="608"/>
      <c r="H454" s="609"/>
      <c r="I454" s="660"/>
      <c r="J454" s="660"/>
      <c r="K454" s="660"/>
      <c r="L454" s="660"/>
      <c r="M454" s="660"/>
      <c r="N454" s="660"/>
      <c r="O454" s="660"/>
      <c r="P454" s="660"/>
      <c r="Q454" s="660"/>
      <c r="R454" s="660"/>
      <c r="S454" s="660"/>
      <c r="T454" s="660"/>
      <c r="U454" s="660"/>
      <c r="V454" s="660"/>
      <c r="W454" s="660"/>
      <c r="X454" s="660"/>
      <c r="Y454" s="660"/>
      <c r="Z454" s="660"/>
      <c r="AA454" s="660"/>
      <c r="AB454" s="660"/>
      <c r="AC454" s="661"/>
      <c r="AD454" s="606"/>
      <c r="AE454" s="606"/>
      <c r="AF454" s="606"/>
      <c r="AG454" s="606"/>
    </row>
    <row r="455" spans="1:33" s="612" customFormat="1" hidden="1" outlineLevel="3" x14ac:dyDescent="0.2">
      <c r="A455" s="606"/>
      <c r="B455" s="606"/>
      <c r="C455" s="607"/>
      <c r="D455" s="608"/>
      <c r="E455" s="608"/>
      <c r="F455" s="608"/>
      <c r="G455" s="608"/>
      <c r="H455" s="609"/>
      <c r="I455" s="660"/>
      <c r="J455" s="660"/>
      <c r="K455" s="660"/>
      <c r="L455" s="660"/>
      <c r="M455" s="660"/>
      <c r="N455" s="660"/>
      <c r="O455" s="660"/>
      <c r="P455" s="660"/>
      <c r="Q455" s="660"/>
      <c r="R455" s="660"/>
      <c r="S455" s="660"/>
      <c r="T455" s="660"/>
      <c r="U455" s="660"/>
      <c r="V455" s="660"/>
      <c r="W455" s="660"/>
      <c r="X455" s="660"/>
      <c r="Y455" s="660"/>
      <c r="Z455" s="660"/>
      <c r="AA455" s="660"/>
      <c r="AB455" s="660"/>
      <c r="AC455" s="661"/>
      <c r="AD455" s="606"/>
      <c r="AE455" s="606"/>
      <c r="AF455" s="606"/>
      <c r="AG455" s="606"/>
    </row>
    <row r="456" spans="1:33" s="612" customFormat="1" hidden="1" outlineLevel="3" x14ac:dyDescent="0.2">
      <c r="A456" s="606"/>
      <c r="B456" s="606"/>
      <c r="C456" s="607"/>
      <c r="D456" s="608"/>
      <c r="E456" s="608"/>
      <c r="F456" s="608"/>
      <c r="G456" s="608"/>
      <c r="H456" s="609"/>
      <c r="I456" s="660"/>
      <c r="J456" s="660"/>
      <c r="K456" s="660"/>
      <c r="L456" s="660"/>
      <c r="M456" s="660"/>
      <c r="N456" s="660"/>
      <c r="O456" s="660"/>
      <c r="P456" s="660"/>
      <c r="Q456" s="660"/>
      <c r="R456" s="660"/>
      <c r="S456" s="660"/>
      <c r="T456" s="660"/>
      <c r="U456" s="660"/>
      <c r="V456" s="660"/>
      <c r="W456" s="660"/>
      <c r="X456" s="660"/>
      <c r="Y456" s="660"/>
      <c r="Z456" s="660"/>
      <c r="AA456" s="660"/>
      <c r="AB456" s="660"/>
      <c r="AC456" s="661"/>
      <c r="AD456" s="606"/>
      <c r="AE456" s="606"/>
      <c r="AF456" s="606"/>
      <c r="AG456" s="606"/>
    </row>
    <row r="457" spans="1:33" s="612" customFormat="1" hidden="1" outlineLevel="3" x14ac:dyDescent="0.2">
      <c r="A457" s="606"/>
      <c r="B457" s="606"/>
      <c r="C457" s="607"/>
      <c r="D457" s="608"/>
      <c r="E457" s="608"/>
      <c r="F457" s="608"/>
      <c r="G457" s="608"/>
      <c r="H457" s="609"/>
      <c r="I457" s="660"/>
      <c r="J457" s="660"/>
      <c r="K457" s="660"/>
      <c r="L457" s="660"/>
      <c r="M457" s="660"/>
      <c r="N457" s="660"/>
      <c r="O457" s="660"/>
      <c r="P457" s="660"/>
      <c r="Q457" s="660"/>
      <c r="R457" s="660"/>
      <c r="S457" s="660"/>
      <c r="T457" s="660"/>
      <c r="U457" s="660"/>
      <c r="V457" s="660"/>
      <c r="W457" s="660"/>
      <c r="X457" s="660"/>
      <c r="Y457" s="660"/>
      <c r="Z457" s="660"/>
      <c r="AA457" s="660"/>
      <c r="AB457" s="660"/>
      <c r="AC457" s="661"/>
      <c r="AD457" s="606"/>
      <c r="AE457" s="606"/>
      <c r="AF457" s="606"/>
      <c r="AG457" s="606"/>
    </row>
    <row r="458" spans="1:33" s="612" customFormat="1" hidden="1" outlineLevel="3" x14ac:dyDescent="0.2">
      <c r="A458" s="606"/>
      <c r="B458" s="606"/>
      <c r="C458" s="607"/>
      <c r="D458" s="608"/>
      <c r="E458" s="608"/>
      <c r="F458" s="608"/>
      <c r="G458" s="608"/>
      <c r="H458" s="609"/>
      <c r="I458" s="660"/>
      <c r="J458" s="660"/>
      <c r="K458" s="660"/>
      <c r="L458" s="660"/>
      <c r="M458" s="660"/>
      <c r="N458" s="660"/>
      <c r="O458" s="660"/>
      <c r="P458" s="660"/>
      <c r="Q458" s="660"/>
      <c r="R458" s="660"/>
      <c r="S458" s="660"/>
      <c r="T458" s="660"/>
      <c r="U458" s="660"/>
      <c r="V458" s="660"/>
      <c r="W458" s="660"/>
      <c r="X458" s="660"/>
      <c r="Y458" s="660"/>
      <c r="Z458" s="660"/>
      <c r="AA458" s="660"/>
      <c r="AB458" s="660"/>
      <c r="AC458" s="661"/>
      <c r="AD458" s="606"/>
      <c r="AE458" s="606"/>
      <c r="AF458" s="606"/>
      <c r="AG458" s="606"/>
    </row>
    <row r="459" spans="1:33" s="612" customFormat="1" hidden="1" outlineLevel="3" x14ac:dyDescent="0.2">
      <c r="A459" s="606"/>
      <c r="B459" s="606"/>
      <c r="C459" s="607"/>
      <c r="D459" s="608"/>
      <c r="E459" s="608"/>
      <c r="F459" s="608"/>
      <c r="G459" s="608"/>
      <c r="H459" s="609"/>
      <c r="I459" s="660"/>
      <c r="J459" s="660"/>
      <c r="K459" s="660"/>
      <c r="L459" s="660"/>
      <c r="M459" s="660"/>
      <c r="N459" s="660"/>
      <c r="O459" s="660"/>
      <c r="P459" s="660"/>
      <c r="Q459" s="660"/>
      <c r="R459" s="660"/>
      <c r="S459" s="660"/>
      <c r="T459" s="660"/>
      <c r="U459" s="660"/>
      <c r="V459" s="660"/>
      <c r="W459" s="660"/>
      <c r="X459" s="660"/>
      <c r="Y459" s="660"/>
      <c r="Z459" s="660"/>
      <c r="AA459" s="660"/>
      <c r="AB459" s="660"/>
      <c r="AC459" s="661"/>
      <c r="AD459" s="606"/>
      <c r="AE459" s="606"/>
      <c r="AF459" s="606"/>
      <c r="AG459" s="606"/>
    </row>
    <row r="460" spans="1:33" s="612" customFormat="1" hidden="1" outlineLevel="3" x14ac:dyDescent="0.2">
      <c r="A460" s="606"/>
      <c r="B460" s="606"/>
      <c r="C460" s="607"/>
      <c r="D460" s="608"/>
      <c r="E460" s="608"/>
      <c r="F460" s="608"/>
      <c r="G460" s="608"/>
      <c r="H460" s="609"/>
      <c r="I460" s="660"/>
      <c r="J460" s="660"/>
      <c r="K460" s="660"/>
      <c r="L460" s="660"/>
      <c r="M460" s="660"/>
      <c r="N460" s="660"/>
      <c r="O460" s="660"/>
      <c r="P460" s="660"/>
      <c r="Q460" s="660"/>
      <c r="R460" s="660"/>
      <c r="S460" s="660"/>
      <c r="T460" s="660"/>
      <c r="U460" s="660"/>
      <c r="V460" s="660"/>
      <c r="W460" s="660"/>
      <c r="X460" s="660"/>
      <c r="Y460" s="660"/>
      <c r="Z460" s="660"/>
      <c r="AA460" s="660"/>
      <c r="AB460" s="660"/>
      <c r="AC460" s="661"/>
      <c r="AD460" s="606"/>
      <c r="AE460" s="606"/>
      <c r="AF460" s="606"/>
      <c r="AG460" s="606"/>
    </row>
    <row r="461" spans="1:33" s="612" customFormat="1" hidden="1" outlineLevel="3" x14ac:dyDescent="0.2">
      <c r="A461" s="606"/>
      <c r="B461" s="606"/>
      <c r="C461" s="607"/>
      <c r="D461" s="608"/>
      <c r="E461" s="608"/>
      <c r="F461" s="608"/>
      <c r="G461" s="608"/>
      <c r="H461" s="609"/>
      <c r="I461" s="660"/>
      <c r="J461" s="660"/>
      <c r="K461" s="660"/>
      <c r="L461" s="660"/>
      <c r="M461" s="660"/>
      <c r="N461" s="660"/>
      <c r="O461" s="660"/>
      <c r="P461" s="660"/>
      <c r="Q461" s="660"/>
      <c r="R461" s="660"/>
      <c r="S461" s="660"/>
      <c r="T461" s="660"/>
      <c r="U461" s="660"/>
      <c r="V461" s="660"/>
      <c r="W461" s="660"/>
      <c r="X461" s="660"/>
      <c r="Y461" s="660"/>
      <c r="Z461" s="660"/>
      <c r="AA461" s="660"/>
      <c r="AB461" s="660"/>
      <c r="AC461" s="661"/>
      <c r="AD461" s="606"/>
      <c r="AE461" s="606"/>
      <c r="AF461" s="606"/>
      <c r="AG461" s="606"/>
    </row>
    <row r="462" spans="1:33" s="612" customFormat="1" hidden="1" outlineLevel="3" x14ac:dyDescent="0.2">
      <c r="A462" s="606"/>
      <c r="B462" s="606"/>
      <c r="C462" s="607"/>
      <c r="D462" s="608"/>
      <c r="E462" s="608"/>
      <c r="F462" s="608"/>
      <c r="G462" s="608"/>
      <c r="H462" s="609"/>
      <c r="I462" s="660"/>
      <c r="J462" s="660"/>
      <c r="K462" s="660"/>
      <c r="L462" s="660"/>
      <c r="M462" s="660"/>
      <c r="N462" s="660"/>
      <c r="O462" s="660"/>
      <c r="P462" s="660"/>
      <c r="Q462" s="660"/>
      <c r="R462" s="660"/>
      <c r="S462" s="660"/>
      <c r="T462" s="660"/>
      <c r="U462" s="660"/>
      <c r="V462" s="660"/>
      <c r="W462" s="660"/>
      <c r="X462" s="660"/>
      <c r="Y462" s="660"/>
      <c r="Z462" s="660"/>
      <c r="AA462" s="660"/>
      <c r="AB462" s="660"/>
      <c r="AC462" s="661"/>
      <c r="AD462" s="606"/>
      <c r="AE462" s="606"/>
      <c r="AF462" s="606"/>
      <c r="AG462" s="606"/>
    </row>
    <row r="463" spans="1:33" s="612" customFormat="1" hidden="1" outlineLevel="3" x14ac:dyDescent="0.2">
      <c r="A463" s="606"/>
      <c r="B463" s="606"/>
      <c r="C463" s="607"/>
      <c r="D463" s="608"/>
      <c r="E463" s="608"/>
      <c r="F463" s="608"/>
      <c r="G463" s="608"/>
      <c r="H463" s="609"/>
      <c r="I463" s="660"/>
      <c r="J463" s="660"/>
      <c r="K463" s="660"/>
      <c r="L463" s="660"/>
      <c r="M463" s="660"/>
      <c r="N463" s="660"/>
      <c r="O463" s="660"/>
      <c r="P463" s="660"/>
      <c r="Q463" s="660"/>
      <c r="R463" s="660"/>
      <c r="S463" s="660"/>
      <c r="T463" s="660"/>
      <c r="U463" s="660"/>
      <c r="V463" s="660"/>
      <c r="W463" s="660"/>
      <c r="X463" s="660"/>
      <c r="Y463" s="660"/>
      <c r="Z463" s="660"/>
      <c r="AA463" s="660"/>
      <c r="AB463" s="660"/>
      <c r="AC463" s="661"/>
      <c r="AD463" s="606"/>
      <c r="AE463" s="606"/>
      <c r="AF463" s="606"/>
      <c r="AG463" s="606"/>
    </row>
    <row r="464" spans="1:33" s="612" customFormat="1" hidden="1" outlineLevel="3" x14ac:dyDescent="0.2">
      <c r="A464" s="606"/>
      <c r="B464" s="606"/>
      <c r="C464" s="607"/>
      <c r="D464" s="608"/>
      <c r="E464" s="608"/>
      <c r="F464" s="608"/>
      <c r="G464" s="608"/>
      <c r="H464" s="609"/>
      <c r="I464" s="660"/>
      <c r="J464" s="660"/>
      <c r="K464" s="660"/>
      <c r="L464" s="660"/>
      <c r="M464" s="660"/>
      <c r="N464" s="660"/>
      <c r="O464" s="660"/>
      <c r="P464" s="660"/>
      <c r="Q464" s="660"/>
      <c r="R464" s="660"/>
      <c r="S464" s="660"/>
      <c r="T464" s="660"/>
      <c r="U464" s="660"/>
      <c r="V464" s="660"/>
      <c r="W464" s="660"/>
      <c r="X464" s="660"/>
      <c r="Y464" s="660"/>
      <c r="Z464" s="660"/>
      <c r="AA464" s="660"/>
      <c r="AB464" s="660"/>
      <c r="AC464" s="661"/>
      <c r="AD464" s="606"/>
      <c r="AE464" s="606"/>
      <c r="AF464" s="606"/>
      <c r="AG464" s="606"/>
    </row>
    <row r="465" spans="1:33" s="612" customFormat="1" hidden="1" outlineLevel="3" x14ac:dyDescent="0.2">
      <c r="A465" s="606"/>
      <c r="B465" s="606"/>
      <c r="C465" s="607"/>
      <c r="D465" s="608"/>
      <c r="E465" s="608"/>
      <c r="F465" s="608"/>
      <c r="G465" s="608"/>
      <c r="H465" s="609"/>
      <c r="I465" s="660"/>
      <c r="J465" s="660"/>
      <c r="K465" s="660"/>
      <c r="L465" s="660"/>
      <c r="M465" s="660"/>
      <c r="N465" s="660"/>
      <c r="O465" s="660"/>
      <c r="P465" s="660"/>
      <c r="Q465" s="660"/>
      <c r="R465" s="660"/>
      <c r="S465" s="660"/>
      <c r="T465" s="660"/>
      <c r="U465" s="660"/>
      <c r="V465" s="660"/>
      <c r="W465" s="660"/>
      <c r="X465" s="660"/>
      <c r="Y465" s="660"/>
      <c r="Z465" s="660"/>
      <c r="AA465" s="660"/>
      <c r="AB465" s="660"/>
      <c r="AC465" s="661"/>
      <c r="AD465" s="606"/>
      <c r="AE465" s="606"/>
      <c r="AF465" s="606"/>
      <c r="AG465" s="606"/>
    </row>
    <row r="466" spans="1:33" s="612" customFormat="1" hidden="1" outlineLevel="3" x14ac:dyDescent="0.2">
      <c r="A466" s="606"/>
      <c r="B466" s="606"/>
      <c r="C466" s="607"/>
      <c r="D466" s="608"/>
      <c r="E466" s="608"/>
      <c r="F466" s="608"/>
      <c r="G466" s="608"/>
      <c r="H466" s="609"/>
      <c r="I466" s="660"/>
      <c r="J466" s="660"/>
      <c r="K466" s="660"/>
      <c r="L466" s="660"/>
      <c r="M466" s="660"/>
      <c r="N466" s="660"/>
      <c r="O466" s="660"/>
      <c r="P466" s="660"/>
      <c r="Q466" s="660"/>
      <c r="R466" s="660"/>
      <c r="S466" s="660"/>
      <c r="T466" s="660"/>
      <c r="U466" s="660"/>
      <c r="V466" s="660"/>
      <c r="W466" s="660"/>
      <c r="X466" s="660"/>
      <c r="Y466" s="660"/>
      <c r="Z466" s="660"/>
      <c r="AA466" s="660"/>
      <c r="AB466" s="660"/>
      <c r="AC466" s="661"/>
      <c r="AD466" s="606"/>
      <c r="AE466" s="606"/>
      <c r="AF466" s="606"/>
      <c r="AG466" s="606"/>
    </row>
    <row r="467" spans="1:33" s="612" customFormat="1" hidden="1" outlineLevel="3" x14ac:dyDescent="0.2">
      <c r="A467" s="606"/>
      <c r="B467" s="606"/>
      <c r="C467" s="607"/>
      <c r="D467" s="608"/>
      <c r="E467" s="608"/>
      <c r="F467" s="608"/>
      <c r="G467" s="608"/>
      <c r="H467" s="609"/>
      <c r="I467" s="660"/>
      <c r="J467" s="660"/>
      <c r="K467" s="660"/>
      <c r="L467" s="660"/>
      <c r="M467" s="660"/>
      <c r="N467" s="660"/>
      <c r="O467" s="660"/>
      <c r="P467" s="660"/>
      <c r="Q467" s="660"/>
      <c r="R467" s="660"/>
      <c r="S467" s="660"/>
      <c r="T467" s="660"/>
      <c r="U467" s="660"/>
      <c r="V467" s="660"/>
      <c r="W467" s="660"/>
      <c r="X467" s="660"/>
      <c r="Y467" s="660"/>
      <c r="Z467" s="660"/>
      <c r="AA467" s="660"/>
      <c r="AB467" s="660"/>
      <c r="AC467" s="661"/>
      <c r="AD467" s="606"/>
      <c r="AE467" s="606"/>
      <c r="AF467" s="606"/>
      <c r="AG467" s="606"/>
    </row>
    <row r="468" spans="1:33" s="612" customFormat="1" hidden="1" outlineLevel="3" x14ac:dyDescent="0.2">
      <c r="A468" s="606"/>
      <c r="B468" s="606"/>
      <c r="C468" s="607"/>
      <c r="D468" s="608"/>
      <c r="E468" s="608"/>
      <c r="F468" s="608"/>
      <c r="G468" s="608"/>
      <c r="H468" s="609"/>
      <c r="I468" s="660"/>
      <c r="J468" s="660"/>
      <c r="K468" s="660"/>
      <c r="L468" s="660"/>
      <c r="M468" s="660"/>
      <c r="N468" s="660"/>
      <c r="O468" s="660"/>
      <c r="P468" s="660"/>
      <c r="Q468" s="660"/>
      <c r="R468" s="660"/>
      <c r="S468" s="660"/>
      <c r="T468" s="660"/>
      <c r="U468" s="660"/>
      <c r="V468" s="660"/>
      <c r="W468" s="660"/>
      <c r="X468" s="660"/>
      <c r="Y468" s="660"/>
      <c r="Z468" s="660"/>
      <c r="AA468" s="660"/>
      <c r="AB468" s="660"/>
      <c r="AC468" s="661"/>
      <c r="AD468" s="606"/>
      <c r="AE468" s="606"/>
      <c r="AF468" s="606"/>
      <c r="AG468" s="606"/>
    </row>
    <row r="469" spans="1:33" s="612" customFormat="1" hidden="1" outlineLevel="3" x14ac:dyDescent="0.2">
      <c r="A469" s="606"/>
      <c r="B469" s="606"/>
      <c r="C469" s="607"/>
      <c r="D469" s="608"/>
      <c r="E469" s="608"/>
      <c r="F469" s="608"/>
      <c r="G469" s="608"/>
      <c r="H469" s="609"/>
      <c r="I469" s="660"/>
      <c r="J469" s="660"/>
      <c r="K469" s="660"/>
      <c r="L469" s="660"/>
      <c r="M469" s="660"/>
      <c r="N469" s="660"/>
      <c r="O469" s="660"/>
      <c r="P469" s="660"/>
      <c r="Q469" s="660"/>
      <c r="R469" s="660"/>
      <c r="S469" s="660"/>
      <c r="T469" s="660"/>
      <c r="U469" s="660"/>
      <c r="V469" s="660"/>
      <c r="W469" s="660"/>
      <c r="X469" s="660"/>
      <c r="Y469" s="660"/>
      <c r="Z469" s="660"/>
      <c r="AA469" s="660"/>
      <c r="AB469" s="660"/>
      <c r="AC469" s="661"/>
      <c r="AD469" s="606"/>
      <c r="AE469" s="606"/>
      <c r="AF469" s="606"/>
      <c r="AG469" s="606"/>
    </row>
    <row r="470" spans="1:33" s="612" customFormat="1" hidden="1" outlineLevel="3" x14ac:dyDescent="0.2">
      <c r="A470" s="606"/>
      <c r="B470" s="606"/>
      <c r="C470" s="607"/>
      <c r="D470" s="608"/>
      <c r="E470" s="608"/>
      <c r="F470" s="608"/>
      <c r="G470" s="608"/>
      <c r="H470" s="609"/>
      <c r="I470" s="660"/>
      <c r="J470" s="660"/>
      <c r="K470" s="660"/>
      <c r="L470" s="660"/>
      <c r="M470" s="660"/>
      <c r="N470" s="660"/>
      <c r="O470" s="660"/>
      <c r="P470" s="660"/>
      <c r="Q470" s="660"/>
      <c r="R470" s="660"/>
      <c r="S470" s="660"/>
      <c r="T470" s="660"/>
      <c r="U470" s="660"/>
      <c r="V470" s="660"/>
      <c r="W470" s="660"/>
      <c r="X470" s="660"/>
      <c r="Y470" s="660"/>
      <c r="Z470" s="660"/>
      <c r="AA470" s="660"/>
      <c r="AB470" s="660"/>
      <c r="AC470" s="661"/>
      <c r="AD470" s="606"/>
      <c r="AE470" s="606"/>
      <c r="AF470" s="606"/>
      <c r="AG470" s="606"/>
    </row>
    <row r="471" spans="1:33" s="612" customFormat="1" hidden="1" outlineLevel="3" x14ac:dyDescent="0.2">
      <c r="A471" s="606"/>
      <c r="B471" s="606"/>
      <c r="C471" s="607"/>
      <c r="D471" s="608"/>
      <c r="E471" s="608"/>
      <c r="F471" s="608"/>
      <c r="G471" s="608"/>
      <c r="H471" s="609"/>
      <c r="I471" s="660"/>
      <c r="J471" s="660"/>
      <c r="K471" s="660"/>
      <c r="L471" s="660"/>
      <c r="M471" s="660"/>
      <c r="N471" s="660"/>
      <c r="O471" s="660"/>
      <c r="P471" s="660"/>
      <c r="Q471" s="660"/>
      <c r="R471" s="660"/>
      <c r="S471" s="660"/>
      <c r="T471" s="660"/>
      <c r="U471" s="660"/>
      <c r="V471" s="660"/>
      <c r="W471" s="660"/>
      <c r="X471" s="660"/>
      <c r="Y471" s="660"/>
      <c r="Z471" s="660"/>
      <c r="AA471" s="660"/>
      <c r="AB471" s="660"/>
      <c r="AC471" s="661"/>
      <c r="AD471" s="606"/>
      <c r="AE471" s="606"/>
      <c r="AF471" s="606"/>
      <c r="AG471" s="606"/>
    </row>
    <row r="472" spans="1:33" s="612" customFormat="1" hidden="1" outlineLevel="3" x14ac:dyDescent="0.2">
      <c r="A472" s="606"/>
      <c r="B472" s="606"/>
      <c r="C472" s="607"/>
      <c r="D472" s="608"/>
      <c r="E472" s="608"/>
      <c r="F472" s="608"/>
      <c r="G472" s="608"/>
      <c r="H472" s="609"/>
      <c r="I472" s="660"/>
      <c r="J472" s="660"/>
      <c r="K472" s="660"/>
      <c r="L472" s="660"/>
      <c r="M472" s="660"/>
      <c r="N472" s="660"/>
      <c r="O472" s="660"/>
      <c r="P472" s="660"/>
      <c r="Q472" s="660"/>
      <c r="R472" s="660"/>
      <c r="S472" s="660"/>
      <c r="T472" s="660"/>
      <c r="U472" s="660"/>
      <c r="V472" s="660"/>
      <c r="W472" s="660"/>
      <c r="X472" s="660"/>
      <c r="Y472" s="660"/>
      <c r="Z472" s="660"/>
      <c r="AA472" s="660"/>
      <c r="AB472" s="660"/>
      <c r="AC472" s="661"/>
      <c r="AD472" s="606"/>
      <c r="AE472" s="606"/>
      <c r="AF472" s="606"/>
      <c r="AG472" s="606"/>
    </row>
    <row r="473" spans="1:33" s="612" customFormat="1" hidden="1" outlineLevel="3" x14ac:dyDescent="0.2">
      <c r="A473" s="606"/>
      <c r="B473" s="606"/>
      <c r="C473" s="607"/>
      <c r="D473" s="608"/>
      <c r="E473" s="608"/>
      <c r="F473" s="608"/>
      <c r="G473" s="608"/>
      <c r="H473" s="609"/>
      <c r="I473" s="660"/>
      <c r="J473" s="660"/>
      <c r="K473" s="660"/>
      <c r="L473" s="660"/>
      <c r="M473" s="660"/>
      <c r="N473" s="660"/>
      <c r="O473" s="660"/>
      <c r="P473" s="660"/>
      <c r="Q473" s="660"/>
      <c r="R473" s="660"/>
      <c r="S473" s="660"/>
      <c r="T473" s="660"/>
      <c r="U473" s="660"/>
      <c r="V473" s="660"/>
      <c r="W473" s="660"/>
      <c r="X473" s="660"/>
      <c r="Y473" s="660"/>
      <c r="Z473" s="660"/>
      <c r="AA473" s="660"/>
      <c r="AB473" s="660"/>
      <c r="AC473" s="661"/>
      <c r="AD473" s="606"/>
      <c r="AE473" s="606"/>
      <c r="AF473" s="606"/>
      <c r="AG473" s="606"/>
    </row>
    <row r="474" spans="1:33" s="612" customFormat="1" hidden="1" outlineLevel="3" x14ac:dyDescent="0.2">
      <c r="A474" s="606"/>
      <c r="B474" s="606"/>
      <c r="C474" s="607"/>
      <c r="D474" s="608"/>
      <c r="E474" s="608"/>
      <c r="F474" s="608"/>
      <c r="G474" s="608"/>
      <c r="H474" s="609"/>
      <c r="I474" s="660"/>
      <c r="J474" s="660"/>
      <c r="K474" s="660"/>
      <c r="L474" s="660"/>
      <c r="M474" s="660"/>
      <c r="N474" s="660"/>
      <c r="O474" s="660"/>
      <c r="P474" s="660"/>
      <c r="Q474" s="660"/>
      <c r="R474" s="660"/>
      <c r="S474" s="660"/>
      <c r="T474" s="660"/>
      <c r="U474" s="660"/>
      <c r="V474" s="660"/>
      <c r="W474" s="660"/>
      <c r="X474" s="660"/>
      <c r="Y474" s="660"/>
      <c r="Z474" s="660"/>
      <c r="AA474" s="660"/>
      <c r="AB474" s="660"/>
      <c r="AC474" s="661"/>
      <c r="AD474" s="606"/>
      <c r="AE474" s="606"/>
      <c r="AF474" s="606"/>
      <c r="AG474" s="606"/>
    </row>
    <row r="475" spans="1:33" s="612" customFormat="1" hidden="1" outlineLevel="3" x14ac:dyDescent="0.2">
      <c r="A475" s="606"/>
      <c r="B475" s="606"/>
      <c r="C475" s="607"/>
      <c r="D475" s="608"/>
      <c r="E475" s="608"/>
      <c r="F475" s="608"/>
      <c r="G475" s="608"/>
      <c r="H475" s="609"/>
      <c r="I475" s="660"/>
      <c r="J475" s="660"/>
      <c r="K475" s="660"/>
      <c r="L475" s="660"/>
      <c r="M475" s="660"/>
      <c r="N475" s="660"/>
      <c r="O475" s="660"/>
      <c r="P475" s="660"/>
      <c r="Q475" s="660"/>
      <c r="R475" s="660"/>
      <c r="S475" s="660"/>
      <c r="T475" s="660"/>
      <c r="U475" s="660"/>
      <c r="V475" s="660"/>
      <c r="W475" s="660"/>
      <c r="X475" s="660"/>
      <c r="Y475" s="660"/>
      <c r="Z475" s="660"/>
      <c r="AA475" s="660"/>
      <c r="AB475" s="660"/>
      <c r="AC475" s="661"/>
      <c r="AD475" s="606"/>
      <c r="AE475" s="606"/>
      <c r="AF475" s="606"/>
      <c r="AG475" s="606"/>
    </row>
    <row r="476" spans="1:33" s="612" customFormat="1" hidden="1" outlineLevel="3" x14ac:dyDescent="0.2">
      <c r="A476" s="606"/>
      <c r="B476" s="606"/>
      <c r="C476" s="607"/>
      <c r="D476" s="608"/>
      <c r="E476" s="608"/>
      <c r="F476" s="608"/>
      <c r="G476" s="608"/>
      <c r="H476" s="609"/>
      <c r="I476" s="660"/>
      <c r="J476" s="660"/>
      <c r="K476" s="660"/>
      <c r="L476" s="660"/>
      <c r="M476" s="660"/>
      <c r="N476" s="660"/>
      <c r="O476" s="660"/>
      <c r="P476" s="660"/>
      <c r="Q476" s="660"/>
      <c r="R476" s="660"/>
      <c r="S476" s="660"/>
      <c r="T476" s="660"/>
      <c r="U476" s="660"/>
      <c r="V476" s="660"/>
      <c r="W476" s="660"/>
      <c r="X476" s="660"/>
      <c r="Y476" s="660"/>
      <c r="Z476" s="660"/>
      <c r="AA476" s="660"/>
      <c r="AB476" s="660"/>
      <c r="AC476" s="661"/>
      <c r="AD476" s="606"/>
      <c r="AE476" s="606"/>
      <c r="AF476" s="606"/>
      <c r="AG476" s="606"/>
    </row>
    <row r="477" spans="1:33" s="612" customFormat="1" hidden="1" outlineLevel="3" x14ac:dyDescent="0.2">
      <c r="A477" s="606"/>
      <c r="B477" s="606"/>
      <c r="C477" s="607"/>
      <c r="D477" s="608"/>
      <c r="E477" s="608"/>
      <c r="F477" s="608"/>
      <c r="G477" s="608"/>
      <c r="H477" s="609"/>
      <c r="I477" s="660"/>
      <c r="J477" s="660"/>
      <c r="K477" s="660"/>
      <c r="L477" s="660"/>
      <c r="M477" s="660"/>
      <c r="N477" s="660"/>
      <c r="O477" s="660"/>
      <c r="P477" s="660"/>
      <c r="Q477" s="660"/>
      <c r="R477" s="660"/>
      <c r="S477" s="660"/>
      <c r="T477" s="660"/>
      <c r="U477" s="660"/>
      <c r="V477" s="660"/>
      <c r="W477" s="660"/>
      <c r="X477" s="660"/>
      <c r="Y477" s="660"/>
      <c r="Z477" s="660"/>
      <c r="AA477" s="660"/>
      <c r="AB477" s="660"/>
      <c r="AC477" s="661"/>
      <c r="AD477" s="606"/>
      <c r="AE477" s="606"/>
      <c r="AF477" s="606"/>
      <c r="AG477" s="606"/>
    </row>
    <row r="478" spans="1:33" s="612" customFormat="1" hidden="1" outlineLevel="3" x14ac:dyDescent="0.2">
      <c r="A478" s="606"/>
      <c r="B478" s="606"/>
      <c r="C478" s="607"/>
      <c r="D478" s="608"/>
      <c r="E478" s="608"/>
      <c r="F478" s="608"/>
      <c r="G478" s="608"/>
      <c r="H478" s="609"/>
      <c r="I478" s="660"/>
      <c r="J478" s="660"/>
      <c r="K478" s="660"/>
      <c r="L478" s="660"/>
      <c r="M478" s="660"/>
      <c r="N478" s="660"/>
      <c r="O478" s="660"/>
      <c r="P478" s="660"/>
      <c r="Q478" s="660"/>
      <c r="R478" s="660"/>
      <c r="S478" s="660"/>
      <c r="T478" s="660"/>
      <c r="U478" s="660"/>
      <c r="V478" s="660"/>
      <c r="W478" s="660"/>
      <c r="X478" s="660"/>
      <c r="Y478" s="660"/>
      <c r="Z478" s="660"/>
      <c r="AA478" s="660"/>
      <c r="AB478" s="660"/>
      <c r="AC478" s="661"/>
      <c r="AD478" s="606"/>
      <c r="AE478" s="606"/>
      <c r="AF478" s="606"/>
      <c r="AG478" s="606"/>
    </row>
    <row r="479" spans="1:33" s="612" customFormat="1" hidden="1" outlineLevel="3" x14ac:dyDescent="0.2">
      <c r="A479" s="606"/>
      <c r="B479" s="606"/>
      <c r="C479" s="607"/>
      <c r="D479" s="608"/>
      <c r="E479" s="608"/>
      <c r="F479" s="608"/>
      <c r="G479" s="608"/>
      <c r="H479" s="609"/>
      <c r="I479" s="660"/>
      <c r="J479" s="660"/>
      <c r="K479" s="660"/>
      <c r="L479" s="660"/>
      <c r="M479" s="660"/>
      <c r="N479" s="660"/>
      <c r="O479" s="660"/>
      <c r="P479" s="660"/>
      <c r="Q479" s="660"/>
      <c r="R479" s="660"/>
      <c r="S479" s="660"/>
      <c r="T479" s="660"/>
      <c r="U479" s="660"/>
      <c r="V479" s="660"/>
      <c r="W479" s="660"/>
      <c r="X479" s="660"/>
      <c r="Y479" s="660"/>
      <c r="Z479" s="660"/>
      <c r="AA479" s="660"/>
      <c r="AB479" s="660"/>
      <c r="AC479" s="661"/>
      <c r="AD479" s="606"/>
      <c r="AE479" s="606"/>
      <c r="AF479" s="606"/>
      <c r="AG479" s="606"/>
    </row>
    <row r="480" spans="1:33" s="612" customFormat="1" hidden="1" outlineLevel="3" x14ac:dyDescent="0.2">
      <c r="A480" s="606"/>
      <c r="B480" s="606"/>
      <c r="C480" s="607"/>
      <c r="D480" s="608"/>
      <c r="E480" s="608"/>
      <c r="F480" s="608"/>
      <c r="G480" s="608"/>
      <c r="H480" s="609"/>
      <c r="I480" s="660"/>
      <c r="J480" s="660"/>
      <c r="K480" s="660"/>
      <c r="L480" s="660"/>
      <c r="M480" s="660"/>
      <c r="N480" s="660"/>
      <c r="O480" s="660"/>
      <c r="P480" s="660"/>
      <c r="Q480" s="660"/>
      <c r="R480" s="660"/>
      <c r="S480" s="660"/>
      <c r="T480" s="660"/>
      <c r="U480" s="660"/>
      <c r="V480" s="660"/>
      <c r="W480" s="660"/>
      <c r="X480" s="660"/>
      <c r="Y480" s="660"/>
      <c r="Z480" s="660"/>
      <c r="AA480" s="660"/>
      <c r="AB480" s="660"/>
      <c r="AC480" s="661"/>
      <c r="AD480" s="606"/>
      <c r="AE480" s="606"/>
      <c r="AF480" s="606"/>
      <c r="AG480" s="606"/>
    </row>
    <row r="481" spans="1:33" s="612" customFormat="1" hidden="1" outlineLevel="3" x14ac:dyDescent="0.2">
      <c r="A481" s="606"/>
      <c r="B481" s="606"/>
      <c r="C481" s="607"/>
      <c r="D481" s="608"/>
      <c r="E481" s="608"/>
      <c r="F481" s="608"/>
      <c r="G481" s="608"/>
      <c r="H481" s="609"/>
      <c r="I481" s="660"/>
      <c r="J481" s="660"/>
      <c r="K481" s="660"/>
      <c r="L481" s="660"/>
      <c r="M481" s="660"/>
      <c r="N481" s="660"/>
      <c r="O481" s="660"/>
      <c r="P481" s="660"/>
      <c r="Q481" s="660"/>
      <c r="R481" s="660"/>
      <c r="S481" s="660"/>
      <c r="T481" s="660"/>
      <c r="U481" s="660"/>
      <c r="V481" s="660"/>
      <c r="W481" s="660"/>
      <c r="X481" s="660"/>
      <c r="Y481" s="660"/>
      <c r="Z481" s="660"/>
      <c r="AA481" s="660"/>
      <c r="AB481" s="660"/>
      <c r="AC481" s="661"/>
      <c r="AD481" s="606"/>
      <c r="AE481" s="606"/>
      <c r="AF481" s="606"/>
      <c r="AG481" s="606"/>
    </row>
    <row r="482" spans="1:33" s="612" customFormat="1" hidden="1" outlineLevel="3" x14ac:dyDescent="0.2">
      <c r="A482" s="606"/>
      <c r="B482" s="606"/>
      <c r="C482" s="607"/>
      <c r="D482" s="608"/>
      <c r="E482" s="608"/>
      <c r="F482" s="608"/>
      <c r="G482" s="608"/>
      <c r="H482" s="609"/>
      <c r="I482" s="660"/>
      <c r="J482" s="660"/>
      <c r="K482" s="660"/>
      <c r="L482" s="660"/>
      <c r="M482" s="660"/>
      <c r="N482" s="660"/>
      <c r="O482" s="660"/>
      <c r="P482" s="660"/>
      <c r="Q482" s="660"/>
      <c r="R482" s="660"/>
      <c r="S482" s="660"/>
      <c r="T482" s="660"/>
      <c r="U482" s="660"/>
      <c r="V482" s="660"/>
      <c r="W482" s="660"/>
      <c r="X482" s="660"/>
      <c r="Y482" s="660"/>
      <c r="Z482" s="660"/>
      <c r="AA482" s="660"/>
      <c r="AB482" s="660"/>
      <c r="AC482" s="661"/>
      <c r="AD482" s="606"/>
      <c r="AE482" s="606"/>
      <c r="AF482" s="606"/>
      <c r="AG482" s="606"/>
    </row>
    <row r="483" spans="1:33" s="612" customFormat="1" hidden="1" outlineLevel="3" x14ac:dyDescent="0.2">
      <c r="A483" s="606"/>
      <c r="B483" s="606"/>
      <c r="C483" s="607"/>
      <c r="D483" s="608"/>
      <c r="E483" s="608"/>
      <c r="F483" s="608"/>
      <c r="G483" s="608"/>
      <c r="H483" s="609"/>
      <c r="I483" s="660"/>
      <c r="J483" s="660"/>
      <c r="K483" s="660"/>
      <c r="L483" s="660"/>
      <c r="M483" s="660"/>
      <c r="N483" s="660"/>
      <c r="O483" s="660"/>
      <c r="P483" s="660"/>
      <c r="Q483" s="660"/>
      <c r="R483" s="660"/>
      <c r="S483" s="660"/>
      <c r="T483" s="660"/>
      <c r="U483" s="660"/>
      <c r="V483" s="660"/>
      <c r="W483" s="660"/>
      <c r="X483" s="660"/>
      <c r="Y483" s="660"/>
      <c r="Z483" s="660"/>
      <c r="AA483" s="660"/>
      <c r="AB483" s="660"/>
      <c r="AC483" s="661"/>
      <c r="AD483" s="606"/>
      <c r="AE483" s="606"/>
      <c r="AF483" s="606"/>
      <c r="AG483" s="606"/>
    </row>
    <row r="484" spans="1:33" s="612" customFormat="1" hidden="1" outlineLevel="3" x14ac:dyDescent="0.2">
      <c r="A484" s="606"/>
      <c r="B484" s="606"/>
      <c r="C484" s="607"/>
      <c r="D484" s="608"/>
      <c r="E484" s="608"/>
      <c r="F484" s="608"/>
      <c r="G484" s="608"/>
      <c r="H484" s="609"/>
      <c r="I484" s="660"/>
      <c r="J484" s="660"/>
      <c r="K484" s="660"/>
      <c r="L484" s="660"/>
      <c r="M484" s="660"/>
      <c r="N484" s="660"/>
      <c r="O484" s="660"/>
      <c r="P484" s="660"/>
      <c r="Q484" s="660"/>
      <c r="R484" s="660"/>
      <c r="S484" s="660"/>
      <c r="T484" s="660"/>
      <c r="U484" s="660"/>
      <c r="V484" s="660"/>
      <c r="W484" s="660"/>
      <c r="X484" s="660"/>
      <c r="Y484" s="660"/>
      <c r="Z484" s="660"/>
      <c r="AA484" s="660"/>
      <c r="AB484" s="660"/>
      <c r="AC484" s="661"/>
      <c r="AD484" s="606"/>
      <c r="AE484" s="606"/>
      <c r="AF484" s="606"/>
      <c r="AG484" s="606"/>
    </row>
    <row r="485" spans="1:33" s="612" customFormat="1" hidden="1" outlineLevel="3" x14ac:dyDescent="0.2">
      <c r="A485" s="606"/>
      <c r="B485" s="606"/>
      <c r="C485" s="607"/>
      <c r="D485" s="608"/>
      <c r="E485" s="608"/>
      <c r="F485" s="608"/>
      <c r="G485" s="608"/>
      <c r="H485" s="609"/>
      <c r="I485" s="660"/>
      <c r="J485" s="660"/>
      <c r="K485" s="660"/>
      <c r="L485" s="660"/>
      <c r="M485" s="660"/>
      <c r="N485" s="660"/>
      <c r="O485" s="660"/>
      <c r="P485" s="660"/>
      <c r="Q485" s="660"/>
      <c r="R485" s="660"/>
      <c r="S485" s="660"/>
      <c r="T485" s="660"/>
      <c r="U485" s="660"/>
      <c r="V485" s="660"/>
      <c r="W485" s="660"/>
      <c r="X485" s="660"/>
      <c r="Y485" s="660"/>
      <c r="Z485" s="660"/>
      <c r="AA485" s="660"/>
      <c r="AB485" s="660"/>
      <c r="AC485" s="661"/>
      <c r="AD485" s="606"/>
      <c r="AE485" s="606"/>
      <c r="AF485" s="606"/>
      <c r="AG485" s="606"/>
    </row>
    <row r="486" spans="1:33" s="612" customFormat="1" hidden="1" outlineLevel="3" x14ac:dyDescent="0.2">
      <c r="A486" s="606"/>
      <c r="B486" s="606"/>
      <c r="C486" s="607"/>
      <c r="D486" s="608"/>
      <c r="E486" s="608"/>
      <c r="F486" s="608"/>
      <c r="G486" s="608"/>
      <c r="H486" s="609"/>
      <c r="I486" s="660"/>
      <c r="J486" s="660"/>
      <c r="K486" s="660"/>
      <c r="L486" s="660"/>
      <c r="M486" s="660"/>
      <c r="N486" s="660"/>
      <c r="O486" s="660"/>
      <c r="P486" s="660"/>
      <c r="Q486" s="660"/>
      <c r="R486" s="660"/>
      <c r="S486" s="660"/>
      <c r="T486" s="660"/>
      <c r="U486" s="660"/>
      <c r="V486" s="660"/>
      <c r="W486" s="660"/>
      <c r="X486" s="660"/>
      <c r="Y486" s="660"/>
      <c r="Z486" s="660"/>
      <c r="AA486" s="660"/>
      <c r="AB486" s="660"/>
      <c r="AC486" s="661"/>
      <c r="AD486" s="606"/>
      <c r="AE486" s="606"/>
      <c r="AF486" s="606"/>
      <c r="AG486" s="606"/>
    </row>
    <row r="487" spans="1:33" s="612" customFormat="1" hidden="1" outlineLevel="3" x14ac:dyDescent="0.2">
      <c r="A487" s="606"/>
      <c r="B487" s="606"/>
      <c r="C487" s="607"/>
      <c r="D487" s="608"/>
      <c r="E487" s="608"/>
      <c r="F487" s="608"/>
      <c r="G487" s="608"/>
      <c r="H487" s="609"/>
      <c r="I487" s="660"/>
      <c r="J487" s="660"/>
      <c r="K487" s="660"/>
      <c r="L487" s="660"/>
      <c r="M487" s="660"/>
      <c r="N487" s="660"/>
      <c r="O487" s="660"/>
      <c r="P487" s="660"/>
      <c r="Q487" s="660"/>
      <c r="R487" s="660"/>
      <c r="S487" s="660"/>
      <c r="T487" s="660"/>
      <c r="U487" s="660"/>
      <c r="V487" s="660"/>
      <c r="W487" s="660"/>
      <c r="X487" s="660"/>
      <c r="Y487" s="660"/>
      <c r="Z487" s="660"/>
      <c r="AA487" s="660"/>
      <c r="AB487" s="660"/>
      <c r="AC487" s="661"/>
      <c r="AD487" s="606"/>
      <c r="AE487" s="606"/>
      <c r="AF487" s="606"/>
      <c r="AG487" s="606"/>
    </row>
    <row r="488" spans="1:33" s="612" customFormat="1" hidden="1" outlineLevel="3" x14ac:dyDescent="0.2">
      <c r="A488" s="606"/>
      <c r="B488" s="606"/>
      <c r="C488" s="607"/>
      <c r="D488" s="608"/>
      <c r="E488" s="608"/>
      <c r="F488" s="608"/>
      <c r="G488" s="608"/>
      <c r="H488" s="609"/>
      <c r="I488" s="660"/>
      <c r="J488" s="660"/>
      <c r="K488" s="660"/>
      <c r="L488" s="660"/>
      <c r="M488" s="660"/>
      <c r="N488" s="660"/>
      <c r="O488" s="660"/>
      <c r="P488" s="660"/>
      <c r="Q488" s="660"/>
      <c r="R488" s="660"/>
      <c r="S488" s="660"/>
      <c r="T488" s="660"/>
      <c r="U488" s="660"/>
      <c r="V488" s="660"/>
      <c r="W488" s="660"/>
      <c r="X488" s="660"/>
      <c r="Y488" s="660"/>
      <c r="Z488" s="660"/>
      <c r="AA488" s="660"/>
      <c r="AB488" s="660"/>
      <c r="AC488" s="661"/>
      <c r="AD488" s="606"/>
      <c r="AE488" s="606"/>
      <c r="AF488" s="606"/>
      <c r="AG488" s="606"/>
    </row>
    <row r="489" spans="1:33" s="612" customFormat="1" hidden="1" outlineLevel="3" x14ac:dyDescent="0.2">
      <c r="A489" s="606"/>
      <c r="B489" s="606"/>
      <c r="C489" s="607"/>
      <c r="D489" s="608"/>
      <c r="E489" s="608"/>
      <c r="F489" s="608"/>
      <c r="G489" s="608"/>
      <c r="H489" s="609"/>
      <c r="I489" s="660"/>
      <c r="J489" s="660"/>
      <c r="K489" s="660"/>
      <c r="L489" s="660"/>
      <c r="M489" s="660"/>
      <c r="N489" s="660"/>
      <c r="O489" s="660"/>
      <c r="P489" s="660"/>
      <c r="Q489" s="660"/>
      <c r="R489" s="660"/>
      <c r="S489" s="660"/>
      <c r="T489" s="660"/>
      <c r="U489" s="660"/>
      <c r="V489" s="660"/>
      <c r="W489" s="660"/>
      <c r="X489" s="660"/>
      <c r="Y489" s="660"/>
      <c r="Z489" s="660"/>
      <c r="AA489" s="660"/>
      <c r="AB489" s="660"/>
      <c r="AC489" s="661"/>
      <c r="AD489" s="606"/>
      <c r="AE489" s="606"/>
      <c r="AF489" s="606"/>
      <c r="AG489" s="606"/>
    </row>
    <row r="490" spans="1:33" s="612" customFormat="1" hidden="1" outlineLevel="3" x14ac:dyDescent="0.2">
      <c r="A490" s="606"/>
      <c r="B490" s="606"/>
      <c r="C490" s="607"/>
      <c r="D490" s="608"/>
      <c r="E490" s="608"/>
      <c r="F490" s="608"/>
      <c r="G490" s="608"/>
      <c r="H490" s="609"/>
      <c r="I490" s="660"/>
      <c r="J490" s="660"/>
      <c r="K490" s="660"/>
      <c r="L490" s="660"/>
      <c r="M490" s="660"/>
      <c r="N490" s="660"/>
      <c r="O490" s="660"/>
      <c r="P490" s="660"/>
      <c r="Q490" s="660"/>
      <c r="R490" s="660"/>
      <c r="S490" s="660"/>
      <c r="T490" s="660"/>
      <c r="U490" s="660"/>
      <c r="V490" s="660"/>
      <c r="W490" s="660"/>
      <c r="X490" s="660"/>
      <c r="Y490" s="660"/>
      <c r="Z490" s="660"/>
      <c r="AA490" s="660"/>
      <c r="AB490" s="660"/>
      <c r="AC490" s="661"/>
      <c r="AD490" s="606"/>
      <c r="AE490" s="606"/>
      <c r="AF490" s="606"/>
      <c r="AG490" s="606"/>
    </row>
    <row r="491" spans="1:33" s="612" customFormat="1" hidden="1" outlineLevel="3" x14ac:dyDescent="0.2">
      <c r="A491" s="606"/>
      <c r="B491" s="606"/>
      <c r="C491" s="607"/>
      <c r="D491" s="608"/>
      <c r="E491" s="608"/>
      <c r="F491" s="608"/>
      <c r="G491" s="608"/>
      <c r="H491" s="609"/>
      <c r="I491" s="660"/>
      <c r="J491" s="660"/>
      <c r="K491" s="660"/>
      <c r="L491" s="660"/>
      <c r="M491" s="660"/>
      <c r="N491" s="660"/>
      <c r="O491" s="660"/>
      <c r="P491" s="660"/>
      <c r="Q491" s="660"/>
      <c r="R491" s="660"/>
      <c r="S491" s="660"/>
      <c r="T491" s="660"/>
      <c r="U491" s="660"/>
      <c r="V491" s="660"/>
      <c r="W491" s="660"/>
      <c r="X491" s="660"/>
      <c r="Y491" s="660"/>
      <c r="Z491" s="660"/>
      <c r="AA491" s="660"/>
      <c r="AB491" s="660"/>
      <c r="AC491" s="661"/>
      <c r="AD491" s="606"/>
      <c r="AE491" s="606"/>
      <c r="AF491" s="606"/>
      <c r="AG491" s="606"/>
    </row>
    <row r="492" spans="1:33" s="612" customFormat="1" hidden="1" outlineLevel="3" x14ac:dyDescent="0.2">
      <c r="A492" s="606"/>
      <c r="B492" s="606"/>
      <c r="C492" s="607"/>
      <c r="D492" s="608"/>
      <c r="E492" s="608"/>
      <c r="F492" s="608"/>
      <c r="G492" s="608"/>
      <c r="H492" s="609"/>
      <c r="I492" s="660"/>
      <c r="J492" s="660"/>
      <c r="K492" s="660"/>
      <c r="L492" s="660"/>
      <c r="M492" s="660"/>
      <c r="N492" s="660"/>
      <c r="O492" s="660"/>
      <c r="P492" s="660"/>
      <c r="Q492" s="660"/>
      <c r="R492" s="660"/>
      <c r="S492" s="660"/>
      <c r="T492" s="660"/>
      <c r="U492" s="660"/>
      <c r="V492" s="660"/>
      <c r="W492" s="660"/>
      <c r="X492" s="660"/>
      <c r="Y492" s="660"/>
      <c r="Z492" s="660"/>
      <c r="AA492" s="660"/>
      <c r="AB492" s="660"/>
      <c r="AC492" s="661"/>
      <c r="AD492" s="606"/>
      <c r="AE492" s="606"/>
      <c r="AF492" s="606"/>
      <c r="AG492" s="606"/>
    </row>
    <row r="493" spans="1:33" s="612" customFormat="1" hidden="1" outlineLevel="3" x14ac:dyDescent="0.2">
      <c r="A493" s="606"/>
      <c r="B493" s="606"/>
      <c r="C493" s="607"/>
      <c r="D493" s="608"/>
      <c r="E493" s="608"/>
      <c r="F493" s="608"/>
      <c r="G493" s="608"/>
      <c r="H493" s="609"/>
      <c r="I493" s="660"/>
      <c r="J493" s="660"/>
      <c r="K493" s="660"/>
      <c r="L493" s="660"/>
      <c r="M493" s="660"/>
      <c r="N493" s="660"/>
      <c r="O493" s="660"/>
      <c r="P493" s="660"/>
      <c r="Q493" s="660"/>
      <c r="R493" s="660"/>
      <c r="S493" s="660"/>
      <c r="T493" s="660"/>
      <c r="U493" s="660"/>
      <c r="V493" s="660"/>
      <c r="W493" s="660"/>
      <c r="X493" s="660"/>
      <c r="Y493" s="660"/>
      <c r="Z493" s="660"/>
      <c r="AA493" s="660"/>
      <c r="AB493" s="660"/>
      <c r="AC493" s="661"/>
      <c r="AD493" s="606"/>
      <c r="AE493" s="606"/>
      <c r="AF493" s="606"/>
      <c r="AG493" s="606"/>
    </row>
    <row r="494" spans="1:33" s="612" customFormat="1" hidden="1" outlineLevel="3" x14ac:dyDescent="0.2">
      <c r="A494" s="606"/>
      <c r="B494" s="606"/>
      <c r="C494" s="607"/>
      <c r="D494" s="608"/>
      <c r="E494" s="608"/>
      <c r="F494" s="608"/>
      <c r="G494" s="608"/>
      <c r="H494" s="609"/>
      <c r="I494" s="660"/>
      <c r="J494" s="660"/>
      <c r="K494" s="660"/>
      <c r="L494" s="660"/>
      <c r="M494" s="660"/>
      <c r="N494" s="660"/>
      <c r="O494" s="660"/>
      <c r="P494" s="660"/>
      <c r="Q494" s="660"/>
      <c r="R494" s="660"/>
      <c r="S494" s="660"/>
      <c r="T494" s="660"/>
      <c r="U494" s="660"/>
      <c r="V494" s="660"/>
      <c r="W494" s="660"/>
      <c r="X494" s="660"/>
      <c r="Y494" s="660"/>
      <c r="Z494" s="660"/>
      <c r="AA494" s="660"/>
      <c r="AB494" s="660"/>
      <c r="AC494" s="661"/>
      <c r="AD494" s="606"/>
      <c r="AE494" s="606"/>
      <c r="AF494" s="606"/>
      <c r="AG494" s="606"/>
    </row>
    <row r="495" spans="1:33" s="612" customFormat="1" hidden="1" outlineLevel="3" x14ac:dyDescent="0.2">
      <c r="A495" s="606"/>
      <c r="B495" s="606"/>
      <c r="C495" s="607"/>
      <c r="D495" s="608"/>
      <c r="E495" s="608"/>
      <c r="F495" s="608"/>
      <c r="G495" s="608"/>
      <c r="H495" s="609"/>
      <c r="I495" s="660"/>
      <c r="J495" s="660"/>
      <c r="K495" s="660"/>
      <c r="L495" s="660"/>
      <c r="M495" s="660"/>
      <c r="N495" s="660"/>
      <c r="O495" s="660"/>
      <c r="P495" s="660"/>
      <c r="Q495" s="660"/>
      <c r="R495" s="660"/>
      <c r="S495" s="660"/>
      <c r="T495" s="660"/>
      <c r="U495" s="660"/>
      <c r="V495" s="660"/>
      <c r="W495" s="660"/>
      <c r="X495" s="660"/>
      <c r="Y495" s="660"/>
      <c r="Z495" s="660"/>
      <c r="AA495" s="660"/>
      <c r="AB495" s="660"/>
      <c r="AC495" s="661"/>
      <c r="AD495" s="606"/>
      <c r="AE495" s="606"/>
      <c r="AF495" s="606"/>
      <c r="AG495" s="606"/>
    </row>
    <row r="496" spans="1:33" s="612" customFormat="1" hidden="1" outlineLevel="3" x14ac:dyDescent="0.2">
      <c r="A496" s="606"/>
      <c r="B496" s="606"/>
      <c r="C496" s="607"/>
      <c r="D496" s="608"/>
      <c r="E496" s="608"/>
      <c r="F496" s="608"/>
      <c r="G496" s="608"/>
      <c r="H496" s="609"/>
      <c r="I496" s="660"/>
      <c r="J496" s="660"/>
      <c r="K496" s="660"/>
      <c r="L496" s="660"/>
      <c r="M496" s="660"/>
      <c r="N496" s="660"/>
      <c r="O496" s="660"/>
      <c r="P496" s="660"/>
      <c r="Q496" s="660"/>
      <c r="R496" s="660"/>
      <c r="S496" s="660"/>
      <c r="T496" s="660"/>
      <c r="U496" s="660"/>
      <c r="V496" s="660"/>
      <c r="W496" s="660"/>
      <c r="X496" s="660"/>
      <c r="Y496" s="660"/>
      <c r="Z496" s="660"/>
      <c r="AA496" s="660"/>
      <c r="AB496" s="660"/>
      <c r="AC496" s="661"/>
      <c r="AD496" s="606"/>
      <c r="AE496" s="606"/>
      <c r="AF496" s="606"/>
      <c r="AG496" s="606"/>
    </row>
    <row r="497" spans="1:33" s="612" customFormat="1" hidden="1" outlineLevel="3" x14ac:dyDescent="0.2">
      <c r="A497" s="606"/>
      <c r="B497" s="606"/>
      <c r="C497" s="607"/>
      <c r="D497" s="608"/>
      <c r="E497" s="608"/>
      <c r="F497" s="608"/>
      <c r="G497" s="608"/>
      <c r="H497" s="609"/>
      <c r="I497" s="660"/>
      <c r="J497" s="660"/>
      <c r="K497" s="660"/>
      <c r="L497" s="660"/>
      <c r="M497" s="660"/>
      <c r="N497" s="660"/>
      <c r="O497" s="660"/>
      <c r="P497" s="660"/>
      <c r="Q497" s="660"/>
      <c r="R497" s="660"/>
      <c r="S497" s="660"/>
      <c r="T497" s="660"/>
      <c r="U497" s="660"/>
      <c r="V497" s="660"/>
      <c r="W497" s="660"/>
      <c r="X497" s="660"/>
      <c r="Y497" s="660"/>
      <c r="Z497" s="660"/>
      <c r="AA497" s="660"/>
      <c r="AB497" s="660"/>
      <c r="AC497" s="661"/>
      <c r="AD497" s="606"/>
      <c r="AE497" s="606"/>
      <c r="AF497" s="606"/>
      <c r="AG497" s="606"/>
    </row>
    <row r="498" spans="1:33" s="612" customFormat="1" hidden="1" outlineLevel="3" x14ac:dyDescent="0.2">
      <c r="A498" s="606"/>
      <c r="B498" s="606"/>
      <c r="C498" s="607"/>
      <c r="D498" s="608"/>
      <c r="E498" s="608"/>
      <c r="F498" s="608"/>
      <c r="G498" s="608"/>
      <c r="H498" s="609"/>
      <c r="I498" s="660"/>
      <c r="J498" s="660"/>
      <c r="K498" s="660"/>
      <c r="L498" s="660"/>
      <c r="M498" s="660"/>
      <c r="N498" s="660"/>
      <c r="O498" s="660"/>
      <c r="P498" s="660"/>
      <c r="Q498" s="660"/>
      <c r="R498" s="660"/>
      <c r="S498" s="660"/>
      <c r="T498" s="660"/>
      <c r="U498" s="660"/>
      <c r="V498" s="660"/>
      <c r="W498" s="660"/>
      <c r="X498" s="660"/>
      <c r="Y498" s="660"/>
      <c r="Z498" s="660"/>
      <c r="AA498" s="660"/>
      <c r="AB498" s="660"/>
      <c r="AC498" s="661"/>
      <c r="AD498" s="606"/>
      <c r="AE498" s="606"/>
      <c r="AF498" s="606"/>
      <c r="AG498" s="606"/>
    </row>
    <row r="499" spans="1:33" s="612" customFormat="1" hidden="1" outlineLevel="3" x14ac:dyDescent="0.2">
      <c r="A499" s="606"/>
      <c r="B499" s="606"/>
      <c r="C499" s="607"/>
      <c r="D499" s="608"/>
      <c r="E499" s="608"/>
      <c r="F499" s="608"/>
      <c r="G499" s="608"/>
      <c r="H499" s="609"/>
      <c r="I499" s="660"/>
      <c r="J499" s="660"/>
      <c r="K499" s="660"/>
      <c r="L499" s="660"/>
      <c r="M499" s="660"/>
      <c r="N499" s="660"/>
      <c r="O499" s="660"/>
      <c r="P499" s="660"/>
      <c r="Q499" s="660"/>
      <c r="R499" s="660"/>
      <c r="S499" s="660"/>
      <c r="T499" s="660"/>
      <c r="U499" s="660"/>
      <c r="V499" s="660"/>
      <c r="W499" s="660"/>
      <c r="X499" s="660"/>
      <c r="Y499" s="660"/>
      <c r="Z499" s="660"/>
      <c r="AA499" s="660"/>
      <c r="AB499" s="660"/>
      <c r="AC499" s="661"/>
      <c r="AD499" s="606"/>
      <c r="AE499" s="606"/>
      <c r="AF499" s="606"/>
      <c r="AG499" s="606"/>
    </row>
    <row r="500" spans="1:33" s="612" customFormat="1" hidden="1" outlineLevel="3" x14ac:dyDescent="0.2">
      <c r="A500" s="606"/>
      <c r="B500" s="606"/>
      <c r="C500" s="607"/>
      <c r="D500" s="608"/>
      <c r="E500" s="608"/>
      <c r="F500" s="608"/>
      <c r="G500" s="608"/>
      <c r="H500" s="609"/>
      <c r="I500" s="660"/>
      <c r="J500" s="660"/>
      <c r="K500" s="660"/>
      <c r="L500" s="660"/>
      <c r="M500" s="660"/>
      <c r="N500" s="660"/>
      <c r="O500" s="660"/>
      <c r="P500" s="660"/>
      <c r="Q500" s="660"/>
      <c r="R500" s="660"/>
      <c r="S500" s="660"/>
      <c r="T500" s="660"/>
      <c r="U500" s="660"/>
      <c r="V500" s="660"/>
      <c r="W500" s="660"/>
      <c r="X500" s="660"/>
      <c r="Y500" s="660"/>
      <c r="Z500" s="660"/>
      <c r="AA500" s="660"/>
      <c r="AB500" s="660"/>
      <c r="AC500" s="661"/>
      <c r="AD500" s="606"/>
      <c r="AE500" s="606"/>
      <c r="AF500" s="606"/>
      <c r="AG500" s="606"/>
    </row>
    <row r="501" spans="1:33" s="612" customFormat="1" hidden="1" outlineLevel="2" collapsed="1" x14ac:dyDescent="0.2">
      <c r="A501" s="606"/>
      <c r="B501" s="606"/>
      <c r="C501" s="613"/>
      <c r="D501" s="609"/>
      <c r="E501" s="609"/>
      <c r="F501" s="609"/>
      <c r="G501" s="609"/>
      <c r="H501" s="609"/>
      <c r="I501" s="662"/>
      <c r="J501" s="662"/>
      <c r="K501" s="661"/>
      <c r="L501" s="661"/>
      <c r="M501" s="661"/>
      <c r="N501" s="663"/>
      <c r="O501" s="663"/>
      <c r="P501" s="663"/>
      <c r="Q501" s="663"/>
      <c r="R501" s="663"/>
      <c r="S501" s="661"/>
      <c r="T501" s="661"/>
      <c r="U501" s="661"/>
      <c r="V501" s="661"/>
      <c r="W501" s="661"/>
      <c r="X501" s="661"/>
      <c r="Y501" s="661"/>
      <c r="Z501" s="661"/>
      <c r="AA501" s="661"/>
      <c r="AB501" s="661"/>
      <c r="AC501" s="661"/>
      <c r="AD501" s="606"/>
      <c r="AE501" s="606"/>
      <c r="AF501" s="606"/>
      <c r="AG501" s="606"/>
    </row>
    <row r="502" spans="1:33" s="612" customFormat="1" outlineLevel="1" collapsed="1" x14ac:dyDescent="0.2">
      <c r="A502" s="606"/>
      <c r="B502" s="606"/>
      <c r="C502" s="613"/>
      <c r="D502" s="609"/>
      <c r="E502" s="609"/>
      <c r="F502" s="609"/>
      <c r="G502" s="609"/>
      <c r="H502" s="609"/>
      <c r="I502" s="662"/>
      <c r="J502" s="662"/>
      <c r="K502" s="661"/>
      <c r="L502" s="661"/>
      <c r="M502" s="661"/>
      <c r="N502" s="663"/>
      <c r="O502" s="663"/>
      <c r="P502" s="663"/>
      <c r="Q502" s="663"/>
      <c r="R502" s="663"/>
      <c r="S502" s="661"/>
      <c r="T502" s="661"/>
      <c r="U502" s="661"/>
      <c r="V502" s="661"/>
      <c r="W502" s="661"/>
      <c r="X502" s="661"/>
      <c r="Y502" s="661"/>
      <c r="Z502" s="661"/>
      <c r="AA502" s="661"/>
      <c r="AB502" s="661"/>
      <c r="AC502" s="661"/>
      <c r="AD502" s="606"/>
      <c r="AE502" s="606"/>
      <c r="AF502" s="606"/>
      <c r="AG502" s="606"/>
    </row>
    <row r="503" spans="1:33" s="612" customFormat="1" outlineLevel="1" x14ac:dyDescent="0.2">
      <c r="A503" s="606"/>
      <c r="B503" s="606"/>
      <c r="C503" s="616"/>
      <c r="D503" s="617"/>
      <c r="E503" s="617"/>
      <c r="F503" s="617"/>
      <c r="G503" s="618"/>
      <c r="H503" s="618"/>
      <c r="I503" s="661"/>
      <c r="J503" s="661"/>
      <c r="K503" s="661"/>
      <c r="L503" s="661"/>
      <c r="M503" s="661"/>
      <c r="N503" s="661"/>
      <c r="O503" s="661"/>
      <c r="P503" s="661"/>
      <c r="Q503" s="661"/>
      <c r="R503" s="661"/>
      <c r="S503" s="661"/>
      <c r="T503" s="661"/>
      <c r="U503" s="661"/>
      <c r="V503" s="661"/>
      <c r="W503" s="661"/>
      <c r="X503" s="661"/>
      <c r="Y503" s="661"/>
      <c r="Z503" s="661"/>
      <c r="AA503" s="661"/>
      <c r="AB503" s="661"/>
      <c r="AC503" s="661"/>
      <c r="AD503" s="606"/>
      <c r="AE503" s="606"/>
      <c r="AF503" s="606"/>
      <c r="AG503" s="606"/>
    </row>
    <row r="504" spans="1:33" s="612" customFormat="1" hidden="1" outlineLevel="2" x14ac:dyDescent="0.2">
      <c r="A504" s="606"/>
      <c r="B504" s="606"/>
      <c r="C504" s="607"/>
      <c r="D504" s="608"/>
      <c r="E504" s="608"/>
      <c r="F504" s="608"/>
      <c r="G504" s="608"/>
      <c r="H504" s="609"/>
      <c r="I504" s="660"/>
      <c r="J504" s="660"/>
      <c r="K504" s="660"/>
      <c r="L504" s="660"/>
      <c r="M504" s="660"/>
      <c r="N504" s="660"/>
      <c r="O504" s="660"/>
      <c r="P504" s="660"/>
      <c r="Q504" s="660"/>
      <c r="R504" s="660"/>
      <c r="S504" s="660"/>
      <c r="T504" s="660"/>
      <c r="U504" s="660"/>
      <c r="V504" s="660"/>
      <c r="W504" s="660"/>
      <c r="X504" s="660"/>
      <c r="Y504" s="660"/>
      <c r="Z504" s="660"/>
      <c r="AA504" s="660"/>
      <c r="AB504" s="660"/>
      <c r="AC504" s="661"/>
      <c r="AD504" s="606"/>
      <c r="AE504" s="606"/>
      <c r="AF504" s="606"/>
      <c r="AG504" s="606"/>
    </row>
    <row r="505" spans="1:33" s="612" customFormat="1" hidden="1" outlineLevel="2" x14ac:dyDescent="0.2">
      <c r="A505" s="606"/>
      <c r="B505" s="606"/>
      <c r="C505" s="607"/>
      <c r="D505" s="608"/>
      <c r="E505" s="608"/>
      <c r="F505" s="608"/>
      <c r="G505" s="608"/>
      <c r="H505" s="609"/>
      <c r="I505" s="660"/>
      <c r="J505" s="660"/>
      <c r="K505" s="660"/>
      <c r="L505" s="660"/>
      <c r="M505" s="660"/>
      <c r="N505" s="660"/>
      <c r="O505" s="660"/>
      <c r="P505" s="660"/>
      <c r="Q505" s="660"/>
      <c r="R505" s="660"/>
      <c r="S505" s="660"/>
      <c r="T505" s="660"/>
      <c r="U505" s="660"/>
      <c r="V505" s="660"/>
      <c r="W505" s="660"/>
      <c r="X505" s="660"/>
      <c r="Y505" s="660"/>
      <c r="Z505" s="660"/>
      <c r="AA505" s="660"/>
      <c r="AB505" s="660"/>
      <c r="AC505" s="661"/>
      <c r="AD505" s="606"/>
      <c r="AE505" s="606"/>
      <c r="AF505" s="606"/>
      <c r="AG505" s="606"/>
    </row>
    <row r="506" spans="1:33" s="612" customFormat="1" hidden="1" outlineLevel="2" x14ac:dyDescent="0.2">
      <c r="A506" s="606"/>
      <c r="B506" s="606"/>
      <c r="C506" s="607"/>
      <c r="D506" s="608"/>
      <c r="E506" s="608"/>
      <c r="F506" s="608"/>
      <c r="G506" s="608"/>
      <c r="H506" s="609"/>
      <c r="I506" s="660"/>
      <c r="J506" s="660"/>
      <c r="K506" s="660"/>
      <c r="L506" s="660"/>
      <c r="M506" s="660"/>
      <c r="N506" s="660"/>
      <c r="O506" s="660"/>
      <c r="P506" s="660"/>
      <c r="Q506" s="660"/>
      <c r="R506" s="660"/>
      <c r="S506" s="660"/>
      <c r="T506" s="660"/>
      <c r="U506" s="660"/>
      <c r="V506" s="660"/>
      <c r="W506" s="660"/>
      <c r="X506" s="660"/>
      <c r="Y506" s="660"/>
      <c r="Z506" s="660"/>
      <c r="AA506" s="660"/>
      <c r="AB506" s="660"/>
      <c r="AC506" s="661"/>
      <c r="AD506" s="606"/>
      <c r="AE506" s="606"/>
      <c r="AF506" s="606"/>
      <c r="AG506" s="606"/>
    </row>
    <row r="507" spans="1:33" s="612" customFormat="1" hidden="1" outlineLevel="2" x14ac:dyDescent="0.2">
      <c r="A507" s="606"/>
      <c r="B507" s="606"/>
      <c r="C507" s="607"/>
      <c r="D507" s="608"/>
      <c r="E507" s="608"/>
      <c r="F507" s="608"/>
      <c r="G507" s="608"/>
      <c r="H507" s="609"/>
      <c r="I507" s="660"/>
      <c r="J507" s="660"/>
      <c r="K507" s="660"/>
      <c r="L507" s="660"/>
      <c r="M507" s="660"/>
      <c r="N507" s="660"/>
      <c r="O507" s="660"/>
      <c r="P507" s="660"/>
      <c r="Q507" s="660"/>
      <c r="R507" s="660"/>
      <c r="S507" s="660"/>
      <c r="T507" s="660"/>
      <c r="U507" s="660"/>
      <c r="V507" s="660"/>
      <c r="W507" s="660"/>
      <c r="X507" s="660"/>
      <c r="Y507" s="660"/>
      <c r="Z507" s="660"/>
      <c r="AA507" s="660"/>
      <c r="AB507" s="660"/>
      <c r="AC507" s="661"/>
      <c r="AD507" s="606"/>
      <c r="AE507" s="606"/>
      <c r="AF507" s="606"/>
      <c r="AG507" s="606"/>
    </row>
    <row r="508" spans="1:33" s="612" customFormat="1" hidden="1" outlineLevel="2" x14ac:dyDescent="0.2">
      <c r="A508" s="606"/>
      <c r="B508" s="606"/>
      <c r="C508" s="607"/>
      <c r="D508" s="608"/>
      <c r="E508" s="608"/>
      <c r="F508" s="608"/>
      <c r="G508" s="608"/>
      <c r="H508" s="609"/>
      <c r="I508" s="660"/>
      <c r="J508" s="660"/>
      <c r="K508" s="660"/>
      <c r="L508" s="660"/>
      <c r="M508" s="660"/>
      <c r="N508" s="660"/>
      <c r="O508" s="660"/>
      <c r="P508" s="660"/>
      <c r="Q508" s="660"/>
      <c r="R508" s="660"/>
      <c r="S508" s="660"/>
      <c r="T508" s="660"/>
      <c r="U508" s="660"/>
      <c r="V508" s="660"/>
      <c r="W508" s="660"/>
      <c r="X508" s="660"/>
      <c r="Y508" s="660"/>
      <c r="Z508" s="660"/>
      <c r="AA508" s="660"/>
      <c r="AB508" s="660"/>
      <c r="AC508" s="661"/>
      <c r="AD508" s="606"/>
      <c r="AE508" s="606"/>
      <c r="AF508" s="606"/>
      <c r="AG508" s="606"/>
    </row>
    <row r="509" spans="1:33" s="612" customFormat="1" hidden="1" outlineLevel="2" x14ac:dyDescent="0.2">
      <c r="A509" s="606"/>
      <c r="B509" s="606"/>
      <c r="C509" s="607"/>
      <c r="D509" s="608"/>
      <c r="E509" s="608"/>
      <c r="F509" s="608"/>
      <c r="G509" s="608"/>
      <c r="H509" s="609"/>
      <c r="I509" s="660"/>
      <c r="J509" s="660"/>
      <c r="K509" s="660"/>
      <c r="L509" s="660"/>
      <c r="M509" s="660"/>
      <c r="N509" s="660"/>
      <c r="O509" s="660"/>
      <c r="P509" s="660"/>
      <c r="Q509" s="660"/>
      <c r="R509" s="660"/>
      <c r="S509" s="660"/>
      <c r="T509" s="660"/>
      <c r="U509" s="660"/>
      <c r="V509" s="660"/>
      <c r="W509" s="660"/>
      <c r="X509" s="660"/>
      <c r="Y509" s="660"/>
      <c r="Z509" s="660"/>
      <c r="AA509" s="660"/>
      <c r="AB509" s="660"/>
      <c r="AC509" s="661"/>
      <c r="AD509" s="606"/>
      <c r="AE509" s="606"/>
      <c r="AF509" s="606"/>
      <c r="AG509" s="606"/>
    </row>
    <row r="510" spans="1:33" s="612" customFormat="1" hidden="1" outlineLevel="2" x14ac:dyDescent="0.2">
      <c r="A510" s="606"/>
      <c r="B510" s="606"/>
      <c r="C510" s="607"/>
      <c r="D510" s="608"/>
      <c r="E510" s="608"/>
      <c r="F510" s="608"/>
      <c r="G510" s="608"/>
      <c r="H510" s="609"/>
      <c r="I510" s="660"/>
      <c r="J510" s="660"/>
      <c r="K510" s="660"/>
      <c r="L510" s="660"/>
      <c r="M510" s="660"/>
      <c r="N510" s="660"/>
      <c r="O510" s="660"/>
      <c r="P510" s="660"/>
      <c r="Q510" s="660"/>
      <c r="R510" s="660"/>
      <c r="S510" s="660"/>
      <c r="T510" s="660"/>
      <c r="U510" s="660"/>
      <c r="V510" s="660"/>
      <c r="W510" s="660"/>
      <c r="X510" s="660"/>
      <c r="Y510" s="660"/>
      <c r="Z510" s="660"/>
      <c r="AA510" s="660"/>
      <c r="AB510" s="660"/>
      <c r="AC510" s="661"/>
      <c r="AD510" s="606"/>
      <c r="AE510" s="606"/>
      <c r="AF510" s="606"/>
      <c r="AG510" s="606"/>
    </row>
    <row r="511" spans="1:33" s="612" customFormat="1" hidden="1" outlineLevel="2" x14ac:dyDescent="0.2">
      <c r="A511" s="606"/>
      <c r="B511" s="606"/>
      <c r="C511" s="607"/>
      <c r="D511" s="608"/>
      <c r="E511" s="608"/>
      <c r="F511" s="608"/>
      <c r="G511" s="608"/>
      <c r="H511" s="609"/>
      <c r="I511" s="660"/>
      <c r="J511" s="660"/>
      <c r="K511" s="660"/>
      <c r="L511" s="660"/>
      <c r="M511" s="660"/>
      <c r="N511" s="660"/>
      <c r="O511" s="660"/>
      <c r="P511" s="660"/>
      <c r="Q511" s="660"/>
      <c r="R511" s="660"/>
      <c r="S511" s="660"/>
      <c r="T511" s="660"/>
      <c r="U511" s="660"/>
      <c r="V511" s="660"/>
      <c r="W511" s="660"/>
      <c r="X511" s="660"/>
      <c r="Y511" s="660"/>
      <c r="Z511" s="660"/>
      <c r="AA511" s="660"/>
      <c r="AB511" s="660"/>
      <c r="AC511" s="661"/>
      <c r="AD511" s="606"/>
      <c r="AE511" s="606"/>
      <c r="AF511" s="606"/>
      <c r="AG511" s="606"/>
    </row>
    <row r="512" spans="1:33" s="612" customFormat="1" hidden="1" outlineLevel="2" x14ac:dyDescent="0.2">
      <c r="A512" s="606"/>
      <c r="B512" s="606"/>
      <c r="C512" s="607"/>
      <c r="D512" s="608"/>
      <c r="E512" s="608"/>
      <c r="F512" s="608"/>
      <c r="G512" s="608"/>
      <c r="H512" s="609"/>
      <c r="I512" s="660"/>
      <c r="J512" s="660"/>
      <c r="K512" s="660"/>
      <c r="L512" s="660"/>
      <c r="M512" s="660"/>
      <c r="N512" s="660"/>
      <c r="O512" s="660"/>
      <c r="P512" s="660"/>
      <c r="Q512" s="660"/>
      <c r="R512" s="660"/>
      <c r="S512" s="660"/>
      <c r="T512" s="660"/>
      <c r="U512" s="660"/>
      <c r="V512" s="660"/>
      <c r="W512" s="660"/>
      <c r="X512" s="660"/>
      <c r="Y512" s="660"/>
      <c r="Z512" s="660"/>
      <c r="AA512" s="660"/>
      <c r="AB512" s="660"/>
      <c r="AC512" s="661"/>
      <c r="AD512" s="606"/>
      <c r="AE512" s="606"/>
      <c r="AF512" s="606"/>
      <c r="AG512" s="606"/>
    </row>
    <row r="513" spans="1:33" s="612" customFormat="1" hidden="1" outlineLevel="2" x14ac:dyDescent="0.2">
      <c r="A513" s="606"/>
      <c r="B513" s="606"/>
      <c r="C513" s="607"/>
      <c r="D513" s="608"/>
      <c r="E513" s="608"/>
      <c r="F513" s="608"/>
      <c r="G513" s="608"/>
      <c r="H513" s="609"/>
      <c r="I513" s="660"/>
      <c r="J513" s="660"/>
      <c r="K513" s="660"/>
      <c r="L513" s="660"/>
      <c r="M513" s="660"/>
      <c r="N513" s="660"/>
      <c r="O513" s="660"/>
      <c r="P513" s="660"/>
      <c r="Q513" s="660"/>
      <c r="R513" s="660"/>
      <c r="S513" s="660"/>
      <c r="T513" s="660"/>
      <c r="U513" s="660"/>
      <c r="V513" s="660"/>
      <c r="W513" s="660"/>
      <c r="X513" s="660"/>
      <c r="Y513" s="660"/>
      <c r="Z513" s="660"/>
      <c r="AA513" s="660"/>
      <c r="AB513" s="660"/>
      <c r="AC513" s="661"/>
      <c r="AD513" s="606"/>
      <c r="AE513" s="606"/>
      <c r="AF513" s="606"/>
      <c r="AG513" s="606"/>
    </row>
    <row r="514" spans="1:33" s="612" customFormat="1" hidden="1" outlineLevel="2" x14ac:dyDescent="0.2">
      <c r="A514" s="606"/>
      <c r="B514" s="606"/>
      <c r="C514" s="607"/>
      <c r="D514" s="608"/>
      <c r="E514" s="608"/>
      <c r="F514" s="608"/>
      <c r="G514" s="608"/>
      <c r="H514" s="609"/>
      <c r="I514" s="660"/>
      <c r="J514" s="660"/>
      <c r="K514" s="660"/>
      <c r="L514" s="660"/>
      <c r="M514" s="660"/>
      <c r="N514" s="660"/>
      <c r="O514" s="660"/>
      <c r="P514" s="660"/>
      <c r="Q514" s="660"/>
      <c r="R514" s="660"/>
      <c r="S514" s="660"/>
      <c r="T514" s="660"/>
      <c r="U514" s="660"/>
      <c r="V514" s="660"/>
      <c r="W514" s="660"/>
      <c r="X514" s="660"/>
      <c r="Y514" s="660"/>
      <c r="Z514" s="660"/>
      <c r="AA514" s="660"/>
      <c r="AB514" s="660"/>
      <c r="AC514" s="661"/>
      <c r="AD514" s="606"/>
      <c r="AE514" s="606"/>
      <c r="AF514" s="606"/>
      <c r="AG514" s="606"/>
    </row>
    <row r="515" spans="1:33" s="612" customFormat="1" hidden="1" outlineLevel="3" x14ac:dyDescent="0.2">
      <c r="A515" s="606"/>
      <c r="B515" s="606"/>
      <c r="C515" s="607"/>
      <c r="D515" s="608"/>
      <c r="E515" s="608"/>
      <c r="F515" s="608"/>
      <c r="G515" s="608"/>
      <c r="H515" s="609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1"/>
      <c r="AD515" s="606"/>
      <c r="AE515" s="606"/>
      <c r="AF515" s="606"/>
      <c r="AG515" s="606"/>
    </row>
    <row r="516" spans="1:33" s="612" customFormat="1" hidden="1" outlineLevel="3" x14ac:dyDescent="0.2">
      <c r="A516" s="606"/>
      <c r="B516" s="606"/>
      <c r="C516" s="607"/>
      <c r="D516" s="608"/>
      <c r="E516" s="608"/>
      <c r="F516" s="608"/>
      <c r="G516" s="608"/>
      <c r="H516" s="609"/>
      <c r="I516" s="660"/>
      <c r="J516" s="660"/>
      <c r="K516" s="660"/>
      <c r="L516" s="660"/>
      <c r="M516" s="660"/>
      <c r="N516" s="660"/>
      <c r="O516" s="660"/>
      <c r="P516" s="660"/>
      <c r="Q516" s="660"/>
      <c r="R516" s="660"/>
      <c r="S516" s="660"/>
      <c r="T516" s="660"/>
      <c r="U516" s="660"/>
      <c r="V516" s="660"/>
      <c r="W516" s="660"/>
      <c r="X516" s="660"/>
      <c r="Y516" s="660"/>
      <c r="Z516" s="660"/>
      <c r="AA516" s="660"/>
      <c r="AB516" s="660"/>
      <c r="AC516" s="661"/>
      <c r="AD516" s="606"/>
      <c r="AE516" s="606"/>
      <c r="AF516" s="606"/>
      <c r="AG516" s="606"/>
    </row>
    <row r="517" spans="1:33" s="612" customFormat="1" hidden="1" outlineLevel="3" x14ac:dyDescent="0.2">
      <c r="A517" s="606"/>
      <c r="B517" s="606"/>
      <c r="C517" s="607"/>
      <c r="D517" s="608"/>
      <c r="E517" s="608"/>
      <c r="F517" s="608"/>
      <c r="G517" s="608"/>
      <c r="H517" s="609"/>
      <c r="I517" s="660"/>
      <c r="J517" s="660"/>
      <c r="K517" s="660"/>
      <c r="L517" s="660"/>
      <c r="M517" s="660"/>
      <c r="N517" s="660"/>
      <c r="O517" s="660"/>
      <c r="P517" s="660"/>
      <c r="Q517" s="660"/>
      <c r="R517" s="660"/>
      <c r="S517" s="660"/>
      <c r="T517" s="660"/>
      <c r="U517" s="660"/>
      <c r="V517" s="660"/>
      <c r="W517" s="660"/>
      <c r="X517" s="660"/>
      <c r="Y517" s="660"/>
      <c r="Z517" s="660"/>
      <c r="AA517" s="660"/>
      <c r="AB517" s="660"/>
      <c r="AC517" s="661"/>
      <c r="AD517" s="606"/>
      <c r="AE517" s="606"/>
      <c r="AF517" s="606"/>
      <c r="AG517" s="606"/>
    </row>
    <row r="518" spans="1:33" s="612" customFormat="1" hidden="1" outlineLevel="3" x14ac:dyDescent="0.2">
      <c r="A518" s="606"/>
      <c r="B518" s="606"/>
      <c r="C518" s="607"/>
      <c r="D518" s="608"/>
      <c r="E518" s="608"/>
      <c r="F518" s="608"/>
      <c r="G518" s="608"/>
      <c r="H518" s="609"/>
      <c r="I518" s="660"/>
      <c r="J518" s="660"/>
      <c r="K518" s="660"/>
      <c r="L518" s="660"/>
      <c r="M518" s="660"/>
      <c r="N518" s="660"/>
      <c r="O518" s="660"/>
      <c r="P518" s="660"/>
      <c r="Q518" s="660"/>
      <c r="R518" s="660"/>
      <c r="S518" s="660"/>
      <c r="T518" s="660"/>
      <c r="U518" s="660"/>
      <c r="V518" s="660"/>
      <c r="W518" s="660"/>
      <c r="X518" s="660"/>
      <c r="Y518" s="660"/>
      <c r="Z518" s="660"/>
      <c r="AA518" s="660"/>
      <c r="AB518" s="660"/>
      <c r="AC518" s="661"/>
      <c r="AD518" s="606"/>
      <c r="AE518" s="606"/>
      <c r="AF518" s="606"/>
      <c r="AG518" s="606"/>
    </row>
    <row r="519" spans="1:33" s="612" customFormat="1" hidden="1" outlineLevel="3" x14ac:dyDescent="0.2">
      <c r="A519" s="606"/>
      <c r="B519" s="606"/>
      <c r="C519" s="607"/>
      <c r="D519" s="608"/>
      <c r="E519" s="608"/>
      <c r="F519" s="608"/>
      <c r="G519" s="608"/>
      <c r="H519" s="609"/>
      <c r="I519" s="660"/>
      <c r="J519" s="660"/>
      <c r="K519" s="660"/>
      <c r="L519" s="660"/>
      <c r="M519" s="660"/>
      <c r="N519" s="660"/>
      <c r="O519" s="660"/>
      <c r="P519" s="660"/>
      <c r="Q519" s="660"/>
      <c r="R519" s="660"/>
      <c r="S519" s="660"/>
      <c r="T519" s="660"/>
      <c r="U519" s="660"/>
      <c r="V519" s="660"/>
      <c r="W519" s="660"/>
      <c r="X519" s="660"/>
      <c r="Y519" s="660"/>
      <c r="Z519" s="660"/>
      <c r="AA519" s="660"/>
      <c r="AB519" s="660"/>
      <c r="AC519" s="661"/>
      <c r="AD519" s="606"/>
      <c r="AE519" s="606"/>
      <c r="AF519" s="606"/>
      <c r="AG519" s="606"/>
    </row>
    <row r="520" spans="1:33" s="612" customFormat="1" hidden="1" outlineLevel="3" x14ac:dyDescent="0.2">
      <c r="A520" s="606"/>
      <c r="B520" s="606"/>
      <c r="C520" s="607"/>
      <c r="D520" s="608"/>
      <c r="E520" s="608"/>
      <c r="F520" s="608"/>
      <c r="G520" s="608"/>
      <c r="H520" s="609"/>
      <c r="I520" s="660"/>
      <c r="J520" s="660"/>
      <c r="K520" s="660"/>
      <c r="L520" s="660"/>
      <c r="M520" s="660"/>
      <c r="N520" s="660"/>
      <c r="O520" s="660"/>
      <c r="P520" s="660"/>
      <c r="Q520" s="660"/>
      <c r="R520" s="660"/>
      <c r="S520" s="660"/>
      <c r="T520" s="660"/>
      <c r="U520" s="660"/>
      <c r="V520" s="660"/>
      <c r="W520" s="660"/>
      <c r="X520" s="660"/>
      <c r="Y520" s="660"/>
      <c r="Z520" s="660"/>
      <c r="AA520" s="660"/>
      <c r="AB520" s="660"/>
      <c r="AC520" s="661"/>
      <c r="AD520" s="606"/>
      <c r="AE520" s="606"/>
      <c r="AF520" s="606"/>
      <c r="AG520" s="606"/>
    </row>
    <row r="521" spans="1:33" s="612" customFormat="1" hidden="1" outlineLevel="3" x14ac:dyDescent="0.2">
      <c r="A521" s="606"/>
      <c r="B521" s="606"/>
      <c r="C521" s="607"/>
      <c r="D521" s="608"/>
      <c r="E521" s="608"/>
      <c r="F521" s="608"/>
      <c r="G521" s="608"/>
      <c r="H521" s="609"/>
      <c r="I521" s="660"/>
      <c r="J521" s="660"/>
      <c r="K521" s="660"/>
      <c r="L521" s="660"/>
      <c r="M521" s="660"/>
      <c r="N521" s="660"/>
      <c r="O521" s="660"/>
      <c r="P521" s="660"/>
      <c r="Q521" s="660"/>
      <c r="R521" s="660"/>
      <c r="S521" s="660"/>
      <c r="T521" s="660"/>
      <c r="U521" s="660"/>
      <c r="V521" s="660"/>
      <c r="W521" s="660"/>
      <c r="X521" s="660"/>
      <c r="Y521" s="660"/>
      <c r="Z521" s="660"/>
      <c r="AA521" s="660"/>
      <c r="AB521" s="660"/>
      <c r="AC521" s="661"/>
      <c r="AD521" s="606"/>
      <c r="AE521" s="606"/>
      <c r="AF521" s="606"/>
      <c r="AG521" s="606"/>
    </row>
    <row r="522" spans="1:33" s="612" customFormat="1" hidden="1" outlineLevel="3" x14ac:dyDescent="0.2">
      <c r="A522" s="606"/>
      <c r="B522" s="606"/>
      <c r="C522" s="607"/>
      <c r="D522" s="608"/>
      <c r="E522" s="608"/>
      <c r="F522" s="608"/>
      <c r="G522" s="608"/>
      <c r="H522" s="609"/>
      <c r="I522" s="660"/>
      <c r="J522" s="660"/>
      <c r="K522" s="660"/>
      <c r="L522" s="660"/>
      <c r="M522" s="660"/>
      <c r="N522" s="660"/>
      <c r="O522" s="660"/>
      <c r="P522" s="660"/>
      <c r="Q522" s="660"/>
      <c r="R522" s="660"/>
      <c r="S522" s="660"/>
      <c r="T522" s="660"/>
      <c r="U522" s="660"/>
      <c r="V522" s="660"/>
      <c r="W522" s="660"/>
      <c r="X522" s="660"/>
      <c r="Y522" s="660"/>
      <c r="Z522" s="660"/>
      <c r="AA522" s="660"/>
      <c r="AB522" s="660"/>
      <c r="AC522" s="661"/>
      <c r="AD522" s="606"/>
      <c r="AE522" s="606"/>
      <c r="AF522" s="606"/>
      <c r="AG522" s="606"/>
    </row>
    <row r="523" spans="1:33" s="612" customFormat="1" hidden="1" outlineLevel="3" x14ac:dyDescent="0.2">
      <c r="A523" s="606"/>
      <c r="B523" s="606"/>
      <c r="C523" s="607"/>
      <c r="D523" s="608"/>
      <c r="E523" s="608"/>
      <c r="F523" s="608"/>
      <c r="G523" s="608"/>
      <c r="H523" s="609"/>
      <c r="I523" s="660"/>
      <c r="J523" s="660"/>
      <c r="K523" s="660"/>
      <c r="L523" s="660"/>
      <c r="M523" s="660"/>
      <c r="N523" s="660"/>
      <c r="O523" s="660"/>
      <c r="P523" s="660"/>
      <c r="Q523" s="660"/>
      <c r="R523" s="660"/>
      <c r="S523" s="660"/>
      <c r="T523" s="660"/>
      <c r="U523" s="660"/>
      <c r="V523" s="660"/>
      <c r="W523" s="660"/>
      <c r="X523" s="660"/>
      <c r="Y523" s="660"/>
      <c r="Z523" s="660"/>
      <c r="AA523" s="660"/>
      <c r="AB523" s="660"/>
      <c r="AC523" s="661"/>
      <c r="AD523" s="606"/>
      <c r="AE523" s="606"/>
      <c r="AF523" s="606"/>
      <c r="AG523" s="606"/>
    </row>
    <row r="524" spans="1:33" s="612" customFormat="1" hidden="1" outlineLevel="3" x14ac:dyDescent="0.2">
      <c r="A524" s="606"/>
      <c r="B524" s="606"/>
      <c r="C524" s="607"/>
      <c r="D524" s="608"/>
      <c r="E524" s="608"/>
      <c r="F524" s="608"/>
      <c r="G524" s="608"/>
      <c r="H524" s="609"/>
      <c r="I524" s="660"/>
      <c r="J524" s="660"/>
      <c r="K524" s="660"/>
      <c r="L524" s="660"/>
      <c r="M524" s="660"/>
      <c r="N524" s="660"/>
      <c r="O524" s="660"/>
      <c r="P524" s="660"/>
      <c r="Q524" s="660"/>
      <c r="R524" s="660"/>
      <c r="S524" s="660"/>
      <c r="T524" s="660"/>
      <c r="U524" s="660"/>
      <c r="V524" s="660"/>
      <c r="W524" s="660"/>
      <c r="X524" s="660"/>
      <c r="Y524" s="660"/>
      <c r="Z524" s="660"/>
      <c r="AA524" s="660"/>
      <c r="AB524" s="660"/>
      <c r="AC524" s="661"/>
      <c r="AD524" s="606"/>
      <c r="AE524" s="606"/>
      <c r="AF524" s="606"/>
      <c r="AG524" s="606"/>
    </row>
    <row r="525" spans="1:33" s="612" customFormat="1" hidden="1" outlineLevel="3" x14ac:dyDescent="0.2">
      <c r="A525" s="606"/>
      <c r="B525" s="606"/>
      <c r="C525" s="607"/>
      <c r="D525" s="608"/>
      <c r="E525" s="608"/>
      <c r="F525" s="608"/>
      <c r="G525" s="608"/>
      <c r="H525" s="609"/>
      <c r="I525" s="660"/>
      <c r="J525" s="660"/>
      <c r="K525" s="660"/>
      <c r="L525" s="660"/>
      <c r="M525" s="660"/>
      <c r="N525" s="660"/>
      <c r="O525" s="660"/>
      <c r="P525" s="660"/>
      <c r="Q525" s="660"/>
      <c r="R525" s="660"/>
      <c r="S525" s="660"/>
      <c r="T525" s="660"/>
      <c r="U525" s="660"/>
      <c r="V525" s="660"/>
      <c r="W525" s="660"/>
      <c r="X525" s="660"/>
      <c r="Y525" s="660"/>
      <c r="Z525" s="660"/>
      <c r="AA525" s="660"/>
      <c r="AB525" s="660"/>
      <c r="AC525" s="661"/>
      <c r="AD525" s="606"/>
      <c r="AE525" s="606"/>
      <c r="AF525" s="606"/>
      <c r="AG525" s="606"/>
    </row>
    <row r="526" spans="1:33" s="612" customFormat="1" hidden="1" outlineLevel="3" x14ac:dyDescent="0.2">
      <c r="A526" s="606"/>
      <c r="B526" s="606"/>
      <c r="C526" s="607"/>
      <c r="D526" s="608"/>
      <c r="E526" s="608"/>
      <c r="F526" s="608"/>
      <c r="G526" s="608"/>
      <c r="H526" s="609"/>
      <c r="I526" s="660"/>
      <c r="J526" s="660"/>
      <c r="K526" s="660"/>
      <c r="L526" s="660"/>
      <c r="M526" s="660"/>
      <c r="N526" s="660"/>
      <c r="O526" s="660"/>
      <c r="P526" s="660"/>
      <c r="Q526" s="660"/>
      <c r="R526" s="660"/>
      <c r="S526" s="660"/>
      <c r="T526" s="660"/>
      <c r="U526" s="660"/>
      <c r="V526" s="660"/>
      <c r="W526" s="660"/>
      <c r="X526" s="660"/>
      <c r="Y526" s="660"/>
      <c r="Z526" s="660"/>
      <c r="AA526" s="660"/>
      <c r="AB526" s="660"/>
      <c r="AC526" s="661"/>
      <c r="AD526" s="606"/>
      <c r="AE526" s="606"/>
      <c r="AF526" s="606"/>
      <c r="AG526" s="606"/>
    </row>
    <row r="527" spans="1:33" s="612" customFormat="1" hidden="1" outlineLevel="3" x14ac:dyDescent="0.2">
      <c r="A527" s="606"/>
      <c r="B527" s="606"/>
      <c r="C527" s="607"/>
      <c r="D527" s="608"/>
      <c r="E527" s="608"/>
      <c r="F527" s="608"/>
      <c r="G527" s="608"/>
      <c r="H527" s="609"/>
      <c r="I527" s="660"/>
      <c r="J527" s="660"/>
      <c r="K527" s="660"/>
      <c r="L527" s="660"/>
      <c r="M527" s="660"/>
      <c r="N527" s="660"/>
      <c r="O527" s="660"/>
      <c r="P527" s="660"/>
      <c r="Q527" s="660"/>
      <c r="R527" s="660"/>
      <c r="S527" s="660"/>
      <c r="T527" s="660"/>
      <c r="U527" s="660"/>
      <c r="V527" s="660"/>
      <c r="W527" s="660"/>
      <c r="X527" s="660"/>
      <c r="Y527" s="660"/>
      <c r="Z527" s="660"/>
      <c r="AA527" s="660"/>
      <c r="AB527" s="660"/>
      <c r="AC527" s="661"/>
      <c r="AD527" s="606"/>
      <c r="AE527" s="606"/>
      <c r="AF527" s="606"/>
      <c r="AG527" s="606"/>
    </row>
    <row r="528" spans="1:33" s="612" customFormat="1" hidden="1" outlineLevel="3" x14ac:dyDescent="0.2">
      <c r="A528" s="606"/>
      <c r="B528" s="606"/>
      <c r="C528" s="607"/>
      <c r="D528" s="608"/>
      <c r="E528" s="608"/>
      <c r="F528" s="608"/>
      <c r="G528" s="608"/>
      <c r="H528" s="609"/>
      <c r="I528" s="660"/>
      <c r="J528" s="660"/>
      <c r="K528" s="660"/>
      <c r="L528" s="660"/>
      <c r="M528" s="660"/>
      <c r="N528" s="660"/>
      <c r="O528" s="660"/>
      <c r="P528" s="660"/>
      <c r="Q528" s="660"/>
      <c r="R528" s="660"/>
      <c r="S528" s="660"/>
      <c r="T528" s="660"/>
      <c r="U528" s="660"/>
      <c r="V528" s="660"/>
      <c r="W528" s="660"/>
      <c r="X528" s="660"/>
      <c r="Y528" s="660"/>
      <c r="Z528" s="660"/>
      <c r="AA528" s="660"/>
      <c r="AB528" s="660"/>
      <c r="AC528" s="661"/>
      <c r="AD528" s="606"/>
      <c r="AE528" s="606"/>
      <c r="AF528" s="606"/>
      <c r="AG528" s="606"/>
    </row>
    <row r="529" spans="1:33" s="612" customFormat="1" hidden="1" outlineLevel="3" x14ac:dyDescent="0.2">
      <c r="A529" s="606"/>
      <c r="B529" s="606"/>
      <c r="C529" s="607"/>
      <c r="D529" s="608"/>
      <c r="E529" s="608"/>
      <c r="F529" s="608"/>
      <c r="G529" s="608"/>
      <c r="H529" s="609"/>
      <c r="I529" s="660"/>
      <c r="J529" s="660"/>
      <c r="K529" s="660"/>
      <c r="L529" s="660"/>
      <c r="M529" s="660"/>
      <c r="N529" s="660"/>
      <c r="O529" s="660"/>
      <c r="P529" s="660"/>
      <c r="Q529" s="660"/>
      <c r="R529" s="660"/>
      <c r="S529" s="660"/>
      <c r="T529" s="660"/>
      <c r="U529" s="660"/>
      <c r="V529" s="660"/>
      <c r="W529" s="660"/>
      <c r="X529" s="660"/>
      <c r="Y529" s="660"/>
      <c r="Z529" s="660"/>
      <c r="AA529" s="660"/>
      <c r="AB529" s="660"/>
      <c r="AC529" s="661"/>
      <c r="AD529" s="606"/>
      <c r="AE529" s="606"/>
      <c r="AF529" s="606"/>
      <c r="AG529" s="606"/>
    </row>
    <row r="530" spans="1:33" s="612" customFormat="1" hidden="1" outlineLevel="3" x14ac:dyDescent="0.2">
      <c r="A530" s="606"/>
      <c r="B530" s="606"/>
      <c r="C530" s="607"/>
      <c r="D530" s="608"/>
      <c r="E530" s="608"/>
      <c r="F530" s="608"/>
      <c r="G530" s="608"/>
      <c r="H530" s="609"/>
      <c r="I530" s="660"/>
      <c r="J530" s="660"/>
      <c r="K530" s="660"/>
      <c r="L530" s="660"/>
      <c r="M530" s="660"/>
      <c r="N530" s="660"/>
      <c r="O530" s="660"/>
      <c r="P530" s="660"/>
      <c r="Q530" s="660"/>
      <c r="R530" s="660"/>
      <c r="S530" s="660"/>
      <c r="T530" s="660"/>
      <c r="U530" s="660"/>
      <c r="V530" s="660"/>
      <c r="W530" s="660"/>
      <c r="X530" s="660"/>
      <c r="Y530" s="660"/>
      <c r="Z530" s="660"/>
      <c r="AA530" s="660"/>
      <c r="AB530" s="660"/>
      <c r="AC530" s="661"/>
      <c r="AD530" s="606"/>
      <c r="AE530" s="606"/>
      <c r="AF530" s="606"/>
      <c r="AG530" s="606"/>
    </row>
    <row r="531" spans="1:33" s="612" customFormat="1" hidden="1" outlineLevel="3" x14ac:dyDescent="0.2">
      <c r="A531" s="606"/>
      <c r="B531" s="606"/>
      <c r="C531" s="607"/>
      <c r="D531" s="608"/>
      <c r="E531" s="608"/>
      <c r="F531" s="608"/>
      <c r="G531" s="608"/>
      <c r="H531" s="609"/>
      <c r="I531" s="660"/>
      <c r="J531" s="660"/>
      <c r="K531" s="660"/>
      <c r="L531" s="660"/>
      <c r="M531" s="660"/>
      <c r="N531" s="660"/>
      <c r="O531" s="660"/>
      <c r="P531" s="660"/>
      <c r="Q531" s="660"/>
      <c r="R531" s="660"/>
      <c r="S531" s="660"/>
      <c r="T531" s="660"/>
      <c r="U531" s="660"/>
      <c r="V531" s="660"/>
      <c r="W531" s="660"/>
      <c r="X531" s="660"/>
      <c r="Y531" s="660"/>
      <c r="Z531" s="660"/>
      <c r="AA531" s="660"/>
      <c r="AB531" s="660"/>
      <c r="AC531" s="661"/>
      <c r="AD531" s="606"/>
      <c r="AE531" s="606"/>
      <c r="AF531" s="606"/>
      <c r="AG531" s="606"/>
    </row>
    <row r="532" spans="1:33" s="612" customFormat="1" hidden="1" outlineLevel="3" x14ac:dyDescent="0.2">
      <c r="A532" s="606"/>
      <c r="B532" s="606"/>
      <c r="C532" s="607"/>
      <c r="D532" s="608"/>
      <c r="E532" s="608"/>
      <c r="F532" s="608"/>
      <c r="G532" s="608"/>
      <c r="H532" s="609"/>
      <c r="I532" s="660"/>
      <c r="J532" s="660"/>
      <c r="K532" s="660"/>
      <c r="L532" s="660"/>
      <c r="M532" s="660"/>
      <c r="N532" s="660"/>
      <c r="O532" s="660"/>
      <c r="P532" s="660"/>
      <c r="Q532" s="660"/>
      <c r="R532" s="660"/>
      <c r="S532" s="660"/>
      <c r="T532" s="660"/>
      <c r="U532" s="660"/>
      <c r="V532" s="660"/>
      <c r="W532" s="660"/>
      <c r="X532" s="660"/>
      <c r="Y532" s="660"/>
      <c r="Z532" s="660"/>
      <c r="AA532" s="660"/>
      <c r="AB532" s="660"/>
      <c r="AC532" s="661"/>
      <c r="AD532" s="606"/>
      <c r="AE532" s="606"/>
      <c r="AF532" s="606"/>
      <c r="AG532" s="606"/>
    </row>
    <row r="533" spans="1:33" s="612" customFormat="1" hidden="1" outlineLevel="3" x14ac:dyDescent="0.2">
      <c r="A533" s="606"/>
      <c r="B533" s="606"/>
      <c r="C533" s="607"/>
      <c r="D533" s="608"/>
      <c r="E533" s="608"/>
      <c r="F533" s="608"/>
      <c r="G533" s="608"/>
      <c r="H533" s="609"/>
      <c r="I533" s="660"/>
      <c r="J533" s="660"/>
      <c r="K533" s="660"/>
      <c r="L533" s="660"/>
      <c r="M533" s="660"/>
      <c r="N533" s="660"/>
      <c r="O533" s="660"/>
      <c r="P533" s="660"/>
      <c r="Q533" s="660"/>
      <c r="R533" s="660"/>
      <c r="S533" s="660"/>
      <c r="T533" s="660"/>
      <c r="U533" s="660"/>
      <c r="V533" s="660"/>
      <c r="W533" s="660"/>
      <c r="X533" s="660"/>
      <c r="Y533" s="660"/>
      <c r="Z533" s="660"/>
      <c r="AA533" s="660"/>
      <c r="AB533" s="660"/>
      <c r="AC533" s="661"/>
      <c r="AD533" s="606"/>
      <c r="AE533" s="606"/>
      <c r="AF533" s="606"/>
      <c r="AG533" s="606"/>
    </row>
    <row r="534" spans="1:33" s="612" customFormat="1" hidden="1" outlineLevel="3" x14ac:dyDescent="0.2">
      <c r="A534" s="606"/>
      <c r="B534" s="606"/>
      <c r="C534" s="607"/>
      <c r="D534" s="608"/>
      <c r="E534" s="608"/>
      <c r="F534" s="608"/>
      <c r="G534" s="608"/>
      <c r="H534" s="609"/>
      <c r="I534" s="660"/>
      <c r="J534" s="660"/>
      <c r="K534" s="660"/>
      <c r="L534" s="660"/>
      <c r="M534" s="660"/>
      <c r="N534" s="660"/>
      <c r="O534" s="660"/>
      <c r="P534" s="660"/>
      <c r="Q534" s="660"/>
      <c r="R534" s="660"/>
      <c r="S534" s="660"/>
      <c r="T534" s="660"/>
      <c r="U534" s="660"/>
      <c r="V534" s="660"/>
      <c r="W534" s="660"/>
      <c r="X534" s="660"/>
      <c r="Y534" s="660"/>
      <c r="Z534" s="660"/>
      <c r="AA534" s="660"/>
      <c r="AB534" s="660"/>
      <c r="AC534" s="661"/>
      <c r="AD534" s="606"/>
      <c r="AE534" s="606"/>
      <c r="AF534" s="606"/>
      <c r="AG534" s="606"/>
    </row>
    <row r="535" spans="1:33" s="612" customFormat="1" hidden="1" outlineLevel="3" x14ac:dyDescent="0.2">
      <c r="A535" s="606"/>
      <c r="B535" s="606"/>
      <c r="C535" s="607"/>
      <c r="D535" s="608"/>
      <c r="E535" s="608"/>
      <c r="F535" s="608"/>
      <c r="G535" s="608"/>
      <c r="H535" s="609"/>
      <c r="I535" s="660"/>
      <c r="J535" s="660"/>
      <c r="K535" s="660"/>
      <c r="L535" s="660"/>
      <c r="M535" s="660"/>
      <c r="N535" s="660"/>
      <c r="O535" s="660"/>
      <c r="P535" s="660"/>
      <c r="Q535" s="660"/>
      <c r="R535" s="660"/>
      <c r="S535" s="660"/>
      <c r="T535" s="660"/>
      <c r="U535" s="660"/>
      <c r="V535" s="660"/>
      <c r="W535" s="660"/>
      <c r="X535" s="660"/>
      <c r="Y535" s="660"/>
      <c r="Z535" s="660"/>
      <c r="AA535" s="660"/>
      <c r="AB535" s="660"/>
      <c r="AC535" s="661"/>
      <c r="AD535" s="606"/>
      <c r="AE535" s="606"/>
      <c r="AF535" s="606"/>
      <c r="AG535" s="606"/>
    </row>
    <row r="536" spans="1:33" s="612" customFormat="1" hidden="1" outlineLevel="3" x14ac:dyDescent="0.2">
      <c r="A536" s="606"/>
      <c r="B536" s="606"/>
      <c r="C536" s="607"/>
      <c r="D536" s="608"/>
      <c r="E536" s="608"/>
      <c r="F536" s="608"/>
      <c r="G536" s="608"/>
      <c r="H536" s="609"/>
      <c r="I536" s="660"/>
      <c r="J536" s="660"/>
      <c r="K536" s="660"/>
      <c r="L536" s="660"/>
      <c r="M536" s="660"/>
      <c r="N536" s="660"/>
      <c r="O536" s="660"/>
      <c r="P536" s="660"/>
      <c r="Q536" s="660"/>
      <c r="R536" s="660"/>
      <c r="S536" s="660"/>
      <c r="T536" s="660"/>
      <c r="U536" s="660"/>
      <c r="V536" s="660"/>
      <c r="W536" s="660"/>
      <c r="X536" s="660"/>
      <c r="Y536" s="660"/>
      <c r="Z536" s="660"/>
      <c r="AA536" s="660"/>
      <c r="AB536" s="660"/>
      <c r="AC536" s="661"/>
      <c r="AD536" s="606"/>
      <c r="AE536" s="606"/>
      <c r="AF536" s="606"/>
      <c r="AG536" s="606"/>
    </row>
    <row r="537" spans="1:33" s="612" customFormat="1" hidden="1" outlineLevel="3" x14ac:dyDescent="0.2">
      <c r="A537" s="606"/>
      <c r="B537" s="606"/>
      <c r="C537" s="607"/>
      <c r="D537" s="608"/>
      <c r="E537" s="608"/>
      <c r="F537" s="608"/>
      <c r="G537" s="608"/>
      <c r="H537" s="609"/>
      <c r="I537" s="660"/>
      <c r="J537" s="660"/>
      <c r="K537" s="660"/>
      <c r="L537" s="660"/>
      <c r="M537" s="660"/>
      <c r="N537" s="660"/>
      <c r="O537" s="660"/>
      <c r="P537" s="660"/>
      <c r="Q537" s="660"/>
      <c r="R537" s="660"/>
      <c r="S537" s="660"/>
      <c r="T537" s="660"/>
      <c r="U537" s="660"/>
      <c r="V537" s="660"/>
      <c r="W537" s="660"/>
      <c r="X537" s="660"/>
      <c r="Y537" s="660"/>
      <c r="Z537" s="660"/>
      <c r="AA537" s="660"/>
      <c r="AB537" s="660"/>
      <c r="AC537" s="661"/>
      <c r="AD537" s="606"/>
      <c r="AE537" s="606"/>
      <c r="AF537" s="606"/>
      <c r="AG537" s="606"/>
    </row>
    <row r="538" spans="1:33" s="612" customFormat="1" hidden="1" outlineLevel="3" x14ac:dyDescent="0.2">
      <c r="A538" s="606"/>
      <c r="B538" s="606"/>
      <c r="C538" s="607"/>
      <c r="D538" s="608"/>
      <c r="E538" s="608"/>
      <c r="F538" s="608"/>
      <c r="G538" s="608"/>
      <c r="H538" s="609"/>
      <c r="I538" s="660"/>
      <c r="J538" s="660"/>
      <c r="K538" s="660"/>
      <c r="L538" s="660"/>
      <c r="M538" s="660"/>
      <c r="N538" s="660"/>
      <c r="O538" s="660"/>
      <c r="P538" s="660"/>
      <c r="Q538" s="660"/>
      <c r="R538" s="660"/>
      <c r="S538" s="660"/>
      <c r="T538" s="660"/>
      <c r="U538" s="660"/>
      <c r="V538" s="660"/>
      <c r="W538" s="660"/>
      <c r="X538" s="660"/>
      <c r="Y538" s="660"/>
      <c r="Z538" s="660"/>
      <c r="AA538" s="660"/>
      <c r="AB538" s="660"/>
      <c r="AC538" s="661"/>
      <c r="AD538" s="606"/>
      <c r="AE538" s="606"/>
      <c r="AF538" s="606"/>
      <c r="AG538" s="606"/>
    </row>
    <row r="539" spans="1:33" s="612" customFormat="1" hidden="1" outlineLevel="3" x14ac:dyDescent="0.2">
      <c r="A539" s="606"/>
      <c r="B539" s="606"/>
      <c r="C539" s="607"/>
      <c r="D539" s="608"/>
      <c r="E539" s="608"/>
      <c r="F539" s="608"/>
      <c r="G539" s="608"/>
      <c r="H539" s="609"/>
      <c r="I539" s="660"/>
      <c r="J539" s="660"/>
      <c r="K539" s="660"/>
      <c r="L539" s="660"/>
      <c r="M539" s="660"/>
      <c r="N539" s="660"/>
      <c r="O539" s="660"/>
      <c r="P539" s="660"/>
      <c r="Q539" s="660"/>
      <c r="R539" s="660"/>
      <c r="S539" s="660"/>
      <c r="T539" s="660"/>
      <c r="U539" s="660"/>
      <c r="V539" s="660"/>
      <c r="W539" s="660"/>
      <c r="X539" s="660"/>
      <c r="Y539" s="660"/>
      <c r="Z539" s="660"/>
      <c r="AA539" s="660"/>
      <c r="AB539" s="660"/>
      <c r="AC539" s="661"/>
      <c r="AD539" s="606"/>
      <c r="AE539" s="606"/>
      <c r="AF539" s="606"/>
      <c r="AG539" s="606"/>
    </row>
    <row r="540" spans="1:33" s="612" customFormat="1" hidden="1" outlineLevel="3" x14ac:dyDescent="0.2">
      <c r="A540" s="606"/>
      <c r="B540" s="606"/>
      <c r="C540" s="607"/>
      <c r="D540" s="608"/>
      <c r="E540" s="608"/>
      <c r="F540" s="608"/>
      <c r="G540" s="608"/>
      <c r="H540" s="609"/>
      <c r="I540" s="660"/>
      <c r="J540" s="660"/>
      <c r="K540" s="660"/>
      <c r="L540" s="660"/>
      <c r="M540" s="660"/>
      <c r="N540" s="660"/>
      <c r="O540" s="660"/>
      <c r="P540" s="660"/>
      <c r="Q540" s="660"/>
      <c r="R540" s="660"/>
      <c r="S540" s="660"/>
      <c r="T540" s="660"/>
      <c r="U540" s="660"/>
      <c r="V540" s="660"/>
      <c r="W540" s="660"/>
      <c r="X540" s="660"/>
      <c r="Y540" s="660"/>
      <c r="Z540" s="660"/>
      <c r="AA540" s="660"/>
      <c r="AB540" s="660"/>
      <c r="AC540" s="661"/>
      <c r="AD540" s="606"/>
      <c r="AE540" s="606"/>
      <c r="AF540" s="606"/>
      <c r="AG540" s="606"/>
    </row>
    <row r="541" spans="1:33" s="612" customFormat="1" hidden="1" outlineLevel="3" x14ac:dyDescent="0.2">
      <c r="A541" s="606"/>
      <c r="B541" s="606"/>
      <c r="C541" s="607"/>
      <c r="D541" s="608"/>
      <c r="E541" s="608"/>
      <c r="F541" s="608"/>
      <c r="G541" s="608"/>
      <c r="H541" s="609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1"/>
      <c r="AD541" s="606"/>
      <c r="AE541" s="606"/>
      <c r="AF541" s="606"/>
      <c r="AG541" s="606"/>
    </row>
    <row r="542" spans="1:33" s="612" customFormat="1" hidden="1" outlineLevel="3" x14ac:dyDescent="0.2">
      <c r="A542" s="606"/>
      <c r="B542" s="606"/>
      <c r="C542" s="607"/>
      <c r="D542" s="608"/>
      <c r="E542" s="608"/>
      <c r="F542" s="608"/>
      <c r="G542" s="608"/>
      <c r="H542" s="609"/>
      <c r="I542" s="660"/>
      <c r="J542" s="660"/>
      <c r="K542" s="660"/>
      <c r="L542" s="660"/>
      <c r="M542" s="660"/>
      <c r="N542" s="660"/>
      <c r="O542" s="660"/>
      <c r="P542" s="660"/>
      <c r="Q542" s="660"/>
      <c r="R542" s="660"/>
      <c r="S542" s="660"/>
      <c r="T542" s="660"/>
      <c r="U542" s="660"/>
      <c r="V542" s="660"/>
      <c r="W542" s="660"/>
      <c r="X542" s="660"/>
      <c r="Y542" s="660"/>
      <c r="Z542" s="660"/>
      <c r="AA542" s="660"/>
      <c r="AB542" s="660"/>
      <c r="AC542" s="661"/>
      <c r="AD542" s="606"/>
      <c r="AE542" s="606"/>
      <c r="AF542" s="606"/>
      <c r="AG542" s="606"/>
    </row>
    <row r="543" spans="1:33" s="612" customFormat="1" hidden="1" outlineLevel="3" x14ac:dyDescent="0.2">
      <c r="A543" s="606"/>
      <c r="B543" s="606"/>
      <c r="C543" s="607"/>
      <c r="D543" s="608"/>
      <c r="E543" s="608"/>
      <c r="F543" s="608"/>
      <c r="G543" s="608"/>
      <c r="H543" s="609"/>
      <c r="I543" s="660"/>
      <c r="J543" s="660"/>
      <c r="K543" s="660"/>
      <c r="L543" s="660"/>
      <c r="M543" s="660"/>
      <c r="N543" s="660"/>
      <c r="O543" s="660"/>
      <c r="P543" s="660"/>
      <c r="Q543" s="660"/>
      <c r="R543" s="660"/>
      <c r="S543" s="660"/>
      <c r="T543" s="660"/>
      <c r="U543" s="660"/>
      <c r="V543" s="660"/>
      <c r="W543" s="660"/>
      <c r="X543" s="660"/>
      <c r="Y543" s="660"/>
      <c r="Z543" s="660"/>
      <c r="AA543" s="660"/>
      <c r="AB543" s="660"/>
      <c r="AC543" s="661"/>
      <c r="AD543" s="606"/>
      <c r="AE543" s="606"/>
      <c r="AF543" s="606"/>
      <c r="AG543" s="606"/>
    </row>
    <row r="544" spans="1:33" s="612" customFormat="1" hidden="1" outlineLevel="3" x14ac:dyDescent="0.2">
      <c r="A544" s="606"/>
      <c r="B544" s="606"/>
      <c r="C544" s="607"/>
      <c r="D544" s="608"/>
      <c r="E544" s="608"/>
      <c r="F544" s="608"/>
      <c r="G544" s="608"/>
      <c r="H544" s="609"/>
      <c r="I544" s="660"/>
      <c r="J544" s="660"/>
      <c r="K544" s="660"/>
      <c r="L544" s="660"/>
      <c r="M544" s="660"/>
      <c r="N544" s="660"/>
      <c r="O544" s="660"/>
      <c r="P544" s="660"/>
      <c r="Q544" s="660"/>
      <c r="R544" s="660"/>
      <c r="S544" s="660"/>
      <c r="T544" s="660"/>
      <c r="U544" s="660"/>
      <c r="V544" s="660"/>
      <c r="W544" s="660"/>
      <c r="X544" s="660"/>
      <c r="Y544" s="660"/>
      <c r="Z544" s="660"/>
      <c r="AA544" s="660"/>
      <c r="AB544" s="660"/>
      <c r="AC544" s="661"/>
      <c r="AD544" s="606"/>
      <c r="AE544" s="606"/>
      <c r="AF544" s="606"/>
      <c r="AG544" s="606"/>
    </row>
    <row r="545" spans="1:33" s="612" customFormat="1" hidden="1" outlineLevel="3" x14ac:dyDescent="0.2">
      <c r="A545" s="606"/>
      <c r="B545" s="606"/>
      <c r="C545" s="607"/>
      <c r="D545" s="608"/>
      <c r="E545" s="608"/>
      <c r="F545" s="608"/>
      <c r="G545" s="608"/>
      <c r="H545" s="609"/>
      <c r="I545" s="660"/>
      <c r="J545" s="660"/>
      <c r="K545" s="660"/>
      <c r="L545" s="660"/>
      <c r="M545" s="660"/>
      <c r="N545" s="660"/>
      <c r="O545" s="660"/>
      <c r="P545" s="660"/>
      <c r="Q545" s="660"/>
      <c r="R545" s="660"/>
      <c r="S545" s="660"/>
      <c r="T545" s="660"/>
      <c r="U545" s="660"/>
      <c r="V545" s="660"/>
      <c r="W545" s="660"/>
      <c r="X545" s="660"/>
      <c r="Y545" s="660"/>
      <c r="Z545" s="660"/>
      <c r="AA545" s="660"/>
      <c r="AB545" s="660"/>
      <c r="AC545" s="661"/>
      <c r="AD545" s="606"/>
      <c r="AE545" s="606"/>
      <c r="AF545" s="606"/>
      <c r="AG545" s="606"/>
    </row>
    <row r="546" spans="1:33" s="612" customFormat="1" hidden="1" outlineLevel="3" x14ac:dyDescent="0.2">
      <c r="A546" s="606"/>
      <c r="B546" s="606"/>
      <c r="C546" s="607"/>
      <c r="D546" s="608"/>
      <c r="E546" s="608"/>
      <c r="F546" s="608"/>
      <c r="G546" s="608"/>
      <c r="H546" s="609"/>
      <c r="I546" s="660"/>
      <c r="J546" s="660"/>
      <c r="K546" s="660"/>
      <c r="L546" s="660"/>
      <c r="M546" s="660"/>
      <c r="N546" s="660"/>
      <c r="O546" s="660"/>
      <c r="P546" s="660"/>
      <c r="Q546" s="660"/>
      <c r="R546" s="660"/>
      <c r="S546" s="660"/>
      <c r="T546" s="660"/>
      <c r="U546" s="660"/>
      <c r="V546" s="660"/>
      <c r="W546" s="660"/>
      <c r="X546" s="660"/>
      <c r="Y546" s="660"/>
      <c r="Z546" s="660"/>
      <c r="AA546" s="660"/>
      <c r="AB546" s="660"/>
      <c r="AC546" s="661"/>
      <c r="AD546" s="606"/>
      <c r="AE546" s="606"/>
      <c r="AF546" s="606"/>
      <c r="AG546" s="606"/>
    </row>
    <row r="547" spans="1:33" s="612" customFormat="1" hidden="1" outlineLevel="3" x14ac:dyDescent="0.2">
      <c r="A547" s="606"/>
      <c r="B547" s="606"/>
      <c r="C547" s="607"/>
      <c r="D547" s="608"/>
      <c r="E547" s="608"/>
      <c r="F547" s="608"/>
      <c r="G547" s="608"/>
      <c r="H547" s="609"/>
      <c r="I547" s="660"/>
      <c r="J547" s="660"/>
      <c r="K547" s="660"/>
      <c r="L547" s="660"/>
      <c r="M547" s="660"/>
      <c r="N547" s="660"/>
      <c r="O547" s="660"/>
      <c r="P547" s="660"/>
      <c r="Q547" s="660"/>
      <c r="R547" s="660"/>
      <c r="S547" s="660"/>
      <c r="T547" s="660"/>
      <c r="U547" s="660"/>
      <c r="V547" s="660"/>
      <c r="W547" s="660"/>
      <c r="X547" s="660"/>
      <c r="Y547" s="660"/>
      <c r="Z547" s="660"/>
      <c r="AA547" s="660"/>
      <c r="AB547" s="660"/>
      <c r="AC547" s="661"/>
      <c r="AD547" s="606"/>
      <c r="AE547" s="606"/>
      <c r="AF547" s="606"/>
      <c r="AG547" s="606"/>
    </row>
    <row r="548" spans="1:33" s="612" customFormat="1" hidden="1" outlineLevel="3" x14ac:dyDescent="0.2">
      <c r="A548" s="606"/>
      <c r="B548" s="606"/>
      <c r="C548" s="607"/>
      <c r="D548" s="608"/>
      <c r="E548" s="608"/>
      <c r="F548" s="608"/>
      <c r="G548" s="608"/>
      <c r="H548" s="609"/>
      <c r="I548" s="660"/>
      <c r="J548" s="660"/>
      <c r="K548" s="660"/>
      <c r="L548" s="660"/>
      <c r="M548" s="660"/>
      <c r="N548" s="660"/>
      <c r="O548" s="660"/>
      <c r="P548" s="660"/>
      <c r="Q548" s="660"/>
      <c r="R548" s="660"/>
      <c r="S548" s="660"/>
      <c r="T548" s="660"/>
      <c r="U548" s="660"/>
      <c r="V548" s="660"/>
      <c r="W548" s="660"/>
      <c r="X548" s="660"/>
      <c r="Y548" s="660"/>
      <c r="Z548" s="660"/>
      <c r="AA548" s="660"/>
      <c r="AB548" s="660"/>
      <c r="AC548" s="661"/>
      <c r="AD548" s="606"/>
      <c r="AE548" s="606"/>
      <c r="AF548" s="606"/>
      <c r="AG548" s="606"/>
    </row>
    <row r="549" spans="1:33" s="612" customFormat="1" hidden="1" outlineLevel="3" x14ac:dyDescent="0.2">
      <c r="A549" s="606"/>
      <c r="B549" s="606"/>
      <c r="C549" s="607"/>
      <c r="D549" s="608"/>
      <c r="E549" s="608"/>
      <c r="F549" s="608"/>
      <c r="G549" s="608"/>
      <c r="H549" s="609"/>
      <c r="I549" s="660"/>
      <c r="J549" s="660"/>
      <c r="K549" s="660"/>
      <c r="L549" s="660"/>
      <c r="M549" s="660"/>
      <c r="N549" s="660"/>
      <c r="O549" s="660"/>
      <c r="P549" s="660"/>
      <c r="Q549" s="660"/>
      <c r="R549" s="660"/>
      <c r="S549" s="660"/>
      <c r="T549" s="660"/>
      <c r="U549" s="660"/>
      <c r="V549" s="660"/>
      <c r="W549" s="660"/>
      <c r="X549" s="660"/>
      <c r="Y549" s="660"/>
      <c r="Z549" s="660"/>
      <c r="AA549" s="660"/>
      <c r="AB549" s="660"/>
      <c r="AC549" s="661"/>
      <c r="AD549" s="606"/>
      <c r="AE549" s="606"/>
      <c r="AF549" s="606"/>
      <c r="AG549" s="606"/>
    </row>
    <row r="550" spans="1:33" s="612" customFormat="1" hidden="1" outlineLevel="3" x14ac:dyDescent="0.2">
      <c r="A550" s="606"/>
      <c r="B550" s="606"/>
      <c r="C550" s="607"/>
      <c r="D550" s="608"/>
      <c r="E550" s="608"/>
      <c r="F550" s="608"/>
      <c r="G550" s="608"/>
      <c r="H550" s="609"/>
      <c r="I550" s="660"/>
      <c r="J550" s="660"/>
      <c r="K550" s="660"/>
      <c r="L550" s="660"/>
      <c r="M550" s="660"/>
      <c r="N550" s="660"/>
      <c r="O550" s="660"/>
      <c r="P550" s="660"/>
      <c r="Q550" s="660"/>
      <c r="R550" s="660"/>
      <c r="S550" s="660"/>
      <c r="T550" s="660"/>
      <c r="U550" s="660"/>
      <c r="V550" s="660"/>
      <c r="W550" s="660"/>
      <c r="X550" s="660"/>
      <c r="Y550" s="660"/>
      <c r="Z550" s="660"/>
      <c r="AA550" s="660"/>
      <c r="AB550" s="660"/>
      <c r="AC550" s="661"/>
      <c r="AD550" s="606"/>
      <c r="AE550" s="606"/>
      <c r="AF550" s="606"/>
      <c r="AG550" s="606"/>
    </row>
    <row r="551" spans="1:33" s="612" customFormat="1" hidden="1" outlineLevel="3" x14ac:dyDescent="0.2">
      <c r="A551" s="606"/>
      <c r="B551" s="606"/>
      <c r="C551" s="607"/>
      <c r="D551" s="608"/>
      <c r="E551" s="608"/>
      <c r="F551" s="608"/>
      <c r="G551" s="608"/>
      <c r="H551" s="609"/>
      <c r="I551" s="660"/>
      <c r="J551" s="660"/>
      <c r="K551" s="660"/>
      <c r="L551" s="660"/>
      <c r="M551" s="660"/>
      <c r="N551" s="660"/>
      <c r="O551" s="660"/>
      <c r="P551" s="660"/>
      <c r="Q551" s="660"/>
      <c r="R551" s="660"/>
      <c r="S551" s="660"/>
      <c r="T551" s="660"/>
      <c r="U551" s="660"/>
      <c r="V551" s="660"/>
      <c r="W551" s="660"/>
      <c r="X551" s="660"/>
      <c r="Y551" s="660"/>
      <c r="Z551" s="660"/>
      <c r="AA551" s="660"/>
      <c r="AB551" s="660"/>
      <c r="AC551" s="661"/>
      <c r="AD551" s="606"/>
      <c r="AE551" s="606"/>
      <c r="AF551" s="606"/>
      <c r="AG551" s="606"/>
    </row>
    <row r="552" spans="1:33" s="612" customFormat="1" hidden="1" outlineLevel="3" x14ac:dyDescent="0.2">
      <c r="A552" s="606"/>
      <c r="B552" s="606"/>
      <c r="C552" s="607"/>
      <c r="D552" s="608"/>
      <c r="E552" s="608"/>
      <c r="F552" s="608"/>
      <c r="G552" s="608"/>
      <c r="H552" s="609"/>
      <c r="I552" s="660"/>
      <c r="J552" s="660"/>
      <c r="K552" s="660"/>
      <c r="L552" s="660"/>
      <c r="M552" s="660"/>
      <c r="N552" s="660"/>
      <c r="O552" s="660"/>
      <c r="P552" s="660"/>
      <c r="Q552" s="660"/>
      <c r="R552" s="660"/>
      <c r="S552" s="660"/>
      <c r="T552" s="660"/>
      <c r="U552" s="660"/>
      <c r="V552" s="660"/>
      <c r="W552" s="660"/>
      <c r="X552" s="660"/>
      <c r="Y552" s="660"/>
      <c r="Z552" s="660"/>
      <c r="AA552" s="660"/>
      <c r="AB552" s="660"/>
      <c r="AC552" s="661"/>
      <c r="AD552" s="606"/>
      <c r="AE552" s="606"/>
      <c r="AF552" s="606"/>
      <c r="AG552" s="606"/>
    </row>
    <row r="553" spans="1:33" s="612" customFormat="1" hidden="1" outlineLevel="3" x14ac:dyDescent="0.2">
      <c r="A553" s="606"/>
      <c r="B553" s="606"/>
      <c r="C553" s="607"/>
      <c r="D553" s="608"/>
      <c r="E553" s="608"/>
      <c r="F553" s="608"/>
      <c r="G553" s="608"/>
      <c r="H553" s="609"/>
      <c r="I553" s="660"/>
      <c r="J553" s="660"/>
      <c r="K553" s="660"/>
      <c r="L553" s="660"/>
      <c r="M553" s="660"/>
      <c r="N553" s="660"/>
      <c r="O553" s="660"/>
      <c r="P553" s="660"/>
      <c r="Q553" s="660"/>
      <c r="R553" s="660"/>
      <c r="S553" s="660"/>
      <c r="T553" s="660"/>
      <c r="U553" s="660"/>
      <c r="V553" s="660"/>
      <c r="W553" s="660"/>
      <c r="X553" s="660"/>
      <c r="Y553" s="660"/>
      <c r="Z553" s="660"/>
      <c r="AA553" s="660"/>
      <c r="AB553" s="660"/>
      <c r="AC553" s="661"/>
      <c r="AD553" s="606"/>
      <c r="AE553" s="606"/>
      <c r="AF553" s="606"/>
      <c r="AG553" s="606"/>
    </row>
    <row r="554" spans="1:33" s="612" customFormat="1" hidden="1" outlineLevel="3" x14ac:dyDescent="0.2">
      <c r="A554" s="606"/>
      <c r="B554" s="606"/>
      <c r="C554" s="607"/>
      <c r="D554" s="608"/>
      <c r="E554" s="608"/>
      <c r="F554" s="608"/>
      <c r="G554" s="608"/>
      <c r="H554" s="609"/>
      <c r="I554" s="660"/>
      <c r="J554" s="660"/>
      <c r="K554" s="660"/>
      <c r="L554" s="660"/>
      <c r="M554" s="660"/>
      <c r="N554" s="660"/>
      <c r="O554" s="660"/>
      <c r="P554" s="660"/>
      <c r="Q554" s="660"/>
      <c r="R554" s="660"/>
      <c r="S554" s="660"/>
      <c r="T554" s="660"/>
      <c r="U554" s="660"/>
      <c r="V554" s="660"/>
      <c r="W554" s="660"/>
      <c r="X554" s="660"/>
      <c r="Y554" s="660"/>
      <c r="Z554" s="660"/>
      <c r="AA554" s="660"/>
      <c r="AB554" s="660"/>
      <c r="AC554" s="661"/>
      <c r="AD554" s="606"/>
      <c r="AE554" s="606"/>
      <c r="AF554" s="606"/>
      <c r="AG554" s="606"/>
    </row>
    <row r="555" spans="1:33" s="612" customFormat="1" hidden="1" outlineLevel="3" x14ac:dyDescent="0.2">
      <c r="A555" s="606"/>
      <c r="B555" s="606"/>
      <c r="C555" s="607"/>
      <c r="D555" s="608"/>
      <c r="E555" s="608"/>
      <c r="F555" s="608"/>
      <c r="G555" s="608"/>
      <c r="H555" s="609"/>
      <c r="I555" s="660"/>
      <c r="J555" s="660"/>
      <c r="K555" s="660"/>
      <c r="L555" s="660"/>
      <c r="M555" s="660"/>
      <c r="N555" s="660"/>
      <c r="O555" s="660"/>
      <c r="P555" s="660"/>
      <c r="Q555" s="660"/>
      <c r="R555" s="660"/>
      <c r="S555" s="660"/>
      <c r="T555" s="660"/>
      <c r="U555" s="660"/>
      <c r="V555" s="660"/>
      <c r="W555" s="660"/>
      <c r="X555" s="660"/>
      <c r="Y555" s="660"/>
      <c r="Z555" s="660"/>
      <c r="AA555" s="660"/>
      <c r="AB555" s="660"/>
      <c r="AC555" s="661"/>
      <c r="AD555" s="606"/>
      <c r="AE555" s="606"/>
      <c r="AF555" s="606"/>
      <c r="AG555" s="606"/>
    </row>
    <row r="556" spans="1:33" s="612" customFormat="1" hidden="1" outlineLevel="3" x14ac:dyDescent="0.2">
      <c r="A556" s="606"/>
      <c r="B556" s="606"/>
      <c r="C556" s="607"/>
      <c r="D556" s="608"/>
      <c r="E556" s="608"/>
      <c r="F556" s="608"/>
      <c r="G556" s="608"/>
      <c r="H556" s="609"/>
      <c r="I556" s="660"/>
      <c r="J556" s="660"/>
      <c r="K556" s="660"/>
      <c r="L556" s="660"/>
      <c r="M556" s="660"/>
      <c r="N556" s="660"/>
      <c r="O556" s="660"/>
      <c r="P556" s="660"/>
      <c r="Q556" s="660"/>
      <c r="R556" s="660"/>
      <c r="S556" s="660"/>
      <c r="T556" s="660"/>
      <c r="U556" s="660"/>
      <c r="V556" s="660"/>
      <c r="W556" s="660"/>
      <c r="X556" s="660"/>
      <c r="Y556" s="660"/>
      <c r="Z556" s="660"/>
      <c r="AA556" s="660"/>
      <c r="AB556" s="660"/>
      <c r="AC556" s="661"/>
      <c r="AD556" s="606"/>
      <c r="AE556" s="606"/>
      <c r="AF556" s="606"/>
      <c r="AG556" s="606"/>
    </row>
    <row r="557" spans="1:33" s="612" customFormat="1" hidden="1" outlineLevel="3" x14ac:dyDescent="0.2">
      <c r="A557" s="606"/>
      <c r="B557" s="606"/>
      <c r="C557" s="607"/>
      <c r="D557" s="608"/>
      <c r="E557" s="608"/>
      <c r="F557" s="608"/>
      <c r="G557" s="608"/>
      <c r="H557" s="609"/>
      <c r="I557" s="660"/>
      <c r="J557" s="660"/>
      <c r="K557" s="660"/>
      <c r="L557" s="660"/>
      <c r="M557" s="660"/>
      <c r="N557" s="660"/>
      <c r="O557" s="660"/>
      <c r="P557" s="660"/>
      <c r="Q557" s="660"/>
      <c r="R557" s="660"/>
      <c r="S557" s="660"/>
      <c r="T557" s="660"/>
      <c r="U557" s="660"/>
      <c r="V557" s="660"/>
      <c r="W557" s="660"/>
      <c r="X557" s="660"/>
      <c r="Y557" s="660"/>
      <c r="Z557" s="660"/>
      <c r="AA557" s="660"/>
      <c r="AB557" s="660"/>
      <c r="AC557" s="661"/>
      <c r="AD557" s="606"/>
      <c r="AE557" s="606"/>
      <c r="AF557" s="606"/>
      <c r="AG557" s="606"/>
    </row>
    <row r="558" spans="1:33" s="612" customFormat="1" hidden="1" outlineLevel="3" x14ac:dyDescent="0.2">
      <c r="A558" s="606"/>
      <c r="B558" s="606"/>
      <c r="C558" s="607"/>
      <c r="D558" s="608"/>
      <c r="E558" s="608"/>
      <c r="F558" s="608"/>
      <c r="G558" s="608"/>
      <c r="H558" s="609"/>
      <c r="I558" s="660"/>
      <c r="J558" s="660"/>
      <c r="K558" s="660"/>
      <c r="L558" s="660"/>
      <c r="M558" s="660"/>
      <c r="N558" s="660"/>
      <c r="O558" s="660"/>
      <c r="P558" s="660"/>
      <c r="Q558" s="660"/>
      <c r="R558" s="660"/>
      <c r="S558" s="660"/>
      <c r="T558" s="660"/>
      <c r="U558" s="660"/>
      <c r="V558" s="660"/>
      <c r="W558" s="660"/>
      <c r="X558" s="660"/>
      <c r="Y558" s="660"/>
      <c r="Z558" s="660"/>
      <c r="AA558" s="660"/>
      <c r="AB558" s="660"/>
      <c r="AC558" s="661"/>
      <c r="AD558" s="606"/>
      <c r="AE558" s="606"/>
      <c r="AF558" s="606"/>
      <c r="AG558" s="606"/>
    </row>
    <row r="559" spans="1:33" s="612" customFormat="1" hidden="1" outlineLevel="3" x14ac:dyDescent="0.2">
      <c r="A559" s="606"/>
      <c r="B559" s="606"/>
      <c r="C559" s="607"/>
      <c r="D559" s="608"/>
      <c r="E559" s="608"/>
      <c r="F559" s="608"/>
      <c r="G559" s="608"/>
      <c r="H559" s="609"/>
      <c r="I559" s="660"/>
      <c r="J559" s="660"/>
      <c r="K559" s="660"/>
      <c r="L559" s="660"/>
      <c r="M559" s="660"/>
      <c r="N559" s="660"/>
      <c r="O559" s="660"/>
      <c r="P559" s="660"/>
      <c r="Q559" s="660"/>
      <c r="R559" s="660"/>
      <c r="S559" s="660"/>
      <c r="T559" s="660"/>
      <c r="U559" s="660"/>
      <c r="V559" s="660"/>
      <c r="W559" s="660"/>
      <c r="X559" s="660"/>
      <c r="Y559" s="660"/>
      <c r="Z559" s="660"/>
      <c r="AA559" s="660"/>
      <c r="AB559" s="660"/>
      <c r="AC559" s="661"/>
      <c r="AD559" s="606"/>
      <c r="AE559" s="606"/>
      <c r="AF559" s="606"/>
      <c r="AG559" s="606"/>
    </row>
    <row r="560" spans="1:33" s="612" customFormat="1" hidden="1" outlineLevel="3" x14ac:dyDescent="0.2">
      <c r="A560" s="606"/>
      <c r="B560" s="606"/>
      <c r="C560" s="607"/>
      <c r="D560" s="608"/>
      <c r="E560" s="608"/>
      <c r="F560" s="608"/>
      <c r="G560" s="608"/>
      <c r="H560" s="609"/>
      <c r="I560" s="660"/>
      <c r="J560" s="660"/>
      <c r="K560" s="660"/>
      <c r="L560" s="660"/>
      <c r="M560" s="660"/>
      <c r="N560" s="660"/>
      <c r="O560" s="660"/>
      <c r="P560" s="660"/>
      <c r="Q560" s="660"/>
      <c r="R560" s="660"/>
      <c r="S560" s="660"/>
      <c r="T560" s="660"/>
      <c r="U560" s="660"/>
      <c r="V560" s="660"/>
      <c r="W560" s="660"/>
      <c r="X560" s="660"/>
      <c r="Y560" s="660"/>
      <c r="Z560" s="660"/>
      <c r="AA560" s="660"/>
      <c r="AB560" s="660"/>
      <c r="AC560" s="661"/>
      <c r="AD560" s="606"/>
      <c r="AE560" s="606"/>
      <c r="AF560" s="606"/>
      <c r="AG560" s="606"/>
    </row>
    <row r="561" spans="1:33" s="612" customFormat="1" hidden="1" outlineLevel="3" x14ac:dyDescent="0.2">
      <c r="A561" s="606"/>
      <c r="B561" s="606"/>
      <c r="C561" s="607"/>
      <c r="D561" s="608"/>
      <c r="E561" s="608"/>
      <c r="F561" s="608"/>
      <c r="G561" s="608"/>
      <c r="H561" s="609"/>
      <c r="I561" s="660"/>
      <c r="J561" s="660"/>
      <c r="K561" s="660"/>
      <c r="L561" s="660"/>
      <c r="M561" s="660"/>
      <c r="N561" s="660"/>
      <c r="O561" s="660"/>
      <c r="P561" s="660"/>
      <c r="Q561" s="660"/>
      <c r="R561" s="660"/>
      <c r="S561" s="660"/>
      <c r="T561" s="660"/>
      <c r="U561" s="660"/>
      <c r="V561" s="660"/>
      <c r="W561" s="660"/>
      <c r="X561" s="660"/>
      <c r="Y561" s="660"/>
      <c r="Z561" s="660"/>
      <c r="AA561" s="660"/>
      <c r="AB561" s="660"/>
      <c r="AC561" s="661"/>
      <c r="AD561" s="606"/>
      <c r="AE561" s="606"/>
      <c r="AF561" s="606"/>
      <c r="AG561" s="606"/>
    </row>
    <row r="562" spans="1:33" s="612" customFormat="1" hidden="1" outlineLevel="3" x14ac:dyDescent="0.2">
      <c r="A562" s="606"/>
      <c r="B562" s="606"/>
      <c r="C562" s="607"/>
      <c r="D562" s="608"/>
      <c r="E562" s="608"/>
      <c r="F562" s="608"/>
      <c r="G562" s="608"/>
      <c r="H562" s="609"/>
      <c r="I562" s="660"/>
      <c r="J562" s="660"/>
      <c r="K562" s="660"/>
      <c r="L562" s="660"/>
      <c r="M562" s="660"/>
      <c r="N562" s="660"/>
      <c r="O562" s="660"/>
      <c r="P562" s="660"/>
      <c r="Q562" s="660"/>
      <c r="R562" s="660"/>
      <c r="S562" s="660"/>
      <c r="T562" s="660"/>
      <c r="U562" s="660"/>
      <c r="V562" s="660"/>
      <c r="W562" s="660"/>
      <c r="X562" s="660"/>
      <c r="Y562" s="660"/>
      <c r="Z562" s="660"/>
      <c r="AA562" s="660"/>
      <c r="AB562" s="660"/>
      <c r="AC562" s="661"/>
      <c r="AD562" s="606"/>
      <c r="AE562" s="606"/>
      <c r="AF562" s="606"/>
      <c r="AG562" s="606"/>
    </row>
    <row r="563" spans="1:33" s="612" customFormat="1" hidden="1" outlineLevel="3" x14ac:dyDescent="0.2">
      <c r="A563" s="606"/>
      <c r="B563" s="606"/>
      <c r="C563" s="607"/>
      <c r="D563" s="608"/>
      <c r="E563" s="608"/>
      <c r="F563" s="608"/>
      <c r="G563" s="608"/>
      <c r="H563" s="609"/>
      <c r="I563" s="660"/>
      <c r="J563" s="660"/>
      <c r="K563" s="660"/>
      <c r="L563" s="660"/>
      <c r="M563" s="660"/>
      <c r="N563" s="660"/>
      <c r="O563" s="660"/>
      <c r="P563" s="660"/>
      <c r="Q563" s="660"/>
      <c r="R563" s="660"/>
      <c r="S563" s="660"/>
      <c r="T563" s="660"/>
      <c r="U563" s="660"/>
      <c r="V563" s="660"/>
      <c r="W563" s="660"/>
      <c r="X563" s="660"/>
      <c r="Y563" s="660"/>
      <c r="Z563" s="660"/>
      <c r="AA563" s="660"/>
      <c r="AB563" s="660"/>
      <c r="AC563" s="661"/>
      <c r="AD563" s="606"/>
      <c r="AE563" s="606"/>
      <c r="AF563" s="606"/>
      <c r="AG563" s="606"/>
    </row>
    <row r="564" spans="1:33" s="612" customFormat="1" hidden="1" outlineLevel="3" x14ac:dyDescent="0.2">
      <c r="A564" s="606"/>
      <c r="B564" s="606"/>
      <c r="C564" s="607"/>
      <c r="D564" s="608"/>
      <c r="E564" s="608"/>
      <c r="F564" s="608"/>
      <c r="G564" s="608"/>
      <c r="H564" s="609"/>
      <c r="I564" s="660"/>
      <c r="J564" s="660"/>
      <c r="K564" s="660"/>
      <c r="L564" s="660"/>
      <c r="M564" s="660"/>
      <c r="N564" s="660"/>
      <c r="O564" s="660"/>
      <c r="P564" s="660"/>
      <c r="Q564" s="660"/>
      <c r="R564" s="660"/>
      <c r="S564" s="660"/>
      <c r="T564" s="660"/>
      <c r="U564" s="660"/>
      <c r="V564" s="660"/>
      <c r="W564" s="660"/>
      <c r="X564" s="660"/>
      <c r="Y564" s="660"/>
      <c r="Z564" s="660"/>
      <c r="AA564" s="660"/>
      <c r="AB564" s="660"/>
      <c r="AC564" s="661"/>
      <c r="AD564" s="606"/>
      <c r="AE564" s="606"/>
      <c r="AF564" s="606"/>
      <c r="AG564" s="606"/>
    </row>
    <row r="565" spans="1:33" s="612" customFormat="1" hidden="1" outlineLevel="3" x14ac:dyDescent="0.2">
      <c r="A565" s="606"/>
      <c r="B565" s="606"/>
      <c r="C565" s="607"/>
      <c r="D565" s="608"/>
      <c r="E565" s="608"/>
      <c r="F565" s="608"/>
      <c r="G565" s="608"/>
      <c r="H565" s="609"/>
      <c r="I565" s="660"/>
      <c r="J565" s="660"/>
      <c r="K565" s="660"/>
      <c r="L565" s="660"/>
      <c r="M565" s="660"/>
      <c r="N565" s="660"/>
      <c r="O565" s="660"/>
      <c r="P565" s="660"/>
      <c r="Q565" s="660"/>
      <c r="R565" s="660"/>
      <c r="S565" s="660"/>
      <c r="T565" s="660"/>
      <c r="U565" s="660"/>
      <c r="V565" s="660"/>
      <c r="W565" s="660"/>
      <c r="X565" s="660"/>
      <c r="Y565" s="660"/>
      <c r="Z565" s="660"/>
      <c r="AA565" s="660"/>
      <c r="AB565" s="660"/>
      <c r="AC565" s="661"/>
      <c r="AD565" s="606"/>
      <c r="AE565" s="606"/>
      <c r="AF565" s="606"/>
      <c r="AG565" s="606"/>
    </row>
    <row r="566" spans="1:33" s="612" customFormat="1" hidden="1" outlineLevel="3" x14ac:dyDescent="0.2">
      <c r="A566" s="606"/>
      <c r="B566" s="606"/>
      <c r="C566" s="607"/>
      <c r="D566" s="608"/>
      <c r="E566" s="608"/>
      <c r="F566" s="608"/>
      <c r="G566" s="608"/>
      <c r="H566" s="609"/>
      <c r="I566" s="660"/>
      <c r="J566" s="660"/>
      <c r="K566" s="660"/>
      <c r="L566" s="660"/>
      <c r="M566" s="660"/>
      <c r="N566" s="660"/>
      <c r="O566" s="660"/>
      <c r="P566" s="660"/>
      <c r="Q566" s="660"/>
      <c r="R566" s="660"/>
      <c r="S566" s="660"/>
      <c r="T566" s="660"/>
      <c r="U566" s="660"/>
      <c r="V566" s="660"/>
      <c r="W566" s="660"/>
      <c r="X566" s="660"/>
      <c r="Y566" s="660"/>
      <c r="Z566" s="660"/>
      <c r="AA566" s="660"/>
      <c r="AB566" s="660"/>
      <c r="AC566" s="661"/>
      <c r="AD566" s="606"/>
      <c r="AE566" s="606"/>
      <c r="AF566" s="606"/>
      <c r="AG566" s="606"/>
    </row>
    <row r="567" spans="1:33" s="612" customFormat="1" hidden="1" outlineLevel="3" x14ac:dyDescent="0.2">
      <c r="A567" s="606"/>
      <c r="B567" s="606"/>
      <c r="C567" s="607"/>
      <c r="D567" s="608"/>
      <c r="E567" s="608"/>
      <c r="F567" s="608"/>
      <c r="G567" s="608"/>
      <c r="H567" s="609"/>
      <c r="I567" s="660"/>
      <c r="J567" s="660"/>
      <c r="K567" s="660"/>
      <c r="L567" s="660"/>
      <c r="M567" s="660"/>
      <c r="N567" s="660"/>
      <c r="O567" s="660"/>
      <c r="P567" s="660"/>
      <c r="Q567" s="660"/>
      <c r="R567" s="660"/>
      <c r="S567" s="660"/>
      <c r="T567" s="660"/>
      <c r="U567" s="660"/>
      <c r="V567" s="660"/>
      <c r="W567" s="660"/>
      <c r="X567" s="660"/>
      <c r="Y567" s="660"/>
      <c r="Z567" s="660"/>
      <c r="AA567" s="660"/>
      <c r="AB567" s="660"/>
      <c r="AC567" s="661"/>
      <c r="AD567" s="606"/>
      <c r="AE567" s="606"/>
      <c r="AF567" s="606"/>
      <c r="AG567" s="606"/>
    </row>
    <row r="568" spans="1:33" s="612" customFormat="1" hidden="1" outlineLevel="3" x14ac:dyDescent="0.2">
      <c r="A568" s="606"/>
      <c r="B568" s="606"/>
      <c r="C568" s="607"/>
      <c r="D568" s="608"/>
      <c r="E568" s="608"/>
      <c r="F568" s="608"/>
      <c r="G568" s="608"/>
      <c r="H568" s="609"/>
      <c r="I568" s="660"/>
      <c r="J568" s="660"/>
      <c r="K568" s="660"/>
      <c r="L568" s="660"/>
      <c r="M568" s="660"/>
      <c r="N568" s="660"/>
      <c r="O568" s="660"/>
      <c r="P568" s="660"/>
      <c r="Q568" s="660"/>
      <c r="R568" s="660"/>
      <c r="S568" s="660"/>
      <c r="T568" s="660"/>
      <c r="U568" s="660"/>
      <c r="V568" s="660"/>
      <c r="W568" s="660"/>
      <c r="X568" s="660"/>
      <c r="Y568" s="660"/>
      <c r="Z568" s="660"/>
      <c r="AA568" s="660"/>
      <c r="AB568" s="660"/>
      <c r="AC568" s="661"/>
      <c r="AD568" s="606"/>
      <c r="AE568" s="606"/>
      <c r="AF568" s="606"/>
      <c r="AG568" s="606"/>
    </row>
    <row r="569" spans="1:33" s="612" customFormat="1" hidden="1" outlineLevel="3" x14ac:dyDescent="0.2">
      <c r="A569" s="606"/>
      <c r="B569" s="606"/>
      <c r="C569" s="607"/>
      <c r="D569" s="608"/>
      <c r="E569" s="608"/>
      <c r="F569" s="608"/>
      <c r="G569" s="608"/>
      <c r="H569" s="609"/>
      <c r="I569" s="660"/>
      <c r="J569" s="660"/>
      <c r="K569" s="660"/>
      <c r="L569" s="660"/>
      <c r="M569" s="660"/>
      <c r="N569" s="660"/>
      <c r="O569" s="660"/>
      <c r="P569" s="660"/>
      <c r="Q569" s="660"/>
      <c r="R569" s="660"/>
      <c r="S569" s="660"/>
      <c r="T569" s="660"/>
      <c r="U569" s="660"/>
      <c r="V569" s="660"/>
      <c r="W569" s="660"/>
      <c r="X569" s="660"/>
      <c r="Y569" s="660"/>
      <c r="Z569" s="660"/>
      <c r="AA569" s="660"/>
      <c r="AB569" s="660"/>
      <c r="AC569" s="661"/>
      <c r="AD569" s="606"/>
      <c r="AE569" s="606"/>
      <c r="AF569" s="606"/>
      <c r="AG569" s="606"/>
    </row>
    <row r="570" spans="1:33" s="612" customFormat="1" hidden="1" outlineLevel="3" x14ac:dyDescent="0.2">
      <c r="A570" s="606"/>
      <c r="B570" s="606"/>
      <c r="C570" s="607"/>
      <c r="D570" s="608"/>
      <c r="E570" s="608"/>
      <c r="F570" s="608"/>
      <c r="G570" s="608"/>
      <c r="H570" s="609"/>
      <c r="I570" s="660"/>
      <c r="J570" s="660"/>
      <c r="K570" s="660"/>
      <c r="L570" s="660"/>
      <c r="M570" s="660"/>
      <c r="N570" s="660"/>
      <c r="O570" s="660"/>
      <c r="P570" s="660"/>
      <c r="Q570" s="660"/>
      <c r="R570" s="660"/>
      <c r="S570" s="660"/>
      <c r="T570" s="660"/>
      <c r="U570" s="660"/>
      <c r="V570" s="660"/>
      <c r="W570" s="660"/>
      <c r="X570" s="660"/>
      <c r="Y570" s="660"/>
      <c r="Z570" s="660"/>
      <c r="AA570" s="660"/>
      <c r="AB570" s="660"/>
      <c r="AC570" s="661"/>
      <c r="AD570" s="606"/>
      <c r="AE570" s="606"/>
      <c r="AF570" s="606"/>
      <c r="AG570" s="606"/>
    </row>
    <row r="571" spans="1:33" s="612" customFormat="1" hidden="1" outlineLevel="3" x14ac:dyDescent="0.2">
      <c r="A571" s="606"/>
      <c r="B571" s="606"/>
      <c r="C571" s="607"/>
      <c r="D571" s="608"/>
      <c r="E571" s="608"/>
      <c r="F571" s="608"/>
      <c r="G571" s="608"/>
      <c r="H571" s="609"/>
      <c r="I571" s="660"/>
      <c r="J571" s="660"/>
      <c r="K571" s="660"/>
      <c r="L571" s="660"/>
      <c r="M571" s="660"/>
      <c r="N571" s="660"/>
      <c r="O571" s="660"/>
      <c r="P571" s="660"/>
      <c r="Q571" s="660"/>
      <c r="R571" s="660"/>
      <c r="S571" s="660"/>
      <c r="T571" s="660"/>
      <c r="U571" s="660"/>
      <c r="V571" s="660"/>
      <c r="W571" s="660"/>
      <c r="X571" s="660"/>
      <c r="Y571" s="660"/>
      <c r="Z571" s="660"/>
      <c r="AA571" s="660"/>
      <c r="AB571" s="660"/>
      <c r="AC571" s="661"/>
      <c r="AD571" s="606"/>
      <c r="AE571" s="606"/>
      <c r="AF571" s="606"/>
      <c r="AG571" s="606"/>
    </row>
    <row r="572" spans="1:33" s="612" customFormat="1" hidden="1" outlineLevel="3" x14ac:dyDescent="0.2">
      <c r="A572" s="606"/>
      <c r="B572" s="606"/>
      <c r="C572" s="607"/>
      <c r="D572" s="608"/>
      <c r="E572" s="608"/>
      <c r="F572" s="608"/>
      <c r="G572" s="608"/>
      <c r="H572" s="609"/>
      <c r="I572" s="660"/>
      <c r="J572" s="660"/>
      <c r="K572" s="660"/>
      <c r="L572" s="660"/>
      <c r="M572" s="660"/>
      <c r="N572" s="660"/>
      <c r="O572" s="660"/>
      <c r="P572" s="660"/>
      <c r="Q572" s="660"/>
      <c r="R572" s="660"/>
      <c r="S572" s="660"/>
      <c r="T572" s="660"/>
      <c r="U572" s="660"/>
      <c r="V572" s="660"/>
      <c r="W572" s="660"/>
      <c r="X572" s="660"/>
      <c r="Y572" s="660"/>
      <c r="Z572" s="660"/>
      <c r="AA572" s="660"/>
      <c r="AB572" s="660"/>
      <c r="AC572" s="661"/>
      <c r="AD572" s="606"/>
      <c r="AE572" s="606"/>
      <c r="AF572" s="606"/>
      <c r="AG572" s="606"/>
    </row>
    <row r="573" spans="1:33" s="612" customFormat="1" hidden="1" outlineLevel="3" x14ac:dyDescent="0.2">
      <c r="A573" s="606"/>
      <c r="B573" s="606"/>
      <c r="C573" s="607"/>
      <c r="D573" s="608"/>
      <c r="E573" s="608"/>
      <c r="F573" s="608"/>
      <c r="G573" s="608"/>
      <c r="H573" s="609"/>
      <c r="I573" s="660"/>
      <c r="J573" s="660"/>
      <c r="K573" s="660"/>
      <c r="L573" s="660"/>
      <c r="M573" s="660"/>
      <c r="N573" s="660"/>
      <c r="O573" s="660"/>
      <c r="P573" s="660"/>
      <c r="Q573" s="660"/>
      <c r="R573" s="660"/>
      <c r="S573" s="660"/>
      <c r="T573" s="660"/>
      <c r="U573" s="660"/>
      <c r="V573" s="660"/>
      <c r="W573" s="660"/>
      <c r="X573" s="660"/>
      <c r="Y573" s="660"/>
      <c r="Z573" s="660"/>
      <c r="AA573" s="660"/>
      <c r="AB573" s="660"/>
      <c r="AC573" s="661"/>
      <c r="AD573" s="606"/>
      <c r="AE573" s="606"/>
      <c r="AF573" s="606"/>
      <c r="AG573" s="606"/>
    </row>
    <row r="574" spans="1:33" s="612" customFormat="1" hidden="1" outlineLevel="3" x14ac:dyDescent="0.2">
      <c r="A574" s="606"/>
      <c r="B574" s="606"/>
      <c r="C574" s="607"/>
      <c r="D574" s="608"/>
      <c r="E574" s="608"/>
      <c r="F574" s="608"/>
      <c r="G574" s="608"/>
      <c r="H574" s="609"/>
      <c r="I574" s="660"/>
      <c r="J574" s="660"/>
      <c r="K574" s="660"/>
      <c r="L574" s="660"/>
      <c r="M574" s="660"/>
      <c r="N574" s="660"/>
      <c r="O574" s="660"/>
      <c r="P574" s="660"/>
      <c r="Q574" s="660"/>
      <c r="R574" s="660"/>
      <c r="S574" s="660"/>
      <c r="T574" s="660"/>
      <c r="U574" s="660"/>
      <c r="V574" s="660"/>
      <c r="W574" s="660"/>
      <c r="X574" s="660"/>
      <c r="Y574" s="660"/>
      <c r="Z574" s="660"/>
      <c r="AA574" s="660"/>
      <c r="AB574" s="660"/>
      <c r="AC574" s="661"/>
      <c r="AD574" s="606"/>
      <c r="AE574" s="606"/>
      <c r="AF574" s="606"/>
      <c r="AG574" s="606"/>
    </row>
    <row r="575" spans="1:33" s="612" customFormat="1" hidden="1" outlineLevel="3" x14ac:dyDescent="0.2">
      <c r="A575" s="606"/>
      <c r="B575" s="606"/>
      <c r="C575" s="607"/>
      <c r="D575" s="608"/>
      <c r="E575" s="608"/>
      <c r="F575" s="608"/>
      <c r="G575" s="608"/>
      <c r="H575" s="609"/>
      <c r="I575" s="660"/>
      <c r="J575" s="660"/>
      <c r="K575" s="660"/>
      <c r="L575" s="660"/>
      <c r="M575" s="660"/>
      <c r="N575" s="660"/>
      <c r="O575" s="660"/>
      <c r="P575" s="660"/>
      <c r="Q575" s="660"/>
      <c r="R575" s="660"/>
      <c r="S575" s="660"/>
      <c r="T575" s="660"/>
      <c r="U575" s="660"/>
      <c r="V575" s="660"/>
      <c r="W575" s="660"/>
      <c r="X575" s="660"/>
      <c r="Y575" s="660"/>
      <c r="Z575" s="660"/>
      <c r="AA575" s="660"/>
      <c r="AB575" s="660"/>
      <c r="AC575" s="661"/>
      <c r="AD575" s="606"/>
      <c r="AE575" s="606"/>
      <c r="AF575" s="606"/>
      <c r="AG575" s="606"/>
    </row>
    <row r="576" spans="1:33" s="612" customFormat="1" hidden="1" outlineLevel="3" x14ac:dyDescent="0.2">
      <c r="A576" s="606"/>
      <c r="B576" s="606"/>
      <c r="C576" s="607"/>
      <c r="D576" s="608"/>
      <c r="E576" s="608"/>
      <c r="F576" s="608"/>
      <c r="G576" s="608"/>
      <c r="H576" s="609"/>
      <c r="I576" s="660"/>
      <c r="J576" s="660"/>
      <c r="K576" s="660"/>
      <c r="L576" s="660"/>
      <c r="M576" s="660"/>
      <c r="N576" s="660"/>
      <c r="O576" s="660"/>
      <c r="P576" s="660"/>
      <c r="Q576" s="660"/>
      <c r="R576" s="660"/>
      <c r="S576" s="660"/>
      <c r="T576" s="660"/>
      <c r="U576" s="660"/>
      <c r="V576" s="660"/>
      <c r="W576" s="660"/>
      <c r="X576" s="660"/>
      <c r="Y576" s="660"/>
      <c r="Z576" s="660"/>
      <c r="AA576" s="660"/>
      <c r="AB576" s="660"/>
      <c r="AC576" s="661"/>
      <c r="AD576" s="606"/>
      <c r="AE576" s="606"/>
      <c r="AF576" s="606"/>
      <c r="AG576" s="606"/>
    </row>
    <row r="577" spans="1:33" s="612" customFormat="1" hidden="1" outlineLevel="3" x14ac:dyDescent="0.2">
      <c r="A577" s="606"/>
      <c r="B577" s="606"/>
      <c r="C577" s="607"/>
      <c r="D577" s="608"/>
      <c r="E577" s="608"/>
      <c r="F577" s="608"/>
      <c r="G577" s="608"/>
      <c r="H577" s="609"/>
      <c r="I577" s="660"/>
      <c r="J577" s="660"/>
      <c r="K577" s="660"/>
      <c r="L577" s="660"/>
      <c r="M577" s="660"/>
      <c r="N577" s="660"/>
      <c r="O577" s="660"/>
      <c r="P577" s="660"/>
      <c r="Q577" s="660"/>
      <c r="R577" s="660"/>
      <c r="S577" s="660"/>
      <c r="T577" s="660"/>
      <c r="U577" s="660"/>
      <c r="V577" s="660"/>
      <c r="W577" s="660"/>
      <c r="X577" s="660"/>
      <c r="Y577" s="660"/>
      <c r="Z577" s="660"/>
      <c r="AA577" s="660"/>
      <c r="AB577" s="660"/>
      <c r="AC577" s="661"/>
      <c r="AD577" s="606"/>
      <c r="AE577" s="606"/>
      <c r="AF577" s="606"/>
      <c r="AG577" s="606"/>
    </row>
    <row r="578" spans="1:33" s="612" customFormat="1" hidden="1" outlineLevel="3" x14ac:dyDescent="0.2">
      <c r="A578" s="606"/>
      <c r="B578" s="606"/>
      <c r="C578" s="607"/>
      <c r="D578" s="608"/>
      <c r="E578" s="608"/>
      <c r="F578" s="608"/>
      <c r="G578" s="608"/>
      <c r="H578" s="609"/>
      <c r="I578" s="660"/>
      <c r="J578" s="660"/>
      <c r="K578" s="660"/>
      <c r="L578" s="660"/>
      <c r="M578" s="660"/>
      <c r="N578" s="660"/>
      <c r="O578" s="660"/>
      <c r="P578" s="660"/>
      <c r="Q578" s="660"/>
      <c r="R578" s="660"/>
      <c r="S578" s="660"/>
      <c r="T578" s="660"/>
      <c r="U578" s="660"/>
      <c r="V578" s="660"/>
      <c r="W578" s="660"/>
      <c r="X578" s="660"/>
      <c r="Y578" s="660"/>
      <c r="Z578" s="660"/>
      <c r="AA578" s="660"/>
      <c r="AB578" s="660"/>
      <c r="AC578" s="661"/>
      <c r="AD578" s="606"/>
      <c r="AE578" s="606"/>
      <c r="AF578" s="606"/>
      <c r="AG578" s="606"/>
    </row>
    <row r="579" spans="1:33" s="612" customFormat="1" hidden="1" outlineLevel="3" x14ac:dyDescent="0.2">
      <c r="A579" s="606"/>
      <c r="B579" s="606"/>
      <c r="C579" s="607"/>
      <c r="D579" s="608"/>
      <c r="E579" s="608"/>
      <c r="F579" s="608"/>
      <c r="G579" s="608"/>
      <c r="H579" s="609"/>
      <c r="I579" s="660"/>
      <c r="J579" s="660"/>
      <c r="K579" s="660"/>
      <c r="L579" s="660"/>
      <c r="M579" s="660"/>
      <c r="N579" s="660"/>
      <c r="O579" s="660"/>
      <c r="P579" s="660"/>
      <c r="Q579" s="660"/>
      <c r="R579" s="660"/>
      <c r="S579" s="660"/>
      <c r="T579" s="660"/>
      <c r="U579" s="660"/>
      <c r="V579" s="660"/>
      <c r="W579" s="660"/>
      <c r="X579" s="660"/>
      <c r="Y579" s="660"/>
      <c r="Z579" s="660"/>
      <c r="AA579" s="660"/>
      <c r="AB579" s="660"/>
      <c r="AC579" s="661"/>
      <c r="AD579" s="606"/>
      <c r="AE579" s="606"/>
      <c r="AF579" s="606"/>
      <c r="AG579" s="606"/>
    </row>
    <row r="580" spans="1:33" s="612" customFormat="1" hidden="1" outlineLevel="3" x14ac:dyDescent="0.2">
      <c r="A580" s="606"/>
      <c r="B580" s="606"/>
      <c r="C580" s="607"/>
      <c r="D580" s="608"/>
      <c r="E580" s="608"/>
      <c r="F580" s="608"/>
      <c r="G580" s="608"/>
      <c r="H580" s="609"/>
      <c r="I580" s="660"/>
      <c r="J580" s="660"/>
      <c r="K580" s="660"/>
      <c r="L580" s="660"/>
      <c r="M580" s="660"/>
      <c r="N580" s="660"/>
      <c r="O580" s="660"/>
      <c r="P580" s="660"/>
      <c r="Q580" s="660"/>
      <c r="R580" s="660"/>
      <c r="S580" s="660"/>
      <c r="T580" s="660"/>
      <c r="U580" s="660"/>
      <c r="V580" s="660"/>
      <c r="W580" s="660"/>
      <c r="X580" s="660"/>
      <c r="Y580" s="660"/>
      <c r="Z580" s="660"/>
      <c r="AA580" s="660"/>
      <c r="AB580" s="660"/>
      <c r="AC580" s="661"/>
      <c r="AD580" s="606"/>
      <c r="AE580" s="606"/>
      <c r="AF580" s="606"/>
      <c r="AG580" s="606"/>
    </row>
    <row r="581" spans="1:33" s="612" customFormat="1" hidden="1" outlineLevel="3" x14ac:dyDescent="0.2">
      <c r="A581" s="606"/>
      <c r="B581" s="606"/>
      <c r="C581" s="607"/>
      <c r="D581" s="608"/>
      <c r="E581" s="608"/>
      <c r="F581" s="608"/>
      <c r="G581" s="608"/>
      <c r="H581" s="609"/>
      <c r="I581" s="660"/>
      <c r="J581" s="660"/>
      <c r="K581" s="660"/>
      <c r="L581" s="660"/>
      <c r="M581" s="660"/>
      <c r="N581" s="660"/>
      <c r="O581" s="660"/>
      <c r="P581" s="660"/>
      <c r="Q581" s="660"/>
      <c r="R581" s="660"/>
      <c r="S581" s="660"/>
      <c r="T581" s="660"/>
      <c r="U581" s="660"/>
      <c r="V581" s="660"/>
      <c r="W581" s="660"/>
      <c r="X581" s="660"/>
      <c r="Y581" s="660"/>
      <c r="Z581" s="660"/>
      <c r="AA581" s="660"/>
      <c r="AB581" s="660"/>
      <c r="AC581" s="661"/>
      <c r="AD581" s="606"/>
      <c r="AE581" s="606"/>
      <c r="AF581" s="606"/>
      <c r="AG581" s="606"/>
    </row>
    <row r="582" spans="1:33" s="612" customFormat="1" hidden="1" outlineLevel="3" x14ac:dyDescent="0.2">
      <c r="A582" s="606"/>
      <c r="B582" s="606"/>
      <c r="C582" s="607"/>
      <c r="D582" s="608"/>
      <c r="E582" s="608"/>
      <c r="F582" s="608"/>
      <c r="G582" s="608"/>
      <c r="H582" s="609"/>
      <c r="I582" s="660"/>
      <c r="J582" s="660"/>
      <c r="K582" s="660"/>
      <c r="L582" s="660"/>
      <c r="M582" s="660"/>
      <c r="N582" s="660"/>
      <c r="O582" s="660"/>
      <c r="P582" s="660"/>
      <c r="Q582" s="660"/>
      <c r="R582" s="660"/>
      <c r="S582" s="660"/>
      <c r="T582" s="660"/>
      <c r="U582" s="660"/>
      <c r="V582" s="660"/>
      <c r="W582" s="660"/>
      <c r="X582" s="660"/>
      <c r="Y582" s="660"/>
      <c r="Z582" s="660"/>
      <c r="AA582" s="660"/>
      <c r="AB582" s="660"/>
      <c r="AC582" s="661"/>
      <c r="AD582" s="606"/>
      <c r="AE582" s="606"/>
      <c r="AF582" s="606"/>
      <c r="AG582" s="606"/>
    </row>
    <row r="583" spans="1:33" s="612" customFormat="1" hidden="1" outlineLevel="3" x14ac:dyDescent="0.2">
      <c r="A583" s="606"/>
      <c r="B583" s="606"/>
      <c r="C583" s="607"/>
      <c r="D583" s="608"/>
      <c r="E583" s="608"/>
      <c r="F583" s="608"/>
      <c r="G583" s="608"/>
      <c r="H583" s="609"/>
      <c r="I583" s="660"/>
      <c r="J583" s="660"/>
      <c r="K583" s="660"/>
      <c r="L583" s="660"/>
      <c r="M583" s="660"/>
      <c r="N583" s="660"/>
      <c r="O583" s="660"/>
      <c r="P583" s="660"/>
      <c r="Q583" s="660"/>
      <c r="R583" s="660"/>
      <c r="S583" s="660"/>
      <c r="T583" s="660"/>
      <c r="U583" s="660"/>
      <c r="V583" s="660"/>
      <c r="W583" s="660"/>
      <c r="X583" s="660"/>
      <c r="Y583" s="660"/>
      <c r="Z583" s="660"/>
      <c r="AA583" s="660"/>
      <c r="AB583" s="660"/>
      <c r="AC583" s="661"/>
      <c r="AD583" s="606"/>
      <c r="AE583" s="606"/>
      <c r="AF583" s="606"/>
      <c r="AG583" s="606"/>
    </row>
    <row r="584" spans="1:33" s="612" customFormat="1" hidden="1" outlineLevel="3" x14ac:dyDescent="0.2">
      <c r="A584" s="606"/>
      <c r="B584" s="606"/>
      <c r="C584" s="607"/>
      <c r="D584" s="608"/>
      <c r="E584" s="608"/>
      <c r="F584" s="608"/>
      <c r="G584" s="608"/>
      <c r="H584" s="609"/>
      <c r="I584" s="660"/>
      <c r="J584" s="660"/>
      <c r="K584" s="660"/>
      <c r="L584" s="660"/>
      <c r="M584" s="660"/>
      <c r="N584" s="660"/>
      <c r="O584" s="660"/>
      <c r="P584" s="660"/>
      <c r="Q584" s="660"/>
      <c r="R584" s="660"/>
      <c r="S584" s="660"/>
      <c r="T584" s="660"/>
      <c r="U584" s="660"/>
      <c r="V584" s="660"/>
      <c r="W584" s="660"/>
      <c r="X584" s="660"/>
      <c r="Y584" s="660"/>
      <c r="Z584" s="660"/>
      <c r="AA584" s="660"/>
      <c r="AB584" s="660"/>
      <c r="AC584" s="661"/>
      <c r="AD584" s="606"/>
      <c r="AE584" s="606"/>
      <c r="AF584" s="606"/>
      <c r="AG584" s="606"/>
    </row>
    <row r="585" spans="1:33" s="612" customFormat="1" hidden="1" outlineLevel="3" x14ac:dyDescent="0.2">
      <c r="A585" s="606"/>
      <c r="B585" s="606"/>
      <c r="C585" s="607"/>
      <c r="D585" s="608"/>
      <c r="E585" s="608"/>
      <c r="F585" s="608"/>
      <c r="G585" s="608"/>
      <c r="H585" s="609"/>
      <c r="I585" s="660"/>
      <c r="J585" s="660"/>
      <c r="K585" s="660"/>
      <c r="L585" s="660"/>
      <c r="M585" s="660"/>
      <c r="N585" s="660"/>
      <c r="O585" s="660"/>
      <c r="P585" s="660"/>
      <c r="Q585" s="660"/>
      <c r="R585" s="660"/>
      <c r="S585" s="660"/>
      <c r="T585" s="660"/>
      <c r="U585" s="660"/>
      <c r="V585" s="660"/>
      <c r="W585" s="660"/>
      <c r="X585" s="660"/>
      <c r="Y585" s="660"/>
      <c r="Z585" s="660"/>
      <c r="AA585" s="660"/>
      <c r="AB585" s="660"/>
      <c r="AC585" s="661"/>
      <c r="AD585" s="606"/>
      <c r="AE585" s="606"/>
      <c r="AF585" s="606"/>
      <c r="AG585" s="606"/>
    </row>
    <row r="586" spans="1:33" s="612" customFormat="1" hidden="1" outlineLevel="3" x14ac:dyDescent="0.2">
      <c r="A586" s="606"/>
      <c r="B586" s="606"/>
      <c r="C586" s="607"/>
      <c r="D586" s="608"/>
      <c r="E586" s="608"/>
      <c r="F586" s="608"/>
      <c r="G586" s="608"/>
      <c r="H586" s="609"/>
      <c r="I586" s="660"/>
      <c r="J586" s="660"/>
      <c r="K586" s="660"/>
      <c r="L586" s="660"/>
      <c r="M586" s="660"/>
      <c r="N586" s="660"/>
      <c r="O586" s="660"/>
      <c r="P586" s="660"/>
      <c r="Q586" s="660"/>
      <c r="R586" s="660"/>
      <c r="S586" s="660"/>
      <c r="T586" s="660"/>
      <c r="U586" s="660"/>
      <c r="V586" s="660"/>
      <c r="W586" s="660"/>
      <c r="X586" s="660"/>
      <c r="Y586" s="660"/>
      <c r="Z586" s="660"/>
      <c r="AA586" s="660"/>
      <c r="AB586" s="660"/>
      <c r="AC586" s="661"/>
      <c r="AD586" s="606"/>
      <c r="AE586" s="606"/>
      <c r="AF586" s="606"/>
      <c r="AG586" s="606"/>
    </row>
    <row r="587" spans="1:33" s="612" customFormat="1" hidden="1" outlineLevel="3" x14ac:dyDescent="0.2">
      <c r="A587" s="606"/>
      <c r="B587" s="606"/>
      <c r="C587" s="607"/>
      <c r="D587" s="608"/>
      <c r="E587" s="608"/>
      <c r="F587" s="608"/>
      <c r="G587" s="608"/>
      <c r="H587" s="609"/>
      <c r="I587" s="660"/>
      <c r="J587" s="660"/>
      <c r="K587" s="660"/>
      <c r="L587" s="660"/>
      <c r="M587" s="660"/>
      <c r="N587" s="660"/>
      <c r="O587" s="660"/>
      <c r="P587" s="660"/>
      <c r="Q587" s="660"/>
      <c r="R587" s="660"/>
      <c r="S587" s="660"/>
      <c r="T587" s="660"/>
      <c r="U587" s="660"/>
      <c r="V587" s="660"/>
      <c r="W587" s="660"/>
      <c r="X587" s="660"/>
      <c r="Y587" s="660"/>
      <c r="Z587" s="660"/>
      <c r="AA587" s="660"/>
      <c r="AB587" s="660"/>
      <c r="AC587" s="661"/>
      <c r="AD587" s="606"/>
      <c r="AE587" s="606"/>
      <c r="AF587" s="606"/>
      <c r="AG587" s="606"/>
    </row>
    <row r="588" spans="1:33" s="612" customFormat="1" hidden="1" outlineLevel="3" x14ac:dyDescent="0.2">
      <c r="A588" s="606"/>
      <c r="B588" s="606"/>
      <c r="C588" s="607"/>
      <c r="D588" s="608"/>
      <c r="E588" s="608"/>
      <c r="F588" s="608"/>
      <c r="G588" s="608"/>
      <c r="H588" s="609"/>
      <c r="I588" s="660"/>
      <c r="J588" s="660"/>
      <c r="K588" s="660"/>
      <c r="L588" s="660"/>
      <c r="M588" s="660"/>
      <c r="N588" s="660"/>
      <c r="O588" s="660"/>
      <c r="P588" s="660"/>
      <c r="Q588" s="660"/>
      <c r="R588" s="660"/>
      <c r="S588" s="660"/>
      <c r="T588" s="660"/>
      <c r="U588" s="660"/>
      <c r="V588" s="660"/>
      <c r="W588" s="660"/>
      <c r="X588" s="660"/>
      <c r="Y588" s="660"/>
      <c r="Z588" s="660"/>
      <c r="AA588" s="660"/>
      <c r="AB588" s="660"/>
      <c r="AC588" s="661"/>
      <c r="AD588" s="606"/>
      <c r="AE588" s="606"/>
      <c r="AF588" s="606"/>
      <c r="AG588" s="606"/>
    </row>
    <row r="589" spans="1:33" s="612" customFormat="1" hidden="1" outlineLevel="3" x14ac:dyDescent="0.2">
      <c r="A589" s="606"/>
      <c r="B589" s="606"/>
      <c r="C589" s="607"/>
      <c r="D589" s="608"/>
      <c r="E589" s="608"/>
      <c r="F589" s="608"/>
      <c r="G589" s="608"/>
      <c r="H589" s="609"/>
      <c r="I589" s="660"/>
      <c r="J589" s="660"/>
      <c r="K589" s="660"/>
      <c r="L589" s="660"/>
      <c r="M589" s="660"/>
      <c r="N589" s="660"/>
      <c r="O589" s="660"/>
      <c r="P589" s="660"/>
      <c r="Q589" s="660"/>
      <c r="R589" s="660"/>
      <c r="S589" s="660"/>
      <c r="T589" s="660"/>
      <c r="U589" s="660"/>
      <c r="V589" s="660"/>
      <c r="W589" s="660"/>
      <c r="X589" s="660"/>
      <c r="Y589" s="660"/>
      <c r="Z589" s="660"/>
      <c r="AA589" s="660"/>
      <c r="AB589" s="660"/>
      <c r="AC589" s="661"/>
      <c r="AD589" s="606"/>
      <c r="AE589" s="606"/>
      <c r="AF589" s="606"/>
      <c r="AG589" s="606"/>
    </row>
    <row r="590" spans="1:33" s="612" customFormat="1" hidden="1" outlineLevel="3" x14ac:dyDescent="0.2">
      <c r="A590" s="606"/>
      <c r="B590" s="606"/>
      <c r="C590" s="607"/>
      <c r="D590" s="608"/>
      <c r="E590" s="608"/>
      <c r="F590" s="608"/>
      <c r="G590" s="608"/>
      <c r="H590" s="609"/>
      <c r="I590" s="660"/>
      <c r="J590" s="660"/>
      <c r="K590" s="660"/>
      <c r="L590" s="660"/>
      <c r="M590" s="660"/>
      <c r="N590" s="660"/>
      <c r="O590" s="660"/>
      <c r="P590" s="660"/>
      <c r="Q590" s="660"/>
      <c r="R590" s="660"/>
      <c r="S590" s="660"/>
      <c r="T590" s="660"/>
      <c r="U590" s="660"/>
      <c r="V590" s="660"/>
      <c r="W590" s="660"/>
      <c r="X590" s="660"/>
      <c r="Y590" s="660"/>
      <c r="Z590" s="660"/>
      <c r="AA590" s="660"/>
      <c r="AB590" s="660"/>
      <c r="AC590" s="661"/>
      <c r="AD590" s="606"/>
      <c r="AE590" s="606"/>
      <c r="AF590" s="606"/>
      <c r="AG590" s="606"/>
    </row>
    <row r="591" spans="1:33" s="612" customFormat="1" hidden="1" outlineLevel="3" x14ac:dyDescent="0.2">
      <c r="A591" s="606"/>
      <c r="B591" s="606"/>
      <c r="C591" s="607"/>
      <c r="D591" s="608"/>
      <c r="E591" s="608"/>
      <c r="F591" s="608"/>
      <c r="G591" s="608"/>
      <c r="H591" s="609"/>
      <c r="I591" s="660"/>
      <c r="J591" s="660"/>
      <c r="K591" s="660"/>
      <c r="L591" s="660"/>
      <c r="M591" s="660"/>
      <c r="N591" s="660"/>
      <c r="O591" s="660"/>
      <c r="P591" s="660"/>
      <c r="Q591" s="660"/>
      <c r="R591" s="660"/>
      <c r="S591" s="660"/>
      <c r="T591" s="660"/>
      <c r="U591" s="660"/>
      <c r="V591" s="660"/>
      <c r="W591" s="660"/>
      <c r="X591" s="660"/>
      <c r="Y591" s="660"/>
      <c r="Z591" s="660"/>
      <c r="AA591" s="660"/>
      <c r="AB591" s="660"/>
      <c r="AC591" s="661"/>
      <c r="AD591" s="606"/>
      <c r="AE591" s="606"/>
      <c r="AF591" s="606"/>
      <c r="AG591" s="606"/>
    </row>
    <row r="592" spans="1:33" s="612" customFormat="1" hidden="1" outlineLevel="3" x14ac:dyDescent="0.2">
      <c r="A592" s="606"/>
      <c r="B592" s="606"/>
      <c r="C592" s="607"/>
      <c r="D592" s="608"/>
      <c r="E592" s="608"/>
      <c r="F592" s="608"/>
      <c r="G592" s="608"/>
      <c r="H592" s="609"/>
      <c r="I592" s="660"/>
      <c r="J592" s="660"/>
      <c r="K592" s="660"/>
      <c r="L592" s="660"/>
      <c r="M592" s="660"/>
      <c r="N592" s="660"/>
      <c r="O592" s="660"/>
      <c r="P592" s="660"/>
      <c r="Q592" s="660"/>
      <c r="R592" s="660"/>
      <c r="S592" s="660"/>
      <c r="T592" s="660"/>
      <c r="U592" s="660"/>
      <c r="V592" s="660"/>
      <c r="W592" s="660"/>
      <c r="X592" s="660"/>
      <c r="Y592" s="660"/>
      <c r="Z592" s="660"/>
      <c r="AA592" s="660"/>
      <c r="AB592" s="660"/>
      <c r="AC592" s="661"/>
      <c r="AD592" s="606"/>
      <c r="AE592" s="606"/>
      <c r="AF592" s="606"/>
      <c r="AG592" s="606"/>
    </row>
    <row r="593" spans="1:33" s="612" customFormat="1" hidden="1" outlineLevel="3" x14ac:dyDescent="0.2">
      <c r="A593" s="606"/>
      <c r="B593" s="606"/>
      <c r="C593" s="607"/>
      <c r="D593" s="608"/>
      <c r="E593" s="608"/>
      <c r="F593" s="608"/>
      <c r="G593" s="608"/>
      <c r="H593" s="609"/>
      <c r="I593" s="660"/>
      <c r="J593" s="660"/>
      <c r="K593" s="660"/>
      <c r="L593" s="660"/>
      <c r="M593" s="660"/>
      <c r="N593" s="660"/>
      <c r="O593" s="660"/>
      <c r="P593" s="660"/>
      <c r="Q593" s="660"/>
      <c r="R593" s="660"/>
      <c r="S593" s="660"/>
      <c r="T593" s="660"/>
      <c r="U593" s="660"/>
      <c r="V593" s="660"/>
      <c r="W593" s="660"/>
      <c r="X593" s="660"/>
      <c r="Y593" s="660"/>
      <c r="Z593" s="660"/>
      <c r="AA593" s="660"/>
      <c r="AB593" s="660"/>
      <c r="AC593" s="661"/>
      <c r="AD593" s="606"/>
      <c r="AE593" s="606"/>
      <c r="AF593" s="606"/>
      <c r="AG593" s="606"/>
    </row>
    <row r="594" spans="1:33" s="612" customFormat="1" hidden="1" outlineLevel="3" x14ac:dyDescent="0.2">
      <c r="A594" s="606"/>
      <c r="B594" s="606"/>
      <c r="C594" s="607"/>
      <c r="D594" s="608"/>
      <c r="E594" s="608"/>
      <c r="F594" s="608"/>
      <c r="G594" s="608"/>
      <c r="H594" s="609"/>
      <c r="I594" s="660"/>
      <c r="J594" s="660"/>
      <c r="K594" s="660"/>
      <c r="L594" s="660"/>
      <c r="M594" s="660"/>
      <c r="N594" s="660"/>
      <c r="O594" s="660"/>
      <c r="P594" s="660"/>
      <c r="Q594" s="660"/>
      <c r="R594" s="660"/>
      <c r="S594" s="660"/>
      <c r="T594" s="660"/>
      <c r="U594" s="660"/>
      <c r="V594" s="660"/>
      <c r="W594" s="660"/>
      <c r="X594" s="660"/>
      <c r="Y594" s="660"/>
      <c r="Z594" s="660"/>
      <c r="AA594" s="660"/>
      <c r="AB594" s="660"/>
      <c r="AC594" s="661"/>
      <c r="AD594" s="606"/>
      <c r="AE594" s="606"/>
      <c r="AF594" s="606"/>
      <c r="AG594" s="606"/>
    </row>
    <row r="595" spans="1:33" s="612" customFormat="1" hidden="1" outlineLevel="3" x14ac:dyDescent="0.2">
      <c r="A595" s="606"/>
      <c r="B595" s="606"/>
      <c r="C595" s="607"/>
      <c r="D595" s="608"/>
      <c r="E595" s="608"/>
      <c r="F595" s="608"/>
      <c r="G595" s="608"/>
      <c r="H595" s="609"/>
      <c r="I595" s="660"/>
      <c r="J595" s="660"/>
      <c r="K595" s="660"/>
      <c r="L595" s="660"/>
      <c r="M595" s="660"/>
      <c r="N595" s="660"/>
      <c r="O595" s="660"/>
      <c r="P595" s="660"/>
      <c r="Q595" s="660"/>
      <c r="R595" s="660"/>
      <c r="S595" s="660"/>
      <c r="T595" s="660"/>
      <c r="U595" s="660"/>
      <c r="V595" s="660"/>
      <c r="W595" s="660"/>
      <c r="X595" s="660"/>
      <c r="Y595" s="660"/>
      <c r="Z595" s="660"/>
      <c r="AA595" s="660"/>
      <c r="AB595" s="660"/>
      <c r="AC595" s="661"/>
      <c r="AD595" s="606"/>
      <c r="AE595" s="606"/>
      <c r="AF595" s="606"/>
      <c r="AG595" s="606"/>
    </row>
    <row r="596" spans="1:33" s="612" customFormat="1" hidden="1" outlineLevel="3" x14ac:dyDescent="0.2">
      <c r="A596" s="606"/>
      <c r="B596" s="606"/>
      <c r="C596" s="607"/>
      <c r="D596" s="608"/>
      <c r="E596" s="608"/>
      <c r="F596" s="608"/>
      <c r="G596" s="608"/>
      <c r="H596" s="609"/>
      <c r="I596" s="660"/>
      <c r="J596" s="660"/>
      <c r="K596" s="660"/>
      <c r="L596" s="660"/>
      <c r="M596" s="660"/>
      <c r="N596" s="660"/>
      <c r="O596" s="660"/>
      <c r="P596" s="660"/>
      <c r="Q596" s="660"/>
      <c r="R596" s="660"/>
      <c r="S596" s="660"/>
      <c r="T596" s="660"/>
      <c r="U596" s="660"/>
      <c r="V596" s="660"/>
      <c r="W596" s="660"/>
      <c r="X596" s="660"/>
      <c r="Y596" s="660"/>
      <c r="Z596" s="660"/>
      <c r="AA596" s="660"/>
      <c r="AB596" s="660"/>
      <c r="AC596" s="661"/>
      <c r="AD596" s="606"/>
      <c r="AE596" s="606"/>
      <c r="AF596" s="606"/>
      <c r="AG596" s="606"/>
    </row>
    <row r="597" spans="1:33" s="612" customFormat="1" hidden="1" outlineLevel="3" x14ac:dyDescent="0.2">
      <c r="A597" s="606"/>
      <c r="B597" s="606"/>
      <c r="C597" s="607"/>
      <c r="D597" s="608"/>
      <c r="E597" s="608"/>
      <c r="F597" s="608"/>
      <c r="G597" s="608"/>
      <c r="H597" s="609"/>
      <c r="I597" s="660"/>
      <c r="J597" s="660"/>
      <c r="K597" s="660"/>
      <c r="L597" s="660"/>
      <c r="M597" s="660"/>
      <c r="N597" s="660"/>
      <c r="O597" s="660"/>
      <c r="P597" s="660"/>
      <c r="Q597" s="660"/>
      <c r="R597" s="660"/>
      <c r="S597" s="660"/>
      <c r="T597" s="660"/>
      <c r="U597" s="660"/>
      <c r="V597" s="660"/>
      <c r="W597" s="660"/>
      <c r="X597" s="660"/>
      <c r="Y597" s="660"/>
      <c r="Z597" s="660"/>
      <c r="AA597" s="660"/>
      <c r="AB597" s="660"/>
      <c r="AC597" s="661"/>
      <c r="AD597" s="606"/>
      <c r="AE597" s="606"/>
      <c r="AF597" s="606"/>
      <c r="AG597" s="606"/>
    </row>
    <row r="598" spans="1:33" s="612" customFormat="1" hidden="1" outlineLevel="3" x14ac:dyDescent="0.2">
      <c r="A598" s="606"/>
      <c r="B598" s="606"/>
      <c r="C598" s="607"/>
      <c r="D598" s="608"/>
      <c r="E598" s="608"/>
      <c r="F598" s="608"/>
      <c r="G598" s="608"/>
      <c r="H598" s="609"/>
      <c r="I598" s="660"/>
      <c r="J598" s="660"/>
      <c r="K598" s="660"/>
      <c r="L598" s="660"/>
      <c r="M598" s="660"/>
      <c r="N598" s="660"/>
      <c r="O598" s="660"/>
      <c r="P598" s="660"/>
      <c r="Q598" s="660"/>
      <c r="R598" s="660"/>
      <c r="S598" s="660"/>
      <c r="T598" s="660"/>
      <c r="U598" s="660"/>
      <c r="V598" s="660"/>
      <c r="W598" s="660"/>
      <c r="X598" s="660"/>
      <c r="Y598" s="660"/>
      <c r="Z598" s="660"/>
      <c r="AA598" s="660"/>
      <c r="AB598" s="660"/>
      <c r="AC598" s="661"/>
      <c r="AD598" s="606"/>
      <c r="AE598" s="606"/>
      <c r="AF598" s="606"/>
      <c r="AG598" s="606"/>
    </row>
    <row r="599" spans="1:33" s="612" customFormat="1" hidden="1" outlineLevel="3" x14ac:dyDescent="0.2">
      <c r="A599" s="606"/>
      <c r="B599" s="606"/>
      <c r="C599" s="607"/>
      <c r="D599" s="608"/>
      <c r="E599" s="608"/>
      <c r="F599" s="608"/>
      <c r="G599" s="608"/>
      <c r="H599" s="609"/>
      <c r="I599" s="660"/>
      <c r="J599" s="660"/>
      <c r="K599" s="660"/>
      <c r="L599" s="660"/>
      <c r="M599" s="660"/>
      <c r="N599" s="660"/>
      <c r="O599" s="660"/>
      <c r="P599" s="660"/>
      <c r="Q599" s="660"/>
      <c r="R599" s="660"/>
      <c r="S599" s="660"/>
      <c r="T599" s="660"/>
      <c r="U599" s="660"/>
      <c r="V599" s="660"/>
      <c r="W599" s="660"/>
      <c r="X599" s="660"/>
      <c r="Y599" s="660"/>
      <c r="Z599" s="660"/>
      <c r="AA599" s="660"/>
      <c r="AB599" s="660"/>
      <c r="AC599" s="661"/>
      <c r="AD599" s="606"/>
      <c r="AE599" s="606"/>
      <c r="AF599" s="606"/>
      <c r="AG599" s="606"/>
    </row>
    <row r="600" spans="1:33" s="612" customFormat="1" hidden="1" outlineLevel="3" x14ac:dyDescent="0.2">
      <c r="A600" s="606"/>
      <c r="B600" s="606"/>
      <c r="C600" s="607"/>
      <c r="D600" s="608"/>
      <c r="E600" s="608"/>
      <c r="F600" s="608"/>
      <c r="G600" s="608"/>
      <c r="H600" s="609"/>
      <c r="I600" s="660"/>
      <c r="J600" s="660"/>
      <c r="K600" s="660"/>
      <c r="L600" s="660"/>
      <c r="M600" s="660"/>
      <c r="N600" s="660"/>
      <c r="O600" s="660"/>
      <c r="P600" s="660"/>
      <c r="Q600" s="660"/>
      <c r="R600" s="660"/>
      <c r="S600" s="660"/>
      <c r="T600" s="660"/>
      <c r="U600" s="660"/>
      <c r="V600" s="660"/>
      <c r="W600" s="660"/>
      <c r="X600" s="660"/>
      <c r="Y600" s="660"/>
      <c r="Z600" s="660"/>
      <c r="AA600" s="660"/>
      <c r="AB600" s="660"/>
      <c r="AC600" s="661"/>
      <c r="AD600" s="606"/>
      <c r="AE600" s="606"/>
      <c r="AF600" s="606"/>
      <c r="AG600" s="606"/>
    </row>
    <row r="601" spans="1:33" s="612" customFormat="1" hidden="1" outlineLevel="3" x14ac:dyDescent="0.2">
      <c r="A601" s="606"/>
      <c r="B601" s="606"/>
      <c r="C601" s="607"/>
      <c r="D601" s="608"/>
      <c r="E601" s="608"/>
      <c r="F601" s="608"/>
      <c r="G601" s="608"/>
      <c r="H601" s="609"/>
      <c r="I601" s="660"/>
      <c r="J601" s="660"/>
      <c r="K601" s="660"/>
      <c r="L601" s="660"/>
      <c r="M601" s="660"/>
      <c r="N601" s="660"/>
      <c r="O601" s="660"/>
      <c r="P601" s="660"/>
      <c r="Q601" s="660"/>
      <c r="R601" s="660"/>
      <c r="S601" s="660"/>
      <c r="T601" s="660"/>
      <c r="U601" s="660"/>
      <c r="V601" s="660"/>
      <c r="W601" s="660"/>
      <c r="X601" s="660"/>
      <c r="Y601" s="660"/>
      <c r="Z601" s="660"/>
      <c r="AA601" s="660"/>
      <c r="AB601" s="660"/>
      <c r="AC601" s="661"/>
      <c r="AD601" s="606"/>
      <c r="AE601" s="606"/>
      <c r="AF601" s="606"/>
      <c r="AG601" s="606"/>
    </row>
    <row r="602" spans="1:33" s="612" customFormat="1" hidden="1" outlineLevel="3" x14ac:dyDescent="0.2">
      <c r="A602" s="606"/>
      <c r="B602" s="606"/>
      <c r="C602" s="607"/>
      <c r="D602" s="608"/>
      <c r="E602" s="608"/>
      <c r="F602" s="608"/>
      <c r="G602" s="608"/>
      <c r="H602" s="609"/>
      <c r="I602" s="660"/>
      <c r="J602" s="660"/>
      <c r="K602" s="660"/>
      <c r="L602" s="660"/>
      <c r="M602" s="660"/>
      <c r="N602" s="660"/>
      <c r="O602" s="660"/>
      <c r="P602" s="660"/>
      <c r="Q602" s="660"/>
      <c r="R602" s="660"/>
      <c r="S602" s="660"/>
      <c r="T602" s="660"/>
      <c r="U602" s="660"/>
      <c r="V602" s="660"/>
      <c r="W602" s="660"/>
      <c r="X602" s="660"/>
      <c r="Y602" s="660"/>
      <c r="Z602" s="660"/>
      <c r="AA602" s="660"/>
      <c r="AB602" s="660"/>
      <c r="AC602" s="661"/>
      <c r="AD602" s="606"/>
      <c r="AE602" s="606"/>
      <c r="AF602" s="606"/>
      <c r="AG602" s="606"/>
    </row>
    <row r="603" spans="1:33" s="612" customFormat="1" hidden="1" outlineLevel="3" x14ac:dyDescent="0.2">
      <c r="A603" s="606"/>
      <c r="B603" s="606"/>
      <c r="C603" s="607"/>
      <c r="D603" s="608"/>
      <c r="E603" s="608"/>
      <c r="F603" s="608"/>
      <c r="G603" s="608"/>
      <c r="H603" s="609"/>
      <c r="I603" s="660"/>
      <c r="J603" s="660"/>
      <c r="K603" s="660"/>
      <c r="L603" s="660"/>
      <c r="M603" s="660"/>
      <c r="N603" s="660"/>
      <c r="O603" s="660"/>
      <c r="P603" s="660"/>
      <c r="Q603" s="660"/>
      <c r="R603" s="660"/>
      <c r="S603" s="660"/>
      <c r="T603" s="660"/>
      <c r="U603" s="660"/>
      <c r="V603" s="660"/>
      <c r="W603" s="660"/>
      <c r="X603" s="660"/>
      <c r="Y603" s="660"/>
      <c r="Z603" s="660"/>
      <c r="AA603" s="660"/>
      <c r="AB603" s="660"/>
      <c r="AC603" s="661"/>
      <c r="AD603" s="606"/>
      <c r="AE603" s="606"/>
      <c r="AF603" s="606"/>
      <c r="AG603" s="606"/>
    </row>
    <row r="604" spans="1:33" s="612" customFormat="1" hidden="1" outlineLevel="2" collapsed="1" x14ac:dyDescent="0.2">
      <c r="A604" s="606"/>
      <c r="B604" s="606"/>
      <c r="C604" s="620"/>
      <c r="D604" s="621"/>
      <c r="E604" s="609"/>
      <c r="F604" s="609"/>
      <c r="G604" s="609"/>
      <c r="H604" s="609"/>
      <c r="I604" s="662"/>
      <c r="J604" s="662"/>
      <c r="K604" s="661"/>
      <c r="L604" s="661"/>
      <c r="M604" s="661"/>
      <c r="N604" s="663"/>
      <c r="O604" s="663"/>
      <c r="P604" s="663"/>
      <c r="Q604" s="663"/>
      <c r="R604" s="663"/>
      <c r="S604" s="661"/>
      <c r="T604" s="661"/>
      <c r="U604" s="661"/>
      <c r="V604" s="661"/>
      <c r="W604" s="661"/>
      <c r="X604" s="661"/>
      <c r="Y604" s="661"/>
      <c r="Z604" s="661"/>
      <c r="AA604" s="661"/>
      <c r="AB604" s="661"/>
      <c r="AC604" s="661"/>
      <c r="AD604" s="606"/>
      <c r="AE604" s="606"/>
      <c r="AF604" s="606"/>
      <c r="AG604" s="606"/>
    </row>
    <row r="605" spans="1:33" s="612" customFormat="1" outlineLevel="1" collapsed="1" x14ac:dyDescent="0.2">
      <c r="A605" s="606"/>
      <c r="B605" s="606"/>
      <c r="C605" s="613"/>
      <c r="D605" s="609"/>
      <c r="E605" s="609"/>
      <c r="F605" s="609"/>
      <c r="G605" s="609"/>
      <c r="H605" s="609"/>
      <c r="I605" s="662"/>
      <c r="J605" s="662"/>
      <c r="K605" s="661"/>
      <c r="L605" s="661"/>
      <c r="M605" s="661"/>
      <c r="N605" s="663"/>
      <c r="O605" s="663"/>
      <c r="P605" s="663"/>
      <c r="Q605" s="663"/>
      <c r="R605" s="663"/>
      <c r="S605" s="661"/>
      <c r="T605" s="661"/>
      <c r="U605" s="661"/>
      <c r="V605" s="661"/>
      <c r="W605" s="661"/>
      <c r="X605" s="661"/>
      <c r="Y605" s="661"/>
      <c r="Z605" s="661"/>
      <c r="AA605" s="661"/>
      <c r="AB605" s="661"/>
      <c r="AC605" s="661"/>
      <c r="AD605" s="606"/>
      <c r="AE605" s="606"/>
      <c r="AF605" s="606"/>
      <c r="AG605" s="606"/>
    </row>
    <row r="606" spans="1:33" s="612" customFormat="1" outlineLevel="1" x14ac:dyDescent="0.2">
      <c r="A606" s="606"/>
      <c r="B606" s="606"/>
      <c r="C606" s="616"/>
      <c r="D606" s="617"/>
      <c r="E606" s="617"/>
      <c r="F606" s="617"/>
      <c r="G606" s="618"/>
      <c r="H606" s="618"/>
      <c r="I606" s="661"/>
      <c r="J606" s="661"/>
      <c r="K606" s="661"/>
      <c r="L606" s="661"/>
      <c r="M606" s="661"/>
      <c r="N606" s="661"/>
      <c r="O606" s="661"/>
      <c r="P606" s="661"/>
      <c r="Q606" s="661"/>
      <c r="R606" s="661"/>
      <c r="S606" s="661"/>
      <c r="T606" s="661"/>
      <c r="U606" s="661"/>
      <c r="V606" s="661"/>
      <c r="W606" s="661"/>
      <c r="X606" s="661"/>
      <c r="Y606" s="661"/>
      <c r="Z606" s="661"/>
      <c r="AA606" s="661"/>
      <c r="AB606" s="661"/>
      <c r="AC606" s="661"/>
      <c r="AD606" s="606"/>
      <c r="AE606" s="606"/>
      <c r="AF606" s="606"/>
      <c r="AG606" s="606"/>
    </row>
    <row r="607" spans="1:33" s="612" customFormat="1" hidden="1" outlineLevel="2" x14ac:dyDescent="0.2">
      <c r="A607" s="606"/>
      <c r="B607" s="606"/>
      <c r="C607" s="607"/>
      <c r="D607" s="608"/>
      <c r="E607" s="608"/>
      <c r="F607" s="608"/>
      <c r="G607" s="608"/>
      <c r="H607" s="609"/>
      <c r="I607" s="660"/>
      <c r="J607" s="660"/>
      <c r="K607" s="660"/>
      <c r="L607" s="660"/>
      <c r="M607" s="660"/>
      <c r="N607" s="660"/>
      <c r="O607" s="660"/>
      <c r="P607" s="660"/>
      <c r="Q607" s="660"/>
      <c r="R607" s="660"/>
      <c r="S607" s="660"/>
      <c r="T607" s="660"/>
      <c r="U607" s="660"/>
      <c r="V607" s="660"/>
      <c r="W607" s="660"/>
      <c r="X607" s="660"/>
      <c r="Y607" s="660"/>
      <c r="Z607" s="660"/>
      <c r="AA607" s="660"/>
      <c r="AB607" s="660"/>
      <c r="AC607" s="661"/>
      <c r="AD607" s="606"/>
      <c r="AE607" s="606"/>
      <c r="AF607" s="606"/>
      <c r="AG607" s="606"/>
    </row>
    <row r="608" spans="1:33" s="612" customFormat="1" hidden="1" outlineLevel="2" x14ac:dyDescent="0.2">
      <c r="A608" s="606"/>
      <c r="B608" s="606"/>
      <c r="C608" s="607"/>
      <c r="D608" s="608"/>
      <c r="E608" s="608"/>
      <c r="F608" s="608"/>
      <c r="G608" s="608"/>
      <c r="H608" s="609"/>
      <c r="I608" s="660"/>
      <c r="J608" s="660"/>
      <c r="K608" s="660"/>
      <c r="L608" s="660"/>
      <c r="M608" s="660"/>
      <c r="N608" s="660"/>
      <c r="O608" s="660"/>
      <c r="P608" s="660"/>
      <c r="Q608" s="660"/>
      <c r="R608" s="660"/>
      <c r="S608" s="660"/>
      <c r="T608" s="660"/>
      <c r="U608" s="660"/>
      <c r="V608" s="660"/>
      <c r="W608" s="660"/>
      <c r="X608" s="660"/>
      <c r="Y608" s="660"/>
      <c r="Z608" s="660"/>
      <c r="AA608" s="660"/>
      <c r="AB608" s="660"/>
      <c r="AC608" s="661"/>
      <c r="AD608" s="606"/>
      <c r="AE608" s="606"/>
      <c r="AF608" s="606"/>
      <c r="AG608" s="606"/>
    </row>
    <row r="609" spans="1:33" s="612" customFormat="1" hidden="1" outlineLevel="2" x14ac:dyDescent="0.2">
      <c r="A609" s="606"/>
      <c r="B609" s="606"/>
      <c r="C609" s="607"/>
      <c r="D609" s="608"/>
      <c r="E609" s="608"/>
      <c r="F609" s="608"/>
      <c r="G609" s="608"/>
      <c r="H609" s="609"/>
      <c r="I609" s="660"/>
      <c r="J609" s="660"/>
      <c r="K609" s="660"/>
      <c r="L609" s="660"/>
      <c r="M609" s="660"/>
      <c r="N609" s="660"/>
      <c r="O609" s="660"/>
      <c r="P609" s="660"/>
      <c r="Q609" s="660"/>
      <c r="R609" s="660"/>
      <c r="S609" s="660"/>
      <c r="T609" s="660"/>
      <c r="U609" s="660"/>
      <c r="V609" s="660"/>
      <c r="W609" s="660"/>
      <c r="X609" s="660"/>
      <c r="Y609" s="660"/>
      <c r="Z609" s="660"/>
      <c r="AA609" s="660"/>
      <c r="AB609" s="660"/>
      <c r="AC609" s="661"/>
      <c r="AD609" s="606"/>
      <c r="AE609" s="606"/>
      <c r="AF609" s="606"/>
      <c r="AG609" s="606"/>
    </row>
    <row r="610" spans="1:33" s="612" customFormat="1" hidden="1" outlineLevel="2" x14ac:dyDescent="0.2">
      <c r="A610" s="606"/>
      <c r="B610" s="606"/>
      <c r="C610" s="607"/>
      <c r="D610" s="608"/>
      <c r="E610" s="608"/>
      <c r="F610" s="608"/>
      <c r="G610" s="608"/>
      <c r="H610" s="609"/>
      <c r="I610" s="660"/>
      <c r="J610" s="660"/>
      <c r="K610" s="660"/>
      <c r="L610" s="660"/>
      <c r="M610" s="660"/>
      <c r="N610" s="660"/>
      <c r="O610" s="660"/>
      <c r="P610" s="660"/>
      <c r="Q610" s="660"/>
      <c r="R610" s="660"/>
      <c r="S610" s="660"/>
      <c r="T610" s="660"/>
      <c r="U610" s="660"/>
      <c r="V610" s="660"/>
      <c r="W610" s="660"/>
      <c r="X610" s="660"/>
      <c r="Y610" s="660"/>
      <c r="Z610" s="660"/>
      <c r="AA610" s="660"/>
      <c r="AB610" s="660"/>
      <c r="AC610" s="661"/>
      <c r="AD610" s="606"/>
      <c r="AE610" s="606"/>
      <c r="AF610" s="606"/>
      <c r="AG610" s="606"/>
    </row>
    <row r="611" spans="1:33" s="612" customFormat="1" hidden="1" outlineLevel="2" x14ac:dyDescent="0.2">
      <c r="A611" s="606"/>
      <c r="B611" s="606"/>
      <c r="C611" s="607"/>
      <c r="D611" s="608"/>
      <c r="E611" s="608"/>
      <c r="F611" s="608"/>
      <c r="G611" s="608"/>
      <c r="H611" s="609"/>
      <c r="I611" s="660"/>
      <c r="J611" s="660"/>
      <c r="K611" s="660"/>
      <c r="L611" s="660"/>
      <c r="M611" s="660"/>
      <c r="N611" s="660"/>
      <c r="O611" s="660"/>
      <c r="P611" s="660"/>
      <c r="Q611" s="660"/>
      <c r="R611" s="660"/>
      <c r="S611" s="660"/>
      <c r="T611" s="660"/>
      <c r="U611" s="660"/>
      <c r="V611" s="660"/>
      <c r="W611" s="660"/>
      <c r="X611" s="660"/>
      <c r="Y611" s="660"/>
      <c r="Z611" s="660"/>
      <c r="AA611" s="660"/>
      <c r="AB611" s="660"/>
      <c r="AC611" s="661"/>
      <c r="AD611" s="606"/>
      <c r="AE611" s="606"/>
      <c r="AF611" s="606"/>
      <c r="AG611" s="606"/>
    </row>
    <row r="612" spans="1:33" s="612" customFormat="1" hidden="1" outlineLevel="2" x14ac:dyDescent="0.2">
      <c r="A612" s="606"/>
      <c r="B612" s="606"/>
      <c r="C612" s="607"/>
      <c r="D612" s="608"/>
      <c r="E612" s="608"/>
      <c r="F612" s="608"/>
      <c r="G612" s="608"/>
      <c r="H612" s="609"/>
      <c r="I612" s="660"/>
      <c r="J612" s="660"/>
      <c r="K612" s="660"/>
      <c r="L612" s="660"/>
      <c r="M612" s="660"/>
      <c r="N612" s="660"/>
      <c r="O612" s="660"/>
      <c r="P612" s="660"/>
      <c r="Q612" s="660"/>
      <c r="R612" s="660"/>
      <c r="S612" s="660"/>
      <c r="T612" s="660"/>
      <c r="U612" s="660"/>
      <c r="V612" s="660"/>
      <c r="W612" s="660"/>
      <c r="X612" s="660"/>
      <c r="Y612" s="660"/>
      <c r="Z612" s="660"/>
      <c r="AA612" s="660"/>
      <c r="AB612" s="660"/>
      <c r="AC612" s="661"/>
      <c r="AD612" s="606"/>
      <c r="AE612" s="606"/>
      <c r="AF612" s="606"/>
      <c r="AG612" s="606"/>
    </row>
    <row r="613" spans="1:33" s="612" customFormat="1" hidden="1" outlineLevel="2" x14ac:dyDescent="0.2">
      <c r="A613" s="606"/>
      <c r="B613" s="606"/>
      <c r="C613" s="607"/>
      <c r="D613" s="608"/>
      <c r="E613" s="608"/>
      <c r="F613" s="608"/>
      <c r="G613" s="608"/>
      <c r="H613" s="609"/>
      <c r="I613" s="660"/>
      <c r="J613" s="660"/>
      <c r="K613" s="660"/>
      <c r="L613" s="660"/>
      <c r="M613" s="660"/>
      <c r="N613" s="660"/>
      <c r="O613" s="660"/>
      <c r="P613" s="660"/>
      <c r="Q613" s="660"/>
      <c r="R613" s="660"/>
      <c r="S613" s="660"/>
      <c r="T613" s="660"/>
      <c r="U613" s="660"/>
      <c r="V613" s="660"/>
      <c r="W613" s="660"/>
      <c r="X613" s="660"/>
      <c r="Y613" s="660"/>
      <c r="Z613" s="660"/>
      <c r="AA613" s="660"/>
      <c r="AB613" s="660"/>
      <c r="AC613" s="661"/>
      <c r="AD613" s="606"/>
      <c r="AE613" s="606"/>
      <c r="AF613" s="606"/>
      <c r="AG613" s="606"/>
    </row>
    <row r="614" spans="1:33" s="612" customFormat="1" hidden="1" outlineLevel="2" x14ac:dyDescent="0.2">
      <c r="A614" s="606"/>
      <c r="B614" s="606"/>
      <c r="C614" s="607"/>
      <c r="D614" s="608"/>
      <c r="E614" s="608"/>
      <c r="F614" s="608"/>
      <c r="G614" s="608"/>
      <c r="H614" s="609"/>
      <c r="I614" s="660"/>
      <c r="J614" s="660"/>
      <c r="K614" s="660"/>
      <c r="L614" s="660"/>
      <c r="M614" s="660"/>
      <c r="N614" s="660"/>
      <c r="O614" s="660"/>
      <c r="P614" s="660"/>
      <c r="Q614" s="660"/>
      <c r="R614" s="660"/>
      <c r="S614" s="660"/>
      <c r="T614" s="660"/>
      <c r="U614" s="660"/>
      <c r="V614" s="660"/>
      <c r="W614" s="660"/>
      <c r="X614" s="660"/>
      <c r="Y614" s="660"/>
      <c r="Z614" s="660"/>
      <c r="AA614" s="660"/>
      <c r="AB614" s="660"/>
      <c r="AC614" s="661"/>
      <c r="AD614" s="606"/>
      <c r="AE614" s="606"/>
      <c r="AF614" s="606"/>
      <c r="AG614" s="606"/>
    </row>
    <row r="615" spans="1:33" s="612" customFormat="1" hidden="1" outlineLevel="2" x14ac:dyDescent="0.2">
      <c r="A615" s="606"/>
      <c r="B615" s="606"/>
      <c r="C615" s="607"/>
      <c r="D615" s="608"/>
      <c r="E615" s="608"/>
      <c r="F615" s="608"/>
      <c r="G615" s="608"/>
      <c r="H615" s="609"/>
      <c r="I615" s="660"/>
      <c r="J615" s="660"/>
      <c r="K615" s="660"/>
      <c r="L615" s="660"/>
      <c r="M615" s="660"/>
      <c r="N615" s="660"/>
      <c r="O615" s="660"/>
      <c r="P615" s="660"/>
      <c r="Q615" s="660"/>
      <c r="R615" s="660"/>
      <c r="S615" s="660"/>
      <c r="T615" s="660"/>
      <c r="U615" s="660"/>
      <c r="V615" s="660"/>
      <c r="W615" s="660"/>
      <c r="X615" s="660"/>
      <c r="Y615" s="660"/>
      <c r="Z615" s="660"/>
      <c r="AA615" s="660"/>
      <c r="AB615" s="660"/>
      <c r="AC615" s="661"/>
      <c r="AD615" s="606"/>
      <c r="AE615" s="606"/>
      <c r="AF615" s="606"/>
      <c r="AG615" s="606"/>
    </row>
    <row r="616" spans="1:33" s="612" customFormat="1" hidden="1" outlineLevel="2" x14ac:dyDescent="0.2">
      <c r="A616" s="606"/>
      <c r="B616" s="606"/>
      <c r="C616" s="607"/>
      <c r="D616" s="608"/>
      <c r="E616" s="608"/>
      <c r="F616" s="608"/>
      <c r="G616" s="608"/>
      <c r="H616" s="609"/>
      <c r="I616" s="660"/>
      <c r="J616" s="660"/>
      <c r="K616" s="660"/>
      <c r="L616" s="660"/>
      <c r="M616" s="660"/>
      <c r="N616" s="660"/>
      <c r="O616" s="660"/>
      <c r="P616" s="660"/>
      <c r="Q616" s="660"/>
      <c r="R616" s="660"/>
      <c r="S616" s="660"/>
      <c r="T616" s="660"/>
      <c r="U616" s="660"/>
      <c r="V616" s="660"/>
      <c r="W616" s="660"/>
      <c r="X616" s="660"/>
      <c r="Y616" s="660"/>
      <c r="Z616" s="660"/>
      <c r="AA616" s="660"/>
      <c r="AB616" s="660"/>
      <c r="AC616" s="661"/>
      <c r="AD616" s="606"/>
      <c r="AE616" s="606"/>
      <c r="AF616" s="606"/>
      <c r="AG616" s="606"/>
    </row>
    <row r="617" spans="1:33" s="612" customFormat="1" hidden="1" outlineLevel="2" x14ac:dyDescent="0.2">
      <c r="A617" s="606"/>
      <c r="B617" s="606"/>
      <c r="C617" s="607"/>
      <c r="D617" s="608"/>
      <c r="E617" s="608"/>
      <c r="F617" s="608"/>
      <c r="G617" s="608"/>
      <c r="H617" s="609"/>
      <c r="I617" s="660"/>
      <c r="J617" s="660"/>
      <c r="K617" s="660"/>
      <c r="L617" s="660"/>
      <c r="M617" s="660"/>
      <c r="N617" s="660"/>
      <c r="O617" s="660"/>
      <c r="P617" s="660"/>
      <c r="Q617" s="660"/>
      <c r="R617" s="660"/>
      <c r="S617" s="660"/>
      <c r="T617" s="660"/>
      <c r="U617" s="660"/>
      <c r="V617" s="660"/>
      <c r="W617" s="660"/>
      <c r="X617" s="660"/>
      <c r="Y617" s="660"/>
      <c r="Z617" s="660"/>
      <c r="AA617" s="660"/>
      <c r="AB617" s="660"/>
      <c r="AC617" s="661"/>
      <c r="AD617" s="606"/>
      <c r="AE617" s="606"/>
      <c r="AF617" s="606"/>
      <c r="AG617" s="606"/>
    </row>
    <row r="618" spans="1:33" s="612" customFormat="1" hidden="1" outlineLevel="3" x14ac:dyDescent="0.2">
      <c r="A618" s="606"/>
      <c r="B618" s="606"/>
      <c r="C618" s="607"/>
      <c r="D618" s="608"/>
      <c r="E618" s="608"/>
      <c r="F618" s="608"/>
      <c r="G618" s="608"/>
      <c r="H618" s="609"/>
      <c r="I618" s="660"/>
      <c r="J618" s="660"/>
      <c r="K618" s="660"/>
      <c r="L618" s="660"/>
      <c r="M618" s="660"/>
      <c r="N618" s="660"/>
      <c r="O618" s="660"/>
      <c r="P618" s="660"/>
      <c r="Q618" s="660"/>
      <c r="R618" s="660"/>
      <c r="S618" s="660"/>
      <c r="T618" s="660"/>
      <c r="U618" s="660"/>
      <c r="V618" s="660"/>
      <c r="W618" s="660"/>
      <c r="X618" s="660"/>
      <c r="Y618" s="660"/>
      <c r="Z618" s="660"/>
      <c r="AA618" s="660"/>
      <c r="AB618" s="660"/>
      <c r="AC618" s="661"/>
      <c r="AD618" s="606"/>
      <c r="AE618" s="606"/>
      <c r="AF618" s="606"/>
      <c r="AG618" s="606"/>
    </row>
    <row r="619" spans="1:33" s="612" customFormat="1" hidden="1" outlineLevel="3" x14ac:dyDescent="0.2">
      <c r="A619" s="606"/>
      <c r="B619" s="606"/>
      <c r="C619" s="607"/>
      <c r="D619" s="608"/>
      <c r="E619" s="608"/>
      <c r="F619" s="608"/>
      <c r="G619" s="608"/>
      <c r="H619" s="609"/>
      <c r="I619" s="660"/>
      <c r="J619" s="660"/>
      <c r="K619" s="660"/>
      <c r="L619" s="660"/>
      <c r="M619" s="660"/>
      <c r="N619" s="660"/>
      <c r="O619" s="660"/>
      <c r="P619" s="660"/>
      <c r="Q619" s="660"/>
      <c r="R619" s="660"/>
      <c r="S619" s="660"/>
      <c r="T619" s="660"/>
      <c r="U619" s="660"/>
      <c r="V619" s="660"/>
      <c r="W619" s="660"/>
      <c r="X619" s="660"/>
      <c r="Y619" s="660"/>
      <c r="Z619" s="660"/>
      <c r="AA619" s="660"/>
      <c r="AB619" s="660"/>
      <c r="AC619" s="661"/>
      <c r="AD619" s="606"/>
      <c r="AE619" s="606"/>
      <c r="AF619" s="606"/>
      <c r="AG619" s="606"/>
    </row>
    <row r="620" spans="1:33" s="612" customFormat="1" hidden="1" outlineLevel="3" x14ac:dyDescent="0.2">
      <c r="A620" s="606"/>
      <c r="B620" s="606"/>
      <c r="C620" s="607"/>
      <c r="D620" s="608"/>
      <c r="E620" s="608"/>
      <c r="F620" s="608"/>
      <c r="G620" s="608"/>
      <c r="H620" s="609"/>
      <c r="I620" s="660"/>
      <c r="J620" s="660"/>
      <c r="K620" s="660"/>
      <c r="L620" s="660"/>
      <c r="M620" s="660"/>
      <c r="N620" s="660"/>
      <c r="O620" s="660"/>
      <c r="P620" s="660"/>
      <c r="Q620" s="660"/>
      <c r="R620" s="660"/>
      <c r="S620" s="660"/>
      <c r="T620" s="660"/>
      <c r="U620" s="660"/>
      <c r="V620" s="660"/>
      <c r="W620" s="660"/>
      <c r="X620" s="660"/>
      <c r="Y620" s="660"/>
      <c r="Z620" s="660"/>
      <c r="AA620" s="660"/>
      <c r="AB620" s="660"/>
      <c r="AC620" s="661"/>
      <c r="AD620" s="606"/>
      <c r="AE620" s="606"/>
      <c r="AF620" s="606"/>
      <c r="AG620" s="606"/>
    </row>
    <row r="621" spans="1:33" s="612" customFormat="1" hidden="1" outlineLevel="3" x14ac:dyDescent="0.2">
      <c r="A621" s="606"/>
      <c r="B621" s="606"/>
      <c r="C621" s="607"/>
      <c r="D621" s="608"/>
      <c r="E621" s="608"/>
      <c r="F621" s="608"/>
      <c r="G621" s="608"/>
      <c r="H621" s="609"/>
      <c r="I621" s="660"/>
      <c r="J621" s="660"/>
      <c r="K621" s="660"/>
      <c r="L621" s="660"/>
      <c r="M621" s="660"/>
      <c r="N621" s="660"/>
      <c r="O621" s="660"/>
      <c r="P621" s="660"/>
      <c r="Q621" s="660"/>
      <c r="R621" s="660"/>
      <c r="S621" s="660"/>
      <c r="T621" s="660"/>
      <c r="U621" s="660"/>
      <c r="V621" s="660"/>
      <c r="W621" s="660"/>
      <c r="X621" s="660"/>
      <c r="Y621" s="660"/>
      <c r="Z621" s="660"/>
      <c r="AA621" s="660"/>
      <c r="AB621" s="660"/>
      <c r="AC621" s="661"/>
      <c r="AD621" s="606"/>
      <c r="AE621" s="606"/>
      <c r="AF621" s="606"/>
      <c r="AG621" s="606"/>
    </row>
    <row r="622" spans="1:33" s="612" customFormat="1" hidden="1" outlineLevel="3" x14ac:dyDescent="0.2">
      <c r="A622" s="606"/>
      <c r="B622" s="606"/>
      <c r="C622" s="607"/>
      <c r="D622" s="608"/>
      <c r="E622" s="608"/>
      <c r="F622" s="608"/>
      <c r="G622" s="608"/>
      <c r="H622" s="609"/>
      <c r="I622" s="660"/>
      <c r="J622" s="660"/>
      <c r="K622" s="660"/>
      <c r="L622" s="660"/>
      <c r="M622" s="660"/>
      <c r="N622" s="660"/>
      <c r="O622" s="660"/>
      <c r="P622" s="660"/>
      <c r="Q622" s="660"/>
      <c r="R622" s="660"/>
      <c r="S622" s="660"/>
      <c r="T622" s="660"/>
      <c r="U622" s="660"/>
      <c r="V622" s="660"/>
      <c r="W622" s="660"/>
      <c r="X622" s="660"/>
      <c r="Y622" s="660"/>
      <c r="Z622" s="660"/>
      <c r="AA622" s="660"/>
      <c r="AB622" s="660"/>
      <c r="AC622" s="661"/>
      <c r="AD622" s="606"/>
      <c r="AE622" s="606"/>
      <c r="AF622" s="606"/>
      <c r="AG622" s="606"/>
    </row>
    <row r="623" spans="1:33" s="612" customFormat="1" hidden="1" outlineLevel="3" x14ac:dyDescent="0.2">
      <c r="A623" s="606"/>
      <c r="B623" s="606"/>
      <c r="C623" s="607"/>
      <c r="D623" s="608"/>
      <c r="E623" s="608"/>
      <c r="F623" s="608"/>
      <c r="G623" s="608"/>
      <c r="H623" s="609"/>
      <c r="I623" s="660"/>
      <c r="J623" s="660"/>
      <c r="K623" s="660"/>
      <c r="L623" s="660"/>
      <c r="M623" s="660"/>
      <c r="N623" s="660"/>
      <c r="O623" s="660"/>
      <c r="P623" s="660"/>
      <c r="Q623" s="660"/>
      <c r="R623" s="660"/>
      <c r="S623" s="660"/>
      <c r="T623" s="660"/>
      <c r="U623" s="660"/>
      <c r="V623" s="660"/>
      <c r="W623" s="660"/>
      <c r="X623" s="660"/>
      <c r="Y623" s="660"/>
      <c r="Z623" s="660"/>
      <c r="AA623" s="660"/>
      <c r="AB623" s="660"/>
      <c r="AC623" s="661"/>
      <c r="AD623" s="606"/>
      <c r="AE623" s="606"/>
      <c r="AF623" s="606"/>
      <c r="AG623" s="606"/>
    </row>
    <row r="624" spans="1:33" s="612" customFormat="1" hidden="1" outlineLevel="3" x14ac:dyDescent="0.2">
      <c r="A624" s="606"/>
      <c r="B624" s="606"/>
      <c r="C624" s="607"/>
      <c r="D624" s="608"/>
      <c r="E624" s="608"/>
      <c r="F624" s="608"/>
      <c r="G624" s="608"/>
      <c r="H624" s="609"/>
      <c r="I624" s="660"/>
      <c r="J624" s="660"/>
      <c r="K624" s="660"/>
      <c r="L624" s="660"/>
      <c r="M624" s="660"/>
      <c r="N624" s="660"/>
      <c r="O624" s="660"/>
      <c r="P624" s="660"/>
      <c r="Q624" s="660"/>
      <c r="R624" s="660"/>
      <c r="S624" s="660"/>
      <c r="T624" s="660"/>
      <c r="U624" s="660"/>
      <c r="V624" s="660"/>
      <c r="W624" s="660"/>
      <c r="X624" s="660"/>
      <c r="Y624" s="660"/>
      <c r="Z624" s="660"/>
      <c r="AA624" s="660"/>
      <c r="AB624" s="660"/>
      <c r="AC624" s="661"/>
      <c r="AD624" s="606"/>
      <c r="AE624" s="606"/>
      <c r="AF624" s="606"/>
      <c r="AG624" s="606"/>
    </row>
    <row r="625" spans="1:33" s="612" customFormat="1" hidden="1" outlineLevel="3" x14ac:dyDescent="0.2">
      <c r="A625" s="606"/>
      <c r="B625" s="606"/>
      <c r="C625" s="607"/>
      <c r="D625" s="608"/>
      <c r="E625" s="608"/>
      <c r="F625" s="608"/>
      <c r="G625" s="608"/>
      <c r="H625" s="609"/>
      <c r="I625" s="660"/>
      <c r="J625" s="660"/>
      <c r="K625" s="660"/>
      <c r="L625" s="660"/>
      <c r="M625" s="660"/>
      <c r="N625" s="660"/>
      <c r="O625" s="660"/>
      <c r="P625" s="660"/>
      <c r="Q625" s="660"/>
      <c r="R625" s="660"/>
      <c r="S625" s="660"/>
      <c r="T625" s="660"/>
      <c r="U625" s="660"/>
      <c r="V625" s="660"/>
      <c r="W625" s="660"/>
      <c r="X625" s="660"/>
      <c r="Y625" s="660"/>
      <c r="Z625" s="660"/>
      <c r="AA625" s="660"/>
      <c r="AB625" s="660"/>
      <c r="AC625" s="661"/>
      <c r="AD625" s="606"/>
      <c r="AE625" s="606"/>
      <c r="AF625" s="606"/>
      <c r="AG625" s="606"/>
    </row>
    <row r="626" spans="1:33" s="612" customFormat="1" hidden="1" outlineLevel="3" x14ac:dyDescent="0.2">
      <c r="A626" s="606"/>
      <c r="B626" s="606"/>
      <c r="C626" s="607"/>
      <c r="D626" s="608"/>
      <c r="E626" s="608"/>
      <c r="F626" s="608"/>
      <c r="G626" s="608"/>
      <c r="H626" s="609"/>
      <c r="I626" s="660"/>
      <c r="J626" s="660"/>
      <c r="K626" s="660"/>
      <c r="L626" s="660"/>
      <c r="M626" s="660"/>
      <c r="N626" s="660"/>
      <c r="O626" s="660"/>
      <c r="P626" s="660"/>
      <c r="Q626" s="660"/>
      <c r="R626" s="660"/>
      <c r="S626" s="660"/>
      <c r="T626" s="660"/>
      <c r="U626" s="660"/>
      <c r="V626" s="660"/>
      <c r="W626" s="660"/>
      <c r="X626" s="660"/>
      <c r="Y626" s="660"/>
      <c r="Z626" s="660"/>
      <c r="AA626" s="660"/>
      <c r="AB626" s="660"/>
      <c r="AC626" s="661"/>
      <c r="AD626" s="606"/>
      <c r="AE626" s="606"/>
      <c r="AF626" s="606"/>
      <c r="AG626" s="606"/>
    </row>
    <row r="627" spans="1:33" s="612" customFormat="1" hidden="1" outlineLevel="3" x14ac:dyDescent="0.2">
      <c r="A627" s="606"/>
      <c r="B627" s="606"/>
      <c r="C627" s="607"/>
      <c r="D627" s="608"/>
      <c r="E627" s="608"/>
      <c r="F627" s="608"/>
      <c r="G627" s="608"/>
      <c r="H627" s="609"/>
      <c r="I627" s="660"/>
      <c r="J627" s="660"/>
      <c r="K627" s="660"/>
      <c r="L627" s="660"/>
      <c r="M627" s="660"/>
      <c r="N627" s="660"/>
      <c r="O627" s="660"/>
      <c r="P627" s="660"/>
      <c r="Q627" s="660"/>
      <c r="R627" s="660"/>
      <c r="S627" s="660"/>
      <c r="T627" s="660"/>
      <c r="U627" s="660"/>
      <c r="V627" s="660"/>
      <c r="W627" s="660"/>
      <c r="X627" s="660"/>
      <c r="Y627" s="660"/>
      <c r="Z627" s="660"/>
      <c r="AA627" s="660"/>
      <c r="AB627" s="660"/>
      <c r="AC627" s="661"/>
      <c r="AD627" s="606"/>
      <c r="AE627" s="606"/>
      <c r="AF627" s="606"/>
      <c r="AG627" s="606"/>
    </row>
    <row r="628" spans="1:33" s="612" customFormat="1" hidden="1" outlineLevel="3" x14ac:dyDescent="0.2">
      <c r="A628" s="606"/>
      <c r="B628" s="606"/>
      <c r="C628" s="607"/>
      <c r="D628" s="608"/>
      <c r="E628" s="608"/>
      <c r="F628" s="608"/>
      <c r="G628" s="608"/>
      <c r="H628" s="609"/>
      <c r="I628" s="660"/>
      <c r="J628" s="660"/>
      <c r="K628" s="660"/>
      <c r="L628" s="660"/>
      <c r="M628" s="660"/>
      <c r="N628" s="660"/>
      <c r="O628" s="660"/>
      <c r="P628" s="660"/>
      <c r="Q628" s="660"/>
      <c r="R628" s="660"/>
      <c r="S628" s="660"/>
      <c r="T628" s="660"/>
      <c r="U628" s="660"/>
      <c r="V628" s="660"/>
      <c r="W628" s="660"/>
      <c r="X628" s="660"/>
      <c r="Y628" s="660"/>
      <c r="Z628" s="660"/>
      <c r="AA628" s="660"/>
      <c r="AB628" s="660"/>
      <c r="AC628" s="661"/>
      <c r="AD628" s="606"/>
      <c r="AE628" s="606"/>
      <c r="AF628" s="606"/>
      <c r="AG628" s="606"/>
    </row>
    <row r="629" spans="1:33" s="612" customFormat="1" hidden="1" outlineLevel="3" x14ac:dyDescent="0.2">
      <c r="A629" s="606"/>
      <c r="B629" s="606"/>
      <c r="C629" s="607"/>
      <c r="D629" s="608"/>
      <c r="E629" s="608"/>
      <c r="F629" s="608"/>
      <c r="G629" s="608"/>
      <c r="H629" s="609"/>
      <c r="I629" s="660"/>
      <c r="J629" s="660"/>
      <c r="K629" s="660"/>
      <c r="L629" s="660"/>
      <c r="M629" s="660"/>
      <c r="N629" s="660"/>
      <c r="O629" s="660"/>
      <c r="P629" s="660"/>
      <c r="Q629" s="660"/>
      <c r="R629" s="660"/>
      <c r="S629" s="660"/>
      <c r="T629" s="660"/>
      <c r="U629" s="660"/>
      <c r="V629" s="660"/>
      <c r="W629" s="660"/>
      <c r="X629" s="660"/>
      <c r="Y629" s="660"/>
      <c r="Z629" s="660"/>
      <c r="AA629" s="660"/>
      <c r="AB629" s="660"/>
      <c r="AC629" s="661"/>
      <c r="AD629" s="606"/>
      <c r="AE629" s="606"/>
      <c r="AF629" s="606"/>
      <c r="AG629" s="606"/>
    </row>
    <row r="630" spans="1:33" s="612" customFormat="1" hidden="1" outlineLevel="3" x14ac:dyDescent="0.2">
      <c r="A630" s="606"/>
      <c r="B630" s="606"/>
      <c r="C630" s="607"/>
      <c r="D630" s="608"/>
      <c r="E630" s="608"/>
      <c r="F630" s="608"/>
      <c r="G630" s="608"/>
      <c r="H630" s="609"/>
      <c r="I630" s="660"/>
      <c r="J630" s="660"/>
      <c r="K630" s="660"/>
      <c r="L630" s="660"/>
      <c r="M630" s="660"/>
      <c r="N630" s="660"/>
      <c r="O630" s="660"/>
      <c r="P630" s="660"/>
      <c r="Q630" s="660"/>
      <c r="R630" s="660"/>
      <c r="S630" s="660"/>
      <c r="T630" s="660"/>
      <c r="U630" s="660"/>
      <c r="V630" s="660"/>
      <c r="W630" s="660"/>
      <c r="X630" s="660"/>
      <c r="Y630" s="660"/>
      <c r="Z630" s="660"/>
      <c r="AA630" s="660"/>
      <c r="AB630" s="660"/>
      <c r="AC630" s="661"/>
      <c r="AD630" s="606"/>
      <c r="AE630" s="606"/>
      <c r="AF630" s="606"/>
      <c r="AG630" s="606"/>
    </row>
    <row r="631" spans="1:33" s="612" customFormat="1" hidden="1" outlineLevel="3" x14ac:dyDescent="0.2">
      <c r="A631" s="606"/>
      <c r="B631" s="606"/>
      <c r="C631" s="607"/>
      <c r="D631" s="608"/>
      <c r="E631" s="608"/>
      <c r="F631" s="608"/>
      <c r="G631" s="608"/>
      <c r="H631" s="609"/>
      <c r="I631" s="660"/>
      <c r="J631" s="660"/>
      <c r="K631" s="660"/>
      <c r="L631" s="660"/>
      <c r="M631" s="660"/>
      <c r="N631" s="660"/>
      <c r="O631" s="660"/>
      <c r="P631" s="660"/>
      <c r="Q631" s="660"/>
      <c r="R631" s="660"/>
      <c r="S631" s="660"/>
      <c r="T631" s="660"/>
      <c r="U631" s="660"/>
      <c r="V631" s="660"/>
      <c r="W631" s="660"/>
      <c r="X631" s="660"/>
      <c r="Y631" s="660"/>
      <c r="Z631" s="660"/>
      <c r="AA631" s="660"/>
      <c r="AB631" s="660"/>
      <c r="AC631" s="661"/>
      <c r="AD631" s="606"/>
      <c r="AE631" s="606"/>
      <c r="AF631" s="606"/>
      <c r="AG631" s="606"/>
    </row>
    <row r="632" spans="1:33" s="612" customFormat="1" hidden="1" outlineLevel="3" x14ac:dyDescent="0.2">
      <c r="A632" s="606"/>
      <c r="B632" s="606"/>
      <c r="C632" s="607"/>
      <c r="D632" s="608"/>
      <c r="E632" s="608"/>
      <c r="F632" s="608"/>
      <c r="G632" s="608"/>
      <c r="H632" s="609"/>
      <c r="I632" s="660"/>
      <c r="J632" s="660"/>
      <c r="K632" s="660"/>
      <c r="L632" s="660"/>
      <c r="M632" s="660"/>
      <c r="N632" s="660"/>
      <c r="O632" s="660"/>
      <c r="P632" s="660"/>
      <c r="Q632" s="660"/>
      <c r="R632" s="660"/>
      <c r="S632" s="660"/>
      <c r="T632" s="660"/>
      <c r="U632" s="660"/>
      <c r="V632" s="660"/>
      <c r="W632" s="660"/>
      <c r="X632" s="660"/>
      <c r="Y632" s="660"/>
      <c r="Z632" s="660"/>
      <c r="AA632" s="660"/>
      <c r="AB632" s="660"/>
      <c r="AC632" s="661"/>
      <c r="AD632" s="606"/>
      <c r="AE632" s="606"/>
      <c r="AF632" s="606"/>
      <c r="AG632" s="606"/>
    </row>
    <row r="633" spans="1:33" s="612" customFormat="1" hidden="1" outlineLevel="3" x14ac:dyDescent="0.2">
      <c r="A633" s="606"/>
      <c r="B633" s="606"/>
      <c r="C633" s="607"/>
      <c r="D633" s="608"/>
      <c r="E633" s="608"/>
      <c r="F633" s="608"/>
      <c r="G633" s="608"/>
      <c r="H633" s="609"/>
      <c r="I633" s="660"/>
      <c r="J633" s="660"/>
      <c r="K633" s="660"/>
      <c r="L633" s="660"/>
      <c r="M633" s="660"/>
      <c r="N633" s="660"/>
      <c r="O633" s="660"/>
      <c r="P633" s="660"/>
      <c r="Q633" s="660"/>
      <c r="R633" s="660"/>
      <c r="S633" s="660"/>
      <c r="T633" s="660"/>
      <c r="U633" s="660"/>
      <c r="V633" s="660"/>
      <c r="W633" s="660"/>
      <c r="X633" s="660"/>
      <c r="Y633" s="660"/>
      <c r="Z633" s="660"/>
      <c r="AA633" s="660"/>
      <c r="AB633" s="660"/>
      <c r="AC633" s="661"/>
      <c r="AD633" s="606"/>
      <c r="AE633" s="606"/>
      <c r="AF633" s="606"/>
      <c r="AG633" s="606"/>
    </row>
    <row r="634" spans="1:33" s="612" customFormat="1" hidden="1" outlineLevel="3" x14ac:dyDescent="0.2">
      <c r="A634" s="606"/>
      <c r="B634" s="606"/>
      <c r="C634" s="607"/>
      <c r="D634" s="608"/>
      <c r="E634" s="608"/>
      <c r="F634" s="608"/>
      <c r="G634" s="608"/>
      <c r="H634" s="609"/>
      <c r="I634" s="660"/>
      <c r="J634" s="660"/>
      <c r="K634" s="660"/>
      <c r="L634" s="660"/>
      <c r="M634" s="660"/>
      <c r="N634" s="660"/>
      <c r="O634" s="660"/>
      <c r="P634" s="660"/>
      <c r="Q634" s="660"/>
      <c r="R634" s="660"/>
      <c r="S634" s="660"/>
      <c r="T634" s="660"/>
      <c r="U634" s="660"/>
      <c r="V634" s="660"/>
      <c r="W634" s="660"/>
      <c r="X634" s="660"/>
      <c r="Y634" s="660"/>
      <c r="Z634" s="660"/>
      <c r="AA634" s="660"/>
      <c r="AB634" s="660"/>
      <c r="AC634" s="661"/>
      <c r="AD634" s="606"/>
      <c r="AE634" s="606"/>
      <c r="AF634" s="606"/>
      <c r="AG634" s="606"/>
    </row>
    <row r="635" spans="1:33" s="612" customFormat="1" hidden="1" outlineLevel="3" x14ac:dyDescent="0.2">
      <c r="A635" s="606"/>
      <c r="B635" s="606"/>
      <c r="C635" s="607"/>
      <c r="D635" s="608"/>
      <c r="E635" s="608"/>
      <c r="F635" s="608"/>
      <c r="G635" s="608"/>
      <c r="H635" s="609"/>
      <c r="I635" s="660"/>
      <c r="J635" s="660"/>
      <c r="K635" s="660"/>
      <c r="L635" s="660"/>
      <c r="M635" s="660"/>
      <c r="N635" s="660"/>
      <c r="O635" s="660"/>
      <c r="P635" s="660"/>
      <c r="Q635" s="660"/>
      <c r="R635" s="660"/>
      <c r="S635" s="660"/>
      <c r="T635" s="660"/>
      <c r="U635" s="660"/>
      <c r="V635" s="660"/>
      <c r="W635" s="660"/>
      <c r="X635" s="660"/>
      <c r="Y635" s="660"/>
      <c r="Z635" s="660"/>
      <c r="AA635" s="660"/>
      <c r="AB635" s="660"/>
      <c r="AC635" s="661"/>
      <c r="AD635" s="606"/>
      <c r="AE635" s="606"/>
      <c r="AF635" s="606"/>
      <c r="AG635" s="606"/>
    </row>
    <row r="636" spans="1:33" s="612" customFormat="1" hidden="1" outlineLevel="3" x14ac:dyDescent="0.2">
      <c r="A636" s="606"/>
      <c r="B636" s="606"/>
      <c r="C636" s="607"/>
      <c r="D636" s="608"/>
      <c r="E636" s="608"/>
      <c r="F636" s="608"/>
      <c r="G636" s="608"/>
      <c r="H636" s="609"/>
      <c r="I636" s="660"/>
      <c r="J636" s="660"/>
      <c r="K636" s="660"/>
      <c r="L636" s="660"/>
      <c r="M636" s="660"/>
      <c r="N636" s="660"/>
      <c r="O636" s="660"/>
      <c r="P636" s="660"/>
      <c r="Q636" s="660"/>
      <c r="R636" s="660"/>
      <c r="S636" s="660"/>
      <c r="T636" s="660"/>
      <c r="U636" s="660"/>
      <c r="V636" s="660"/>
      <c r="W636" s="660"/>
      <c r="X636" s="660"/>
      <c r="Y636" s="660"/>
      <c r="Z636" s="660"/>
      <c r="AA636" s="660"/>
      <c r="AB636" s="660"/>
      <c r="AC636" s="661"/>
      <c r="AD636" s="606"/>
      <c r="AE636" s="606"/>
      <c r="AF636" s="606"/>
      <c r="AG636" s="606"/>
    </row>
    <row r="637" spans="1:33" s="612" customFormat="1" hidden="1" outlineLevel="3" x14ac:dyDescent="0.2">
      <c r="A637" s="606"/>
      <c r="B637" s="606"/>
      <c r="C637" s="607"/>
      <c r="D637" s="608"/>
      <c r="E637" s="608"/>
      <c r="F637" s="608"/>
      <c r="G637" s="608"/>
      <c r="H637" s="609"/>
      <c r="I637" s="660"/>
      <c r="J637" s="660"/>
      <c r="K637" s="660"/>
      <c r="L637" s="660"/>
      <c r="M637" s="660"/>
      <c r="N637" s="660"/>
      <c r="O637" s="660"/>
      <c r="P637" s="660"/>
      <c r="Q637" s="660"/>
      <c r="R637" s="660"/>
      <c r="S637" s="660"/>
      <c r="T637" s="660"/>
      <c r="U637" s="660"/>
      <c r="V637" s="660"/>
      <c r="W637" s="660"/>
      <c r="X637" s="660"/>
      <c r="Y637" s="660"/>
      <c r="Z637" s="660"/>
      <c r="AA637" s="660"/>
      <c r="AB637" s="660"/>
      <c r="AC637" s="661"/>
      <c r="AD637" s="606"/>
      <c r="AE637" s="606"/>
      <c r="AF637" s="606"/>
      <c r="AG637" s="606"/>
    </row>
    <row r="638" spans="1:33" s="612" customFormat="1" hidden="1" outlineLevel="3" x14ac:dyDescent="0.2">
      <c r="A638" s="606"/>
      <c r="B638" s="606"/>
      <c r="C638" s="607"/>
      <c r="D638" s="608"/>
      <c r="E638" s="608"/>
      <c r="F638" s="608"/>
      <c r="G638" s="608"/>
      <c r="H638" s="609"/>
      <c r="I638" s="660"/>
      <c r="J638" s="660"/>
      <c r="K638" s="660"/>
      <c r="L638" s="660"/>
      <c r="M638" s="660"/>
      <c r="N638" s="660"/>
      <c r="O638" s="660"/>
      <c r="P638" s="660"/>
      <c r="Q638" s="660"/>
      <c r="R638" s="660"/>
      <c r="S638" s="660"/>
      <c r="T638" s="660"/>
      <c r="U638" s="660"/>
      <c r="V638" s="660"/>
      <c r="W638" s="660"/>
      <c r="X638" s="660"/>
      <c r="Y638" s="660"/>
      <c r="Z638" s="660"/>
      <c r="AA638" s="660"/>
      <c r="AB638" s="660"/>
      <c r="AC638" s="661"/>
      <c r="AD638" s="606"/>
      <c r="AE638" s="606"/>
      <c r="AF638" s="606"/>
      <c r="AG638" s="606"/>
    </row>
    <row r="639" spans="1:33" s="612" customFormat="1" hidden="1" outlineLevel="3" x14ac:dyDescent="0.2">
      <c r="A639" s="606"/>
      <c r="B639" s="606"/>
      <c r="C639" s="607"/>
      <c r="D639" s="608"/>
      <c r="E639" s="608"/>
      <c r="F639" s="608"/>
      <c r="G639" s="608"/>
      <c r="H639" s="609"/>
      <c r="I639" s="660"/>
      <c r="J639" s="660"/>
      <c r="K639" s="660"/>
      <c r="L639" s="660"/>
      <c r="M639" s="660"/>
      <c r="N639" s="660"/>
      <c r="O639" s="660"/>
      <c r="P639" s="660"/>
      <c r="Q639" s="660"/>
      <c r="R639" s="660"/>
      <c r="S639" s="660"/>
      <c r="T639" s="660"/>
      <c r="U639" s="660"/>
      <c r="V639" s="660"/>
      <c r="W639" s="660"/>
      <c r="X639" s="660"/>
      <c r="Y639" s="660"/>
      <c r="Z639" s="660"/>
      <c r="AA639" s="660"/>
      <c r="AB639" s="660"/>
      <c r="AC639" s="661"/>
      <c r="AD639" s="606"/>
      <c r="AE639" s="606"/>
      <c r="AF639" s="606"/>
      <c r="AG639" s="606"/>
    </row>
    <row r="640" spans="1:33" s="612" customFormat="1" hidden="1" outlineLevel="3" x14ac:dyDescent="0.2">
      <c r="A640" s="606"/>
      <c r="B640" s="606"/>
      <c r="C640" s="607"/>
      <c r="D640" s="608"/>
      <c r="E640" s="608"/>
      <c r="F640" s="608"/>
      <c r="G640" s="608"/>
      <c r="H640" s="609"/>
      <c r="I640" s="660"/>
      <c r="J640" s="660"/>
      <c r="K640" s="660"/>
      <c r="L640" s="660"/>
      <c r="M640" s="660"/>
      <c r="N640" s="660"/>
      <c r="O640" s="660"/>
      <c r="P640" s="660"/>
      <c r="Q640" s="660"/>
      <c r="R640" s="660"/>
      <c r="S640" s="660"/>
      <c r="T640" s="660"/>
      <c r="U640" s="660"/>
      <c r="V640" s="660"/>
      <c r="W640" s="660"/>
      <c r="X640" s="660"/>
      <c r="Y640" s="660"/>
      <c r="Z640" s="660"/>
      <c r="AA640" s="660"/>
      <c r="AB640" s="660"/>
      <c r="AC640" s="661"/>
      <c r="AD640" s="606"/>
      <c r="AE640" s="606"/>
      <c r="AF640" s="606"/>
      <c r="AG640" s="606"/>
    </row>
    <row r="641" spans="1:33" s="612" customFormat="1" hidden="1" outlineLevel="3" x14ac:dyDescent="0.2">
      <c r="A641" s="606"/>
      <c r="B641" s="606"/>
      <c r="C641" s="607"/>
      <c r="D641" s="608"/>
      <c r="E641" s="608"/>
      <c r="F641" s="608"/>
      <c r="G641" s="608"/>
      <c r="H641" s="609"/>
      <c r="I641" s="660"/>
      <c r="J641" s="660"/>
      <c r="K641" s="660"/>
      <c r="L641" s="660"/>
      <c r="M641" s="660"/>
      <c r="N641" s="660"/>
      <c r="O641" s="660"/>
      <c r="P641" s="660"/>
      <c r="Q641" s="660"/>
      <c r="R641" s="660"/>
      <c r="S641" s="660"/>
      <c r="T641" s="660"/>
      <c r="U641" s="660"/>
      <c r="V641" s="660"/>
      <c r="W641" s="660"/>
      <c r="X641" s="660"/>
      <c r="Y641" s="660"/>
      <c r="Z641" s="660"/>
      <c r="AA641" s="660"/>
      <c r="AB641" s="660"/>
      <c r="AC641" s="661"/>
      <c r="AD641" s="606"/>
      <c r="AE641" s="606"/>
      <c r="AF641" s="606"/>
      <c r="AG641" s="606"/>
    </row>
    <row r="642" spans="1:33" s="612" customFormat="1" hidden="1" outlineLevel="3" x14ac:dyDescent="0.2">
      <c r="A642" s="606"/>
      <c r="B642" s="606"/>
      <c r="C642" s="607"/>
      <c r="D642" s="608"/>
      <c r="E642" s="608"/>
      <c r="F642" s="608"/>
      <c r="G642" s="608"/>
      <c r="H642" s="609"/>
      <c r="I642" s="660"/>
      <c r="J642" s="660"/>
      <c r="K642" s="660"/>
      <c r="L642" s="660"/>
      <c r="M642" s="660"/>
      <c r="N642" s="660"/>
      <c r="O642" s="660"/>
      <c r="P642" s="660"/>
      <c r="Q642" s="660"/>
      <c r="R642" s="660"/>
      <c r="S642" s="660"/>
      <c r="T642" s="660"/>
      <c r="U642" s="660"/>
      <c r="V642" s="660"/>
      <c r="W642" s="660"/>
      <c r="X642" s="660"/>
      <c r="Y642" s="660"/>
      <c r="Z642" s="660"/>
      <c r="AA642" s="660"/>
      <c r="AB642" s="660"/>
      <c r="AC642" s="661"/>
      <c r="AD642" s="606"/>
      <c r="AE642" s="606"/>
      <c r="AF642" s="606"/>
      <c r="AG642" s="606"/>
    </row>
    <row r="643" spans="1:33" s="612" customFormat="1" hidden="1" outlineLevel="3" x14ac:dyDescent="0.2">
      <c r="A643" s="606"/>
      <c r="B643" s="606"/>
      <c r="C643" s="607"/>
      <c r="D643" s="608"/>
      <c r="E643" s="608"/>
      <c r="F643" s="608"/>
      <c r="G643" s="608"/>
      <c r="H643" s="609"/>
      <c r="I643" s="660"/>
      <c r="J643" s="660"/>
      <c r="K643" s="660"/>
      <c r="L643" s="660"/>
      <c r="M643" s="660"/>
      <c r="N643" s="660"/>
      <c r="O643" s="660"/>
      <c r="P643" s="660"/>
      <c r="Q643" s="660"/>
      <c r="R643" s="660"/>
      <c r="S643" s="660"/>
      <c r="T643" s="660"/>
      <c r="U643" s="660"/>
      <c r="V643" s="660"/>
      <c r="W643" s="660"/>
      <c r="X643" s="660"/>
      <c r="Y643" s="660"/>
      <c r="Z643" s="660"/>
      <c r="AA643" s="660"/>
      <c r="AB643" s="660"/>
      <c r="AC643" s="661"/>
      <c r="AD643" s="606"/>
      <c r="AE643" s="606"/>
      <c r="AF643" s="606"/>
      <c r="AG643" s="606"/>
    </row>
    <row r="644" spans="1:33" s="612" customFormat="1" hidden="1" outlineLevel="3" x14ac:dyDescent="0.2">
      <c r="A644" s="606"/>
      <c r="B644" s="606"/>
      <c r="C644" s="607"/>
      <c r="D644" s="608"/>
      <c r="E644" s="608"/>
      <c r="F644" s="608"/>
      <c r="G644" s="608"/>
      <c r="H644" s="609"/>
      <c r="I644" s="660"/>
      <c r="J644" s="660"/>
      <c r="K644" s="660"/>
      <c r="L644" s="660"/>
      <c r="M644" s="660"/>
      <c r="N644" s="660"/>
      <c r="O644" s="660"/>
      <c r="P644" s="660"/>
      <c r="Q644" s="660"/>
      <c r="R644" s="660"/>
      <c r="S644" s="660"/>
      <c r="T644" s="660"/>
      <c r="U644" s="660"/>
      <c r="V644" s="660"/>
      <c r="W644" s="660"/>
      <c r="X644" s="660"/>
      <c r="Y644" s="660"/>
      <c r="Z644" s="660"/>
      <c r="AA644" s="660"/>
      <c r="AB644" s="660"/>
      <c r="AC644" s="661"/>
      <c r="AD644" s="606"/>
      <c r="AE644" s="606"/>
      <c r="AF644" s="606"/>
      <c r="AG644" s="606"/>
    </row>
    <row r="645" spans="1:33" s="612" customFormat="1" hidden="1" outlineLevel="3" x14ac:dyDescent="0.2">
      <c r="A645" s="606"/>
      <c r="B645" s="606"/>
      <c r="C645" s="607"/>
      <c r="D645" s="608"/>
      <c r="E645" s="608"/>
      <c r="F645" s="608"/>
      <c r="G645" s="608"/>
      <c r="H645" s="609"/>
      <c r="I645" s="660"/>
      <c r="J645" s="660"/>
      <c r="K645" s="660"/>
      <c r="L645" s="660"/>
      <c r="M645" s="660"/>
      <c r="N645" s="660"/>
      <c r="O645" s="660"/>
      <c r="P645" s="660"/>
      <c r="Q645" s="660"/>
      <c r="R645" s="660"/>
      <c r="S645" s="660"/>
      <c r="T645" s="660"/>
      <c r="U645" s="660"/>
      <c r="V645" s="660"/>
      <c r="W645" s="660"/>
      <c r="X645" s="660"/>
      <c r="Y645" s="660"/>
      <c r="Z645" s="660"/>
      <c r="AA645" s="660"/>
      <c r="AB645" s="660"/>
      <c r="AC645" s="661"/>
      <c r="AD645" s="606"/>
      <c r="AE645" s="606"/>
      <c r="AF645" s="606"/>
      <c r="AG645" s="606"/>
    </row>
    <row r="646" spans="1:33" s="612" customFormat="1" hidden="1" outlineLevel="3" x14ac:dyDescent="0.2">
      <c r="A646" s="606"/>
      <c r="B646" s="606"/>
      <c r="C646" s="607"/>
      <c r="D646" s="608"/>
      <c r="E646" s="608"/>
      <c r="F646" s="608"/>
      <c r="G646" s="608"/>
      <c r="H646" s="609"/>
      <c r="I646" s="660"/>
      <c r="J646" s="660"/>
      <c r="K646" s="660"/>
      <c r="L646" s="660"/>
      <c r="M646" s="660"/>
      <c r="N646" s="660"/>
      <c r="O646" s="660"/>
      <c r="P646" s="660"/>
      <c r="Q646" s="660"/>
      <c r="R646" s="660"/>
      <c r="S646" s="660"/>
      <c r="T646" s="660"/>
      <c r="U646" s="660"/>
      <c r="V646" s="660"/>
      <c r="W646" s="660"/>
      <c r="X646" s="660"/>
      <c r="Y646" s="660"/>
      <c r="Z646" s="660"/>
      <c r="AA646" s="660"/>
      <c r="AB646" s="660"/>
      <c r="AC646" s="661"/>
      <c r="AD646" s="606"/>
      <c r="AE646" s="606"/>
      <c r="AF646" s="606"/>
      <c r="AG646" s="606"/>
    </row>
    <row r="647" spans="1:33" s="612" customFormat="1" hidden="1" outlineLevel="3" x14ac:dyDescent="0.2">
      <c r="A647" s="606"/>
      <c r="B647" s="606"/>
      <c r="C647" s="607"/>
      <c r="D647" s="608"/>
      <c r="E647" s="608"/>
      <c r="F647" s="608"/>
      <c r="G647" s="608"/>
      <c r="H647" s="609"/>
      <c r="I647" s="660"/>
      <c r="J647" s="660"/>
      <c r="K647" s="660"/>
      <c r="L647" s="660"/>
      <c r="M647" s="660"/>
      <c r="N647" s="660"/>
      <c r="O647" s="660"/>
      <c r="P647" s="660"/>
      <c r="Q647" s="660"/>
      <c r="R647" s="660"/>
      <c r="S647" s="660"/>
      <c r="T647" s="660"/>
      <c r="U647" s="660"/>
      <c r="V647" s="660"/>
      <c r="W647" s="660"/>
      <c r="X647" s="660"/>
      <c r="Y647" s="660"/>
      <c r="Z647" s="660"/>
      <c r="AA647" s="660"/>
      <c r="AB647" s="660"/>
      <c r="AC647" s="661"/>
      <c r="AD647" s="606"/>
      <c r="AE647" s="606"/>
      <c r="AF647" s="606"/>
      <c r="AG647" s="606"/>
    </row>
    <row r="648" spans="1:33" s="612" customFormat="1" hidden="1" outlineLevel="3" x14ac:dyDescent="0.2">
      <c r="A648" s="606"/>
      <c r="B648" s="606"/>
      <c r="C648" s="607"/>
      <c r="D648" s="608"/>
      <c r="E648" s="608"/>
      <c r="F648" s="608"/>
      <c r="G648" s="608"/>
      <c r="H648" s="609"/>
      <c r="I648" s="660"/>
      <c r="J648" s="660"/>
      <c r="K648" s="660"/>
      <c r="L648" s="660"/>
      <c r="M648" s="660"/>
      <c r="N648" s="660"/>
      <c r="O648" s="660"/>
      <c r="P648" s="660"/>
      <c r="Q648" s="660"/>
      <c r="R648" s="660"/>
      <c r="S648" s="660"/>
      <c r="T648" s="660"/>
      <c r="U648" s="660"/>
      <c r="V648" s="660"/>
      <c r="W648" s="660"/>
      <c r="X648" s="660"/>
      <c r="Y648" s="660"/>
      <c r="Z648" s="660"/>
      <c r="AA648" s="660"/>
      <c r="AB648" s="660"/>
      <c r="AC648" s="661"/>
      <c r="AD648" s="606"/>
      <c r="AE648" s="606"/>
      <c r="AF648" s="606"/>
      <c r="AG648" s="606"/>
    </row>
    <row r="649" spans="1:33" s="612" customFormat="1" hidden="1" outlineLevel="3" x14ac:dyDescent="0.2">
      <c r="A649" s="606"/>
      <c r="B649" s="606"/>
      <c r="C649" s="607"/>
      <c r="D649" s="608"/>
      <c r="E649" s="608"/>
      <c r="F649" s="608"/>
      <c r="G649" s="608"/>
      <c r="H649" s="609"/>
      <c r="I649" s="660"/>
      <c r="J649" s="660"/>
      <c r="K649" s="660"/>
      <c r="L649" s="660"/>
      <c r="M649" s="660"/>
      <c r="N649" s="660"/>
      <c r="O649" s="660"/>
      <c r="P649" s="660"/>
      <c r="Q649" s="660"/>
      <c r="R649" s="660"/>
      <c r="S649" s="660"/>
      <c r="T649" s="660"/>
      <c r="U649" s="660"/>
      <c r="V649" s="660"/>
      <c r="W649" s="660"/>
      <c r="X649" s="660"/>
      <c r="Y649" s="660"/>
      <c r="Z649" s="660"/>
      <c r="AA649" s="660"/>
      <c r="AB649" s="660"/>
      <c r="AC649" s="661"/>
      <c r="AD649" s="606"/>
      <c r="AE649" s="606"/>
      <c r="AF649" s="606"/>
      <c r="AG649" s="606"/>
    </row>
    <row r="650" spans="1:33" s="612" customFormat="1" hidden="1" outlineLevel="3" x14ac:dyDescent="0.2">
      <c r="A650" s="606"/>
      <c r="B650" s="606"/>
      <c r="C650" s="607"/>
      <c r="D650" s="608"/>
      <c r="E650" s="608"/>
      <c r="F650" s="608"/>
      <c r="G650" s="608"/>
      <c r="H650" s="609"/>
      <c r="I650" s="660"/>
      <c r="J650" s="660"/>
      <c r="K650" s="660"/>
      <c r="L650" s="660"/>
      <c r="M650" s="660"/>
      <c r="N650" s="660"/>
      <c r="O650" s="660"/>
      <c r="P650" s="660"/>
      <c r="Q650" s="660"/>
      <c r="R650" s="660"/>
      <c r="S650" s="660"/>
      <c r="T650" s="660"/>
      <c r="U650" s="660"/>
      <c r="V650" s="660"/>
      <c r="W650" s="660"/>
      <c r="X650" s="660"/>
      <c r="Y650" s="660"/>
      <c r="Z650" s="660"/>
      <c r="AA650" s="660"/>
      <c r="AB650" s="660"/>
      <c r="AC650" s="661"/>
      <c r="AD650" s="606"/>
      <c r="AE650" s="606"/>
      <c r="AF650" s="606"/>
      <c r="AG650" s="606"/>
    </row>
    <row r="651" spans="1:33" s="612" customFormat="1" hidden="1" outlineLevel="3" x14ac:dyDescent="0.2">
      <c r="A651" s="606"/>
      <c r="B651" s="606"/>
      <c r="C651" s="607"/>
      <c r="D651" s="608"/>
      <c r="E651" s="608"/>
      <c r="F651" s="608"/>
      <c r="G651" s="608"/>
      <c r="H651" s="609"/>
      <c r="I651" s="660"/>
      <c r="J651" s="660"/>
      <c r="K651" s="660"/>
      <c r="L651" s="660"/>
      <c r="M651" s="660"/>
      <c r="N651" s="660"/>
      <c r="O651" s="660"/>
      <c r="P651" s="660"/>
      <c r="Q651" s="660"/>
      <c r="R651" s="660"/>
      <c r="S651" s="660"/>
      <c r="T651" s="660"/>
      <c r="U651" s="660"/>
      <c r="V651" s="660"/>
      <c r="W651" s="660"/>
      <c r="X651" s="660"/>
      <c r="Y651" s="660"/>
      <c r="Z651" s="660"/>
      <c r="AA651" s="660"/>
      <c r="AB651" s="660"/>
      <c r="AC651" s="661"/>
      <c r="AD651" s="606"/>
      <c r="AE651" s="606"/>
      <c r="AF651" s="606"/>
      <c r="AG651" s="606"/>
    </row>
    <row r="652" spans="1:33" s="612" customFormat="1" hidden="1" outlineLevel="3" x14ac:dyDescent="0.2">
      <c r="A652" s="606"/>
      <c r="B652" s="606"/>
      <c r="C652" s="607"/>
      <c r="D652" s="608"/>
      <c r="E652" s="608"/>
      <c r="F652" s="608"/>
      <c r="G652" s="608"/>
      <c r="H652" s="609"/>
      <c r="I652" s="660"/>
      <c r="J652" s="660"/>
      <c r="K652" s="660"/>
      <c r="L652" s="660"/>
      <c r="M652" s="660"/>
      <c r="N652" s="660"/>
      <c r="O652" s="660"/>
      <c r="P652" s="660"/>
      <c r="Q652" s="660"/>
      <c r="R652" s="660"/>
      <c r="S652" s="660"/>
      <c r="T652" s="660"/>
      <c r="U652" s="660"/>
      <c r="V652" s="660"/>
      <c r="W652" s="660"/>
      <c r="X652" s="660"/>
      <c r="Y652" s="660"/>
      <c r="Z652" s="660"/>
      <c r="AA652" s="660"/>
      <c r="AB652" s="660"/>
      <c r="AC652" s="661"/>
      <c r="AD652" s="606"/>
      <c r="AE652" s="606"/>
      <c r="AF652" s="606"/>
      <c r="AG652" s="606"/>
    </row>
    <row r="653" spans="1:33" s="612" customFormat="1" hidden="1" outlineLevel="3" x14ac:dyDescent="0.2">
      <c r="A653" s="606"/>
      <c r="B653" s="606"/>
      <c r="C653" s="607"/>
      <c r="D653" s="608"/>
      <c r="E653" s="608"/>
      <c r="F653" s="608"/>
      <c r="G653" s="608"/>
      <c r="H653" s="609"/>
      <c r="I653" s="660"/>
      <c r="J653" s="660"/>
      <c r="K653" s="660"/>
      <c r="L653" s="660"/>
      <c r="M653" s="660"/>
      <c r="N653" s="660"/>
      <c r="O653" s="660"/>
      <c r="P653" s="660"/>
      <c r="Q653" s="660"/>
      <c r="R653" s="660"/>
      <c r="S653" s="660"/>
      <c r="T653" s="660"/>
      <c r="U653" s="660"/>
      <c r="V653" s="660"/>
      <c r="W653" s="660"/>
      <c r="X653" s="660"/>
      <c r="Y653" s="660"/>
      <c r="Z653" s="660"/>
      <c r="AA653" s="660"/>
      <c r="AB653" s="660"/>
      <c r="AC653" s="661"/>
      <c r="AD653" s="606"/>
      <c r="AE653" s="606"/>
      <c r="AF653" s="606"/>
      <c r="AG653" s="606"/>
    </row>
    <row r="654" spans="1:33" s="612" customFormat="1" hidden="1" outlineLevel="3" x14ac:dyDescent="0.2">
      <c r="A654" s="606"/>
      <c r="B654" s="606"/>
      <c r="C654" s="607"/>
      <c r="D654" s="608"/>
      <c r="E654" s="608"/>
      <c r="F654" s="608"/>
      <c r="G654" s="608"/>
      <c r="H654" s="609"/>
      <c r="I654" s="660"/>
      <c r="J654" s="660"/>
      <c r="K654" s="660"/>
      <c r="L654" s="660"/>
      <c r="M654" s="660"/>
      <c r="N654" s="660"/>
      <c r="O654" s="660"/>
      <c r="P654" s="660"/>
      <c r="Q654" s="660"/>
      <c r="R654" s="660"/>
      <c r="S654" s="660"/>
      <c r="T654" s="660"/>
      <c r="U654" s="660"/>
      <c r="V654" s="660"/>
      <c r="W654" s="660"/>
      <c r="X654" s="660"/>
      <c r="Y654" s="660"/>
      <c r="Z654" s="660"/>
      <c r="AA654" s="660"/>
      <c r="AB654" s="660"/>
      <c r="AC654" s="661"/>
      <c r="AD654" s="606"/>
      <c r="AE654" s="606"/>
      <c r="AF654" s="606"/>
      <c r="AG654" s="606"/>
    </row>
    <row r="655" spans="1:33" s="612" customFormat="1" hidden="1" outlineLevel="3" x14ac:dyDescent="0.2">
      <c r="A655" s="606"/>
      <c r="B655" s="606"/>
      <c r="C655" s="607"/>
      <c r="D655" s="608"/>
      <c r="E655" s="608"/>
      <c r="F655" s="608"/>
      <c r="G655" s="608"/>
      <c r="H655" s="609"/>
      <c r="I655" s="660"/>
      <c r="J655" s="660"/>
      <c r="K655" s="660"/>
      <c r="L655" s="660"/>
      <c r="M655" s="660"/>
      <c r="N655" s="660"/>
      <c r="O655" s="660"/>
      <c r="P655" s="660"/>
      <c r="Q655" s="660"/>
      <c r="R655" s="660"/>
      <c r="S655" s="660"/>
      <c r="T655" s="660"/>
      <c r="U655" s="660"/>
      <c r="V655" s="660"/>
      <c r="W655" s="660"/>
      <c r="X655" s="660"/>
      <c r="Y655" s="660"/>
      <c r="Z655" s="660"/>
      <c r="AA655" s="660"/>
      <c r="AB655" s="660"/>
      <c r="AC655" s="661"/>
      <c r="AD655" s="606"/>
      <c r="AE655" s="606"/>
      <c r="AF655" s="606"/>
      <c r="AG655" s="606"/>
    </row>
    <row r="656" spans="1:33" s="612" customFormat="1" hidden="1" outlineLevel="3" x14ac:dyDescent="0.2">
      <c r="A656" s="606"/>
      <c r="B656" s="606"/>
      <c r="C656" s="607"/>
      <c r="D656" s="608"/>
      <c r="E656" s="608"/>
      <c r="F656" s="608"/>
      <c r="G656" s="608"/>
      <c r="H656" s="609"/>
      <c r="I656" s="660"/>
      <c r="J656" s="660"/>
      <c r="K656" s="660"/>
      <c r="L656" s="660"/>
      <c r="M656" s="660"/>
      <c r="N656" s="660"/>
      <c r="O656" s="660"/>
      <c r="P656" s="660"/>
      <c r="Q656" s="660"/>
      <c r="R656" s="660"/>
      <c r="S656" s="660"/>
      <c r="T656" s="660"/>
      <c r="U656" s="660"/>
      <c r="V656" s="660"/>
      <c r="W656" s="660"/>
      <c r="X656" s="660"/>
      <c r="Y656" s="660"/>
      <c r="Z656" s="660"/>
      <c r="AA656" s="660"/>
      <c r="AB656" s="660"/>
      <c r="AC656" s="661"/>
      <c r="AD656" s="606"/>
      <c r="AE656" s="606"/>
      <c r="AF656" s="606"/>
      <c r="AG656" s="606"/>
    </row>
    <row r="657" spans="1:33" s="612" customFormat="1" hidden="1" outlineLevel="3" x14ac:dyDescent="0.2">
      <c r="A657" s="606"/>
      <c r="B657" s="606"/>
      <c r="C657" s="607"/>
      <c r="D657" s="608"/>
      <c r="E657" s="608"/>
      <c r="F657" s="608"/>
      <c r="G657" s="608"/>
      <c r="H657" s="609"/>
      <c r="I657" s="660"/>
      <c r="J657" s="660"/>
      <c r="K657" s="660"/>
      <c r="L657" s="660"/>
      <c r="M657" s="660"/>
      <c r="N657" s="660"/>
      <c r="O657" s="660"/>
      <c r="P657" s="660"/>
      <c r="Q657" s="660"/>
      <c r="R657" s="660"/>
      <c r="S657" s="660"/>
      <c r="T657" s="660"/>
      <c r="U657" s="660"/>
      <c r="V657" s="660"/>
      <c r="W657" s="660"/>
      <c r="X657" s="660"/>
      <c r="Y657" s="660"/>
      <c r="Z657" s="660"/>
      <c r="AA657" s="660"/>
      <c r="AB657" s="660"/>
      <c r="AC657" s="661"/>
      <c r="AD657" s="606"/>
      <c r="AE657" s="606"/>
      <c r="AF657" s="606"/>
      <c r="AG657" s="606"/>
    </row>
    <row r="658" spans="1:33" s="612" customFormat="1" hidden="1" outlineLevel="3" x14ac:dyDescent="0.2">
      <c r="A658" s="606"/>
      <c r="B658" s="606"/>
      <c r="C658" s="607"/>
      <c r="D658" s="608"/>
      <c r="E658" s="608"/>
      <c r="F658" s="608"/>
      <c r="G658" s="608"/>
      <c r="H658" s="609"/>
      <c r="I658" s="660"/>
      <c r="J658" s="660"/>
      <c r="K658" s="660"/>
      <c r="L658" s="660"/>
      <c r="M658" s="660"/>
      <c r="N658" s="660"/>
      <c r="O658" s="660"/>
      <c r="P658" s="660"/>
      <c r="Q658" s="660"/>
      <c r="R658" s="660"/>
      <c r="S658" s="660"/>
      <c r="T658" s="660"/>
      <c r="U658" s="660"/>
      <c r="V658" s="660"/>
      <c r="W658" s="660"/>
      <c r="X658" s="660"/>
      <c r="Y658" s="660"/>
      <c r="Z658" s="660"/>
      <c r="AA658" s="660"/>
      <c r="AB658" s="660"/>
      <c r="AC658" s="661"/>
      <c r="AD658" s="606"/>
      <c r="AE658" s="606"/>
      <c r="AF658" s="606"/>
      <c r="AG658" s="606"/>
    </row>
    <row r="659" spans="1:33" s="612" customFormat="1" hidden="1" outlineLevel="3" x14ac:dyDescent="0.2">
      <c r="A659" s="606"/>
      <c r="B659" s="606"/>
      <c r="C659" s="607"/>
      <c r="D659" s="608"/>
      <c r="E659" s="608"/>
      <c r="F659" s="608"/>
      <c r="G659" s="608"/>
      <c r="H659" s="609"/>
      <c r="I659" s="660"/>
      <c r="J659" s="660"/>
      <c r="K659" s="660"/>
      <c r="L659" s="660"/>
      <c r="M659" s="660"/>
      <c r="N659" s="660"/>
      <c r="O659" s="660"/>
      <c r="P659" s="660"/>
      <c r="Q659" s="660"/>
      <c r="R659" s="660"/>
      <c r="S659" s="660"/>
      <c r="T659" s="660"/>
      <c r="U659" s="660"/>
      <c r="V659" s="660"/>
      <c r="W659" s="660"/>
      <c r="X659" s="660"/>
      <c r="Y659" s="660"/>
      <c r="Z659" s="660"/>
      <c r="AA659" s="660"/>
      <c r="AB659" s="660"/>
      <c r="AC659" s="661"/>
      <c r="AD659" s="606"/>
      <c r="AE659" s="606"/>
      <c r="AF659" s="606"/>
      <c r="AG659" s="606"/>
    </row>
    <row r="660" spans="1:33" s="612" customFormat="1" hidden="1" outlineLevel="3" x14ac:dyDescent="0.2">
      <c r="A660" s="606"/>
      <c r="B660" s="606"/>
      <c r="C660" s="607"/>
      <c r="D660" s="608"/>
      <c r="E660" s="608"/>
      <c r="F660" s="608"/>
      <c r="G660" s="608"/>
      <c r="H660" s="609"/>
      <c r="I660" s="660"/>
      <c r="J660" s="660"/>
      <c r="K660" s="660"/>
      <c r="L660" s="660"/>
      <c r="M660" s="660"/>
      <c r="N660" s="660"/>
      <c r="O660" s="660"/>
      <c r="P660" s="660"/>
      <c r="Q660" s="660"/>
      <c r="R660" s="660"/>
      <c r="S660" s="660"/>
      <c r="T660" s="660"/>
      <c r="U660" s="660"/>
      <c r="V660" s="660"/>
      <c r="W660" s="660"/>
      <c r="X660" s="660"/>
      <c r="Y660" s="660"/>
      <c r="Z660" s="660"/>
      <c r="AA660" s="660"/>
      <c r="AB660" s="660"/>
      <c r="AC660" s="661"/>
      <c r="AD660" s="606"/>
      <c r="AE660" s="606"/>
      <c r="AF660" s="606"/>
      <c r="AG660" s="606"/>
    </row>
    <row r="661" spans="1:33" s="612" customFormat="1" hidden="1" outlineLevel="3" x14ac:dyDescent="0.2">
      <c r="A661" s="606"/>
      <c r="B661" s="606"/>
      <c r="C661" s="607"/>
      <c r="D661" s="608"/>
      <c r="E661" s="608"/>
      <c r="F661" s="608"/>
      <c r="G661" s="608"/>
      <c r="H661" s="609"/>
      <c r="I661" s="660"/>
      <c r="J661" s="660"/>
      <c r="K661" s="660"/>
      <c r="L661" s="660"/>
      <c r="M661" s="660"/>
      <c r="N661" s="660"/>
      <c r="O661" s="660"/>
      <c r="P661" s="660"/>
      <c r="Q661" s="660"/>
      <c r="R661" s="660"/>
      <c r="S661" s="660"/>
      <c r="T661" s="660"/>
      <c r="U661" s="660"/>
      <c r="V661" s="660"/>
      <c r="W661" s="660"/>
      <c r="X661" s="660"/>
      <c r="Y661" s="660"/>
      <c r="Z661" s="660"/>
      <c r="AA661" s="660"/>
      <c r="AB661" s="660"/>
      <c r="AC661" s="661"/>
      <c r="AD661" s="606"/>
      <c r="AE661" s="606"/>
      <c r="AF661" s="606"/>
      <c r="AG661" s="606"/>
    </row>
    <row r="662" spans="1:33" s="612" customFormat="1" hidden="1" outlineLevel="3" x14ac:dyDescent="0.2">
      <c r="A662" s="606"/>
      <c r="B662" s="606"/>
      <c r="C662" s="607"/>
      <c r="D662" s="608"/>
      <c r="E662" s="608"/>
      <c r="F662" s="608"/>
      <c r="G662" s="608"/>
      <c r="H662" s="609"/>
      <c r="I662" s="660"/>
      <c r="J662" s="660"/>
      <c r="K662" s="660"/>
      <c r="L662" s="660"/>
      <c r="M662" s="660"/>
      <c r="N662" s="660"/>
      <c r="O662" s="660"/>
      <c r="P662" s="660"/>
      <c r="Q662" s="660"/>
      <c r="R662" s="660"/>
      <c r="S662" s="660"/>
      <c r="T662" s="660"/>
      <c r="U662" s="660"/>
      <c r="V662" s="660"/>
      <c r="W662" s="660"/>
      <c r="X662" s="660"/>
      <c r="Y662" s="660"/>
      <c r="Z662" s="660"/>
      <c r="AA662" s="660"/>
      <c r="AB662" s="660"/>
      <c r="AC662" s="661"/>
      <c r="AD662" s="606"/>
      <c r="AE662" s="606"/>
      <c r="AF662" s="606"/>
      <c r="AG662" s="606"/>
    </row>
    <row r="663" spans="1:33" s="612" customFormat="1" hidden="1" outlineLevel="3" x14ac:dyDescent="0.2">
      <c r="A663" s="606"/>
      <c r="B663" s="606"/>
      <c r="C663" s="607"/>
      <c r="D663" s="608"/>
      <c r="E663" s="608"/>
      <c r="F663" s="608"/>
      <c r="G663" s="608"/>
      <c r="H663" s="609"/>
      <c r="I663" s="660"/>
      <c r="J663" s="660"/>
      <c r="K663" s="660"/>
      <c r="L663" s="660"/>
      <c r="M663" s="660"/>
      <c r="N663" s="660"/>
      <c r="O663" s="660"/>
      <c r="P663" s="660"/>
      <c r="Q663" s="660"/>
      <c r="R663" s="660"/>
      <c r="S663" s="660"/>
      <c r="T663" s="660"/>
      <c r="U663" s="660"/>
      <c r="V663" s="660"/>
      <c r="W663" s="660"/>
      <c r="X663" s="660"/>
      <c r="Y663" s="660"/>
      <c r="Z663" s="660"/>
      <c r="AA663" s="660"/>
      <c r="AB663" s="660"/>
      <c r="AC663" s="661"/>
      <c r="AD663" s="606"/>
      <c r="AE663" s="606"/>
      <c r="AF663" s="606"/>
      <c r="AG663" s="606"/>
    </row>
    <row r="664" spans="1:33" s="612" customFormat="1" hidden="1" outlineLevel="3" x14ac:dyDescent="0.2">
      <c r="A664" s="606"/>
      <c r="B664" s="606"/>
      <c r="C664" s="607"/>
      <c r="D664" s="608"/>
      <c r="E664" s="608"/>
      <c r="F664" s="608"/>
      <c r="G664" s="608"/>
      <c r="H664" s="609"/>
      <c r="I664" s="660"/>
      <c r="J664" s="660"/>
      <c r="K664" s="660"/>
      <c r="L664" s="660"/>
      <c r="M664" s="660"/>
      <c r="N664" s="660"/>
      <c r="O664" s="660"/>
      <c r="P664" s="660"/>
      <c r="Q664" s="660"/>
      <c r="R664" s="660"/>
      <c r="S664" s="660"/>
      <c r="T664" s="660"/>
      <c r="U664" s="660"/>
      <c r="V664" s="660"/>
      <c r="W664" s="660"/>
      <c r="X664" s="660"/>
      <c r="Y664" s="660"/>
      <c r="Z664" s="660"/>
      <c r="AA664" s="660"/>
      <c r="AB664" s="660"/>
      <c r="AC664" s="661"/>
      <c r="AD664" s="606"/>
      <c r="AE664" s="606"/>
      <c r="AF664" s="606"/>
      <c r="AG664" s="606"/>
    </row>
    <row r="665" spans="1:33" s="612" customFormat="1" hidden="1" outlineLevel="3" x14ac:dyDescent="0.2">
      <c r="A665" s="606"/>
      <c r="B665" s="606"/>
      <c r="C665" s="607"/>
      <c r="D665" s="608"/>
      <c r="E665" s="608"/>
      <c r="F665" s="608"/>
      <c r="G665" s="608"/>
      <c r="H665" s="609"/>
      <c r="I665" s="660"/>
      <c r="J665" s="660"/>
      <c r="K665" s="660"/>
      <c r="L665" s="660"/>
      <c r="M665" s="660"/>
      <c r="N665" s="660"/>
      <c r="O665" s="660"/>
      <c r="P665" s="660"/>
      <c r="Q665" s="660"/>
      <c r="R665" s="660"/>
      <c r="S665" s="660"/>
      <c r="T665" s="660"/>
      <c r="U665" s="660"/>
      <c r="V665" s="660"/>
      <c r="W665" s="660"/>
      <c r="X665" s="660"/>
      <c r="Y665" s="660"/>
      <c r="Z665" s="660"/>
      <c r="AA665" s="660"/>
      <c r="AB665" s="660"/>
      <c r="AC665" s="661"/>
      <c r="AD665" s="606"/>
      <c r="AE665" s="606"/>
      <c r="AF665" s="606"/>
      <c r="AG665" s="606"/>
    </row>
    <row r="666" spans="1:33" s="612" customFormat="1" hidden="1" outlineLevel="3" x14ac:dyDescent="0.2">
      <c r="A666" s="606"/>
      <c r="B666" s="606"/>
      <c r="C666" s="607"/>
      <c r="D666" s="608"/>
      <c r="E666" s="608"/>
      <c r="F666" s="608"/>
      <c r="G666" s="608"/>
      <c r="H666" s="609"/>
      <c r="I666" s="660"/>
      <c r="J666" s="660"/>
      <c r="K666" s="660"/>
      <c r="L666" s="660"/>
      <c r="M666" s="660"/>
      <c r="N666" s="660"/>
      <c r="O666" s="660"/>
      <c r="P666" s="660"/>
      <c r="Q666" s="660"/>
      <c r="R666" s="660"/>
      <c r="S666" s="660"/>
      <c r="T666" s="660"/>
      <c r="U666" s="660"/>
      <c r="V666" s="660"/>
      <c r="W666" s="660"/>
      <c r="X666" s="660"/>
      <c r="Y666" s="660"/>
      <c r="Z666" s="660"/>
      <c r="AA666" s="660"/>
      <c r="AB666" s="660"/>
      <c r="AC666" s="661"/>
      <c r="AD666" s="606"/>
      <c r="AE666" s="606"/>
      <c r="AF666" s="606"/>
      <c r="AG666" s="606"/>
    </row>
    <row r="667" spans="1:33" s="612" customFormat="1" hidden="1" outlineLevel="3" x14ac:dyDescent="0.2">
      <c r="A667" s="606"/>
      <c r="B667" s="606"/>
      <c r="C667" s="607"/>
      <c r="D667" s="608"/>
      <c r="E667" s="608"/>
      <c r="F667" s="608"/>
      <c r="G667" s="608"/>
      <c r="H667" s="609"/>
      <c r="I667" s="660"/>
      <c r="J667" s="660"/>
      <c r="K667" s="660"/>
      <c r="L667" s="660"/>
      <c r="M667" s="660"/>
      <c r="N667" s="660"/>
      <c r="O667" s="660"/>
      <c r="P667" s="660"/>
      <c r="Q667" s="660"/>
      <c r="R667" s="660"/>
      <c r="S667" s="660"/>
      <c r="T667" s="660"/>
      <c r="U667" s="660"/>
      <c r="V667" s="660"/>
      <c r="W667" s="660"/>
      <c r="X667" s="660"/>
      <c r="Y667" s="660"/>
      <c r="Z667" s="660"/>
      <c r="AA667" s="660"/>
      <c r="AB667" s="660"/>
      <c r="AC667" s="661"/>
      <c r="AD667" s="606"/>
      <c r="AE667" s="606"/>
      <c r="AF667" s="606"/>
      <c r="AG667" s="606"/>
    </row>
    <row r="668" spans="1:33" s="612" customFormat="1" hidden="1" outlineLevel="3" x14ac:dyDescent="0.2">
      <c r="A668" s="606"/>
      <c r="B668" s="606"/>
      <c r="C668" s="607"/>
      <c r="D668" s="608"/>
      <c r="E668" s="608"/>
      <c r="F668" s="608"/>
      <c r="G668" s="608"/>
      <c r="H668" s="609"/>
      <c r="I668" s="660"/>
      <c r="J668" s="660"/>
      <c r="K668" s="660"/>
      <c r="L668" s="660"/>
      <c r="M668" s="660"/>
      <c r="N668" s="660"/>
      <c r="O668" s="660"/>
      <c r="P668" s="660"/>
      <c r="Q668" s="660"/>
      <c r="R668" s="660"/>
      <c r="S668" s="660"/>
      <c r="T668" s="660"/>
      <c r="U668" s="660"/>
      <c r="V668" s="660"/>
      <c r="W668" s="660"/>
      <c r="X668" s="660"/>
      <c r="Y668" s="660"/>
      <c r="Z668" s="660"/>
      <c r="AA668" s="660"/>
      <c r="AB668" s="660"/>
      <c r="AC668" s="661"/>
      <c r="AD668" s="606"/>
      <c r="AE668" s="606"/>
      <c r="AF668" s="606"/>
      <c r="AG668" s="606"/>
    </row>
    <row r="669" spans="1:33" s="612" customFormat="1" hidden="1" outlineLevel="3" x14ac:dyDescent="0.2">
      <c r="A669" s="606"/>
      <c r="B669" s="606"/>
      <c r="C669" s="607"/>
      <c r="D669" s="608"/>
      <c r="E669" s="608"/>
      <c r="F669" s="608"/>
      <c r="G669" s="608"/>
      <c r="H669" s="609"/>
      <c r="I669" s="660"/>
      <c r="J669" s="660"/>
      <c r="K669" s="660"/>
      <c r="L669" s="660"/>
      <c r="M669" s="660"/>
      <c r="N669" s="660"/>
      <c r="O669" s="660"/>
      <c r="P669" s="660"/>
      <c r="Q669" s="660"/>
      <c r="R669" s="660"/>
      <c r="S669" s="660"/>
      <c r="T669" s="660"/>
      <c r="U669" s="660"/>
      <c r="V669" s="660"/>
      <c r="W669" s="660"/>
      <c r="X669" s="660"/>
      <c r="Y669" s="660"/>
      <c r="Z669" s="660"/>
      <c r="AA669" s="660"/>
      <c r="AB669" s="660"/>
      <c r="AC669" s="661"/>
      <c r="AD669" s="606"/>
      <c r="AE669" s="606"/>
      <c r="AF669" s="606"/>
      <c r="AG669" s="606"/>
    </row>
    <row r="670" spans="1:33" s="612" customFormat="1" hidden="1" outlineLevel="3" x14ac:dyDescent="0.2">
      <c r="A670" s="606"/>
      <c r="B670" s="606"/>
      <c r="C670" s="607"/>
      <c r="D670" s="608"/>
      <c r="E670" s="608"/>
      <c r="F670" s="608"/>
      <c r="G670" s="608"/>
      <c r="H670" s="609"/>
      <c r="I670" s="660"/>
      <c r="J670" s="660"/>
      <c r="K670" s="660"/>
      <c r="L670" s="660"/>
      <c r="M670" s="660"/>
      <c r="N670" s="660"/>
      <c r="O670" s="660"/>
      <c r="P670" s="660"/>
      <c r="Q670" s="660"/>
      <c r="R670" s="660"/>
      <c r="S670" s="660"/>
      <c r="T670" s="660"/>
      <c r="U670" s="660"/>
      <c r="V670" s="660"/>
      <c r="W670" s="660"/>
      <c r="X670" s="660"/>
      <c r="Y670" s="660"/>
      <c r="Z670" s="660"/>
      <c r="AA670" s="660"/>
      <c r="AB670" s="660"/>
      <c r="AC670" s="661"/>
      <c r="AD670" s="606"/>
      <c r="AE670" s="606"/>
      <c r="AF670" s="606"/>
      <c r="AG670" s="606"/>
    </row>
    <row r="671" spans="1:33" s="612" customFormat="1" hidden="1" outlineLevel="3" x14ac:dyDescent="0.2">
      <c r="A671" s="606"/>
      <c r="B671" s="606"/>
      <c r="C671" s="607"/>
      <c r="D671" s="608"/>
      <c r="E671" s="608"/>
      <c r="F671" s="608"/>
      <c r="G671" s="608"/>
      <c r="H671" s="609"/>
      <c r="I671" s="660"/>
      <c r="J671" s="660"/>
      <c r="K671" s="660"/>
      <c r="L671" s="660"/>
      <c r="M671" s="660"/>
      <c r="N671" s="660"/>
      <c r="O671" s="660"/>
      <c r="P671" s="660"/>
      <c r="Q671" s="660"/>
      <c r="R671" s="660"/>
      <c r="S671" s="660"/>
      <c r="T671" s="660"/>
      <c r="U671" s="660"/>
      <c r="V671" s="660"/>
      <c r="W671" s="660"/>
      <c r="X671" s="660"/>
      <c r="Y671" s="660"/>
      <c r="Z671" s="660"/>
      <c r="AA671" s="660"/>
      <c r="AB671" s="660"/>
      <c r="AC671" s="661"/>
      <c r="AD671" s="606"/>
      <c r="AE671" s="606"/>
      <c r="AF671" s="606"/>
      <c r="AG671" s="606"/>
    </row>
    <row r="672" spans="1:33" s="612" customFormat="1" hidden="1" outlineLevel="3" x14ac:dyDescent="0.2">
      <c r="A672" s="606"/>
      <c r="B672" s="606"/>
      <c r="C672" s="607"/>
      <c r="D672" s="608"/>
      <c r="E672" s="608"/>
      <c r="F672" s="608"/>
      <c r="G672" s="608"/>
      <c r="H672" s="609"/>
      <c r="I672" s="660"/>
      <c r="J672" s="660"/>
      <c r="K672" s="660"/>
      <c r="L672" s="660"/>
      <c r="M672" s="660"/>
      <c r="N672" s="660"/>
      <c r="O672" s="660"/>
      <c r="P672" s="660"/>
      <c r="Q672" s="660"/>
      <c r="R672" s="660"/>
      <c r="S672" s="660"/>
      <c r="T672" s="660"/>
      <c r="U672" s="660"/>
      <c r="V672" s="660"/>
      <c r="W672" s="660"/>
      <c r="X672" s="660"/>
      <c r="Y672" s="660"/>
      <c r="Z672" s="660"/>
      <c r="AA672" s="660"/>
      <c r="AB672" s="660"/>
      <c r="AC672" s="661"/>
      <c r="AD672" s="606"/>
      <c r="AE672" s="606"/>
      <c r="AF672" s="606"/>
      <c r="AG672" s="606"/>
    </row>
    <row r="673" spans="1:33" s="612" customFormat="1" hidden="1" outlineLevel="3" x14ac:dyDescent="0.2">
      <c r="A673" s="606"/>
      <c r="B673" s="606"/>
      <c r="C673" s="607"/>
      <c r="D673" s="608"/>
      <c r="E673" s="608"/>
      <c r="F673" s="608"/>
      <c r="G673" s="608"/>
      <c r="H673" s="609"/>
      <c r="I673" s="660"/>
      <c r="J673" s="660"/>
      <c r="K673" s="660"/>
      <c r="L673" s="660"/>
      <c r="M673" s="660"/>
      <c r="N673" s="660"/>
      <c r="O673" s="660"/>
      <c r="P673" s="660"/>
      <c r="Q673" s="660"/>
      <c r="R673" s="660"/>
      <c r="S673" s="660"/>
      <c r="T673" s="660"/>
      <c r="U673" s="660"/>
      <c r="V673" s="660"/>
      <c r="W673" s="660"/>
      <c r="X673" s="660"/>
      <c r="Y673" s="660"/>
      <c r="Z673" s="660"/>
      <c r="AA673" s="660"/>
      <c r="AB673" s="660"/>
      <c r="AC673" s="661"/>
      <c r="AD673" s="606"/>
      <c r="AE673" s="606"/>
      <c r="AF673" s="606"/>
      <c r="AG673" s="606"/>
    </row>
    <row r="674" spans="1:33" s="612" customFormat="1" hidden="1" outlineLevel="3" x14ac:dyDescent="0.2">
      <c r="A674" s="606"/>
      <c r="B674" s="606"/>
      <c r="C674" s="607"/>
      <c r="D674" s="608"/>
      <c r="E674" s="608"/>
      <c r="F674" s="608"/>
      <c r="G674" s="608"/>
      <c r="H674" s="609"/>
      <c r="I674" s="660"/>
      <c r="J674" s="660"/>
      <c r="K674" s="660"/>
      <c r="L674" s="660"/>
      <c r="M674" s="660"/>
      <c r="N674" s="660"/>
      <c r="O674" s="660"/>
      <c r="P674" s="660"/>
      <c r="Q674" s="660"/>
      <c r="R674" s="660"/>
      <c r="S674" s="660"/>
      <c r="T674" s="660"/>
      <c r="U674" s="660"/>
      <c r="V674" s="660"/>
      <c r="W674" s="660"/>
      <c r="X674" s="660"/>
      <c r="Y674" s="660"/>
      <c r="Z674" s="660"/>
      <c r="AA674" s="660"/>
      <c r="AB674" s="660"/>
      <c r="AC674" s="661"/>
      <c r="AD674" s="606"/>
      <c r="AE674" s="606"/>
      <c r="AF674" s="606"/>
      <c r="AG674" s="606"/>
    </row>
    <row r="675" spans="1:33" s="612" customFormat="1" hidden="1" outlineLevel="3" x14ac:dyDescent="0.2">
      <c r="A675" s="606"/>
      <c r="B675" s="606"/>
      <c r="C675" s="607"/>
      <c r="D675" s="608"/>
      <c r="E675" s="608"/>
      <c r="F675" s="608"/>
      <c r="G675" s="608"/>
      <c r="H675" s="609"/>
      <c r="I675" s="660"/>
      <c r="J675" s="660"/>
      <c r="K675" s="660"/>
      <c r="L675" s="660"/>
      <c r="M675" s="660"/>
      <c r="N675" s="660"/>
      <c r="O675" s="660"/>
      <c r="P675" s="660"/>
      <c r="Q675" s="660"/>
      <c r="R675" s="660"/>
      <c r="S675" s="660"/>
      <c r="T675" s="660"/>
      <c r="U675" s="660"/>
      <c r="V675" s="660"/>
      <c r="W675" s="660"/>
      <c r="X675" s="660"/>
      <c r="Y675" s="660"/>
      <c r="Z675" s="660"/>
      <c r="AA675" s="660"/>
      <c r="AB675" s="660"/>
      <c r="AC675" s="661"/>
      <c r="AD675" s="606"/>
      <c r="AE675" s="606"/>
      <c r="AF675" s="606"/>
      <c r="AG675" s="606"/>
    </row>
    <row r="676" spans="1:33" s="612" customFormat="1" hidden="1" outlineLevel="3" x14ac:dyDescent="0.2">
      <c r="A676" s="606"/>
      <c r="B676" s="606"/>
      <c r="C676" s="607"/>
      <c r="D676" s="608"/>
      <c r="E676" s="608"/>
      <c r="F676" s="608"/>
      <c r="G676" s="608"/>
      <c r="H676" s="609"/>
      <c r="I676" s="660"/>
      <c r="J676" s="660"/>
      <c r="K676" s="660"/>
      <c r="L676" s="660"/>
      <c r="M676" s="660"/>
      <c r="N676" s="660"/>
      <c r="O676" s="660"/>
      <c r="P676" s="660"/>
      <c r="Q676" s="660"/>
      <c r="R676" s="660"/>
      <c r="S676" s="660"/>
      <c r="T676" s="660"/>
      <c r="U676" s="660"/>
      <c r="V676" s="660"/>
      <c r="W676" s="660"/>
      <c r="X676" s="660"/>
      <c r="Y676" s="660"/>
      <c r="Z676" s="660"/>
      <c r="AA676" s="660"/>
      <c r="AB676" s="660"/>
      <c r="AC676" s="661"/>
      <c r="AD676" s="606"/>
      <c r="AE676" s="606"/>
      <c r="AF676" s="606"/>
      <c r="AG676" s="606"/>
    </row>
    <row r="677" spans="1:33" s="612" customFormat="1" hidden="1" outlineLevel="3" x14ac:dyDescent="0.2">
      <c r="A677" s="606"/>
      <c r="B677" s="606"/>
      <c r="C677" s="607"/>
      <c r="D677" s="608"/>
      <c r="E677" s="608"/>
      <c r="F677" s="608"/>
      <c r="G677" s="608"/>
      <c r="H677" s="609"/>
      <c r="I677" s="660"/>
      <c r="J677" s="660"/>
      <c r="K677" s="660"/>
      <c r="L677" s="660"/>
      <c r="M677" s="660"/>
      <c r="N677" s="660"/>
      <c r="O677" s="660"/>
      <c r="P677" s="660"/>
      <c r="Q677" s="660"/>
      <c r="R677" s="660"/>
      <c r="S677" s="660"/>
      <c r="T677" s="660"/>
      <c r="U677" s="660"/>
      <c r="V677" s="660"/>
      <c r="W677" s="660"/>
      <c r="X677" s="660"/>
      <c r="Y677" s="660"/>
      <c r="Z677" s="660"/>
      <c r="AA677" s="660"/>
      <c r="AB677" s="660"/>
      <c r="AC677" s="661"/>
      <c r="AD677" s="606"/>
      <c r="AE677" s="606"/>
      <c r="AF677" s="606"/>
      <c r="AG677" s="606"/>
    </row>
    <row r="678" spans="1:33" s="612" customFormat="1" hidden="1" outlineLevel="3" x14ac:dyDescent="0.2">
      <c r="A678" s="606"/>
      <c r="B678" s="606"/>
      <c r="C678" s="607"/>
      <c r="D678" s="608"/>
      <c r="E678" s="608"/>
      <c r="F678" s="608"/>
      <c r="G678" s="608"/>
      <c r="H678" s="609"/>
      <c r="I678" s="660"/>
      <c r="J678" s="660"/>
      <c r="K678" s="660"/>
      <c r="L678" s="660"/>
      <c r="M678" s="660"/>
      <c r="N678" s="660"/>
      <c r="O678" s="660"/>
      <c r="P678" s="660"/>
      <c r="Q678" s="660"/>
      <c r="R678" s="660"/>
      <c r="S678" s="660"/>
      <c r="T678" s="660"/>
      <c r="U678" s="660"/>
      <c r="V678" s="660"/>
      <c r="W678" s="660"/>
      <c r="X678" s="660"/>
      <c r="Y678" s="660"/>
      <c r="Z678" s="660"/>
      <c r="AA678" s="660"/>
      <c r="AB678" s="660"/>
      <c r="AC678" s="661"/>
      <c r="AD678" s="606"/>
      <c r="AE678" s="606"/>
      <c r="AF678" s="606"/>
      <c r="AG678" s="606"/>
    </row>
    <row r="679" spans="1:33" s="612" customFormat="1" hidden="1" outlineLevel="3" x14ac:dyDescent="0.2">
      <c r="A679" s="606"/>
      <c r="B679" s="606"/>
      <c r="C679" s="607"/>
      <c r="D679" s="608"/>
      <c r="E679" s="608"/>
      <c r="F679" s="608"/>
      <c r="G679" s="608"/>
      <c r="H679" s="609"/>
      <c r="I679" s="660"/>
      <c r="J679" s="660"/>
      <c r="K679" s="660"/>
      <c r="L679" s="660"/>
      <c r="M679" s="660"/>
      <c r="N679" s="660"/>
      <c r="O679" s="660"/>
      <c r="P679" s="660"/>
      <c r="Q679" s="660"/>
      <c r="R679" s="660"/>
      <c r="S679" s="660"/>
      <c r="T679" s="660"/>
      <c r="U679" s="660"/>
      <c r="V679" s="660"/>
      <c r="W679" s="660"/>
      <c r="X679" s="660"/>
      <c r="Y679" s="660"/>
      <c r="Z679" s="660"/>
      <c r="AA679" s="660"/>
      <c r="AB679" s="660"/>
      <c r="AC679" s="661"/>
      <c r="AD679" s="606"/>
      <c r="AE679" s="606"/>
      <c r="AF679" s="606"/>
      <c r="AG679" s="606"/>
    </row>
    <row r="680" spans="1:33" s="612" customFormat="1" hidden="1" outlineLevel="3" x14ac:dyDescent="0.2">
      <c r="A680" s="606"/>
      <c r="B680" s="606"/>
      <c r="C680" s="607"/>
      <c r="D680" s="608"/>
      <c r="E680" s="608"/>
      <c r="F680" s="608"/>
      <c r="G680" s="608"/>
      <c r="H680" s="609"/>
      <c r="I680" s="660"/>
      <c r="J680" s="660"/>
      <c r="K680" s="660"/>
      <c r="L680" s="660"/>
      <c r="M680" s="660"/>
      <c r="N680" s="660"/>
      <c r="O680" s="660"/>
      <c r="P680" s="660"/>
      <c r="Q680" s="660"/>
      <c r="R680" s="660"/>
      <c r="S680" s="660"/>
      <c r="T680" s="660"/>
      <c r="U680" s="660"/>
      <c r="V680" s="660"/>
      <c r="W680" s="660"/>
      <c r="X680" s="660"/>
      <c r="Y680" s="660"/>
      <c r="Z680" s="660"/>
      <c r="AA680" s="660"/>
      <c r="AB680" s="660"/>
      <c r="AC680" s="661"/>
      <c r="AD680" s="606"/>
      <c r="AE680" s="606"/>
      <c r="AF680" s="606"/>
      <c r="AG680" s="606"/>
    </row>
    <row r="681" spans="1:33" s="612" customFormat="1" hidden="1" outlineLevel="3" x14ac:dyDescent="0.2">
      <c r="A681" s="606"/>
      <c r="B681" s="606"/>
      <c r="C681" s="607"/>
      <c r="D681" s="608"/>
      <c r="E681" s="608"/>
      <c r="F681" s="608"/>
      <c r="G681" s="608"/>
      <c r="H681" s="609"/>
      <c r="I681" s="660"/>
      <c r="J681" s="660"/>
      <c r="K681" s="660"/>
      <c r="L681" s="660"/>
      <c r="M681" s="660"/>
      <c r="N681" s="660"/>
      <c r="O681" s="660"/>
      <c r="P681" s="660"/>
      <c r="Q681" s="660"/>
      <c r="R681" s="660"/>
      <c r="S681" s="660"/>
      <c r="T681" s="660"/>
      <c r="U681" s="660"/>
      <c r="V681" s="660"/>
      <c r="W681" s="660"/>
      <c r="X681" s="660"/>
      <c r="Y681" s="660"/>
      <c r="Z681" s="660"/>
      <c r="AA681" s="660"/>
      <c r="AB681" s="660"/>
      <c r="AC681" s="661"/>
      <c r="AD681" s="606"/>
      <c r="AE681" s="606"/>
      <c r="AF681" s="606"/>
      <c r="AG681" s="606"/>
    </row>
    <row r="682" spans="1:33" s="612" customFormat="1" hidden="1" outlineLevel="3" x14ac:dyDescent="0.2">
      <c r="A682" s="606"/>
      <c r="B682" s="606"/>
      <c r="C682" s="607"/>
      <c r="D682" s="608"/>
      <c r="E682" s="608"/>
      <c r="F682" s="608"/>
      <c r="G682" s="608"/>
      <c r="H682" s="609"/>
      <c r="I682" s="660"/>
      <c r="J682" s="660"/>
      <c r="K682" s="660"/>
      <c r="L682" s="660"/>
      <c r="M682" s="660"/>
      <c r="N682" s="660"/>
      <c r="O682" s="660"/>
      <c r="P682" s="660"/>
      <c r="Q682" s="660"/>
      <c r="R682" s="660"/>
      <c r="S682" s="660"/>
      <c r="T682" s="660"/>
      <c r="U682" s="660"/>
      <c r="V682" s="660"/>
      <c r="W682" s="660"/>
      <c r="X682" s="660"/>
      <c r="Y682" s="660"/>
      <c r="Z682" s="660"/>
      <c r="AA682" s="660"/>
      <c r="AB682" s="660"/>
      <c r="AC682" s="661"/>
      <c r="AD682" s="606"/>
      <c r="AE682" s="606"/>
      <c r="AF682" s="606"/>
      <c r="AG682" s="606"/>
    </row>
    <row r="683" spans="1:33" s="612" customFormat="1" hidden="1" outlineLevel="3" x14ac:dyDescent="0.2">
      <c r="A683" s="606"/>
      <c r="B683" s="606"/>
      <c r="C683" s="607"/>
      <c r="D683" s="608"/>
      <c r="E683" s="608"/>
      <c r="F683" s="608"/>
      <c r="G683" s="608"/>
      <c r="H683" s="609"/>
      <c r="I683" s="660"/>
      <c r="J683" s="660"/>
      <c r="K683" s="660"/>
      <c r="L683" s="660"/>
      <c r="M683" s="660"/>
      <c r="N683" s="660"/>
      <c r="O683" s="660"/>
      <c r="P683" s="660"/>
      <c r="Q683" s="660"/>
      <c r="R683" s="660"/>
      <c r="S683" s="660"/>
      <c r="T683" s="660"/>
      <c r="U683" s="660"/>
      <c r="V683" s="660"/>
      <c r="W683" s="660"/>
      <c r="X683" s="660"/>
      <c r="Y683" s="660"/>
      <c r="Z683" s="660"/>
      <c r="AA683" s="660"/>
      <c r="AB683" s="660"/>
      <c r="AC683" s="661"/>
      <c r="AD683" s="606"/>
      <c r="AE683" s="606"/>
      <c r="AF683" s="606"/>
      <c r="AG683" s="606"/>
    </row>
    <row r="684" spans="1:33" s="612" customFormat="1" hidden="1" outlineLevel="3" x14ac:dyDescent="0.2">
      <c r="A684" s="606"/>
      <c r="B684" s="606"/>
      <c r="C684" s="607"/>
      <c r="D684" s="608"/>
      <c r="E684" s="608"/>
      <c r="F684" s="608"/>
      <c r="G684" s="608"/>
      <c r="H684" s="609"/>
      <c r="I684" s="660"/>
      <c r="J684" s="660"/>
      <c r="K684" s="660"/>
      <c r="L684" s="660"/>
      <c r="M684" s="660"/>
      <c r="N684" s="660"/>
      <c r="O684" s="660"/>
      <c r="P684" s="660"/>
      <c r="Q684" s="660"/>
      <c r="R684" s="660"/>
      <c r="S684" s="660"/>
      <c r="T684" s="660"/>
      <c r="U684" s="660"/>
      <c r="V684" s="660"/>
      <c r="W684" s="660"/>
      <c r="X684" s="660"/>
      <c r="Y684" s="660"/>
      <c r="Z684" s="660"/>
      <c r="AA684" s="660"/>
      <c r="AB684" s="660"/>
      <c r="AC684" s="661"/>
      <c r="AD684" s="606"/>
      <c r="AE684" s="606"/>
      <c r="AF684" s="606"/>
      <c r="AG684" s="606"/>
    </row>
    <row r="685" spans="1:33" s="612" customFormat="1" hidden="1" outlineLevel="3" x14ac:dyDescent="0.2">
      <c r="A685" s="606"/>
      <c r="B685" s="606"/>
      <c r="C685" s="607"/>
      <c r="D685" s="608"/>
      <c r="E685" s="608"/>
      <c r="F685" s="608"/>
      <c r="G685" s="608"/>
      <c r="H685" s="609"/>
      <c r="I685" s="660"/>
      <c r="J685" s="660"/>
      <c r="K685" s="660"/>
      <c r="L685" s="660"/>
      <c r="M685" s="660"/>
      <c r="N685" s="660"/>
      <c r="O685" s="660"/>
      <c r="P685" s="660"/>
      <c r="Q685" s="660"/>
      <c r="R685" s="660"/>
      <c r="S685" s="660"/>
      <c r="T685" s="660"/>
      <c r="U685" s="660"/>
      <c r="V685" s="660"/>
      <c r="W685" s="660"/>
      <c r="X685" s="660"/>
      <c r="Y685" s="660"/>
      <c r="Z685" s="660"/>
      <c r="AA685" s="660"/>
      <c r="AB685" s="660"/>
      <c r="AC685" s="661"/>
      <c r="AD685" s="606"/>
      <c r="AE685" s="606"/>
      <c r="AF685" s="606"/>
      <c r="AG685" s="606"/>
    </row>
    <row r="686" spans="1:33" s="612" customFormat="1" hidden="1" outlineLevel="3" x14ac:dyDescent="0.2">
      <c r="A686" s="606"/>
      <c r="B686" s="606"/>
      <c r="C686" s="607"/>
      <c r="D686" s="608"/>
      <c r="E686" s="608"/>
      <c r="F686" s="608"/>
      <c r="G686" s="608"/>
      <c r="H686" s="609"/>
      <c r="I686" s="660"/>
      <c r="J686" s="660"/>
      <c r="K686" s="660"/>
      <c r="L686" s="660"/>
      <c r="M686" s="660"/>
      <c r="N686" s="660"/>
      <c r="O686" s="660"/>
      <c r="P686" s="660"/>
      <c r="Q686" s="660"/>
      <c r="R686" s="660"/>
      <c r="S686" s="660"/>
      <c r="T686" s="660"/>
      <c r="U686" s="660"/>
      <c r="V686" s="660"/>
      <c r="W686" s="660"/>
      <c r="X686" s="660"/>
      <c r="Y686" s="660"/>
      <c r="Z686" s="660"/>
      <c r="AA686" s="660"/>
      <c r="AB686" s="660"/>
      <c r="AC686" s="661"/>
      <c r="AD686" s="606"/>
      <c r="AE686" s="606"/>
      <c r="AF686" s="606"/>
      <c r="AG686" s="606"/>
    </row>
    <row r="687" spans="1:33" s="612" customFormat="1" hidden="1" outlineLevel="3" x14ac:dyDescent="0.2">
      <c r="A687" s="606"/>
      <c r="B687" s="606"/>
      <c r="C687" s="607"/>
      <c r="D687" s="608"/>
      <c r="E687" s="608"/>
      <c r="F687" s="608"/>
      <c r="G687" s="608"/>
      <c r="H687" s="609"/>
      <c r="I687" s="660"/>
      <c r="J687" s="660"/>
      <c r="K687" s="660"/>
      <c r="L687" s="660"/>
      <c r="M687" s="660"/>
      <c r="N687" s="660"/>
      <c r="O687" s="660"/>
      <c r="P687" s="660"/>
      <c r="Q687" s="660"/>
      <c r="R687" s="660"/>
      <c r="S687" s="660"/>
      <c r="T687" s="660"/>
      <c r="U687" s="660"/>
      <c r="V687" s="660"/>
      <c r="W687" s="660"/>
      <c r="X687" s="660"/>
      <c r="Y687" s="660"/>
      <c r="Z687" s="660"/>
      <c r="AA687" s="660"/>
      <c r="AB687" s="660"/>
      <c r="AC687" s="661"/>
      <c r="AD687" s="606"/>
      <c r="AE687" s="606"/>
      <c r="AF687" s="606"/>
      <c r="AG687" s="606"/>
    </row>
    <row r="688" spans="1:33" s="612" customFormat="1" hidden="1" outlineLevel="3" x14ac:dyDescent="0.2">
      <c r="A688" s="606"/>
      <c r="B688" s="606"/>
      <c r="C688" s="607"/>
      <c r="D688" s="608"/>
      <c r="E688" s="608"/>
      <c r="F688" s="608"/>
      <c r="G688" s="608"/>
      <c r="H688" s="609"/>
      <c r="I688" s="660"/>
      <c r="J688" s="660"/>
      <c r="K688" s="660"/>
      <c r="L688" s="660"/>
      <c r="M688" s="660"/>
      <c r="N688" s="660"/>
      <c r="O688" s="660"/>
      <c r="P688" s="660"/>
      <c r="Q688" s="660"/>
      <c r="R688" s="660"/>
      <c r="S688" s="660"/>
      <c r="T688" s="660"/>
      <c r="U688" s="660"/>
      <c r="V688" s="660"/>
      <c r="W688" s="660"/>
      <c r="X688" s="660"/>
      <c r="Y688" s="660"/>
      <c r="Z688" s="660"/>
      <c r="AA688" s="660"/>
      <c r="AB688" s="660"/>
      <c r="AC688" s="661"/>
      <c r="AD688" s="606"/>
      <c r="AE688" s="606"/>
      <c r="AF688" s="606"/>
      <c r="AG688" s="606"/>
    </row>
    <row r="689" spans="1:33" s="612" customFormat="1" hidden="1" outlineLevel="3" x14ac:dyDescent="0.2">
      <c r="A689" s="606"/>
      <c r="B689" s="606"/>
      <c r="C689" s="607"/>
      <c r="D689" s="608"/>
      <c r="E689" s="608"/>
      <c r="F689" s="608"/>
      <c r="G689" s="608"/>
      <c r="H689" s="609"/>
      <c r="I689" s="660"/>
      <c r="J689" s="660"/>
      <c r="K689" s="660"/>
      <c r="L689" s="660"/>
      <c r="M689" s="660"/>
      <c r="N689" s="660"/>
      <c r="O689" s="660"/>
      <c r="P689" s="660"/>
      <c r="Q689" s="660"/>
      <c r="R689" s="660"/>
      <c r="S689" s="660"/>
      <c r="T689" s="660"/>
      <c r="U689" s="660"/>
      <c r="V689" s="660"/>
      <c r="W689" s="660"/>
      <c r="X689" s="660"/>
      <c r="Y689" s="660"/>
      <c r="Z689" s="660"/>
      <c r="AA689" s="660"/>
      <c r="AB689" s="660"/>
      <c r="AC689" s="661"/>
      <c r="AD689" s="606"/>
      <c r="AE689" s="606"/>
      <c r="AF689" s="606"/>
      <c r="AG689" s="606"/>
    </row>
    <row r="690" spans="1:33" s="612" customFormat="1" hidden="1" outlineLevel="3" x14ac:dyDescent="0.2">
      <c r="A690" s="606"/>
      <c r="B690" s="606"/>
      <c r="C690" s="607"/>
      <c r="D690" s="608"/>
      <c r="E690" s="608"/>
      <c r="F690" s="608"/>
      <c r="G690" s="608"/>
      <c r="H690" s="609"/>
      <c r="I690" s="660"/>
      <c r="J690" s="660"/>
      <c r="K690" s="660"/>
      <c r="L690" s="660"/>
      <c r="M690" s="660"/>
      <c r="N690" s="660"/>
      <c r="O690" s="660"/>
      <c r="P690" s="660"/>
      <c r="Q690" s="660"/>
      <c r="R690" s="660"/>
      <c r="S690" s="660"/>
      <c r="T690" s="660"/>
      <c r="U690" s="660"/>
      <c r="V690" s="660"/>
      <c r="W690" s="660"/>
      <c r="X690" s="660"/>
      <c r="Y690" s="660"/>
      <c r="Z690" s="660"/>
      <c r="AA690" s="660"/>
      <c r="AB690" s="660"/>
      <c r="AC690" s="661"/>
      <c r="AD690" s="606"/>
      <c r="AE690" s="606"/>
      <c r="AF690" s="606"/>
      <c r="AG690" s="606"/>
    </row>
    <row r="691" spans="1:33" s="612" customFormat="1" hidden="1" outlineLevel="3" x14ac:dyDescent="0.2">
      <c r="A691" s="606"/>
      <c r="B691" s="606"/>
      <c r="C691" s="607"/>
      <c r="D691" s="608"/>
      <c r="E691" s="608"/>
      <c r="F691" s="608"/>
      <c r="G691" s="608"/>
      <c r="H691" s="609"/>
      <c r="I691" s="660"/>
      <c r="J691" s="660"/>
      <c r="K691" s="660"/>
      <c r="L691" s="660"/>
      <c r="M691" s="660"/>
      <c r="N691" s="660"/>
      <c r="O691" s="660"/>
      <c r="P691" s="660"/>
      <c r="Q691" s="660"/>
      <c r="R691" s="660"/>
      <c r="S691" s="660"/>
      <c r="T691" s="660"/>
      <c r="U691" s="660"/>
      <c r="V691" s="660"/>
      <c r="W691" s="660"/>
      <c r="X691" s="660"/>
      <c r="Y691" s="660"/>
      <c r="Z691" s="660"/>
      <c r="AA691" s="660"/>
      <c r="AB691" s="660"/>
      <c r="AC691" s="661"/>
      <c r="AD691" s="606"/>
      <c r="AE691" s="606"/>
      <c r="AF691" s="606"/>
      <c r="AG691" s="606"/>
    </row>
    <row r="692" spans="1:33" s="612" customFormat="1" hidden="1" outlineLevel="3" x14ac:dyDescent="0.2">
      <c r="A692" s="606"/>
      <c r="B692" s="606"/>
      <c r="C692" s="607"/>
      <c r="D692" s="608"/>
      <c r="E692" s="608"/>
      <c r="F692" s="608"/>
      <c r="G692" s="608"/>
      <c r="H692" s="609"/>
      <c r="I692" s="660"/>
      <c r="J692" s="660"/>
      <c r="K692" s="660"/>
      <c r="L692" s="660"/>
      <c r="M692" s="660"/>
      <c r="N692" s="660"/>
      <c r="O692" s="660"/>
      <c r="P692" s="660"/>
      <c r="Q692" s="660"/>
      <c r="R692" s="660"/>
      <c r="S692" s="660"/>
      <c r="T692" s="660"/>
      <c r="U692" s="660"/>
      <c r="V692" s="660"/>
      <c r="W692" s="660"/>
      <c r="X692" s="660"/>
      <c r="Y692" s="660"/>
      <c r="Z692" s="660"/>
      <c r="AA692" s="660"/>
      <c r="AB692" s="660"/>
      <c r="AC692" s="661"/>
      <c r="AD692" s="606"/>
      <c r="AE692" s="606"/>
      <c r="AF692" s="606"/>
      <c r="AG692" s="606"/>
    </row>
    <row r="693" spans="1:33" s="612" customFormat="1" hidden="1" outlineLevel="3" x14ac:dyDescent="0.2">
      <c r="A693" s="606"/>
      <c r="B693" s="606"/>
      <c r="C693" s="607"/>
      <c r="D693" s="608"/>
      <c r="E693" s="608"/>
      <c r="F693" s="608"/>
      <c r="G693" s="608"/>
      <c r="H693" s="609"/>
      <c r="I693" s="660"/>
      <c r="J693" s="660"/>
      <c r="K693" s="660"/>
      <c r="L693" s="660"/>
      <c r="M693" s="660"/>
      <c r="N693" s="660"/>
      <c r="O693" s="660"/>
      <c r="P693" s="660"/>
      <c r="Q693" s="660"/>
      <c r="R693" s="660"/>
      <c r="S693" s="660"/>
      <c r="T693" s="660"/>
      <c r="U693" s="660"/>
      <c r="V693" s="660"/>
      <c r="W693" s="660"/>
      <c r="X693" s="660"/>
      <c r="Y693" s="660"/>
      <c r="Z693" s="660"/>
      <c r="AA693" s="660"/>
      <c r="AB693" s="660"/>
      <c r="AC693" s="661"/>
      <c r="AD693" s="606"/>
      <c r="AE693" s="606"/>
      <c r="AF693" s="606"/>
      <c r="AG693" s="606"/>
    </row>
    <row r="694" spans="1:33" s="612" customFormat="1" hidden="1" outlineLevel="3" x14ac:dyDescent="0.2">
      <c r="A694" s="606"/>
      <c r="B694" s="606"/>
      <c r="C694" s="607"/>
      <c r="D694" s="608"/>
      <c r="E694" s="608"/>
      <c r="F694" s="608"/>
      <c r="G694" s="608"/>
      <c r="H694" s="609"/>
      <c r="I694" s="660"/>
      <c r="J694" s="660"/>
      <c r="K694" s="660"/>
      <c r="L694" s="660"/>
      <c r="M694" s="660"/>
      <c r="N694" s="660"/>
      <c r="O694" s="660"/>
      <c r="P694" s="660"/>
      <c r="Q694" s="660"/>
      <c r="R694" s="660"/>
      <c r="S694" s="660"/>
      <c r="T694" s="660"/>
      <c r="U694" s="660"/>
      <c r="V694" s="660"/>
      <c r="W694" s="660"/>
      <c r="X694" s="660"/>
      <c r="Y694" s="660"/>
      <c r="Z694" s="660"/>
      <c r="AA694" s="660"/>
      <c r="AB694" s="660"/>
      <c r="AC694" s="661"/>
      <c r="AD694" s="606"/>
      <c r="AE694" s="606"/>
      <c r="AF694" s="606"/>
      <c r="AG694" s="606"/>
    </row>
    <row r="695" spans="1:33" s="612" customFormat="1" hidden="1" outlineLevel="3" x14ac:dyDescent="0.2">
      <c r="A695" s="606"/>
      <c r="B695" s="606"/>
      <c r="C695" s="607"/>
      <c r="D695" s="608"/>
      <c r="E695" s="608"/>
      <c r="F695" s="608"/>
      <c r="G695" s="608"/>
      <c r="H695" s="609"/>
      <c r="I695" s="660"/>
      <c r="J695" s="660"/>
      <c r="K695" s="660"/>
      <c r="L695" s="660"/>
      <c r="M695" s="660"/>
      <c r="N695" s="660"/>
      <c r="O695" s="660"/>
      <c r="P695" s="660"/>
      <c r="Q695" s="660"/>
      <c r="R695" s="660"/>
      <c r="S695" s="660"/>
      <c r="T695" s="660"/>
      <c r="U695" s="660"/>
      <c r="V695" s="660"/>
      <c r="W695" s="660"/>
      <c r="X695" s="660"/>
      <c r="Y695" s="660"/>
      <c r="Z695" s="660"/>
      <c r="AA695" s="660"/>
      <c r="AB695" s="660"/>
      <c r="AC695" s="661"/>
      <c r="AD695" s="606"/>
      <c r="AE695" s="606"/>
      <c r="AF695" s="606"/>
      <c r="AG695" s="606"/>
    </row>
    <row r="696" spans="1:33" s="612" customFormat="1" hidden="1" outlineLevel="3" x14ac:dyDescent="0.2">
      <c r="A696" s="606"/>
      <c r="B696" s="606"/>
      <c r="C696" s="607"/>
      <c r="D696" s="608"/>
      <c r="E696" s="608"/>
      <c r="F696" s="608"/>
      <c r="G696" s="608"/>
      <c r="H696" s="609"/>
      <c r="I696" s="660"/>
      <c r="J696" s="660"/>
      <c r="K696" s="660"/>
      <c r="L696" s="660"/>
      <c r="M696" s="660"/>
      <c r="N696" s="660"/>
      <c r="O696" s="660"/>
      <c r="P696" s="660"/>
      <c r="Q696" s="660"/>
      <c r="R696" s="660"/>
      <c r="S696" s="660"/>
      <c r="T696" s="660"/>
      <c r="U696" s="660"/>
      <c r="V696" s="660"/>
      <c r="W696" s="660"/>
      <c r="X696" s="660"/>
      <c r="Y696" s="660"/>
      <c r="Z696" s="660"/>
      <c r="AA696" s="660"/>
      <c r="AB696" s="660"/>
      <c r="AC696" s="661"/>
      <c r="AD696" s="606"/>
      <c r="AE696" s="606"/>
      <c r="AF696" s="606"/>
      <c r="AG696" s="606"/>
    </row>
    <row r="697" spans="1:33" s="612" customFormat="1" hidden="1" outlineLevel="3" x14ac:dyDescent="0.2">
      <c r="A697" s="606"/>
      <c r="B697" s="606"/>
      <c r="C697" s="607"/>
      <c r="D697" s="608"/>
      <c r="E697" s="608"/>
      <c r="F697" s="608"/>
      <c r="G697" s="608"/>
      <c r="H697" s="609"/>
      <c r="I697" s="660"/>
      <c r="J697" s="660"/>
      <c r="K697" s="660"/>
      <c r="L697" s="660"/>
      <c r="M697" s="660"/>
      <c r="N697" s="660"/>
      <c r="O697" s="660"/>
      <c r="P697" s="660"/>
      <c r="Q697" s="660"/>
      <c r="R697" s="660"/>
      <c r="S697" s="660"/>
      <c r="T697" s="660"/>
      <c r="U697" s="660"/>
      <c r="V697" s="660"/>
      <c r="W697" s="660"/>
      <c r="X697" s="660"/>
      <c r="Y697" s="660"/>
      <c r="Z697" s="660"/>
      <c r="AA697" s="660"/>
      <c r="AB697" s="660"/>
      <c r="AC697" s="661"/>
      <c r="AD697" s="606"/>
      <c r="AE697" s="606"/>
      <c r="AF697" s="606"/>
      <c r="AG697" s="606"/>
    </row>
    <row r="698" spans="1:33" s="612" customFormat="1" hidden="1" outlineLevel="3" x14ac:dyDescent="0.2">
      <c r="A698" s="606"/>
      <c r="B698" s="606"/>
      <c r="C698" s="607"/>
      <c r="D698" s="608"/>
      <c r="E698" s="608"/>
      <c r="F698" s="608"/>
      <c r="G698" s="608"/>
      <c r="H698" s="609"/>
      <c r="I698" s="660"/>
      <c r="J698" s="660"/>
      <c r="K698" s="660"/>
      <c r="L698" s="660"/>
      <c r="M698" s="660"/>
      <c r="N698" s="660"/>
      <c r="O698" s="660"/>
      <c r="P698" s="660"/>
      <c r="Q698" s="660"/>
      <c r="R698" s="660"/>
      <c r="S698" s="660"/>
      <c r="T698" s="660"/>
      <c r="U698" s="660"/>
      <c r="V698" s="660"/>
      <c r="W698" s="660"/>
      <c r="X698" s="660"/>
      <c r="Y698" s="660"/>
      <c r="Z698" s="660"/>
      <c r="AA698" s="660"/>
      <c r="AB698" s="660"/>
      <c r="AC698" s="661"/>
      <c r="AD698" s="606"/>
      <c r="AE698" s="606"/>
      <c r="AF698" s="606"/>
      <c r="AG698" s="606"/>
    </row>
    <row r="699" spans="1:33" s="612" customFormat="1" hidden="1" outlineLevel="3" x14ac:dyDescent="0.2">
      <c r="A699" s="606"/>
      <c r="B699" s="606"/>
      <c r="C699" s="607"/>
      <c r="D699" s="608"/>
      <c r="E699" s="608"/>
      <c r="F699" s="608"/>
      <c r="G699" s="608"/>
      <c r="H699" s="609"/>
      <c r="I699" s="660"/>
      <c r="J699" s="660"/>
      <c r="K699" s="660"/>
      <c r="L699" s="660"/>
      <c r="M699" s="660"/>
      <c r="N699" s="660"/>
      <c r="O699" s="660"/>
      <c r="P699" s="660"/>
      <c r="Q699" s="660"/>
      <c r="R699" s="660"/>
      <c r="S699" s="660"/>
      <c r="T699" s="660"/>
      <c r="U699" s="660"/>
      <c r="V699" s="660"/>
      <c r="W699" s="660"/>
      <c r="X699" s="660"/>
      <c r="Y699" s="660"/>
      <c r="Z699" s="660"/>
      <c r="AA699" s="660"/>
      <c r="AB699" s="660"/>
      <c r="AC699" s="661"/>
      <c r="AD699" s="606"/>
      <c r="AE699" s="606"/>
      <c r="AF699" s="606"/>
      <c r="AG699" s="606"/>
    </row>
    <row r="700" spans="1:33" s="612" customFormat="1" hidden="1" outlineLevel="3" x14ac:dyDescent="0.2">
      <c r="A700" s="606"/>
      <c r="B700" s="606"/>
      <c r="C700" s="607"/>
      <c r="D700" s="608"/>
      <c r="E700" s="608"/>
      <c r="F700" s="608"/>
      <c r="G700" s="608"/>
      <c r="H700" s="609"/>
      <c r="I700" s="660"/>
      <c r="J700" s="660"/>
      <c r="K700" s="660"/>
      <c r="L700" s="660"/>
      <c r="M700" s="660"/>
      <c r="N700" s="660"/>
      <c r="O700" s="660"/>
      <c r="P700" s="660"/>
      <c r="Q700" s="660"/>
      <c r="R700" s="660"/>
      <c r="S700" s="660"/>
      <c r="T700" s="660"/>
      <c r="U700" s="660"/>
      <c r="V700" s="660"/>
      <c r="W700" s="660"/>
      <c r="X700" s="660"/>
      <c r="Y700" s="660"/>
      <c r="Z700" s="660"/>
      <c r="AA700" s="660"/>
      <c r="AB700" s="660"/>
      <c r="AC700" s="661"/>
      <c r="AD700" s="606"/>
      <c r="AE700" s="606"/>
      <c r="AF700" s="606"/>
      <c r="AG700" s="606"/>
    </row>
    <row r="701" spans="1:33" s="612" customFormat="1" hidden="1" outlineLevel="3" x14ac:dyDescent="0.2">
      <c r="A701" s="606"/>
      <c r="B701" s="606"/>
      <c r="C701" s="607"/>
      <c r="D701" s="608"/>
      <c r="E701" s="608"/>
      <c r="F701" s="608"/>
      <c r="G701" s="608"/>
      <c r="H701" s="609"/>
      <c r="I701" s="660"/>
      <c r="J701" s="660"/>
      <c r="K701" s="660"/>
      <c r="L701" s="660"/>
      <c r="M701" s="660"/>
      <c r="N701" s="660"/>
      <c r="O701" s="660"/>
      <c r="P701" s="660"/>
      <c r="Q701" s="660"/>
      <c r="R701" s="660"/>
      <c r="S701" s="660"/>
      <c r="T701" s="660"/>
      <c r="U701" s="660"/>
      <c r="V701" s="660"/>
      <c r="W701" s="660"/>
      <c r="X701" s="660"/>
      <c r="Y701" s="660"/>
      <c r="Z701" s="660"/>
      <c r="AA701" s="660"/>
      <c r="AB701" s="660"/>
      <c r="AC701" s="661"/>
      <c r="AD701" s="606"/>
      <c r="AE701" s="606"/>
      <c r="AF701" s="606"/>
      <c r="AG701" s="606"/>
    </row>
    <row r="702" spans="1:33" s="612" customFormat="1" hidden="1" outlineLevel="3" x14ac:dyDescent="0.2">
      <c r="A702" s="606"/>
      <c r="B702" s="606"/>
      <c r="C702" s="607"/>
      <c r="D702" s="608"/>
      <c r="E702" s="608"/>
      <c r="F702" s="608"/>
      <c r="G702" s="608"/>
      <c r="H702" s="609"/>
      <c r="I702" s="660"/>
      <c r="J702" s="660"/>
      <c r="K702" s="660"/>
      <c r="L702" s="660"/>
      <c r="M702" s="660"/>
      <c r="N702" s="660"/>
      <c r="O702" s="660"/>
      <c r="P702" s="660"/>
      <c r="Q702" s="660"/>
      <c r="R702" s="660"/>
      <c r="S702" s="660"/>
      <c r="T702" s="660"/>
      <c r="U702" s="660"/>
      <c r="V702" s="660"/>
      <c r="W702" s="660"/>
      <c r="X702" s="660"/>
      <c r="Y702" s="660"/>
      <c r="Z702" s="660"/>
      <c r="AA702" s="660"/>
      <c r="AB702" s="660"/>
      <c r="AC702" s="661"/>
      <c r="AD702" s="606"/>
      <c r="AE702" s="606"/>
      <c r="AF702" s="606"/>
      <c r="AG702" s="606"/>
    </row>
    <row r="703" spans="1:33" s="612" customFormat="1" hidden="1" outlineLevel="3" x14ac:dyDescent="0.2">
      <c r="A703" s="606"/>
      <c r="B703" s="606"/>
      <c r="C703" s="607"/>
      <c r="D703" s="608"/>
      <c r="E703" s="608"/>
      <c r="F703" s="608"/>
      <c r="G703" s="608"/>
      <c r="H703" s="609"/>
      <c r="I703" s="660"/>
      <c r="J703" s="660"/>
      <c r="K703" s="660"/>
      <c r="L703" s="660"/>
      <c r="M703" s="660"/>
      <c r="N703" s="660"/>
      <c r="O703" s="660"/>
      <c r="P703" s="660"/>
      <c r="Q703" s="660"/>
      <c r="R703" s="660"/>
      <c r="S703" s="660"/>
      <c r="T703" s="660"/>
      <c r="U703" s="660"/>
      <c r="V703" s="660"/>
      <c r="W703" s="660"/>
      <c r="X703" s="660"/>
      <c r="Y703" s="660"/>
      <c r="Z703" s="660"/>
      <c r="AA703" s="660"/>
      <c r="AB703" s="660"/>
      <c r="AC703" s="661"/>
      <c r="AD703" s="606"/>
      <c r="AE703" s="606"/>
      <c r="AF703" s="606"/>
      <c r="AG703" s="606"/>
    </row>
    <row r="704" spans="1:33" s="612" customFormat="1" hidden="1" outlineLevel="3" x14ac:dyDescent="0.2">
      <c r="A704" s="606"/>
      <c r="B704" s="606"/>
      <c r="C704" s="607"/>
      <c r="D704" s="608"/>
      <c r="E704" s="608"/>
      <c r="F704" s="608"/>
      <c r="G704" s="608"/>
      <c r="H704" s="609"/>
      <c r="I704" s="660"/>
      <c r="J704" s="660"/>
      <c r="K704" s="660"/>
      <c r="L704" s="660"/>
      <c r="M704" s="660"/>
      <c r="N704" s="660"/>
      <c r="O704" s="660"/>
      <c r="P704" s="660"/>
      <c r="Q704" s="660"/>
      <c r="R704" s="660"/>
      <c r="S704" s="660"/>
      <c r="T704" s="660"/>
      <c r="U704" s="660"/>
      <c r="V704" s="660"/>
      <c r="W704" s="660"/>
      <c r="X704" s="660"/>
      <c r="Y704" s="660"/>
      <c r="Z704" s="660"/>
      <c r="AA704" s="660"/>
      <c r="AB704" s="660"/>
      <c r="AC704" s="661"/>
      <c r="AD704" s="606"/>
      <c r="AE704" s="606"/>
      <c r="AF704" s="606"/>
      <c r="AG704" s="606"/>
    </row>
    <row r="705" spans="1:33" s="612" customFormat="1" hidden="1" outlineLevel="3" x14ac:dyDescent="0.2">
      <c r="A705" s="606"/>
      <c r="B705" s="606"/>
      <c r="C705" s="607"/>
      <c r="D705" s="608"/>
      <c r="E705" s="608"/>
      <c r="F705" s="608"/>
      <c r="G705" s="608"/>
      <c r="H705" s="609"/>
      <c r="I705" s="660"/>
      <c r="J705" s="660"/>
      <c r="K705" s="660"/>
      <c r="L705" s="660"/>
      <c r="M705" s="660"/>
      <c r="N705" s="660"/>
      <c r="O705" s="660"/>
      <c r="P705" s="660"/>
      <c r="Q705" s="660"/>
      <c r="R705" s="660"/>
      <c r="S705" s="660"/>
      <c r="T705" s="660"/>
      <c r="U705" s="660"/>
      <c r="V705" s="660"/>
      <c r="W705" s="660"/>
      <c r="X705" s="660"/>
      <c r="Y705" s="660"/>
      <c r="Z705" s="660"/>
      <c r="AA705" s="660"/>
      <c r="AB705" s="660"/>
      <c r="AC705" s="661"/>
      <c r="AD705" s="606"/>
      <c r="AE705" s="606"/>
      <c r="AF705" s="606"/>
      <c r="AG705" s="606"/>
    </row>
    <row r="706" spans="1:33" s="612" customFormat="1" hidden="1" outlineLevel="3" x14ac:dyDescent="0.2">
      <c r="A706" s="606"/>
      <c r="B706" s="606"/>
      <c r="C706" s="607"/>
      <c r="D706" s="608"/>
      <c r="E706" s="608"/>
      <c r="F706" s="608"/>
      <c r="G706" s="608"/>
      <c r="H706" s="609"/>
      <c r="I706" s="660"/>
      <c r="J706" s="660"/>
      <c r="K706" s="660"/>
      <c r="L706" s="660"/>
      <c r="M706" s="660"/>
      <c r="N706" s="660"/>
      <c r="O706" s="660"/>
      <c r="P706" s="660"/>
      <c r="Q706" s="660"/>
      <c r="R706" s="660"/>
      <c r="S706" s="660"/>
      <c r="T706" s="660"/>
      <c r="U706" s="660"/>
      <c r="V706" s="660"/>
      <c r="W706" s="660"/>
      <c r="X706" s="660"/>
      <c r="Y706" s="660"/>
      <c r="Z706" s="660"/>
      <c r="AA706" s="660"/>
      <c r="AB706" s="660"/>
      <c r="AC706" s="661"/>
      <c r="AD706" s="606"/>
      <c r="AE706" s="606"/>
      <c r="AF706" s="606"/>
      <c r="AG706" s="606"/>
    </row>
    <row r="707" spans="1:33" s="612" customFormat="1" hidden="1" outlineLevel="2" x14ac:dyDescent="0.2">
      <c r="A707" s="606"/>
      <c r="B707" s="606"/>
      <c r="C707" s="613"/>
      <c r="D707" s="613"/>
      <c r="E707" s="609"/>
      <c r="F707" s="609"/>
      <c r="G707" s="609"/>
      <c r="H707" s="609"/>
      <c r="I707" s="662"/>
      <c r="J707" s="662"/>
      <c r="K707" s="662"/>
      <c r="L707" s="662"/>
      <c r="M707" s="662"/>
      <c r="N707" s="662"/>
      <c r="O707" s="662"/>
      <c r="P707" s="662"/>
      <c r="Q707" s="662"/>
      <c r="R707" s="662"/>
      <c r="S707" s="662"/>
      <c r="T707" s="662"/>
      <c r="U707" s="662"/>
      <c r="V707" s="662"/>
      <c r="W707" s="662"/>
      <c r="X707" s="662"/>
      <c r="Y707" s="662"/>
      <c r="Z707" s="662"/>
      <c r="AA707" s="662"/>
      <c r="AB707" s="662"/>
      <c r="AC707" s="661"/>
      <c r="AD707" s="606"/>
      <c r="AE707" s="606"/>
      <c r="AF707" s="606"/>
      <c r="AG707" s="606"/>
    </row>
    <row r="708" spans="1:33" s="612" customFormat="1" outlineLevel="1" collapsed="1" x14ac:dyDescent="0.2">
      <c r="A708" s="606"/>
      <c r="B708" s="606"/>
      <c r="C708" s="613"/>
      <c r="D708" s="609"/>
      <c r="E708" s="609"/>
      <c r="F708" s="609"/>
      <c r="G708" s="609"/>
      <c r="H708" s="609"/>
      <c r="I708" s="664"/>
      <c r="J708" s="664"/>
      <c r="K708" s="665"/>
      <c r="L708" s="665"/>
      <c r="M708" s="665"/>
      <c r="N708" s="666"/>
      <c r="O708" s="666"/>
      <c r="P708" s="666"/>
      <c r="Q708" s="666"/>
      <c r="R708" s="666"/>
      <c r="S708" s="667"/>
      <c r="T708" s="667"/>
      <c r="U708" s="667"/>
      <c r="V708" s="667"/>
      <c r="W708" s="667"/>
      <c r="X708" s="667"/>
      <c r="Y708" s="667"/>
      <c r="Z708" s="667"/>
      <c r="AA708" s="667"/>
      <c r="AB708" s="667"/>
      <c r="AC708" s="667"/>
      <c r="AD708" s="606"/>
      <c r="AE708" s="606"/>
      <c r="AF708" s="606"/>
      <c r="AG708" s="606"/>
    </row>
    <row r="709" spans="1:33" s="612" customFormat="1" outlineLevel="1" x14ac:dyDescent="0.2">
      <c r="A709" s="606"/>
      <c r="B709" s="606"/>
      <c r="C709" s="616"/>
      <c r="D709" s="617"/>
      <c r="E709" s="617"/>
      <c r="F709" s="617"/>
      <c r="G709" s="618"/>
      <c r="H709" s="618"/>
      <c r="I709" s="661"/>
      <c r="J709" s="661"/>
      <c r="K709" s="661"/>
      <c r="L709" s="661"/>
      <c r="M709" s="661"/>
      <c r="N709" s="661"/>
      <c r="O709" s="661"/>
      <c r="P709" s="661"/>
      <c r="Q709" s="661"/>
      <c r="R709" s="661"/>
      <c r="S709" s="661"/>
      <c r="T709" s="661"/>
      <c r="U709" s="661"/>
      <c r="V709" s="661"/>
      <c r="W709" s="661"/>
      <c r="X709" s="661"/>
      <c r="Y709" s="661"/>
      <c r="Z709" s="661"/>
      <c r="AA709" s="661"/>
      <c r="AB709" s="661"/>
      <c r="AC709" s="661"/>
      <c r="AD709" s="606"/>
      <c r="AE709" s="606"/>
      <c r="AF709" s="606"/>
      <c r="AG709" s="606"/>
    </row>
    <row r="710" spans="1:33" s="612" customFormat="1" outlineLevel="2" x14ac:dyDescent="0.2">
      <c r="A710" s="606"/>
      <c r="B710" s="606"/>
      <c r="C710" s="607"/>
      <c r="D710" s="608"/>
      <c r="E710" s="608"/>
      <c r="F710" s="608"/>
      <c r="G710" s="608"/>
      <c r="H710" s="609"/>
      <c r="I710" s="660"/>
      <c r="J710" s="660"/>
      <c r="K710" s="660"/>
      <c r="L710" s="660"/>
      <c r="M710" s="660"/>
      <c r="N710" s="660"/>
      <c r="O710" s="660"/>
      <c r="P710" s="660"/>
      <c r="Q710" s="660"/>
      <c r="R710" s="660"/>
      <c r="S710" s="660"/>
      <c r="T710" s="660"/>
      <c r="U710" s="660"/>
      <c r="V710" s="660"/>
      <c r="W710" s="660"/>
      <c r="X710" s="660"/>
      <c r="Y710" s="660"/>
      <c r="Z710" s="660"/>
      <c r="AA710" s="660"/>
      <c r="AB710" s="660"/>
      <c r="AC710" s="661"/>
      <c r="AD710" s="606"/>
      <c r="AE710" s="606"/>
      <c r="AF710" s="606"/>
      <c r="AG710" s="606"/>
    </row>
    <row r="711" spans="1:33" s="612" customFormat="1" outlineLevel="2" x14ac:dyDescent="0.2">
      <c r="A711" s="606"/>
      <c r="B711" s="606"/>
      <c r="C711" s="607"/>
      <c r="D711" s="608"/>
      <c r="E711" s="608"/>
      <c r="F711" s="608"/>
      <c r="G711" s="608"/>
      <c r="H711" s="609"/>
      <c r="I711" s="660"/>
      <c r="J711" s="660"/>
      <c r="K711" s="660"/>
      <c r="L711" s="660"/>
      <c r="M711" s="660"/>
      <c r="N711" s="660"/>
      <c r="O711" s="660"/>
      <c r="P711" s="660"/>
      <c r="Q711" s="660"/>
      <c r="R711" s="660"/>
      <c r="S711" s="660"/>
      <c r="T711" s="660"/>
      <c r="U711" s="660"/>
      <c r="V711" s="660"/>
      <c r="W711" s="660"/>
      <c r="X711" s="660"/>
      <c r="Y711" s="660"/>
      <c r="Z711" s="660"/>
      <c r="AA711" s="660"/>
      <c r="AB711" s="660"/>
      <c r="AC711" s="661"/>
      <c r="AD711" s="606"/>
      <c r="AE711" s="606"/>
      <c r="AF711" s="606"/>
      <c r="AG711" s="606"/>
    </row>
    <row r="712" spans="1:33" s="612" customFormat="1" outlineLevel="2" x14ac:dyDescent="0.2">
      <c r="A712" s="606"/>
      <c r="B712" s="606"/>
      <c r="C712" s="607"/>
      <c r="D712" s="608"/>
      <c r="E712" s="608"/>
      <c r="F712" s="608"/>
      <c r="G712" s="608"/>
      <c r="H712" s="609"/>
      <c r="I712" s="660"/>
      <c r="J712" s="660"/>
      <c r="K712" s="660"/>
      <c r="L712" s="660"/>
      <c r="M712" s="660"/>
      <c r="N712" s="660"/>
      <c r="O712" s="660"/>
      <c r="P712" s="660"/>
      <c r="Q712" s="660"/>
      <c r="R712" s="660"/>
      <c r="S712" s="660"/>
      <c r="T712" s="660"/>
      <c r="U712" s="660"/>
      <c r="V712" s="660"/>
      <c r="W712" s="660"/>
      <c r="X712" s="660"/>
      <c r="Y712" s="660"/>
      <c r="Z712" s="660"/>
      <c r="AA712" s="660"/>
      <c r="AB712" s="660"/>
      <c r="AC712" s="661"/>
      <c r="AD712" s="606"/>
      <c r="AE712" s="606"/>
      <c r="AF712" s="606"/>
      <c r="AG712" s="606"/>
    </row>
    <row r="713" spans="1:33" s="612" customFormat="1" outlineLevel="2" x14ac:dyDescent="0.2">
      <c r="A713" s="606"/>
      <c r="B713" s="606"/>
      <c r="C713" s="607"/>
      <c r="D713" s="608"/>
      <c r="E713" s="608"/>
      <c r="F713" s="608"/>
      <c r="G713" s="608"/>
      <c r="H713" s="609"/>
      <c r="I713" s="660"/>
      <c r="J713" s="660"/>
      <c r="K713" s="660"/>
      <c r="L713" s="660"/>
      <c r="M713" s="660"/>
      <c r="N713" s="660"/>
      <c r="O713" s="660"/>
      <c r="P713" s="660"/>
      <c r="Q713" s="660"/>
      <c r="R713" s="660"/>
      <c r="S713" s="660"/>
      <c r="T713" s="660"/>
      <c r="U713" s="660"/>
      <c r="V713" s="660"/>
      <c r="W713" s="660"/>
      <c r="X713" s="660"/>
      <c r="Y713" s="660"/>
      <c r="Z713" s="660"/>
      <c r="AA713" s="660"/>
      <c r="AB713" s="660"/>
      <c r="AC713" s="661"/>
      <c r="AD713" s="606"/>
      <c r="AE713" s="606"/>
      <c r="AF713" s="606"/>
      <c r="AG713" s="606"/>
    </row>
    <row r="714" spans="1:33" s="612" customFormat="1" outlineLevel="2" x14ac:dyDescent="0.2">
      <c r="A714" s="606"/>
      <c r="B714" s="606"/>
      <c r="C714" s="607"/>
      <c r="D714" s="608"/>
      <c r="E714" s="608"/>
      <c r="F714" s="608"/>
      <c r="G714" s="608"/>
      <c r="H714" s="609"/>
      <c r="I714" s="660"/>
      <c r="J714" s="660"/>
      <c r="K714" s="660"/>
      <c r="L714" s="660"/>
      <c r="M714" s="660"/>
      <c r="N714" s="660"/>
      <c r="O714" s="660"/>
      <c r="P714" s="660"/>
      <c r="Q714" s="660"/>
      <c r="R714" s="660"/>
      <c r="S714" s="660"/>
      <c r="T714" s="660"/>
      <c r="U714" s="660"/>
      <c r="V714" s="660"/>
      <c r="W714" s="660"/>
      <c r="X714" s="660"/>
      <c r="Y714" s="660"/>
      <c r="Z714" s="660"/>
      <c r="AA714" s="660"/>
      <c r="AB714" s="660"/>
      <c r="AC714" s="661"/>
      <c r="AD714" s="606"/>
      <c r="AE714" s="606"/>
      <c r="AF714" s="606"/>
      <c r="AG714" s="606"/>
    </row>
    <row r="715" spans="1:33" s="612" customFormat="1" outlineLevel="2" x14ac:dyDescent="0.2">
      <c r="A715" s="606"/>
      <c r="B715" s="606"/>
      <c r="C715" s="607"/>
      <c r="D715" s="608"/>
      <c r="E715" s="608"/>
      <c r="F715" s="608"/>
      <c r="G715" s="608"/>
      <c r="H715" s="609"/>
      <c r="I715" s="660"/>
      <c r="J715" s="660"/>
      <c r="K715" s="660"/>
      <c r="L715" s="660"/>
      <c r="M715" s="660"/>
      <c r="N715" s="660"/>
      <c r="O715" s="660"/>
      <c r="P715" s="660"/>
      <c r="Q715" s="660"/>
      <c r="R715" s="660"/>
      <c r="S715" s="660"/>
      <c r="T715" s="660"/>
      <c r="U715" s="660"/>
      <c r="V715" s="660"/>
      <c r="W715" s="660"/>
      <c r="X715" s="660"/>
      <c r="Y715" s="660"/>
      <c r="Z715" s="660"/>
      <c r="AA715" s="660"/>
      <c r="AB715" s="660"/>
      <c r="AC715" s="661"/>
      <c r="AD715" s="606"/>
      <c r="AE715" s="606"/>
      <c r="AF715" s="606"/>
      <c r="AG715" s="606"/>
    </row>
    <row r="716" spans="1:33" s="612" customFormat="1" outlineLevel="2" x14ac:dyDescent="0.2">
      <c r="A716" s="606"/>
      <c r="B716" s="606"/>
      <c r="C716" s="607"/>
      <c r="D716" s="608"/>
      <c r="E716" s="608"/>
      <c r="F716" s="608"/>
      <c r="G716" s="608"/>
      <c r="H716" s="609"/>
      <c r="I716" s="660"/>
      <c r="J716" s="660"/>
      <c r="K716" s="660"/>
      <c r="L716" s="660"/>
      <c r="M716" s="660"/>
      <c r="N716" s="660"/>
      <c r="O716" s="660"/>
      <c r="P716" s="660"/>
      <c r="Q716" s="660"/>
      <c r="R716" s="660"/>
      <c r="S716" s="660"/>
      <c r="T716" s="660"/>
      <c r="U716" s="660"/>
      <c r="V716" s="660"/>
      <c r="W716" s="660"/>
      <c r="X716" s="660"/>
      <c r="Y716" s="660"/>
      <c r="Z716" s="660"/>
      <c r="AA716" s="660"/>
      <c r="AB716" s="660"/>
      <c r="AC716" s="661"/>
      <c r="AD716" s="606"/>
      <c r="AE716" s="606"/>
      <c r="AF716" s="606"/>
      <c r="AG716" s="606"/>
    </row>
    <row r="717" spans="1:33" s="612" customFormat="1" outlineLevel="2" x14ac:dyDescent="0.2">
      <c r="A717" s="606"/>
      <c r="B717" s="606"/>
      <c r="C717" s="607"/>
      <c r="D717" s="608"/>
      <c r="E717" s="608"/>
      <c r="F717" s="608"/>
      <c r="G717" s="608"/>
      <c r="H717" s="609"/>
      <c r="I717" s="660"/>
      <c r="J717" s="660"/>
      <c r="K717" s="660"/>
      <c r="L717" s="660"/>
      <c r="M717" s="660"/>
      <c r="N717" s="660"/>
      <c r="O717" s="660"/>
      <c r="P717" s="660"/>
      <c r="Q717" s="660"/>
      <c r="R717" s="660"/>
      <c r="S717" s="660"/>
      <c r="T717" s="660"/>
      <c r="U717" s="660"/>
      <c r="V717" s="660"/>
      <c r="W717" s="660"/>
      <c r="X717" s="660"/>
      <c r="Y717" s="660"/>
      <c r="Z717" s="660"/>
      <c r="AA717" s="660"/>
      <c r="AB717" s="660"/>
      <c r="AC717" s="661"/>
      <c r="AD717" s="606"/>
      <c r="AE717" s="606"/>
      <c r="AF717" s="606"/>
      <c r="AG717" s="606"/>
    </row>
    <row r="718" spans="1:33" s="612" customFormat="1" outlineLevel="2" x14ac:dyDescent="0.2">
      <c r="A718" s="606"/>
      <c r="B718" s="606"/>
      <c r="C718" s="607"/>
      <c r="D718" s="608"/>
      <c r="E718" s="608"/>
      <c r="F718" s="608"/>
      <c r="G718" s="608"/>
      <c r="H718" s="609"/>
      <c r="I718" s="660"/>
      <c r="J718" s="660"/>
      <c r="K718" s="660"/>
      <c r="L718" s="660"/>
      <c r="M718" s="660"/>
      <c r="N718" s="660"/>
      <c r="O718" s="660"/>
      <c r="P718" s="660"/>
      <c r="Q718" s="660"/>
      <c r="R718" s="660"/>
      <c r="S718" s="660"/>
      <c r="T718" s="660"/>
      <c r="U718" s="660"/>
      <c r="V718" s="660"/>
      <c r="W718" s="660"/>
      <c r="X718" s="660"/>
      <c r="Y718" s="660"/>
      <c r="Z718" s="660"/>
      <c r="AA718" s="660"/>
      <c r="AB718" s="660"/>
      <c r="AC718" s="661"/>
      <c r="AD718" s="606"/>
      <c r="AE718" s="606"/>
      <c r="AF718" s="606"/>
      <c r="AG718" s="606"/>
    </row>
    <row r="719" spans="1:33" s="612" customFormat="1" outlineLevel="2" x14ac:dyDescent="0.2">
      <c r="A719" s="606"/>
      <c r="B719" s="606"/>
      <c r="C719" s="607"/>
      <c r="D719" s="608"/>
      <c r="E719" s="608"/>
      <c r="F719" s="608"/>
      <c r="G719" s="608"/>
      <c r="H719" s="609"/>
      <c r="I719" s="660"/>
      <c r="J719" s="660"/>
      <c r="K719" s="660"/>
      <c r="L719" s="660"/>
      <c r="M719" s="660"/>
      <c r="N719" s="660"/>
      <c r="O719" s="660"/>
      <c r="P719" s="660"/>
      <c r="Q719" s="660"/>
      <c r="R719" s="660"/>
      <c r="S719" s="660"/>
      <c r="T719" s="660"/>
      <c r="U719" s="660"/>
      <c r="V719" s="660"/>
      <c r="W719" s="660"/>
      <c r="X719" s="660"/>
      <c r="Y719" s="660"/>
      <c r="Z719" s="660"/>
      <c r="AA719" s="660"/>
      <c r="AB719" s="660"/>
      <c r="AC719" s="661"/>
      <c r="AD719" s="606"/>
      <c r="AE719" s="606"/>
      <c r="AF719" s="606"/>
      <c r="AG719" s="606"/>
    </row>
    <row r="720" spans="1:33" s="612" customFormat="1" outlineLevel="2" x14ac:dyDescent="0.2">
      <c r="A720" s="606"/>
      <c r="B720" s="606"/>
      <c r="C720" s="607"/>
      <c r="D720" s="608"/>
      <c r="E720" s="608"/>
      <c r="F720" s="608"/>
      <c r="G720" s="608"/>
      <c r="H720" s="609"/>
      <c r="I720" s="660"/>
      <c r="J720" s="660"/>
      <c r="K720" s="660"/>
      <c r="L720" s="660"/>
      <c r="M720" s="660"/>
      <c r="N720" s="660"/>
      <c r="O720" s="660"/>
      <c r="P720" s="660"/>
      <c r="Q720" s="660"/>
      <c r="R720" s="660"/>
      <c r="S720" s="660"/>
      <c r="T720" s="660"/>
      <c r="U720" s="660"/>
      <c r="V720" s="660"/>
      <c r="W720" s="660"/>
      <c r="X720" s="660"/>
      <c r="Y720" s="660"/>
      <c r="Z720" s="660"/>
      <c r="AA720" s="660"/>
      <c r="AB720" s="660"/>
      <c r="AC720" s="661"/>
      <c r="AD720" s="606"/>
      <c r="AE720" s="606"/>
      <c r="AF720" s="606"/>
      <c r="AG720" s="606"/>
    </row>
    <row r="721" spans="1:33" s="612" customFormat="1" outlineLevel="2" x14ac:dyDescent="0.2">
      <c r="A721" s="606"/>
      <c r="B721" s="606"/>
      <c r="C721" s="607"/>
      <c r="D721" s="608"/>
      <c r="E721" s="608"/>
      <c r="F721" s="608"/>
      <c r="G721" s="608"/>
      <c r="H721" s="609"/>
      <c r="I721" s="660"/>
      <c r="J721" s="660"/>
      <c r="K721" s="660"/>
      <c r="L721" s="660"/>
      <c r="M721" s="660"/>
      <c r="N721" s="660"/>
      <c r="O721" s="660"/>
      <c r="P721" s="660"/>
      <c r="Q721" s="660"/>
      <c r="R721" s="660"/>
      <c r="S721" s="660"/>
      <c r="T721" s="660"/>
      <c r="U721" s="660"/>
      <c r="V721" s="660"/>
      <c r="W721" s="660"/>
      <c r="X721" s="660"/>
      <c r="Y721" s="660"/>
      <c r="Z721" s="660"/>
      <c r="AA721" s="660"/>
      <c r="AB721" s="660"/>
      <c r="AC721" s="661"/>
      <c r="AD721" s="606"/>
      <c r="AE721" s="606"/>
      <c r="AF721" s="606"/>
      <c r="AG721" s="606"/>
    </row>
    <row r="722" spans="1:33" s="612" customFormat="1" outlineLevel="2" x14ac:dyDescent="0.2">
      <c r="A722" s="606"/>
      <c r="B722" s="606"/>
      <c r="C722" s="607"/>
      <c r="D722" s="608"/>
      <c r="E722" s="608"/>
      <c r="F722" s="608"/>
      <c r="G722" s="608"/>
      <c r="H722" s="609"/>
      <c r="I722" s="660"/>
      <c r="J722" s="660"/>
      <c r="K722" s="660"/>
      <c r="L722" s="660"/>
      <c r="M722" s="660"/>
      <c r="N722" s="660"/>
      <c r="O722" s="660"/>
      <c r="P722" s="660"/>
      <c r="Q722" s="660"/>
      <c r="R722" s="660"/>
      <c r="S722" s="660"/>
      <c r="T722" s="660"/>
      <c r="U722" s="660"/>
      <c r="V722" s="660"/>
      <c r="W722" s="660"/>
      <c r="X722" s="660"/>
      <c r="Y722" s="660"/>
      <c r="Z722" s="660"/>
      <c r="AA722" s="660"/>
      <c r="AB722" s="660"/>
      <c r="AC722" s="661"/>
      <c r="AD722" s="606"/>
      <c r="AE722" s="606"/>
      <c r="AF722" s="606"/>
      <c r="AG722" s="606"/>
    </row>
    <row r="723" spans="1:33" s="612" customFormat="1" outlineLevel="2" x14ac:dyDescent="0.2">
      <c r="A723" s="606"/>
      <c r="B723" s="606"/>
      <c r="C723" s="607"/>
      <c r="D723" s="608"/>
      <c r="E723" s="608"/>
      <c r="F723" s="608"/>
      <c r="G723" s="608"/>
      <c r="H723" s="609"/>
      <c r="I723" s="660"/>
      <c r="J723" s="660"/>
      <c r="K723" s="660"/>
      <c r="L723" s="660"/>
      <c r="M723" s="660"/>
      <c r="N723" s="660"/>
      <c r="O723" s="660"/>
      <c r="P723" s="660"/>
      <c r="Q723" s="660"/>
      <c r="R723" s="660"/>
      <c r="S723" s="660"/>
      <c r="T723" s="660"/>
      <c r="U723" s="660"/>
      <c r="V723" s="660"/>
      <c r="W723" s="660"/>
      <c r="X723" s="660"/>
      <c r="Y723" s="660"/>
      <c r="Z723" s="660"/>
      <c r="AA723" s="660"/>
      <c r="AB723" s="660"/>
      <c r="AC723" s="661"/>
      <c r="AD723" s="606"/>
      <c r="AE723" s="606"/>
      <c r="AF723" s="606"/>
      <c r="AG723" s="606"/>
    </row>
    <row r="724" spans="1:33" s="612" customFormat="1" outlineLevel="2" x14ac:dyDescent="0.2">
      <c r="A724" s="606"/>
      <c r="B724" s="606"/>
      <c r="C724" s="607"/>
      <c r="D724" s="608"/>
      <c r="E724" s="608"/>
      <c r="F724" s="608"/>
      <c r="G724" s="608"/>
      <c r="H724" s="609"/>
      <c r="I724" s="660"/>
      <c r="J724" s="660"/>
      <c r="K724" s="660"/>
      <c r="L724" s="660"/>
      <c r="M724" s="660"/>
      <c r="N724" s="660"/>
      <c r="O724" s="660"/>
      <c r="P724" s="660"/>
      <c r="Q724" s="660"/>
      <c r="R724" s="660"/>
      <c r="S724" s="660"/>
      <c r="T724" s="660"/>
      <c r="U724" s="660"/>
      <c r="V724" s="660"/>
      <c r="W724" s="660"/>
      <c r="X724" s="660"/>
      <c r="Y724" s="660"/>
      <c r="Z724" s="660"/>
      <c r="AA724" s="660"/>
      <c r="AB724" s="660"/>
      <c r="AC724" s="661"/>
      <c r="AD724" s="606"/>
      <c r="AE724" s="606"/>
      <c r="AF724" s="606"/>
      <c r="AG724" s="606"/>
    </row>
    <row r="725" spans="1:33" s="612" customFormat="1" outlineLevel="2" x14ac:dyDescent="0.2">
      <c r="A725" s="606"/>
      <c r="B725" s="606"/>
      <c r="C725" s="607"/>
      <c r="D725" s="608"/>
      <c r="E725" s="608"/>
      <c r="F725" s="608"/>
      <c r="G725" s="608"/>
      <c r="H725" s="609"/>
      <c r="I725" s="660"/>
      <c r="J725" s="660"/>
      <c r="K725" s="660"/>
      <c r="L725" s="660"/>
      <c r="M725" s="660"/>
      <c r="N725" s="660"/>
      <c r="O725" s="660"/>
      <c r="P725" s="660"/>
      <c r="Q725" s="660"/>
      <c r="R725" s="660"/>
      <c r="S725" s="660"/>
      <c r="T725" s="660"/>
      <c r="U725" s="660"/>
      <c r="V725" s="660"/>
      <c r="W725" s="660"/>
      <c r="X725" s="660"/>
      <c r="Y725" s="660"/>
      <c r="Z725" s="660"/>
      <c r="AA725" s="660"/>
      <c r="AB725" s="660"/>
      <c r="AC725" s="661"/>
      <c r="AD725" s="606"/>
      <c r="AE725" s="606"/>
      <c r="AF725" s="606"/>
      <c r="AG725" s="606"/>
    </row>
    <row r="726" spans="1:33" s="612" customFormat="1" outlineLevel="2" x14ac:dyDescent="0.2">
      <c r="A726" s="606"/>
      <c r="B726" s="606"/>
      <c r="C726" s="607"/>
      <c r="D726" s="608"/>
      <c r="E726" s="608"/>
      <c r="F726" s="608"/>
      <c r="G726" s="608"/>
      <c r="H726" s="609"/>
      <c r="I726" s="660"/>
      <c r="J726" s="660"/>
      <c r="K726" s="660"/>
      <c r="L726" s="660"/>
      <c r="M726" s="660"/>
      <c r="N726" s="660"/>
      <c r="O726" s="660"/>
      <c r="P726" s="660"/>
      <c r="Q726" s="660"/>
      <c r="R726" s="660"/>
      <c r="S726" s="660"/>
      <c r="T726" s="660"/>
      <c r="U726" s="660"/>
      <c r="V726" s="660"/>
      <c r="W726" s="660"/>
      <c r="X726" s="660"/>
      <c r="Y726" s="660"/>
      <c r="Z726" s="660"/>
      <c r="AA726" s="660"/>
      <c r="AB726" s="660"/>
      <c r="AC726" s="661"/>
      <c r="AD726" s="606"/>
      <c r="AE726" s="606"/>
      <c r="AF726" s="606"/>
      <c r="AG726" s="606"/>
    </row>
    <row r="727" spans="1:33" s="612" customFormat="1" outlineLevel="2" x14ac:dyDescent="0.2">
      <c r="A727" s="606"/>
      <c r="B727" s="606"/>
      <c r="C727" s="607"/>
      <c r="D727" s="608"/>
      <c r="E727" s="608"/>
      <c r="F727" s="608"/>
      <c r="G727" s="608"/>
      <c r="H727" s="609"/>
      <c r="I727" s="660"/>
      <c r="J727" s="660"/>
      <c r="K727" s="660"/>
      <c r="L727" s="660"/>
      <c r="M727" s="660"/>
      <c r="N727" s="660"/>
      <c r="O727" s="660"/>
      <c r="P727" s="660"/>
      <c r="Q727" s="660"/>
      <c r="R727" s="660"/>
      <c r="S727" s="660"/>
      <c r="T727" s="660"/>
      <c r="U727" s="660"/>
      <c r="V727" s="660"/>
      <c r="W727" s="660"/>
      <c r="X727" s="660"/>
      <c r="Y727" s="660"/>
      <c r="Z727" s="660"/>
      <c r="AA727" s="660"/>
      <c r="AB727" s="660"/>
      <c r="AC727" s="661"/>
      <c r="AD727" s="606"/>
      <c r="AE727" s="606"/>
      <c r="AF727" s="606"/>
      <c r="AG727" s="606"/>
    </row>
    <row r="728" spans="1:33" s="612" customFormat="1" outlineLevel="2" x14ac:dyDescent="0.2">
      <c r="A728" s="606"/>
      <c r="B728" s="606"/>
      <c r="C728" s="607"/>
      <c r="D728" s="608"/>
      <c r="E728" s="608"/>
      <c r="F728" s="608"/>
      <c r="G728" s="608"/>
      <c r="H728" s="609"/>
      <c r="I728" s="660"/>
      <c r="J728" s="660"/>
      <c r="K728" s="660"/>
      <c r="L728" s="660"/>
      <c r="M728" s="660"/>
      <c r="N728" s="660"/>
      <c r="O728" s="660"/>
      <c r="P728" s="660"/>
      <c r="Q728" s="660"/>
      <c r="R728" s="660"/>
      <c r="S728" s="660"/>
      <c r="T728" s="660"/>
      <c r="U728" s="660"/>
      <c r="V728" s="660"/>
      <c r="W728" s="660"/>
      <c r="X728" s="660"/>
      <c r="Y728" s="660"/>
      <c r="Z728" s="660"/>
      <c r="AA728" s="660"/>
      <c r="AB728" s="660"/>
      <c r="AC728" s="661"/>
      <c r="AD728" s="606"/>
      <c r="AE728" s="606"/>
      <c r="AF728" s="606"/>
      <c r="AG728" s="606"/>
    </row>
    <row r="729" spans="1:33" s="612" customFormat="1" outlineLevel="2" x14ac:dyDescent="0.2">
      <c r="A729" s="606"/>
      <c r="B729" s="606"/>
      <c r="C729" s="607"/>
      <c r="D729" s="608"/>
      <c r="E729" s="608"/>
      <c r="F729" s="608"/>
      <c r="G729" s="608"/>
      <c r="H729" s="609"/>
      <c r="I729" s="660"/>
      <c r="J729" s="660"/>
      <c r="K729" s="660"/>
      <c r="L729" s="660"/>
      <c r="M729" s="660"/>
      <c r="N729" s="660"/>
      <c r="O729" s="660"/>
      <c r="P729" s="660"/>
      <c r="Q729" s="660"/>
      <c r="R729" s="660"/>
      <c r="S729" s="660"/>
      <c r="T729" s="660"/>
      <c r="U729" s="660"/>
      <c r="V729" s="660"/>
      <c r="W729" s="660"/>
      <c r="X729" s="660"/>
      <c r="Y729" s="660"/>
      <c r="Z729" s="660"/>
      <c r="AA729" s="660"/>
      <c r="AB729" s="660"/>
      <c r="AC729" s="661"/>
      <c r="AD729" s="606"/>
      <c r="AE729" s="606"/>
      <c r="AF729" s="606"/>
      <c r="AG729" s="606"/>
    </row>
    <row r="730" spans="1:33" s="612" customFormat="1" outlineLevel="2" x14ac:dyDescent="0.2">
      <c r="A730" s="606"/>
      <c r="B730" s="606"/>
      <c r="C730" s="607"/>
      <c r="D730" s="608"/>
      <c r="E730" s="608"/>
      <c r="F730" s="608"/>
      <c r="G730" s="608"/>
      <c r="H730" s="609"/>
      <c r="I730" s="660"/>
      <c r="J730" s="660"/>
      <c r="K730" s="660"/>
      <c r="L730" s="660"/>
      <c r="M730" s="660"/>
      <c r="N730" s="660"/>
      <c r="O730" s="660"/>
      <c r="P730" s="660"/>
      <c r="Q730" s="660"/>
      <c r="R730" s="660"/>
      <c r="S730" s="660"/>
      <c r="T730" s="660"/>
      <c r="U730" s="660"/>
      <c r="V730" s="660"/>
      <c r="W730" s="660"/>
      <c r="X730" s="660"/>
      <c r="Y730" s="660"/>
      <c r="Z730" s="660"/>
      <c r="AA730" s="660"/>
      <c r="AB730" s="660"/>
      <c r="AC730" s="661"/>
      <c r="AD730" s="606"/>
      <c r="AE730" s="606"/>
      <c r="AF730" s="606"/>
      <c r="AG730" s="606"/>
    </row>
    <row r="731" spans="1:33" s="612" customFormat="1" outlineLevel="2" x14ac:dyDescent="0.2">
      <c r="A731" s="606"/>
      <c r="B731" s="606"/>
      <c r="C731" s="607"/>
      <c r="D731" s="608"/>
      <c r="E731" s="608"/>
      <c r="F731" s="608"/>
      <c r="G731" s="608"/>
      <c r="H731" s="609"/>
      <c r="I731" s="660"/>
      <c r="J731" s="660"/>
      <c r="K731" s="660"/>
      <c r="L731" s="660"/>
      <c r="M731" s="660"/>
      <c r="N731" s="660"/>
      <c r="O731" s="660"/>
      <c r="P731" s="660"/>
      <c r="Q731" s="660"/>
      <c r="R731" s="660"/>
      <c r="S731" s="660"/>
      <c r="T731" s="660"/>
      <c r="U731" s="660"/>
      <c r="V731" s="660"/>
      <c r="W731" s="660"/>
      <c r="X731" s="660"/>
      <c r="Y731" s="660"/>
      <c r="Z731" s="660"/>
      <c r="AA731" s="660"/>
      <c r="AB731" s="660"/>
      <c r="AC731" s="661"/>
      <c r="AD731" s="606"/>
      <c r="AE731" s="606"/>
      <c r="AF731" s="606"/>
      <c r="AG731" s="606"/>
    </row>
    <row r="732" spans="1:33" s="612" customFormat="1" outlineLevel="2" x14ac:dyDescent="0.2">
      <c r="A732" s="606"/>
      <c r="B732" s="606"/>
      <c r="C732" s="607"/>
      <c r="D732" s="608"/>
      <c r="E732" s="608"/>
      <c r="F732" s="608"/>
      <c r="G732" s="608"/>
      <c r="H732" s="609"/>
      <c r="I732" s="660"/>
      <c r="J732" s="660"/>
      <c r="K732" s="660"/>
      <c r="L732" s="660"/>
      <c r="M732" s="660"/>
      <c r="N732" s="660"/>
      <c r="O732" s="660"/>
      <c r="P732" s="660"/>
      <c r="Q732" s="660"/>
      <c r="R732" s="660"/>
      <c r="S732" s="660"/>
      <c r="T732" s="660"/>
      <c r="U732" s="660"/>
      <c r="V732" s="660"/>
      <c r="W732" s="660"/>
      <c r="X732" s="660"/>
      <c r="Y732" s="660"/>
      <c r="Z732" s="660"/>
      <c r="AA732" s="660"/>
      <c r="AB732" s="660"/>
      <c r="AC732" s="661"/>
      <c r="AD732" s="606"/>
      <c r="AE732" s="606"/>
      <c r="AF732" s="606"/>
      <c r="AG732" s="606"/>
    </row>
    <row r="733" spans="1:33" s="612" customFormat="1" outlineLevel="2" x14ac:dyDescent="0.2">
      <c r="A733" s="606"/>
      <c r="B733" s="606"/>
      <c r="C733" s="607"/>
      <c r="D733" s="608"/>
      <c r="E733" s="608"/>
      <c r="F733" s="608"/>
      <c r="G733" s="608"/>
      <c r="H733" s="609"/>
      <c r="I733" s="660"/>
      <c r="J733" s="660"/>
      <c r="K733" s="660"/>
      <c r="L733" s="660"/>
      <c r="M733" s="660"/>
      <c r="N733" s="660"/>
      <c r="O733" s="660"/>
      <c r="P733" s="660"/>
      <c r="Q733" s="660"/>
      <c r="R733" s="660"/>
      <c r="S733" s="660"/>
      <c r="T733" s="660"/>
      <c r="U733" s="660"/>
      <c r="V733" s="660"/>
      <c r="W733" s="660"/>
      <c r="X733" s="660"/>
      <c r="Y733" s="660"/>
      <c r="Z733" s="660"/>
      <c r="AA733" s="660"/>
      <c r="AB733" s="660"/>
      <c r="AC733" s="661"/>
      <c r="AD733" s="606"/>
      <c r="AE733" s="606"/>
      <c r="AF733" s="606"/>
      <c r="AG733" s="606"/>
    </row>
    <row r="734" spans="1:33" s="612" customFormat="1" outlineLevel="2" x14ac:dyDescent="0.2">
      <c r="A734" s="606"/>
      <c r="B734" s="606"/>
      <c r="C734" s="607"/>
      <c r="D734" s="608"/>
      <c r="E734" s="608"/>
      <c r="F734" s="608"/>
      <c r="G734" s="608"/>
      <c r="H734" s="609"/>
      <c r="I734" s="660"/>
      <c r="J734" s="660"/>
      <c r="K734" s="660"/>
      <c r="L734" s="660"/>
      <c r="M734" s="660"/>
      <c r="N734" s="660"/>
      <c r="O734" s="660"/>
      <c r="P734" s="660"/>
      <c r="Q734" s="660"/>
      <c r="R734" s="660"/>
      <c r="S734" s="660"/>
      <c r="T734" s="660"/>
      <c r="U734" s="660"/>
      <c r="V734" s="660"/>
      <c r="W734" s="660"/>
      <c r="X734" s="660"/>
      <c r="Y734" s="660"/>
      <c r="Z734" s="660"/>
      <c r="AA734" s="660"/>
      <c r="AB734" s="660"/>
      <c r="AC734" s="661"/>
      <c r="AD734" s="606"/>
      <c r="AE734" s="606"/>
      <c r="AF734" s="606"/>
      <c r="AG734" s="606"/>
    </row>
    <row r="735" spans="1:33" s="612" customFormat="1" outlineLevel="2" x14ac:dyDescent="0.2">
      <c r="A735" s="606"/>
      <c r="B735" s="606"/>
      <c r="C735" s="607"/>
      <c r="D735" s="608"/>
      <c r="E735" s="608"/>
      <c r="F735" s="608"/>
      <c r="G735" s="608"/>
      <c r="H735" s="609"/>
      <c r="I735" s="660"/>
      <c r="J735" s="660"/>
      <c r="K735" s="660"/>
      <c r="L735" s="660"/>
      <c r="M735" s="660"/>
      <c r="N735" s="660"/>
      <c r="O735" s="660"/>
      <c r="P735" s="660"/>
      <c r="Q735" s="660"/>
      <c r="R735" s="660"/>
      <c r="S735" s="660"/>
      <c r="T735" s="660"/>
      <c r="U735" s="660"/>
      <c r="V735" s="660"/>
      <c r="W735" s="660"/>
      <c r="X735" s="660"/>
      <c r="Y735" s="660"/>
      <c r="Z735" s="660"/>
      <c r="AA735" s="660"/>
      <c r="AB735" s="660"/>
      <c r="AC735" s="661"/>
      <c r="AD735" s="606"/>
      <c r="AE735" s="606"/>
      <c r="AF735" s="606"/>
      <c r="AG735" s="606"/>
    </row>
    <row r="736" spans="1:33" s="612" customFormat="1" outlineLevel="2" x14ac:dyDescent="0.2">
      <c r="A736" s="606"/>
      <c r="B736" s="606"/>
      <c r="C736" s="607"/>
      <c r="D736" s="608"/>
      <c r="E736" s="608"/>
      <c r="F736" s="608"/>
      <c r="G736" s="608"/>
      <c r="H736" s="609"/>
      <c r="I736" s="660"/>
      <c r="J736" s="660"/>
      <c r="K736" s="660"/>
      <c r="L736" s="660"/>
      <c r="M736" s="660"/>
      <c r="N736" s="660"/>
      <c r="O736" s="660"/>
      <c r="P736" s="660"/>
      <c r="Q736" s="660"/>
      <c r="R736" s="660"/>
      <c r="S736" s="660"/>
      <c r="T736" s="660"/>
      <c r="U736" s="660"/>
      <c r="V736" s="660"/>
      <c r="W736" s="660"/>
      <c r="X736" s="660"/>
      <c r="Y736" s="660"/>
      <c r="Z736" s="660"/>
      <c r="AA736" s="660"/>
      <c r="AB736" s="660"/>
      <c r="AC736" s="661"/>
      <c r="AD736" s="606"/>
      <c r="AE736" s="606"/>
      <c r="AF736" s="606"/>
      <c r="AG736" s="606"/>
    </row>
    <row r="737" spans="1:33" s="612" customFormat="1" outlineLevel="2" x14ac:dyDescent="0.2">
      <c r="A737" s="606"/>
      <c r="B737" s="606"/>
      <c r="C737" s="607"/>
      <c r="D737" s="608"/>
      <c r="E737" s="608"/>
      <c r="F737" s="608"/>
      <c r="G737" s="608"/>
      <c r="H737" s="609"/>
      <c r="I737" s="660"/>
      <c r="J737" s="660"/>
      <c r="K737" s="660"/>
      <c r="L737" s="660"/>
      <c r="M737" s="660"/>
      <c r="N737" s="660"/>
      <c r="O737" s="660"/>
      <c r="P737" s="660"/>
      <c r="Q737" s="660"/>
      <c r="R737" s="660"/>
      <c r="S737" s="660"/>
      <c r="T737" s="660"/>
      <c r="U737" s="660"/>
      <c r="V737" s="660"/>
      <c r="W737" s="660"/>
      <c r="X737" s="660"/>
      <c r="Y737" s="660"/>
      <c r="Z737" s="660"/>
      <c r="AA737" s="660"/>
      <c r="AB737" s="660"/>
      <c r="AC737" s="661"/>
      <c r="AD737" s="606"/>
      <c r="AE737" s="606"/>
      <c r="AF737" s="606"/>
      <c r="AG737" s="606"/>
    </row>
    <row r="738" spans="1:33" s="612" customFormat="1" outlineLevel="2" x14ac:dyDescent="0.2">
      <c r="A738" s="606"/>
      <c r="B738" s="606"/>
      <c r="C738" s="607"/>
      <c r="D738" s="608"/>
      <c r="E738" s="608"/>
      <c r="F738" s="608"/>
      <c r="G738" s="608"/>
      <c r="H738" s="609"/>
      <c r="I738" s="660"/>
      <c r="J738" s="660"/>
      <c r="K738" s="660"/>
      <c r="L738" s="660"/>
      <c r="M738" s="660"/>
      <c r="N738" s="660"/>
      <c r="O738" s="660"/>
      <c r="P738" s="660"/>
      <c r="Q738" s="660"/>
      <c r="R738" s="660"/>
      <c r="S738" s="660"/>
      <c r="T738" s="660"/>
      <c r="U738" s="660"/>
      <c r="V738" s="660"/>
      <c r="W738" s="660"/>
      <c r="X738" s="660"/>
      <c r="Y738" s="660"/>
      <c r="Z738" s="660"/>
      <c r="AA738" s="660"/>
      <c r="AB738" s="660"/>
      <c r="AC738" s="661"/>
      <c r="AD738" s="606"/>
      <c r="AE738" s="606"/>
      <c r="AF738" s="606"/>
      <c r="AG738" s="606"/>
    </row>
    <row r="739" spans="1:33" s="612" customFormat="1" outlineLevel="2" x14ac:dyDescent="0.2">
      <c r="A739" s="606"/>
      <c r="B739" s="606"/>
      <c r="C739" s="607"/>
      <c r="D739" s="608"/>
      <c r="E739" s="608"/>
      <c r="F739" s="608"/>
      <c r="G739" s="608"/>
      <c r="H739" s="609"/>
      <c r="I739" s="660"/>
      <c r="J739" s="660"/>
      <c r="K739" s="660"/>
      <c r="L739" s="660"/>
      <c r="M739" s="660"/>
      <c r="N739" s="660"/>
      <c r="O739" s="660"/>
      <c r="P739" s="660"/>
      <c r="Q739" s="660"/>
      <c r="R739" s="660"/>
      <c r="S739" s="660"/>
      <c r="T739" s="660"/>
      <c r="U739" s="660"/>
      <c r="V739" s="660"/>
      <c r="W739" s="660"/>
      <c r="X739" s="660"/>
      <c r="Y739" s="660"/>
      <c r="Z739" s="660"/>
      <c r="AA739" s="660"/>
      <c r="AB739" s="660"/>
      <c r="AC739" s="661"/>
      <c r="AD739" s="606"/>
      <c r="AE739" s="606"/>
      <c r="AF739" s="606"/>
      <c r="AG739" s="606"/>
    </row>
    <row r="740" spans="1:33" s="612" customFormat="1" outlineLevel="2" x14ac:dyDescent="0.2">
      <c r="A740" s="606"/>
      <c r="B740" s="606"/>
      <c r="C740" s="607"/>
      <c r="D740" s="608"/>
      <c r="E740" s="608"/>
      <c r="F740" s="608"/>
      <c r="G740" s="608"/>
      <c r="H740" s="609"/>
      <c r="I740" s="660"/>
      <c r="J740" s="660"/>
      <c r="K740" s="660"/>
      <c r="L740" s="660"/>
      <c r="M740" s="660"/>
      <c r="N740" s="660"/>
      <c r="O740" s="660"/>
      <c r="P740" s="660"/>
      <c r="Q740" s="660"/>
      <c r="R740" s="660"/>
      <c r="S740" s="660"/>
      <c r="T740" s="660"/>
      <c r="U740" s="660"/>
      <c r="V740" s="660"/>
      <c r="W740" s="660"/>
      <c r="X740" s="660"/>
      <c r="Y740" s="660"/>
      <c r="Z740" s="660"/>
      <c r="AA740" s="660"/>
      <c r="AB740" s="660"/>
      <c r="AC740" s="661"/>
      <c r="AD740" s="606"/>
      <c r="AE740" s="606"/>
      <c r="AF740" s="606"/>
      <c r="AG740" s="606"/>
    </row>
    <row r="741" spans="1:33" s="612" customFormat="1" outlineLevel="2" x14ac:dyDescent="0.2">
      <c r="A741" s="606"/>
      <c r="B741" s="606"/>
      <c r="C741" s="607"/>
      <c r="D741" s="608"/>
      <c r="E741" s="608"/>
      <c r="F741" s="608"/>
      <c r="G741" s="608"/>
      <c r="H741" s="609"/>
      <c r="I741" s="660"/>
      <c r="J741" s="660"/>
      <c r="K741" s="660"/>
      <c r="L741" s="660"/>
      <c r="M741" s="660"/>
      <c r="N741" s="660"/>
      <c r="O741" s="660"/>
      <c r="P741" s="660"/>
      <c r="Q741" s="660"/>
      <c r="R741" s="660"/>
      <c r="S741" s="660"/>
      <c r="T741" s="660"/>
      <c r="U741" s="660"/>
      <c r="V741" s="660"/>
      <c r="W741" s="660"/>
      <c r="X741" s="660"/>
      <c r="Y741" s="660"/>
      <c r="Z741" s="660"/>
      <c r="AA741" s="660"/>
      <c r="AB741" s="660"/>
      <c r="AC741" s="661"/>
      <c r="AD741" s="606"/>
      <c r="AE741" s="606"/>
      <c r="AF741" s="606"/>
      <c r="AG741" s="606"/>
    </row>
    <row r="742" spans="1:33" s="612" customFormat="1" hidden="1" outlineLevel="3" x14ac:dyDescent="0.2">
      <c r="A742" s="606"/>
      <c r="B742" s="606"/>
      <c r="C742" s="607"/>
      <c r="D742" s="608"/>
      <c r="E742" s="608"/>
      <c r="F742" s="608"/>
      <c r="G742" s="608"/>
      <c r="H742" s="609"/>
      <c r="I742" s="660"/>
      <c r="J742" s="660"/>
      <c r="K742" s="660"/>
      <c r="L742" s="660"/>
      <c r="M742" s="660"/>
      <c r="N742" s="660"/>
      <c r="O742" s="660"/>
      <c r="P742" s="660"/>
      <c r="Q742" s="660"/>
      <c r="R742" s="660"/>
      <c r="S742" s="660"/>
      <c r="T742" s="660"/>
      <c r="U742" s="660"/>
      <c r="V742" s="660"/>
      <c r="W742" s="660"/>
      <c r="X742" s="660"/>
      <c r="Y742" s="660"/>
      <c r="Z742" s="660"/>
      <c r="AA742" s="660"/>
      <c r="AB742" s="660"/>
      <c r="AC742" s="661"/>
      <c r="AD742" s="606"/>
      <c r="AE742" s="606"/>
      <c r="AF742" s="606"/>
      <c r="AG742" s="606"/>
    </row>
    <row r="743" spans="1:33" s="612" customFormat="1" hidden="1" outlineLevel="3" x14ac:dyDescent="0.2">
      <c r="A743" s="606"/>
      <c r="B743" s="606"/>
      <c r="C743" s="607"/>
      <c r="D743" s="608"/>
      <c r="E743" s="608"/>
      <c r="F743" s="608"/>
      <c r="G743" s="608"/>
      <c r="H743" s="609"/>
      <c r="I743" s="660"/>
      <c r="J743" s="660"/>
      <c r="K743" s="660"/>
      <c r="L743" s="660"/>
      <c r="M743" s="660"/>
      <c r="N743" s="660"/>
      <c r="O743" s="660"/>
      <c r="P743" s="660"/>
      <c r="Q743" s="660"/>
      <c r="R743" s="660"/>
      <c r="S743" s="660"/>
      <c r="T743" s="660"/>
      <c r="U743" s="660"/>
      <c r="V743" s="660"/>
      <c r="W743" s="660"/>
      <c r="X743" s="660"/>
      <c r="Y743" s="660"/>
      <c r="Z743" s="660"/>
      <c r="AA743" s="660"/>
      <c r="AB743" s="660"/>
      <c r="AC743" s="661"/>
      <c r="AD743" s="606"/>
      <c r="AE743" s="606"/>
      <c r="AF743" s="606"/>
      <c r="AG743" s="606"/>
    </row>
    <row r="744" spans="1:33" s="612" customFormat="1" hidden="1" outlineLevel="3" x14ac:dyDescent="0.2">
      <c r="A744" s="606"/>
      <c r="B744" s="606"/>
      <c r="C744" s="607"/>
      <c r="D744" s="608"/>
      <c r="E744" s="608"/>
      <c r="F744" s="608"/>
      <c r="G744" s="608"/>
      <c r="H744" s="609"/>
      <c r="I744" s="660"/>
      <c r="J744" s="660"/>
      <c r="K744" s="660"/>
      <c r="L744" s="660"/>
      <c r="M744" s="660"/>
      <c r="N744" s="660"/>
      <c r="O744" s="660"/>
      <c r="P744" s="660"/>
      <c r="Q744" s="660"/>
      <c r="R744" s="660"/>
      <c r="S744" s="660"/>
      <c r="T744" s="660"/>
      <c r="U744" s="660"/>
      <c r="V744" s="660"/>
      <c r="W744" s="660"/>
      <c r="X744" s="660"/>
      <c r="Y744" s="660"/>
      <c r="Z744" s="660"/>
      <c r="AA744" s="660"/>
      <c r="AB744" s="660"/>
      <c r="AC744" s="661"/>
      <c r="AD744" s="606"/>
      <c r="AE744" s="606"/>
      <c r="AF744" s="606"/>
      <c r="AG744" s="606"/>
    </row>
    <row r="745" spans="1:33" s="612" customFormat="1" hidden="1" outlineLevel="3" x14ac:dyDescent="0.2">
      <c r="A745" s="606"/>
      <c r="B745" s="606"/>
      <c r="C745" s="607"/>
      <c r="D745" s="608"/>
      <c r="E745" s="608"/>
      <c r="F745" s="608"/>
      <c r="G745" s="608"/>
      <c r="H745" s="609"/>
      <c r="I745" s="660"/>
      <c r="J745" s="660"/>
      <c r="K745" s="660"/>
      <c r="L745" s="660"/>
      <c r="M745" s="660"/>
      <c r="N745" s="660"/>
      <c r="O745" s="660"/>
      <c r="P745" s="660"/>
      <c r="Q745" s="660"/>
      <c r="R745" s="660"/>
      <c r="S745" s="660"/>
      <c r="T745" s="660"/>
      <c r="U745" s="660"/>
      <c r="V745" s="660"/>
      <c r="W745" s="660"/>
      <c r="X745" s="660"/>
      <c r="Y745" s="660"/>
      <c r="Z745" s="660"/>
      <c r="AA745" s="660"/>
      <c r="AB745" s="660"/>
      <c r="AC745" s="661"/>
      <c r="AD745" s="606"/>
      <c r="AE745" s="606"/>
      <c r="AF745" s="606"/>
      <c r="AG745" s="606"/>
    </row>
    <row r="746" spans="1:33" s="612" customFormat="1" hidden="1" outlineLevel="3" x14ac:dyDescent="0.2">
      <c r="A746" s="606"/>
      <c r="B746" s="606"/>
      <c r="C746" s="607"/>
      <c r="D746" s="608"/>
      <c r="E746" s="608"/>
      <c r="F746" s="608"/>
      <c r="G746" s="608"/>
      <c r="H746" s="609"/>
      <c r="I746" s="660"/>
      <c r="J746" s="660"/>
      <c r="K746" s="660"/>
      <c r="L746" s="660"/>
      <c r="M746" s="660"/>
      <c r="N746" s="660"/>
      <c r="O746" s="660"/>
      <c r="P746" s="660"/>
      <c r="Q746" s="660"/>
      <c r="R746" s="660"/>
      <c r="S746" s="660"/>
      <c r="T746" s="660"/>
      <c r="U746" s="660"/>
      <c r="V746" s="660"/>
      <c r="W746" s="660"/>
      <c r="X746" s="660"/>
      <c r="Y746" s="660"/>
      <c r="Z746" s="660"/>
      <c r="AA746" s="660"/>
      <c r="AB746" s="660"/>
      <c r="AC746" s="661"/>
      <c r="AD746" s="606"/>
      <c r="AE746" s="606"/>
      <c r="AF746" s="606"/>
      <c r="AG746" s="606"/>
    </row>
    <row r="747" spans="1:33" s="612" customFormat="1" hidden="1" outlineLevel="3" x14ac:dyDescent="0.2">
      <c r="A747" s="606"/>
      <c r="B747" s="606"/>
      <c r="C747" s="607"/>
      <c r="D747" s="608"/>
      <c r="E747" s="608"/>
      <c r="F747" s="608"/>
      <c r="G747" s="608"/>
      <c r="H747" s="609"/>
      <c r="I747" s="660"/>
      <c r="J747" s="660"/>
      <c r="K747" s="660"/>
      <c r="L747" s="660"/>
      <c r="M747" s="660"/>
      <c r="N747" s="660"/>
      <c r="O747" s="660"/>
      <c r="P747" s="660"/>
      <c r="Q747" s="660"/>
      <c r="R747" s="660"/>
      <c r="S747" s="660"/>
      <c r="T747" s="660"/>
      <c r="U747" s="660"/>
      <c r="V747" s="660"/>
      <c r="W747" s="660"/>
      <c r="X747" s="660"/>
      <c r="Y747" s="660"/>
      <c r="Z747" s="660"/>
      <c r="AA747" s="660"/>
      <c r="AB747" s="660"/>
      <c r="AC747" s="661"/>
      <c r="AD747" s="606"/>
      <c r="AE747" s="606"/>
      <c r="AF747" s="606"/>
      <c r="AG747" s="606"/>
    </row>
    <row r="748" spans="1:33" s="612" customFormat="1" hidden="1" outlineLevel="3" x14ac:dyDescent="0.2">
      <c r="A748" s="606"/>
      <c r="B748" s="606"/>
      <c r="C748" s="607"/>
      <c r="D748" s="608"/>
      <c r="E748" s="608"/>
      <c r="F748" s="608"/>
      <c r="G748" s="608"/>
      <c r="H748" s="609"/>
      <c r="I748" s="660"/>
      <c r="J748" s="660"/>
      <c r="K748" s="660"/>
      <c r="L748" s="660"/>
      <c r="M748" s="660"/>
      <c r="N748" s="660"/>
      <c r="O748" s="660"/>
      <c r="P748" s="660"/>
      <c r="Q748" s="660"/>
      <c r="R748" s="660"/>
      <c r="S748" s="660"/>
      <c r="T748" s="660"/>
      <c r="U748" s="660"/>
      <c r="V748" s="660"/>
      <c r="W748" s="660"/>
      <c r="X748" s="660"/>
      <c r="Y748" s="660"/>
      <c r="Z748" s="660"/>
      <c r="AA748" s="660"/>
      <c r="AB748" s="660"/>
      <c r="AC748" s="661"/>
      <c r="AD748" s="606"/>
      <c r="AE748" s="606"/>
      <c r="AF748" s="606"/>
      <c r="AG748" s="606"/>
    </row>
    <row r="749" spans="1:33" s="612" customFormat="1" hidden="1" outlineLevel="3" x14ac:dyDescent="0.2">
      <c r="A749" s="606"/>
      <c r="B749" s="606"/>
      <c r="C749" s="607"/>
      <c r="D749" s="608"/>
      <c r="E749" s="608"/>
      <c r="F749" s="608"/>
      <c r="G749" s="608"/>
      <c r="H749" s="609"/>
      <c r="I749" s="660"/>
      <c r="J749" s="660"/>
      <c r="K749" s="660"/>
      <c r="L749" s="660"/>
      <c r="M749" s="660"/>
      <c r="N749" s="660"/>
      <c r="O749" s="660"/>
      <c r="P749" s="660"/>
      <c r="Q749" s="660"/>
      <c r="R749" s="660"/>
      <c r="S749" s="660"/>
      <c r="T749" s="660"/>
      <c r="U749" s="660"/>
      <c r="V749" s="660"/>
      <c r="W749" s="660"/>
      <c r="X749" s="660"/>
      <c r="Y749" s="660"/>
      <c r="Z749" s="660"/>
      <c r="AA749" s="660"/>
      <c r="AB749" s="660"/>
      <c r="AC749" s="661"/>
      <c r="AD749" s="606"/>
      <c r="AE749" s="606"/>
      <c r="AF749" s="606"/>
      <c r="AG749" s="606"/>
    </row>
    <row r="750" spans="1:33" s="612" customFormat="1" hidden="1" outlineLevel="3" x14ac:dyDescent="0.2">
      <c r="A750" s="606"/>
      <c r="B750" s="606"/>
      <c r="C750" s="607"/>
      <c r="D750" s="608"/>
      <c r="E750" s="608"/>
      <c r="F750" s="608"/>
      <c r="G750" s="608"/>
      <c r="H750" s="609"/>
      <c r="I750" s="660"/>
      <c r="J750" s="660"/>
      <c r="K750" s="660"/>
      <c r="L750" s="660"/>
      <c r="M750" s="660"/>
      <c r="N750" s="660"/>
      <c r="O750" s="660"/>
      <c r="P750" s="660"/>
      <c r="Q750" s="660"/>
      <c r="R750" s="660"/>
      <c r="S750" s="660"/>
      <c r="T750" s="660"/>
      <c r="U750" s="660"/>
      <c r="V750" s="660"/>
      <c r="W750" s="660"/>
      <c r="X750" s="660"/>
      <c r="Y750" s="660"/>
      <c r="Z750" s="660"/>
      <c r="AA750" s="660"/>
      <c r="AB750" s="660"/>
      <c r="AC750" s="661"/>
      <c r="AD750" s="606"/>
      <c r="AE750" s="606"/>
      <c r="AF750" s="606"/>
      <c r="AG750" s="606"/>
    </row>
    <row r="751" spans="1:33" s="612" customFormat="1" hidden="1" outlineLevel="3" x14ac:dyDescent="0.2">
      <c r="A751" s="606"/>
      <c r="B751" s="606"/>
      <c r="C751" s="607"/>
      <c r="D751" s="608"/>
      <c r="E751" s="608"/>
      <c r="F751" s="608"/>
      <c r="G751" s="608"/>
      <c r="H751" s="609"/>
      <c r="I751" s="660"/>
      <c r="J751" s="660"/>
      <c r="K751" s="660"/>
      <c r="L751" s="660"/>
      <c r="M751" s="660"/>
      <c r="N751" s="660"/>
      <c r="O751" s="660"/>
      <c r="P751" s="660"/>
      <c r="Q751" s="660"/>
      <c r="R751" s="660"/>
      <c r="S751" s="660"/>
      <c r="T751" s="660"/>
      <c r="U751" s="660"/>
      <c r="V751" s="660"/>
      <c r="W751" s="660"/>
      <c r="X751" s="660"/>
      <c r="Y751" s="660"/>
      <c r="Z751" s="660"/>
      <c r="AA751" s="660"/>
      <c r="AB751" s="660"/>
      <c r="AC751" s="661"/>
      <c r="AD751" s="606"/>
      <c r="AE751" s="606"/>
      <c r="AF751" s="606"/>
      <c r="AG751" s="606"/>
    </row>
    <row r="752" spans="1:33" s="612" customFormat="1" hidden="1" outlineLevel="3" x14ac:dyDescent="0.2">
      <c r="A752" s="606"/>
      <c r="B752" s="606"/>
      <c r="C752" s="607"/>
      <c r="D752" s="608"/>
      <c r="E752" s="608"/>
      <c r="F752" s="608"/>
      <c r="G752" s="608"/>
      <c r="H752" s="609"/>
      <c r="I752" s="660"/>
      <c r="J752" s="660"/>
      <c r="K752" s="660"/>
      <c r="L752" s="660"/>
      <c r="M752" s="660"/>
      <c r="N752" s="660"/>
      <c r="O752" s="660"/>
      <c r="P752" s="660"/>
      <c r="Q752" s="660"/>
      <c r="R752" s="660"/>
      <c r="S752" s="660"/>
      <c r="T752" s="660"/>
      <c r="U752" s="660"/>
      <c r="V752" s="660"/>
      <c r="W752" s="660"/>
      <c r="X752" s="660"/>
      <c r="Y752" s="660"/>
      <c r="Z752" s="660"/>
      <c r="AA752" s="660"/>
      <c r="AB752" s="660"/>
      <c r="AC752" s="661"/>
      <c r="AD752" s="606"/>
      <c r="AE752" s="606"/>
      <c r="AF752" s="606"/>
      <c r="AG752" s="606"/>
    </row>
    <row r="753" spans="1:33" s="612" customFormat="1" hidden="1" outlineLevel="3" x14ac:dyDescent="0.2">
      <c r="A753" s="606"/>
      <c r="B753" s="606"/>
      <c r="C753" s="607"/>
      <c r="D753" s="608"/>
      <c r="E753" s="608"/>
      <c r="F753" s="608"/>
      <c r="G753" s="608"/>
      <c r="H753" s="609"/>
      <c r="I753" s="660"/>
      <c r="J753" s="660"/>
      <c r="K753" s="660"/>
      <c r="L753" s="660"/>
      <c r="M753" s="660"/>
      <c r="N753" s="660"/>
      <c r="O753" s="660"/>
      <c r="P753" s="660"/>
      <c r="Q753" s="660"/>
      <c r="R753" s="660"/>
      <c r="S753" s="660"/>
      <c r="T753" s="660"/>
      <c r="U753" s="660"/>
      <c r="V753" s="660"/>
      <c r="W753" s="660"/>
      <c r="X753" s="660"/>
      <c r="Y753" s="660"/>
      <c r="Z753" s="660"/>
      <c r="AA753" s="660"/>
      <c r="AB753" s="660"/>
      <c r="AC753" s="661"/>
      <c r="AD753" s="606"/>
      <c r="AE753" s="606"/>
      <c r="AF753" s="606"/>
      <c r="AG753" s="606"/>
    </row>
    <row r="754" spans="1:33" s="612" customFormat="1" hidden="1" outlineLevel="3" x14ac:dyDescent="0.2">
      <c r="A754" s="606"/>
      <c r="B754" s="606"/>
      <c r="C754" s="607"/>
      <c r="D754" s="608"/>
      <c r="E754" s="608"/>
      <c r="F754" s="608"/>
      <c r="G754" s="608"/>
      <c r="H754" s="609"/>
      <c r="I754" s="660"/>
      <c r="J754" s="660"/>
      <c r="K754" s="660"/>
      <c r="L754" s="660"/>
      <c r="M754" s="660"/>
      <c r="N754" s="660"/>
      <c r="O754" s="660"/>
      <c r="P754" s="660"/>
      <c r="Q754" s="660"/>
      <c r="R754" s="660"/>
      <c r="S754" s="660"/>
      <c r="T754" s="660"/>
      <c r="U754" s="660"/>
      <c r="V754" s="660"/>
      <c r="W754" s="660"/>
      <c r="X754" s="660"/>
      <c r="Y754" s="660"/>
      <c r="Z754" s="660"/>
      <c r="AA754" s="660"/>
      <c r="AB754" s="660"/>
      <c r="AC754" s="661"/>
      <c r="AD754" s="606"/>
      <c r="AE754" s="606"/>
      <c r="AF754" s="606"/>
      <c r="AG754" s="606"/>
    </row>
    <row r="755" spans="1:33" s="612" customFormat="1" hidden="1" outlineLevel="3" x14ac:dyDescent="0.2">
      <c r="A755" s="606"/>
      <c r="B755" s="606"/>
      <c r="C755" s="607"/>
      <c r="D755" s="608"/>
      <c r="E755" s="608"/>
      <c r="F755" s="608"/>
      <c r="G755" s="608"/>
      <c r="H755" s="609"/>
      <c r="I755" s="660"/>
      <c r="J755" s="660"/>
      <c r="K755" s="660"/>
      <c r="L755" s="660"/>
      <c r="M755" s="660"/>
      <c r="N755" s="660"/>
      <c r="O755" s="660"/>
      <c r="P755" s="660"/>
      <c r="Q755" s="660"/>
      <c r="R755" s="660"/>
      <c r="S755" s="660"/>
      <c r="T755" s="660"/>
      <c r="U755" s="660"/>
      <c r="V755" s="660"/>
      <c r="W755" s="660"/>
      <c r="X755" s="660"/>
      <c r="Y755" s="660"/>
      <c r="Z755" s="660"/>
      <c r="AA755" s="660"/>
      <c r="AB755" s="660"/>
      <c r="AC755" s="661"/>
      <c r="AD755" s="606"/>
      <c r="AE755" s="606"/>
      <c r="AF755" s="606"/>
      <c r="AG755" s="606"/>
    </row>
    <row r="756" spans="1:33" s="612" customFormat="1" hidden="1" outlineLevel="3" x14ac:dyDescent="0.2">
      <c r="A756" s="606"/>
      <c r="B756" s="606"/>
      <c r="C756" s="607"/>
      <c r="D756" s="608"/>
      <c r="E756" s="608"/>
      <c r="F756" s="608"/>
      <c r="G756" s="608"/>
      <c r="H756" s="609"/>
      <c r="I756" s="660"/>
      <c r="J756" s="660"/>
      <c r="K756" s="660"/>
      <c r="L756" s="660"/>
      <c r="M756" s="660"/>
      <c r="N756" s="660"/>
      <c r="O756" s="660"/>
      <c r="P756" s="660"/>
      <c r="Q756" s="660"/>
      <c r="R756" s="660"/>
      <c r="S756" s="660"/>
      <c r="T756" s="660"/>
      <c r="U756" s="660"/>
      <c r="V756" s="660"/>
      <c r="W756" s="660"/>
      <c r="X756" s="660"/>
      <c r="Y756" s="660"/>
      <c r="Z756" s="660"/>
      <c r="AA756" s="660"/>
      <c r="AB756" s="660"/>
      <c r="AC756" s="661"/>
      <c r="AD756" s="606"/>
      <c r="AE756" s="606"/>
      <c r="AF756" s="606"/>
      <c r="AG756" s="606"/>
    </row>
    <row r="757" spans="1:33" s="612" customFormat="1" hidden="1" outlineLevel="3" x14ac:dyDescent="0.2">
      <c r="A757" s="606"/>
      <c r="B757" s="606"/>
      <c r="C757" s="607"/>
      <c r="D757" s="608"/>
      <c r="E757" s="608"/>
      <c r="F757" s="608"/>
      <c r="G757" s="608"/>
      <c r="H757" s="609"/>
      <c r="I757" s="660"/>
      <c r="J757" s="660"/>
      <c r="K757" s="660"/>
      <c r="L757" s="660"/>
      <c r="M757" s="660"/>
      <c r="N757" s="660"/>
      <c r="O757" s="660"/>
      <c r="P757" s="660"/>
      <c r="Q757" s="660"/>
      <c r="R757" s="660"/>
      <c r="S757" s="660"/>
      <c r="T757" s="660"/>
      <c r="U757" s="660"/>
      <c r="V757" s="660"/>
      <c r="W757" s="660"/>
      <c r="X757" s="660"/>
      <c r="Y757" s="660"/>
      <c r="Z757" s="660"/>
      <c r="AA757" s="660"/>
      <c r="AB757" s="660"/>
      <c r="AC757" s="661"/>
      <c r="AD757" s="606"/>
      <c r="AE757" s="606"/>
      <c r="AF757" s="606"/>
      <c r="AG757" s="606"/>
    </row>
    <row r="758" spans="1:33" s="612" customFormat="1" hidden="1" outlineLevel="3" x14ac:dyDescent="0.2">
      <c r="A758" s="606"/>
      <c r="B758" s="606"/>
      <c r="C758" s="607"/>
      <c r="D758" s="608"/>
      <c r="E758" s="608"/>
      <c r="F758" s="608"/>
      <c r="G758" s="608"/>
      <c r="H758" s="609"/>
      <c r="I758" s="660"/>
      <c r="J758" s="660"/>
      <c r="K758" s="660"/>
      <c r="L758" s="660"/>
      <c r="M758" s="660"/>
      <c r="N758" s="660"/>
      <c r="O758" s="660"/>
      <c r="P758" s="660"/>
      <c r="Q758" s="660"/>
      <c r="R758" s="660"/>
      <c r="S758" s="660"/>
      <c r="T758" s="660"/>
      <c r="U758" s="660"/>
      <c r="V758" s="660"/>
      <c r="W758" s="660"/>
      <c r="X758" s="660"/>
      <c r="Y758" s="660"/>
      <c r="Z758" s="660"/>
      <c r="AA758" s="660"/>
      <c r="AB758" s="660"/>
      <c r="AC758" s="661"/>
      <c r="AD758" s="606"/>
      <c r="AE758" s="606"/>
      <c r="AF758" s="606"/>
      <c r="AG758" s="606"/>
    </row>
    <row r="759" spans="1:33" s="612" customFormat="1" hidden="1" outlineLevel="3" x14ac:dyDescent="0.2">
      <c r="A759" s="606"/>
      <c r="B759" s="606"/>
      <c r="C759" s="607"/>
      <c r="D759" s="608"/>
      <c r="E759" s="608"/>
      <c r="F759" s="608"/>
      <c r="G759" s="608"/>
      <c r="H759" s="609"/>
      <c r="I759" s="660"/>
      <c r="J759" s="660"/>
      <c r="K759" s="660"/>
      <c r="L759" s="660"/>
      <c r="M759" s="660"/>
      <c r="N759" s="660"/>
      <c r="O759" s="660"/>
      <c r="P759" s="660"/>
      <c r="Q759" s="660"/>
      <c r="R759" s="660"/>
      <c r="S759" s="660"/>
      <c r="T759" s="660"/>
      <c r="U759" s="660"/>
      <c r="V759" s="660"/>
      <c r="W759" s="660"/>
      <c r="X759" s="660"/>
      <c r="Y759" s="660"/>
      <c r="Z759" s="660"/>
      <c r="AA759" s="660"/>
      <c r="AB759" s="660"/>
      <c r="AC759" s="661"/>
      <c r="AD759" s="606"/>
      <c r="AE759" s="606"/>
      <c r="AF759" s="606"/>
      <c r="AG759" s="606"/>
    </row>
    <row r="760" spans="1:33" s="612" customFormat="1" hidden="1" outlineLevel="3" x14ac:dyDescent="0.2">
      <c r="A760" s="606"/>
      <c r="B760" s="606"/>
      <c r="C760" s="607"/>
      <c r="D760" s="608"/>
      <c r="E760" s="608"/>
      <c r="F760" s="608"/>
      <c r="G760" s="608"/>
      <c r="H760" s="609"/>
      <c r="I760" s="660"/>
      <c r="J760" s="660"/>
      <c r="K760" s="660"/>
      <c r="L760" s="660"/>
      <c r="M760" s="660"/>
      <c r="N760" s="660"/>
      <c r="O760" s="660"/>
      <c r="P760" s="660"/>
      <c r="Q760" s="660"/>
      <c r="R760" s="660"/>
      <c r="S760" s="660"/>
      <c r="T760" s="660"/>
      <c r="U760" s="660"/>
      <c r="V760" s="660"/>
      <c r="W760" s="660"/>
      <c r="X760" s="660"/>
      <c r="Y760" s="660"/>
      <c r="Z760" s="660"/>
      <c r="AA760" s="660"/>
      <c r="AB760" s="660"/>
      <c r="AC760" s="661"/>
      <c r="AD760" s="606"/>
      <c r="AE760" s="606"/>
      <c r="AF760" s="606"/>
      <c r="AG760" s="606"/>
    </row>
    <row r="761" spans="1:33" s="612" customFormat="1" hidden="1" outlineLevel="3" x14ac:dyDescent="0.2">
      <c r="A761" s="606"/>
      <c r="B761" s="606"/>
      <c r="C761" s="607"/>
      <c r="D761" s="608"/>
      <c r="E761" s="608"/>
      <c r="F761" s="608"/>
      <c r="G761" s="608"/>
      <c r="H761" s="609"/>
      <c r="I761" s="660"/>
      <c r="J761" s="660"/>
      <c r="K761" s="660"/>
      <c r="L761" s="660"/>
      <c r="M761" s="660"/>
      <c r="N761" s="660"/>
      <c r="O761" s="660"/>
      <c r="P761" s="660"/>
      <c r="Q761" s="660"/>
      <c r="R761" s="660"/>
      <c r="S761" s="660"/>
      <c r="T761" s="660"/>
      <c r="U761" s="660"/>
      <c r="V761" s="660"/>
      <c r="W761" s="660"/>
      <c r="X761" s="660"/>
      <c r="Y761" s="660"/>
      <c r="Z761" s="660"/>
      <c r="AA761" s="660"/>
      <c r="AB761" s="660"/>
      <c r="AC761" s="661"/>
      <c r="AD761" s="606"/>
      <c r="AE761" s="606"/>
      <c r="AF761" s="606"/>
      <c r="AG761" s="606"/>
    </row>
    <row r="762" spans="1:33" s="612" customFormat="1" hidden="1" outlineLevel="3" x14ac:dyDescent="0.2">
      <c r="A762" s="606"/>
      <c r="B762" s="606"/>
      <c r="C762" s="607"/>
      <c r="D762" s="608"/>
      <c r="E762" s="608"/>
      <c r="F762" s="608"/>
      <c r="G762" s="608"/>
      <c r="H762" s="609"/>
      <c r="I762" s="660"/>
      <c r="J762" s="660"/>
      <c r="K762" s="660"/>
      <c r="L762" s="660"/>
      <c r="M762" s="660"/>
      <c r="N762" s="660"/>
      <c r="O762" s="660"/>
      <c r="P762" s="660"/>
      <c r="Q762" s="660"/>
      <c r="R762" s="660"/>
      <c r="S762" s="660"/>
      <c r="T762" s="660"/>
      <c r="U762" s="660"/>
      <c r="V762" s="660"/>
      <c r="W762" s="660"/>
      <c r="X762" s="660"/>
      <c r="Y762" s="660"/>
      <c r="Z762" s="660"/>
      <c r="AA762" s="660"/>
      <c r="AB762" s="660"/>
      <c r="AC762" s="661"/>
      <c r="AD762" s="606"/>
      <c r="AE762" s="606"/>
      <c r="AF762" s="606"/>
      <c r="AG762" s="606"/>
    </row>
    <row r="763" spans="1:33" s="612" customFormat="1" hidden="1" outlineLevel="3" x14ac:dyDescent="0.2">
      <c r="A763" s="606"/>
      <c r="B763" s="606"/>
      <c r="C763" s="607"/>
      <c r="D763" s="608"/>
      <c r="E763" s="608"/>
      <c r="F763" s="608"/>
      <c r="G763" s="608"/>
      <c r="H763" s="609"/>
      <c r="I763" s="660"/>
      <c r="J763" s="660"/>
      <c r="K763" s="660"/>
      <c r="L763" s="660"/>
      <c r="M763" s="660"/>
      <c r="N763" s="660"/>
      <c r="O763" s="660"/>
      <c r="P763" s="660"/>
      <c r="Q763" s="660"/>
      <c r="R763" s="660"/>
      <c r="S763" s="660"/>
      <c r="T763" s="660"/>
      <c r="U763" s="660"/>
      <c r="V763" s="660"/>
      <c r="W763" s="660"/>
      <c r="X763" s="660"/>
      <c r="Y763" s="660"/>
      <c r="Z763" s="660"/>
      <c r="AA763" s="660"/>
      <c r="AB763" s="660"/>
      <c r="AC763" s="661"/>
      <c r="AD763" s="606"/>
      <c r="AE763" s="606"/>
      <c r="AF763" s="606"/>
      <c r="AG763" s="606"/>
    </row>
    <row r="764" spans="1:33" s="612" customFormat="1" hidden="1" outlineLevel="3" x14ac:dyDescent="0.2">
      <c r="A764" s="606"/>
      <c r="B764" s="606"/>
      <c r="C764" s="607"/>
      <c r="D764" s="608"/>
      <c r="E764" s="608"/>
      <c r="F764" s="608"/>
      <c r="G764" s="608"/>
      <c r="H764" s="609"/>
      <c r="I764" s="660"/>
      <c r="J764" s="660"/>
      <c r="K764" s="660"/>
      <c r="L764" s="660"/>
      <c r="M764" s="660"/>
      <c r="N764" s="660"/>
      <c r="O764" s="660"/>
      <c r="P764" s="660"/>
      <c r="Q764" s="660"/>
      <c r="R764" s="660"/>
      <c r="S764" s="660"/>
      <c r="T764" s="660"/>
      <c r="U764" s="660"/>
      <c r="V764" s="660"/>
      <c r="W764" s="660"/>
      <c r="X764" s="660"/>
      <c r="Y764" s="660"/>
      <c r="Z764" s="660"/>
      <c r="AA764" s="660"/>
      <c r="AB764" s="660"/>
      <c r="AC764" s="661"/>
      <c r="AD764" s="606"/>
      <c r="AE764" s="606"/>
      <c r="AF764" s="606"/>
      <c r="AG764" s="606"/>
    </row>
    <row r="765" spans="1:33" s="612" customFormat="1" hidden="1" outlineLevel="3" x14ac:dyDescent="0.2">
      <c r="A765" s="606"/>
      <c r="B765" s="606"/>
      <c r="C765" s="607"/>
      <c r="D765" s="608"/>
      <c r="E765" s="608"/>
      <c r="F765" s="608"/>
      <c r="G765" s="608"/>
      <c r="H765" s="609"/>
      <c r="I765" s="660"/>
      <c r="J765" s="660"/>
      <c r="K765" s="660"/>
      <c r="L765" s="660"/>
      <c r="M765" s="660"/>
      <c r="N765" s="660"/>
      <c r="O765" s="660"/>
      <c r="P765" s="660"/>
      <c r="Q765" s="660"/>
      <c r="R765" s="660"/>
      <c r="S765" s="660"/>
      <c r="T765" s="660"/>
      <c r="U765" s="660"/>
      <c r="V765" s="660"/>
      <c r="W765" s="660"/>
      <c r="X765" s="660"/>
      <c r="Y765" s="660"/>
      <c r="Z765" s="660"/>
      <c r="AA765" s="660"/>
      <c r="AB765" s="660"/>
      <c r="AC765" s="661"/>
      <c r="AD765" s="606"/>
      <c r="AE765" s="606"/>
      <c r="AF765" s="606"/>
      <c r="AG765" s="606"/>
    </row>
    <row r="766" spans="1:33" s="612" customFormat="1" hidden="1" outlineLevel="3" x14ac:dyDescent="0.2">
      <c r="A766" s="606"/>
      <c r="B766" s="606"/>
      <c r="C766" s="607"/>
      <c r="D766" s="608"/>
      <c r="E766" s="608"/>
      <c r="F766" s="608"/>
      <c r="G766" s="608"/>
      <c r="H766" s="609"/>
      <c r="I766" s="660"/>
      <c r="J766" s="660"/>
      <c r="K766" s="660"/>
      <c r="L766" s="660"/>
      <c r="M766" s="660"/>
      <c r="N766" s="660"/>
      <c r="O766" s="660"/>
      <c r="P766" s="660"/>
      <c r="Q766" s="660"/>
      <c r="R766" s="660"/>
      <c r="S766" s="660"/>
      <c r="T766" s="660"/>
      <c r="U766" s="660"/>
      <c r="V766" s="660"/>
      <c r="W766" s="660"/>
      <c r="X766" s="660"/>
      <c r="Y766" s="660"/>
      <c r="Z766" s="660"/>
      <c r="AA766" s="660"/>
      <c r="AB766" s="660"/>
      <c r="AC766" s="661"/>
      <c r="AD766" s="606"/>
      <c r="AE766" s="606"/>
      <c r="AF766" s="606"/>
      <c r="AG766" s="606"/>
    </row>
    <row r="767" spans="1:33" s="612" customFormat="1" hidden="1" outlineLevel="3" x14ac:dyDescent="0.2">
      <c r="A767" s="606"/>
      <c r="B767" s="606"/>
      <c r="C767" s="607"/>
      <c r="D767" s="608"/>
      <c r="E767" s="608"/>
      <c r="F767" s="608"/>
      <c r="G767" s="608"/>
      <c r="H767" s="609"/>
      <c r="I767" s="660"/>
      <c r="J767" s="660"/>
      <c r="K767" s="660"/>
      <c r="L767" s="660"/>
      <c r="M767" s="660"/>
      <c r="N767" s="660"/>
      <c r="O767" s="660"/>
      <c r="P767" s="660"/>
      <c r="Q767" s="660"/>
      <c r="R767" s="660"/>
      <c r="S767" s="660"/>
      <c r="T767" s="660"/>
      <c r="U767" s="660"/>
      <c r="V767" s="660"/>
      <c r="W767" s="660"/>
      <c r="X767" s="660"/>
      <c r="Y767" s="660"/>
      <c r="Z767" s="660"/>
      <c r="AA767" s="660"/>
      <c r="AB767" s="660"/>
      <c r="AC767" s="661"/>
      <c r="AD767" s="606"/>
      <c r="AE767" s="606"/>
      <c r="AF767" s="606"/>
      <c r="AG767" s="606"/>
    </row>
    <row r="768" spans="1:33" s="612" customFormat="1" hidden="1" outlineLevel="3" x14ac:dyDescent="0.2">
      <c r="A768" s="606"/>
      <c r="B768" s="606"/>
      <c r="C768" s="607"/>
      <c r="D768" s="608"/>
      <c r="E768" s="608"/>
      <c r="F768" s="608"/>
      <c r="G768" s="608"/>
      <c r="H768" s="609"/>
      <c r="I768" s="660"/>
      <c r="J768" s="660"/>
      <c r="K768" s="660"/>
      <c r="L768" s="660"/>
      <c r="M768" s="660"/>
      <c r="N768" s="660"/>
      <c r="O768" s="660"/>
      <c r="P768" s="660"/>
      <c r="Q768" s="660"/>
      <c r="R768" s="660"/>
      <c r="S768" s="660"/>
      <c r="T768" s="660"/>
      <c r="U768" s="660"/>
      <c r="V768" s="660"/>
      <c r="W768" s="660"/>
      <c r="X768" s="660"/>
      <c r="Y768" s="660"/>
      <c r="Z768" s="660"/>
      <c r="AA768" s="660"/>
      <c r="AB768" s="660"/>
      <c r="AC768" s="661"/>
      <c r="AD768" s="606"/>
      <c r="AE768" s="606"/>
      <c r="AF768" s="606"/>
      <c r="AG768" s="606"/>
    </row>
    <row r="769" spans="1:33" s="612" customFormat="1" hidden="1" outlineLevel="3" x14ac:dyDescent="0.2">
      <c r="A769" s="606"/>
      <c r="B769" s="606"/>
      <c r="C769" s="607"/>
      <c r="D769" s="608"/>
      <c r="E769" s="608"/>
      <c r="F769" s="608"/>
      <c r="G769" s="608"/>
      <c r="H769" s="609"/>
      <c r="I769" s="660"/>
      <c r="J769" s="660"/>
      <c r="K769" s="660"/>
      <c r="L769" s="660"/>
      <c r="M769" s="660"/>
      <c r="N769" s="660"/>
      <c r="O769" s="660"/>
      <c r="P769" s="660"/>
      <c r="Q769" s="660"/>
      <c r="R769" s="660"/>
      <c r="S769" s="660"/>
      <c r="T769" s="660"/>
      <c r="U769" s="660"/>
      <c r="V769" s="660"/>
      <c r="W769" s="660"/>
      <c r="X769" s="660"/>
      <c r="Y769" s="660"/>
      <c r="Z769" s="660"/>
      <c r="AA769" s="660"/>
      <c r="AB769" s="660"/>
      <c r="AC769" s="661"/>
      <c r="AD769" s="606"/>
      <c r="AE769" s="606"/>
      <c r="AF769" s="606"/>
      <c r="AG769" s="606"/>
    </row>
    <row r="770" spans="1:33" s="612" customFormat="1" hidden="1" outlineLevel="3" x14ac:dyDescent="0.2">
      <c r="A770" s="606"/>
      <c r="B770" s="606"/>
      <c r="C770" s="607"/>
      <c r="D770" s="608"/>
      <c r="E770" s="608"/>
      <c r="F770" s="608"/>
      <c r="G770" s="608"/>
      <c r="H770" s="609"/>
      <c r="I770" s="660"/>
      <c r="J770" s="660"/>
      <c r="K770" s="660"/>
      <c r="L770" s="660"/>
      <c r="M770" s="660"/>
      <c r="N770" s="660"/>
      <c r="O770" s="660"/>
      <c r="P770" s="660"/>
      <c r="Q770" s="660"/>
      <c r="R770" s="660"/>
      <c r="S770" s="660"/>
      <c r="T770" s="660"/>
      <c r="U770" s="660"/>
      <c r="V770" s="660"/>
      <c r="W770" s="660"/>
      <c r="X770" s="660"/>
      <c r="Y770" s="660"/>
      <c r="Z770" s="660"/>
      <c r="AA770" s="660"/>
      <c r="AB770" s="660"/>
      <c r="AC770" s="661"/>
      <c r="AD770" s="606"/>
      <c r="AE770" s="606"/>
      <c r="AF770" s="606"/>
      <c r="AG770" s="606"/>
    </row>
    <row r="771" spans="1:33" s="612" customFormat="1" hidden="1" outlineLevel="3" x14ac:dyDescent="0.2">
      <c r="A771" s="606"/>
      <c r="B771" s="606"/>
      <c r="C771" s="607"/>
      <c r="D771" s="608"/>
      <c r="E771" s="608"/>
      <c r="F771" s="608"/>
      <c r="G771" s="608"/>
      <c r="H771" s="609"/>
      <c r="I771" s="660"/>
      <c r="J771" s="660"/>
      <c r="K771" s="660"/>
      <c r="L771" s="660"/>
      <c r="M771" s="660"/>
      <c r="N771" s="660"/>
      <c r="O771" s="660"/>
      <c r="P771" s="660"/>
      <c r="Q771" s="660"/>
      <c r="R771" s="660"/>
      <c r="S771" s="660"/>
      <c r="T771" s="660"/>
      <c r="U771" s="660"/>
      <c r="V771" s="660"/>
      <c r="W771" s="660"/>
      <c r="X771" s="660"/>
      <c r="Y771" s="660"/>
      <c r="Z771" s="660"/>
      <c r="AA771" s="660"/>
      <c r="AB771" s="660"/>
      <c r="AC771" s="661"/>
      <c r="AD771" s="606"/>
      <c r="AE771" s="606"/>
      <c r="AF771" s="606"/>
      <c r="AG771" s="606"/>
    </row>
    <row r="772" spans="1:33" s="612" customFormat="1" hidden="1" outlineLevel="3" x14ac:dyDescent="0.2">
      <c r="A772" s="606"/>
      <c r="B772" s="606"/>
      <c r="C772" s="607"/>
      <c r="D772" s="608"/>
      <c r="E772" s="608"/>
      <c r="F772" s="608"/>
      <c r="G772" s="608"/>
      <c r="H772" s="609"/>
      <c r="I772" s="660"/>
      <c r="J772" s="660"/>
      <c r="K772" s="660"/>
      <c r="L772" s="660"/>
      <c r="M772" s="660"/>
      <c r="N772" s="660"/>
      <c r="O772" s="660"/>
      <c r="P772" s="660"/>
      <c r="Q772" s="660"/>
      <c r="R772" s="660"/>
      <c r="S772" s="660"/>
      <c r="T772" s="660"/>
      <c r="U772" s="660"/>
      <c r="V772" s="660"/>
      <c r="W772" s="660"/>
      <c r="X772" s="660"/>
      <c r="Y772" s="660"/>
      <c r="Z772" s="660"/>
      <c r="AA772" s="660"/>
      <c r="AB772" s="660"/>
      <c r="AC772" s="661"/>
      <c r="AD772" s="606"/>
      <c r="AE772" s="606"/>
      <c r="AF772" s="606"/>
      <c r="AG772" s="606"/>
    </row>
    <row r="773" spans="1:33" s="612" customFormat="1" hidden="1" outlineLevel="3" x14ac:dyDescent="0.2">
      <c r="A773" s="606"/>
      <c r="B773" s="606"/>
      <c r="C773" s="607"/>
      <c r="D773" s="608"/>
      <c r="E773" s="608"/>
      <c r="F773" s="608"/>
      <c r="G773" s="608"/>
      <c r="H773" s="609"/>
      <c r="I773" s="660"/>
      <c r="J773" s="660"/>
      <c r="K773" s="660"/>
      <c r="L773" s="660"/>
      <c r="M773" s="660"/>
      <c r="N773" s="660"/>
      <c r="O773" s="660"/>
      <c r="P773" s="660"/>
      <c r="Q773" s="660"/>
      <c r="R773" s="660"/>
      <c r="S773" s="660"/>
      <c r="T773" s="660"/>
      <c r="U773" s="660"/>
      <c r="V773" s="660"/>
      <c r="W773" s="660"/>
      <c r="X773" s="660"/>
      <c r="Y773" s="660"/>
      <c r="Z773" s="660"/>
      <c r="AA773" s="660"/>
      <c r="AB773" s="660"/>
      <c r="AC773" s="661"/>
      <c r="AD773" s="606"/>
      <c r="AE773" s="606"/>
      <c r="AF773" s="606"/>
      <c r="AG773" s="606"/>
    </row>
    <row r="774" spans="1:33" s="612" customFormat="1" hidden="1" outlineLevel="3" x14ac:dyDescent="0.2">
      <c r="A774" s="606"/>
      <c r="B774" s="606"/>
      <c r="C774" s="607"/>
      <c r="D774" s="608"/>
      <c r="E774" s="608"/>
      <c r="F774" s="608"/>
      <c r="G774" s="608"/>
      <c r="H774" s="609"/>
      <c r="I774" s="660"/>
      <c r="J774" s="660"/>
      <c r="K774" s="660"/>
      <c r="L774" s="660"/>
      <c r="M774" s="660"/>
      <c r="N774" s="660"/>
      <c r="O774" s="660"/>
      <c r="P774" s="660"/>
      <c r="Q774" s="660"/>
      <c r="R774" s="660"/>
      <c r="S774" s="660"/>
      <c r="T774" s="660"/>
      <c r="U774" s="660"/>
      <c r="V774" s="660"/>
      <c r="W774" s="660"/>
      <c r="X774" s="660"/>
      <c r="Y774" s="660"/>
      <c r="Z774" s="660"/>
      <c r="AA774" s="660"/>
      <c r="AB774" s="660"/>
      <c r="AC774" s="661"/>
      <c r="AD774" s="606"/>
      <c r="AE774" s="606"/>
      <c r="AF774" s="606"/>
      <c r="AG774" s="606"/>
    </row>
    <row r="775" spans="1:33" s="612" customFormat="1" hidden="1" outlineLevel="3" x14ac:dyDescent="0.2">
      <c r="A775" s="606"/>
      <c r="B775" s="606"/>
      <c r="C775" s="607"/>
      <c r="D775" s="608"/>
      <c r="E775" s="608"/>
      <c r="F775" s="608"/>
      <c r="G775" s="608"/>
      <c r="H775" s="609"/>
      <c r="I775" s="660"/>
      <c r="J775" s="660"/>
      <c r="K775" s="660"/>
      <c r="L775" s="660"/>
      <c r="M775" s="660"/>
      <c r="N775" s="660"/>
      <c r="O775" s="660"/>
      <c r="P775" s="660"/>
      <c r="Q775" s="660"/>
      <c r="R775" s="660"/>
      <c r="S775" s="660"/>
      <c r="T775" s="660"/>
      <c r="U775" s="660"/>
      <c r="V775" s="660"/>
      <c r="W775" s="660"/>
      <c r="X775" s="660"/>
      <c r="Y775" s="660"/>
      <c r="Z775" s="660"/>
      <c r="AA775" s="660"/>
      <c r="AB775" s="660"/>
      <c r="AC775" s="661"/>
      <c r="AD775" s="606"/>
      <c r="AE775" s="606"/>
      <c r="AF775" s="606"/>
      <c r="AG775" s="606"/>
    </row>
    <row r="776" spans="1:33" s="612" customFormat="1" hidden="1" outlineLevel="3" x14ac:dyDescent="0.2">
      <c r="A776" s="606"/>
      <c r="B776" s="606"/>
      <c r="C776" s="607"/>
      <c r="D776" s="608"/>
      <c r="E776" s="608"/>
      <c r="F776" s="608"/>
      <c r="G776" s="608"/>
      <c r="H776" s="609"/>
      <c r="I776" s="660"/>
      <c r="J776" s="660"/>
      <c r="K776" s="660"/>
      <c r="L776" s="660"/>
      <c r="M776" s="660"/>
      <c r="N776" s="660"/>
      <c r="O776" s="660"/>
      <c r="P776" s="660"/>
      <c r="Q776" s="660"/>
      <c r="R776" s="660"/>
      <c r="S776" s="660"/>
      <c r="T776" s="660"/>
      <c r="U776" s="660"/>
      <c r="V776" s="660"/>
      <c r="W776" s="660"/>
      <c r="X776" s="660"/>
      <c r="Y776" s="660"/>
      <c r="Z776" s="660"/>
      <c r="AA776" s="660"/>
      <c r="AB776" s="660"/>
      <c r="AC776" s="661"/>
      <c r="AD776" s="606"/>
      <c r="AE776" s="606"/>
      <c r="AF776" s="606"/>
      <c r="AG776" s="606"/>
    </row>
    <row r="777" spans="1:33" s="612" customFormat="1" hidden="1" outlineLevel="3" x14ac:dyDescent="0.2">
      <c r="A777" s="606"/>
      <c r="B777" s="606"/>
      <c r="C777" s="607"/>
      <c r="D777" s="608"/>
      <c r="E777" s="608"/>
      <c r="F777" s="608"/>
      <c r="G777" s="608"/>
      <c r="H777" s="609"/>
      <c r="I777" s="660"/>
      <c r="J777" s="660"/>
      <c r="K777" s="660"/>
      <c r="L777" s="660"/>
      <c r="M777" s="660"/>
      <c r="N777" s="660"/>
      <c r="O777" s="660"/>
      <c r="P777" s="660"/>
      <c r="Q777" s="660"/>
      <c r="R777" s="660"/>
      <c r="S777" s="660"/>
      <c r="T777" s="660"/>
      <c r="U777" s="660"/>
      <c r="V777" s="660"/>
      <c r="W777" s="660"/>
      <c r="X777" s="660"/>
      <c r="Y777" s="660"/>
      <c r="Z777" s="660"/>
      <c r="AA777" s="660"/>
      <c r="AB777" s="660"/>
      <c r="AC777" s="661"/>
      <c r="AD777" s="606"/>
      <c r="AE777" s="606"/>
      <c r="AF777" s="606"/>
      <c r="AG777" s="606"/>
    </row>
    <row r="778" spans="1:33" s="612" customFormat="1" hidden="1" outlineLevel="3" x14ac:dyDescent="0.2">
      <c r="A778" s="606"/>
      <c r="B778" s="606"/>
      <c r="C778" s="607"/>
      <c r="D778" s="608"/>
      <c r="E778" s="608"/>
      <c r="F778" s="608"/>
      <c r="G778" s="608"/>
      <c r="H778" s="609"/>
      <c r="I778" s="660"/>
      <c r="J778" s="660"/>
      <c r="K778" s="660"/>
      <c r="L778" s="660"/>
      <c r="M778" s="660"/>
      <c r="N778" s="660"/>
      <c r="O778" s="660"/>
      <c r="P778" s="660"/>
      <c r="Q778" s="660"/>
      <c r="R778" s="660"/>
      <c r="S778" s="660"/>
      <c r="T778" s="660"/>
      <c r="U778" s="660"/>
      <c r="V778" s="660"/>
      <c r="W778" s="660"/>
      <c r="X778" s="660"/>
      <c r="Y778" s="660"/>
      <c r="Z778" s="660"/>
      <c r="AA778" s="660"/>
      <c r="AB778" s="660"/>
      <c r="AC778" s="661"/>
      <c r="AD778" s="606"/>
      <c r="AE778" s="606"/>
      <c r="AF778" s="606"/>
      <c r="AG778" s="606"/>
    </row>
    <row r="779" spans="1:33" s="612" customFormat="1" hidden="1" outlineLevel="3" x14ac:dyDescent="0.2">
      <c r="A779" s="606"/>
      <c r="B779" s="606"/>
      <c r="C779" s="607"/>
      <c r="D779" s="608"/>
      <c r="E779" s="608"/>
      <c r="F779" s="608"/>
      <c r="G779" s="608"/>
      <c r="H779" s="609"/>
      <c r="I779" s="660"/>
      <c r="J779" s="660"/>
      <c r="K779" s="660"/>
      <c r="L779" s="660"/>
      <c r="M779" s="660"/>
      <c r="N779" s="660"/>
      <c r="O779" s="660"/>
      <c r="P779" s="660"/>
      <c r="Q779" s="660"/>
      <c r="R779" s="660"/>
      <c r="S779" s="660"/>
      <c r="T779" s="660"/>
      <c r="U779" s="660"/>
      <c r="V779" s="660"/>
      <c r="W779" s="660"/>
      <c r="X779" s="660"/>
      <c r="Y779" s="660"/>
      <c r="Z779" s="660"/>
      <c r="AA779" s="660"/>
      <c r="AB779" s="660"/>
      <c r="AC779" s="661"/>
      <c r="AD779" s="606"/>
      <c r="AE779" s="606"/>
      <c r="AF779" s="606"/>
      <c r="AG779" s="606"/>
    </row>
    <row r="780" spans="1:33" s="612" customFormat="1" hidden="1" outlineLevel="3" x14ac:dyDescent="0.2">
      <c r="A780" s="606"/>
      <c r="B780" s="606"/>
      <c r="C780" s="607"/>
      <c r="D780" s="608"/>
      <c r="E780" s="608"/>
      <c r="F780" s="608"/>
      <c r="G780" s="608"/>
      <c r="H780" s="609"/>
      <c r="I780" s="660"/>
      <c r="J780" s="660"/>
      <c r="K780" s="660"/>
      <c r="L780" s="660"/>
      <c r="M780" s="660"/>
      <c r="N780" s="660"/>
      <c r="O780" s="660"/>
      <c r="P780" s="660"/>
      <c r="Q780" s="660"/>
      <c r="R780" s="660"/>
      <c r="S780" s="660"/>
      <c r="T780" s="660"/>
      <c r="U780" s="660"/>
      <c r="V780" s="660"/>
      <c r="W780" s="660"/>
      <c r="X780" s="660"/>
      <c r="Y780" s="660"/>
      <c r="Z780" s="660"/>
      <c r="AA780" s="660"/>
      <c r="AB780" s="660"/>
      <c r="AC780" s="661"/>
      <c r="AD780" s="606"/>
      <c r="AE780" s="606"/>
      <c r="AF780" s="606"/>
      <c r="AG780" s="606"/>
    </row>
    <row r="781" spans="1:33" s="612" customFormat="1" hidden="1" outlineLevel="3" x14ac:dyDescent="0.2">
      <c r="A781" s="606"/>
      <c r="B781" s="606"/>
      <c r="C781" s="607"/>
      <c r="D781" s="608"/>
      <c r="E781" s="608"/>
      <c r="F781" s="608"/>
      <c r="G781" s="608"/>
      <c r="H781" s="609"/>
      <c r="I781" s="660"/>
      <c r="J781" s="660"/>
      <c r="K781" s="660"/>
      <c r="L781" s="660"/>
      <c r="M781" s="660"/>
      <c r="N781" s="660"/>
      <c r="O781" s="660"/>
      <c r="P781" s="660"/>
      <c r="Q781" s="660"/>
      <c r="R781" s="660"/>
      <c r="S781" s="660"/>
      <c r="T781" s="660"/>
      <c r="U781" s="660"/>
      <c r="V781" s="660"/>
      <c r="W781" s="660"/>
      <c r="X781" s="660"/>
      <c r="Y781" s="660"/>
      <c r="Z781" s="660"/>
      <c r="AA781" s="660"/>
      <c r="AB781" s="660"/>
      <c r="AC781" s="661"/>
      <c r="AD781" s="606"/>
      <c r="AE781" s="606"/>
      <c r="AF781" s="606"/>
      <c r="AG781" s="606"/>
    </row>
    <row r="782" spans="1:33" s="612" customFormat="1" hidden="1" outlineLevel="3" x14ac:dyDescent="0.2">
      <c r="A782" s="606"/>
      <c r="B782" s="606"/>
      <c r="C782" s="607"/>
      <c r="D782" s="608"/>
      <c r="E782" s="608"/>
      <c r="F782" s="608"/>
      <c r="G782" s="608"/>
      <c r="H782" s="609"/>
      <c r="I782" s="660"/>
      <c r="J782" s="660"/>
      <c r="K782" s="660"/>
      <c r="L782" s="660"/>
      <c r="M782" s="660"/>
      <c r="N782" s="660"/>
      <c r="O782" s="660"/>
      <c r="P782" s="660"/>
      <c r="Q782" s="660"/>
      <c r="R782" s="660"/>
      <c r="S782" s="660"/>
      <c r="T782" s="660"/>
      <c r="U782" s="660"/>
      <c r="V782" s="660"/>
      <c r="W782" s="660"/>
      <c r="X782" s="660"/>
      <c r="Y782" s="660"/>
      <c r="Z782" s="660"/>
      <c r="AA782" s="660"/>
      <c r="AB782" s="660"/>
      <c r="AC782" s="661"/>
      <c r="AD782" s="606"/>
      <c r="AE782" s="606"/>
      <c r="AF782" s="606"/>
      <c r="AG782" s="606"/>
    </row>
    <row r="783" spans="1:33" s="612" customFormat="1" hidden="1" outlineLevel="3" x14ac:dyDescent="0.2">
      <c r="A783" s="606"/>
      <c r="B783" s="606"/>
      <c r="C783" s="607"/>
      <c r="D783" s="608"/>
      <c r="E783" s="608"/>
      <c r="F783" s="608"/>
      <c r="G783" s="608"/>
      <c r="H783" s="609"/>
      <c r="I783" s="660"/>
      <c r="J783" s="660"/>
      <c r="K783" s="660"/>
      <c r="L783" s="660"/>
      <c r="M783" s="660"/>
      <c r="N783" s="660"/>
      <c r="O783" s="660"/>
      <c r="P783" s="660"/>
      <c r="Q783" s="660"/>
      <c r="R783" s="660"/>
      <c r="S783" s="660"/>
      <c r="T783" s="660"/>
      <c r="U783" s="660"/>
      <c r="V783" s="660"/>
      <c r="W783" s="660"/>
      <c r="X783" s="660"/>
      <c r="Y783" s="660"/>
      <c r="Z783" s="660"/>
      <c r="AA783" s="660"/>
      <c r="AB783" s="660"/>
      <c r="AC783" s="661"/>
      <c r="AD783" s="606"/>
      <c r="AE783" s="606"/>
      <c r="AF783" s="606"/>
      <c r="AG783" s="606"/>
    </row>
    <row r="784" spans="1:33" s="612" customFormat="1" hidden="1" outlineLevel="3" x14ac:dyDescent="0.2">
      <c r="A784" s="606"/>
      <c r="B784" s="606"/>
      <c r="C784" s="607"/>
      <c r="D784" s="608"/>
      <c r="E784" s="608"/>
      <c r="F784" s="608"/>
      <c r="G784" s="608"/>
      <c r="H784" s="609"/>
      <c r="I784" s="660"/>
      <c r="J784" s="660"/>
      <c r="K784" s="660"/>
      <c r="L784" s="660"/>
      <c r="M784" s="660"/>
      <c r="N784" s="660"/>
      <c r="O784" s="660"/>
      <c r="P784" s="660"/>
      <c r="Q784" s="660"/>
      <c r="R784" s="660"/>
      <c r="S784" s="660"/>
      <c r="T784" s="660"/>
      <c r="U784" s="660"/>
      <c r="V784" s="660"/>
      <c r="W784" s="660"/>
      <c r="X784" s="660"/>
      <c r="Y784" s="660"/>
      <c r="Z784" s="660"/>
      <c r="AA784" s="660"/>
      <c r="AB784" s="660"/>
      <c r="AC784" s="661"/>
      <c r="AD784" s="606"/>
      <c r="AE784" s="606"/>
      <c r="AF784" s="606"/>
      <c r="AG784" s="606"/>
    </row>
    <row r="785" spans="1:33" s="612" customFormat="1" hidden="1" outlineLevel="3" x14ac:dyDescent="0.2">
      <c r="A785" s="606"/>
      <c r="B785" s="606"/>
      <c r="C785" s="607"/>
      <c r="D785" s="608"/>
      <c r="E785" s="608"/>
      <c r="F785" s="608"/>
      <c r="G785" s="608"/>
      <c r="H785" s="609"/>
      <c r="I785" s="660"/>
      <c r="J785" s="660"/>
      <c r="K785" s="660"/>
      <c r="L785" s="660"/>
      <c r="M785" s="660"/>
      <c r="N785" s="660"/>
      <c r="O785" s="660"/>
      <c r="P785" s="660"/>
      <c r="Q785" s="660"/>
      <c r="R785" s="660"/>
      <c r="S785" s="660"/>
      <c r="T785" s="660"/>
      <c r="U785" s="660"/>
      <c r="V785" s="660"/>
      <c r="W785" s="660"/>
      <c r="X785" s="660"/>
      <c r="Y785" s="660"/>
      <c r="Z785" s="660"/>
      <c r="AA785" s="660"/>
      <c r="AB785" s="660"/>
      <c r="AC785" s="661"/>
      <c r="AD785" s="606"/>
      <c r="AE785" s="606"/>
      <c r="AF785" s="606"/>
      <c r="AG785" s="606"/>
    </row>
    <row r="786" spans="1:33" s="612" customFormat="1" hidden="1" outlineLevel="3" x14ac:dyDescent="0.2">
      <c r="A786" s="606"/>
      <c r="B786" s="606"/>
      <c r="C786" s="607"/>
      <c r="D786" s="608"/>
      <c r="E786" s="608"/>
      <c r="F786" s="608"/>
      <c r="G786" s="608"/>
      <c r="H786" s="609"/>
      <c r="I786" s="660"/>
      <c r="J786" s="660"/>
      <c r="K786" s="660"/>
      <c r="L786" s="660"/>
      <c r="M786" s="660"/>
      <c r="N786" s="660"/>
      <c r="O786" s="660"/>
      <c r="P786" s="660"/>
      <c r="Q786" s="660"/>
      <c r="R786" s="660"/>
      <c r="S786" s="660"/>
      <c r="T786" s="660"/>
      <c r="U786" s="660"/>
      <c r="V786" s="660"/>
      <c r="W786" s="660"/>
      <c r="X786" s="660"/>
      <c r="Y786" s="660"/>
      <c r="Z786" s="660"/>
      <c r="AA786" s="660"/>
      <c r="AB786" s="660"/>
      <c r="AC786" s="661"/>
      <c r="AD786" s="606"/>
      <c r="AE786" s="606"/>
      <c r="AF786" s="606"/>
      <c r="AG786" s="606"/>
    </row>
    <row r="787" spans="1:33" s="612" customFormat="1" hidden="1" outlineLevel="3" x14ac:dyDescent="0.2">
      <c r="A787" s="606"/>
      <c r="B787" s="606"/>
      <c r="C787" s="607"/>
      <c r="D787" s="608"/>
      <c r="E787" s="608"/>
      <c r="F787" s="608"/>
      <c r="G787" s="608"/>
      <c r="H787" s="609"/>
      <c r="I787" s="660"/>
      <c r="J787" s="660"/>
      <c r="K787" s="660"/>
      <c r="L787" s="660"/>
      <c r="M787" s="660"/>
      <c r="N787" s="660"/>
      <c r="O787" s="660"/>
      <c r="P787" s="660"/>
      <c r="Q787" s="660"/>
      <c r="R787" s="660"/>
      <c r="S787" s="660"/>
      <c r="T787" s="660"/>
      <c r="U787" s="660"/>
      <c r="V787" s="660"/>
      <c r="W787" s="660"/>
      <c r="X787" s="660"/>
      <c r="Y787" s="660"/>
      <c r="Z787" s="660"/>
      <c r="AA787" s="660"/>
      <c r="AB787" s="660"/>
      <c r="AC787" s="661"/>
      <c r="AD787" s="606"/>
      <c r="AE787" s="606"/>
      <c r="AF787" s="606"/>
      <c r="AG787" s="606"/>
    </row>
    <row r="788" spans="1:33" s="612" customFormat="1" hidden="1" outlineLevel="3" x14ac:dyDescent="0.2">
      <c r="A788" s="606"/>
      <c r="B788" s="606"/>
      <c r="C788" s="607"/>
      <c r="D788" s="608"/>
      <c r="E788" s="608"/>
      <c r="F788" s="608"/>
      <c r="G788" s="608"/>
      <c r="H788" s="609"/>
      <c r="I788" s="660"/>
      <c r="J788" s="660"/>
      <c r="K788" s="660"/>
      <c r="L788" s="660"/>
      <c r="M788" s="660"/>
      <c r="N788" s="660"/>
      <c r="O788" s="660"/>
      <c r="P788" s="660"/>
      <c r="Q788" s="660"/>
      <c r="R788" s="660"/>
      <c r="S788" s="660"/>
      <c r="T788" s="660"/>
      <c r="U788" s="660"/>
      <c r="V788" s="660"/>
      <c r="W788" s="660"/>
      <c r="X788" s="660"/>
      <c r="Y788" s="660"/>
      <c r="Z788" s="660"/>
      <c r="AA788" s="660"/>
      <c r="AB788" s="660"/>
      <c r="AC788" s="661"/>
      <c r="AD788" s="606"/>
      <c r="AE788" s="606"/>
      <c r="AF788" s="606"/>
      <c r="AG788" s="606"/>
    </row>
    <row r="789" spans="1:33" s="612" customFormat="1" hidden="1" outlineLevel="3" x14ac:dyDescent="0.2">
      <c r="A789" s="606"/>
      <c r="B789" s="606"/>
      <c r="C789" s="607"/>
      <c r="D789" s="608"/>
      <c r="E789" s="608"/>
      <c r="F789" s="608"/>
      <c r="G789" s="608"/>
      <c r="H789" s="609"/>
      <c r="I789" s="660"/>
      <c r="J789" s="660"/>
      <c r="K789" s="660"/>
      <c r="L789" s="660"/>
      <c r="M789" s="660"/>
      <c r="N789" s="660"/>
      <c r="O789" s="660"/>
      <c r="P789" s="660"/>
      <c r="Q789" s="660"/>
      <c r="R789" s="660"/>
      <c r="S789" s="660"/>
      <c r="T789" s="660"/>
      <c r="U789" s="660"/>
      <c r="V789" s="660"/>
      <c r="W789" s="660"/>
      <c r="X789" s="660"/>
      <c r="Y789" s="660"/>
      <c r="Z789" s="660"/>
      <c r="AA789" s="660"/>
      <c r="AB789" s="660"/>
      <c r="AC789" s="661"/>
      <c r="AD789" s="606"/>
      <c r="AE789" s="606"/>
      <c r="AF789" s="606"/>
      <c r="AG789" s="606"/>
    </row>
    <row r="790" spans="1:33" s="612" customFormat="1" hidden="1" outlineLevel="3" x14ac:dyDescent="0.2">
      <c r="A790" s="606"/>
      <c r="B790" s="606"/>
      <c r="C790" s="607"/>
      <c r="D790" s="608"/>
      <c r="E790" s="608"/>
      <c r="F790" s="608"/>
      <c r="G790" s="608"/>
      <c r="H790" s="609"/>
      <c r="I790" s="660"/>
      <c r="J790" s="660"/>
      <c r="K790" s="660"/>
      <c r="L790" s="660"/>
      <c r="M790" s="660"/>
      <c r="N790" s="660"/>
      <c r="O790" s="660"/>
      <c r="P790" s="660"/>
      <c r="Q790" s="660"/>
      <c r="R790" s="660"/>
      <c r="S790" s="660"/>
      <c r="T790" s="660"/>
      <c r="U790" s="660"/>
      <c r="V790" s="660"/>
      <c r="W790" s="660"/>
      <c r="X790" s="660"/>
      <c r="Y790" s="660"/>
      <c r="Z790" s="660"/>
      <c r="AA790" s="660"/>
      <c r="AB790" s="660"/>
      <c r="AC790" s="661"/>
      <c r="AD790" s="606"/>
      <c r="AE790" s="606"/>
      <c r="AF790" s="606"/>
      <c r="AG790" s="606"/>
    </row>
    <row r="791" spans="1:33" s="612" customFormat="1" hidden="1" outlineLevel="3" x14ac:dyDescent="0.2">
      <c r="A791" s="606"/>
      <c r="B791" s="606"/>
      <c r="C791" s="607"/>
      <c r="D791" s="608"/>
      <c r="E791" s="608"/>
      <c r="F791" s="608"/>
      <c r="G791" s="608"/>
      <c r="H791" s="609"/>
      <c r="I791" s="660"/>
      <c r="J791" s="660"/>
      <c r="K791" s="660"/>
      <c r="L791" s="660"/>
      <c r="M791" s="660"/>
      <c r="N791" s="660"/>
      <c r="O791" s="660"/>
      <c r="P791" s="660"/>
      <c r="Q791" s="660"/>
      <c r="R791" s="660"/>
      <c r="S791" s="660"/>
      <c r="T791" s="660"/>
      <c r="U791" s="660"/>
      <c r="V791" s="660"/>
      <c r="W791" s="660"/>
      <c r="X791" s="660"/>
      <c r="Y791" s="660"/>
      <c r="Z791" s="660"/>
      <c r="AA791" s="660"/>
      <c r="AB791" s="660"/>
      <c r="AC791" s="661"/>
      <c r="AD791" s="606"/>
      <c r="AE791" s="606"/>
      <c r="AF791" s="606"/>
      <c r="AG791" s="606"/>
    </row>
    <row r="792" spans="1:33" s="612" customFormat="1" hidden="1" outlineLevel="3" x14ac:dyDescent="0.2">
      <c r="A792" s="606"/>
      <c r="B792" s="606"/>
      <c r="C792" s="607"/>
      <c r="D792" s="608"/>
      <c r="E792" s="608"/>
      <c r="F792" s="608"/>
      <c r="G792" s="608"/>
      <c r="H792" s="609"/>
      <c r="I792" s="660"/>
      <c r="J792" s="660"/>
      <c r="K792" s="660"/>
      <c r="L792" s="660"/>
      <c r="M792" s="660"/>
      <c r="N792" s="660"/>
      <c r="O792" s="660"/>
      <c r="P792" s="660"/>
      <c r="Q792" s="660"/>
      <c r="R792" s="660"/>
      <c r="S792" s="660"/>
      <c r="T792" s="660"/>
      <c r="U792" s="660"/>
      <c r="V792" s="660"/>
      <c r="W792" s="660"/>
      <c r="X792" s="660"/>
      <c r="Y792" s="660"/>
      <c r="Z792" s="660"/>
      <c r="AA792" s="660"/>
      <c r="AB792" s="660"/>
      <c r="AC792" s="661"/>
      <c r="AD792" s="606"/>
      <c r="AE792" s="606"/>
      <c r="AF792" s="606"/>
      <c r="AG792" s="606"/>
    </row>
    <row r="793" spans="1:33" s="612" customFormat="1" hidden="1" outlineLevel="3" x14ac:dyDescent="0.2">
      <c r="A793" s="606"/>
      <c r="B793" s="606"/>
      <c r="C793" s="607"/>
      <c r="D793" s="608"/>
      <c r="E793" s="608"/>
      <c r="F793" s="608"/>
      <c r="G793" s="608"/>
      <c r="H793" s="609"/>
      <c r="I793" s="660"/>
      <c r="J793" s="660"/>
      <c r="K793" s="660"/>
      <c r="L793" s="660"/>
      <c r="M793" s="660"/>
      <c r="N793" s="660"/>
      <c r="O793" s="660"/>
      <c r="P793" s="660"/>
      <c r="Q793" s="660"/>
      <c r="R793" s="660"/>
      <c r="S793" s="660"/>
      <c r="T793" s="660"/>
      <c r="U793" s="660"/>
      <c r="V793" s="660"/>
      <c r="W793" s="660"/>
      <c r="X793" s="660"/>
      <c r="Y793" s="660"/>
      <c r="Z793" s="660"/>
      <c r="AA793" s="660"/>
      <c r="AB793" s="660"/>
      <c r="AC793" s="661"/>
      <c r="AD793" s="606"/>
      <c r="AE793" s="606"/>
      <c r="AF793" s="606"/>
      <c r="AG793" s="606"/>
    </row>
    <row r="794" spans="1:33" s="612" customFormat="1" hidden="1" outlineLevel="3" x14ac:dyDescent="0.2">
      <c r="A794" s="606"/>
      <c r="B794" s="606"/>
      <c r="C794" s="607"/>
      <c r="D794" s="608"/>
      <c r="E794" s="608"/>
      <c r="F794" s="608"/>
      <c r="G794" s="608"/>
      <c r="H794" s="609"/>
      <c r="I794" s="660"/>
      <c r="J794" s="660"/>
      <c r="K794" s="660"/>
      <c r="L794" s="660"/>
      <c r="M794" s="660"/>
      <c r="N794" s="660"/>
      <c r="O794" s="660"/>
      <c r="P794" s="660"/>
      <c r="Q794" s="660"/>
      <c r="R794" s="660"/>
      <c r="S794" s="660"/>
      <c r="T794" s="660"/>
      <c r="U794" s="660"/>
      <c r="V794" s="660"/>
      <c r="W794" s="660"/>
      <c r="X794" s="660"/>
      <c r="Y794" s="660"/>
      <c r="Z794" s="660"/>
      <c r="AA794" s="660"/>
      <c r="AB794" s="660"/>
      <c r="AC794" s="661"/>
      <c r="AD794" s="606"/>
      <c r="AE794" s="606"/>
      <c r="AF794" s="606"/>
      <c r="AG794" s="606"/>
    </row>
    <row r="795" spans="1:33" s="612" customFormat="1" hidden="1" outlineLevel="3" x14ac:dyDescent="0.2">
      <c r="A795" s="606"/>
      <c r="B795" s="606"/>
      <c r="C795" s="607"/>
      <c r="D795" s="608"/>
      <c r="E795" s="608"/>
      <c r="F795" s="608"/>
      <c r="G795" s="608"/>
      <c r="H795" s="609"/>
      <c r="I795" s="660"/>
      <c r="J795" s="660"/>
      <c r="K795" s="660"/>
      <c r="L795" s="660"/>
      <c r="M795" s="660"/>
      <c r="N795" s="660"/>
      <c r="O795" s="660"/>
      <c r="P795" s="660"/>
      <c r="Q795" s="660"/>
      <c r="R795" s="660"/>
      <c r="S795" s="660"/>
      <c r="T795" s="660"/>
      <c r="U795" s="660"/>
      <c r="V795" s="660"/>
      <c r="W795" s="660"/>
      <c r="X795" s="660"/>
      <c r="Y795" s="660"/>
      <c r="Z795" s="660"/>
      <c r="AA795" s="660"/>
      <c r="AB795" s="660"/>
      <c r="AC795" s="661"/>
      <c r="AD795" s="606"/>
      <c r="AE795" s="606"/>
      <c r="AF795" s="606"/>
      <c r="AG795" s="606"/>
    </row>
    <row r="796" spans="1:33" s="612" customFormat="1" hidden="1" outlineLevel="3" x14ac:dyDescent="0.2">
      <c r="A796" s="606"/>
      <c r="B796" s="606"/>
      <c r="C796" s="607"/>
      <c r="D796" s="608"/>
      <c r="E796" s="608"/>
      <c r="F796" s="608"/>
      <c r="G796" s="608"/>
      <c r="H796" s="609"/>
      <c r="I796" s="660"/>
      <c r="J796" s="660"/>
      <c r="K796" s="660"/>
      <c r="L796" s="660"/>
      <c r="M796" s="660"/>
      <c r="N796" s="660"/>
      <c r="O796" s="660"/>
      <c r="P796" s="660"/>
      <c r="Q796" s="660"/>
      <c r="R796" s="660"/>
      <c r="S796" s="660"/>
      <c r="T796" s="660"/>
      <c r="U796" s="660"/>
      <c r="V796" s="660"/>
      <c r="W796" s="660"/>
      <c r="X796" s="660"/>
      <c r="Y796" s="660"/>
      <c r="Z796" s="660"/>
      <c r="AA796" s="660"/>
      <c r="AB796" s="660"/>
      <c r="AC796" s="661"/>
      <c r="AD796" s="606"/>
      <c r="AE796" s="606"/>
      <c r="AF796" s="606"/>
      <c r="AG796" s="606"/>
    </row>
    <row r="797" spans="1:33" s="612" customFormat="1" hidden="1" outlineLevel="3" x14ac:dyDescent="0.2">
      <c r="A797" s="606"/>
      <c r="B797" s="606"/>
      <c r="C797" s="607"/>
      <c r="D797" s="608"/>
      <c r="E797" s="608"/>
      <c r="F797" s="608"/>
      <c r="G797" s="608"/>
      <c r="H797" s="609"/>
      <c r="I797" s="660"/>
      <c r="J797" s="660"/>
      <c r="K797" s="660"/>
      <c r="L797" s="660"/>
      <c r="M797" s="660"/>
      <c r="N797" s="660"/>
      <c r="O797" s="660"/>
      <c r="P797" s="660"/>
      <c r="Q797" s="660"/>
      <c r="R797" s="660"/>
      <c r="S797" s="660"/>
      <c r="T797" s="660"/>
      <c r="U797" s="660"/>
      <c r="V797" s="660"/>
      <c r="W797" s="660"/>
      <c r="X797" s="660"/>
      <c r="Y797" s="660"/>
      <c r="Z797" s="660"/>
      <c r="AA797" s="660"/>
      <c r="AB797" s="660"/>
      <c r="AC797" s="661"/>
      <c r="AD797" s="606"/>
      <c r="AE797" s="606"/>
      <c r="AF797" s="606"/>
      <c r="AG797" s="606"/>
    </row>
    <row r="798" spans="1:33" s="612" customFormat="1" hidden="1" outlineLevel="3" x14ac:dyDescent="0.2">
      <c r="A798" s="606"/>
      <c r="B798" s="606"/>
      <c r="C798" s="607"/>
      <c r="D798" s="608"/>
      <c r="E798" s="608"/>
      <c r="F798" s="608"/>
      <c r="G798" s="608"/>
      <c r="H798" s="609"/>
      <c r="I798" s="660"/>
      <c r="J798" s="660"/>
      <c r="K798" s="660"/>
      <c r="L798" s="660"/>
      <c r="M798" s="660"/>
      <c r="N798" s="660"/>
      <c r="O798" s="660"/>
      <c r="P798" s="660"/>
      <c r="Q798" s="660"/>
      <c r="R798" s="660"/>
      <c r="S798" s="660"/>
      <c r="T798" s="660"/>
      <c r="U798" s="660"/>
      <c r="V798" s="660"/>
      <c r="W798" s="660"/>
      <c r="X798" s="660"/>
      <c r="Y798" s="660"/>
      <c r="Z798" s="660"/>
      <c r="AA798" s="660"/>
      <c r="AB798" s="660"/>
      <c r="AC798" s="661"/>
      <c r="AD798" s="606"/>
      <c r="AE798" s="606"/>
      <c r="AF798" s="606"/>
      <c r="AG798" s="606"/>
    </row>
    <row r="799" spans="1:33" s="612" customFormat="1" hidden="1" outlineLevel="3" x14ac:dyDescent="0.2">
      <c r="A799" s="606"/>
      <c r="B799" s="606"/>
      <c r="C799" s="607"/>
      <c r="D799" s="608"/>
      <c r="E799" s="608"/>
      <c r="F799" s="608"/>
      <c r="G799" s="608"/>
      <c r="H799" s="609"/>
      <c r="I799" s="660"/>
      <c r="J799" s="660"/>
      <c r="K799" s="660"/>
      <c r="L799" s="660"/>
      <c r="M799" s="660"/>
      <c r="N799" s="660"/>
      <c r="O799" s="660"/>
      <c r="P799" s="660"/>
      <c r="Q799" s="660"/>
      <c r="R799" s="660"/>
      <c r="S799" s="660"/>
      <c r="T799" s="660"/>
      <c r="U799" s="660"/>
      <c r="V799" s="660"/>
      <c r="W799" s="660"/>
      <c r="X799" s="660"/>
      <c r="Y799" s="660"/>
      <c r="Z799" s="660"/>
      <c r="AA799" s="660"/>
      <c r="AB799" s="660"/>
      <c r="AC799" s="661"/>
      <c r="AD799" s="606"/>
      <c r="AE799" s="606"/>
      <c r="AF799" s="606"/>
      <c r="AG799" s="606"/>
    </row>
    <row r="800" spans="1:33" s="612" customFormat="1" hidden="1" outlineLevel="3" x14ac:dyDescent="0.2">
      <c r="A800" s="606"/>
      <c r="B800" s="606"/>
      <c r="C800" s="607"/>
      <c r="D800" s="608"/>
      <c r="E800" s="608"/>
      <c r="F800" s="608"/>
      <c r="G800" s="608"/>
      <c r="H800" s="609"/>
      <c r="I800" s="660"/>
      <c r="J800" s="660"/>
      <c r="K800" s="660"/>
      <c r="L800" s="660"/>
      <c r="M800" s="660"/>
      <c r="N800" s="660"/>
      <c r="O800" s="660"/>
      <c r="P800" s="660"/>
      <c r="Q800" s="660"/>
      <c r="R800" s="660"/>
      <c r="S800" s="660"/>
      <c r="T800" s="660"/>
      <c r="U800" s="660"/>
      <c r="V800" s="660"/>
      <c r="W800" s="660"/>
      <c r="X800" s="660"/>
      <c r="Y800" s="660"/>
      <c r="Z800" s="660"/>
      <c r="AA800" s="660"/>
      <c r="AB800" s="660"/>
      <c r="AC800" s="661"/>
      <c r="AD800" s="606"/>
      <c r="AE800" s="606"/>
      <c r="AF800" s="606"/>
      <c r="AG800" s="606"/>
    </row>
    <row r="801" spans="1:33" s="612" customFormat="1" hidden="1" outlineLevel="3" x14ac:dyDescent="0.2">
      <c r="A801" s="606"/>
      <c r="B801" s="606"/>
      <c r="C801" s="607"/>
      <c r="D801" s="608"/>
      <c r="E801" s="608"/>
      <c r="F801" s="608"/>
      <c r="G801" s="608"/>
      <c r="H801" s="609"/>
      <c r="I801" s="660"/>
      <c r="J801" s="660"/>
      <c r="K801" s="660"/>
      <c r="L801" s="660"/>
      <c r="M801" s="660"/>
      <c r="N801" s="660"/>
      <c r="O801" s="660"/>
      <c r="P801" s="660"/>
      <c r="Q801" s="660"/>
      <c r="R801" s="660"/>
      <c r="S801" s="660"/>
      <c r="T801" s="660"/>
      <c r="U801" s="660"/>
      <c r="V801" s="660"/>
      <c r="W801" s="660"/>
      <c r="X801" s="660"/>
      <c r="Y801" s="660"/>
      <c r="Z801" s="660"/>
      <c r="AA801" s="660"/>
      <c r="AB801" s="660"/>
      <c r="AC801" s="661"/>
      <c r="AD801" s="606"/>
      <c r="AE801" s="606"/>
      <c r="AF801" s="606"/>
      <c r="AG801" s="606"/>
    </row>
    <row r="802" spans="1:33" s="612" customFormat="1" hidden="1" outlineLevel="3" x14ac:dyDescent="0.2">
      <c r="A802" s="606"/>
      <c r="B802" s="606"/>
      <c r="C802" s="607"/>
      <c r="D802" s="608"/>
      <c r="E802" s="608"/>
      <c r="F802" s="608"/>
      <c r="G802" s="608"/>
      <c r="H802" s="609"/>
      <c r="I802" s="660"/>
      <c r="J802" s="660"/>
      <c r="K802" s="660"/>
      <c r="L802" s="660"/>
      <c r="M802" s="660"/>
      <c r="N802" s="660"/>
      <c r="O802" s="660"/>
      <c r="P802" s="660"/>
      <c r="Q802" s="660"/>
      <c r="R802" s="660"/>
      <c r="S802" s="660"/>
      <c r="T802" s="660"/>
      <c r="U802" s="660"/>
      <c r="V802" s="660"/>
      <c r="W802" s="660"/>
      <c r="X802" s="660"/>
      <c r="Y802" s="660"/>
      <c r="Z802" s="660"/>
      <c r="AA802" s="660"/>
      <c r="AB802" s="660"/>
      <c r="AC802" s="661"/>
      <c r="AD802" s="606"/>
      <c r="AE802" s="606"/>
      <c r="AF802" s="606"/>
      <c r="AG802" s="606"/>
    </row>
    <row r="803" spans="1:33" s="612" customFormat="1" hidden="1" outlineLevel="3" x14ac:dyDescent="0.2">
      <c r="A803" s="606"/>
      <c r="B803" s="606"/>
      <c r="C803" s="607"/>
      <c r="D803" s="608"/>
      <c r="E803" s="608"/>
      <c r="F803" s="608"/>
      <c r="G803" s="608"/>
      <c r="H803" s="609"/>
      <c r="I803" s="660"/>
      <c r="J803" s="660"/>
      <c r="K803" s="660"/>
      <c r="L803" s="660"/>
      <c r="M803" s="660"/>
      <c r="N803" s="660"/>
      <c r="O803" s="660"/>
      <c r="P803" s="660"/>
      <c r="Q803" s="660"/>
      <c r="R803" s="660"/>
      <c r="S803" s="660"/>
      <c r="T803" s="660"/>
      <c r="U803" s="660"/>
      <c r="V803" s="660"/>
      <c r="W803" s="660"/>
      <c r="X803" s="660"/>
      <c r="Y803" s="660"/>
      <c r="Z803" s="660"/>
      <c r="AA803" s="660"/>
      <c r="AB803" s="660"/>
      <c r="AC803" s="661"/>
      <c r="AD803" s="606"/>
      <c r="AE803" s="606"/>
      <c r="AF803" s="606"/>
      <c r="AG803" s="606"/>
    </row>
    <row r="804" spans="1:33" s="612" customFormat="1" hidden="1" outlineLevel="3" x14ac:dyDescent="0.2">
      <c r="A804" s="606"/>
      <c r="B804" s="606"/>
      <c r="C804" s="607"/>
      <c r="D804" s="608"/>
      <c r="E804" s="608"/>
      <c r="F804" s="608"/>
      <c r="G804" s="608"/>
      <c r="H804" s="609"/>
      <c r="I804" s="660"/>
      <c r="J804" s="660"/>
      <c r="K804" s="660"/>
      <c r="L804" s="660"/>
      <c r="M804" s="660"/>
      <c r="N804" s="660"/>
      <c r="O804" s="660"/>
      <c r="P804" s="660"/>
      <c r="Q804" s="660"/>
      <c r="R804" s="660"/>
      <c r="S804" s="660"/>
      <c r="T804" s="660"/>
      <c r="U804" s="660"/>
      <c r="V804" s="660"/>
      <c r="W804" s="660"/>
      <c r="X804" s="660"/>
      <c r="Y804" s="660"/>
      <c r="Z804" s="660"/>
      <c r="AA804" s="660"/>
      <c r="AB804" s="660"/>
      <c r="AC804" s="661"/>
      <c r="AD804" s="606"/>
      <c r="AE804" s="606"/>
      <c r="AF804" s="606"/>
      <c r="AG804" s="606"/>
    </row>
    <row r="805" spans="1:33" s="612" customFormat="1" hidden="1" outlineLevel="3" x14ac:dyDescent="0.2">
      <c r="A805" s="606"/>
      <c r="B805" s="606"/>
      <c r="C805" s="607"/>
      <c r="D805" s="608"/>
      <c r="E805" s="608"/>
      <c r="F805" s="608"/>
      <c r="G805" s="608"/>
      <c r="H805" s="609"/>
      <c r="I805" s="660"/>
      <c r="J805" s="660"/>
      <c r="K805" s="660"/>
      <c r="L805" s="660"/>
      <c r="M805" s="660"/>
      <c r="N805" s="660"/>
      <c r="O805" s="660"/>
      <c r="P805" s="660"/>
      <c r="Q805" s="660"/>
      <c r="R805" s="660"/>
      <c r="S805" s="660"/>
      <c r="T805" s="660"/>
      <c r="U805" s="660"/>
      <c r="V805" s="660"/>
      <c r="W805" s="660"/>
      <c r="X805" s="660"/>
      <c r="Y805" s="660"/>
      <c r="Z805" s="660"/>
      <c r="AA805" s="660"/>
      <c r="AB805" s="660"/>
      <c r="AC805" s="661"/>
      <c r="AD805" s="606"/>
      <c r="AE805" s="606"/>
      <c r="AF805" s="606"/>
      <c r="AG805" s="606"/>
    </row>
    <row r="806" spans="1:33" s="612" customFormat="1" hidden="1" outlineLevel="3" x14ac:dyDescent="0.2">
      <c r="A806" s="606"/>
      <c r="B806" s="606"/>
      <c r="C806" s="607"/>
      <c r="D806" s="608"/>
      <c r="E806" s="608"/>
      <c r="F806" s="608"/>
      <c r="G806" s="608"/>
      <c r="H806" s="609"/>
      <c r="I806" s="660"/>
      <c r="J806" s="660"/>
      <c r="K806" s="660"/>
      <c r="L806" s="660"/>
      <c r="M806" s="660"/>
      <c r="N806" s="660"/>
      <c r="O806" s="660"/>
      <c r="P806" s="660"/>
      <c r="Q806" s="660"/>
      <c r="R806" s="660"/>
      <c r="S806" s="660"/>
      <c r="T806" s="660"/>
      <c r="U806" s="660"/>
      <c r="V806" s="660"/>
      <c r="W806" s="660"/>
      <c r="X806" s="660"/>
      <c r="Y806" s="660"/>
      <c r="Z806" s="660"/>
      <c r="AA806" s="660"/>
      <c r="AB806" s="660"/>
      <c r="AC806" s="661"/>
      <c r="AD806" s="606"/>
      <c r="AE806" s="606"/>
      <c r="AF806" s="606"/>
      <c r="AG806" s="606"/>
    </row>
    <row r="807" spans="1:33" s="612" customFormat="1" hidden="1" outlineLevel="3" x14ac:dyDescent="0.2">
      <c r="A807" s="606"/>
      <c r="B807" s="606"/>
      <c r="C807" s="607"/>
      <c r="D807" s="608"/>
      <c r="E807" s="608"/>
      <c r="F807" s="608"/>
      <c r="G807" s="608"/>
      <c r="H807" s="609"/>
      <c r="I807" s="660"/>
      <c r="J807" s="660"/>
      <c r="K807" s="660"/>
      <c r="L807" s="660"/>
      <c r="M807" s="660"/>
      <c r="N807" s="660"/>
      <c r="O807" s="660"/>
      <c r="P807" s="660"/>
      <c r="Q807" s="660"/>
      <c r="R807" s="660"/>
      <c r="S807" s="660"/>
      <c r="T807" s="660"/>
      <c r="U807" s="660"/>
      <c r="V807" s="660"/>
      <c r="W807" s="660"/>
      <c r="X807" s="660"/>
      <c r="Y807" s="660"/>
      <c r="Z807" s="660"/>
      <c r="AA807" s="660"/>
      <c r="AB807" s="660"/>
      <c r="AC807" s="661"/>
      <c r="AD807" s="606"/>
      <c r="AE807" s="606"/>
      <c r="AF807" s="606"/>
      <c r="AG807" s="606"/>
    </row>
    <row r="808" spans="1:33" s="612" customFormat="1" hidden="1" outlineLevel="3" x14ac:dyDescent="0.2">
      <c r="A808" s="606"/>
      <c r="B808" s="606"/>
      <c r="C808" s="607"/>
      <c r="D808" s="608"/>
      <c r="E808" s="608"/>
      <c r="F808" s="608"/>
      <c r="G808" s="608"/>
      <c r="H808" s="609"/>
      <c r="I808" s="660"/>
      <c r="J808" s="660"/>
      <c r="K808" s="660"/>
      <c r="L808" s="660"/>
      <c r="M808" s="660"/>
      <c r="N808" s="660"/>
      <c r="O808" s="660"/>
      <c r="P808" s="660"/>
      <c r="Q808" s="660"/>
      <c r="R808" s="660"/>
      <c r="S808" s="660"/>
      <c r="T808" s="660"/>
      <c r="U808" s="660"/>
      <c r="V808" s="660"/>
      <c r="W808" s="660"/>
      <c r="X808" s="660"/>
      <c r="Y808" s="660"/>
      <c r="Z808" s="660"/>
      <c r="AA808" s="660"/>
      <c r="AB808" s="660"/>
      <c r="AC808" s="661"/>
      <c r="AD808" s="606"/>
      <c r="AE808" s="606"/>
      <c r="AF808" s="606"/>
      <c r="AG808" s="606"/>
    </row>
    <row r="809" spans="1:33" s="612" customFormat="1" hidden="1" outlineLevel="3" x14ac:dyDescent="0.2">
      <c r="A809" s="606"/>
      <c r="B809" s="606"/>
      <c r="C809" s="607"/>
      <c r="D809" s="608"/>
      <c r="E809" s="608"/>
      <c r="F809" s="608"/>
      <c r="G809" s="608"/>
      <c r="H809" s="609"/>
      <c r="I809" s="660"/>
      <c r="J809" s="660"/>
      <c r="K809" s="660"/>
      <c r="L809" s="660"/>
      <c r="M809" s="660"/>
      <c r="N809" s="660"/>
      <c r="O809" s="660"/>
      <c r="P809" s="660"/>
      <c r="Q809" s="660"/>
      <c r="R809" s="660"/>
      <c r="S809" s="660"/>
      <c r="T809" s="660"/>
      <c r="U809" s="660"/>
      <c r="V809" s="660"/>
      <c r="W809" s="660"/>
      <c r="X809" s="660"/>
      <c r="Y809" s="660"/>
      <c r="Z809" s="660"/>
      <c r="AA809" s="660"/>
      <c r="AB809" s="660"/>
      <c r="AC809" s="661"/>
      <c r="AD809" s="606"/>
      <c r="AE809" s="606"/>
      <c r="AF809" s="606"/>
      <c r="AG809" s="606"/>
    </row>
    <row r="810" spans="1:33" s="612" customFormat="1" outlineLevel="2" collapsed="1" x14ac:dyDescent="0.2">
      <c r="A810" s="606"/>
      <c r="B810" s="606"/>
      <c r="C810" s="613"/>
      <c r="D810" s="613"/>
      <c r="E810" s="609"/>
      <c r="F810" s="609"/>
      <c r="G810" s="609"/>
      <c r="H810" s="609"/>
      <c r="I810" s="662"/>
      <c r="J810" s="662"/>
      <c r="K810" s="662"/>
      <c r="L810" s="662"/>
      <c r="M810" s="662"/>
      <c r="N810" s="662"/>
      <c r="O810" s="662"/>
      <c r="P810" s="662"/>
      <c r="Q810" s="662"/>
      <c r="R810" s="662"/>
      <c r="S810" s="662"/>
      <c r="T810" s="662"/>
      <c r="U810" s="662"/>
      <c r="V810" s="662"/>
      <c r="W810" s="662"/>
      <c r="X810" s="662"/>
      <c r="Y810" s="662"/>
      <c r="Z810" s="662"/>
      <c r="AA810" s="662"/>
      <c r="AB810" s="662"/>
      <c r="AC810" s="661"/>
      <c r="AD810" s="606"/>
      <c r="AE810" s="606"/>
      <c r="AF810" s="606"/>
      <c r="AG810" s="606"/>
    </row>
    <row r="811" spans="1:33" s="612" customFormat="1" outlineLevel="1" x14ac:dyDescent="0.2">
      <c r="A811" s="606"/>
      <c r="B811" s="606"/>
      <c r="C811" s="613"/>
      <c r="D811" s="609"/>
      <c r="E811" s="609"/>
      <c r="F811" s="609"/>
      <c r="G811" s="609"/>
      <c r="H811" s="609"/>
      <c r="I811" s="664"/>
      <c r="J811" s="664"/>
      <c r="K811" s="665"/>
      <c r="L811" s="665"/>
      <c r="M811" s="665"/>
      <c r="N811" s="666"/>
      <c r="O811" s="666"/>
      <c r="P811" s="666"/>
      <c r="Q811" s="666"/>
      <c r="R811" s="666"/>
      <c r="S811" s="667"/>
      <c r="T811" s="667"/>
      <c r="U811" s="667"/>
      <c r="V811" s="667"/>
      <c r="W811" s="667"/>
      <c r="X811" s="667"/>
      <c r="Y811" s="667"/>
      <c r="Z811" s="667"/>
      <c r="AA811" s="667"/>
      <c r="AB811" s="667"/>
      <c r="AC811" s="667"/>
      <c r="AD811" s="606"/>
      <c r="AE811" s="606"/>
      <c r="AF811" s="606"/>
      <c r="AG811" s="606"/>
    </row>
    <row r="812" spans="1:33" s="612" customFormat="1" outlineLevel="1" x14ac:dyDescent="0.2">
      <c r="A812" s="606"/>
      <c r="B812" s="606"/>
      <c r="C812" s="616"/>
      <c r="D812" s="617"/>
      <c r="E812" s="617"/>
      <c r="F812" s="617"/>
      <c r="G812" s="618"/>
      <c r="H812" s="618"/>
      <c r="I812" s="661"/>
      <c r="J812" s="661"/>
      <c r="K812" s="661"/>
      <c r="L812" s="661"/>
      <c r="M812" s="661"/>
      <c r="N812" s="661"/>
      <c r="O812" s="661"/>
      <c r="P812" s="661"/>
      <c r="Q812" s="661"/>
      <c r="R812" s="661"/>
      <c r="S812" s="661"/>
      <c r="T812" s="661"/>
      <c r="U812" s="661"/>
      <c r="V812" s="661"/>
      <c r="W812" s="661"/>
      <c r="X812" s="661"/>
      <c r="Y812" s="661"/>
      <c r="Z812" s="661"/>
      <c r="AA812" s="661"/>
      <c r="AB812" s="661"/>
      <c r="AC812" s="661"/>
      <c r="AD812" s="606"/>
      <c r="AE812" s="606"/>
      <c r="AF812" s="606"/>
      <c r="AG812" s="606"/>
    </row>
    <row r="813" spans="1:33" s="612" customFormat="1" outlineLevel="2" x14ac:dyDescent="0.2">
      <c r="A813" s="606"/>
      <c r="B813" s="606"/>
      <c r="C813" s="607"/>
      <c r="D813" s="608"/>
      <c r="E813" s="608"/>
      <c r="F813" s="608"/>
      <c r="G813" s="608"/>
      <c r="H813" s="609"/>
      <c r="I813" s="660"/>
      <c r="J813" s="660"/>
      <c r="K813" s="660"/>
      <c r="L813" s="660"/>
      <c r="M813" s="660"/>
      <c r="N813" s="660"/>
      <c r="O813" s="660"/>
      <c r="P813" s="660"/>
      <c r="Q813" s="660"/>
      <c r="R813" s="660"/>
      <c r="S813" s="660"/>
      <c r="T813" s="660"/>
      <c r="U813" s="660"/>
      <c r="V813" s="660"/>
      <c r="W813" s="660"/>
      <c r="X813" s="660"/>
      <c r="Y813" s="660"/>
      <c r="Z813" s="660"/>
      <c r="AA813" s="660"/>
      <c r="AB813" s="660"/>
      <c r="AC813" s="661"/>
      <c r="AD813" s="606"/>
      <c r="AE813" s="606"/>
      <c r="AF813" s="606"/>
      <c r="AG813" s="606"/>
    </row>
    <row r="814" spans="1:33" s="612" customFormat="1" outlineLevel="2" x14ac:dyDescent="0.2">
      <c r="A814" s="606"/>
      <c r="B814" s="606"/>
      <c r="C814" s="607"/>
      <c r="D814" s="608"/>
      <c r="E814" s="608"/>
      <c r="F814" s="608"/>
      <c r="G814" s="608"/>
      <c r="H814" s="609"/>
      <c r="I814" s="660"/>
      <c r="J814" s="660"/>
      <c r="K814" s="660"/>
      <c r="L814" s="660"/>
      <c r="M814" s="660"/>
      <c r="N814" s="660"/>
      <c r="O814" s="660"/>
      <c r="P814" s="660"/>
      <c r="Q814" s="660"/>
      <c r="R814" s="660"/>
      <c r="S814" s="660"/>
      <c r="T814" s="660"/>
      <c r="U814" s="660"/>
      <c r="V814" s="660"/>
      <c r="W814" s="660"/>
      <c r="X814" s="660"/>
      <c r="Y814" s="660"/>
      <c r="Z814" s="660"/>
      <c r="AA814" s="660"/>
      <c r="AB814" s="660"/>
      <c r="AC814" s="661"/>
      <c r="AD814" s="606"/>
      <c r="AE814" s="606"/>
      <c r="AF814" s="606"/>
      <c r="AG814" s="606"/>
    </row>
    <row r="815" spans="1:33" s="612" customFormat="1" outlineLevel="2" x14ac:dyDescent="0.2">
      <c r="A815" s="606"/>
      <c r="B815" s="606"/>
      <c r="C815" s="607"/>
      <c r="D815" s="608"/>
      <c r="E815" s="608"/>
      <c r="F815" s="608"/>
      <c r="G815" s="608"/>
      <c r="H815" s="609"/>
      <c r="I815" s="660"/>
      <c r="J815" s="660"/>
      <c r="K815" s="660"/>
      <c r="L815" s="660"/>
      <c r="M815" s="660"/>
      <c r="N815" s="660"/>
      <c r="O815" s="660"/>
      <c r="P815" s="660"/>
      <c r="Q815" s="660"/>
      <c r="R815" s="660"/>
      <c r="S815" s="660"/>
      <c r="T815" s="660"/>
      <c r="U815" s="660"/>
      <c r="V815" s="660"/>
      <c r="W815" s="660"/>
      <c r="X815" s="660"/>
      <c r="Y815" s="660"/>
      <c r="Z815" s="660"/>
      <c r="AA815" s="660"/>
      <c r="AB815" s="660"/>
      <c r="AC815" s="661"/>
      <c r="AD815" s="606"/>
      <c r="AE815" s="606"/>
      <c r="AF815" s="606"/>
      <c r="AG815" s="606"/>
    </row>
    <row r="816" spans="1:33" s="612" customFormat="1" outlineLevel="2" x14ac:dyDescent="0.2">
      <c r="A816" s="606"/>
      <c r="B816" s="606"/>
      <c r="C816" s="607"/>
      <c r="D816" s="608"/>
      <c r="E816" s="608"/>
      <c r="F816" s="608"/>
      <c r="G816" s="608"/>
      <c r="H816" s="609"/>
      <c r="I816" s="660"/>
      <c r="J816" s="660"/>
      <c r="K816" s="660"/>
      <c r="L816" s="660"/>
      <c r="M816" s="660"/>
      <c r="N816" s="660"/>
      <c r="O816" s="660"/>
      <c r="P816" s="660"/>
      <c r="Q816" s="660"/>
      <c r="R816" s="660"/>
      <c r="S816" s="660"/>
      <c r="T816" s="660"/>
      <c r="U816" s="660"/>
      <c r="V816" s="660"/>
      <c r="W816" s="660"/>
      <c r="X816" s="660"/>
      <c r="Y816" s="660"/>
      <c r="Z816" s="660"/>
      <c r="AA816" s="660"/>
      <c r="AB816" s="660"/>
      <c r="AC816" s="661"/>
      <c r="AD816" s="606"/>
      <c r="AE816" s="606"/>
      <c r="AF816" s="606"/>
      <c r="AG816" s="606"/>
    </row>
    <row r="817" spans="1:33" s="612" customFormat="1" outlineLevel="2" x14ac:dyDescent="0.2">
      <c r="A817" s="606"/>
      <c r="B817" s="606"/>
      <c r="C817" s="607"/>
      <c r="D817" s="608"/>
      <c r="E817" s="608"/>
      <c r="F817" s="608"/>
      <c r="G817" s="608"/>
      <c r="H817" s="609"/>
      <c r="I817" s="660"/>
      <c r="J817" s="660"/>
      <c r="K817" s="660"/>
      <c r="L817" s="660"/>
      <c r="M817" s="660"/>
      <c r="N817" s="660"/>
      <c r="O817" s="660"/>
      <c r="P817" s="660"/>
      <c r="Q817" s="660"/>
      <c r="R817" s="660"/>
      <c r="S817" s="660"/>
      <c r="T817" s="660"/>
      <c r="U817" s="660"/>
      <c r="V817" s="660"/>
      <c r="W817" s="660"/>
      <c r="X817" s="660"/>
      <c r="Y817" s="660"/>
      <c r="Z817" s="660"/>
      <c r="AA817" s="660"/>
      <c r="AB817" s="660"/>
      <c r="AC817" s="661"/>
      <c r="AD817" s="606"/>
      <c r="AE817" s="606"/>
      <c r="AF817" s="606"/>
      <c r="AG817" s="606"/>
    </row>
    <row r="818" spans="1:33" s="612" customFormat="1" outlineLevel="2" x14ac:dyDescent="0.2">
      <c r="A818" s="606"/>
      <c r="B818" s="606"/>
      <c r="C818" s="607"/>
      <c r="D818" s="608"/>
      <c r="E818" s="608"/>
      <c r="F818" s="608"/>
      <c r="G818" s="608"/>
      <c r="H818" s="609"/>
      <c r="I818" s="660"/>
      <c r="J818" s="660"/>
      <c r="K818" s="660"/>
      <c r="L818" s="660"/>
      <c r="M818" s="660"/>
      <c r="N818" s="660"/>
      <c r="O818" s="660"/>
      <c r="P818" s="660"/>
      <c r="Q818" s="660"/>
      <c r="R818" s="660"/>
      <c r="S818" s="660"/>
      <c r="T818" s="660"/>
      <c r="U818" s="660"/>
      <c r="V818" s="660"/>
      <c r="W818" s="660"/>
      <c r="X818" s="660"/>
      <c r="Y818" s="660"/>
      <c r="Z818" s="660"/>
      <c r="AA818" s="660"/>
      <c r="AB818" s="660"/>
      <c r="AC818" s="661"/>
      <c r="AD818" s="606"/>
      <c r="AE818" s="606"/>
      <c r="AF818" s="606"/>
      <c r="AG818" s="606"/>
    </row>
    <row r="819" spans="1:33" s="612" customFormat="1" outlineLevel="2" x14ac:dyDescent="0.2">
      <c r="A819" s="606"/>
      <c r="B819" s="606"/>
      <c r="C819" s="607"/>
      <c r="D819" s="608"/>
      <c r="E819" s="608"/>
      <c r="F819" s="608"/>
      <c r="G819" s="608"/>
      <c r="H819" s="609"/>
      <c r="I819" s="660"/>
      <c r="J819" s="660"/>
      <c r="K819" s="660"/>
      <c r="L819" s="660"/>
      <c r="M819" s="660"/>
      <c r="N819" s="660"/>
      <c r="O819" s="660"/>
      <c r="P819" s="660"/>
      <c r="Q819" s="660"/>
      <c r="R819" s="660"/>
      <c r="S819" s="660"/>
      <c r="T819" s="660"/>
      <c r="U819" s="660"/>
      <c r="V819" s="660"/>
      <c r="W819" s="660"/>
      <c r="X819" s="660"/>
      <c r="Y819" s="660"/>
      <c r="Z819" s="660"/>
      <c r="AA819" s="660"/>
      <c r="AB819" s="660"/>
      <c r="AC819" s="661"/>
      <c r="AD819" s="606"/>
      <c r="AE819" s="606"/>
      <c r="AF819" s="606"/>
      <c r="AG819" s="606"/>
    </row>
    <row r="820" spans="1:33" s="612" customFormat="1" outlineLevel="2" x14ac:dyDescent="0.2">
      <c r="A820" s="606"/>
      <c r="B820" s="606"/>
      <c r="C820" s="607"/>
      <c r="D820" s="608"/>
      <c r="E820" s="608"/>
      <c r="F820" s="608"/>
      <c r="G820" s="608"/>
      <c r="H820" s="609"/>
      <c r="I820" s="660"/>
      <c r="J820" s="660"/>
      <c r="K820" s="660"/>
      <c r="L820" s="660"/>
      <c r="M820" s="660"/>
      <c r="N820" s="660"/>
      <c r="O820" s="660"/>
      <c r="P820" s="660"/>
      <c r="Q820" s="660"/>
      <c r="R820" s="660"/>
      <c r="S820" s="660"/>
      <c r="T820" s="660"/>
      <c r="U820" s="660"/>
      <c r="V820" s="660"/>
      <c r="W820" s="660"/>
      <c r="X820" s="660"/>
      <c r="Y820" s="660"/>
      <c r="Z820" s="660"/>
      <c r="AA820" s="660"/>
      <c r="AB820" s="660"/>
      <c r="AC820" s="661"/>
      <c r="AD820" s="606"/>
      <c r="AE820" s="606"/>
      <c r="AF820" s="606"/>
      <c r="AG820" s="606"/>
    </row>
    <row r="821" spans="1:33" s="612" customFormat="1" outlineLevel="2" x14ac:dyDescent="0.2">
      <c r="A821" s="606"/>
      <c r="B821" s="606"/>
      <c r="C821" s="607"/>
      <c r="D821" s="608"/>
      <c r="E821" s="608"/>
      <c r="F821" s="608"/>
      <c r="G821" s="608"/>
      <c r="H821" s="609"/>
      <c r="I821" s="660"/>
      <c r="J821" s="660"/>
      <c r="K821" s="660"/>
      <c r="L821" s="660"/>
      <c r="M821" s="660"/>
      <c r="N821" s="660"/>
      <c r="O821" s="660"/>
      <c r="P821" s="660"/>
      <c r="Q821" s="660"/>
      <c r="R821" s="660"/>
      <c r="S821" s="660"/>
      <c r="T821" s="660"/>
      <c r="U821" s="660"/>
      <c r="V821" s="660"/>
      <c r="W821" s="660"/>
      <c r="X821" s="660"/>
      <c r="Y821" s="660"/>
      <c r="Z821" s="660"/>
      <c r="AA821" s="660"/>
      <c r="AB821" s="660"/>
      <c r="AC821" s="661"/>
      <c r="AD821" s="606"/>
      <c r="AE821" s="606"/>
      <c r="AF821" s="606"/>
      <c r="AG821" s="606"/>
    </row>
    <row r="822" spans="1:33" s="612" customFormat="1" outlineLevel="2" x14ac:dyDescent="0.2">
      <c r="A822" s="606"/>
      <c r="B822" s="606"/>
      <c r="C822" s="607"/>
      <c r="D822" s="608"/>
      <c r="E822" s="608"/>
      <c r="F822" s="608"/>
      <c r="G822" s="608"/>
      <c r="H822" s="609"/>
      <c r="I822" s="660"/>
      <c r="J822" s="660"/>
      <c r="K822" s="660"/>
      <c r="L822" s="660"/>
      <c r="M822" s="660"/>
      <c r="N822" s="660"/>
      <c r="O822" s="660"/>
      <c r="P822" s="660"/>
      <c r="Q822" s="660"/>
      <c r="R822" s="660"/>
      <c r="S822" s="660"/>
      <c r="T822" s="660"/>
      <c r="U822" s="660"/>
      <c r="V822" s="660"/>
      <c r="W822" s="660"/>
      <c r="X822" s="660"/>
      <c r="Y822" s="660"/>
      <c r="Z822" s="660"/>
      <c r="AA822" s="660"/>
      <c r="AB822" s="660"/>
      <c r="AC822" s="661"/>
      <c r="AD822" s="606"/>
      <c r="AE822" s="606"/>
      <c r="AF822" s="606"/>
      <c r="AG822" s="606"/>
    </row>
    <row r="823" spans="1:33" s="612" customFormat="1" outlineLevel="2" x14ac:dyDescent="0.2">
      <c r="A823" s="606"/>
      <c r="B823" s="606"/>
      <c r="C823" s="607"/>
      <c r="D823" s="608"/>
      <c r="E823" s="608"/>
      <c r="F823" s="608"/>
      <c r="G823" s="608"/>
      <c r="H823" s="609"/>
      <c r="I823" s="660"/>
      <c r="J823" s="660"/>
      <c r="K823" s="660"/>
      <c r="L823" s="660"/>
      <c r="M823" s="660"/>
      <c r="N823" s="660"/>
      <c r="O823" s="660"/>
      <c r="P823" s="660"/>
      <c r="Q823" s="660"/>
      <c r="R823" s="660"/>
      <c r="S823" s="660"/>
      <c r="T823" s="660"/>
      <c r="U823" s="660"/>
      <c r="V823" s="660"/>
      <c r="W823" s="660"/>
      <c r="X823" s="660"/>
      <c r="Y823" s="660"/>
      <c r="Z823" s="660"/>
      <c r="AA823" s="660"/>
      <c r="AB823" s="660"/>
      <c r="AC823" s="661"/>
      <c r="AD823" s="606"/>
      <c r="AE823" s="606"/>
      <c r="AF823" s="606"/>
      <c r="AG823" s="606"/>
    </row>
    <row r="824" spans="1:33" s="612" customFormat="1" outlineLevel="2" x14ac:dyDescent="0.2">
      <c r="A824" s="606"/>
      <c r="B824" s="606"/>
      <c r="C824" s="607"/>
      <c r="D824" s="608"/>
      <c r="E824" s="608"/>
      <c r="F824" s="608"/>
      <c r="G824" s="608"/>
      <c r="H824" s="609"/>
      <c r="I824" s="660"/>
      <c r="J824" s="660"/>
      <c r="K824" s="660"/>
      <c r="L824" s="660"/>
      <c r="M824" s="660"/>
      <c r="N824" s="660"/>
      <c r="O824" s="660"/>
      <c r="P824" s="660"/>
      <c r="Q824" s="660"/>
      <c r="R824" s="660"/>
      <c r="S824" s="660"/>
      <c r="T824" s="660"/>
      <c r="U824" s="660"/>
      <c r="V824" s="660"/>
      <c r="W824" s="660"/>
      <c r="X824" s="660"/>
      <c r="Y824" s="660"/>
      <c r="Z824" s="660"/>
      <c r="AA824" s="660"/>
      <c r="AB824" s="660"/>
      <c r="AC824" s="661"/>
      <c r="AD824" s="606"/>
      <c r="AE824" s="606"/>
      <c r="AF824" s="606"/>
      <c r="AG824" s="606"/>
    </row>
    <row r="825" spans="1:33" s="612" customFormat="1" outlineLevel="2" x14ac:dyDescent="0.2">
      <c r="A825" s="606"/>
      <c r="B825" s="606"/>
      <c r="C825" s="607"/>
      <c r="D825" s="608"/>
      <c r="E825" s="608"/>
      <c r="F825" s="608"/>
      <c r="G825" s="608"/>
      <c r="H825" s="609"/>
      <c r="I825" s="660"/>
      <c r="J825" s="660"/>
      <c r="K825" s="660"/>
      <c r="L825" s="660"/>
      <c r="M825" s="660"/>
      <c r="N825" s="660"/>
      <c r="O825" s="660"/>
      <c r="P825" s="660"/>
      <c r="Q825" s="660"/>
      <c r="R825" s="660"/>
      <c r="S825" s="660"/>
      <c r="T825" s="660"/>
      <c r="U825" s="660"/>
      <c r="V825" s="660"/>
      <c r="W825" s="660"/>
      <c r="X825" s="660"/>
      <c r="Y825" s="660"/>
      <c r="Z825" s="660"/>
      <c r="AA825" s="660"/>
      <c r="AB825" s="660"/>
      <c r="AC825" s="661"/>
      <c r="AD825" s="606"/>
      <c r="AE825" s="606"/>
      <c r="AF825" s="606"/>
      <c r="AG825" s="606"/>
    </row>
    <row r="826" spans="1:33" s="612" customFormat="1" outlineLevel="2" x14ac:dyDescent="0.2">
      <c r="A826" s="606"/>
      <c r="B826" s="606"/>
      <c r="C826" s="607"/>
      <c r="D826" s="608"/>
      <c r="E826" s="608"/>
      <c r="F826" s="608"/>
      <c r="G826" s="608"/>
      <c r="H826" s="609"/>
      <c r="I826" s="660"/>
      <c r="J826" s="660"/>
      <c r="K826" s="660"/>
      <c r="L826" s="660"/>
      <c r="M826" s="660"/>
      <c r="N826" s="660"/>
      <c r="O826" s="660"/>
      <c r="P826" s="660"/>
      <c r="Q826" s="660"/>
      <c r="R826" s="660"/>
      <c r="S826" s="660"/>
      <c r="T826" s="660"/>
      <c r="U826" s="660"/>
      <c r="V826" s="660"/>
      <c r="W826" s="660"/>
      <c r="X826" s="660"/>
      <c r="Y826" s="660"/>
      <c r="Z826" s="660"/>
      <c r="AA826" s="660"/>
      <c r="AB826" s="660"/>
      <c r="AC826" s="661"/>
      <c r="AD826" s="606"/>
      <c r="AE826" s="606"/>
      <c r="AF826" s="606"/>
      <c r="AG826" s="606"/>
    </row>
    <row r="827" spans="1:33" s="612" customFormat="1" outlineLevel="2" x14ac:dyDescent="0.2">
      <c r="A827" s="606"/>
      <c r="B827" s="606"/>
      <c r="C827" s="607"/>
      <c r="D827" s="608"/>
      <c r="E827" s="608"/>
      <c r="F827" s="608"/>
      <c r="G827" s="608"/>
      <c r="H827" s="609"/>
      <c r="I827" s="660"/>
      <c r="J827" s="660"/>
      <c r="K827" s="660"/>
      <c r="L827" s="660"/>
      <c r="M827" s="660"/>
      <c r="N827" s="660"/>
      <c r="O827" s="660"/>
      <c r="P827" s="660"/>
      <c r="Q827" s="660"/>
      <c r="R827" s="660"/>
      <c r="S827" s="660"/>
      <c r="T827" s="660"/>
      <c r="U827" s="660"/>
      <c r="V827" s="660"/>
      <c r="W827" s="660"/>
      <c r="X827" s="660"/>
      <c r="Y827" s="660"/>
      <c r="Z827" s="660"/>
      <c r="AA827" s="660"/>
      <c r="AB827" s="660"/>
      <c r="AC827" s="661"/>
      <c r="AD827" s="606"/>
      <c r="AE827" s="606"/>
      <c r="AF827" s="606"/>
      <c r="AG827" s="606"/>
    </row>
    <row r="828" spans="1:33" s="612" customFormat="1" outlineLevel="2" x14ac:dyDescent="0.2">
      <c r="A828" s="606"/>
      <c r="B828" s="606"/>
      <c r="C828" s="607"/>
      <c r="D828" s="608"/>
      <c r="E828" s="608"/>
      <c r="F828" s="608"/>
      <c r="G828" s="608"/>
      <c r="H828" s="609"/>
      <c r="I828" s="660"/>
      <c r="J828" s="660"/>
      <c r="K828" s="660"/>
      <c r="L828" s="660"/>
      <c r="M828" s="660"/>
      <c r="N828" s="660"/>
      <c r="O828" s="660"/>
      <c r="P828" s="660"/>
      <c r="Q828" s="660"/>
      <c r="R828" s="660"/>
      <c r="S828" s="660"/>
      <c r="T828" s="660"/>
      <c r="U828" s="660"/>
      <c r="V828" s="660"/>
      <c r="W828" s="660"/>
      <c r="X828" s="660"/>
      <c r="Y828" s="660"/>
      <c r="Z828" s="660"/>
      <c r="AA828" s="660"/>
      <c r="AB828" s="660"/>
      <c r="AC828" s="661"/>
      <c r="AD828" s="606"/>
      <c r="AE828" s="606"/>
      <c r="AF828" s="606"/>
      <c r="AG828" s="606"/>
    </row>
    <row r="829" spans="1:33" s="612" customFormat="1" outlineLevel="2" x14ac:dyDescent="0.2">
      <c r="A829" s="606"/>
      <c r="B829" s="606"/>
      <c r="C829" s="607"/>
      <c r="D829" s="608"/>
      <c r="E829" s="608"/>
      <c r="F829" s="608"/>
      <c r="G829" s="608"/>
      <c r="H829" s="609"/>
      <c r="I829" s="660"/>
      <c r="J829" s="660"/>
      <c r="K829" s="660"/>
      <c r="L829" s="660"/>
      <c r="M829" s="660"/>
      <c r="N829" s="660"/>
      <c r="O829" s="660"/>
      <c r="P829" s="660"/>
      <c r="Q829" s="660"/>
      <c r="R829" s="660"/>
      <c r="S829" s="660"/>
      <c r="T829" s="660"/>
      <c r="U829" s="660"/>
      <c r="V829" s="660"/>
      <c r="W829" s="660"/>
      <c r="X829" s="660"/>
      <c r="Y829" s="660"/>
      <c r="Z829" s="660"/>
      <c r="AA829" s="660"/>
      <c r="AB829" s="660"/>
      <c r="AC829" s="661"/>
      <c r="AD829" s="606"/>
      <c r="AE829" s="606"/>
      <c r="AF829" s="606"/>
      <c r="AG829" s="606"/>
    </row>
    <row r="830" spans="1:33" s="612" customFormat="1" outlineLevel="2" x14ac:dyDescent="0.2">
      <c r="A830" s="606"/>
      <c r="B830" s="606"/>
      <c r="C830" s="607"/>
      <c r="D830" s="608"/>
      <c r="E830" s="608"/>
      <c r="F830" s="608"/>
      <c r="G830" s="608"/>
      <c r="H830" s="609"/>
      <c r="I830" s="660"/>
      <c r="J830" s="660"/>
      <c r="K830" s="660"/>
      <c r="L830" s="660"/>
      <c r="M830" s="660"/>
      <c r="N830" s="660"/>
      <c r="O830" s="660"/>
      <c r="P830" s="660"/>
      <c r="Q830" s="660"/>
      <c r="R830" s="660"/>
      <c r="S830" s="660"/>
      <c r="T830" s="660"/>
      <c r="U830" s="660"/>
      <c r="V830" s="660"/>
      <c r="W830" s="660"/>
      <c r="X830" s="660"/>
      <c r="Y830" s="660"/>
      <c r="Z830" s="660"/>
      <c r="AA830" s="660"/>
      <c r="AB830" s="660"/>
      <c r="AC830" s="661"/>
      <c r="AD830" s="606"/>
      <c r="AE830" s="606"/>
      <c r="AF830" s="606"/>
      <c r="AG830" s="606"/>
    </row>
    <row r="831" spans="1:33" s="612" customFormat="1" outlineLevel="2" x14ac:dyDescent="0.2">
      <c r="A831" s="606"/>
      <c r="B831" s="606"/>
      <c r="C831" s="607"/>
      <c r="D831" s="608"/>
      <c r="E831" s="608"/>
      <c r="F831" s="608"/>
      <c r="G831" s="608"/>
      <c r="H831" s="609"/>
      <c r="I831" s="660"/>
      <c r="J831" s="660"/>
      <c r="K831" s="660"/>
      <c r="L831" s="660"/>
      <c r="M831" s="660"/>
      <c r="N831" s="660"/>
      <c r="O831" s="660"/>
      <c r="P831" s="660"/>
      <c r="Q831" s="660"/>
      <c r="R831" s="660"/>
      <c r="S831" s="660"/>
      <c r="T831" s="660"/>
      <c r="U831" s="660"/>
      <c r="V831" s="660"/>
      <c r="W831" s="660"/>
      <c r="X831" s="660"/>
      <c r="Y831" s="660"/>
      <c r="Z831" s="660"/>
      <c r="AA831" s="660"/>
      <c r="AB831" s="660"/>
      <c r="AC831" s="661"/>
      <c r="AD831" s="606"/>
      <c r="AE831" s="606"/>
      <c r="AF831" s="606"/>
      <c r="AG831" s="606"/>
    </row>
    <row r="832" spans="1:33" s="612" customFormat="1" outlineLevel="2" x14ac:dyDescent="0.2">
      <c r="A832" s="606"/>
      <c r="B832" s="606"/>
      <c r="C832" s="607"/>
      <c r="D832" s="608"/>
      <c r="E832" s="608"/>
      <c r="F832" s="608"/>
      <c r="G832" s="608"/>
      <c r="H832" s="609"/>
      <c r="I832" s="660"/>
      <c r="J832" s="660"/>
      <c r="K832" s="660"/>
      <c r="L832" s="660"/>
      <c r="M832" s="660"/>
      <c r="N832" s="660"/>
      <c r="O832" s="660"/>
      <c r="P832" s="660"/>
      <c r="Q832" s="660"/>
      <c r="R832" s="660"/>
      <c r="S832" s="660"/>
      <c r="T832" s="660"/>
      <c r="U832" s="660"/>
      <c r="V832" s="660"/>
      <c r="W832" s="660"/>
      <c r="X832" s="660"/>
      <c r="Y832" s="660"/>
      <c r="Z832" s="660"/>
      <c r="AA832" s="660"/>
      <c r="AB832" s="660"/>
      <c r="AC832" s="661"/>
      <c r="AD832" s="606"/>
      <c r="AE832" s="606"/>
      <c r="AF832" s="606"/>
      <c r="AG832" s="606"/>
    </row>
    <row r="833" spans="1:33" s="612" customFormat="1" outlineLevel="2" x14ac:dyDescent="0.2">
      <c r="A833" s="606"/>
      <c r="B833" s="606"/>
      <c r="C833" s="607"/>
      <c r="D833" s="608"/>
      <c r="E833" s="608"/>
      <c r="F833" s="608"/>
      <c r="G833" s="608"/>
      <c r="H833" s="609"/>
      <c r="I833" s="660"/>
      <c r="J833" s="660"/>
      <c r="K833" s="660"/>
      <c r="L833" s="660"/>
      <c r="M833" s="660"/>
      <c r="N833" s="660"/>
      <c r="O833" s="660"/>
      <c r="P833" s="660"/>
      <c r="Q833" s="660"/>
      <c r="R833" s="660"/>
      <c r="S833" s="660"/>
      <c r="T833" s="660"/>
      <c r="U833" s="660"/>
      <c r="V833" s="660"/>
      <c r="W833" s="660"/>
      <c r="X833" s="660"/>
      <c r="Y833" s="660"/>
      <c r="Z833" s="660"/>
      <c r="AA833" s="660"/>
      <c r="AB833" s="660"/>
      <c r="AC833" s="661"/>
      <c r="AD833" s="606"/>
      <c r="AE833" s="606"/>
      <c r="AF833" s="606"/>
      <c r="AG833" s="606"/>
    </row>
    <row r="834" spans="1:33" s="612" customFormat="1" outlineLevel="2" x14ac:dyDescent="0.2">
      <c r="A834" s="606"/>
      <c r="B834" s="606"/>
      <c r="C834" s="607"/>
      <c r="D834" s="608"/>
      <c r="E834" s="608"/>
      <c r="F834" s="608"/>
      <c r="G834" s="608"/>
      <c r="H834" s="609"/>
      <c r="I834" s="660"/>
      <c r="J834" s="660"/>
      <c r="K834" s="660"/>
      <c r="L834" s="660"/>
      <c r="M834" s="660"/>
      <c r="N834" s="660"/>
      <c r="O834" s="660"/>
      <c r="P834" s="660"/>
      <c r="Q834" s="660"/>
      <c r="R834" s="660"/>
      <c r="S834" s="660"/>
      <c r="T834" s="660"/>
      <c r="U834" s="660"/>
      <c r="V834" s="660"/>
      <c r="W834" s="660"/>
      <c r="X834" s="660"/>
      <c r="Y834" s="660"/>
      <c r="Z834" s="660"/>
      <c r="AA834" s="660"/>
      <c r="AB834" s="660"/>
      <c r="AC834" s="661"/>
      <c r="AD834" s="606"/>
      <c r="AE834" s="606"/>
      <c r="AF834" s="606"/>
      <c r="AG834" s="606"/>
    </row>
    <row r="835" spans="1:33" s="612" customFormat="1" outlineLevel="2" x14ac:dyDescent="0.2">
      <c r="A835" s="606"/>
      <c r="B835" s="606"/>
      <c r="C835" s="607"/>
      <c r="D835" s="608"/>
      <c r="E835" s="608"/>
      <c r="F835" s="608"/>
      <c r="G835" s="608"/>
      <c r="H835" s="609"/>
      <c r="I835" s="660"/>
      <c r="J835" s="660"/>
      <c r="K835" s="660"/>
      <c r="L835" s="660"/>
      <c r="M835" s="660"/>
      <c r="N835" s="660"/>
      <c r="O835" s="660"/>
      <c r="P835" s="660"/>
      <c r="Q835" s="660"/>
      <c r="R835" s="660"/>
      <c r="S835" s="660"/>
      <c r="T835" s="660"/>
      <c r="U835" s="660"/>
      <c r="V835" s="660"/>
      <c r="W835" s="660"/>
      <c r="X835" s="660"/>
      <c r="Y835" s="660"/>
      <c r="Z835" s="660"/>
      <c r="AA835" s="660"/>
      <c r="AB835" s="660"/>
      <c r="AC835" s="661"/>
      <c r="AD835" s="606"/>
      <c r="AE835" s="606"/>
      <c r="AF835" s="606"/>
      <c r="AG835" s="606"/>
    </row>
    <row r="836" spans="1:33" s="612" customFormat="1" outlineLevel="2" x14ac:dyDescent="0.2">
      <c r="A836" s="606"/>
      <c r="B836" s="606"/>
      <c r="C836" s="607"/>
      <c r="D836" s="608"/>
      <c r="E836" s="608"/>
      <c r="F836" s="608"/>
      <c r="G836" s="608"/>
      <c r="H836" s="609"/>
      <c r="I836" s="660"/>
      <c r="J836" s="660"/>
      <c r="K836" s="660"/>
      <c r="L836" s="660"/>
      <c r="M836" s="660"/>
      <c r="N836" s="660"/>
      <c r="O836" s="660"/>
      <c r="P836" s="660"/>
      <c r="Q836" s="660"/>
      <c r="R836" s="660"/>
      <c r="S836" s="660"/>
      <c r="T836" s="660"/>
      <c r="U836" s="660"/>
      <c r="V836" s="660"/>
      <c r="W836" s="660"/>
      <c r="X836" s="660"/>
      <c r="Y836" s="660"/>
      <c r="Z836" s="660"/>
      <c r="AA836" s="660"/>
      <c r="AB836" s="660"/>
      <c r="AC836" s="661"/>
      <c r="AD836" s="606"/>
      <c r="AE836" s="606"/>
      <c r="AF836" s="606"/>
      <c r="AG836" s="606"/>
    </row>
    <row r="837" spans="1:33" s="612" customFormat="1" outlineLevel="2" x14ac:dyDescent="0.2">
      <c r="A837" s="606"/>
      <c r="B837" s="606"/>
      <c r="C837" s="607"/>
      <c r="D837" s="608"/>
      <c r="E837" s="608"/>
      <c r="F837" s="608"/>
      <c r="G837" s="608"/>
      <c r="H837" s="609"/>
      <c r="I837" s="660"/>
      <c r="J837" s="660"/>
      <c r="K837" s="660"/>
      <c r="L837" s="660"/>
      <c r="M837" s="660"/>
      <c r="N837" s="660"/>
      <c r="O837" s="660"/>
      <c r="P837" s="660"/>
      <c r="Q837" s="660"/>
      <c r="R837" s="660"/>
      <c r="S837" s="660"/>
      <c r="T837" s="660"/>
      <c r="U837" s="660"/>
      <c r="V837" s="660"/>
      <c r="W837" s="660"/>
      <c r="X837" s="660"/>
      <c r="Y837" s="660"/>
      <c r="Z837" s="660"/>
      <c r="AA837" s="660"/>
      <c r="AB837" s="660"/>
      <c r="AC837" s="661"/>
      <c r="AD837" s="606"/>
      <c r="AE837" s="606"/>
      <c r="AF837" s="606"/>
      <c r="AG837" s="606"/>
    </row>
    <row r="838" spans="1:33" s="612" customFormat="1" outlineLevel="2" x14ac:dyDescent="0.2">
      <c r="A838" s="606"/>
      <c r="B838" s="606"/>
      <c r="C838" s="607"/>
      <c r="D838" s="608"/>
      <c r="E838" s="608"/>
      <c r="F838" s="608"/>
      <c r="G838" s="608"/>
      <c r="H838" s="609"/>
      <c r="I838" s="660"/>
      <c r="J838" s="660"/>
      <c r="K838" s="660"/>
      <c r="L838" s="660"/>
      <c r="M838" s="660"/>
      <c r="N838" s="660"/>
      <c r="O838" s="660"/>
      <c r="P838" s="660"/>
      <c r="Q838" s="660"/>
      <c r="R838" s="660"/>
      <c r="S838" s="660"/>
      <c r="T838" s="660"/>
      <c r="U838" s="660"/>
      <c r="V838" s="660"/>
      <c r="W838" s="660"/>
      <c r="X838" s="660"/>
      <c r="Y838" s="660"/>
      <c r="Z838" s="660"/>
      <c r="AA838" s="660"/>
      <c r="AB838" s="660"/>
      <c r="AC838" s="661"/>
      <c r="AD838" s="606"/>
      <c r="AE838" s="606"/>
      <c r="AF838" s="606"/>
      <c r="AG838" s="606"/>
    </row>
    <row r="839" spans="1:33" s="612" customFormat="1" outlineLevel="2" x14ac:dyDescent="0.2">
      <c r="A839" s="606"/>
      <c r="B839" s="606"/>
      <c r="C839" s="607"/>
      <c r="D839" s="608"/>
      <c r="E839" s="608"/>
      <c r="F839" s="608"/>
      <c r="G839" s="608"/>
      <c r="H839" s="609"/>
      <c r="I839" s="660"/>
      <c r="J839" s="660"/>
      <c r="K839" s="660"/>
      <c r="L839" s="660"/>
      <c r="M839" s="660"/>
      <c r="N839" s="660"/>
      <c r="O839" s="660"/>
      <c r="P839" s="660"/>
      <c r="Q839" s="660"/>
      <c r="R839" s="660"/>
      <c r="S839" s="660"/>
      <c r="T839" s="660"/>
      <c r="U839" s="660"/>
      <c r="V839" s="660"/>
      <c r="W839" s="660"/>
      <c r="X839" s="660"/>
      <c r="Y839" s="660"/>
      <c r="Z839" s="660"/>
      <c r="AA839" s="660"/>
      <c r="AB839" s="660"/>
      <c r="AC839" s="661"/>
      <c r="AD839" s="606"/>
      <c r="AE839" s="606"/>
      <c r="AF839" s="606"/>
      <c r="AG839" s="606"/>
    </row>
    <row r="840" spans="1:33" s="612" customFormat="1" outlineLevel="2" x14ac:dyDescent="0.2">
      <c r="A840" s="606"/>
      <c r="B840" s="606"/>
      <c r="C840" s="607"/>
      <c r="D840" s="608"/>
      <c r="E840" s="608"/>
      <c r="F840" s="608"/>
      <c r="G840" s="608"/>
      <c r="H840" s="609"/>
      <c r="I840" s="660"/>
      <c r="J840" s="660"/>
      <c r="K840" s="660"/>
      <c r="L840" s="660"/>
      <c r="M840" s="660"/>
      <c r="N840" s="660"/>
      <c r="O840" s="660"/>
      <c r="P840" s="660"/>
      <c r="Q840" s="660"/>
      <c r="R840" s="660"/>
      <c r="S840" s="660"/>
      <c r="T840" s="660"/>
      <c r="U840" s="660"/>
      <c r="V840" s="660"/>
      <c r="W840" s="660"/>
      <c r="X840" s="660"/>
      <c r="Y840" s="660"/>
      <c r="Z840" s="660"/>
      <c r="AA840" s="660"/>
      <c r="AB840" s="660"/>
      <c r="AC840" s="661"/>
      <c r="AD840" s="606"/>
      <c r="AE840" s="606"/>
      <c r="AF840" s="606"/>
      <c r="AG840" s="606"/>
    </row>
    <row r="841" spans="1:33" s="612" customFormat="1" outlineLevel="2" x14ac:dyDescent="0.2">
      <c r="A841" s="606"/>
      <c r="B841" s="606"/>
      <c r="C841" s="607"/>
      <c r="D841" s="608"/>
      <c r="E841" s="608"/>
      <c r="F841" s="608"/>
      <c r="G841" s="608"/>
      <c r="H841" s="609"/>
      <c r="I841" s="660"/>
      <c r="J841" s="660"/>
      <c r="K841" s="660"/>
      <c r="L841" s="660"/>
      <c r="M841" s="660"/>
      <c r="N841" s="660"/>
      <c r="O841" s="660"/>
      <c r="P841" s="660"/>
      <c r="Q841" s="660"/>
      <c r="R841" s="660"/>
      <c r="S841" s="660"/>
      <c r="T841" s="660"/>
      <c r="U841" s="660"/>
      <c r="V841" s="660"/>
      <c r="W841" s="660"/>
      <c r="X841" s="660"/>
      <c r="Y841" s="660"/>
      <c r="Z841" s="660"/>
      <c r="AA841" s="660"/>
      <c r="AB841" s="660"/>
      <c r="AC841" s="661"/>
      <c r="AD841" s="606"/>
      <c r="AE841" s="606"/>
      <c r="AF841" s="606"/>
      <c r="AG841" s="606"/>
    </row>
    <row r="842" spans="1:33" s="612" customFormat="1" outlineLevel="2" x14ac:dyDescent="0.2">
      <c r="A842" s="606"/>
      <c r="B842" s="606"/>
      <c r="C842" s="607"/>
      <c r="D842" s="608"/>
      <c r="E842" s="608"/>
      <c r="F842" s="608"/>
      <c r="G842" s="608"/>
      <c r="H842" s="609"/>
      <c r="I842" s="660"/>
      <c r="J842" s="660"/>
      <c r="K842" s="660"/>
      <c r="L842" s="660"/>
      <c r="M842" s="660"/>
      <c r="N842" s="660"/>
      <c r="O842" s="660"/>
      <c r="P842" s="660"/>
      <c r="Q842" s="660"/>
      <c r="R842" s="660"/>
      <c r="S842" s="660"/>
      <c r="T842" s="660"/>
      <c r="U842" s="660"/>
      <c r="V842" s="660"/>
      <c r="W842" s="660"/>
      <c r="X842" s="660"/>
      <c r="Y842" s="660"/>
      <c r="Z842" s="660"/>
      <c r="AA842" s="660"/>
      <c r="AB842" s="660"/>
      <c r="AC842" s="661"/>
      <c r="AD842" s="606"/>
      <c r="AE842" s="606"/>
      <c r="AF842" s="606"/>
      <c r="AG842" s="606"/>
    </row>
    <row r="843" spans="1:33" s="612" customFormat="1" outlineLevel="2" x14ac:dyDescent="0.2">
      <c r="A843" s="606"/>
      <c r="B843" s="606"/>
      <c r="C843" s="607"/>
      <c r="D843" s="608"/>
      <c r="E843" s="608"/>
      <c r="F843" s="608"/>
      <c r="G843" s="608"/>
      <c r="H843" s="609"/>
      <c r="I843" s="660"/>
      <c r="J843" s="660"/>
      <c r="K843" s="660"/>
      <c r="L843" s="660"/>
      <c r="M843" s="660"/>
      <c r="N843" s="660"/>
      <c r="O843" s="660"/>
      <c r="P843" s="660"/>
      <c r="Q843" s="660"/>
      <c r="R843" s="660"/>
      <c r="S843" s="660"/>
      <c r="T843" s="660"/>
      <c r="U843" s="660"/>
      <c r="V843" s="660"/>
      <c r="W843" s="660"/>
      <c r="X843" s="660"/>
      <c r="Y843" s="660"/>
      <c r="Z843" s="660"/>
      <c r="AA843" s="660"/>
      <c r="AB843" s="660"/>
      <c r="AC843" s="661"/>
      <c r="AD843" s="606"/>
      <c r="AE843" s="606"/>
      <c r="AF843" s="606"/>
      <c r="AG843" s="606"/>
    </row>
    <row r="844" spans="1:33" s="612" customFormat="1" outlineLevel="2" x14ac:dyDescent="0.2">
      <c r="A844" s="606"/>
      <c r="B844" s="606"/>
      <c r="C844" s="607"/>
      <c r="D844" s="608"/>
      <c r="E844" s="608"/>
      <c r="F844" s="608"/>
      <c r="G844" s="608"/>
      <c r="H844" s="609"/>
      <c r="I844" s="660"/>
      <c r="J844" s="660"/>
      <c r="K844" s="660"/>
      <c r="L844" s="660"/>
      <c r="M844" s="660"/>
      <c r="N844" s="660"/>
      <c r="O844" s="660"/>
      <c r="P844" s="660"/>
      <c r="Q844" s="660"/>
      <c r="R844" s="660"/>
      <c r="S844" s="660"/>
      <c r="T844" s="660"/>
      <c r="U844" s="660"/>
      <c r="V844" s="660"/>
      <c r="W844" s="660"/>
      <c r="X844" s="660"/>
      <c r="Y844" s="660"/>
      <c r="Z844" s="660"/>
      <c r="AA844" s="660"/>
      <c r="AB844" s="660"/>
      <c r="AC844" s="661"/>
      <c r="AD844" s="606"/>
      <c r="AE844" s="606"/>
      <c r="AF844" s="606"/>
      <c r="AG844" s="606"/>
    </row>
    <row r="845" spans="1:33" s="612" customFormat="1" hidden="1" outlineLevel="3" x14ac:dyDescent="0.2">
      <c r="A845" s="606"/>
      <c r="B845" s="606"/>
      <c r="C845" s="607"/>
      <c r="D845" s="608"/>
      <c r="E845" s="608"/>
      <c r="F845" s="608"/>
      <c r="G845" s="608"/>
      <c r="H845" s="609"/>
      <c r="I845" s="660"/>
      <c r="J845" s="660"/>
      <c r="K845" s="660"/>
      <c r="L845" s="660"/>
      <c r="M845" s="660"/>
      <c r="N845" s="660"/>
      <c r="O845" s="660"/>
      <c r="P845" s="660"/>
      <c r="Q845" s="660"/>
      <c r="R845" s="660"/>
      <c r="S845" s="660"/>
      <c r="T845" s="660"/>
      <c r="U845" s="660"/>
      <c r="V845" s="660"/>
      <c r="W845" s="660"/>
      <c r="X845" s="660"/>
      <c r="Y845" s="660"/>
      <c r="Z845" s="660"/>
      <c r="AA845" s="660"/>
      <c r="AB845" s="660"/>
      <c r="AC845" s="661"/>
      <c r="AD845" s="606"/>
      <c r="AE845" s="606"/>
      <c r="AF845" s="606"/>
      <c r="AG845" s="606"/>
    </row>
    <row r="846" spans="1:33" s="612" customFormat="1" hidden="1" outlineLevel="3" x14ac:dyDescent="0.2">
      <c r="A846" s="606"/>
      <c r="B846" s="606"/>
      <c r="C846" s="607"/>
      <c r="D846" s="608"/>
      <c r="E846" s="608"/>
      <c r="F846" s="608"/>
      <c r="G846" s="608"/>
      <c r="H846" s="609"/>
      <c r="I846" s="660"/>
      <c r="J846" s="660"/>
      <c r="K846" s="660"/>
      <c r="L846" s="660"/>
      <c r="M846" s="660"/>
      <c r="N846" s="660"/>
      <c r="O846" s="660"/>
      <c r="P846" s="660"/>
      <c r="Q846" s="660"/>
      <c r="R846" s="660"/>
      <c r="S846" s="660"/>
      <c r="T846" s="660"/>
      <c r="U846" s="660"/>
      <c r="V846" s="660"/>
      <c r="W846" s="660"/>
      <c r="X846" s="660"/>
      <c r="Y846" s="660"/>
      <c r="Z846" s="660"/>
      <c r="AA846" s="660"/>
      <c r="AB846" s="660"/>
      <c r="AC846" s="661"/>
      <c r="AD846" s="606"/>
      <c r="AE846" s="606"/>
      <c r="AF846" s="606"/>
      <c r="AG846" s="606"/>
    </row>
    <row r="847" spans="1:33" s="612" customFormat="1" hidden="1" outlineLevel="3" x14ac:dyDescent="0.2">
      <c r="A847" s="606"/>
      <c r="B847" s="606"/>
      <c r="C847" s="607"/>
      <c r="D847" s="608"/>
      <c r="E847" s="608"/>
      <c r="F847" s="608"/>
      <c r="G847" s="608"/>
      <c r="H847" s="609"/>
      <c r="I847" s="660"/>
      <c r="J847" s="660"/>
      <c r="K847" s="660"/>
      <c r="L847" s="660"/>
      <c r="M847" s="660"/>
      <c r="N847" s="660"/>
      <c r="O847" s="660"/>
      <c r="P847" s="660"/>
      <c r="Q847" s="660"/>
      <c r="R847" s="660"/>
      <c r="S847" s="660"/>
      <c r="T847" s="660"/>
      <c r="U847" s="660"/>
      <c r="V847" s="660"/>
      <c r="W847" s="660"/>
      <c r="X847" s="660"/>
      <c r="Y847" s="660"/>
      <c r="Z847" s="660"/>
      <c r="AA847" s="660"/>
      <c r="AB847" s="660"/>
      <c r="AC847" s="661"/>
      <c r="AD847" s="606"/>
      <c r="AE847" s="606"/>
      <c r="AF847" s="606"/>
      <c r="AG847" s="606"/>
    </row>
    <row r="848" spans="1:33" s="612" customFormat="1" hidden="1" outlineLevel="3" x14ac:dyDescent="0.2">
      <c r="A848" s="606"/>
      <c r="B848" s="606"/>
      <c r="C848" s="607"/>
      <c r="D848" s="608"/>
      <c r="E848" s="608"/>
      <c r="F848" s="608"/>
      <c r="G848" s="608"/>
      <c r="H848" s="609"/>
      <c r="I848" s="660"/>
      <c r="J848" s="660"/>
      <c r="K848" s="660"/>
      <c r="L848" s="660"/>
      <c r="M848" s="660"/>
      <c r="N848" s="660"/>
      <c r="O848" s="660"/>
      <c r="P848" s="660"/>
      <c r="Q848" s="660"/>
      <c r="R848" s="660"/>
      <c r="S848" s="660"/>
      <c r="T848" s="660"/>
      <c r="U848" s="660"/>
      <c r="V848" s="660"/>
      <c r="W848" s="660"/>
      <c r="X848" s="660"/>
      <c r="Y848" s="660"/>
      <c r="Z848" s="660"/>
      <c r="AA848" s="660"/>
      <c r="AB848" s="660"/>
      <c r="AC848" s="661"/>
      <c r="AD848" s="606"/>
      <c r="AE848" s="606"/>
      <c r="AF848" s="606"/>
      <c r="AG848" s="606"/>
    </row>
    <row r="849" spans="1:33" s="612" customFormat="1" hidden="1" outlineLevel="3" x14ac:dyDescent="0.2">
      <c r="A849" s="606"/>
      <c r="B849" s="606"/>
      <c r="C849" s="607"/>
      <c r="D849" s="608"/>
      <c r="E849" s="608"/>
      <c r="F849" s="608"/>
      <c r="G849" s="608"/>
      <c r="H849" s="609"/>
      <c r="I849" s="660"/>
      <c r="J849" s="660"/>
      <c r="K849" s="660"/>
      <c r="L849" s="660"/>
      <c r="M849" s="660"/>
      <c r="N849" s="660"/>
      <c r="O849" s="660"/>
      <c r="P849" s="660"/>
      <c r="Q849" s="660"/>
      <c r="R849" s="660"/>
      <c r="S849" s="660"/>
      <c r="T849" s="660"/>
      <c r="U849" s="660"/>
      <c r="V849" s="660"/>
      <c r="W849" s="660"/>
      <c r="X849" s="660"/>
      <c r="Y849" s="660"/>
      <c r="Z849" s="660"/>
      <c r="AA849" s="660"/>
      <c r="AB849" s="660"/>
      <c r="AC849" s="661"/>
      <c r="AD849" s="606"/>
      <c r="AE849" s="606"/>
      <c r="AF849" s="606"/>
      <c r="AG849" s="606"/>
    </row>
    <row r="850" spans="1:33" s="612" customFormat="1" hidden="1" outlineLevel="3" x14ac:dyDescent="0.2">
      <c r="A850" s="606"/>
      <c r="B850" s="606"/>
      <c r="C850" s="607"/>
      <c r="D850" s="608"/>
      <c r="E850" s="608"/>
      <c r="F850" s="608"/>
      <c r="G850" s="608"/>
      <c r="H850" s="609"/>
      <c r="I850" s="660"/>
      <c r="J850" s="660"/>
      <c r="K850" s="660"/>
      <c r="L850" s="660"/>
      <c r="M850" s="660"/>
      <c r="N850" s="660"/>
      <c r="O850" s="660"/>
      <c r="P850" s="660"/>
      <c r="Q850" s="660"/>
      <c r="R850" s="660"/>
      <c r="S850" s="660"/>
      <c r="T850" s="660"/>
      <c r="U850" s="660"/>
      <c r="V850" s="660"/>
      <c r="W850" s="660"/>
      <c r="X850" s="660"/>
      <c r="Y850" s="660"/>
      <c r="Z850" s="660"/>
      <c r="AA850" s="660"/>
      <c r="AB850" s="660"/>
      <c r="AC850" s="661"/>
      <c r="AD850" s="606"/>
      <c r="AE850" s="606"/>
      <c r="AF850" s="606"/>
      <c r="AG850" s="606"/>
    </row>
    <row r="851" spans="1:33" s="612" customFormat="1" hidden="1" outlineLevel="3" x14ac:dyDescent="0.2">
      <c r="A851" s="606"/>
      <c r="B851" s="606"/>
      <c r="C851" s="607"/>
      <c r="D851" s="608"/>
      <c r="E851" s="608"/>
      <c r="F851" s="608"/>
      <c r="G851" s="608"/>
      <c r="H851" s="609"/>
      <c r="I851" s="660"/>
      <c r="J851" s="660"/>
      <c r="K851" s="660"/>
      <c r="L851" s="660"/>
      <c r="M851" s="660"/>
      <c r="N851" s="660"/>
      <c r="O851" s="660"/>
      <c r="P851" s="660"/>
      <c r="Q851" s="660"/>
      <c r="R851" s="660"/>
      <c r="S851" s="660"/>
      <c r="T851" s="660"/>
      <c r="U851" s="660"/>
      <c r="V851" s="660"/>
      <c r="W851" s="660"/>
      <c r="X851" s="660"/>
      <c r="Y851" s="660"/>
      <c r="Z851" s="660"/>
      <c r="AA851" s="660"/>
      <c r="AB851" s="660"/>
      <c r="AC851" s="661"/>
      <c r="AD851" s="606"/>
      <c r="AE851" s="606"/>
      <c r="AF851" s="606"/>
      <c r="AG851" s="606"/>
    </row>
    <row r="852" spans="1:33" s="612" customFormat="1" hidden="1" outlineLevel="3" x14ac:dyDescent="0.2">
      <c r="A852" s="606"/>
      <c r="B852" s="606"/>
      <c r="C852" s="607"/>
      <c r="D852" s="608"/>
      <c r="E852" s="608"/>
      <c r="F852" s="608"/>
      <c r="G852" s="608"/>
      <c r="H852" s="609"/>
      <c r="I852" s="660"/>
      <c r="J852" s="660"/>
      <c r="K852" s="660"/>
      <c r="L852" s="660"/>
      <c r="M852" s="660"/>
      <c r="N852" s="660"/>
      <c r="O852" s="660"/>
      <c r="P852" s="660"/>
      <c r="Q852" s="660"/>
      <c r="R852" s="660"/>
      <c r="S852" s="660"/>
      <c r="T852" s="660"/>
      <c r="U852" s="660"/>
      <c r="V852" s="660"/>
      <c r="W852" s="660"/>
      <c r="X852" s="660"/>
      <c r="Y852" s="660"/>
      <c r="Z852" s="660"/>
      <c r="AA852" s="660"/>
      <c r="AB852" s="660"/>
      <c r="AC852" s="661"/>
      <c r="AD852" s="606"/>
      <c r="AE852" s="606"/>
      <c r="AF852" s="606"/>
      <c r="AG852" s="606"/>
    </row>
    <row r="853" spans="1:33" s="612" customFormat="1" hidden="1" outlineLevel="3" x14ac:dyDescent="0.2">
      <c r="A853" s="606"/>
      <c r="B853" s="606"/>
      <c r="C853" s="607"/>
      <c r="D853" s="608"/>
      <c r="E853" s="608"/>
      <c r="F853" s="608"/>
      <c r="G853" s="608"/>
      <c r="H853" s="609"/>
      <c r="I853" s="660"/>
      <c r="J853" s="660"/>
      <c r="K853" s="660"/>
      <c r="L853" s="660"/>
      <c r="M853" s="660"/>
      <c r="N853" s="660"/>
      <c r="O853" s="660"/>
      <c r="P853" s="660"/>
      <c r="Q853" s="660"/>
      <c r="R853" s="660"/>
      <c r="S853" s="660"/>
      <c r="T853" s="660"/>
      <c r="U853" s="660"/>
      <c r="V853" s="660"/>
      <c r="W853" s="660"/>
      <c r="X853" s="660"/>
      <c r="Y853" s="660"/>
      <c r="Z853" s="660"/>
      <c r="AA853" s="660"/>
      <c r="AB853" s="660"/>
      <c r="AC853" s="661"/>
      <c r="AD853" s="606"/>
      <c r="AE853" s="606"/>
      <c r="AF853" s="606"/>
      <c r="AG853" s="606"/>
    </row>
    <row r="854" spans="1:33" s="612" customFormat="1" hidden="1" outlineLevel="3" x14ac:dyDescent="0.2">
      <c r="A854" s="606"/>
      <c r="B854" s="606"/>
      <c r="C854" s="607"/>
      <c r="D854" s="608"/>
      <c r="E854" s="608"/>
      <c r="F854" s="608"/>
      <c r="G854" s="608"/>
      <c r="H854" s="609"/>
      <c r="I854" s="660"/>
      <c r="J854" s="660"/>
      <c r="K854" s="660"/>
      <c r="L854" s="660"/>
      <c r="M854" s="660"/>
      <c r="N854" s="660"/>
      <c r="O854" s="660"/>
      <c r="P854" s="660"/>
      <c r="Q854" s="660"/>
      <c r="R854" s="660"/>
      <c r="S854" s="660"/>
      <c r="T854" s="660"/>
      <c r="U854" s="660"/>
      <c r="V854" s="660"/>
      <c r="W854" s="660"/>
      <c r="X854" s="660"/>
      <c r="Y854" s="660"/>
      <c r="Z854" s="660"/>
      <c r="AA854" s="660"/>
      <c r="AB854" s="660"/>
      <c r="AC854" s="661"/>
      <c r="AD854" s="606"/>
      <c r="AE854" s="606"/>
      <c r="AF854" s="606"/>
      <c r="AG854" s="606"/>
    </row>
    <row r="855" spans="1:33" s="612" customFormat="1" hidden="1" outlineLevel="3" x14ac:dyDescent="0.2">
      <c r="A855" s="606"/>
      <c r="B855" s="606"/>
      <c r="C855" s="607"/>
      <c r="D855" s="608"/>
      <c r="E855" s="608"/>
      <c r="F855" s="608"/>
      <c r="G855" s="608"/>
      <c r="H855" s="609"/>
      <c r="I855" s="660"/>
      <c r="J855" s="660"/>
      <c r="K855" s="660"/>
      <c r="L855" s="660"/>
      <c r="M855" s="660"/>
      <c r="N855" s="660"/>
      <c r="O855" s="660"/>
      <c r="P855" s="660"/>
      <c r="Q855" s="660"/>
      <c r="R855" s="660"/>
      <c r="S855" s="660"/>
      <c r="T855" s="660"/>
      <c r="U855" s="660"/>
      <c r="V855" s="660"/>
      <c r="W855" s="660"/>
      <c r="X855" s="660"/>
      <c r="Y855" s="660"/>
      <c r="Z855" s="660"/>
      <c r="AA855" s="660"/>
      <c r="AB855" s="660"/>
      <c r="AC855" s="661"/>
      <c r="AD855" s="606"/>
      <c r="AE855" s="606"/>
      <c r="AF855" s="606"/>
      <c r="AG855" s="606"/>
    </row>
    <row r="856" spans="1:33" s="612" customFormat="1" hidden="1" outlineLevel="3" x14ac:dyDescent="0.2">
      <c r="A856" s="606"/>
      <c r="B856" s="606"/>
      <c r="C856" s="607"/>
      <c r="D856" s="608"/>
      <c r="E856" s="608"/>
      <c r="F856" s="608"/>
      <c r="G856" s="608"/>
      <c r="H856" s="609"/>
      <c r="I856" s="660"/>
      <c r="J856" s="660"/>
      <c r="K856" s="660"/>
      <c r="L856" s="660"/>
      <c r="M856" s="660"/>
      <c r="N856" s="660"/>
      <c r="O856" s="660"/>
      <c r="P856" s="660"/>
      <c r="Q856" s="660"/>
      <c r="R856" s="660"/>
      <c r="S856" s="660"/>
      <c r="T856" s="660"/>
      <c r="U856" s="660"/>
      <c r="V856" s="660"/>
      <c r="W856" s="660"/>
      <c r="X856" s="660"/>
      <c r="Y856" s="660"/>
      <c r="Z856" s="660"/>
      <c r="AA856" s="660"/>
      <c r="AB856" s="660"/>
      <c r="AC856" s="661"/>
      <c r="AD856" s="606"/>
      <c r="AE856" s="606"/>
      <c r="AF856" s="606"/>
      <c r="AG856" s="606"/>
    </row>
    <row r="857" spans="1:33" s="612" customFormat="1" hidden="1" outlineLevel="3" x14ac:dyDescent="0.2">
      <c r="A857" s="606"/>
      <c r="B857" s="606"/>
      <c r="C857" s="607"/>
      <c r="D857" s="608"/>
      <c r="E857" s="608"/>
      <c r="F857" s="608"/>
      <c r="G857" s="608"/>
      <c r="H857" s="609"/>
      <c r="I857" s="660"/>
      <c r="J857" s="660"/>
      <c r="K857" s="660"/>
      <c r="L857" s="660"/>
      <c r="M857" s="660"/>
      <c r="N857" s="660"/>
      <c r="O857" s="660"/>
      <c r="P857" s="660"/>
      <c r="Q857" s="660"/>
      <c r="R857" s="660"/>
      <c r="S857" s="660"/>
      <c r="T857" s="660"/>
      <c r="U857" s="660"/>
      <c r="V857" s="660"/>
      <c r="W857" s="660"/>
      <c r="X857" s="660"/>
      <c r="Y857" s="660"/>
      <c r="Z857" s="660"/>
      <c r="AA857" s="660"/>
      <c r="AB857" s="660"/>
      <c r="AC857" s="661"/>
      <c r="AD857" s="606"/>
      <c r="AE857" s="606"/>
      <c r="AF857" s="606"/>
      <c r="AG857" s="606"/>
    </row>
    <row r="858" spans="1:33" s="612" customFormat="1" hidden="1" outlineLevel="3" x14ac:dyDescent="0.2">
      <c r="A858" s="606"/>
      <c r="B858" s="606"/>
      <c r="C858" s="607"/>
      <c r="D858" s="608"/>
      <c r="E858" s="608"/>
      <c r="F858" s="608"/>
      <c r="G858" s="608"/>
      <c r="H858" s="609"/>
      <c r="I858" s="660"/>
      <c r="J858" s="660"/>
      <c r="K858" s="660"/>
      <c r="L858" s="660"/>
      <c r="M858" s="660"/>
      <c r="N858" s="660"/>
      <c r="O858" s="660"/>
      <c r="P858" s="660"/>
      <c r="Q858" s="660"/>
      <c r="R858" s="660"/>
      <c r="S858" s="660"/>
      <c r="T858" s="660"/>
      <c r="U858" s="660"/>
      <c r="V858" s="660"/>
      <c r="W858" s="660"/>
      <c r="X858" s="660"/>
      <c r="Y858" s="660"/>
      <c r="Z858" s="660"/>
      <c r="AA858" s="660"/>
      <c r="AB858" s="660"/>
      <c r="AC858" s="661"/>
      <c r="AD858" s="606"/>
      <c r="AE858" s="606"/>
      <c r="AF858" s="606"/>
      <c r="AG858" s="606"/>
    </row>
    <row r="859" spans="1:33" s="612" customFormat="1" hidden="1" outlineLevel="3" x14ac:dyDescent="0.2">
      <c r="A859" s="606"/>
      <c r="B859" s="606"/>
      <c r="C859" s="607"/>
      <c r="D859" s="608"/>
      <c r="E859" s="608"/>
      <c r="F859" s="608"/>
      <c r="G859" s="608"/>
      <c r="H859" s="609"/>
      <c r="I859" s="660"/>
      <c r="J859" s="660"/>
      <c r="K859" s="660"/>
      <c r="L859" s="660"/>
      <c r="M859" s="660"/>
      <c r="N859" s="660"/>
      <c r="O859" s="660"/>
      <c r="P859" s="660"/>
      <c r="Q859" s="660"/>
      <c r="R859" s="660"/>
      <c r="S859" s="660"/>
      <c r="T859" s="660"/>
      <c r="U859" s="660"/>
      <c r="V859" s="660"/>
      <c r="W859" s="660"/>
      <c r="X859" s="660"/>
      <c r="Y859" s="660"/>
      <c r="Z859" s="660"/>
      <c r="AA859" s="660"/>
      <c r="AB859" s="660"/>
      <c r="AC859" s="661"/>
      <c r="AD859" s="606"/>
      <c r="AE859" s="606"/>
      <c r="AF859" s="606"/>
      <c r="AG859" s="606"/>
    </row>
    <row r="860" spans="1:33" s="612" customFormat="1" hidden="1" outlineLevel="3" x14ac:dyDescent="0.2">
      <c r="A860" s="606"/>
      <c r="B860" s="606"/>
      <c r="C860" s="607"/>
      <c r="D860" s="608"/>
      <c r="E860" s="608"/>
      <c r="F860" s="608"/>
      <c r="G860" s="608"/>
      <c r="H860" s="609"/>
      <c r="I860" s="660"/>
      <c r="J860" s="660"/>
      <c r="K860" s="660"/>
      <c r="L860" s="660"/>
      <c r="M860" s="660"/>
      <c r="N860" s="660"/>
      <c r="O860" s="660"/>
      <c r="P860" s="660"/>
      <c r="Q860" s="660"/>
      <c r="R860" s="660"/>
      <c r="S860" s="660"/>
      <c r="T860" s="660"/>
      <c r="U860" s="660"/>
      <c r="V860" s="660"/>
      <c r="W860" s="660"/>
      <c r="X860" s="660"/>
      <c r="Y860" s="660"/>
      <c r="Z860" s="660"/>
      <c r="AA860" s="660"/>
      <c r="AB860" s="660"/>
      <c r="AC860" s="661"/>
      <c r="AD860" s="606"/>
      <c r="AE860" s="606"/>
      <c r="AF860" s="606"/>
      <c r="AG860" s="606"/>
    </row>
    <row r="861" spans="1:33" s="612" customFormat="1" hidden="1" outlineLevel="3" x14ac:dyDescent="0.2">
      <c r="A861" s="606"/>
      <c r="B861" s="606"/>
      <c r="C861" s="607"/>
      <c r="D861" s="608"/>
      <c r="E861" s="608"/>
      <c r="F861" s="608"/>
      <c r="G861" s="608"/>
      <c r="H861" s="609"/>
      <c r="I861" s="660"/>
      <c r="J861" s="660"/>
      <c r="K861" s="660"/>
      <c r="L861" s="660"/>
      <c r="M861" s="660"/>
      <c r="N861" s="660"/>
      <c r="O861" s="660"/>
      <c r="P861" s="660"/>
      <c r="Q861" s="660"/>
      <c r="R861" s="660"/>
      <c r="S861" s="660"/>
      <c r="T861" s="660"/>
      <c r="U861" s="660"/>
      <c r="V861" s="660"/>
      <c r="W861" s="660"/>
      <c r="X861" s="660"/>
      <c r="Y861" s="660"/>
      <c r="Z861" s="660"/>
      <c r="AA861" s="660"/>
      <c r="AB861" s="660"/>
      <c r="AC861" s="661"/>
      <c r="AD861" s="606"/>
      <c r="AE861" s="606"/>
      <c r="AF861" s="606"/>
      <c r="AG861" s="606"/>
    </row>
    <row r="862" spans="1:33" s="612" customFormat="1" hidden="1" outlineLevel="3" x14ac:dyDescent="0.2">
      <c r="A862" s="606"/>
      <c r="B862" s="606"/>
      <c r="C862" s="607"/>
      <c r="D862" s="608"/>
      <c r="E862" s="608"/>
      <c r="F862" s="608"/>
      <c r="G862" s="608"/>
      <c r="H862" s="609"/>
      <c r="I862" s="660"/>
      <c r="J862" s="660"/>
      <c r="K862" s="660"/>
      <c r="L862" s="660"/>
      <c r="M862" s="660"/>
      <c r="N862" s="660"/>
      <c r="O862" s="660"/>
      <c r="P862" s="660"/>
      <c r="Q862" s="660"/>
      <c r="R862" s="660"/>
      <c r="S862" s="660"/>
      <c r="T862" s="660"/>
      <c r="U862" s="660"/>
      <c r="V862" s="660"/>
      <c r="W862" s="660"/>
      <c r="X862" s="660"/>
      <c r="Y862" s="660"/>
      <c r="Z862" s="660"/>
      <c r="AA862" s="660"/>
      <c r="AB862" s="660"/>
      <c r="AC862" s="661"/>
      <c r="AD862" s="606"/>
      <c r="AE862" s="606"/>
      <c r="AF862" s="606"/>
      <c r="AG862" s="606"/>
    </row>
    <row r="863" spans="1:33" s="612" customFormat="1" hidden="1" outlineLevel="3" x14ac:dyDescent="0.2">
      <c r="A863" s="606"/>
      <c r="B863" s="606"/>
      <c r="C863" s="607"/>
      <c r="D863" s="608"/>
      <c r="E863" s="608"/>
      <c r="F863" s="608"/>
      <c r="G863" s="608"/>
      <c r="H863" s="609"/>
      <c r="I863" s="660"/>
      <c r="J863" s="660"/>
      <c r="K863" s="660"/>
      <c r="L863" s="660"/>
      <c r="M863" s="660"/>
      <c r="N863" s="660"/>
      <c r="O863" s="660"/>
      <c r="P863" s="660"/>
      <c r="Q863" s="660"/>
      <c r="R863" s="660"/>
      <c r="S863" s="660"/>
      <c r="T863" s="660"/>
      <c r="U863" s="660"/>
      <c r="V863" s="660"/>
      <c r="W863" s="660"/>
      <c r="X863" s="660"/>
      <c r="Y863" s="660"/>
      <c r="Z863" s="660"/>
      <c r="AA863" s="660"/>
      <c r="AB863" s="660"/>
      <c r="AC863" s="661"/>
      <c r="AD863" s="606"/>
      <c r="AE863" s="606"/>
      <c r="AF863" s="606"/>
      <c r="AG863" s="606"/>
    </row>
    <row r="864" spans="1:33" s="612" customFormat="1" hidden="1" outlineLevel="3" x14ac:dyDescent="0.2">
      <c r="A864" s="606"/>
      <c r="B864" s="606"/>
      <c r="C864" s="607"/>
      <c r="D864" s="608"/>
      <c r="E864" s="608"/>
      <c r="F864" s="608"/>
      <c r="G864" s="608"/>
      <c r="H864" s="609"/>
      <c r="I864" s="660"/>
      <c r="J864" s="660"/>
      <c r="K864" s="660"/>
      <c r="L864" s="660"/>
      <c r="M864" s="660"/>
      <c r="N864" s="660"/>
      <c r="O864" s="660"/>
      <c r="P864" s="660"/>
      <c r="Q864" s="660"/>
      <c r="R864" s="660"/>
      <c r="S864" s="660"/>
      <c r="T864" s="660"/>
      <c r="U864" s="660"/>
      <c r="V864" s="660"/>
      <c r="W864" s="660"/>
      <c r="X864" s="660"/>
      <c r="Y864" s="660"/>
      <c r="Z864" s="660"/>
      <c r="AA864" s="660"/>
      <c r="AB864" s="660"/>
      <c r="AC864" s="661"/>
      <c r="AD864" s="606"/>
      <c r="AE864" s="606"/>
      <c r="AF864" s="606"/>
      <c r="AG864" s="606"/>
    </row>
    <row r="865" spans="1:33" s="612" customFormat="1" hidden="1" outlineLevel="3" x14ac:dyDescent="0.2">
      <c r="A865" s="606"/>
      <c r="B865" s="606"/>
      <c r="C865" s="607"/>
      <c r="D865" s="608"/>
      <c r="E865" s="608"/>
      <c r="F865" s="608"/>
      <c r="G865" s="608"/>
      <c r="H865" s="609"/>
      <c r="I865" s="660"/>
      <c r="J865" s="660"/>
      <c r="K865" s="660"/>
      <c r="L865" s="660"/>
      <c r="M865" s="660"/>
      <c r="N865" s="660"/>
      <c r="O865" s="660"/>
      <c r="P865" s="660"/>
      <c r="Q865" s="660"/>
      <c r="R865" s="660"/>
      <c r="S865" s="660"/>
      <c r="T865" s="660"/>
      <c r="U865" s="660"/>
      <c r="V865" s="660"/>
      <c r="W865" s="660"/>
      <c r="X865" s="660"/>
      <c r="Y865" s="660"/>
      <c r="Z865" s="660"/>
      <c r="AA865" s="660"/>
      <c r="AB865" s="660"/>
      <c r="AC865" s="661"/>
      <c r="AD865" s="606"/>
      <c r="AE865" s="606"/>
      <c r="AF865" s="606"/>
      <c r="AG865" s="606"/>
    </row>
    <row r="866" spans="1:33" s="612" customFormat="1" hidden="1" outlineLevel="3" x14ac:dyDescent="0.2">
      <c r="A866" s="606"/>
      <c r="B866" s="606"/>
      <c r="C866" s="607"/>
      <c r="D866" s="608"/>
      <c r="E866" s="608"/>
      <c r="F866" s="608"/>
      <c r="G866" s="608"/>
      <c r="H866" s="609"/>
      <c r="I866" s="660"/>
      <c r="J866" s="660"/>
      <c r="K866" s="660"/>
      <c r="L866" s="660"/>
      <c r="M866" s="660"/>
      <c r="N866" s="660"/>
      <c r="O866" s="660"/>
      <c r="P866" s="660"/>
      <c r="Q866" s="660"/>
      <c r="R866" s="660"/>
      <c r="S866" s="660"/>
      <c r="T866" s="660"/>
      <c r="U866" s="660"/>
      <c r="V866" s="660"/>
      <c r="W866" s="660"/>
      <c r="X866" s="660"/>
      <c r="Y866" s="660"/>
      <c r="Z866" s="660"/>
      <c r="AA866" s="660"/>
      <c r="AB866" s="660"/>
      <c r="AC866" s="661"/>
      <c r="AD866" s="606"/>
      <c r="AE866" s="606"/>
      <c r="AF866" s="606"/>
      <c r="AG866" s="606"/>
    </row>
    <row r="867" spans="1:33" s="612" customFormat="1" hidden="1" outlineLevel="3" x14ac:dyDescent="0.2">
      <c r="A867" s="606"/>
      <c r="B867" s="606"/>
      <c r="C867" s="607"/>
      <c r="D867" s="608"/>
      <c r="E867" s="608"/>
      <c r="F867" s="608"/>
      <c r="G867" s="608"/>
      <c r="H867" s="609"/>
      <c r="I867" s="660"/>
      <c r="J867" s="660"/>
      <c r="K867" s="660"/>
      <c r="L867" s="660"/>
      <c r="M867" s="660"/>
      <c r="N867" s="660"/>
      <c r="O867" s="660"/>
      <c r="P867" s="660"/>
      <c r="Q867" s="660"/>
      <c r="R867" s="660"/>
      <c r="S867" s="660"/>
      <c r="T867" s="660"/>
      <c r="U867" s="660"/>
      <c r="V867" s="660"/>
      <c r="W867" s="660"/>
      <c r="X867" s="660"/>
      <c r="Y867" s="660"/>
      <c r="Z867" s="660"/>
      <c r="AA867" s="660"/>
      <c r="AB867" s="660"/>
      <c r="AC867" s="661"/>
      <c r="AD867" s="606"/>
      <c r="AE867" s="606"/>
      <c r="AF867" s="606"/>
      <c r="AG867" s="606"/>
    </row>
    <row r="868" spans="1:33" s="612" customFormat="1" hidden="1" outlineLevel="3" x14ac:dyDescent="0.2">
      <c r="A868" s="606"/>
      <c r="B868" s="606"/>
      <c r="C868" s="607"/>
      <c r="D868" s="608"/>
      <c r="E868" s="608"/>
      <c r="F868" s="608"/>
      <c r="G868" s="608"/>
      <c r="H868" s="609"/>
      <c r="I868" s="660"/>
      <c r="J868" s="660"/>
      <c r="K868" s="660"/>
      <c r="L868" s="660"/>
      <c r="M868" s="660"/>
      <c r="N868" s="660"/>
      <c r="O868" s="660"/>
      <c r="P868" s="660"/>
      <c r="Q868" s="660"/>
      <c r="R868" s="660"/>
      <c r="S868" s="660"/>
      <c r="T868" s="660"/>
      <c r="U868" s="660"/>
      <c r="V868" s="660"/>
      <c r="W868" s="660"/>
      <c r="X868" s="660"/>
      <c r="Y868" s="660"/>
      <c r="Z868" s="660"/>
      <c r="AA868" s="660"/>
      <c r="AB868" s="660"/>
      <c r="AC868" s="661"/>
      <c r="AD868" s="606"/>
      <c r="AE868" s="606"/>
      <c r="AF868" s="606"/>
      <c r="AG868" s="606"/>
    </row>
    <row r="869" spans="1:33" s="612" customFormat="1" hidden="1" outlineLevel="3" x14ac:dyDescent="0.2">
      <c r="A869" s="606"/>
      <c r="B869" s="606"/>
      <c r="C869" s="607"/>
      <c r="D869" s="608"/>
      <c r="E869" s="608"/>
      <c r="F869" s="608"/>
      <c r="G869" s="608"/>
      <c r="H869" s="609"/>
      <c r="I869" s="660"/>
      <c r="J869" s="660"/>
      <c r="K869" s="660"/>
      <c r="L869" s="660"/>
      <c r="M869" s="660"/>
      <c r="N869" s="660"/>
      <c r="O869" s="660"/>
      <c r="P869" s="660"/>
      <c r="Q869" s="660"/>
      <c r="R869" s="660"/>
      <c r="S869" s="660"/>
      <c r="T869" s="660"/>
      <c r="U869" s="660"/>
      <c r="V869" s="660"/>
      <c r="W869" s="660"/>
      <c r="X869" s="660"/>
      <c r="Y869" s="660"/>
      <c r="Z869" s="660"/>
      <c r="AA869" s="660"/>
      <c r="AB869" s="660"/>
      <c r="AC869" s="661"/>
      <c r="AD869" s="606"/>
      <c r="AE869" s="606"/>
      <c r="AF869" s="606"/>
      <c r="AG869" s="606"/>
    </row>
    <row r="870" spans="1:33" s="612" customFormat="1" hidden="1" outlineLevel="3" x14ac:dyDescent="0.2">
      <c r="A870" s="606"/>
      <c r="B870" s="606"/>
      <c r="C870" s="607"/>
      <c r="D870" s="608"/>
      <c r="E870" s="608"/>
      <c r="F870" s="608"/>
      <c r="G870" s="608"/>
      <c r="H870" s="609"/>
      <c r="I870" s="660"/>
      <c r="J870" s="660"/>
      <c r="K870" s="660"/>
      <c r="L870" s="660"/>
      <c r="M870" s="660"/>
      <c r="N870" s="660"/>
      <c r="O870" s="660"/>
      <c r="P870" s="660"/>
      <c r="Q870" s="660"/>
      <c r="R870" s="660"/>
      <c r="S870" s="660"/>
      <c r="T870" s="660"/>
      <c r="U870" s="660"/>
      <c r="V870" s="660"/>
      <c r="W870" s="660"/>
      <c r="X870" s="660"/>
      <c r="Y870" s="660"/>
      <c r="Z870" s="660"/>
      <c r="AA870" s="660"/>
      <c r="AB870" s="660"/>
      <c r="AC870" s="661"/>
      <c r="AD870" s="606"/>
      <c r="AE870" s="606"/>
      <c r="AF870" s="606"/>
      <c r="AG870" s="606"/>
    </row>
    <row r="871" spans="1:33" s="612" customFormat="1" hidden="1" outlineLevel="3" x14ac:dyDescent="0.2">
      <c r="A871" s="606"/>
      <c r="B871" s="606"/>
      <c r="C871" s="607"/>
      <c r="D871" s="608"/>
      <c r="E871" s="608"/>
      <c r="F871" s="608"/>
      <c r="G871" s="608"/>
      <c r="H871" s="609"/>
      <c r="I871" s="660"/>
      <c r="J871" s="660"/>
      <c r="K871" s="660"/>
      <c r="L871" s="660"/>
      <c r="M871" s="660"/>
      <c r="N871" s="660"/>
      <c r="O871" s="660"/>
      <c r="P871" s="660"/>
      <c r="Q871" s="660"/>
      <c r="R871" s="660"/>
      <c r="S871" s="660"/>
      <c r="T871" s="660"/>
      <c r="U871" s="660"/>
      <c r="V871" s="660"/>
      <c r="W871" s="660"/>
      <c r="X871" s="660"/>
      <c r="Y871" s="660"/>
      <c r="Z871" s="660"/>
      <c r="AA871" s="660"/>
      <c r="AB871" s="660"/>
      <c r="AC871" s="661"/>
      <c r="AD871" s="606"/>
      <c r="AE871" s="606"/>
      <c r="AF871" s="606"/>
      <c r="AG871" s="606"/>
    </row>
    <row r="872" spans="1:33" s="612" customFormat="1" hidden="1" outlineLevel="3" x14ac:dyDescent="0.2">
      <c r="A872" s="606"/>
      <c r="B872" s="606"/>
      <c r="C872" s="607"/>
      <c r="D872" s="608"/>
      <c r="E872" s="608"/>
      <c r="F872" s="608"/>
      <c r="G872" s="608"/>
      <c r="H872" s="609"/>
      <c r="I872" s="660"/>
      <c r="J872" s="660"/>
      <c r="K872" s="660"/>
      <c r="L872" s="660"/>
      <c r="M872" s="660"/>
      <c r="N872" s="660"/>
      <c r="O872" s="660"/>
      <c r="P872" s="660"/>
      <c r="Q872" s="660"/>
      <c r="R872" s="660"/>
      <c r="S872" s="660"/>
      <c r="T872" s="660"/>
      <c r="U872" s="660"/>
      <c r="V872" s="660"/>
      <c r="W872" s="660"/>
      <c r="X872" s="660"/>
      <c r="Y872" s="660"/>
      <c r="Z872" s="660"/>
      <c r="AA872" s="660"/>
      <c r="AB872" s="660"/>
      <c r="AC872" s="661"/>
      <c r="AD872" s="606"/>
      <c r="AE872" s="606"/>
      <c r="AF872" s="606"/>
      <c r="AG872" s="606"/>
    </row>
    <row r="873" spans="1:33" s="612" customFormat="1" hidden="1" outlineLevel="3" x14ac:dyDescent="0.2">
      <c r="A873" s="606"/>
      <c r="B873" s="606"/>
      <c r="C873" s="607"/>
      <c r="D873" s="608"/>
      <c r="E873" s="608"/>
      <c r="F873" s="608"/>
      <c r="G873" s="608"/>
      <c r="H873" s="609"/>
      <c r="I873" s="660"/>
      <c r="J873" s="660"/>
      <c r="K873" s="660"/>
      <c r="L873" s="660"/>
      <c r="M873" s="660"/>
      <c r="N873" s="660"/>
      <c r="O873" s="660"/>
      <c r="P873" s="660"/>
      <c r="Q873" s="660"/>
      <c r="R873" s="660"/>
      <c r="S873" s="660"/>
      <c r="T873" s="660"/>
      <c r="U873" s="660"/>
      <c r="V873" s="660"/>
      <c r="W873" s="660"/>
      <c r="X873" s="660"/>
      <c r="Y873" s="660"/>
      <c r="Z873" s="660"/>
      <c r="AA873" s="660"/>
      <c r="AB873" s="660"/>
      <c r="AC873" s="661"/>
      <c r="AD873" s="606"/>
      <c r="AE873" s="606"/>
      <c r="AF873" s="606"/>
      <c r="AG873" s="606"/>
    </row>
    <row r="874" spans="1:33" s="612" customFormat="1" hidden="1" outlineLevel="3" x14ac:dyDescent="0.2">
      <c r="A874" s="606"/>
      <c r="B874" s="606"/>
      <c r="C874" s="607"/>
      <c r="D874" s="608"/>
      <c r="E874" s="608"/>
      <c r="F874" s="608"/>
      <c r="G874" s="608"/>
      <c r="H874" s="609"/>
      <c r="I874" s="660"/>
      <c r="J874" s="660"/>
      <c r="K874" s="660"/>
      <c r="L874" s="660"/>
      <c r="M874" s="660"/>
      <c r="N874" s="660"/>
      <c r="O874" s="660"/>
      <c r="P874" s="660"/>
      <c r="Q874" s="660"/>
      <c r="R874" s="660"/>
      <c r="S874" s="660"/>
      <c r="T874" s="660"/>
      <c r="U874" s="660"/>
      <c r="V874" s="660"/>
      <c r="W874" s="660"/>
      <c r="X874" s="660"/>
      <c r="Y874" s="660"/>
      <c r="Z874" s="660"/>
      <c r="AA874" s="660"/>
      <c r="AB874" s="660"/>
      <c r="AC874" s="661"/>
      <c r="AD874" s="606"/>
      <c r="AE874" s="606"/>
      <c r="AF874" s="606"/>
      <c r="AG874" s="606"/>
    </row>
    <row r="875" spans="1:33" s="612" customFormat="1" hidden="1" outlineLevel="3" x14ac:dyDescent="0.2">
      <c r="A875" s="606"/>
      <c r="B875" s="606"/>
      <c r="C875" s="607"/>
      <c r="D875" s="608"/>
      <c r="E875" s="608"/>
      <c r="F875" s="608"/>
      <c r="G875" s="608"/>
      <c r="H875" s="609"/>
      <c r="I875" s="660"/>
      <c r="J875" s="660"/>
      <c r="K875" s="660"/>
      <c r="L875" s="660"/>
      <c r="M875" s="660"/>
      <c r="N875" s="660"/>
      <c r="O875" s="660"/>
      <c r="P875" s="660"/>
      <c r="Q875" s="660"/>
      <c r="R875" s="660"/>
      <c r="S875" s="660"/>
      <c r="T875" s="660"/>
      <c r="U875" s="660"/>
      <c r="V875" s="660"/>
      <c r="W875" s="660"/>
      <c r="X875" s="660"/>
      <c r="Y875" s="660"/>
      <c r="Z875" s="660"/>
      <c r="AA875" s="660"/>
      <c r="AB875" s="660"/>
      <c r="AC875" s="661"/>
      <c r="AD875" s="606"/>
      <c r="AE875" s="606"/>
      <c r="AF875" s="606"/>
      <c r="AG875" s="606"/>
    </row>
    <row r="876" spans="1:33" s="612" customFormat="1" hidden="1" outlineLevel="3" x14ac:dyDescent="0.2">
      <c r="A876" s="606"/>
      <c r="B876" s="606"/>
      <c r="C876" s="607"/>
      <c r="D876" s="608"/>
      <c r="E876" s="608"/>
      <c r="F876" s="608"/>
      <c r="G876" s="608"/>
      <c r="H876" s="609"/>
      <c r="I876" s="660"/>
      <c r="J876" s="660"/>
      <c r="K876" s="660"/>
      <c r="L876" s="660"/>
      <c r="M876" s="660"/>
      <c r="N876" s="660"/>
      <c r="O876" s="660"/>
      <c r="P876" s="660"/>
      <c r="Q876" s="660"/>
      <c r="R876" s="660"/>
      <c r="S876" s="660"/>
      <c r="T876" s="660"/>
      <c r="U876" s="660"/>
      <c r="V876" s="660"/>
      <c r="W876" s="660"/>
      <c r="X876" s="660"/>
      <c r="Y876" s="660"/>
      <c r="Z876" s="660"/>
      <c r="AA876" s="660"/>
      <c r="AB876" s="660"/>
      <c r="AC876" s="661"/>
      <c r="AD876" s="606"/>
      <c r="AE876" s="606"/>
      <c r="AF876" s="606"/>
      <c r="AG876" s="606"/>
    </row>
    <row r="877" spans="1:33" s="612" customFormat="1" hidden="1" outlineLevel="3" x14ac:dyDescent="0.2">
      <c r="A877" s="606"/>
      <c r="B877" s="606"/>
      <c r="C877" s="607"/>
      <c r="D877" s="608"/>
      <c r="E877" s="608"/>
      <c r="F877" s="608"/>
      <c r="G877" s="608"/>
      <c r="H877" s="609"/>
      <c r="I877" s="660"/>
      <c r="J877" s="660"/>
      <c r="K877" s="660"/>
      <c r="L877" s="660"/>
      <c r="M877" s="660"/>
      <c r="N877" s="660"/>
      <c r="O877" s="660"/>
      <c r="P877" s="660"/>
      <c r="Q877" s="660"/>
      <c r="R877" s="660"/>
      <c r="S877" s="660"/>
      <c r="T877" s="660"/>
      <c r="U877" s="660"/>
      <c r="V877" s="660"/>
      <c r="W877" s="660"/>
      <c r="X877" s="660"/>
      <c r="Y877" s="660"/>
      <c r="Z877" s="660"/>
      <c r="AA877" s="660"/>
      <c r="AB877" s="660"/>
      <c r="AC877" s="661"/>
      <c r="AD877" s="606"/>
      <c r="AE877" s="606"/>
      <c r="AF877" s="606"/>
      <c r="AG877" s="606"/>
    </row>
    <row r="878" spans="1:33" s="612" customFormat="1" hidden="1" outlineLevel="3" x14ac:dyDescent="0.2">
      <c r="A878" s="606"/>
      <c r="B878" s="606"/>
      <c r="C878" s="607"/>
      <c r="D878" s="608"/>
      <c r="E878" s="608"/>
      <c r="F878" s="608"/>
      <c r="G878" s="608"/>
      <c r="H878" s="609"/>
      <c r="I878" s="660"/>
      <c r="J878" s="660"/>
      <c r="K878" s="660"/>
      <c r="L878" s="660"/>
      <c r="M878" s="660"/>
      <c r="N878" s="660"/>
      <c r="O878" s="660"/>
      <c r="P878" s="660"/>
      <c r="Q878" s="660"/>
      <c r="R878" s="660"/>
      <c r="S878" s="660"/>
      <c r="T878" s="660"/>
      <c r="U878" s="660"/>
      <c r="V878" s="660"/>
      <c r="W878" s="660"/>
      <c r="X878" s="660"/>
      <c r="Y878" s="660"/>
      <c r="Z878" s="660"/>
      <c r="AA878" s="660"/>
      <c r="AB878" s="660"/>
      <c r="AC878" s="661"/>
      <c r="AD878" s="606"/>
      <c r="AE878" s="606"/>
      <c r="AF878" s="606"/>
      <c r="AG878" s="606"/>
    </row>
    <row r="879" spans="1:33" s="612" customFormat="1" hidden="1" outlineLevel="3" x14ac:dyDescent="0.2">
      <c r="A879" s="606"/>
      <c r="B879" s="606"/>
      <c r="C879" s="607"/>
      <c r="D879" s="608"/>
      <c r="E879" s="608"/>
      <c r="F879" s="608"/>
      <c r="G879" s="608"/>
      <c r="H879" s="609"/>
      <c r="I879" s="660"/>
      <c r="J879" s="660"/>
      <c r="K879" s="660"/>
      <c r="L879" s="660"/>
      <c r="M879" s="660"/>
      <c r="N879" s="660"/>
      <c r="O879" s="660"/>
      <c r="P879" s="660"/>
      <c r="Q879" s="660"/>
      <c r="R879" s="660"/>
      <c r="S879" s="660"/>
      <c r="T879" s="660"/>
      <c r="U879" s="660"/>
      <c r="V879" s="660"/>
      <c r="W879" s="660"/>
      <c r="X879" s="660"/>
      <c r="Y879" s="660"/>
      <c r="Z879" s="660"/>
      <c r="AA879" s="660"/>
      <c r="AB879" s="660"/>
      <c r="AC879" s="661"/>
      <c r="AD879" s="606"/>
      <c r="AE879" s="606"/>
      <c r="AF879" s="606"/>
      <c r="AG879" s="606"/>
    </row>
    <row r="880" spans="1:33" s="612" customFormat="1" hidden="1" outlineLevel="3" x14ac:dyDescent="0.2">
      <c r="A880" s="606"/>
      <c r="B880" s="606"/>
      <c r="C880" s="607"/>
      <c r="D880" s="608"/>
      <c r="E880" s="608"/>
      <c r="F880" s="608"/>
      <c r="G880" s="608"/>
      <c r="H880" s="609"/>
      <c r="I880" s="660"/>
      <c r="J880" s="660"/>
      <c r="K880" s="660"/>
      <c r="L880" s="660"/>
      <c r="M880" s="660"/>
      <c r="N880" s="660"/>
      <c r="O880" s="660"/>
      <c r="P880" s="660"/>
      <c r="Q880" s="660"/>
      <c r="R880" s="660"/>
      <c r="S880" s="660"/>
      <c r="T880" s="660"/>
      <c r="U880" s="660"/>
      <c r="V880" s="660"/>
      <c r="W880" s="660"/>
      <c r="X880" s="660"/>
      <c r="Y880" s="660"/>
      <c r="Z880" s="660"/>
      <c r="AA880" s="660"/>
      <c r="AB880" s="660"/>
      <c r="AC880" s="661"/>
      <c r="AD880" s="606"/>
      <c r="AE880" s="606"/>
      <c r="AF880" s="606"/>
      <c r="AG880" s="606"/>
    </row>
    <row r="881" spans="1:33" s="612" customFormat="1" hidden="1" outlineLevel="3" x14ac:dyDescent="0.2">
      <c r="A881" s="606"/>
      <c r="B881" s="606"/>
      <c r="C881" s="607"/>
      <c r="D881" s="608"/>
      <c r="E881" s="608"/>
      <c r="F881" s="608"/>
      <c r="G881" s="608"/>
      <c r="H881" s="609"/>
      <c r="I881" s="660"/>
      <c r="J881" s="660"/>
      <c r="K881" s="660"/>
      <c r="L881" s="660"/>
      <c r="M881" s="660"/>
      <c r="N881" s="660"/>
      <c r="O881" s="660"/>
      <c r="P881" s="660"/>
      <c r="Q881" s="660"/>
      <c r="R881" s="660"/>
      <c r="S881" s="660"/>
      <c r="T881" s="660"/>
      <c r="U881" s="660"/>
      <c r="V881" s="660"/>
      <c r="W881" s="660"/>
      <c r="X881" s="660"/>
      <c r="Y881" s="660"/>
      <c r="Z881" s="660"/>
      <c r="AA881" s="660"/>
      <c r="AB881" s="660"/>
      <c r="AC881" s="661"/>
      <c r="AD881" s="606"/>
      <c r="AE881" s="606"/>
      <c r="AF881" s="606"/>
      <c r="AG881" s="606"/>
    </row>
    <row r="882" spans="1:33" s="612" customFormat="1" hidden="1" outlineLevel="3" x14ac:dyDescent="0.2">
      <c r="A882" s="606"/>
      <c r="B882" s="606"/>
      <c r="C882" s="607"/>
      <c r="D882" s="608"/>
      <c r="E882" s="608"/>
      <c r="F882" s="608"/>
      <c r="G882" s="608"/>
      <c r="H882" s="609"/>
      <c r="I882" s="660"/>
      <c r="J882" s="660"/>
      <c r="K882" s="660"/>
      <c r="L882" s="660"/>
      <c r="M882" s="660"/>
      <c r="N882" s="660"/>
      <c r="O882" s="660"/>
      <c r="P882" s="660"/>
      <c r="Q882" s="660"/>
      <c r="R882" s="660"/>
      <c r="S882" s="660"/>
      <c r="T882" s="660"/>
      <c r="U882" s="660"/>
      <c r="V882" s="660"/>
      <c r="W882" s="660"/>
      <c r="X882" s="660"/>
      <c r="Y882" s="660"/>
      <c r="Z882" s="660"/>
      <c r="AA882" s="660"/>
      <c r="AB882" s="660"/>
      <c r="AC882" s="661"/>
      <c r="AD882" s="606"/>
      <c r="AE882" s="606"/>
      <c r="AF882" s="606"/>
      <c r="AG882" s="606"/>
    </row>
    <row r="883" spans="1:33" s="612" customFormat="1" hidden="1" outlineLevel="3" x14ac:dyDescent="0.2">
      <c r="A883" s="606"/>
      <c r="B883" s="606"/>
      <c r="C883" s="607"/>
      <c r="D883" s="608"/>
      <c r="E883" s="608"/>
      <c r="F883" s="608"/>
      <c r="G883" s="608"/>
      <c r="H883" s="609"/>
      <c r="I883" s="660"/>
      <c r="J883" s="660"/>
      <c r="K883" s="660"/>
      <c r="L883" s="660"/>
      <c r="M883" s="660"/>
      <c r="N883" s="660"/>
      <c r="O883" s="660"/>
      <c r="P883" s="660"/>
      <c r="Q883" s="660"/>
      <c r="R883" s="660"/>
      <c r="S883" s="660"/>
      <c r="T883" s="660"/>
      <c r="U883" s="660"/>
      <c r="V883" s="660"/>
      <c r="W883" s="660"/>
      <c r="X883" s="660"/>
      <c r="Y883" s="660"/>
      <c r="Z883" s="660"/>
      <c r="AA883" s="660"/>
      <c r="AB883" s="660"/>
      <c r="AC883" s="661"/>
      <c r="AD883" s="606"/>
      <c r="AE883" s="606"/>
      <c r="AF883" s="606"/>
      <c r="AG883" s="606"/>
    </row>
    <row r="884" spans="1:33" s="612" customFormat="1" hidden="1" outlineLevel="3" x14ac:dyDescent="0.2">
      <c r="A884" s="606"/>
      <c r="B884" s="606"/>
      <c r="C884" s="607"/>
      <c r="D884" s="608"/>
      <c r="E884" s="608"/>
      <c r="F884" s="608"/>
      <c r="G884" s="608"/>
      <c r="H884" s="609"/>
      <c r="I884" s="660"/>
      <c r="J884" s="660"/>
      <c r="K884" s="660"/>
      <c r="L884" s="660"/>
      <c r="M884" s="660"/>
      <c r="N884" s="660"/>
      <c r="O884" s="660"/>
      <c r="P884" s="660"/>
      <c r="Q884" s="660"/>
      <c r="R884" s="660"/>
      <c r="S884" s="660"/>
      <c r="T884" s="660"/>
      <c r="U884" s="660"/>
      <c r="V884" s="660"/>
      <c r="W884" s="660"/>
      <c r="X884" s="660"/>
      <c r="Y884" s="660"/>
      <c r="Z884" s="660"/>
      <c r="AA884" s="660"/>
      <c r="AB884" s="660"/>
      <c r="AC884" s="661"/>
      <c r="AD884" s="606"/>
      <c r="AE884" s="606"/>
      <c r="AF884" s="606"/>
      <c r="AG884" s="606"/>
    </row>
    <row r="885" spans="1:33" s="612" customFormat="1" hidden="1" outlineLevel="3" x14ac:dyDescent="0.2">
      <c r="A885" s="606"/>
      <c r="B885" s="606"/>
      <c r="C885" s="607"/>
      <c r="D885" s="608"/>
      <c r="E885" s="608"/>
      <c r="F885" s="608"/>
      <c r="G885" s="608"/>
      <c r="H885" s="609"/>
      <c r="I885" s="660"/>
      <c r="J885" s="660"/>
      <c r="K885" s="660"/>
      <c r="L885" s="660"/>
      <c r="M885" s="660"/>
      <c r="N885" s="660"/>
      <c r="O885" s="660"/>
      <c r="P885" s="660"/>
      <c r="Q885" s="660"/>
      <c r="R885" s="660"/>
      <c r="S885" s="660"/>
      <c r="T885" s="660"/>
      <c r="U885" s="660"/>
      <c r="V885" s="660"/>
      <c r="W885" s="660"/>
      <c r="X885" s="660"/>
      <c r="Y885" s="660"/>
      <c r="Z885" s="660"/>
      <c r="AA885" s="660"/>
      <c r="AB885" s="660"/>
      <c r="AC885" s="661"/>
      <c r="AD885" s="606"/>
      <c r="AE885" s="606"/>
      <c r="AF885" s="606"/>
      <c r="AG885" s="606"/>
    </row>
    <row r="886" spans="1:33" s="612" customFormat="1" hidden="1" outlineLevel="3" x14ac:dyDescent="0.2">
      <c r="A886" s="606"/>
      <c r="B886" s="606"/>
      <c r="C886" s="607"/>
      <c r="D886" s="608"/>
      <c r="E886" s="608"/>
      <c r="F886" s="608"/>
      <c r="G886" s="608"/>
      <c r="H886" s="609"/>
      <c r="I886" s="660"/>
      <c r="J886" s="660"/>
      <c r="K886" s="660"/>
      <c r="L886" s="660"/>
      <c r="M886" s="660"/>
      <c r="N886" s="660"/>
      <c r="O886" s="660"/>
      <c r="P886" s="660"/>
      <c r="Q886" s="660"/>
      <c r="R886" s="660"/>
      <c r="S886" s="660"/>
      <c r="T886" s="660"/>
      <c r="U886" s="660"/>
      <c r="V886" s="660"/>
      <c r="W886" s="660"/>
      <c r="X886" s="660"/>
      <c r="Y886" s="660"/>
      <c r="Z886" s="660"/>
      <c r="AA886" s="660"/>
      <c r="AB886" s="660"/>
      <c r="AC886" s="661"/>
      <c r="AD886" s="606"/>
      <c r="AE886" s="606"/>
      <c r="AF886" s="606"/>
      <c r="AG886" s="606"/>
    </row>
    <row r="887" spans="1:33" s="612" customFormat="1" hidden="1" outlineLevel="3" x14ac:dyDescent="0.2">
      <c r="A887" s="606"/>
      <c r="B887" s="606"/>
      <c r="C887" s="607"/>
      <c r="D887" s="608"/>
      <c r="E887" s="608"/>
      <c r="F887" s="608"/>
      <c r="G887" s="608"/>
      <c r="H887" s="609"/>
      <c r="I887" s="660"/>
      <c r="J887" s="660"/>
      <c r="K887" s="660"/>
      <c r="L887" s="660"/>
      <c r="M887" s="660"/>
      <c r="N887" s="660"/>
      <c r="O887" s="660"/>
      <c r="P887" s="660"/>
      <c r="Q887" s="660"/>
      <c r="R887" s="660"/>
      <c r="S887" s="660"/>
      <c r="T887" s="660"/>
      <c r="U887" s="660"/>
      <c r="V887" s="660"/>
      <c r="W887" s="660"/>
      <c r="X887" s="660"/>
      <c r="Y887" s="660"/>
      <c r="Z887" s="660"/>
      <c r="AA887" s="660"/>
      <c r="AB887" s="660"/>
      <c r="AC887" s="661"/>
      <c r="AD887" s="606"/>
      <c r="AE887" s="606"/>
      <c r="AF887" s="606"/>
      <c r="AG887" s="606"/>
    </row>
    <row r="888" spans="1:33" s="612" customFormat="1" hidden="1" outlineLevel="3" x14ac:dyDescent="0.2">
      <c r="A888" s="606"/>
      <c r="B888" s="606"/>
      <c r="C888" s="607"/>
      <c r="D888" s="608"/>
      <c r="E888" s="608"/>
      <c r="F888" s="608"/>
      <c r="G888" s="608"/>
      <c r="H888" s="609"/>
      <c r="I888" s="660"/>
      <c r="J888" s="660"/>
      <c r="K888" s="660"/>
      <c r="L888" s="660"/>
      <c r="M888" s="660"/>
      <c r="N888" s="660"/>
      <c r="O888" s="660"/>
      <c r="P888" s="660"/>
      <c r="Q888" s="660"/>
      <c r="R888" s="660"/>
      <c r="S888" s="660"/>
      <c r="T888" s="660"/>
      <c r="U888" s="660"/>
      <c r="V888" s="660"/>
      <c r="W888" s="660"/>
      <c r="X888" s="660"/>
      <c r="Y888" s="660"/>
      <c r="Z888" s="660"/>
      <c r="AA888" s="660"/>
      <c r="AB888" s="660"/>
      <c r="AC888" s="661"/>
      <c r="AD888" s="606"/>
      <c r="AE888" s="606"/>
      <c r="AF888" s="606"/>
      <c r="AG888" s="606"/>
    </row>
    <row r="889" spans="1:33" s="612" customFormat="1" hidden="1" outlineLevel="3" x14ac:dyDescent="0.2">
      <c r="A889" s="606"/>
      <c r="B889" s="606"/>
      <c r="C889" s="607"/>
      <c r="D889" s="608"/>
      <c r="E889" s="608"/>
      <c r="F889" s="608"/>
      <c r="G889" s="608"/>
      <c r="H889" s="609"/>
      <c r="I889" s="660"/>
      <c r="J889" s="660"/>
      <c r="K889" s="660"/>
      <c r="L889" s="660"/>
      <c r="M889" s="660"/>
      <c r="N889" s="660"/>
      <c r="O889" s="660"/>
      <c r="P889" s="660"/>
      <c r="Q889" s="660"/>
      <c r="R889" s="660"/>
      <c r="S889" s="660"/>
      <c r="T889" s="660"/>
      <c r="U889" s="660"/>
      <c r="V889" s="660"/>
      <c r="W889" s="660"/>
      <c r="X889" s="660"/>
      <c r="Y889" s="660"/>
      <c r="Z889" s="660"/>
      <c r="AA889" s="660"/>
      <c r="AB889" s="660"/>
      <c r="AC889" s="661"/>
      <c r="AD889" s="606"/>
      <c r="AE889" s="606"/>
      <c r="AF889" s="606"/>
      <c r="AG889" s="606"/>
    </row>
    <row r="890" spans="1:33" s="612" customFormat="1" hidden="1" outlineLevel="3" x14ac:dyDescent="0.2">
      <c r="A890" s="606"/>
      <c r="B890" s="606"/>
      <c r="C890" s="607"/>
      <c r="D890" s="608"/>
      <c r="E890" s="608"/>
      <c r="F890" s="608"/>
      <c r="G890" s="608"/>
      <c r="H890" s="609"/>
      <c r="I890" s="660"/>
      <c r="J890" s="660"/>
      <c r="K890" s="660"/>
      <c r="L890" s="660"/>
      <c r="M890" s="660"/>
      <c r="N890" s="660"/>
      <c r="O890" s="660"/>
      <c r="P890" s="660"/>
      <c r="Q890" s="660"/>
      <c r="R890" s="660"/>
      <c r="S890" s="660"/>
      <c r="T890" s="660"/>
      <c r="U890" s="660"/>
      <c r="V890" s="660"/>
      <c r="W890" s="660"/>
      <c r="X890" s="660"/>
      <c r="Y890" s="660"/>
      <c r="Z890" s="660"/>
      <c r="AA890" s="660"/>
      <c r="AB890" s="660"/>
      <c r="AC890" s="661"/>
      <c r="AD890" s="606"/>
      <c r="AE890" s="606"/>
      <c r="AF890" s="606"/>
      <c r="AG890" s="606"/>
    </row>
    <row r="891" spans="1:33" s="612" customFormat="1" hidden="1" outlineLevel="3" x14ac:dyDescent="0.2">
      <c r="A891" s="606"/>
      <c r="B891" s="606"/>
      <c r="C891" s="607"/>
      <c r="D891" s="608"/>
      <c r="E891" s="608"/>
      <c r="F891" s="608"/>
      <c r="G891" s="608"/>
      <c r="H891" s="609"/>
      <c r="I891" s="660"/>
      <c r="J891" s="660"/>
      <c r="K891" s="660"/>
      <c r="L891" s="660"/>
      <c r="M891" s="660"/>
      <c r="N891" s="660"/>
      <c r="O891" s="660"/>
      <c r="P891" s="660"/>
      <c r="Q891" s="660"/>
      <c r="R891" s="660"/>
      <c r="S891" s="660"/>
      <c r="T891" s="660"/>
      <c r="U891" s="660"/>
      <c r="V891" s="660"/>
      <c r="W891" s="660"/>
      <c r="X891" s="660"/>
      <c r="Y891" s="660"/>
      <c r="Z891" s="660"/>
      <c r="AA891" s="660"/>
      <c r="AB891" s="660"/>
      <c r="AC891" s="661"/>
      <c r="AD891" s="606"/>
      <c r="AE891" s="606"/>
      <c r="AF891" s="606"/>
      <c r="AG891" s="606"/>
    </row>
    <row r="892" spans="1:33" s="612" customFormat="1" hidden="1" outlineLevel="3" x14ac:dyDescent="0.2">
      <c r="A892" s="606"/>
      <c r="B892" s="606"/>
      <c r="C892" s="607"/>
      <c r="D892" s="608"/>
      <c r="E892" s="608"/>
      <c r="F892" s="608"/>
      <c r="G892" s="608"/>
      <c r="H892" s="609"/>
      <c r="I892" s="660"/>
      <c r="J892" s="660"/>
      <c r="K892" s="660"/>
      <c r="L892" s="660"/>
      <c r="M892" s="660"/>
      <c r="N892" s="660"/>
      <c r="O892" s="660"/>
      <c r="P892" s="660"/>
      <c r="Q892" s="660"/>
      <c r="R892" s="660"/>
      <c r="S892" s="660"/>
      <c r="T892" s="660"/>
      <c r="U892" s="660"/>
      <c r="V892" s="660"/>
      <c r="W892" s="660"/>
      <c r="X892" s="660"/>
      <c r="Y892" s="660"/>
      <c r="Z892" s="660"/>
      <c r="AA892" s="660"/>
      <c r="AB892" s="660"/>
      <c r="AC892" s="661"/>
      <c r="AD892" s="606"/>
      <c r="AE892" s="606"/>
      <c r="AF892" s="606"/>
      <c r="AG892" s="606"/>
    </row>
    <row r="893" spans="1:33" s="612" customFormat="1" hidden="1" outlineLevel="3" x14ac:dyDescent="0.2">
      <c r="A893" s="606"/>
      <c r="B893" s="606"/>
      <c r="C893" s="607"/>
      <c r="D893" s="608"/>
      <c r="E893" s="608"/>
      <c r="F893" s="608"/>
      <c r="G893" s="608"/>
      <c r="H893" s="609"/>
      <c r="I893" s="660"/>
      <c r="J893" s="660"/>
      <c r="K893" s="660"/>
      <c r="L893" s="660"/>
      <c r="M893" s="660"/>
      <c r="N893" s="660"/>
      <c r="O893" s="660"/>
      <c r="P893" s="660"/>
      <c r="Q893" s="660"/>
      <c r="R893" s="660"/>
      <c r="S893" s="660"/>
      <c r="T893" s="660"/>
      <c r="U893" s="660"/>
      <c r="V893" s="660"/>
      <c r="W893" s="660"/>
      <c r="X893" s="660"/>
      <c r="Y893" s="660"/>
      <c r="Z893" s="660"/>
      <c r="AA893" s="660"/>
      <c r="AB893" s="660"/>
      <c r="AC893" s="661"/>
      <c r="AD893" s="606"/>
      <c r="AE893" s="606"/>
      <c r="AF893" s="606"/>
      <c r="AG893" s="606"/>
    </row>
    <row r="894" spans="1:33" s="612" customFormat="1" hidden="1" outlineLevel="3" x14ac:dyDescent="0.2">
      <c r="A894" s="606"/>
      <c r="B894" s="606"/>
      <c r="C894" s="607"/>
      <c r="D894" s="608"/>
      <c r="E894" s="608"/>
      <c r="F894" s="608"/>
      <c r="G894" s="608"/>
      <c r="H894" s="609"/>
      <c r="I894" s="660"/>
      <c r="J894" s="660"/>
      <c r="K894" s="660"/>
      <c r="L894" s="660"/>
      <c r="M894" s="660"/>
      <c r="N894" s="660"/>
      <c r="O894" s="660"/>
      <c r="P894" s="660"/>
      <c r="Q894" s="660"/>
      <c r="R894" s="660"/>
      <c r="S894" s="660"/>
      <c r="T894" s="660"/>
      <c r="U894" s="660"/>
      <c r="V894" s="660"/>
      <c r="W894" s="660"/>
      <c r="X894" s="660"/>
      <c r="Y894" s="660"/>
      <c r="Z894" s="660"/>
      <c r="AA894" s="660"/>
      <c r="AB894" s="660"/>
      <c r="AC894" s="661"/>
      <c r="AD894" s="606"/>
      <c r="AE894" s="606"/>
      <c r="AF894" s="606"/>
      <c r="AG894" s="606"/>
    </row>
    <row r="895" spans="1:33" s="612" customFormat="1" hidden="1" outlineLevel="3" x14ac:dyDescent="0.2">
      <c r="A895" s="606"/>
      <c r="B895" s="606"/>
      <c r="C895" s="607"/>
      <c r="D895" s="608"/>
      <c r="E895" s="608"/>
      <c r="F895" s="608"/>
      <c r="G895" s="608"/>
      <c r="H895" s="609"/>
      <c r="I895" s="660"/>
      <c r="J895" s="660"/>
      <c r="K895" s="660"/>
      <c r="L895" s="660"/>
      <c r="M895" s="660"/>
      <c r="N895" s="660"/>
      <c r="O895" s="660"/>
      <c r="P895" s="660"/>
      <c r="Q895" s="660"/>
      <c r="R895" s="660"/>
      <c r="S895" s="660"/>
      <c r="T895" s="660"/>
      <c r="U895" s="660"/>
      <c r="V895" s="660"/>
      <c r="W895" s="660"/>
      <c r="X895" s="660"/>
      <c r="Y895" s="660"/>
      <c r="Z895" s="660"/>
      <c r="AA895" s="660"/>
      <c r="AB895" s="660"/>
      <c r="AC895" s="661"/>
      <c r="AD895" s="606"/>
      <c r="AE895" s="606"/>
      <c r="AF895" s="606"/>
      <c r="AG895" s="606"/>
    </row>
    <row r="896" spans="1:33" s="612" customFormat="1" hidden="1" outlineLevel="3" x14ac:dyDescent="0.2">
      <c r="A896" s="606"/>
      <c r="B896" s="606"/>
      <c r="C896" s="607"/>
      <c r="D896" s="608"/>
      <c r="E896" s="608"/>
      <c r="F896" s="608"/>
      <c r="G896" s="608"/>
      <c r="H896" s="609"/>
      <c r="I896" s="660"/>
      <c r="J896" s="660"/>
      <c r="K896" s="660"/>
      <c r="L896" s="660"/>
      <c r="M896" s="660"/>
      <c r="N896" s="660"/>
      <c r="O896" s="660"/>
      <c r="P896" s="660"/>
      <c r="Q896" s="660"/>
      <c r="R896" s="660"/>
      <c r="S896" s="660"/>
      <c r="T896" s="660"/>
      <c r="U896" s="660"/>
      <c r="V896" s="660"/>
      <c r="W896" s="660"/>
      <c r="X896" s="660"/>
      <c r="Y896" s="660"/>
      <c r="Z896" s="660"/>
      <c r="AA896" s="660"/>
      <c r="AB896" s="660"/>
      <c r="AC896" s="661"/>
      <c r="AD896" s="606"/>
      <c r="AE896" s="606"/>
      <c r="AF896" s="606"/>
      <c r="AG896" s="606"/>
    </row>
    <row r="897" spans="1:33" s="612" customFormat="1" hidden="1" outlineLevel="3" x14ac:dyDescent="0.2">
      <c r="A897" s="606"/>
      <c r="B897" s="606"/>
      <c r="C897" s="607"/>
      <c r="D897" s="608"/>
      <c r="E897" s="608"/>
      <c r="F897" s="608"/>
      <c r="G897" s="608"/>
      <c r="H897" s="609"/>
      <c r="I897" s="660"/>
      <c r="J897" s="660"/>
      <c r="K897" s="660"/>
      <c r="L897" s="660"/>
      <c r="M897" s="660"/>
      <c r="N897" s="660"/>
      <c r="O897" s="660"/>
      <c r="P897" s="660"/>
      <c r="Q897" s="660"/>
      <c r="R897" s="660"/>
      <c r="S897" s="660"/>
      <c r="T897" s="660"/>
      <c r="U897" s="660"/>
      <c r="V897" s="660"/>
      <c r="W897" s="660"/>
      <c r="X897" s="660"/>
      <c r="Y897" s="660"/>
      <c r="Z897" s="660"/>
      <c r="AA897" s="660"/>
      <c r="AB897" s="660"/>
      <c r="AC897" s="661"/>
      <c r="AD897" s="606"/>
      <c r="AE897" s="606"/>
      <c r="AF897" s="606"/>
      <c r="AG897" s="606"/>
    </row>
    <row r="898" spans="1:33" s="612" customFormat="1" hidden="1" outlineLevel="3" x14ac:dyDescent="0.2">
      <c r="A898" s="606"/>
      <c r="B898" s="606"/>
      <c r="C898" s="607"/>
      <c r="D898" s="608"/>
      <c r="E898" s="608"/>
      <c r="F898" s="608"/>
      <c r="G898" s="608"/>
      <c r="H898" s="609"/>
      <c r="I898" s="660"/>
      <c r="J898" s="660"/>
      <c r="K898" s="660"/>
      <c r="L898" s="660"/>
      <c r="M898" s="660"/>
      <c r="N898" s="660"/>
      <c r="O898" s="660"/>
      <c r="P898" s="660"/>
      <c r="Q898" s="660"/>
      <c r="R898" s="660"/>
      <c r="S898" s="660"/>
      <c r="T898" s="660"/>
      <c r="U898" s="660"/>
      <c r="V898" s="660"/>
      <c r="W898" s="660"/>
      <c r="X898" s="660"/>
      <c r="Y898" s="660"/>
      <c r="Z898" s="660"/>
      <c r="AA898" s="660"/>
      <c r="AB898" s="660"/>
      <c r="AC898" s="661"/>
      <c r="AD898" s="606"/>
      <c r="AE898" s="606"/>
      <c r="AF898" s="606"/>
      <c r="AG898" s="606"/>
    </row>
    <row r="899" spans="1:33" s="612" customFormat="1" hidden="1" outlineLevel="3" x14ac:dyDescent="0.2">
      <c r="A899" s="606"/>
      <c r="B899" s="606"/>
      <c r="C899" s="607"/>
      <c r="D899" s="608"/>
      <c r="E899" s="608"/>
      <c r="F899" s="608"/>
      <c r="G899" s="608"/>
      <c r="H899" s="609"/>
      <c r="I899" s="660"/>
      <c r="J899" s="660"/>
      <c r="K899" s="660"/>
      <c r="L899" s="660"/>
      <c r="M899" s="660"/>
      <c r="N899" s="660"/>
      <c r="O899" s="660"/>
      <c r="P899" s="660"/>
      <c r="Q899" s="660"/>
      <c r="R899" s="660"/>
      <c r="S899" s="660"/>
      <c r="T899" s="660"/>
      <c r="U899" s="660"/>
      <c r="V899" s="660"/>
      <c r="W899" s="660"/>
      <c r="X899" s="660"/>
      <c r="Y899" s="660"/>
      <c r="Z899" s="660"/>
      <c r="AA899" s="660"/>
      <c r="AB899" s="660"/>
      <c r="AC899" s="661"/>
      <c r="AD899" s="606"/>
      <c r="AE899" s="606"/>
      <c r="AF899" s="606"/>
      <c r="AG899" s="606"/>
    </row>
    <row r="900" spans="1:33" s="612" customFormat="1" hidden="1" outlineLevel="3" x14ac:dyDescent="0.2">
      <c r="A900" s="606"/>
      <c r="B900" s="606"/>
      <c r="C900" s="607"/>
      <c r="D900" s="608"/>
      <c r="E900" s="608"/>
      <c r="F900" s="608"/>
      <c r="G900" s="608"/>
      <c r="H900" s="609"/>
      <c r="I900" s="660"/>
      <c r="J900" s="660"/>
      <c r="K900" s="660"/>
      <c r="L900" s="660"/>
      <c r="M900" s="660"/>
      <c r="N900" s="660"/>
      <c r="O900" s="660"/>
      <c r="P900" s="660"/>
      <c r="Q900" s="660"/>
      <c r="R900" s="660"/>
      <c r="S900" s="660"/>
      <c r="T900" s="660"/>
      <c r="U900" s="660"/>
      <c r="V900" s="660"/>
      <c r="W900" s="660"/>
      <c r="X900" s="660"/>
      <c r="Y900" s="660"/>
      <c r="Z900" s="660"/>
      <c r="AA900" s="660"/>
      <c r="AB900" s="660"/>
      <c r="AC900" s="661"/>
      <c r="AD900" s="606"/>
      <c r="AE900" s="606"/>
      <c r="AF900" s="606"/>
      <c r="AG900" s="606"/>
    </row>
    <row r="901" spans="1:33" s="612" customFormat="1" hidden="1" outlineLevel="3" x14ac:dyDescent="0.2">
      <c r="A901" s="606"/>
      <c r="B901" s="606"/>
      <c r="C901" s="607"/>
      <c r="D901" s="608"/>
      <c r="E901" s="608"/>
      <c r="F901" s="608"/>
      <c r="G901" s="608"/>
      <c r="H901" s="609"/>
      <c r="I901" s="660"/>
      <c r="J901" s="660"/>
      <c r="K901" s="660"/>
      <c r="L901" s="660"/>
      <c r="M901" s="660"/>
      <c r="N901" s="660"/>
      <c r="O901" s="660"/>
      <c r="P901" s="660"/>
      <c r="Q901" s="660"/>
      <c r="R901" s="660"/>
      <c r="S901" s="660"/>
      <c r="T901" s="660"/>
      <c r="U901" s="660"/>
      <c r="V901" s="660"/>
      <c r="W901" s="660"/>
      <c r="X901" s="660"/>
      <c r="Y901" s="660"/>
      <c r="Z901" s="660"/>
      <c r="AA901" s="660"/>
      <c r="AB901" s="660"/>
      <c r="AC901" s="661"/>
      <c r="AD901" s="606"/>
      <c r="AE901" s="606"/>
      <c r="AF901" s="606"/>
      <c r="AG901" s="606"/>
    </row>
    <row r="902" spans="1:33" s="612" customFormat="1" hidden="1" outlineLevel="3" x14ac:dyDescent="0.2">
      <c r="A902" s="606"/>
      <c r="B902" s="606"/>
      <c r="C902" s="607"/>
      <c r="D902" s="608"/>
      <c r="E902" s="608"/>
      <c r="F902" s="608"/>
      <c r="G902" s="608"/>
      <c r="H902" s="609"/>
      <c r="I902" s="660"/>
      <c r="J902" s="660"/>
      <c r="K902" s="660"/>
      <c r="L902" s="660"/>
      <c r="M902" s="660"/>
      <c r="N902" s="660"/>
      <c r="O902" s="660"/>
      <c r="P902" s="660"/>
      <c r="Q902" s="660"/>
      <c r="R902" s="660"/>
      <c r="S902" s="660"/>
      <c r="T902" s="660"/>
      <c r="U902" s="660"/>
      <c r="V902" s="660"/>
      <c r="W902" s="660"/>
      <c r="X902" s="660"/>
      <c r="Y902" s="660"/>
      <c r="Z902" s="660"/>
      <c r="AA902" s="660"/>
      <c r="AB902" s="660"/>
      <c r="AC902" s="661"/>
      <c r="AD902" s="606"/>
      <c r="AE902" s="606"/>
      <c r="AF902" s="606"/>
      <c r="AG902" s="606"/>
    </row>
    <row r="903" spans="1:33" s="612" customFormat="1" hidden="1" outlineLevel="3" x14ac:dyDescent="0.2">
      <c r="A903" s="606"/>
      <c r="B903" s="606"/>
      <c r="C903" s="607"/>
      <c r="D903" s="608"/>
      <c r="E903" s="608"/>
      <c r="F903" s="608"/>
      <c r="G903" s="608"/>
      <c r="H903" s="609"/>
      <c r="I903" s="660"/>
      <c r="J903" s="660"/>
      <c r="K903" s="660"/>
      <c r="L903" s="660"/>
      <c r="M903" s="660"/>
      <c r="N903" s="660"/>
      <c r="O903" s="660"/>
      <c r="P903" s="660"/>
      <c r="Q903" s="660"/>
      <c r="R903" s="660"/>
      <c r="S903" s="660"/>
      <c r="T903" s="660"/>
      <c r="U903" s="660"/>
      <c r="V903" s="660"/>
      <c r="W903" s="660"/>
      <c r="X903" s="660"/>
      <c r="Y903" s="660"/>
      <c r="Z903" s="660"/>
      <c r="AA903" s="660"/>
      <c r="AB903" s="660"/>
      <c r="AC903" s="661"/>
      <c r="AD903" s="606"/>
      <c r="AE903" s="606"/>
      <c r="AF903" s="606"/>
      <c r="AG903" s="606"/>
    </row>
    <row r="904" spans="1:33" s="612" customFormat="1" hidden="1" outlineLevel="3" x14ac:dyDescent="0.2">
      <c r="A904" s="606"/>
      <c r="B904" s="606"/>
      <c r="C904" s="607"/>
      <c r="D904" s="608"/>
      <c r="E904" s="608"/>
      <c r="F904" s="608"/>
      <c r="G904" s="608"/>
      <c r="H904" s="609"/>
      <c r="I904" s="660"/>
      <c r="J904" s="660"/>
      <c r="K904" s="660"/>
      <c r="L904" s="660"/>
      <c r="M904" s="660"/>
      <c r="N904" s="660"/>
      <c r="O904" s="660"/>
      <c r="P904" s="660"/>
      <c r="Q904" s="660"/>
      <c r="R904" s="660"/>
      <c r="S904" s="660"/>
      <c r="T904" s="660"/>
      <c r="U904" s="660"/>
      <c r="V904" s="660"/>
      <c r="W904" s="660"/>
      <c r="X904" s="660"/>
      <c r="Y904" s="660"/>
      <c r="Z904" s="660"/>
      <c r="AA904" s="660"/>
      <c r="AB904" s="660"/>
      <c r="AC904" s="661"/>
      <c r="AD904" s="606"/>
      <c r="AE904" s="606"/>
      <c r="AF904" s="606"/>
      <c r="AG904" s="606"/>
    </row>
    <row r="905" spans="1:33" s="612" customFormat="1" hidden="1" outlineLevel="3" x14ac:dyDescent="0.2">
      <c r="A905" s="606"/>
      <c r="B905" s="606"/>
      <c r="C905" s="607"/>
      <c r="D905" s="608"/>
      <c r="E905" s="608"/>
      <c r="F905" s="608"/>
      <c r="G905" s="608"/>
      <c r="H905" s="609"/>
      <c r="I905" s="660"/>
      <c r="J905" s="660"/>
      <c r="K905" s="660"/>
      <c r="L905" s="660"/>
      <c r="M905" s="660"/>
      <c r="N905" s="660"/>
      <c r="O905" s="660"/>
      <c r="P905" s="660"/>
      <c r="Q905" s="660"/>
      <c r="R905" s="660"/>
      <c r="S905" s="660"/>
      <c r="T905" s="660"/>
      <c r="U905" s="660"/>
      <c r="V905" s="660"/>
      <c r="W905" s="660"/>
      <c r="X905" s="660"/>
      <c r="Y905" s="660"/>
      <c r="Z905" s="660"/>
      <c r="AA905" s="660"/>
      <c r="AB905" s="660"/>
      <c r="AC905" s="661"/>
      <c r="AD905" s="606"/>
      <c r="AE905" s="606"/>
      <c r="AF905" s="606"/>
      <c r="AG905" s="606"/>
    </row>
    <row r="906" spans="1:33" s="612" customFormat="1" hidden="1" outlineLevel="3" x14ac:dyDescent="0.2">
      <c r="A906" s="606"/>
      <c r="B906" s="606"/>
      <c r="C906" s="607"/>
      <c r="D906" s="608"/>
      <c r="E906" s="608"/>
      <c r="F906" s="608"/>
      <c r="G906" s="608"/>
      <c r="H906" s="609"/>
      <c r="I906" s="660"/>
      <c r="J906" s="660"/>
      <c r="K906" s="660"/>
      <c r="L906" s="660"/>
      <c r="M906" s="660"/>
      <c r="N906" s="660"/>
      <c r="O906" s="660"/>
      <c r="P906" s="660"/>
      <c r="Q906" s="660"/>
      <c r="R906" s="660"/>
      <c r="S906" s="660"/>
      <c r="T906" s="660"/>
      <c r="U906" s="660"/>
      <c r="V906" s="660"/>
      <c r="W906" s="660"/>
      <c r="X906" s="660"/>
      <c r="Y906" s="660"/>
      <c r="Z906" s="660"/>
      <c r="AA906" s="660"/>
      <c r="AB906" s="660"/>
      <c r="AC906" s="661"/>
      <c r="AD906" s="606"/>
      <c r="AE906" s="606"/>
      <c r="AF906" s="606"/>
      <c r="AG906" s="606"/>
    </row>
    <row r="907" spans="1:33" s="612" customFormat="1" hidden="1" outlineLevel="3" x14ac:dyDescent="0.2">
      <c r="A907" s="606"/>
      <c r="B907" s="606"/>
      <c r="C907" s="607"/>
      <c r="D907" s="608"/>
      <c r="E907" s="608"/>
      <c r="F907" s="608"/>
      <c r="G907" s="608"/>
      <c r="H907" s="609"/>
      <c r="I907" s="660"/>
      <c r="J907" s="660"/>
      <c r="K907" s="660"/>
      <c r="L907" s="660"/>
      <c r="M907" s="660"/>
      <c r="N907" s="660"/>
      <c r="O907" s="660"/>
      <c r="P907" s="660"/>
      <c r="Q907" s="660"/>
      <c r="R907" s="660"/>
      <c r="S907" s="660"/>
      <c r="T907" s="660"/>
      <c r="U907" s="660"/>
      <c r="V907" s="660"/>
      <c r="W907" s="660"/>
      <c r="X907" s="660"/>
      <c r="Y907" s="660"/>
      <c r="Z907" s="660"/>
      <c r="AA907" s="660"/>
      <c r="AB907" s="660"/>
      <c r="AC907" s="661"/>
      <c r="AD907" s="606"/>
      <c r="AE907" s="606"/>
      <c r="AF907" s="606"/>
      <c r="AG907" s="606"/>
    </row>
    <row r="908" spans="1:33" s="612" customFormat="1" hidden="1" outlineLevel="3" x14ac:dyDescent="0.2">
      <c r="A908" s="606"/>
      <c r="B908" s="606"/>
      <c r="C908" s="607"/>
      <c r="D908" s="608"/>
      <c r="E908" s="608"/>
      <c r="F908" s="608"/>
      <c r="G908" s="608"/>
      <c r="H908" s="609"/>
      <c r="I908" s="660"/>
      <c r="J908" s="660"/>
      <c r="K908" s="660"/>
      <c r="L908" s="660"/>
      <c r="M908" s="660"/>
      <c r="N908" s="660"/>
      <c r="O908" s="660"/>
      <c r="P908" s="660"/>
      <c r="Q908" s="660"/>
      <c r="R908" s="660"/>
      <c r="S908" s="660"/>
      <c r="T908" s="660"/>
      <c r="U908" s="660"/>
      <c r="V908" s="660"/>
      <c r="W908" s="660"/>
      <c r="X908" s="660"/>
      <c r="Y908" s="660"/>
      <c r="Z908" s="660"/>
      <c r="AA908" s="660"/>
      <c r="AB908" s="660"/>
      <c r="AC908" s="661"/>
      <c r="AD908" s="606"/>
      <c r="AE908" s="606"/>
      <c r="AF908" s="606"/>
      <c r="AG908" s="606"/>
    </row>
    <row r="909" spans="1:33" s="612" customFormat="1" hidden="1" outlineLevel="3" x14ac:dyDescent="0.2">
      <c r="A909" s="606"/>
      <c r="B909" s="606"/>
      <c r="C909" s="607"/>
      <c r="D909" s="608"/>
      <c r="E909" s="608"/>
      <c r="F909" s="608"/>
      <c r="G909" s="608"/>
      <c r="H909" s="609"/>
      <c r="I909" s="660"/>
      <c r="J909" s="660"/>
      <c r="K909" s="660"/>
      <c r="L909" s="660"/>
      <c r="M909" s="660"/>
      <c r="N909" s="660"/>
      <c r="O909" s="660"/>
      <c r="P909" s="660"/>
      <c r="Q909" s="660"/>
      <c r="R909" s="660"/>
      <c r="S909" s="660"/>
      <c r="T909" s="660"/>
      <c r="U909" s="660"/>
      <c r="V909" s="660"/>
      <c r="W909" s="660"/>
      <c r="X909" s="660"/>
      <c r="Y909" s="660"/>
      <c r="Z909" s="660"/>
      <c r="AA909" s="660"/>
      <c r="AB909" s="660"/>
      <c r="AC909" s="661"/>
      <c r="AD909" s="606"/>
      <c r="AE909" s="606"/>
      <c r="AF909" s="606"/>
      <c r="AG909" s="606"/>
    </row>
    <row r="910" spans="1:33" s="612" customFormat="1" hidden="1" outlineLevel="3" x14ac:dyDescent="0.2">
      <c r="A910" s="606"/>
      <c r="B910" s="606"/>
      <c r="C910" s="607"/>
      <c r="D910" s="608"/>
      <c r="E910" s="608"/>
      <c r="F910" s="608"/>
      <c r="G910" s="608"/>
      <c r="H910" s="609"/>
      <c r="I910" s="660"/>
      <c r="J910" s="660"/>
      <c r="K910" s="660"/>
      <c r="L910" s="660"/>
      <c r="M910" s="660"/>
      <c r="N910" s="660"/>
      <c r="O910" s="660"/>
      <c r="P910" s="660"/>
      <c r="Q910" s="660"/>
      <c r="R910" s="660"/>
      <c r="S910" s="660"/>
      <c r="T910" s="660"/>
      <c r="U910" s="660"/>
      <c r="V910" s="660"/>
      <c r="W910" s="660"/>
      <c r="X910" s="660"/>
      <c r="Y910" s="660"/>
      <c r="Z910" s="660"/>
      <c r="AA910" s="660"/>
      <c r="AB910" s="660"/>
      <c r="AC910" s="661"/>
      <c r="AD910" s="606"/>
      <c r="AE910" s="606"/>
      <c r="AF910" s="606"/>
      <c r="AG910" s="606"/>
    </row>
    <row r="911" spans="1:33" s="612" customFormat="1" hidden="1" outlineLevel="3" x14ac:dyDescent="0.2">
      <c r="A911" s="606"/>
      <c r="B911" s="606"/>
      <c r="C911" s="607"/>
      <c r="D911" s="608"/>
      <c r="E911" s="608"/>
      <c r="F911" s="608"/>
      <c r="G911" s="608"/>
      <c r="H911" s="609"/>
      <c r="I911" s="660"/>
      <c r="J911" s="660"/>
      <c r="K911" s="660"/>
      <c r="L911" s="660"/>
      <c r="M911" s="660"/>
      <c r="N911" s="660"/>
      <c r="O911" s="660"/>
      <c r="P911" s="660"/>
      <c r="Q911" s="660"/>
      <c r="R911" s="660"/>
      <c r="S911" s="660"/>
      <c r="T911" s="660"/>
      <c r="U911" s="660"/>
      <c r="V911" s="660"/>
      <c r="W911" s="660"/>
      <c r="X911" s="660"/>
      <c r="Y911" s="660"/>
      <c r="Z911" s="660"/>
      <c r="AA911" s="660"/>
      <c r="AB911" s="660"/>
      <c r="AC911" s="661"/>
      <c r="AD911" s="606"/>
      <c r="AE911" s="606"/>
      <c r="AF911" s="606"/>
      <c r="AG911" s="606"/>
    </row>
    <row r="912" spans="1:33" s="612" customFormat="1" hidden="1" outlineLevel="3" x14ac:dyDescent="0.2">
      <c r="A912" s="606"/>
      <c r="B912" s="606"/>
      <c r="C912" s="607"/>
      <c r="D912" s="608"/>
      <c r="E912" s="608"/>
      <c r="F912" s="608"/>
      <c r="G912" s="608"/>
      <c r="H912" s="609"/>
      <c r="I912" s="660"/>
      <c r="J912" s="660"/>
      <c r="K912" s="660"/>
      <c r="L912" s="660"/>
      <c r="M912" s="660"/>
      <c r="N912" s="660"/>
      <c r="O912" s="660"/>
      <c r="P912" s="660"/>
      <c r="Q912" s="660"/>
      <c r="R912" s="660"/>
      <c r="S912" s="660"/>
      <c r="T912" s="660"/>
      <c r="U912" s="660"/>
      <c r="V912" s="660"/>
      <c r="W912" s="660"/>
      <c r="X912" s="660"/>
      <c r="Y912" s="660"/>
      <c r="Z912" s="660"/>
      <c r="AA912" s="660"/>
      <c r="AB912" s="660"/>
      <c r="AC912" s="661"/>
      <c r="AD912" s="606"/>
      <c r="AE912" s="606"/>
      <c r="AF912" s="606"/>
      <c r="AG912" s="606"/>
    </row>
    <row r="913" spans="1:33" s="612" customFormat="1" outlineLevel="2" collapsed="1" x14ac:dyDescent="0.2">
      <c r="A913" s="606"/>
      <c r="B913" s="606"/>
      <c r="C913" s="613"/>
      <c r="D913" s="613"/>
      <c r="E913" s="609"/>
      <c r="F913" s="609"/>
      <c r="G913" s="609"/>
      <c r="H913" s="609"/>
      <c r="I913" s="662"/>
      <c r="J913" s="662"/>
      <c r="K913" s="662"/>
      <c r="L913" s="662"/>
      <c r="M913" s="662"/>
      <c r="N913" s="662"/>
      <c r="O913" s="662"/>
      <c r="P913" s="662"/>
      <c r="Q913" s="662"/>
      <c r="R913" s="662"/>
      <c r="S913" s="662"/>
      <c r="T913" s="662"/>
      <c r="U913" s="662"/>
      <c r="V913" s="662"/>
      <c r="W913" s="662"/>
      <c r="X913" s="662"/>
      <c r="Y913" s="662"/>
      <c r="Z913" s="662"/>
      <c r="AA913" s="662"/>
      <c r="AB913" s="662"/>
      <c r="AC913" s="661"/>
      <c r="AD913" s="606"/>
      <c r="AE913" s="606"/>
      <c r="AF913" s="606"/>
      <c r="AG913" s="606"/>
    </row>
    <row r="914" spans="1:33" s="612" customFormat="1" outlineLevel="1" x14ac:dyDescent="0.2">
      <c r="A914" s="606"/>
      <c r="B914" s="606"/>
      <c r="C914" s="613"/>
      <c r="D914" s="609"/>
      <c r="E914" s="609"/>
      <c r="F914" s="609"/>
      <c r="G914" s="609"/>
      <c r="H914" s="609"/>
      <c r="I914" s="609"/>
      <c r="J914" s="609"/>
      <c r="K914" s="617"/>
      <c r="L914" s="617"/>
      <c r="M914" s="617"/>
      <c r="N914" s="622"/>
      <c r="O914" s="622"/>
      <c r="P914" s="622"/>
      <c r="Q914" s="622"/>
      <c r="R914" s="622"/>
      <c r="S914" s="606"/>
      <c r="T914" s="606"/>
      <c r="U914" s="606"/>
      <c r="V914" s="606"/>
      <c r="W914" s="606"/>
      <c r="X914" s="606"/>
      <c r="Y914" s="606"/>
      <c r="Z914" s="606"/>
      <c r="AA914" s="606"/>
      <c r="AB914" s="606"/>
      <c r="AC914" s="606"/>
      <c r="AD914" s="606"/>
      <c r="AE914" s="606"/>
      <c r="AF914" s="606"/>
      <c r="AG914" s="606"/>
    </row>
    <row r="915" spans="1:33" s="612" customFormat="1" x14ac:dyDescent="0.2">
      <c r="A915" s="606"/>
      <c r="B915" s="606"/>
      <c r="C915" s="623"/>
      <c r="D915" s="617"/>
      <c r="E915" s="617"/>
      <c r="F915" s="617"/>
      <c r="G915" s="618"/>
      <c r="H915" s="618"/>
      <c r="I915" s="618"/>
      <c r="J915" s="617"/>
      <c r="K915" s="617"/>
      <c r="L915" s="617"/>
      <c r="M915" s="617"/>
      <c r="N915" s="622"/>
      <c r="O915" s="622"/>
      <c r="P915" s="622"/>
      <c r="Q915" s="622"/>
      <c r="R915" s="622"/>
      <c r="S915" s="606"/>
      <c r="T915" s="606"/>
      <c r="U915" s="606"/>
      <c r="V915" s="606"/>
      <c r="W915" s="606"/>
      <c r="X915" s="606"/>
      <c r="Y915" s="606"/>
      <c r="Z915" s="606"/>
      <c r="AA915" s="606"/>
      <c r="AB915" s="606"/>
      <c r="AC915" s="606"/>
      <c r="AD915" s="606"/>
      <c r="AE915" s="606"/>
      <c r="AF915" s="606"/>
      <c r="AG915" s="606"/>
    </row>
    <row r="916" spans="1:33" ht="12.75" x14ac:dyDescent="0.2">
      <c r="A916" s="11"/>
      <c r="B916" s="12" t="s">
        <v>8</v>
      </c>
      <c r="C916" s="11"/>
      <c r="D916" s="11"/>
      <c r="E916" s="11"/>
      <c r="F916" s="11"/>
      <c r="G916" s="13"/>
      <c r="H916" s="13"/>
      <c r="I916" s="13"/>
      <c r="J916" s="13"/>
      <c r="K916" s="13"/>
      <c r="L916" s="13"/>
      <c r="M916" s="13"/>
      <c r="N916" s="14"/>
      <c r="O916" s="15"/>
      <c r="P916" s="14"/>
      <c r="Q916" s="15"/>
      <c r="R916" s="14"/>
      <c r="S916" s="14"/>
      <c r="T916" s="14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</row>
  </sheetData>
  <sheetProtection formatColumns="0" formatRows="0"/>
  <hyperlinks>
    <hyperlink ref="I1" location="'Pricing model'!A51" display="Back to Index" xr:uid="{00000000-0004-0000-1100-000000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theme="4" tint="0.79998168889431442"/>
  </sheetPr>
  <dimension ref="A1:AT287"/>
  <sheetViews>
    <sheetView showGridLines="0" zoomScaleNormal="100" workbookViewId="0">
      <pane xSplit="6" ySplit="5" topLeftCell="G28" activePane="bottomRight" state="frozen"/>
      <selection pane="topRight" activeCell="G1" sqref="G1"/>
      <selection pane="bottomLeft" activeCell="A6" sqref="A6"/>
      <selection pane="bottomRight" activeCell="G6" sqref="G6"/>
    </sheetView>
  </sheetViews>
  <sheetFormatPr defaultColWidth="0" defaultRowHeight="11.25" zeroHeight="1" outlineLevelRow="2" outlineLevelCol="1" x14ac:dyDescent="0.2"/>
  <cols>
    <col min="1" max="2" width="1.42578125" style="18" customWidth="1"/>
    <col min="3" max="3" width="40.5703125" style="18" customWidth="1"/>
    <col min="4" max="4" width="16.85546875" style="18" customWidth="1"/>
    <col min="5" max="5" width="13.42578125" style="18" customWidth="1"/>
    <col min="6" max="6" width="17.28515625" style="18" customWidth="1"/>
    <col min="7" max="7" width="3.140625" style="18" customWidth="1"/>
    <col min="8" max="8" width="10.42578125" style="18" customWidth="1"/>
    <col min="9" max="9" width="3.140625" style="18" customWidth="1"/>
    <col min="10" max="16" width="9.28515625" style="18" customWidth="1"/>
    <col min="17" max="18" width="9.85546875" style="18" customWidth="1"/>
    <col min="19" max="23" width="9.28515625" style="18" customWidth="1"/>
    <col min="24" max="29" width="9.28515625" style="18" hidden="1" customWidth="1" outlineLevel="1"/>
    <col min="30" max="30" width="9.28515625" style="18" customWidth="1" collapsed="1"/>
    <col min="31" max="31" width="2.42578125" style="18" customWidth="1"/>
    <col min="32" max="34" width="8" style="18" hidden="1" customWidth="1"/>
    <col min="35" max="44" width="9.28515625" style="18" hidden="1" customWidth="1"/>
    <col min="45" max="46" width="0" style="18" hidden="1" customWidth="1"/>
    <col min="47" max="16384" width="8" style="18" hidden="1"/>
  </cols>
  <sheetData>
    <row r="1" spans="1:34" ht="15.75" x14ac:dyDescent="0.25">
      <c r="A1" s="1"/>
      <c r="B1" s="2" t="str">
        <f>'Inputs&gt;&gt;'!B1</f>
        <v>AER pricing model - TasNetworks 2022–23</v>
      </c>
      <c r="C1" s="2"/>
      <c r="D1" s="2"/>
      <c r="E1" s="2"/>
      <c r="F1" s="3"/>
      <c r="G1" s="4"/>
      <c r="H1" s="4"/>
      <c r="I1" s="4"/>
      <c r="J1" s="160" t="s">
        <v>0</v>
      </c>
      <c r="K1" s="111"/>
      <c r="L1" s="112"/>
      <c r="M1" s="112"/>
      <c r="N1" s="51"/>
      <c r="Q1" s="111"/>
      <c r="R1" s="113"/>
      <c r="T1" s="114"/>
      <c r="U1" s="113"/>
      <c r="V1" s="5"/>
      <c r="W1" s="3"/>
      <c r="X1" s="3"/>
      <c r="Y1" s="3"/>
      <c r="Z1" s="5"/>
      <c r="AA1" s="5"/>
      <c r="AB1" s="5"/>
      <c r="AC1" s="5"/>
      <c r="AD1" s="5"/>
      <c r="AE1" s="1"/>
    </row>
    <row r="2" spans="1:34" ht="13.5" thickBot="1" x14ac:dyDescent="0.25">
      <c r="A2" s="6"/>
      <c r="B2" s="7" t="str">
        <f>'Inputs&gt;&gt;'!C16</f>
        <v>Trial tariffs</v>
      </c>
      <c r="C2" s="7"/>
      <c r="D2" s="7"/>
      <c r="E2" s="7"/>
      <c r="F2" s="8"/>
      <c r="G2" s="8"/>
      <c r="H2" s="8"/>
      <c r="I2" s="8"/>
      <c r="J2" s="8"/>
      <c r="K2" s="8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4" x14ac:dyDescent="0.2">
      <c r="A3" s="27"/>
      <c r="B3" s="296" t="str">
        <f>'Inputs&gt;&gt;'!D16</f>
        <v>Inputs trial tariffs and relevant revenues (both forecast and historical)</v>
      </c>
      <c r="C3" s="27"/>
      <c r="D3" s="28"/>
      <c r="E3" s="28"/>
      <c r="F3" s="28"/>
      <c r="G3" s="28"/>
      <c r="H3" s="28"/>
      <c r="I3" s="28"/>
      <c r="J3" s="28"/>
      <c r="K3" s="28"/>
      <c r="L3" s="29"/>
      <c r="M3" s="30"/>
      <c r="N3" s="30"/>
      <c r="O3" s="30"/>
      <c r="P3" s="30"/>
      <c r="Q3" s="30"/>
      <c r="R3" s="30"/>
      <c r="S3" s="30"/>
      <c r="T3" s="30"/>
      <c r="U3" s="30"/>
      <c r="V3" s="31"/>
      <c r="W3" s="31"/>
      <c r="X3" s="31"/>
      <c r="Y3" s="31"/>
      <c r="Z3" s="31"/>
      <c r="AA3" s="31"/>
      <c r="AB3" s="31"/>
      <c r="AC3" s="31"/>
      <c r="AD3" s="31"/>
      <c r="AE3" s="31"/>
    </row>
    <row r="4" spans="1:34" x14ac:dyDescent="0.2">
      <c r="A4" s="9"/>
      <c r="B4" s="9"/>
      <c r="C4" s="9"/>
      <c r="D4" s="10"/>
      <c r="E4" s="10"/>
      <c r="F4" s="10"/>
      <c r="G4" s="10"/>
      <c r="H4" s="10"/>
      <c r="I4" s="10"/>
      <c r="J4" s="10"/>
      <c r="K4" s="10"/>
      <c r="L4" s="50"/>
      <c r="M4" s="50"/>
      <c r="N4" s="50"/>
      <c r="O4" s="50"/>
      <c r="P4" s="50"/>
      <c r="Q4" s="50"/>
      <c r="R4" s="50"/>
      <c r="S4" s="50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34" ht="12.75" x14ac:dyDescent="0.2">
      <c r="A5" s="11"/>
      <c r="B5" s="12" t="str">
        <f>"Input table 28 | Trial tariff forecast revenues "&amp;forecastyear</f>
        <v>Input table 28 | Trial tariff forecast revenues 2022–23</v>
      </c>
      <c r="C5" s="11"/>
      <c r="D5" s="32" t="s">
        <v>199</v>
      </c>
      <c r="E5" s="32"/>
      <c r="F5" s="33" t="s">
        <v>11</v>
      </c>
      <c r="G5" s="33"/>
      <c r="H5" s="33"/>
      <c r="I5" s="33"/>
      <c r="J5" s="33" t="s">
        <v>136</v>
      </c>
      <c r="K5" s="33" t="s">
        <v>137</v>
      </c>
      <c r="L5" s="33" t="s">
        <v>138</v>
      </c>
      <c r="M5" s="33"/>
      <c r="N5" s="76" t="s">
        <v>222</v>
      </c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64"/>
      <c r="AE5" s="15"/>
      <c r="AF5" s="15"/>
      <c r="AG5" s="15"/>
      <c r="AH5" s="15"/>
    </row>
    <row r="6" spans="1:34" outlineLevel="1" x14ac:dyDescent="0.2">
      <c r="A6" s="19"/>
      <c r="B6" s="19"/>
      <c r="C6" s="65"/>
      <c r="D6" s="20"/>
      <c r="E6" s="20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19"/>
      <c r="AE6" s="19"/>
      <c r="AF6" s="19"/>
      <c r="AG6" s="19"/>
      <c r="AH6" s="19"/>
    </row>
    <row r="7" spans="1:34" outlineLevel="1" x14ac:dyDescent="0.2">
      <c r="A7" s="19"/>
      <c r="B7" s="19"/>
      <c r="C7" s="541"/>
      <c r="D7" s="540"/>
      <c r="E7" s="20"/>
      <c r="F7" s="458">
        <f t="shared" ref="F7:F27" si="0">IF(C7=0,0,revenueunits)</f>
        <v>0</v>
      </c>
      <c r="G7" s="22"/>
      <c r="H7" s="22"/>
      <c r="I7" s="22"/>
      <c r="J7" s="439"/>
      <c r="K7" s="439"/>
      <c r="L7" s="439"/>
      <c r="M7" s="74"/>
      <c r="N7" s="103"/>
      <c r="O7" s="104"/>
      <c r="P7" s="104"/>
      <c r="Q7" s="104"/>
      <c r="R7" s="104"/>
      <c r="S7" s="104"/>
      <c r="T7" s="104"/>
      <c r="U7" s="105"/>
      <c r="V7" s="70"/>
      <c r="W7" s="70"/>
      <c r="X7" s="70"/>
      <c r="Y7" s="70"/>
      <c r="Z7" s="70"/>
      <c r="AA7" s="70"/>
      <c r="AB7" s="70"/>
      <c r="AC7" s="70"/>
      <c r="AD7" s="70"/>
      <c r="AE7" s="19"/>
      <c r="AF7" s="19"/>
      <c r="AG7" s="19"/>
      <c r="AH7" s="19"/>
    </row>
    <row r="8" spans="1:34" s="59" customFormat="1" outlineLevel="1" x14ac:dyDescent="0.2">
      <c r="A8" s="57"/>
      <c r="B8" s="57"/>
      <c r="C8" s="541"/>
      <c r="D8" s="540"/>
      <c r="E8" s="58"/>
      <c r="F8" s="458">
        <f t="shared" si="0"/>
        <v>0</v>
      </c>
      <c r="G8" s="58"/>
      <c r="H8" s="58"/>
      <c r="I8" s="58"/>
      <c r="J8" s="440"/>
      <c r="K8" s="440"/>
      <c r="L8" s="440"/>
      <c r="M8" s="75"/>
      <c r="N8" s="106"/>
      <c r="O8" s="107"/>
      <c r="P8" s="107"/>
      <c r="Q8" s="107"/>
      <c r="R8" s="107"/>
      <c r="S8" s="107"/>
      <c r="T8" s="107"/>
      <c r="U8" s="108"/>
      <c r="V8" s="71"/>
      <c r="W8" s="71"/>
      <c r="X8" s="71"/>
      <c r="Y8" s="71"/>
      <c r="Z8" s="71"/>
      <c r="AA8" s="71"/>
      <c r="AB8" s="71"/>
      <c r="AC8" s="71"/>
      <c r="AD8" s="71"/>
      <c r="AE8" s="57"/>
      <c r="AF8" s="57"/>
      <c r="AG8" s="57"/>
      <c r="AH8" s="57"/>
    </row>
    <row r="9" spans="1:34" outlineLevel="1" x14ac:dyDescent="0.2">
      <c r="A9" s="19"/>
      <c r="B9" s="19"/>
      <c r="C9" s="541"/>
      <c r="D9" s="540"/>
      <c r="E9" s="58"/>
      <c r="F9" s="458">
        <f t="shared" si="0"/>
        <v>0</v>
      </c>
      <c r="G9" s="58"/>
      <c r="H9" s="58"/>
      <c r="I9" s="58"/>
      <c r="J9" s="440"/>
      <c r="K9" s="440"/>
      <c r="L9" s="440"/>
      <c r="M9" s="75"/>
      <c r="N9" s="106"/>
      <c r="O9" s="107"/>
      <c r="P9" s="107"/>
      <c r="Q9" s="107"/>
      <c r="R9" s="107"/>
      <c r="S9" s="107"/>
      <c r="T9" s="107"/>
      <c r="U9" s="108"/>
      <c r="V9" s="71"/>
      <c r="W9" s="71"/>
      <c r="X9" s="71"/>
      <c r="Y9" s="71"/>
      <c r="Z9" s="71"/>
      <c r="AA9" s="71"/>
      <c r="AB9" s="71"/>
      <c r="AC9" s="71"/>
      <c r="AD9" s="70"/>
      <c r="AE9" s="19"/>
      <c r="AF9" s="19"/>
      <c r="AG9" s="19"/>
      <c r="AH9" s="19"/>
    </row>
    <row r="10" spans="1:34" outlineLevel="1" x14ac:dyDescent="0.2">
      <c r="A10" s="19"/>
      <c r="B10" s="19"/>
      <c r="C10" s="541"/>
      <c r="D10" s="540"/>
      <c r="E10" s="58"/>
      <c r="F10" s="458">
        <f t="shared" si="0"/>
        <v>0</v>
      </c>
      <c r="G10" s="58"/>
      <c r="H10" s="58"/>
      <c r="I10" s="58"/>
      <c r="J10" s="440"/>
      <c r="K10" s="440"/>
      <c r="L10" s="440"/>
      <c r="M10" s="75"/>
      <c r="N10" s="106"/>
      <c r="O10" s="107"/>
      <c r="P10" s="107"/>
      <c r="Q10" s="107"/>
      <c r="R10" s="107"/>
      <c r="S10" s="107"/>
      <c r="T10" s="107"/>
      <c r="U10" s="108"/>
      <c r="V10" s="71"/>
      <c r="W10" s="71"/>
      <c r="X10" s="71"/>
      <c r="Y10" s="71"/>
      <c r="Z10" s="71"/>
      <c r="AA10" s="71"/>
      <c r="AB10" s="71"/>
      <c r="AC10" s="71"/>
      <c r="AD10" s="70"/>
      <c r="AE10" s="19"/>
      <c r="AF10" s="19"/>
      <c r="AG10" s="19"/>
      <c r="AH10" s="19"/>
    </row>
    <row r="11" spans="1:34" outlineLevel="1" x14ac:dyDescent="0.2">
      <c r="A11" s="19"/>
      <c r="B11" s="19"/>
      <c r="C11" s="541"/>
      <c r="D11" s="540"/>
      <c r="E11" s="58"/>
      <c r="F11" s="458">
        <f t="shared" si="0"/>
        <v>0</v>
      </c>
      <c r="G11" s="58"/>
      <c r="H11" s="58"/>
      <c r="I11" s="58"/>
      <c r="J11" s="440"/>
      <c r="K11" s="440"/>
      <c r="L11" s="440"/>
      <c r="M11" s="75"/>
      <c r="N11" s="106"/>
      <c r="O11" s="107"/>
      <c r="P11" s="107"/>
      <c r="Q11" s="107"/>
      <c r="R11" s="107"/>
      <c r="S11" s="107"/>
      <c r="T11" s="107"/>
      <c r="U11" s="108"/>
      <c r="V11" s="71"/>
      <c r="W11" s="71"/>
      <c r="X11" s="71"/>
      <c r="Y11" s="71"/>
      <c r="Z11" s="71"/>
      <c r="AA11" s="71"/>
      <c r="AB11" s="71"/>
      <c r="AC11" s="71"/>
      <c r="AD11" s="70"/>
      <c r="AE11" s="19"/>
      <c r="AF11" s="19"/>
      <c r="AG11" s="19"/>
      <c r="AH11" s="19"/>
    </row>
    <row r="12" spans="1:34" outlineLevel="1" x14ac:dyDescent="0.2">
      <c r="A12" s="19"/>
      <c r="B12" s="19"/>
      <c r="C12" s="541"/>
      <c r="D12" s="540"/>
      <c r="E12" s="58"/>
      <c r="F12" s="458">
        <f t="shared" si="0"/>
        <v>0</v>
      </c>
      <c r="G12" s="58"/>
      <c r="H12" s="58"/>
      <c r="I12" s="58"/>
      <c r="J12" s="440"/>
      <c r="K12" s="440"/>
      <c r="L12" s="440"/>
      <c r="M12" s="75"/>
      <c r="N12" s="106"/>
      <c r="O12" s="107"/>
      <c r="P12" s="107"/>
      <c r="Q12" s="107"/>
      <c r="R12" s="107"/>
      <c r="S12" s="107"/>
      <c r="T12" s="107"/>
      <c r="U12" s="108"/>
      <c r="V12" s="71"/>
      <c r="W12" s="71"/>
      <c r="X12" s="71"/>
      <c r="Y12" s="71"/>
      <c r="Z12" s="71"/>
      <c r="AA12" s="71"/>
      <c r="AB12" s="71"/>
      <c r="AC12" s="71"/>
      <c r="AD12" s="70"/>
      <c r="AE12" s="19"/>
      <c r="AF12" s="19"/>
      <c r="AG12" s="19"/>
      <c r="AH12" s="19"/>
    </row>
    <row r="13" spans="1:34" outlineLevel="1" x14ac:dyDescent="0.2">
      <c r="A13" s="19"/>
      <c r="B13" s="19"/>
      <c r="C13" s="541"/>
      <c r="D13" s="540"/>
      <c r="E13" s="58"/>
      <c r="F13" s="458">
        <f t="shared" si="0"/>
        <v>0</v>
      </c>
      <c r="G13" s="58"/>
      <c r="H13" s="58"/>
      <c r="I13" s="58"/>
      <c r="J13" s="440"/>
      <c r="K13" s="440"/>
      <c r="L13" s="440"/>
      <c r="M13" s="75"/>
      <c r="N13" s="106"/>
      <c r="O13" s="107"/>
      <c r="P13" s="107"/>
      <c r="Q13" s="107"/>
      <c r="R13" s="107"/>
      <c r="S13" s="107"/>
      <c r="T13" s="107"/>
      <c r="U13" s="108"/>
      <c r="V13" s="71"/>
      <c r="W13" s="71"/>
      <c r="X13" s="71"/>
      <c r="Y13" s="71"/>
      <c r="Z13" s="71"/>
      <c r="AA13" s="71"/>
      <c r="AB13" s="71"/>
      <c r="AC13" s="71"/>
      <c r="AD13" s="70"/>
      <c r="AE13" s="19"/>
      <c r="AF13" s="19"/>
      <c r="AG13" s="19"/>
      <c r="AH13" s="19"/>
    </row>
    <row r="14" spans="1:34" outlineLevel="1" x14ac:dyDescent="0.2">
      <c r="A14" s="19"/>
      <c r="B14" s="19"/>
      <c r="C14" s="541"/>
      <c r="D14" s="540"/>
      <c r="E14" s="58"/>
      <c r="F14" s="458">
        <f t="shared" si="0"/>
        <v>0</v>
      </c>
      <c r="G14" s="58"/>
      <c r="H14" s="58"/>
      <c r="I14" s="58"/>
      <c r="J14" s="440"/>
      <c r="K14" s="440"/>
      <c r="L14" s="440"/>
      <c r="M14" s="75"/>
      <c r="N14" s="106"/>
      <c r="O14" s="107"/>
      <c r="P14" s="107"/>
      <c r="Q14" s="107"/>
      <c r="R14" s="107"/>
      <c r="S14" s="107"/>
      <c r="T14" s="107"/>
      <c r="U14" s="108"/>
      <c r="V14" s="71"/>
      <c r="W14" s="71"/>
      <c r="X14" s="71"/>
      <c r="Y14" s="71"/>
      <c r="Z14" s="71"/>
      <c r="AA14" s="71"/>
      <c r="AB14" s="71"/>
      <c r="AC14" s="71"/>
      <c r="AD14" s="70"/>
      <c r="AE14" s="19"/>
      <c r="AF14" s="19"/>
      <c r="AG14" s="19"/>
      <c r="AH14" s="19"/>
    </row>
    <row r="15" spans="1:34" outlineLevel="1" x14ac:dyDescent="0.2">
      <c r="A15" s="19"/>
      <c r="B15" s="19"/>
      <c r="C15" s="541"/>
      <c r="D15" s="540"/>
      <c r="E15" s="58"/>
      <c r="F15" s="458">
        <f t="shared" si="0"/>
        <v>0</v>
      </c>
      <c r="G15" s="58"/>
      <c r="H15" s="58"/>
      <c r="I15" s="58"/>
      <c r="J15" s="440"/>
      <c r="K15" s="440"/>
      <c r="L15" s="440"/>
      <c r="M15" s="75"/>
      <c r="N15" s="106"/>
      <c r="O15" s="107"/>
      <c r="P15" s="107"/>
      <c r="Q15" s="107"/>
      <c r="R15" s="107"/>
      <c r="S15" s="107"/>
      <c r="T15" s="107"/>
      <c r="U15" s="108"/>
      <c r="V15" s="71"/>
      <c r="W15" s="71"/>
      <c r="X15" s="71"/>
      <c r="Y15" s="71"/>
      <c r="Z15" s="71"/>
      <c r="AA15" s="71"/>
      <c r="AB15" s="71"/>
      <c r="AC15" s="71"/>
      <c r="AD15" s="70"/>
      <c r="AE15" s="19"/>
      <c r="AF15" s="19"/>
      <c r="AG15" s="19"/>
      <c r="AH15" s="19"/>
    </row>
    <row r="16" spans="1:34" outlineLevel="1" x14ac:dyDescent="0.2">
      <c r="A16" s="19"/>
      <c r="B16" s="19"/>
      <c r="C16" s="541"/>
      <c r="D16" s="540"/>
      <c r="E16" s="58"/>
      <c r="F16" s="458">
        <f t="shared" si="0"/>
        <v>0</v>
      </c>
      <c r="G16" s="58"/>
      <c r="H16" s="58"/>
      <c r="I16" s="58"/>
      <c r="J16" s="440"/>
      <c r="K16" s="440"/>
      <c r="L16" s="440"/>
      <c r="M16" s="75"/>
      <c r="N16" s="106"/>
      <c r="O16" s="107"/>
      <c r="P16" s="107"/>
      <c r="Q16" s="107"/>
      <c r="R16" s="107"/>
      <c r="S16" s="107"/>
      <c r="T16" s="107"/>
      <c r="U16" s="108"/>
      <c r="V16" s="71"/>
      <c r="W16" s="71"/>
      <c r="X16" s="71"/>
      <c r="Y16" s="71"/>
      <c r="Z16" s="71"/>
      <c r="AA16" s="71"/>
      <c r="AB16" s="71"/>
      <c r="AC16" s="71"/>
      <c r="AD16" s="70"/>
      <c r="AE16" s="19"/>
      <c r="AF16" s="19"/>
      <c r="AG16" s="19"/>
      <c r="AH16" s="19"/>
    </row>
    <row r="17" spans="1:34" outlineLevel="1" x14ac:dyDescent="0.2">
      <c r="A17" s="19"/>
      <c r="B17" s="19"/>
      <c r="C17" s="541"/>
      <c r="D17" s="540"/>
      <c r="E17" s="58"/>
      <c r="F17" s="458">
        <f t="shared" si="0"/>
        <v>0</v>
      </c>
      <c r="G17" s="58"/>
      <c r="H17" s="58"/>
      <c r="I17" s="58"/>
      <c r="J17" s="440"/>
      <c r="K17" s="440"/>
      <c r="L17" s="440"/>
      <c r="M17" s="75"/>
      <c r="N17" s="106"/>
      <c r="O17" s="107"/>
      <c r="P17" s="107"/>
      <c r="Q17" s="107"/>
      <c r="R17" s="107"/>
      <c r="S17" s="107"/>
      <c r="T17" s="107"/>
      <c r="U17" s="108"/>
      <c r="V17" s="71"/>
      <c r="W17" s="71"/>
      <c r="X17" s="71"/>
      <c r="Y17" s="71"/>
      <c r="Z17" s="71"/>
      <c r="AA17" s="71"/>
      <c r="AB17" s="71"/>
      <c r="AC17" s="71"/>
      <c r="AD17" s="70"/>
      <c r="AE17" s="19"/>
      <c r="AF17" s="19"/>
      <c r="AG17" s="19"/>
      <c r="AH17" s="19"/>
    </row>
    <row r="18" spans="1:34" outlineLevel="1" x14ac:dyDescent="0.2">
      <c r="A18" s="19"/>
      <c r="B18" s="19"/>
      <c r="C18" s="541"/>
      <c r="D18" s="540"/>
      <c r="E18" s="58"/>
      <c r="F18" s="458">
        <f t="shared" si="0"/>
        <v>0</v>
      </c>
      <c r="G18" s="58"/>
      <c r="H18" s="58"/>
      <c r="I18" s="58"/>
      <c r="J18" s="440"/>
      <c r="K18" s="440"/>
      <c r="L18" s="440"/>
      <c r="M18" s="75"/>
      <c r="N18" s="106"/>
      <c r="O18" s="107"/>
      <c r="P18" s="107"/>
      <c r="Q18" s="107"/>
      <c r="R18" s="107"/>
      <c r="S18" s="107"/>
      <c r="T18" s="107"/>
      <c r="U18" s="108"/>
      <c r="V18" s="71"/>
      <c r="W18" s="71"/>
      <c r="X18" s="71"/>
      <c r="Y18" s="71"/>
      <c r="Z18" s="71"/>
      <c r="AA18" s="71"/>
      <c r="AB18" s="71"/>
      <c r="AC18" s="71"/>
      <c r="AD18" s="70"/>
      <c r="AE18" s="19"/>
      <c r="AF18" s="19"/>
      <c r="AG18" s="19"/>
      <c r="AH18" s="19"/>
    </row>
    <row r="19" spans="1:34" outlineLevel="1" x14ac:dyDescent="0.2">
      <c r="A19" s="19"/>
      <c r="B19" s="19"/>
      <c r="C19" s="541"/>
      <c r="D19" s="540"/>
      <c r="E19" s="58"/>
      <c r="F19" s="458">
        <f t="shared" si="0"/>
        <v>0</v>
      </c>
      <c r="G19" s="58"/>
      <c r="H19" s="58"/>
      <c r="I19" s="58"/>
      <c r="J19" s="440"/>
      <c r="K19" s="440"/>
      <c r="L19" s="440"/>
      <c r="M19" s="75"/>
      <c r="N19" s="106"/>
      <c r="O19" s="107"/>
      <c r="P19" s="107"/>
      <c r="Q19" s="107"/>
      <c r="R19" s="107"/>
      <c r="S19" s="107"/>
      <c r="T19" s="107"/>
      <c r="U19" s="108"/>
      <c r="V19" s="71"/>
      <c r="W19" s="71"/>
      <c r="X19" s="71"/>
      <c r="Y19" s="71"/>
      <c r="Z19" s="71"/>
      <c r="AA19" s="71"/>
      <c r="AB19" s="71"/>
      <c r="AC19" s="71"/>
      <c r="AD19" s="70"/>
      <c r="AE19" s="19"/>
      <c r="AF19" s="19"/>
      <c r="AG19" s="19"/>
      <c r="AH19" s="19"/>
    </row>
    <row r="20" spans="1:34" outlineLevel="1" x14ac:dyDescent="0.2">
      <c r="A20" s="19"/>
      <c r="B20" s="19"/>
      <c r="C20" s="541"/>
      <c r="D20" s="540"/>
      <c r="E20" s="58"/>
      <c r="F20" s="458">
        <f t="shared" si="0"/>
        <v>0</v>
      </c>
      <c r="G20" s="58"/>
      <c r="H20" s="58"/>
      <c r="I20" s="58"/>
      <c r="J20" s="440"/>
      <c r="K20" s="440"/>
      <c r="L20" s="440"/>
      <c r="M20" s="75"/>
      <c r="N20" s="106"/>
      <c r="O20" s="107"/>
      <c r="P20" s="107"/>
      <c r="Q20" s="107"/>
      <c r="R20" s="107"/>
      <c r="S20" s="107"/>
      <c r="T20" s="107"/>
      <c r="U20" s="108"/>
      <c r="V20" s="71"/>
      <c r="W20" s="71"/>
      <c r="X20" s="71"/>
      <c r="Y20" s="71"/>
      <c r="Z20" s="71"/>
      <c r="AA20" s="71"/>
      <c r="AB20" s="71"/>
      <c r="AC20" s="71"/>
      <c r="AD20" s="70"/>
      <c r="AE20" s="19"/>
      <c r="AF20" s="19"/>
      <c r="AG20" s="19"/>
      <c r="AH20" s="19"/>
    </row>
    <row r="21" spans="1:34" outlineLevel="1" x14ac:dyDescent="0.2">
      <c r="A21" s="19"/>
      <c r="B21" s="19"/>
      <c r="C21" s="541"/>
      <c r="D21" s="540"/>
      <c r="E21" s="58"/>
      <c r="F21" s="458">
        <f t="shared" si="0"/>
        <v>0</v>
      </c>
      <c r="G21" s="58"/>
      <c r="H21" s="58"/>
      <c r="I21" s="58"/>
      <c r="J21" s="440"/>
      <c r="K21" s="440"/>
      <c r="L21" s="440"/>
      <c r="M21" s="75"/>
      <c r="N21" s="106"/>
      <c r="O21" s="107"/>
      <c r="P21" s="107"/>
      <c r="Q21" s="107"/>
      <c r="R21" s="107"/>
      <c r="S21" s="107"/>
      <c r="T21" s="107"/>
      <c r="U21" s="108"/>
      <c r="V21" s="71"/>
      <c r="W21" s="71"/>
      <c r="X21" s="71"/>
      <c r="Y21" s="71"/>
      <c r="Z21" s="71"/>
      <c r="AA21" s="71"/>
      <c r="AB21" s="71"/>
      <c r="AC21" s="71"/>
      <c r="AD21" s="70"/>
      <c r="AE21" s="19"/>
      <c r="AF21" s="19"/>
      <c r="AG21" s="19"/>
      <c r="AH21" s="19"/>
    </row>
    <row r="22" spans="1:34" outlineLevel="1" x14ac:dyDescent="0.2">
      <c r="A22" s="19"/>
      <c r="B22" s="19"/>
      <c r="C22" s="541"/>
      <c r="D22" s="540"/>
      <c r="E22" s="58"/>
      <c r="F22" s="458">
        <f t="shared" si="0"/>
        <v>0</v>
      </c>
      <c r="G22" s="58"/>
      <c r="H22" s="58"/>
      <c r="I22" s="58"/>
      <c r="J22" s="440"/>
      <c r="K22" s="440"/>
      <c r="L22" s="440"/>
      <c r="M22" s="75"/>
      <c r="N22" s="106"/>
      <c r="O22" s="107"/>
      <c r="P22" s="107"/>
      <c r="Q22" s="107"/>
      <c r="R22" s="107"/>
      <c r="S22" s="107"/>
      <c r="T22" s="107"/>
      <c r="U22" s="108"/>
      <c r="V22" s="71"/>
      <c r="W22" s="71"/>
      <c r="X22" s="71"/>
      <c r="Y22" s="71"/>
      <c r="Z22" s="71"/>
      <c r="AA22" s="71"/>
      <c r="AB22" s="71"/>
      <c r="AC22" s="71"/>
      <c r="AD22" s="70"/>
      <c r="AE22" s="19"/>
      <c r="AF22" s="19"/>
      <c r="AG22" s="19"/>
      <c r="AH22" s="19"/>
    </row>
    <row r="23" spans="1:34" outlineLevel="1" x14ac:dyDescent="0.2">
      <c r="A23" s="19"/>
      <c r="B23" s="19"/>
      <c r="C23" s="541"/>
      <c r="D23" s="540"/>
      <c r="E23" s="58"/>
      <c r="F23" s="458">
        <f t="shared" si="0"/>
        <v>0</v>
      </c>
      <c r="G23" s="58"/>
      <c r="H23" s="58"/>
      <c r="I23" s="58"/>
      <c r="J23" s="440"/>
      <c r="K23" s="440"/>
      <c r="L23" s="440"/>
      <c r="M23" s="75"/>
      <c r="N23" s="106"/>
      <c r="O23" s="107"/>
      <c r="P23" s="107"/>
      <c r="Q23" s="107"/>
      <c r="R23" s="107"/>
      <c r="S23" s="107"/>
      <c r="T23" s="107"/>
      <c r="U23" s="108"/>
      <c r="V23" s="71"/>
      <c r="W23" s="71"/>
      <c r="X23" s="71"/>
      <c r="Y23" s="71"/>
      <c r="Z23" s="71"/>
      <c r="AA23" s="71"/>
      <c r="AB23" s="71"/>
      <c r="AC23" s="71"/>
      <c r="AD23" s="70"/>
      <c r="AE23" s="19"/>
      <c r="AF23" s="19"/>
      <c r="AG23" s="19"/>
      <c r="AH23" s="19"/>
    </row>
    <row r="24" spans="1:34" outlineLevel="1" x14ac:dyDescent="0.2">
      <c r="A24" s="19"/>
      <c r="B24" s="19"/>
      <c r="C24" s="541"/>
      <c r="D24" s="540"/>
      <c r="E24" s="58"/>
      <c r="F24" s="458">
        <f t="shared" si="0"/>
        <v>0</v>
      </c>
      <c r="G24" s="58"/>
      <c r="H24" s="58"/>
      <c r="I24" s="58"/>
      <c r="J24" s="440"/>
      <c r="K24" s="440"/>
      <c r="L24" s="440"/>
      <c r="M24" s="75"/>
      <c r="N24" s="106"/>
      <c r="O24" s="107"/>
      <c r="P24" s="107"/>
      <c r="Q24" s="107"/>
      <c r="R24" s="107"/>
      <c r="S24" s="107"/>
      <c r="T24" s="107"/>
      <c r="U24" s="108"/>
      <c r="V24" s="71"/>
      <c r="W24" s="71"/>
      <c r="X24" s="71"/>
      <c r="Y24" s="71"/>
      <c r="Z24" s="71"/>
      <c r="AA24" s="71"/>
      <c r="AB24" s="71"/>
      <c r="AC24" s="71"/>
      <c r="AD24" s="70"/>
      <c r="AE24" s="19"/>
      <c r="AF24" s="19"/>
      <c r="AG24" s="19"/>
      <c r="AH24" s="19"/>
    </row>
    <row r="25" spans="1:34" outlineLevel="1" x14ac:dyDescent="0.2">
      <c r="A25" s="19"/>
      <c r="B25" s="19"/>
      <c r="C25" s="541"/>
      <c r="D25" s="540"/>
      <c r="E25" s="58"/>
      <c r="F25" s="458">
        <f t="shared" si="0"/>
        <v>0</v>
      </c>
      <c r="G25" s="58"/>
      <c r="H25" s="58"/>
      <c r="I25" s="58"/>
      <c r="J25" s="440"/>
      <c r="K25" s="440"/>
      <c r="L25" s="440"/>
      <c r="M25" s="75"/>
      <c r="N25" s="106"/>
      <c r="O25" s="107"/>
      <c r="P25" s="107"/>
      <c r="Q25" s="107"/>
      <c r="R25" s="107"/>
      <c r="S25" s="107"/>
      <c r="T25" s="107"/>
      <c r="U25" s="108"/>
      <c r="V25" s="71"/>
      <c r="W25" s="71"/>
      <c r="X25" s="71"/>
      <c r="Y25" s="71"/>
      <c r="Z25" s="71"/>
      <c r="AA25" s="71"/>
      <c r="AB25" s="71"/>
      <c r="AC25" s="71"/>
      <c r="AD25" s="70"/>
      <c r="AE25" s="19"/>
      <c r="AF25" s="19"/>
      <c r="AG25" s="19"/>
      <c r="AH25" s="19"/>
    </row>
    <row r="26" spans="1:34" outlineLevel="1" x14ac:dyDescent="0.2">
      <c r="A26" s="19"/>
      <c r="B26" s="19"/>
      <c r="C26" s="541"/>
      <c r="D26" s="540"/>
      <c r="E26" s="58"/>
      <c r="F26" s="458">
        <f t="shared" si="0"/>
        <v>0</v>
      </c>
      <c r="G26" s="58"/>
      <c r="H26" s="58"/>
      <c r="I26" s="58"/>
      <c r="J26" s="440"/>
      <c r="K26" s="440"/>
      <c r="L26" s="440"/>
      <c r="M26" s="75"/>
      <c r="N26" s="106"/>
      <c r="O26" s="107"/>
      <c r="P26" s="107"/>
      <c r="Q26" s="107"/>
      <c r="R26" s="107"/>
      <c r="S26" s="107"/>
      <c r="T26" s="107"/>
      <c r="U26" s="108"/>
      <c r="V26" s="71"/>
      <c r="W26" s="71"/>
      <c r="X26" s="71"/>
      <c r="Y26" s="71"/>
      <c r="Z26" s="71"/>
      <c r="AA26" s="71"/>
      <c r="AB26" s="71"/>
      <c r="AC26" s="71"/>
      <c r="AD26" s="70"/>
      <c r="AE26" s="19"/>
      <c r="AF26" s="19"/>
      <c r="AG26" s="19"/>
      <c r="AH26" s="19"/>
    </row>
    <row r="27" spans="1:34" outlineLevel="1" x14ac:dyDescent="0.2">
      <c r="A27" s="19"/>
      <c r="B27" s="19"/>
      <c r="C27" s="228" t="s">
        <v>240</v>
      </c>
      <c r="D27" s="224"/>
      <c r="E27" s="58"/>
      <c r="F27" s="348" t="str">
        <f t="shared" si="0"/>
        <v>$millions</v>
      </c>
      <c r="G27" s="58"/>
      <c r="H27" s="58"/>
      <c r="I27" s="58"/>
      <c r="J27" s="441">
        <f>SUM(J7:J26)</f>
        <v>0</v>
      </c>
      <c r="K27" s="441">
        <f>SUM(K7:K26)</f>
        <v>0</v>
      </c>
      <c r="L27" s="441">
        <f>SUM(L7:L26)</f>
        <v>0</v>
      </c>
      <c r="M27" s="75"/>
      <c r="N27" s="225"/>
      <c r="O27" s="226"/>
      <c r="P27" s="226"/>
      <c r="Q27" s="226"/>
      <c r="R27" s="226"/>
      <c r="S27" s="226"/>
      <c r="T27" s="226"/>
      <c r="U27" s="227"/>
      <c r="V27" s="71"/>
      <c r="W27" s="71"/>
      <c r="X27" s="71"/>
      <c r="Y27" s="71"/>
      <c r="Z27" s="71"/>
      <c r="AA27" s="71"/>
      <c r="AB27" s="71"/>
      <c r="AC27" s="71"/>
      <c r="AD27" s="70"/>
      <c r="AE27" s="19"/>
      <c r="AF27" s="19"/>
      <c r="AG27" s="19"/>
      <c r="AH27" s="19"/>
    </row>
    <row r="28" spans="1:34" outlineLevel="1" x14ac:dyDescent="0.2">
      <c r="A28" s="19"/>
      <c r="B28" s="19"/>
      <c r="C28" s="60"/>
      <c r="D28" s="61"/>
      <c r="E28" s="58"/>
      <c r="F28" s="58"/>
      <c r="G28" s="58"/>
      <c r="H28" s="58"/>
      <c r="I28" s="58"/>
      <c r="J28" s="71"/>
      <c r="K28" s="71"/>
      <c r="L28" s="70"/>
      <c r="M28" s="70"/>
      <c r="N28" s="70"/>
      <c r="O28" s="72"/>
      <c r="P28" s="72"/>
      <c r="Q28" s="72"/>
      <c r="R28" s="72"/>
      <c r="S28" s="72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19"/>
      <c r="AF28" s="19"/>
      <c r="AG28" s="19"/>
      <c r="AH28" s="19"/>
    </row>
    <row r="29" spans="1:34" x14ac:dyDescent="0.2">
      <c r="A29" s="19"/>
      <c r="B29" s="19"/>
      <c r="C29" s="36"/>
      <c r="D29" s="20"/>
      <c r="E29" s="20"/>
      <c r="F29" s="22"/>
      <c r="G29" s="22"/>
      <c r="H29" s="22"/>
      <c r="I29" s="22"/>
      <c r="J29" s="22"/>
      <c r="K29" s="20"/>
      <c r="L29" s="20"/>
      <c r="M29" s="20"/>
      <c r="N29" s="20"/>
      <c r="O29" s="37"/>
      <c r="P29" s="37"/>
      <c r="Q29" s="37"/>
      <c r="R29" s="37"/>
      <c r="S29" s="37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</row>
    <row r="30" spans="1:34" ht="12.75" x14ac:dyDescent="0.2">
      <c r="A30" s="11"/>
      <c r="B30" s="12" t="s">
        <v>635</v>
      </c>
      <c r="C30" s="11"/>
      <c r="D30" s="32" t="s">
        <v>199</v>
      </c>
      <c r="E30" s="32" t="str">
        <f>tariffid1</f>
        <v>Code</v>
      </c>
      <c r="F30" s="33" t="str">
        <f>tariffid2</f>
        <v>Trans. Node</v>
      </c>
      <c r="G30" s="33"/>
      <c r="H30" s="33" t="s">
        <v>787</v>
      </c>
      <c r="I30" s="33"/>
      <c r="J30" s="169" t="str">
        <f>Qty!M5</f>
        <v>Service</v>
      </c>
      <c r="K30" s="169" t="str">
        <f>Qty!N5</f>
        <v>All energy</v>
      </c>
      <c r="L30" s="169" t="str">
        <f>Qty!O5</f>
        <v>Peak energy</v>
      </c>
      <c r="M30" s="169" t="str">
        <f>Qty!P5</f>
        <v>Shoulder energy</v>
      </c>
      <c r="N30" s="169" t="str">
        <f>Qty!Q5</f>
        <v>Off-peak energy</v>
      </c>
      <c r="O30" s="169" t="str">
        <f>Qty!R5</f>
        <v>All demand</v>
      </c>
      <c r="P30" s="169" t="str">
        <f>Qty!S5</f>
        <v>Peak demand</v>
      </c>
      <c r="Q30" s="169" t="str">
        <f>Qty!T5</f>
        <v>Off-peak demand</v>
      </c>
      <c r="R30" s="169" t="str">
        <f>Qty!U5</f>
        <v>Specified demand</v>
      </c>
      <c r="S30" s="169" t="str">
        <f>Qty!V5</f>
        <v>Excess daily demand</v>
      </c>
      <c r="T30" s="169" t="str">
        <f>Qty!W5</f>
        <v>Daily demand connection</v>
      </c>
      <c r="U30" s="169" t="str">
        <f>Qty!X5</f>
        <v>Excess daily demand connection</v>
      </c>
      <c r="V30" s="169" t="str">
        <f>Qty!Y5</f>
        <v>All demand (lamps)</v>
      </c>
      <c r="W30" s="169">
        <f>Qty!Z5</f>
        <v>0</v>
      </c>
      <c r="X30" s="169">
        <f>Qty!AA5</f>
        <v>0</v>
      </c>
      <c r="Y30" s="169">
        <f>Qty!AB5</f>
        <v>0</v>
      </c>
      <c r="Z30" s="169">
        <f>Qty!AC5</f>
        <v>0</v>
      </c>
      <c r="AA30" s="169">
        <f>Qty!AD5</f>
        <v>0</v>
      </c>
      <c r="AB30" s="169">
        <f>Qty!AE5</f>
        <v>0</v>
      </c>
      <c r="AC30" s="169">
        <f>Qty!AF5</f>
        <v>0</v>
      </c>
      <c r="AD30" s="64"/>
      <c r="AE30" s="15"/>
      <c r="AF30" s="15"/>
      <c r="AG30" s="15"/>
      <c r="AH30" s="15"/>
    </row>
    <row r="31" spans="1:34" outlineLevel="1" x14ac:dyDescent="0.2">
      <c r="A31" s="19"/>
      <c r="B31" s="19"/>
      <c r="C31" s="36"/>
      <c r="D31" s="20"/>
      <c r="E31" s="20"/>
      <c r="F31" s="22"/>
      <c r="G31" s="22"/>
      <c r="H31" s="22"/>
      <c r="I31" s="22"/>
      <c r="J31" s="170" t="str">
        <f>Qty!M6</f>
        <v>units</v>
      </c>
      <c r="K31" s="170" t="str">
        <f>Qty!N6</f>
        <v>kWh</v>
      </c>
      <c r="L31" s="170" t="str">
        <f>Qty!O6</f>
        <v>kWh</v>
      </c>
      <c r="M31" s="170" t="str">
        <f>Qty!P6</f>
        <v>kWh</v>
      </c>
      <c r="N31" s="170" t="str">
        <f>Qty!Q6</f>
        <v>kWh</v>
      </c>
      <c r="O31" s="170" t="str">
        <f>Qty!R6</f>
        <v>kVA</v>
      </c>
      <c r="P31" s="170" t="str">
        <f>Qty!S6</f>
        <v>kVA</v>
      </c>
      <c r="Q31" s="170" t="str">
        <f>Qty!T6</f>
        <v>kVA</v>
      </c>
      <c r="R31" s="170" t="str">
        <f>Qty!U6</f>
        <v>kVA</v>
      </c>
      <c r="S31" s="170" t="str">
        <f>Qty!V6</f>
        <v>kVA</v>
      </c>
      <c r="T31" s="170" t="str">
        <f>Qty!W6</f>
        <v>kVA</v>
      </c>
      <c r="U31" s="170" t="str">
        <f>Qty!X6</f>
        <v>kVA</v>
      </c>
      <c r="V31" s="170" t="str">
        <f>Qty!Y6</f>
        <v>LmpWtts</v>
      </c>
      <c r="W31" s="170">
        <f>Qty!Z6</f>
        <v>0</v>
      </c>
      <c r="X31" s="170">
        <f>Qty!AA6</f>
        <v>0</v>
      </c>
      <c r="Y31" s="170">
        <f>Qty!AB6</f>
        <v>0</v>
      </c>
      <c r="Z31" s="170">
        <f>Qty!AC6</f>
        <v>0</v>
      </c>
      <c r="AA31" s="170">
        <f>Qty!AD6</f>
        <v>0</v>
      </c>
      <c r="AB31" s="170">
        <f>Qty!AE6</f>
        <v>0</v>
      </c>
      <c r="AC31" s="170">
        <f>Qty!AF6</f>
        <v>0</v>
      </c>
      <c r="AD31" s="19"/>
      <c r="AE31" s="19"/>
      <c r="AF31" s="19"/>
      <c r="AG31" s="19"/>
      <c r="AH31" s="19"/>
    </row>
    <row r="32" spans="1:34" outlineLevel="1" x14ac:dyDescent="0.2">
      <c r="A32" s="19"/>
      <c r="B32" s="19"/>
      <c r="C32" s="167" t="str">
        <f>currentyear</f>
        <v>2021–22</v>
      </c>
      <c r="D32" s="20"/>
      <c r="E32" s="20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19"/>
      <c r="AE32" s="19"/>
      <c r="AF32" s="19"/>
      <c r="AG32" s="19"/>
      <c r="AH32" s="19"/>
    </row>
    <row r="33" spans="1:34" outlineLevel="2" x14ac:dyDescent="0.2">
      <c r="A33" s="19"/>
      <c r="B33" s="19"/>
      <c r="C33" s="544">
        <f t="shared" ref="C33:D52" si="1">C7</f>
        <v>0</v>
      </c>
      <c r="D33" s="542">
        <f t="shared" si="1"/>
        <v>0</v>
      </c>
      <c r="E33" s="543"/>
      <c r="F33" s="543"/>
      <c r="G33" s="22"/>
      <c r="H33" s="580"/>
      <c r="I33" s="2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8"/>
      <c r="AE33" s="19"/>
      <c r="AF33" s="19"/>
      <c r="AG33" s="19"/>
      <c r="AH33" s="19"/>
    </row>
    <row r="34" spans="1:34" s="59" customFormat="1" outlineLevel="2" x14ac:dyDescent="0.2">
      <c r="A34" s="57"/>
      <c r="B34" s="57"/>
      <c r="C34" s="544">
        <f t="shared" si="1"/>
        <v>0</v>
      </c>
      <c r="D34" s="542">
        <f t="shared" si="1"/>
        <v>0</v>
      </c>
      <c r="E34" s="543"/>
      <c r="F34" s="543"/>
      <c r="G34" s="58"/>
      <c r="H34" s="581"/>
      <c r="I34" s="58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7"/>
      <c r="AE34" s="57"/>
      <c r="AF34" s="57"/>
      <c r="AG34" s="57"/>
      <c r="AH34" s="57"/>
    </row>
    <row r="35" spans="1:34" outlineLevel="2" x14ac:dyDescent="0.2">
      <c r="A35" s="19"/>
      <c r="B35" s="19"/>
      <c r="C35" s="544">
        <f t="shared" si="1"/>
        <v>0</v>
      </c>
      <c r="D35" s="542">
        <f t="shared" si="1"/>
        <v>0</v>
      </c>
      <c r="E35" s="543"/>
      <c r="F35" s="543"/>
      <c r="G35" s="58"/>
      <c r="H35" s="581"/>
      <c r="I35" s="58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8"/>
      <c r="AE35" s="19"/>
      <c r="AF35" s="19"/>
      <c r="AG35" s="19"/>
      <c r="AH35" s="19"/>
    </row>
    <row r="36" spans="1:34" outlineLevel="2" x14ac:dyDescent="0.2">
      <c r="A36" s="19"/>
      <c r="B36" s="19"/>
      <c r="C36" s="544">
        <f t="shared" si="1"/>
        <v>0</v>
      </c>
      <c r="D36" s="542">
        <f t="shared" si="1"/>
        <v>0</v>
      </c>
      <c r="E36" s="543"/>
      <c r="F36" s="543"/>
      <c r="G36" s="58"/>
      <c r="H36" s="581"/>
      <c r="I36" s="58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8"/>
      <c r="AE36" s="19"/>
      <c r="AF36" s="19"/>
      <c r="AG36" s="19"/>
      <c r="AH36" s="19"/>
    </row>
    <row r="37" spans="1:34" outlineLevel="2" x14ac:dyDescent="0.2">
      <c r="A37" s="19"/>
      <c r="B37" s="19"/>
      <c r="C37" s="544">
        <f t="shared" si="1"/>
        <v>0</v>
      </c>
      <c r="D37" s="542">
        <f t="shared" si="1"/>
        <v>0</v>
      </c>
      <c r="E37" s="543"/>
      <c r="F37" s="543"/>
      <c r="G37" s="58"/>
      <c r="H37" s="581"/>
      <c r="I37" s="58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8"/>
      <c r="AE37" s="19"/>
      <c r="AF37" s="19"/>
      <c r="AG37" s="19"/>
      <c r="AH37" s="19"/>
    </row>
    <row r="38" spans="1:34" outlineLevel="2" x14ac:dyDescent="0.2">
      <c r="A38" s="19"/>
      <c r="B38" s="19"/>
      <c r="C38" s="544">
        <f t="shared" si="1"/>
        <v>0</v>
      </c>
      <c r="D38" s="542">
        <f t="shared" si="1"/>
        <v>0</v>
      </c>
      <c r="E38" s="543"/>
      <c r="F38" s="543"/>
      <c r="G38" s="58"/>
      <c r="H38" s="581"/>
      <c r="I38" s="58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8"/>
      <c r="AE38" s="19"/>
      <c r="AF38" s="19"/>
      <c r="AG38" s="19"/>
      <c r="AH38" s="19"/>
    </row>
    <row r="39" spans="1:34" outlineLevel="2" x14ac:dyDescent="0.2">
      <c r="A39" s="19"/>
      <c r="B39" s="19"/>
      <c r="C39" s="544">
        <f t="shared" si="1"/>
        <v>0</v>
      </c>
      <c r="D39" s="542">
        <f t="shared" si="1"/>
        <v>0</v>
      </c>
      <c r="E39" s="543"/>
      <c r="F39" s="543"/>
      <c r="G39" s="58"/>
      <c r="H39" s="581"/>
      <c r="I39" s="58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8"/>
      <c r="AE39" s="19"/>
      <c r="AF39" s="19"/>
      <c r="AG39" s="19"/>
      <c r="AH39" s="19"/>
    </row>
    <row r="40" spans="1:34" outlineLevel="2" x14ac:dyDescent="0.2">
      <c r="A40" s="19"/>
      <c r="B40" s="19"/>
      <c r="C40" s="544">
        <f t="shared" si="1"/>
        <v>0</v>
      </c>
      <c r="D40" s="542">
        <f t="shared" si="1"/>
        <v>0</v>
      </c>
      <c r="E40" s="543"/>
      <c r="F40" s="543"/>
      <c r="G40" s="58"/>
      <c r="H40" s="581"/>
      <c r="I40" s="58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8"/>
      <c r="AE40" s="19"/>
      <c r="AF40" s="19"/>
      <c r="AG40" s="19"/>
      <c r="AH40" s="19"/>
    </row>
    <row r="41" spans="1:34" outlineLevel="2" x14ac:dyDescent="0.2">
      <c r="A41" s="19"/>
      <c r="B41" s="19"/>
      <c r="C41" s="544">
        <f t="shared" si="1"/>
        <v>0</v>
      </c>
      <c r="D41" s="542">
        <f t="shared" si="1"/>
        <v>0</v>
      </c>
      <c r="E41" s="543"/>
      <c r="F41" s="543"/>
      <c r="G41" s="58"/>
      <c r="H41" s="581"/>
      <c r="I41" s="58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8"/>
      <c r="AE41" s="19"/>
      <c r="AF41" s="19"/>
      <c r="AG41" s="19"/>
      <c r="AH41" s="19"/>
    </row>
    <row r="42" spans="1:34" outlineLevel="2" x14ac:dyDescent="0.2">
      <c r="A42" s="19"/>
      <c r="B42" s="19"/>
      <c r="C42" s="544">
        <f t="shared" si="1"/>
        <v>0</v>
      </c>
      <c r="D42" s="542">
        <f t="shared" si="1"/>
        <v>0</v>
      </c>
      <c r="E42" s="543"/>
      <c r="F42" s="543"/>
      <c r="G42" s="58"/>
      <c r="H42" s="581"/>
      <c r="I42" s="58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8"/>
      <c r="AE42" s="19"/>
      <c r="AF42" s="19"/>
      <c r="AG42" s="19"/>
      <c r="AH42" s="19"/>
    </row>
    <row r="43" spans="1:34" outlineLevel="2" x14ac:dyDescent="0.2">
      <c r="A43" s="19"/>
      <c r="B43" s="19"/>
      <c r="C43" s="544">
        <f t="shared" si="1"/>
        <v>0</v>
      </c>
      <c r="D43" s="542">
        <f t="shared" si="1"/>
        <v>0</v>
      </c>
      <c r="E43" s="543"/>
      <c r="F43" s="543"/>
      <c r="G43" s="58"/>
      <c r="H43" s="581"/>
      <c r="I43" s="58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8"/>
      <c r="AE43" s="19"/>
      <c r="AF43" s="19"/>
      <c r="AG43" s="19"/>
      <c r="AH43" s="19"/>
    </row>
    <row r="44" spans="1:34" outlineLevel="2" x14ac:dyDescent="0.2">
      <c r="A44" s="19"/>
      <c r="B44" s="19"/>
      <c r="C44" s="544">
        <f t="shared" si="1"/>
        <v>0</v>
      </c>
      <c r="D44" s="542">
        <f t="shared" si="1"/>
        <v>0</v>
      </c>
      <c r="E44" s="543"/>
      <c r="F44" s="543"/>
      <c r="G44" s="58"/>
      <c r="H44" s="581"/>
      <c r="I44" s="58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8"/>
      <c r="AE44" s="19"/>
      <c r="AF44" s="19"/>
      <c r="AG44" s="19"/>
      <c r="AH44" s="19"/>
    </row>
    <row r="45" spans="1:34" outlineLevel="2" x14ac:dyDescent="0.2">
      <c r="A45" s="19"/>
      <c r="B45" s="19"/>
      <c r="C45" s="544">
        <f t="shared" si="1"/>
        <v>0</v>
      </c>
      <c r="D45" s="542">
        <f t="shared" si="1"/>
        <v>0</v>
      </c>
      <c r="E45" s="543"/>
      <c r="F45" s="543"/>
      <c r="G45" s="58"/>
      <c r="H45" s="581"/>
      <c r="I45" s="58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8"/>
      <c r="AE45" s="19"/>
      <c r="AF45" s="19"/>
      <c r="AG45" s="19"/>
      <c r="AH45" s="19"/>
    </row>
    <row r="46" spans="1:34" outlineLevel="2" x14ac:dyDescent="0.2">
      <c r="A46" s="19"/>
      <c r="B46" s="19"/>
      <c r="C46" s="544">
        <f t="shared" si="1"/>
        <v>0</v>
      </c>
      <c r="D46" s="542">
        <f t="shared" si="1"/>
        <v>0</v>
      </c>
      <c r="E46" s="543"/>
      <c r="F46" s="543"/>
      <c r="G46" s="58"/>
      <c r="H46" s="581"/>
      <c r="I46" s="58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8"/>
      <c r="AE46" s="19"/>
      <c r="AF46" s="19"/>
      <c r="AG46" s="19"/>
      <c r="AH46" s="19"/>
    </row>
    <row r="47" spans="1:34" outlineLevel="2" x14ac:dyDescent="0.2">
      <c r="A47" s="19"/>
      <c r="B47" s="19"/>
      <c r="C47" s="544">
        <f t="shared" si="1"/>
        <v>0</v>
      </c>
      <c r="D47" s="542">
        <f t="shared" si="1"/>
        <v>0</v>
      </c>
      <c r="E47" s="543"/>
      <c r="F47" s="543"/>
      <c r="G47" s="58"/>
      <c r="H47" s="581"/>
      <c r="I47" s="58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8"/>
      <c r="AE47" s="19"/>
      <c r="AF47" s="19"/>
      <c r="AG47" s="19"/>
      <c r="AH47" s="19"/>
    </row>
    <row r="48" spans="1:34" outlineLevel="2" x14ac:dyDescent="0.2">
      <c r="A48" s="19"/>
      <c r="B48" s="19"/>
      <c r="C48" s="544">
        <f t="shared" si="1"/>
        <v>0</v>
      </c>
      <c r="D48" s="542">
        <f t="shared" si="1"/>
        <v>0</v>
      </c>
      <c r="E48" s="543"/>
      <c r="F48" s="543"/>
      <c r="G48" s="58"/>
      <c r="H48" s="581"/>
      <c r="I48" s="58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8"/>
      <c r="AE48" s="19"/>
      <c r="AF48" s="19"/>
      <c r="AG48" s="19"/>
      <c r="AH48" s="19"/>
    </row>
    <row r="49" spans="1:34" outlineLevel="2" x14ac:dyDescent="0.2">
      <c r="A49" s="19"/>
      <c r="B49" s="19"/>
      <c r="C49" s="544">
        <f t="shared" si="1"/>
        <v>0</v>
      </c>
      <c r="D49" s="542">
        <f t="shared" si="1"/>
        <v>0</v>
      </c>
      <c r="E49" s="543"/>
      <c r="F49" s="543"/>
      <c r="G49" s="58"/>
      <c r="H49" s="581"/>
      <c r="I49" s="58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8"/>
      <c r="AE49" s="19"/>
      <c r="AF49" s="19"/>
      <c r="AG49" s="19"/>
      <c r="AH49" s="19"/>
    </row>
    <row r="50" spans="1:34" outlineLevel="2" x14ac:dyDescent="0.2">
      <c r="A50" s="19"/>
      <c r="B50" s="19"/>
      <c r="C50" s="544">
        <f t="shared" si="1"/>
        <v>0</v>
      </c>
      <c r="D50" s="542">
        <f t="shared" si="1"/>
        <v>0</v>
      </c>
      <c r="E50" s="543"/>
      <c r="F50" s="543"/>
      <c r="G50" s="58"/>
      <c r="H50" s="581"/>
      <c r="I50" s="58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8"/>
      <c r="AE50" s="19"/>
      <c r="AF50" s="19"/>
      <c r="AG50" s="19"/>
      <c r="AH50" s="19"/>
    </row>
    <row r="51" spans="1:34" outlineLevel="2" x14ac:dyDescent="0.2">
      <c r="A51" s="19"/>
      <c r="B51" s="19"/>
      <c r="C51" s="544">
        <f t="shared" si="1"/>
        <v>0</v>
      </c>
      <c r="D51" s="542">
        <f t="shared" si="1"/>
        <v>0</v>
      </c>
      <c r="E51" s="543"/>
      <c r="F51" s="543"/>
      <c r="G51" s="58"/>
      <c r="H51" s="581"/>
      <c r="I51" s="58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8"/>
      <c r="AE51" s="19"/>
      <c r="AF51" s="19"/>
      <c r="AG51" s="19"/>
      <c r="AH51" s="19"/>
    </row>
    <row r="52" spans="1:34" outlineLevel="2" x14ac:dyDescent="0.2">
      <c r="A52" s="19"/>
      <c r="B52" s="19"/>
      <c r="C52" s="544">
        <f t="shared" si="1"/>
        <v>0</v>
      </c>
      <c r="D52" s="542">
        <f t="shared" si="1"/>
        <v>0</v>
      </c>
      <c r="E52" s="543"/>
      <c r="F52" s="543"/>
      <c r="G52" s="58"/>
      <c r="H52" s="581"/>
      <c r="I52" s="58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8"/>
      <c r="AE52" s="19"/>
      <c r="AF52" s="19"/>
      <c r="AG52" s="19"/>
      <c r="AH52" s="19"/>
    </row>
    <row r="53" spans="1:34" outlineLevel="1" x14ac:dyDescent="0.2">
      <c r="A53" s="19"/>
      <c r="B53" s="19"/>
      <c r="C53" s="66"/>
      <c r="D53" s="58"/>
      <c r="E53" s="58"/>
      <c r="F53" s="58"/>
      <c r="G53" s="58"/>
      <c r="H53" s="58"/>
      <c r="I53" s="58"/>
      <c r="J53" s="177"/>
      <c r="K53" s="177"/>
      <c r="L53" s="178"/>
      <c r="M53" s="178"/>
      <c r="N53" s="178"/>
      <c r="O53" s="179"/>
      <c r="P53" s="179"/>
      <c r="Q53" s="179"/>
      <c r="R53" s="179"/>
      <c r="S53" s="179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9"/>
      <c r="AF53" s="19"/>
      <c r="AG53" s="19"/>
      <c r="AH53" s="19"/>
    </row>
    <row r="54" spans="1:34" outlineLevel="1" x14ac:dyDescent="0.2">
      <c r="A54" s="19"/>
      <c r="B54" s="19"/>
      <c r="C54" s="77" t="str">
        <f>previousyear</f>
        <v>2020–21</v>
      </c>
      <c r="D54" s="20"/>
      <c r="E54" s="20"/>
      <c r="F54" s="22"/>
      <c r="G54" s="22"/>
      <c r="H54" s="22"/>
      <c r="I54" s="22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9"/>
      <c r="AF54" s="19"/>
      <c r="AG54" s="19"/>
      <c r="AH54" s="19"/>
    </row>
    <row r="55" spans="1:34" outlineLevel="2" x14ac:dyDescent="0.2">
      <c r="A55" s="19"/>
      <c r="B55" s="19"/>
      <c r="C55" s="506">
        <f t="shared" ref="C55:F74" si="2">C33</f>
        <v>0</v>
      </c>
      <c r="D55" s="505">
        <f t="shared" si="2"/>
        <v>0</v>
      </c>
      <c r="E55" s="472">
        <f t="shared" si="2"/>
        <v>0</v>
      </c>
      <c r="F55" s="472">
        <f t="shared" si="2"/>
        <v>0</v>
      </c>
      <c r="G55" s="22"/>
      <c r="H55" s="580"/>
      <c r="I55" s="2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8"/>
      <c r="AE55" s="19"/>
      <c r="AF55" s="19"/>
      <c r="AG55" s="19"/>
      <c r="AH55" s="19"/>
    </row>
    <row r="56" spans="1:34" s="59" customFormat="1" outlineLevel="2" x14ac:dyDescent="0.2">
      <c r="A56" s="57"/>
      <c r="B56" s="57"/>
      <c r="C56" s="506">
        <f t="shared" si="2"/>
        <v>0</v>
      </c>
      <c r="D56" s="505">
        <f t="shared" si="2"/>
        <v>0</v>
      </c>
      <c r="E56" s="472">
        <f t="shared" si="2"/>
        <v>0</v>
      </c>
      <c r="F56" s="472">
        <f t="shared" si="2"/>
        <v>0</v>
      </c>
      <c r="G56" s="58"/>
      <c r="H56" s="581"/>
      <c r="I56" s="58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7"/>
      <c r="AE56" s="57"/>
      <c r="AF56" s="57"/>
      <c r="AG56" s="57"/>
      <c r="AH56" s="57"/>
    </row>
    <row r="57" spans="1:34" outlineLevel="2" x14ac:dyDescent="0.2">
      <c r="A57" s="19"/>
      <c r="B57" s="19"/>
      <c r="C57" s="506">
        <f t="shared" si="2"/>
        <v>0</v>
      </c>
      <c r="D57" s="505">
        <f t="shared" si="2"/>
        <v>0</v>
      </c>
      <c r="E57" s="472">
        <f t="shared" si="2"/>
        <v>0</v>
      </c>
      <c r="F57" s="472">
        <f t="shared" si="2"/>
        <v>0</v>
      </c>
      <c r="G57" s="58"/>
      <c r="H57" s="581"/>
      <c r="I57" s="58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8"/>
      <c r="AE57" s="19"/>
      <c r="AF57" s="19"/>
      <c r="AG57" s="19"/>
      <c r="AH57" s="19"/>
    </row>
    <row r="58" spans="1:34" outlineLevel="2" x14ac:dyDescent="0.2">
      <c r="A58" s="19"/>
      <c r="B58" s="19"/>
      <c r="C58" s="506">
        <f t="shared" si="2"/>
        <v>0</v>
      </c>
      <c r="D58" s="505">
        <f t="shared" si="2"/>
        <v>0</v>
      </c>
      <c r="E58" s="472">
        <f t="shared" si="2"/>
        <v>0</v>
      </c>
      <c r="F58" s="472">
        <f t="shared" si="2"/>
        <v>0</v>
      </c>
      <c r="G58" s="58"/>
      <c r="H58" s="581"/>
      <c r="I58" s="58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8"/>
      <c r="AE58" s="19"/>
      <c r="AF58" s="19"/>
      <c r="AG58" s="19"/>
      <c r="AH58" s="19"/>
    </row>
    <row r="59" spans="1:34" outlineLevel="2" x14ac:dyDescent="0.2">
      <c r="A59" s="19"/>
      <c r="B59" s="19"/>
      <c r="C59" s="506">
        <f t="shared" si="2"/>
        <v>0</v>
      </c>
      <c r="D59" s="505">
        <f t="shared" si="2"/>
        <v>0</v>
      </c>
      <c r="E59" s="472">
        <f t="shared" si="2"/>
        <v>0</v>
      </c>
      <c r="F59" s="472">
        <f t="shared" si="2"/>
        <v>0</v>
      </c>
      <c r="G59" s="58"/>
      <c r="H59" s="581"/>
      <c r="I59" s="58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8"/>
      <c r="AE59" s="19"/>
      <c r="AF59" s="19"/>
      <c r="AG59" s="19"/>
      <c r="AH59" s="19"/>
    </row>
    <row r="60" spans="1:34" outlineLevel="2" x14ac:dyDescent="0.2">
      <c r="A60" s="19"/>
      <c r="B60" s="19"/>
      <c r="C60" s="506">
        <f t="shared" si="2"/>
        <v>0</v>
      </c>
      <c r="D60" s="505">
        <f t="shared" si="2"/>
        <v>0</v>
      </c>
      <c r="E60" s="472">
        <f t="shared" si="2"/>
        <v>0</v>
      </c>
      <c r="F60" s="472">
        <f t="shared" si="2"/>
        <v>0</v>
      </c>
      <c r="G60" s="58"/>
      <c r="H60" s="581"/>
      <c r="I60" s="58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8"/>
      <c r="AE60" s="19"/>
      <c r="AF60" s="19"/>
      <c r="AG60" s="19"/>
      <c r="AH60" s="19"/>
    </row>
    <row r="61" spans="1:34" outlineLevel="2" x14ac:dyDescent="0.2">
      <c r="A61" s="19"/>
      <c r="B61" s="19"/>
      <c r="C61" s="506">
        <f t="shared" si="2"/>
        <v>0</v>
      </c>
      <c r="D61" s="505">
        <f t="shared" si="2"/>
        <v>0</v>
      </c>
      <c r="E61" s="472">
        <f t="shared" si="2"/>
        <v>0</v>
      </c>
      <c r="F61" s="472">
        <f t="shared" si="2"/>
        <v>0</v>
      </c>
      <c r="G61" s="58"/>
      <c r="H61" s="581"/>
      <c r="I61" s="58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8"/>
      <c r="AE61" s="19"/>
      <c r="AF61" s="19"/>
      <c r="AG61" s="19"/>
      <c r="AH61" s="19"/>
    </row>
    <row r="62" spans="1:34" outlineLevel="2" x14ac:dyDescent="0.2">
      <c r="A62" s="19"/>
      <c r="B62" s="19"/>
      <c r="C62" s="506">
        <f t="shared" si="2"/>
        <v>0</v>
      </c>
      <c r="D62" s="505">
        <f t="shared" si="2"/>
        <v>0</v>
      </c>
      <c r="E62" s="472">
        <f t="shared" si="2"/>
        <v>0</v>
      </c>
      <c r="F62" s="472">
        <f t="shared" si="2"/>
        <v>0</v>
      </c>
      <c r="G62" s="58"/>
      <c r="H62" s="581"/>
      <c r="I62" s="58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8"/>
      <c r="AE62" s="19"/>
      <c r="AF62" s="19"/>
      <c r="AG62" s="19"/>
      <c r="AH62" s="19"/>
    </row>
    <row r="63" spans="1:34" outlineLevel="2" x14ac:dyDescent="0.2">
      <c r="A63" s="19"/>
      <c r="B63" s="19"/>
      <c r="C63" s="506">
        <f t="shared" si="2"/>
        <v>0</v>
      </c>
      <c r="D63" s="505">
        <f t="shared" si="2"/>
        <v>0</v>
      </c>
      <c r="E63" s="472">
        <f t="shared" si="2"/>
        <v>0</v>
      </c>
      <c r="F63" s="472">
        <f t="shared" si="2"/>
        <v>0</v>
      </c>
      <c r="G63" s="58"/>
      <c r="H63" s="581"/>
      <c r="I63" s="58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8"/>
      <c r="AE63" s="19"/>
      <c r="AF63" s="19"/>
      <c r="AG63" s="19"/>
      <c r="AH63" s="19"/>
    </row>
    <row r="64" spans="1:34" outlineLevel="2" x14ac:dyDescent="0.2">
      <c r="A64" s="19"/>
      <c r="B64" s="19"/>
      <c r="C64" s="506">
        <f t="shared" si="2"/>
        <v>0</v>
      </c>
      <c r="D64" s="505">
        <f t="shared" si="2"/>
        <v>0</v>
      </c>
      <c r="E64" s="472">
        <f t="shared" si="2"/>
        <v>0</v>
      </c>
      <c r="F64" s="472">
        <f t="shared" si="2"/>
        <v>0</v>
      </c>
      <c r="G64" s="58"/>
      <c r="H64" s="581"/>
      <c r="I64" s="58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8"/>
      <c r="AE64" s="19"/>
      <c r="AF64" s="19"/>
      <c r="AG64" s="19"/>
      <c r="AH64" s="19"/>
    </row>
    <row r="65" spans="1:34" outlineLevel="2" x14ac:dyDescent="0.2">
      <c r="A65" s="19"/>
      <c r="B65" s="19"/>
      <c r="C65" s="506">
        <f t="shared" si="2"/>
        <v>0</v>
      </c>
      <c r="D65" s="505">
        <f t="shared" si="2"/>
        <v>0</v>
      </c>
      <c r="E65" s="472">
        <f t="shared" si="2"/>
        <v>0</v>
      </c>
      <c r="F65" s="472">
        <f t="shared" si="2"/>
        <v>0</v>
      </c>
      <c r="G65" s="58"/>
      <c r="H65" s="581"/>
      <c r="I65" s="58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8"/>
      <c r="AE65" s="19"/>
      <c r="AF65" s="19"/>
      <c r="AG65" s="19"/>
      <c r="AH65" s="19"/>
    </row>
    <row r="66" spans="1:34" outlineLevel="2" x14ac:dyDescent="0.2">
      <c r="A66" s="19"/>
      <c r="B66" s="19"/>
      <c r="C66" s="506">
        <f t="shared" si="2"/>
        <v>0</v>
      </c>
      <c r="D66" s="505">
        <f t="shared" si="2"/>
        <v>0</v>
      </c>
      <c r="E66" s="472">
        <f t="shared" si="2"/>
        <v>0</v>
      </c>
      <c r="F66" s="472">
        <f t="shared" si="2"/>
        <v>0</v>
      </c>
      <c r="G66" s="58"/>
      <c r="H66" s="581"/>
      <c r="I66" s="58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8"/>
      <c r="AE66" s="19"/>
      <c r="AF66" s="19"/>
      <c r="AG66" s="19"/>
      <c r="AH66" s="19"/>
    </row>
    <row r="67" spans="1:34" outlineLevel="2" x14ac:dyDescent="0.2">
      <c r="A67" s="19"/>
      <c r="B67" s="19"/>
      <c r="C67" s="506">
        <f t="shared" si="2"/>
        <v>0</v>
      </c>
      <c r="D67" s="505">
        <f t="shared" si="2"/>
        <v>0</v>
      </c>
      <c r="E67" s="472">
        <f t="shared" si="2"/>
        <v>0</v>
      </c>
      <c r="F67" s="472">
        <f t="shared" si="2"/>
        <v>0</v>
      </c>
      <c r="G67" s="58"/>
      <c r="H67" s="581"/>
      <c r="I67" s="58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8"/>
      <c r="AE67" s="19"/>
      <c r="AF67" s="19"/>
      <c r="AG67" s="19"/>
      <c r="AH67" s="19"/>
    </row>
    <row r="68" spans="1:34" outlineLevel="2" x14ac:dyDescent="0.2">
      <c r="A68" s="19"/>
      <c r="B68" s="19"/>
      <c r="C68" s="506">
        <f t="shared" si="2"/>
        <v>0</v>
      </c>
      <c r="D68" s="505">
        <f t="shared" si="2"/>
        <v>0</v>
      </c>
      <c r="E68" s="472">
        <f t="shared" si="2"/>
        <v>0</v>
      </c>
      <c r="F68" s="472">
        <f t="shared" si="2"/>
        <v>0</v>
      </c>
      <c r="G68" s="58"/>
      <c r="H68" s="581"/>
      <c r="I68" s="58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8"/>
      <c r="AE68" s="19"/>
      <c r="AF68" s="19"/>
      <c r="AG68" s="19"/>
      <c r="AH68" s="19"/>
    </row>
    <row r="69" spans="1:34" outlineLevel="2" x14ac:dyDescent="0.2">
      <c r="A69" s="19"/>
      <c r="B69" s="19"/>
      <c r="C69" s="506">
        <f t="shared" si="2"/>
        <v>0</v>
      </c>
      <c r="D69" s="505">
        <f t="shared" si="2"/>
        <v>0</v>
      </c>
      <c r="E69" s="472">
        <f t="shared" si="2"/>
        <v>0</v>
      </c>
      <c r="F69" s="472">
        <f t="shared" si="2"/>
        <v>0</v>
      </c>
      <c r="G69" s="58"/>
      <c r="H69" s="581"/>
      <c r="I69" s="58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8"/>
      <c r="AE69" s="19"/>
      <c r="AF69" s="19"/>
      <c r="AG69" s="19"/>
      <c r="AH69" s="19"/>
    </row>
    <row r="70" spans="1:34" outlineLevel="2" x14ac:dyDescent="0.2">
      <c r="A70" s="19"/>
      <c r="B70" s="19"/>
      <c r="C70" s="506">
        <f t="shared" si="2"/>
        <v>0</v>
      </c>
      <c r="D70" s="505">
        <f t="shared" si="2"/>
        <v>0</v>
      </c>
      <c r="E70" s="472">
        <f t="shared" si="2"/>
        <v>0</v>
      </c>
      <c r="F70" s="472">
        <f t="shared" si="2"/>
        <v>0</v>
      </c>
      <c r="G70" s="58"/>
      <c r="H70" s="581"/>
      <c r="I70" s="58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8"/>
      <c r="AE70" s="19"/>
      <c r="AF70" s="19"/>
      <c r="AG70" s="19"/>
      <c r="AH70" s="19"/>
    </row>
    <row r="71" spans="1:34" outlineLevel="2" x14ac:dyDescent="0.2">
      <c r="A71" s="19"/>
      <c r="B71" s="19"/>
      <c r="C71" s="506">
        <f t="shared" si="2"/>
        <v>0</v>
      </c>
      <c r="D71" s="505">
        <f t="shared" si="2"/>
        <v>0</v>
      </c>
      <c r="E71" s="472">
        <f t="shared" si="2"/>
        <v>0</v>
      </c>
      <c r="F71" s="472">
        <f t="shared" si="2"/>
        <v>0</v>
      </c>
      <c r="G71" s="58"/>
      <c r="H71" s="581"/>
      <c r="I71" s="58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8"/>
      <c r="AE71" s="19"/>
      <c r="AF71" s="19"/>
      <c r="AG71" s="19"/>
      <c r="AH71" s="19"/>
    </row>
    <row r="72" spans="1:34" outlineLevel="2" x14ac:dyDescent="0.2">
      <c r="A72" s="19"/>
      <c r="B72" s="19"/>
      <c r="C72" s="506">
        <f t="shared" si="2"/>
        <v>0</v>
      </c>
      <c r="D72" s="505">
        <f t="shared" si="2"/>
        <v>0</v>
      </c>
      <c r="E72" s="472">
        <f t="shared" si="2"/>
        <v>0</v>
      </c>
      <c r="F72" s="472">
        <f t="shared" si="2"/>
        <v>0</v>
      </c>
      <c r="G72" s="58"/>
      <c r="H72" s="581"/>
      <c r="I72" s="58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8"/>
      <c r="AE72" s="19"/>
      <c r="AF72" s="19"/>
      <c r="AG72" s="19"/>
      <c r="AH72" s="19"/>
    </row>
    <row r="73" spans="1:34" outlineLevel="2" x14ac:dyDescent="0.2">
      <c r="A73" s="19"/>
      <c r="B73" s="19"/>
      <c r="C73" s="506">
        <f t="shared" si="2"/>
        <v>0</v>
      </c>
      <c r="D73" s="505">
        <f t="shared" si="2"/>
        <v>0</v>
      </c>
      <c r="E73" s="472">
        <f t="shared" si="2"/>
        <v>0</v>
      </c>
      <c r="F73" s="472">
        <f t="shared" si="2"/>
        <v>0</v>
      </c>
      <c r="G73" s="58"/>
      <c r="H73" s="581"/>
      <c r="I73" s="58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8"/>
      <c r="AE73" s="19"/>
      <c r="AF73" s="19"/>
      <c r="AG73" s="19"/>
      <c r="AH73" s="19"/>
    </row>
    <row r="74" spans="1:34" outlineLevel="2" x14ac:dyDescent="0.2">
      <c r="A74" s="19"/>
      <c r="B74" s="19"/>
      <c r="C74" s="506">
        <f t="shared" si="2"/>
        <v>0</v>
      </c>
      <c r="D74" s="505">
        <f t="shared" si="2"/>
        <v>0</v>
      </c>
      <c r="E74" s="472">
        <f t="shared" si="2"/>
        <v>0</v>
      </c>
      <c r="F74" s="472">
        <f t="shared" si="2"/>
        <v>0</v>
      </c>
      <c r="G74" s="58"/>
      <c r="H74" s="581"/>
      <c r="I74" s="58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8"/>
      <c r="AE74" s="19"/>
      <c r="AF74" s="19"/>
      <c r="AG74" s="19"/>
      <c r="AH74" s="19"/>
    </row>
    <row r="75" spans="1:34" outlineLevel="1" x14ac:dyDescent="0.2">
      <c r="A75" s="19"/>
      <c r="B75" s="19"/>
      <c r="C75" s="66"/>
      <c r="D75" s="66"/>
      <c r="E75" s="58"/>
      <c r="F75" s="58"/>
      <c r="G75" s="58"/>
      <c r="H75" s="58"/>
      <c r="I75" s="58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8"/>
      <c r="AE75" s="19"/>
      <c r="AF75" s="19"/>
      <c r="AG75" s="19"/>
      <c r="AH75" s="19"/>
    </row>
    <row r="76" spans="1:34" x14ac:dyDescent="0.2">
      <c r="A76" s="19"/>
      <c r="B76" s="19"/>
      <c r="C76" s="66"/>
      <c r="D76" s="66"/>
      <c r="E76" s="58"/>
      <c r="F76" s="58"/>
      <c r="G76" s="58"/>
      <c r="H76" s="58"/>
      <c r="I76" s="58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0"/>
      <c r="AE76" s="19"/>
      <c r="AF76" s="19"/>
      <c r="AG76" s="19"/>
      <c r="AH76" s="19"/>
    </row>
    <row r="77" spans="1:34" ht="12.75" x14ac:dyDescent="0.2">
      <c r="A77" s="11"/>
      <c r="B77" s="12" t="str">
        <f>"Input table 30 | Historical trial tariffs "&amp;currentyear</f>
        <v>Input table 30 | Historical trial tariffs 2021–22</v>
      </c>
      <c r="C77" s="11"/>
      <c r="D77" s="32" t="s">
        <v>199</v>
      </c>
      <c r="E77" s="32" t="str">
        <f>tariffid1</f>
        <v>Code</v>
      </c>
      <c r="F77" s="33" t="str">
        <f>tariffid2</f>
        <v>Trans. Node</v>
      </c>
      <c r="G77" s="33"/>
      <c r="H77" s="33"/>
      <c r="I77" s="33"/>
      <c r="J77" s="169" t="str">
        <f>J30</f>
        <v>Service</v>
      </c>
      <c r="K77" s="169" t="str">
        <f t="shared" ref="K77:AC77" si="3">K30</f>
        <v>All energy</v>
      </c>
      <c r="L77" s="169" t="str">
        <f t="shared" si="3"/>
        <v>Peak energy</v>
      </c>
      <c r="M77" s="169" t="str">
        <f t="shared" si="3"/>
        <v>Shoulder energy</v>
      </c>
      <c r="N77" s="169" t="str">
        <f t="shared" si="3"/>
        <v>Off-peak energy</v>
      </c>
      <c r="O77" s="169" t="str">
        <f t="shared" si="3"/>
        <v>All demand</v>
      </c>
      <c r="P77" s="169" t="str">
        <f t="shared" si="3"/>
        <v>Peak demand</v>
      </c>
      <c r="Q77" s="169" t="str">
        <f t="shared" si="3"/>
        <v>Off-peak demand</v>
      </c>
      <c r="R77" s="169" t="str">
        <f t="shared" si="3"/>
        <v>Specified demand</v>
      </c>
      <c r="S77" s="169" t="str">
        <f t="shared" si="3"/>
        <v>Excess daily demand</v>
      </c>
      <c r="T77" s="169" t="str">
        <f t="shared" si="3"/>
        <v>Daily demand connection</v>
      </c>
      <c r="U77" s="169" t="str">
        <f t="shared" si="3"/>
        <v>Excess daily demand connection</v>
      </c>
      <c r="V77" s="169" t="str">
        <f t="shared" si="3"/>
        <v>All demand (lamps)</v>
      </c>
      <c r="W77" s="169">
        <f t="shared" si="3"/>
        <v>0</v>
      </c>
      <c r="X77" s="169">
        <f t="shared" si="3"/>
        <v>0</v>
      </c>
      <c r="Y77" s="169">
        <f t="shared" si="3"/>
        <v>0</v>
      </c>
      <c r="Z77" s="169">
        <f t="shared" si="3"/>
        <v>0</v>
      </c>
      <c r="AA77" s="169">
        <f t="shared" si="3"/>
        <v>0</v>
      </c>
      <c r="AB77" s="169">
        <f t="shared" si="3"/>
        <v>0</v>
      </c>
      <c r="AC77" s="169">
        <f t="shared" si="3"/>
        <v>0</v>
      </c>
      <c r="AD77" s="64"/>
      <c r="AE77" s="15"/>
      <c r="AF77" s="15"/>
      <c r="AG77" s="15"/>
      <c r="AH77" s="15"/>
    </row>
    <row r="78" spans="1:34" outlineLevel="1" x14ac:dyDescent="0.2">
      <c r="A78" s="19"/>
      <c r="B78" s="19"/>
      <c r="C78" s="36"/>
      <c r="D78" s="20"/>
      <c r="E78" s="20"/>
      <c r="F78" s="22"/>
      <c r="G78" s="22"/>
      <c r="H78" s="22"/>
      <c r="I78" s="22"/>
      <c r="J78" s="170" t="str">
        <f>'Prop. prices'!I6</f>
        <v>cents/day</v>
      </c>
      <c r="K78" s="170" t="str">
        <f>'Prop. prices'!J6</f>
        <v>cents/kWh</v>
      </c>
      <c r="L78" s="170" t="str">
        <f>'Prop. prices'!K6</f>
        <v>cents/kWh</v>
      </c>
      <c r="M78" s="170" t="str">
        <f>'Prop. prices'!L6</f>
        <v>cents/kWh</v>
      </c>
      <c r="N78" s="170" t="str">
        <f>'Prop. prices'!M6</f>
        <v>cents/kWh</v>
      </c>
      <c r="O78" s="170" t="str">
        <f>'Prop. prices'!N6</f>
        <v>cents/kVA</v>
      </c>
      <c r="P78" s="170" t="str">
        <f>'Prop. prices'!O6</f>
        <v>cents/kVA</v>
      </c>
      <c r="Q78" s="170" t="str">
        <f>'Prop. prices'!P6</f>
        <v>cents/kVA</v>
      </c>
      <c r="R78" s="170" t="str">
        <f>'Prop. prices'!Q6</f>
        <v>cents/kVA</v>
      </c>
      <c r="S78" s="170" t="str">
        <f>'Prop. prices'!R6</f>
        <v>cents/kVA</v>
      </c>
      <c r="T78" s="170" t="str">
        <f>'Prop. prices'!S6</f>
        <v>cents/kVA</v>
      </c>
      <c r="U78" s="170" t="str">
        <f>'Prop. prices'!T6</f>
        <v>cents/kVA</v>
      </c>
      <c r="V78" s="170" t="str">
        <f>'Prop. prices'!U6</f>
        <v>cents/LmpWtts/day</v>
      </c>
      <c r="W78" s="170">
        <f>'Prop. prices'!V6</f>
        <v>0</v>
      </c>
      <c r="X78" s="170">
        <f>'Prop. prices'!W6</f>
        <v>0</v>
      </c>
      <c r="Y78" s="170">
        <f>'Prop. prices'!X6</f>
        <v>0</v>
      </c>
      <c r="Z78" s="170">
        <f>'Prop. prices'!Y6</f>
        <v>0</v>
      </c>
      <c r="AA78" s="170">
        <f>'Prop. prices'!Z6</f>
        <v>0</v>
      </c>
      <c r="AB78" s="170">
        <f>'Prop. prices'!AA6</f>
        <v>0</v>
      </c>
      <c r="AC78" s="170">
        <f>'Prop. prices'!AB6</f>
        <v>0</v>
      </c>
      <c r="AD78" s="19"/>
      <c r="AE78" s="19"/>
      <c r="AF78" s="19"/>
      <c r="AG78" s="19"/>
      <c r="AH78" s="19"/>
    </row>
    <row r="79" spans="1:34" outlineLevel="1" x14ac:dyDescent="0.2">
      <c r="A79" s="19"/>
      <c r="B79" s="19"/>
      <c r="C79" s="167" t="s">
        <v>136</v>
      </c>
      <c r="D79" s="20"/>
      <c r="E79" s="20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19"/>
      <c r="AE79" s="19"/>
      <c r="AF79" s="19"/>
      <c r="AG79" s="19"/>
      <c r="AH79" s="19"/>
    </row>
    <row r="80" spans="1:34" outlineLevel="2" x14ac:dyDescent="0.2">
      <c r="A80" s="19"/>
      <c r="B80" s="19"/>
      <c r="C80" s="506">
        <f t="shared" ref="C80:F99" si="4">C33</f>
        <v>0</v>
      </c>
      <c r="D80" s="505">
        <f t="shared" si="4"/>
        <v>0</v>
      </c>
      <c r="E80" s="472">
        <f t="shared" si="4"/>
        <v>0</v>
      </c>
      <c r="F80" s="472">
        <f t="shared" si="4"/>
        <v>0</v>
      </c>
      <c r="G80" s="22"/>
      <c r="H80" s="22"/>
      <c r="I80" s="22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7"/>
      <c r="AE80" s="19"/>
      <c r="AF80" s="19"/>
      <c r="AG80" s="19"/>
      <c r="AH80" s="19"/>
    </row>
    <row r="81" spans="1:34" s="59" customFormat="1" outlineLevel="2" x14ac:dyDescent="0.2">
      <c r="A81" s="57"/>
      <c r="B81" s="57"/>
      <c r="C81" s="506">
        <f t="shared" si="4"/>
        <v>0</v>
      </c>
      <c r="D81" s="505">
        <f t="shared" si="4"/>
        <v>0</v>
      </c>
      <c r="E81" s="472">
        <f t="shared" si="4"/>
        <v>0</v>
      </c>
      <c r="F81" s="472">
        <f t="shared" si="4"/>
        <v>0</v>
      </c>
      <c r="G81" s="58"/>
      <c r="H81" s="58"/>
      <c r="I81" s="58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6"/>
      <c r="AE81" s="57"/>
      <c r="AF81" s="57"/>
      <c r="AG81" s="57"/>
      <c r="AH81" s="57"/>
    </row>
    <row r="82" spans="1:34" outlineLevel="2" x14ac:dyDescent="0.2">
      <c r="A82" s="19"/>
      <c r="B82" s="19"/>
      <c r="C82" s="506">
        <f t="shared" si="4"/>
        <v>0</v>
      </c>
      <c r="D82" s="505">
        <f t="shared" si="4"/>
        <v>0</v>
      </c>
      <c r="E82" s="472">
        <f t="shared" si="4"/>
        <v>0</v>
      </c>
      <c r="F82" s="472">
        <f t="shared" si="4"/>
        <v>0</v>
      </c>
      <c r="G82" s="58"/>
      <c r="H82" s="58"/>
      <c r="I82" s="58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7"/>
      <c r="AE82" s="19"/>
      <c r="AF82" s="19"/>
      <c r="AG82" s="19"/>
      <c r="AH82" s="19"/>
    </row>
    <row r="83" spans="1:34" outlineLevel="2" x14ac:dyDescent="0.2">
      <c r="A83" s="19"/>
      <c r="B83" s="19"/>
      <c r="C83" s="506">
        <f t="shared" si="4"/>
        <v>0</v>
      </c>
      <c r="D83" s="505">
        <f t="shared" si="4"/>
        <v>0</v>
      </c>
      <c r="E83" s="472">
        <f t="shared" si="4"/>
        <v>0</v>
      </c>
      <c r="F83" s="472">
        <f t="shared" si="4"/>
        <v>0</v>
      </c>
      <c r="G83" s="58"/>
      <c r="H83" s="58"/>
      <c r="I83" s="58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7"/>
      <c r="AE83" s="19"/>
      <c r="AF83" s="19"/>
      <c r="AG83" s="19"/>
      <c r="AH83" s="19"/>
    </row>
    <row r="84" spans="1:34" outlineLevel="2" x14ac:dyDescent="0.2">
      <c r="A84" s="19"/>
      <c r="B84" s="19"/>
      <c r="C84" s="506">
        <f t="shared" si="4"/>
        <v>0</v>
      </c>
      <c r="D84" s="505">
        <f t="shared" si="4"/>
        <v>0</v>
      </c>
      <c r="E84" s="472">
        <f t="shared" si="4"/>
        <v>0</v>
      </c>
      <c r="F84" s="472">
        <f t="shared" si="4"/>
        <v>0</v>
      </c>
      <c r="G84" s="58"/>
      <c r="H84" s="58"/>
      <c r="I84" s="58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7"/>
      <c r="AE84" s="19"/>
      <c r="AF84" s="19"/>
      <c r="AG84" s="19"/>
      <c r="AH84" s="19"/>
    </row>
    <row r="85" spans="1:34" outlineLevel="2" x14ac:dyDescent="0.2">
      <c r="A85" s="19"/>
      <c r="B85" s="19"/>
      <c r="C85" s="506">
        <f t="shared" si="4"/>
        <v>0</v>
      </c>
      <c r="D85" s="505">
        <f t="shared" si="4"/>
        <v>0</v>
      </c>
      <c r="E85" s="472">
        <f t="shared" si="4"/>
        <v>0</v>
      </c>
      <c r="F85" s="472">
        <f t="shared" si="4"/>
        <v>0</v>
      </c>
      <c r="G85" s="58"/>
      <c r="H85" s="58"/>
      <c r="I85" s="58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7"/>
      <c r="AE85" s="19"/>
      <c r="AF85" s="19"/>
      <c r="AG85" s="19"/>
      <c r="AH85" s="19"/>
    </row>
    <row r="86" spans="1:34" outlineLevel="2" x14ac:dyDescent="0.2">
      <c r="A86" s="19"/>
      <c r="B86" s="19"/>
      <c r="C86" s="506">
        <f t="shared" si="4"/>
        <v>0</v>
      </c>
      <c r="D86" s="505">
        <f t="shared" si="4"/>
        <v>0</v>
      </c>
      <c r="E86" s="472">
        <f t="shared" si="4"/>
        <v>0</v>
      </c>
      <c r="F86" s="472">
        <f t="shared" si="4"/>
        <v>0</v>
      </c>
      <c r="G86" s="58"/>
      <c r="H86" s="58"/>
      <c r="I86" s="58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7"/>
      <c r="AE86" s="19"/>
      <c r="AF86" s="19"/>
      <c r="AG86" s="19"/>
      <c r="AH86" s="19"/>
    </row>
    <row r="87" spans="1:34" outlineLevel="2" x14ac:dyDescent="0.2">
      <c r="A87" s="19"/>
      <c r="B87" s="19"/>
      <c r="C87" s="506">
        <f t="shared" si="4"/>
        <v>0</v>
      </c>
      <c r="D87" s="505">
        <f t="shared" si="4"/>
        <v>0</v>
      </c>
      <c r="E87" s="472">
        <f t="shared" si="4"/>
        <v>0</v>
      </c>
      <c r="F87" s="472">
        <f t="shared" si="4"/>
        <v>0</v>
      </c>
      <c r="G87" s="58"/>
      <c r="H87" s="58"/>
      <c r="I87" s="58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7"/>
      <c r="AE87" s="19"/>
      <c r="AF87" s="19"/>
      <c r="AG87" s="19"/>
      <c r="AH87" s="19"/>
    </row>
    <row r="88" spans="1:34" outlineLevel="2" x14ac:dyDescent="0.2">
      <c r="A88" s="19"/>
      <c r="B88" s="19"/>
      <c r="C88" s="506">
        <f t="shared" si="4"/>
        <v>0</v>
      </c>
      <c r="D88" s="505">
        <f t="shared" si="4"/>
        <v>0</v>
      </c>
      <c r="E88" s="472">
        <f t="shared" si="4"/>
        <v>0</v>
      </c>
      <c r="F88" s="472">
        <f t="shared" si="4"/>
        <v>0</v>
      </c>
      <c r="G88" s="58"/>
      <c r="H88" s="58"/>
      <c r="I88" s="58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7"/>
      <c r="AE88" s="19"/>
      <c r="AF88" s="19"/>
      <c r="AG88" s="19"/>
      <c r="AH88" s="19"/>
    </row>
    <row r="89" spans="1:34" outlineLevel="2" x14ac:dyDescent="0.2">
      <c r="A89" s="19"/>
      <c r="B89" s="19"/>
      <c r="C89" s="506">
        <f t="shared" si="4"/>
        <v>0</v>
      </c>
      <c r="D89" s="505">
        <f t="shared" si="4"/>
        <v>0</v>
      </c>
      <c r="E89" s="472">
        <f t="shared" si="4"/>
        <v>0</v>
      </c>
      <c r="F89" s="472">
        <f t="shared" si="4"/>
        <v>0</v>
      </c>
      <c r="G89" s="58"/>
      <c r="H89" s="58"/>
      <c r="I89" s="58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7"/>
      <c r="AE89" s="19"/>
      <c r="AF89" s="19"/>
      <c r="AG89" s="19"/>
      <c r="AH89" s="19"/>
    </row>
    <row r="90" spans="1:34" outlineLevel="2" x14ac:dyDescent="0.2">
      <c r="A90" s="19"/>
      <c r="B90" s="19"/>
      <c r="C90" s="506">
        <f t="shared" si="4"/>
        <v>0</v>
      </c>
      <c r="D90" s="505">
        <f t="shared" si="4"/>
        <v>0</v>
      </c>
      <c r="E90" s="472">
        <f t="shared" si="4"/>
        <v>0</v>
      </c>
      <c r="F90" s="472">
        <f t="shared" si="4"/>
        <v>0</v>
      </c>
      <c r="G90" s="58"/>
      <c r="H90" s="58"/>
      <c r="I90" s="58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7"/>
      <c r="AE90" s="19"/>
      <c r="AF90" s="19"/>
      <c r="AG90" s="19"/>
      <c r="AH90" s="19"/>
    </row>
    <row r="91" spans="1:34" outlineLevel="2" x14ac:dyDescent="0.2">
      <c r="A91" s="19"/>
      <c r="B91" s="19"/>
      <c r="C91" s="506">
        <f t="shared" si="4"/>
        <v>0</v>
      </c>
      <c r="D91" s="505">
        <f t="shared" si="4"/>
        <v>0</v>
      </c>
      <c r="E91" s="472">
        <f t="shared" si="4"/>
        <v>0</v>
      </c>
      <c r="F91" s="472">
        <f t="shared" si="4"/>
        <v>0</v>
      </c>
      <c r="G91" s="58"/>
      <c r="H91" s="58"/>
      <c r="I91" s="58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7"/>
      <c r="AE91" s="19"/>
      <c r="AF91" s="19"/>
      <c r="AG91" s="19"/>
      <c r="AH91" s="19"/>
    </row>
    <row r="92" spans="1:34" outlineLevel="2" x14ac:dyDescent="0.2">
      <c r="A92" s="19"/>
      <c r="B92" s="19"/>
      <c r="C92" s="506">
        <f t="shared" si="4"/>
        <v>0</v>
      </c>
      <c r="D92" s="505">
        <f t="shared" si="4"/>
        <v>0</v>
      </c>
      <c r="E92" s="472">
        <f t="shared" si="4"/>
        <v>0</v>
      </c>
      <c r="F92" s="472">
        <f t="shared" si="4"/>
        <v>0</v>
      </c>
      <c r="G92" s="58"/>
      <c r="H92" s="58"/>
      <c r="I92" s="58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7"/>
      <c r="AE92" s="19"/>
      <c r="AF92" s="19"/>
      <c r="AG92" s="19"/>
      <c r="AH92" s="19"/>
    </row>
    <row r="93" spans="1:34" outlineLevel="2" x14ac:dyDescent="0.2">
      <c r="A93" s="19"/>
      <c r="B93" s="19"/>
      <c r="C93" s="506">
        <f t="shared" si="4"/>
        <v>0</v>
      </c>
      <c r="D93" s="505">
        <f t="shared" si="4"/>
        <v>0</v>
      </c>
      <c r="E93" s="472">
        <f t="shared" si="4"/>
        <v>0</v>
      </c>
      <c r="F93" s="472">
        <f t="shared" si="4"/>
        <v>0</v>
      </c>
      <c r="G93" s="58"/>
      <c r="H93" s="58"/>
      <c r="I93" s="58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7"/>
      <c r="AE93" s="19"/>
      <c r="AF93" s="19"/>
      <c r="AG93" s="19"/>
      <c r="AH93" s="19"/>
    </row>
    <row r="94" spans="1:34" outlineLevel="2" x14ac:dyDescent="0.2">
      <c r="A94" s="19"/>
      <c r="B94" s="19"/>
      <c r="C94" s="506">
        <f t="shared" si="4"/>
        <v>0</v>
      </c>
      <c r="D94" s="505">
        <f t="shared" si="4"/>
        <v>0</v>
      </c>
      <c r="E94" s="472">
        <f t="shared" si="4"/>
        <v>0</v>
      </c>
      <c r="F94" s="472">
        <f t="shared" si="4"/>
        <v>0</v>
      </c>
      <c r="G94" s="58"/>
      <c r="H94" s="58"/>
      <c r="I94" s="58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7"/>
      <c r="AE94" s="19"/>
      <c r="AF94" s="19"/>
      <c r="AG94" s="19"/>
      <c r="AH94" s="19"/>
    </row>
    <row r="95" spans="1:34" outlineLevel="2" x14ac:dyDescent="0.2">
      <c r="A95" s="19"/>
      <c r="B95" s="19"/>
      <c r="C95" s="506">
        <f t="shared" si="4"/>
        <v>0</v>
      </c>
      <c r="D95" s="505">
        <f t="shared" si="4"/>
        <v>0</v>
      </c>
      <c r="E95" s="472">
        <f t="shared" si="4"/>
        <v>0</v>
      </c>
      <c r="F95" s="472">
        <f t="shared" si="4"/>
        <v>0</v>
      </c>
      <c r="G95" s="58"/>
      <c r="H95" s="58"/>
      <c r="I95" s="58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7"/>
      <c r="AE95" s="19"/>
      <c r="AF95" s="19"/>
      <c r="AG95" s="19"/>
      <c r="AH95" s="19"/>
    </row>
    <row r="96" spans="1:34" outlineLevel="2" x14ac:dyDescent="0.2">
      <c r="A96" s="19"/>
      <c r="B96" s="19"/>
      <c r="C96" s="506">
        <f t="shared" si="4"/>
        <v>0</v>
      </c>
      <c r="D96" s="505">
        <f t="shared" si="4"/>
        <v>0</v>
      </c>
      <c r="E96" s="472">
        <f t="shared" si="4"/>
        <v>0</v>
      </c>
      <c r="F96" s="472">
        <f t="shared" si="4"/>
        <v>0</v>
      </c>
      <c r="G96" s="58"/>
      <c r="H96" s="58"/>
      <c r="I96" s="58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7"/>
      <c r="AE96" s="19"/>
      <c r="AF96" s="19"/>
      <c r="AG96" s="19"/>
      <c r="AH96" s="19"/>
    </row>
    <row r="97" spans="1:34" outlineLevel="2" x14ac:dyDescent="0.2">
      <c r="A97" s="19"/>
      <c r="B97" s="19"/>
      <c r="C97" s="506">
        <f t="shared" si="4"/>
        <v>0</v>
      </c>
      <c r="D97" s="505">
        <f t="shared" si="4"/>
        <v>0</v>
      </c>
      <c r="E97" s="472">
        <f t="shared" si="4"/>
        <v>0</v>
      </c>
      <c r="F97" s="472">
        <f t="shared" si="4"/>
        <v>0</v>
      </c>
      <c r="G97" s="58"/>
      <c r="H97" s="58"/>
      <c r="I97" s="58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7"/>
      <c r="AE97" s="19"/>
      <c r="AF97" s="19"/>
      <c r="AG97" s="19"/>
      <c r="AH97" s="19"/>
    </row>
    <row r="98" spans="1:34" outlineLevel="2" x14ac:dyDescent="0.2">
      <c r="A98" s="19"/>
      <c r="B98" s="19"/>
      <c r="C98" s="506">
        <f t="shared" si="4"/>
        <v>0</v>
      </c>
      <c r="D98" s="505">
        <f t="shared" si="4"/>
        <v>0</v>
      </c>
      <c r="E98" s="472">
        <f t="shared" si="4"/>
        <v>0</v>
      </c>
      <c r="F98" s="472">
        <f t="shared" si="4"/>
        <v>0</v>
      </c>
      <c r="G98" s="58"/>
      <c r="H98" s="58"/>
      <c r="I98" s="58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7"/>
      <c r="AE98" s="19"/>
      <c r="AF98" s="19"/>
      <c r="AG98" s="19"/>
      <c r="AH98" s="19"/>
    </row>
    <row r="99" spans="1:34" outlineLevel="2" x14ac:dyDescent="0.2">
      <c r="A99" s="19"/>
      <c r="B99" s="19"/>
      <c r="C99" s="506">
        <f t="shared" si="4"/>
        <v>0</v>
      </c>
      <c r="D99" s="505">
        <f t="shared" si="4"/>
        <v>0</v>
      </c>
      <c r="E99" s="472">
        <f t="shared" si="4"/>
        <v>0</v>
      </c>
      <c r="F99" s="472">
        <f t="shared" si="4"/>
        <v>0</v>
      </c>
      <c r="G99" s="58"/>
      <c r="H99" s="58"/>
      <c r="I99" s="58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7"/>
      <c r="AE99" s="19"/>
      <c r="AF99" s="19"/>
      <c r="AG99" s="19"/>
      <c r="AH99" s="19"/>
    </row>
    <row r="100" spans="1:34" outlineLevel="1" x14ac:dyDescent="0.2">
      <c r="A100" s="19"/>
      <c r="B100" s="19"/>
      <c r="C100" s="66"/>
      <c r="D100" s="58"/>
      <c r="E100" s="58"/>
      <c r="F100" s="58"/>
      <c r="G100" s="58"/>
      <c r="H100" s="58"/>
      <c r="I100" s="58"/>
      <c r="J100" s="186"/>
      <c r="K100" s="186"/>
      <c r="L100" s="187"/>
      <c r="M100" s="187"/>
      <c r="N100" s="187"/>
      <c r="O100" s="188"/>
      <c r="P100" s="188"/>
      <c r="Q100" s="188"/>
      <c r="R100" s="188"/>
      <c r="S100" s="188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9"/>
      <c r="AF100" s="19"/>
      <c r="AG100" s="19"/>
      <c r="AH100" s="19"/>
    </row>
    <row r="101" spans="1:34" outlineLevel="1" x14ac:dyDescent="0.2">
      <c r="A101" s="19"/>
      <c r="B101" s="19"/>
      <c r="C101" s="167" t="s">
        <v>137</v>
      </c>
      <c r="D101" s="20"/>
      <c r="E101" s="20"/>
      <c r="F101" s="22"/>
      <c r="G101" s="22"/>
      <c r="H101" s="22"/>
      <c r="I101" s="22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9"/>
      <c r="AF101" s="19"/>
      <c r="AG101" s="19"/>
      <c r="AH101" s="19"/>
    </row>
    <row r="102" spans="1:34" outlineLevel="2" x14ac:dyDescent="0.2">
      <c r="A102" s="19"/>
      <c r="B102" s="19"/>
      <c r="C102" s="506">
        <f t="shared" ref="C102:D121" si="5">C80</f>
        <v>0</v>
      </c>
      <c r="D102" s="505">
        <f t="shared" si="5"/>
        <v>0</v>
      </c>
      <c r="E102" s="472">
        <f t="shared" ref="E102:F121" si="6">E33</f>
        <v>0</v>
      </c>
      <c r="F102" s="472">
        <f t="shared" si="6"/>
        <v>0</v>
      </c>
      <c r="G102" s="22"/>
      <c r="H102" s="22"/>
      <c r="I102" s="22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7"/>
      <c r="AE102" s="19"/>
      <c r="AF102" s="19"/>
      <c r="AG102" s="19"/>
      <c r="AH102" s="19"/>
    </row>
    <row r="103" spans="1:34" s="59" customFormat="1" outlineLevel="2" x14ac:dyDescent="0.2">
      <c r="A103" s="57"/>
      <c r="B103" s="57"/>
      <c r="C103" s="506">
        <f t="shared" si="5"/>
        <v>0</v>
      </c>
      <c r="D103" s="505">
        <f t="shared" si="5"/>
        <v>0</v>
      </c>
      <c r="E103" s="472">
        <f t="shared" si="6"/>
        <v>0</v>
      </c>
      <c r="F103" s="472">
        <f t="shared" si="6"/>
        <v>0</v>
      </c>
      <c r="G103" s="58"/>
      <c r="H103" s="58"/>
      <c r="I103" s="58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6"/>
      <c r="AE103" s="57"/>
      <c r="AF103" s="57"/>
      <c r="AG103" s="57"/>
      <c r="AH103" s="57"/>
    </row>
    <row r="104" spans="1:34" outlineLevel="2" x14ac:dyDescent="0.2">
      <c r="A104" s="19"/>
      <c r="B104" s="19"/>
      <c r="C104" s="506">
        <f t="shared" si="5"/>
        <v>0</v>
      </c>
      <c r="D104" s="505">
        <f t="shared" si="5"/>
        <v>0</v>
      </c>
      <c r="E104" s="472">
        <f t="shared" si="6"/>
        <v>0</v>
      </c>
      <c r="F104" s="472">
        <f t="shared" si="6"/>
        <v>0</v>
      </c>
      <c r="G104" s="58"/>
      <c r="H104" s="58"/>
      <c r="I104" s="58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7"/>
      <c r="AE104" s="19"/>
      <c r="AF104" s="19"/>
      <c r="AG104" s="19"/>
      <c r="AH104" s="19"/>
    </row>
    <row r="105" spans="1:34" outlineLevel="2" x14ac:dyDescent="0.2">
      <c r="A105" s="19"/>
      <c r="B105" s="19"/>
      <c r="C105" s="506">
        <f t="shared" si="5"/>
        <v>0</v>
      </c>
      <c r="D105" s="505">
        <f t="shared" si="5"/>
        <v>0</v>
      </c>
      <c r="E105" s="472">
        <f t="shared" si="6"/>
        <v>0</v>
      </c>
      <c r="F105" s="472">
        <f t="shared" si="6"/>
        <v>0</v>
      </c>
      <c r="G105" s="58"/>
      <c r="H105" s="58"/>
      <c r="I105" s="58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7"/>
      <c r="AE105" s="19"/>
      <c r="AF105" s="19"/>
      <c r="AG105" s="19"/>
      <c r="AH105" s="19"/>
    </row>
    <row r="106" spans="1:34" outlineLevel="2" x14ac:dyDescent="0.2">
      <c r="A106" s="19"/>
      <c r="B106" s="19"/>
      <c r="C106" s="506">
        <f t="shared" si="5"/>
        <v>0</v>
      </c>
      <c r="D106" s="505">
        <f t="shared" si="5"/>
        <v>0</v>
      </c>
      <c r="E106" s="472">
        <f t="shared" si="6"/>
        <v>0</v>
      </c>
      <c r="F106" s="472">
        <f t="shared" si="6"/>
        <v>0</v>
      </c>
      <c r="G106" s="58"/>
      <c r="H106" s="58"/>
      <c r="I106" s="58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7"/>
      <c r="AE106" s="19"/>
      <c r="AF106" s="19"/>
      <c r="AG106" s="19"/>
      <c r="AH106" s="19"/>
    </row>
    <row r="107" spans="1:34" outlineLevel="2" x14ac:dyDescent="0.2">
      <c r="A107" s="19"/>
      <c r="B107" s="19"/>
      <c r="C107" s="506">
        <f t="shared" si="5"/>
        <v>0</v>
      </c>
      <c r="D107" s="505">
        <f t="shared" si="5"/>
        <v>0</v>
      </c>
      <c r="E107" s="472">
        <f t="shared" si="6"/>
        <v>0</v>
      </c>
      <c r="F107" s="472">
        <f t="shared" si="6"/>
        <v>0</v>
      </c>
      <c r="G107" s="58"/>
      <c r="H107" s="58"/>
      <c r="I107" s="58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7"/>
      <c r="AE107" s="19"/>
      <c r="AF107" s="19"/>
      <c r="AG107" s="19"/>
      <c r="AH107" s="19"/>
    </row>
    <row r="108" spans="1:34" outlineLevel="2" x14ac:dyDescent="0.2">
      <c r="A108" s="19"/>
      <c r="B108" s="19"/>
      <c r="C108" s="506">
        <f t="shared" si="5"/>
        <v>0</v>
      </c>
      <c r="D108" s="505">
        <f t="shared" si="5"/>
        <v>0</v>
      </c>
      <c r="E108" s="472">
        <f t="shared" si="6"/>
        <v>0</v>
      </c>
      <c r="F108" s="472">
        <f t="shared" si="6"/>
        <v>0</v>
      </c>
      <c r="G108" s="58"/>
      <c r="H108" s="58"/>
      <c r="I108" s="58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7"/>
      <c r="AE108" s="19"/>
      <c r="AF108" s="19"/>
      <c r="AG108" s="19"/>
      <c r="AH108" s="19"/>
    </row>
    <row r="109" spans="1:34" outlineLevel="2" x14ac:dyDescent="0.2">
      <c r="A109" s="19"/>
      <c r="B109" s="19"/>
      <c r="C109" s="506">
        <f t="shared" si="5"/>
        <v>0</v>
      </c>
      <c r="D109" s="505">
        <f t="shared" si="5"/>
        <v>0</v>
      </c>
      <c r="E109" s="472">
        <f t="shared" si="6"/>
        <v>0</v>
      </c>
      <c r="F109" s="472">
        <f t="shared" si="6"/>
        <v>0</v>
      </c>
      <c r="G109" s="58"/>
      <c r="H109" s="58"/>
      <c r="I109" s="58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7"/>
      <c r="AE109" s="19"/>
      <c r="AF109" s="19"/>
      <c r="AG109" s="19"/>
      <c r="AH109" s="19"/>
    </row>
    <row r="110" spans="1:34" outlineLevel="2" x14ac:dyDescent="0.2">
      <c r="A110" s="19"/>
      <c r="B110" s="19"/>
      <c r="C110" s="506">
        <f t="shared" si="5"/>
        <v>0</v>
      </c>
      <c r="D110" s="505">
        <f t="shared" si="5"/>
        <v>0</v>
      </c>
      <c r="E110" s="472">
        <f t="shared" si="6"/>
        <v>0</v>
      </c>
      <c r="F110" s="472">
        <f t="shared" si="6"/>
        <v>0</v>
      </c>
      <c r="G110" s="58"/>
      <c r="H110" s="58"/>
      <c r="I110" s="58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7"/>
      <c r="AE110" s="19"/>
      <c r="AF110" s="19"/>
      <c r="AG110" s="19"/>
      <c r="AH110" s="19"/>
    </row>
    <row r="111" spans="1:34" outlineLevel="2" x14ac:dyDescent="0.2">
      <c r="A111" s="19"/>
      <c r="B111" s="19"/>
      <c r="C111" s="506">
        <f t="shared" si="5"/>
        <v>0</v>
      </c>
      <c r="D111" s="505">
        <f t="shared" si="5"/>
        <v>0</v>
      </c>
      <c r="E111" s="472">
        <f t="shared" si="6"/>
        <v>0</v>
      </c>
      <c r="F111" s="472">
        <f t="shared" si="6"/>
        <v>0</v>
      </c>
      <c r="G111" s="58"/>
      <c r="H111" s="58"/>
      <c r="I111" s="58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7"/>
      <c r="AE111" s="19"/>
      <c r="AF111" s="19"/>
      <c r="AG111" s="19"/>
      <c r="AH111" s="19"/>
    </row>
    <row r="112" spans="1:34" outlineLevel="2" x14ac:dyDescent="0.2">
      <c r="A112" s="19"/>
      <c r="B112" s="19"/>
      <c r="C112" s="506">
        <f t="shared" si="5"/>
        <v>0</v>
      </c>
      <c r="D112" s="505">
        <f t="shared" si="5"/>
        <v>0</v>
      </c>
      <c r="E112" s="472">
        <f t="shared" si="6"/>
        <v>0</v>
      </c>
      <c r="F112" s="472">
        <f t="shared" si="6"/>
        <v>0</v>
      </c>
      <c r="G112" s="58"/>
      <c r="H112" s="58"/>
      <c r="I112" s="58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7"/>
      <c r="AE112" s="19"/>
      <c r="AF112" s="19"/>
      <c r="AG112" s="19"/>
      <c r="AH112" s="19"/>
    </row>
    <row r="113" spans="1:34" outlineLevel="2" x14ac:dyDescent="0.2">
      <c r="A113" s="19"/>
      <c r="B113" s="19"/>
      <c r="C113" s="506">
        <f t="shared" si="5"/>
        <v>0</v>
      </c>
      <c r="D113" s="505">
        <f t="shared" si="5"/>
        <v>0</v>
      </c>
      <c r="E113" s="472">
        <f t="shared" si="6"/>
        <v>0</v>
      </c>
      <c r="F113" s="472">
        <f t="shared" si="6"/>
        <v>0</v>
      </c>
      <c r="G113" s="58"/>
      <c r="H113" s="58"/>
      <c r="I113" s="58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7"/>
      <c r="AE113" s="19"/>
      <c r="AF113" s="19"/>
      <c r="AG113" s="19"/>
      <c r="AH113" s="19"/>
    </row>
    <row r="114" spans="1:34" outlineLevel="2" x14ac:dyDescent="0.2">
      <c r="A114" s="19"/>
      <c r="B114" s="19"/>
      <c r="C114" s="506">
        <f t="shared" si="5"/>
        <v>0</v>
      </c>
      <c r="D114" s="505">
        <f t="shared" si="5"/>
        <v>0</v>
      </c>
      <c r="E114" s="472">
        <f t="shared" si="6"/>
        <v>0</v>
      </c>
      <c r="F114" s="472">
        <f t="shared" si="6"/>
        <v>0</v>
      </c>
      <c r="G114" s="58"/>
      <c r="H114" s="58"/>
      <c r="I114" s="58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7"/>
      <c r="AE114" s="19"/>
      <c r="AF114" s="19"/>
      <c r="AG114" s="19"/>
      <c r="AH114" s="19"/>
    </row>
    <row r="115" spans="1:34" outlineLevel="2" x14ac:dyDescent="0.2">
      <c r="A115" s="19"/>
      <c r="B115" s="19"/>
      <c r="C115" s="506">
        <f t="shared" si="5"/>
        <v>0</v>
      </c>
      <c r="D115" s="505">
        <f t="shared" si="5"/>
        <v>0</v>
      </c>
      <c r="E115" s="472">
        <f t="shared" si="6"/>
        <v>0</v>
      </c>
      <c r="F115" s="472">
        <f t="shared" si="6"/>
        <v>0</v>
      </c>
      <c r="G115" s="58"/>
      <c r="H115" s="58"/>
      <c r="I115" s="58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7"/>
      <c r="AE115" s="19"/>
      <c r="AF115" s="19"/>
      <c r="AG115" s="19"/>
      <c r="AH115" s="19"/>
    </row>
    <row r="116" spans="1:34" outlineLevel="2" x14ac:dyDescent="0.2">
      <c r="A116" s="19"/>
      <c r="B116" s="19"/>
      <c r="C116" s="506">
        <f t="shared" si="5"/>
        <v>0</v>
      </c>
      <c r="D116" s="505">
        <f t="shared" si="5"/>
        <v>0</v>
      </c>
      <c r="E116" s="472">
        <f t="shared" si="6"/>
        <v>0</v>
      </c>
      <c r="F116" s="472">
        <f t="shared" si="6"/>
        <v>0</v>
      </c>
      <c r="G116" s="58"/>
      <c r="H116" s="58"/>
      <c r="I116" s="58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7"/>
      <c r="AE116" s="19"/>
      <c r="AF116" s="19"/>
      <c r="AG116" s="19"/>
      <c r="AH116" s="19"/>
    </row>
    <row r="117" spans="1:34" outlineLevel="2" x14ac:dyDescent="0.2">
      <c r="A117" s="19"/>
      <c r="B117" s="19"/>
      <c r="C117" s="506">
        <f t="shared" si="5"/>
        <v>0</v>
      </c>
      <c r="D117" s="505">
        <f t="shared" si="5"/>
        <v>0</v>
      </c>
      <c r="E117" s="472">
        <f t="shared" si="6"/>
        <v>0</v>
      </c>
      <c r="F117" s="472">
        <f t="shared" si="6"/>
        <v>0</v>
      </c>
      <c r="G117" s="58"/>
      <c r="H117" s="58"/>
      <c r="I117" s="58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7"/>
      <c r="AE117" s="19"/>
      <c r="AF117" s="19"/>
      <c r="AG117" s="19"/>
      <c r="AH117" s="19"/>
    </row>
    <row r="118" spans="1:34" outlineLevel="2" x14ac:dyDescent="0.2">
      <c r="A118" s="19"/>
      <c r="B118" s="19"/>
      <c r="C118" s="506">
        <f t="shared" si="5"/>
        <v>0</v>
      </c>
      <c r="D118" s="505">
        <f t="shared" si="5"/>
        <v>0</v>
      </c>
      <c r="E118" s="472">
        <f t="shared" si="6"/>
        <v>0</v>
      </c>
      <c r="F118" s="472">
        <f t="shared" si="6"/>
        <v>0</v>
      </c>
      <c r="G118" s="58"/>
      <c r="H118" s="58"/>
      <c r="I118" s="58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7"/>
      <c r="AE118" s="19"/>
      <c r="AF118" s="19"/>
      <c r="AG118" s="19"/>
      <c r="AH118" s="19"/>
    </row>
    <row r="119" spans="1:34" outlineLevel="2" x14ac:dyDescent="0.2">
      <c r="A119" s="19"/>
      <c r="B119" s="19"/>
      <c r="C119" s="506">
        <f t="shared" si="5"/>
        <v>0</v>
      </c>
      <c r="D119" s="505">
        <f t="shared" si="5"/>
        <v>0</v>
      </c>
      <c r="E119" s="472">
        <f t="shared" si="6"/>
        <v>0</v>
      </c>
      <c r="F119" s="472">
        <f t="shared" si="6"/>
        <v>0</v>
      </c>
      <c r="G119" s="58"/>
      <c r="H119" s="58"/>
      <c r="I119" s="58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7"/>
      <c r="AE119" s="19"/>
      <c r="AF119" s="19"/>
      <c r="AG119" s="19"/>
      <c r="AH119" s="19"/>
    </row>
    <row r="120" spans="1:34" outlineLevel="2" x14ac:dyDescent="0.2">
      <c r="A120" s="19"/>
      <c r="B120" s="19"/>
      <c r="C120" s="506">
        <f t="shared" si="5"/>
        <v>0</v>
      </c>
      <c r="D120" s="505">
        <f t="shared" si="5"/>
        <v>0</v>
      </c>
      <c r="E120" s="472">
        <f t="shared" si="6"/>
        <v>0</v>
      </c>
      <c r="F120" s="472">
        <f t="shared" si="6"/>
        <v>0</v>
      </c>
      <c r="G120" s="58"/>
      <c r="H120" s="58"/>
      <c r="I120" s="58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7"/>
      <c r="AE120" s="19"/>
      <c r="AF120" s="19"/>
      <c r="AG120" s="19"/>
      <c r="AH120" s="19"/>
    </row>
    <row r="121" spans="1:34" outlineLevel="2" x14ac:dyDescent="0.2">
      <c r="A121" s="19"/>
      <c r="B121" s="19"/>
      <c r="C121" s="506">
        <f t="shared" si="5"/>
        <v>0</v>
      </c>
      <c r="D121" s="505">
        <f t="shared" si="5"/>
        <v>0</v>
      </c>
      <c r="E121" s="472">
        <f t="shared" si="6"/>
        <v>0</v>
      </c>
      <c r="F121" s="472">
        <f t="shared" si="6"/>
        <v>0</v>
      </c>
      <c r="G121" s="58"/>
      <c r="H121" s="58"/>
      <c r="I121" s="58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7"/>
      <c r="AE121" s="19"/>
      <c r="AF121" s="19"/>
      <c r="AG121" s="19"/>
      <c r="AH121" s="19"/>
    </row>
    <row r="122" spans="1:34" outlineLevel="1" x14ac:dyDescent="0.2">
      <c r="A122" s="19"/>
      <c r="B122" s="19"/>
      <c r="C122" s="66"/>
      <c r="D122" s="66"/>
      <c r="E122" s="58"/>
      <c r="F122" s="58"/>
      <c r="G122" s="58"/>
      <c r="H122" s="58"/>
      <c r="I122" s="58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7"/>
      <c r="AE122" s="19"/>
      <c r="AF122" s="19"/>
      <c r="AG122" s="19"/>
      <c r="AH122" s="19"/>
    </row>
    <row r="123" spans="1:34" outlineLevel="1" x14ac:dyDescent="0.2">
      <c r="A123" s="19"/>
      <c r="B123" s="19"/>
      <c r="C123" s="167" t="s">
        <v>138</v>
      </c>
      <c r="D123" s="20"/>
      <c r="E123" s="20"/>
      <c r="F123" s="22"/>
      <c r="G123" s="22"/>
      <c r="H123" s="22"/>
      <c r="I123" s="22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9"/>
      <c r="AF123" s="19"/>
      <c r="AG123" s="19"/>
      <c r="AH123" s="19"/>
    </row>
    <row r="124" spans="1:34" outlineLevel="2" x14ac:dyDescent="0.2">
      <c r="A124" s="19"/>
      <c r="B124" s="19"/>
      <c r="C124" s="506">
        <f t="shared" ref="C124:D143" si="7">C102</f>
        <v>0</v>
      </c>
      <c r="D124" s="505">
        <f t="shared" si="7"/>
        <v>0</v>
      </c>
      <c r="E124" s="472">
        <f t="shared" ref="E124:F143" si="8">E33</f>
        <v>0</v>
      </c>
      <c r="F124" s="472">
        <f t="shared" si="8"/>
        <v>0</v>
      </c>
      <c r="G124" s="22"/>
      <c r="H124" s="22"/>
      <c r="I124" s="22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7"/>
      <c r="AE124" s="19"/>
      <c r="AF124" s="19"/>
      <c r="AG124" s="19"/>
      <c r="AH124" s="19"/>
    </row>
    <row r="125" spans="1:34" s="59" customFormat="1" outlineLevel="2" x14ac:dyDescent="0.2">
      <c r="A125" s="57"/>
      <c r="B125" s="57"/>
      <c r="C125" s="506">
        <f t="shared" si="7"/>
        <v>0</v>
      </c>
      <c r="D125" s="505">
        <f t="shared" si="7"/>
        <v>0</v>
      </c>
      <c r="E125" s="472">
        <f t="shared" si="8"/>
        <v>0</v>
      </c>
      <c r="F125" s="472">
        <f t="shared" si="8"/>
        <v>0</v>
      </c>
      <c r="G125" s="58"/>
      <c r="H125" s="58"/>
      <c r="I125" s="58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6"/>
      <c r="AE125" s="57"/>
      <c r="AF125" s="57"/>
      <c r="AG125" s="57"/>
      <c r="AH125" s="57"/>
    </row>
    <row r="126" spans="1:34" outlineLevel="2" x14ac:dyDescent="0.2">
      <c r="A126" s="19"/>
      <c r="B126" s="19"/>
      <c r="C126" s="506">
        <f t="shared" si="7"/>
        <v>0</v>
      </c>
      <c r="D126" s="505">
        <f t="shared" si="7"/>
        <v>0</v>
      </c>
      <c r="E126" s="472">
        <f t="shared" si="8"/>
        <v>0</v>
      </c>
      <c r="F126" s="472">
        <f t="shared" si="8"/>
        <v>0</v>
      </c>
      <c r="G126" s="58"/>
      <c r="H126" s="58"/>
      <c r="I126" s="58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7"/>
      <c r="AE126" s="19"/>
      <c r="AF126" s="19"/>
      <c r="AG126" s="19"/>
      <c r="AH126" s="19"/>
    </row>
    <row r="127" spans="1:34" outlineLevel="2" x14ac:dyDescent="0.2">
      <c r="A127" s="19"/>
      <c r="B127" s="19"/>
      <c r="C127" s="506">
        <f t="shared" si="7"/>
        <v>0</v>
      </c>
      <c r="D127" s="505">
        <f t="shared" si="7"/>
        <v>0</v>
      </c>
      <c r="E127" s="472">
        <f t="shared" si="8"/>
        <v>0</v>
      </c>
      <c r="F127" s="472">
        <f t="shared" si="8"/>
        <v>0</v>
      </c>
      <c r="G127" s="58"/>
      <c r="H127" s="58"/>
      <c r="I127" s="58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7"/>
      <c r="AE127" s="19"/>
      <c r="AF127" s="19"/>
      <c r="AG127" s="19"/>
      <c r="AH127" s="19"/>
    </row>
    <row r="128" spans="1:34" outlineLevel="2" x14ac:dyDescent="0.2">
      <c r="A128" s="19"/>
      <c r="B128" s="19"/>
      <c r="C128" s="506">
        <f t="shared" si="7"/>
        <v>0</v>
      </c>
      <c r="D128" s="505">
        <f t="shared" si="7"/>
        <v>0</v>
      </c>
      <c r="E128" s="472">
        <f t="shared" si="8"/>
        <v>0</v>
      </c>
      <c r="F128" s="472">
        <f t="shared" si="8"/>
        <v>0</v>
      </c>
      <c r="G128" s="58"/>
      <c r="H128" s="58"/>
      <c r="I128" s="58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7"/>
      <c r="AE128" s="19"/>
      <c r="AF128" s="19"/>
      <c r="AG128" s="19"/>
      <c r="AH128" s="19"/>
    </row>
    <row r="129" spans="1:34" outlineLevel="2" x14ac:dyDescent="0.2">
      <c r="A129" s="19"/>
      <c r="B129" s="19"/>
      <c r="C129" s="506">
        <f t="shared" si="7"/>
        <v>0</v>
      </c>
      <c r="D129" s="505">
        <f t="shared" si="7"/>
        <v>0</v>
      </c>
      <c r="E129" s="472">
        <f t="shared" si="8"/>
        <v>0</v>
      </c>
      <c r="F129" s="472">
        <f t="shared" si="8"/>
        <v>0</v>
      </c>
      <c r="G129" s="58"/>
      <c r="H129" s="58"/>
      <c r="I129" s="58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7"/>
      <c r="AE129" s="19"/>
      <c r="AF129" s="19"/>
      <c r="AG129" s="19"/>
      <c r="AH129" s="19"/>
    </row>
    <row r="130" spans="1:34" outlineLevel="2" x14ac:dyDescent="0.2">
      <c r="A130" s="19"/>
      <c r="B130" s="19"/>
      <c r="C130" s="506">
        <f t="shared" si="7"/>
        <v>0</v>
      </c>
      <c r="D130" s="505">
        <f t="shared" si="7"/>
        <v>0</v>
      </c>
      <c r="E130" s="472">
        <f t="shared" si="8"/>
        <v>0</v>
      </c>
      <c r="F130" s="472">
        <f t="shared" si="8"/>
        <v>0</v>
      </c>
      <c r="G130" s="58"/>
      <c r="H130" s="58"/>
      <c r="I130" s="58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7"/>
      <c r="AE130" s="19"/>
      <c r="AF130" s="19"/>
      <c r="AG130" s="19"/>
      <c r="AH130" s="19"/>
    </row>
    <row r="131" spans="1:34" outlineLevel="2" x14ac:dyDescent="0.2">
      <c r="A131" s="19"/>
      <c r="B131" s="19"/>
      <c r="C131" s="506">
        <f t="shared" si="7"/>
        <v>0</v>
      </c>
      <c r="D131" s="505">
        <f t="shared" si="7"/>
        <v>0</v>
      </c>
      <c r="E131" s="472">
        <f t="shared" si="8"/>
        <v>0</v>
      </c>
      <c r="F131" s="472">
        <f t="shared" si="8"/>
        <v>0</v>
      </c>
      <c r="G131" s="58"/>
      <c r="H131" s="58"/>
      <c r="I131" s="58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7"/>
      <c r="AE131" s="19"/>
      <c r="AF131" s="19"/>
      <c r="AG131" s="19"/>
      <c r="AH131" s="19"/>
    </row>
    <row r="132" spans="1:34" outlineLevel="2" x14ac:dyDescent="0.2">
      <c r="A132" s="19"/>
      <c r="B132" s="19"/>
      <c r="C132" s="506">
        <f t="shared" si="7"/>
        <v>0</v>
      </c>
      <c r="D132" s="505">
        <f t="shared" si="7"/>
        <v>0</v>
      </c>
      <c r="E132" s="472">
        <f t="shared" si="8"/>
        <v>0</v>
      </c>
      <c r="F132" s="472">
        <f t="shared" si="8"/>
        <v>0</v>
      </c>
      <c r="G132" s="58"/>
      <c r="H132" s="58"/>
      <c r="I132" s="58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7"/>
      <c r="AE132" s="19"/>
      <c r="AF132" s="19"/>
      <c r="AG132" s="19"/>
      <c r="AH132" s="19"/>
    </row>
    <row r="133" spans="1:34" outlineLevel="2" x14ac:dyDescent="0.2">
      <c r="A133" s="19"/>
      <c r="B133" s="19"/>
      <c r="C133" s="506">
        <f t="shared" si="7"/>
        <v>0</v>
      </c>
      <c r="D133" s="505">
        <f t="shared" si="7"/>
        <v>0</v>
      </c>
      <c r="E133" s="472">
        <f t="shared" si="8"/>
        <v>0</v>
      </c>
      <c r="F133" s="472">
        <f t="shared" si="8"/>
        <v>0</v>
      </c>
      <c r="G133" s="58"/>
      <c r="H133" s="58"/>
      <c r="I133" s="58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7"/>
      <c r="AE133" s="19"/>
      <c r="AF133" s="19"/>
      <c r="AG133" s="19"/>
      <c r="AH133" s="19"/>
    </row>
    <row r="134" spans="1:34" outlineLevel="2" x14ac:dyDescent="0.2">
      <c r="A134" s="19"/>
      <c r="B134" s="19"/>
      <c r="C134" s="506">
        <f t="shared" si="7"/>
        <v>0</v>
      </c>
      <c r="D134" s="505">
        <f t="shared" si="7"/>
        <v>0</v>
      </c>
      <c r="E134" s="472">
        <f t="shared" si="8"/>
        <v>0</v>
      </c>
      <c r="F134" s="472">
        <f t="shared" si="8"/>
        <v>0</v>
      </c>
      <c r="G134" s="58"/>
      <c r="H134" s="58"/>
      <c r="I134" s="58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7"/>
      <c r="AE134" s="19"/>
      <c r="AF134" s="19"/>
      <c r="AG134" s="19"/>
      <c r="AH134" s="19"/>
    </row>
    <row r="135" spans="1:34" outlineLevel="2" x14ac:dyDescent="0.2">
      <c r="A135" s="19"/>
      <c r="B135" s="19"/>
      <c r="C135" s="506">
        <f t="shared" si="7"/>
        <v>0</v>
      </c>
      <c r="D135" s="505">
        <f t="shared" si="7"/>
        <v>0</v>
      </c>
      <c r="E135" s="472">
        <f t="shared" si="8"/>
        <v>0</v>
      </c>
      <c r="F135" s="472">
        <f t="shared" si="8"/>
        <v>0</v>
      </c>
      <c r="G135" s="58"/>
      <c r="H135" s="58"/>
      <c r="I135" s="58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5"/>
      <c r="AD135" s="187"/>
      <c r="AE135" s="19"/>
      <c r="AF135" s="19"/>
      <c r="AG135" s="19"/>
      <c r="AH135" s="19"/>
    </row>
    <row r="136" spans="1:34" outlineLevel="2" x14ac:dyDescent="0.2">
      <c r="A136" s="19"/>
      <c r="B136" s="19"/>
      <c r="C136" s="506">
        <f t="shared" si="7"/>
        <v>0</v>
      </c>
      <c r="D136" s="505">
        <f t="shared" si="7"/>
        <v>0</v>
      </c>
      <c r="E136" s="472">
        <f t="shared" si="8"/>
        <v>0</v>
      </c>
      <c r="F136" s="472">
        <f t="shared" si="8"/>
        <v>0</v>
      </c>
      <c r="G136" s="58"/>
      <c r="H136" s="58"/>
      <c r="I136" s="58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7"/>
      <c r="AE136" s="19"/>
      <c r="AF136" s="19"/>
      <c r="AG136" s="19"/>
      <c r="AH136" s="19"/>
    </row>
    <row r="137" spans="1:34" outlineLevel="2" x14ac:dyDescent="0.2">
      <c r="A137" s="19"/>
      <c r="B137" s="19"/>
      <c r="C137" s="506">
        <f t="shared" si="7"/>
        <v>0</v>
      </c>
      <c r="D137" s="505">
        <f t="shared" si="7"/>
        <v>0</v>
      </c>
      <c r="E137" s="472">
        <f t="shared" si="8"/>
        <v>0</v>
      </c>
      <c r="F137" s="472">
        <f t="shared" si="8"/>
        <v>0</v>
      </c>
      <c r="G137" s="58"/>
      <c r="H137" s="58"/>
      <c r="I137" s="58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7"/>
      <c r="AE137" s="19"/>
      <c r="AF137" s="19"/>
      <c r="AG137" s="19"/>
      <c r="AH137" s="19"/>
    </row>
    <row r="138" spans="1:34" outlineLevel="2" x14ac:dyDescent="0.2">
      <c r="A138" s="19"/>
      <c r="B138" s="19"/>
      <c r="C138" s="506">
        <f t="shared" si="7"/>
        <v>0</v>
      </c>
      <c r="D138" s="505">
        <f t="shared" si="7"/>
        <v>0</v>
      </c>
      <c r="E138" s="472">
        <f t="shared" si="8"/>
        <v>0</v>
      </c>
      <c r="F138" s="472">
        <f t="shared" si="8"/>
        <v>0</v>
      </c>
      <c r="G138" s="58"/>
      <c r="H138" s="58"/>
      <c r="I138" s="58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7"/>
      <c r="AE138" s="19"/>
      <c r="AF138" s="19"/>
      <c r="AG138" s="19"/>
      <c r="AH138" s="19"/>
    </row>
    <row r="139" spans="1:34" outlineLevel="2" x14ac:dyDescent="0.2">
      <c r="A139" s="19"/>
      <c r="B139" s="19"/>
      <c r="C139" s="506">
        <f t="shared" si="7"/>
        <v>0</v>
      </c>
      <c r="D139" s="505">
        <f t="shared" si="7"/>
        <v>0</v>
      </c>
      <c r="E139" s="472">
        <f t="shared" si="8"/>
        <v>0</v>
      </c>
      <c r="F139" s="472">
        <f t="shared" si="8"/>
        <v>0</v>
      </c>
      <c r="G139" s="58"/>
      <c r="H139" s="58"/>
      <c r="I139" s="58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7"/>
      <c r="AE139" s="19"/>
      <c r="AF139" s="19"/>
      <c r="AG139" s="19"/>
      <c r="AH139" s="19"/>
    </row>
    <row r="140" spans="1:34" outlineLevel="2" x14ac:dyDescent="0.2">
      <c r="A140" s="19"/>
      <c r="B140" s="19"/>
      <c r="C140" s="506">
        <f t="shared" si="7"/>
        <v>0</v>
      </c>
      <c r="D140" s="505">
        <f t="shared" si="7"/>
        <v>0</v>
      </c>
      <c r="E140" s="472">
        <f t="shared" si="8"/>
        <v>0</v>
      </c>
      <c r="F140" s="472">
        <f t="shared" si="8"/>
        <v>0</v>
      </c>
      <c r="G140" s="58"/>
      <c r="H140" s="58"/>
      <c r="I140" s="58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7"/>
      <c r="AE140" s="19"/>
      <c r="AF140" s="19"/>
      <c r="AG140" s="19"/>
      <c r="AH140" s="19"/>
    </row>
    <row r="141" spans="1:34" outlineLevel="2" x14ac:dyDescent="0.2">
      <c r="A141" s="19"/>
      <c r="B141" s="19"/>
      <c r="C141" s="506">
        <f t="shared" si="7"/>
        <v>0</v>
      </c>
      <c r="D141" s="505">
        <f t="shared" si="7"/>
        <v>0</v>
      </c>
      <c r="E141" s="472">
        <f t="shared" si="8"/>
        <v>0</v>
      </c>
      <c r="F141" s="472">
        <f t="shared" si="8"/>
        <v>0</v>
      </c>
      <c r="G141" s="58"/>
      <c r="H141" s="58"/>
      <c r="I141" s="58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7"/>
      <c r="AE141" s="19"/>
      <c r="AF141" s="19"/>
      <c r="AG141" s="19"/>
      <c r="AH141" s="19"/>
    </row>
    <row r="142" spans="1:34" outlineLevel="2" x14ac:dyDescent="0.2">
      <c r="A142" s="19"/>
      <c r="B142" s="19"/>
      <c r="C142" s="506">
        <f t="shared" si="7"/>
        <v>0</v>
      </c>
      <c r="D142" s="505">
        <f t="shared" si="7"/>
        <v>0</v>
      </c>
      <c r="E142" s="472">
        <f t="shared" si="8"/>
        <v>0</v>
      </c>
      <c r="F142" s="472">
        <f t="shared" si="8"/>
        <v>0</v>
      </c>
      <c r="G142" s="58"/>
      <c r="H142" s="58"/>
      <c r="I142" s="58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7"/>
      <c r="AE142" s="19"/>
      <c r="AF142" s="19"/>
      <c r="AG142" s="19"/>
      <c r="AH142" s="19"/>
    </row>
    <row r="143" spans="1:34" outlineLevel="2" x14ac:dyDescent="0.2">
      <c r="A143" s="19"/>
      <c r="B143" s="19"/>
      <c r="C143" s="506">
        <f t="shared" si="7"/>
        <v>0</v>
      </c>
      <c r="D143" s="505">
        <f t="shared" si="7"/>
        <v>0</v>
      </c>
      <c r="E143" s="472">
        <f t="shared" si="8"/>
        <v>0</v>
      </c>
      <c r="F143" s="472">
        <f t="shared" si="8"/>
        <v>0</v>
      </c>
      <c r="G143" s="58"/>
      <c r="H143" s="58"/>
      <c r="I143" s="58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7"/>
      <c r="AE143" s="19"/>
      <c r="AF143" s="19"/>
      <c r="AG143" s="19"/>
      <c r="AH143" s="19"/>
    </row>
    <row r="144" spans="1:34" outlineLevel="1" x14ac:dyDescent="0.2">
      <c r="A144" s="19"/>
      <c r="B144" s="19"/>
      <c r="C144" s="66"/>
      <c r="D144" s="66"/>
      <c r="E144" s="58"/>
      <c r="F144" s="58"/>
      <c r="G144" s="58"/>
      <c r="H144" s="58"/>
      <c r="I144" s="58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7"/>
      <c r="AE144" s="19"/>
      <c r="AF144" s="19"/>
      <c r="AG144" s="19"/>
      <c r="AH144" s="19"/>
    </row>
    <row r="145" spans="1:34" x14ac:dyDescent="0.2">
      <c r="A145" s="19"/>
      <c r="B145" s="19"/>
      <c r="C145" s="66"/>
      <c r="D145" s="66"/>
      <c r="E145" s="58"/>
      <c r="F145" s="58"/>
      <c r="G145" s="58"/>
      <c r="H145" s="58"/>
      <c r="I145" s="58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0"/>
      <c r="AE145" s="19"/>
      <c r="AF145" s="19"/>
      <c r="AG145" s="19"/>
      <c r="AH145" s="19"/>
    </row>
    <row r="146" spans="1:34" ht="12.75" x14ac:dyDescent="0.2">
      <c r="A146" s="11"/>
      <c r="B146" s="12" t="str">
        <f>"Input table 31 | Historical trial tariffs "&amp;previousyear</f>
        <v>Input table 31 | Historical trial tariffs 2020–21</v>
      </c>
      <c r="C146" s="11"/>
      <c r="D146" s="32" t="s">
        <v>199</v>
      </c>
      <c r="E146" s="32" t="str">
        <f>tariffid1</f>
        <v>Code</v>
      </c>
      <c r="F146" s="33" t="str">
        <f>tariffid2</f>
        <v>Trans. Node</v>
      </c>
      <c r="G146" s="33"/>
      <c r="H146" s="33"/>
      <c r="I146" s="33"/>
      <c r="J146" s="169" t="str">
        <f>J77</f>
        <v>Service</v>
      </c>
      <c r="K146" s="169" t="str">
        <f t="shared" ref="K146:AC146" si="9">K77</f>
        <v>All energy</v>
      </c>
      <c r="L146" s="169" t="str">
        <f t="shared" si="9"/>
        <v>Peak energy</v>
      </c>
      <c r="M146" s="169" t="str">
        <f t="shared" si="9"/>
        <v>Shoulder energy</v>
      </c>
      <c r="N146" s="169" t="str">
        <f t="shared" si="9"/>
        <v>Off-peak energy</v>
      </c>
      <c r="O146" s="169" t="str">
        <f t="shared" si="9"/>
        <v>All demand</v>
      </c>
      <c r="P146" s="169" t="str">
        <f t="shared" si="9"/>
        <v>Peak demand</v>
      </c>
      <c r="Q146" s="169" t="str">
        <f t="shared" si="9"/>
        <v>Off-peak demand</v>
      </c>
      <c r="R146" s="169" t="str">
        <f t="shared" si="9"/>
        <v>Specified demand</v>
      </c>
      <c r="S146" s="169" t="str">
        <f t="shared" si="9"/>
        <v>Excess daily demand</v>
      </c>
      <c r="T146" s="169" t="str">
        <f t="shared" si="9"/>
        <v>Daily demand connection</v>
      </c>
      <c r="U146" s="169" t="str">
        <f t="shared" si="9"/>
        <v>Excess daily demand connection</v>
      </c>
      <c r="V146" s="169" t="str">
        <f t="shared" si="9"/>
        <v>All demand (lamps)</v>
      </c>
      <c r="W146" s="169">
        <f t="shared" si="9"/>
        <v>0</v>
      </c>
      <c r="X146" s="169">
        <f t="shared" si="9"/>
        <v>0</v>
      </c>
      <c r="Y146" s="169">
        <f t="shared" si="9"/>
        <v>0</v>
      </c>
      <c r="Z146" s="169">
        <f t="shared" si="9"/>
        <v>0</v>
      </c>
      <c r="AA146" s="169">
        <f t="shared" si="9"/>
        <v>0</v>
      </c>
      <c r="AB146" s="169">
        <f t="shared" si="9"/>
        <v>0</v>
      </c>
      <c r="AC146" s="169">
        <f t="shared" si="9"/>
        <v>0</v>
      </c>
      <c r="AD146" s="64"/>
      <c r="AE146" s="15"/>
      <c r="AF146" s="15"/>
      <c r="AG146" s="15"/>
      <c r="AH146" s="15"/>
    </row>
    <row r="147" spans="1:34" outlineLevel="1" x14ac:dyDescent="0.2">
      <c r="A147" s="19"/>
      <c r="B147" s="19"/>
      <c r="C147" s="36"/>
      <c r="D147" s="20"/>
      <c r="E147" s="20"/>
      <c r="F147" s="22"/>
      <c r="G147" s="22"/>
      <c r="H147" s="22"/>
      <c r="I147" s="22"/>
      <c r="J147" s="170" t="str">
        <f>J78</f>
        <v>cents/day</v>
      </c>
      <c r="K147" s="170" t="str">
        <f t="shared" ref="K147:AC147" si="10">K78</f>
        <v>cents/kWh</v>
      </c>
      <c r="L147" s="170" t="str">
        <f t="shared" si="10"/>
        <v>cents/kWh</v>
      </c>
      <c r="M147" s="170" t="str">
        <f t="shared" si="10"/>
        <v>cents/kWh</v>
      </c>
      <c r="N147" s="170" t="str">
        <f t="shared" si="10"/>
        <v>cents/kWh</v>
      </c>
      <c r="O147" s="170" t="str">
        <f t="shared" si="10"/>
        <v>cents/kVA</v>
      </c>
      <c r="P147" s="170" t="str">
        <f t="shared" si="10"/>
        <v>cents/kVA</v>
      </c>
      <c r="Q147" s="170" t="str">
        <f t="shared" si="10"/>
        <v>cents/kVA</v>
      </c>
      <c r="R147" s="170" t="str">
        <f t="shared" si="10"/>
        <v>cents/kVA</v>
      </c>
      <c r="S147" s="170" t="str">
        <f t="shared" si="10"/>
        <v>cents/kVA</v>
      </c>
      <c r="T147" s="170" t="str">
        <f t="shared" si="10"/>
        <v>cents/kVA</v>
      </c>
      <c r="U147" s="170" t="str">
        <f t="shared" si="10"/>
        <v>cents/kVA</v>
      </c>
      <c r="V147" s="170" t="str">
        <f t="shared" si="10"/>
        <v>cents/LmpWtts/day</v>
      </c>
      <c r="W147" s="170">
        <f t="shared" si="10"/>
        <v>0</v>
      </c>
      <c r="X147" s="170">
        <f t="shared" si="10"/>
        <v>0</v>
      </c>
      <c r="Y147" s="170">
        <f t="shared" si="10"/>
        <v>0</v>
      </c>
      <c r="Z147" s="170">
        <f t="shared" si="10"/>
        <v>0</v>
      </c>
      <c r="AA147" s="170">
        <f t="shared" si="10"/>
        <v>0</v>
      </c>
      <c r="AB147" s="170">
        <f t="shared" si="10"/>
        <v>0</v>
      </c>
      <c r="AC147" s="170">
        <f t="shared" si="10"/>
        <v>0</v>
      </c>
      <c r="AD147" s="19"/>
      <c r="AE147" s="19"/>
      <c r="AF147" s="19"/>
      <c r="AG147" s="19"/>
      <c r="AH147" s="19"/>
    </row>
    <row r="148" spans="1:34" outlineLevel="1" x14ac:dyDescent="0.2">
      <c r="A148" s="19"/>
      <c r="B148" s="19"/>
      <c r="C148" s="167" t="s">
        <v>136</v>
      </c>
      <c r="D148" s="20"/>
      <c r="E148" s="20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19"/>
      <c r="AE148" s="19"/>
      <c r="AF148" s="19"/>
      <c r="AG148" s="19"/>
      <c r="AH148" s="19"/>
    </row>
    <row r="149" spans="1:34" outlineLevel="2" x14ac:dyDescent="0.2">
      <c r="A149" s="19"/>
      <c r="B149" s="19"/>
      <c r="C149" s="506">
        <f t="shared" ref="C149:F168" si="11">C33</f>
        <v>0</v>
      </c>
      <c r="D149" s="505">
        <f t="shared" si="11"/>
        <v>0</v>
      </c>
      <c r="E149" s="472">
        <f t="shared" si="11"/>
        <v>0</v>
      </c>
      <c r="F149" s="472">
        <f t="shared" si="11"/>
        <v>0</v>
      </c>
      <c r="G149" s="22"/>
      <c r="H149" s="22"/>
      <c r="I149" s="22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7"/>
      <c r="AE149" s="19"/>
      <c r="AF149" s="19"/>
      <c r="AG149" s="19"/>
      <c r="AH149" s="19"/>
    </row>
    <row r="150" spans="1:34" s="59" customFormat="1" outlineLevel="2" x14ac:dyDescent="0.2">
      <c r="A150" s="57"/>
      <c r="B150" s="57"/>
      <c r="C150" s="506">
        <f t="shared" si="11"/>
        <v>0</v>
      </c>
      <c r="D150" s="505">
        <f t="shared" si="11"/>
        <v>0</v>
      </c>
      <c r="E150" s="472">
        <f t="shared" si="11"/>
        <v>0</v>
      </c>
      <c r="F150" s="472">
        <f t="shared" si="11"/>
        <v>0</v>
      </c>
      <c r="G150" s="58"/>
      <c r="H150" s="58"/>
      <c r="I150" s="58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6"/>
      <c r="AE150" s="57"/>
      <c r="AF150" s="57"/>
      <c r="AG150" s="57"/>
      <c r="AH150" s="57"/>
    </row>
    <row r="151" spans="1:34" outlineLevel="2" x14ac:dyDescent="0.2">
      <c r="A151" s="19"/>
      <c r="B151" s="19"/>
      <c r="C151" s="506">
        <f t="shared" si="11"/>
        <v>0</v>
      </c>
      <c r="D151" s="505">
        <f t="shared" si="11"/>
        <v>0</v>
      </c>
      <c r="E151" s="472">
        <f t="shared" si="11"/>
        <v>0</v>
      </c>
      <c r="F151" s="472">
        <f t="shared" si="11"/>
        <v>0</v>
      </c>
      <c r="G151" s="58"/>
      <c r="H151" s="58"/>
      <c r="I151" s="58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7"/>
      <c r="AE151" s="19"/>
      <c r="AF151" s="19"/>
      <c r="AG151" s="19"/>
      <c r="AH151" s="19"/>
    </row>
    <row r="152" spans="1:34" outlineLevel="2" x14ac:dyDescent="0.2">
      <c r="A152" s="19"/>
      <c r="B152" s="19"/>
      <c r="C152" s="506">
        <f t="shared" si="11"/>
        <v>0</v>
      </c>
      <c r="D152" s="505">
        <f t="shared" si="11"/>
        <v>0</v>
      </c>
      <c r="E152" s="472">
        <f t="shared" si="11"/>
        <v>0</v>
      </c>
      <c r="F152" s="472">
        <f t="shared" si="11"/>
        <v>0</v>
      </c>
      <c r="G152" s="58"/>
      <c r="H152" s="58"/>
      <c r="I152" s="58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7"/>
      <c r="AE152" s="19"/>
      <c r="AF152" s="19"/>
      <c r="AG152" s="19"/>
      <c r="AH152" s="19"/>
    </row>
    <row r="153" spans="1:34" outlineLevel="2" x14ac:dyDescent="0.2">
      <c r="A153" s="19"/>
      <c r="B153" s="19"/>
      <c r="C153" s="506">
        <f t="shared" si="11"/>
        <v>0</v>
      </c>
      <c r="D153" s="505">
        <f t="shared" si="11"/>
        <v>0</v>
      </c>
      <c r="E153" s="472">
        <f t="shared" si="11"/>
        <v>0</v>
      </c>
      <c r="F153" s="472">
        <f t="shared" si="11"/>
        <v>0</v>
      </c>
      <c r="G153" s="58"/>
      <c r="H153" s="58"/>
      <c r="I153" s="58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7"/>
      <c r="AE153" s="19"/>
      <c r="AF153" s="19"/>
      <c r="AG153" s="19"/>
      <c r="AH153" s="19"/>
    </row>
    <row r="154" spans="1:34" outlineLevel="2" x14ac:dyDescent="0.2">
      <c r="A154" s="19"/>
      <c r="B154" s="19"/>
      <c r="C154" s="506">
        <f t="shared" si="11"/>
        <v>0</v>
      </c>
      <c r="D154" s="505">
        <f t="shared" si="11"/>
        <v>0</v>
      </c>
      <c r="E154" s="472">
        <f t="shared" si="11"/>
        <v>0</v>
      </c>
      <c r="F154" s="472">
        <f t="shared" si="11"/>
        <v>0</v>
      </c>
      <c r="G154" s="58"/>
      <c r="H154" s="58"/>
      <c r="I154" s="58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7"/>
      <c r="AE154" s="19"/>
      <c r="AF154" s="19"/>
      <c r="AG154" s="19"/>
      <c r="AH154" s="19"/>
    </row>
    <row r="155" spans="1:34" outlineLevel="2" x14ac:dyDescent="0.2">
      <c r="A155" s="19"/>
      <c r="B155" s="19"/>
      <c r="C155" s="506">
        <f t="shared" si="11"/>
        <v>0</v>
      </c>
      <c r="D155" s="505">
        <f t="shared" si="11"/>
        <v>0</v>
      </c>
      <c r="E155" s="472">
        <f t="shared" si="11"/>
        <v>0</v>
      </c>
      <c r="F155" s="472">
        <f t="shared" si="11"/>
        <v>0</v>
      </c>
      <c r="G155" s="58"/>
      <c r="H155" s="58"/>
      <c r="I155" s="58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7"/>
      <c r="AE155" s="19"/>
      <c r="AF155" s="19"/>
      <c r="AG155" s="19"/>
      <c r="AH155" s="19"/>
    </row>
    <row r="156" spans="1:34" outlineLevel="2" x14ac:dyDescent="0.2">
      <c r="A156" s="19"/>
      <c r="B156" s="19"/>
      <c r="C156" s="506">
        <f t="shared" si="11"/>
        <v>0</v>
      </c>
      <c r="D156" s="505">
        <f t="shared" si="11"/>
        <v>0</v>
      </c>
      <c r="E156" s="472">
        <f t="shared" si="11"/>
        <v>0</v>
      </c>
      <c r="F156" s="472">
        <f t="shared" si="11"/>
        <v>0</v>
      </c>
      <c r="G156" s="58"/>
      <c r="H156" s="58"/>
      <c r="I156" s="58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7"/>
      <c r="AE156" s="19"/>
      <c r="AF156" s="19"/>
      <c r="AG156" s="19"/>
      <c r="AH156" s="19"/>
    </row>
    <row r="157" spans="1:34" outlineLevel="2" x14ac:dyDescent="0.2">
      <c r="A157" s="19"/>
      <c r="B157" s="19"/>
      <c r="C157" s="506">
        <f t="shared" si="11"/>
        <v>0</v>
      </c>
      <c r="D157" s="505">
        <f t="shared" si="11"/>
        <v>0</v>
      </c>
      <c r="E157" s="472">
        <f t="shared" si="11"/>
        <v>0</v>
      </c>
      <c r="F157" s="472">
        <f t="shared" si="11"/>
        <v>0</v>
      </c>
      <c r="G157" s="58"/>
      <c r="H157" s="58"/>
      <c r="I157" s="58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7"/>
      <c r="AE157" s="19"/>
      <c r="AF157" s="19"/>
      <c r="AG157" s="19"/>
      <c r="AH157" s="19"/>
    </row>
    <row r="158" spans="1:34" outlineLevel="2" x14ac:dyDescent="0.2">
      <c r="A158" s="19"/>
      <c r="B158" s="19"/>
      <c r="C158" s="506">
        <f t="shared" si="11"/>
        <v>0</v>
      </c>
      <c r="D158" s="505">
        <f t="shared" si="11"/>
        <v>0</v>
      </c>
      <c r="E158" s="472">
        <f t="shared" si="11"/>
        <v>0</v>
      </c>
      <c r="F158" s="472">
        <f t="shared" si="11"/>
        <v>0</v>
      </c>
      <c r="G158" s="58"/>
      <c r="H158" s="58"/>
      <c r="I158" s="58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5"/>
      <c r="AD158" s="187"/>
      <c r="AE158" s="19"/>
      <c r="AF158" s="19"/>
      <c r="AG158" s="19"/>
      <c r="AH158" s="19"/>
    </row>
    <row r="159" spans="1:34" outlineLevel="2" x14ac:dyDescent="0.2">
      <c r="A159" s="19"/>
      <c r="B159" s="19"/>
      <c r="C159" s="506">
        <f t="shared" si="11"/>
        <v>0</v>
      </c>
      <c r="D159" s="505">
        <f t="shared" si="11"/>
        <v>0</v>
      </c>
      <c r="E159" s="472">
        <f t="shared" si="11"/>
        <v>0</v>
      </c>
      <c r="F159" s="472">
        <f t="shared" si="11"/>
        <v>0</v>
      </c>
      <c r="G159" s="58"/>
      <c r="H159" s="58"/>
      <c r="I159" s="58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7"/>
      <c r="AE159" s="19"/>
      <c r="AF159" s="19"/>
      <c r="AG159" s="19"/>
      <c r="AH159" s="19"/>
    </row>
    <row r="160" spans="1:34" outlineLevel="2" x14ac:dyDescent="0.2">
      <c r="A160" s="19"/>
      <c r="B160" s="19"/>
      <c r="C160" s="506">
        <f t="shared" si="11"/>
        <v>0</v>
      </c>
      <c r="D160" s="505">
        <f t="shared" si="11"/>
        <v>0</v>
      </c>
      <c r="E160" s="472">
        <f t="shared" si="11"/>
        <v>0</v>
      </c>
      <c r="F160" s="472">
        <f t="shared" si="11"/>
        <v>0</v>
      </c>
      <c r="G160" s="58"/>
      <c r="H160" s="58"/>
      <c r="I160" s="58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7"/>
      <c r="AE160" s="19"/>
      <c r="AF160" s="19"/>
      <c r="AG160" s="19"/>
      <c r="AH160" s="19"/>
    </row>
    <row r="161" spans="1:34" outlineLevel="2" x14ac:dyDescent="0.2">
      <c r="A161" s="19"/>
      <c r="B161" s="19"/>
      <c r="C161" s="506">
        <f t="shared" si="11"/>
        <v>0</v>
      </c>
      <c r="D161" s="505">
        <f t="shared" si="11"/>
        <v>0</v>
      </c>
      <c r="E161" s="472">
        <f t="shared" si="11"/>
        <v>0</v>
      </c>
      <c r="F161" s="472">
        <f t="shared" si="11"/>
        <v>0</v>
      </c>
      <c r="G161" s="58"/>
      <c r="H161" s="58"/>
      <c r="I161" s="58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7"/>
      <c r="AE161" s="19"/>
      <c r="AF161" s="19"/>
      <c r="AG161" s="19"/>
      <c r="AH161" s="19"/>
    </row>
    <row r="162" spans="1:34" outlineLevel="2" x14ac:dyDescent="0.2">
      <c r="A162" s="19"/>
      <c r="B162" s="19"/>
      <c r="C162" s="506">
        <f t="shared" si="11"/>
        <v>0</v>
      </c>
      <c r="D162" s="505">
        <f t="shared" si="11"/>
        <v>0</v>
      </c>
      <c r="E162" s="472">
        <f t="shared" si="11"/>
        <v>0</v>
      </c>
      <c r="F162" s="472">
        <f t="shared" si="11"/>
        <v>0</v>
      </c>
      <c r="G162" s="58"/>
      <c r="H162" s="58"/>
      <c r="I162" s="58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7"/>
      <c r="AE162" s="19"/>
      <c r="AF162" s="19"/>
      <c r="AG162" s="19"/>
      <c r="AH162" s="19"/>
    </row>
    <row r="163" spans="1:34" outlineLevel="2" x14ac:dyDescent="0.2">
      <c r="A163" s="19"/>
      <c r="B163" s="19"/>
      <c r="C163" s="506">
        <f t="shared" si="11"/>
        <v>0</v>
      </c>
      <c r="D163" s="505">
        <f t="shared" si="11"/>
        <v>0</v>
      </c>
      <c r="E163" s="472">
        <f t="shared" si="11"/>
        <v>0</v>
      </c>
      <c r="F163" s="472">
        <f t="shared" si="11"/>
        <v>0</v>
      </c>
      <c r="G163" s="58"/>
      <c r="H163" s="58"/>
      <c r="I163" s="58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5"/>
      <c r="AC163" s="185"/>
      <c r="AD163" s="187"/>
      <c r="AE163" s="19"/>
      <c r="AF163" s="19"/>
      <c r="AG163" s="19"/>
      <c r="AH163" s="19"/>
    </row>
    <row r="164" spans="1:34" outlineLevel="2" x14ac:dyDescent="0.2">
      <c r="A164" s="19"/>
      <c r="B164" s="19"/>
      <c r="C164" s="506">
        <f t="shared" si="11"/>
        <v>0</v>
      </c>
      <c r="D164" s="505">
        <f t="shared" si="11"/>
        <v>0</v>
      </c>
      <c r="E164" s="472">
        <f t="shared" si="11"/>
        <v>0</v>
      </c>
      <c r="F164" s="472">
        <f t="shared" si="11"/>
        <v>0</v>
      </c>
      <c r="G164" s="58"/>
      <c r="H164" s="58"/>
      <c r="I164" s="58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5"/>
      <c r="AC164" s="185"/>
      <c r="AD164" s="187"/>
      <c r="AE164" s="19"/>
      <c r="AF164" s="19"/>
      <c r="AG164" s="19"/>
      <c r="AH164" s="19"/>
    </row>
    <row r="165" spans="1:34" outlineLevel="2" x14ac:dyDescent="0.2">
      <c r="A165" s="19"/>
      <c r="B165" s="19"/>
      <c r="C165" s="506">
        <f t="shared" si="11"/>
        <v>0</v>
      </c>
      <c r="D165" s="505">
        <f t="shared" si="11"/>
        <v>0</v>
      </c>
      <c r="E165" s="472">
        <f t="shared" si="11"/>
        <v>0</v>
      </c>
      <c r="F165" s="472">
        <f t="shared" si="11"/>
        <v>0</v>
      </c>
      <c r="G165" s="58"/>
      <c r="H165" s="58"/>
      <c r="I165" s="58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5"/>
      <c r="AD165" s="187"/>
      <c r="AE165" s="19"/>
      <c r="AF165" s="19"/>
      <c r="AG165" s="19"/>
      <c r="AH165" s="19"/>
    </row>
    <row r="166" spans="1:34" outlineLevel="2" x14ac:dyDescent="0.2">
      <c r="A166" s="19"/>
      <c r="B166" s="19"/>
      <c r="C166" s="506">
        <f t="shared" si="11"/>
        <v>0</v>
      </c>
      <c r="D166" s="505">
        <f t="shared" si="11"/>
        <v>0</v>
      </c>
      <c r="E166" s="472">
        <f t="shared" si="11"/>
        <v>0</v>
      </c>
      <c r="F166" s="472">
        <f t="shared" si="11"/>
        <v>0</v>
      </c>
      <c r="G166" s="58"/>
      <c r="H166" s="58"/>
      <c r="I166" s="58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  <c r="AA166" s="185"/>
      <c r="AB166" s="185"/>
      <c r="AC166" s="185"/>
      <c r="AD166" s="187"/>
      <c r="AE166" s="19"/>
      <c r="AF166" s="19"/>
      <c r="AG166" s="19"/>
      <c r="AH166" s="19"/>
    </row>
    <row r="167" spans="1:34" outlineLevel="2" x14ac:dyDescent="0.2">
      <c r="A167" s="19"/>
      <c r="B167" s="19"/>
      <c r="C167" s="506">
        <f t="shared" si="11"/>
        <v>0</v>
      </c>
      <c r="D167" s="505">
        <f t="shared" si="11"/>
        <v>0</v>
      </c>
      <c r="E167" s="472">
        <f t="shared" si="11"/>
        <v>0</v>
      </c>
      <c r="F167" s="472">
        <f t="shared" si="11"/>
        <v>0</v>
      </c>
      <c r="G167" s="58"/>
      <c r="H167" s="58"/>
      <c r="I167" s="58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5"/>
      <c r="AD167" s="187"/>
      <c r="AE167" s="19"/>
      <c r="AF167" s="19"/>
      <c r="AG167" s="19"/>
      <c r="AH167" s="19"/>
    </row>
    <row r="168" spans="1:34" outlineLevel="2" x14ac:dyDescent="0.2">
      <c r="A168" s="19"/>
      <c r="B168" s="19"/>
      <c r="C168" s="506">
        <f t="shared" si="11"/>
        <v>0</v>
      </c>
      <c r="D168" s="505">
        <f t="shared" si="11"/>
        <v>0</v>
      </c>
      <c r="E168" s="472">
        <f t="shared" si="11"/>
        <v>0</v>
      </c>
      <c r="F168" s="472">
        <f t="shared" si="11"/>
        <v>0</v>
      </c>
      <c r="G168" s="58"/>
      <c r="H168" s="58"/>
      <c r="I168" s="58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7"/>
      <c r="AE168" s="19"/>
      <c r="AF168" s="19"/>
      <c r="AG168" s="19"/>
      <c r="AH168" s="19"/>
    </row>
    <row r="169" spans="1:34" outlineLevel="1" x14ac:dyDescent="0.2">
      <c r="A169" s="19"/>
      <c r="B169" s="19"/>
      <c r="C169" s="66"/>
      <c r="D169" s="58"/>
      <c r="E169" s="58"/>
      <c r="F169" s="58"/>
      <c r="G169" s="58"/>
      <c r="H169" s="58"/>
      <c r="I169" s="58"/>
      <c r="J169" s="186"/>
      <c r="K169" s="186"/>
      <c r="L169" s="187"/>
      <c r="M169" s="187"/>
      <c r="N169" s="187"/>
      <c r="O169" s="188"/>
      <c r="P169" s="188"/>
      <c r="Q169" s="188"/>
      <c r="R169" s="188"/>
      <c r="S169" s="188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9"/>
      <c r="AF169" s="19"/>
      <c r="AG169" s="19"/>
      <c r="AH169" s="19"/>
    </row>
    <row r="170" spans="1:34" outlineLevel="1" x14ac:dyDescent="0.2">
      <c r="A170" s="19"/>
      <c r="B170" s="19"/>
      <c r="C170" s="167" t="s">
        <v>137</v>
      </c>
      <c r="D170" s="20"/>
      <c r="E170" s="20"/>
      <c r="F170" s="22"/>
      <c r="G170" s="22"/>
      <c r="H170" s="22"/>
      <c r="I170" s="22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9"/>
      <c r="AF170" s="19"/>
      <c r="AG170" s="19"/>
      <c r="AH170" s="19"/>
    </row>
    <row r="171" spans="1:34" outlineLevel="2" x14ac:dyDescent="0.2">
      <c r="A171" s="19"/>
      <c r="B171" s="19"/>
      <c r="C171" s="506">
        <f t="shared" ref="C171:D190" si="12">C149</f>
        <v>0</v>
      </c>
      <c r="D171" s="505">
        <f t="shared" si="12"/>
        <v>0</v>
      </c>
      <c r="E171" s="472">
        <f t="shared" ref="E171:F190" si="13">E33</f>
        <v>0</v>
      </c>
      <c r="F171" s="472">
        <f t="shared" si="13"/>
        <v>0</v>
      </c>
      <c r="G171" s="22"/>
      <c r="H171" s="22"/>
      <c r="I171" s="22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7"/>
      <c r="AE171" s="19"/>
      <c r="AF171" s="19"/>
      <c r="AG171" s="19"/>
      <c r="AH171" s="19"/>
    </row>
    <row r="172" spans="1:34" s="59" customFormat="1" outlineLevel="2" x14ac:dyDescent="0.2">
      <c r="A172" s="57"/>
      <c r="B172" s="57"/>
      <c r="C172" s="506">
        <f t="shared" si="12"/>
        <v>0</v>
      </c>
      <c r="D172" s="505">
        <f t="shared" si="12"/>
        <v>0</v>
      </c>
      <c r="E172" s="472">
        <f t="shared" si="13"/>
        <v>0</v>
      </c>
      <c r="F172" s="472">
        <f t="shared" si="13"/>
        <v>0</v>
      </c>
      <c r="G172" s="58"/>
      <c r="H172" s="58"/>
      <c r="I172" s="58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5"/>
      <c r="AD172" s="186"/>
      <c r="AE172" s="57"/>
      <c r="AF172" s="57"/>
      <c r="AG172" s="57"/>
      <c r="AH172" s="57"/>
    </row>
    <row r="173" spans="1:34" outlineLevel="2" x14ac:dyDescent="0.2">
      <c r="A173" s="19"/>
      <c r="B173" s="19"/>
      <c r="C173" s="506">
        <f t="shared" si="12"/>
        <v>0</v>
      </c>
      <c r="D173" s="505">
        <f t="shared" si="12"/>
        <v>0</v>
      </c>
      <c r="E173" s="472">
        <f t="shared" si="13"/>
        <v>0</v>
      </c>
      <c r="F173" s="472">
        <f t="shared" si="13"/>
        <v>0</v>
      </c>
      <c r="G173" s="58"/>
      <c r="H173" s="58"/>
      <c r="I173" s="58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7"/>
      <c r="AE173" s="19"/>
      <c r="AF173" s="19"/>
      <c r="AG173" s="19"/>
      <c r="AH173" s="19"/>
    </row>
    <row r="174" spans="1:34" outlineLevel="2" x14ac:dyDescent="0.2">
      <c r="A174" s="19"/>
      <c r="B174" s="19"/>
      <c r="C174" s="506">
        <f t="shared" si="12"/>
        <v>0</v>
      </c>
      <c r="D174" s="505">
        <f t="shared" si="12"/>
        <v>0</v>
      </c>
      <c r="E174" s="472">
        <f t="shared" si="13"/>
        <v>0</v>
      </c>
      <c r="F174" s="472">
        <f t="shared" si="13"/>
        <v>0</v>
      </c>
      <c r="G174" s="58"/>
      <c r="H174" s="58"/>
      <c r="I174" s="58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7"/>
      <c r="AE174" s="19"/>
      <c r="AF174" s="19"/>
      <c r="AG174" s="19"/>
      <c r="AH174" s="19"/>
    </row>
    <row r="175" spans="1:34" outlineLevel="2" x14ac:dyDescent="0.2">
      <c r="A175" s="19"/>
      <c r="B175" s="19"/>
      <c r="C175" s="506">
        <f t="shared" si="12"/>
        <v>0</v>
      </c>
      <c r="D175" s="505">
        <f t="shared" si="12"/>
        <v>0</v>
      </c>
      <c r="E175" s="472">
        <f t="shared" si="13"/>
        <v>0</v>
      </c>
      <c r="F175" s="472">
        <f t="shared" si="13"/>
        <v>0</v>
      </c>
      <c r="G175" s="58"/>
      <c r="H175" s="58"/>
      <c r="I175" s="58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5"/>
      <c r="AD175" s="187"/>
      <c r="AE175" s="19"/>
      <c r="AF175" s="19"/>
      <c r="AG175" s="19"/>
      <c r="AH175" s="19"/>
    </row>
    <row r="176" spans="1:34" outlineLevel="2" x14ac:dyDescent="0.2">
      <c r="A176" s="19"/>
      <c r="B176" s="19"/>
      <c r="C176" s="506">
        <f t="shared" si="12"/>
        <v>0</v>
      </c>
      <c r="D176" s="505">
        <f t="shared" si="12"/>
        <v>0</v>
      </c>
      <c r="E176" s="472">
        <f t="shared" si="13"/>
        <v>0</v>
      </c>
      <c r="F176" s="472">
        <f t="shared" si="13"/>
        <v>0</v>
      </c>
      <c r="G176" s="58"/>
      <c r="H176" s="58"/>
      <c r="I176" s="58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7"/>
      <c r="AE176" s="19"/>
      <c r="AF176" s="19"/>
      <c r="AG176" s="19"/>
      <c r="AH176" s="19"/>
    </row>
    <row r="177" spans="1:34" outlineLevel="2" x14ac:dyDescent="0.2">
      <c r="A177" s="19"/>
      <c r="B177" s="19"/>
      <c r="C177" s="506">
        <f t="shared" si="12"/>
        <v>0</v>
      </c>
      <c r="D177" s="505">
        <f t="shared" si="12"/>
        <v>0</v>
      </c>
      <c r="E177" s="472">
        <f t="shared" si="13"/>
        <v>0</v>
      </c>
      <c r="F177" s="472">
        <f t="shared" si="13"/>
        <v>0</v>
      </c>
      <c r="G177" s="58"/>
      <c r="H177" s="58"/>
      <c r="I177" s="58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7"/>
      <c r="AE177" s="19"/>
      <c r="AF177" s="19"/>
      <c r="AG177" s="19"/>
      <c r="AH177" s="19"/>
    </row>
    <row r="178" spans="1:34" outlineLevel="2" x14ac:dyDescent="0.2">
      <c r="A178" s="19"/>
      <c r="B178" s="19"/>
      <c r="C178" s="506">
        <f t="shared" si="12"/>
        <v>0</v>
      </c>
      <c r="D178" s="505">
        <f t="shared" si="12"/>
        <v>0</v>
      </c>
      <c r="E178" s="472">
        <f t="shared" si="13"/>
        <v>0</v>
      </c>
      <c r="F178" s="472">
        <f t="shared" si="13"/>
        <v>0</v>
      </c>
      <c r="G178" s="58"/>
      <c r="H178" s="58"/>
      <c r="I178" s="58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5"/>
      <c r="AD178" s="187"/>
      <c r="AE178" s="19"/>
      <c r="AF178" s="19"/>
      <c r="AG178" s="19"/>
      <c r="AH178" s="19"/>
    </row>
    <row r="179" spans="1:34" outlineLevel="2" x14ac:dyDescent="0.2">
      <c r="A179" s="19"/>
      <c r="B179" s="19"/>
      <c r="C179" s="506">
        <f t="shared" si="12"/>
        <v>0</v>
      </c>
      <c r="D179" s="505">
        <f t="shared" si="12"/>
        <v>0</v>
      </c>
      <c r="E179" s="472">
        <f t="shared" si="13"/>
        <v>0</v>
      </c>
      <c r="F179" s="472">
        <f t="shared" si="13"/>
        <v>0</v>
      </c>
      <c r="G179" s="58"/>
      <c r="H179" s="58"/>
      <c r="I179" s="58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7"/>
      <c r="AE179" s="19"/>
      <c r="AF179" s="19"/>
      <c r="AG179" s="19"/>
      <c r="AH179" s="19"/>
    </row>
    <row r="180" spans="1:34" outlineLevel="2" x14ac:dyDescent="0.2">
      <c r="A180" s="19"/>
      <c r="B180" s="19"/>
      <c r="C180" s="506">
        <f t="shared" si="12"/>
        <v>0</v>
      </c>
      <c r="D180" s="505">
        <f t="shared" si="12"/>
        <v>0</v>
      </c>
      <c r="E180" s="472">
        <f t="shared" si="13"/>
        <v>0</v>
      </c>
      <c r="F180" s="472">
        <f t="shared" si="13"/>
        <v>0</v>
      </c>
      <c r="G180" s="58"/>
      <c r="H180" s="58"/>
      <c r="I180" s="58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5"/>
      <c r="AD180" s="187"/>
      <c r="AE180" s="19"/>
      <c r="AF180" s="19"/>
      <c r="AG180" s="19"/>
      <c r="AH180" s="19"/>
    </row>
    <row r="181" spans="1:34" outlineLevel="2" x14ac:dyDescent="0.2">
      <c r="A181" s="19"/>
      <c r="B181" s="19"/>
      <c r="C181" s="506">
        <f t="shared" si="12"/>
        <v>0</v>
      </c>
      <c r="D181" s="505">
        <f t="shared" si="12"/>
        <v>0</v>
      </c>
      <c r="E181" s="472">
        <f t="shared" si="13"/>
        <v>0</v>
      </c>
      <c r="F181" s="472">
        <f t="shared" si="13"/>
        <v>0</v>
      </c>
      <c r="G181" s="58"/>
      <c r="H181" s="58"/>
      <c r="I181" s="58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5"/>
      <c r="AD181" s="187"/>
      <c r="AE181" s="19"/>
      <c r="AF181" s="19"/>
      <c r="AG181" s="19"/>
      <c r="AH181" s="19"/>
    </row>
    <row r="182" spans="1:34" outlineLevel="2" x14ac:dyDescent="0.2">
      <c r="A182" s="19"/>
      <c r="B182" s="19"/>
      <c r="C182" s="506">
        <f t="shared" si="12"/>
        <v>0</v>
      </c>
      <c r="D182" s="505">
        <f t="shared" si="12"/>
        <v>0</v>
      </c>
      <c r="E182" s="472">
        <f t="shared" si="13"/>
        <v>0</v>
      </c>
      <c r="F182" s="472">
        <f t="shared" si="13"/>
        <v>0</v>
      </c>
      <c r="G182" s="58"/>
      <c r="H182" s="58"/>
      <c r="I182" s="58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5"/>
      <c r="AC182" s="185"/>
      <c r="AD182" s="187"/>
      <c r="AE182" s="19"/>
      <c r="AF182" s="19"/>
      <c r="AG182" s="19"/>
      <c r="AH182" s="19"/>
    </row>
    <row r="183" spans="1:34" outlineLevel="2" x14ac:dyDescent="0.2">
      <c r="A183" s="19"/>
      <c r="B183" s="19"/>
      <c r="C183" s="506">
        <f t="shared" si="12"/>
        <v>0</v>
      </c>
      <c r="D183" s="505">
        <f t="shared" si="12"/>
        <v>0</v>
      </c>
      <c r="E183" s="472">
        <f t="shared" si="13"/>
        <v>0</v>
      </c>
      <c r="F183" s="472">
        <f t="shared" si="13"/>
        <v>0</v>
      </c>
      <c r="G183" s="58"/>
      <c r="H183" s="58"/>
      <c r="I183" s="58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5"/>
      <c r="AD183" s="187"/>
      <c r="AE183" s="19"/>
      <c r="AF183" s="19"/>
      <c r="AG183" s="19"/>
      <c r="AH183" s="19"/>
    </row>
    <row r="184" spans="1:34" outlineLevel="2" x14ac:dyDescent="0.2">
      <c r="A184" s="19"/>
      <c r="B184" s="19"/>
      <c r="C184" s="506">
        <f t="shared" si="12"/>
        <v>0</v>
      </c>
      <c r="D184" s="505">
        <f t="shared" si="12"/>
        <v>0</v>
      </c>
      <c r="E184" s="472">
        <f t="shared" si="13"/>
        <v>0</v>
      </c>
      <c r="F184" s="472">
        <f t="shared" si="13"/>
        <v>0</v>
      </c>
      <c r="G184" s="58"/>
      <c r="H184" s="58"/>
      <c r="I184" s="58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5"/>
      <c r="AD184" s="187"/>
      <c r="AE184" s="19"/>
      <c r="AF184" s="19"/>
      <c r="AG184" s="19"/>
      <c r="AH184" s="19"/>
    </row>
    <row r="185" spans="1:34" outlineLevel="2" x14ac:dyDescent="0.2">
      <c r="A185" s="19"/>
      <c r="B185" s="19"/>
      <c r="C185" s="506">
        <f t="shared" si="12"/>
        <v>0</v>
      </c>
      <c r="D185" s="505">
        <f t="shared" si="12"/>
        <v>0</v>
      </c>
      <c r="E185" s="472">
        <f t="shared" si="13"/>
        <v>0</v>
      </c>
      <c r="F185" s="472">
        <f t="shared" si="13"/>
        <v>0</v>
      </c>
      <c r="G185" s="58"/>
      <c r="H185" s="58"/>
      <c r="I185" s="58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5"/>
      <c r="AC185" s="185"/>
      <c r="AD185" s="187"/>
      <c r="AE185" s="19"/>
      <c r="AF185" s="19"/>
      <c r="AG185" s="19"/>
      <c r="AH185" s="19"/>
    </row>
    <row r="186" spans="1:34" outlineLevel="2" x14ac:dyDescent="0.2">
      <c r="A186" s="19"/>
      <c r="B186" s="19"/>
      <c r="C186" s="506">
        <f t="shared" si="12"/>
        <v>0</v>
      </c>
      <c r="D186" s="505">
        <f t="shared" si="12"/>
        <v>0</v>
      </c>
      <c r="E186" s="472">
        <f t="shared" si="13"/>
        <v>0</v>
      </c>
      <c r="F186" s="472">
        <f t="shared" si="13"/>
        <v>0</v>
      </c>
      <c r="G186" s="58"/>
      <c r="H186" s="58"/>
      <c r="I186" s="58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5"/>
      <c r="AD186" s="187"/>
      <c r="AE186" s="19"/>
      <c r="AF186" s="19"/>
      <c r="AG186" s="19"/>
      <c r="AH186" s="19"/>
    </row>
    <row r="187" spans="1:34" outlineLevel="2" x14ac:dyDescent="0.2">
      <c r="A187" s="19"/>
      <c r="B187" s="19"/>
      <c r="C187" s="506">
        <f t="shared" si="12"/>
        <v>0</v>
      </c>
      <c r="D187" s="505">
        <f t="shared" si="12"/>
        <v>0</v>
      </c>
      <c r="E187" s="472">
        <f t="shared" si="13"/>
        <v>0</v>
      </c>
      <c r="F187" s="472">
        <f t="shared" si="13"/>
        <v>0</v>
      </c>
      <c r="G187" s="58"/>
      <c r="H187" s="58"/>
      <c r="I187" s="58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7"/>
      <c r="AE187" s="19"/>
      <c r="AF187" s="19"/>
      <c r="AG187" s="19"/>
      <c r="AH187" s="19"/>
    </row>
    <row r="188" spans="1:34" outlineLevel="2" x14ac:dyDescent="0.2">
      <c r="A188" s="19"/>
      <c r="B188" s="19"/>
      <c r="C188" s="506">
        <f t="shared" si="12"/>
        <v>0</v>
      </c>
      <c r="D188" s="505">
        <f t="shared" si="12"/>
        <v>0</v>
      </c>
      <c r="E188" s="472">
        <f t="shared" si="13"/>
        <v>0</v>
      </c>
      <c r="F188" s="472">
        <f t="shared" si="13"/>
        <v>0</v>
      </c>
      <c r="G188" s="58"/>
      <c r="H188" s="58"/>
      <c r="I188" s="58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7"/>
      <c r="AE188" s="19"/>
      <c r="AF188" s="19"/>
      <c r="AG188" s="19"/>
      <c r="AH188" s="19"/>
    </row>
    <row r="189" spans="1:34" outlineLevel="2" x14ac:dyDescent="0.2">
      <c r="A189" s="19"/>
      <c r="B189" s="19"/>
      <c r="C189" s="506">
        <f t="shared" si="12"/>
        <v>0</v>
      </c>
      <c r="D189" s="505">
        <f t="shared" si="12"/>
        <v>0</v>
      </c>
      <c r="E189" s="472">
        <f t="shared" si="13"/>
        <v>0</v>
      </c>
      <c r="F189" s="472">
        <f t="shared" si="13"/>
        <v>0</v>
      </c>
      <c r="G189" s="58"/>
      <c r="H189" s="58"/>
      <c r="I189" s="58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7"/>
      <c r="AE189" s="19"/>
      <c r="AF189" s="19"/>
      <c r="AG189" s="19"/>
      <c r="AH189" s="19"/>
    </row>
    <row r="190" spans="1:34" outlineLevel="2" x14ac:dyDescent="0.2">
      <c r="A190" s="19"/>
      <c r="B190" s="19"/>
      <c r="C190" s="506">
        <f t="shared" si="12"/>
        <v>0</v>
      </c>
      <c r="D190" s="505">
        <f t="shared" si="12"/>
        <v>0</v>
      </c>
      <c r="E190" s="472">
        <f t="shared" si="13"/>
        <v>0</v>
      </c>
      <c r="F190" s="472">
        <f t="shared" si="13"/>
        <v>0</v>
      </c>
      <c r="G190" s="58"/>
      <c r="H190" s="58"/>
      <c r="I190" s="58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5"/>
      <c r="AD190" s="187"/>
      <c r="AE190" s="19"/>
      <c r="AF190" s="19"/>
      <c r="AG190" s="19"/>
      <c r="AH190" s="19"/>
    </row>
    <row r="191" spans="1:34" outlineLevel="1" x14ac:dyDescent="0.2">
      <c r="A191" s="19"/>
      <c r="B191" s="19"/>
      <c r="C191" s="66"/>
      <c r="D191" s="66"/>
      <c r="E191" s="58"/>
      <c r="F191" s="58"/>
      <c r="G191" s="58"/>
      <c r="H191" s="58"/>
      <c r="I191" s="58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7"/>
      <c r="AE191" s="19"/>
      <c r="AF191" s="19"/>
      <c r="AG191" s="19"/>
      <c r="AH191" s="19"/>
    </row>
    <row r="192" spans="1:34" outlineLevel="1" x14ac:dyDescent="0.2">
      <c r="A192" s="19"/>
      <c r="B192" s="19"/>
      <c r="C192" s="167" t="s">
        <v>138</v>
      </c>
      <c r="D192" s="20"/>
      <c r="E192" s="20"/>
      <c r="F192" s="22"/>
      <c r="G192" s="22"/>
      <c r="H192" s="22"/>
      <c r="I192" s="22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9"/>
      <c r="AF192" s="19"/>
      <c r="AG192" s="19"/>
      <c r="AH192" s="19"/>
    </row>
    <row r="193" spans="1:34" outlineLevel="2" x14ac:dyDescent="0.2">
      <c r="A193" s="19"/>
      <c r="B193" s="19"/>
      <c r="C193" s="506">
        <f t="shared" ref="C193:D212" si="14">C171</f>
        <v>0</v>
      </c>
      <c r="D193" s="505">
        <f t="shared" si="14"/>
        <v>0</v>
      </c>
      <c r="E193" s="472">
        <f t="shared" ref="E193:F212" si="15">E33</f>
        <v>0</v>
      </c>
      <c r="F193" s="472">
        <f t="shared" si="15"/>
        <v>0</v>
      </c>
      <c r="G193" s="22"/>
      <c r="H193" s="22"/>
      <c r="I193" s="22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7"/>
      <c r="AE193" s="19"/>
      <c r="AF193" s="19"/>
      <c r="AG193" s="19"/>
      <c r="AH193" s="19"/>
    </row>
    <row r="194" spans="1:34" s="59" customFormat="1" outlineLevel="2" x14ac:dyDescent="0.2">
      <c r="A194" s="57"/>
      <c r="B194" s="57"/>
      <c r="C194" s="506">
        <f t="shared" si="14"/>
        <v>0</v>
      </c>
      <c r="D194" s="505">
        <f t="shared" si="14"/>
        <v>0</v>
      </c>
      <c r="E194" s="472">
        <f t="shared" si="15"/>
        <v>0</v>
      </c>
      <c r="F194" s="472">
        <f t="shared" si="15"/>
        <v>0</v>
      </c>
      <c r="G194" s="58"/>
      <c r="H194" s="58"/>
      <c r="I194" s="58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  <c r="AA194" s="185"/>
      <c r="AB194" s="185"/>
      <c r="AC194" s="185"/>
      <c r="AD194" s="186"/>
      <c r="AE194" s="57"/>
      <c r="AF194" s="57"/>
      <c r="AG194" s="57"/>
      <c r="AH194" s="57"/>
    </row>
    <row r="195" spans="1:34" outlineLevel="2" x14ac:dyDescent="0.2">
      <c r="A195" s="19"/>
      <c r="B195" s="19"/>
      <c r="C195" s="506">
        <f t="shared" si="14"/>
        <v>0</v>
      </c>
      <c r="D195" s="505">
        <f t="shared" si="14"/>
        <v>0</v>
      </c>
      <c r="E195" s="472">
        <f t="shared" si="15"/>
        <v>0</v>
      </c>
      <c r="F195" s="472">
        <f t="shared" si="15"/>
        <v>0</v>
      </c>
      <c r="G195" s="58"/>
      <c r="H195" s="58"/>
      <c r="I195" s="58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5"/>
      <c r="AC195" s="185"/>
      <c r="AD195" s="187"/>
      <c r="AE195" s="19"/>
      <c r="AF195" s="19"/>
      <c r="AG195" s="19"/>
      <c r="AH195" s="19"/>
    </row>
    <row r="196" spans="1:34" outlineLevel="2" x14ac:dyDescent="0.2">
      <c r="A196" s="19"/>
      <c r="B196" s="19"/>
      <c r="C196" s="506">
        <f t="shared" si="14"/>
        <v>0</v>
      </c>
      <c r="D196" s="505">
        <f t="shared" si="14"/>
        <v>0</v>
      </c>
      <c r="E196" s="472">
        <f t="shared" si="15"/>
        <v>0</v>
      </c>
      <c r="F196" s="472">
        <f t="shared" si="15"/>
        <v>0</v>
      </c>
      <c r="G196" s="58"/>
      <c r="H196" s="58"/>
      <c r="I196" s="58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5"/>
      <c r="AD196" s="187"/>
      <c r="AE196" s="19"/>
      <c r="AF196" s="19"/>
      <c r="AG196" s="19"/>
      <c r="AH196" s="19"/>
    </row>
    <row r="197" spans="1:34" outlineLevel="2" x14ac:dyDescent="0.2">
      <c r="A197" s="19"/>
      <c r="B197" s="19"/>
      <c r="C197" s="506">
        <f t="shared" si="14"/>
        <v>0</v>
      </c>
      <c r="D197" s="505">
        <f t="shared" si="14"/>
        <v>0</v>
      </c>
      <c r="E197" s="472">
        <f t="shared" si="15"/>
        <v>0</v>
      </c>
      <c r="F197" s="472">
        <f t="shared" si="15"/>
        <v>0</v>
      </c>
      <c r="G197" s="58"/>
      <c r="H197" s="58"/>
      <c r="I197" s="58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7"/>
      <c r="AE197" s="19"/>
      <c r="AF197" s="19"/>
      <c r="AG197" s="19"/>
      <c r="AH197" s="19"/>
    </row>
    <row r="198" spans="1:34" outlineLevel="2" x14ac:dyDescent="0.2">
      <c r="A198" s="19"/>
      <c r="B198" s="19"/>
      <c r="C198" s="506">
        <f t="shared" si="14"/>
        <v>0</v>
      </c>
      <c r="D198" s="505">
        <f t="shared" si="14"/>
        <v>0</v>
      </c>
      <c r="E198" s="472">
        <f t="shared" si="15"/>
        <v>0</v>
      </c>
      <c r="F198" s="472">
        <f t="shared" si="15"/>
        <v>0</v>
      </c>
      <c r="G198" s="58"/>
      <c r="H198" s="58"/>
      <c r="I198" s="58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5"/>
      <c r="AD198" s="187"/>
      <c r="AE198" s="19"/>
      <c r="AF198" s="19"/>
      <c r="AG198" s="19"/>
      <c r="AH198" s="19"/>
    </row>
    <row r="199" spans="1:34" outlineLevel="2" x14ac:dyDescent="0.2">
      <c r="A199" s="19"/>
      <c r="B199" s="19"/>
      <c r="C199" s="506">
        <f t="shared" si="14"/>
        <v>0</v>
      </c>
      <c r="D199" s="505">
        <f t="shared" si="14"/>
        <v>0</v>
      </c>
      <c r="E199" s="472">
        <f t="shared" si="15"/>
        <v>0</v>
      </c>
      <c r="F199" s="472">
        <f t="shared" si="15"/>
        <v>0</v>
      </c>
      <c r="G199" s="58"/>
      <c r="H199" s="58"/>
      <c r="I199" s="58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5"/>
      <c r="AD199" s="187"/>
      <c r="AE199" s="19"/>
      <c r="AF199" s="19"/>
      <c r="AG199" s="19"/>
      <c r="AH199" s="19"/>
    </row>
    <row r="200" spans="1:34" outlineLevel="2" x14ac:dyDescent="0.2">
      <c r="A200" s="19"/>
      <c r="B200" s="19"/>
      <c r="C200" s="506">
        <f t="shared" si="14"/>
        <v>0</v>
      </c>
      <c r="D200" s="505">
        <f t="shared" si="14"/>
        <v>0</v>
      </c>
      <c r="E200" s="472">
        <f t="shared" si="15"/>
        <v>0</v>
      </c>
      <c r="F200" s="472">
        <f t="shared" si="15"/>
        <v>0</v>
      </c>
      <c r="G200" s="58"/>
      <c r="H200" s="58"/>
      <c r="I200" s="58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7"/>
      <c r="AE200" s="19"/>
      <c r="AF200" s="19"/>
      <c r="AG200" s="19"/>
      <c r="AH200" s="19"/>
    </row>
    <row r="201" spans="1:34" outlineLevel="2" x14ac:dyDescent="0.2">
      <c r="A201" s="19"/>
      <c r="B201" s="19"/>
      <c r="C201" s="506">
        <f t="shared" si="14"/>
        <v>0</v>
      </c>
      <c r="D201" s="505">
        <f t="shared" si="14"/>
        <v>0</v>
      </c>
      <c r="E201" s="472">
        <f t="shared" si="15"/>
        <v>0</v>
      </c>
      <c r="F201" s="472">
        <f t="shared" si="15"/>
        <v>0</v>
      </c>
      <c r="G201" s="58"/>
      <c r="H201" s="58"/>
      <c r="I201" s="58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5"/>
      <c r="AD201" s="187"/>
      <c r="AE201" s="19"/>
      <c r="AF201" s="19"/>
      <c r="AG201" s="19"/>
      <c r="AH201" s="19"/>
    </row>
    <row r="202" spans="1:34" outlineLevel="2" x14ac:dyDescent="0.2">
      <c r="A202" s="19"/>
      <c r="B202" s="19"/>
      <c r="C202" s="506">
        <f t="shared" si="14"/>
        <v>0</v>
      </c>
      <c r="D202" s="505">
        <f t="shared" si="14"/>
        <v>0</v>
      </c>
      <c r="E202" s="472">
        <f t="shared" si="15"/>
        <v>0</v>
      </c>
      <c r="F202" s="472">
        <f t="shared" si="15"/>
        <v>0</v>
      </c>
      <c r="G202" s="58"/>
      <c r="H202" s="58"/>
      <c r="I202" s="58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  <c r="AC202" s="185"/>
      <c r="AD202" s="187"/>
      <c r="AE202" s="19"/>
      <c r="AF202" s="19"/>
      <c r="AG202" s="19"/>
      <c r="AH202" s="19"/>
    </row>
    <row r="203" spans="1:34" outlineLevel="2" x14ac:dyDescent="0.2">
      <c r="A203" s="19"/>
      <c r="B203" s="19"/>
      <c r="C203" s="506">
        <f t="shared" si="14"/>
        <v>0</v>
      </c>
      <c r="D203" s="505">
        <f t="shared" si="14"/>
        <v>0</v>
      </c>
      <c r="E203" s="472">
        <f t="shared" si="15"/>
        <v>0</v>
      </c>
      <c r="F203" s="472">
        <f t="shared" si="15"/>
        <v>0</v>
      </c>
      <c r="G203" s="58"/>
      <c r="H203" s="58"/>
      <c r="I203" s="58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5"/>
      <c r="AD203" s="187"/>
      <c r="AE203" s="19"/>
      <c r="AF203" s="19"/>
      <c r="AG203" s="19"/>
      <c r="AH203" s="19"/>
    </row>
    <row r="204" spans="1:34" outlineLevel="2" x14ac:dyDescent="0.2">
      <c r="A204" s="19"/>
      <c r="B204" s="19"/>
      <c r="C204" s="506">
        <f t="shared" si="14"/>
        <v>0</v>
      </c>
      <c r="D204" s="505">
        <f t="shared" si="14"/>
        <v>0</v>
      </c>
      <c r="E204" s="472">
        <f t="shared" si="15"/>
        <v>0</v>
      </c>
      <c r="F204" s="472">
        <f t="shared" si="15"/>
        <v>0</v>
      </c>
      <c r="G204" s="58"/>
      <c r="H204" s="58"/>
      <c r="I204" s="58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5"/>
      <c r="AD204" s="187"/>
      <c r="AE204" s="19"/>
      <c r="AF204" s="19"/>
      <c r="AG204" s="19"/>
      <c r="AH204" s="19"/>
    </row>
    <row r="205" spans="1:34" outlineLevel="2" x14ac:dyDescent="0.2">
      <c r="A205" s="19"/>
      <c r="B205" s="19"/>
      <c r="C205" s="506">
        <f t="shared" si="14"/>
        <v>0</v>
      </c>
      <c r="D205" s="505">
        <f t="shared" si="14"/>
        <v>0</v>
      </c>
      <c r="E205" s="472">
        <f t="shared" si="15"/>
        <v>0</v>
      </c>
      <c r="F205" s="472">
        <f t="shared" si="15"/>
        <v>0</v>
      </c>
      <c r="G205" s="58"/>
      <c r="H205" s="58"/>
      <c r="I205" s="58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5"/>
      <c r="AD205" s="187"/>
      <c r="AE205" s="19"/>
      <c r="AF205" s="19"/>
      <c r="AG205" s="19"/>
      <c r="AH205" s="19"/>
    </row>
    <row r="206" spans="1:34" outlineLevel="2" x14ac:dyDescent="0.2">
      <c r="A206" s="19"/>
      <c r="B206" s="19"/>
      <c r="C206" s="506">
        <f t="shared" si="14"/>
        <v>0</v>
      </c>
      <c r="D206" s="505">
        <f t="shared" si="14"/>
        <v>0</v>
      </c>
      <c r="E206" s="472">
        <f t="shared" si="15"/>
        <v>0</v>
      </c>
      <c r="F206" s="472">
        <f t="shared" si="15"/>
        <v>0</v>
      </c>
      <c r="G206" s="58"/>
      <c r="H206" s="58"/>
      <c r="I206" s="58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5"/>
      <c r="AD206" s="187"/>
      <c r="AE206" s="19"/>
      <c r="AF206" s="19"/>
      <c r="AG206" s="19"/>
      <c r="AH206" s="19"/>
    </row>
    <row r="207" spans="1:34" outlineLevel="2" x14ac:dyDescent="0.2">
      <c r="A207" s="19"/>
      <c r="B207" s="19"/>
      <c r="C207" s="506">
        <f t="shared" si="14"/>
        <v>0</v>
      </c>
      <c r="D207" s="505">
        <f t="shared" si="14"/>
        <v>0</v>
      </c>
      <c r="E207" s="472">
        <f t="shared" si="15"/>
        <v>0</v>
      </c>
      <c r="F207" s="472">
        <f t="shared" si="15"/>
        <v>0</v>
      </c>
      <c r="G207" s="58"/>
      <c r="H207" s="58"/>
      <c r="I207" s="58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5"/>
      <c r="AD207" s="187"/>
      <c r="AE207" s="19"/>
      <c r="AF207" s="19"/>
      <c r="AG207" s="19"/>
      <c r="AH207" s="19"/>
    </row>
    <row r="208" spans="1:34" outlineLevel="2" x14ac:dyDescent="0.2">
      <c r="A208" s="19"/>
      <c r="B208" s="19"/>
      <c r="C208" s="506">
        <f t="shared" si="14"/>
        <v>0</v>
      </c>
      <c r="D208" s="505">
        <f t="shared" si="14"/>
        <v>0</v>
      </c>
      <c r="E208" s="472">
        <f t="shared" si="15"/>
        <v>0</v>
      </c>
      <c r="F208" s="472">
        <f t="shared" si="15"/>
        <v>0</v>
      </c>
      <c r="G208" s="58"/>
      <c r="H208" s="58"/>
      <c r="I208" s="58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5"/>
      <c r="AD208" s="187"/>
      <c r="AE208" s="19"/>
      <c r="AF208" s="19"/>
      <c r="AG208" s="19"/>
      <c r="AH208" s="19"/>
    </row>
    <row r="209" spans="1:34" outlineLevel="2" x14ac:dyDescent="0.2">
      <c r="A209" s="19"/>
      <c r="B209" s="19"/>
      <c r="C209" s="506">
        <f t="shared" si="14"/>
        <v>0</v>
      </c>
      <c r="D209" s="505">
        <f t="shared" si="14"/>
        <v>0</v>
      </c>
      <c r="E209" s="472">
        <f t="shared" si="15"/>
        <v>0</v>
      </c>
      <c r="F209" s="472">
        <f t="shared" si="15"/>
        <v>0</v>
      </c>
      <c r="G209" s="58"/>
      <c r="H209" s="58"/>
      <c r="I209" s="58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5"/>
      <c r="AD209" s="187"/>
      <c r="AE209" s="19"/>
      <c r="AF209" s="19"/>
      <c r="AG209" s="19"/>
      <c r="AH209" s="19"/>
    </row>
    <row r="210" spans="1:34" outlineLevel="2" x14ac:dyDescent="0.2">
      <c r="A210" s="19"/>
      <c r="B210" s="19"/>
      <c r="C210" s="506">
        <f t="shared" si="14"/>
        <v>0</v>
      </c>
      <c r="D210" s="505">
        <f t="shared" si="14"/>
        <v>0</v>
      </c>
      <c r="E210" s="472">
        <f t="shared" si="15"/>
        <v>0</v>
      </c>
      <c r="F210" s="472">
        <f t="shared" si="15"/>
        <v>0</v>
      </c>
      <c r="G210" s="58"/>
      <c r="H210" s="58"/>
      <c r="I210" s="58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7"/>
      <c r="AE210" s="19"/>
      <c r="AF210" s="19"/>
      <c r="AG210" s="19"/>
      <c r="AH210" s="19"/>
    </row>
    <row r="211" spans="1:34" outlineLevel="2" x14ac:dyDescent="0.2">
      <c r="A211" s="19"/>
      <c r="B211" s="19"/>
      <c r="C211" s="506">
        <f t="shared" si="14"/>
        <v>0</v>
      </c>
      <c r="D211" s="505">
        <f t="shared" si="14"/>
        <v>0</v>
      </c>
      <c r="E211" s="472">
        <f t="shared" si="15"/>
        <v>0</v>
      </c>
      <c r="F211" s="472">
        <f t="shared" si="15"/>
        <v>0</v>
      </c>
      <c r="G211" s="58"/>
      <c r="H211" s="58"/>
      <c r="I211" s="58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5"/>
      <c r="AD211" s="187"/>
      <c r="AE211" s="19"/>
      <c r="AF211" s="19"/>
      <c r="AG211" s="19"/>
      <c r="AH211" s="19"/>
    </row>
    <row r="212" spans="1:34" outlineLevel="2" x14ac:dyDescent="0.2">
      <c r="A212" s="19"/>
      <c r="B212" s="19"/>
      <c r="C212" s="506">
        <f t="shared" si="14"/>
        <v>0</v>
      </c>
      <c r="D212" s="505">
        <f t="shared" si="14"/>
        <v>0</v>
      </c>
      <c r="E212" s="472">
        <f t="shared" si="15"/>
        <v>0</v>
      </c>
      <c r="F212" s="472">
        <f t="shared" si="15"/>
        <v>0</v>
      </c>
      <c r="G212" s="58"/>
      <c r="H212" s="58"/>
      <c r="I212" s="58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5"/>
      <c r="AD212" s="187"/>
      <c r="AE212" s="19"/>
      <c r="AF212" s="19"/>
      <c r="AG212" s="19"/>
      <c r="AH212" s="19"/>
    </row>
    <row r="213" spans="1:34" outlineLevel="1" x14ac:dyDescent="0.2">
      <c r="A213" s="19"/>
      <c r="B213" s="19"/>
      <c r="C213" s="66"/>
      <c r="D213" s="66"/>
      <c r="E213" s="58"/>
      <c r="F213" s="58"/>
      <c r="G213" s="58"/>
      <c r="H213" s="58"/>
      <c r="I213" s="58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7"/>
      <c r="AE213" s="19"/>
      <c r="AF213" s="19"/>
      <c r="AG213" s="19"/>
      <c r="AH213" s="19"/>
    </row>
    <row r="214" spans="1:34" x14ac:dyDescent="0.2">
      <c r="A214" s="19"/>
      <c r="B214" s="19"/>
      <c r="C214" s="66"/>
      <c r="D214" s="66"/>
      <c r="E214" s="58"/>
      <c r="F214" s="58"/>
      <c r="G214" s="58"/>
      <c r="H214" s="58"/>
      <c r="I214" s="58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0"/>
      <c r="AE214" s="19"/>
      <c r="AF214" s="19"/>
      <c r="AG214" s="19"/>
      <c r="AH214" s="19"/>
    </row>
    <row r="215" spans="1:34" ht="12.75" x14ac:dyDescent="0.2">
      <c r="A215" s="11"/>
      <c r="B215" s="12" t="s">
        <v>632</v>
      </c>
      <c r="C215" s="11"/>
      <c r="D215" s="32" t="s">
        <v>199</v>
      </c>
      <c r="E215" s="32"/>
      <c r="F215" s="33" t="str">
        <f>F5</f>
        <v>Unit</v>
      </c>
      <c r="G215" s="33"/>
      <c r="H215" s="33"/>
      <c r="I215" s="33"/>
      <c r="J215" s="33" t="str">
        <f>RCPminus3</f>
        <v>2016–17</v>
      </c>
      <c r="K215" s="33" t="str">
        <f>RCPminus2</f>
        <v>2017–18</v>
      </c>
      <c r="L215" s="33" t="str">
        <f>RCPminus1</f>
        <v>2018–19</v>
      </c>
      <c r="M215" s="33" t="str">
        <f>RCP_firstyear</f>
        <v>2019–20</v>
      </c>
      <c r="N215" s="33" t="str">
        <f>RCP_secondyear</f>
        <v>2020–21</v>
      </c>
      <c r="O215" s="33" t="str">
        <f>RCP_thirdyear</f>
        <v>2021–22</v>
      </c>
      <c r="P215" s="33" t="str">
        <f>RCP_fourthyear</f>
        <v>2022–23</v>
      </c>
      <c r="Q215" s="33" t="str">
        <f>RCP_lastyear</f>
        <v>2023–24</v>
      </c>
      <c r="R215" s="33" t="s">
        <v>14</v>
      </c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64"/>
      <c r="AE215" s="15"/>
      <c r="AF215" s="15"/>
      <c r="AG215" s="15"/>
      <c r="AH215" s="15"/>
    </row>
    <row r="216" spans="1:34" outlineLevel="1" x14ac:dyDescent="0.2">
      <c r="A216" s="19"/>
      <c r="B216" s="19"/>
      <c r="C216" s="36"/>
      <c r="D216" s="20"/>
      <c r="E216" s="20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19"/>
      <c r="AE216" s="19"/>
      <c r="AF216" s="19"/>
      <c r="AG216" s="19"/>
      <c r="AH216" s="19"/>
    </row>
    <row r="217" spans="1:34" outlineLevel="1" x14ac:dyDescent="0.2">
      <c r="A217" s="19"/>
      <c r="B217" s="19"/>
      <c r="C217" s="167" t="s">
        <v>136</v>
      </c>
      <c r="D217" s="20"/>
      <c r="E217" s="20"/>
      <c r="F217" s="22"/>
      <c r="G217" s="22"/>
      <c r="H217" s="22"/>
      <c r="I217" s="22"/>
      <c r="J217" s="171"/>
      <c r="K217" s="171"/>
      <c r="L217" s="171"/>
      <c r="M217" s="171"/>
      <c r="N217" s="171"/>
      <c r="O217" s="171"/>
      <c r="P217" s="171"/>
      <c r="Q217" s="171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19"/>
      <c r="AE217" s="19"/>
      <c r="AF217" s="19"/>
      <c r="AG217" s="19"/>
      <c r="AH217" s="19"/>
    </row>
    <row r="218" spans="1:34" outlineLevel="2" x14ac:dyDescent="0.2">
      <c r="A218" s="19"/>
      <c r="B218" s="19"/>
      <c r="C218" s="506">
        <f t="shared" ref="C218:D237" si="16">C102</f>
        <v>0</v>
      </c>
      <c r="D218" s="505">
        <f t="shared" si="16"/>
        <v>0</v>
      </c>
      <c r="E218" s="512"/>
      <c r="F218" s="458">
        <f t="shared" ref="F218:F238" si="17">IF(C218=0,0,revenueunits)</f>
        <v>0</v>
      </c>
      <c r="G218" s="22"/>
      <c r="H218" s="22"/>
      <c r="I218" s="22"/>
      <c r="J218" s="439"/>
      <c r="K218" s="439"/>
      <c r="L218" s="439"/>
      <c r="M218" s="439"/>
      <c r="N218" s="439"/>
      <c r="O218" s="439"/>
      <c r="P218" s="439"/>
      <c r="Q218" s="439"/>
      <c r="R218" s="144" t="s">
        <v>323</v>
      </c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19"/>
      <c r="AF218" s="19"/>
      <c r="AG218" s="19"/>
      <c r="AH218" s="19"/>
    </row>
    <row r="219" spans="1:34" s="59" customFormat="1" outlineLevel="2" x14ac:dyDescent="0.2">
      <c r="A219" s="57"/>
      <c r="B219" s="57"/>
      <c r="C219" s="506">
        <f t="shared" si="16"/>
        <v>0</v>
      </c>
      <c r="D219" s="505">
        <f t="shared" si="16"/>
        <v>0</v>
      </c>
      <c r="E219" s="536"/>
      <c r="F219" s="458">
        <f t="shared" si="17"/>
        <v>0</v>
      </c>
      <c r="G219" s="58"/>
      <c r="H219" s="58"/>
      <c r="I219" s="58"/>
      <c r="J219" s="440"/>
      <c r="K219" s="440"/>
      <c r="L219" s="440"/>
      <c r="M219" s="440"/>
      <c r="N219" s="440"/>
      <c r="O219" s="440"/>
      <c r="P219" s="440"/>
      <c r="Q219" s="440"/>
      <c r="R219" s="75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57"/>
      <c r="AF219" s="57"/>
      <c r="AG219" s="57"/>
      <c r="AH219" s="57"/>
    </row>
    <row r="220" spans="1:34" outlineLevel="2" x14ac:dyDescent="0.2">
      <c r="A220" s="19"/>
      <c r="B220" s="19"/>
      <c r="C220" s="506">
        <f t="shared" si="16"/>
        <v>0</v>
      </c>
      <c r="D220" s="505">
        <f t="shared" si="16"/>
        <v>0</v>
      </c>
      <c r="E220" s="536"/>
      <c r="F220" s="458">
        <f t="shared" si="17"/>
        <v>0</v>
      </c>
      <c r="G220" s="58"/>
      <c r="H220" s="58"/>
      <c r="I220" s="58"/>
      <c r="J220" s="440"/>
      <c r="K220" s="440"/>
      <c r="L220" s="440"/>
      <c r="M220" s="440"/>
      <c r="N220" s="440"/>
      <c r="O220" s="440"/>
      <c r="P220" s="440"/>
      <c r="Q220" s="440"/>
      <c r="R220" s="75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0"/>
      <c r="AE220" s="19"/>
      <c r="AF220" s="19"/>
      <c r="AG220" s="19"/>
      <c r="AH220" s="19"/>
    </row>
    <row r="221" spans="1:34" outlineLevel="2" x14ac:dyDescent="0.2">
      <c r="A221" s="19"/>
      <c r="B221" s="19"/>
      <c r="C221" s="506">
        <f t="shared" si="16"/>
        <v>0</v>
      </c>
      <c r="D221" s="505">
        <f t="shared" si="16"/>
        <v>0</v>
      </c>
      <c r="E221" s="536"/>
      <c r="F221" s="458">
        <f t="shared" si="17"/>
        <v>0</v>
      </c>
      <c r="G221" s="58"/>
      <c r="H221" s="58"/>
      <c r="I221" s="58"/>
      <c r="J221" s="440"/>
      <c r="K221" s="440"/>
      <c r="L221" s="440"/>
      <c r="M221" s="440"/>
      <c r="N221" s="440"/>
      <c r="O221" s="440"/>
      <c r="P221" s="440"/>
      <c r="Q221" s="440"/>
      <c r="R221" s="75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0"/>
      <c r="AE221" s="19"/>
      <c r="AF221" s="19"/>
      <c r="AG221" s="19"/>
      <c r="AH221" s="19"/>
    </row>
    <row r="222" spans="1:34" outlineLevel="2" x14ac:dyDescent="0.2">
      <c r="A222" s="19"/>
      <c r="B222" s="19"/>
      <c r="C222" s="506">
        <f t="shared" si="16"/>
        <v>0</v>
      </c>
      <c r="D222" s="505">
        <f t="shared" si="16"/>
        <v>0</v>
      </c>
      <c r="E222" s="536"/>
      <c r="F222" s="458">
        <f t="shared" si="17"/>
        <v>0</v>
      </c>
      <c r="G222" s="58"/>
      <c r="H222" s="58"/>
      <c r="I222" s="58"/>
      <c r="J222" s="440"/>
      <c r="K222" s="440"/>
      <c r="L222" s="440"/>
      <c r="M222" s="440"/>
      <c r="N222" s="440"/>
      <c r="O222" s="440"/>
      <c r="P222" s="440"/>
      <c r="Q222" s="440"/>
      <c r="R222" s="75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0"/>
      <c r="AE222" s="19"/>
      <c r="AF222" s="19"/>
      <c r="AG222" s="19"/>
      <c r="AH222" s="19"/>
    </row>
    <row r="223" spans="1:34" outlineLevel="2" x14ac:dyDescent="0.2">
      <c r="A223" s="19"/>
      <c r="B223" s="19"/>
      <c r="C223" s="506">
        <f t="shared" si="16"/>
        <v>0</v>
      </c>
      <c r="D223" s="505">
        <f t="shared" si="16"/>
        <v>0</v>
      </c>
      <c r="E223" s="536"/>
      <c r="F223" s="458">
        <f t="shared" si="17"/>
        <v>0</v>
      </c>
      <c r="G223" s="58"/>
      <c r="H223" s="58"/>
      <c r="I223" s="58"/>
      <c r="J223" s="440"/>
      <c r="K223" s="440"/>
      <c r="L223" s="440"/>
      <c r="M223" s="440"/>
      <c r="N223" s="440"/>
      <c r="O223" s="440"/>
      <c r="P223" s="440"/>
      <c r="Q223" s="440"/>
      <c r="R223" s="75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0"/>
      <c r="AE223" s="19"/>
      <c r="AF223" s="19"/>
      <c r="AG223" s="19"/>
      <c r="AH223" s="19"/>
    </row>
    <row r="224" spans="1:34" outlineLevel="2" x14ac:dyDescent="0.2">
      <c r="A224" s="19"/>
      <c r="B224" s="19"/>
      <c r="C224" s="506">
        <f t="shared" si="16"/>
        <v>0</v>
      </c>
      <c r="D224" s="505">
        <f t="shared" si="16"/>
        <v>0</v>
      </c>
      <c r="E224" s="536"/>
      <c r="F224" s="458">
        <f t="shared" si="17"/>
        <v>0</v>
      </c>
      <c r="G224" s="58"/>
      <c r="H224" s="58"/>
      <c r="I224" s="58"/>
      <c r="J224" s="440"/>
      <c r="K224" s="440"/>
      <c r="L224" s="440"/>
      <c r="M224" s="440"/>
      <c r="N224" s="440"/>
      <c r="O224" s="440"/>
      <c r="P224" s="440"/>
      <c r="Q224" s="440"/>
      <c r="R224" s="75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0"/>
      <c r="AE224" s="19"/>
      <c r="AF224" s="19"/>
      <c r="AG224" s="19"/>
      <c r="AH224" s="19"/>
    </row>
    <row r="225" spans="1:34" outlineLevel="2" x14ac:dyDescent="0.2">
      <c r="A225" s="19"/>
      <c r="B225" s="19"/>
      <c r="C225" s="506">
        <f t="shared" si="16"/>
        <v>0</v>
      </c>
      <c r="D225" s="505">
        <f t="shared" si="16"/>
        <v>0</v>
      </c>
      <c r="E225" s="536"/>
      <c r="F225" s="458">
        <f t="shared" si="17"/>
        <v>0</v>
      </c>
      <c r="G225" s="58"/>
      <c r="H225" s="58"/>
      <c r="I225" s="58"/>
      <c r="J225" s="440"/>
      <c r="K225" s="440"/>
      <c r="L225" s="440"/>
      <c r="M225" s="440"/>
      <c r="N225" s="440"/>
      <c r="O225" s="440"/>
      <c r="P225" s="440"/>
      <c r="Q225" s="440"/>
      <c r="R225" s="75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0"/>
      <c r="AE225" s="19"/>
      <c r="AF225" s="19"/>
      <c r="AG225" s="19"/>
      <c r="AH225" s="19"/>
    </row>
    <row r="226" spans="1:34" outlineLevel="2" x14ac:dyDescent="0.2">
      <c r="A226" s="19"/>
      <c r="B226" s="19"/>
      <c r="C226" s="506">
        <f t="shared" si="16"/>
        <v>0</v>
      </c>
      <c r="D226" s="505">
        <f t="shared" si="16"/>
        <v>0</v>
      </c>
      <c r="E226" s="536"/>
      <c r="F226" s="458">
        <f t="shared" si="17"/>
        <v>0</v>
      </c>
      <c r="G226" s="58"/>
      <c r="H226" s="58"/>
      <c r="I226" s="58"/>
      <c r="J226" s="440"/>
      <c r="K226" s="440"/>
      <c r="L226" s="440"/>
      <c r="M226" s="440"/>
      <c r="N226" s="440"/>
      <c r="O226" s="440"/>
      <c r="P226" s="440"/>
      <c r="Q226" s="440"/>
      <c r="R226" s="75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0"/>
      <c r="AE226" s="19"/>
      <c r="AF226" s="19"/>
      <c r="AG226" s="19"/>
      <c r="AH226" s="19"/>
    </row>
    <row r="227" spans="1:34" outlineLevel="2" x14ac:dyDescent="0.2">
      <c r="A227" s="19"/>
      <c r="B227" s="19"/>
      <c r="C227" s="506">
        <f t="shared" si="16"/>
        <v>0</v>
      </c>
      <c r="D227" s="505">
        <f t="shared" si="16"/>
        <v>0</v>
      </c>
      <c r="E227" s="536"/>
      <c r="F227" s="458">
        <f t="shared" si="17"/>
        <v>0</v>
      </c>
      <c r="G227" s="58"/>
      <c r="H227" s="58"/>
      <c r="I227" s="58"/>
      <c r="J227" s="440"/>
      <c r="K227" s="440"/>
      <c r="L227" s="440"/>
      <c r="M227" s="440"/>
      <c r="N227" s="440"/>
      <c r="O227" s="440"/>
      <c r="P227" s="440"/>
      <c r="Q227" s="440"/>
      <c r="R227" s="75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0"/>
      <c r="AE227" s="19"/>
      <c r="AF227" s="19"/>
      <c r="AG227" s="19"/>
      <c r="AH227" s="19"/>
    </row>
    <row r="228" spans="1:34" outlineLevel="2" x14ac:dyDescent="0.2">
      <c r="A228" s="19"/>
      <c r="B228" s="19"/>
      <c r="C228" s="506">
        <f t="shared" si="16"/>
        <v>0</v>
      </c>
      <c r="D228" s="505">
        <f t="shared" si="16"/>
        <v>0</v>
      </c>
      <c r="E228" s="536"/>
      <c r="F228" s="458">
        <f t="shared" si="17"/>
        <v>0</v>
      </c>
      <c r="G228" s="58"/>
      <c r="H228" s="58"/>
      <c r="I228" s="58"/>
      <c r="J228" s="440"/>
      <c r="K228" s="440"/>
      <c r="L228" s="440"/>
      <c r="M228" s="440"/>
      <c r="N228" s="440"/>
      <c r="O228" s="440"/>
      <c r="P228" s="440"/>
      <c r="Q228" s="440"/>
      <c r="R228" s="75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0"/>
      <c r="AE228" s="19"/>
      <c r="AF228" s="19"/>
      <c r="AG228" s="19"/>
      <c r="AH228" s="19"/>
    </row>
    <row r="229" spans="1:34" outlineLevel="2" x14ac:dyDescent="0.2">
      <c r="A229" s="19"/>
      <c r="B229" s="19"/>
      <c r="C229" s="506">
        <f t="shared" si="16"/>
        <v>0</v>
      </c>
      <c r="D229" s="505">
        <f t="shared" si="16"/>
        <v>0</v>
      </c>
      <c r="E229" s="536"/>
      <c r="F229" s="458">
        <f t="shared" si="17"/>
        <v>0</v>
      </c>
      <c r="G229" s="58"/>
      <c r="H229" s="58"/>
      <c r="I229" s="58"/>
      <c r="J229" s="440"/>
      <c r="K229" s="440"/>
      <c r="L229" s="440"/>
      <c r="M229" s="440"/>
      <c r="N229" s="440"/>
      <c r="O229" s="440"/>
      <c r="P229" s="440"/>
      <c r="Q229" s="440"/>
      <c r="R229" s="75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0"/>
      <c r="AE229" s="19"/>
      <c r="AF229" s="19"/>
      <c r="AG229" s="19"/>
      <c r="AH229" s="19"/>
    </row>
    <row r="230" spans="1:34" outlineLevel="2" x14ac:dyDescent="0.2">
      <c r="A230" s="19"/>
      <c r="B230" s="19"/>
      <c r="C230" s="506">
        <f t="shared" si="16"/>
        <v>0</v>
      </c>
      <c r="D230" s="505">
        <f t="shared" si="16"/>
        <v>0</v>
      </c>
      <c r="E230" s="536"/>
      <c r="F230" s="458">
        <f t="shared" si="17"/>
        <v>0</v>
      </c>
      <c r="G230" s="58"/>
      <c r="H230" s="58"/>
      <c r="I230" s="58"/>
      <c r="J230" s="440"/>
      <c r="K230" s="440"/>
      <c r="L230" s="440"/>
      <c r="M230" s="440"/>
      <c r="N230" s="440"/>
      <c r="O230" s="440"/>
      <c r="P230" s="440"/>
      <c r="Q230" s="440"/>
      <c r="R230" s="75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0"/>
      <c r="AE230" s="19"/>
      <c r="AF230" s="19"/>
      <c r="AG230" s="19"/>
      <c r="AH230" s="19"/>
    </row>
    <row r="231" spans="1:34" outlineLevel="2" x14ac:dyDescent="0.2">
      <c r="A231" s="19"/>
      <c r="B231" s="19"/>
      <c r="C231" s="506">
        <f t="shared" si="16"/>
        <v>0</v>
      </c>
      <c r="D231" s="505">
        <f t="shared" si="16"/>
        <v>0</v>
      </c>
      <c r="E231" s="536"/>
      <c r="F231" s="458">
        <f t="shared" si="17"/>
        <v>0</v>
      </c>
      <c r="G231" s="58"/>
      <c r="H231" s="58"/>
      <c r="I231" s="58"/>
      <c r="J231" s="440"/>
      <c r="K231" s="440"/>
      <c r="L231" s="440"/>
      <c r="M231" s="440"/>
      <c r="N231" s="440"/>
      <c r="O231" s="440"/>
      <c r="P231" s="440"/>
      <c r="Q231" s="440"/>
      <c r="R231" s="75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0"/>
      <c r="AE231" s="19"/>
      <c r="AF231" s="19"/>
      <c r="AG231" s="19"/>
      <c r="AH231" s="19"/>
    </row>
    <row r="232" spans="1:34" outlineLevel="2" x14ac:dyDescent="0.2">
      <c r="A232" s="19"/>
      <c r="B232" s="19"/>
      <c r="C232" s="506">
        <f t="shared" si="16"/>
        <v>0</v>
      </c>
      <c r="D232" s="505">
        <f t="shared" si="16"/>
        <v>0</v>
      </c>
      <c r="E232" s="536"/>
      <c r="F232" s="458">
        <f t="shared" si="17"/>
        <v>0</v>
      </c>
      <c r="G232" s="58"/>
      <c r="H232" s="58"/>
      <c r="I232" s="58"/>
      <c r="J232" s="440"/>
      <c r="K232" s="440"/>
      <c r="L232" s="440"/>
      <c r="M232" s="440"/>
      <c r="N232" s="440"/>
      <c r="O232" s="440"/>
      <c r="P232" s="440"/>
      <c r="Q232" s="440"/>
      <c r="R232" s="75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0"/>
      <c r="AE232" s="19"/>
      <c r="AF232" s="19"/>
      <c r="AG232" s="19"/>
      <c r="AH232" s="19"/>
    </row>
    <row r="233" spans="1:34" outlineLevel="2" x14ac:dyDescent="0.2">
      <c r="A233" s="19"/>
      <c r="B233" s="19"/>
      <c r="C233" s="506">
        <f t="shared" si="16"/>
        <v>0</v>
      </c>
      <c r="D233" s="505">
        <f t="shared" si="16"/>
        <v>0</v>
      </c>
      <c r="E233" s="536"/>
      <c r="F233" s="458">
        <f t="shared" si="17"/>
        <v>0</v>
      </c>
      <c r="G233" s="58"/>
      <c r="H233" s="58"/>
      <c r="I233" s="58"/>
      <c r="J233" s="440"/>
      <c r="K233" s="440"/>
      <c r="L233" s="440"/>
      <c r="M233" s="440"/>
      <c r="N233" s="440"/>
      <c r="O233" s="440"/>
      <c r="P233" s="440"/>
      <c r="Q233" s="440"/>
      <c r="R233" s="75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0"/>
      <c r="AE233" s="19"/>
      <c r="AF233" s="19"/>
      <c r="AG233" s="19"/>
      <c r="AH233" s="19"/>
    </row>
    <row r="234" spans="1:34" outlineLevel="2" x14ac:dyDescent="0.2">
      <c r="A234" s="19"/>
      <c r="B234" s="19"/>
      <c r="C234" s="506">
        <f t="shared" si="16"/>
        <v>0</v>
      </c>
      <c r="D234" s="505">
        <f t="shared" si="16"/>
        <v>0</v>
      </c>
      <c r="E234" s="536"/>
      <c r="F234" s="458">
        <f t="shared" si="17"/>
        <v>0</v>
      </c>
      <c r="G234" s="58"/>
      <c r="H234" s="58"/>
      <c r="I234" s="58"/>
      <c r="J234" s="440"/>
      <c r="K234" s="440"/>
      <c r="L234" s="440"/>
      <c r="M234" s="440"/>
      <c r="N234" s="440"/>
      <c r="O234" s="440"/>
      <c r="P234" s="440"/>
      <c r="Q234" s="440"/>
      <c r="R234" s="75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0"/>
      <c r="AE234" s="19"/>
      <c r="AF234" s="19"/>
      <c r="AG234" s="19"/>
      <c r="AH234" s="19"/>
    </row>
    <row r="235" spans="1:34" outlineLevel="2" x14ac:dyDescent="0.2">
      <c r="A235" s="19"/>
      <c r="B235" s="19"/>
      <c r="C235" s="506">
        <f t="shared" si="16"/>
        <v>0</v>
      </c>
      <c r="D235" s="505">
        <f t="shared" si="16"/>
        <v>0</v>
      </c>
      <c r="E235" s="536"/>
      <c r="F235" s="458">
        <f t="shared" si="17"/>
        <v>0</v>
      </c>
      <c r="G235" s="58"/>
      <c r="H235" s="58"/>
      <c r="I235" s="58"/>
      <c r="J235" s="440"/>
      <c r="K235" s="440"/>
      <c r="L235" s="440"/>
      <c r="M235" s="440"/>
      <c r="N235" s="440"/>
      <c r="O235" s="440"/>
      <c r="P235" s="440"/>
      <c r="Q235" s="440"/>
      <c r="R235" s="75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0"/>
      <c r="AE235" s="19"/>
      <c r="AF235" s="19"/>
      <c r="AG235" s="19"/>
      <c r="AH235" s="19"/>
    </row>
    <row r="236" spans="1:34" outlineLevel="2" x14ac:dyDescent="0.2">
      <c r="A236" s="19"/>
      <c r="B236" s="19"/>
      <c r="C236" s="506">
        <f t="shared" si="16"/>
        <v>0</v>
      </c>
      <c r="D236" s="505">
        <f t="shared" si="16"/>
        <v>0</v>
      </c>
      <c r="E236" s="536"/>
      <c r="F236" s="458">
        <f t="shared" si="17"/>
        <v>0</v>
      </c>
      <c r="G236" s="58"/>
      <c r="H236" s="58"/>
      <c r="I236" s="58"/>
      <c r="J236" s="440"/>
      <c r="K236" s="440"/>
      <c r="L236" s="440"/>
      <c r="M236" s="440"/>
      <c r="N236" s="440"/>
      <c r="O236" s="440"/>
      <c r="P236" s="440"/>
      <c r="Q236" s="440"/>
      <c r="R236" s="75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0"/>
      <c r="AE236" s="19"/>
      <c r="AF236" s="19"/>
      <c r="AG236" s="19"/>
      <c r="AH236" s="19"/>
    </row>
    <row r="237" spans="1:34" outlineLevel="2" x14ac:dyDescent="0.2">
      <c r="A237" s="19"/>
      <c r="B237" s="19"/>
      <c r="C237" s="506">
        <f t="shared" si="16"/>
        <v>0</v>
      </c>
      <c r="D237" s="505">
        <f t="shared" si="16"/>
        <v>0</v>
      </c>
      <c r="E237" s="536"/>
      <c r="F237" s="458">
        <f t="shared" si="17"/>
        <v>0</v>
      </c>
      <c r="G237" s="58"/>
      <c r="H237" s="58"/>
      <c r="I237" s="58"/>
      <c r="J237" s="440"/>
      <c r="K237" s="440"/>
      <c r="L237" s="440"/>
      <c r="M237" s="440"/>
      <c r="N237" s="440"/>
      <c r="O237" s="440"/>
      <c r="P237" s="440"/>
      <c r="Q237" s="440"/>
      <c r="R237" s="75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0"/>
      <c r="AE237" s="19"/>
      <c r="AF237" s="19"/>
      <c r="AG237" s="19"/>
      <c r="AH237" s="19"/>
    </row>
    <row r="238" spans="1:34" outlineLevel="2" x14ac:dyDescent="0.2">
      <c r="A238" s="19"/>
      <c r="B238" s="19"/>
      <c r="C238" s="539" t="s">
        <v>240</v>
      </c>
      <c r="D238" s="505">
        <f>D122</f>
        <v>0</v>
      </c>
      <c r="E238" s="536"/>
      <c r="F238" s="458" t="str">
        <f t="shared" si="17"/>
        <v>$millions</v>
      </c>
      <c r="G238" s="58"/>
      <c r="H238" s="58"/>
      <c r="I238" s="58"/>
      <c r="J238" s="442">
        <f>SUM(J218:J237)</f>
        <v>0</v>
      </c>
      <c r="K238" s="442">
        <f t="shared" ref="K238:Q238" si="18">SUM(K218:K237)</f>
        <v>0</v>
      </c>
      <c r="L238" s="442">
        <f t="shared" si="18"/>
        <v>0</v>
      </c>
      <c r="M238" s="442">
        <f t="shared" si="18"/>
        <v>0</v>
      </c>
      <c r="N238" s="442">
        <f t="shared" si="18"/>
        <v>0</v>
      </c>
      <c r="O238" s="442">
        <f t="shared" si="18"/>
        <v>0</v>
      </c>
      <c r="P238" s="442">
        <f t="shared" si="18"/>
        <v>0</v>
      </c>
      <c r="Q238" s="442">
        <f t="shared" si="18"/>
        <v>0</v>
      </c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0"/>
      <c r="AE238" s="19"/>
      <c r="AF238" s="19"/>
      <c r="AG238" s="19"/>
      <c r="AH238" s="19"/>
    </row>
    <row r="239" spans="1:34" outlineLevel="1" x14ac:dyDescent="0.2">
      <c r="A239" s="19"/>
      <c r="B239" s="19"/>
      <c r="C239" s="66"/>
      <c r="D239" s="58"/>
      <c r="E239" s="58"/>
      <c r="F239" s="58"/>
      <c r="G239" s="58"/>
      <c r="H239" s="58"/>
      <c r="I239" s="58"/>
      <c r="J239" s="385"/>
      <c r="K239" s="385"/>
      <c r="L239" s="240"/>
      <c r="M239" s="240"/>
      <c r="N239" s="240"/>
      <c r="O239" s="241"/>
      <c r="P239" s="241"/>
      <c r="Q239" s="241"/>
      <c r="R239" s="72"/>
      <c r="S239" s="72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19"/>
      <c r="AF239" s="19"/>
      <c r="AG239" s="19"/>
      <c r="AH239" s="19"/>
    </row>
    <row r="240" spans="1:34" outlineLevel="1" x14ac:dyDescent="0.2">
      <c r="A240" s="19"/>
      <c r="B240" s="19"/>
      <c r="C240" s="77" t="s">
        <v>137</v>
      </c>
      <c r="D240" s="20"/>
      <c r="E240" s="20"/>
      <c r="F240" s="22"/>
      <c r="G240" s="22"/>
      <c r="H240" s="22"/>
      <c r="I240" s="22"/>
      <c r="J240" s="240"/>
      <c r="K240" s="240"/>
      <c r="L240" s="240"/>
      <c r="M240" s="240"/>
      <c r="N240" s="240"/>
      <c r="O240" s="240"/>
      <c r="P240" s="240"/>
      <c r="Q240" s="24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19"/>
      <c r="AF240" s="19"/>
      <c r="AG240" s="19"/>
      <c r="AH240" s="19"/>
    </row>
    <row r="241" spans="1:34" outlineLevel="2" x14ac:dyDescent="0.2">
      <c r="A241" s="19"/>
      <c r="B241" s="19"/>
      <c r="C241" s="506">
        <f t="shared" ref="C241:D260" si="19">C218</f>
        <v>0</v>
      </c>
      <c r="D241" s="505">
        <f t="shared" si="19"/>
        <v>0</v>
      </c>
      <c r="E241" s="512"/>
      <c r="F241" s="458">
        <f t="shared" ref="F241:F261" si="20">IF(C241=0,0,revenueunits)</f>
        <v>0</v>
      </c>
      <c r="G241" s="22"/>
      <c r="H241" s="22"/>
      <c r="I241" s="22"/>
      <c r="J241" s="439"/>
      <c r="K241" s="439"/>
      <c r="L241" s="439"/>
      <c r="M241" s="439"/>
      <c r="N241" s="439"/>
      <c r="O241" s="439"/>
      <c r="P241" s="439"/>
      <c r="Q241" s="439"/>
      <c r="R241" s="74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19"/>
      <c r="AF241" s="19"/>
      <c r="AG241" s="19"/>
      <c r="AH241" s="19"/>
    </row>
    <row r="242" spans="1:34" s="59" customFormat="1" outlineLevel="2" x14ac:dyDescent="0.2">
      <c r="A242" s="57"/>
      <c r="B242" s="57"/>
      <c r="C242" s="506">
        <f t="shared" si="19"/>
        <v>0</v>
      </c>
      <c r="D242" s="505">
        <f t="shared" si="19"/>
        <v>0</v>
      </c>
      <c r="E242" s="536"/>
      <c r="F242" s="458">
        <f t="shared" si="20"/>
        <v>0</v>
      </c>
      <c r="G242" s="58"/>
      <c r="H242" s="58"/>
      <c r="I242" s="58"/>
      <c r="J242" s="440"/>
      <c r="K242" s="440"/>
      <c r="L242" s="440"/>
      <c r="M242" s="440"/>
      <c r="N242" s="440"/>
      <c r="O242" s="440"/>
      <c r="P242" s="440"/>
      <c r="Q242" s="440"/>
      <c r="R242" s="75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57"/>
      <c r="AF242" s="57"/>
      <c r="AG242" s="57"/>
      <c r="AH242" s="57"/>
    </row>
    <row r="243" spans="1:34" outlineLevel="2" x14ac:dyDescent="0.2">
      <c r="A243" s="19"/>
      <c r="B243" s="19"/>
      <c r="C243" s="506">
        <f t="shared" si="19"/>
        <v>0</v>
      </c>
      <c r="D243" s="505">
        <f t="shared" si="19"/>
        <v>0</v>
      </c>
      <c r="E243" s="536"/>
      <c r="F243" s="458">
        <f t="shared" si="20"/>
        <v>0</v>
      </c>
      <c r="G243" s="58"/>
      <c r="H243" s="58"/>
      <c r="I243" s="58"/>
      <c r="J243" s="440"/>
      <c r="K243" s="440"/>
      <c r="L243" s="440"/>
      <c r="M243" s="440"/>
      <c r="N243" s="440"/>
      <c r="O243" s="440"/>
      <c r="P243" s="440"/>
      <c r="Q243" s="440"/>
      <c r="R243" s="75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0"/>
      <c r="AE243" s="19"/>
      <c r="AF243" s="19"/>
      <c r="AG243" s="19"/>
      <c r="AH243" s="19"/>
    </row>
    <row r="244" spans="1:34" outlineLevel="2" x14ac:dyDescent="0.2">
      <c r="A244" s="19"/>
      <c r="B244" s="19"/>
      <c r="C244" s="506">
        <f t="shared" si="19"/>
        <v>0</v>
      </c>
      <c r="D244" s="505">
        <f t="shared" si="19"/>
        <v>0</v>
      </c>
      <c r="E244" s="536"/>
      <c r="F244" s="458">
        <f t="shared" si="20"/>
        <v>0</v>
      </c>
      <c r="G244" s="58"/>
      <c r="H244" s="58"/>
      <c r="I244" s="58"/>
      <c r="J244" s="440"/>
      <c r="K244" s="440"/>
      <c r="L244" s="440"/>
      <c r="M244" s="440"/>
      <c r="N244" s="440"/>
      <c r="O244" s="440"/>
      <c r="P244" s="440"/>
      <c r="Q244" s="440"/>
      <c r="R244" s="75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0"/>
      <c r="AE244" s="19"/>
      <c r="AF244" s="19"/>
      <c r="AG244" s="19"/>
      <c r="AH244" s="19"/>
    </row>
    <row r="245" spans="1:34" outlineLevel="2" x14ac:dyDescent="0.2">
      <c r="A245" s="19"/>
      <c r="B245" s="19"/>
      <c r="C245" s="506">
        <f t="shared" si="19"/>
        <v>0</v>
      </c>
      <c r="D245" s="505">
        <f t="shared" si="19"/>
        <v>0</v>
      </c>
      <c r="E245" s="536"/>
      <c r="F245" s="458">
        <f t="shared" si="20"/>
        <v>0</v>
      </c>
      <c r="G245" s="58"/>
      <c r="H245" s="58"/>
      <c r="I245" s="58"/>
      <c r="J245" s="440"/>
      <c r="K245" s="440"/>
      <c r="L245" s="440"/>
      <c r="M245" s="440"/>
      <c r="N245" s="440"/>
      <c r="O245" s="440"/>
      <c r="P245" s="440"/>
      <c r="Q245" s="440"/>
      <c r="R245" s="75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0"/>
      <c r="AE245" s="19"/>
      <c r="AF245" s="19"/>
      <c r="AG245" s="19"/>
      <c r="AH245" s="19"/>
    </row>
    <row r="246" spans="1:34" outlineLevel="2" x14ac:dyDescent="0.2">
      <c r="A246" s="19"/>
      <c r="B246" s="19"/>
      <c r="C246" s="506">
        <f t="shared" si="19"/>
        <v>0</v>
      </c>
      <c r="D246" s="505">
        <f t="shared" si="19"/>
        <v>0</v>
      </c>
      <c r="E246" s="536"/>
      <c r="F246" s="458">
        <f t="shared" si="20"/>
        <v>0</v>
      </c>
      <c r="G246" s="58"/>
      <c r="H246" s="58"/>
      <c r="I246" s="58"/>
      <c r="J246" s="440"/>
      <c r="K246" s="440"/>
      <c r="L246" s="440"/>
      <c r="M246" s="440"/>
      <c r="N246" s="440"/>
      <c r="O246" s="440"/>
      <c r="P246" s="440"/>
      <c r="Q246" s="440"/>
      <c r="R246" s="75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0"/>
      <c r="AE246" s="19"/>
      <c r="AF246" s="19"/>
      <c r="AG246" s="19"/>
      <c r="AH246" s="19"/>
    </row>
    <row r="247" spans="1:34" outlineLevel="2" x14ac:dyDescent="0.2">
      <c r="A247" s="19"/>
      <c r="B247" s="19"/>
      <c r="C247" s="506">
        <f t="shared" si="19"/>
        <v>0</v>
      </c>
      <c r="D247" s="505">
        <f t="shared" si="19"/>
        <v>0</v>
      </c>
      <c r="E247" s="536"/>
      <c r="F247" s="458">
        <f t="shared" si="20"/>
        <v>0</v>
      </c>
      <c r="G247" s="58"/>
      <c r="H247" s="58"/>
      <c r="I247" s="58"/>
      <c r="J247" s="440"/>
      <c r="K247" s="440"/>
      <c r="L247" s="440"/>
      <c r="M247" s="440"/>
      <c r="N247" s="440"/>
      <c r="O247" s="440"/>
      <c r="P247" s="440"/>
      <c r="Q247" s="440"/>
      <c r="R247" s="75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0"/>
      <c r="AE247" s="19"/>
      <c r="AF247" s="19"/>
      <c r="AG247" s="19"/>
      <c r="AH247" s="19"/>
    </row>
    <row r="248" spans="1:34" outlineLevel="2" x14ac:dyDescent="0.2">
      <c r="A248" s="19"/>
      <c r="B248" s="19"/>
      <c r="C248" s="506">
        <f t="shared" si="19"/>
        <v>0</v>
      </c>
      <c r="D248" s="505">
        <f t="shared" si="19"/>
        <v>0</v>
      </c>
      <c r="E248" s="536"/>
      <c r="F248" s="458">
        <f t="shared" si="20"/>
        <v>0</v>
      </c>
      <c r="G248" s="58"/>
      <c r="H248" s="58"/>
      <c r="I248" s="58"/>
      <c r="J248" s="440"/>
      <c r="K248" s="440"/>
      <c r="L248" s="440"/>
      <c r="M248" s="440"/>
      <c r="N248" s="440"/>
      <c r="O248" s="440"/>
      <c r="P248" s="440"/>
      <c r="Q248" s="440"/>
      <c r="R248" s="75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0"/>
      <c r="AE248" s="19"/>
      <c r="AF248" s="19"/>
      <c r="AG248" s="19"/>
      <c r="AH248" s="19"/>
    </row>
    <row r="249" spans="1:34" outlineLevel="2" x14ac:dyDescent="0.2">
      <c r="A249" s="19"/>
      <c r="B249" s="19"/>
      <c r="C249" s="506">
        <f t="shared" si="19"/>
        <v>0</v>
      </c>
      <c r="D249" s="505">
        <f t="shared" si="19"/>
        <v>0</v>
      </c>
      <c r="E249" s="536"/>
      <c r="F249" s="458">
        <f t="shared" si="20"/>
        <v>0</v>
      </c>
      <c r="G249" s="58"/>
      <c r="H249" s="58"/>
      <c r="I249" s="58"/>
      <c r="J249" s="440"/>
      <c r="K249" s="440"/>
      <c r="L249" s="440"/>
      <c r="M249" s="440"/>
      <c r="N249" s="440"/>
      <c r="O249" s="440"/>
      <c r="P249" s="440"/>
      <c r="Q249" s="440"/>
      <c r="R249" s="75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0"/>
      <c r="AE249" s="19"/>
      <c r="AF249" s="19"/>
      <c r="AG249" s="19"/>
      <c r="AH249" s="19"/>
    </row>
    <row r="250" spans="1:34" outlineLevel="2" x14ac:dyDescent="0.2">
      <c r="A250" s="19"/>
      <c r="B250" s="19"/>
      <c r="C250" s="506">
        <f t="shared" si="19"/>
        <v>0</v>
      </c>
      <c r="D250" s="505">
        <f t="shared" si="19"/>
        <v>0</v>
      </c>
      <c r="E250" s="536"/>
      <c r="F250" s="458">
        <f t="shared" si="20"/>
        <v>0</v>
      </c>
      <c r="G250" s="58"/>
      <c r="H250" s="58"/>
      <c r="I250" s="58"/>
      <c r="J250" s="440"/>
      <c r="K250" s="440"/>
      <c r="L250" s="440"/>
      <c r="M250" s="440"/>
      <c r="N250" s="440"/>
      <c r="O250" s="440"/>
      <c r="P250" s="440"/>
      <c r="Q250" s="440"/>
      <c r="R250" s="75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0"/>
      <c r="AE250" s="19"/>
      <c r="AF250" s="19"/>
      <c r="AG250" s="19"/>
      <c r="AH250" s="19"/>
    </row>
    <row r="251" spans="1:34" outlineLevel="2" x14ac:dyDescent="0.2">
      <c r="A251" s="19"/>
      <c r="B251" s="19"/>
      <c r="C251" s="506">
        <f t="shared" si="19"/>
        <v>0</v>
      </c>
      <c r="D251" s="505">
        <f t="shared" si="19"/>
        <v>0</v>
      </c>
      <c r="E251" s="536"/>
      <c r="F251" s="458">
        <f t="shared" si="20"/>
        <v>0</v>
      </c>
      <c r="G251" s="58"/>
      <c r="H251" s="58"/>
      <c r="I251" s="58"/>
      <c r="J251" s="440"/>
      <c r="K251" s="440"/>
      <c r="L251" s="440"/>
      <c r="M251" s="440"/>
      <c r="N251" s="440"/>
      <c r="O251" s="440"/>
      <c r="P251" s="440"/>
      <c r="Q251" s="440"/>
      <c r="R251" s="75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0"/>
      <c r="AE251" s="19"/>
      <c r="AF251" s="19"/>
      <c r="AG251" s="19"/>
      <c r="AH251" s="19"/>
    </row>
    <row r="252" spans="1:34" outlineLevel="2" x14ac:dyDescent="0.2">
      <c r="A252" s="19"/>
      <c r="B252" s="19"/>
      <c r="C252" s="506">
        <f t="shared" si="19"/>
        <v>0</v>
      </c>
      <c r="D252" s="505">
        <f t="shared" si="19"/>
        <v>0</v>
      </c>
      <c r="E252" s="536"/>
      <c r="F252" s="458">
        <f t="shared" si="20"/>
        <v>0</v>
      </c>
      <c r="G252" s="58"/>
      <c r="H252" s="58"/>
      <c r="I252" s="58"/>
      <c r="J252" s="440"/>
      <c r="K252" s="440"/>
      <c r="L252" s="440"/>
      <c r="M252" s="440"/>
      <c r="N252" s="440"/>
      <c r="O252" s="440"/>
      <c r="P252" s="440"/>
      <c r="Q252" s="440"/>
      <c r="R252" s="75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0"/>
      <c r="AE252" s="19"/>
      <c r="AF252" s="19"/>
      <c r="AG252" s="19"/>
      <c r="AH252" s="19"/>
    </row>
    <row r="253" spans="1:34" outlineLevel="2" x14ac:dyDescent="0.2">
      <c r="A253" s="19"/>
      <c r="B253" s="19"/>
      <c r="C253" s="506">
        <f t="shared" si="19"/>
        <v>0</v>
      </c>
      <c r="D253" s="505">
        <f t="shared" si="19"/>
        <v>0</v>
      </c>
      <c r="E253" s="536"/>
      <c r="F253" s="458">
        <f t="shared" si="20"/>
        <v>0</v>
      </c>
      <c r="G253" s="58"/>
      <c r="H253" s="58"/>
      <c r="I253" s="58"/>
      <c r="J253" s="440"/>
      <c r="K253" s="440"/>
      <c r="L253" s="440"/>
      <c r="M253" s="440"/>
      <c r="N253" s="440"/>
      <c r="O253" s="440"/>
      <c r="P253" s="440"/>
      <c r="Q253" s="440"/>
      <c r="R253" s="75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0"/>
      <c r="AE253" s="19"/>
      <c r="AF253" s="19"/>
      <c r="AG253" s="19"/>
      <c r="AH253" s="19"/>
    </row>
    <row r="254" spans="1:34" outlineLevel="2" x14ac:dyDescent="0.2">
      <c r="A254" s="19"/>
      <c r="B254" s="19"/>
      <c r="C254" s="506">
        <f t="shared" si="19"/>
        <v>0</v>
      </c>
      <c r="D254" s="505">
        <f t="shared" si="19"/>
        <v>0</v>
      </c>
      <c r="E254" s="536"/>
      <c r="F254" s="458">
        <f t="shared" si="20"/>
        <v>0</v>
      </c>
      <c r="G254" s="58"/>
      <c r="H254" s="58"/>
      <c r="I254" s="58"/>
      <c r="J254" s="440"/>
      <c r="K254" s="440"/>
      <c r="L254" s="440"/>
      <c r="M254" s="440"/>
      <c r="N254" s="440"/>
      <c r="O254" s="440"/>
      <c r="P254" s="440"/>
      <c r="Q254" s="440"/>
      <c r="R254" s="75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0"/>
      <c r="AE254" s="19"/>
      <c r="AF254" s="19"/>
      <c r="AG254" s="19"/>
      <c r="AH254" s="19"/>
    </row>
    <row r="255" spans="1:34" outlineLevel="2" x14ac:dyDescent="0.2">
      <c r="A255" s="19"/>
      <c r="B255" s="19"/>
      <c r="C255" s="506">
        <f t="shared" si="19"/>
        <v>0</v>
      </c>
      <c r="D255" s="505">
        <f t="shared" si="19"/>
        <v>0</v>
      </c>
      <c r="E255" s="536"/>
      <c r="F255" s="458">
        <f t="shared" si="20"/>
        <v>0</v>
      </c>
      <c r="G255" s="58"/>
      <c r="H255" s="58"/>
      <c r="I255" s="58"/>
      <c r="J255" s="440"/>
      <c r="K255" s="440"/>
      <c r="L255" s="440"/>
      <c r="M255" s="440"/>
      <c r="N255" s="440"/>
      <c r="O255" s="440"/>
      <c r="P255" s="440"/>
      <c r="Q255" s="440"/>
      <c r="R255" s="75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0"/>
      <c r="AE255" s="19"/>
      <c r="AF255" s="19"/>
      <c r="AG255" s="19"/>
      <c r="AH255" s="19"/>
    </row>
    <row r="256" spans="1:34" outlineLevel="2" x14ac:dyDescent="0.2">
      <c r="A256" s="19"/>
      <c r="B256" s="19"/>
      <c r="C256" s="506">
        <f t="shared" si="19"/>
        <v>0</v>
      </c>
      <c r="D256" s="505">
        <f t="shared" si="19"/>
        <v>0</v>
      </c>
      <c r="E256" s="536"/>
      <c r="F256" s="458">
        <f t="shared" si="20"/>
        <v>0</v>
      </c>
      <c r="G256" s="58"/>
      <c r="H256" s="58"/>
      <c r="I256" s="58"/>
      <c r="J256" s="440"/>
      <c r="K256" s="440"/>
      <c r="L256" s="440"/>
      <c r="M256" s="440"/>
      <c r="N256" s="440"/>
      <c r="O256" s="440"/>
      <c r="P256" s="440"/>
      <c r="Q256" s="440"/>
      <c r="R256" s="75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0"/>
      <c r="AE256" s="19"/>
      <c r="AF256" s="19"/>
      <c r="AG256" s="19"/>
      <c r="AH256" s="19"/>
    </row>
    <row r="257" spans="1:34" outlineLevel="2" x14ac:dyDescent="0.2">
      <c r="A257" s="19"/>
      <c r="B257" s="19"/>
      <c r="C257" s="506">
        <f t="shared" si="19"/>
        <v>0</v>
      </c>
      <c r="D257" s="505">
        <f t="shared" si="19"/>
        <v>0</v>
      </c>
      <c r="E257" s="536"/>
      <c r="F257" s="458">
        <f t="shared" si="20"/>
        <v>0</v>
      </c>
      <c r="G257" s="58"/>
      <c r="H257" s="58"/>
      <c r="I257" s="58"/>
      <c r="J257" s="440"/>
      <c r="K257" s="440"/>
      <c r="L257" s="440"/>
      <c r="M257" s="440"/>
      <c r="N257" s="440"/>
      <c r="O257" s="440"/>
      <c r="P257" s="440"/>
      <c r="Q257" s="440"/>
      <c r="R257" s="75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0"/>
      <c r="AE257" s="19"/>
      <c r="AF257" s="19"/>
      <c r="AG257" s="19"/>
      <c r="AH257" s="19"/>
    </row>
    <row r="258" spans="1:34" outlineLevel="2" x14ac:dyDescent="0.2">
      <c r="A258" s="19"/>
      <c r="B258" s="19"/>
      <c r="C258" s="506">
        <f t="shared" si="19"/>
        <v>0</v>
      </c>
      <c r="D258" s="505">
        <f t="shared" si="19"/>
        <v>0</v>
      </c>
      <c r="E258" s="536"/>
      <c r="F258" s="458">
        <f t="shared" si="20"/>
        <v>0</v>
      </c>
      <c r="G258" s="58"/>
      <c r="H258" s="58"/>
      <c r="I258" s="58"/>
      <c r="J258" s="440"/>
      <c r="K258" s="440"/>
      <c r="L258" s="440"/>
      <c r="M258" s="440"/>
      <c r="N258" s="440"/>
      <c r="O258" s="440"/>
      <c r="P258" s="440"/>
      <c r="Q258" s="440"/>
      <c r="R258" s="75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0"/>
      <c r="AE258" s="19"/>
      <c r="AF258" s="19"/>
      <c r="AG258" s="19"/>
      <c r="AH258" s="19"/>
    </row>
    <row r="259" spans="1:34" outlineLevel="2" x14ac:dyDescent="0.2">
      <c r="A259" s="19"/>
      <c r="B259" s="19"/>
      <c r="C259" s="506">
        <f t="shared" si="19"/>
        <v>0</v>
      </c>
      <c r="D259" s="505">
        <f t="shared" si="19"/>
        <v>0</v>
      </c>
      <c r="E259" s="536"/>
      <c r="F259" s="458">
        <f t="shared" si="20"/>
        <v>0</v>
      </c>
      <c r="G259" s="58"/>
      <c r="H259" s="58"/>
      <c r="I259" s="58"/>
      <c r="J259" s="440"/>
      <c r="K259" s="440"/>
      <c r="L259" s="440"/>
      <c r="M259" s="440"/>
      <c r="N259" s="440"/>
      <c r="O259" s="440"/>
      <c r="P259" s="440"/>
      <c r="Q259" s="440"/>
      <c r="R259" s="75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0"/>
      <c r="AE259" s="19"/>
      <c r="AF259" s="19"/>
      <c r="AG259" s="19"/>
      <c r="AH259" s="19"/>
    </row>
    <row r="260" spans="1:34" outlineLevel="2" x14ac:dyDescent="0.2">
      <c r="A260" s="19"/>
      <c r="B260" s="19"/>
      <c r="C260" s="506">
        <f t="shared" si="19"/>
        <v>0</v>
      </c>
      <c r="D260" s="505">
        <f t="shared" si="19"/>
        <v>0</v>
      </c>
      <c r="E260" s="536"/>
      <c r="F260" s="458">
        <f t="shared" si="20"/>
        <v>0</v>
      </c>
      <c r="G260" s="58"/>
      <c r="H260" s="58"/>
      <c r="I260" s="58"/>
      <c r="J260" s="440"/>
      <c r="K260" s="440"/>
      <c r="L260" s="440"/>
      <c r="M260" s="440"/>
      <c r="N260" s="440"/>
      <c r="O260" s="440"/>
      <c r="P260" s="440"/>
      <c r="Q260" s="440"/>
      <c r="R260" s="75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0"/>
      <c r="AE260" s="19"/>
      <c r="AF260" s="19"/>
      <c r="AG260" s="19"/>
      <c r="AH260" s="19"/>
    </row>
    <row r="261" spans="1:34" outlineLevel="2" x14ac:dyDescent="0.2">
      <c r="A261" s="19"/>
      <c r="B261" s="19"/>
      <c r="C261" s="539" t="s">
        <v>240</v>
      </c>
      <c r="D261" s="505">
        <f>D145</f>
        <v>0</v>
      </c>
      <c r="E261" s="536"/>
      <c r="F261" s="458" t="str">
        <f t="shared" si="20"/>
        <v>$millions</v>
      </c>
      <c r="G261" s="58"/>
      <c r="H261" s="58"/>
      <c r="I261" s="58"/>
      <c r="J261" s="442">
        <f t="shared" ref="J261:Q261" si="21">SUM(J241:J260)</f>
        <v>0</v>
      </c>
      <c r="K261" s="442">
        <f t="shared" si="21"/>
        <v>0</v>
      </c>
      <c r="L261" s="442">
        <f t="shared" si="21"/>
        <v>0</v>
      </c>
      <c r="M261" s="442">
        <f t="shared" si="21"/>
        <v>0</v>
      </c>
      <c r="N261" s="442">
        <f t="shared" si="21"/>
        <v>0</v>
      </c>
      <c r="O261" s="442">
        <f t="shared" si="21"/>
        <v>0</v>
      </c>
      <c r="P261" s="442">
        <f t="shared" si="21"/>
        <v>0</v>
      </c>
      <c r="Q261" s="442">
        <f t="shared" si="21"/>
        <v>0</v>
      </c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0"/>
      <c r="AE261" s="19"/>
      <c r="AF261" s="19"/>
      <c r="AG261" s="19"/>
      <c r="AH261" s="19"/>
    </row>
    <row r="262" spans="1:34" outlineLevel="1" x14ac:dyDescent="0.2">
      <c r="A262" s="19"/>
      <c r="B262" s="19"/>
      <c r="C262" s="66"/>
      <c r="D262" s="66"/>
      <c r="E262" s="58"/>
      <c r="F262" s="58"/>
      <c r="G262" s="58"/>
      <c r="H262" s="58"/>
      <c r="I262" s="58"/>
      <c r="J262" s="385"/>
      <c r="K262" s="385"/>
      <c r="L262" s="385"/>
      <c r="M262" s="385"/>
      <c r="N262" s="385"/>
      <c r="O262" s="385"/>
      <c r="P262" s="385"/>
      <c r="Q262" s="385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0"/>
      <c r="AE262" s="19"/>
      <c r="AF262" s="19"/>
      <c r="AG262" s="19"/>
      <c r="AH262" s="19"/>
    </row>
    <row r="263" spans="1:34" outlineLevel="1" x14ac:dyDescent="0.2">
      <c r="A263" s="19"/>
      <c r="B263" s="19"/>
      <c r="C263" s="77" t="s">
        <v>138</v>
      </c>
      <c r="D263" s="20"/>
      <c r="E263" s="20"/>
      <c r="F263" s="22"/>
      <c r="G263" s="22"/>
      <c r="H263" s="22"/>
      <c r="I263" s="22"/>
      <c r="J263" s="240"/>
      <c r="K263" s="240"/>
      <c r="L263" s="240"/>
      <c r="M263" s="240"/>
      <c r="N263" s="240"/>
      <c r="O263" s="240"/>
      <c r="P263" s="240"/>
      <c r="Q263" s="24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19"/>
      <c r="AF263" s="19"/>
      <c r="AG263" s="19"/>
      <c r="AH263" s="19"/>
    </row>
    <row r="264" spans="1:34" outlineLevel="2" x14ac:dyDescent="0.2">
      <c r="A264" s="19"/>
      <c r="B264" s="19"/>
      <c r="C264" s="506">
        <f t="shared" ref="C264:D283" si="22">C241</f>
        <v>0</v>
      </c>
      <c r="D264" s="505">
        <f t="shared" si="22"/>
        <v>0</v>
      </c>
      <c r="E264" s="512"/>
      <c r="F264" s="458">
        <f t="shared" ref="F264:F284" si="23">IF(C264=0,0,revenueunits)</f>
        <v>0</v>
      </c>
      <c r="G264" s="22"/>
      <c r="H264" s="22"/>
      <c r="I264" s="22"/>
      <c r="J264" s="439"/>
      <c r="K264" s="439"/>
      <c r="L264" s="439"/>
      <c r="M264" s="439"/>
      <c r="N264" s="439"/>
      <c r="O264" s="439"/>
      <c r="P264" s="439"/>
      <c r="Q264" s="439"/>
      <c r="R264" s="74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19"/>
      <c r="AF264" s="19"/>
      <c r="AG264" s="19"/>
      <c r="AH264" s="19"/>
    </row>
    <row r="265" spans="1:34" s="59" customFormat="1" outlineLevel="2" x14ac:dyDescent="0.2">
      <c r="A265" s="57"/>
      <c r="B265" s="57"/>
      <c r="C265" s="506">
        <f t="shared" si="22"/>
        <v>0</v>
      </c>
      <c r="D265" s="505">
        <f t="shared" si="22"/>
        <v>0</v>
      </c>
      <c r="E265" s="536"/>
      <c r="F265" s="458">
        <f t="shared" si="23"/>
        <v>0</v>
      </c>
      <c r="G265" s="58"/>
      <c r="H265" s="58"/>
      <c r="I265" s="58"/>
      <c r="J265" s="440"/>
      <c r="K265" s="440"/>
      <c r="L265" s="440"/>
      <c r="M265" s="440"/>
      <c r="N265" s="440"/>
      <c r="O265" s="440"/>
      <c r="P265" s="440"/>
      <c r="Q265" s="440"/>
      <c r="R265" s="75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57"/>
      <c r="AF265" s="57"/>
      <c r="AG265" s="57"/>
      <c r="AH265" s="57"/>
    </row>
    <row r="266" spans="1:34" outlineLevel="2" x14ac:dyDescent="0.2">
      <c r="A266" s="19"/>
      <c r="B266" s="19"/>
      <c r="C266" s="506">
        <f t="shared" si="22"/>
        <v>0</v>
      </c>
      <c r="D266" s="505">
        <f t="shared" si="22"/>
        <v>0</v>
      </c>
      <c r="E266" s="536"/>
      <c r="F266" s="458">
        <f t="shared" si="23"/>
        <v>0</v>
      </c>
      <c r="G266" s="58"/>
      <c r="H266" s="58"/>
      <c r="I266" s="58"/>
      <c r="J266" s="440"/>
      <c r="K266" s="440"/>
      <c r="L266" s="440"/>
      <c r="M266" s="440"/>
      <c r="N266" s="440"/>
      <c r="O266" s="440"/>
      <c r="P266" s="440"/>
      <c r="Q266" s="440"/>
      <c r="R266" s="75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0"/>
      <c r="AE266" s="19"/>
      <c r="AF266" s="19"/>
      <c r="AG266" s="19"/>
      <c r="AH266" s="19"/>
    </row>
    <row r="267" spans="1:34" outlineLevel="2" x14ac:dyDescent="0.2">
      <c r="A267" s="19"/>
      <c r="B267" s="19"/>
      <c r="C267" s="506">
        <f t="shared" si="22"/>
        <v>0</v>
      </c>
      <c r="D267" s="505">
        <f t="shared" si="22"/>
        <v>0</v>
      </c>
      <c r="E267" s="536"/>
      <c r="F267" s="458">
        <f t="shared" si="23"/>
        <v>0</v>
      </c>
      <c r="G267" s="58"/>
      <c r="H267" s="58"/>
      <c r="I267" s="58"/>
      <c r="J267" s="440"/>
      <c r="K267" s="440"/>
      <c r="L267" s="440"/>
      <c r="M267" s="440"/>
      <c r="N267" s="440"/>
      <c r="O267" s="440"/>
      <c r="P267" s="440"/>
      <c r="Q267" s="440"/>
      <c r="R267" s="75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0"/>
      <c r="AE267" s="19"/>
      <c r="AF267" s="19"/>
      <c r="AG267" s="19"/>
      <c r="AH267" s="19"/>
    </row>
    <row r="268" spans="1:34" outlineLevel="2" x14ac:dyDescent="0.2">
      <c r="A268" s="19"/>
      <c r="B268" s="19"/>
      <c r="C268" s="506">
        <f t="shared" si="22"/>
        <v>0</v>
      </c>
      <c r="D268" s="505">
        <f t="shared" si="22"/>
        <v>0</v>
      </c>
      <c r="E268" s="536"/>
      <c r="F268" s="458">
        <f t="shared" si="23"/>
        <v>0</v>
      </c>
      <c r="G268" s="58"/>
      <c r="H268" s="58"/>
      <c r="I268" s="58"/>
      <c r="J268" s="440"/>
      <c r="K268" s="440"/>
      <c r="L268" s="440"/>
      <c r="M268" s="440"/>
      <c r="N268" s="440"/>
      <c r="O268" s="440"/>
      <c r="P268" s="440"/>
      <c r="Q268" s="440"/>
      <c r="R268" s="75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0"/>
      <c r="AE268" s="19"/>
      <c r="AF268" s="19"/>
      <c r="AG268" s="19"/>
      <c r="AH268" s="19"/>
    </row>
    <row r="269" spans="1:34" outlineLevel="2" x14ac:dyDescent="0.2">
      <c r="A269" s="19"/>
      <c r="B269" s="19"/>
      <c r="C269" s="506">
        <f t="shared" si="22"/>
        <v>0</v>
      </c>
      <c r="D269" s="505">
        <f t="shared" si="22"/>
        <v>0</v>
      </c>
      <c r="E269" s="536"/>
      <c r="F269" s="458">
        <f t="shared" si="23"/>
        <v>0</v>
      </c>
      <c r="G269" s="58"/>
      <c r="H269" s="58"/>
      <c r="I269" s="58"/>
      <c r="J269" s="440"/>
      <c r="K269" s="440"/>
      <c r="L269" s="440"/>
      <c r="M269" s="440"/>
      <c r="N269" s="440"/>
      <c r="O269" s="440"/>
      <c r="P269" s="440"/>
      <c r="Q269" s="440"/>
      <c r="R269" s="75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0"/>
      <c r="AE269" s="19"/>
      <c r="AF269" s="19"/>
      <c r="AG269" s="19"/>
      <c r="AH269" s="19"/>
    </row>
    <row r="270" spans="1:34" outlineLevel="2" x14ac:dyDescent="0.2">
      <c r="A270" s="19"/>
      <c r="B270" s="19"/>
      <c r="C270" s="506">
        <f t="shared" si="22"/>
        <v>0</v>
      </c>
      <c r="D270" s="505">
        <f t="shared" si="22"/>
        <v>0</v>
      </c>
      <c r="E270" s="536"/>
      <c r="F270" s="458">
        <f t="shared" si="23"/>
        <v>0</v>
      </c>
      <c r="G270" s="58"/>
      <c r="H270" s="58"/>
      <c r="I270" s="58"/>
      <c r="J270" s="440"/>
      <c r="K270" s="440"/>
      <c r="L270" s="440"/>
      <c r="M270" s="440"/>
      <c r="N270" s="440"/>
      <c r="O270" s="440"/>
      <c r="P270" s="440"/>
      <c r="Q270" s="440"/>
      <c r="R270" s="75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0"/>
      <c r="AE270" s="19"/>
      <c r="AF270" s="19"/>
      <c r="AG270" s="19"/>
      <c r="AH270" s="19"/>
    </row>
    <row r="271" spans="1:34" outlineLevel="2" x14ac:dyDescent="0.2">
      <c r="A271" s="19"/>
      <c r="B271" s="19"/>
      <c r="C271" s="506">
        <f t="shared" si="22"/>
        <v>0</v>
      </c>
      <c r="D271" s="505">
        <f t="shared" si="22"/>
        <v>0</v>
      </c>
      <c r="E271" s="536"/>
      <c r="F271" s="458">
        <f t="shared" si="23"/>
        <v>0</v>
      </c>
      <c r="G271" s="58"/>
      <c r="H271" s="58"/>
      <c r="I271" s="58"/>
      <c r="J271" s="440"/>
      <c r="K271" s="440"/>
      <c r="L271" s="440"/>
      <c r="M271" s="440"/>
      <c r="N271" s="440"/>
      <c r="O271" s="440"/>
      <c r="P271" s="440"/>
      <c r="Q271" s="440"/>
      <c r="R271" s="75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0"/>
      <c r="AE271" s="19"/>
      <c r="AF271" s="19"/>
      <c r="AG271" s="19"/>
      <c r="AH271" s="19"/>
    </row>
    <row r="272" spans="1:34" outlineLevel="2" x14ac:dyDescent="0.2">
      <c r="A272" s="19"/>
      <c r="B272" s="19"/>
      <c r="C272" s="506">
        <f t="shared" si="22"/>
        <v>0</v>
      </c>
      <c r="D272" s="505">
        <f t="shared" si="22"/>
        <v>0</v>
      </c>
      <c r="E272" s="536"/>
      <c r="F272" s="458">
        <f t="shared" si="23"/>
        <v>0</v>
      </c>
      <c r="G272" s="58"/>
      <c r="H272" s="58"/>
      <c r="I272" s="58"/>
      <c r="J272" s="440"/>
      <c r="K272" s="440"/>
      <c r="L272" s="440"/>
      <c r="M272" s="440"/>
      <c r="N272" s="440"/>
      <c r="O272" s="440"/>
      <c r="P272" s="440"/>
      <c r="Q272" s="440"/>
      <c r="R272" s="75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0"/>
      <c r="AE272" s="19"/>
      <c r="AF272" s="19"/>
      <c r="AG272" s="19"/>
      <c r="AH272" s="19"/>
    </row>
    <row r="273" spans="1:34" outlineLevel="2" x14ac:dyDescent="0.2">
      <c r="A273" s="19"/>
      <c r="B273" s="19"/>
      <c r="C273" s="506">
        <f t="shared" si="22"/>
        <v>0</v>
      </c>
      <c r="D273" s="505">
        <f t="shared" si="22"/>
        <v>0</v>
      </c>
      <c r="E273" s="536"/>
      <c r="F273" s="458">
        <f t="shared" si="23"/>
        <v>0</v>
      </c>
      <c r="G273" s="58"/>
      <c r="H273" s="58"/>
      <c r="I273" s="58"/>
      <c r="J273" s="440"/>
      <c r="K273" s="440"/>
      <c r="L273" s="440"/>
      <c r="M273" s="440"/>
      <c r="N273" s="440"/>
      <c r="O273" s="440"/>
      <c r="P273" s="440"/>
      <c r="Q273" s="440"/>
      <c r="R273" s="75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0"/>
      <c r="AE273" s="19"/>
      <c r="AF273" s="19"/>
      <c r="AG273" s="19"/>
      <c r="AH273" s="19"/>
    </row>
    <row r="274" spans="1:34" outlineLevel="2" x14ac:dyDescent="0.2">
      <c r="A274" s="19"/>
      <c r="B274" s="19"/>
      <c r="C274" s="506">
        <f t="shared" si="22"/>
        <v>0</v>
      </c>
      <c r="D274" s="505">
        <f t="shared" si="22"/>
        <v>0</v>
      </c>
      <c r="E274" s="536"/>
      <c r="F274" s="458">
        <f t="shared" si="23"/>
        <v>0</v>
      </c>
      <c r="G274" s="58"/>
      <c r="H274" s="58"/>
      <c r="I274" s="58"/>
      <c r="J274" s="440"/>
      <c r="K274" s="440"/>
      <c r="L274" s="440"/>
      <c r="M274" s="440"/>
      <c r="N274" s="440"/>
      <c r="O274" s="440"/>
      <c r="P274" s="440"/>
      <c r="Q274" s="440"/>
      <c r="R274" s="75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0"/>
      <c r="AE274" s="19"/>
      <c r="AF274" s="19"/>
      <c r="AG274" s="19"/>
      <c r="AH274" s="19"/>
    </row>
    <row r="275" spans="1:34" outlineLevel="2" x14ac:dyDescent="0.2">
      <c r="A275" s="19"/>
      <c r="B275" s="19"/>
      <c r="C275" s="506">
        <f t="shared" si="22"/>
        <v>0</v>
      </c>
      <c r="D275" s="505">
        <f t="shared" si="22"/>
        <v>0</v>
      </c>
      <c r="E275" s="536"/>
      <c r="F275" s="458">
        <f t="shared" si="23"/>
        <v>0</v>
      </c>
      <c r="G275" s="58"/>
      <c r="H275" s="58"/>
      <c r="I275" s="58"/>
      <c r="J275" s="440"/>
      <c r="K275" s="440"/>
      <c r="L275" s="440"/>
      <c r="M275" s="440"/>
      <c r="N275" s="440"/>
      <c r="O275" s="440"/>
      <c r="P275" s="440"/>
      <c r="Q275" s="440"/>
      <c r="R275" s="75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0"/>
      <c r="AE275" s="19"/>
      <c r="AF275" s="19"/>
      <c r="AG275" s="19"/>
      <c r="AH275" s="19"/>
    </row>
    <row r="276" spans="1:34" outlineLevel="2" x14ac:dyDescent="0.2">
      <c r="A276" s="19"/>
      <c r="B276" s="19"/>
      <c r="C276" s="506">
        <f t="shared" si="22"/>
        <v>0</v>
      </c>
      <c r="D276" s="505">
        <f t="shared" si="22"/>
        <v>0</v>
      </c>
      <c r="E276" s="536"/>
      <c r="F276" s="458">
        <f t="shared" si="23"/>
        <v>0</v>
      </c>
      <c r="G276" s="58"/>
      <c r="H276" s="58"/>
      <c r="I276" s="58"/>
      <c r="J276" s="440"/>
      <c r="K276" s="440"/>
      <c r="L276" s="440"/>
      <c r="M276" s="440"/>
      <c r="N276" s="440"/>
      <c r="O276" s="440"/>
      <c r="P276" s="440"/>
      <c r="Q276" s="440"/>
      <c r="R276" s="75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0"/>
      <c r="AE276" s="19"/>
      <c r="AF276" s="19"/>
      <c r="AG276" s="19"/>
      <c r="AH276" s="19"/>
    </row>
    <row r="277" spans="1:34" outlineLevel="2" x14ac:dyDescent="0.2">
      <c r="A277" s="19"/>
      <c r="B277" s="19"/>
      <c r="C277" s="506">
        <f t="shared" si="22"/>
        <v>0</v>
      </c>
      <c r="D277" s="505">
        <f t="shared" si="22"/>
        <v>0</v>
      </c>
      <c r="E277" s="536"/>
      <c r="F277" s="458">
        <f t="shared" si="23"/>
        <v>0</v>
      </c>
      <c r="G277" s="58"/>
      <c r="H277" s="58"/>
      <c r="I277" s="58"/>
      <c r="J277" s="440"/>
      <c r="K277" s="440"/>
      <c r="L277" s="440"/>
      <c r="M277" s="440"/>
      <c r="N277" s="440"/>
      <c r="O277" s="440"/>
      <c r="P277" s="440"/>
      <c r="Q277" s="440"/>
      <c r="R277" s="75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0"/>
      <c r="AE277" s="19"/>
      <c r="AF277" s="19"/>
      <c r="AG277" s="19"/>
      <c r="AH277" s="19"/>
    </row>
    <row r="278" spans="1:34" outlineLevel="2" x14ac:dyDescent="0.2">
      <c r="A278" s="19"/>
      <c r="B278" s="19"/>
      <c r="C278" s="506">
        <f t="shared" si="22"/>
        <v>0</v>
      </c>
      <c r="D278" s="505">
        <f t="shared" si="22"/>
        <v>0</v>
      </c>
      <c r="E278" s="536"/>
      <c r="F278" s="458">
        <f t="shared" si="23"/>
        <v>0</v>
      </c>
      <c r="G278" s="58"/>
      <c r="H278" s="58"/>
      <c r="I278" s="58"/>
      <c r="J278" s="440"/>
      <c r="K278" s="440"/>
      <c r="L278" s="440"/>
      <c r="M278" s="440"/>
      <c r="N278" s="440"/>
      <c r="O278" s="440"/>
      <c r="P278" s="440"/>
      <c r="Q278" s="440"/>
      <c r="R278" s="75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0"/>
      <c r="AE278" s="19"/>
      <c r="AF278" s="19"/>
      <c r="AG278" s="19"/>
      <c r="AH278" s="19"/>
    </row>
    <row r="279" spans="1:34" outlineLevel="2" x14ac:dyDescent="0.2">
      <c r="A279" s="19"/>
      <c r="B279" s="19"/>
      <c r="C279" s="506">
        <f t="shared" si="22"/>
        <v>0</v>
      </c>
      <c r="D279" s="505">
        <f t="shared" si="22"/>
        <v>0</v>
      </c>
      <c r="E279" s="536"/>
      <c r="F279" s="458">
        <f t="shared" si="23"/>
        <v>0</v>
      </c>
      <c r="G279" s="58"/>
      <c r="H279" s="58"/>
      <c r="I279" s="58"/>
      <c r="J279" s="440"/>
      <c r="K279" s="440"/>
      <c r="L279" s="440"/>
      <c r="M279" s="440"/>
      <c r="N279" s="440"/>
      <c r="O279" s="440"/>
      <c r="P279" s="440"/>
      <c r="Q279" s="440"/>
      <c r="R279" s="75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0"/>
      <c r="AE279" s="19"/>
      <c r="AF279" s="19"/>
      <c r="AG279" s="19"/>
      <c r="AH279" s="19"/>
    </row>
    <row r="280" spans="1:34" outlineLevel="2" x14ac:dyDescent="0.2">
      <c r="A280" s="19"/>
      <c r="B280" s="19"/>
      <c r="C280" s="506">
        <f t="shared" si="22"/>
        <v>0</v>
      </c>
      <c r="D280" s="505">
        <f t="shared" si="22"/>
        <v>0</v>
      </c>
      <c r="E280" s="536"/>
      <c r="F280" s="458">
        <f t="shared" si="23"/>
        <v>0</v>
      </c>
      <c r="G280" s="58"/>
      <c r="H280" s="58"/>
      <c r="I280" s="58"/>
      <c r="J280" s="440"/>
      <c r="K280" s="440"/>
      <c r="L280" s="440"/>
      <c r="M280" s="440"/>
      <c r="N280" s="440"/>
      <c r="O280" s="440"/>
      <c r="P280" s="440"/>
      <c r="Q280" s="440"/>
      <c r="R280" s="75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0"/>
      <c r="AE280" s="19"/>
      <c r="AF280" s="19"/>
      <c r="AG280" s="19"/>
      <c r="AH280" s="19"/>
    </row>
    <row r="281" spans="1:34" outlineLevel="2" x14ac:dyDescent="0.2">
      <c r="A281" s="19"/>
      <c r="B281" s="19"/>
      <c r="C281" s="506">
        <f t="shared" si="22"/>
        <v>0</v>
      </c>
      <c r="D281" s="505">
        <f t="shared" si="22"/>
        <v>0</v>
      </c>
      <c r="E281" s="536"/>
      <c r="F281" s="458">
        <f t="shared" si="23"/>
        <v>0</v>
      </c>
      <c r="G281" s="58"/>
      <c r="H281" s="58"/>
      <c r="I281" s="58"/>
      <c r="J281" s="440"/>
      <c r="K281" s="440"/>
      <c r="L281" s="440"/>
      <c r="M281" s="440"/>
      <c r="N281" s="440"/>
      <c r="O281" s="440"/>
      <c r="P281" s="440"/>
      <c r="Q281" s="440"/>
      <c r="R281" s="75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0"/>
      <c r="AE281" s="19"/>
      <c r="AF281" s="19"/>
      <c r="AG281" s="19"/>
      <c r="AH281" s="19"/>
    </row>
    <row r="282" spans="1:34" outlineLevel="2" x14ac:dyDescent="0.2">
      <c r="A282" s="19"/>
      <c r="B282" s="19"/>
      <c r="C282" s="506">
        <f t="shared" si="22"/>
        <v>0</v>
      </c>
      <c r="D282" s="505">
        <f t="shared" si="22"/>
        <v>0</v>
      </c>
      <c r="E282" s="536"/>
      <c r="F282" s="458">
        <f t="shared" si="23"/>
        <v>0</v>
      </c>
      <c r="G282" s="58"/>
      <c r="H282" s="58"/>
      <c r="I282" s="58"/>
      <c r="J282" s="440"/>
      <c r="K282" s="440"/>
      <c r="L282" s="440"/>
      <c r="M282" s="440"/>
      <c r="N282" s="440"/>
      <c r="O282" s="440"/>
      <c r="P282" s="440"/>
      <c r="Q282" s="440"/>
      <c r="R282" s="75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0"/>
      <c r="AE282" s="19"/>
      <c r="AF282" s="19"/>
      <c r="AG282" s="19"/>
      <c r="AH282" s="19"/>
    </row>
    <row r="283" spans="1:34" outlineLevel="2" x14ac:dyDescent="0.2">
      <c r="A283" s="19"/>
      <c r="B283" s="19"/>
      <c r="C283" s="506">
        <f t="shared" si="22"/>
        <v>0</v>
      </c>
      <c r="D283" s="505">
        <f t="shared" si="22"/>
        <v>0</v>
      </c>
      <c r="E283" s="536"/>
      <c r="F283" s="458">
        <f t="shared" si="23"/>
        <v>0</v>
      </c>
      <c r="G283" s="58"/>
      <c r="H283" s="58"/>
      <c r="I283" s="58"/>
      <c r="J283" s="440"/>
      <c r="K283" s="440"/>
      <c r="L283" s="440"/>
      <c r="M283" s="440"/>
      <c r="N283" s="440"/>
      <c r="O283" s="440"/>
      <c r="P283" s="440"/>
      <c r="Q283" s="440"/>
      <c r="R283" s="75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0"/>
      <c r="AE283" s="19"/>
      <c r="AF283" s="19"/>
      <c r="AG283" s="19"/>
      <c r="AH283" s="19"/>
    </row>
    <row r="284" spans="1:34" outlineLevel="2" x14ac:dyDescent="0.2">
      <c r="A284" s="19"/>
      <c r="B284" s="19"/>
      <c r="C284" s="229" t="s">
        <v>240</v>
      </c>
      <c r="D284" s="168">
        <f>D168</f>
        <v>0</v>
      </c>
      <c r="E284" s="58"/>
      <c r="F284" s="348" t="str">
        <f t="shared" si="23"/>
        <v>$millions</v>
      </c>
      <c r="G284" s="58"/>
      <c r="H284" s="58"/>
      <c r="I284" s="58"/>
      <c r="J284" s="442">
        <f t="shared" ref="J284:Q284" si="24">SUM(J264:J283)</f>
        <v>0</v>
      </c>
      <c r="K284" s="442">
        <f t="shared" si="24"/>
        <v>0</v>
      </c>
      <c r="L284" s="442">
        <f t="shared" si="24"/>
        <v>0</v>
      </c>
      <c r="M284" s="442">
        <f t="shared" si="24"/>
        <v>0</v>
      </c>
      <c r="N284" s="442">
        <f t="shared" si="24"/>
        <v>0</v>
      </c>
      <c r="O284" s="442">
        <f t="shared" si="24"/>
        <v>0</v>
      </c>
      <c r="P284" s="442">
        <f t="shared" si="24"/>
        <v>0</v>
      </c>
      <c r="Q284" s="442">
        <f t="shared" si="24"/>
        <v>0</v>
      </c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0"/>
      <c r="AE284" s="19"/>
      <c r="AF284" s="19"/>
      <c r="AG284" s="19"/>
      <c r="AH284" s="19"/>
    </row>
    <row r="285" spans="1:34" outlineLevel="1" x14ac:dyDescent="0.2">
      <c r="A285" s="19"/>
      <c r="B285" s="19"/>
      <c r="C285" s="66"/>
      <c r="D285" s="66"/>
      <c r="E285" s="58"/>
      <c r="F285" s="58"/>
      <c r="G285" s="58"/>
      <c r="H285" s="58"/>
      <c r="I285" s="58"/>
      <c r="J285" s="177"/>
      <c r="K285" s="177"/>
      <c r="L285" s="177"/>
      <c r="M285" s="177"/>
      <c r="N285" s="177"/>
      <c r="O285" s="177"/>
      <c r="P285" s="177"/>
      <c r="Q285" s="177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0"/>
      <c r="AE285" s="19"/>
      <c r="AF285" s="19"/>
      <c r="AG285" s="19"/>
      <c r="AH285" s="19"/>
    </row>
    <row r="286" spans="1:34" x14ac:dyDescent="0.2">
      <c r="A286" s="19"/>
      <c r="B286" s="19"/>
      <c r="C286" s="66"/>
      <c r="D286" s="66"/>
      <c r="E286" s="58"/>
      <c r="F286" s="58"/>
      <c r="G286" s="58"/>
      <c r="H286" s="58"/>
      <c r="I286" s="58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0"/>
      <c r="AE286" s="19"/>
      <c r="AF286" s="19"/>
      <c r="AG286" s="19"/>
      <c r="AH286" s="19"/>
    </row>
    <row r="287" spans="1:34" ht="12.75" x14ac:dyDescent="0.2">
      <c r="A287" s="11"/>
      <c r="B287" s="12" t="s">
        <v>8</v>
      </c>
      <c r="C287" s="11"/>
      <c r="D287" s="11"/>
      <c r="E287" s="11"/>
      <c r="F287" s="13"/>
      <c r="G287" s="13"/>
      <c r="H287" s="13"/>
      <c r="I287" s="13"/>
      <c r="J287" s="13"/>
      <c r="K287" s="13"/>
      <c r="L287" s="13"/>
      <c r="M287" s="13"/>
      <c r="N287" s="13"/>
      <c r="O287" s="14"/>
      <c r="P287" s="15"/>
      <c r="Q287" s="14"/>
      <c r="R287" s="15"/>
      <c r="S287" s="14"/>
      <c r="T287" s="14"/>
      <c r="U287" s="14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</row>
  </sheetData>
  <sheetProtection formatColumns="0" formatRows="0"/>
  <hyperlinks>
    <hyperlink ref="J1" location="'Pricing model'!A51" display="Back to Index" xr:uid="{00000000-0004-0000-1200-000000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0000000}">
          <x14:formula1>
            <xm:f>Tariffs!$C$7:$C$17</xm:f>
          </x14:formula1>
          <xm:sqref>D55:D74 D7:D27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00000"/>
  </sheetPr>
  <dimension ref="A1:AD29"/>
  <sheetViews>
    <sheetView showGridLines="0" workbookViewId="0">
      <selection activeCell="D7" sqref="D7"/>
    </sheetView>
  </sheetViews>
  <sheetFormatPr defaultColWidth="0" defaultRowHeight="0" customHeight="1" zeroHeight="1" x14ac:dyDescent="0.2"/>
  <cols>
    <col min="1" max="2" width="1.28515625" style="19" customWidth="1"/>
    <col min="3" max="3" width="26.42578125" style="19" customWidth="1"/>
    <col min="4" max="4" width="135.7109375" style="19" customWidth="1"/>
    <col min="5" max="5" width="5.5703125" style="19" customWidth="1"/>
    <col min="6" max="6" width="8" style="19" hidden="1" customWidth="1"/>
    <col min="7" max="14" width="8.42578125" style="19" hidden="1" customWidth="1"/>
    <col min="15" max="15" width="1.28515625" style="19" hidden="1" customWidth="1"/>
    <col min="16" max="16" width="9" style="19" hidden="1" customWidth="1"/>
    <col min="17" max="17" width="1.28515625" style="19" hidden="1" customWidth="1"/>
    <col min="18" max="16384" width="9" style="19" hidden="1"/>
  </cols>
  <sheetData>
    <row r="1" spans="1:30" s="39" customFormat="1" ht="15.75" customHeight="1" x14ac:dyDescent="0.2">
      <c r="A1" s="1"/>
      <c r="B1" s="2" t="str">
        <f>'Pricing model'!G2&amp;" - "&amp;'Pricing model'!G3</f>
        <v>AER pricing model - TasNetworks 2022–23</v>
      </c>
      <c r="C1" s="2"/>
      <c r="D1" s="1"/>
      <c r="E1" s="1"/>
      <c r="G1" s="40"/>
      <c r="H1" s="41"/>
      <c r="I1" s="42"/>
    </row>
    <row r="2" spans="1:30" s="43" customFormat="1" ht="13.5" customHeight="1" thickBot="1" x14ac:dyDescent="0.25">
      <c r="A2" s="6"/>
      <c r="B2" s="7" t="s">
        <v>331</v>
      </c>
      <c r="C2" s="7"/>
      <c r="D2" s="6"/>
      <c r="E2" s="6"/>
    </row>
    <row r="3" spans="1:30" s="9" customFormat="1" ht="3" customHeight="1" x14ac:dyDescent="0.2"/>
    <row r="4" spans="1:30" s="18" customFormat="1" ht="12.75" x14ac:dyDescent="0.2">
      <c r="A4" s="11"/>
      <c r="B4" s="12" t="s">
        <v>58</v>
      </c>
      <c r="C4" s="11"/>
      <c r="D4" s="11"/>
      <c r="E4" s="11"/>
      <c r="F4" s="13"/>
      <c r="G4" s="13"/>
      <c r="H4" s="13"/>
      <c r="I4" s="13"/>
      <c r="J4" s="14"/>
      <c r="K4" s="15"/>
      <c r="L4" s="14"/>
      <c r="M4" s="15"/>
      <c r="N4" s="14"/>
      <c r="O4" s="14"/>
      <c r="P4" s="14"/>
      <c r="Q4" s="14"/>
      <c r="R4" s="14"/>
      <c r="S4" s="14"/>
      <c r="T4" s="14"/>
      <c r="U4" s="14"/>
      <c r="V4" s="15"/>
      <c r="W4" s="15"/>
      <c r="X4" s="16"/>
      <c r="Y4" s="16"/>
      <c r="Z4" s="16"/>
      <c r="AA4" s="16"/>
      <c r="AB4" s="16"/>
      <c r="AC4" s="17"/>
      <c r="AD4" s="17"/>
    </row>
    <row r="5" spans="1:30" ht="11.25" x14ac:dyDescent="0.2"/>
    <row r="6" spans="1:30" ht="11.25" x14ac:dyDescent="0.2">
      <c r="C6" s="24" t="s">
        <v>59</v>
      </c>
      <c r="D6" s="24" t="s">
        <v>60</v>
      </c>
    </row>
    <row r="7" spans="1:30" ht="11.25" x14ac:dyDescent="0.2">
      <c r="C7" s="47" t="s">
        <v>339</v>
      </c>
      <c r="D7" s="38" t="s">
        <v>292</v>
      </c>
    </row>
    <row r="8" spans="1:30" ht="11.25" x14ac:dyDescent="0.2">
      <c r="C8" s="47" t="s">
        <v>317</v>
      </c>
      <c r="D8" s="38" t="s">
        <v>626</v>
      </c>
    </row>
    <row r="9" spans="1:30" ht="11.25" x14ac:dyDescent="0.2">
      <c r="C9" s="47" t="s">
        <v>419</v>
      </c>
      <c r="D9" s="38" t="s">
        <v>646</v>
      </c>
    </row>
    <row r="10" spans="1:30" ht="11.25" x14ac:dyDescent="0.2">
      <c r="C10" s="274" t="s">
        <v>342</v>
      </c>
      <c r="D10" s="38" t="s">
        <v>418</v>
      </c>
    </row>
    <row r="11" spans="1:30" ht="11.25" x14ac:dyDescent="0.2">
      <c r="C11" s="47" t="s">
        <v>417</v>
      </c>
      <c r="D11" s="38" t="s">
        <v>525</v>
      </c>
    </row>
    <row r="12" spans="1:30" ht="11.25" x14ac:dyDescent="0.2">
      <c r="C12" s="274" t="s">
        <v>512</v>
      </c>
      <c r="D12" s="38" t="s">
        <v>524</v>
      </c>
    </row>
    <row r="13" spans="1:30" ht="11.25" x14ac:dyDescent="0.2">
      <c r="C13" s="118"/>
    </row>
    <row r="14" spans="1:30" s="18" customFormat="1" ht="12.75" x14ac:dyDescent="0.2">
      <c r="A14" s="11"/>
      <c r="B14" s="12" t="s">
        <v>8</v>
      </c>
      <c r="C14" s="11"/>
      <c r="D14" s="11"/>
      <c r="E14" s="11"/>
      <c r="F14" s="13"/>
      <c r="G14" s="13"/>
      <c r="H14" s="13"/>
      <c r="I14" s="13"/>
      <c r="J14" s="14"/>
      <c r="K14" s="15"/>
      <c r="L14" s="14"/>
      <c r="M14" s="15"/>
      <c r="N14" s="14"/>
      <c r="O14" s="14"/>
      <c r="P14" s="14"/>
      <c r="Q14" s="14"/>
      <c r="R14" s="14"/>
      <c r="S14" s="14"/>
      <c r="T14" s="14"/>
      <c r="U14" s="14"/>
      <c r="V14" s="15"/>
      <c r="W14" s="15"/>
      <c r="X14" s="16"/>
      <c r="Y14" s="16"/>
      <c r="Z14" s="16"/>
      <c r="AA14" s="16"/>
      <c r="AB14" s="16"/>
      <c r="AC14" s="17"/>
      <c r="AD14" s="17"/>
    </row>
    <row r="15" spans="1:30" ht="11.25" hidden="1" x14ac:dyDescent="0.2">
      <c r="D15" s="38"/>
      <c r="F15" s="45"/>
    </row>
    <row r="16" spans="1:30" ht="11.25" hidden="1" x14ac:dyDescent="0.2">
      <c r="D16" s="38"/>
      <c r="F16" s="45"/>
    </row>
    <row r="17" spans="3:6" ht="11.25" hidden="1" x14ac:dyDescent="0.2">
      <c r="D17" s="38"/>
      <c r="F17" s="45"/>
    </row>
    <row r="18" spans="3:6" ht="11.25" hidden="1" x14ac:dyDescent="0.2">
      <c r="D18" s="38"/>
      <c r="F18" s="45"/>
    </row>
    <row r="19" spans="3:6" ht="11.25" hidden="1" x14ac:dyDescent="0.2">
      <c r="D19" s="38"/>
      <c r="F19" s="45"/>
    </row>
    <row r="20" spans="3:6" ht="11.25" hidden="1" x14ac:dyDescent="0.2">
      <c r="C20" s="38"/>
      <c r="D20" s="38"/>
      <c r="F20" s="45"/>
    </row>
    <row r="21" spans="3:6" ht="11.25" hidden="1" x14ac:dyDescent="0.2">
      <c r="C21" s="38"/>
      <c r="D21" s="38"/>
      <c r="F21" s="45"/>
    </row>
    <row r="22" spans="3:6" ht="11.25" hidden="1" x14ac:dyDescent="0.2">
      <c r="C22" s="38"/>
      <c r="D22" s="38"/>
    </row>
    <row r="23" spans="3:6" ht="11.25" hidden="1" x14ac:dyDescent="0.2">
      <c r="D23" s="38"/>
    </row>
    <row r="24" spans="3:6" ht="11.25" hidden="1" x14ac:dyDescent="0.2">
      <c r="D24" s="38"/>
    </row>
    <row r="25" spans="3:6" ht="11.25" hidden="1" x14ac:dyDescent="0.2">
      <c r="D25" s="38"/>
    </row>
    <row r="26" spans="3:6" ht="11.25" hidden="1" x14ac:dyDescent="0.2">
      <c r="D26" s="38"/>
    </row>
    <row r="27" spans="3:6" ht="11.25" hidden="1" x14ac:dyDescent="0.2">
      <c r="D27" s="38"/>
    </row>
    <row r="28" spans="3:6" ht="12.75" hidden="1" x14ac:dyDescent="0.2">
      <c r="C28" s="44"/>
      <c r="D28" s="38"/>
    </row>
    <row r="29" spans="3:6" ht="11.25" hidden="1" customHeight="1" x14ac:dyDescent="0.2"/>
  </sheetData>
  <hyperlinks>
    <hyperlink ref="C8" location="Compliance!A1" display="Compliance" xr:uid="{00000000-0004-0000-0100-000000000000}"/>
    <hyperlink ref="C9" location="'Price comparisons'!A1" display="Price comparisons" xr:uid="{00000000-0004-0000-0100-000001000000}"/>
    <hyperlink ref="C7" location="'Tariff schedule'!A1" display="Tariff schedule" xr:uid="{00000000-0004-0000-0100-000002000000}"/>
    <hyperlink ref="C10" location="Tables!A1" display="Tables" xr:uid="{00000000-0004-0000-0100-000003000000}"/>
    <hyperlink ref="C11" location="'Cost movements'!A1" display="Cost movements" xr:uid="{00000000-0004-0000-0100-000004000000}"/>
    <hyperlink ref="C12" location="Charts!A1" display="Charts" xr:uid="{00000000-0004-0000-0100-000005000000}"/>
  </hyperlinks>
  <pageMargins left="0.7" right="0.7" top="0.75" bottom="0.75" header="0.3" footer="0.3"/>
  <pageSetup paperSize="9" orientation="portrait" verticalDpi="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>
    <tabColor theme="4" tint="0.79998168889431442"/>
  </sheetPr>
  <dimension ref="A1:Z33"/>
  <sheetViews>
    <sheetView showGridLines="0" zoomScaleNormal="100" workbookViewId="0"/>
  </sheetViews>
  <sheetFormatPr defaultColWidth="0" defaultRowHeight="11.25" zeroHeight="1" outlineLevelRow="1" x14ac:dyDescent="0.2"/>
  <cols>
    <col min="1" max="2" width="1.42578125" style="18" customWidth="1"/>
    <col min="3" max="3" width="42.7109375" style="18" bestFit="1" customWidth="1"/>
    <col min="4" max="6" width="11.42578125" style="18" customWidth="1"/>
    <col min="7" max="9" width="2.85546875" style="18" customWidth="1"/>
    <col min="10" max="11" width="3.140625" style="18" customWidth="1"/>
    <col min="12" max="20" width="9.28515625" style="18" customWidth="1"/>
    <col min="21" max="23" width="2.42578125" style="18" customWidth="1"/>
    <col min="24" max="16384" width="8" style="18" hidden="1"/>
  </cols>
  <sheetData>
    <row r="1" spans="1:26" ht="15.75" x14ac:dyDescent="0.25">
      <c r="A1" s="1"/>
      <c r="B1" s="2" t="str">
        <f>'Inputs&gt;&gt;'!B1</f>
        <v>AER pricing model - TasNetworks 2022–23</v>
      </c>
      <c r="C1" s="2"/>
      <c r="D1" s="2"/>
      <c r="E1" s="2"/>
      <c r="F1" s="3"/>
      <c r="G1" s="3"/>
      <c r="H1" s="3"/>
      <c r="I1" s="3"/>
      <c r="J1" s="4"/>
      <c r="K1" s="1"/>
      <c r="L1" s="160" t="s">
        <v>0</v>
      </c>
      <c r="M1" s="112"/>
      <c r="N1" s="112"/>
      <c r="O1" s="51"/>
      <c r="R1" s="111"/>
      <c r="S1" s="113"/>
      <c r="U1" s="114"/>
      <c r="V1" s="113"/>
      <c r="W1" s="1"/>
    </row>
    <row r="2" spans="1:26" ht="13.5" thickBot="1" x14ac:dyDescent="0.25">
      <c r="A2" s="6"/>
      <c r="B2" s="7" t="str">
        <f>'Inputs&gt;&gt;'!C17</f>
        <v>Tariff costs</v>
      </c>
      <c r="C2" s="7"/>
      <c r="D2" s="7"/>
      <c r="E2" s="7"/>
      <c r="F2" s="8"/>
      <c r="G2" s="8"/>
      <c r="H2" s="8"/>
      <c r="I2" s="8"/>
      <c r="J2" s="1"/>
      <c r="K2" s="1"/>
      <c r="L2" s="1"/>
      <c r="M2" s="1"/>
      <c r="N2" s="1"/>
      <c r="O2" s="1"/>
      <c r="P2" s="1"/>
      <c r="Q2" s="1"/>
      <c r="R2" s="1"/>
      <c r="S2" s="6"/>
      <c r="T2" s="6"/>
      <c r="U2" s="6"/>
      <c r="V2" s="6"/>
      <c r="W2" s="6"/>
    </row>
    <row r="3" spans="1:26" x14ac:dyDescent="0.2">
      <c r="A3" s="27"/>
      <c r="B3" s="296" t="str">
        <f>'Inputs&gt;&gt;'!D17</f>
        <v>Inputs cost information related to standalone and avoidable costs</v>
      </c>
      <c r="C3" s="27"/>
      <c r="D3" s="28"/>
      <c r="E3" s="28"/>
      <c r="F3" s="28"/>
      <c r="G3" s="28"/>
      <c r="H3" s="28"/>
      <c r="I3" s="28"/>
      <c r="J3" s="291"/>
      <c r="K3" s="287"/>
      <c r="L3" s="287"/>
      <c r="M3" s="287"/>
      <c r="N3" s="287"/>
      <c r="O3" s="287"/>
      <c r="P3" s="287"/>
      <c r="Q3" s="287"/>
      <c r="R3" s="287"/>
      <c r="S3" s="30"/>
      <c r="T3" s="31"/>
      <c r="U3" s="31"/>
      <c r="V3" s="31"/>
      <c r="W3" s="31"/>
    </row>
    <row r="4" spans="1:26" x14ac:dyDescent="0.2">
      <c r="A4" s="9"/>
      <c r="B4" s="9"/>
      <c r="C4" s="9"/>
      <c r="D4" s="10"/>
      <c r="E4" s="10"/>
      <c r="F4" s="10"/>
      <c r="G4" s="10"/>
      <c r="H4" s="10"/>
      <c r="I4" s="10"/>
      <c r="J4" s="288"/>
      <c r="K4" s="288"/>
      <c r="L4" s="288"/>
      <c r="M4" s="288"/>
      <c r="N4" s="288"/>
      <c r="O4" s="288"/>
      <c r="P4" s="288"/>
      <c r="Q4" s="288"/>
      <c r="R4" s="290"/>
      <c r="S4" s="9"/>
      <c r="T4" s="9"/>
      <c r="U4" s="9"/>
      <c r="V4" s="9"/>
      <c r="W4" s="9"/>
      <c r="X4" s="9"/>
      <c r="Y4" s="9"/>
      <c r="Z4" s="9"/>
    </row>
    <row r="5" spans="1:26" ht="12.75" x14ac:dyDescent="0.2">
      <c r="A5" s="11"/>
      <c r="B5" s="12" t="s">
        <v>633</v>
      </c>
      <c r="C5" s="11"/>
      <c r="D5" s="32"/>
      <c r="E5" s="32" t="s">
        <v>11</v>
      </c>
      <c r="F5" s="33"/>
      <c r="G5" s="34"/>
      <c r="H5" s="34"/>
      <c r="I5" s="34"/>
      <c r="J5" s="33"/>
      <c r="K5" s="33"/>
      <c r="L5" s="33" t="str">
        <f>RCPminus1</f>
        <v>2018–19</v>
      </c>
      <c r="M5" s="35" t="str">
        <f>RCP_firstyear</f>
        <v>2019–20</v>
      </c>
      <c r="N5" s="35" t="str">
        <f>RCP_secondyear</f>
        <v>2020–21</v>
      </c>
      <c r="O5" s="35" t="str">
        <f>RCP_thirdyear</f>
        <v>2021–22</v>
      </c>
      <c r="P5" s="35" t="str">
        <f>RCP_fourthyear</f>
        <v>2022–23</v>
      </c>
      <c r="Q5" s="35" t="str">
        <f>RCP_lastyear</f>
        <v>2023–24</v>
      </c>
      <c r="R5" s="14" t="s">
        <v>14</v>
      </c>
      <c r="S5" s="14"/>
      <c r="T5" s="15"/>
      <c r="U5" s="15"/>
      <c r="V5" s="15"/>
      <c r="W5" s="15"/>
      <c r="X5" s="15"/>
      <c r="Y5" s="15"/>
      <c r="Z5" s="15"/>
    </row>
    <row r="6" spans="1:26" x14ac:dyDescent="0.2">
      <c r="A6" s="19"/>
      <c r="B6" s="19"/>
      <c r="C6" s="36"/>
      <c r="D6" s="20"/>
      <c r="E6" s="20"/>
      <c r="F6" s="22"/>
      <c r="G6" s="22"/>
      <c r="H6" s="22"/>
      <c r="I6" s="20"/>
      <c r="J6" s="20"/>
      <c r="K6" s="20"/>
      <c r="L6" s="20"/>
      <c r="M6" s="37"/>
      <c r="N6" s="37"/>
      <c r="O6" s="37"/>
      <c r="P6" s="37"/>
      <c r="Q6" s="37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">
      <c r="A7" s="19"/>
      <c r="B7" s="19"/>
      <c r="C7" s="508" t="str">
        <f>Tariffs!C7</f>
        <v>Residential</v>
      </c>
      <c r="D7" s="512"/>
      <c r="E7" s="458" t="str">
        <f t="shared" ref="E7:E17" si="0">saaunits</f>
        <v>$millions</v>
      </c>
      <c r="F7" s="22"/>
      <c r="G7" s="22"/>
      <c r="H7" s="22"/>
      <c r="I7" s="20"/>
      <c r="J7" s="355"/>
      <c r="K7" s="356"/>
      <c r="L7" s="443"/>
      <c r="M7" s="443"/>
      <c r="N7" s="443"/>
      <c r="O7" s="443"/>
      <c r="P7" s="443">
        <v>9.1433716740301474</v>
      </c>
      <c r="Q7" s="443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">
      <c r="A8" s="19"/>
      <c r="B8" s="19"/>
      <c r="C8" s="508" t="str">
        <f>Tariffs!C8</f>
        <v>Small Business LV</v>
      </c>
      <c r="D8" s="512"/>
      <c r="E8" s="458" t="str">
        <f t="shared" si="0"/>
        <v>$millions</v>
      </c>
      <c r="F8" s="22"/>
      <c r="G8" s="22"/>
      <c r="H8" s="22"/>
      <c r="I8" s="20"/>
      <c r="J8" s="355"/>
      <c r="K8" s="356"/>
      <c r="L8" s="443"/>
      <c r="M8" s="443"/>
      <c r="N8" s="443"/>
      <c r="O8" s="443"/>
      <c r="P8" s="443">
        <v>3.3843366994141593</v>
      </c>
      <c r="Q8" s="443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">
      <c r="A9" s="19"/>
      <c r="B9" s="19"/>
      <c r="C9" s="508" t="str">
        <f>Tariffs!C9</f>
        <v>Large Business LV</v>
      </c>
      <c r="D9" s="512"/>
      <c r="E9" s="458" t="str">
        <f t="shared" si="0"/>
        <v>$millions</v>
      </c>
      <c r="F9" s="22"/>
      <c r="G9" s="22"/>
      <c r="H9" s="22"/>
      <c r="I9" s="20"/>
      <c r="J9" s="355"/>
      <c r="K9" s="356"/>
      <c r="L9" s="443"/>
      <c r="M9" s="443"/>
      <c r="N9" s="443"/>
      <c r="O9" s="443"/>
      <c r="P9" s="443">
        <v>1.2607189060080581</v>
      </c>
      <c r="Q9" s="443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">
      <c r="A10" s="19"/>
      <c r="B10" s="19"/>
      <c r="C10" s="508" t="str">
        <f>Tariffs!C10</f>
        <v>Irrigation</v>
      </c>
      <c r="D10" s="512"/>
      <c r="E10" s="458" t="str">
        <f t="shared" si="0"/>
        <v>$millions</v>
      </c>
      <c r="F10" s="22"/>
      <c r="G10" s="22"/>
      <c r="H10" s="22"/>
      <c r="I10" s="20"/>
      <c r="J10" s="355"/>
      <c r="K10" s="356"/>
      <c r="L10" s="443"/>
      <c r="M10" s="443"/>
      <c r="N10" s="443"/>
      <c r="O10" s="443"/>
      <c r="P10" s="443">
        <v>0.58878228457118675</v>
      </c>
      <c r="Q10" s="443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">
      <c r="A11" s="19"/>
      <c r="B11" s="19"/>
      <c r="C11" s="508" t="str">
        <f>Tariffs!C11</f>
        <v>Large Business HV</v>
      </c>
      <c r="D11" s="512"/>
      <c r="E11" s="458" t="str">
        <f t="shared" si="0"/>
        <v>$millions</v>
      </c>
      <c r="F11" s="22"/>
      <c r="G11" s="22"/>
      <c r="H11" s="22"/>
      <c r="I11" s="20"/>
      <c r="J11" s="355"/>
      <c r="K11" s="356"/>
      <c r="L11" s="443"/>
      <c r="M11" s="443"/>
      <c r="N11" s="443"/>
      <c r="O11" s="443"/>
      <c r="P11" s="443">
        <v>0.43006785138810577</v>
      </c>
      <c r="Q11" s="443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">
      <c r="A12" s="19"/>
      <c r="B12" s="19"/>
      <c r="C12" s="508" t="str">
        <f>Tariffs!C12</f>
        <v>Uncontrolled energy</v>
      </c>
      <c r="D12" s="512"/>
      <c r="E12" s="458" t="str">
        <f t="shared" si="0"/>
        <v>$millions</v>
      </c>
      <c r="F12" s="22"/>
      <c r="G12" s="22"/>
      <c r="H12" s="22"/>
      <c r="I12" s="20"/>
      <c r="J12" s="355"/>
      <c r="K12" s="356"/>
      <c r="L12" s="443"/>
      <c r="M12" s="443"/>
      <c r="N12" s="443"/>
      <c r="O12" s="443"/>
      <c r="P12" s="443">
        <v>0</v>
      </c>
      <c r="Q12" s="443"/>
      <c r="R12" s="19"/>
      <c r="S12" s="19"/>
      <c r="T12" s="19"/>
      <c r="U12" s="19"/>
      <c r="V12" s="19"/>
      <c r="W12" s="19"/>
      <c r="X12" s="19"/>
      <c r="Y12" s="19"/>
      <c r="Z12" s="19"/>
    </row>
    <row r="13" spans="1:26" outlineLevel="1" x14ac:dyDescent="0.2">
      <c r="A13" s="19"/>
      <c r="B13" s="19"/>
      <c r="C13" s="508" t="str">
        <f>Tariffs!C13</f>
        <v>Controlled energy</v>
      </c>
      <c r="D13" s="512"/>
      <c r="E13" s="458" t="str">
        <f t="shared" si="0"/>
        <v>$millions</v>
      </c>
      <c r="F13" s="22"/>
      <c r="G13" s="22"/>
      <c r="H13" s="22"/>
      <c r="I13" s="20"/>
      <c r="J13" s="355"/>
      <c r="K13" s="356"/>
      <c r="L13" s="443"/>
      <c r="M13" s="443"/>
      <c r="N13" s="443"/>
      <c r="O13" s="443"/>
      <c r="P13" s="443">
        <v>0</v>
      </c>
      <c r="Q13" s="443"/>
      <c r="R13" s="19"/>
      <c r="S13" s="19"/>
      <c r="T13" s="19"/>
      <c r="U13" s="19"/>
      <c r="V13" s="19"/>
      <c r="W13" s="19"/>
      <c r="X13" s="19"/>
      <c r="Y13" s="19"/>
      <c r="Z13" s="19"/>
    </row>
    <row r="14" spans="1:26" outlineLevel="1" x14ac:dyDescent="0.2">
      <c r="A14" s="19"/>
      <c r="B14" s="19"/>
      <c r="C14" s="508" t="str">
        <f>Tariffs!C14</f>
        <v>Unmetered supplies</v>
      </c>
      <c r="D14" s="512"/>
      <c r="E14" s="458" t="str">
        <f t="shared" si="0"/>
        <v>$millions</v>
      </c>
      <c r="F14" s="22"/>
      <c r="G14" s="22"/>
      <c r="H14" s="22"/>
      <c r="I14" s="20"/>
      <c r="J14" s="355"/>
      <c r="K14" s="356"/>
      <c r="L14" s="443"/>
      <c r="M14" s="443"/>
      <c r="N14" s="443"/>
      <c r="O14" s="443"/>
      <c r="P14" s="443">
        <v>4.0789551640790143E-2</v>
      </c>
      <c r="Q14" s="443"/>
      <c r="R14" s="19"/>
      <c r="S14" s="19"/>
      <c r="T14" s="19"/>
      <c r="U14" s="19"/>
      <c r="V14" s="19"/>
      <c r="W14" s="19"/>
      <c r="X14" s="19"/>
      <c r="Y14" s="19"/>
      <c r="Z14" s="19"/>
    </row>
    <row r="15" spans="1:26" outlineLevel="1" x14ac:dyDescent="0.2">
      <c r="A15" s="19"/>
      <c r="B15" s="19"/>
      <c r="C15" s="508" t="str">
        <f>Tariffs!C15</f>
        <v>Street lighting</v>
      </c>
      <c r="D15" s="512"/>
      <c r="E15" s="458" t="str">
        <f t="shared" si="0"/>
        <v>$millions</v>
      </c>
      <c r="F15" s="22"/>
      <c r="G15" s="22"/>
      <c r="H15" s="22"/>
      <c r="I15" s="20"/>
      <c r="J15" s="355"/>
      <c r="K15" s="356"/>
      <c r="L15" s="443"/>
      <c r="M15" s="443"/>
      <c r="N15" s="443"/>
      <c r="O15" s="443"/>
      <c r="P15" s="443">
        <v>9.2016475227335054E-2</v>
      </c>
      <c r="Q15" s="443"/>
      <c r="R15" s="19"/>
      <c r="S15" s="19"/>
      <c r="T15" s="19"/>
      <c r="U15" s="19"/>
      <c r="V15" s="19"/>
      <c r="W15" s="19"/>
      <c r="X15" s="19"/>
      <c r="Y15" s="19"/>
      <c r="Z15" s="19"/>
    </row>
    <row r="16" spans="1:26" outlineLevel="1" x14ac:dyDescent="0.2">
      <c r="A16" s="19"/>
      <c r="B16" s="19"/>
      <c r="C16" s="508" t="str">
        <f>Tariffs!C16</f>
        <v>ITC</v>
      </c>
      <c r="D16" s="512"/>
      <c r="E16" s="458" t="str">
        <f t="shared" si="0"/>
        <v>$millions</v>
      </c>
      <c r="F16" s="22"/>
      <c r="G16" s="22"/>
      <c r="H16" s="22"/>
      <c r="I16" s="20"/>
      <c r="J16" s="355"/>
      <c r="K16" s="356"/>
      <c r="L16" s="443"/>
      <c r="M16" s="443"/>
      <c r="N16" s="443"/>
      <c r="O16" s="443"/>
      <c r="P16" s="443">
        <v>4.1176381864158437E-2</v>
      </c>
      <c r="Q16" s="443"/>
      <c r="R16" s="19"/>
      <c r="S16" s="19"/>
      <c r="T16" s="19"/>
      <c r="U16" s="19"/>
      <c r="V16" s="19"/>
      <c r="W16" s="19"/>
      <c r="X16" s="19"/>
      <c r="Y16" s="19"/>
      <c r="Z16" s="19"/>
    </row>
    <row r="17" spans="1:26" outlineLevel="1" x14ac:dyDescent="0.2">
      <c r="A17" s="19"/>
      <c r="B17" s="19"/>
      <c r="C17" s="508">
        <f>Tariffs!C17</f>
        <v>0</v>
      </c>
      <c r="D17" s="512"/>
      <c r="E17" s="458" t="str">
        <f t="shared" si="0"/>
        <v>$millions</v>
      </c>
      <c r="F17" s="22"/>
      <c r="G17" s="22"/>
      <c r="H17" s="22"/>
      <c r="I17" s="20"/>
      <c r="J17" s="355"/>
      <c r="K17" s="356"/>
      <c r="L17" s="443"/>
      <c r="M17" s="443"/>
      <c r="N17" s="443"/>
      <c r="O17" s="443"/>
      <c r="P17" s="443"/>
      <c r="Q17" s="443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">
      <c r="A18" s="19"/>
      <c r="B18" s="19"/>
      <c r="C18" s="19"/>
      <c r="D18" s="20"/>
      <c r="E18" s="20"/>
      <c r="F18" s="22"/>
      <c r="G18" s="22"/>
      <c r="H18" s="22"/>
      <c r="I18" s="20"/>
      <c r="J18" s="20"/>
      <c r="K18" s="20"/>
      <c r="L18" s="242"/>
      <c r="M18" s="345"/>
      <c r="N18" s="345"/>
      <c r="O18" s="345"/>
      <c r="P18" s="345"/>
      <c r="Q18" s="345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2.75" x14ac:dyDescent="0.2">
      <c r="A19" s="11"/>
      <c r="B19" s="12" t="s">
        <v>634</v>
      </c>
      <c r="C19" s="11"/>
      <c r="D19" s="32"/>
      <c r="E19" s="32" t="str">
        <f>E5</f>
        <v>Unit</v>
      </c>
      <c r="F19" s="33"/>
      <c r="G19" s="34"/>
      <c r="H19" s="34"/>
      <c r="I19" s="34"/>
      <c r="J19" s="33"/>
      <c r="K19" s="33"/>
      <c r="L19" s="383" t="str">
        <f>RCPminus1</f>
        <v>2018–19</v>
      </c>
      <c r="M19" s="346" t="str">
        <f>RCP_firstyear</f>
        <v>2019–20</v>
      </c>
      <c r="N19" s="346" t="str">
        <f>RCP_secondyear</f>
        <v>2020–21</v>
      </c>
      <c r="O19" s="346" t="str">
        <f>RCP_thirdyear</f>
        <v>2021–22</v>
      </c>
      <c r="P19" s="346" t="s">
        <v>757</v>
      </c>
      <c r="Q19" s="346" t="str">
        <f>RCP_lastyear</f>
        <v>2023–24</v>
      </c>
      <c r="R19" s="14" t="str">
        <f>R5</f>
        <v>Notes</v>
      </c>
      <c r="S19" s="14"/>
      <c r="T19" s="15"/>
      <c r="U19" s="15"/>
      <c r="V19" s="15"/>
      <c r="W19" s="15"/>
      <c r="X19" s="15"/>
      <c r="Y19" s="15"/>
      <c r="Z19" s="15"/>
    </row>
    <row r="20" spans="1:26" x14ac:dyDescent="0.2">
      <c r="A20" s="19"/>
      <c r="B20" s="19"/>
      <c r="C20" s="19"/>
      <c r="D20" s="20"/>
      <c r="E20" s="20"/>
      <c r="F20" s="20"/>
      <c r="G20" s="20"/>
      <c r="H20" s="20"/>
      <c r="I20" s="20"/>
      <c r="J20" s="20"/>
      <c r="K20" s="20"/>
      <c r="L20" s="242"/>
      <c r="M20" s="345"/>
      <c r="N20" s="345"/>
      <c r="O20" s="345"/>
      <c r="P20" s="345"/>
      <c r="Q20" s="345"/>
      <c r="R20" s="19"/>
      <c r="S20" s="19"/>
      <c r="T20" s="19"/>
      <c r="U20" s="19"/>
      <c r="V20" s="19"/>
      <c r="W20" s="19"/>
      <c r="X20" s="19"/>
      <c r="Y20" s="19"/>
      <c r="Z20" s="19"/>
    </row>
    <row r="21" spans="1:26" x14ac:dyDescent="0.2">
      <c r="A21" s="19"/>
      <c r="B21" s="19"/>
      <c r="C21" s="508" t="str">
        <f>C7</f>
        <v>Residential</v>
      </c>
      <c r="D21" s="545"/>
      <c r="E21" s="165" t="str">
        <f t="shared" ref="E21:E31" si="1">saaunits</f>
        <v>$millions</v>
      </c>
      <c r="F21" s="22"/>
      <c r="G21" s="22"/>
      <c r="H21" s="22"/>
      <c r="I21" s="20"/>
      <c r="J21" s="355"/>
      <c r="K21" s="356"/>
      <c r="L21" s="443"/>
      <c r="M21" s="443"/>
      <c r="N21" s="443"/>
      <c r="O21" s="443"/>
      <c r="P21" s="443">
        <v>1105.1242542968989</v>
      </c>
      <c r="Q21" s="443"/>
      <c r="R21" s="19"/>
      <c r="S21" s="19"/>
      <c r="T21" s="19"/>
      <c r="U21" s="19"/>
      <c r="V21" s="19"/>
      <c r="W21" s="19"/>
      <c r="X21" s="19"/>
      <c r="Y21" s="19"/>
      <c r="Z21" s="19"/>
    </row>
    <row r="22" spans="1:26" x14ac:dyDescent="0.2">
      <c r="A22" s="19"/>
      <c r="B22" s="19"/>
      <c r="C22" s="508" t="str">
        <f t="shared" ref="C22:C31" si="2">C8</f>
        <v>Small Business LV</v>
      </c>
      <c r="D22" s="545"/>
      <c r="E22" s="165" t="str">
        <f t="shared" si="1"/>
        <v>$millions</v>
      </c>
      <c r="F22" s="22"/>
      <c r="G22" s="22"/>
      <c r="H22" s="22"/>
      <c r="I22" s="20"/>
      <c r="J22" s="355"/>
      <c r="K22" s="356"/>
      <c r="L22" s="443"/>
      <c r="M22" s="443"/>
      <c r="N22" s="443"/>
      <c r="O22" s="443"/>
      <c r="P22" s="443">
        <v>1318.5613958468566</v>
      </c>
      <c r="Q22" s="443"/>
      <c r="R22" s="19"/>
      <c r="S22" s="19"/>
      <c r="T22" s="19"/>
      <c r="U22" s="19"/>
      <c r="V22" s="19"/>
      <c r="W22" s="19"/>
      <c r="X22" s="19"/>
      <c r="Y22" s="19"/>
      <c r="Z22" s="19"/>
    </row>
    <row r="23" spans="1:26" x14ac:dyDescent="0.2">
      <c r="A23" s="19"/>
      <c r="B23" s="19"/>
      <c r="C23" s="508" t="str">
        <f t="shared" si="2"/>
        <v>Large Business LV</v>
      </c>
      <c r="D23" s="545"/>
      <c r="E23" s="165" t="str">
        <f t="shared" si="1"/>
        <v>$millions</v>
      </c>
      <c r="F23" s="22"/>
      <c r="G23" s="22"/>
      <c r="H23" s="22"/>
      <c r="I23" s="20"/>
      <c r="J23" s="355"/>
      <c r="K23" s="356"/>
      <c r="L23" s="443"/>
      <c r="M23" s="443"/>
      <c r="N23" s="443"/>
      <c r="O23" s="443"/>
      <c r="P23" s="443">
        <v>658.84924847972923</v>
      </c>
      <c r="Q23" s="443"/>
      <c r="R23" s="19"/>
      <c r="S23" s="19"/>
      <c r="T23" s="19"/>
      <c r="U23" s="19"/>
      <c r="V23" s="19"/>
      <c r="W23" s="19"/>
      <c r="X23" s="19"/>
      <c r="Y23" s="19"/>
      <c r="Z23" s="19"/>
    </row>
    <row r="24" spans="1:26" x14ac:dyDescent="0.2">
      <c r="A24" s="19"/>
      <c r="B24" s="19"/>
      <c r="C24" s="508" t="str">
        <f t="shared" si="2"/>
        <v>Irrigation</v>
      </c>
      <c r="D24" s="545"/>
      <c r="E24" s="165" t="str">
        <f t="shared" si="1"/>
        <v>$millions</v>
      </c>
      <c r="F24" s="22"/>
      <c r="G24" s="22"/>
      <c r="H24" s="22"/>
      <c r="I24" s="20"/>
      <c r="J24" s="355"/>
      <c r="K24" s="356"/>
      <c r="L24" s="443"/>
      <c r="M24" s="443"/>
      <c r="N24" s="443"/>
      <c r="O24" s="443"/>
      <c r="P24" s="443">
        <v>219.78495880914491</v>
      </c>
      <c r="Q24" s="443"/>
      <c r="R24" s="19"/>
      <c r="S24" s="19"/>
      <c r="T24" s="19"/>
      <c r="U24" s="19"/>
      <c r="V24" s="19"/>
      <c r="W24" s="19"/>
      <c r="X24" s="19"/>
      <c r="Y24" s="19"/>
      <c r="Z24" s="19"/>
    </row>
    <row r="25" spans="1:26" x14ac:dyDescent="0.2">
      <c r="A25" s="19"/>
      <c r="B25" s="19"/>
      <c r="C25" s="508" t="str">
        <f t="shared" si="2"/>
        <v>Large Business HV</v>
      </c>
      <c r="D25" s="545"/>
      <c r="E25" s="165" t="str">
        <f t="shared" si="1"/>
        <v>$millions</v>
      </c>
      <c r="F25" s="22"/>
      <c r="G25" s="22"/>
      <c r="H25" s="22"/>
      <c r="I25" s="20"/>
      <c r="J25" s="355"/>
      <c r="K25" s="356"/>
      <c r="L25" s="443"/>
      <c r="M25" s="443"/>
      <c r="N25" s="443"/>
      <c r="O25" s="443"/>
      <c r="P25" s="443">
        <v>658.01859742510931</v>
      </c>
      <c r="Q25" s="443"/>
      <c r="R25" s="19"/>
      <c r="S25" s="19"/>
      <c r="T25" s="19"/>
      <c r="U25" s="19"/>
      <c r="V25" s="19"/>
      <c r="W25" s="19"/>
      <c r="X25" s="19"/>
      <c r="Y25" s="19"/>
      <c r="Z25" s="19"/>
    </row>
    <row r="26" spans="1:26" collapsed="1" x14ac:dyDescent="0.2">
      <c r="A26" s="19"/>
      <c r="B26" s="19"/>
      <c r="C26" s="508" t="str">
        <f t="shared" si="2"/>
        <v>Uncontrolled energy</v>
      </c>
      <c r="D26" s="545"/>
      <c r="E26" s="165" t="str">
        <f t="shared" si="1"/>
        <v>$millions</v>
      </c>
      <c r="F26" s="22"/>
      <c r="G26" s="22"/>
      <c r="H26" s="22"/>
      <c r="I26" s="20"/>
      <c r="J26" s="355"/>
      <c r="K26" s="356"/>
      <c r="L26" s="443"/>
      <c r="M26" s="443"/>
      <c r="N26" s="443"/>
      <c r="O26" s="443"/>
      <c r="P26" s="443">
        <v>219.1961765245737</v>
      </c>
      <c r="Q26" s="443"/>
      <c r="R26" s="19"/>
      <c r="S26" s="19"/>
      <c r="T26" s="19"/>
      <c r="U26" s="19"/>
      <c r="V26" s="19"/>
      <c r="W26" s="19"/>
      <c r="X26" s="19"/>
      <c r="Y26" s="19"/>
      <c r="Z26" s="19"/>
    </row>
    <row r="27" spans="1:26" outlineLevel="1" x14ac:dyDescent="0.2">
      <c r="A27" s="19"/>
      <c r="B27" s="19"/>
      <c r="C27" s="508" t="str">
        <f t="shared" si="2"/>
        <v>Controlled energy</v>
      </c>
      <c r="D27" s="545"/>
      <c r="E27" s="165" t="str">
        <f t="shared" si="1"/>
        <v>$millions</v>
      </c>
      <c r="F27" s="22"/>
      <c r="G27" s="22"/>
      <c r="H27" s="22"/>
      <c r="I27" s="20"/>
      <c r="J27" s="355"/>
      <c r="K27" s="356"/>
      <c r="L27" s="443"/>
      <c r="M27" s="443"/>
      <c r="N27" s="443"/>
      <c r="O27" s="443"/>
      <c r="P27" s="443">
        <v>438.3923530491474</v>
      </c>
      <c r="Q27" s="443"/>
      <c r="R27" s="19"/>
      <c r="S27" s="19"/>
      <c r="T27" s="19"/>
      <c r="U27" s="19"/>
      <c r="V27" s="19"/>
      <c r="W27" s="19"/>
      <c r="X27" s="19"/>
      <c r="Y27" s="19"/>
      <c r="Z27" s="19"/>
    </row>
    <row r="28" spans="1:26" outlineLevel="1" x14ac:dyDescent="0.2">
      <c r="A28" s="19"/>
      <c r="B28" s="19"/>
      <c r="C28" s="508" t="str">
        <f t="shared" si="2"/>
        <v>Unmetered supplies</v>
      </c>
      <c r="D28" s="545"/>
      <c r="E28" s="165" t="str">
        <f t="shared" si="1"/>
        <v>$millions</v>
      </c>
      <c r="F28" s="22"/>
      <c r="G28" s="22"/>
      <c r="H28" s="22"/>
      <c r="I28" s="20"/>
      <c r="J28" s="355"/>
      <c r="K28" s="356"/>
      <c r="L28" s="443"/>
      <c r="M28" s="443"/>
      <c r="N28" s="443"/>
      <c r="O28" s="443"/>
      <c r="P28" s="443">
        <v>219.23696607621449</v>
      </c>
      <c r="Q28" s="443"/>
      <c r="R28" s="19"/>
      <c r="S28" s="19"/>
      <c r="T28" s="19"/>
      <c r="U28" s="19"/>
      <c r="V28" s="19"/>
      <c r="W28" s="19"/>
      <c r="X28" s="19"/>
      <c r="Y28" s="19"/>
      <c r="Z28" s="19"/>
    </row>
    <row r="29" spans="1:26" outlineLevel="1" x14ac:dyDescent="0.2">
      <c r="A29" s="19"/>
      <c r="B29" s="19"/>
      <c r="C29" s="508" t="str">
        <f t="shared" si="2"/>
        <v>Street lighting</v>
      </c>
      <c r="D29" s="545"/>
      <c r="E29" s="165" t="str">
        <f t="shared" si="1"/>
        <v>$millions</v>
      </c>
      <c r="F29" s="22"/>
      <c r="G29" s="22"/>
      <c r="H29" s="22"/>
      <c r="I29" s="20"/>
      <c r="J29" s="355"/>
      <c r="K29" s="356"/>
      <c r="L29" s="443"/>
      <c r="M29" s="443"/>
      <c r="N29" s="443"/>
      <c r="O29" s="443"/>
      <c r="P29" s="443">
        <v>219.28819299980103</v>
      </c>
      <c r="Q29" s="443"/>
      <c r="R29" s="19"/>
      <c r="S29" s="19"/>
      <c r="T29" s="19"/>
      <c r="U29" s="19"/>
      <c r="V29" s="19"/>
      <c r="W29" s="19"/>
      <c r="X29" s="19"/>
      <c r="Y29" s="19"/>
      <c r="Z29" s="19"/>
    </row>
    <row r="30" spans="1:26" outlineLevel="1" x14ac:dyDescent="0.2">
      <c r="A30" s="19"/>
      <c r="B30" s="19"/>
      <c r="C30" s="508" t="str">
        <f t="shared" si="2"/>
        <v>ITC</v>
      </c>
      <c r="D30" s="545"/>
      <c r="E30" s="165" t="str">
        <f t="shared" si="1"/>
        <v>$millions</v>
      </c>
      <c r="F30" s="22"/>
      <c r="G30" s="22"/>
      <c r="H30" s="22"/>
      <c r="I30" s="20"/>
      <c r="J30" s="355"/>
      <c r="K30" s="356"/>
      <c r="L30" s="443"/>
      <c r="M30" s="443"/>
      <c r="N30" s="443"/>
      <c r="O30" s="443"/>
      <c r="P30" s="443">
        <v>219.23735290643788</v>
      </c>
      <c r="Q30" s="443"/>
      <c r="R30" s="19"/>
      <c r="S30" s="19"/>
      <c r="T30" s="19"/>
      <c r="U30" s="19"/>
      <c r="V30" s="19"/>
      <c r="W30" s="19"/>
      <c r="X30" s="19"/>
      <c r="Y30" s="19"/>
      <c r="Z30" s="19"/>
    </row>
    <row r="31" spans="1:26" outlineLevel="1" x14ac:dyDescent="0.2">
      <c r="A31" s="19"/>
      <c r="B31" s="19"/>
      <c r="C31" s="508">
        <f t="shared" si="2"/>
        <v>0</v>
      </c>
      <c r="D31" s="545"/>
      <c r="E31" s="165" t="str">
        <f t="shared" si="1"/>
        <v>$millions</v>
      </c>
      <c r="F31" s="22"/>
      <c r="G31" s="22"/>
      <c r="H31" s="22"/>
      <c r="I31" s="20"/>
      <c r="J31" s="355"/>
      <c r="K31" s="356"/>
      <c r="L31" s="443"/>
      <c r="M31" s="443"/>
      <c r="N31" s="443"/>
      <c r="O31" s="443"/>
      <c r="P31" s="443"/>
      <c r="Q31" s="443"/>
      <c r="R31" s="19"/>
      <c r="S31" s="19"/>
      <c r="T31" s="19"/>
      <c r="U31" s="19"/>
      <c r="V31" s="19"/>
      <c r="W31" s="19"/>
      <c r="X31" s="19"/>
      <c r="Y31" s="19"/>
      <c r="Z31" s="19"/>
    </row>
    <row r="32" spans="1:26" x14ac:dyDescent="0.2">
      <c r="A32" s="19"/>
      <c r="B32" s="19"/>
      <c r="C32" s="19"/>
      <c r="D32" s="20"/>
      <c r="E32" s="20"/>
      <c r="F32" s="20"/>
      <c r="G32" s="22"/>
      <c r="H32" s="22"/>
      <c r="I32" s="20"/>
      <c r="J32" s="20"/>
      <c r="K32" s="20"/>
      <c r="L32" s="20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2.75" x14ac:dyDescent="0.2">
      <c r="A33" s="11"/>
      <c r="B33" s="12" t="s">
        <v>8</v>
      </c>
      <c r="C33" s="11"/>
      <c r="D33" s="11"/>
      <c r="E33" s="11"/>
      <c r="F33" s="13"/>
      <c r="G33" s="13"/>
      <c r="H33" s="13"/>
      <c r="I33" s="13"/>
      <c r="J33" s="13"/>
      <c r="K33" s="13"/>
      <c r="L33" s="13"/>
      <c r="M33" s="14"/>
      <c r="N33" s="15"/>
      <c r="O33" s="14"/>
      <c r="P33" s="15"/>
      <c r="Q33" s="14"/>
      <c r="R33" s="14"/>
      <c r="S33" s="14"/>
      <c r="T33" s="15"/>
      <c r="U33" s="15"/>
      <c r="V33" s="15"/>
      <c r="W33" s="15"/>
      <c r="X33" s="15"/>
      <c r="Y33" s="15"/>
      <c r="Z33" s="15"/>
    </row>
  </sheetData>
  <sheetProtection formatColumns="0" formatRows="0"/>
  <conditionalFormatting sqref="M1:Q1048576">
    <cfRule type="expression" dxfId="8" priority="1">
      <formula>M$5=forecastyear</formula>
    </cfRule>
  </conditionalFormatting>
  <hyperlinks>
    <hyperlink ref="L1" location="'Pricing model'!A51" display="Back to Index" xr:uid="{00000000-0004-0000-1300-000000000000}"/>
  </hyperlinks>
  <pageMargins left="0.7" right="0.7" top="0.75" bottom="0.75" header="0.3" footer="0.3"/>
  <pageSetup paperSize="9" orientation="portrait" r:id="rId1"/>
  <ignoredErrors>
    <ignoredError sqref="D22:D31 D21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0.79998168889431442"/>
  </sheetPr>
  <dimension ref="A1:XFC72"/>
  <sheetViews>
    <sheetView showGridLines="0" workbookViewId="0"/>
  </sheetViews>
  <sheetFormatPr defaultColWidth="0" defaultRowHeight="11.25" customHeight="1" zeroHeight="1" x14ac:dyDescent="0.2"/>
  <cols>
    <col min="1" max="2" width="1.42578125" style="18" customWidth="1"/>
    <col min="3" max="3" width="42.7109375" style="18" bestFit="1" customWidth="1"/>
    <col min="4" max="6" width="11.42578125" style="18" customWidth="1"/>
    <col min="7" max="9" width="2.85546875" style="18" customWidth="1"/>
    <col min="10" max="20" width="9.28515625" style="18" customWidth="1"/>
    <col min="21" max="21" width="6.85546875" style="18" bestFit="1" customWidth="1"/>
    <col min="22" max="23" width="2.42578125" style="18" customWidth="1"/>
    <col min="24" max="30" width="8" style="18" customWidth="1"/>
    <col min="31" max="16383" width="8" style="18" hidden="1"/>
    <col min="16384" max="16384" width="2.140625" style="18" hidden="1"/>
  </cols>
  <sheetData>
    <row r="1" spans="1:26" ht="15.75" x14ac:dyDescent="0.25">
      <c r="A1" s="602"/>
      <c r="B1" s="2" t="str">
        <f>'Inputs&gt;&gt;'!B1</f>
        <v>AER pricing model - TasNetworks 2022–23</v>
      </c>
      <c r="C1" s="2"/>
      <c r="D1" s="2"/>
      <c r="E1" s="2"/>
      <c r="F1" s="3"/>
      <c r="G1" s="3"/>
      <c r="H1" s="3"/>
      <c r="I1" s="3"/>
      <c r="J1" s="4"/>
      <c r="K1" s="1"/>
      <c r="L1" s="160" t="s">
        <v>0</v>
      </c>
      <c r="M1" s="112"/>
      <c r="N1" s="112"/>
      <c r="O1" s="51"/>
      <c r="R1" s="111"/>
      <c r="S1" s="113"/>
      <c r="U1" s="114"/>
      <c r="V1" s="113"/>
      <c r="W1" s="1"/>
    </row>
    <row r="2" spans="1:26" ht="13.5" thickBot="1" x14ac:dyDescent="0.25">
      <c r="A2" s="6"/>
      <c r="B2" s="7" t="str">
        <f>'Inputs&gt;&gt;'!C18</f>
        <v>License Fees</v>
      </c>
      <c r="C2" s="7"/>
      <c r="D2" s="7"/>
      <c r="E2" s="7"/>
      <c r="F2" s="8"/>
      <c r="G2" s="8"/>
      <c r="H2" s="8"/>
      <c r="I2" s="8"/>
      <c r="J2" s="1"/>
      <c r="K2" s="1"/>
      <c r="L2" s="1"/>
      <c r="M2" s="1"/>
      <c r="N2" s="1"/>
      <c r="O2" s="1"/>
      <c r="P2" s="1"/>
      <c r="Q2" s="1"/>
      <c r="R2" s="1"/>
      <c r="S2" s="6"/>
      <c r="T2" s="6"/>
      <c r="U2" s="6"/>
      <c r="V2" s="6"/>
      <c r="W2" s="6"/>
    </row>
    <row r="3" spans="1:26" x14ac:dyDescent="0.2">
      <c r="A3" s="27"/>
      <c r="B3" s="296" t="str">
        <f>'Inputs&gt;&gt;'!D18</f>
        <v>Inputs to calculate the true-up amounts for license fees</v>
      </c>
      <c r="C3" s="27"/>
      <c r="D3" s="28"/>
      <c r="E3" s="28"/>
      <c r="F3" s="28"/>
      <c r="G3" s="28"/>
      <c r="H3" s="28"/>
      <c r="I3" s="28"/>
      <c r="J3" s="291" t="s">
        <v>836</v>
      </c>
      <c r="K3" s="287"/>
      <c r="L3" s="287"/>
      <c r="M3" s="287"/>
      <c r="N3" s="287"/>
      <c r="O3" s="287"/>
      <c r="P3" s="287"/>
      <c r="Q3" s="287"/>
      <c r="R3" s="287"/>
      <c r="S3" s="30"/>
      <c r="T3" s="31"/>
      <c r="U3" s="31"/>
      <c r="V3" s="31"/>
      <c r="W3" s="31"/>
    </row>
    <row r="4" spans="1:26" x14ac:dyDescent="0.2">
      <c r="A4" s="9"/>
      <c r="B4" s="9"/>
      <c r="C4" s="9"/>
      <c r="D4" s="10"/>
      <c r="E4" s="10"/>
      <c r="F4" s="10"/>
      <c r="G4" s="10"/>
      <c r="H4" s="10"/>
      <c r="I4" s="10"/>
      <c r="J4" s="288"/>
      <c r="K4" s="288"/>
      <c r="L4" s="288"/>
      <c r="M4" s="288"/>
      <c r="N4" s="288"/>
      <c r="O4" s="288"/>
      <c r="P4" s="288"/>
      <c r="Q4" s="288"/>
      <c r="R4" s="290"/>
      <c r="S4" s="9"/>
      <c r="T4" s="9"/>
      <c r="U4" s="9"/>
      <c r="V4" s="9"/>
      <c r="W4" s="9"/>
      <c r="X4" s="9"/>
      <c r="Y4" s="9"/>
      <c r="Z4" s="9"/>
    </row>
    <row r="5" spans="1:26" ht="12.75" x14ac:dyDescent="0.2">
      <c r="A5" s="11"/>
      <c r="B5" s="12" t="s">
        <v>837</v>
      </c>
      <c r="C5" s="11"/>
      <c r="D5" s="32"/>
      <c r="E5" s="32" t="s">
        <v>11</v>
      </c>
      <c r="F5" s="33"/>
      <c r="G5" s="34"/>
      <c r="H5" s="34"/>
      <c r="I5" s="34"/>
      <c r="J5" s="33" t="str">
        <f>RCPminus3</f>
        <v>2016–17</v>
      </c>
      <c r="K5" s="33" t="str">
        <f>RCPminus2</f>
        <v>2017–18</v>
      </c>
      <c r="L5" s="33" t="str">
        <f>RCPminus1</f>
        <v>2018–19</v>
      </c>
      <c r="M5" s="35" t="str">
        <f>RCP_firstyear</f>
        <v>2019–20</v>
      </c>
      <c r="N5" s="35" t="str">
        <f>RCP_secondyear</f>
        <v>2020–21</v>
      </c>
      <c r="O5" s="35" t="str">
        <f>RCP_thirdyear</f>
        <v>2021–22</v>
      </c>
      <c r="P5" s="35" t="str">
        <f>RCP_fourthyear</f>
        <v>2022–23</v>
      </c>
      <c r="Q5" s="35" t="str">
        <f>RCP_lastyear</f>
        <v>2023–24</v>
      </c>
      <c r="R5" s="14" t="s">
        <v>14</v>
      </c>
      <c r="S5" s="14"/>
      <c r="T5" s="15"/>
      <c r="U5" s="15"/>
      <c r="V5" s="15"/>
      <c r="W5" s="15"/>
      <c r="X5" s="15"/>
      <c r="Y5" s="15"/>
      <c r="Z5" s="15"/>
    </row>
    <row r="6" spans="1:26" x14ac:dyDescent="0.2">
      <c r="A6" s="19"/>
      <c r="B6" s="19"/>
      <c r="C6" s="36"/>
      <c r="D6" s="20"/>
      <c r="E6" s="20"/>
      <c r="F6" s="22"/>
      <c r="G6" s="22"/>
      <c r="H6" s="22"/>
      <c r="I6" s="20"/>
      <c r="J6" s="20"/>
      <c r="K6" s="20"/>
      <c r="L6" s="20"/>
      <c r="M6" s="37"/>
      <c r="N6" s="37"/>
      <c r="O6" s="37"/>
      <c r="P6" s="37"/>
      <c r="Q6" s="37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">
      <c r="A7" s="19"/>
      <c r="B7" s="19"/>
      <c r="C7" s="435" t="s">
        <v>838</v>
      </c>
      <c r="D7" s="20"/>
      <c r="E7" s="583" t="str">
        <f>revenueunits</f>
        <v>$millions</v>
      </c>
      <c r="F7" s="22"/>
      <c r="G7" s="22"/>
      <c r="H7" s="22"/>
      <c r="I7" s="20"/>
      <c r="J7" s="426"/>
      <c r="K7" s="426"/>
      <c r="L7" s="426">
        <v>0.67326332</v>
      </c>
      <c r="M7" s="426">
        <v>0.71924445000000004</v>
      </c>
      <c r="N7" s="426">
        <v>0.69060239999999995</v>
      </c>
      <c r="O7" s="426">
        <v>0.70846887000000003</v>
      </c>
      <c r="P7" s="426"/>
      <c r="Q7" s="426"/>
      <c r="R7" s="19" t="s">
        <v>839</v>
      </c>
      <c r="S7" s="19"/>
      <c r="T7" s="19"/>
      <c r="U7" s="19"/>
      <c r="V7" s="19"/>
      <c r="W7" s="19"/>
      <c r="X7" s="19"/>
      <c r="Y7" s="19"/>
      <c r="Z7" s="19"/>
    </row>
    <row r="8" spans="1:26" x14ac:dyDescent="0.2">
      <c r="A8" s="19"/>
      <c r="B8" s="19"/>
      <c r="C8" s="435" t="s">
        <v>840</v>
      </c>
      <c r="D8" s="20"/>
      <c r="E8" s="583" t="str">
        <f>revenueunits</f>
        <v>$millions</v>
      </c>
      <c r="F8" s="22"/>
      <c r="G8" s="22"/>
      <c r="H8" s="22"/>
      <c r="I8" s="20"/>
      <c r="J8" s="425"/>
      <c r="K8" s="425"/>
      <c r="L8" s="425"/>
      <c r="M8" s="425">
        <v>0.65878895682467709</v>
      </c>
      <c r="N8" s="425">
        <v>0.65878895682467709</v>
      </c>
      <c r="O8" s="425">
        <v>0.65878895682467709</v>
      </c>
      <c r="P8" s="425"/>
      <c r="Q8" s="425"/>
      <c r="R8" s="19" t="s">
        <v>841</v>
      </c>
      <c r="S8" s="19"/>
      <c r="T8" s="19"/>
      <c r="U8" s="19"/>
      <c r="V8" s="19"/>
      <c r="W8" s="19"/>
      <c r="X8" s="19"/>
      <c r="Y8" s="19"/>
      <c r="Z8" s="19"/>
    </row>
    <row r="9" spans="1:26" x14ac:dyDescent="0.2">
      <c r="A9" s="19"/>
      <c r="B9" s="19"/>
      <c r="C9" s="435" t="s">
        <v>842</v>
      </c>
      <c r="D9" s="20"/>
      <c r="E9" s="583" t="str">
        <f>revenueunits</f>
        <v>$millions</v>
      </c>
      <c r="F9" s="22"/>
      <c r="G9" s="22"/>
      <c r="H9" s="22"/>
      <c r="I9" s="20"/>
      <c r="J9" s="363"/>
      <c r="K9" s="363"/>
      <c r="L9" s="363">
        <v>0.43682195571955718</v>
      </c>
      <c r="M9" s="363">
        <f>M8*(1+General!G69)</f>
        <v>0.67054255105883731</v>
      </c>
      <c r="N9" s="363">
        <f>N8*(1+General!G69)*(1+General!G73)</f>
        <v>0.68288382500470557</v>
      </c>
      <c r="O9" s="363">
        <f>O8*(1+General!G69)*(1+General!G73)*(1+General!G74)</f>
        <v>0.68876062212178568</v>
      </c>
      <c r="P9" s="363">
        <f>P8*(1+General!G69)*(1+General!G73)*(1+General!G74)*(1+General!G75)</f>
        <v>0</v>
      </c>
      <c r="Q9" s="363">
        <f>Q8*(1+General!G69)*(1+General!G73)*(1+General!G74)*(1+General!G75)*(1+General!G76)</f>
        <v>0</v>
      </c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">
      <c r="A10" s="19"/>
      <c r="B10" s="19"/>
      <c r="C10" s="435" t="s">
        <v>843</v>
      </c>
      <c r="D10" s="20"/>
      <c r="E10" s="583" t="str">
        <f>revenueunits</f>
        <v>$millions</v>
      </c>
      <c r="F10" s="22"/>
      <c r="G10" s="22"/>
      <c r="H10" s="22"/>
      <c r="I10" s="20"/>
      <c r="J10" s="363">
        <f>(J7-J9)</f>
        <v>0</v>
      </c>
      <c r="K10" s="363">
        <f t="shared" ref="K10:Q10" si="0">(K7-K9)</f>
        <v>0</v>
      </c>
      <c r="L10" s="363">
        <f t="shared" si="0"/>
        <v>0.23644136428044282</v>
      </c>
      <c r="M10" s="363">
        <f t="shared" si="0"/>
        <v>4.8701898941162725E-2</v>
      </c>
      <c r="N10" s="363">
        <f t="shared" si="0"/>
        <v>7.7185749952943805E-3</v>
      </c>
      <c r="O10" s="363">
        <f t="shared" si="0"/>
        <v>1.9708247878214347E-2</v>
      </c>
      <c r="P10" s="363">
        <f t="shared" si="0"/>
        <v>0</v>
      </c>
      <c r="Q10" s="363">
        <f t="shared" si="0"/>
        <v>0</v>
      </c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">
      <c r="A11" s="19"/>
      <c r="B11" s="19"/>
      <c r="C11" s="19"/>
      <c r="D11" s="20"/>
      <c r="E11" s="20"/>
      <c r="F11" s="22"/>
      <c r="G11" s="22"/>
      <c r="H11" s="22"/>
      <c r="I11" s="20"/>
      <c r="J11" s="20"/>
      <c r="K11" s="20"/>
      <c r="L11" s="20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2.75" x14ac:dyDescent="0.2">
      <c r="A12" s="11"/>
      <c r="B12" s="12" t="s">
        <v>844</v>
      </c>
      <c r="C12" s="11"/>
      <c r="D12" s="32"/>
      <c r="E12" s="32" t="str">
        <f>E5</f>
        <v>Unit</v>
      </c>
      <c r="F12" s="33"/>
      <c r="G12" s="34"/>
      <c r="H12" s="34"/>
      <c r="I12" s="34"/>
      <c r="J12" s="33" t="str">
        <f>RCPminus3</f>
        <v>2016–17</v>
      </c>
      <c r="K12" s="33" t="str">
        <f>RCPminus2</f>
        <v>2017–18</v>
      </c>
      <c r="L12" s="33" t="str">
        <f>RCPminus1</f>
        <v>2018–19</v>
      </c>
      <c r="M12" s="35" t="str">
        <f>RCP_firstyear</f>
        <v>2019–20</v>
      </c>
      <c r="N12" s="35" t="str">
        <f>RCP_secondyear</f>
        <v>2020–21</v>
      </c>
      <c r="O12" s="35" t="str">
        <f>RCP_thirdyear</f>
        <v>2021–22</v>
      </c>
      <c r="P12" s="35" t="str">
        <f>RCP_fourthyear</f>
        <v>2022–23</v>
      </c>
      <c r="Q12" s="35" t="str">
        <f>RCP_lastyear</f>
        <v>2023–24</v>
      </c>
      <c r="R12" s="14" t="str">
        <f>R5</f>
        <v>Notes</v>
      </c>
      <c r="S12" s="14"/>
      <c r="T12" s="15"/>
      <c r="U12" s="15"/>
      <c r="V12" s="15"/>
      <c r="W12" s="15"/>
      <c r="X12" s="15"/>
      <c r="Y12" s="15"/>
      <c r="Z12" s="15"/>
    </row>
    <row r="13" spans="1:26" x14ac:dyDescent="0.2">
      <c r="A13" s="19"/>
      <c r="B13" s="19"/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">
      <c r="A14" s="19"/>
      <c r="B14" s="19"/>
      <c r="C14" s="435" t="s">
        <v>845</v>
      </c>
      <c r="D14" s="584"/>
      <c r="E14" s="583" t="str">
        <f>revenueunits</f>
        <v>$millions</v>
      </c>
      <c r="F14" s="22"/>
      <c r="G14" s="22"/>
      <c r="H14" s="22"/>
      <c r="I14" s="20"/>
      <c r="J14" s="426"/>
      <c r="K14" s="426"/>
      <c r="L14" s="426">
        <v>3.9984885200000004</v>
      </c>
      <c r="M14" s="426">
        <v>4.2547339800000001</v>
      </c>
      <c r="N14" s="426">
        <v>4.3855199999999996</v>
      </c>
      <c r="O14" s="426">
        <v>4.5536139999999996</v>
      </c>
      <c r="P14" s="426"/>
      <c r="Q14" s="426"/>
      <c r="R14" s="19" t="s">
        <v>839</v>
      </c>
      <c r="S14" s="19"/>
      <c r="T14" s="19"/>
      <c r="U14" s="19"/>
      <c r="V14" s="19"/>
      <c r="W14" s="19"/>
      <c r="X14" s="19"/>
      <c r="Y14" s="19"/>
      <c r="Z14" s="19"/>
    </row>
    <row r="15" spans="1:26" x14ac:dyDescent="0.2">
      <c r="A15" s="19"/>
      <c r="B15" s="19"/>
      <c r="C15" s="435" t="s">
        <v>846</v>
      </c>
      <c r="D15" s="584"/>
      <c r="E15" s="583" t="str">
        <f>revenueunits</f>
        <v>$millions</v>
      </c>
      <c r="F15" s="22"/>
      <c r="G15" s="22"/>
      <c r="H15" s="22"/>
      <c r="I15" s="20"/>
      <c r="J15" s="425"/>
      <c r="K15" s="425"/>
      <c r="L15" s="425"/>
      <c r="M15" s="425">
        <v>3.9428775011604436</v>
      </c>
      <c r="N15" s="425">
        <v>3.9428775011604436</v>
      </c>
      <c r="O15" s="425">
        <v>3.9428775011604436</v>
      </c>
      <c r="P15" s="425"/>
      <c r="Q15" s="425"/>
      <c r="R15" s="19" t="s">
        <v>841</v>
      </c>
      <c r="S15" s="19"/>
      <c r="T15" s="19"/>
      <c r="U15" s="19"/>
      <c r="V15" s="19"/>
      <c r="W15" s="19"/>
      <c r="X15" s="19"/>
      <c r="Y15" s="19"/>
      <c r="Z15" s="19"/>
    </row>
    <row r="16" spans="1:26" x14ac:dyDescent="0.2">
      <c r="A16" s="19"/>
      <c r="B16" s="19"/>
      <c r="C16" s="435" t="s">
        <v>847</v>
      </c>
      <c r="D16" s="584"/>
      <c r="E16" s="583" t="str">
        <f>revenueunits</f>
        <v>$millions</v>
      </c>
      <c r="F16" s="22"/>
      <c r="G16" s="22"/>
      <c r="H16" s="22"/>
      <c r="I16" s="20"/>
      <c r="J16" s="363"/>
      <c r="K16" s="363"/>
      <c r="L16" s="363">
        <v>2.1409538745387455</v>
      </c>
      <c r="M16" s="363">
        <f>M15*(1+General!G69)</f>
        <v>4.013223219289979</v>
      </c>
      <c r="N16" s="363">
        <f>N15*(1+General!G69)*(1+General!G73)</f>
        <v>4.0870862233259917</v>
      </c>
      <c r="O16" s="363">
        <f>O15*(1+General!G69)*(1+General!G73)*(1+General!G74)</f>
        <v>4.1222590823907588</v>
      </c>
      <c r="P16" s="363">
        <f>P15*(1+General!G69)*(1+General!G73)*(1+General!G74)*(1+General!G75)</f>
        <v>0</v>
      </c>
      <c r="Q16" s="363">
        <f>Q15*(1+General!G69)*(1+General!G73)*(1+General!G74)*(1+General!G75)*(1+General!G76)</f>
        <v>0</v>
      </c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">
      <c r="A17" s="19"/>
      <c r="B17" s="19"/>
      <c r="C17" s="435" t="s">
        <v>848</v>
      </c>
      <c r="D17" s="20"/>
      <c r="E17" s="583" t="str">
        <f>revenueunits</f>
        <v>$millions</v>
      </c>
      <c r="F17" s="20"/>
      <c r="G17" s="22"/>
      <c r="H17" s="22"/>
      <c r="I17" s="20"/>
      <c r="J17" s="363">
        <f>(J14-J16)</f>
        <v>0</v>
      </c>
      <c r="K17" s="363">
        <f t="shared" ref="K17:Q17" si="1">(K14-K16)</f>
        <v>0</v>
      </c>
      <c r="L17" s="363">
        <f t="shared" si="1"/>
        <v>1.8575346454612549</v>
      </c>
      <c r="M17" s="363">
        <f t="shared" si="1"/>
        <v>0.24151076071002109</v>
      </c>
      <c r="N17" s="363">
        <f t="shared" si="1"/>
        <v>0.29843377667400794</v>
      </c>
      <c r="O17" s="363">
        <f t="shared" si="1"/>
        <v>0.43135491760924083</v>
      </c>
      <c r="P17" s="363">
        <f t="shared" si="1"/>
        <v>0</v>
      </c>
      <c r="Q17" s="363">
        <f t="shared" si="1"/>
        <v>0</v>
      </c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">
      <c r="A18" s="19"/>
      <c r="B18" s="19"/>
      <c r="C18" s="19"/>
      <c r="D18" s="20"/>
      <c r="E18" s="20"/>
      <c r="F18" s="20"/>
      <c r="G18" s="22"/>
      <c r="H18" s="22"/>
      <c r="I18" s="20"/>
      <c r="J18" s="20"/>
      <c r="K18" s="20"/>
      <c r="L18" s="20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2.75" x14ac:dyDescent="0.2">
      <c r="A19" s="11"/>
      <c r="B19" s="12" t="s">
        <v>8</v>
      </c>
      <c r="C19" s="11"/>
      <c r="D19" s="11"/>
      <c r="E19" s="11"/>
      <c r="F19" s="13"/>
      <c r="G19" s="13"/>
      <c r="H19" s="13"/>
      <c r="I19" s="13"/>
      <c r="J19" s="13"/>
      <c r="K19" s="13"/>
      <c r="L19" s="13"/>
      <c r="M19" s="14"/>
      <c r="N19" s="15"/>
      <c r="O19" s="14"/>
      <c r="P19" s="15"/>
      <c r="Q19" s="14"/>
      <c r="R19" s="14"/>
      <c r="S19" s="14"/>
      <c r="T19" s="15"/>
      <c r="U19" s="15"/>
      <c r="V19" s="15"/>
      <c r="W19" s="15"/>
      <c r="X19" s="15"/>
      <c r="Y19" s="15"/>
      <c r="Z19" s="15"/>
    </row>
    <row r="20" spans="1:26" ht="11.25" customHeight="1" x14ac:dyDescent="0.2"/>
    <row r="21" spans="1:26" ht="11.25" customHeight="1" x14ac:dyDescent="0.2"/>
    <row r="22" spans="1:26" ht="11.25" customHeight="1" x14ac:dyDescent="0.2"/>
    <row r="23" spans="1:26" ht="11.25" customHeight="1" x14ac:dyDescent="0.2"/>
    <row r="24" spans="1:26" ht="11.25" customHeight="1" x14ac:dyDescent="0.2"/>
    <row r="25" spans="1:26" ht="11.25" customHeight="1" x14ac:dyDescent="0.2"/>
    <row r="26" spans="1:26" ht="11.25" customHeight="1" x14ac:dyDescent="0.2"/>
    <row r="27" spans="1:26" ht="11.25" customHeight="1" x14ac:dyDescent="0.2"/>
    <row r="28" spans="1:26" ht="11.25" customHeight="1" x14ac:dyDescent="0.2"/>
    <row r="29" spans="1:26" ht="11.25" customHeight="1" x14ac:dyDescent="0.2"/>
    <row r="30" spans="1:26" ht="11.25" customHeight="1" x14ac:dyDescent="0.2"/>
    <row r="31" spans="1:26" ht="11.25" customHeight="1" x14ac:dyDescent="0.2"/>
    <row r="32" spans="1:26" ht="11.25" customHeight="1" x14ac:dyDescent="0.2"/>
    <row r="33" ht="11.25" customHeight="1" x14ac:dyDescent="0.2"/>
    <row r="34" ht="11.25" customHeight="1" x14ac:dyDescent="0.2"/>
    <row r="35" ht="11.25" customHeight="1" x14ac:dyDescent="0.2"/>
    <row r="36" ht="11.25" customHeight="1" x14ac:dyDescent="0.2"/>
    <row r="37" ht="11.25" customHeight="1" x14ac:dyDescent="0.2"/>
    <row r="38" ht="11.25" customHeight="1" x14ac:dyDescent="0.2"/>
    <row r="39" ht="11.25" customHeight="1" x14ac:dyDescent="0.2"/>
    <row r="40" ht="11.25" customHeight="1" x14ac:dyDescent="0.2"/>
    <row r="41" ht="11.25" customHeight="1" x14ac:dyDescent="0.2"/>
    <row r="42" ht="11.25" customHeight="1" x14ac:dyDescent="0.2"/>
    <row r="43" ht="11.25" customHeight="1" x14ac:dyDescent="0.2"/>
    <row r="44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</sheetData>
  <conditionalFormatting sqref="M1:Q6 M11:Q13 M18:Q1048576">
    <cfRule type="expression" dxfId="7" priority="5">
      <formula>M$5=forecastyear</formula>
    </cfRule>
  </conditionalFormatting>
  <conditionalFormatting sqref="J7:Q8">
    <cfRule type="expression" dxfId="6" priority="4">
      <formula>J$5=forecastyear</formula>
    </cfRule>
  </conditionalFormatting>
  <conditionalFormatting sqref="J16:Q17">
    <cfRule type="expression" dxfId="5" priority="1">
      <formula>J$5=forecastyear</formula>
    </cfRule>
  </conditionalFormatting>
  <conditionalFormatting sqref="J14:Q15">
    <cfRule type="expression" dxfId="4" priority="3">
      <formula>J$5=forecastyear</formula>
    </cfRule>
  </conditionalFormatting>
  <conditionalFormatting sqref="J9:Q10">
    <cfRule type="expression" dxfId="3" priority="2">
      <formula>J$5=forecastyear</formula>
    </cfRule>
  </conditionalFormatting>
  <hyperlinks>
    <hyperlink ref="L1" location="'Pricing model'!A51" display="Back to Index" xr:uid="{00000000-0004-0000-1400-00000000000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">
    <tabColor rgb="FFC00000"/>
  </sheetPr>
  <dimension ref="A1:AE30"/>
  <sheetViews>
    <sheetView showGridLines="0" workbookViewId="0"/>
  </sheetViews>
  <sheetFormatPr defaultColWidth="0" defaultRowHeight="11.25" customHeight="1" zeroHeight="1" x14ac:dyDescent="0.2"/>
  <cols>
    <col min="1" max="2" width="1.28515625" style="19" customWidth="1"/>
    <col min="3" max="3" width="26.42578125" style="19" customWidth="1"/>
    <col min="4" max="4" width="73.42578125" style="19" customWidth="1"/>
    <col min="5" max="5" width="21.140625" style="19" customWidth="1"/>
    <col min="6" max="6" width="5.5703125" style="19" customWidth="1"/>
    <col min="7" max="7" width="8" style="19" hidden="1" customWidth="1"/>
    <col min="8" max="15" width="8.42578125" style="19" hidden="1" customWidth="1"/>
    <col min="16" max="16" width="1.28515625" style="19" hidden="1" customWidth="1"/>
    <col min="17" max="17" width="9" style="19" hidden="1" customWidth="1"/>
    <col min="18" max="18" width="1.28515625" style="19" hidden="1" customWidth="1"/>
    <col min="19" max="16384" width="9" style="19" hidden="1"/>
  </cols>
  <sheetData>
    <row r="1" spans="1:31" s="39" customFormat="1" ht="15.75" customHeight="1" x14ac:dyDescent="0.2">
      <c r="A1" s="1"/>
      <c r="B1" s="2" t="str">
        <f>'Pricing model'!G2&amp;" - "&amp;'Pricing model'!G3</f>
        <v>AER pricing model - TasNetworks 2022–23</v>
      </c>
      <c r="C1" s="2"/>
      <c r="D1" s="1"/>
      <c r="E1" s="160" t="s">
        <v>0</v>
      </c>
      <c r="F1" s="281"/>
      <c r="H1" s="40"/>
      <c r="I1" s="41"/>
      <c r="J1" s="42"/>
    </row>
    <row r="2" spans="1:31" s="43" customFormat="1" ht="13.5" customHeight="1" thickBot="1" x14ac:dyDescent="0.25">
      <c r="A2" s="6"/>
      <c r="B2" s="7" t="s">
        <v>291</v>
      </c>
      <c r="C2" s="7"/>
      <c r="D2" s="6"/>
      <c r="E2" s="6"/>
      <c r="F2" s="6"/>
    </row>
    <row r="3" spans="1:31" s="9" customFormat="1" ht="3" customHeight="1" x14ac:dyDescent="0.2"/>
    <row r="4" spans="1:31" s="18" customFormat="1" ht="12.75" x14ac:dyDescent="0.2">
      <c r="A4" s="11"/>
      <c r="B4" s="12" t="s">
        <v>58</v>
      </c>
      <c r="C4" s="11"/>
      <c r="D4" s="11"/>
      <c r="E4" s="11"/>
      <c r="F4" s="11"/>
      <c r="G4" s="13"/>
      <c r="H4" s="13"/>
      <c r="I4" s="13"/>
      <c r="J4" s="13"/>
      <c r="K4" s="14"/>
      <c r="L4" s="15"/>
      <c r="M4" s="14"/>
      <c r="N4" s="15"/>
      <c r="O4" s="14"/>
      <c r="P4" s="14"/>
      <c r="Q4" s="14"/>
      <c r="R4" s="14"/>
      <c r="S4" s="14"/>
      <c r="T4" s="14"/>
      <c r="U4" s="14"/>
      <c r="V4" s="14"/>
      <c r="W4" s="15"/>
      <c r="X4" s="15"/>
      <c r="Y4" s="16"/>
      <c r="Z4" s="16"/>
      <c r="AA4" s="16"/>
      <c r="AB4" s="16"/>
      <c r="AC4" s="16"/>
      <c r="AD4" s="17"/>
      <c r="AE4" s="17"/>
    </row>
    <row r="5" spans="1:31" x14ac:dyDescent="0.2"/>
    <row r="6" spans="1:31" x14ac:dyDescent="0.2">
      <c r="C6" s="24" t="s">
        <v>59</v>
      </c>
      <c r="D6" s="24" t="s">
        <v>60</v>
      </c>
      <c r="E6" s="24"/>
    </row>
    <row r="7" spans="1:31" x14ac:dyDescent="0.2">
      <c r="C7" s="47" t="s">
        <v>636</v>
      </c>
      <c r="D7" s="38" t="s">
        <v>642</v>
      </c>
      <c r="E7" s="38"/>
    </row>
    <row r="8" spans="1:31" x14ac:dyDescent="0.2">
      <c r="C8" s="47" t="s">
        <v>279</v>
      </c>
      <c r="D8" s="38" t="s">
        <v>288</v>
      </c>
      <c r="E8" s="38"/>
    </row>
    <row r="9" spans="1:31" x14ac:dyDescent="0.2">
      <c r="C9" s="47" t="s">
        <v>625</v>
      </c>
      <c r="D9" s="38" t="s">
        <v>286</v>
      </c>
      <c r="E9" s="38"/>
    </row>
    <row r="10" spans="1:31" x14ac:dyDescent="0.2">
      <c r="C10" s="47" t="s">
        <v>623</v>
      </c>
      <c r="D10" s="38" t="s">
        <v>284</v>
      </c>
      <c r="E10" s="38"/>
    </row>
    <row r="11" spans="1:31" x14ac:dyDescent="0.2">
      <c r="C11" s="47" t="s">
        <v>624</v>
      </c>
      <c r="D11" s="38" t="s">
        <v>285</v>
      </c>
      <c r="E11" s="38"/>
    </row>
    <row r="12" spans="1:31" x14ac:dyDescent="0.2">
      <c r="C12" s="47" t="s">
        <v>280</v>
      </c>
      <c r="D12" s="38" t="s">
        <v>289</v>
      </c>
      <c r="E12" s="38"/>
    </row>
    <row r="13" spans="1:31" x14ac:dyDescent="0.2">
      <c r="C13" s="47" t="s">
        <v>278</v>
      </c>
      <c r="D13" s="38" t="s">
        <v>287</v>
      </c>
      <c r="E13" s="38"/>
    </row>
    <row r="14" spans="1:31" x14ac:dyDescent="0.2">
      <c r="C14" s="47" t="s">
        <v>281</v>
      </c>
      <c r="D14" s="38" t="s">
        <v>290</v>
      </c>
      <c r="E14" s="38"/>
    </row>
    <row r="15" spans="1:31" ht="12.75" x14ac:dyDescent="0.2">
      <c r="C15" s="44"/>
      <c r="D15" s="38"/>
      <c r="E15" s="38"/>
    </row>
    <row r="16" spans="1:31" s="18" customFormat="1" ht="12.75" x14ac:dyDescent="0.2">
      <c r="A16" s="11"/>
      <c r="B16" s="12" t="s">
        <v>8</v>
      </c>
      <c r="C16" s="11"/>
      <c r="D16" s="11"/>
      <c r="E16" s="11"/>
      <c r="F16" s="11"/>
      <c r="G16" s="13"/>
      <c r="H16" s="13"/>
      <c r="I16" s="13"/>
      <c r="J16" s="13"/>
      <c r="K16" s="14"/>
      <c r="L16" s="15"/>
      <c r="M16" s="14"/>
      <c r="N16" s="15"/>
      <c r="O16" s="14"/>
      <c r="P16" s="14"/>
      <c r="Q16" s="14"/>
      <c r="R16" s="14"/>
      <c r="S16" s="14"/>
      <c r="T16" s="14"/>
      <c r="U16" s="14"/>
      <c r="V16" s="14"/>
      <c r="W16" s="15"/>
      <c r="X16" s="15"/>
      <c r="Y16" s="16"/>
      <c r="Z16" s="16"/>
      <c r="AA16" s="16"/>
      <c r="AB16" s="16"/>
      <c r="AC16" s="16"/>
      <c r="AD16" s="17"/>
      <c r="AE16" s="17"/>
    </row>
    <row r="17" spans="3:7" hidden="1" x14ac:dyDescent="0.2">
      <c r="D17" s="38"/>
      <c r="E17" s="38"/>
      <c r="G17" s="45"/>
    </row>
    <row r="18" spans="3:7" hidden="1" x14ac:dyDescent="0.2">
      <c r="D18" s="38"/>
      <c r="E18" s="38"/>
      <c r="G18" s="45"/>
    </row>
    <row r="19" spans="3:7" hidden="1" x14ac:dyDescent="0.2">
      <c r="D19" s="38"/>
      <c r="E19" s="38"/>
      <c r="G19" s="45"/>
    </row>
    <row r="20" spans="3:7" hidden="1" x14ac:dyDescent="0.2">
      <c r="D20" s="38"/>
      <c r="E20" s="38"/>
      <c r="G20" s="45"/>
    </row>
    <row r="21" spans="3:7" hidden="1" x14ac:dyDescent="0.2">
      <c r="D21" s="38"/>
      <c r="E21" s="38"/>
      <c r="G21" s="45"/>
    </row>
    <row r="22" spans="3:7" hidden="1" x14ac:dyDescent="0.2">
      <c r="C22" s="38"/>
      <c r="D22" s="38"/>
      <c r="E22" s="38"/>
      <c r="G22" s="45"/>
    </row>
    <row r="23" spans="3:7" hidden="1" x14ac:dyDescent="0.2">
      <c r="C23" s="38"/>
      <c r="D23" s="38"/>
      <c r="E23" s="38"/>
      <c r="G23" s="45"/>
    </row>
    <row r="24" spans="3:7" hidden="1" x14ac:dyDescent="0.2">
      <c r="C24" s="38"/>
      <c r="D24" s="38"/>
      <c r="E24" s="38"/>
    </row>
    <row r="25" spans="3:7" hidden="1" x14ac:dyDescent="0.2">
      <c r="D25" s="38"/>
      <c r="E25" s="38"/>
    </row>
    <row r="26" spans="3:7" hidden="1" x14ac:dyDescent="0.2">
      <c r="D26" s="38"/>
      <c r="E26" s="38"/>
    </row>
    <row r="27" spans="3:7" hidden="1" x14ac:dyDescent="0.2">
      <c r="D27" s="38"/>
      <c r="E27" s="38"/>
    </row>
    <row r="28" spans="3:7" hidden="1" x14ac:dyDescent="0.2">
      <c r="D28" s="38"/>
      <c r="E28" s="38"/>
    </row>
    <row r="29" spans="3:7" hidden="1" x14ac:dyDescent="0.2">
      <c r="D29" s="38"/>
      <c r="E29" s="38"/>
    </row>
    <row r="30" spans="3:7" ht="12.75" hidden="1" x14ac:dyDescent="0.2">
      <c r="C30" s="44"/>
      <c r="D30" s="38"/>
      <c r="E30" s="38"/>
    </row>
  </sheetData>
  <sheetProtection formatColumns="0" formatRows="0"/>
  <hyperlinks>
    <hyperlink ref="C12" location="'SC revenue'!A1" display="Side constraints revenue" xr:uid="{00000000-0004-0000-1500-000000000000}"/>
    <hyperlink ref="C13" location="'Total qty'!A1" display="Total quantities" xr:uid="{00000000-0004-0000-1500-000001000000}"/>
    <hyperlink ref="C8" location="Accounts!A1" display="Accounts" xr:uid="{00000000-0004-0000-1500-000002000000}"/>
    <hyperlink ref="C7" location="TAR!A1" display="Total allowable revenue" xr:uid="{00000000-0004-0000-1500-000003000000}"/>
    <hyperlink ref="C10" location="'Prop. revenue'!A1" display="Proposed revenue" xr:uid="{00000000-0004-0000-1500-000004000000}"/>
    <hyperlink ref="C14" location="Movements!A1" display="Movements" xr:uid="{00000000-0004-0000-1500-000005000000}"/>
    <hyperlink ref="C11" location="'Hist. revenue'!A1" display="Historical revenue" xr:uid="{00000000-0004-0000-1500-000006000000}"/>
    <hyperlink ref="C9" location="'Rev. summary'!A1" display="Revenue summary" xr:uid="{00000000-0004-0000-1500-000007000000}"/>
    <hyperlink ref="E1" location="'Pricing model'!A51" display="Back to Index" xr:uid="{00000000-0004-0000-1500-000008000000}"/>
  </hyperlinks>
  <pageMargins left="0.7" right="0.7" top="0.75" bottom="0.75" header="0.3" footer="0.3"/>
  <pageSetup paperSize="9" orientation="portrait" verticalDpi="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">
    <tabColor theme="7" tint="0.79998168889431442"/>
  </sheetPr>
  <dimension ref="A1:Z45"/>
  <sheetViews>
    <sheetView showGridLines="0" zoomScaleNormal="100" workbookViewId="0"/>
  </sheetViews>
  <sheetFormatPr defaultColWidth="0" defaultRowHeight="11.25" zeroHeight="1" outlineLevelRow="1" x14ac:dyDescent="0.2"/>
  <cols>
    <col min="1" max="2" width="1.42578125" style="18" customWidth="1"/>
    <col min="3" max="3" width="43.42578125" style="18" customWidth="1"/>
    <col min="4" max="6" width="11.42578125" style="18" customWidth="1"/>
    <col min="7" max="9" width="2.85546875" style="18" customWidth="1"/>
    <col min="10" max="20" width="9.28515625" style="18" customWidth="1"/>
    <col min="21" max="23" width="3.85546875" style="18" customWidth="1"/>
    <col min="24" max="16384" width="8" style="18" hidden="1"/>
  </cols>
  <sheetData>
    <row r="1" spans="1:26" ht="15.75" x14ac:dyDescent="0.25">
      <c r="A1" s="1"/>
      <c r="B1" s="2" t="str">
        <f>'Calculations&gt;&gt;'!B1</f>
        <v>AER pricing model - TasNetworks 2022–23</v>
      </c>
      <c r="C1" s="2"/>
      <c r="D1" s="2"/>
      <c r="E1" s="2"/>
      <c r="F1" s="3"/>
      <c r="G1" s="3"/>
      <c r="H1" s="3"/>
      <c r="I1" s="3"/>
      <c r="J1" s="160" t="s">
        <v>0</v>
      </c>
      <c r="K1" s="1"/>
      <c r="L1" s="111"/>
      <c r="M1" s="112"/>
      <c r="N1" s="112"/>
      <c r="O1" s="51"/>
      <c r="R1" s="111"/>
      <c r="S1" s="113"/>
      <c r="U1" s="114"/>
      <c r="V1" s="113"/>
      <c r="W1" s="1"/>
    </row>
    <row r="2" spans="1:26" ht="13.5" thickBot="1" x14ac:dyDescent="0.25">
      <c r="A2" s="6"/>
      <c r="B2" s="7" t="str">
        <f>'Calculations&gt;&gt;'!C7</f>
        <v>Total allowable revenue</v>
      </c>
      <c r="C2" s="7"/>
      <c r="D2" s="7"/>
      <c r="E2" s="7"/>
      <c r="F2" s="8"/>
      <c r="G2" s="8"/>
      <c r="H2" s="8"/>
      <c r="I2" s="8"/>
      <c r="J2" s="1"/>
      <c r="K2" s="1"/>
      <c r="L2" s="1"/>
      <c r="M2" s="1"/>
      <c r="N2" s="1"/>
      <c r="O2" s="1"/>
      <c r="P2" s="1"/>
      <c r="Q2" s="1"/>
      <c r="R2" s="1"/>
      <c r="S2" s="6"/>
      <c r="T2" s="6"/>
      <c r="U2" s="6"/>
      <c r="V2" s="6"/>
      <c r="W2" s="6"/>
    </row>
    <row r="3" spans="1:26" x14ac:dyDescent="0.2">
      <c r="A3" s="27"/>
      <c r="B3" s="296" t="str">
        <f>'Calculations&gt;&gt;'!D7</f>
        <v>Calculates total allowable revenues</v>
      </c>
      <c r="C3" s="27"/>
      <c r="D3" s="28"/>
      <c r="E3" s="28"/>
      <c r="F3" s="28"/>
      <c r="G3" s="28"/>
      <c r="H3" s="28"/>
      <c r="I3" s="28"/>
      <c r="J3" s="291"/>
      <c r="K3" s="287"/>
      <c r="L3" s="287"/>
      <c r="M3" s="287"/>
      <c r="N3" s="287"/>
      <c r="O3" s="287"/>
      <c r="P3" s="287"/>
      <c r="Q3" s="287"/>
      <c r="R3" s="287"/>
      <c r="S3" s="30"/>
      <c r="T3" s="31"/>
      <c r="U3" s="31"/>
      <c r="V3" s="31"/>
      <c r="W3" s="31"/>
    </row>
    <row r="4" spans="1:26" x14ac:dyDescent="0.2">
      <c r="A4" s="9"/>
      <c r="B4" s="9"/>
      <c r="C4" s="78"/>
      <c r="D4" s="10"/>
      <c r="E4" s="10"/>
      <c r="F4" s="10"/>
      <c r="G4" s="10"/>
      <c r="H4" s="10"/>
      <c r="I4" s="10"/>
      <c r="J4" s="288"/>
      <c r="K4" s="288"/>
      <c r="L4" s="288"/>
      <c r="M4" s="288"/>
      <c r="N4" s="288"/>
      <c r="O4" s="288"/>
      <c r="P4" s="288"/>
      <c r="Q4" s="288"/>
      <c r="R4" s="290"/>
      <c r="S4" s="9"/>
      <c r="T4" s="9"/>
      <c r="U4" s="9"/>
      <c r="V4" s="9"/>
      <c r="W4" s="9"/>
      <c r="X4" s="9"/>
      <c r="Y4" s="9"/>
      <c r="Z4" s="9"/>
    </row>
    <row r="5" spans="1:26" ht="12.75" x14ac:dyDescent="0.2">
      <c r="A5" s="11"/>
      <c r="B5" s="12" t="s">
        <v>641</v>
      </c>
      <c r="C5" s="11"/>
      <c r="D5" s="32" t="s">
        <v>3</v>
      </c>
      <c r="E5" s="32" t="s">
        <v>11</v>
      </c>
      <c r="F5" s="33"/>
      <c r="G5" s="34"/>
      <c r="H5" s="34"/>
      <c r="I5" s="34"/>
      <c r="J5" s="33" t="str">
        <f>RCPminus3</f>
        <v>2016–17</v>
      </c>
      <c r="K5" s="33" t="str">
        <f>RCPminus2</f>
        <v>2017–18</v>
      </c>
      <c r="L5" s="33" t="str">
        <f>RCPminus1</f>
        <v>2018–19</v>
      </c>
      <c r="M5" s="35" t="str">
        <f>RCP_firstyear</f>
        <v>2019–20</v>
      </c>
      <c r="N5" s="35" t="str">
        <f>RCP_secondyear</f>
        <v>2020–21</v>
      </c>
      <c r="O5" s="35" t="str">
        <f>RCP_thirdyear</f>
        <v>2021–22</v>
      </c>
      <c r="P5" s="35" t="str">
        <f>RCP_fourthyear</f>
        <v>2022–23</v>
      </c>
      <c r="Q5" s="35" t="str">
        <f>RCP_lastyear</f>
        <v>2023–24</v>
      </c>
      <c r="R5" s="14" t="s">
        <v>14</v>
      </c>
      <c r="S5" s="14"/>
      <c r="T5" s="15"/>
      <c r="U5" s="15"/>
      <c r="V5" s="15"/>
      <c r="W5" s="15"/>
      <c r="X5" s="15"/>
      <c r="Y5" s="15"/>
      <c r="Z5" s="15"/>
    </row>
    <row r="6" spans="1:26" x14ac:dyDescent="0.2">
      <c r="A6" s="19"/>
      <c r="B6" s="19"/>
      <c r="C6" s="79"/>
      <c r="D6" s="20"/>
      <c r="E6" s="20"/>
      <c r="F6" s="22"/>
      <c r="G6" s="22"/>
      <c r="H6" s="22"/>
      <c r="I6" s="20"/>
      <c r="J6" s="20"/>
      <c r="K6" s="20"/>
      <c r="L6" s="20"/>
      <c r="M6" s="37"/>
      <c r="N6" s="37"/>
      <c r="O6" s="37"/>
      <c r="P6" s="37"/>
      <c r="Q6" s="37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">
      <c r="A7" s="19"/>
      <c r="B7" s="19"/>
      <c r="C7" s="508" t="str">
        <f>Financial!C8</f>
        <v>Inflation</v>
      </c>
      <c r="D7" s="512" t="str">
        <f>Financial!B2</f>
        <v>Financial</v>
      </c>
      <c r="E7" s="458" t="str">
        <f>Financial!E8</f>
        <v>Per cent</v>
      </c>
      <c r="F7" s="22"/>
      <c r="G7" s="22"/>
      <c r="H7" s="22"/>
      <c r="I7" s="20"/>
      <c r="J7" s="350">
        <f>Financial!J8</f>
        <v>1.6885553470919357E-2</v>
      </c>
      <c r="K7" s="350">
        <f>Financial!K8</f>
        <v>1.4760147601476037E-2</v>
      </c>
      <c r="L7" s="350">
        <f>Financial!L8</f>
        <v>1.9090909090909047E-2</v>
      </c>
      <c r="M7" s="350">
        <f>Financial!M8</f>
        <v>1.7841213202497874E-2</v>
      </c>
      <c r="N7" s="350">
        <f>Financial!N8*cancelfutureyear2</f>
        <v>1.8404907975460238E-2</v>
      </c>
      <c r="O7" s="350">
        <f>Financial!O8*cancelfutureyear3</f>
        <v>8.6058519793459354E-3</v>
      </c>
      <c r="P7" s="350">
        <f>Financial!P8*cancelfutureyear4</f>
        <v>3.4982935153583528E-2</v>
      </c>
      <c r="Q7" s="350">
        <f>Financial!Q8*cancelfutureyear5</f>
        <v>0</v>
      </c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">
      <c r="A8" s="19"/>
      <c r="B8" s="19"/>
      <c r="C8" s="508" t="str">
        <f>Financial!C10</f>
        <v>X-factor</v>
      </c>
      <c r="D8" s="512" t="str">
        <f>Financial!B2</f>
        <v>Financial</v>
      </c>
      <c r="E8" s="458" t="str">
        <f>Financial!E10</f>
        <v>Per cent</v>
      </c>
      <c r="F8" s="22"/>
      <c r="G8" s="22"/>
      <c r="H8" s="22"/>
      <c r="I8" s="20"/>
      <c r="J8" s="351"/>
      <c r="K8" s="351"/>
      <c r="L8" s="352"/>
      <c r="M8" s="353"/>
      <c r="N8" s="354">
        <f>Financial!N10*cancelfutureyear2</f>
        <v>-1.4130548336114239E-2</v>
      </c>
      <c r="O8" s="354">
        <f>Financial!O10*cancelfutureyear3</f>
        <v>-1.0875956896914439E-2</v>
      </c>
      <c r="P8" s="354">
        <f>Financial!P10*cancelfutureyear4</f>
        <v>-8.2127024447308968E-3</v>
      </c>
      <c r="Q8" s="354">
        <f>Financial!Q10*cancelfutureyear5</f>
        <v>0</v>
      </c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">
      <c r="A9" s="19"/>
      <c r="B9" s="19"/>
      <c r="C9" s="508" t="str">
        <f>Financial!C16</f>
        <v>S factor (STPIS 1.2)</v>
      </c>
      <c r="D9" s="512" t="str">
        <f>Financial!B2</f>
        <v>Financial</v>
      </c>
      <c r="E9" s="458" t="str">
        <f>Financial!E16</f>
        <v>Per cent</v>
      </c>
      <c r="F9" s="22"/>
      <c r="G9" s="22"/>
      <c r="H9" s="22"/>
      <c r="I9" s="20"/>
      <c r="J9" s="355"/>
      <c r="K9" s="355"/>
      <c r="L9" s="356"/>
      <c r="M9" s="354">
        <f>Financial!M16</f>
        <v>7.1210477177840702E-3</v>
      </c>
      <c r="N9" s="354">
        <f>Financial!N16*cancelfutureyear2</f>
        <v>2.4363429288367655E-3</v>
      </c>
      <c r="O9" s="354">
        <f>Financial!O16*cancelfutureyear3</f>
        <v>1.6328688179711337E-2</v>
      </c>
      <c r="P9" s="354">
        <f>Financial!P16*cancelfutureyear4</f>
        <v>-6.9560159287476164E-3</v>
      </c>
      <c r="Q9" s="354">
        <f>Financial!Q16*cancelfutureyear5</f>
        <v>0</v>
      </c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">
      <c r="A10" s="19"/>
      <c r="B10" s="19"/>
      <c r="C10" s="524"/>
      <c r="D10" s="512"/>
      <c r="E10" s="531"/>
      <c r="F10" s="22"/>
      <c r="G10" s="22"/>
      <c r="H10" s="22"/>
      <c r="I10" s="20"/>
      <c r="J10" s="355"/>
      <c r="K10" s="355"/>
      <c r="L10" s="355"/>
      <c r="M10" s="357"/>
      <c r="N10" s="357"/>
      <c r="O10" s="357"/>
      <c r="P10" s="357"/>
      <c r="Q10" s="357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">
      <c r="A11" s="19"/>
      <c r="B11" s="19"/>
      <c r="C11" s="508" t="s">
        <v>225</v>
      </c>
      <c r="D11" s="512" t="str">
        <f>Financial!B2</f>
        <v>Financial</v>
      </c>
      <c r="E11" s="458" t="str">
        <f>IF(D11=0,0,revenueunits)</f>
        <v>$millions</v>
      </c>
      <c r="F11" s="22"/>
      <c r="G11" s="22"/>
      <c r="H11" s="22"/>
      <c r="I11" s="20"/>
      <c r="J11" s="355"/>
      <c r="K11" s="355"/>
      <c r="L11" s="356"/>
      <c r="M11" s="358">
        <f>Financial!M24</f>
        <v>0</v>
      </c>
      <c r="N11" s="358">
        <f>Financial!N24*cancelfutureyear2</f>
        <v>0</v>
      </c>
      <c r="O11" s="358">
        <f>Financial!O24*cancelfutureyear3</f>
        <v>0</v>
      </c>
      <c r="P11" s="358">
        <f>Financial!P24*cancelfutureyear4</f>
        <v>0</v>
      </c>
      <c r="Q11" s="358">
        <f>Financial!Q24*cancelfutureyear5</f>
        <v>0</v>
      </c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">
      <c r="A12" s="19"/>
      <c r="B12" s="19"/>
      <c r="C12" s="508" t="s">
        <v>227</v>
      </c>
      <c r="D12" s="512" t="str">
        <f>Financial!B2</f>
        <v>Financial</v>
      </c>
      <c r="E12" s="458" t="str">
        <f>IF(D12=0,0,revenueunits)</f>
        <v>$millions</v>
      </c>
      <c r="F12" s="22"/>
      <c r="G12" s="22"/>
      <c r="H12" s="22"/>
      <c r="I12" s="20"/>
      <c r="J12" s="355"/>
      <c r="K12" s="355"/>
      <c r="L12" s="356"/>
      <c r="M12" s="358">
        <f>Financial!M29</f>
        <v>0</v>
      </c>
      <c r="N12" s="358">
        <f>Financial!N29*cancelfutureyear2</f>
        <v>0</v>
      </c>
      <c r="O12" s="358">
        <f>Financial!O29*cancelfutureyear3</f>
        <v>0</v>
      </c>
      <c r="P12" s="358">
        <f>Financial!P29*cancelfutureyear4</f>
        <v>0</v>
      </c>
      <c r="Q12" s="358">
        <f>Financial!Q29*cancelfutureyear5</f>
        <v>0</v>
      </c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">
      <c r="A13" s="19"/>
      <c r="B13" s="19"/>
      <c r="C13" s="508" t="s">
        <v>226</v>
      </c>
      <c r="D13" s="512" t="str">
        <f>Financial!B2</f>
        <v>Financial</v>
      </c>
      <c r="E13" s="458" t="str">
        <f>IF(D13=0,0,revenueunits)</f>
        <v>$millions</v>
      </c>
      <c r="F13" s="22"/>
      <c r="G13" s="22"/>
      <c r="H13" s="22"/>
      <c r="I13" s="20"/>
      <c r="J13" s="355"/>
      <c r="K13" s="355"/>
      <c r="L13" s="356"/>
      <c r="M13" s="358">
        <f>Financial!M35</f>
        <v>-0.65601012865800379</v>
      </c>
      <c r="N13" s="358">
        <f>Financial!N35*cancelfutureyear2</f>
        <v>-10.868002668861555</v>
      </c>
      <c r="O13" s="358">
        <f>Financial!O35*cancelfutureyear3</f>
        <v>-5.7237682921106581</v>
      </c>
      <c r="P13" s="358">
        <f>Financial!P35*cancelfutureyear4</f>
        <v>-6.5168169140277339</v>
      </c>
      <c r="Q13" s="358">
        <f>Financial!Q35*cancelfutureyear5</f>
        <v>0</v>
      </c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">
      <c r="A14" s="19"/>
      <c r="B14" s="19"/>
      <c r="C14" s="524"/>
      <c r="D14" s="512"/>
      <c r="E14" s="531"/>
      <c r="F14" s="22"/>
      <c r="G14" s="22"/>
      <c r="H14" s="22"/>
      <c r="I14" s="20"/>
      <c r="J14" s="355"/>
      <c r="K14" s="355"/>
      <c r="L14" s="355"/>
      <c r="M14" s="359"/>
      <c r="N14" s="359"/>
      <c r="O14" s="359"/>
      <c r="P14" s="359"/>
      <c r="Q14" s="35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">
      <c r="A15" s="19"/>
      <c r="B15" s="19"/>
      <c r="C15" s="508" t="s">
        <v>223</v>
      </c>
      <c r="D15" s="512" t="s">
        <v>263</v>
      </c>
      <c r="E15" s="458" t="str">
        <f>IF(D15=0,0,revenueunits)</f>
        <v>$millions</v>
      </c>
      <c r="F15" s="22"/>
      <c r="G15" s="22"/>
      <c r="H15" s="22"/>
      <c r="I15" s="20"/>
      <c r="J15" s="355"/>
      <c r="K15" s="355"/>
      <c r="L15" s="356"/>
      <c r="M15" s="358">
        <f>Financial!M11</f>
        <v>235.36056146627897</v>
      </c>
      <c r="N15" s="358">
        <f>Financial!N11*cancelfutureyear2</f>
        <v>244.47417971113808</v>
      </c>
      <c r="O15" s="358">
        <f>Financial!O11*cancelfutureyear3</f>
        <v>253.12573754545227</v>
      </c>
      <c r="P15" s="358">
        <f>Financial!P11*cancelfutureyear4</f>
        <v>261.39297518910541</v>
      </c>
      <c r="Q15" s="358">
        <f>Financial!Q11*cancelfutureyear5</f>
        <v>0</v>
      </c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">
      <c r="A16" s="19"/>
      <c r="B16" s="19"/>
      <c r="C16" s="508" t="s">
        <v>224</v>
      </c>
      <c r="D16" s="512" t="s">
        <v>105</v>
      </c>
      <c r="E16" s="458" t="str">
        <f>IF(D16=0,0,revenueunits)</f>
        <v>$millions</v>
      </c>
      <c r="F16" s="22"/>
      <c r="G16" s="22"/>
      <c r="H16" s="22"/>
      <c r="I16" s="20"/>
      <c r="J16" s="355"/>
      <c r="K16" s="355"/>
      <c r="L16" s="356"/>
      <c r="M16" s="358">
        <f>IF(M5=RCP_firstyear,M15*(1+M9),
IF(AND(M5=RCP_thirdyear,M9=0,L9&lt;&gt;0),L16*(1+M7)*(1-M8)/(1+L9)/(1+K9),L16*(1+M7)*(1-M8)*(1+M9)))</f>
        <v>237.0365752553648</v>
      </c>
      <c r="N16" s="358">
        <f>IF(N5=RCP_firstyear,N15*(1+N9),
IF(AND(N5=RCP_thirdyear,N9=0,M9&lt;&gt;0),M16*(1+N7)*(1-N8)/(1+M9)/(1+L9),M16*(1+N7)*(1-N8)*(1+N9)))*cancelfutureyear2</f>
        <v>245.40675671717077</v>
      </c>
      <c r="O16" s="358">
        <f>IF(O5=RCP_firstyear,O15*(1+O9),
IF(AND(O5=RCP_thirdyear,O9=0,N9&lt;&gt;0),N16*(1+O7)*(1-O8)/(1+N9)/(1+M9),N16*(1+O7)*(1-O8)*(1+O9)))*cancelfutureyear3</f>
        <v>254.29630594833</v>
      </c>
      <c r="P16" s="358">
        <f>IF(P5=RCP_firstyear,P15*(1+P9),
IF(AND(P5=RCP_thirdyear,P9=0,O9&lt;&gt;0),O16*(1+P7)*(1-P8)/(1+O9)/(1+N9),O16*(1+P7)*(1-P8)*(1+P9)))*cancelfutureyear4</f>
        <v>263.50805182030763</v>
      </c>
      <c r="Q16" s="358">
        <f>IF(Q5=RCP_firstyear,Q15*(1+Q9),
IF(AND(Q5=RCP_thirdyear,Q9=0,P9&lt;&gt;0),P16*(1+Q7)*(1-Q8)/(1+P9)/(1+O9),P16*(1+Q7)*(1-Q8)*(1+Q9)))*cancelfutureyear5</f>
        <v>0</v>
      </c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">
      <c r="A17" s="19"/>
      <c r="B17" s="19"/>
      <c r="C17" s="507" t="s">
        <v>636</v>
      </c>
      <c r="D17" s="512" t="s">
        <v>105</v>
      </c>
      <c r="E17" s="458" t="str">
        <f>IF(D17=0,0,revenueunits)</f>
        <v>$millions</v>
      </c>
      <c r="F17" s="22"/>
      <c r="G17" s="22"/>
      <c r="H17" s="22"/>
      <c r="I17" s="20"/>
      <c r="J17" s="355"/>
      <c r="K17" s="355"/>
      <c r="L17" s="356"/>
      <c r="M17" s="358">
        <f>M16+M11+M12+M13</f>
        <v>236.38056512670678</v>
      </c>
      <c r="N17" s="358">
        <f>(N16+N11+N12+N13)*cancelfutureyear2</f>
        <v>234.53875404830922</v>
      </c>
      <c r="O17" s="358">
        <f>(O16+O11+O12+O13)*cancelfutureyear3</f>
        <v>248.57253765621934</v>
      </c>
      <c r="P17" s="358">
        <f>(P16+P11+P12+P13)*cancelfutureyear4</f>
        <v>256.99123490627989</v>
      </c>
      <c r="Q17" s="358">
        <f>(Q16+Q11+Q12+Q13)*cancelfutureyear5</f>
        <v>0</v>
      </c>
      <c r="R17" s="19"/>
      <c r="S17" s="594"/>
      <c r="T17" s="19"/>
      <c r="U17" s="19"/>
      <c r="V17" s="19"/>
      <c r="W17" s="19"/>
      <c r="X17" s="19"/>
      <c r="Y17" s="19"/>
      <c r="Z17" s="19"/>
    </row>
    <row r="18" spans="1:26" x14ac:dyDescent="0.2">
      <c r="A18" s="19"/>
      <c r="B18" s="19"/>
      <c r="C18" s="524"/>
      <c r="D18" s="512"/>
      <c r="E18" s="531"/>
      <c r="F18" s="22"/>
      <c r="G18" s="22"/>
      <c r="H18" s="22"/>
      <c r="I18" s="20"/>
      <c r="J18" s="355"/>
      <c r="K18" s="355"/>
      <c r="L18" s="355"/>
      <c r="M18" s="359"/>
      <c r="N18" s="359"/>
      <c r="O18" s="359"/>
      <c r="P18" s="359"/>
      <c r="Q18" s="35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">
      <c r="A19" s="19"/>
      <c r="B19" s="19"/>
      <c r="C19" s="508" t="s">
        <v>252</v>
      </c>
      <c r="D19" s="512" t="s">
        <v>105</v>
      </c>
      <c r="E19" s="458" t="str">
        <f>IF(D19=0,0,revenueunits)</f>
        <v>$millions</v>
      </c>
      <c r="F19" s="22"/>
      <c r="G19" s="22"/>
      <c r="H19" s="22"/>
      <c r="I19" s="20"/>
      <c r="J19" s="355"/>
      <c r="K19" s="355"/>
      <c r="L19" s="355"/>
      <c r="M19" s="358">
        <f>SUM(Financial!M32:M34)</f>
        <v>2.1908351813174729</v>
      </c>
      <c r="N19" s="358">
        <f>SUM(Financial!N32:N34)*cancelfutureyear2</f>
        <v>0.30335779623670928</v>
      </c>
      <c r="O19" s="358">
        <f>SUM(Financial!O32:O34)*cancelfutureyear3</f>
        <v>0.31645073870399176</v>
      </c>
      <c r="P19" s="358">
        <f>SUM(Financial!P32:P34)*cancelfutureyear4</f>
        <v>0.47812928379106606</v>
      </c>
      <c r="Q19" s="358">
        <f>SUM(Financial!Q32:Q34)*cancelfutureyear5</f>
        <v>0</v>
      </c>
      <c r="R19" s="19"/>
      <c r="S19" s="24"/>
      <c r="T19" s="19"/>
      <c r="U19" s="19"/>
      <c r="V19" s="19"/>
      <c r="W19" s="19"/>
      <c r="X19" s="19"/>
      <c r="Y19" s="19"/>
      <c r="Z19" s="19"/>
    </row>
    <row r="20" spans="1:26" x14ac:dyDescent="0.2">
      <c r="A20" s="19"/>
      <c r="B20" s="19"/>
      <c r="C20" s="507" t="s">
        <v>637</v>
      </c>
      <c r="D20" s="512" t="s">
        <v>105</v>
      </c>
      <c r="E20" s="458" t="str">
        <f>IF(D20=0,0,revenueunits)</f>
        <v>$millions</v>
      </c>
      <c r="F20" s="22"/>
      <c r="G20" s="22"/>
      <c r="H20" s="22"/>
      <c r="I20" s="20"/>
      <c r="J20" s="355"/>
      <c r="K20" s="355"/>
      <c r="L20" s="355"/>
      <c r="M20" s="358">
        <f>M17-M13+M19</f>
        <v>239.22741043668228</v>
      </c>
      <c r="N20" s="358">
        <f>(N17-N13+N19)*cancelfutureyear2</f>
        <v>245.71011451340746</v>
      </c>
      <c r="O20" s="358">
        <f>(O17-O13+O19)*cancelfutureyear3</f>
        <v>254.61275668703399</v>
      </c>
      <c r="P20" s="358">
        <f>(P17-P13+P19)*cancelfutureyear4</f>
        <v>263.9861811040987</v>
      </c>
      <c r="Q20" s="358">
        <f>(Q17-Q13+Q19)*cancelfutureyear5</f>
        <v>0</v>
      </c>
      <c r="R20" s="19"/>
      <c r="S20" s="24"/>
      <c r="T20" s="19"/>
      <c r="U20" s="19"/>
      <c r="V20" s="19"/>
      <c r="W20" s="19"/>
      <c r="X20" s="19"/>
      <c r="Y20" s="19"/>
      <c r="Z20" s="19"/>
    </row>
    <row r="21" spans="1:26" x14ac:dyDescent="0.2">
      <c r="A21" s="19"/>
      <c r="B21" s="19"/>
      <c r="C21" s="51"/>
      <c r="D21" s="512"/>
      <c r="E21" s="512"/>
      <c r="F21" s="22"/>
      <c r="G21" s="22"/>
      <c r="H21" s="22"/>
      <c r="I21" s="20"/>
      <c r="J21" s="20"/>
      <c r="K21" s="20"/>
      <c r="L21" s="20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2.75" x14ac:dyDescent="0.2">
      <c r="A22" s="11"/>
      <c r="B22" s="12" t="s">
        <v>640</v>
      </c>
      <c r="C22" s="11"/>
      <c r="D22" s="183" t="str">
        <f>D5</f>
        <v>Source</v>
      </c>
      <c r="E22" s="183" t="str">
        <f>E5</f>
        <v>Unit</v>
      </c>
      <c r="F22" s="33"/>
      <c r="G22" s="34"/>
      <c r="H22" s="34"/>
      <c r="I22" s="34"/>
      <c r="J22" s="33" t="str">
        <f>RCPminus3</f>
        <v>2016–17</v>
      </c>
      <c r="K22" s="33" t="str">
        <f>RCPminus2</f>
        <v>2017–18</v>
      </c>
      <c r="L22" s="33" t="str">
        <f>RCPminus1</f>
        <v>2018–19</v>
      </c>
      <c r="M22" s="35" t="str">
        <f>RCP_firstyear</f>
        <v>2019–20</v>
      </c>
      <c r="N22" s="35" t="str">
        <f>RCP_secondyear</f>
        <v>2020–21</v>
      </c>
      <c r="O22" s="35" t="str">
        <f>RCP_thirdyear</f>
        <v>2021–22</v>
      </c>
      <c r="P22" s="35" t="str">
        <f>RCP_fourthyear</f>
        <v>2022–23</v>
      </c>
      <c r="Q22" s="35" t="str">
        <f>RCP_lastyear</f>
        <v>2023–24</v>
      </c>
      <c r="R22" s="14" t="str">
        <f>R5</f>
        <v>Notes</v>
      </c>
      <c r="S22" s="14"/>
      <c r="T22" s="15"/>
      <c r="U22" s="15"/>
      <c r="V22" s="15"/>
      <c r="W22" s="15"/>
      <c r="X22" s="15"/>
      <c r="Y22" s="15"/>
      <c r="Z22" s="15"/>
    </row>
    <row r="23" spans="1:26" x14ac:dyDescent="0.2">
      <c r="A23" s="19"/>
      <c r="B23" s="19"/>
      <c r="C23" s="51"/>
      <c r="D23" s="512"/>
      <c r="E23" s="512"/>
      <c r="F23" s="20"/>
      <c r="G23" s="20"/>
      <c r="H23" s="20"/>
      <c r="I23" s="20"/>
      <c r="J23" s="20"/>
      <c r="K23" s="20"/>
      <c r="L23" s="20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x14ac:dyDescent="0.2">
      <c r="A24" s="19"/>
      <c r="B24" s="19"/>
      <c r="C24" s="508" t="str">
        <f>Financial!C49</f>
        <v>Total Forecast DPPC</v>
      </c>
      <c r="D24" s="512" t="str">
        <f>Financial!B2</f>
        <v>Financial</v>
      </c>
      <c r="E24" s="458" t="str">
        <f>IF(D24=0,0,revenueunits)</f>
        <v>$millions</v>
      </c>
      <c r="F24" s="20"/>
      <c r="G24" s="22"/>
      <c r="H24" s="22"/>
      <c r="I24" s="20"/>
      <c r="J24" s="361"/>
      <c r="K24" s="361"/>
      <c r="L24" s="362"/>
      <c r="M24" s="363">
        <f>Financial!M49</f>
        <v>80.819999999999993</v>
      </c>
      <c r="N24" s="363">
        <f>Financial!N49*cancelfutureyear2</f>
        <v>76.362028840000008</v>
      </c>
      <c r="O24" s="363">
        <f>Financial!O49*cancelfutureyear3</f>
        <v>69.640920058680081</v>
      </c>
      <c r="P24" s="363">
        <f>Financial!P49*cancelfutureyear4</f>
        <v>74.346885729163219</v>
      </c>
      <c r="Q24" s="363">
        <f>Financial!Q49*cancelfutureyear5</f>
        <v>0</v>
      </c>
      <c r="R24" s="19"/>
      <c r="S24" s="19"/>
      <c r="T24" s="19"/>
      <c r="U24" s="19"/>
      <c r="V24" s="19"/>
      <c r="W24" s="19"/>
      <c r="X24" s="19"/>
      <c r="Y24" s="19"/>
      <c r="Z24" s="19"/>
    </row>
    <row r="25" spans="1:26" x14ac:dyDescent="0.2">
      <c r="A25" s="19"/>
      <c r="B25" s="19"/>
      <c r="C25" s="508" t="str">
        <f>Financial!C50</f>
        <v>Under/over-recovery adjustment (DPPC)</v>
      </c>
      <c r="D25" s="512" t="str">
        <f>Financial!B2</f>
        <v>Financial</v>
      </c>
      <c r="E25" s="458" t="str">
        <f>IF(D25=0,0,revenueunits)</f>
        <v>$millions</v>
      </c>
      <c r="F25" s="20"/>
      <c r="G25" s="22"/>
      <c r="H25" s="22"/>
      <c r="I25" s="20"/>
      <c r="J25" s="361"/>
      <c r="K25" s="361"/>
      <c r="L25" s="362"/>
      <c r="M25" s="363">
        <f>Financial!M50</f>
        <v>-6.2892145135907702</v>
      </c>
      <c r="N25" s="363">
        <f>Financial!N50*cancelfutureyear2</f>
        <v>-4.9806653902046101</v>
      </c>
      <c r="O25" s="363">
        <f>Financial!O50*cancelfutureyear3</f>
        <v>-3.4050602428089234</v>
      </c>
      <c r="P25" s="363">
        <f>Financial!P50*cancelfutureyear4</f>
        <v>-1.940974642835295</v>
      </c>
      <c r="Q25" s="363">
        <f>Financial!Q50*cancelfutureyear5</f>
        <v>0</v>
      </c>
      <c r="R25" s="19"/>
      <c r="S25" s="19"/>
      <c r="T25" s="19"/>
      <c r="U25" s="19"/>
      <c r="V25" s="19"/>
      <c r="W25" s="19"/>
      <c r="X25" s="19"/>
      <c r="Y25" s="19"/>
      <c r="Z25" s="19"/>
    </row>
    <row r="26" spans="1:26" x14ac:dyDescent="0.2">
      <c r="A26" s="19"/>
      <c r="B26" s="19"/>
      <c r="C26" s="507" t="s">
        <v>636</v>
      </c>
      <c r="D26" s="512" t="s">
        <v>105</v>
      </c>
      <c r="E26" s="458" t="str">
        <f>IF(D26=0,0,revenueunits)</f>
        <v>$millions</v>
      </c>
      <c r="F26" s="20"/>
      <c r="G26" s="22"/>
      <c r="H26" s="22"/>
      <c r="I26" s="20"/>
      <c r="J26" s="361"/>
      <c r="K26" s="361"/>
      <c r="L26" s="362"/>
      <c r="M26" s="363">
        <f>M24+M25</f>
        <v>74.530785486409229</v>
      </c>
      <c r="N26" s="363">
        <f>(N24+N25)*cancelfutureyear2</f>
        <v>71.381363449795401</v>
      </c>
      <c r="O26" s="363">
        <f>(O24+O25)*cancelfutureyear3</f>
        <v>66.235859815871152</v>
      </c>
      <c r="P26" s="363">
        <f>(P24+P25)*cancelfutureyear4</f>
        <v>72.405911086327919</v>
      </c>
      <c r="Q26" s="363">
        <f>(Q24+Q25)*cancelfutureyear5</f>
        <v>0</v>
      </c>
      <c r="R26" s="19"/>
      <c r="S26" s="19"/>
      <c r="T26" s="19"/>
      <c r="U26" s="19"/>
      <c r="V26" s="19"/>
      <c r="W26" s="19"/>
      <c r="X26" s="19"/>
      <c r="Y26" s="19"/>
      <c r="Z26" s="19"/>
    </row>
    <row r="27" spans="1:26" x14ac:dyDescent="0.2">
      <c r="A27" s="19"/>
      <c r="B27" s="19"/>
      <c r="C27" s="51"/>
      <c r="D27" s="512"/>
      <c r="E27" s="512"/>
      <c r="F27" s="20"/>
      <c r="G27" s="22"/>
      <c r="H27" s="22"/>
      <c r="I27" s="20"/>
      <c r="J27" s="20"/>
      <c r="K27" s="20"/>
      <c r="L27" s="20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2.75" x14ac:dyDescent="0.2">
      <c r="A28" s="11"/>
      <c r="B28" s="12" t="s">
        <v>639</v>
      </c>
      <c r="C28" s="11"/>
      <c r="D28" s="183" t="str">
        <f>D5</f>
        <v>Source</v>
      </c>
      <c r="E28" s="183" t="str">
        <f>E5</f>
        <v>Unit</v>
      </c>
      <c r="F28" s="33"/>
      <c r="G28" s="34"/>
      <c r="H28" s="34"/>
      <c r="I28" s="34"/>
      <c r="J28" s="33" t="str">
        <f>RCPminus3</f>
        <v>2016–17</v>
      </c>
      <c r="K28" s="33" t="str">
        <f>RCPminus2</f>
        <v>2017–18</v>
      </c>
      <c r="L28" s="33" t="str">
        <f>RCPminus1</f>
        <v>2018–19</v>
      </c>
      <c r="M28" s="35" t="str">
        <f>RCP_firstyear</f>
        <v>2019–20</v>
      </c>
      <c r="N28" s="35" t="str">
        <f>RCP_secondyear</f>
        <v>2020–21</v>
      </c>
      <c r="O28" s="35" t="str">
        <f>RCP_thirdyear</f>
        <v>2021–22</v>
      </c>
      <c r="P28" s="35" t="str">
        <f>RCP_fourthyear</f>
        <v>2022–23</v>
      </c>
      <c r="Q28" s="35" t="str">
        <f>RCP_lastyear</f>
        <v>2023–24</v>
      </c>
      <c r="R28" s="55" t="str">
        <f>R5</f>
        <v>Notes</v>
      </c>
      <c r="S28" s="14"/>
      <c r="T28" s="15"/>
      <c r="U28" s="15"/>
      <c r="V28" s="15"/>
      <c r="W28" s="15"/>
      <c r="X28" s="15"/>
      <c r="Y28" s="15"/>
      <c r="Z28" s="15"/>
    </row>
    <row r="29" spans="1:26" hidden="1" outlineLevel="1" x14ac:dyDescent="0.2">
      <c r="A29" s="19"/>
      <c r="B29" s="19"/>
      <c r="C29" s="51"/>
      <c r="D29" s="512"/>
      <c r="E29" s="512"/>
      <c r="F29" s="20"/>
      <c r="G29" s="20"/>
      <c r="H29" s="20"/>
      <c r="I29" s="20"/>
      <c r="J29" s="20"/>
      <c r="K29" s="20"/>
      <c r="L29" s="20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idden="1" outlineLevel="1" x14ac:dyDescent="0.2">
      <c r="A30" s="19"/>
      <c r="B30" s="19"/>
      <c r="C30" s="508" t="str">
        <f>Financial!C67</f>
        <v>Total Forecast JSA</v>
      </c>
      <c r="D30" s="512" t="str">
        <f>Financial!B2</f>
        <v>Financial</v>
      </c>
      <c r="E30" s="458" t="str">
        <f>IF(D30=0,0,revenueunits)</f>
        <v>$millions</v>
      </c>
      <c r="F30" s="20"/>
      <c r="G30" s="22"/>
      <c r="H30" s="22"/>
      <c r="I30" s="20"/>
      <c r="J30" s="361"/>
      <c r="K30" s="361"/>
      <c r="L30" s="362"/>
      <c r="M30" s="363">
        <f>Financial!M67</f>
        <v>0</v>
      </c>
      <c r="N30" s="363">
        <f>Financial!N67*cancelfutureyear2</f>
        <v>0</v>
      </c>
      <c r="O30" s="363">
        <f>Financial!O67*cancelfutureyear3</f>
        <v>0</v>
      </c>
      <c r="P30" s="363">
        <f>Financial!P67*cancelfutureyear4</f>
        <v>0</v>
      </c>
      <c r="Q30" s="363">
        <f>Financial!Q67*cancelfutureyear5</f>
        <v>0</v>
      </c>
      <c r="R30" s="19"/>
      <c r="S30" s="19"/>
      <c r="T30" s="19"/>
      <c r="U30" s="19"/>
      <c r="V30" s="19"/>
      <c r="W30" s="19"/>
      <c r="X30" s="19"/>
      <c r="Y30" s="19"/>
      <c r="Z30" s="19"/>
    </row>
    <row r="31" spans="1:26" hidden="1" outlineLevel="1" x14ac:dyDescent="0.2">
      <c r="A31" s="19"/>
      <c r="B31" s="19"/>
      <c r="C31" s="508" t="str">
        <f>Financial!C68</f>
        <v>Under/over-recovery adjustment (JSA)</v>
      </c>
      <c r="D31" s="512" t="str">
        <f>Financial!B2</f>
        <v>Financial</v>
      </c>
      <c r="E31" s="458" t="str">
        <f>IF(D31=0,0,revenueunits)</f>
        <v>$millions</v>
      </c>
      <c r="F31" s="20"/>
      <c r="G31" s="22"/>
      <c r="H31" s="22"/>
      <c r="I31" s="20"/>
      <c r="J31" s="361"/>
      <c r="K31" s="361"/>
      <c r="L31" s="362"/>
      <c r="M31" s="363">
        <f>Financial!M68</f>
        <v>0</v>
      </c>
      <c r="N31" s="363">
        <f>Financial!N68*cancelfutureyear2</f>
        <v>0</v>
      </c>
      <c r="O31" s="363">
        <f>Financial!O68*cancelfutureyear3</f>
        <v>0</v>
      </c>
      <c r="P31" s="363">
        <f>Financial!P68*cancelfutureyear4</f>
        <v>0</v>
      </c>
      <c r="Q31" s="363">
        <f>Financial!Q68*cancelfutureyear5</f>
        <v>0</v>
      </c>
      <c r="R31" s="19"/>
      <c r="S31" s="19"/>
      <c r="T31" s="19"/>
      <c r="U31" s="19"/>
      <c r="V31" s="19"/>
      <c r="W31" s="19"/>
      <c r="X31" s="19"/>
      <c r="Y31" s="19"/>
      <c r="Z31" s="19"/>
    </row>
    <row r="32" spans="1:26" hidden="1" outlineLevel="1" x14ac:dyDescent="0.2">
      <c r="A32" s="19"/>
      <c r="B32" s="19"/>
      <c r="C32" s="507" t="s">
        <v>636</v>
      </c>
      <c r="D32" s="512" t="s">
        <v>105</v>
      </c>
      <c r="E32" s="458" t="str">
        <f>IF(D32=0,0,revenueunits)</f>
        <v>$millions</v>
      </c>
      <c r="F32" s="20"/>
      <c r="G32" s="22"/>
      <c r="H32" s="22"/>
      <c r="I32" s="20"/>
      <c r="J32" s="361"/>
      <c r="K32" s="361"/>
      <c r="L32" s="362"/>
      <c r="M32" s="363">
        <f>M30+M31</f>
        <v>0</v>
      </c>
      <c r="N32" s="363">
        <f>(N30+N31)*cancelfutureyear2</f>
        <v>0</v>
      </c>
      <c r="O32" s="363">
        <f>(O30+O31)*cancelfutureyear3</f>
        <v>0</v>
      </c>
      <c r="P32" s="363">
        <f>(P30+P31)*cancelfutureyear4</f>
        <v>0</v>
      </c>
      <c r="Q32" s="363">
        <f>(Q30+Q31)*cancelfutureyear5</f>
        <v>0</v>
      </c>
      <c r="R32" s="19"/>
      <c r="S32" s="19"/>
      <c r="T32" s="19"/>
      <c r="U32" s="19"/>
      <c r="V32" s="19"/>
      <c r="W32" s="19"/>
      <c r="X32" s="19"/>
      <c r="Y32" s="19"/>
      <c r="Z32" s="19"/>
    </row>
    <row r="33" spans="1:26" collapsed="1" x14ac:dyDescent="0.2">
      <c r="A33" s="19"/>
      <c r="B33" s="19"/>
      <c r="C33" s="51"/>
      <c r="D33" s="512"/>
      <c r="E33" s="512"/>
      <c r="F33" s="20"/>
      <c r="G33" s="22"/>
      <c r="H33" s="22"/>
      <c r="I33" s="20"/>
      <c r="J33" s="20"/>
      <c r="K33" s="20"/>
      <c r="L33" s="20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2.75" x14ac:dyDescent="0.2">
      <c r="A34" s="11"/>
      <c r="B34" s="12" t="s">
        <v>638</v>
      </c>
      <c r="C34" s="11"/>
      <c r="D34" s="183" t="str">
        <f>D5</f>
        <v>Source</v>
      </c>
      <c r="E34" s="183" t="str">
        <f>E5</f>
        <v>Unit</v>
      </c>
      <c r="F34" s="32"/>
      <c r="G34" s="32"/>
      <c r="H34" s="32"/>
      <c r="I34" s="32"/>
      <c r="J34" s="33" t="str">
        <f>RCPminus3</f>
        <v>2016–17</v>
      </c>
      <c r="K34" s="33" t="str">
        <f>RCPminus2</f>
        <v>2017–18</v>
      </c>
      <c r="L34" s="33" t="str">
        <f>RCPminus1</f>
        <v>2018–19</v>
      </c>
      <c r="M34" s="35" t="str">
        <f>RCP_firstyear</f>
        <v>2019–20</v>
      </c>
      <c r="N34" s="35" t="str">
        <f>RCP_secondyear</f>
        <v>2020–21</v>
      </c>
      <c r="O34" s="35" t="str">
        <f>RCP_thirdyear</f>
        <v>2021–22</v>
      </c>
      <c r="P34" s="35" t="str">
        <f>RCP_fourthyear</f>
        <v>2022–23</v>
      </c>
      <c r="Q34" s="35" t="str">
        <f>RCP_lastyear</f>
        <v>2023–24</v>
      </c>
      <c r="R34" s="54" t="str">
        <f>R5</f>
        <v>Notes</v>
      </c>
      <c r="S34" s="14"/>
      <c r="T34" s="15"/>
      <c r="U34" s="15"/>
      <c r="V34" s="15"/>
      <c r="W34" s="15"/>
      <c r="X34" s="15"/>
      <c r="Y34" s="15"/>
      <c r="Z34" s="15"/>
    </row>
    <row r="35" spans="1:26" hidden="1" outlineLevel="1" x14ac:dyDescent="0.2">
      <c r="A35" s="19"/>
      <c r="B35" s="19"/>
      <c r="C35" s="51"/>
      <c r="D35" s="512"/>
      <c r="E35" s="512"/>
      <c r="F35" s="20"/>
      <c r="G35" s="20"/>
      <c r="H35" s="20"/>
      <c r="I35" s="20"/>
      <c r="J35" s="20"/>
      <c r="K35" s="20"/>
      <c r="L35" s="20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idden="1" outlineLevel="1" x14ac:dyDescent="0.2">
      <c r="A36" s="19"/>
      <c r="B36" s="19"/>
      <c r="C36" s="508" t="str">
        <f>Financial!C108</f>
        <v>Metering x-factor</v>
      </c>
      <c r="D36" s="512" t="str">
        <f>Financial!B2</f>
        <v>Financial</v>
      </c>
      <c r="E36" s="458" t="str">
        <f>Financial!E108</f>
        <v>Per cent</v>
      </c>
      <c r="F36" s="20"/>
      <c r="G36" s="22"/>
      <c r="H36" s="22"/>
      <c r="I36" s="20"/>
      <c r="J36" s="361"/>
      <c r="K36" s="361"/>
      <c r="L36" s="362"/>
      <c r="M36" s="364">
        <f>Financial!M108</f>
        <v>0</v>
      </c>
      <c r="N36" s="350">
        <f>Financial!N108*cancelfutureyear2</f>
        <v>0</v>
      </c>
      <c r="O36" s="350">
        <f>Financial!O108*cancelfutureyear3</f>
        <v>0</v>
      </c>
      <c r="P36" s="350">
        <f>Financial!P108*cancelfutureyear4</f>
        <v>0</v>
      </c>
      <c r="Q36" s="350">
        <f>Financial!Q108*cancelfutureyear5</f>
        <v>0</v>
      </c>
      <c r="R36" s="19"/>
      <c r="S36" s="19"/>
      <c r="T36" s="19"/>
      <c r="U36" s="19"/>
      <c r="V36" s="19"/>
      <c r="W36" s="19"/>
      <c r="X36" s="19"/>
      <c r="Y36" s="19"/>
      <c r="Z36" s="19"/>
    </row>
    <row r="37" spans="1:26" hidden="1" outlineLevel="1" x14ac:dyDescent="0.2">
      <c r="A37" s="19"/>
      <c r="B37" s="19"/>
      <c r="C37" s="508" t="str">
        <f>Financial!C113</f>
        <v>Total cost pass-throughs</v>
      </c>
      <c r="D37" s="512" t="str">
        <f>Financial!B2</f>
        <v>Financial</v>
      </c>
      <c r="E37" s="458" t="str">
        <f>IF(D37=0,0,revenueunits)</f>
        <v>$millions</v>
      </c>
      <c r="F37" s="20"/>
      <c r="G37" s="22"/>
      <c r="H37" s="22"/>
      <c r="I37" s="20"/>
      <c r="J37" s="361"/>
      <c r="K37" s="361"/>
      <c r="L37" s="362"/>
      <c r="M37" s="363">
        <f>Financial!M113</f>
        <v>0</v>
      </c>
      <c r="N37" s="363">
        <f>Financial!N113*cancelfutureyear2</f>
        <v>0</v>
      </c>
      <c r="O37" s="363">
        <f>Financial!O113*cancelfutureyear3</f>
        <v>0</v>
      </c>
      <c r="P37" s="363">
        <f>Financial!P113*cancelfutureyear4</f>
        <v>0</v>
      </c>
      <c r="Q37" s="363">
        <f>Financial!Q113*cancelfutureyear5</f>
        <v>0</v>
      </c>
      <c r="R37" s="19"/>
      <c r="S37" s="19"/>
      <c r="T37" s="19"/>
      <c r="U37" s="19"/>
      <c r="V37" s="19"/>
      <c r="W37" s="19"/>
      <c r="X37" s="19"/>
      <c r="Y37" s="19"/>
      <c r="Z37" s="19"/>
    </row>
    <row r="38" spans="1:26" hidden="1" outlineLevel="1" x14ac:dyDescent="0.2">
      <c r="A38" s="19"/>
      <c r="B38" s="19"/>
      <c r="C38" s="546" t="str">
        <f>Financial!C114</f>
        <v>Under/over-recovery adjustment (metering)</v>
      </c>
      <c r="D38" s="512" t="str">
        <f>Financial!B2</f>
        <v>Financial</v>
      </c>
      <c r="E38" s="458" t="str">
        <f>IF(D38=0,0,revenueunits)</f>
        <v>$millions</v>
      </c>
      <c r="F38" s="20"/>
      <c r="G38" s="22"/>
      <c r="H38" s="22"/>
      <c r="I38" s="20"/>
      <c r="J38" s="361"/>
      <c r="K38" s="361"/>
      <c r="L38" s="362"/>
      <c r="M38" s="365">
        <f>Financial!M114</f>
        <v>0</v>
      </c>
      <c r="N38" s="365">
        <f>Financial!N114*cancelfutureyear2</f>
        <v>0</v>
      </c>
      <c r="O38" s="365">
        <f>Financial!O114*cancelfutureyear3</f>
        <v>0</v>
      </c>
      <c r="P38" s="365">
        <f>Financial!P114*cancelfutureyear4</f>
        <v>0</v>
      </c>
      <c r="Q38" s="365">
        <f>Financial!Q114*cancelfutureyear5</f>
        <v>0</v>
      </c>
      <c r="R38" s="19"/>
      <c r="S38" s="19"/>
      <c r="T38" s="19"/>
      <c r="U38" s="19"/>
      <c r="V38" s="19"/>
      <c r="W38" s="19"/>
      <c r="X38" s="19"/>
      <c r="Y38" s="19"/>
      <c r="Z38" s="19"/>
    </row>
    <row r="39" spans="1:26" hidden="1" outlineLevel="1" x14ac:dyDescent="0.2">
      <c r="A39" s="19"/>
      <c r="B39" s="19"/>
      <c r="C39" s="524"/>
      <c r="D39" s="512"/>
      <c r="E39" s="531"/>
      <c r="F39" s="20"/>
      <c r="G39" s="22"/>
      <c r="H39" s="22"/>
      <c r="I39" s="20"/>
      <c r="J39" s="361"/>
      <c r="K39" s="361"/>
      <c r="L39" s="361"/>
      <c r="M39" s="307"/>
      <c r="N39" s="307"/>
      <c r="O39" s="307"/>
      <c r="P39" s="307"/>
      <c r="Q39" s="307"/>
      <c r="R39" s="19"/>
      <c r="S39" s="19"/>
      <c r="T39" s="19"/>
      <c r="U39" s="19"/>
      <c r="V39" s="19"/>
      <c r="W39" s="19"/>
      <c r="X39" s="19"/>
      <c r="Y39" s="19"/>
      <c r="Z39" s="19"/>
    </row>
    <row r="40" spans="1:26" hidden="1" outlineLevel="1" x14ac:dyDescent="0.2">
      <c r="A40" s="19"/>
      <c r="B40" s="19"/>
      <c r="C40" s="547" t="s">
        <v>223</v>
      </c>
      <c r="D40" s="512" t="str">
        <f>Financial!B2</f>
        <v>Financial</v>
      </c>
      <c r="E40" s="458" t="str">
        <f>IF(D40=0,0,revenueunits)</f>
        <v>$millions</v>
      </c>
      <c r="F40" s="20"/>
      <c r="G40" s="22"/>
      <c r="H40" s="22"/>
      <c r="I40" s="20"/>
      <c r="J40" s="361"/>
      <c r="K40" s="361"/>
      <c r="L40" s="362"/>
      <c r="M40" s="366">
        <f>Financial!M109</f>
        <v>0</v>
      </c>
      <c r="N40" s="366">
        <f>Financial!N109*cancelfutureyear2</f>
        <v>0</v>
      </c>
      <c r="O40" s="366">
        <f>Financial!O109*cancelfutureyear3</f>
        <v>0</v>
      </c>
      <c r="P40" s="366">
        <f>Financial!P109*cancelfutureyear4</f>
        <v>0</v>
      </c>
      <c r="Q40" s="366">
        <f>Financial!Q109*cancelfutureyear5</f>
        <v>0</v>
      </c>
      <c r="R40" s="19"/>
      <c r="S40" s="19"/>
      <c r="T40" s="19"/>
      <c r="U40" s="19"/>
      <c r="V40" s="19"/>
      <c r="W40" s="19"/>
      <c r="X40" s="19"/>
      <c r="Y40" s="19"/>
      <c r="Z40" s="19"/>
    </row>
    <row r="41" spans="1:26" hidden="1" outlineLevel="1" x14ac:dyDescent="0.2">
      <c r="A41" s="19"/>
      <c r="B41" s="19"/>
      <c r="C41" s="508" t="s">
        <v>224</v>
      </c>
      <c r="D41" s="512" t="s">
        <v>105</v>
      </c>
      <c r="E41" s="458" t="str">
        <f>IF(D41=0,0,revenueunits)</f>
        <v>$millions</v>
      </c>
      <c r="F41" s="20"/>
      <c r="G41" s="22"/>
      <c r="H41" s="22"/>
      <c r="I41" s="20"/>
      <c r="J41" s="361"/>
      <c r="K41" s="361"/>
      <c r="L41" s="362"/>
      <c r="M41" s="363">
        <f>M40</f>
        <v>0</v>
      </c>
      <c r="N41" s="363">
        <f>M41*(1+N7)*(1-N36)*cancelfutureyear2</f>
        <v>0</v>
      </c>
      <c r="O41" s="363">
        <f>N41*(1+O7)*(1-O36)*cancelfutureyear3</f>
        <v>0</v>
      </c>
      <c r="P41" s="363">
        <f>O41*(1+P7)*(1-P36)*cancelfutureyear4</f>
        <v>0</v>
      </c>
      <c r="Q41" s="363">
        <f>P41*(1+Q7)*(1-Q36)*cancelfutureyear5</f>
        <v>0</v>
      </c>
      <c r="R41" s="19"/>
      <c r="S41" s="19"/>
      <c r="T41" s="19"/>
      <c r="U41" s="19"/>
      <c r="V41" s="19"/>
      <c r="W41" s="19"/>
      <c r="X41" s="19"/>
      <c r="Y41" s="19"/>
      <c r="Z41" s="19"/>
    </row>
    <row r="42" spans="1:26" hidden="1" outlineLevel="1" x14ac:dyDescent="0.2">
      <c r="A42" s="19"/>
      <c r="B42" s="19"/>
      <c r="C42" s="508" t="s">
        <v>637</v>
      </c>
      <c r="D42" s="512" t="s">
        <v>105</v>
      </c>
      <c r="E42" s="458" t="str">
        <f>IF(D42=0,0,revenueunits)</f>
        <v>$millions</v>
      </c>
      <c r="F42" s="20"/>
      <c r="G42" s="22"/>
      <c r="H42" s="22"/>
      <c r="I42" s="20"/>
      <c r="J42" s="361"/>
      <c r="K42" s="361"/>
      <c r="L42" s="362"/>
      <c r="M42" s="363">
        <f>M41+M37</f>
        <v>0</v>
      </c>
      <c r="N42" s="363">
        <f>(N41+N37)*cancelfutureyear2</f>
        <v>0</v>
      </c>
      <c r="O42" s="363">
        <f>(O41+O37)*cancelfutureyear3</f>
        <v>0</v>
      </c>
      <c r="P42" s="363">
        <f>(P41+P37)*cancelfutureyear4</f>
        <v>0</v>
      </c>
      <c r="Q42" s="363">
        <f>(Q41+Q37)*cancelfutureyear5</f>
        <v>0</v>
      </c>
      <c r="R42" s="19"/>
      <c r="S42" s="19"/>
      <c r="T42" s="19"/>
      <c r="U42" s="19"/>
      <c r="V42" s="19"/>
      <c r="W42" s="19"/>
      <c r="X42" s="19"/>
      <c r="Y42" s="19"/>
      <c r="Z42" s="19"/>
    </row>
    <row r="43" spans="1:26" hidden="1" outlineLevel="1" x14ac:dyDescent="0.2">
      <c r="A43" s="19"/>
      <c r="B43" s="19"/>
      <c r="C43" s="507" t="s">
        <v>636</v>
      </c>
      <c r="D43" s="512" t="s">
        <v>105</v>
      </c>
      <c r="E43" s="458" t="str">
        <f>IF(D43=0,0,revenueunits)</f>
        <v>$millions</v>
      </c>
      <c r="F43" s="20"/>
      <c r="G43" s="22"/>
      <c r="H43" s="22"/>
      <c r="I43" s="20"/>
      <c r="J43" s="361"/>
      <c r="K43" s="361"/>
      <c r="L43" s="362"/>
      <c r="M43" s="363">
        <f>M42+M38</f>
        <v>0</v>
      </c>
      <c r="N43" s="363">
        <f>(N42+N38)*cancelfutureyear2</f>
        <v>0</v>
      </c>
      <c r="O43" s="363">
        <f>(O42+O38)*cancelfutureyear3</f>
        <v>0</v>
      </c>
      <c r="P43" s="363">
        <f>(P42+P38)*cancelfutureyear4</f>
        <v>0</v>
      </c>
      <c r="Q43" s="363">
        <f>(Q42+Q38)*cancelfutureyear5</f>
        <v>0</v>
      </c>
      <c r="R43" s="19"/>
      <c r="S43" s="19"/>
      <c r="T43" s="19"/>
      <c r="U43" s="19"/>
      <c r="V43" s="19"/>
      <c r="W43" s="19"/>
      <c r="X43" s="19"/>
      <c r="Y43" s="19"/>
      <c r="Z43" s="19"/>
    </row>
    <row r="44" spans="1:26" collapsed="1" x14ac:dyDescent="0.2">
      <c r="A44" s="19"/>
      <c r="B44" s="19"/>
      <c r="C44" s="51"/>
      <c r="D44" s="20"/>
      <c r="E44" s="20"/>
      <c r="F44" s="20"/>
      <c r="G44" s="22"/>
      <c r="H44" s="22"/>
      <c r="I44" s="20"/>
      <c r="J44" s="20"/>
      <c r="K44" s="20"/>
      <c r="L44" s="20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2.75" x14ac:dyDescent="0.2">
      <c r="A45" s="11"/>
      <c r="B45" s="12" t="s">
        <v>8</v>
      </c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4"/>
      <c r="N45" s="15"/>
      <c r="O45" s="14"/>
      <c r="P45" s="15"/>
      <c r="Q45" s="14"/>
      <c r="R45" s="14"/>
      <c r="S45" s="14"/>
      <c r="T45" s="15"/>
      <c r="U45" s="15"/>
      <c r="V45" s="15"/>
      <c r="W45" s="15"/>
      <c r="X45" s="15"/>
      <c r="Y45" s="15"/>
      <c r="Z45" s="15"/>
    </row>
  </sheetData>
  <sheetProtection formatColumns="0" formatRows="0"/>
  <conditionalFormatting sqref="M1:Q1048576">
    <cfRule type="expression" dxfId="2" priority="1">
      <formula>M$5=forecastyear</formula>
    </cfRule>
  </conditionalFormatting>
  <hyperlinks>
    <hyperlink ref="J1" location="'Pricing model'!A51" display="Back to Index" xr:uid="{00000000-0004-0000-1600-000000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600-000000000000}">
          <x14:formula1>
            <xm:f>Lookups!$G$9:$G$16</xm:f>
          </x14:formula1>
          <xm:sqref>E36 E18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9">
    <tabColor theme="7" tint="0.79998168889431442"/>
  </sheetPr>
  <dimension ref="A1:Z85"/>
  <sheetViews>
    <sheetView showGridLines="0" zoomScaleNormal="100" workbookViewId="0"/>
  </sheetViews>
  <sheetFormatPr defaultColWidth="0" defaultRowHeight="11.25" zeroHeight="1" outlineLevelRow="1" x14ac:dyDescent="0.2"/>
  <cols>
    <col min="1" max="2" width="1.42578125" style="18" customWidth="1"/>
    <col min="3" max="3" width="48.140625" style="18" customWidth="1"/>
    <col min="4" max="4" width="12.7109375" style="18" customWidth="1"/>
    <col min="5" max="6" width="11.42578125" style="18" customWidth="1"/>
    <col min="7" max="9" width="2.85546875" style="18" customWidth="1"/>
    <col min="10" max="20" width="9.28515625" style="18" customWidth="1"/>
    <col min="21" max="23" width="3.85546875" style="18" customWidth="1"/>
    <col min="24" max="16384" width="8" style="18" hidden="1"/>
  </cols>
  <sheetData>
    <row r="1" spans="1:26" ht="15.75" x14ac:dyDescent="0.25">
      <c r="A1" s="1"/>
      <c r="B1" s="2" t="str">
        <f>'Calculations&gt;&gt;'!B1</f>
        <v>AER pricing model - TasNetworks 2022–23</v>
      </c>
      <c r="C1" s="2"/>
      <c r="D1" s="2"/>
      <c r="E1" s="2"/>
      <c r="F1" s="3"/>
      <c r="G1" s="3"/>
      <c r="H1" s="3"/>
      <c r="I1" s="3"/>
      <c r="J1" s="160" t="s">
        <v>0</v>
      </c>
      <c r="K1" s="1"/>
      <c r="L1" s="111"/>
      <c r="M1" s="112"/>
      <c r="N1" s="112"/>
      <c r="O1" s="51"/>
      <c r="R1" s="111"/>
      <c r="S1" s="113"/>
      <c r="U1" s="114"/>
      <c r="V1" s="113"/>
    </row>
    <row r="2" spans="1:26" ht="13.5" thickBot="1" x14ac:dyDescent="0.25">
      <c r="A2" s="6"/>
      <c r="B2" s="7" t="str">
        <f>'Calculations&gt;&gt;'!C8</f>
        <v>Accounts</v>
      </c>
      <c r="C2" s="7"/>
      <c r="D2" s="7"/>
      <c r="E2" s="7"/>
      <c r="F2" s="8"/>
      <c r="G2" s="8"/>
      <c r="H2" s="8"/>
      <c r="I2" s="8"/>
      <c r="J2" s="1"/>
      <c r="K2" s="1"/>
      <c r="R2" s="289"/>
      <c r="S2" s="115"/>
      <c r="T2" s="115"/>
      <c r="U2" s="115"/>
      <c r="V2" s="115"/>
      <c r="W2" s="115"/>
    </row>
    <row r="3" spans="1:26" x14ac:dyDescent="0.2">
      <c r="A3" s="27"/>
      <c r="B3" s="296" t="str">
        <f>'Calculations&gt;&gt;'!D8</f>
        <v>Calculates under/over-recovery and related data</v>
      </c>
      <c r="C3" s="27"/>
      <c r="D3" s="28"/>
      <c r="E3" s="28"/>
      <c r="F3" s="28"/>
      <c r="G3" s="28"/>
      <c r="H3" s="28"/>
      <c r="I3" s="28"/>
      <c r="J3" s="291"/>
      <c r="K3" s="287"/>
      <c r="L3" s="287"/>
      <c r="M3" s="287"/>
      <c r="N3" s="287"/>
      <c r="O3" s="287"/>
      <c r="P3" s="287"/>
      <c r="Q3" s="287"/>
      <c r="R3" s="287"/>
      <c r="S3" s="30"/>
      <c r="T3" s="31"/>
      <c r="U3" s="31"/>
      <c r="V3" s="31"/>
      <c r="W3" s="31"/>
    </row>
    <row r="4" spans="1:26" x14ac:dyDescent="0.2">
      <c r="A4" s="9"/>
      <c r="B4" s="9"/>
      <c r="C4" s="9"/>
      <c r="D4" s="10"/>
      <c r="E4" s="10"/>
      <c r="F4" s="10"/>
      <c r="G4" s="10"/>
      <c r="H4" s="10"/>
      <c r="I4" s="10"/>
      <c r="J4" s="288"/>
      <c r="K4" s="288"/>
      <c r="L4" s="288"/>
      <c r="M4" s="288"/>
      <c r="N4" s="288"/>
      <c r="O4" s="288"/>
      <c r="P4" s="288"/>
      <c r="Q4" s="288"/>
      <c r="R4" s="290"/>
      <c r="S4" s="9"/>
      <c r="T4" s="9"/>
      <c r="U4" s="9"/>
      <c r="V4" s="9"/>
      <c r="W4" s="9"/>
      <c r="X4" s="9"/>
      <c r="Y4" s="9"/>
      <c r="Z4" s="9"/>
    </row>
    <row r="5" spans="1:26" ht="12.75" x14ac:dyDescent="0.2">
      <c r="A5" s="11"/>
      <c r="B5" s="12" t="s">
        <v>649</v>
      </c>
      <c r="C5" s="11"/>
      <c r="D5" s="183" t="s">
        <v>3</v>
      </c>
      <c r="E5" s="183" t="s">
        <v>11</v>
      </c>
      <c r="F5" s="33"/>
      <c r="G5" s="34"/>
      <c r="H5" s="34"/>
      <c r="I5" s="34"/>
      <c r="J5" s="33" t="str">
        <f>RCPminus3</f>
        <v>2016–17</v>
      </c>
      <c r="K5" s="33" t="str">
        <f>RCPminus2</f>
        <v>2017–18</v>
      </c>
      <c r="L5" s="33" t="str">
        <f>RCPminus1</f>
        <v>2018–19</v>
      </c>
      <c r="M5" s="35" t="str">
        <f>RCP_firstyear</f>
        <v>2019–20</v>
      </c>
      <c r="N5" s="35" t="str">
        <f>RCP_secondyear</f>
        <v>2020–21</v>
      </c>
      <c r="O5" s="35" t="str">
        <f>RCP_thirdyear</f>
        <v>2021–22</v>
      </c>
      <c r="P5" s="35" t="str">
        <f>RCP_fourthyear</f>
        <v>2022–23</v>
      </c>
      <c r="Q5" s="35" t="str">
        <f>RCP_lastyear</f>
        <v>2023–24</v>
      </c>
      <c r="R5" s="14" t="s">
        <v>14</v>
      </c>
      <c r="S5" s="14"/>
      <c r="T5" s="15"/>
      <c r="U5" s="15"/>
      <c r="V5" s="15"/>
      <c r="W5" s="15"/>
      <c r="X5" s="15"/>
      <c r="Y5" s="15"/>
      <c r="Z5" s="15"/>
    </row>
    <row r="6" spans="1:26" x14ac:dyDescent="0.2">
      <c r="A6" s="19"/>
      <c r="B6" s="19"/>
      <c r="C6" s="36"/>
      <c r="D6" s="512"/>
      <c r="E6" s="512"/>
      <c r="F6" s="22"/>
      <c r="G6" s="22"/>
      <c r="H6" s="22"/>
      <c r="I6" s="20"/>
      <c r="J6" s="20"/>
      <c r="K6" s="20"/>
      <c r="L6" s="20"/>
      <c r="M6" s="37"/>
      <c r="N6" s="37"/>
      <c r="O6" s="37"/>
      <c r="P6" s="37"/>
      <c r="Q6" s="37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">
      <c r="A7" s="19"/>
      <c r="B7" s="19"/>
      <c r="C7" s="419" t="s">
        <v>100</v>
      </c>
      <c r="D7" s="550" t="s">
        <v>250</v>
      </c>
      <c r="E7" s="458" t="s">
        <v>19</v>
      </c>
      <c r="F7" s="22"/>
      <c r="G7" s="22"/>
      <c r="H7" s="22"/>
      <c r="I7" s="20"/>
      <c r="J7" s="354">
        <f>Financial!J7</f>
        <v>6.4819926199261579E-2</v>
      </c>
      <c r="K7" s="354">
        <f>Financial!K7</f>
        <v>3.4825089898214492E-2</v>
      </c>
      <c r="L7" s="354">
        <f>Financial!L7</f>
        <v>3.4505789792495328E-2</v>
      </c>
      <c r="M7" s="354">
        <f>Financial!M7</f>
        <v>2.7916820608240925E-2</v>
      </c>
      <c r="N7" s="354">
        <f>Financial!N7*cancelfutureyear2</f>
        <v>2.6403971429877649E-2</v>
      </c>
      <c r="O7" s="354">
        <f>Financial!O7*cancelfutureyear3</f>
        <v>2.4818673990555418E-2</v>
      </c>
      <c r="P7" s="354">
        <f>Financial!P7*cancelfutureyear4</f>
        <v>2.4176463172639818E-2</v>
      </c>
      <c r="Q7" s="354">
        <f>Financial!Q7*cancelfutureyear5</f>
        <v>0</v>
      </c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">
      <c r="A8" s="19"/>
      <c r="B8" s="19"/>
      <c r="C8" s="419" t="s">
        <v>89</v>
      </c>
      <c r="D8" s="550" t="s">
        <v>250</v>
      </c>
      <c r="E8" s="458" t="s">
        <v>19</v>
      </c>
      <c r="F8" s="22"/>
      <c r="G8" s="22"/>
      <c r="H8" s="22"/>
      <c r="I8" s="20"/>
      <c r="J8" s="354">
        <f>Financial!J8</f>
        <v>1.6885553470919357E-2</v>
      </c>
      <c r="K8" s="354">
        <f>Financial!K8</f>
        <v>1.4760147601476037E-2</v>
      </c>
      <c r="L8" s="354">
        <f>Financial!L8</f>
        <v>1.9090909090909047E-2</v>
      </c>
      <c r="M8" s="354">
        <f>Financial!M8</f>
        <v>1.7841213202497874E-2</v>
      </c>
      <c r="N8" s="354">
        <f>Financial!N8*cancelfutureyear2</f>
        <v>1.8404907975460238E-2</v>
      </c>
      <c r="O8" s="354">
        <f>Financial!O8*cancelfutureyear3</f>
        <v>8.6058519793459354E-3</v>
      </c>
      <c r="P8" s="354">
        <f>Financial!P8*cancelfutureyear4</f>
        <v>3.4982935153583528E-2</v>
      </c>
      <c r="Q8" s="354">
        <f>Financial!Q8*cancelfutureyear5</f>
        <v>0</v>
      </c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">
      <c r="A9" s="19"/>
      <c r="B9" s="19"/>
      <c r="C9" s="419" t="s">
        <v>104</v>
      </c>
      <c r="D9" s="550" t="s">
        <v>250</v>
      </c>
      <c r="E9" s="458" t="s">
        <v>19</v>
      </c>
      <c r="F9" s="22"/>
      <c r="G9" s="22"/>
      <c r="H9" s="22"/>
      <c r="I9" s="20"/>
      <c r="J9" s="354">
        <f>Financial!J9</f>
        <v>8.2799999999999763E-2</v>
      </c>
      <c r="K9" s="354">
        <f>Financial!K9</f>
        <v>5.0099260966822934E-2</v>
      </c>
      <c r="L9" s="354">
        <f>Financial!L9</f>
        <v>5.4255445779443079E-2</v>
      </c>
      <c r="M9" s="354">
        <f>Financial!M9</f>
        <v>4.6256103759146461E-2</v>
      </c>
      <c r="N9" s="354">
        <f>Financial!N9*cancelfutureyear2</f>
        <v>4.5294842069691477E-2</v>
      </c>
      <c r="O9" s="354">
        <f>Financial!O9*cancelfutureyear3</f>
        <v>3.3638111804587645E-2</v>
      </c>
      <c r="P9" s="354">
        <f>Financial!P9*cancelfutureyear4</f>
        <v>6.0005161969634679E-2</v>
      </c>
      <c r="Q9" s="354">
        <f>Financial!Q9*cancelfutureyear5</f>
        <v>0</v>
      </c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">
      <c r="A10" s="19"/>
      <c r="B10" s="19"/>
      <c r="C10" s="19"/>
      <c r="D10" s="512"/>
      <c r="E10" s="512"/>
      <c r="F10" s="22"/>
      <c r="G10" s="22"/>
      <c r="H10" s="22"/>
      <c r="I10" s="20"/>
      <c r="J10" s="20"/>
      <c r="K10" s="20"/>
      <c r="L10" s="20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2.75" x14ac:dyDescent="0.2">
      <c r="A11" s="11"/>
      <c r="B11" s="12" t="s">
        <v>650</v>
      </c>
      <c r="C11" s="11"/>
      <c r="D11" s="183" t="str">
        <f>D5</f>
        <v>Source</v>
      </c>
      <c r="E11" s="183" t="str">
        <f>E5</f>
        <v>Unit</v>
      </c>
      <c r="F11" s="33"/>
      <c r="G11" s="34"/>
      <c r="H11" s="34"/>
      <c r="I11" s="34"/>
      <c r="J11" s="33" t="str">
        <f>RCPminus3</f>
        <v>2016–17</v>
      </c>
      <c r="K11" s="33" t="str">
        <f>RCPminus2</f>
        <v>2017–18</v>
      </c>
      <c r="L11" s="33" t="str">
        <f>RCPminus1</f>
        <v>2018–19</v>
      </c>
      <c r="M11" s="35" t="str">
        <f>RCP_firstyear</f>
        <v>2019–20</v>
      </c>
      <c r="N11" s="35" t="str">
        <f>RCP_secondyear</f>
        <v>2020–21</v>
      </c>
      <c r="O11" s="35" t="str">
        <f>RCP_thirdyear</f>
        <v>2021–22</v>
      </c>
      <c r="P11" s="35" t="str">
        <f>RCP_fourthyear</f>
        <v>2022–23</v>
      </c>
      <c r="Q11" s="35" t="str">
        <f>RCP_lastyear</f>
        <v>2023–24</v>
      </c>
      <c r="R11" s="14" t="s">
        <v>14</v>
      </c>
      <c r="S11" s="14"/>
      <c r="T11" s="15"/>
      <c r="U11" s="15"/>
      <c r="V11" s="15"/>
      <c r="W11" s="15"/>
      <c r="X11" s="15"/>
      <c r="Y11" s="15"/>
      <c r="Z11" s="15"/>
    </row>
    <row r="12" spans="1:26" x14ac:dyDescent="0.2">
      <c r="A12" s="19"/>
      <c r="B12" s="19"/>
      <c r="C12" s="19"/>
      <c r="D12" s="512"/>
      <c r="E12" s="512"/>
      <c r="F12" s="20"/>
      <c r="G12" s="20"/>
      <c r="H12" s="20"/>
      <c r="I12" s="20"/>
      <c r="J12" s="20"/>
      <c r="K12" s="20"/>
      <c r="L12" s="20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">
      <c r="A13" s="19"/>
      <c r="B13" s="19"/>
      <c r="C13" s="419" t="s">
        <v>245</v>
      </c>
      <c r="D13" s="550" t="s">
        <v>105</v>
      </c>
      <c r="E13" s="458" t="str">
        <f>IF(C13=0,0,revenueunits)</f>
        <v>$millions</v>
      </c>
      <c r="F13" s="20"/>
      <c r="G13" s="22"/>
      <c r="H13" s="22"/>
      <c r="I13" s="20"/>
      <c r="J13" s="236">
        <f>IF(J11=forecastyear,IF('Rev. summary'!$P$18=0,Financial!J102,'Rev. summary'!$P$18),
IF(J11=currentyear,IF(INDEX(Financial!$J$97:$Q$97,1,MATCH(currentyear,Financial!$J$77:$Q$77,0))="",'Rev. summary'!$L$18,INDEX(Financial!$J$97:$Q$97,1,MATCH(currentyear,Financial!$J$77:$Q$77,0))),
INDEX(Actuals!$J$7:$Q$7,1,MATCH(J11,Actuals!$J$5:$Q$5,0))))</f>
        <v>299.38755148000007</v>
      </c>
      <c r="K13" s="363">
        <f>IF(K11=forecastyear,IF('Rev. summary'!$P$18=0,Financial!K102,'Rev. summary'!$P$18),
IF(K11=currentyear,IF(INDEX(Financial!$J$97:$Q$97,1,MATCH(currentyear,Financial!$J$77:$Q$77,0))="",'Rev. summary'!$L$18,INDEX(Financial!$J$97:$Q$97,1,MATCH(currentyear,Financial!$J$77:$Q$77,0))),
INDEX(Actuals!$J$7:$Q$7,1,MATCH(K11,Actuals!$J$5:$Q$5,0))))</f>
        <v>242.84039820961854</v>
      </c>
      <c r="L13" s="363">
        <f>IF(L11=forecastyear,IF('Rev. summary'!$P$18=0,Financial!L102,'Rev. summary'!$P$18),
IF(L11=currentyear,IF(INDEX(Financial!$J$97:$Q$97,1,MATCH(currentyear,Financial!$J$77:$Q$77,0))="",'Rev. summary'!$L$18,INDEX(Financial!$J$97:$Q$97,1,MATCH(currentyear,Financial!$J$77:$Q$77,0))),
INDEX(Actuals!$J$7:$Q$7,1,MATCH(L11,Actuals!$J$5:$Q$5,0))))</f>
        <v>241.349379</v>
      </c>
      <c r="M13" s="363">
        <f>IF(M11=forecastyear,IF('Rev. summary'!$P$18=0,Financial!M102,'Rev. summary'!$P$18),
IF(M11=currentyear,IF(INDEX(Financial!$J$97:$Q$97,1,MATCH(currentyear,Financial!$J$77:$Q$77,0))="",'Rev. summary'!$L$18,INDEX(Financial!$J$97:$Q$97,1,MATCH(currentyear,Financial!$J$77:$Q$77,0))),
INDEX(Actuals!$J$7:$Q$7,1,MATCH(M11,Actuals!$J$5:$Q$5,0))))</f>
        <v>243.88357341</v>
      </c>
      <c r="N13" s="363">
        <f>IF(N11=forecastyear,IF('Rev. summary'!$P$18=0,Financial!N102,'Rev. summary'!$P$18),
IF(N11=currentyear,IF(INDEX(Financial!$J$97:$Q$97,1,MATCH(currentyear,Financial!$J$77:$Q$77,0))="",'Rev. summary'!$L$18,INDEX(Financial!$J$97:$Q$97,1,MATCH(currentyear,Financial!$J$77:$Q$77,0))),
INDEX(Actuals!$J$7:$Q$7,1,MATCH(N11,Actuals!$J$5:$Q$5,0))))</f>
        <v>239.24927549186</v>
      </c>
      <c r="O13" s="363">
        <f>IF(O11=forecastyear,IF('Rev. summary'!$P$18=0,Financial!O102,'Rev. summary'!$P$18),
IF(O11=currentyear,IF(INDEX(Financial!$J$97:$Q$97,1,MATCH(currentyear,Financial!$J$77:$Q$77,0))="",'Rev. summary'!$L$18,INDEX(Financial!$J$97:$Q$97,1,MATCH(currentyear,Financial!$J$77:$Q$77,0))),
INDEX(Actuals!$J$7:$Q$7,1,MATCH(O11,Actuals!$J$5:$Q$5,0))))</f>
        <v>254.81545729933262</v>
      </c>
      <c r="P13" s="363">
        <f>IF(P11=forecastyear,IF('Rev. summary'!$P$18=0,Financial!P102,'Rev. summary'!$P$18),
IF(P11=currentyear,IF(INDEX(Financial!$J$97:$Q$97,1,MATCH(currentyear,Financial!$J$77:$Q$77,0))="",'Rev. summary'!$L$18,INDEX(Financial!$J$97:$Q$97,1,MATCH(currentyear,Financial!$J$77:$Q$77,0))),
INDEX(Actuals!$J$7:$Q$7,1,MATCH(P11,Actuals!$J$5:$Q$5,0))))</f>
        <v>255.81769292253571</v>
      </c>
      <c r="Q13" s="363">
        <f>IF(Q11=forecastyear,IF('Rev. summary'!$P$18=0,Financial!Q102,'Rev. summary'!$P$18),
IF(Q11=currentyear,IF(INDEX(Financial!$J$97:$Q$97,1,MATCH(currentyear,Financial!$J$77:$Q$77,0))="",'Rev. summary'!$L$18,INDEX(Financial!$J$97:$Q$97,1,MATCH(currentyear,Financial!$J$77:$Q$77,0))),
INDEX(Actuals!$J$7:$Q$7,1,MATCH(Q11,Actuals!$J$5:$Q$5,0))))</f>
        <v>0</v>
      </c>
      <c r="R13" s="24"/>
      <c r="S13" s="24"/>
      <c r="T13" s="345">
        <v>0</v>
      </c>
      <c r="U13" s="19"/>
      <c r="V13" s="19"/>
      <c r="W13" s="19"/>
      <c r="X13" s="19"/>
      <c r="Y13" s="19"/>
      <c r="Z13" s="19"/>
    </row>
    <row r="14" spans="1:26" x14ac:dyDescent="0.2">
      <c r="A14" s="19"/>
      <c r="B14" s="19"/>
      <c r="C14" s="419" t="s">
        <v>636</v>
      </c>
      <c r="D14" s="550" t="s">
        <v>251</v>
      </c>
      <c r="E14" s="458" t="str">
        <f>IF(C14=0,0,revenueunits)</f>
        <v>$millions</v>
      </c>
      <c r="F14" s="20"/>
      <c r="G14" s="22"/>
      <c r="H14" s="22"/>
      <c r="I14" s="20"/>
      <c r="J14" s="363">
        <f>Financial!J90</f>
        <v>295.10875900994807</v>
      </c>
      <c r="K14" s="363">
        <f>Financial!K90</f>
        <v>229.01605730765593</v>
      </c>
      <c r="L14" s="363">
        <f>Financial!L90</f>
        <v>251.84024273999998</v>
      </c>
      <c r="M14" s="363">
        <f>TAR!M20</f>
        <v>239.22741043668228</v>
      </c>
      <c r="N14" s="363">
        <f>TAR!N20*cancelfutureyear2</f>
        <v>245.71011451340746</v>
      </c>
      <c r="O14" s="363">
        <f>TAR!O20*cancelfutureyear3</f>
        <v>254.61275668703399</v>
      </c>
      <c r="P14" s="363">
        <f>TAR!P20*cancelfutureyear4</f>
        <v>263.9861811040987</v>
      </c>
      <c r="Q14" s="363">
        <f>TAR!Q20*cancelfutureyear5</f>
        <v>0</v>
      </c>
      <c r="R14" s="19"/>
      <c r="S14" s="19"/>
      <c r="T14" s="345"/>
      <c r="U14" s="19"/>
      <c r="V14" s="19"/>
      <c r="W14" s="19"/>
      <c r="X14" s="19"/>
      <c r="Y14" s="19"/>
      <c r="Z14" s="19"/>
    </row>
    <row r="15" spans="1:26" x14ac:dyDescent="0.2">
      <c r="A15" s="19"/>
      <c r="B15" s="19"/>
      <c r="C15" s="419" t="s">
        <v>644</v>
      </c>
      <c r="D15" s="550" t="s">
        <v>250</v>
      </c>
      <c r="E15" s="458" t="str">
        <f>IF(C15=0,0,revenueunits)</f>
        <v>$millions</v>
      </c>
      <c r="F15" s="20"/>
      <c r="G15" s="22"/>
      <c r="H15" s="22"/>
      <c r="I15" s="20"/>
      <c r="J15" s="363">
        <f>Financial!J31</f>
        <v>0</v>
      </c>
      <c r="K15" s="363">
        <f>Financial!K31</f>
        <v>-6.9405210102422528</v>
      </c>
      <c r="L15" s="363">
        <f>Financial!L31</f>
        <v>-8.9039255233451158</v>
      </c>
      <c r="M15" s="363">
        <f>Financial!M31</f>
        <v>-2.8468453099754769</v>
      </c>
      <c r="N15" s="363">
        <f>Financial!N31*cancelfutureyear2</f>
        <v>-11.171360465098264</v>
      </c>
      <c r="O15" s="363">
        <f>Financial!O31*cancelfutureyear3</f>
        <v>-6.0402190308146499</v>
      </c>
      <c r="P15" s="363">
        <f>Financial!P31*cancelfutureyear4</f>
        <v>-6.9949461978187992</v>
      </c>
      <c r="Q15" s="363">
        <f>Financial!Q31*cancelfutureyear5</f>
        <v>0</v>
      </c>
      <c r="R15" s="19"/>
      <c r="S15" s="19"/>
      <c r="T15" s="345"/>
      <c r="U15" s="19"/>
      <c r="V15" s="19"/>
      <c r="W15" s="19"/>
      <c r="X15" s="19"/>
      <c r="Y15" s="19"/>
      <c r="Z15" s="19"/>
    </row>
    <row r="16" spans="1:26" x14ac:dyDescent="0.2">
      <c r="A16" s="19"/>
      <c r="B16" s="19"/>
      <c r="C16" s="419" t="s">
        <v>143</v>
      </c>
      <c r="D16" s="550" t="s">
        <v>250</v>
      </c>
      <c r="E16" s="458" t="str">
        <f>IF(C16=0,0,revenueunits)</f>
        <v>$millions</v>
      </c>
      <c r="F16" s="20"/>
      <c r="G16" s="22"/>
      <c r="H16" s="22"/>
      <c r="I16" s="20"/>
      <c r="J16" s="363">
        <f>Financial!J85</f>
        <v>0</v>
      </c>
      <c r="K16" s="363">
        <f>Financial!K85</f>
        <v>0</v>
      </c>
      <c r="L16" s="363">
        <f>Financial!L85</f>
        <v>0.98664647022000007</v>
      </c>
      <c r="M16" s="363">
        <f>Financial!M85</f>
        <v>0.98031112425</v>
      </c>
      <c r="N16" s="363">
        <f>Financial!N85*cancelfutureyear2</f>
        <v>0.67133707266666698</v>
      </c>
      <c r="O16" s="363">
        <f>Financial!O85*cancelfutureyear3</f>
        <v>0.61528853869156119</v>
      </c>
      <c r="P16" s="363">
        <f>Financial!P85*cancelfutureyear4</f>
        <v>0.44438634010355171</v>
      </c>
      <c r="Q16" s="363">
        <f>Financial!Q85*cancelfutureyear5</f>
        <v>0</v>
      </c>
      <c r="R16" s="19"/>
      <c r="S16" s="19"/>
      <c r="T16" s="345"/>
      <c r="U16" s="19"/>
      <c r="V16" s="19"/>
      <c r="W16" s="19"/>
      <c r="X16" s="19"/>
      <c r="Y16" s="19"/>
      <c r="Z16" s="19"/>
    </row>
    <row r="17" spans="1:26" x14ac:dyDescent="0.2">
      <c r="A17" s="19"/>
      <c r="B17" s="19"/>
      <c r="C17" s="549" t="s">
        <v>665</v>
      </c>
      <c r="D17" s="512" t="s">
        <v>105</v>
      </c>
      <c r="E17" s="458" t="str">
        <f>IF(C17=0,0,revenueunits)</f>
        <v>$millions</v>
      </c>
      <c r="F17" s="20"/>
      <c r="G17" s="22"/>
      <c r="H17" s="22"/>
      <c r="I17" s="20"/>
      <c r="J17" s="369">
        <f>J13-(J14+J15)+J16</f>
        <v>4.2787924700519966</v>
      </c>
      <c r="K17" s="369">
        <f>K13-(K14+K15)+K16</f>
        <v>20.764861912204879</v>
      </c>
      <c r="L17" s="369">
        <f>L13-(L14+L15)+L16</f>
        <v>-0.6002917464348575</v>
      </c>
      <c r="M17" s="369">
        <f>M13-(M14+M15)+M16</f>
        <v>8.4833194075431848</v>
      </c>
      <c r="N17" s="369">
        <f>(N13-(N14+N15)+N16)*cancelfutureyear2</f>
        <v>5.3818585162174841</v>
      </c>
      <c r="O17" s="369">
        <f>(O13-(O14+O15)+O16)*cancelfutureyear3</f>
        <v>6.8582081818048435</v>
      </c>
      <c r="P17" s="369">
        <f>(P13-(P14+P15)+P16)*cancelfutureyear4</f>
        <v>-0.7291556436406208</v>
      </c>
      <c r="Q17" s="369">
        <f>(Q13-(Q14+Q15)+Q16)*cancelfutureyear5</f>
        <v>0</v>
      </c>
      <c r="R17" s="19"/>
      <c r="S17" s="19"/>
      <c r="T17" s="345"/>
      <c r="U17" s="19"/>
      <c r="V17" s="19"/>
      <c r="W17" s="19"/>
      <c r="X17" s="19"/>
      <c r="Y17" s="19"/>
      <c r="Z17" s="19"/>
    </row>
    <row r="18" spans="1:26" x14ac:dyDescent="0.2">
      <c r="A18" s="19"/>
      <c r="B18" s="19"/>
      <c r="C18" s="548"/>
      <c r="D18" s="512"/>
      <c r="E18" s="512"/>
      <c r="F18" s="20"/>
      <c r="G18" s="22"/>
      <c r="H18" s="22"/>
      <c r="I18" s="20"/>
      <c r="J18" s="242"/>
      <c r="K18" s="242"/>
      <c r="L18" s="242"/>
      <c r="M18" s="307"/>
      <c r="N18" s="307"/>
      <c r="O18" s="307"/>
      <c r="P18" s="307"/>
      <c r="Q18" s="307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">
      <c r="A19" s="19"/>
      <c r="B19" s="19"/>
      <c r="C19" s="419" t="s">
        <v>244</v>
      </c>
      <c r="D19" s="550" t="s">
        <v>250</v>
      </c>
      <c r="E19" s="458" t="str">
        <f t="shared" ref="E19:E24" si="0">IF(C19=0,0,revenueunits)</f>
        <v>$millions</v>
      </c>
      <c r="F19" s="20"/>
      <c r="G19" s="22"/>
      <c r="H19" s="22"/>
      <c r="I19" s="20"/>
      <c r="J19" s="363">
        <f>Financial!J80</f>
        <v>4.0336880333660048</v>
      </c>
      <c r="K19" s="363">
        <f>IF(OR(J24=0,J24=""),Financial!K80,J24)</f>
        <v>8.8200894211901133</v>
      </c>
      <c r="L19" s="363">
        <f>K24</f>
        <v>23.428373000006285</v>
      </c>
      <c r="M19" s="363">
        <f>IF(Financial!M80="",L24,Financial!M80)</f>
        <v>5.1763264994919584</v>
      </c>
      <c r="N19" s="363">
        <f>M24*cancelfutureyear2</f>
        <v>11.181124352927746</v>
      </c>
      <c r="O19" s="363">
        <f>N24*cancelfutureyear3</f>
        <v>5.7684044090899755</v>
      </c>
      <c r="P19" s="363">
        <f>O24*cancelfutureyear4</f>
        <v>6.7940758070749121</v>
      </c>
      <c r="Q19" s="363">
        <f>P24*cancelfutureyear5</f>
        <v>0</v>
      </c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">
      <c r="A20" s="19"/>
      <c r="B20" s="19"/>
      <c r="C20" s="419" t="s">
        <v>246</v>
      </c>
      <c r="D20" s="512" t="s">
        <v>105</v>
      </c>
      <c r="E20" s="458" t="str">
        <f t="shared" si="0"/>
        <v>$millions</v>
      </c>
      <c r="F20" s="20"/>
      <c r="G20" s="22"/>
      <c r="H20" s="22"/>
      <c r="I20" s="20"/>
      <c r="J20" s="363">
        <f>J19*J9</f>
        <v>0.33398936916270422</v>
      </c>
      <c r="K20" s="363">
        <f>K19*K9</f>
        <v>0.44187996166291771</v>
      </c>
      <c r="L20" s="363">
        <f>L19*L9</f>
        <v>1.2711168210024093</v>
      </c>
      <c r="M20" s="363">
        <f>M19*M9</f>
        <v>0.23943669565171941</v>
      </c>
      <c r="N20" s="363">
        <f>N19*N9*cancelfutureyear2</f>
        <v>0.50644726172744359</v>
      </c>
      <c r="O20" s="363">
        <f>O19*O9*cancelfutureyear3</f>
        <v>0.19403823244704493</v>
      </c>
      <c r="P20" s="363">
        <f>P19*P9*cancelfutureyear4</f>
        <v>0.40767961923750656</v>
      </c>
      <c r="Q20" s="363">
        <f>Q19*Q9*cancelfutureyear5</f>
        <v>0</v>
      </c>
      <c r="R20" s="19"/>
      <c r="S20" s="19"/>
      <c r="T20" s="19"/>
      <c r="U20" s="19"/>
      <c r="V20" s="19"/>
      <c r="W20" s="19"/>
      <c r="X20" s="19"/>
      <c r="Y20" s="19"/>
      <c r="Z20" s="19"/>
    </row>
    <row r="21" spans="1:26" x14ac:dyDescent="0.2">
      <c r="A21" s="19"/>
      <c r="B21" s="19"/>
      <c r="C21" s="419" t="s">
        <v>248</v>
      </c>
      <c r="D21" s="512" t="s">
        <v>6</v>
      </c>
      <c r="E21" s="458" t="str">
        <f t="shared" si="0"/>
        <v>$millions</v>
      </c>
      <c r="F21" s="20"/>
      <c r="G21" s="22"/>
      <c r="H21" s="22"/>
      <c r="I21" s="20"/>
      <c r="J21" s="363">
        <f>Financial!J94</f>
        <v>0</v>
      </c>
      <c r="K21" s="363">
        <f>Financial!K94</f>
        <v>0</v>
      </c>
      <c r="L21" s="363">
        <f>Financial!L94</f>
        <v>0</v>
      </c>
      <c r="M21" s="363">
        <f>Financial!M94</f>
        <v>0</v>
      </c>
      <c r="N21" s="363">
        <f>Financial!N94*cancelfutureyear2</f>
        <v>0</v>
      </c>
      <c r="O21" s="363">
        <f>Financial!O94*cancelfutureyear3</f>
        <v>0</v>
      </c>
      <c r="P21" s="363">
        <f>Financial!P94*cancelfutureyear4</f>
        <v>0</v>
      </c>
      <c r="Q21" s="363">
        <f>Financial!Q94*cancelfutureyear5</f>
        <v>0</v>
      </c>
      <c r="R21" s="19"/>
      <c r="S21" s="19"/>
      <c r="T21" s="19"/>
      <c r="U21" s="19"/>
      <c r="V21" s="19"/>
      <c r="W21" s="19"/>
      <c r="X21" s="19"/>
      <c r="Y21" s="19"/>
      <c r="Z21" s="19"/>
    </row>
    <row r="22" spans="1:26" x14ac:dyDescent="0.2">
      <c r="A22" s="19"/>
      <c r="B22" s="19"/>
      <c r="C22" s="419" t="s">
        <v>645</v>
      </c>
      <c r="D22" s="512" t="str">
        <f>D17</f>
        <v>Calculation</v>
      </c>
      <c r="E22" s="458" t="str">
        <f t="shared" si="0"/>
        <v>$millions</v>
      </c>
      <c r="F22" s="20"/>
      <c r="G22" s="22"/>
      <c r="H22" s="22"/>
      <c r="I22" s="20"/>
      <c r="J22" s="363">
        <f>J15+J17</f>
        <v>4.2787924700519966</v>
      </c>
      <c r="K22" s="363">
        <f>K15+K17</f>
        <v>13.824340901962625</v>
      </c>
      <c r="L22" s="363">
        <f>L15+L17</f>
        <v>-9.5042172697799732</v>
      </c>
      <c r="M22" s="363">
        <f>M15+M17</f>
        <v>5.6364740975677083</v>
      </c>
      <c r="N22" s="363">
        <f>(N15+N17)*cancelfutureyear2</f>
        <v>-5.7895019488807797</v>
      </c>
      <c r="O22" s="363">
        <f>(O15+O17)*cancelfutureyear3</f>
        <v>0.81798915099019354</v>
      </c>
      <c r="P22" s="363">
        <f>(P15+P17)*cancelfutureyear4</f>
        <v>-7.7241018414594205</v>
      </c>
      <c r="Q22" s="363">
        <f>(Q15+Q17)*cancelfutureyear5</f>
        <v>0</v>
      </c>
      <c r="R22" s="19"/>
      <c r="S22" s="19"/>
      <c r="T22" s="19"/>
      <c r="U22" s="19"/>
      <c r="V22" s="19"/>
      <c r="W22" s="19"/>
      <c r="X22" s="19"/>
      <c r="Y22" s="19"/>
      <c r="Z22" s="19"/>
    </row>
    <row r="23" spans="1:26" x14ac:dyDescent="0.2">
      <c r="A23" s="19"/>
      <c r="B23" s="19"/>
      <c r="C23" s="419" t="s">
        <v>247</v>
      </c>
      <c r="D23" s="512" t="s">
        <v>105</v>
      </c>
      <c r="E23" s="458" t="str">
        <f t="shared" si="0"/>
        <v>$millions</v>
      </c>
      <c r="F23" s="20"/>
      <c r="G23" s="22"/>
      <c r="H23" s="22"/>
      <c r="I23" s="20"/>
      <c r="J23" s="363">
        <f>J22*((1+J9)^0.5-1)</f>
        <v>0.17361954860940762</v>
      </c>
      <c r="K23" s="363">
        <f>K22*((1+K9)^0.5-1)</f>
        <v>0.34206271519062992</v>
      </c>
      <c r="L23" s="363">
        <f>L22*((1+L9)^0.5-1)</f>
        <v>-0.25442240206555106</v>
      </c>
      <c r="M23" s="363">
        <f>M22*((1+M9)^0.5-1)</f>
        <v>0.12888706021635996</v>
      </c>
      <c r="N23" s="363">
        <f>N22*((1+N9)^0.5-1)*cancelfutureyear2</f>
        <v>-0.12966525668443363</v>
      </c>
      <c r="O23" s="363">
        <f>O22*((1+O9)^0.5-1)*cancelfutureyear3</f>
        <v>1.3644014547698338E-2</v>
      </c>
      <c r="P23" s="363">
        <f>P22*((1+P9)^0.5-1)*cancelfutureyear4</f>
        <v>-0.22836709496586036</v>
      </c>
      <c r="Q23" s="363">
        <f>Q22*((1+Q9)^0.5-1)*cancelfutureyear5</f>
        <v>0</v>
      </c>
      <c r="R23" s="19"/>
      <c r="S23" s="19"/>
      <c r="T23" s="19"/>
      <c r="U23" s="19"/>
      <c r="V23" s="19"/>
      <c r="W23" s="19"/>
      <c r="X23" s="19"/>
      <c r="Y23" s="19"/>
      <c r="Z23" s="19"/>
    </row>
    <row r="24" spans="1:26" x14ac:dyDescent="0.2">
      <c r="A24" s="19"/>
      <c r="B24" s="19"/>
      <c r="C24" s="549" t="s">
        <v>249</v>
      </c>
      <c r="D24" s="512" t="s">
        <v>105</v>
      </c>
      <c r="E24" s="458" t="str">
        <f t="shared" si="0"/>
        <v>$millions</v>
      </c>
      <c r="F24" s="20"/>
      <c r="G24" s="22"/>
      <c r="H24" s="22"/>
      <c r="I24" s="20"/>
      <c r="J24" s="369">
        <f>SUM(J19:J23)</f>
        <v>8.8200894211901133</v>
      </c>
      <c r="K24" s="369">
        <f>SUM(K19:K23)</f>
        <v>23.428373000006285</v>
      </c>
      <c r="L24" s="369">
        <f>SUM(L19:L23)</f>
        <v>14.94085014916317</v>
      </c>
      <c r="M24" s="369">
        <f>SUM(M19:M23)</f>
        <v>11.181124352927746</v>
      </c>
      <c r="N24" s="369">
        <f>SUM(N19:N23)*cancelfutureyear2</f>
        <v>5.7684044090899755</v>
      </c>
      <c r="O24" s="369">
        <f>SUM(O19:O23)*cancelfutureyear3</f>
        <v>6.7940758070749121</v>
      </c>
      <c r="P24" s="369">
        <f>SUM(P19:P23)*cancelfutureyear4</f>
        <v>-0.75071351011286225</v>
      </c>
      <c r="Q24" s="369">
        <f>SUM(Q19:Q23)*cancelfutureyear5</f>
        <v>0</v>
      </c>
      <c r="R24" s="19"/>
      <c r="S24" s="19"/>
      <c r="T24" s="19"/>
      <c r="U24" s="19"/>
      <c r="V24" s="19"/>
      <c r="W24" s="19"/>
      <c r="X24" s="19"/>
      <c r="Y24" s="19"/>
      <c r="Z24" s="19"/>
    </row>
    <row r="25" spans="1:26" x14ac:dyDescent="0.2">
      <c r="A25" s="19"/>
      <c r="B25" s="19"/>
      <c r="C25" s="19"/>
      <c r="D25" s="512"/>
      <c r="E25" s="512"/>
      <c r="F25" s="20"/>
      <c r="G25" s="22"/>
      <c r="H25" s="22"/>
      <c r="I25" s="20"/>
      <c r="J25" s="20"/>
      <c r="K25" s="20"/>
      <c r="L25" s="20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2.75" x14ac:dyDescent="0.2">
      <c r="A26" s="11"/>
      <c r="B26" s="12" t="s">
        <v>651</v>
      </c>
      <c r="C26" s="11"/>
      <c r="D26" s="183" t="str">
        <f>D5</f>
        <v>Source</v>
      </c>
      <c r="E26" s="183" t="str">
        <f>E5</f>
        <v>Unit</v>
      </c>
      <c r="F26" s="33"/>
      <c r="G26" s="34"/>
      <c r="H26" s="34"/>
      <c r="I26" s="34"/>
      <c r="J26" s="33" t="str">
        <f>RCPminus3</f>
        <v>2016–17</v>
      </c>
      <c r="K26" s="33" t="str">
        <f>RCPminus2</f>
        <v>2017–18</v>
      </c>
      <c r="L26" s="33" t="str">
        <f>RCPminus1</f>
        <v>2018–19</v>
      </c>
      <c r="M26" s="35" t="str">
        <f>RCP_firstyear</f>
        <v>2019–20</v>
      </c>
      <c r="N26" s="35" t="str">
        <f>RCP_secondyear</f>
        <v>2020–21</v>
      </c>
      <c r="O26" s="35" t="str">
        <f>RCP_thirdyear</f>
        <v>2021–22</v>
      </c>
      <c r="P26" s="35" t="str">
        <f>RCP_fourthyear</f>
        <v>2022–23</v>
      </c>
      <c r="Q26" s="35" t="str">
        <f>RCP_lastyear</f>
        <v>2023–24</v>
      </c>
      <c r="R26" s="14" t="s">
        <v>14</v>
      </c>
      <c r="S26" s="14"/>
      <c r="T26" s="15"/>
      <c r="U26" s="15"/>
      <c r="V26" s="15"/>
      <c r="W26" s="15"/>
      <c r="X26" s="15"/>
      <c r="Y26" s="15"/>
      <c r="Z26" s="15"/>
    </row>
    <row r="27" spans="1:26" outlineLevel="1" x14ac:dyDescent="0.2">
      <c r="A27" s="19"/>
      <c r="B27" s="19"/>
      <c r="C27" s="19"/>
      <c r="D27" s="512"/>
      <c r="E27" s="512"/>
      <c r="F27" s="20"/>
      <c r="G27" s="20"/>
      <c r="H27" s="20"/>
      <c r="I27" s="20"/>
      <c r="J27" s="20"/>
      <c r="K27" s="20"/>
      <c r="L27" s="20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outlineLevel="1" x14ac:dyDescent="0.2">
      <c r="A28" s="19"/>
      <c r="B28" s="19"/>
      <c r="C28" s="419" t="s">
        <v>245</v>
      </c>
      <c r="D28" s="550" t="s">
        <v>105</v>
      </c>
      <c r="E28" s="458" t="str">
        <f t="shared" ref="E28:E33" si="1">IF(C28=0,0,revenueunits)</f>
        <v>$millions</v>
      </c>
      <c r="F28" s="20"/>
      <c r="G28" s="22"/>
      <c r="H28" s="22"/>
      <c r="I28" s="20"/>
      <c r="J28" s="236">
        <f>IF(J26=forecastyear,IF('Rev. summary'!$Q$18=0,Financial!J103,'Rev. summary'!$Q$18),
IF(J26=currentyear,IF(INDEX(Financial!$J$98:$Q$98,1,MATCH(currentyear,Financial!$J$77:$Q$77,0))="",'Rev. summary'!$M$18,INDEX(Financial!$J$98:$Q$98,1,MATCH(currentyear,Financial!$J$77:$Q$77,0))),
INDEX(Actuals!$J$8:$Q$8,1,MATCH(J26,Actuals!$J$5:$Q$5,0))))</f>
        <v>96.807086060000003</v>
      </c>
      <c r="K28" s="363">
        <f>IF(K26=forecastyear,IF('Rev. summary'!$Q$18=0,Financial!K103,'Rev. summary'!$Q$18),
IF(K26=currentyear,IF(INDEX(Financial!$J$98:$Q$98,1,MATCH(currentyear,Financial!$J$77:$Q$77,0))="",'Rev. summary'!$M$18,INDEX(Financial!$J$98:$Q$98,1,MATCH(currentyear,Financial!$J$77:$Q$77,0))),
INDEX(Actuals!$J$8:$Q$8,1,MATCH(K26,Actuals!$J$5:$Q$5,0))))</f>
        <v>95.748692980381449</v>
      </c>
      <c r="L28" s="363">
        <f>IF(L26=forecastyear,IF('Rev. summary'!$Q$18=0,Financial!L103,'Rev. summary'!$Q$18),
IF(L26=currentyear,IF(INDEX(Financial!$J$98:$Q$98,1,MATCH(currentyear,Financial!$J$77:$Q$77,0))="",'Rev. summary'!$M$18,INDEX(Financial!$J$98:$Q$98,1,MATCH(currentyear,Financial!$J$77:$Q$77,0))),
INDEX(Actuals!$J$8:$Q$8,1,MATCH(L26,Actuals!$J$5:$Q$5,0))))</f>
        <v>82.682723044960767</v>
      </c>
      <c r="M28" s="363">
        <f>IF(M26=forecastyear,IF('Rev. summary'!$Q$18=0,Financial!M103,'Rev. summary'!$Q$18),
IF(M26=currentyear,IF(INDEX(Financial!$J$98:$Q$98,1,MATCH(currentyear,Financial!$J$77:$Q$77,0))="",'Rev. summary'!$M$18,INDEX(Financial!$J$98:$Q$98,1,MATCH(currentyear,Financial!$J$77:$Q$77,0))),
INDEX(Actuals!$J$8:$Q$8,1,MATCH(M26,Actuals!$J$5:$Q$5,0))))</f>
        <v>79.01662072000002</v>
      </c>
      <c r="N28" s="363">
        <f>IF(N26=forecastyear,IF('Rev. summary'!$Q$18=0,Financial!N103,'Rev. summary'!$Q$18),
IF(N26=currentyear,IF(INDEX(Financial!$J$98:$Q$98,1,MATCH(currentyear,Financial!$J$77:$Q$77,0))="",'Rev. summary'!$M$18,INDEX(Financial!$J$98:$Q$98,1,MATCH(currentyear,Financial!$J$77:$Q$77,0))),
INDEX(Actuals!$J$8:$Q$8,1,MATCH(N26,Actuals!$J$5:$Q$5,0))))</f>
        <v>74.472261539999991</v>
      </c>
      <c r="O28" s="363">
        <f>IF(O26=forecastyear,IF('Rev. summary'!$Q$18=0,Financial!O103,'Rev. summary'!$Q$18),
IF(O26=currentyear,IF(INDEX(Financial!$J$98:$Q$98,1,MATCH(currentyear,Financial!$J$77:$Q$77,0))="",'Rev. summary'!$M$18,INDEX(Financial!$J$98:$Q$98,1,MATCH(currentyear,Financial!$J$77:$Q$77,0))),
INDEX(Actuals!$J$8:$Q$8,1,MATCH(O26,Actuals!$J$5:$Q$5,0))))</f>
        <v>67.942807928779516</v>
      </c>
      <c r="P28" s="363">
        <f>IF(P26=forecastyear,IF('Rev. summary'!$Q$18=0,Financial!P103,'Rev. summary'!$Q$18),
IF(P26=currentyear,IF(INDEX(Financial!$J$98:$Q$98,1,MATCH(currentyear,Financial!$J$77:$Q$77,0))="",'Rev. summary'!$M$18,INDEX(Financial!$J$98:$Q$98,1,MATCH(currentyear,Financial!$J$77:$Q$77,0))),
INDEX(Actuals!$J$8:$Q$8,1,MATCH(P26,Actuals!$J$5:$Q$5,0))))</f>
        <v>72.222508101742264</v>
      </c>
      <c r="Q28" s="363">
        <f>IF(Q26=forecastyear,IF('Rev. summary'!$Q$18=0,Financial!Q103,'Rev. summary'!$Q$18),
IF(Q26=currentyear,IF(INDEX(Financial!$J$98:$Q$98,1,MATCH(currentyear,Financial!$J$77:$Q$77,0))="",'Rev. summary'!$M$18,INDEX(Financial!$J$98:$Q$98,1,MATCH(currentyear,Financial!$J$77:$Q$77,0))),
INDEX(Actuals!$J$8:$Q$8,1,MATCH(Q26,Actuals!$J$5:$Q$5,0))))</f>
        <v>0</v>
      </c>
      <c r="R28" s="19"/>
      <c r="S28" s="19"/>
      <c r="T28" s="19"/>
      <c r="U28" s="19"/>
      <c r="V28" s="19"/>
      <c r="W28" s="19"/>
      <c r="X28" s="19"/>
      <c r="Y28" s="19"/>
      <c r="Z28" s="19"/>
    </row>
    <row r="29" spans="1:26" outlineLevel="1" x14ac:dyDescent="0.2">
      <c r="A29" s="19"/>
      <c r="B29" s="19"/>
      <c r="C29" s="419" t="s">
        <v>576</v>
      </c>
      <c r="D29" s="550" t="s">
        <v>105</v>
      </c>
      <c r="E29" s="458" t="str">
        <f t="shared" si="1"/>
        <v>$millions</v>
      </c>
      <c r="F29" s="20"/>
      <c r="G29" s="22"/>
      <c r="H29" s="22"/>
      <c r="I29" s="20"/>
      <c r="J29" s="236">
        <f>IF(J26=forecastyear,Financial!J40,
IF(J26=currentyear,Financial!J41,Actuals!J9))</f>
        <v>0</v>
      </c>
      <c r="K29" s="363">
        <f>IF(K26=forecastyear,Financial!K40,
IF(K26=currentyear,Financial!K41,Actuals!K9))</f>
        <v>0</v>
      </c>
      <c r="L29" s="363">
        <f>IF(L26=forecastyear,Financial!L40,
IF(L26=currentyear,Financial!L41,Actuals!L9))</f>
        <v>0</v>
      </c>
      <c r="M29" s="363">
        <f>IF(M26=forecastyear,Financial!M40,
IF(M26=currentyear,Financial!M41,Actuals!M9))</f>
        <v>0</v>
      </c>
      <c r="N29" s="363">
        <f>IF(N26=forecastyear,Financial!N40,
IF(N26=currentyear,Financial!N41,Actuals!N9))*cancelfutureyear2</f>
        <v>0</v>
      </c>
      <c r="O29" s="363">
        <f>IF(O26=forecastyear,Financial!O40,
IF(O26=currentyear,Financial!O41,Actuals!O9))*cancelfutureyear3</f>
        <v>0</v>
      </c>
      <c r="P29" s="363">
        <f>IF(P26=forecastyear,Financial!P40,
IF(P26=currentyear,Financial!P41,Actuals!P9))*cancelfutureyear4</f>
        <v>0</v>
      </c>
      <c r="Q29" s="363">
        <f>IF(Q26=forecastyear,Financial!Q40,
IF(Q26=currentyear,Financial!Q41,Actuals!Q9))*cancelfutureyear5</f>
        <v>0</v>
      </c>
      <c r="R29" s="19"/>
      <c r="S29" s="19"/>
      <c r="T29" s="19"/>
      <c r="U29" s="19"/>
      <c r="V29" s="19"/>
      <c r="W29" s="19"/>
      <c r="X29" s="19"/>
      <c r="Y29" s="19"/>
      <c r="Z29" s="19"/>
    </row>
    <row r="30" spans="1:26" outlineLevel="1" x14ac:dyDescent="0.2">
      <c r="A30" s="19"/>
      <c r="B30" s="19"/>
      <c r="C30" s="419" t="s">
        <v>164</v>
      </c>
      <c r="D30" s="550" t="s">
        <v>251</v>
      </c>
      <c r="E30" s="458" t="str">
        <f t="shared" si="1"/>
        <v>$millions</v>
      </c>
      <c r="F30" s="20"/>
      <c r="G30" s="22"/>
      <c r="H30" s="22"/>
      <c r="I30" s="20"/>
      <c r="J30" s="363">
        <f>IF(Actuals!J21=0,IF(Financial!J58=0,Financial!J91,Financial!J58),Actuals!J21)</f>
        <v>94.508366460000005</v>
      </c>
      <c r="K30" s="363">
        <f>IF(Actuals!K21=0,IF(Financial!K58=0,Financial!K91,Financial!K58),Actuals!K21)</f>
        <v>95.223176430000009</v>
      </c>
      <c r="L30" s="363">
        <f>IF(Actuals!L21=0,IF(Financial!L58=0,Financial!L91,Financial!L58),Actuals!L21)</f>
        <v>86.670590270000005</v>
      </c>
      <c r="M30" s="363">
        <f>IF(Actuals!M21=0,IF(Financial!M58=0,TAR!M24,Financial!M58),Actuals!M21)</f>
        <v>80.818612389999984</v>
      </c>
      <c r="N30" s="363">
        <f>IF(Actuals!N21=0,IF(Financial!N58=0,TAR!N24,Financial!N58),Actuals!N21)*cancelfutureyear2</f>
        <v>76.362028840000008</v>
      </c>
      <c r="O30" s="363">
        <f>IF(Actuals!O21=0,IF(Financial!O58=0,TAR!O24,Financial!O58),Actuals!O21)*cancelfutureyear3</f>
        <v>69.640920058680081</v>
      </c>
      <c r="P30" s="363">
        <f>IF(Actuals!P21=0,IF(Financial!P58=0,TAR!P24,Financial!P58),Actuals!P21)*cancelfutureyear4</f>
        <v>74.346885729163219</v>
      </c>
      <c r="Q30" s="363">
        <f>IF(Actuals!Q21=0,IF(Financial!Q58=0,TAR!Q24,Financial!Q58),Actuals!Q21)*cancelfutureyear5</f>
        <v>0</v>
      </c>
      <c r="R30" s="19"/>
      <c r="S30" s="19"/>
      <c r="T30" s="19"/>
      <c r="U30" s="19"/>
      <c r="V30" s="19"/>
      <c r="W30" s="19"/>
      <c r="X30" s="19"/>
      <c r="Y30" s="19"/>
      <c r="Z30" s="19"/>
    </row>
    <row r="31" spans="1:26" outlineLevel="1" x14ac:dyDescent="0.2">
      <c r="A31" s="19"/>
      <c r="B31" s="19"/>
      <c r="C31" s="419" t="s">
        <v>644</v>
      </c>
      <c r="D31" s="550" t="s">
        <v>250</v>
      </c>
      <c r="E31" s="458" t="str">
        <f t="shared" si="1"/>
        <v>$millions</v>
      </c>
      <c r="F31" s="20"/>
      <c r="G31" s="22"/>
      <c r="H31" s="22"/>
      <c r="I31" s="20"/>
      <c r="J31" s="363">
        <f>Financial!J50</f>
        <v>0</v>
      </c>
      <c r="K31" s="363">
        <f>Financial!K50</f>
        <v>0</v>
      </c>
      <c r="L31" s="363">
        <f>Financial!L50</f>
        <v>0</v>
      </c>
      <c r="M31" s="363">
        <f>Financial!M50</f>
        <v>-6.2892145135907702</v>
      </c>
      <c r="N31" s="363">
        <f>Financial!N50*cancelfutureyear2</f>
        <v>-4.9806653902046101</v>
      </c>
      <c r="O31" s="363">
        <f>Financial!O50*cancelfutureyear3</f>
        <v>-3.4050602428089234</v>
      </c>
      <c r="P31" s="363">
        <f>Financial!P50*cancelfutureyear4</f>
        <v>-1.940974642835295</v>
      </c>
      <c r="Q31" s="363">
        <f>Financial!Q50*cancelfutureyear5</f>
        <v>0</v>
      </c>
      <c r="R31" s="19"/>
      <c r="S31" s="19"/>
      <c r="T31" s="19"/>
      <c r="U31" s="19"/>
      <c r="V31" s="19"/>
      <c r="W31" s="19"/>
      <c r="X31" s="19"/>
      <c r="Y31" s="19"/>
      <c r="Z31" s="19"/>
    </row>
    <row r="32" spans="1:26" outlineLevel="1" x14ac:dyDescent="0.2">
      <c r="A32" s="19"/>
      <c r="B32" s="19"/>
      <c r="C32" s="419" t="s">
        <v>143</v>
      </c>
      <c r="D32" s="550" t="s">
        <v>250</v>
      </c>
      <c r="E32" s="458" t="str">
        <f t="shared" si="1"/>
        <v>$millions</v>
      </c>
      <c r="F32" s="20"/>
      <c r="G32" s="22"/>
      <c r="H32" s="22"/>
      <c r="I32" s="20"/>
      <c r="J32" s="363">
        <f>Financial!J86</f>
        <v>0</v>
      </c>
      <c r="K32" s="363">
        <f>Financial!K86</f>
        <v>0</v>
      </c>
      <c r="L32" s="363">
        <f>Financial!L86</f>
        <v>0.30305988900000003</v>
      </c>
      <c r="M32" s="363">
        <f>Financial!M86</f>
        <v>0.27543036947999999</v>
      </c>
      <c r="N32" s="363">
        <f>Financial!N86*cancelfutureyear2</f>
        <v>0.18493027553333333</v>
      </c>
      <c r="O32" s="363">
        <f>Financial!O86*cancelfutureyear3</f>
        <v>0.14735878827560842</v>
      </c>
      <c r="P32" s="363">
        <f>Financial!P86*cancelfutureyear4</f>
        <v>0.1125822477840485</v>
      </c>
      <c r="Q32" s="363">
        <f>Financial!Q86*cancelfutureyear5</f>
        <v>0</v>
      </c>
      <c r="R32" s="19"/>
      <c r="S32" s="19"/>
      <c r="T32" s="19"/>
      <c r="U32" s="19"/>
      <c r="V32" s="19"/>
      <c r="W32" s="19"/>
      <c r="X32" s="19"/>
      <c r="Y32" s="19"/>
      <c r="Z32" s="19"/>
    </row>
    <row r="33" spans="1:26" outlineLevel="1" x14ac:dyDescent="0.2">
      <c r="A33" s="19"/>
      <c r="B33" s="19"/>
      <c r="C33" s="549" t="s">
        <v>665</v>
      </c>
      <c r="D33" s="512" t="s">
        <v>105</v>
      </c>
      <c r="E33" s="458" t="str">
        <f t="shared" si="1"/>
        <v>$millions</v>
      </c>
      <c r="F33" s="20"/>
      <c r="G33" s="22"/>
      <c r="H33" s="22"/>
      <c r="I33" s="20"/>
      <c r="J33" s="369">
        <f>(J28+J29)-(J30+J31)+J32</f>
        <v>2.2987195999999983</v>
      </c>
      <c r="K33" s="369">
        <f>(K28+K29)-(K30+K31)+K32</f>
        <v>0.52551655038143963</v>
      </c>
      <c r="L33" s="369">
        <f>(L28+L29)-(L30+L31)+L32</f>
        <v>-3.6848073360392384</v>
      </c>
      <c r="M33" s="369">
        <f>(M28+M29)-(M30+M31)+M32</f>
        <v>4.7626532130708004</v>
      </c>
      <c r="N33" s="369">
        <f>((N28+N29)-(N30+N31)+N32)*cancelfutureyear2</f>
        <v>3.2758283657379232</v>
      </c>
      <c r="O33" s="369">
        <f>((O28+O29)-(O30+O31)+O32)*cancelfutureyear3</f>
        <v>1.8543069011839726</v>
      </c>
      <c r="P33" s="369">
        <f>((P28+P29)-(P30+P31)+P32)*cancelfutureyear4</f>
        <v>-7.0820736801606346E-2</v>
      </c>
      <c r="Q33" s="369">
        <f>((Q28+Q29)-(Q30+Q31)+Q32)*cancelfutureyear5</f>
        <v>0</v>
      </c>
      <c r="R33" s="19"/>
      <c r="S33" s="19"/>
      <c r="T33" s="19"/>
      <c r="U33" s="19"/>
      <c r="V33" s="19"/>
      <c r="W33" s="19"/>
      <c r="X33" s="19"/>
      <c r="Y33" s="19"/>
      <c r="Z33" s="19"/>
    </row>
    <row r="34" spans="1:26" outlineLevel="1" x14ac:dyDescent="0.2">
      <c r="A34" s="19"/>
      <c r="B34" s="19"/>
      <c r="C34" s="548"/>
      <c r="D34" s="512"/>
      <c r="E34" s="512"/>
      <c r="F34" s="20"/>
      <c r="G34" s="22"/>
      <c r="H34" s="22"/>
      <c r="I34" s="20"/>
      <c r="J34" s="242"/>
      <c r="K34" s="242"/>
      <c r="L34" s="242"/>
      <c r="M34" s="307"/>
      <c r="N34" s="307"/>
      <c r="O34" s="307"/>
      <c r="P34" s="307"/>
      <c r="Q34" s="307"/>
      <c r="R34" s="19"/>
      <c r="S34" s="19"/>
      <c r="T34" s="19"/>
      <c r="U34" s="19"/>
      <c r="V34" s="19"/>
      <c r="W34" s="19"/>
      <c r="X34" s="19"/>
      <c r="Y34" s="19"/>
      <c r="Z34" s="19"/>
    </row>
    <row r="35" spans="1:26" outlineLevel="1" x14ac:dyDescent="0.2">
      <c r="A35" s="19"/>
      <c r="B35" s="19"/>
      <c r="C35" s="419" t="s">
        <v>244</v>
      </c>
      <c r="D35" s="550" t="s">
        <v>250</v>
      </c>
      <c r="E35" s="458" t="str">
        <f>IF(C35=0,0,revenueunits)</f>
        <v>$millions</v>
      </c>
      <c r="F35" s="20"/>
      <c r="G35" s="22"/>
      <c r="H35" s="22"/>
      <c r="I35" s="20"/>
      <c r="J35" s="363">
        <f>Financial!J81</f>
        <v>5.7063899544506196</v>
      </c>
      <c r="K35" s="363">
        <f>IF(OR(J39=0,J39=""),Financial!K81,J39)</f>
        <v>8.5708732434280517</v>
      </c>
      <c r="L35" s="363">
        <f>K39</f>
        <v>9.5387873330829542</v>
      </c>
      <c r="M35" s="363">
        <f>IF(Financial!M81="",L39,Financial!M81)</f>
        <v>6.1486164924880757</v>
      </c>
      <c r="N35" s="363">
        <f>M39*cancelfutureyear2</f>
        <v>4.8715589510972714</v>
      </c>
      <c r="O35" s="363">
        <f>N39*cancelfutureyear3</f>
        <v>3.3491958383889466</v>
      </c>
      <c r="P35" s="363">
        <f>O39*cancelfutureyear4</f>
        <v>1.8852366394390889</v>
      </c>
      <c r="Q35" s="363">
        <f>P39*cancelfutureyear5</f>
        <v>0</v>
      </c>
      <c r="R35" s="19"/>
      <c r="S35" s="19"/>
      <c r="T35" s="19"/>
      <c r="U35" s="19"/>
      <c r="V35" s="19"/>
      <c r="W35" s="19"/>
      <c r="X35" s="19"/>
      <c r="Y35" s="19"/>
      <c r="Z35" s="19"/>
    </row>
    <row r="36" spans="1:26" outlineLevel="1" x14ac:dyDescent="0.2">
      <c r="A36" s="19"/>
      <c r="B36" s="19"/>
      <c r="C36" s="419" t="s">
        <v>246</v>
      </c>
      <c r="D36" s="512" t="s">
        <v>105</v>
      </c>
      <c r="E36" s="458" t="str">
        <f>IF(C36=0,0,revenueunits)</f>
        <v>$millions</v>
      </c>
      <c r="F36" s="20"/>
      <c r="G36" s="22"/>
      <c r="H36" s="22"/>
      <c r="I36" s="20"/>
      <c r="J36" s="363">
        <f>J35*J9</f>
        <v>0.47248908822850993</v>
      </c>
      <c r="K36" s="363">
        <f>K35*K9</f>
        <v>0.42939441533606204</v>
      </c>
      <c r="L36" s="363">
        <f>L35*L9</f>
        <v>0.51753115895172064</v>
      </c>
      <c r="M36" s="363">
        <f>M35*M9</f>
        <v>0.2844110424517276</v>
      </c>
      <c r="N36" s="363">
        <f>N35*N9*cancelfutureyear2</f>
        <v>0.22065649332314277</v>
      </c>
      <c r="O36" s="363">
        <f>O35*O9*cancelfutureyear3</f>
        <v>0.11266062406718703</v>
      </c>
      <c r="P36" s="363">
        <f>P35*P9*cancelfutureyear4</f>
        <v>0.1131239299006323</v>
      </c>
      <c r="Q36" s="363">
        <f>Q35*Q9*cancelfutureyear5</f>
        <v>0</v>
      </c>
      <c r="R36" s="19"/>
      <c r="S36" s="19"/>
      <c r="T36" s="19"/>
      <c r="U36" s="19"/>
      <c r="V36" s="19"/>
      <c r="W36" s="19"/>
      <c r="X36" s="19"/>
      <c r="Y36" s="19"/>
      <c r="Z36" s="19"/>
    </row>
    <row r="37" spans="1:26" outlineLevel="1" x14ac:dyDescent="0.2">
      <c r="A37" s="19"/>
      <c r="B37" s="19"/>
      <c r="C37" s="419" t="s">
        <v>645</v>
      </c>
      <c r="D37" s="512" t="str">
        <f>D33</f>
        <v>Calculation</v>
      </c>
      <c r="E37" s="458" t="str">
        <f>IF(C37=0,0,revenueunits)</f>
        <v>$millions</v>
      </c>
      <c r="F37" s="20"/>
      <c r="G37" s="22"/>
      <c r="H37" s="22"/>
      <c r="I37" s="20"/>
      <c r="J37" s="363">
        <f>J31+J33</f>
        <v>2.2987195999999983</v>
      </c>
      <c r="K37" s="363">
        <f>K31+K33</f>
        <v>0.52551655038143963</v>
      </c>
      <c r="L37" s="363">
        <f>L31+L33</f>
        <v>-3.6848073360392384</v>
      </c>
      <c r="M37" s="363">
        <f>M31+M33</f>
        <v>-1.5265613005199699</v>
      </c>
      <c r="N37" s="363">
        <f>(N31+N33)*cancelfutureyear2</f>
        <v>-1.7048370244666868</v>
      </c>
      <c r="O37" s="363">
        <f>(O31+O33)*cancelfutureyear3</f>
        <v>-1.5507533416249508</v>
      </c>
      <c r="P37" s="363">
        <f>(P31+P33)*cancelfutureyear4</f>
        <v>-2.0117953796369012</v>
      </c>
      <c r="Q37" s="363">
        <f>(Q31+Q33)*cancelfutureyear5</f>
        <v>0</v>
      </c>
      <c r="R37" s="19"/>
      <c r="S37" s="19"/>
      <c r="T37" s="19"/>
      <c r="U37" s="19"/>
      <c r="V37" s="19"/>
      <c r="W37" s="19"/>
      <c r="X37" s="19"/>
      <c r="Y37" s="19"/>
      <c r="Z37" s="19"/>
    </row>
    <row r="38" spans="1:26" outlineLevel="1" x14ac:dyDescent="0.2">
      <c r="A38" s="19"/>
      <c r="B38" s="19"/>
      <c r="C38" s="419" t="s">
        <v>247</v>
      </c>
      <c r="D38" s="512" t="s">
        <v>105</v>
      </c>
      <c r="E38" s="458" t="str">
        <f>IF(C38=0,0,revenueunits)</f>
        <v>$millions</v>
      </c>
      <c r="F38" s="20"/>
      <c r="G38" s="22"/>
      <c r="H38" s="22"/>
      <c r="I38" s="20"/>
      <c r="J38" s="363">
        <f>J37*((1+J9)^0.5-1)</f>
        <v>9.3274600748922923E-2</v>
      </c>
      <c r="K38" s="363">
        <f>K37*((1+K9)^0.5-1)</f>
        <v>1.3003123937400043E-2</v>
      </c>
      <c r="L38" s="363">
        <f>L37*((1+L9)^0.5-1)</f>
        <v>-9.8640162253526703E-2</v>
      </c>
      <c r="M38" s="363">
        <f>M37*((1+M9)^0.5-1)</f>
        <v>-3.4907283322562738E-2</v>
      </c>
      <c r="N38" s="363">
        <f>N37*((1+N9)^0.5-1)*cancelfutureyear2</f>
        <v>-3.8182581564781007E-2</v>
      </c>
      <c r="O38" s="363">
        <f>O37*((1+O9)^0.5-1)*cancelfutureyear3</f>
        <v>-2.5866481392094035E-2</v>
      </c>
      <c r="P38" s="363">
        <f>P37*((1+P9)^0.5-1)*cancelfutureyear4</f>
        <v>-5.9479778483424721E-2</v>
      </c>
      <c r="Q38" s="363">
        <f>Q37*((1+Q9)^0.5-1)*cancelfutureyear5</f>
        <v>0</v>
      </c>
      <c r="R38" s="19"/>
      <c r="S38" s="19"/>
      <c r="T38" s="19"/>
      <c r="U38" s="19"/>
      <c r="V38" s="19"/>
      <c r="W38" s="19"/>
      <c r="X38" s="19"/>
      <c r="Y38" s="19"/>
      <c r="Z38" s="19"/>
    </row>
    <row r="39" spans="1:26" outlineLevel="1" x14ac:dyDescent="0.2">
      <c r="A39" s="19"/>
      <c r="B39" s="19"/>
      <c r="C39" s="549" t="s">
        <v>249</v>
      </c>
      <c r="D39" s="512" t="s">
        <v>105</v>
      </c>
      <c r="E39" s="458" t="str">
        <f>IF(C39=0,0,revenueunits)</f>
        <v>$millions</v>
      </c>
      <c r="F39" s="20"/>
      <c r="G39" s="22"/>
      <c r="H39" s="22"/>
      <c r="I39" s="20"/>
      <c r="J39" s="369">
        <f>SUM(J35:J38)</f>
        <v>8.5708732434280517</v>
      </c>
      <c r="K39" s="369">
        <f>SUM(K35:K38)</f>
        <v>9.5387873330829542</v>
      </c>
      <c r="L39" s="369">
        <f>SUM(L35:L38)</f>
        <v>6.2728709937419103</v>
      </c>
      <c r="M39" s="369">
        <f>SUM(M35:M38)</f>
        <v>4.8715589510972714</v>
      </c>
      <c r="N39" s="369">
        <f>SUM(N35:N38)*cancelfutureyear2</f>
        <v>3.3491958383889466</v>
      </c>
      <c r="O39" s="369">
        <f>SUM(O35:O38)*cancelfutureyear3</f>
        <v>1.8852366394390889</v>
      </c>
      <c r="P39" s="369">
        <f>SUM(P35:P38)*cancelfutureyear4</f>
        <v>-7.2914588780604694E-2</v>
      </c>
      <c r="Q39" s="369">
        <f>SUM(Q35:Q38)*cancelfutureyear5</f>
        <v>0</v>
      </c>
      <c r="R39" s="19"/>
      <c r="S39" s="19"/>
      <c r="T39" s="19"/>
      <c r="U39" s="19"/>
      <c r="V39" s="19"/>
      <c r="W39" s="19"/>
      <c r="X39" s="19"/>
      <c r="Y39" s="19"/>
      <c r="Z39" s="19"/>
    </row>
    <row r="40" spans="1:26" x14ac:dyDescent="0.2">
      <c r="A40" s="19"/>
      <c r="B40" s="19"/>
      <c r="C40" s="19"/>
      <c r="D40" s="512"/>
      <c r="E40" s="512"/>
      <c r="F40" s="20"/>
      <c r="G40" s="22"/>
      <c r="H40" s="22"/>
      <c r="I40" s="20"/>
      <c r="J40" s="20"/>
      <c r="K40" s="20"/>
      <c r="L40" s="20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2.75" x14ac:dyDescent="0.2">
      <c r="A41" s="11"/>
      <c r="B41" s="12" t="s">
        <v>652</v>
      </c>
      <c r="C41" s="11"/>
      <c r="D41" s="183" t="str">
        <f>D5</f>
        <v>Source</v>
      </c>
      <c r="E41" s="183" t="str">
        <f>E5</f>
        <v>Unit</v>
      </c>
      <c r="F41" s="33"/>
      <c r="G41" s="34"/>
      <c r="H41" s="34"/>
      <c r="I41" s="34"/>
      <c r="J41" s="33" t="str">
        <f>RCPminus3</f>
        <v>2016–17</v>
      </c>
      <c r="K41" s="33" t="str">
        <f>RCPminus2</f>
        <v>2017–18</v>
      </c>
      <c r="L41" s="33" t="str">
        <f>RCPminus1</f>
        <v>2018–19</v>
      </c>
      <c r="M41" s="35" t="str">
        <f>RCP_firstyear</f>
        <v>2019–20</v>
      </c>
      <c r="N41" s="35" t="str">
        <f>RCP_secondyear</f>
        <v>2020–21</v>
      </c>
      <c r="O41" s="35" t="str">
        <f>RCP_thirdyear</f>
        <v>2021–22</v>
      </c>
      <c r="P41" s="35" t="str">
        <f>RCP_fourthyear</f>
        <v>2022–23</v>
      </c>
      <c r="Q41" s="35" t="str">
        <f>RCP_lastyear</f>
        <v>2023–24</v>
      </c>
      <c r="R41" s="14" t="s">
        <v>14</v>
      </c>
      <c r="S41" s="14"/>
      <c r="T41" s="15"/>
      <c r="U41" s="15"/>
      <c r="V41" s="15"/>
      <c r="W41" s="15"/>
      <c r="X41" s="15"/>
      <c r="Y41" s="15"/>
      <c r="Z41" s="15"/>
    </row>
    <row r="42" spans="1:26" hidden="1" outlineLevel="1" x14ac:dyDescent="0.2">
      <c r="A42" s="19"/>
      <c r="B42" s="19"/>
      <c r="C42" s="19"/>
      <c r="D42" s="512"/>
      <c r="E42" s="512"/>
      <c r="F42" s="20"/>
      <c r="G42" s="20"/>
      <c r="H42" s="20"/>
      <c r="I42" s="20"/>
      <c r="J42" s="20"/>
      <c r="K42" s="20"/>
      <c r="L42" s="20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idden="1" outlineLevel="1" x14ac:dyDescent="0.2">
      <c r="A43" s="19"/>
      <c r="B43" s="19"/>
      <c r="C43" s="419" t="s">
        <v>245</v>
      </c>
      <c r="D43" s="550" t="s">
        <v>105</v>
      </c>
      <c r="E43" s="458" t="str">
        <f>IF(C43=0,0,revenueunits)</f>
        <v>$millions</v>
      </c>
      <c r="F43" s="20"/>
      <c r="G43" s="22"/>
      <c r="H43" s="22"/>
      <c r="I43" s="20"/>
      <c r="J43" s="236">
        <f>IF(J41=forecastyear,IF('Rev. summary'!$R$18=0,Financial!J104,'Rev. summary'!$R$18),
IF(J41=currentyear,IF(INDEX(Financial!$J$99:$Q$99,1,MATCH(currentyear,Financial!$J$77:$Q$77,0))="",'Rev. summary'!$N$18,INDEX(Financial!$J$99:$Q$99,1,MATCH(currentyear,Financial!$J$77:$Q$77,0))),
INDEX(Actuals!$J$10:$Q$10,1,MATCH(J41,Actuals!$J$5:$Q$5,0))))</f>
        <v>0</v>
      </c>
      <c r="K43" s="363">
        <f>IF(K41=forecastyear,IF('Rev. summary'!$R$18=0,Financial!K104,'Rev. summary'!$R$18),
IF(K41=currentyear,IF(INDEX(Financial!$J$99:$Q$99,1,MATCH(currentyear,Financial!$J$77:$Q$77,0))="",'Rev. summary'!$N$18,INDEX(Financial!$J$99:$Q$99,1,MATCH(currentyear,Financial!$J$77:$Q$77,0))),
INDEX(Actuals!$J$10:$Q$10,1,MATCH(K41,Actuals!$J$5:$Q$5,0))))</f>
        <v>0</v>
      </c>
      <c r="L43" s="363">
        <f>IF(L41=forecastyear,IF('Rev. summary'!$R$18=0,Financial!L104,'Rev. summary'!$R$18),
IF(L41=currentyear,IF(INDEX(Financial!$J$99:$Q$99,1,MATCH(currentyear,Financial!$J$77:$Q$77,0))="",'Rev. summary'!$N$18,INDEX(Financial!$J$99:$Q$99,1,MATCH(currentyear,Financial!$J$77:$Q$77,0))),
INDEX(Actuals!$J$10:$Q$10,1,MATCH(L41,Actuals!$J$5:$Q$5,0))))</f>
        <v>0</v>
      </c>
      <c r="M43" s="363">
        <f>IF(M41=forecastyear,IF('Rev. summary'!$R$18=0,Financial!M104,'Rev. summary'!$R$18),
IF(M41=currentyear,IF(INDEX(Financial!$J$99:$Q$99,1,MATCH(currentyear,Financial!$J$77:$Q$77,0))="",'Rev. summary'!$N$18,INDEX(Financial!$J$99:$Q$99,1,MATCH(currentyear,Financial!$J$77:$Q$77,0))),
INDEX(Actuals!$J$10:$Q$10,1,MATCH(M41,Actuals!$J$5:$Q$5,0))))</f>
        <v>0</v>
      </c>
      <c r="N43" s="363">
        <f>IF(N41=forecastyear,IF('Rev. summary'!$R$18=0,Financial!N104,'Rev. summary'!$R$18),
IF(N41=currentyear,IF(INDEX(Financial!$J$99:$Q$99,1,MATCH(currentyear,Financial!$J$77:$Q$77,0))="",'Rev. summary'!$N$18,INDEX(Financial!$J$99:$Q$99,1,MATCH(currentyear,Financial!$J$77:$Q$77,0))),
INDEX(Actuals!$J$10:$Q$10,1,MATCH(N41,Actuals!$J$5:$Q$5,0))))</f>
        <v>0</v>
      </c>
      <c r="O43" s="363">
        <f>IF(O41=forecastyear,IF('Rev. summary'!$R$18=0,Financial!O104,'Rev. summary'!$R$18),
IF(O41=currentyear,IF(INDEX(Financial!$J$99:$Q$99,1,MATCH(currentyear,Financial!$J$77:$Q$77,0))="",'Rev. summary'!$N$18,INDEX(Financial!$J$99:$Q$99,1,MATCH(currentyear,Financial!$J$77:$Q$77,0))),
INDEX(Actuals!$J$10:$Q$10,1,MATCH(O41,Actuals!$J$5:$Q$5,0))))</f>
        <v>0</v>
      </c>
      <c r="P43" s="363">
        <f>IF(P41=forecastyear,IF('Rev. summary'!$R$18=0,Financial!P104,'Rev. summary'!$R$18),
IF(P41=currentyear,IF(INDEX(Financial!$J$99:$Q$99,1,MATCH(currentyear,Financial!$J$77:$Q$77,0))="",'Rev. summary'!$N$18,INDEX(Financial!$J$99:$Q$99,1,MATCH(currentyear,Financial!$J$77:$Q$77,0))),
INDEX(Actuals!$J$10:$Q$10,1,MATCH(P41,Actuals!$J$5:$Q$5,0))))</f>
        <v>0</v>
      </c>
      <c r="Q43" s="363">
        <f>IF(Q41=forecastyear,IF('Rev. summary'!$R$18=0,Financial!Q104,'Rev. summary'!$R$18),
IF(Q41=currentyear,IF(INDEX(Financial!$J$99:$Q$99,1,MATCH(currentyear,Financial!$J$77:$Q$77,0))="",'Rev. summary'!$N$18,INDEX(Financial!$J$99:$Q$99,1,MATCH(currentyear,Financial!$J$77:$Q$77,0))),
INDEX(Actuals!$J$10:$Q$10,1,MATCH(Q41,Actuals!$J$5:$Q$5,0))))</f>
        <v>0</v>
      </c>
      <c r="R43" s="19"/>
      <c r="S43" s="19"/>
      <c r="T43" s="19"/>
      <c r="U43" s="19"/>
      <c r="V43" s="19"/>
      <c r="W43" s="19"/>
      <c r="X43" s="19"/>
      <c r="Y43" s="19"/>
      <c r="Z43" s="19"/>
    </row>
    <row r="44" spans="1:26" hidden="1" outlineLevel="1" x14ac:dyDescent="0.2">
      <c r="A44" s="19"/>
      <c r="B44" s="19"/>
      <c r="C44" s="419" t="s">
        <v>163</v>
      </c>
      <c r="D44" s="550" t="s">
        <v>251</v>
      </c>
      <c r="E44" s="458" t="str">
        <f>IF(C44=0,0,revenueunits)</f>
        <v>$millions</v>
      </c>
      <c r="F44" s="20"/>
      <c r="G44" s="22"/>
      <c r="H44" s="22"/>
      <c r="I44" s="20"/>
      <c r="J44" s="363">
        <f>IF(Actuals!J27=0,IF(Financial!J75=0,Financial!J92,Financial!J75),Actuals!J27)</f>
        <v>0</v>
      </c>
      <c r="K44" s="363">
        <f>IF(Actuals!K27=0,IF(Financial!K75=0,Financial!K92,Financial!K75),Actuals!K27)</f>
        <v>0</v>
      </c>
      <c r="L44" s="363">
        <f>IF(Actuals!L27=0,IF(Financial!L75=0,Financial!L92,Financial!L75),Actuals!L27)</f>
        <v>0</v>
      </c>
      <c r="M44" s="363">
        <f>IF(Actuals!M27=0,IF(Financial!M75=0,TAR!M30,Financial!M75),Actuals!M27)</f>
        <v>0</v>
      </c>
      <c r="N44" s="363">
        <f>IF(Actuals!N27=0,IF(Financial!N75=0,TAR!N30,Financial!N75),Actuals!N27)*cancelfutureyear2</f>
        <v>0</v>
      </c>
      <c r="O44" s="363">
        <f>IF(Actuals!O27=0,IF(Financial!O75=0,TAR!O30,Financial!O75),Actuals!O27)*cancelfutureyear3</f>
        <v>0</v>
      </c>
      <c r="P44" s="363">
        <f>IF(Actuals!P27=0,IF(Financial!P75=0,TAR!P30,Financial!P75),Actuals!P27)*cancelfutureyear4</f>
        <v>0</v>
      </c>
      <c r="Q44" s="363">
        <f>IF(Actuals!Q27=0,IF(Financial!Q75=0,TAR!Q30,Financial!Q75),Actuals!Q27)*cancelfutureyear5</f>
        <v>0</v>
      </c>
      <c r="R44" s="19"/>
      <c r="S44" s="19"/>
      <c r="T44" s="19"/>
      <c r="U44" s="19"/>
      <c r="V44" s="19"/>
      <c r="W44" s="19"/>
      <c r="X44" s="19"/>
      <c r="Y44" s="19"/>
      <c r="Z44" s="19"/>
    </row>
    <row r="45" spans="1:26" hidden="1" outlineLevel="1" x14ac:dyDescent="0.2">
      <c r="A45" s="19"/>
      <c r="B45" s="19"/>
      <c r="C45" s="419" t="s">
        <v>644</v>
      </c>
      <c r="D45" s="550" t="s">
        <v>250</v>
      </c>
      <c r="E45" s="458" t="str">
        <f>IF(C45=0,0,revenueunits)</f>
        <v>$millions</v>
      </c>
      <c r="F45" s="20"/>
      <c r="G45" s="22"/>
      <c r="H45" s="22"/>
      <c r="I45" s="20"/>
      <c r="J45" s="363">
        <f>Financial!J68</f>
        <v>0</v>
      </c>
      <c r="K45" s="363">
        <f>Financial!K68</f>
        <v>0</v>
      </c>
      <c r="L45" s="363">
        <f>Financial!L68</f>
        <v>0</v>
      </c>
      <c r="M45" s="363">
        <f>Financial!M68</f>
        <v>0</v>
      </c>
      <c r="N45" s="363">
        <f>Financial!N68*cancelfutureyear2</f>
        <v>0</v>
      </c>
      <c r="O45" s="363">
        <f>Financial!O68*cancelfutureyear3</f>
        <v>0</v>
      </c>
      <c r="P45" s="363">
        <f>Financial!P68*cancelfutureyear4</f>
        <v>0</v>
      </c>
      <c r="Q45" s="363">
        <f>Financial!Q68*cancelfutureyear5</f>
        <v>0</v>
      </c>
      <c r="R45" s="19"/>
      <c r="S45" s="19"/>
      <c r="T45" s="19"/>
      <c r="U45" s="19"/>
      <c r="V45" s="19"/>
      <c r="W45" s="19"/>
      <c r="X45" s="19"/>
      <c r="Y45" s="19"/>
      <c r="Z45" s="19"/>
    </row>
    <row r="46" spans="1:26" hidden="1" outlineLevel="1" x14ac:dyDescent="0.2">
      <c r="A46" s="19"/>
      <c r="B46" s="19"/>
      <c r="C46" s="419" t="s">
        <v>143</v>
      </c>
      <c r="D46" s="550" t="s">
        <v>250</v>
      </c>
      <c r="E46" s="458" t="str">
        <f>IF(C46=0,0,revenueunits)</f>
        <v>$millions</v>
      </c>
      <c r="F46" s="20"/>
      <c r="G46" s="22"/>
      <c r="H46" s="22"/>
      <c r="I46" s="20"/>
      <c r="J46" s="363">
        <f>Financial!J87</f>
        <v>0</v>
      </c>
      <c r="K46" s="363">
        <f>Financial!K87</f>
        <v>0</v>
      </c>
      <c r="L46" s="363">
        <f>Financial!L87</f>
        <v>0</v>
      </c>
      <c r="M46" s="363">
        <f>Financial!M87</f>
        <v>0</v>
      </c>
      <c r="N46" s="363">
        <f>Financial!N87*cancelfutureyear2</f>
        <v>0</v>
      </c>
      <c r="O46" s="363">
        <f>Financial!O87*cancelfutureyear3</f>
        <v>0</v>
      </c>
      <c r="P46" s="363">
        <f>Financial!P87*cancelfutureyear4</f>
        <v>0</v>
      </c>
      <c r="Q46" s="363">
        <f>Financial!Q87*cancelfutureyear5</f>
        <v>0</v>
      </c>
      <c r="R46" s="19"/>
      <c r="S46" s="19"/>
      <c r="T46" s="19"/>
      <c r="U46" s="19"/>
      <c r="V46" s="19"/>
      <c r="W46" s="19"/>
      <c r="X46" s="19"/>
      <c r="Y46" s="19"/>
      <c r="Z46" s="19"/>
    </row>
    <row r="47" spans="1:26" hidden="1" outlineLevel="1" x14ac:dyDescent="0.2">
      <c r="A47" s="19"/>
      <c r="B47" s="19"/>
      <c r="C47" s="549" t="s">
        <v>665</v>
      </c>
      <c r="D47" s="512" t="s">
        <v>105</v>
      </c>
      <c r="E47" s="458" t="str">
        <f>IF(C47=0,0,revenueunits)</f>
        <v>$millions</v>
      </c>
      <c r="F47" s="20"/>
      <c r="G47" s="22"/>
      <c r="H47" s="22"/>
      <c r="I47" s="20"/>
      <c r="J47" s="369">
        <f>J43-(J44+J45)+J46</f>
        <v>0</v>
      </c>
      <c r="K47" s="369">
        <f>K43-(K44+K45)+K46</f>
        <v>0</v>
      </c>
      <c r="L47" s="369">
        <f>L43-(L44+L45)+L46</f>
        <v>0</v>
      </c>
      <c r="M47" s="369">
        <f>M43-(M44+M45)+M46</f>
        <v>0</v>
      </c>
      <c r="N47" s="369">
        <f>(N43-(N44+N45)+N46)*cancelfutureyear2</f>
        <v>0</v>
      </c>
      <c r="O47" s="369">
        <f>(O43-(O44+O45)+O46)*cancelfutureyear3</f>
        <v>0</v>
      </c>
      <c r="P47" s="369">
        <f>(P43-(P44+P45)+P46)*cancelfutureyear4</f>
        <v>0</v>
      </c>
      <c r="Q47" s="369">
        <f>(Q43-(Q44+Q45)+Q46)*cancelfutureyear5</f>
        <v>0</v>
      </c>
      <c r="R47" s="19"/>
      <c r="S47" s="19"/>
      <c r="T47" s="19"/>
      <c r="U47" s="19"/>
      <c r="V47" s="19"/>
      <c r="W47" s="19"/>
      <c r="X47" s="19"/>
      <c r="Y47" s="19"/>
      <c r="Z47" s="19"/>
    </row>
    <row r="48" spans="1:26" hidden="1" outlineLevel="1" x14ac:dyDescent="0.2">
      <c r="A48" s="19"/>
      <c r="B48" s="19"/>
      <c r="C48" s="548"/>
      <c r="D48" s="512"/>
      <c r="E48" s="512"/>
      <c r="F48" s="20"/>
      <c r="G48" s="22"/>
      <c r="H48" s="22"/>
      <c r="I48" s="20"/>
      <c r="J48" s="242"/>
      <c r="K48" s="242"/>
      <c r="L48" s="242"/>
      <c r="M48" s="307"/>
      <c r="N48" s="307"/>
      <c r="O48" s="307"/>
      <c r="P48" s="307"/>
      <c r="Q48" s="307"/>
      <c r="R48" s="19"/>
      <c r="S48" s="19"/>
      <c r="T48" s="19"/>
      <c r="U48" s="19"/>
      <c r="V48" s="19"/>
      <c r="W48" s="19"/>
      <c r="X48" s="19"/>
      <c r="Y48" s="19"/>
      <c r="Z48" s="19"/>
    </row>
    <row r="49" spans="1:26" hidden="1" outlineLevel="1" x14ac:dyDescent="0.2">
      <c r="A49" s="19"/>
      <c r="B49" s="19"/>
      <c r="C49" s="419" t="s">
        <v>244</v>
      </c>
      <c r="D49" s="550" t="s">
        <v>250</v>
      </c>
      <c r="E49" s="458" t="str">
        <f>IF(C49=0,0,revenueunits)</f>
        <v>$millions</v>
      </c>
      <c r="F49" s="20"/>
      <c r="G49" s="22"/>
      <c r="H49" s="22"/>
      <c r="I49" s="20"/>
      <c r="J49" s="363">
        <f>Financial!J82</f>
        <v>0</v>
      </c>
      <c r="K49" s="363">
        <f>IF(OR(J53=0,J53=""),Financial!K82,J53)</f>
        <v>0</v>
      </c>
      <c r="L49" s="363">
        <f>K53</f>
        <v>0</v>
      </c>
      <c r="M49" s="363">
        <f>IF(Financial!M82="",L53,Financial!M82)</f>
        <v>0</v>
      </c>
      <c r="N49" s="363">
        <f>M53*cancelfutureyear2</f>
        <v>0</v>
      </c>
      <c r="O49" s="363">
        <f>N53*cancelfutureyear3</f>
        <v>0</v>
      </c>
      <c r="P49" s="363">
        <f>O53*cancelfutureyear4</f>
        <v>0</v>
      </c>
      <c r="Q49" s="363">
        <f>P53*cancelfutureyear5</f>
        <v>0</v>
      </c>
      <c r="R49" s="19"/>
      <c r="S49" s="19"/>
      <c r="T49" s="19"/>
      <c r="U49" s="19"/>
      <c r="V49" s="19"/>
      <c r="W49" s="19"/>
      <c r="X49" s="19"/>
      <c r="Y49" s="19"/>
      <c r="Z49" s="19"/>
    </row>
    <row r="50" spans="1:26" hidden="1" outlineLevel="1" x14ac:dyDescent="0.2">
      <c r="A50" s="19"/>
      <c r="B50" s="19"/>
      <c r="C50" s="419" t="s">
        <v>246</v>
      </c>
      <c r="D50" s="512" t="s">
        <v>105</v>
      </c>
      <c r="E50" s="458" t="str">
        <f>IF(C50=0,0,revenueunits)</f>
        <v>$millions</v>
      </c>
      <c r="F50" s="20"/>
      <c r="G50" s="22"/>
      <c r="H50" s="22"/>
      <c r="I50" s="20"/>
      <c r="J50" s="363">
        <f>J49*J9</f>
        <v>0</v>
      </c>
      <c r="K50" s="363">
        <f>K49*K9</f>
        <v>0</v>
      </c>
      <c r="L50" s="363">
        <f>L49*L9</f>
        <v>0</v>
      </c>
      <c r="M50" s="363">
        <f>M49*M9</f>
        <v>0</v>
      </c>
      <c r="N50" s="363">
        <f>N49*N9*cancelfutureyear2</f>
        <v>0</v>
      </c>
      <c r="O50" s="363">
        <f>O49*O9*cancelfutureyear3</f>
        <v>0</v>
      </c>
      <c r="P50" s="363">
        <f>P49*P9*cancelfutureyear4</f>
        <v>0</v>
      </c>
      <c r="Q50" s="363">
        <f>Q49*Q9*cancelfutureyear5</f>
        <v>0</v>
      </c>
      <c r="R50" s="19"/>
      <c r="S50" s="19"/>
      <c r="T50" s="19"/>
      <c r="U50" s="19"/>
      <c r="V50" s="19"/>
      <c r="W50" s="19"/>
      <c r="X50" s="19"/>
      <c r="Y50" s="19"/>
      <c r="Z50" s="19"/>
    </row>
    <row r="51" spans="1:26" hidden="1" outlineLevel="1" x14ac:dyDescent="0.2">
      <c r="A51" s="19"/>
      <c r="B51" s="19"/>
      <c r="C51" s="419" t="s">
        <v>645</v>
      </c>
      <c r="D51" s="512" t="str">
        <f>D47</f>
        <v>Calculation</v>
      </c>
      <c r="E51" s="458" t="str">
        <f>IF(C51=0,0,revenueunits)</f>
        <v>$millions</v>
      </c>
      <c r="F51" s="20"/>
      <c r="G51" s="22"/>
      <c r="H51" s="22"/>
      <c r="I51" s="20"/>
      <c r="J51" s="363">
        <f>J45+J47</f>
        <v>0</v>
      </c>
      <c r="K51" s="363">
        <f>K45+K47</f>
        <v>0</v>
      </c>
      <c r="L51" s="363">
        <f>L45+L47</f>
        <v>0</v>
      </c>
      <c r="M51" s="363">
        <f>M45+M47</f>
        <v>0</v>
      </c>
      <c r="N51" s="363">
        <f>(N45+N47)*cancelfutureyear2</f>
        <v>0</v>
      </c>
      <c r="O51" s="363">
        <f>(O45+O47)*cancelfutureyear3</f>
        <v>0</v>
      </c>
      <c r="P51" s="363">
        <f>(P45+P47)*cancelfutureyear4</f>
        <v>0</v>
      </c>
      <c r="Q51" s="363">
        <f>(Q45+Q47)*cancelfutureyear5</f>
        <v>0</v>
      </c>
      <c r="R51" s="19"/>
      <c r="S51" s="19"/>
      <c r="T51" s="19"/>
      <c r="U51" s="19"/>
      <c r="V51" s="19"/>
      <c r="W51" s="19"/>
      <c r="X51" s="19"/>
      <c r="Y51" s="19"/>
      <c r="Z51" s="19"/>
    </row>
    <row r="52" spans="1:26" hidden="1" outlineLevel="1" x14ac:dyDescent="0.2">
      <c r="A52" s="19"/>
      <c r="B52" s="19"/>
      <c r="C52" s="419" t="s">
        <v>247</v>
      </c>
      <c r="D52" s="512" t="s">
        <v>105</v>
      </c>
      <c r="E52" s="458" t="str">
        <f>IF(C52=0,0,revenueunits)</f>
        <v>$millions</v>
      </c>
      <c r="F52" s="20"/>
      <c r="G52" s="22"/>
      <c r="H52" s="22"/>
      <c r="I52" s="20"/>
      <c r="J52" s="363">
        <f>J51*((1+J9)^0.5-1)</f>
        <v>0</v>
      </c>
      <c r="K52" s="363">
        <f>K51*((1+K9)^0.5-1)</f>
        <v>0</v>
      </c>
      <c r="L52" s="363">
        <f>L51*((1+L9)^0.5-1)</f>
        <v>0</v>
      </c>
      <c r="M52" s="363">
        <f>M51*((1+M9)^0.5-1)</f>
        <v>0</v>
      </c>
      <c r="N52" s="363">
        <f>N51*((1+N9)^0.5-1)*cancelfutureyear2</f>
        <v>0</v>
      </c>
      <c r="O52" s="363">
        <f>O51*((1+O9)^0.5-1)*cancelfutureyear3</f>
        <v>0</v>
      </c>
      <c r="P52" s="363">
        <f>P51*((1+P9)^0.5-1)*cancelfutureyear4</f>
        <v>0</v>
      </c>
      <c r="Q52" s="363">
        <f>Q51*((1+Q9)^0.5-1)*cancelfutureyear5</f>
        <v>0</v>
      </c>
      <c r="R52" s="19"/>
      <c r="S52" s="19"/>
      <c r="T52" s="19"/>
      <c r="U52" s="19"/>
      <c r="V52" s="19"/>
      <c r="W52" s="19"/>
      <c r="X52" s="19"/>
      <c r="Y52" s="19"/>
      <c r="Z52" s="19"/>
    </row>
    <row r="53" spans="1:26" hidden="1" outlineLevel="1" x14ac:dyDescent="0.2">
      <c r="A53" s="19"/>
      <c r="B53" s="19"/>
      <c r="C53" s="549" t="s">
        <v>249</v>
      </c>
      <c r="D53" s="512" t="s">
        <v>105</v>
      </c>
      <c r="E53" s="458" t="str">
        <f>IF(C53=0,0,revenueunits)</f>
        <v>$millions</v>
      </c>
      <c r="F53" s="20"/>
      <c r="G53" s="22"/>
      <c r="H53" s="22"/>
      <c r="I53" s="20"/>
      <c r="J53" s="369">
        <f>SUM(J49:J52)</f>
        <v>0</v>
      </c>
      <c r="K53" s="369">
        <f>SUM(K49:K52)</f>
        <v>0</v>
      </c>
      <c r="L53" s="369">
        <f>SUM(L49:L52)</f>
        <v>0</v>
      </c>
      <c r="M53" s="369">
        <f>SUM(M49:M52)</f>
        <v>0</v>
      </c>
      <c r="N53" s="369">
        <f>SUM(N49:N52)*cancelfutureyear2</f>
        <v>0</v>
      </c>
      <c r="O53" s="369">
        <f>SUM(O49:O52)*cancelfutureyear3</f>
        <v>0</v>
      </c>
      <c r="P53" s="369">
        <f>SUM(P49:P52)*cancelfutureyear4</f>
        <v>0</v>
      </c>
      <c r="Q53" s="369">
        <f>SUM(Q49:Q52)*cancelfutureyear5</f>
        <v>0</v>
      </c>
      <c r="R53" s="19"/>
      <c r="S53" s="19"/>
      <c r="T53" s="19"/>
      <c r="U53" s="19"/>
      <c r="V53" s="19"/>
      <c r="W53" s="19"/>
      <c r="X53" s="19"/>
      <c r="Y53" s="19"/>
      <c r="Z53" s="19"/>
    </row>
    <row r="54" spans="1:26" collapsed="1" x14ac:dyDescent="0.2">
      <c r="A54" s="19"/>
      <c r="B54" s="19"/>
      <c r="C54" s="19"/>
      <c r="D54" s="512"/>
      <c r="E54" s="512"/>
      <c r="F54" s="20"/>
      <c r="G54" s="22"/>
      <c r="H54" s="22"/>
      <c r="I54" s="20"/>
      <c r="J54" s="20"/>
      <c r="K54" s="20"/>
      <c r="L54" s="20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2.75" x14ac:dyDescent="0.2">
      <c r="A55" s="11"/>
      <c r="B55" s="12" t="s">
        <v>653</v>
      </c>
      <c r="C55" s="11"/>
      <c r="D55" s="183" t="str">
        <f>D5</f>
        <v>Source</v>
      </c>
      <c r="E55" s="183" t="str">
        <f>E5</f>
        <v>Unit</v>
      </c>
      <c r="F55" s="33"/>
      <c r="G55" s="34"/>
      <c r="H55" s="34"/>
      <c r="I55" s="34"/>
      <c r="J55" s="33" t="str">
        <f>RCPminus3</f>
        <v>2016–17</v>
      </c>
      <c r="K55" s="33" t="str">
        <f>RCPminus2</f>
        <v>2017–18</v>
      </c>
      <c r="L55" s="33" t="str">
        <f>RCPminus1</f>
        <v>2018–19</v>
      </c>
      <c r="M55" s="35" t="str">
        <f>RCP_firstyear</f>
        <v>2019–20</v>
      </c>
      <c r="N55" s="35" t="str">
        <f>RCP_secondyear</f>
        <v>2020–21</v>
      </c>
      <c r="O55" s="35" t="str">
        <f>RCP_thirdyear</f>
        <v>2021–22</v>
      </c>
      <c r="P55" s="35" t="str">
        <f>RCP_fourthyear</f>
        <v>2022–23</v>
      </c>
      <c r="Q55" s="35" t="str">
        <f>RCP_lastyear</f>
        <v>2023–24</v>
      </c>
      <c r="R55" s="14" t="s">
        <v>14</v>
      </c>
      <c r="S55" s="14"/>
      <c r="T55" s="15"/>
      <c r="U55" s="15"/>
      <c r="V55" s="15"/>
      <c r="W55" s="15"/>
      <c r="X55" s="15"/>
      <c r="Y55" s="15"/>
      <c r="Z55" s="15"/>
    </row>
    <row r="56" spans="1:26" hidden="1" outlineLevel="1" x14ac:dyDescent="0.2">
      <c r="A56" s="19"/>
      <c r="B56" s="19"/>
      <c r="C56" s="19"/>
      <c r="D56" s="512"/>
      <c r="E56" s="512"/>
      <c r="F56" s="20"/>
      <c r="G56" s="20"/>
      <c r="H56" s="20"/>
      <c r="I56" s="20"/>
      <c r="J56" s="20"/>
      <c r="K56" s="20"/>
      <c r="L56" s="20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idden="1" outlineLevel="1" x14ac:dyDescent="0.2">
      <c r="A57" s="19"/>
      <c r="B57" s="19"/>
      <c r="C57" s="419" t="s">
        <v>245</v>
      </c>
      <c r="D57" s="550" t="s">
        <v>105</v>
      </c>
      <c r="E57" s="458" t="str">
        <f>IF(C57=0,0,revenueunits)</f>
        <v>$millions</v>
      </c>
      <c r="F57" s="20"/>
      <c r="G57" s="22"/>
      <c r="H57" s="22"/>
      <c r="I57" s="20"/>
      <c r="J57" s="236">
        <f>IF(J55=forecastyear,IF('Rev. summary'!$Q$134=0,Financial!J119,'Rev. summary'!$Q$134),
IF(J55=currentyear,IF(INDEX(Financial!$J$118:$Q$118,1,MATCH(currentyear,Financial!$J$106:$Q$106,0))="",'Rev. summary'!$M$132,INDEX(Financial!$J$118:$Q$118,1,MATCH(currentyear,Financial!$J$106:$Q$106,0))),
INDEX(Actuals!$J$11:$Q$11,1,MATCH(J55,Actuals!$J$5:$Q$5,0))))</f>
        <v>0</v>
      </c>
      <c r="K57" s="363">
        <f>IF(K55=forecastyear,IF('Rev. summary'!$Q$134=0,Financial!K119,'Rev. summary'!$Q$134),
IF(K55=currentyear,IF(INDEX(Financial!$J$118:$Q$118,1,MATCH(currentyear,Financial!$J$106:$Q$106,0))="",'Rev. summary'!$M$132,INDEX(Financial!$J$118:$Q$118,1,MATCH(currentyear,Financial!$J$106:$Q$106,0))),
INDEX(Actuals!$J$11:$Q$11,1,MATCH(K55,Actuals!$J$5:$Q$5,0))))</f>
        <v>0</v>
      </c>
      <c r="L57" s="363">
        <f>IF(L55=forecastyear,IF('Rev. summary'!$Q$134=0,Financial!L119,'Rev. summary'!$Q$134),
IF(L55=currentyear,IF(INDEX(Financial!$J$118:$Q$118,1,MATCH(currentyear,Financial!$J$106:$Q$106,0))="",'Rev. summary'!$M$132,INDEX(Financial!$J$118:$Q$118,1,MATCH(currentyear,Financial!$J$106:$Q$106,0))),
INDEX(Actuals!$J$11:$Q$11,1,MATCH(L55,Actuals!$J$5:$Q$5,0))))</f>
        <v>0</v>
      </c>
      <c r="M57" s="363">
        <f>IF(M55=forecastyear,IF('Rev. summary'!$Q$134=0,Financial!M119,'Rev. summary'!$Q$134),
IF(M55=currentyear,IF(INDEX(Financial!$J$118:$Q$118,1,MATCH(currentyear,Financial!$J$106:$Q$106,0))="",'Rev. summary'!$M$132,INDEX(Financial!$J$118:$Q$118,1,MATCH(currentyear,Financial!$J$106:$Q$106,0))),
INDEX(Actuals!$J$11:$Q$11,1,MATCH(M55,Actuals!$J$5:$Q$5,0))))</f>
        <v>0</v>
      </c>
      <c r="N57" s="363">
        <f>IF(N55=forecastyear,IF('Rev. summary'!$Q$134=0,Financial!N119,'Rev. summary'!$Q$134),
IF(N55=currentyear,IF(INDEX(Financial!$J$118:$Q$118,1,MATCH(currentyear,Financial!$J$106:$Q$106,0))="",'Rev. summary'!$M$132,INDEX(Financial!$J$118:$Q$118,1,MATCH(currentyear,Financial!$J$106:$Q$106,0))),
INDEX(Actuals!$J$11:$Q$11,1,MATCH(N55,Actuals!$J$5:$Q$5,0))))</f>
        <v>0</v>
      </c>
      <c r="O57" s="363">
        <f>IF(O55=forecastyear,IF('Rev. summary'!$Q$134=0,Financial!O119,'Rev. summary'!$Q$134),
IF(O55=currentyear,IF(INDEX(Financial!$J$118:$Q$118,1,MATCH(currentyear,Financial!$J$106:$Q$106,0))="",'Rev. summary'!$M$132,INDEX(Financial!$J$118:$Q$118,1,MATCH(currentyear,Financial!$J$106:$Q$106,0))),
INDEX(Actuals!$J$11:$Q$11,1,MATCH(O55,Actuals!$J$5:$Q$5,0))))</f>
        <v>0</v>
      </c>
      <c r="P57" s="363">
        <f>IF(P55=forecastyear,IF('Rev. summary'!$Q$134=0,Financial!P119,'Rev. summary'!$Q$134),
IF(P55=currentyear,IF(INDEX(Financial!$J$118:$Q$118,1,MATCH(currentyear,Financial!$J$106:$Q$106,0))="",'Rev. summary'!$M$132,INDEX(Financial!$J$118:$Q$118,1,MATCH(currentyear,Financial!$J$106:$Q$106,0))),
INDEX(Actuals!$J$11:$Q$11,1,MATCH(P55,Actuals!$J$5:$Q$5,0))))</f>
        <v>0</v>
      </c>
      <c r="Q57" s="363">
        <f>IF(Q55=forecastyear,IF('Rev. summary'!$Q$134=0,Financial!Q119,'Rev. summary'!$Q$134),
IF(Q55=currentyear,IF(INDEX(Financial!$J$118:$Q$118,1,MATCH(currentyear,Financial!$J$106:$Q$106,0))="",'Rev. summary'!$M$132,INDEX(Financial!$J$118:$Q$118,1,MATCH(currentyear,Financial!$J$106:$Q$106,0))),
INDEX(Actuals!$J$11:$Q$11,1,MATCH(Q55,Actuals!$J$5:$Q$5,0))))</f>
        <v>0</v>
      </c>
      <c r="R57" s="19"/>
      <c r="S57" s="19"/>
      <c r="T57" s="19"/>
      <c r="U57" s="19"/>
      <c r="V57" s="19"/>
      <c r="W57" s="19"/>
      <c r="X57" s="19"/>
      <c r="Y57" s="19"/>
      <c r="Z57" s="19"/>
    </row>
    <row r="58" spans="1:26" hidden="1" outlineLevel="1" x14ac:dyDescent="0.2">
      <c r="A58" s="19"/>
      <c r="B58" s="19"/>
      <c r="C58" s="419" t="s">
        <v>636</v>
      </c>
      <c r="D58" s="550" t="s">
        <v>251</v>
      </c>
      <c r="E58" s="458" t="str">
        <f>IF(C58=0,0,revenueunits)</f>
        <v>$millions</v>
      </c>
      <c r="F58" s="20"/>
      <c r="G58" s="22"/>
      <c r="H58" s="22"/>
      <c r="I58" s="20"/>
      <c r="J58" s="363">
        <f>Financial!J117</f>
        <v>0</v>
      </c>
      <c r="K58" s="363">
        <f>Financial!K117</f>
        <v>0</v>
      </c>
      <c r="L58" s="363">
        <f>Financial!L117</f>
        <v>0</v>
      </c>
      <c r="M58" s="363">
        <f>TAR!M42</f>
        <v>0</v>
      </c>
      <c r="N58" s="363">
        <f>TAR!N42*cancelfutureyear2</f>
        <v>0</v>
      </c>
      <c r="O58" s="363">
        <f>TAR!O42*cancelfutureyear3</f>
        <v>0</v>
      </c>
      <c r="P58" s="363">
        <f>TAR!P42*cancelfutureyear4</f>
        <v>0</v>
      </c>
      <c r="Q58" s="363">
        <f>TAR!Q42*cancelfutureyear5</f>
        <v>0</v>
      </c>
      <c r="R58" s="19"/>
      <c r="S58" s="19"/>
      <c r="T58" s="19"/>
      <c r="U58" s="19"/>
      <c r="V58" s="19"/>
      <c r="W58" s="19"/>
      <c r="X58" s="19"/>
      <c r="Y58" s="19"/>
      <c r="Z58" s="19"/>
    </row>
    <row r="59" spans="1:26" hidden="1" outlineLevel="1" x14ac:dyDescent="0.2">
      <c r="A59" s="19"/>
      <c r="B59" s="19"/>
      <c r="C59" s="419" t="s">
        <v>644</v>
      </c>
      <c r="D59" s="550" t="s">
        <v>250</v>
      </c>
      <c r="E59" s="458" t="str">
        <f>IF(C59=0,0,revenueunits)</f>
        <v>$millions</v>
      </c>
      <c r="F59" s="20"/>
      <c r="G59" s="22"/>
      <c r="H59" s="22"/>
      <c r="I59" s="20"/>
      <c r="J59" s="363">
        <f>Financial!J114</f>
        <v>0</v>
      </c>
      <c r="K59" s="363">
        <f>Financial!K114</f>
        <v>0</v>
      </c>
      <c r="L59" s="363">
        <f>Financial!L114</f>
        <v>0</v>
      </c>
      <c r="M59" s="363">
        <f>Financial!M114</f>
        <v>0</v>
      </c>
      <c r="N59" s="363">
        <f>Financial!N114*cancelfutureyear2</f>
        <v>0</v>
      </c>
      <c r="O59" s="363">
        <f>Financial!O114*cancelfutureyear3</f>
        <v>0</v>
      </c>
      <c r="P59" s="363">
        <f>Financial!P114*cancelfutureyear4</f>
        <v>0</v>
      </c>
      <c r="Q59" s="363">
        <f>Financial!Q114*cancelfutureyear5</f>
        <v>0</v>
      </c>
      <c r="R59" s="19"/>
      <c r="S59" s="19"/>
      <c r="T59" s="19"/>
      <c r="U59" s="19"/>
      <c r="V59" s="19"/>
      <c r="W59" s="19"/>
      <c r="X59" s="19"/>
      <c r="Y59" s="19"/>
      <c r="Z59" s="19"/>
    </row>
    <row r="60" spans="1:26" hidden="1" outlineLevel="1" x14ac:dyDescent="0.2">
      <c r="A60" s="19"/>
      <c r="B60" s="19"/>
      <c r="C60" s="419" t="s">
        <v>143</v>
      </c>
      <c r="D60" s="550" t="s">
        <v>250</v>
      </c>
      <c r="E60" s="458" t="str">
        <f>IF(C60=0,0,revenueunits)</f>
        <v>$millions</v>
      </c>
      <c r="F60" s="20"/>
      <c r="G60" s="22"/>
      <c r="H60" s="22"/>
      <c r="I60" s="20"/>
      <c r="J60" s="363">
        <f>Financial!J116</f>
        <v>0</v>
      </c>
      <c r="K60" s="363">
        <f>Financial!K116</f>
        <v>0</v>
      </c>
      <c r="L60" s="363">
        <f>Financial!L116</f>
        <v>0</v>
      </c>
      <c r="M60" s="363">
        <f>Financial!M116</f>
        <v>0</v>
      </c>
      <c r="N60" s="363">
        <f>Financial!N116*cancelfutureyear2</f>
        <v>0</v>
      </c>
      <c r="O60" s="363">
        <f>Financial!O116*cancelfutureyear3</f>
        <v>0</v>
      </c>
      <c r="P60" s="363">
        <f>Financial!P116*cancelfutureyear4</f>
        <v>0</v>
      </c>
      <c r="Q60" s="363">
        <f>Financial!Q116*cancelfutureyear5</f>
        <v>0</v>
      </c>
      <c r="R60" s="19"/>
      <c r="S60" s="19"/>
      <c r="T60" s="19"/>
      <c r="U60" s="19"/>
      <c r="V60" s="19"/>
      <c r="W60" s="19"/>
      <c r="X60" s="19"/>
      <c r="Y60" s="19"/>
      <c r="Z60" s="19"/>
    </row>
    <row r="61" spans="1:26" hidden="1" outlineLevel="1" x14ac:dyDescent="0.2">
      <c r="A61" s="19"/>
      <c r="B61" s="19"/>
      <c r="C61" s="549" t="s">
        <v>665</v>
      </c>
      <c r="D61" s="512" t="s">
        <v>105</v>
      </c>
      <c r="E61" s="458" t="str">
        <f>IF(C61=0,0,revenueunits)</f>
        <v>$millions</v>
      </c>
      <c r="F61" s="20"/>
      <c r="G61" s="22"/>
      <c r="H61" s="22"/>
      <c r="I61" s="20"/>
      <c r="J61" s="369">
        <f>J57-(J58+J59)+J60</f>
        <v>0</v>
      </c>
      <c r="K61" s="369">
        <f>K57-(K58+K59)+K60</f>
        <v>0</v>
      </c>
      <c r="L61" s="369">
        <f>L57-(L58+L59)+L60</f>
        <v>0</v>
      </c>
      <c r="M61" s="369">
        <f>M57-(M58+M59)+M60</f>
        <v>0</v>
      </c>
      <c r="N61" s="369">
        <f>(N57-(N58+N59)+N60)*cancelfutureyear2</f>
        <v>0</v>
      </c>
      <c r="O61" s="369">
        <f>(O57-(O58+O59)+O60)*cancelfutureyear3</f>
        <v>0</v>
      </c>
      <c r="P61" s="369">
        <f>(P57-(P58+P59)+P60)*cancelfutureyear4</f>
        <v>0</v>
      </c>
      <c r="Q61" s="369">
        <f>(Q57-(Q58+Q59)+Q60)*cancelfutureyear5</f>
        <v>0</v>
      </c>
      <c r="R61" s="19"/>
      <c r="S61" s="19"/>
      <c r="T61" s="19"/>
      <c r="U61" s="19"/>
      <c r="V61" s="19"/>
      <c r="W61" s="19"/>
      <c r="X61" s="19"/>
      <c r="Y61" s="19"/>
      <c r="Z61" s="19"/>
    </row>
    <row r="62" spans="1:26" hidden="1" outlineLevel="1" x14ac:dyDescent="0.2">
      <c r="A62" s="19"/>
      <c r="B62" s="19"/>
      <c r="C62" s="548"/>
      <c r="D62" s="512"/>
      <c r="E62" s="512"/>
      <c r="F62" s="20"/>
      <c r="G62" s="22"/>
      <c r="H62" s="22"/>
      <c r="I62" s="20"/>
      <c r="J62" s="242"/>
      <c r="K62" s="242"/>
      <c r="L62" s="242"/>
      <c r="M62" s="307"/>
      <c r="N62" s="307"/>
      <c r="O62" s="307"/>
      <c r="P62" s="307"/>
      <c r="Q62" s="307"/>
      <c r="R62" s="19"/>
      <c r="S62" s="19"/>
      <c r="T62" s="19"/>
      <c r="U62" s="19"/>
      <c r="V62" s="19"/>
      <c r="W62" s="19"/>
      <c r="X62" s="19"/>
      <c r="Y62" s="19"/>
      <c r="Z62" s="19"/>
    </row>
    <row r="63" spans="1:26" hidden="1" outlineLevel="1" x14ac:dyDescent="0.2">
      <c r="A63" s="19"/>
      <c r="B63" s="19"/>
      <c r="C63" s="419" t="s">
        <v>244</v>
      </c>
      <c r="D63" s="550" t="s">
        <v>250</v>
      </c>
      <c r="E63" s="458" t="str">
        <f>IF(C63=0,0,revenueunits)</f>
        <v>$millions</v>
      </c>
      <c r="F63" s="20"/>
      <c r="G63" s="22"/>
      <c r="H63" s="22"/>
      <c r="I63" s="20"/>
      <c r="J63" s="363">
        <f>Financial!J115</f>
        <v>0</v>
      </c>
      <c r="K63" s="363">
        <f>IF(OR(J67=0,J67=""),Financial!K115,J67)</f>
        <v>0</v>
      </c>
      <c r="L63" s="363">
        <f>K67</f>
        <v>0</v>
      </c>
      <c r="M63" s="363">
        <f>L67</f>
        <v>0</v>
      </c>
      <c r="N63" s="363">
        <f>M67*cancelfutureyear2</f>
        <v>0</v>
      </c>
      <c r="O63" s="363">
        <f>N67*cancelfutureyear3</f>
        <v>0</v>
      </c>
      <c r="P63" s="363">
        <f>O67*cancelfutureyear4</f>
        <v>0</v>
      </c>
      <c r="Q63" s="363">
        <f>P67*cancelfutureyear5</f>
        <v>0</v>
      </c>
      <c r="R63" s="19"/>
      <c r="S63" s="19"/>
      <c r="T63" s="19"/>
      <c r="U63" s="19"/>
      <c r="V63" s="19"/>
      <c r="W63" s="19"/>
      <c r="X63" s="19"/>
      <c r="Y63" s="19"/>
      <c r="Z63" s="19"/>
    </row>
    <row r="64" spans="1:26" hidden="1" outlineLevel="1" x14ac:dyDescent="0.2">
      <c r="A64" s="19"/>
      <c r="B64" s="19"/>
      <c r="C64" s="419" t="s">
        <v>246</v>
      </c>
      <c r="D64" s="512" t="s">
        <v>105</v>
      </c>
      <c r="E64" s="458" t="str">
        <f>IF(C64=0,0,revenueunits)</f>
        <v>$millions</v>
      </c>
      <c r="F64" s="20"/>
      <c r="G64" s="22"/>
      <c r="H64" s="22"/>
      <c r="I64" s="20"/>
      <c r="J64" s="363">
        <f>J63*J9</f>
        <v>0</v>
      </c>
      <c r="K64" s="363">
        <f>K63*K9</f>
        <v>0</v>
      </c>
      <c r="L64" s="363">
        <f>L63*L9</f>
        <v>0</v>
      </c>
      <c r="M64" s="363">
        <f>M63*M9</f>
        <v>0</v>
      </c>
      <c r="N64" s="363">
        <f>N63*N9*cancelfutureyear2</f>
        <v>0</v>
      </c>
      <c r="O64" s="363">
        <f>O63*O9*cancelfutureyear3</f>
        <v>0</v>
      </c>
      <c r="P64" s="363">
        <f>P63*P9*cancelfutureyear4</f>
        <v>0</v>
      </c>
      <c r="Q64" s="363">
        <f>Q63*Q9*cancelfutureyear5</f>
        <v>0</v>
      </c>
      <c r="R64" s="19"/>
      <c r="S64" s="19"/>
      <c r="T64" s="19"/>
      <c r="U64" s="19"/>
      <c r="V64" s="19"/>
      <c r="W64" s="19"/>
      <c r="X64" s="19"/>
      <c r="Y64" s="19"/>
      <c r="Z64" s="19"/>
    </row>
    <row r="65" spans="1:26" hidden="1" outlineLevel="1" x14ac:dyDescent="0.2">
      <c r="A65" s="19"/>
      <c r="B65" s="19"/>
      <c r="C65" s="419" t="s">
        <v>645</v>
      </c>
      <c r="D65" s="512" t="str">
        <f>D61</f>
        <v>Calculation</v>
      </c>
      <c r="E65" s="458" t="str">
        <f>IF(C65=0,0,revenueunits)</f>
        <v>$millions</v>
      </c>
      <c r="F65" s="20"/>
      <c r="G65" s="22"/>
      <c r="H65" s="22"/>
      <c r="I65" s="20"/>
      <c r="J65" s="363">
        <f>J59+J61</f>
        <v>0</v>
      </c>
      <c r="K65" s="363">
        <f>K59+K61</f>
        <v>0</v>
      </c>
      <c r="L65" s="363">
        <f>L59+L61</f>
        <v>0</v>
      </c>
      <c r="M65" s="363">
        <f>M59+M61</f>
        <v>0</v>
      </c>
      <c r="N65" s="363">
        <f>(N59+N61)*cancelfutureyear2</f>
        <v>0</v>
      </c>
      <c r="O65" s="363">
        <f>(O59+O61)*cancelfutureyear3</f>
        <v>0</v>
      </c>
      <c r="P65" s="363">
        <f>(P59+P61)*cancelfutureyear4</f>
        <v>0</v>
      </c>
      <c r="Q65" s="363">
        <f>(Q59+Q61)*cancelfutureyear5</f>
        <v>0</v>
      </c>
      <c r="R65" s="19"/>
      <c r="S65" s="19"/>
      <c r="T65" s="19"/>
      <c r="U65" s="19"/>
      <c r="V65" s="19"/>
      <c r="W65" s="19"/>
      <c r="X65" s="19"/>
      <c r="Y65" s="19"/>
      <c r="Z65" s="19"/>
    </row>
    <row r="66" spans="1:26" hidden="1" outlineLevel="1" x14ac:dyDescent="0.2">
      <c r="A66" s="19"/>
      <c r="B66" s="19"/>
      <c r="C66" s="419" t="s">
        <v>247</v>
      </c>
      <c r="D66" s="512" t="s">
        <v>105</v>
      </c>
      <c r="E66" s="458" t="str">
        <f>IF(C66=0,0,revenueunits)</f>
        <v>$millions</v>
      </c>
      <c r="F66" s="20"/>
      <c r="G66" s="22"/>
      <c r="H66" s="22"/>
      <c r="I66" s="20"/>
      <c r="J66" s="363">
        <f>J65*((1+J9)^0.5-1)</f>
        <v>0</v>
      </c>
      <c r="K66" s="363">
        <f>K65*((1+K9)^0.5-1)</f>
        <v>0</v>
      </c>
      <c r="L66" s="363">
        <f>L65*((1+L9)^0.5-1)</f>
        <v>0</v>
      </c>
      <c r="M66" s="363">
        <f>M65*((1+M9)^0.5-1)</f>
        <v>0</v>
      </c>
      <c r="N66" s="363">
        <f>N65*((1+N9)^0.5-1)*cancelfutureyear2</f>
        <v>0</v>
      </c>
      <c r="O66" s="363">
        <f>O65*((1+O9)^0.5-1)*cancelfutureyear3</f>
        <v>0</v>
      </c>
      <c r="P66" s="363">
        <f>P65*((1+P9)^0.5-1)*cancelfutureyear4</f>
        <v>0</v>
      </c>
      <c r="Q66" s="363">
        <f>Q65*((1+Q9)^0.5-1)*cancelfutureyear5</f>
        <v>0</v>
      </c>
      <c r="R66" s="19"/>
      <c r="S66" s="19"/>
      <c r="T66" s="19"/>
      <c r="U66" s="19"/>
      <c r="V66" s="19"/>
      <c r="W66" s="19"/>
      <c r="X66" s="19"/>
      <c r="Y66" s="19"/>
      <c r="Z66" s="19"/>
    </row>
    <row r="67" spans="1:26" hidden="1" outlineLevel="1" x14ac:dyDescent="0.2">
      <c r="A67" s="19"/>
      <c r="B67" s="19"/>
      <c r="C67" s="549" t="s">
        <v>249</v>
      </c>
      <c r="D67" s="512" t="s">
        <v>105</v>
      </c>
      <c r="E67" s="458" t="str">
        <f>IF(C67=0,0,revenueunits)</f>
        <v>$millions</v>
      </c>
      <c r="F67" s="20"/>
      <c r="G67" s="22"/>
      <c r="H67" s="22"/>
      <c r="I67" s="20"/>
      <c r="J67" s="369">
        <f>SUM(J63:J66)</f>
        <v>0</v>
      </c>
      <c r="K67" s="369">
        <f>SUM(K63:K66)</f>
        <v>0</v>
      </c>
      <c r="L67" s="369">
        <f>SUM(L63:L66)</f>
        <v>0</v>
      </c>
      <c r="M67" s="369">
        <f>SUM(M63:M66)</f>
        <v>0</v>
      </c>
      <c r="N67" s="369">
        <f>SUM(N63:N66)*cancelfutureyear2</f>
        <v>0</v>
      </c>
      <c r="O67" s="369">
        <f>SUM(O63:O66)*cancelfutureyear3</f>
        <v>0</v>
      </c>
      <c r="P67" s="369">
        <f>SUM(P63:P66)*cancelfutureyear4</f>
        <v>0</v>
      </c>
      <c r="Q67" s="369">
        <f>SUM(Q63:Q66)*cancelfutureyear5</f>
        <v>0</v>
      </c>
      <c r="R67" s="19"/>
      <c r="S67" s="19"/>
      <c r="T67" s="19"/>
      <c r="U67" s="19"/>
      <c r="V67" s="19"/>
      <c r="W67" s="19"/>
      <c r="X67" s="19"/>
      <c r="Y67" s="19"/>
      <c r="Z67" s="19"/>
    </row>
    <row r="68" spans="1:26" collapsed="1" x14ac:dyDescent="0.2">
      <c r="A68" s="19"/>
      <c r="B68" s="19"/>
      <c r="C68" s="19"/>
      <c r="D68" s="512"/>
      <c r="E68" s="512"/>
      <c r="F68" s="20"/>
      <c r="G68" s="22"/>
      <c r="H68" s="22"/>
      <c r="I68" s="20"/>
      <c r="J68" s="20"/>
      <c r="K68" s="20"/>
      <c r="L68" s="20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2.75" x14ac:dyDescent="0.2">
      <c r="A69" s="11"/>
      <c r="B69" s="12" t="s">
        <v>654</v>
      </c>
      <c r="C69" s="11"/>
      <c r="D69" s="183" t="str">
        <f>D5</f>
        <v>Source</v>
      </c>
      <c r="E69" s="183" t="str">
        <f>E5</f>
        <v>Unit</v>
      </c>
      <c r="F69" s="33"/>
      <c r="G69" s="34"/>
      <c r="H69" s="34"/>
      <c r="I69" s="34"/>
      <c r="J69" s="33" t="str">
        <f>RCPminus3</f>
        <v>2016–17</v>
      </c>
      <c r="K69" s="33" t="str">
        <f>RCPminus2</f>
        <v>2017–18</v>
      </c>
      <c r="L69" s="33" t="str">
        <f>RCPminus1</f>
        <v>2018–19</v>
      </c>
      <c r="M69" s="35" t="str">
        <f>RCP_firstyear</f>
        <v>2019–20</v>
      </c>
      <c r="N69" s="35" t="str">
        <f>RCP_secondyear</f>
        <v>2020–21</v>
      </c>
      <c r="O69" s="35" t="str">
        <f>RCP_thirdyear</f>
        <v>2021–22</v>
      </c>
      <c r="P69" s="35" t="str">
        <f>RCP_fourthyear</f>
        <v>2022–23</v>
      </c>
      <c r="Q69" s="35" t="str">
        <f>RCP_lastyear</f>
        <v>2023–24</v>
      </c>
      <c r="R69" s="14" t="s">
        <v>14</v>
      </c>
      <c r="S69" s="14"/>
      <c r="T69" s="15"/>
      <c r="U69" s="15"/>
      <c r="V69" s="15"/>
      <c r="W69" s="15"/>
      <c r="X69" s="15"/>
      <c r="Y69" s="15"/>
      <c r="Z69" s="15"/>
    </row>
    <row r="70" spans="1:26" outlineLevel="1" x14ac:dyDescent="0.2">
      <c r="A70" s="19"/>
      <c r="B70" s="19"/>
      <c r="C70" s="19"/>
      <c r="D70" s="512"/>
      <c r="E70" s="512"/>
      <c r="F70" s="20"/>
      <c r="G70" s="20"/>
      <c r="H70" s="20"/>
      <c r="I70" s="20"/>
      <c r="J70" s="20"/>
      <c r="K70" s="20"/>
      <c r="L70" s="20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outlineLevel="1" x14ac:dyDescent="0.2">
      <c r="A71" s="19"/>
      <c r="B71" s="19"/>
      <c r="C71" s="419" t="s">
        <v>569</v>
      </c>
      <c r="D71" s="512" t="s">
        <v>105</v>
      </c>
      <c r="E71" s="458" t="str">
        <f t="shared" ref="E71:E76" si="2">IF(C71=0,0,revenueunits)</f>
        <v>$millions</v>
      </c>
      <c r="F71" s="20"/>
      <c r="G71" s="22"/>
      <c r="H71" s="22"/>
      <c r="I71" s="20"/>
      <c r="J71" s="236">
        <f>SUM(J13,J28,J43,J57)</f>
        <v>396.19463754000009</v>
      </c>
      <c r="K71" s="363">
        <f t="shared" ref="K71:Q71" si="3">SUM(K13,K28,K43,K57)</f>
        <v>338.58909118999998</v>
      </c>
      <c r="L71" s="363">
        <f t="shared" si="3"/>
        <v>324.03210204496077</v>
      </c>
      <c r="M71" s="363">
        <f t="shared" si="3"/>
        <v>322.90019413000005</v>
      </c>
      <c r="N71" s="363">
        <f t="shared" si="3"/>
        <v>313.72153703186001</v>
      </c>
      <c r="O71" s="363">
        <f t="shared" si="3"/>
        <v>322.75826522811212</v>
      </c>
      <c r="P71" s="363">
        <f t="shared" si="3"/>
        <v>328.04020102427796</v>
      </c>
      <c r="Q71" s="363">
        <f t="shared" si="3"/>
        <v>0</v>
      </c>
      <c r="R71" s="19"/>
      <c r="S71" s="19"/>
      <c r="T71" s="19"/>
      <c r="U71" s="19"/>
      <c r="V71" s="19"/>
      <c r="W71" s="19"/>
      <c r="X71" s="19"/>
      <c r="Y71" s="19"/>
      <c r="Z71" s="19"/>
    </row>
    <row r="72" spans="1:26" outlineLevel="1" x14ac:dyDescent="0.2">
      <c r="A72" s="19"/>
      <c r="B72" s="19"/>
      <c r="C72" s="419" t="s">
        <v>576</v>
      </c>
      <c r="D72" s="512" t="s">
        <v>105</v>
      </c>
      <c r="E72" s="458" t="str">
        <f t="shared" si="2"/>
        <v>$millions</v>
      </c>
      <c r="F72" s="20"/>
      <c r="G72" s="22"/>
      <c r="H72" s="22"/>
      <c r="I72" s="20"/>
      <c r="J72" s="236">
        <f>J29</f>
        <v>0</v>
      </c>
      <c r="K72" s="363">
        <f t="shared" ref="K72:Q72" si="4">K29</f>
        <v>0</v>
      </c>
      <c r="L72" s="363">
        <f t="shared" si="4"/>
        <v>0</v>
      </c>
      <c r="M72" s="363">
        <f t="shared" si="4"/>
        <v>0</v>
      </c>
      <c r="N72" s="363">
        <f t="shared" si="4"/>
        <v>0</v>
      </c>
      <c r="O72" s="363">
        <f t="shared" si="4"/>
        <v>0</v>
      </c>
      <c r="P72" s="363">
        <f t="shared" si="4"/>
        <v>0</v>
      </c>
      <c r="Q72" s="363">
        <f t="shared" si="4"/>
        <v>0</v>
      </c>
      <c r="R72" s="19"/>
      <c r="S72" s="19"/>
      <c r="T72" s="19"/>
      <c r="U72" s="19"/>
      <c r="V72" s="19"/>
      <c r="W72" s="19"/>
      <c r="X72" s="19"/>
      <c r="Y72" s="19"/>
      <c r="Z72" s="19"/>
    </row>
    <row r="73" spans="1:26" outlineLevel="1" x14ac:dyDescent="0.2">
      <c r="A73" s="19"/>
      <c r="B73" s="19"/>
      <c r="C73" s="419" t="s">
        <v>230</v>
      </c>
      <c r="D73" s="512" t="s">
        <v>105</v>
      </c>
      <c r="E73" s="458" t="str">
        <f t="shared" si="2"/>
        <v>$millions</v>
      </c>
      <c r="F73" s="20"/>
      <c r="G73" s="22"/>
      <c r="H73" s="22"/>
      <c r="I73" s="20"/>
      <c r="J73" s="363">
        <f t="shared" ref="J73:Q74" si="5">SUM(J14,J30,J44,J58)</f>
        <v>389.61712546994806</v>
      </c>
      <c r="K73" s="363">
        <f t="shared" si="5"/>
        <v>324.23923373765592</v>
      </c>
      <c r="L73" s="363">
        <f t="shared" si="5"/>
        <v>338.51083301</v>
      </c>
      <c r="M73" s="363">
        <f t="shared" si="5"/>
        <v>320.04602282668225</v>
      </c>
      <c r="N73" s="363">
        <f t="shared" si="5"/>
        <v>322.07214335340745</v>
      </c>
      <c r="O73" s="363">
        <f t="shared" si="5"/>
        <v>324.25367674571407</v>
      </c>
      <c r="P73" s="363">
        <f t="shared" si="5"/>
        <v>338.33306683326191</v>
      </c>
      <c r="Q73" s="363">
        <f t="shared" si="5"/>
        <v>0</v>
      </c>
      <c r="R73" s="19"/>
      <c r="S73" s="19"/>
      <c r="T73" s="19"/>
      <c r="U73" s="19"/>
      <c r="V73" s="19"/>
      <c r="W73" s="19"/>
      <c r="X73" s="19"/>
      <c r="Y73" s="19"/>
      <c r="Z73" s="19"/>
    </row>
    <row r="74" spans="1:26" outlineLevel="1" x14ac:dyDescent="0.2">
      <c r="A74" s="19"/>
      <c r="B74" s="19"/>
      <c r="C74" s="419" t="s">
        <v>666</v>
      </c>
      <c r="D74" s="550" t="s">
        <v>105</v>
      </c>
      <c r="E74" s="458" t="str">
        <f t="shared" si="2"/>
        <v>$millions</v>
      </c>
      <c r="F74" s="20"/>
      <c r="G74" s="22"/>
      <c r="H74" s="22"/>
      <c r="I74" s="20"/>
      <c r="J74" s="363">
        <f t="shared" si="5"/>
        <v>0</v>
      </c>
      <c r="K74" s="363">
        <f t="shared" si="5"/>
        <v>-6.9405210102422528</v>
      </c>
      <c r="L74" s="363">
        <f t="shared" si="5"/>
        <v>-8.9039255233451158</v>
      </c>
      <c r="M74" s="363">
        <f t="shared" si="5"/>
        <v>-9.1360598235662476</v>
      </c>
      <c r="N74" s="363">
        <f t="shared" si="5"/>
        <v>-16.152025855302874</v>
      </c>
      <c r="O74" s="363">
        <f t="shared" si="5"/>
        <v>-9.4452792736235729</v>
      </c>
      <c r="P74" s="363">
        <f t="shared" si="5"/>
        <v>-8.9359208406540951</v>
      </c>
      <c r="Q74" s="363">
        <f t="shared" si="5"/>
        <v>0</v>
      </c>
      <c r="R74" s="19"/>
      <c r="S74" s="19"/>
      <c r="T74" s="19"/>
      <c r="U74" s="19"/>
      <c r="V74" s="19"/>
      <c r="W74" s="19"/>
      <c r="X74" s="19"/>
      <c r="Y74" s="19"/>
      <c r="Z74" s="19"/>
    </row>
    <row r="75" spans="1:26" outlineLevel="1" x14ac:dyDescent="0.2">
      <c r="A75" s="19"/>
      <c r="B75" s="19"/>
      <c r="C75" s="419" t="s">
        <v>570</v>
      </c>
      <c r="D75" s="512" t="s">
        <v>105</v>
      </c>
      <c r="E75" s="458" t="str">
        <f t="shared" si="2"/>
        <v>$millions</v>
      </c>
      <c r="F75" s="20"/>
      <c r="G75" s="22"/>
      <c r="H75" s="22"/>
      <c r="I75" s="20"/>
      <c r="J75" s="363">
        <f t="shared" ref="J75:Q75" si="6">SUM(J16,J32,J46,J60)</f>
        <v>0</v>
      </c>
      <c r="K75" s="363">
        <f t="shared" si="6"/>
        <v>0</v>
      </c>
      <c r="L75" s="363">
        <f t="shared" si="6"/>
        <v>1.2897063592200002</v>
      </c>
      <c r="M75" s="363">
        <f t="shared" si="6"/>
        <v>1.25574149373</v>
      </c>
      <c r="N75" s="363">
        <f t="shared" si="6"/>
        <v>0.85626734820000028</v>
      </c>
      <c r="O75" s="363">
        <f t="shared" si="6"/>
        <v>0.76264732696716964</v>
      </c>
      <c r="P75" s="363">
        <f t="shared" si="6"/>
        <v>0.55696858788760018</v>
      </c>
      <c r="Q75" s="363">
        <f t="shared" si="6"/>
        <v>0</v>
      </c>
      <c r="R75" s="19"/>
      <c r="S75" s="19"/>
      <c r="T75" s="19"/>
      <c r="U75" s="19"/>
      <c r="V75" s="19"/>
      <c r="W75" s="19"/>
      <c r="X75" s="19"/>
      <c r="Y75" s="19"/>
      <c r="Z75" s="19"/>
    </row>
    <row r="76" spans="1:26" outlineLevel="1" x14ac:dyDescent="0.2">
      <c r="A76" s="19"/>
      <c r="B76" s="19"/>
      <c r="C76" s="549" t="s">
        <v>667</v>
      </c>
      <c r="D76" s="512" t="s">
        <v>105</v>
      </c>
      <c r="E76" s="458" t="str">
        <f t="shared" si="2"/>
        <v>$millions</v>
      </c>
      <c r="F76" s="20"/>
      <c r="G76" s="22"/>
      <c r="H76" s="22"/>
      <c r="I76" s="20"/>
      <c r="J76" s="369">
        <f t="shared" ref="J76:Q76" si="7">SUM(J17,J33,J47,J61)</f>
        <v>6.5775120700519949</v>
      </c>
      <c r="K76" s="369">
        <f t="shared" si="7"/>
        <v>21.290378462586318</v>
      </c>
      <c r="L76" s="369">
        <f t="shared" si="7"/>
        <v>-4.2850990824740958</v>
      </c>
      <c r="M76" s="369">
        <f t="shared" si="7"/>
        <v>13.245972620613985</v>
      </c>
      <c r="N76" s="369">
        <f t="shared" si="7"/>
        <v>8.6576868819554065</v>
      </c>
      <c r="O76" s="369">
        <f t="shared" si="7"/>
        <v>8.7125150829888156</v>
      </c>
      <c r="P76" s="369">
        <f t="shared" si="7"/>
        <v>-0.79997638044222719</v>
      </c>
      <c r="Q76" s="369">
        <f t="shared" si="7"/>
        <v>0</v>
      </c>
      <c r="R76" s="19"/>
      <c r="S76" s="19"/>
      <c r="T76" s="19"/>
      <c r="U76" s="19"/>
      <c r="V76" s="19"/>
      <c r="W76" s="19"/>
      <c r="X76" s="19"/>
      <c r="Y76" s="19"/>
      <c r="Z76" s="19"/>
    </row>
    <row r="77" spans="1:26" outlineLevel="1" x14ac:dyDescent="0.2">
      <c r="A77" s="19"/>
      <c r="B77" s="19"/>
      <c r="C77" s="548"/>
      <c r="D77" s="512"/>
      <c r="E77" s="512"/>
      <c r="F77" s="20"/>
      <c r="G77" s="22"/>
      <c r="H77" s="22"/>
      <c r="I77" s="20"/>
      <c r="J77" s="242"/>
      <c r="K77" s="242"/>
      <c r="L77" s="242"/>
      <c r="M77" s="307"/>
      <c r="N77" s="307"/>
      <c r="O77" s="307"/>
      <c r="P77" s="307"/>
      <c r="Q77" s="307"/>
      <c r="R77" s="19"/>
      <c r="S77" s="19"/>
      <c r="T77" s="19"/>
      <c r="U77" s="19"/>
      <c r="V77" s="19"/>
      <c r="W77" s="19"/>
      <c r="X77" s="19"/>
      <c r="Y77" s="19"/>
      <c r="Z77" s="19"/>
    </row>
    <row r="78" spans="1:26" outlineLevel="1" x14ac:dyDescent="0.2">
      <c r="A78" s="19"/>
      <c r="B78" s="19"/>
      <c r="C78" s="419" t="s">
        <v>571</v>
      </c>
      <c r="D78" s="512" t="s">
        <v>105</v>
      </c>
      <c r="E78" s="458" t="str">
        <f t="shared" ref="E78:E83" si="8">IF(C78=0,0,revenueunits)</f>
        <v>$millions</v>
      </c>
      <c r="F78" s="20"/>
      <c r="G78" s="22"/>
      <c r="H78" s="22"/>
      <c r="I78" s="20"/>
      <c r="J78" s="236">
        <f>SUM(J19,J35,J49,J63)</f>
        <v>9.7400779878166244</v>
      </c>
      <c r="K78" s="363">
        <f t="shared" ref="K78:Q78" si="9">SUM(K19,K35,K49,K63)</f>
        <v>17.390962664618165</v>
      </c>
      <c r="L78" s="363">
        <f t="shared" si="9"/>
        <v>32.96716033308924</v>
      </c>
      <c r="M78" s="363">
        <f t="shared" si="9"/>
        <v>11.324942991980034</v>
      </c>
      <c r="N78" s="363">
        <f t="shared" si="9"/>
        <v>16.052683304025017</v>
      </c>
      <c r="O78" s="363">
        <f t="shared" si="9"/>
        <v>9.1176002474789222</v>
      </c>
      <c r="P78" s="363">
        <f t="shared" si="9"/>
        <v>8.6793124465140004</v>
      </c>
      <c r="Q78" s="363">
        <f t="shared" si="9"/>
        <v>0</v>
      </c>
      <c r="R78" s="19"/>
      <c r="S78" s="19"/>
      <c r="T78" s="19"/>
      <c r="U78" s="19"/>
      <c r="V78" s="19"/>
      <c r="W78" s="19"/>
      <c r="X78" s="19"/>
      <c r="Y78" s="19"/>
      <c r="Z78" s="19"/>
    </row>
    <row r="79" spans="1:26" outlineLevel="1" x14ac:dyDescent="0.2">
      <c r="A79" s="19"/>
      <c r="B79" s="19"/>
      <c r="C79" s="419" t="s">
        <v>572</v>
      </c>
      <c r="D79" s="512" t="s">
        <v>105</v>
      </c>
      <c r="E79" s="458" t="str">
        <f t="shared" si="8"/>
        <v>$millions</v>
      </c>
      <c r="F79" s="20"/>
      <c r="G79" s="22"/>
      <c r="H79" s="22"/>
      <c r="I79" s="20"/>
      <c r="J79" s="363">
        <f>SUM(J20,J36,J50,J64)</f>
        <v>0.80647845739121415</v>
      </c>
      <c r="K79" s="363">
        <f t="shared" ref="K79:Q79" si="10">SUM(K20,K36,K50,K64)</f>
        <v>0.87127437699897969</v>
      </c>
      <c r="L79" s="363">
        <f t="shared" si="10"/>
        <v>1.7886479799541299</v>
      </c>
      <c r="M79" s="363">
        <f t="shared" si="10"/>
        <v>0.52384773810344698</v>
      </c>
      <c r="N79" s="363">
        <f t="shared" si="10"/>
        <v>0.72710375505058633</v>
      </c>
      <c r="O79" s="363">
        <f t="shared" si="10"/>
        <v>0.30669885651423195</v>
      </c>
      <c r="P79" s="363">
        <f t="shared" si="10"/>
        <v>0.52080354913813887</v>
      </c>
      <c r="Q79" s="363">
        <f t="shared" si="10"/>
        <v>0</v>
      </c>
      <c r="R79" s="19"/>
      <c r="S79" s="19"/>
      <c r="T79" s="19"/>
      <c r="U79" s="19"/>
      <c r="V79" s="19"/>
      <c r="W79" s="19"/>
      <c r="X79" s="19"/>
      <c r="Y79" s="19"/>
      <c r="Z79" s="19"/>
    </row>
    <row r="80" spans="1:26" outlineLevel="1" x14ac:dyDescent="0.2">
      <c r="A80" s="19"/>
      <c r="B80" s="19"/>
      <c r="C80" s="419" t="s">
        <v>248</v>
      </c>
      <c r="D80" s="512" t="s">
        <v>105</v>
      </c>
      <c r="E80" s="458" t="str">
        <f t="shared" si="8"/>
        <v>$millions</v>
      </c>
      <c r="F80" s="20"/>
      <c r="G80" s="22"/>
      <c r="H80" s="22"/>
      <c r="I80" s="20"/>
      <c r="J80" s="363">
        <f>J21</f>
        <v>0</v>
      </c>
      <c r="K80" s="363">
        <f t="shared" ref="K80:Q80" si="11">K21</f>
        <v>0</v>
      </c>
      <c r="L80" s="363">
        <f t="shared" si="11"/>
        <v>0</v>
      </c>
      <c r="M80" s="363">
        <f t="shared" si="11"/>
        <v>0</v>
      </c>
      <c r="N80" s="363">
        <f t="shared" si="11"/>
        <v>0</v>
      </c>
      <c r="O80" s="363">
        <f t="shared" si="11"/>
        <v>0</v>
      </c>
      <c r="P80" s="363">
        <f t="shared" si="11"/>
        <v>0</v>
      </c>
      <c r="Q80" s="363">
        <f t="shared" si="11"/>
        <v>0</v>
      </c>
      <c r="R80" s="19"/>
      <c r="S80" s="19"/>
      <c r="T80" s="19"/>
      <c r="U80" s="19"/>
      <c r="V80" s="19"/>
      <c r="W80" s="19"/>
      <c r="X80" s="19"/>
      <c r="Y80" s="19"/>
      <c r="Z80" s="19"/>
    </row>
    <row r="81" spans="1:26" outlineLevel="1" x14ac:dyDescent="0.2">
      <c r="A81" s="19"/>
      <c r="B81" s="19"/>
      <c r="C81" s="419" t="s">
        <v>668</v>
      </c>
      <c r="D81" s="512" t="str">
        <f>D76</f>
        <v>Calculation</v>
      </c>
      <c r="E81" s="458" t="str">
        <f t="shared" si="8"/>
        <v>$millions</v>
      </c>
      <c r="F81" s="20"/>
      <c r="G81" s="22"/>
      <c r="H81" s="22"/>
      <c r="I81" s="20"/>
      <c r="J81" s="363">
        <f>SUM(J22,J37,J51,J65)</f>
        <v>6.5775120700519949</v>
      </c>
      <c r="K81" s="363">
        <f t="shared" ref="K81:Q81" si="12">SUM(K22,K37,K51,K65)</f>
        <v>14.349857452344065</v>
      </c>
      <c r="L81" s="363">
        <f t="shared" si="12"/>
        <v>-13.189024605819212</v>
      </c>
      <c r="M81" s="363">
        <f t="shared" si="12"/>
        <v>4.1099127970477385</v>
      </c>
      <c r="N81" s="363">
        <f t="shared" si="12"/>
        <v>-7.4943389733474666</v>
      </c>
      <c r="O81" s="363">
        <f t="shared" si="12"/>
        <v>-0.73276419063475728</v>
      </c>
      <c r="P81" s="363">
        <f t="shared" si="12"/>
        <v>-9.7358972210963213</v>
      </c>
      <c r="Q81" s="363">
        <f t="shared" si="12"/>
        <v>0</v>
      </c>
      <c r="R81" s="19"/>
      <c r="S81" s="19"/>
      <c r="T81" s="19"/>
      <c r="U81" s="19"/>
      <c r="V81" s="19"/>
      <c r="W81" s="19"/>
      <c r="X81" s="19"/>
      <c r="Y81" s="19"/>
      <c r="Z81" s="19"/>
    </row>
    <row r="82" spans="1:26" outlineLevel="1" x14ac:dyDescent="0.2">
      <c r="A82" s="19"/>
      <c r="B82" s="19"/>
      <c r="C82" s="419" t="s">
        <v>573</v>
      </c>
      <c r="D82" s="512" t="s">
        <v>105</v>
      </c>
      <c r="E82" s="458" t="str">
        <f t="shared" si="8"/>
        <v>$millions</v>
      </c>
      <c r="F82" s="20"/>
      <c r="G82" s="22"/>
      <c r="H82" s="22"/>
      <c r="I82" s="20"/>
      <c r="J82" s="363">
        <f t="shared" ref="J82:Q82" si="13">SUM(J23,J38,J52,J66)</f>
        <v>0.26689414935833056</v>
      </c>
      <c r="K82" s="363">
        <f t="shared" si="13"/>
        <v>0.35506583912802997</v>
      </c>
      <c r="L82" s="363">
        <f t="shared" si="13"/>
        <v>-0.35306256431907779</v>
      </c>
      <c r="M82" s="363">
        <f t="shared" si="13"/>
        <v>9.3979776893797218E-2</v>
      </c>
      <c r="N82" s="363">
        <f t="shared" si="13"/>
        <v>-0.16784783824921462</v>
      </c>
      <c r="O82" s="363">
        <f t="shared" si="13"/>
        <v>-1.2222466844395697E-2</v>
      </c>
      <c r="P82" s="363">
        <f t="shared" si="13"/>
        <v>-0.28784687344928506</v>
      </c>
      <c r="Q82" s="363">
        <f t="shared" si="13"/>
        <v>0</v>
      </c>
      <c r="R82" s="19"/>
      <c r="S82" s="19"/>
      <c r="T82" s="19"/>
      <c r="U82" s="19"/>
      <c r="V82" s="19"/>
      <c r="W82" s="19"/>
      <c r="X82" s="19"/>
      <c r="Y82" s="19"/>
      <c r="Z82" s="19"/>
    </row>
    <row r="83" spans="1:26" outlineLevel="1" x14ac:dyDescent="0.2">
      <c r="A83" s="19"/>
      <c r="B83" s="19"/>
      <c r="C83" s="549" t="s">
        <v>574</v>
      </c>
      <c r="D83" s="512" t="s">
        <v>105</v>
      </c>
      <c r="E83" s="458" t="str">
        <f t="shared" si="8"/>
        <v>$millions</v>
      </c>
      <c r="F83" s="20"/>
      <c r="G83" s="22"/>
      <c r="H83" s="22"/>
      <c r="I83" s="20"/>
      <c r="J83" s="369">
        <f t="shared" ref="J83:Q83" si="14">SUM(J24,J39,J53,J67)</f>
        <v>17.390962664618165</v>
      </c>
      <c r="K83" s="369">
        <f t="shared" si="14"/>
        <v>32.96716033308924</v>
      </c>
      <c r="L83" s="369">
        <f t="shared" si="14"/>
        <v>21.213721142905079</v>
      </c>
      <c r="M83" s="369">
        <f t="shared" si="14"/>
        <v>16.052683304025017</v>
      </c>
      <c r="N83" s="369">
        <f t="shared" si="14"/>
        <v>9.1176002474789222</v>
      </c>
      <c r="O83" s="369">
        <f t="shared" si="14"/>
        <v>8.6793124465140004</v>
      </c>
      <c r="P83" s="369">
        <f t="shared" si="14"/>
        <v>-0.823628098893467</v>
      </c>
      <c r="Q83" s="369">
        <f t="shared" si="14"/>
        <v>0</v>
      </c>
      <c r="R83" s="19"/>
      <c r="S83" s="19"/>
      <c r="T83" s="19"/>
      <c r="U83" s="19"/>
      <c r="V83" s="19"/>
      <c r="W83" s="19"/>
      <c r="X83" s="19"/>
      <c r="Y83" s="19"/>
      <c r="Z83" s="19"/>
    </row>
    <row r="84" spans="1:26" x14ac:dyDescent="0.2">
      <c r="A84" s="19"/>
      <c r="B84" s="19"/>
      <c r="C84" s="19"/>
      <c r="D84" s="20"/>
      <c r="E84" s="20"/>
      <c r="F84" s="20"/>
      <c r="G84" s="22"/>
      <c r="H84" s="22"/>
      <c r="I84" s="20"/>
      <c r="J84" s="20"/>
      <c r="K84" s="20"/>
      <c r="L84" s="20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2.75" x14ac:dyDescent="0.2">
      <c r="A85" s="11"/>
      <c r="B85" s="12" t="s">
        <v>8</v>
      </c>
      <c r="C85" s="11"/>
      <c r="D85" s="32"/>
      <c r="E85" s="32"/>
      <c r="F85" s="33"/>
      <c r="G85" s="34"/>
      <c r="H85" s="34"/>
      <c r="I85" s="34"/>
      <c r="J85" s="33"/>
      <c r="K85" s="33"/>
      <c r="L85" s="33"/>
      <c r="M85" s="35"/>
      <c r="N85" s="35"/>
      <c r="O85" s="35"/>
      <c r="P85" s="35"/>
      <c r="Q85" s="35"/>
      <c r="R85" s="14"/>
      <c r="S85" s="14"/>
      <c r="T85" s="15"/>
      <c r="U85" s="15"/>
      <c r="V85" s="15"/>
      <c r="W85" s="15"/>
      <c r="X85" s="15"/>
      <c r="Y85" s="15"/>
      <c r="Z85" s="15"/>
    </row>
  </sheetData>
  <sheetProtection formatColumns="0" formatRows="0"/>
  <conditionalFormatting sqref="M1:Q1048576">
    <cfRule type="expression" dxfId="1" priority="2">
      <formula>M$5=forecastyear</formula>
    </cfRule>
  </conditionalFormatting>
  <hyperlinks>
    <hyperlink ref="J1" location="'Pricing model'!A51" display="Back to Index" xr:uid="{00000000-0004-0000-1700-000000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700-000000000000}">
          <x14:formula1>
            <xm:f>Lookups!$G$9:$G$16</xm:f>
          </x14:formula1>
          <xm:sqref>E7:E9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">
    <tabColor theme="7" tint="0.79998168889431442"/>
  </sheetPr>
  <dimension ref="A1:AC251"/>
  <sheetViews>
    <sheetView showGridLines="0" zoomScaleNormal="100" workbookViewId="0">
      <selection activeCell="E145" sqref="E145"/>
    </sheetView>
  </sheetViews>
  <sheetFormatPr defaultColWidth="0" defaultRowHeight="11.25" zeroHeight="1" outlineLevelRow="2" x14ac:dyDescent="0.2"/>
  <cols>
    <col min="1" max="2" width="1.42578125" style="18" customWidth="1"/>
    <col min="3" max="3" width="35.42578125" style="18" customWidth="1"/>
    <col min="4" max="4" width="18.85546875" style="18" customWidth="1"/>
    <col min="5" max="5" width="14" style="18" customWidth="1"/>
    <col min="6" max="6" width="16.85546875" style="18" customWidth="1"/>
    <col min="7" max="7" width="6" style="18" customWidth="1"/>
    <col min="8" max="9" width="12.140625" style="18" customWidth="1"/>
    <col min="10" max="10" width="12.140625" style="18" hidden="1" customWidth="1"/>
    <col min="11" max="11" width="2.5703125" style="18" customWidth="1"/>
    <col min="12" max="13" width="12.140625" style="18" customWidth="1"/>
    <col min="14" max="14" width="12.140625" style="18" hidden="1" customWidth="1"/>
    <col min="15" max="15" width="2.5703125" style="18" customWidth="1"/>
    <col min="16" max="17" width="12.140625" style="18" customWidth="1"/>
    <col min="18" max="18" width="12.140625" style="18" hidden="1" customWidth="1"/>
    <col min="19" max="19" width="2.5703125" style="18" customWidth="1"/>
    <col min="20" max="20" width="1.42578125" style="18" customWidth="1"/>
    <col min="21" max="23" width="8" style="18" hidden="1" customWidth="1"/>
    <col min="24" max="29" width="0" style="18" hidden="1" customWidth="1"/>
    <col min="30" max="16384" width="8" style="18" hidden="1"/>
  </cols>
  <sheetData>
    <row r="1" spans="1:23" ht="15.75" x14ac:dyDescent="0.2">
      <c r="A1" s="1"/>
      <c r="B1" s="2" t="str">
        <f>'Calculations&gt;&gt;'!B1</f>
        <v>AER pricing model - TasNetworks 2022–23</v>
      </c>
      <c r="C1" s="2"/>
      <c r="D1" s="4"/>
      <c r="E1" s="4"/>
      <c r="F1" s="4"/>
      <c r="G1" s="111"/>
      <c r="H1" s="160" t="s">
        <v>0</v>
      </c>
      <c r="I1" s="51"/>
      <c r="J1" s="51"/>
      <c r="P1" s="111"/>
      <c r="Q1" s="113"/>
      <c r="S1" s="114"/>
      <c r="T1" s="1"/>
    </row>
    <row r="2" spans="1:23" ht="13.5" thickBot="1" x14ac:dyDescent="0.25">
      <c r="A2" s="6"/>
      <c r="B2" s="7" t="str">
        <f>'Calculations&gt;&gt;'!C9</f>
        <v>Revenue summary</v>
      </c>
      <c r="C2" s="7"/>
      <c r="D2" s="7"/>
      <c r="E2" s="7"/>
      <c r="F2" s="7"/>
      <c r="G2" s="117"/>
      <c r="H2" s="116"/>
      <c r="I2" s="116"/>
      <c r="J2" s="116"/>
      <c r="K2" s="116"/>
      <c r="L2" s="116"/>
      <c r="M2" s="116"/>
      <c r="N2" s="116"/>
      <c r="O2" s="116"/>
      <c r="P2" s="115"/>
      <c r="Q2" s="115"/>
      <c r="R2" s="115"/>
      <c r="S2" s="115"/>
      <c r="T2" s="6"/>
    </row>
    <row r="3" spans="1:23" x14ac:dyDescent="0.2">
      <c r="A3" s="27"/>
      <c r="B3" s="296" t="str">
        <f>'Calculations&gt;&gt;'!D9</f>
        <v>Totals revenues for each tariff, charging component, and tariff class</v>
      </c>
      <c r="C3" s="27"/>
      <c r="D3" s="28"/>
      <c r="E3" s="28"/>
      <c r="F3" s="28"/>
      <c r="G3" s="28"/>
      <c r="H3" s="28"/>
      <c r="I3" s="28"/>
      <c r="J3" s="338"/>
      <c r="K3" s="28"/>
      <c r="L3" s="28"/>
      <c r="M3" s="28"/>
      <c r="N3" s="28"/>
      <c r="O3" s="28"/>
      <c r="P3" s="29"/>
      <c r="Q3" s="30"/>
      <c r="R3" s="30"/>
      <c r="S3" s="30"/>
      <c r="T3" s="31"/>
    </row>
    <row r="4" spans="1:23" x14ac:dyDescent="0.2">
      <c r="A4" s="9"/>
      <c r="B4" s="9"/>
      <c r="C4" s="9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50"/>
      <c r="Q4" s="50"/>
      <c r="R4" s="50"/>
      <c r="S4" s="50"/>
      <c r="T4" s="9"/>
      <c r="U4" s="9"/>
      <c r="V4" s="9"/>
      <c r="W4" s="9"/>
    </row>
    <row r="5" spans="1:23" ht="12.75" x14ac:dyDescent="0.2">
      <c r="A5" s="11"/>
      <c r="B5" s="12" t="s">
        <v>655</v>
      </c>
      <c r="C5" s="11"/>
      <c r="D5" s="32" t="s">
        <v>11</v>
      </c>
      <c r="E5" s="32"/>
      <c r="F5" s="32"/>
      <c r="G5" s="32"/>
      <c r="H5" s="689" t="str">
        <f>previousyear</f>
        <v>2020–21</v>
      </c>
      <c r="I5" s="689"/>
      <c r="J5" s="689"/>
      <c r="K5" s="34"/>
      <c r="L5" s="689" t="str">
        <f>currentyear</f>
        <v>2021–22</v>
      </c>
      <c r="M5" s="689"/>
      <c r="N5" s="689"/>
      <c r="O5" s="34"/>
      <c r="P5" s="690" t="str">
        <f>forecastyear</f>
        <v>2022–23</v>
      </c>
      <c r="Q5" s="690"/>
      <c r="R5" s="690"/>
      <c r="S5" s="33"/>
      <c r="T5" s="15"/>
      <c r="U5" s="15"/>
      <c r="V5" s="15"/>
      <c r="W5" s="15"/>
    </row>
    <row r="6" spans="1:23" outlineLevel="1" x14ac:dyDescent="0.2">
      <c r="A6" s="9"/>
      <c r="B6" s="9"/>
      <c r="C6" s="9"/>
      <c r="D6" s="10"/>
      <c r="E6" s="10"/>
      <c r="F6" s="10"/>
      <c r="G6" s="10"/>
      <c r="H6" s="10" t="s">
        <v>136</v>
      </c>
      <c r="I6" s="10" t="s">
        <v>137</v>
      </c>
      <c r="J6" s="10" t="s">
        <v>138</v>
      </c>
      <c r="K6" s="10"/>
      <c r="L6" s="10" t="str">
        <f>H6</f>
        <v>Distribution</v>
      </c>
      <c r="M6" s="10" t="str">
        <f>I6</f>
        <v>DPPC</v>
      </c>
      <c r="N6" s="10" t="str">
        <f>J6</f>
        <v>JSA</v>
      </c>
      <c r="O6" s="10"/>
      <c r="P6" s="50" t="str">
        <f>H6</f>
        <v>Distribution</v>
      </c>
      <c r="Q6" s="50" t="str">
        <f>I6</f>
        <v>DPPC</v>
      </c>
      <c r="R6" s="50" t="str">
        <f>J6</f>
        <v>JSA</v>
      </c>
      <c r="S6" s="50"/>
      <c r="T6" s="9"/>
      <c r="U6" s="9"/>
      <c r="V6" s="9"/>
      <c r="W6" s="9"/>
    </row>
    <row r="7" spans="1:23" outlineLevel="1" x14ac:dyDescent="0.2">
      <c r="A7" s="9"/>
      <c r="B7" s="9"/>
      <c r="C7" s="492" t="str">
        <f>Tariffs!C7</f>
        <v>Residential</v>
      </c>
      <c r="D7" s="458" t="str">
        <f t="shared" ref="D7:D18" si="0">IF(C7=0,0,revenueunits)</f>
        <v>$millions</v>
      </c>
      <c r="E7" s="371"/>
      <c r="F7" s="371"/>
      <c r="G7" s="10"/>
      <c r="H7" s="236">
        <f t="shared" ref="H7:J17" si="1">(SUMIF($D$46:$D$120,$C7,H$46:H$120)*revenuemultiplier)+H136</f>
        <v>115.37748155847531</v>
      </c>
      <c r="I7" s="236">
        <f t="shared" si="1"/>
        <v>21.647490661900992</v>
      </c>
      <c r="J7" s="236">
        <f t="shared" si="1"/>
        <v>0</v>
      </c>
      <c r="K7" s="347"/>
      <c r="L7" s="236">
        <f t="shared" ref="L7:N17" si="2">(SUMIF($D$46:$D$120,$C7,L$46:L$120)*revenuemultiplier)+L136</f>
        <v>121.66456326733294</v>
      </c>
      <c r="M7" s="236">
        <f t="shared" si="2"/>
        <v>20.447384733167773</v>
      </c>
      <c r="N7" s="236">
        <f t="shared" si="2"/>
        <v>0</v>
      </c>
      <c r="O7" s="347"/>
      <c r="P7" s="236">
        <f t="shared" ref="P7:R17" si="3">(SUMIF($D$46:$D$120,$C7,P$46:P$120)*revenuemultiplier)+P136</f>
        <v>121.08100033978971</v>
      </c>
      <c r="Q7" s="236">
        <f t="shared" si="3"/>
        <v>22.319354250673673</v>
      </c>
      <c r="R7" s="236">
        <f t="shared" si="3"/>
        <v>0</v>
      </c>
      <c r="S7" s="203"/>
      <c r="T7" s="9"/>
      <c r="U7" s="9"/>
      <c r="V7" s="9"/>
      <c r="W7" s="9"/>
    </row>
    <row r="8" spans="1:23" outlineLevel="1" x14ac:dyDescent="0.2">
      <c r="A8" s="9"/>
      <c r="B8" s="9"/>
      <c r="C8" s="492" t="str">
        <f>Tariffs!C8</f>
        <v>Small Business LV</v>
      </c>
      <c r="D8" s="458" t="str">
        <f t="shared" si="0"/>
        <v>$millions</v>
      </c>
      <c r="E8" s="371"/>
      <c r="F8" s="371"/>
      <c r="G8" s="10"/>
      <c r="H8" s="236">
        <f t="shared" si="1"/>
        <v>53.01520248231909</v>
      </c>
      <c r="I8" s="236">
        <f t="shared" si="1"/>
        <v>14.280596509193717</v>
      </c>
      <c r="J8" s="236">
        <f t="shared" si="1"/>
        <v>0</v>
      </c>
      <c r="K8" s="347"/>
      <c r="L8" s="236">
        <f t="shared" si="2"/>
        <v>59.307950157477698</v>
      </c>
      <c r="M8" s="236">
        <f t="shared" si="2"/>
        <v>13.869193384389019</v>
      </c>
      <c r="N8" s="236">
        <f t="shared" si="2"/>
        <v>0</v>
      </c>
      <c r="O8" s="347"/>
      <c r="P8" s="236">
        <f t="shared" si="3"/>
        <v>60.650901070362487</v>
      </c>
      <c r="Q8" s="236">
        <f t="shared" si="3"/>
        <v>14.995464763006385</v>
      </c>
      <c r="R8" s="236">
        <f t="shared" si="3"/>
        <v>0</v>
      </c>
      <c r="S8" s="203"/>
      <c r="T8" s="9"/>
      <c r="U8" s="9"/>
      <c r="V8" s="9"/>
      <c r="W8" s="9"/>
    </row>
    <row r="9" spans="1:23" outlineLevel="1" x14ac:dyDescent="0.2">
      <c r="A9" s="9"/>
      <c r="B9" s="9"/>
      <c r="C9" s="492" t="str">
        <f>Tariffs!C9</f>
        <v>Large Business LV</v>
      </c>
      <c r="D9" s="458" t="str">
        <f t="shared" si="0"/>
        <v>$millions</v>
      </c>
      <c r="E9" s="371"/>
      <c r="F9" s="371"/>
      <c r="G9" s="10"/>
      <c r="H9" s="236">
        <f t="shared" si="1"/>
        <v>10.327644901840001</v>
      </c>
      <c r="I9" s="236">
        <f t="shared" si="1"/>
        <v>6.1124058607299991</v>
      </c>
      <c r="J9" s="236">
        <f t="shared" si="1"/>
        <v>0</v>
      </c>
      <c r="K9" s="347"/>
      <c r="L9" s="236">
        <f t="shared" si="2"/>
        <v>15.445074549781729</v>
      </c>
      <c r="M9" s="236">
        <f t="shared" si="2"/>
        <v>7.3845259583976528</v>
      </c>
      <c r="N9" s="236">
        <f t="shared" si="2"/>
        <v>0</v>
      </c>
      <c r="O9" s="347"/>
      <c r="P9" s="236">
        <f t="shared" si="3"/>
        <v>14.889905497366902</v>
      </c>
      <c r="Q9" s="236">
        <f t="shared" si="3"/>
        <v>7.7412278845080245</v>
      </c>
      <c r="R9" s="236">
        <f t="shared" si="3"/>
        <v>0</v>
      </c>
      <c r="S9" s="203"/>
      <c r="T9" s="9"/>
      <c r="U9" s="9"/>
      <c r="V9" s="9"/>
      <c r="W9" s="9"/>
    </row>
    <row r="10" spans="1:23" outlineLevel="1" x14ac:dyDescent="0.2">
      <c r="A10" s="9"/>
      <c r="B10" s="9"/>
      <c r="C10" s="492" t="str">
        <f>Tariffs!C10</f>
        <v>Irrigation</v>
      </c>
      <c r="D10" s="458" t="str">
        <f t="shared" si="0"/>
        <v>$millions</v>
      </c>
      <c r="E10" s="371"/>
      <c r="F10" s="371"/>
      <c r="G10" s="10"/>
      <c r="H10" s="236">
        <f t="shared" si="1"/>
        <v>6.6598877577071791</v>
      </c>
      <c r="I10" s="236">
        <f t="shared" si="1"/>
        <v>1.3443174302688896</v>
      </c>
      <c r="J10" s="236">
        <f t="shared" si="1"/>
        <v>0</v>
      </c>
      <c r="K10" s="347"/>
      <c r="L10" s="236">
        <f t="shared" si="2"/>
        <v>7.4378149702409893</v>
      </c>
      <c r="M10" s="236">
        <f t="shared" si="2"/>
        <v>1.3445596696949271</v>
      </c>
      <c r="N10" s="236">
        <f t="shared" si="2"/>
        <v>0</v>
      </c>
      <c r="O10" s="347"/>
      <c r="P10" s="236">
        <f t="shared" si="3"/>
        <v>7.8995566499676313</v>
      </c>
      <c r="Q10" s="236">
        <f t="shared" si="3"/>
        <v>1.5223385271899152</v>
      </c>
      <c r="R10" s="236">
        <f t="shared" si="3"/>
        <v>0</v>
      </c>
      <c r="S10" s="203"/>
      <c r="T10" s="9"/>
      <c r="U10" s="9"/>
      <c r="V10" s="9"/>
      <c r="W10" s="9"/>
    </row>
    <row r="11" spans="1:23" outlineLevel="1" x14ac:dyDescent="0.2">
      <c r="A11" s="9"/>
      <c r="B11" s="9"/>
      <c r="C11" s="492" t="str">
        <f>Tariffs!C11</f>
        <v>Large Business HV</v>
      </c>
      <c r="D11" s="458" t="str">
        <f t="shared" si="0"/>
        <v>$millions</v>
      </c>
      <c r="E11" s="371"/>
      <c r="F11" s="371"/>
      <c r="G11" s="10"/>
      <c r="H11" s="236">
        <f t="shared" si="1"/>
        <v>7.5925440459443916</v>
      </c>
      <c r="I11" s="236">
        <f t="shared" si="1"/>
        <v>4.5712295740892639</v>
      </c>
      <c r="J11" s="236">
        <f t="shared" si="1"/>
        <v>0</v>
      </c>
      <c r="K11" s="347"/>
      <c r="L11" s="236">
        <f t="shared" si="2"/>
        <v>7.7681710114101179</v>
      </c>
      <c r="M11" s="236">
        <f t="shared" si="2"/>
        <v>4.4824969885866519</v>
      </c>
      <c r="N11" s="236">
        <f t="shared" si="2"/>
        <v>0</v>
      </c>
      <c r="O11" s="347"/>
      <c r="P11" s="236">
        <f t="shared" si="3"/>
        <v>7.5421503559610885</v>
      </c>
      <c r="Q11" s="236">
        <f t="shared" si="3"/>
        <v>4.5877548687314587</v>
      </c>
      <c r="R11" s="236">
        <f t="shared" si="3"/>
        <v>0</v>
      </c>
      <c r="S11" s="203"/>
      <c r="T11" s="9"/>
      <c r="U11" s="9"/>
      <c r="V11" s="9"/>
      <c r="W11" s="9"/>
    </row>
    <row r="12" spans="1:23" outlineLevel="1" x14ac:dyDescent="0.2">
      <c r="A12" s="9"/>
      <c r="B12" s="9"/>
      <c r="C12" s="492" t="str">
        <f>Tariffs!C12</f>
        <v>Uncontrolled energy</v>
      </c>
      <c r="D12" s="458" t="str">
        <f t="shared" si="0"/>
        <v>$millions</v>
      </c>
      <c r="E12" s="371"/>
      <c r="F12" s="371"/>
      <c r="G12" s="10"/>
      <c r="H12" s="236">
        <f t="shared" si="1"/>
        <v>38.575510160363045</v>
      </c>
      <c r="I12" s="236">
        <f t="shared" si="1"/>
        <v>20.068545630799441</v>
      </c>
      <c r="J12" s="236">
        <f t="shared" si="1"/>
        <v>0</v>
      </c>
      <c r="K12" s="347"/>
      <c r="L12" s="236">
        <f t="shared" si="2"/>
        <v>37.674129570339417</v>
      </c>
      <c r="M12" s="236">
        <f t="shared" si="2"/>
        <v>16.681843015502466</v>
      </c>
      <c r="N12" s="236">
        <f t="shared" si="2"/>
        <v>0</v>
      </c>
      <c r="O12" s="347"/>
      <c r="P12" s="236">
        <f t="shared" si="3"/>
        <v>38.266316198077284</v>
      </c>
      <c r="Q12" s="236">
        <f t="shared" si="3"/>
        <v>17.02214112723447</v>
      </c>
      <c r="R12" s="236">
        <f t="shared" si="3"/>
        <v>0</v>
      </c>
      <c r="S12" s="203"/>
      <c r="T12" s="9"/>
      <c r="U12" s="9"/>
      <c r="V12" s="9"/>
      <c r="W12" s="9"/>
    </row>
    <row r="13" spans="1:23" outlineLevel="1" x14ac:dyDescent="0.2">
      <c r="A13" s="9"/>
      <c r="B13" s="9"/>
      <c r="C13" s="492" t="str">
        <f>Tariffs!C13</f>
        <v>Controlled energy</v>
      </c>
      <c r="D13" s="458" t="str">
        <f t="shared" si="0"/>
        <v>$millions</v>
      </c>
      <c r="E13" s="371"/>
      <c r="F13" s="371"/>
      <c r="G13" s="10"/>
      <c r="H13" s="236">
        <f t="shared" si="1"/>
        <v>1.31458586392571</v>
      </c>
      <c r="I13" s="236">
        <f t="shared" si="1"/>
        <v>0.21913310824864998</v>
      </c>
      <c r="J13" s="236">
        <f t="shared" si="1"/>
        <v>0</v>
      </c>
      <c r="K13" s="347"/>
      <c r="L13" s="236">
        <f t="shared" si="2"/>
        <v>1.2605275429958738</v>
      </c>
      <c r="M13" s="236">
        <f t="shared" si="2"/>
        <v>0.18421354946512347</v>
      </c>
      <c r="N13" s="236">
        <f t="shared" si="2"/>
        <v>0</v>
      </c>
      <c r="O13" s="347"/>
      <c r="P13" s="236">
        <f t="shared" si="3"/>
        <v>1.27983897711229</v>
      </c>
      <c r="Q13" s="236">
        <f t="shared" si="3"/>
        <v>0.19319344737351746</v>
      </c>
      <c r="R13" s="236">
        <f t="shared" si="3"/>
        <v>0</v>
      </c>
      <c r="S13" s="203"/>
      <c r="T13" s="9"/>
      <c r="U13" s="9"/>
      <c r="V13" s="9"/>
      <c r="W13" s="9"/>
    </row>
    <row r="14" spans="1:23" outlineLevel="1" x14ac:dyDescent="0.2">
      <c r="A14" s="9"/>
      <c r="B14" s="9"/>
      <c r="C14" s="492" t="str">
        <f>Tariffs!C14</f>
        <v>Unmetered supplies</v>
      </c>
      <c r="D14" s="458" t="str">
        <f t="shared" si="0"/>
        <v>$millions</v>
      </c>
      <c r="E14" s="371"/>
      <c r="F14" s="371"/>
      <c r="G14" s="10"/>
      <c r="H14" s="236">
        <f t="shared" si="1"/>
        <v>0.88646094463895975</v>
      </c>
      <c r="I14" s="236">
        <f t="shared" si="1"/>
        <v>0.20026275376700997</v>
      </c>
      <c r="J14" s="236">
        <f t="shared" si="1"/>
        <v>0</v>
      </c>
      <c r="K14" s="347"/>
      <c r="L14" s="236">
        <f t="shared" si="2"/>
        <v>0.91556203313502638</v>
      </c>
      <c r="M14" s="236">
        <f t="shared" si="2"/>
        <v>0.18490251079810857</v>
      </c>
      <c r="N14" s="236">
        <f t="shared" si="2"/>
        <v>0</v>
      </c>
      <c r="O14" s="347"/>
      <c r="P14" s="236">
        <f t="shared" si="3"/>
        <v>0.89914586951200737</v>
      </c>
      <c r="Q14" s="236">
        <f t="shared" si="3"/>
        <v>0.1915949074391258</v>
      </c>
      <c r="R14" s="236">
        <f t="shared" si="3"/>
        <v>0</v>
      </c>
      <c r="S14" s="203"/>
      <c r="T14" s="9"/>
      <c r="U14" s="9"/>
      <c r="V14" s="9"/>
      <c r="W14" s="9"/>
    </row>
    <row r="15" spans="1:23" outlineLevel="1" x14ac:dyDescent="0.2">
      <c r="A15" s="9"/>
      <c r="B15" s="9"/>
      <c r="C15" s="492" t="str">
        <f>Tariffs!C15</f>
        <v>Street lighting</v>
      </c>
      <c r="D15" s="458" t="str">
        <f t="shared" si="0"/>
        <v>$millions</v>
      </c>
      <c r="E15" s="371"/>
      <c r="F15" s="371"/>
      <c r="G15" s="10"/>
      <c r="H15" s="236">
        <f t="shared" si="1"/>
        <v>1.0734061787064</v>
      </c>
      <c r="I15" s="236">
        <f t="shared" si="1"/>
        <v>0.36244883956320006</v>
      </c>
      <c r="J15" s="236">
        <f t="shared" si="1"/>
        <v>0</v>
      </c>
      <c r="K15" s="347"/>
      <c r="L15" s="236">
        <f t="shared" si="2"/>
        <v>1.1354617091592061</v>
      </c>
      <c r="M15" s="236">
        <f t="shared" si="2"/>
        <v>0.32832627734724035</v>
      </c>
      <c r="N15" s="236">
        <f t="shared" si="2"/>
        <v>0</v>
      </c>
      <c r="O15" s="347"/>
      <c r="P15" s="236">
        <f t="shared" si="3"/>
        <v>1.1120561369067714</v>
      </c>
      <c r="Q15" s="236">
        <f t="shared" si="3"/>
        <v>0.34420785189971487</v>
      </c>
      <c r="R15" s="236">
        <f t="shared" si="3"/>
        <v>0</v>
      </c>
      <c r="S15" s="203"/>
      <c r="T15" s="9"/>
      <c r="U15" s="9"/>
      <c r="V15" s="9"/>
      <c r="W15" s="9"/>
    </row>
    <row r="16" spans="1:23" outlineLevel="1" x14ac:dyDescent="0.2">
      <c r="A16" s="9"/>
      <c r="B16" s="9"/>
      <c r="C16" s="492" t="str">
        <f>Tariffs!C16</f>
        <v>ITC</v>
      </c>
      <c r="D16" s="458" t="str">
        <f t="shared" si="0"/>
        <v>$millions</v>
      </c>
      <c r="E16" s="371"/>
      <c r="F16" s="371"/>
      <c r="G16" s="10"/>
      <c r="H16" s="236">
        <f t="shared" si="1"/>
        <v>2.1631600552449322</v>
      </c>
      <c r="I16" s="236">
        <f t="shared" si="1"/>
        <v>2.9235015498133663</v>
      </c>
      <c r="J16" s="236">
        <f t="shared" si="1"/>
        <v>0</v>
      </c>
      <c r="K16" s="347"/>
      <c r="L16" s="236">
        <f t="shared" si="2"/>
        <v>2.2062024874596262</v>
      </c>
      <c r="M16" s="236">
        <f t="shared" si="2"/>
        <v>3.0353618414305465</v>
      </c>
      <c r="N16" s="236">
        <f t="shared" si="2"/>
        <v>0</v>
      </c>
      <c r="O16" s="347"/>
      <c r="P16" s="236">
        <f t="shared" si="3"/>
        <v>2.1968218274795355</v>
      </c>
      <c r="Q16" s="236">
        <f t="shared" si="3"/>
        <v>3.3052304736859792</v>
      </c>
      <c r="R16" s="236">
        <f t="shared" si="3"/>
        <v>0</v>
      </c>
      <c r="S16" s="203"/>
      <c r="T16" s="9"/>
      <c r="U16" s="9"/>
      <c r="V16" s="9"/>
      <c r="W16" s="9"/>
    </row>
    <row r="17" spans="1:23" outlineLevel="1" x14ac:dyDescent="0.2">
      <c r="A17" s="9"/>
      <c r="B17" s="9"/>
      <c r="C17" s="492">
        <f>Tariffs!C17</f>
        <v>0</v>
      </c>
      <c r="D17" s="458">
        <f t="shared" si="0"/>
        <v>0</v>
      </c>
      <c r="E17" s="371"/>
      <c r="F17" s="371"/>
      <c r="G17" s="10"/>
      <c r="H17" s="236">
        <f t="shared" si="1"/>
        <v>0</v>
      </c>
      <c r="I17" s="236">
        <f t="shared" si="1"/>
        <v>0</v>
      </c>
      <c r="J17" s="236">
        <f t="shared" si="1"/>
        <v>0</v>
      </c>
      <c r="K17" s="347"/>
      <c r="L17" s="236">
        <f t="shared" si="2"/>
        <v>0</v>
      </c>
      <c r="M17" s="236">
        <f t="shared" si="2"/>
        <v>0</v>
      </c>
      <c r="N17" s="236">
        <f t="shared" si="2"/>
        <v>0</v>
      </c>
      <c r="O17" s="347"/>
      <c r="P17" s="236">
        <f t="shared" si="3"/>
        <v>0</v>
      </c>
      <c r="Q17" s="236">
        <f t="shared" si="3"/>
        <v>0</v>
      </c>
      <c r="R17" s="236">
        <f t="shared" si="3"/>
        <v>0</v>
      </c>
      <c r="S17" s="203"/>
      <c r="T17" s="9"/>
      <c r="U17" s="9"/>
      <c r="V17" s="9"/>
      <c r="W17" s="9"/>
    </row>
    <row r="18" spans="1:23" outlineLevel="1" x14ac:dyDescent="0.2">
      <c r="A18" s="9"/>
      <c r="B18" s="9"/>
      <c r="C18" s="515" t="s">
        <v>240</v>
      </c>
      <c r="D18" s="458" t="str">
        <f t="shared" si="0"/>
        <v>$millions</v>
      </c>
      <c r="E18" s="371"/>
      <c r="F18" s="371"/>
      <c r="G18" s="10"/>
      <c r="H18" s="236">
        <f>SUM(H7:H17)</f>
        <v>236.98588394916499</v>
      </c>
      <c r="I18" s="236">
        <f>SUM(I7:I17)</f>
        <v>71.729931918374533</v>
      </c>
      <c r="J18" s="236">
        <f>SUM(J7:J17)</f>
        <v>0</v>
      </c>
      <c r="K18" s="347"/>
      <c r="L18" s="236">
        <f>SUM(L7:L17)</f>
        <v>254.81545729933262</v>
      </c>
      <c r="M18" s="236">
        <f>SUM(M7:M17)</f>
        <v>67.942807928779516</v>
      </c>
      <c r="N18" s="236">
        <f>SUM(N7:N17)</f>
        <v>0</v>
      </c>
      <c r="O18" s="347"/>
      <c r="P18" s="236">
        <f>SUM(P7:P17)</f>
        <v>255.81769292253571</v>
      </c>
      <c r="Q18" s="236">
        <f>SUM(Q7:Q17)</f>
        <v>72.222508101742264</v>
      </c>
      <c r="R18" s="236">
        <f>SUM(R7:R17)</f>
        <v>0</v>
      </c>
      <c r="S18" s="203"/>
      <c r="T18" s="9"/>
      <c r="U18" s="9"/>
      <c r="V18" s="9"/>
      <c r="W18" s="9"/>
    </row>
    <row r="19" spans="1:23" x14ac:dyDescent="0.2">
      <c r="A19" s="9"/>
      <c r="B19" s="9"/>
      <c r="C19" s="9"/>
      <c r="D19" s="10"/>
      <c r="E19" s="10"/>
      <c r="F19" s="10"/>
      <c r="G19" s="10"/>
      <c r="H19" s="200"/>
      <c r="I19" s="200"/>
      <c r="J19" s="200"/>
      <c r="K19" s="200"/>
      <c r="L19" s="200"/>
      <c r="M19" s="200"/>
      <c r="N19" s="200"/>
      <c r="O19" s="200"/>
      <c r="P19" s="596"/>
      <c r="Q19" s="596"/>
      <c r="R19" s="203"/>
      <c r="S19" s="203"/>
      <c r="T19" s="9"/>
      <c r="U19" s="9"/>
      <c r="V19" s="9"/>
      <c r="W19" s="9"/>
    </row>
    <row r="20" spans="1:23" ht="12.75" x14ac:dyDescent="0.2">
      <c r="A20" s="11"/>
      <c r="B20" s="12" t="s">
        <v>656</v>
      </c>
      <c r="C20" s="11"/>
      <c r="D20" s="32" t="s">
        <v>203</v>
      </c>
      <c r="E20" s="32"/>
      <c r="F20" s="32"/>
      <c r="G20" s="32"/>
      <c r="H20" s="689" t="str">
        <f>previousyear</f>
        <v>2020–21</v>
      </c>
      <c r="I20" s="689"/>
      <c r="J20" s="689"/>
      <c r="K20" s="34"/>
      <c r="L20" s="689" t="str">
        <f>currentyear</f>
        <v>2021–22</v>
      </c>
      <c r="M20" s="689"/>
      <c r="N20" s="689"/>
      <c r="O20" s="34"/>
      <c r="P20" s="690" t="str">
        <f>forecastyear</f>
        <v>2022–23</v>
      </c>
      <c r="Q20" s="690"/>
      <c r="R20" s="690"/>
      <c r="S20" s="35"/>
      <c r="T20" s="15"/>
      <c r="U20" s="15"/>
      <c r="V20" s="15"/>
      <c r="W20" s="15"/>
    </row>
    <row r="21" spans="1:23" outlineLevel="1" x14ac:dyDescent="0.2">
      <c r="A21" s="9"/>
      <c r="B21" s="9"/>
      <c r="C21" s="9"/>
      <c r="D21" s="10"/>
      <c r="E21" s="10"/>
      <c r="F21" s="10"/>
      <c r="G21" s="10"/>
      <c r="H21" s="10" t="s">
        <v>136</v>
      </c>
      <c r="I21" s="10" t="s">
        <v>137</v>
      </c>
      <c r="J21" s="10" t="s">
        <v>138</v>
      </c>
      <c r="K21" s="10"/>
      <c r="L21" s="10" t="str">
        <f>H21</f>
        <v>Distribution</v>
      </c>
      <c r="M21" s="10" t="str">
        <f>I21</f>
        <v>DPPC</v>
      </c>
      <c r="N21" s="10" t="str">
        <f>J21</f>
        <v>JSA</v>
      </c>
      <c r="O21" s="10"/>
      <c r="P21" s="50" t="str">
        <f>H21</f>
        <v>Distribution</v>
      </c>
      <c r="Q21" s="50" t="str">
        <f>I21</f>
        <v>DPPC</v>
      </c>
      <c r="R21" s="50" t="str">
        <f>J21</f>
        <v>JSA</v>
      </c>
      <c r="S21" s="50"/>
      <c r="T21" s="9"/>
      <c r="U21" s="9"/>
      <c r="V21" s="9"/>
      <c r="W21" s="9"/>
    </row>
    <row r="22" spans="1:23" outlineLevel="1" x14ac:dyDescent="0.2">
      <c r="A22" s="9"/>
      <c r="B22" s="9"/>
      <c r="C22" s="492" t="str">
        <f>Tariffs!C22</f>
        <v>Service charge</v>
      </c>
      <c r="D22" s="551" t="str">
        <f>Tariffs!D22</f>
        <v>Fixed</v>
      </c>
      <c r="E22" s="326"/>
      <c r="F22" s="326"/>
      <c r="G22" s="10"/>
      <c r="H22" s="199">
        <v>68678040.280539691</v>
      </c>
      <c r="I22" s="199">
        <v>0</v>
      </c>
      <c r="J22" s="199">
        <v>0</v>
      </c>
      <c r="K22" s="200"/>
      <c r="L22" s="199">
        <v>70557241.413091391</v>
      </c>
      <c r="M22" s="199">
        <v>0</v>
      </c>
      <c r="N22" s="199">
        <v>0</v>
      </c>
      <c r="O22" s="200"/>
      <c r="P22" s="199">
        <v>73510761.752888814</v>
      </c>
      <c r="Q22" s="199">
        <v>0</v>
      </c>
      <c r="R22" s="199">
        <v>0</v>
      </c>
      <c r="S22" s="203"/>
      <c r="T22" s="9"/>
      <c r="U22" s="9"/>
      <c r="V22" s="9"/>
      <c r="W22" s="9"/>
    </row>
    <row r="23" spans="1:23" outlineLevel="1" x14ac:dyDescent="0.2">
      <c r="A23" s="9"/>
      <c r="B23" s="9"/>
      <c r="C23" s="492" t="str">
        <f>Tariffs!C23</f>
        <v>All energy (kWh)</v>
      </c>
      <c r="D23" s="551" t="str">
        <f>Tariffs!D23</f>
        <v>Consumption</v>
      </c>
      <c r="E23" s="326"/>
      <c r="F23" s="326"/>
      <c r="G23" s="10"/>
      <c r="H23" s="199">
        <v>104970514.52274005</v>
      </c>
      <c r="I23" s="199">
        <v>42559169.256517485</v>
      </c>
      <c r="J23" s="199">
        <v>0</v>
      </c>
      <c r="K23" s="200"/>
      <c r="L23" s="199">
        <v>106342458.38771677</v>
      </c>
      <c r="M23" s="199">
        <v>36960406.561605811</v>
      </c>
      <c r="N23" s="199">
        <v>0</v>
      </c>
      <c r="O23" s="200"/>
      <c r="P23" s="199">
        <v>99465557.22499235</v>
      </c>
      <c r="Q23" s="199">
        <v>37556613.003140122</v>
      </c>
      <c r="R23" s="199">
        <v>0</v>
      </c>
      <c r="S23" s="203"/>
      <c r="T23" s="9"/>
      <c r="U23" s="9"/>
      <c r="V23" s="9"/>
      <c r="W23" s="9"/>
    </row>
    <row r="24" spans="1:23" outlineLevel="1" x14ac:dyDescent="0.2">
      <c r="A24" s="9"/>
      <c r="B24" s="9"/>
      <c r="C24" s="492" t="str">
        <f>Tariffs!C24</f>
        <v>Peak energy (kWh)</v>
      </c>
      <c r="D24" s="551" t="str">
        <f>Tariffs!D24</f>
        <v>Consumption - TOU</v>
      </c>
      <c r="E24" s="326"/>
      <c r="F24" s="326"/>
      <c r="G24" s="10"/>
      <c r="H24" s="199">
        <v>29182834.130567018</v>
      </c>
      <c r="I24" s="199">
        <v>10388651.099850262</v>
      </c>
      <c r="J24" s="199">
        <v>0</v>
      </c>
      <c r="K24" s="200"/>
      <c r="L24" s="199">
        <v>37381028.898956582</v>
      </c>
      <c r="M24" s="199">
        <v>11479997.188357295</v>
      </c>
      <c r="N24" s="199">
        <v>0</v>
      </c>
      <c r="O24" s="200"/>
      <c r="P24" s="199">
        <v>40146658.932081468</v>
      </c>
      <c r="Q24" s="199">
        <v>13203681.483157547</v>
      </c>
      <c r="R24" s="199">
        <v>0</v>
      </c>
      <c r="S24" s="203"/>
      <c r="T24" s="9"/>
      <c r="U24" s="9"/>
      <c r="V24" s="9"/>
      <c r="W24" s="9"/>
    </row>
    <row r="25" spans="1:23" outlineLevel="1" x14ac:dyDescent="0.2">
      <c r="A25" s="9"/>
      <c r="B25" s="9"/>
      <c r="C25" s="492" t="str">
        <f>Tariffs!C25</f>
        <v>Shoulder energy (kWh)</v>
      </c>
      <c r="D25" s="551" t="str">
        <f>Tariffs!D25</f>
        <v>Consumption - TOU</v>
      </c>
      <c r="E25" s="326"/>
      <c r="F25" s="326"/>
      <c r="G25" s="10"/>
      <c r="H25" s="199">
        <v>5199935.0871010898</v>
      </c>
      <c r="I25" s="199">
        <v>2180668.5541730938</v>
      </c>
      <c r="J25" s="199">
        <v>0</v>
      </c>
      <c r="K25" s="200"/>
      <c r="L25" s="199">
        <v>6052605.8471316686</v>
      </c>
      <c r="M25" s="199">
        <v>2191431.4308093186</v>
      </c>
      <c r="N25" s="199">
        <v>0</v>
      </c>
      <c r="O25" s="200"/>
      <c r="P25" s="199">
        <v>6460067.4977952819</v>
      </c>
      <c r="Q25" s="199">
        <v>2461222.8342138501</v>
      </c>
      <c r="R25" s="199">
        <v>0</v>
      </c>
      <c r="S25" s="203"/>
      <c r="T25" s="9"/>
      <c r="U25" s="9"/>
      <c r="V25" s="9"/>
      <c r="W25" s="9"/>
    </row>
    <row r="26" spans="1:23" outlineLevel="1" x14ac:dyDescent="0.2">
      <c r="A26" s="9"/>
      <c r="B26" s="9"/>
      <c r="C26" s="492" t="str">
        <f>Tariffs!C26</f>
        <v>Off peak energy (kWh)</v>
      </c>
      <c r="D26" s="551" t="str">
        <f>Tariffs!D26</f>
        <v>Consumption - TOU</v>
      </c>
      <c r="E26" s="326"/>
      <c r="F26" s="326"/>
      <c r="G26" s="10"/>
      <c r="H26" s="199">
        <v>6255602.1451307843</v>
      </c>
      <c r="I26" s="199">
        <v>2317354.1352846222</v>
      </c>
      <c r="J26" s="199">
        <v>0</v>
      </c>
      <c r="K26" s="200"/>
      <c r="L26" s="199">
        <v>8873440.6933251321</v>
      </c>
      <c r="M26" s="199">
        <v>2839980.8818480759</v>
      </c>
      <c r="N26" s="199">
        <v>0</v>
      </c>
      <c r="O26" s="200"/>
      <c r="P26" s="199">
        <v>10185672.246827213</v>
      </c>
      <c r="Q26" s="199">
        <v>3535461.939263443</v>
      </c>
      <c r="R26" s="199">
        <v>0</v>
      </c>
      <c r="S26" s="203"/>
      <c r="T26" s="9"/>
      <c r="U26" s="9"/>
      <c r="V26" s="9"/>
      <c r="W26" s="9"/>
    </row>
    <row r="27" spans="1:23" outlineLevel="1" x14ac:dyDescent="0.2">
      <c r="A27" s="9"/>
      <c r="B27" s="9"/>
      <c r="C27" s="492" t="str">
        <f>Tariffs!C27</f>
        <v>All demand (kVA)</v>
      </c>
      <c r="D27" s="551" t="str">
        <f>Tariffs!D27</f>
        <v>Demand</v>
      </c>
      <c r="E27" s="326"/>
      <c r="F27" s="326"/>
      <c r="G27" s="10"/>
      <c r="H27" s="199">
        <v>4290174.9715500008</v>
      </c>
      <c r="I27" s="199">
        <v>2776207.2950499998</v>
      </c>
      <c r="J27" s="199">
        <v>0</v>
      </c>
      <c r="K27" s="200"/>
      <c r="L27" s="199">
        <v>4827650.7105381945</v>
      </c>
      <c r="M27" s="199">
        <v>2662475.0495305588</v>
      </c>
      <c r="N27" s="199">
        <v>0</v>
      </c>
      <c r="O27" s="200"/>
      <c r="P27" s="199">
        <v>4568475.3124003559</v>
      </c>
      <c r="Q27" s="199">
        <v>2718095.0169248991</v>
      </c>
      <c r="R27" s="199">
        <v>0</v>
      </c>
      <c r="S27" s="203"/>
      <c r="T27" s="9"/>
      <c r="U27" s="9"/>
      <c r="V27" s="9"/>
      <c r="W27" s="9"/>
    </row>
    <row r="28" spans="1:23" outlineLevel="1" x14ac:dyDescent="0.2">
      <c r="A28" s="9"/>
      <c r="B28" s="9"/>
      <c r="C28" s="492" t="str">
        <f>Tariffs!C28</f>
        <v>Peak demand (kVA)</v>
      </c>
      <c r="D28" s="551" t="str">
        <f>Tariffs!D28</f>
        <v>Demand</v>
      </c>
      <c r="E28" s="326"/>
      <c r="F28" s="326"/>
      <c r="G28" s="10"/>
      <c r="H28" s="199">
        <v>8560568.8497599997</v>
      </c>
      <c r="I28" s="199">
        <v>3825263.5169400005</v>
      </c>
      <c r="J28" s="199">
        <v>0</v>
      </c>
      <c r="K28" s="200"/>
      <c r="L28" s="199">
        <v>10176737.60812692</v>
      </c>
      <c r="M28" s="199">
        <v>4071291.508947216</v>
      </c>
      <c r="N28" s="199">
        <v>0</v>
      </c>
      <c r="O28" s="200"/>
      <c r="P28" s="199">
        <v>10692255.669630516</v>
      </c>
      <c r="Q28" s="199">
        <v>4517137.4878702071</v>
      </c>
      <c r="R28" s="199">
        <v>0</v>
      </c>
      <c r="S28" s="203"/>
      <c r="T28" s="9"/>
      <c r="U28" s="9"/>
      <c r="V28" s="9"/>
      <c r="W28" s="9"/>
    </row>
    <row r="29" spans="1:23" outlineLevel="1" x14ac:dyDescent="0.2">
      <c r="A29" s="9"/>
      <c r="B29" s="9"/>
      <c r="C29" s="492" t="str">
        <f>Tariffs!C29</f>
        <v>Off peak demand (kVA)</v>
      </c>
      <c r="D29" s="551" t="str">
        <f>Tariffs!D29</f>
        <v>Demand</v>
      </c>
      <c r="E29" s="326"/>
      <c r="F29" s="326"/>
      <c r="G29" s="10"/>
      <c r="H29" s="199">
        <v>2267182.4614199996</v>
      </c>
      <c r="I29" s="199">
        <v>1122489.52874</v>
      </c>
      <c r="J29" s="199">
        <v>0</v>
      </c>
      <c r="K29" s="200"/>
      <c r="L29" s="199">
        <v>2879134.3367643934</v>
      </c>
      <c r="M29" s="199">
        <v>1243900.6343437221</v>
      </c>
      <c r="N29" s="199">
        <v>0</v>
      </c>
      <c r="O29" s="200"/>
      <c r="P29" s="199">
        <v>3228430.5568035357</v>
      </c>
      <c r="Q29" s="199">
        <v>1431642.8079328523</v>
      </c>
      <c r="R29" s="199">
        <v>0</v>
      </c>
      <c r="S29" s="203"/>
      <c r="T29" s="9"/>
      <c r="U29" s="9"/>
      <c r="V29" s="9"/>
      <c r="W29" s="9"/>
    </row>
    <row r="30" spans="1:23" outlineLevel="1" x14ac:dyDescent="0.2">
      <c r="A30" s="9"/>
      <c r="B30" s="9"/>
      <c r="C30" s="492" t="str">
        <f>Tariffs!C30</f>
        <v>Specified daily demand (kVA)</v>
      </c>
      <c r="D30" s="551" t="str">
        <f>Tariffs!D30</f>
        <v>Demand</v>
      </c>
      <c r="E30" s="326"/>
      <c r="F30" s="326"/>
      <c r="G30" s="10"/>
      <c r="H30" s="199">
        <v>5697205.4366600001</v>
      </c>
      <c r="I30" s="199">
        <v>5808828.4750242988</v>
      </c>
      <c r="J30" s="199">
        <v>0</v>
      </c>
      <c r="K30" s="200"/>
      <c r="L30" s="199">
        <v>6200572.9960771818</v>
      </c>
      <c r="M30" s="199">
        <v>6115758.5093769291</v>
      </c>
      <c r="N30" s="199">
        <v>0</v>
      </c>
      <c r="O30" s="200"/>
      <c r="P30" s="199">
        <v>6070797.3526005801</v>
      </c>
      <c r="Q30" s="199">
        <v>6403471.385877532</v>
      </c>
      <c r="R30" s="199">
        <v>0</v>
      </c>
      <c r="S30" s="203"/>
      <c r="T30" s="9"/>
      <c r="U30" s="9"/>
      <c r="V30" s="9"/>
      <c r="W30" s="9"/>
    </row>
    <row r="31" spans="1:23" outlineLevel="1" x14ac:dyDescent="0.2">
      <c r="A31" s="9"/>
      <c r="B31" s="9"/>
      <c r="C31" s="492" t="str">
        <f>Tariffs!C31</f>
        <v>Excess daily demand (kVA)</v>
      </c>
      <c r="D31" s="551" t="str">
        <f>Tariffs!D31</f>
        <v>Demand</v>
      </c>
      <c r="E31" s="326"/>
      <c r="F31" s="326"/>
      <c r="G31" s="10"/>
      <c r="H31" s="199">
        <v>673253.12040999997</v>
      </c>
      <c r="I31" s="199">
        <v>388851.21723157429</v>
      </c>
      <c r="J31" s="199">
        <v>0</v>
      </c>
      <c r="K31" s="200"/>
      <c r="L31" s="199">
        <v>255143.52854515717</v>
      </c>
      <c r="M31" s="199">
        <v>49239.886613348586</v>
      </c>
      <c r="N31" s="199">
        <v>0</v>
      </c>
      <c r="O31" s="200"/>
      <c r="P31" s="199">
        <v>244540.50260884629</v>
      </c>
      <c r="Q31" s="199">
        <v>50974.291462102032</v>
      </c>
      <c r="R31" s="199">
        <v>0</v>
      </c>
      <c r="S31" s="203"/>
      <c r="T31" s="9"/>
      <c r="U31" s="9"/>
      <c r="V31" s="9"/>
      <c r="W31" s="9"/>
    </row>
    <row r="32" spans="1:23" outlineLevel="1" x14ac:dyDescent="0.2">
      <c r="A32" s="9"/>
      <c r="B32" s="9"/>
      <c r="C32" s="492" t="str">
        <f>Tariffs!C32</f>
        <v>Daily demand connection charge (kVA)</v>
      </c>
      <c r="D32" s="551" t="str">
        <f>Tariffs!D32</f>
        <v>Demand</v>
      </c>
      <c r="E32" s="326"/>
      <c r="F32" s="326"/>
      <c r="G32" s="10"/>
      <c r="H32" s="199">
        <v>130149.31350000002</v>
      </c>
      <c r="I32" s="199">
        <v>0</v>
      </c>
      <c r="J32" s="199">
        <v>0</v>
      </c>
      <c r="K32" s="200"/>
      <c r="L32" s="199">
        <v>133981.16990000001</v>
      </c>
      <c r="M32" s="199">
        <v>0</v>
      </c>
      <c r="N32" s="199">
        <v>0</v>
      </c>
      <c r="O32" s="200"/>
      <c r="P32" s="199">
        <v>132419.73700000002</v>
      </c>
      <c r="Q32" s="199">
        <v>0</v>
      </c>
      <c r="R32" s="199">
        <v>0</v>
      </c>
      <c r="S32" s="203"/>
      <c r="T32" s="9"/>
      <c r="U32" s="9"/>
      <c r="V32" s="9"/>
      <c r="W32" s="9"/>
    </row>
    <row r="33" spans="1:23" outlineLevel="1" x14ac:dyDescent="0.2">
      <c r="A33" s="9"/>
      <c r="B33" s="9"/>
      <c r="C33" s="492" t="str">
        <f>Tariffs!C33</f>
        <v>Excess daily demand connection charge (kVA)</v>
      </c>
      <c r="D33" s="551" t="str">
        <f>Tariffs!D33</f>
        <v>Demand</v>
      </c>
      <c r="E33" s="326"/>
      <c r="F33" s="326"/>
      <c r="G33" s="10"/>
      <c r="H33" s="199">
        <v>7017.4510799999998</v>
      </c>
      <c r="I33" s="199">
        <v>0</v>
      </c>
      <c r="J33" s="199">
        <v>0</v>
      </c>
      <c r="K33" s="200"/>
      <c r="L33" s="199">
        <v>0</v>
      </c>
      <c r="M33" s="199">
        <v>0</v>
      </c>
      <c r="N33" s="199">
        <v>0</v>
      </c>
      <c r="O33" s="200"/>
      <c r="P33" s="199">
        <v>0</v>
      </c>
      <c r="Q33" s="199">
        <v>0</v>
      </c>
      <c r="R33" s="199">
        <v>0</v>
      </c>
      <c r="S33" s="203"/>
      <c r="T33" s="9"/>
      <c r="U33" s="9"/>
      <c r="V33" s="9"/>
      <c r="W33" s="9"/>
    </row>
    <row r="34" spans="1:23" outlineLevel="1" x14ac:dyDescent="0.2">
      <c r="A34" s="9"/>
      <c r="B34" s="9"/>
      <c r="C34" s="492" t="str">
        <f>Tariffs!C34</f>
        <v>All demand (Lamps)</v>
      </c>
      <c r="D34" s="551" t="str">
        <f>Tariffs!D34</f>
        <v>Demand</v>
      </c>
      <c r="E34" s="326"/>
      <c r="F34" s="326"/>
      <c r="G34" s="10"/>
      <c r="H34" s="199">
        <v>1073406.1787064001</v>
      </c>
      <c r="I34" s="199">
        <v>362448.83956320008</v>
      </c>
      <c r="J34" s="199">
        <v>0</v>
      </c>
      <c r="K34" s="200"/>
      <c r="L34" s="199">
        <v>1135461.7091592061</v>
      </c>
      <c r="M34" s="199">
        <v>328326.27734724036</v>
      </c>
      <c r="N34" s="199">
        <v>0</v>
      </c>
      <c r="O34" s="200"/>
      <c r="P34" s="199">
        <v>1112056.1369067715</v>
      </c>
      <c r="Q34" s="199">
        <v>344207.85189971491</v>
      </c>
      <c r="R34" s="199">
        <v>0</v>
      </c>
      <c r="S34" s="203"/>
      <c r="T34" s="9"/>
      <c r="U34" s="9"/>
      <c r="V34" s="9"/>
      <c r="W34" s="9"/>
    </row>
    <row r="35" spans="1:23" outlineLevel="1" x14ac:dyDescent="0.2">
      <c r="A35" s="9"/>
      <c r="B35" s="9"/>
      <c r="C35" s="492">
        <f>Tariffs!C35</f>
        <v>0</v>
      </c>
      <c r="D35" s="551">
        <f>Tariffs!D35</f>
        <v>0</v>
      </c>
      <c r="E35" s="326"/>
      <c r="F35" s="326"/>
      <c r="G35" s="10"/>
      <c r="H35" s="199">
        <v>0</v>
      </c>
      <c r="I35" s="199">
        <v>0</v>
      </c>
      <c r="J35" s="199">
        <v>0</v>
      </c>
      <c r="K35" s="200"/>
      <c r="L35" s="199">
        <v>0</v>
      </c>
      <c r="M35" s="199">
        <v>0</v>
      </c>
      <c r="N35" s="199">
        <v>0</v>
      </c>
      <c r="O35" s="200"/>
      <c r="P35" s="199">
        <v>0</v>
      </c>
      <c r="Q35" s="199">
        <v>0</v>
      </c>
      <c r="R35" s="199">
        <v>0</v>
      </c>
      <c r="S35" s="203"/>
      <c r="T35" s="9"/>
      <c r="U35" s="9"/>
      <c r="V35" s="9"/>
      <c r="W35" s="9"/>
    </row>
    <row r="36" spans="1:23" hidden="1" outlineLevel="2" x14ac:dyDescent="0.2">
      <c r="A36" s="9"/>
      <c r="B36" s="9"/>
      <c r="C36" s="492">
        <f>Tariffs!C36</f>
        <v>0</v>
      </c>
      <c r="D36" s="551">
        <f>Tariffs!D36</f>
        <v>0</v>
      </c>
      <c r="E36" s="326"/>
      <c r="F36" s="326"/>
      <c r="G36" s="10"/>
      <c r="H36" s="199">
        <v>0</v>
      </c>
      <c r="I36" s="199">
        <v>0</v>
      </c>
      <c r="J36" s="199">
        <v>0</v>
      </c>
      <c r="K36" s="200"/>
      <c r="L36" s="199">
        <v>0</v>
      </c>
      <c r="M36" s="199">
        <v>0</v>
      </c>
      <c r="N36" s="199">
        <v>0</v>
      </c>
      <c r="O36" s="200"/>
      <c r="P36" s="199">
        <v>0</v>
      </c>
      <c r="Q36" s="199">
        <v>0</v>
      </c>
      <c r="R36" s="199">
        <v>0</v>
      </c>
      <c r="S36" s="203"/>
      <c r="T36" s="9"/>
      <c r="U36" s="9"/>
      <c r="V36" s="9"/>
      <c r="W36" s="9"/>
    </row>
    <row r="37" spans="1:23" hidden="1" outlineLevel="2" x14ac:dyDescent="0.2">
      <c r="A37" s="9"/>
      <c r="B37" s="9"/>
      <c r="C37" s="492">
        <f>Tariffs!C37</f>
        <v>0</v>
      </c>
      <c r="D37" s="551">
        <f>Tariffs!D37</f>
        <v>0</v>
      </c>
      <c r="E37" s="326"/>
      <c r="F37" s="326"/>
      <c r="G37" s="10"/>
      <c r="H37" s="199">
        <v>0</v>
      </c>
      <c r="I37" s="199">
        <v>0</v>
      </c>
      <c r="J37" s="199">
        <v>0</v>
      </c>
      <c r="K37" s="200"/>
      <c r="L37" s="199">
        <v>0</v>
      </c>
      <c r="M37" s="199">
        <v>0</v>
      </c>
      <c r="N37" s="199">
        <v>0</v>
      </c>
      <c r="O37" s="200"/>
      <c r="P37" s="199">
        <v>0</v>
      </c>
      <c r="Q37" s="199">
        <v>0</v>
      </c>
      <c r="R37" s="199">
        <v>0</v>
      </c>
      <c r="S37" s="203"/>
      <c r="T37" s="9"/>
      <c r="U37" s="9"/>
      <c r="V37" s="9"/>
      <c r="W37" s="9"/>
    </row>
    <row r="38" spans="1:23" hidden="1" outlineLevel="2" x14ac:dyDescent="0.2">
      <c r="A38" s="9"/>
      <c r="B38" s="9"/>
      <c r="C38" s="492">
        <f>Tariffs!C38</f>
        <v>0</v>
      </c>
      <c r="D38" s="551">
        <f>Tariffs!D38</f>
        <v>0</v>
      </c>
      <c r="E38" s="326"/>
      <c r="F38" s="326"/>
      <c r="G38" s="10"/>
      <c r="H38" s="199">
        <v>0</v>
      </c>
      <c r="I38" s="199">
        <v>0</v>
      </c>
      <c r="J38" s="199">
        <v>0</v>
      </c>
      <c r="K38" s="200"/>
      <c r="L38" s="199">
        <v>0</v>
      </c>
      <c r="M38" s="199">
        <v>0</v>
      </c>
      <c r="N38" s="199">
        <v>0</v>
      </c>
      <c r="O38" s="200"/>
      <c r="P38" s="199">
        <v>0</v>
      </c>
      <c r="Q38" s="199">
        <v>0</v>
      </c>
      <c r="R38" s="199">
        <v>0</v>
      </c>
      <c r="S38" s="203"/>
      <c r="T38" s="9"/>
      <c r="U38" s="9"/>
      <c r="V38" s="9"/>
      <c r="W38" s="9"/>
    </row>
    <row r="39" spans="1:23" hidden="1" outlineLevel="2" x14ac:dyDescent="0.2">
      <c r="A39" s="9"/>
      <c r="B39" s="9"/>
      <c r="C39" s="492">
        <f>Tariffs!C39</f>
        <v>0</v>
      </c>
      <c r="D39" s="551">
        <f>Tariffs!D39</f>
        <v>0</v>
      </c>
      <c r="E39" s="326"/>
      <c r="F39" s="326"/>
      <c r="G39" s="10"/>
      <c r="H39" s="199">
        <v>0</v>
      </c>
      <c r="I39" s="199">
        <v>0</v>
      </c>
      <c r="J39" s="199">
        <v>0</v>
      </c>
      <c r="K39" s="200"/>
      <c r="L39" s="199">
        <v>0</v>
      </c>
      <c r="M39" s="199">
        <v>0</v>
      </c>
      <c r="N39" s="199">
        <v>0</v>
      </c>
      <c r="O39" s="200"/>
      <c r="P39" s="199">
        <v>0</v>
      </c>
      <c r="Q39" s="199">
        <v>0</v>
      </c>
      <c r="R39" s="199">
        <v>0</v>
      </c>
      <c r="S39" s="203"/>
      <c r="T39" s="9"/>
      <c r="U39" s="9"/>
      <c r="V39" s="9"/>
      <c r="W39" s="9"/>
    </row>
    <row r="40" spans="1:23" hidden="1" outlineLevel="2" x14ac:dyDescent="0.2">
      <c r="A40" s="9"/>
      <c r="B40" s="9"/>
      <c r="C40" s="492">
        <f>Tariffs!C40</f>
        <v>0</v>
      </c>
      <c r="D40" s="551">
        <f>Tariffs!D40</f>
        <v>0</v>
      </c>
      <c r="E40" s="326"/>
      <c r="F40" s="326"/>
      <c r="G40" s="10"/>
      <c r="H40" s="199">
        <v>0</v>
      </c>
      <c r="I40" s="199">
        <v>0</v>
      </c>
      <c r="J40" s="199">
        <v>0</v>
      </c>
      <c r="K40" s="200"/>
      <c r="L40" s="199">
        <v>0</v>
      </c>
      <c r="M40" s="199">
        <v>0</v>
      </c>
      <c r="N40" s="199">
        <v>0</v>
      </c>
      <c r="O40" s="200"/>
      <c r="P40" s="199">
        <v>0</v>
      </c>
      <c r="Q40" s="199">
        <v>0</v>
      </c>
      <c r="R40" s="199">
        <v>0</v>
      </c>
      <c r="S40" s="203"/>
      <c r="T40" s="9"/>
      <c r="U40" s="9"/>
      <c r="V40" s="9"/>
      <c r="W40" s="9"/>
    </row>
    <row r="41" spans="1:23" hidden="1" outlineLevel="2" x14ac:dyDescent="0.2">
      <c r="A41" s="9"/>
      <c r="B41" s="9"/>
      <c r="C41" s="492">
        <f>Tariffs!C41</f>
        <v>0</v>
      </c>
      <c r="D41" s="551">
        <f>Tariffs!D41</f>
        <v>0</v>
      </c>
      <c r="E41" s="326"/>
      <c r="F41" s="326"/>
      <c r="G41" s="10"/>
      <c r="H41" s="199">
        <v>0</v>
      </c>
      <c r="I41" s="199">
        <v>0</v>
      </c>
      <c r="J41" s="199">
        <v>0</v>
      </c>
      <c r="K41" s="200"/>
      <c r="L41" s="199">
        <v>0</v>
      </c>
      <c r="M41" s="199">
        <v>0</v>
      </c>
      <c r="N41" s="199">
        <v>0</v>
      </c>
      <c r="O41" s="200"/>
      <c r="P41" s="199">
        <v>0</v>
      </c>
      <c r="Q41" s="199">
        <v>0</v>
      </c>
      <c r="R41" s="199">
        <v>0</v>
      </c>
      <c r="S41" s="203"/>
      <c r="T41" s="9"/>
      <c r="U41" s="9"/>
      <c r="V41" s="9"/>
      <c r="W41" s="9"/>
    </row>
    <row r="42" spans="1:23" outlineLevel="1" collapsed="1" x14ac:dyDescent="0.2">
      <c r="A42" s="9"/>
      <c r="B42" s="9"/>
      <c r="C42" s="9"/>
      <c r="D42" s="10"/>
      <c r="E42" s="10"/>
      <c r="F42" s="10"/>
      <c r="G42" s="10"/>
      <c r="H42" s="200"/>
      <c r="I42" s="200"/>
      <c r="J42" s="200"/>
      <c r="K42" s="200"/>
      <c r="L42" s="200"/>
      <c r="M42" s="200"/>
      <c r="N42" s="200"/>
      <c r="O42" s="200"/>
      <c r="P42" s="203"/>
      <c r="Q42" s="203"/>
      <c r="R42" s="203"/>
      <c r="S42" s="203"/>
      <c r="T42" s="9"/>
      <c r="U42" s="9"/>
      <c r="V42" s="9"/>
      <c r="W42" s="9"/>
    </row>
    <row r="43" spans="1:23" x14ac:dyDescent="0.2">
      <c r="A43" s="9"/>
      <c r="B43" s="9"/>
      <c r="C43" s="9"/>
      <c r="D43" s="10"/>
      <c r="E43" s="10"/>
      <c r="F43" s="10"/>
      <c r="G43" s="10"/>
      <c r="H43" s="200"/>
      <c r="I43" s="200"/>
      <c r="J43" s="200"/>
      <c r="K43" s="200"/>
      <c r="L43" s="200"/>
      <c r="M43" s="200"/>
      <c r="N43" s="200"/>
      <c r="O43" s="200"/>
      <c r="P43" s="203"/>
      <c r="Q43" s="203"/>
      <c r="R43" s="203"/>
      <c r="S43" s="203"/>
      <c r="T43" s="9"/>
      <c r="U43" s="9"/>
      <c r="V43" s="9"/>
      <c r="W43" s="9"/>
    </row>
    <row r="44" spans="1:23" ht="12.75" x14ac:dyDescent="0.2">
      <c r="A44" s="11"/>
      <c r="B44" s="12" t="s">
        <v>689</v>
      </c>
      <c r="C44" s="11"/>
      <c r="D44" s="32" t="s">
        <v>199</v>
      </c>
      <c r="E44" s="32" t="str">
        <f>tariffid1</f>
        <v>Code</v>
      </c>
      <c r="F44" s="32" t="str">
        <f>tariffid2</f>
        <v>Trans. Node</v>
      </c>
      <c r="G44" s="32"/>
      <c r="H44" s="689" t="str">
        <f>previousyear</f>
        <v>2020–21</v>
      </c>
      <c r="I44" s="689"/>
      <c r="J44" s="689"/>
      <c r="K44" s="34"/>
      <c r="L44" s="689" t="str">
        <f>currentyear</f>
        <v>2021–22</v>
      </c>
      <c r="M44" s="689"/>
      <c r="N44" s="689"/>
      <c r="O44" s="34"/>
      <c r="P44" s="690" t="str">
        <f>forecastyear</f>
        <v>2022–23</v>
      </c>
      <c r="Q44" s="690"/>
      <c r="R44" s="690"/>
      <c r="S44" s="35"/>
      <c r="T44" s="15"/>
      <c r="U44" s="15"/>
      <c r="V44" s="15"/>
      <c r="W44" s="15"/>
    </row>
    <row r="45" spans="1:23" outlineLevel="1" x14ac:dyDescent="0.2">
      <c r="A45" s="19"/>
      <c r="B45" s="19"/>
      <c r="C45" s="36"/>
      <c r="D45" s="20"/>
      <c r="E45" s="20"/>
      <c r="F45" s="20"/>
      <c r="G45" s="20"/>
      <c r="H45" s="10" t="s">
        <v>136</v>
      </c>
      <c r="I45" s="10" t="s">
        <v>137</v>
      </c>
      <c r="J45" s="10" t="s">
        <v>138</v>
      </c>
      <c r="K45" s="10"/>
      <c r="L45" s="10" t="str">
        <f>H45</f>
        <v>Distribution</v>
      </c>
      <c r="M45" s="10" t="str">
        <f>I45</f>
        <v>DPPC</v>
      </c>
      <c r="N45" s="10" t="str">
        <f>J45</f>
        <v>JSA</v>
      </c>
      <c r="O45" s="10"/>
      <c r="P45" s="50" t="str">
        <f>H45</f>
        <v>Distribution</v>
      </c>
      <c r="Q45" s="50" t="str">
        <f>I45</f>
        <v>DPPC</v>
      </c>
      <c r="R45" s="50" t="str">
        <f>J45</f>
        <v>JSA</v>
      </c>
      <c r="S45" s="37"/>
      <c r="T45" s="19"/>
      <c r="U45" s="19"/>
      <c r="V45" s="19"/>
      <c r="W45" s="19"/>
    </row>
    <row r="46" spans="1:23" s="59" customFormat="1" outlineLevel="1" x14ac:dyDescent="0.2">
      <c r="A46" s="57"/>
      <c r="B46" s="57"/>
      <c r="C46" s="492" t="str">
        <f>IF(Tariffs!C46=0, IF(Tariffs!H46=0,0,Tariffs!H46&amp;" (historical)"),Tariffs!C46)</f>
        <v>Residential time of use consumption</v>
      </c>
      <c r="D46" s="552" t="str">
        <f>Tariffs!D46</f>
        <v>Residential</v>
      </c>
      <c r="E46" s="552" t="str">
        <f>Tariffs!E46</f>
        <v>TAS93</v>
      </c>
      <c r="F46" s="552">
        <f>Tariffs!F46</f>
        <v>0</v>
      </c>
      <c r="G46" s="58"/>
      <c r="H46" s="199">
        <f>'Hist. revenue'!$AC245</f>
        <v>20021420.13428444</v>
      </c>
      <c r="I46" s="199">
        <f>'Hist. revenue'!$AC323</f>
        <v>4632413.8662833069</v>
      </c>
      <c r="J46" s="199">
        <f>'Hist. revenue'!$AC401</f>
        <v>0</v>
      </c>
      <c r="K46" s="200"/>
      <c r="L46" s="199">
        <f>'Hist. revenue'!$AC8</f>
        <v>31074720.756641909</v>
      </c>
      <c r="M46" s="199">
        <f>'Hist. revenue'!$AC86</f>
        <v>6351470.8276176518</v>
      </c>
      <c r="N46" s="199">
        <f>'Hist. revenue'!$AC164</f>
        <v>0</v>
      </c>
      <c r="O46" s="200"/>
      <c r="P46" s="199">
        <f>'Prop. revenue'!$AC8</f>
        <v>36671676.59731701</v>
      </c>
      <c r="Q46" s="199">
        <f>'Prop. revenue'!$AC86</f>
        <v>8031377.6459358167</v>
      </c>
      <c r="R46" s="199">
        <f>'Prop. revenue'!$AC164</f>
        <v>0</v>
      </c>
      <c r="S46" s="202"/>
      <c r="T46" s="57"/>
      <c r="U46" s="57"/>
      <c r="V46" s="57"/>
      <c r="W46" s="57"/>
    </row>
    <row r="47" spans="1:23" outlineLevel="1" x14ac:dyDescent="0.2">
      <c r="A47" s="19"/>
      <c r="B47" s="19"/>
      <c r="C47" s="492" t="str">
        <f>IF(Tariffs!C47=0, IF(Tariffs!H47=0,0,Tariffs!H47&amp;" (historical)"),Tariffs!C47)</f>
        <v>Residential general light and power</v>
      </c>
      <c r="D47" s="552" t="str">
        <f>Tariffs!D47</f>
        <v>Residential</v>
      </c>
      <c r="E47" s="552" t="str">
        <f>Tariffs!E47</f>
        <v>TAS31</v>
      </c>
      <c r="F47" s="552">
        <f>Tariffs!F47</f>
        <v>0</v>
      </c>
      <c r="G47" s="58"/>
      <c r="H47" s="199">
        <f>'Hist. revenue'!$AC246</f>
        <v>95339773.33573088</v>
      </c>
      <c r="I47" s="199">
        <f>'Hist. revenue'!$AC324</f>
        <v>17013444.425717685</v>
      </c>
      <c r="J47" s="199">
        <f>'Hist. revenue'!$AC402</f>
        <v>0</v>
      </c>
      <c r="K47" s="200"/>
      <c r="L47" s="199">
        <f>'Hist. revenue'!$AC9</f>
        <v>90579248.508473754</v>
      </c>
      <c r="M47" s="199">
        <f>'Hist. revenue'!$AC87</f>
        <v>14094021.448765529</v>
      </c>
      <c r="N47" s="199">
        <f>'Hist. revenue'!$AC165</f>
        <v>0</v>
      </c>
      <c r="O47" s="200"/>
      <c r="P47" s="199">
        <f>'Prop. revenue'!$AC9</f>
        <v>84409323.742472708</v>
      </c>
      <c r="Q47" s="199">
        <f>'Prop. revenue'!$AC87</f>
        <v>14287976.604737857</v>
      </c>
      <c r="R47" s="199">
        <f>'Prop. revenue'!$AC165</f>
        <v>0</v>
      </c>
      <c r="S47" s="182"/>
      <c r="T47" s="19"/>
      <c r="U47" s="19"/>
      <c r="V47" s="19"/>
      <c r="W47" s="19"/>
    </row>
    <row r="48" spans="1:23" outlineLevel="1" x14ac:dyDescent="0.2">
      <c r="A48" s="19"/>
      <c r="B48" s="19"/>
      <c r="C48" s="492" t="str">
        <f>IF(Tariffs!C48=0, IF(Tariffs!H48=0,0,Tariffs!H48&amp;" (historical)"),Tariffs!C48)</f>
        <v>Residential time of use demand</v>
      </c>
      <c r="D48" s="552" t="str">
        <f>Tariffs!D48</f>
        <v>Residential</v>
      </c>
      <c r="E48" s="552" t="str">
        <f>Tariffs!E48</f>
        <v>TAS87</v>
      </c>
      <c r="F48" s="552">
        <f>Tariffs!F48</f>
        <v>0</v>
      </c>
      <c r="G48" s="58"/>
      <c r="H48" s="199">
        <f>'Hist. revenue'!$AC247</f>
        <v>211.67544000000001</v>
      </c>
      <c r="I48" s="199">
        <f>'Hist. revenue'!$AC325</f>
        <v>0</v>
      </c>
      <c r="J48" s="199">
        <f>'Hist. revenue'!$AC403</f>
        <v>0</v>
      </c>
      <c r="K48" s="200"/>
      <c r="L48" s="199">
        <f>'Hist. revenue'!$AC10</f>
        <v>3837.7558737777481</v>
      </c>
      <c r="M48" s="199">
        <f>'Hist. revenue'!$AC88</f>
        <v>853.20052673545104</v>
      </c>
      <c r="N48" s="199">
        <f>'Hist. revenue'!$AC166</f>
        <v>0</v>
      </c>
      <c r="O48" s="200"/>
      <c r="P48" s="199">
        <f>'Prop. revenue'!$AC10</f>
        <v>0</v>
      </c>
      <c r="Q48" s="199">
        <f>'Prop. revenue'!$AC88</f>
        <v>0</v>
      </c>
      <c r="R48" s="199">
        <f>'Prop. revenue'!$AC166</f>
        <v>0</v>
      </c>
      <c r="S48" s="182"/>
      <c r="T48" s="19"/>
      <c r="U48" s="19"/>
      <c r="V48" s="19"/>
      <c r="W48" s="19"/>
    </row>
    <row r="49" spans="1:23" outlineLevel="1" x14ac:dyDescent="0.2">
      <c r="A49" s="19"/>
      <c r="B49" s="19"/>
      <c r="C49" s="492" t="str">
        <f>IF(Tariffs!C49=0, IF(Tariffs!H49=0,0,Tariffs!H49&amp;" (historical)"),Tariffs!C49)</f>
        <v>Residential time of use demand DER</v>
      </c>
      <c r="D49" s="552" t="str">
        <f>Tariffs!D49</f>
        <v>Residential</v>
      </c>
      <c r="E49" s="552" t="str">
        <f>Tariffs!E49</f>
        <v>TAS97</v>
      </c>
      <c r="F49" s="552">
        <f>Tariffs!F49</f>
        <v>0</v>
      </c>
      <c r="G49" s="58"/>
      <c r="H49" s="199">
        <f>'Hist. revenue'!$AC248</f>
        <v>0</v>
      </c>
      <c r="I49" s="199">
        <f>'Hist. revenue'!$AC326</f>
        <v>0</v>
      </c>
      <c r="J49" s="199">
        <f>'Hist. revenue'!$AC404</f>
        <v>0</v>
      </c>
      <c r="K49" s="200"/>
      <c r="L49" s="199">
        <f>'Hist. revenue'!$AC11</f>
        <v>0</v>
      </c>
      <c r="M49" s="199">
        <f>'Hist. revenue'!$AC89</f>
        <v>0</v>
      </c>
      <c r="N49" s="199">
        <f>'Hist. revenue'!$AC167</f>
        <v>0</v>
      </c>
      <c r="O49" s="200"/>
      <c r="P49" s="199">
        <f>'Prop. revenue'!$AC11</f>
        <v>0</v>
      </c>
      <c r="Q49" s="199">
        <f>'Prop. revenue'!$AC89</f>
        <v>0</v>
      </c>
      <c r="R49" s="199">
        <f>'Prop. revenue'!$AC167</f>
        <v>0</v>
      </c>
      <c r="S49" s="182"/>
      <c r="T49" s="19"/>
      <c r="U49" s="19"/>
      <c r="V49" s="19"/>
      <c r="W49" s="19"/>
    </row>
    <row r="50" spans="1:23" outlineLevel="1" x14ac:dyDescent="0.2">
      <c r="A50" s="19"/>
      <c r="B50" s="19"/>
      <c r="C50" s="492" t="str">
        <f>IF(Tariffs!C50=0, IF(Tariffs!H50=0,0,Tariffs!H50&amp;" (historical)"),Tariffs!C50)</f>
        <v>Residential pay as you go</v>
      </c>
      <c r="D50" s="552" t="str">
        <f>Tariffs!D50</f>
        <v>Residential</v>
      </c>
      <c r="E50" s="552" t="str">
        <f>Tariffs!E50</f>
        <v>TAS101</v>
      </c>
      <c r="F50" s="552">
        <f>Tariffs!F50</f>
        <v>0</v>
      </c>
      <c r="G50" s="58"/>
      <c r="H50" s="199">
        <f>'Hist. revenue'!$AC249</f>
        <v>16076.41302</v>
      </c>
      <c r="I50" s="199">
        <f>'Hist. revenue'!$AC327</f>
        <v>1632.3699000000001</v>
      </c>
      <c r="J50" s="199">
        <f>'Hist. revenue'!$AC405</f>
        <v>0</v>
      </c>
      <c r="K50" s="200"/>
      <c r="L50" s="199">
        <f>'Hist. revenue'!$AC12</f>
        <v>6756.2463434985166</v>
      </c>
      <c r="M50" s="199">
        <f>'Hist. revenue'!$AC90</f>
        <v>1039.2562578591358</v>
      </c>
      <c r="N50" s="199">
        <f>'Hist. revenue'!$AC168</f>
        <v>0</v>
      </c>
      <c r="O50" s="200"/>
      <c r="P50" s="199">
        <f>'Prop. revenue'!$AC12</f>
        <v>0</v>
      </c>
      <c r="Q50" s="199">
        <f>'Prop. revenue'!$AC90</f>
        <v>0</v>
      </c>
      <c r="R50" s="199">
        <f>'Prop. revenue'!$AC168</f>
        <v>0</v>
      </c>
      <c r="S50" s="182"/>
      <c r="T50" s="19"/>
      <c r="U50" s="19"/>
      <c r="V50" s="19"/>
      <c r="W50" s="19"/>
    </row>
    <row r="51" spans="1:23" outlineLevel="1" x14ac:dyDescent="0.2">
      <c r="A51" s="19"/>
      <c r="B51" s="19"/>
      <c r="C51" s="492" t="str">
        <f>IF(Tariffs!C51=0, IF(Tariffs!H51=0,0,Tariffs!H51&amp;" (historical)"),Tariffs!C51)</f>
        <v>Residential pay as you go time of use</v>
      </c>
      <c r="D51" s="552" t="str">
        <f>Tariffs!D51</f>
        <v>Residential</v>
      </c>
      <c r="E51" s="552" t="str">
        <f>Tariffs!E51</f>
        <v>TAS92</v>
      </c>
      <c r="F51" s="552">
        <f>Tariffs!F51</f>
        <v>0</v>
      </c>
      <c r="G51" s="58"/>
      <c r="H51" s="199">
        <f>'Hist. revenue'!$AC250</f>
        <v>0</v>
      </c>
      <c r="I51" s="199">
        <f>'Hist. revenue'!$AC328</f>
        <v>0</v>
      </c>
      <c r="J51" s="199">
        <f>'Hist. revenue'!$AC406</f>
        <v>0</v>
      </c>
      <c r="K51" s="200"/>
      <c r="L51" s="199">
        <f>'Hist. revenue'!$AC13</f>
        <v>0</v>
      </c>
      <c r="M51" s="199">
        <f>'Hist. revenue'!$AC91</f>
        <v>0</v>
      </c>
      <c r="N51" s="199">
        <f>'Hist. revenue'!$AC169</f>
        <v>0</v>
      </c>
      <c r="O51" s="200"/>
      <c r="P51" s="199">
        <f>'Prop. revenue'!$AC13</f>
        <v>0</v>
      </c>
      <c r="Q51" s="199">
        <f>'Prop. revenue'!$AC91</f>
        <v>0</v>
      </c>
      <c r="R51" s="199">
        <f>'Prop. revenue'!$AC169</f>
        <v>0</v>
      </c>
      <c r="S51" s="182"/>
      <c r="T51" s="19"/>
      <c r="U51" s="19"/>
      <c r="V51" s="19"/>
      <c r="W51" s="19"/>
    </row>
    <row r="52" spans="1:23" outlineLevel="1" x14ac:dyDescent="0.2">
      <c r="A52" s="19"/>
      <c r="B52" s="19"/>
      <c r="C52" s="492" t="str">
        <f>IF(Tariffs!C52=0, IF(Tariffs!H52=0,0,Tariffs!H52&amp;" (historical)"),Tariffs!C52)</f>
        <v>Small business time of use consumption</v>
      </c>
      <c r="D52" s="552" t="str">
        <f>Tariffs!D52</f>
        <v>Small Business LV</v>
      </c>
      <c r="E52" s="552" t="str">
        <f>Tariffs!E52</f>
        <v>TAS94</v>
      </c>
      <c r="F52" s="552">
        <f>Tariffs!F52</f>
        <v>0</v>
      </c>
      <c r="G52" s="58"/>
      <c r="H52" s="199">
        <f>'Hist. revenue'!$AC251</f>
        <v>24621149.958341736</v>
      </c>
      <c r="I52" s="199">
        <f>'Hist. revenue'!$AC329</f>
        <v>7614013.0465507405</v>
      </c>
      <c r="J52" s="199">
        <f>'Hist. revenue'!$AC407</f>
        <v>0</v>
      </c>
      <c r="K52" s="200"/>
      <c r="L52" s="199">
        <f>'Hist. revenue'!$AC14</f>
        <v>28475602.235444147</v>
      </c>
      <c r="M52" s="199">
        <f>'Hist. revenue'!$AC92</f>
        <v>7463422.0107377842</v>
      </c>
      <c r="N52" s="199">
        <f>'Hist. revenue'!$AC170</f>
        <v>0</v>
      </c>
      <c r="O52" s="200"/>
      <c r="P52" s="199">
        <f>'Prop. revenue'!$AC14</f>
        <v>29888901.875166126</v>
      </c>
      <c r="Q52" s="199">
        <f>'Prop. revenue'!$AC92</f>
        <v>8209065.929142708</v>
      </c>
      <c r="R52" s="199">
        <f>'Prop. revenue'!$AC170</f>
        <v>0</v>
      </c>
      <c r="S52" s="182"/>
      <c r="T52" s="19"/>
      <c r="U52" s="19"/>
      <c r="V52" s="19"/>
      <c r="W52" s="19"/>
    </row>
    <row r="53" spans="1:23" outlineLevel="1" x14ac:dyDescent="0.2">
      <c r="A53" s="19"/>
      <c r="B53" s="19"/>
      <c r="C53" s="492" t="str">
        <f>IF(Tariffs!C53=0, IF(Tariffs!H53=0,0,Tariffs!H53&amp;" (historical)"),Tariffs!C53)</f>
        <v>Small business general light and power</v>
      </c>
      <c r="D53" s="552" t="str">
        <f>Tariffs!D53</f>
        <v>Small Business LV</v>
      </c>
      <c r="E53" s="552" t="str">
        <f>Tariffs!E53</f>
        <v>TAS22</v>
      </c>
      <c r="F53" s="552">
        <f>Tariffs!F53</f>
        <v>0</v>
      </c>
      <c r="G53" s="58"/>
      <c r="H53" s="199">
        <f>'Hist. revenue'!$AC252</f>
        <v>22303261.275217358</v>
      </c>
      <c r="I53" s="199">
        <f>'Hist. revenue'!$AC330</f>
        <v>5055028.9826429784</v>
      </c>
      <c r="J53" s="199">
        <f>'Hist. revenue'!$AC408</f>
        <v>0</v>
      </c>
      <c r="K53" s="200"/>
      <c r="L53" s="199">
        <f>'Hist. revenue'!$AC15</f>
        <v>23204476.98575332</v>
      </c>
      <c r="M53" s="199">
        <f>'Hist. revenue'!$AC93</f>
        <v>4644053.1364732925</v>
      </c>
      <c r="N53" s="199">
        <f>'Hist. revenue'!$AC171</f>
        <v>0</v>
      </c>
      <c r="O53" s="200"/>
      <c r="P53" s="199">
        <f>'Prop. revenue'!$AC15</f>
        <v>22265821.101471152</v>
      </c>
      <c r="Q53" s="199">
        <f>'Prop. revenue'!$AC93</f>
        <v>4710591.744259052</v>
      </c>
      <c r="R53" s="199">
        <f>'Prop. revenue'!$AC171</f>
        <v>0</v>
      </c>
      <c r="S53" s="182"/>
      <c r="T53" s="19"/>
      <c r="U53" s="19"/>
      <c r="V53" s="19"/>
      <c r="W53" s="19"/>
    </row>
    <row r="54" spans="1:23" outlineLevel="1" x14ac:dyDescent="0.2">
      <c r="A54" s="19"/>
      <c r="B54" s="19"/>
      <c r="C54" s="492" t="str">
        <f>IF(Tariffs!C54=0, IF(Tariffs!H54=0,0,Tariffs!H54&amp;" (historical)"),Tariffs!C54)</f>
        <v>Small business time of use demand</v>
      </c>
      <c r="D54" s="552" t="str">
        <f>Tariffs!D54</f>
        <v>Small Business LV</v>
      </c>
      <c r="E54" s="552" t="str">
        <f>Tariffs!E54</f>
        <v>TAS88</v>
      </c>
      <c r="F54" s="552">
        <f>Tariffs!F54</f>
        <v>0</v>
      </c>
      <c r="G54" s="58"/>
      <c r="H54" s="199">
        <f>'Hist. revenue'!$AC253</f>
        <v>5228208.6101799998</v>
      </c>
      <c r="I54" s="199">
        <f>'Hist. revenue'!$AC331</f>
        <v>1379725.9653400001</v>
      </c>
      <c r="J54" s="199">
        <f>'Hist. revenue'!$AC409</f>
        <v>0</v>
      </c>
      <c r="K54" s="200"/>
      <c r="L54" s="199">
        <f>'Hist. revenue'!$AC16</f>
        <v>6536996.2724443665</v>
      </c>
      <c r="M54" s="199">
        <f>'Hist. revenue'!$AC94</f>
        <v>1506163.951887174</v>
      </c>
      <c r="N54" s="199">
        <f>'Hist. revenue'!$AC172</f>
        <v>0</v>
      </c>
      <c r="O54" s="200"/>
      <c r="P54" s="199">
        <f>'Prop. revenue'!$AC16</f>
        <v>7260830.3092746213</v>
      </c>
      <c r="Q54" s="199">
        <f>'Prop. revenue'!$AC94</f>
        <v>1769693.6772823194</v>
      </c>
      <c r="R54" s="199">
        <f>'Prop. revenue'!$AC172</f>
        <v>0</v>
      </c>
      <c r="S54" s="182"/>
      <c r="T54" s="19"/>
      <c r="U54" s="19"/>
      <c r="V54" s="19"/>
      <c r="W54" s="19"/>
    </row>
    <row r="55" spans="1:23" outlineLevel="1" x14ac:dyDescent="0.2">
      <c r="A55" s="19"/>
      <c r="B55" s="19"/>
      <c r="C55" s="492" t="str">
        <f>IF(Tariffs!C55=0, IF(Tariffs!H55=0,0,Tariffs!H55&amp;" (historical)"),Tariffs!C55)</f>
        <v>Small business time of use demand DER</v>
      </c>
      <c r="D55" s="552" t="str">
        <f>Tariffs!D55</f>
        <v>Small Business LV</v>
      </c>
      <c r="E55" s="552" t="str">
        <f>Tariffs!E55</f>
        <v>TAS98</v>
      </c>
      <c r="F55" s="552">
        <f>Tariffs!F55</f>
        <v>0</v>
      </c>
      <c r="G55" s="58"/>
      <c r="H55" s="199">
        <f>'Hist. revenue'!$AC254</f>
        <v>862582.63857999991</v>
      </c>
      <c r="I55" s="199">
        <f>'Hist. revenue'!$AC332</f>
        <v>231828.51465999993</v>
      </c>
      <c r="J55" s="199">
        <f>'Hist. revenue'!$AC410</f>
        <v>0</v>
      </c>
      <c r="K55" s="200"/>
      <c r="L55" s="199">
        <f>'Hist. revenue'!$AC17</f>
        <v>1090874.6638358606</v>
      </c>
      <c r="M55" s="199">
        <f>'Hist. revenue'!$AC95</f>
        <v>255554.28529077084</v>
      </c>
      <c r="N55" s="199">
        <f>'Hist. revenue'!$AC173</f>
        <v>0</v>
      </c>
      <c r="O55" s="200"/>
      <c r="P55" s="199">
        <f>'Prop. revenue'!$AC17</f>
        <v>1235347.784450592</v>
      </c>
      <c r="Q55" s="199">
        <f>'Prop. revenue'!$AC95</f>
        <v>306113.41232230538</v>
      </c>
      <c r="R55" s="199">
        <f>'Prop. revenue'!$AC173</f>
        <v>0</v>
      </c>
      <c r="S55" s="182"/>
      <c r="T55" s="19"/>
      <c r="U55" s="19"/>
      <c r="V55" s="19"/>
      <c r="W55" s="19"/>
    </row>
    <row r="56" spans="1:23" outlineLevel="1" x14ac:dyDescent="0.2">
      <c r="A56" s="19"/>
      <c r="B56" s="19"/>
      <c r="C56" s="492" t="str">
        <f>IF(Tariffs!C56=0, IF(Tariffs!H56=0,0,Tariffs!H56&amp;" (historical)"),Tariffs!C56)</f>
        <v>Large business kVA demand</v>
      </c>
      <c r="D56" s="552" t="str">
        <f>Tariffs!D56</f>
        <v>Large Business LV</v>
      </c>
      <c r="E56" s="552" t="str">
        <f>Tariffs!E56</f>
        <v>TAS82</v>
      </c>
      <c r="F56" s="552">
        <f>Tariffs!F56</f>
        <v>0</v>
      </c>
      <c r="G56" s="58"/>
      <c r="H56" s="199">
        <f>'Hist. revenue'!$AC255</f>
        <v>4993619.471880001</v>
      </c>
      <c r="I56" s="199">
        <f>'Hist. revenue'!$AC333</f>
        <v>2776207.2950499998</v>
      </c>
      <c r="J56" s="199">
        <f>'Hist. revenue'!$AC411</f>
        <v>0</v>
      </c>
      <c r="K56" s="200"/>
      <c r="L56" s="199">
        <f>'Hist. revenue'!$AC18</f>
        <v>9362778.5669944212</v>
      </c>
      <c r="M56" s="199">
        <f>'Hist. revenue'!$AC96</f>
        <v>3831905.2528113956</v>
      </c>
      <c r="N56" s="199">
        <f>'Hist. revenue'!$AC174</f>
        <v>0</v>
      </c>
      <c r="O56" s="200"/>
      <c r="P56" s="199">
        <f>'Prop. revenue'!$AC18</f>
        <v>8753590.4246580657</v>
      </c>
      <c r="Q56" s="199">
        <f>'Prop. revenue'!$AC96</f>
        <v>3868254.6783095906</v>
      </c>
      <c r="R56" s="199">
        <f>'Prop. revenue'!$AC174</f>
        <v>0</v>
      </c>
      <c r="S56" s="182"/>
      <c r="T56" s="19"/>
      <c r="U56" s="19"/>
      <c r="V56" s="19"/>
      <c r="W56" s="19"/>
    </row>
    <row r="57" spans="1:23" outlineLevel="1" x14ac:dyDescent="0.2">
      <c r="A57" s="19"/>
      <c r="B57" s="19"/>
      <c r="C57" s="492" t="str">
        <f>IF(Tariffs!C57=0, IF(Tariffs!H57=0,0,Tariffs!H57&amp;" (historical)"),Tariffs!C57)</f>
        <v>Large business time of use demand</v>
      </c>
      <c r="D57" s="552" t="str">
        <f>Tariffs!D57</f>
        <v>Large Business LV</v>
      </c>
      <c r="E57" s="552" t="str">
        <f>Tariffs!E57</f>
        <v>TAS89</v>
      </c>
      <c r="F57" s="552">
        <f>Tariffs!F57</f>
        <v>0</v>
      </c>
      <c r="G57" s="58"/>
      <c r="H57" s="199">
        <f>'Hist. revenue'!$AC256</f>
        <v>5334025.4299600003</v>
      </c>
      <c r="I57" s="199">
        <f>'Hist. revenue'!$AC334</f>
        <v>3336198.5656800005</v>
      </c>
      <c r="J57" s="199">
        <f>'Hist. revenue'!$AC412</f>
        <v>0</v>
      </c>
      <c r="K57" s="200"/>
      <c r="L57" s="199">
        <f>'Hist. revenue'!$AC19</f>
        <v>6082295.9827873092</v>
      </c>
      <c r="M57" s="199">
        <f>'Hist. revenue'!$AC97</f>
        <v>3552620.7055862579</v>
      </c>
      <c r="N57" s="199">
        <f>'Hist. revenue'!$AC175</f>
        <v>0</v>
      </c>
      <c r="O57" s="200"/>
      <c r="P57" s="199">
        <f>'Prop. revenue'!$AC19</f>
        <v>6136315.0727088377</v>
      </c>
      <c r="Q57" s="199">
        <f>'Prop. revenue'!$AC97</f>
        <v>3872973.2061984343</v>
      </c>
      <c r="R57" s="199">
        <f>'Prop. revenue'!$AC175</f>
        <v>0</v>
      </c>
      <c r="S57" s="182"/>
      <c r="T57" s="19"/>
      <c r="U57" s="19"/>
      <c r="V57" s="19"/>
      <c r="W57" s="19"/>
    </row>
    <row r="58" spans="1:23" outlineLevel="1" x14ac:dyDescent="0.2">
      <c r="A58" s="19"/>
      <c r="B58" s="19"/>
      <c r="C58" s="492" t="str">
        <f>IF(Tariffs!C58=0, IF(Tariffs!H58=0,0,Tariffs!H58&amp;" (historical)"),Tariffs!C58)</f>
        <v>Irrigation time of use consumption</v>
      </c>
      <c r="D58" s="552" t="str">
        <f>Tariffs!D58</f>
        <v>Irrigation</v>
      </c>
      <c r="E58" s="552" t="str">
        <f>Tariffs!E58</f>
        <v>TAS75</v>
      </c>
      <c r="F58" s="552">
        <f>Tariffs!F58</f>
        <v>0</v>
      </c>
      <c r="G58" s="58"/>
      <c r="H58" s="199">
        <f>'Hist. revenue'!$AC257</f>
        <v>6659887.7577071795</v>
      </c>
      <c r="I58" s="199">
        <f>'Hist. revenue'!$AC335</f>
        <v>1344317.4302688898</v>
      </c>
      <c r="J58" s="199">
        <f>'Hist. revenue'!$AC413</f>
        <v>0</v>
      </c>
      <c r="K58" s="200"/>
      <c r="L58" s="199">
        <f>'Hist. revenue'!$AC20</f>
        <v>7437814.9702409897</v>
      </c>
      <c r="M58" s="199">
        <f>'Hist. revenue'!$AC98</f>
        <v>1344559.6696949273</v>
      </c>
      <c r="N58" s="199">
        <f>'Hist. revenue'!$AC176</f>
        <v>0</v>
      </c>
      <c r="O58" s="200"/>
      <c r="P58" s="199">
        <f>'Prop. revenue'!$AC20</f>
        <v>7899556.6499676313</v>
      </c>
      <c r="Q58" s="199">
        <f>'Prop. revenue'!$AC98</f>
        <v>1522338.5271899153</v>
      </c>
      <c r="R58" s="199">
        <f>'Prop. revenue'!$AC176</f>
        <v>0</v>
      </c>
      <c r="S58" s="182"/>
      <c r="T58" s="19"/>
      <c r="U58" s="19"/>
      <c r="V58" s="19"/>
      <c r="W58" s="19"/>
    </row>
    <row r="59" spans="1:23" outlineLevel="1" x14ac:dyDescent="0.2">
      <c r="A59" s="19"/>
      <c r="B59" s="19"/>
      <c r="C59" s="492" t="str">
        <f>IF(Tariffs!C59=0, IF(Tariffs!H59=0,0,Tariffs!H59&amp;" (historical)"),Tariffs!C59)</f>
        <v>Business HV kVA specified demand &lt;2MVA</v>
      </c>
      <c r="D59" s="552" t="str">
        <f>Tariffs!D59</f>
        <v>Large Business HV</v>
      </c>
      <c r="E59" s="552" t="str">
        <f>Tariffs!E59</f>
        <v>TASSDM</v>
      </c>
      <c r="F59" s="552">
        <f>Tariffs!F59</f>
        <v>0</v>
      </c>
      <c r="G59" s="58"/>
      <c r="H59" s="199">
        <f>'Hist. revenue'!$AC258</f>
        <v>4692722.3485134216</v>
      </c>
      <c r="I59" s="199">
        <f>'Hist. revenue'!$AC336</f>
        <v>2185215.8887433927</v>
      </c>
      <c r="J59" s="199">
        <f>'Hist. revenue'!$AC414</f>
        <v>0</v>
      </c>
      <c r="K59" s="200"/>
      <c r="L59" s="199">
        <f>'Hist. revenue'!$AC21</f>
        <v>4937540.8240170674</v>
      </c>
      <c r="M59" s="199">
        <f>'Hist. revenue'!$AC99</f>
        <v>2179324.1094720578</v>
      </c>
      <c r="N59" s="199">
        <f>'Hist. revenue'!$AC177</f>
        <v>0</v>
      </c>
      <c r="O59" s="200"/>
      <c r="P59" s="199">
        <f>'Prop. revenue'!$AC21</f>
        <v>4875747.9825157607</v>
      </c>
      <c r="Q59" s="199">
        <f>'Prop. revenue'!$AC99</f>
        <v>2317370.6194314584</v>
      </c>
      <c r="R59" s="199">
        <f>'Prop. revenue'!$AC177</f>
        <v>0</v>
      </c>
      <c r="S59" s="182"/>
      <c r="T59" s="19"/>
      <c r="U59" s="19"/>
      <c r="V59" s="19"/>
      <c r="W59" s="19"/>
    </row>
    <row r="60" spans="1:23" outlineLevel="1" x14ac:dyDescent="0.2">
      <c r="A60" s="19"/>
      <c r="B60" s="19"/>
      <c r="C60" s="492" t="str">
        <f>IF(Tariffs!C60=0, IF(Tariffs!H60=0,0,Tariffs!H60&amp;" (historical)"),Tariffs!C60)</f>
        <v>Business HV kVA specified demand &gt;2MVA</v>
      </c>
      <c r="D60" s="552" t="str">
        <f>Tariffs!D60</f>
        <v>Large Business HV</v>
      </c>
      <c r="E60" s="552" t="str">
        <f>Tariffs!E60</f>
        <v>TAS15*</v>
      </c>
      <c r="F60" s="552">
        <f>Tariffs!F60</f>
        <v>0</v>
      </c>
      <c r="G60" s="58"/>
      <c r="H60" s="199">
        <f>'Hist. revenue'!$AC259</f>
        <v>0</v>
      </c>
      <c r="I60" s="199">
        <f>'Hist. revenue'!$AC337</f>
        <v>0</v>
      </c>
      <c r="J60" s="199">
        <f>'Hist. revenue'!$AC415</f>
        <v>0</v>
      </c>
      <c r="K60" s="200"/>
      <c r="L60" s="199">
        <f>'Hist. revenue'!$AC22</f>
        <v>0</v>
      </c>
      <c r="M60" s="199">
        <f>'Hist. revenue'!$AC100</f>
        <v>0</v>
      </c>
      <c r="N60" s="199">
        <f>'Hist. revenue'!$AC178</f>
        <v>0</v>
      </c>
      <c r="O60" s="200"/>
      <c r="P60" s="199">
        <f>'Prop. revenue'!$AC22</f>
        <v>0</v>
      </c>
      <c r="Q60" s="199">
        <f>'Prop. revenue'!$AC100</f>
        <v>0</v>
      </c>
      <c r="R60" s="199">
        <f>'Prop. revenue'!$AC178</f>
        <v>0</v>
      </c>
      <c r="S60" s="182"/>
      <c r="T60" s="19"/>
      <c r="U60" s="19"/>
      <c r="V60" s="19"/>
      <c r="W60" s="19"/>
    </row>
    <row r="61" spans="1:23" outlineLevel="1" x14ac:dyDescent="0.2">
      <c r="A61" s="19"/>
      <c r="B61" s="19"/>
      <c r="C61" s="492" t="str">
        <f>IF(Tariffs!C61=0, IF(Tariffs!H61=0,0,Tariffs!H61&amp;" (historical)"),Tariffs!C61)</f>
        <v>Uncontrolled low voltage heating and hot water</v>
      </c>
      <c r="D61" s="552" t="str">
        <f>Tariffs!D61</f>
        <v>Uncontrolled energy</v>
      </c>
      <c r="E61" s="552" t="str">
        <f>Tariffs!E61</f>
        <v>TAS41</v>
      </c>
      <c r="F61" s="552">
        <f>Tariffs!F61</f>
        <v>0</v>
      </c>
      <c r="G61" s="58"/>
      <c r="H61" s="199">
        <f>'Hist. revenue'!$AC260</f>
        <v>38575510.160363048</v>
      </c>
      <c r="I61" s="199">
        <f>'Hist. revenue'!$AC338</f>
        <v>20068545.630799443</v>
      </c>
      <c r="J61" s="199">
        <f>'Hist. revenue'!$AC416</f>
        <v>0</v>
      </c>
      <c r="K61" s="200"/>
      <c r="L61" s="199">
        <f>'Hist. revenue'!$AC23</f>
        <v>37674129.570339419</v>
      </c>
      <c r="M61" s="199">
        <f>'Hist. revenue'!$AC101</f>
        <v>16681843.015502466</v>
      </c>
      <c r="N61" s="199">
        <f>'Hist. revenue'!$AC179</f>
        <v>0</v>
      </c>
      <c r="O61" s="200"/>
      <c r="P61" s="199">
        <f>'Prop. revenue'!$AC23</f>
        <v>38266316.198077284</v>
      </c>
      <c r="Q61" s="199">
        <f>'Prop. revenue'!$AC101</f>
        <v>17022141.12723447</v>
      </c>
      <c r="R61" s="199">
        <f>'Prop. revenue'!$AC179</f>
        <v>0</v>
      </c>
      <c r="S61" s="182"/>
      <c r="T61" s="19"/>
      <c r="U61" s="19"/>
      <c r="V61" s="19"/>
      <c r="W61" s="19"/>
    </row>
    <row r="62" spans="1:23" outlineLevel="1" x14ac:dyDescent="0.2">
      <c r="A62" s="19"/>
      <c r="B62" s="19"/>
      <c r="C62" s="492" t="str">
        <f>IF(Tariffs!C62=0, IF(Tariffs!H62=0,0,Tariffs!H62&amp;" (historical)"),Tariffs!C62)</f>
        <v>Controlled low voltage night period only</v>
      </c>
      <c r="D62" s="552" t="str">
        <f>Tariffs!D62</f>
        <v>Controlled energy</v>
      </c>
      <c r="E62" s="552" t="str">
        <f>Tariffs!E62</f>
        <v>TAS63</v>
      </c>
      <c r="F62" s="552">
        <f>Tariffs!F62</f>
        <v>0</v>
      </c>
      <c r="G62" s="58"/>
      <c r="H62" s="199">
        <f>'Hist. revenue'!$AC261</f>
        <v>31798.687294760002</v>
      </c>
      <c r="I62" s="199">
        <f>'Hist. revenue'!$AC339</f>
        <v>5814.0057330000009</v>
      </c>
      <c r="J62" s="199">
        <f>'Hist. revenue'!$AC417</f>
        <v>0</v>
      </c>
      <c r="K62" s="200"/>
      <c r="L62" s="199">
        <f>'Hist. revenue'!$AC24</f>
        <v>36621.870642353635</v>
      </c>
      <c r="M62" s="199">
        <f>'Hist. revenue'!$AC102</f>
        <v>5863.8345047930106</v>
      </c>
      <c r="N62" s="199">
        <f>'Hist. revenue'!$AC180</f>
        <v>0</v>
      </c>
      <c r="O62" s="200"/>
      <c r="P62" s="199">
        <f>'Prop. revenue'!$AC24</f>
        <v>57775.099520786316</v>
      </c>
      <c r="Q62" s="199">
        <f>'Prop. revenue'!$AC102</f>
        <v>9606.8589623059215</v>
      </c>
      <c r="R62" s="199">
        <f>'Prop. revenue'!$AC180</f>
        <v>0</v>
      </c>
      <c r="S62" s="182"/>
      <c r="T62" s="19"/>
      <c r="U62" s="19"/>
      <c r="V62" s="19"/>
      <c r="W62" s="19"/>
    </row>
    <row r="63" spans="1:23" outlineLevel="1" x14ac:dyDescent="0.2">
      <c r="A63" s="19"/>
      <c r="B63" s="19"/>
      <c r="C63" s="492" t="str">
        <f>IF(Tariffs!C63=0, IF(Tariffs!H63=0,0,Tariffs!H63&amp;" (historical)"),Tariffs!C63)</f>
        <v>Controlled low voltage off peak with afternoon boost</v>
      </c>
      <c r="D63" s="552" t="str">
        <f>Tariffs!D63</f>
        <v>Controlled energy</v>
      </c>
      <c r="E63" s="552" t="str">
        <f>Tariffs!E63</f>
        <v>TAS61</v>
      </c>
      <c r="F63" s="552">
        <f>Tariffs!F63</f>
        <v>0</v>
      </c>
      <c r="G63" s="58"/>
      <c r="H63" s="199">
        <f>'Hist. revenue'!$AC262</f>
        <v>1282787.1766309501</v>
      </c>
      <c r="I63" s="199">
        <f>'Hist. revenue'!$AC340</f>
        <v>213319.10251564998</v>
      </c>
      <c r="J63" s="199">
        <f>'Hist. revenue'!$AC418</f>
        <v>0</v>
      </c>
      <c r="K63" s="200"/>
      <c r="L63" s="199">
        <f>'Hist. revenue'!$AC25</f>
        <v>1223905.6723535203</v>
      </c>
      <c r="M63" s="199">
        <f>'Hist. revenue'!$AC103</f>
        <v>178349.71496033046</v>
      </c>
      <c r="N63" s="199">
        <f>'Hist. revenue'!$AC181</f>
        <v>0</v>
      </c>
      <c r="O63" s="200"/>
      <c r="P63" s="199">
        <f>'Prop. revenue'!$AC25</f>
        <v>1222063.8775915038</v>
      </c>
      <c r="Q63" s="199">
        <f>'Prop. revenue'!$AC103</f>
        <v>183586.58841121156</v>
      </c>
      <c r="R63" s="199">
        <f>'Prop. revenue'!$AC181</f>
        <v>0</v>
      </c>
      <c r="S63" s="182"/>
      <c r="T63" s="19"/>
      <c r="U63" s="19"/>
      <c r="V63" s="19"/>
      <c r="W63" s="19"/>
    </row>
    <row r="64" spans="1:23" outlineLevel="1" x14ac:dyDescent="0.2">
      <c r="A64" s="19"/>
      <c r="B64" s="19"/>
      <c r="C64" s="492" t="str">
        <f>IF(Tariffs!C64=0, IF(Tariffs!H64=0,0,Tariffs!H64&amp;" (historical)"),Tariffs!C64)</f>
        <v>Unmetered supply general</v>
      </c>
      <c r="D64" s="552" t="str">
        <f>Tariffs!D64</f>
        <v>Unmetered supplies</v>
      </c>
      <c r="E64" s="552" t="str">
        <f>Tariffs!E64</f>
        <v>TASUMS</v>
      </c>
      <c r="F64" s="552">
        <f>Tariffs!F64</f>
        <v>0</v>
      </c>
      <c r="G64" s="58"/>
      <c r="H64" s="199">
        <f>'Hist. revenue'!$AC263</f>
        <v>886460.94463895983</v>
      </c>
      <c r="I64" s="199">
        <f>'Hist. revenue'!$AC341</f>
        <v>200262.75376700997</v>
      </c>
      <c r="J64" s="199">
        <f>'Hist. revenue'!$AC419</f>
        <v>0</v>
      </c>
      <c r="K64" s="200"/>
      <c r="L64" s="199">
        <f>'Hist. revenue'!$AC26</f>
        <v>915562.03313502646</v>
      </c>
      <c r="M64" s="199">
        <f>'Hist. revenue'!$AC104</f>
        <v>184902.51079810859</v>
      </c>
      <c r="N64" s="199">
        <f>'Hist. revenue'!$AC182</f>
        <v>0</v>
      </c>
      <c r="O64" s="200"/>
      <c r="P64" s="199">
        <f>'Prop. revenue'!$AC26</f>
        <v>899145.86951200746</v>
      </c>
      <c r="Q64" s="199">
        <f>'Prop. revenue'!$AC104</f>
        <v>191594.90743912582</v>
      </c>
      <c r="R64" s="199">
        <f>'Prop. revenue'!$AC182</f>
        <v>0</v>
      </c>
      <c r="S64" s="182"/>
      <c r="T64" s="19"/>
      <c r="U64" s="19"/>
      <c r="V64" s="19"/>
      <c r="W64" s="19"/>
    </row>
    <row r="65" spans="1:23" outlineLevel="1" x14ac:dyDescent="0.2">
      <c r="A65" s="19"/>
      <c r="B65" s="19"/>
      <c r="C65" s="492" t="str">
        <f>IF(Tariffs!C65=0, IF(Tariffs!H65=0,0,Tariffs!H65&amp;" (historical)"),Tariffs!C65)</f>
        <v>Street lighting</v>
      </c>
      <c r="D65" s="552" t="str">
        <f>Tariffs!D65</f>
        <v>Street lighting</v>
      </c>
      <c r="E65" s="552" t="str">
        <f>Tariffs!E65</f>
        <v>TASUMSSL</v>
      </c>
      <c r="F65" s="552">
        <f>Tariffs!F65</f>
        <v>0</v>
      </c>
      <c r="G65" s="58"/>
      <c r="H65" s="199">
        <f>'Hist. revenue'!$AC264</f>
        <v>1073406.1787064001</v>
      </c>
      <c r="I65" s="199">
        <f>'Hist. revenue'!$AC342</f>
        <v>362448.83956320008</v>
      </c>
      <c r="J65" s="199">
        <f>'Hist. revenue'!$AC420</f>
        <v>0</v>
      </c>
      <c r="K65" s="200"/>
      <c r="L65" s="199">
        <f>'Hist. revenue'!$AC27</f>
        <v>1135461.7091592061</v>
      </c>
      <c r="M65" s="199">
        <f>'Hist. revenue'!$AC105</f>
        <v>328326.27734724036</v>
      </c>
      <c r="N65" s="199">
        <f>'Hist. revenue'!$AC183</f>
        <v>0</v>
      </c>
      <c r="O65" s="200"/>
      <c r="P65" s="199">
        <f>'Prop. revenue'!$AC27</f>
        <v>1112056.1369067715</v>
      </c>
      <c r="Q65" s="199">
        <f>'Prop. revenue'!$AC105</f>
        <v>344207.85189971491</v>
      </c>
      <c r="R65" s="199">
        <f>'Prop. revenue'!$AC183</f>
        <v>0</v>
      </c>
      <c r="S65" s="182"/>
      <c r="T65" s="19"/>
      <c r="U65" s="19"/>
      <c r="V65" s="19"/>
      <c r="W65" s="19"/>
    </row>
    <row r="66" spans="1:23" outlineLevel="1" x14ac:dyDescent="0.2">
      <c r="A66" s="19"/>
      <c r="B66" s="19"/>
      <c r="C66" s="492">
        <f>IF(Tariffs!C66=0, IF(Tariffs!H66=0,0,Tariffs!H66&amp;" (historical)"),Tariffs!C66)</f>
        <v>0</v>
      </c>
      <c r="D66" s="552">
        <f>Tariffs!D66</f>
        <v>0</v>
      </c>
      <c r="E66" s="552">
        <f>Tariffs!E66</f>
        <v>0</v>
      </c>
      <c r="F66" s="552">
        <f>Tariffs!F66</f>
        <v>0</v>
      </c>
      <c r="G66" s="58"/>
      <c r="H66" s="199">
        <f>'Hist. revenue'!$AC265</f>
        <v>0</v>
      </c>
      <c r="I66" s="199">
        <f>'Hist. revenue'!$AC343</f>
        <v>0</v>
      </c>
      <c r="J66" s="199">
        <f>'Hist. revenue'!$AC421</f>
        <v>0</v>
      </c>
      <c r="K66" s="200"/>
      <c r="L66" s="199">
        <f>'Hist. revenue'!$AC28</f>
        <v>0</v>
      </c>
      <c r="M66" s="199">
        <f>'Hist. revenue'!$AC106</f>
        <v>0</v>
      </c>
      <c r="N66" s="199">
        <f>'Hist. revenue'!$AC184</f>
        <v>0</v>
      </c>
      <c r="O66" s="200"/>
      <c r="P66" s="199">
        <f>'Prop. revenue'!$AC28</f>
        <v>0</v>
      </c>
      <c r="Q66" s="199">
        <f>'Prop. revenue'!$AC106</f>
        <v>0</v>
      </c>
      <c r="R66" s="199">
        <f>'Prop. revenue'!$AC184</f>
        <v>0</v>
      </c>
      <c r="S66" s="182"/>
      <c r="T66" s="19"/>
      <c r="U66" s="19"/>
      <c r="V66" s="19"/>
      <c r="W66" s="19"/>
    </row>
    <row r="67" spans="1:23" outlineLevel="1" x14ac:dyDescent="0.2">
      <c r="A67" s="19"/>
      <c r="B67" s="19"/>
      <c r="C67" s="492">
        <f>IF(Tariffs!C67=0, IF(Tariffs!H67=0,0,Tariffs!H67&amp;" (historical)"),Tariffs!C67)</f>
        <v>0</v>
      </c>
      <c r="D67" s="552">
        <f>Tariffs!D67</f>
        <v>0</v>
      </c>
      <c r="E67" s="552">
        <f>Tariffs!E67</f>
        <v>0</v>
      </c>
      <c r="F67" s="552">
        <f>Tariffs!F67</f>
        <v>0</v>
      </c>
      <c r="G67" s="58"/>
      <c r="H67" s="199">
        <f>'Hist. revenue'!$AC266</f>
        <v>0</v>
      </c>
      <c r="I67" s="199">
        <f>'Hist. revenue'!$AC344</f>
        <v>0</v>
      </c>
      <c r="J67" s="199">
        <f>'Hist. revenue'!$AC422</f>
        <v>0</v>
      </c>
      <c r="K67" s="200"/>
      <c r="L67" s="199">
        <f>'Hist. revenue'!$AC29</f>
        <v>0</v>
      </c>
      <c r="M67" s="199">
        <f>'Hist. revenue'!$AC107</f>
        <v>0</v>
      </c>
      <c r="N67" s="199">
        <f>'Hist. revenue'!$AC185</f>
        <v>0</v>
      </c>
      <c r="O67" s="200"/>
      <c r="P67" s="199">
        <f>'Prop. revenue'!$AC29</f>
        <v>0</v>
      </c>
      <c r="Q67" s="199">
        <f>'Prop. revenue'!$AC107</f>
        <v>0</v>
      </c>
      <c r="R67" s="199">
        <f>'Prop. revenue'!$AC185</f>
        <v>0</v>
      </c>
      <c r="S67" s="182"/>
      <c r="T67" s="19"/>
      <c r="U67" s="19"/>
      <c r="V67" s="19"/>
      <c r="W67" s="19"/>
    </row>
    <row r="68" spans="1:23" outlineLevel="1" x14ac:dyDescent="0.2">
      <c r="A68" s="19"/>
      <c r="B68" s="19"/>
      <c r="C68" s="492">
        <f>IF(Tariffs!C68=0, IF(Tariffs!H68=0,0,Tariffs!H68&amp;" (historical)"),Tariffs!C68)</f>
        <v>0</v>
      </c>
      <c r="D68" s="552">
        <f>Tariffs!D68</f>
        <v>0</v>
      </c>
      <c r="E68" s="552">
        <f>Tariffs!E68</f>
        <v>0</v>
      </c>
      <c r="F68" s="552">
        <f>Tariffs!F68</f>
        <v>0</v>
      </c>
      <c r="G68" s="58"/>
      <c r="H68" s="199">
        <f>'Hist. revenue'!$AC267</f>
        <v>0</v>
      </c>
      <c r="I68" s="199">
        <f>'Hist. revenue'!$AC345</f>
        <v>0</v>
      </c>
      <c r="J68" s="199">
        <f>'Hist. revenue'!$AC423</f>
        <v>0</v>
      </c>
      <c r="K68" s="200"/>
      <c r="L68" s="199">
        <f>'Hist. revenue'!$AC30</f>
        <v>0</v>
      </c>
      <c r="M68" s="199">
        <f>'Hist. revenue'!$AC108</f>
        <v>0</v>
      </c>
      <c r="N68" s="199">
        <f>'Hist. revenue'!$AC186</f>
        <v>0</v>
      </c>
      <c r="O68" s="200"/>
      <c r="P68" s="199">
        <f>'Prop. revenue'!$AC30</f>
        <v>0</v>
      </c>
      <c r="Q68" s="199">
        <f>'Prop. revenue'!$AC108</f>
        <v>0</v>
      </c>
      <c r="R68" s="199">
        <f>'Prop. revenue'!$AC186</f>
        <v>0</v>
      </c>
      <c r="S68" s="182"/>
      <c r="T68" s="19"/>
      <c r="U68" s="19"/>
      <c r="V68" s="19"/>
      <c r="W68" s="19"/>
    </row>
    <row r="69" spans="1:23" outlineLevel="1" x14ac:dyDescent="0.2">
      <c r="A69" s="19"/>
      <c r="B69" s="19"/>
      <c r="C69" s="492">
        <f>IF(Tariffs!C69=0, IF(Tariffs!H69=0,0,Tariffs!H69&amp;" (historical)"),Tariffs!C69)</f>
        <v>0</v>
      </c>
      <c r="D69" s="552">
        <f>Tariffs!D69</f>
        <v>0</v>
      </c>
      <c r="E69" s="552">
        <f>Tariffs!E69</f>
        <v>0</v>
      </c>
      <c r="F69" s="552">
        <f>Tariffs!F69</f>
        <v>0</v>
      </c>
      <c r="G69" s="58"/>
      <c r="H69" s="199">
        <f>'Hist. revenue'!$AC268</f>
        <v>0</v>
      </c>
      <c r="I69" s="199">
        <f>'Hist. revenue'!$AC346</f>
        <v>0</v>
      </c>
      <c r="J69" s="199">
        <f>'Hist. revenue'!$AC424</f>
        <v>0</v>
      </c>
      <c r="K69" s="200"/>
      <c r="L69" s="199">
        <f>'Hist. revenue'!$AC31</f>
        <v>0</v>
      </c>
      <c r="M69" s="199">
        <f>'Hist. revenue'!$AC109</f>
        <v>0</v>
      </c>
      <c r="N69" s="199">
        <f>'Hist. revenue'!$AC187</f>
        <v>0</v>
      </c>
      <c r="O69" s="200"/>
      <c r="P69" s="199">
        <f>'Prop. revenue'!$AC31</f>
        <v>0</v>
      </c>
      <c r="Q69" s="199">
        <f>'Prop. revenue'!$AC109</f>
        <v>0</v>
      </c>
      <c r="R69" s="199">
        <f>'Prop. revenue'!$AC187</f>
        <v>0</v>
      </c>
      <c r="S69" s="182"/>
      <c r="T69" s="19"/>
      <c r="U69" s="19"/>
      <c r="V69" s="19"/>
      <c r="W69" s="19"/>
    </row>
    <row r="70" spans="1:23" outlineLevel="1" x14ac:dyDescent="0.2">
      <c r="A70" s="19"/>
      <c r="B70" s="19"/>
      <c r="C70" s="492">
        <f>IF(Tariffs!C70=0, IF(Tariffs!H70=0,0,Tariffs!H70&amp;" (historical)"),Tariffs!C70)</f>
        <v>0</v>
      </c>
      <c r="D70" s="552">
        <f>Tariffs!D70</f>
        <v>0</v>
      </c>
      <c r="E70" s="552">
        <f>Tariffs!E70</f>
        <v>0</v>
      </c>
      <c r="F70" s="552">
        <f>Tariffs!F70</f>
        <v>0</v>
      </c>
      <c r="G70" s="58"/>
      <c r="H70" s="199">
        <f>'Hist. revenue'!$AC269</f>
        <v>0</v>
      </c>
      <c r="I70" s="199">
        <f>'Hist. revenue'!$AC347</f>
        <v>0</v>
      </c>
      <c r="J70" s="199">
        <f>'Hist. revenue'!$AC425</f>
        <v>0</v>
      </c>
      <c r="K70" s="200"/>
      <c r="L70" s="199">
        <f>'Hist. revenue'!$AC32</f>
        <v>0</v>
      </c>
      <c r="M70" s="199">
        <f>'Hist. revenue'!$AC110</f>
        <v>0</v>
      </c>
      <c r="N70" s="199">
        <f>'Hist. revenue'!$AC188</f>
        <v>0</v>
      </c>
      <c r="O70" s="200"/>
      <c r="P70" s="199">
        <f>'Prop. revenue'!$AC32</f>
        <v>0</v>
      </c>
      <c r="Q70" s="199">
        <f>'Prop. revenue'!$AC110</f>
        <v>0</v>
      </c>
      <c r="R70" s="199">
        <f>'Prop. revenue'!$AC188</f>
        <v>0</v>
      </c>
      <c r="S70" s="182"/>
      <c r="T70" s="19"/>
      <c r="U70" s="19"/>
      <c r="V70" s="19"/>
      <c r="W70" s="19"/>
    </row>
    <row r="71" spans="1:23" outlineLevel="1" x14ac:dyDescent="0.2">
      <c r="A71" s="19"/>
      <c r="B71" s="19"/>
      <c r="C71" s="492">
        <f>IF(Tariffs!C71=0, IF(Tariffs!H71=0,0,Tariffs!H71&amp;" (historical)"),Tariffs!C71)</f>
        <v>0</v>
      </c>
      <c r="D71" s="552">
        <f>Tariffs!D71</f>
        <v>0</v>
      </c>
      <c r="E71" s="552">
        <f>Tariffs!E71</f>
        <v>0</v>
      </c>
      <c r="F71" s="552">
        <f>Tariffs!F71</f>
        <v>0</v>
      </c>
      <c r="G71" s="58"/>
      <c r="H71" s="199">
        <f>'Hist. revenue'!$AC270</f>
        <v>0</v>
      </c>
      <c r="I71" s="199">
        <f>'Hist. revenue'!$AC348</f>
        <v>0</v>
      </c>
      <c r="J71" s="199">
        <f>'Hist. revenue'!$AC426</f>
        <v>0</v>
      </c>
      <c r="K71" s="200"/>
      <c r="L71" s="199">
        <f>'Hist. revenue'!$AC33</f>
        <v>0</v>
      </c>
      <c r="M71" s="199">
        <f>'Hist. revenue'!$AC111</f>
        <v>0</v>
      </c>
      <c r="N71" s="199">
        <f>'Hist. revenue'!$AC189</f>
        <v>0</v>
      </c>
      <c r="O71" s="200"/>
      <c r="P71" s="199">
        <f>'Prop. revenue'!$AC33</f>
        <v>0</v>
      </c>
      <c r="Q71" s="199">
        <f>'Prop. revenue'!$AC111</f>
        <v>0</v>
      </c>
      <c r="R71" s="199">
        <f>'Prop. revenue'!$AC189</f>
        <v>0</v>
      </c>
      <c r="S71" s="182"/>
      <c r="T71" s="19"/>
      <c r="U71" s="19"/>
      <c r="V71" s="19"/>
      <c r="W71" s="19"/>
    </row>
    <row r="72" spans="1:23" outlineLevel="1" x14ac:dyDescent="0.2">
      <c r="A72" s="19"/>
      <c r="B72" s="19"/>
      <c r="C72" s="492">
        <f>IF(Tariffs!C72=0, IF(Tariffs!H72=0,0,Tariffs!H72&amp;" (historical)"),Tariffs!C72)</f>
        <v>0</v>
      </c>
      <c r="D72" s="552">
        <f>Tariffs!D72</f>
        <v>0</v>
      </c>
      <c r="E72" s="552">
        <f>Tariffs!E72</f>
        <v>0</v>
      </c>
      <c r="F72" s="552">
        <f>Tariffs!F72</f>
        <v>0</v>
      </c>
      <c r="G72" s="58"/>
      <c r="H72" s="199">
        <f>'Hist. revenue'!$AC271</f>
        <v>0</v>
      </c>
      <c r="I72" s="199">
        <f>'Hist. revenue'!$AC349</f>
        <v>0</v>
      </c>
      <c r="J72" s="199">
        <f>'Hist. revenue'!$AC427</f>
        <v>0</v>
      </c>
      <c r="K72" s="200"/>
      <c r="L72" s="199">
        <f>'Hist. revenue'!$AC34</f>
        <v>0</v>
      </c>
      <c r="M72" s="199">
        <f>'Hist. revenue'!$AC112</f>
        <v>0</v>
      </c>
      <c r="N72" s="199">
        <f>'Hist. revenue'!$AC190</f>
        <v>0</v>
      </c>
      <c r="O72" s="200"/>
      <c r="P72" s="199">
        <f>'Prop. revenue'!$AC34</f>
        <v>0</v>
      </c>
      <c r="Q72" s="199">
        <f>'Prop. revenue'!$AC112</f>
        <v>0</v>
      </c>
      <c r="R72" s="199">
        <f>'Prop. revenue'!$AC190</f>
        <v>0</v>
      </c>
      <c r="S72" s="182"/>
      <c r="T72" s="19"/>
      <c r="U72" s="19"/>
      <c r="V72" s="19"/>
      <c r="W72" s="19"/>
    </row>
    <row r="73" spans="1:23" outlineLevel="1" x14ac:dyDescent="0.2">
      <c r="A73" s="19"/>
      <c r="B73" s="19"/>
      <c r="C73" s="492">
        <f>IF(Tariffs!C73=0, IF(Tariffs!H73=0,0,Tariffs!H73&amp;" (historical)"),Tariffs!C73)</f>
        <v>0</v>
      </c>
      <c r="D73" s="552">
        <f>Tariffs!D73</f>
        <v>0</v>
      </c>
      <c r="E73" s="552">
        <f>Tariffs!E73</f>
        <v>0</v>
      </c>
      <c r="F73" s="552">
        <f>Tariffs!F73</f>
        <v>0</v>
      </c>
      <c r="G73" s="58"/>
      <c r="H73" s="199">
        <f>'Hist. revenue'!$AC272</f>
        <v>0</v>
      </c>
      <c r="I73" s="199">
        <f>'Hist. revenue'!$AC350</f>
        <v>0</v>
      </c>
      <c r="J73" s="199">
        <f>'Hist. revenue'!$AC428</f>
        <v>0</v>
      </c>
      <c r="K73" s="200"/>
      <c r="L73" s="199">
        <f>'Hist. revenue'!$AC35</f>
        <v>0</v>
      </c>
      <c r="M73" s="199">
        <f>'Hist. revenue'!$AC113</f>
        <v>0</v>
      </c>
      <c r="N73" s="199">
        <f>'Hist. revenue'!$AC191</f>
        <v>0</v>
      </c>
      <c r="O73" s="200"/>
      <c r="P73" s="199">
        <f>'Prop. revenue'!$AC35</f>
        <v>0</v>
      </c>
      <c r="Q73" s="199">
        <f>'Prop. revenue'!$AC113</f>
        <v>0</v>
      </c>
      <c r="R73" s="199">
        <f>'Prop. revenue'!$AC191</f>
        <v>0</v>
      </c>
      <c r="S73" s="182"/>
      <c r="T73" s="19"/>
      <c r="U73" s="19"/>
      <c r="V73" s="19"/>
      <c r="W73" s="19"/>
    </row>
    <row r="74" spans="1:23" outlineLevel="1" x14ac:dyDescent="0.2">
      <c r="A74" s="19"/>
      <c r="B74" s="19"/>
      <c r="C74" s="492">
        <f>IF(Tariffs!C74=0, IF(Tariffs!H74=0,0,Tariffs!H74&amp;" (historical)"),Tariffs!C74)</f>
        <v>0</v>
      </c>
      <c r="D74" s="552">
        <f>Tariffs!D74</f>
        <v>0</v>
      </c>
      <c r="E74" s="552">
        <f>Tariffs!E74</f>
        <v>0</v>
      </c>
      <c r="F74" s="552">
        <f>Tariffs!F74</f>
        <v>0</v>
      </c>
      <c r="G74" s="58"/>
      <c r="H74" s="199">
        <f>'Hist. revenue'!$AC273</f>
        <v>0</v>
      </c>
      <c r="I74" s="199">
        <f>'Hist. revenue'!$AC351</f>
        <v>0</v>
      </c>
      <c r="J74" s="199">
        <f>'Hist. revenue'!$AC429</f>
        <v>0</v>
      </c>
      <c r="K74" s="200"/>
      <c r="L74" s="199">
        <f>'Hist. revenue'!$AC36</f>
        <v>0</v>
      </c>
      <c r="M74" s="199">
        <f>'Hist. revenue'!$AC114</f>
        <v>0</v>
      </c>
      <c r="N74" s="199">
        <f>'Hist. revenue'!$AC192</f>
        <v>0</v>
      </c>
      <c r="O74" s="200"/>
      <c r="P74" s="199">
        <f>'Prop. revenue'!$AC36</f>
        <v>0</v>
      </c>
      <c r="Q74" s="199">
        <f>'Prop. revenue'!$AC114</f>
        <v>0</v>
      </c>
      <c r="R74" s="199">
        <f>'Prop. revenue'!$AC192</f>
        <v>0</v>
      </c>
      <c r="S74" s="182"/>
      <c r="T74" s="19"/>
      <c r="U74" s="19"/>
      <c r="V74" s="19"/>
      <c r="W74" s="19"/>
    </row>
    <row r="75" spans="1:23" outlineLevel="1" x14ac:dyDescent="0.2">
      <c r="A75" s="19"/>
      <c r="B75" s="19"/>
      <c r="C75" s="492">
        <f>IF(Tariffs!C75=0, IF(Tariffs!H75=0,0,Tariffs!H75&amp;" (historical)"),Tariffs!C75)</f>
        <v>0</v>
      </c>
      <c r="D75" s="552">
        <f>Tariffs!D75</f>
        <v>0</v>
      </c>
      <c r="E75" s="552">
        <f>Tariffs!E75</f>
        <v>0</v>
      </c>
      <c r="F75" s="552">
        <f>Tariffs!F75</f>
        <v>0</v>
      </c>
      <c r="G75" s="58"/>
      <c r="H75" s="199">
        <f>'Hist. revenue'!$AC274</f>
        <v>0</v>
      </c>
      <c r="I75" s="199">
        <f>'Hist. revenue'!$AC352</f>
        <v>0</v>
      </c>
      <c r="J75" s="199">
        <f>'Hist. revenue'!$AC430</f>
        <v>0</v>
      </c>
      <c r="K75" s="200"/>
      <c r="L75" s="199">
        <f>'Hist. revenue'!$AC37</f>
        <v>0</v>
      </c>
      <c r="M75" s="199">
        <f>'Hist. revenue'!$AC115</f>
        <v>0</v>
      </c>
      <c r="N75" s="199">
        <f>'Hist. revenue'!$AC193</f>
        <v>0</v>
      </c>
      <c r="O75" s="200"/>
      <c r="P75" s="199">
        <f>'Prop. revenue'!$AC37</f>
        <v>0</v>
      </c>
      <c r="Q75" s="199">
        <f>'Prop. revenue'!$AC115</f>
        <v>0</v>
      </c>
      <c r="R75" s="199">
        <f>'Prop. revenue'!$AC193</f>
        <v>0</v>
      </c>
      <c r="S75" s="182"/>
      <c r="T75" s="19"/>
      <c r="U75" s="19"/>
      <c r="V75" s="19"/>
      <c r="W75" s="19"/>
    </row>
    <row r="76" spans="1:23" outlineLevel="1" x14ac:dyDescent="0.2">
      <c r="A76" s="19"/>
      <c r="B76" s="19"/>
      <c r="C76" s="492">
        <f>IF(Tariffs!C76=0, IF(Tariffs!H76=0,0,Tariffs!H76&amp;" (historical)"),Tariffs!C76)</f>
        <v>0</v>
      </c>
      <c r="D76" s="552">
        <f>Tariffs!D76</f>
        <v>0</v>
      </c>
      <c r="E76" s="552">
        <f>Tariffs!E76</f>
        <v>0</v>
      </c>
      <c r="F76" s="552">
        <f>Tariffs!F76</f>
        <v>0</v>
      </c>
      <c r="G76" s="58"/>
      <c r="H76" s="199">
        <f>'Hist. revenue'!$AC275</f>
        <v>0</v>
      </c>
      <c r="I76" s="199">
        <f>'Hist. revenue'!$AC353</f>
        <v>0</v>
      </c>
      <c r="J76" s="199">
        <f>'Hist. revenue'!$AC431</f>
        <v>0</v>
      </c>
      <c r="K76" s="200"/>
      <c r="L76" s="199">
        <f>'Hist. revenue'!$AC38</f>
        <v>0</v>
      </c>
      <c r="M76" s="199">
        <f>'Hist. revenue'!$AC116</f>
        <v>0</v>
      </c>
      <c r="N76" s="199">
        <f>'Hist. revenue'!$AC194</f>
        <v>0</v>
      </c>
      <c r="O76" s="200"/>
      <c r="P76" s="199">
        <f>'Prop. revenue'!$AC38</f>
        <v>0</v>
      </c>
      <c r="Q76" s="199">
        <f>'Prop. revenue'!$AC116</f>
        <v>0</v>
      </c>
      <c r="R76" s="199">
        <f>'Prop. revenue'!$AC194</f>
        <v>0</v>
      </c>
      <c r="S76" s="182"/>
      <c r="T76" s="19"/>
      <c r="U76" s="19"/>
      <c r="V76" s="19"/>
      <c r="W76" s="19"/>
    </row>
    <row r="77" spans="1:23" outlineLevel="1" x14ac:dyDescent="0.2">
      <c r="A77" s="19"/>
      <c r="B77" s="19"/>
      <c r="C77" s="492">
        <f>IF(Tariffs!C77=0, IF(Tariffs!H77=0,0,Tariffs!H77&amp;" (historical)"),Tariffs!C77)</f>
        <v>0</v>
      </c>
      <c r="D77" s="552">
        <f>Tariffs!D77</f>
        <v>0</v>
      </c>
      <c r="E77" s="552">
        <f>Tariffs!E77</f>
        <v>0</v>
      </c>
      <c r="F77" s="552">
        <f>Tariffs!F77</f>
        <v>0</v>
      </c>
      <c r="G77" s="58"/>
      <c r="H77" s="199">
        <f>'Hist. revenue'!$AC276</f>
        <v>0</v>
      </c>
      <c r="I77" s="199">
        <f>'Hist. revenue'!$AC354</f>
        <v>0</v>
      </c>
      <c r="J77" s="199">
        <f>'Hist. revenue'!$AC432</f>
        <v>0</v>
      </c>
      <c r="K77" s="200"/>
      <c r="L77" s="199">
        <f>'Hist. revenue'!$AC39</f>
        <v>0</v>
      </c>
      <c r="M77" s="199">
        <f>'Hist. revenue'!$AC117</f>
        <v>0</v>
      </c>
      <c r="N77" s="199">
        <f>'Hist. revenue'!$AC195</f>
        <v>0</v>
      </c>
      <c r="O77" s="200"/>
      <c r="P77" s="199">
        <f>'Prop. revenue'!$AC39</f>
        <v>0</v>
      </c>
      <c r="Q77" s="199">
        <f>'Prop. revenue'!$AC117</f>
        <v>0</v>
      </c>
      <c r="R77" s="199">
        <f>'Prop. revenue'!$AC195</f>
        <v>0</v>
      </c>
      <c r="S77" s="182"/>
      <c r="T77" s="19"/>
      <c r="U77" s="19"/>
      <c r="V77" s="19"/>
      <c r="W77" s="19"/>
    </row>
    <row r="78" spans="1:23" outlineLevel="1" x14ac:dyDescent="0.2">
      <c r="A78" s="19"/>
      <c r="B78" s="19"/>
      <c r="C78" s="492">
        <f>IF(Tariffs!C78=0, IF(Tariffs!H78=0,0,Tariffs!H78&amp;" (historical)"),Tariffs!C78)</f>
        <v>0</v>
      </c>
      <c r="D78" s="552">
        <f>Tariffs!D78</f>
        <v>0</v>
      </c>
      <c r="E78" s="552">
        <f>Tariffs!E78</f>
        <v>0</v>
      </c>
      <c r="F78" s="552">
        <f>Tariffs!F78</f>
        <v>0</v>
      </c>
      <c r="G78" s="58"/>
      <c r="H78" s="199">
        <f>'Hist. revenue'!$AC277</f>
        <v>0</v>
      </c>
      <c r="I78" s="199">
        <f>'Hist. revenue'!$AC355</f>
        <v>0</v>
      </c>
      <c r="J78" s="199">
        <f>'Hist. revenue'!$AC433</f>
        <v>0</v>
      </c>
      <c r="K78" s="200"/>
      <c r="L78" s="199">
        <f>'Hist. revenue'!$AC40</f>
        <v>0</v>
      </c>
      <c r="M78" s="199">
        <f>'Hist. revenue'!$AC118</f>
        <v>0</v>
      </c>
      <c r="N78" s="199">
        <f>'Hist. revenue'!$AC196</f>
        <v>0</v>
      </c>
      <c r="O78" s="200"/>
      <c r="P78" s="199">
        <f>'Prop. revenue'!$AC40</f>
        <v>0</v>
      </c>
      <c r="Q78" s="199">
        <f>'Prop. revenue'!$AC118</f>
        <v>0</v>
      </c>
      <c r="R78" s="199">
        <f>'Prop. revenue'!$AC196</f>
        <v>0</v>
      </c>
      <c r="S78" s="182"/>
      <c r="T78" s="19"/>
      <c r="U78" s="19"/>
      <c r="V78" s="19"/>
      <c r="W78" s="19"/>
    </row>
    <row r="79" spans="1:23" outlineLevel="1" x14ac:dyDescent="0.2">
      <c r="A79" s="19"/>
      <c r="B79" s="19"/>
      <c r="C79" s="492">
        <f>IF(Tariffs!C79=0, IF(Tariffs!H79=0,0,Tariffs!H79&amp;" (historical)"),Tariffs!C79)</f>
        <v>0</v>
      </c>
      <c r="D79" s="552">
        <f>Tariffs!D79</f>
        <v>0</v>
      </c>
      <c r="E79" s="552">
        <f>Tariffs!E79</f>
        <v>0</v>
      </c>
      <c r="F79" s="552">
        <f>Tariffs!F79</f>
        <v>0</v>
      </c>
      <c r="G79" s="58"/>
      <c r="H79" s="199">
        <f>'Hist. revenue'!$AC278</f>
        <v>0</v>
      </c>
      <c r="I79" s="199">
        <f>'Hist. revenue'!$AC356</f>
        <v>0</v>
      </c>
      <c r="J79" s="199">
        <f>'Hist. revenue'!$AC434</f>
        <v>0</v>
      </c>
      <c r="K79" s="200"/>
      <c r="L79" s="199">
        <f>'Hist. revenue'!$AC41</f>
        <v>0</v>
      </c>
      <c r="M79" s="199">
        <f>'Hist. revenue'!$AC119</f>
        <v>0</v>
      </c>
      <c r="N79" s="199">
        <f>'Hist. revenue'!$AC197</f>
        <v>0</v>
      </c>
      <c r="O79" s="200"/>
      <c r="P79" s="199">
        <f>'Prop. revenue'!$AC41</f>
        <v>0</v>
      </c>
      <c r="Q79" s="199">
        <f>'Prop. revenue'!$AC119</f>
        <v>0</v>
      </c>
      <c r="R79" s="199">
        <f>'Prop. revenue'!$AC197</f>
        <v>0</v>
      </c>
      <c r="S79" s="182"/>
      <c r="T79" s="19"/>
      <c r="U79" s="19"/>
      <c r="V79" s="19"/>
      <c r="W79" s="19"/>
    </row>
    <row r="80" spans="1:23" outlineLevel="1" x14ac:dyDescent="0.2">
      <c r="A80" s="19"/>
      <c r="B80" s="19"/>
      <c r="C80" s="492">
        <f>IF(Tariffs!C80=0, IF(Tariffs!H80=0,0,Tariffs!H80&amp;" (historical)"),Tariffs!C80)</f>
        <v>0</v>
      </c>
      <c r="D80" s="552">
        <f>Tariffs!D80</f>
        <v>0</v>
      </c>
      <c r="E80" s="552">
        <f>Tariffs!E80</f>
        <v>0</v>
      </c>
      <c r="F80" s="552">
        <f>Tariffs!F80</f>
        <v>0</v>
      </c>
      <c r="G80" s="58"/>
      <c r="H80" s="199">
        <f>'Hist. revenue'!$AC279</f>
        <v>0</v>
      </c>
      <c r="I80" s="199">
        <f>'Hist. revenue'!$AC357</f>
        <v>0</v>
      </c>
      <c r="J80" s="199">
        <f>'Hist. revenue'!$AC435</f>
        <v>0</v>
      </c>
      <c r="K80" s="200"/>
      <c r="L80" s="199">
        <f>'Hist. revenue'!$AC42</f>
        <v>0</v>
      </c>
      <c r="M80" s="199">
        <f>'Hist. revenue'!$AC120</f>
        <v>0</v>
      </c>
      <c r="N80" s="199">
        <f>'Hist. revenue'!$AC198</f>
        <v>0</v>
      </c>
      <c r="O80" s="200"/>
      <c r="P80" s="199">
        <f>'Prop. revenue'!$AC42</f>
        <v>0</v>
      </c>
      <c r="Q80" s="199">
        <f>'Prop. revenue'!$AC120</f>
        <v>0</v>
      </c>
      <c r="R80" s="199">
        <f>'Prop. revenue'!$AC198</f>
        <v>0</v>
      </c>
      <c r="S80" s="182"/>
      <c r="T80" s="19"/>
      <c r="U80" s="19"/>
      <c r="V80" s="19"/>
      <c r="W80" s="19"/>
    </row>
    <row r="81" spans="1:23" outlineLevel="1" x14ac:dyDescent="0.2">
      <c r="A81" s="19"/>
      <c r="B81" s="19"/>
      <c r="C81" s="492">
        <f>IF(Tariffs!C81=0, IF(Tariffs!H81=0,0,Tariffs!H81&amp;" (historical)"),Tariffs!C81)</f>
        <v>0</v>
      </c>
      <c r="D81" s="552">
        <f>Tariffs!D81</f>
        <v>0</v>
      </c>
      <c r="E81" s="552">
        <f>Tariffs!E81</f>
        <v>0</v>
      </c>
      <c r="F81" s="552">
        <f>Tariffs!F81</f>
        <v>0</v>
      </c>
      <c r="G81" s="58"/>
      <c r="H81" s="199">
        <f>'Hist. revenue'!$AC280</f>
        <v>0</v>
      </c>
      <c r="I81" s="199">
        <f>'Hist. revenue'!$AC358</f>
        <v>0</v>
      </c>
      <c r="J81" s="199">
        <f>'Hist. revenue'!$AC436</f>
        <v>0</v>
      </c>
      <c r="K81" s="200"/>
      <c r="L81" s="199">
        <f>'Hist. revenue'!$AC43</f>
        <v>0</v>
      </c>
      <c r="M81" s="199">
        <f>'Hist. revenue'!$AC121</f>
        <v>0</v>
      </c>
      <c r="N81" s="199">
        <f>'Hist. revenue'!$AC199</f>
        <v>0</v>
      </c>
      <c r="O81" s="200"/>
      <c r="P81" s="199">
        <f>'Prop. revenue'!$AC43</f>
        <v>0</v>
      </c>
      <c r="Q81" s="199">
        <f>'Prop. revenue'!$AC121</f>
        <v>0</v>
      </c>
      <c r="R81" s="199">
        <f>'Prop. revenue'!$AC199</f>
        <v>0</v>
      </c>
      <c r="S81" s="182"/>
      <c r="T81" s="19"/>
      <c r="U81" s="19"/>
      <c r="V81" s="19"/>
      <c r="W81" s="19"/>
    </row>
    <row r="82" spans="1:23" outlineLevel="1" x14ac:dyDescent="0.2">
      <c r="A82" s="19"/>
      <c r="B82" s="19"/>
      <c r="C82" s="492">
        <f>IF(Tariffs!C82=0, IF(Tariffs!H82=0,0,Tariffs!H82&amp;" (historical)"),Tariffs!C82)</f>
        <v>0</v>
      </c>
      <c r="D82" s="552">
        <f>Tariffs!D82</f>
        <v>0</v>
      </c>
      <c r="E82" s="552">
        <f>Tariffs!E82</f>
        <v>0</v>
      </c>
      <c r="F82" s="552">
        <f>Tariffs!F82</f>
        <v>0</v>
      </c>
      <c r="G82" s="58"/>
      <c r="H82" s="199">
        <f>'Hist. revenue'!$AC281</f>
        <v>0</v>
      </c>
      <c r="I82" s="199">
        <f>'Hist. revenue'!$AC359</f>
        <v>0</v>
      </c>
      <c r="J82" s="199">
        <f>'Hist. revenue'!$AC437</f>
        <v>0</v>
      </c>
      <c r="K82" s="200"/>
      <c r="L82" s="199">
        <f>'Hist. revenue'!$AC44</f>
        <v>0</v>
      </c>
      <c r="M82" s="199">
        <f>'Hist. revenue'!$AC122</f>
        <v>0</v>
      </c>
      <c r="N82" s="199">
        <f>'Hist. revenue'!$AC200</f>
        <v>0</v>
      </c>
      <c r="O82" s="200"/>
      <c r="P82" s="199">
        <f>'Prop. revenue'!$AC44</f>
        <v>0</v>
      </c>
      <c r="Q82" s="199">
        <f>'Prop. revenue'!$AC122</f>
        <v>0</v>
      </c>
      <c r="R82" s="199">
        <f>'Prop. revenue'!$AC200</f>
        <v>0</v>
      </c>
      <c r="S82" s="182"/>
      <c r="T82" s="19"/>
      <c r="U82" s="19"/>
      <c r="V82" s="19"/>
      <c r="W82" s="19"/>
    </row>
    <row r="83" spans="1:23" outlineLevel="1" x14ac:dyDescent="0.2">
      <c r="A83" s="19"/>
      <c r="B83" s="19"/>
      <c r="C83" s="492">
        <f>IF(Tariffs!C83=0, IF(Tariffs!H83=0,0,Tariffs!H83&amp;" (historical)"),Tariffs!C83)</f>
        <v>0</v>
      </c>
      <c r="D83" s="552">
        <f>Tariffs!D83</f>
        <v>0</v>
      </c>
      <c r="E83" s="552">
        <f>Tariffs!E83</f>
        <v>0</v>
      </c>
      <c r="F83" s="552">
        <f>Tariffs!F83</f>
        <v>0</v>
      </c>
      <c r="G83" s="58"/>
      <c r="H83" s="199">
        <f>'Hist. revenue'!$AC282</f>
        <v>0</v>
      </c>
      <c r="I83" s="199">
        <f>'Hist. revenue'!$AC360</f>
        <v>0</v>
      </c>
      <c r="J83" s="199">
        <f>'Hist. revenue'!$AC438</f>
        <v>0</v>
      </c>
      <c r="K83" s="200"/>
      <c r="L83" s="199">
        <f>'Hist. revenue'!$AC45</f>
        <v>0</v>
      </c>
      <c r="M83" s="199">
        <f>'Hist. revenue'!$AC123</f>
        <v>0</v>
      </c>
      <c r="N83" s="199">
        <f>'Hist. revenue'!$AC201</f>
        <v>0</v>
      </c>
      <c r="O83" s="200"/>
      <c r="P83" s="199">
        <f>'Prop. revenue'!$AC45</f>
        <v>0</v>
      </c>
      <c r="Q83" s="199">
        <f>'Prop. revenue'!$AC123</f>
        <v>0</v>
      </c>
      <c r="R83" s="199">
        <f>'Prop. revenue'!$AC201</f>
        <v>0</v>
      </c>
      <c r="S83" s="182"/>
      <c r="T83" s="19"/>
      <c r="U83" s="19"/>
      <c r="V83" s="19"/>
      <c r="W83" s="19"/>
    </row>
    <row r="84" spans="1:23" outlineLevel="1" x14ac:dyDescent="0.2">
      <c r="A84" s="19"/>
      <c r="B84" s="19"/>
      <c r="C84" s="492">
        <f>IF(Tariffs!C84=0, IF(Tariffs!H84=0,0,Tariffs!H84&amp;" (historical)"),Tariffs!C84)</f>
        <v>0</v>
      </c>
      <c r="D84" s="552">
        <f>Tariffs!D84</f>
        <v>0</v>
      </c>
      <c r="E84" s="552">
        <f>Tariffs!E84</f>
        <v>0</v>
      </c>
      <c r="F84" s="552">
        <f>Tariffs!F84</f>
        <v>0</v>
      </c>
      <c r="G84" s="58"/>
      <c r="H84" s="199">
        <f>'Hist. revenue'!$AC283</f>
        <v>0</v>
      </c>
      <c r="I84" s="199">
        <f>'Hist. revenue'!$AC361</f>
        <v>0</v>
      </c>
      <c r="J84" s="199">
        <f>'Hist. revenue'!$AC439</f>
        <v>0</v>
      </c>
      <c r="K84" s="200"/>
      <c r="L84" s="199">
        <f>'Hist. revenue'!$AC46</f>
        <v>0</v>
      </c>
      <c r="M84" s="199">
        <f>'Hist. revenue'!$AC124</f>
        <v>0</v>
      </c>
      <c r="N84" s="199">
        <f>'Hist. revenue'!$AC202</f>
        <v>0</v>
      </c>
      <c r="O84" s="200"/>
      <c r="P84" s="199">
        <f>'Prop. revenue'!$AC46</f>
        <v>0</v>
      </c>
      <c r="Q84" s="199">
        <f>'Prop. revenue'!$AC124</f>
        <v>0</v>
      </c>
      <c r="R84" s="199">
        <f>'Prop. revenue'!$AC202</f>
        <v>0</v>
      </c>
      <c r="S84" s="182"/>
      <c r="T84" s="19"/>
      <c r="U84" s="19"/>
      <c r="V84" s="19"/>
      <c r="W84" s="19"/>
    </row>
    <row r="85" spans="1:23" outlineLevel="1" x14ac:dyDescent="0.2">
      <c r="A85" s="19"/>
      <c r="B85" s="19"/>
      <c r="C85" s="492">
        <f>IF(Tariffs!C85=0, IF(Tariffs!H85=0,0,Tariffs!H85&amp;" (historical)"),Tariffs!C85)</f>
        <v>0</v>
      </c>
      <c r="D85" s="552">
        <f>Tariffs!D85</f>
        <v>0</v>
      </c>
      <c r="E85" s="552">
        <f>Tariffs!E85</f>
        <v>0</v>
      </c>
      <c r="F85" s="552">
        <f>Tariffs!F85</f>
        <v>0</v>
      </c>
      <c r="G85" s="58"/>
      <c r="H85" s="199">
        <f>'Hist. revenue'!$AC284</f>
        <v>0</v>
      </c>
      <c r="I85" s="199">
        <f>'Hist. revenue'!$AC362</f>
        <v>0</v>
      </c>
      <c r="J85" s="199">
        <f>'Hist. revenue'!$AC440</f>
        <v>0</v>
      </c>
      <c r="K85" s="200"/>
      <c r="L85" s="199">
        <f>'Hist. revenue'!$AC47</f>
        <v>0</v>
      </c>
      <c r="M85" s="199">
        <f>'Hist. revenue'!$AC125</f>
        <v>0</v>
      </c>
      <c r="N85" s="199">
        <f>'Hist. revenue'!$AC203</f>
        <v>0</v>
      </c>
      <c r="O85" s="200"/>
      <c r="P85" s="199">
        <f>'Prop. revenue'!$AC47</f>
        <v>0</v>
      </c>
      <c r="Q85" s="199">
        <f>'Prop. revenue'!$AC125</f>
        <v>0</v>
      </c>
      <c r="R85" s="199">
        <f>'Prop. revenue'!$AC203</f>
        <v>0</v>
      </c>
      <c r="S85" s="182"/>
      <c r="T85" s="19"/>
      <c r="U85" s="19"/>
      <c r="V85" s="19"/>
      <c r="W85" s="19"/>
    </row>
    <row r="86" spans="1:23" outlineLevel="1" x14ac:dyDescent="0.2">
      <c r="A86" s="19"/>
      <c r="B86" s="19"/>
      <c r="C86" s="492">
        <f>IF(Tariffs!C86=0, IF(Tariffs!H86=0,0,Tariffs!H86&amp;" (historical)"),Tariffs!C86)</f>
        <v>0</v>
      </c>
      <c r="D86" s="552">
        <f>Tariffs!D86</f>
        <v>0</v>
      </c>
      <c r="E86" s="552">
        <f>Tariffs!E86</f>
        <v>0</v>
      </c>
      <c r="F86" s="552">
        <f>Tariffs!F86</f>
        <v>0</v>
      </c>
      <c r="G86" s="58"/>
      <c r="H86" s="199">
        <f>'Hist. revenue'!$AC285</f>
        <v>0</v>
      </c>
      <c r="I86" s="199">
        <f>'Hist. revenue'!$AC363</f>
        <v>0</v>
      </c>
      <c r="J86" s="199">
        <f>'Hist. revenue'!$AC441</f>
        <v>0</v>
      </c>
      <c r="K86" s="200"/>
      <c r="L86" s="199">
        <f>'Hist. revenue'!$AC48</f>
        <v>0</v>
      </c>
      <c r="M86" s="199">
        <f>'Hist. revenue'!$AC126</f>
        <v>0</v>
      </c>
      <c r="N86" s="199">
        <f>'Hist. revenue'!$AC204</f>
        <v>0</v>
      </c>
      <c r="O86" s="200"/>
      <c r="P86" s="199">
        <f>'Prop. revenue'!$AC48</f>
        <v>0</v>
      </c>
      <c r="Q86" s="199">
        <f>'Prop. revenue'!$AC126</f>
        <v>0</v>
      </c>
      <c r="R86" s="199">
        <f>'Prop. revenue'!$AC204</f>
        <v>0</v>
      </c>
      <c r="S86" s="182"/>
      <c r="T86" s="19"/>
      <c r="U86" s="19"/>
      <c r="V86" s="19"/>
      <c r="W86" s="19"/>
    </row>
    <row r="87" spans="1:23" outlineLevel="1" x14ac:dyDescent="0.2">
      <c r="A87" s="19"/>
      <c r="B87" s="19"/>
      <c r="C87" s="492">
        <f>IF(Tariffs!C87=0, IF(Tariffs!H87=0,0,Tariffs!H87&amp;" (historical)"),Tariffs!C87)</f>
        <v>0</v>
      </c>
      <c r="D87" s="552">
        <f>Tariffs!D87</f>
        <v>0</v>
      </c>
      <c r="E87" s="552">
        <f>Tariffs!E87</f>
        <v>0</v>
      </c>
      <c r="F87" s="552">
        <f>Tariffs!F87</f>
        <v>0</v>
      </c>
      <c r="G87" s="58"/>
      <c r="H87" s="199">
        <f>'Hist. revenue'!$AC286</f>
        <v>0</v>
      </c>
      <c r="I87" s="199">
        <f>'Hist. revenue'!$AC364</f>
        <v>0</v>
      </c>
      <c r="J87" s="199">
        <f>'Hist. revenue'!$AC442</f>
        <v>0</v>
      </c>
      <c r="K87" s="200"/>
      <c r="L87" s="199">
        <f>'Hist. revenue'!$AC49</f>
        <v>0</v>
      </c>
      <c r="M87" s="199">
        <f>'Hist. revenue'!$AC127</f>
        <v>0</v>
      </c>
      <c r="N87" s="199">
        <f>'Hist. revenue'!$AC205</f>
        <v>0</v>
      </c>
      <c r="O87" s="200"/>
      <c r="P87" s="199">
        <f>'Prop. revenue'!$AC49</f>
        <v>0</v>
      </c>
      <c r="Q87" s="199">
        <f>'Prop. revenue'!$AC127</f>
        <v>0</v>
      </c>
      <c r="R87" s="199">
        <f>'Prop. revenue'!$AC205</f>
        <v>0</v>
      </c>
      <c r="S87" s="182"/>
      <c r="T87" s="19"/>
      <c r="U87" s="19"/>
      <c r="V87" s="19"/>
      <c r="W87" s="19"/>
    </row>
    <row r="88" spans="1:23" outlineLevel="1" x14ac:dyDescent="0.2">
      <c r="A88" s="19"/>
      <c r="B88" s="19"/>
      <c r="C88" s="492">
        <f>IF(Tariffs!C88=0, IF(Tariffs!H88=0,0,Tariffs!H88&amp;" (historical)"),Tariffs!C88)</f>
        <v>0</v>
      </c>
      <c r="D88" s="552">
        <f>Tariffs!D88</f>
        <v>0</v>
      </c>
      <c r="E88" s="552">
        <f>Tariffs!E88</f>
        <v>0</v>
      </c>
      <c r="F88" s="552">
        <f>Tariffs!F88</f>
        <v>0</v>
      </c>
      <c r="G88" s="58"/>
      <c r="H88" s="199">
        <f>'Hist. revenue'!$AC287</f>
        <v>0</v>
      </c>
      <c r="I88" s="199">
        <f>'Hist. revenue'!$AC365</f>
        <v>0</v>
      </c>
      <c r="J88" s="199">
        <f>'Hist. revenue'!$AC443</f>
        <v>0</v>
      </c>
      <c r="K88" s="200"/>
      <c r="L88" s="199">
        <f>'Hist. revenue'!$AC50</f>
        <v>0</v>
      </c>
      <c r="M88" s="199">
        <f>'Hist. revenue'!$AC128</f>
        <v>0</v>
      </c>
      <c r="N88" s="199">
        <f>'Hist. revenue'!$AC206</f>
        <v>0</v>
      </c>
      <c r="O88" s="200"/>
      <c r="P88" s="199">
        <f>'Prop. revenue'!$AC50</f>
        <v>0</v>
      </c>
      <c r="Q88" s="199">
        <f>'Prop. revenue'!$AC128</f>
        <v>0</v>
      </c>
      <c r="R88" s="199">
        <f>'Prop. revenue'!$AC206</f>
        <v>0</v>
      </c>
      <c r="S88" s="182"/>
      <c r="T88" s="19"/>
      <c r="U88" s="19"/>
      <c r="V88" s="19"/>
      <c r="W88" s="19"/>
    </row>
    <row r="89" spans="1:23" outlineLevel="1" x14ac:dyDescent="0.2">
      <c r="A89" s="19"/>
      <c r="B89" s="19"/>
      <c r="C89" s="492">
        <f>IF(Tariffs!C89=0, IF(Tariffs!H89=0,0,Tariffs!H89&amp;" (historical)"),Tariffs!C89)</f>
        <v>0</v>
      </c>
      <c r="D89" s="552">
        <f>Tariffs!D89</f>
        <v>0</v>
      </c>
      <c r="E89" s="552">
        <f>Tariffs!E89</f>
        <v>0</v>
      </c>
      <c r="F89" s="552">
        <f>Tariffs!F89</f>
        <v>0</v>
      </c>
      <c r="G89" s="58"/>
      <c r="H89" s="199">
        <f>'Hist. revenue'!$AC288</f>
        <v>0</v>
      </c>
      <c r="I89" s="199">
        <f>'Hist. revenue'!$AC366</f>
        <v>0</v>
      </c>
      <c r="J89" s="199">
        <f>'Hist. revenue'!$AC444</f>
        <v>0</v>
      </c>
      <c r="K89" s="200"/>
      <c r="L89" s="199">
        <f>'Hist. revenue'!$AC51</f>
        <v>0</v>
      </c>
      <c r="M89" s="199">
        <f>'Hist. revenue'!$AC129</f>
        <v>0</v>
      </c>
      <c r="N89" s="199">
        <f>'Hist. revenue'!$AC207</f>
        <v>0</v>
      </c>
      <c r="O89" s="200"/>
      <c r="P89" s="199">
        <f>'Prop. revenue'!$AC51</f>
        <v>0</v>
      </c>
      <c r="Q89" s="199">
        <f>'Prop. revenue'!$AC129</f>
        <v>0</v>
      </c>
      <c r="R89" s="199">
        <f>'Prop. revenue'!$AC207</f>
        <v>0</v>
      </c>
      <c r="S89" s="182"/>
      <c r="T89" s="19"/>
      <c r="U89" s="19"/>
      <c r="V89" s="19"/>
      <c r="W89" s="19"/>
    </row>
    <row r="90" spans="1:23" outlineLevel="1" x14ac:dyDescent="0.2">
      <c r="A90" s="19"/>
      <c r="B90" s="19"/>
      <c r="C90" s="492">
        <f>IF(Tariffs!C90=0, IF(Tariffs!H90=0,0,Tariffs!H90&amp;" (historical)"),Tariffs!C90)</f>
        <v>0</v>
      </c>
      <c r="D90" s="552">
        <f>Tariffs!D90</f>
        <v>0</v>
      </c>
      <c r="E90" s="552">
        <f>Tariffs!E90</f>
        <v>0</v>
      </c>
      <c r="F90" s="552">
        <f>Tariffs!F90</f>
        <v>0</v>
      </c>
      <c r="G90" s="58"/>
      <c r="H90" s="199">
        <f>'Hist. revenue'!$AC289</f>
        <v>0</v>
      </c>
      <c r="I90" s="199">
        <f>'Hist. revenue'!$AC367</f>
        <v>0</v>
      </c>
      <c r="J90" s="199">
        <f>'Hist. revenue'!$AC445</f>
        <v>0</v>
      </c>
      <c r="K90" s="200"/>
      <c r="L90" s="199">
        <f>'Hist. revenue'!$AC52</f>
        <v>0</v>
      </c>
      <c r="M90" s="199">
        <f>'Hist. revenue'!$AC130</f>
        <v>0</v>
      </c>
      <c r="N90" s="199">
        <f>'Hist. revenue'!$AC208</f>
        <v>0</v>
      </c>
      <c r="O90" s="200"/>
      <c r="P90" s="199">
        <f>'Prop. revenue'!$AC52</f>
        <v>0</v>
      </c>
      <c r="Q90" s="199">
        <f>'Prop. revenue'!$AC130</f>
        <v>0</v>
      </c>
      <c r="R90" s="199">
        <f>'Prop. revenue'!$AC208</f>
        <v>0</v>
      </c>
      <c r="S90" s="182"/>
      <c r="T90" s="19"/>
      <c r="U90" s="19"/>
      <c r="V90" s="19"/>
      <c r="W90" s="19"/>
    </row>
    <row r="91" spans="1:23" outlineLevel="1" x14ac:dyDescent="0.2">
      <c r="A91" s="19"/>
      <c r="B91" s="19"/>
      <c r="C91" s="492">
        <f>IF(Tariffs!C91=0, IF(Tariffs!H91=0,0,Tariffs!H91&amp;" (historical)"),Tariffs!C91)</f>
        <v>0</v>
      </c>
      <c r="D91" s="552">
        <f>Tariffs!D91</f>
        <v>0</v>
      </c>
      <c r="E91" s="552">
        <f>Tariffs!E91</f>
        <v>0</v>
      </c>
      <c r="F91" s="552">
        <f>Tariffs!F91</f>
        <v>0</v>
      </c>
      <c r="G91" s="58"/>
      <c r="H91" s="199">
        <f>'Hist. revenue'!$AC290</f>
        <v>0</v>
      </c>
      <c r="I91" s="199">
        <f>'Hist. revenue'!$AC368</f>
        <v>0</v>
      </c>
      <c r="J91" s="199">
        <f>'Hist. revenue'!$AC446</f>
        <v>0</v>
      </c>
      <c r="K91" s="200"/>
      <c r="L91" s="199">
        <f>'Hist. revenue'!$AC53</f>
        <v>0</v>
      </c>
      <c r="M91" s="199">
        <f>'Hist. revenue'!$AC131</f>
        <v>0</v>
      </c>
      <c r="N91" s="199">
        <f>'Hist. revenue'!$AC209</f>
        <v>0</v>
      </c>
      <c r="O91" s="200"/>
      <c r="P91" s="199">
        <f>'Prop. revenue'!$AC53</f>
        <v>0</v>
      </c>
      <c r="Q91" s="199">
        <f>'Prop. revenue'!$AC131</f>
        <v>0</v>
      </c>
      <c r="R91" s="199">
        <f>'Prop. revenue'!$AC209</f>
        <v>0</v>
      </c>
      <c r="S91" s="182"/>
      <c r="T91" s="19"/>
      <c r="U91" s="19"/>
      <c r="V91" s="19"/>
      <c r="W91" s="19"/>
    </row>
    <row r="92" spans="1:23" outlineLevel="1" x14ac:dyDescent="0.2">
      <c r="A92" s="19"/>
      <c r="B92" s="19"/>
      <c r="C92" s="492">
        <f>IF(Tariffs!C92=0, IF(Tariffs!H92=0,0,Tariffs!H92&amp;" (historical)"),Tariffs!C92)</f>
        <v>0</v>
      </c>
      <c r="D92" s="552">
        <f>Tariffs!D92</f>
        <v>0</v>
      </c>
      <c r="E92" s="552">
        <f>Tariffs!E92</f>
        <v>0</v>
      </c>
      <c r="F92" s="552">
        <f>Tariffs!F92</f>
        <v>0</v>
      </c>
      <c r="G92" s="58"/>
      <c r="H92" s="199">
        <f>'Hist. revenue'!$AC291</f>
        <v>0</v>
      </c>
      <c r="I92" s="199">
        <f>'Hist. revenue'!$AC369</f>
        <v>0</v>
      </c>
      <c r="J92" s="199">
        <f>'Hist. revenue'!$AC447</f>
        <v>0</v>
      </c>
      <c r="K92" s="200"/>
      <c r="L92" s="199">
        <f>'Hist. revenue'!$AC54</f>
        <v>0</v>
      </c>
      <c r="M92" s="199">
        <f>'Hist. revenue'!$AC132</f>
        <v>0</v>
      </c>
      <c r="N92" s="199">
        <f>'Hist. revenue'!$AC210</f>
        <v>0</v>
      </c>
      <c r="O92" s="200"/>
      <c r="P92" s="199">
        <f>'Prop. revenue'!$AC54</f>
        <v>0</v>
      </c>
      <c r="Q92" s="199">
        <f>'Prop. revenue'!$AC132</f>
        <v>0</v>
      </c>
      <c r="R92" s="199">
        <f>'Prop. revenue'!$AC210</f>
        <v>0</v>
      </c>
      <c r="S92" s="182"/>
      <c r="T92" s="19"/>
      <c r="U92" s="19"/>
      <c r="V92" s="19"/>
      <c r="W92" s="19"/>
    </row>
    <row r="93" spans="1:23" hidden="1" outlineLevel="2" x14ac:dyDescent="0.2">
      <c r="A93" s="19"/>
      <c r="B93" s="19"/>
      <c r="C93" s="492">
        <f>IF(Tariffs!C93=0, IF(Tariffs!H93=0,0,Tariffs!H93&amp;" (historical)"),Tariffs!C93)</f>
        <v>0</v>
      </c>
      <c r="D93" s="552">
        <f>Tariffs!D93</f>
        <v>0</v>
      </c>
      <c r="E93" s="552">
        <f>Tariffs!E93</f>
        <v>0</v>
      </c>
      <c r="F93" s="552">
        <f>Tariffs!F93</f>
        <v>0</v>
      </c>
      <c r="G93" s="58"/>
      <c r="H93" s="199">
        <f>'Hist. revenue'!$AC292</f>
        <v>0</v>
      </c>
      <c r="I93" s="199">
        <f>'Hist. revenue'!$AC370</f>
        <v>0</v>
      </c>
      <c r="J93" s="199">
        <f>'Hist. revenue'!$AC448</f>
        <v>0</v>
      </c>
      <c r="K93" s="200"/>
      <c r="L93" s="199">
        <f>'Hist. revenue'!$AC55</f>
        <v>0</v>
      </c>
      <c r="M93" s="199">
        <f>'Hist. revenue'!$AC133</f>
        <v>0</v>
      </c>
      <c r="N93" s="199">
        <f>'Hist. revenue'!$AC211</f>
        <v>0</v>
      </c>
      <c r="O93" s="200"/>
      <c r="P93" s="199">
        <f>'Prop. revenue'!$AC55</f>
        <v>0</v>
      </c>
      <c r="Q93" s="199">
        <f>'Prop. revenue'!$AC133</f>
        <v>0</v>
      </c>
      <c r="R93" s="199">
        <f>'Prop. revenue'!$AC211</f>
        <v>0</v>
      </c>
      <c r="S93" s="182"/>
      <c r="T93" s="19"/>
      <c r="U93" s="19"/>
      <c r="V93" s="19"/>
      <c r="W93" s="19"/>
    </row>
    <row r="94" spans="1:23" hidden="1" outlineLevel="2" x14ac:dyDescent="0.2">
      <c r="A94" s="19"/>
      <c r="B94" s="19"/>
      <c r="C94" s="492">
        <f>IF(Tariffs!C94=0, IF(Tariffs!H94=0,0,Tariffs!H94&amp;" (historical)"),Tariffs!C94)</f>
        <v>0</v>
      </c>
      <c r="D94" s="552">
        <f>Tariffs!D94</f>
        <v>0</v>
      </c>
      <c r="E94" s="552">
        <f>Tariffs!E94</f>
        <v>0</v>
      </c>
      <c r="F94" s="552">
        <f>Tariffs!F94</f>
        <v>0</v>
      </c>
      <c r="G94" s="58"/>
      <c r="H94" s="199">
        <f>'Hist. revenue'!$AC293</f>
        <v>0</v>
      </c>
      <c r="I94" s="199">
        <f>'Hist. revenue'!$AC371</f>
        <v>0</v>
      </c>
      <c r="J94" s="199">
        <f>'Hist. revenue'!$AC449</f>
        <v>0</v>
      </c>
      <c r="K94" s="200"/>
      <c r="L94" s="199">
        <f>'Hist. revenue'!$AC56</f>
        <v>0</v>
      </c>
      <c r="M94" s="199">
        <f>'Hist. revenue'!$AC134</f>
        <v>0</v>
      </c>
      <c r="N94" s="199">
        <f>'Hist. revenue'!$AC212</f>
        <v>0</v>
      </c>
      <c r="O94" s="200"/>
      <c r="P94" s="199">
        <f>'Prop. revenue'!$AC56</f>
        <v>0</v>
      </c>
      <c r="Q94" s="199">
        <f>'Prop. revenue'!$AC134</f>
        <v>0</v>
      </c>
      <c r="R94" s="199">
        <f>'Prop. revenue'!$AC212</f>
        <v>0</v>
      </c>
      <c r="S94" s="182"/>
      <c r="T94" s="19"/>
      <c r="U94" s="19"/>
      <c r="V94" s="19"/>
      <c r="W94" s="19"/>
    </row>
    <row r="95" spans="1:23" hidden="1" outlineLevel="2" x14ac:dyDescent="0.2">
      <c r="A95" s="19"/>
      <c r="B95" s="19"/>
      <c r="C95" s="492">
        <f>IF(Tariffs!C95=0, IF(Tariffs!H95=0,0,Tariffs!H95&amp;" (historical)"),Tariffs!C95)</f>
        <v>0</v>
      </c>
      <c r="D95" s="552">
        <f>Tariffs!D95</f>
        <v>0</v>
      </c>
      <c r="E95" s="552">
        <f>Tariffs!E95</f>
        <v>0</v>
      </c>
      <c r="F95" s="552">
        <f>Tariffs!F95</f>
        <v>0</v>
      </c>
      <c r="G95" s="58"/>
      <c r="H95" s="199">
        <f>'Hist. revenue'!$AC294</f>
        <v>0</v>
      </c>
      <c r="I95" s="199">
        <f>'Hist. revenue'!$AC372</f>
        <v>0</v>
      </c>
      <c r="J95" s="199">
        <f>'Hist. revenue'!$AC450</f>
        <v>0</v>
      </c>
      <c r="K95" s="200"/>
      <c r="L95" s="199">
        <f>'Hist. revenue'!$AC57</f>
        <v>0</v>
      </c>
      <c r="M95" s="199">
        <f>'Hist. revenue'!$AC135</f>
        <v>0</v>
      </c>
      <c r="N95" s="199">
        <f>'Hist. revenue'!$AC213</f>
        <v>0</v>
      </c>
      <c r="O95" s="200"/>
      <c r="P95" s="199">
        <f>'Prop. revenue'!$AC57</f>
        <v>0</v>
      </c>
      <c r="Q95" s="199">
        <f>'Prop. revenue'!$AC135</f>
        <v>0</v>
      </c>
      <c r="R95" s="199">
        <f>'Prop. revenue'!$AC213</f>
        <v>0</v>
      </c>
      <c r="S95" s="182"/>
      <c r="T95" s="19"/>
      <c r="U95" s="19"/>
      <c r="V95" s="19"/>
      <c r="W95" s="19"/>
    </row>
    <row r="96" spans="1:23" hidden="1" outlineLevel="2" x14ac:dyDescent="0.2">
      <c r="A96" s="19"/>
      <c r="B96" s="19"/>
      <c r="C96" s="492">
        <f>IF(Tariffs!C96=0, IF(Tariffs!H96=0,0,Tariffs!H96&amp;" (historical)"),Tariffs!C96)</f>
        <v>0</v>
      </c>
      <c r="D96" s="552">
        <f>Tariffs!D96</f>
        <v>0</v>
      </c>
      <c r="E96" s="552">
        <f>Tariffs!E96</f>
        <v>0</v>
      </c>
      <c r="F96" s="552">
        <f>Tariffs!F96</f>
        <v>0</v>
      </c>
      <c r="G96" s="58"/>
      <c r="H96" s="199">
        <f>'Hist. revenue'!$AC295</f>
        <v>0</v>
      </c>
      <c r="I96" s="199">
        <f>'Hist. revenue'!$AC373</f>
        <v>0</v>
      </c>
      <c r="J96" s="199">
        <f>'Hist. revenue'!$AC451</f>
        <v>0</v>
      </c>
      <c r="K96" s="200"/>
      <c r="L96" s="199">
        <f>'Hist. revenue'!$AC58</f>
        <v>0</v>
      </c>
      <c r="M96" s="199">
        <f>'Hist. revenue'!$AC136</f>
        <v>0</v>
      </c>
      <c r="N96" s="199">
        <f>'Hist. revenue'!$AC214</f>
        <v>0</v>
      </c>
      <c r="O96" s="200"/>
      <c r="P96" s="199">
        <f>'Prop. revenue'!$AC58</f>
        <v>0</v>
      </c>
      <c r="Q96" s="199">
        <f>'Prop. revenue'!$AC136</f>
        <v>0</v>
      </c>
      <c r="R96" s="199">
        <f>'Prop. revenue'!$AC214</f>
        <v>0</v>
      </c>
      <c r="S96" s="182"/>
      <c r="T96" s="19"/>
      <c r="U96" s="19"/>
      <c r="V96" s="19"/>
      <c r="W96" s="19"/>
    </row>
    <row r="97" spans="1:23" hidden="1" outlineLevel="2" x14ac:dyDescent="0.2">
      <c r="A97" s="19"/>
      <c r="B97" s="19"/>
      <c r="C97" s="492">
        <f>IF(Tariffs!C97=0, IF(Tariffs!H97=0,0,Tariffs!H97&amp;" (historical)"),Tariffs!C97)</f>
        <v>0</v>
      </c>
      <c r="D97" s="552">
        <f>Tariffs!D97</f>
        <v>0</v>
      </c>
      <c r="E97" s="552">
        <f>Tariffs!E97</f>
        <v>0</v>
      </c>
      <c r="F97" s="552">
        <f>Tariffs!F97</f>
        <v>0</v>
      </c>
      <c r="G97" s="58"/>
      <c r="H97" s="199">
        <f>'Hist. revenue'!$AC296</f>
        <v>0</v>
      </c>
      <c r="I97" s="199">
        <f>'Hist. revenue'!$AC374</f>
        <v>0</v>
      </c>
      <c r="J97" s="199">
        <f>'Hist. revenue'!$AC452</f>
        <v>0</v>
      </c>
      <c r="K97" s="200"/>
      <c r="L97" s="199">
        <f>'Hist. revenue'!$AC59</f>
        <v>0</v>
      </c>
      <c r="M97" s="199">
        <f>'Hist. revenue'!$AC137</f>
        <v>0</v>
      </c>
      <c r="N97" s="199">
        <f>'Hist. revenue'!$AC215</f>
        <v>0</v>
      </c>
      <c r="O97" s="200"/>
      <c r="P97" s="199">
        <f>'Prop. revenue'!$AC59</f>
        <v>0</v>
      </c>
      <c r="Q97" s="199">
        <f>'Prop. revenue'!$AC137</f>
        <v>0</v>
      </c>
      <c r="R97" s="199">
        <f>'Prop. revenue'!$AC215</f>
        <v>0</v>
      </c>
      <c r="S97" s="182"/>
      <c r="T97" s="19"/>
      <c r="U97" s="19"/>
      <c r="V97" s="19"/>
      <c r="W97" s="19"/>
    </row>
    <row r="98" spans="1:23" hidden="1" outlineLevel="2" x14ac:dyDescent="0.2">
      <c r="A98" s="19"/>
      <c r="B98" s="19"/>
      <c r="C98" s="492">
        <f>IF(Tariffs!C98=0, IF(Tariffs!H98=0,0,Tariffs!H98&amp;" (historical)"),Tariffs!C98)</f>
        <v>0</v>
      </c>
      <c r="D98" s="552">
        <f>Tariffs!D98</f>
        <v>0</v>
      </c>
      <c r="E98" s="552">
        <f>Tariffs!E98</f>
        <v>0</v>
      </c>
      <c r="F98" s="552">
        <f>Tariffs!F98</f>
        <v>0</v>
      </c>
      <c r="G98" s="58"/>
      <c r="H98" s="199">
        <f>'Hist. revenue'!$AC297</f>
        <v>0</v>
      </c>
      <c r="I98" s="199">
        <f>'Hist. revenue'!$AC375</f>
        <v>0</v>
      </c>
      <c r="J98" s="199">
        <f>'Hist. revenue'!$AC453</f>
        <v>0</v>
      </c>
      <c r="K98" s="200"/>
      <c r="L98" s="199">
        <f>'Hist. revenue'!$AC60</f>
        <v>0</v>
      </c>
      <c r="M98" s="199">
        <f>'Hist. revenue'!$AC138</f>
        <v>0</v>
      </c>
      <c r="N98" s="199">
        <f>'Hist. revenue'!$AC216</f>
        <v>0</v>
      </c>
      <c r="O98" s="200"/>
      <c r="P98" s="199">
        <f>'Prop. revenue'!$AC60</f>
        <v>0</v>
      </c>
      <c r="Q98" s="199">
        <f>'Prop. revenue'!$AC138</f>
        <v>0</v>
      </c>
      <c r="R98" s="199">
        <f>'Prop. revenue'!$AC216</f>
        <v>0</v>
      </c>
      <c r="S98" s="182"/>
      <c r="T98" s="19"/>
      <c r="U98" s="19"/>
      <c r="V98" s="19"/>
      <c r="W98" s="19"/>
    </row>
    <row r="99" spans="1:23" hidden="1" outlineLevel="2" x14ac:dyDescent="0.2">
      <c r="A99" s="19"/>
      <c r="B99" s="19"/>
      <c r="C99" s="492">
        <f>IF(Tariffs!C99=0, IF(Tariffs!H99=0,0,Tariffs!H99&amp;" (historical)"),Tariffs!C99)</f>
        <v>0</v>
      </c>
      <c r="D99" s="552">
        <f>Tariffs!D99</f>
        <v>0</v>
      </c>
      <c r="E99" s="552">
        <f>Tariffs!E99</f>
        <v>0</v>
      </c>
      <c r="F99" s="552">
        <f>Tariffs!F99</f>
        <v>0</v>
      </c>
      <c r="G99" s="58"/>
      <c r="H99" s="199">
        <f>'Hist. revenue'!$AC298</f>
        <v>0</v>
      </c>
      <c r="I99" s="199">
        <f>'Hist. revenue'!$AC376</f>
        <v>0</v>
      </c>
      <c r="J99" s="199">
        <f>'Hist. revenue'!$AC454</f>
        <v>0</v>
      </c>
      <c r="K99" s="200"/>
      <c r="L99" s="199">
        <f>'Hist. revenue'!$AC61</f>
        <v>0</v>
      </c>
      <c r="M99" s="199">
        <f>'Hist. revenue'!$AC139</f>
        <v>0</v>
      </c>
      <c r="N99" s="199">
        <f>'Hist. revenue'!$AC217</f>
        <v>0</v>
      </c>
      <c r="O99" s="200"/>
      <c r="P99" s="199">
        <f>'Prop. revenue'!$AC61</f>
        <v>0</v>
      </c>
      <c r="Q99" s="199">
        <f>'Prop. revenue'!$AC139</f>
        <v>0</v>
      </c>
      <c r="R99" s="199">
        <f>'Prop. revenue'!$AC217</f>
        <v>0</v>
      </c>
      <c r="S99" s="182"/>
      <c r="T99" s="19"/>
      <c r="U99" s="19"/>
      <c r="V99" s="19"/>
      <c r="W99" s="19"/>
    </row>
    <row r="100" spans="1:23" hidden="1" outlineLevel="2" x14ac:dyDescent="0.2">
      <c r="A100" s="19"/>
      <c r="B100" s="19"/>
      <c r="C100" s="492">
        <f>IF(Tariffs!C100=0, IF(Tariffs!H100=0,0,Tariffs!H100&amp;" (historical)"),Tariffs!C100)</f>
        <v>0</v>
      </c>
      <c r="D100" s="552">
        <f>Tariffs!D100</f>
        <v>0</v>
      </c>
      <c r="E100" s="552">
        <f>Tariffs!E100</f>
        <v>0</v>
      </c>
      <c r="F100" s="552">
        <f>Tariffs!F100</f>
        <v>0</v>
      </c>
      <c r="G100" s="58"/>
      <c r="H100" s="199">
        <f>'Hist. revenue'!$AC299</f>
        <v>0</v>
      </c>
      <c r="I100" s="199">
        <f>'Hist. revenue'!$AC377</f>
        <v>0</v>
      </c>
      <c r="J100" s="199">
        <f>'Hist. revenue'!$AC455</f>
        <v>0</v>
      </c>
      <c r="K100" s="200"/>
      <c r="L100" s="199">
        <f>'Hist. revenue'!$AC62</f>
        <v>0</v>
      </c>
      <c r="M100" s="199">
        <f>'Hist. revenue'!$AC140</f>
        <v>0</v>
      </c>
      <c r="N100" s="199">
        <f>'Hist. revenue'!$AC218</f>
        <v>0</v>
      </c>
      <c r="O100" s="200"/>
      <c r="P100" s="199">
        <f>'Prop. revenue'!$AC62</f>
        <v>0</v>
      </c>
      <c r="Q100" s="199">
        <f>'Prop. revenue'!$AC140</f>
        <v>0</v>
      </c>
      <c r="R100" s="199">
        <f>'Prop. revenue'!$AC218</f>
        <v>0</v>
      </c>
      <c r="S100" s="182"/>
      <c r="T100" s="19"/>
      <c r="U100" s="19"/>
      <c r="V100" s="19"/>
      <c r="W100" s="19"/>
    </row>
    <row r="101" spans="1:23" hidden="1" outlineLevel="2" x14ac:dyDescent="0.2">
      <c r="A101" s="19"/>
      <c r="B101" s="19"/>
      <c r="C101" s="492">
        <f>IF(Tariffs!C101=0, IF(Tariffs!H101=0,0,Tariffs!H101&amp;" (historical)"),Tariffs!C101)</f>
        <v>0</v>
      </c>
      <c r="D101" s="552">
        <f>Tariffs!D101</f>
        <v>0</v>
      </c>
      <c r="E101" s="552">
        <f>Tariffs!E101</f>
        <v>0</v>
      </c>
      <c r="F101" s="552">
        <f>Tariffs!F101</f>
        <v>0</v>
      </c>
      <c r="G101" s="58"/>
      <c r="H101" s="199">
        <f>'Hist. revenue'!$AC300</f>
        <v>0</v>
      </c>
      <c r="I101" s="199">
        <f>'Hist. revenue'!$AC378</f>
        <v>0</v>
      </c>
      <c r="J101" s="199">
        <f>'Hist. revenue'!$AC456</f>
        <v>0</v>
      </c>
      <c r="K101" s="200"/>
      <c r="L101" s="199">
        <f>'Hist. revenue'!$AC63</f>
        <v>0</v>
      </c>
      <c r="M101" s="199">
        <f>'Hist. revenue'!$AC141</f>
        <v>0</v>
      </c>
      <c r="N101" s="199">
        <f>'Hist. revenue'!$AC219</f>
        <v>0</v>
      </c>
      <c r="O101" s="200"/>
      <c r="P101" s="199">
        <f>'Prop. revenue'!$AC63</f>
        <v>0</v>
      </c>
      <c r="Q101" s="199">
        <f>'Prop. revenue'!$AC141</f>
        <v>0</v>
      </c>
      <c r="R101" s="199">
        <f>'Prop. revenue'!$AC219</f>
        <v>0</v>
      </c>
      <c r="S101" s="182"/>
      <c r="T101" s="19"/>
      <c r="U101" s="19"/>
      <c r="V101" s="19"/>
      <c r="W101" s="19"/>
    </row>
    <row r="102" spans="1:23" hidden="1" outlineLevel="2" x14ac:dyDescent="0.2">
      <c r="A102" s="19"/>
      <c r="B102" s="19"/>
      <c r="C102" s="492">
        <f>IF(Tariffs!C102=0, IF(Tariffs!H102=0,0,Tariffs!H102&amp;" (historical)"),Tariffs!C102)</f>
        <v>0</v>
      </c>
      <c r="D102" s="552">
        <f>Tariffs!D102</f>
        <v>0</v>
      </c>
      <c r="E102" s="552">
        <f>Tariffs!E102</f>
        <v>0</v>
      </c>
      <c r="F102" s="552">
        <f>Tariffs!F102</f>
        <v>0</v>
      </c>
      <c r="G102" s="58"/>
      <c r="H102" s="199">
        <f>'Hist. revenue'!$AC301</f>
        <v>0</v>
      </c>
      <c r="I102" s="199">
        <f>'Hist. revenue'!$AC379</f>
        <v>0</v>
      </c>
      <c r="J102" s="199">
        <f>'Hist. revenue'!$AC457</f>
        <v>0</v>
      </c>
      <c r="K102" s="200"/>
      <c r="L102" s="199">
        <f>'Hist. revenue'!$AC64</f>
        <v>0</v>
      </c>
      <c r="M102" s="199">
        <f>'Hist. revenue'!$AC142</f>
        <v>0</v>
      </c>
      <c r="N102" s="199">
        <f>'Hist. revenue'!$AC220</f>
        <v>0</v>
      </c>
      <c r="O102" s="200"/>
      <c r="P102" s="199">
        <f>'Prop. revenue'!$AC64</f>
        <v>0</v>
      </c>
      <c r="Q102" s="199">
        <f>'Prop. revenue'!$AC142</f>
        <v>0</v>
      </c>
      <c r="R102" s="199">
        <f>'Prop. revenue'!$AC220</f>
        <v>0</v>
      </c>
      <c r="S102" s="182"/>
      <c r="T102" s="19"/>
      <c r="U102" s="19"/>
      <c r="V102" s="19"/>
      <c r="W102" s="19"/>
    </row>
    <row r="103" spans="1:23" hidden="1" outlineLevel="2" x14ac:dyDescent="0.2">
      <c r="A103" s="19"/>
      <c r="B103" s="19"/>
      <c r="C103" s="492">
        <f>IF(Tariffs!C103=0, IF(Tariffs!H103=0,0,Tariffs!H103&amp;" (historical)"),Tariffs!C103)</f>
        <v>0</v>
      </c>
      <c r="D103" s="552">
        <f>Tariffs!D103</f>
        <v>0</v>
      </c>
      <c r="E103" s="552">
        <f>Tariffs!E103</f>
        <v>0</v>
      </c>
      <c r="F103" s="552">
        <f>Tariffs!F103</f>
        <v>0</v>
      </c>
      <c r="G103" s="58"/>
      <c r="H103" s="199">
        <f>'Hist. revenue'!$AC302</f>
        <v>0</v>
      </c>
      <c r="I103" s="199">
        <f>'Hist. revenue'!$AC380</f>
        <v>0</v>
      </c>
      <c r="J103" s="199">
        <f>'Hist. revenue'!$AC458</f>
        <v>0</v>
      </c>
      <c r="K103" s="200"/>
      <c r="L103" s="199">
        <f>'Hist. revenue'!$AC65</f>
        <v>0</v>
      </c>
      <c r="M103" s="199">
        <f>'Hist. revenue'!$AC143</f>
        <v>0</v>
      </c>
      <c r="N103" s="199">
        <f>'Hist. revenue'!$AC221</f>
        <v>0</v>
      </c>
      <c r="O103" s="200"/>
      <c r="P103" s="199">
        <f>'Prop. revenue'!$AC65</f>
        <v>0</v>
      </c>
      <c r="Q103" s="199">
        <f>'Prop. revenue'!$AC143</f>
        <v>0</v>
      </c>
      <c r="R103" s="199">
        <f>'Prop. revenue'!$AC221</f>
        <v>0</v>
      </c>
      <c r="S103" s="182"/>
      <c r="T103" s="19"/>
      <c r="U103" s="19"/>
      <c r="V103" s="19"/>
      <c r="W103" s="19"/>
    </row>
    <row r="104" spans="1:23" hidden="1" outlineLevel="2" x14ac:dyDescent="0.2">
      <c r="A104" s="19"/>
      <c r="B104" s="19"/>
      <c r="C104" s="492">
        <f>IF(Tariffs!C104=0, IF(Tariffs!H104=0,0,Tariffs!H104&amp;" (historical)"),Tariffs!C104)</f>
        <v>0</v>
      </c>
      <c r="D104" s="552">
        <f>Tariffs!D104</f>
        <v>0</v>
      </c>
      <c r="E104" s="552">
        <f>Tariffs!E104</f>
        <v>0</v>
      </c>
      <c r="F104" s="552">
        <f>Tariffs!F104</f>
        <v>0</v>
      </c>
      <c r="G104" s="58"/>
      <c r="H104" s="199">
        <f>'Hist. revenue'!$AC303</f>
        <v>0</v>
      </c>
      <c r="I104" s="199">
        <f>'Hist. revenue'!$AC381</f>
        <v>0</v>
      </c>
      <c r="J104" s="199">
        <f>'Hist. revenue'!$AC459</f>
        <v>0</v>
      </c>
      <c r="K104" s="200"/>
      <c r="L104" s="199">
        <f>'Hist. revenue'!$AC66</f>
        <v>0</v>
      </c>
      <c r="M104" s="199">
        <f>'Hist. revenue'!$AC144</f>
        <v>0</v>
      </c>
      <c r="N104" s="199">
        <f>'Hist. revenue'!$AC222</f>
        <v>0</v>
      </c>
      <c r="O104" s="200"/>
      <c r="P104" s="199">
        <f>'Prop. revenue'!$AC66</f>
        <v>0</v>
      </c>
      <c r="Q104" s="199">
        <f>'Prop. revenue'!$AC144</f>
        <v>0</v>
      </c>
      <c r="R104" s="199">
        <f>'Prop. revenue'!$AC222</f>
        <v>0</v>
      </c>
      <c r="S104" s="182"/>
      <c r="T104" s="19"/>
      <c r="U104" s="19"/>
      <c r="V104" s="19"/>
      <c r="W104" s="19"/>
    </row>
    <row r="105" spans="1:23" hidden="1" outlineLevel="2" x14ac:dyDescent="0.2">
      <c r="A105" s="19"/>
      <c r="B105" s="19"/>
      <c r="C105" s="492">
        <f>IF(Tariffs!C105=0, IF(Tariffs!H105=0,0,Tariffs!H105&amp;" (historical)"),Tariffs!C105)</f>
        <v>0</v>
      </c>
      <c r="D105" s="552">
        <f>Tariffs!D105</f>
        <v>0</v>
      </c>
      <c r="E105" s="552">
        <f>Tariffs!E105</f>
        <v>0</v>
      </c>
      <c r="F105" s="552">
        <f>Tariffs!F105</f>
        <v>0</v>
      </c>
      <c r="G105" s="58"/>
      <c r="H105" s="199">
        <f>'Hist. revenue'!$AC304</f>
        <v>0</v>
      </c>
      <c r="I105" s="199">
        <f>'Hist. revenue'!$AC382</f>
        <v>0</v>
      </c>
      <c r="J105" s="199">
        <f>'Hist. revenue'!$AC460</f>
        <v>0</v>
      </c>
      <c r="K105" s="200"/>
      <c r="L105" s="199">
        <f>'Hist. revenue'!$AC67</f>
        <v>0</v>
      </c>
      <c r="M105" s="199">
        <f>'Hist. revenue'!$AC145</f>
        <v>0</v>
      </c>
      <c r="N105" s="199">
        <f>'Hist. revenue'!$AC223</f>
        <v>0</v>
      </c>
      <c r="O105" s="200"/>
      <c r="P105" s="199">
        <f>'Prop. revenue'!$AC67</f>
        <v>0</v>
      </c>
      <c r="Q105" s="199">
        <f>'Prop. revenue'!$AC145</f>
        <v>0</v>
      </c>
      <c r="R105" s="199">
        <f>'Prop. revenue'!$AC223</f>
        <v>0</v>
      </c>
      <c r="S105" s="182"/>
      <c r="T105" s="19"/>
      <c r="U105" s="19"/>
      <c r="V105" s="19"/>
      <c r="W105" s="19"/>
    </row>
    <row r="106" spans="1:23" hidden="1" outlineLevel="2" x14ac:dyDescent="0.2">
      <c r="A106" s="19"/>
      <c r="B106" s="19"/>
      <c r="C106" s="492">
        <f>IF(Tariffs!C106=0, IF(Tariffs!H106=0,0,Tariffs!H106&amp;" (historical)"),Tariffs!C106)</f>
        <v>0</v>
      </c>
      <c r="D106" s="552">
        <f>Tariffs!D106</f>
        <v>0</v>
      </c>
      <c r="E106" s="552">
        <f>Tariffs!E106</f>
        <v>0</v>
      </c>
      <c r="F106" s="552">
        <f>Tariffs!F106</f>
        <v>0</v>
      </c>
      <c r="G106" s="58"/>
      <c r="H106" s="199">
        <f>'Hist. revenue'!$AC305</f>
        <v>0</v>
      </c>
      <c r="I106" s="199">
        <f>'Hist. revenue'!$AC383</f>
        <v>0</v>
      </c>
      <c r="J106" s="199">
        <f>'Hist. revenue'!$AC461</f>
        <v>0</v>
      </c>
      <c r="K106" s="200"/>
      <c r="L106" s="199">
        <f>'Hist. revenue'!$AC68</f>
        <v>0</v>
      </c>
      <c r="M106" s="199">
        <f>'Hist. revenue'!$AC146</f>
        <v>0</v>
      </c>
      <c r="N106" s="199">
        <f>'Hist. revenue'!$AC224</f>
        <v>0</v>
      </c>
      <c r="O106" s="200"/>
      <c r="P106" s="199">
        <f>'Prop. revenue'!$AC68</f>
        <v>0</v>
      </c>
      <c r="Q106" s="199">
        <f>'Prop. revenue'!$AC146</f>
        <v>0</v>
      </c>
      <c r="R106" s="199">
        <f>'Prop. revenue'!$AC224</f>
        <v>0</v>
      </c>
      <c r="S106" s="182"/>
      <c r="T106" s="19"/>
      <c r="U106" s="19"/>
      <c r="V106" s="19"/>
      <c r="W106" s="19"/>
    </row>
    <row r="107" spans="1:23" hidden="1" outlineLevel="2" x14ac:dyDescent="0.2">
      <c r="A107" s="19"/>
      <c r="B107" s="19"/>
      <c r="C107" s="492">
        <f>IF(Tariffs!C107=0, IF(Tariffs!H107=0,0,Tariffs!H107&amp;" (historical)"),Tariffs!C107)</f>
        <v>0</v>
      </c>
      <c r="D107" s="552">
        <f>Tariffs!D107</f>
        <v>0</v>
      </c>
      <c r="E107" s="552">
        <f>Tariffs!E107</f>
        <v>0</v>
      </c>
      <c r="F107" s="552">
        <f>Tariffs!F107</f>
        <v>0</v>
      </c>
      <c r="G107" s="58"/>
      <c r="H107" s="199">
        <f>'Hist. revenue'!$AC306</f>
        <v>0</v>
      </c>
      <c r="I107" s="199">
        <f>'Hist. revenue'!$AC384</f>
        <v>0</v>
      </c>
      <c r="J107" s="199">
        <f>'Hist. revenue'!$AC462</f>
        <v>0</v>
      </c>
      <c r="K107" s="200"/>
      <c r="L107" s="199">
        <f>'Hist. revenue'!$AC69</f>
        <v>0</v>
      </c>
      <c r="M107" s="199">
        <f>'Hist. revenue'!$AC147</f>
        <v>0</v>
      </c>
      <c r="N107" s="199">
        <f>'Hist. revenue'!$AC225</f>
        <v>0</v>
      </c>
      <c r="O107" s="200"/>
      <c r="P107" s="199">
        <f>'Prop. revenue'!$AC69</f>
        <v>0</v>
      </c>
      <c r="Q107" s="199">
        <f>'Prop. revenue'!$AC147</f>
        <v>0</v>
      </c>
      <c r="R107" s="199">
        <f>'Prop. revenue'!$AC225</f>
        <v>0</v>
      </c>
      <c r="S107" s="182"/>
      <c r="T107" s="19"/>
      <c r="U107" s="19"/>
      <c r="V107" s="19"/>
      <c r="W107" s="19"/>
    </row>
    <row r="108" spans="1:23" hidden="1" outlineLevel="2" x14ac:dyDescent="0.2">
      <c r="A108" s="19"/>
      <c r="B108" s="19"/>
      <c r="C108" s="492">
        <f>IF(Tariffs!C108=0, IF(Tariffs!H108=0,0,Tariffs!H108&amp;" (historical)"),Tariffs!C108)</f>
        <v>0</v>
      </c>
      <c r="D108" s="552">
        <f>Tariffs!D108</f>
        <v>0</v>
      </c>
      <c r="E108" s="552">
        <f>Tariffs!E108</f>
        <v>0</v>
      </c>
      <c r="F108" s="552">
        <f>Tariffs!F108</f>
        <v>0</v>
      </c>
      <c r="G108" s="58"/>
      <c r="H108" s="199">
        <f>'Hist. revenue'!$AC307</f>
        <v>0</v>
      </c>
      <c r="I108" s="199">
        <f>'Hist. revenue'!$AC385</f>
        <v>0</v>
      </c>
      <c r="J108" s="199">
        <f>'Hist. revenue'!$AC463</f>
        <v>0</v>
      </c>
      <c r="K108" s="200"/>
      <c r="L108" s="199">
        <f>'Hist. revenue'!$AC70</f>
        <v>0</v>
      </c>
      <c r="M108" s="199">
        <f>'Hist. revenue'!$AC148</f>
        <v>0</v>
      </c>
      <c r="N108" s="199">
        <f>'Hist. revenue'!$AC226</f>
        <v>0</v>
      </c>
      <c r="O108" s="200"/>
      <c r="P108" s="199">
        <f>'Prop. revenue'!$AC70</f>
        <v>0</v>
      </c>
      <c r="Q108" s="199">
        <f>'Prop. revenue'!$AC148</f>
        <v>0</v>
      </c>
      <c r="R108" s="199">
        <f>'Prop. revenue'!$AC226</f>
        <v>0</v>
      </c>
      <c r="S108" s="182"/>
      <c r="T108" s="19"/>
      <c r="U108" s="19"/>
      <c r="V108" s="19"/>
      <c r="W108" s="19"/>
    </row>
    <row r="109" spans="1:23" hidden="1" outlineLevel="2" x14ac:dyDescent="0.2">
      <c r="A109" s="19"/>
      <c r="B109" s="19"/>
      <c r="C109" s="492">
        <f>IF(Tariffs!C109=0, IF(Tariffs!H109=0,0,Tariffs!H109&amp;" (historical)"),Tariffs!C109)</f>
        <v>0</v>
      </c>
      <c r="D109" s="552">
        <f>Tariffs!D109</f>
        <v>0</v>
      </c>
      <c r="E109" s="552">
        <f>Tariffs!E109</f>
        <v>0</v>
      </c>
      <c r="F109" s="552">
        <f>Tariffs!F109</f>
        <v>0</v>
      </c>
      <c r="G109" s="58"/>
      <c r="H109" s="199">
        <f>'Hist. revenue'!$AC308</f>
        <v>0</v>
      </c>
      <c r="I109" s="199">
        <f>'Hist. revenue'!$AC386</f>
        <v>0</v>
      </c>
      <c r="J109" s="199">
        <f>'Hist. revenue'!$AC464</f>
        <v>0</v>
      </c>
      <c r="K109" s="200"/>
      <c r="L109" s="199">
        <f>'Hist. revenue'!$AC71</f>
        <v>0</v>
      </c>
      <c r="M109" s="199">
        <f>'Hist. revenue'!$AC149</f>
        <v>0</v>
      </c>
      <c r="N109" s="199">
        <f>'Hist. revenue'!$AC227</f>
        <v>0</v>
      </c>
      <c r="O109" s="200"/>
      <c r="P109" s="199">
        <f>'Prop. revenue'!$AC71</f>
        <v>0</v>
      </c>
      <c r="Q109" s="199">
        <f>'Prop. revenue'!$AC149</f>
        <v>0</v>
      </c>
      <c r="R109" s="199">
        <f>'Prop. revenue'!$AC227</f>
        <v>0</v>
      </c>
      <c r="S109" s="182"/>
      <c r="T109" s="19"/>
      <c r="U109" s="19"/>
      <c r="V109" s="19"/>
      <c r="W109" s="19"/>
    </row>
    <row r="110" spans="1:23" hidden="1" outlineLevel="2" x14ac:dyDescent="0.2">
      <c r="A110" s="19"/>
      <c r="B110" s="19"/>
      <c r="C110" s="492">
        <f>IF(Tariffs!C110=0, IF(Tariffs!H110=0,0,Tariffs!H110&amp;" (historical)"),Tariffs!C110)</f>
        <v>0</v>
      </c>
      <c r="D110" s="552">
        <f>Tariffs!D110</f>
        <v>0</v>
      </c>
      <c r="E110" s="552">
        <f>Tariffs!E110</f>
        <v>0</v>
      </c>
      <c r="F110" s="552">
        <f>Tariffs!F110</f>
        <v>0</v>
      </c>
      <c r="G110" s="58"/>
      <c r="H110" s="199">
        <f>'Hist. revenue'!$AC309</f>
        <v>0</v>
      </c>
      <c r="I110" s="199">
        <f>'Hist. revenue'!$AC387</f>
        <v>0</v>
      </c>
      <c r="J110" s="199">
        <f>'Hist. revenue'!$AC465</f>
        <v>0</v>
      </c>
      <c r="K110" s="200"/>
      <c r="L110" s="199">
        <f>'Hist. revenue'!$AC72</f>
        <v>0</v>
      </c>
      <c r="M110" s="199">
        <f>'Hist. revenue'!$AC150</f>
        <v>0</v>
      </c>
      <c r="N110" s="199">
        <f>'Hist. revenue'!$AC228</f>
        <v>0</v>
      </c>
      <c r="O110" s="200"/>
      <c r="P110" s="199">
        <f>'Prop. revenue'!$AC72</f>
        <v>0</v>
      </c>
      <c r="Q110" s="199">
        <f>'Prop. revenue'!$AC150</f>
        <v>0</v>
      </c>
      <c r="R110" s="199">
        <f>'Prop. revenue'!$AC228</f>
        <v>0</v>
      </c>
      <c r="S110" s="182"/>
      <c r="T110" s="19"/>
      <c r="U110" s="19"/>
      <c r="V110" s="19"/>
      <c r="W110" s="19"/>
    </row>
    <row r="111" spans="1:23" hidden="1" outlineLevel="2" x14ac:dyDescent="0.2">
      <c r="A111" s="19"/>
      <c r="B111" s="19"/>
      <c r="C111" s="492">
        <f>IF(Tariffs!C111=0, IF(Tariffs!H111=0,0,Tariffs!H111&amp;" (historical)"),Tariffs!C111)</f>
        <v>0</v>
      </c>
      <c r="D111" s="552">
        <f>Tariffs!D111</f>
        <v>0</v>
      </c>
      <c r="E111" s="552">
        <f>Tariffs!E111</f>
        <v>0</v>
      </c>
      <c r="F111" s="552">
        <f>Tariffs!F111</f>
        <v>0</v>
      </c>
      <c r="G111" s="58"/>
      <c r="H111" s="199">
        <f>'Hist. revenue'!$AC310</f>
        <v>0</v>
      </c>
      <c r="I111" s="199">
        <f>'Hist. revenue'!$AC388</f>
        <v>0</v>
      </c>
      <c r="J111" s="199">
        <f>'Hist. revenue'!$AC466</f>
        <v>0</v>
      </c>
      <c r="K111" s="200"/>
      <c r="L111" s="199">
        <f>'Hist. revenue'!$AC73</f>
        <v>0</v>
      </c>
      <c r="M111" s="199">
        <f>'Hist. revenue'!$AC151</f>
        <v>0</v>
      </c>
      <c r="N111" s="199">
        <f>'Hist. revenue'!$AC229</f>
        <v>0</v>
      </c>
      <c r="O111" s="200"/>
      <c r="P111" s="199">
        <f>'Prop. revenue'!$AC73</f>
        <v>0</v>
      </c>
      <c r="Q111" s="199">
        <f>'Prop. revenue'!$AC151</f>
        <v>0</v>
      </c>
      <c r="R111" s="199">
        <f>'Prop. revenue'!$AC229</f>
        <v>0</v>
      </c>
      <c r="S111" s="182"/>
      <c r="T111" s="19"/>
      <c r="U111" s="19"/>
      <c r="V111" s="19"/>
      <c r="W111" s="19"/>
    </row>
    <row r="112" spans="1:23" hidden="1" outlineLevel="2" x14ac:dyDescent="0.2">
      <c r="A112" s="19"/>
      <c r="B112" s="19"/>
      <c r="C112" s="492">
        <f>IF(Tariffs!C112=0, IF(Tariffs!H112=0,0,Tariffs!H112&amp;" (historical)"),Tariffs!C112)</f>
        <v>0</v>
      </c>
      <c r="D112" s="552">
        <f>Tariffs!D112</f>
        <v>0</v>
      </c>
      <c r="E112" s="552">
        <f>Tariffs!E112</f>
        <v>0</v>
      </c>
      <c r="F112" s="552">
        <f>Tariffs!F112</f>
        <v>0</v>
      </c>
      <c r="G112" s="58"/>
      <c r="H112" s="199">
        <f>'Hist. revenue'!$AC311</f>
        <v>0</v>
      </c>
      <c r="I112" s="199">
        <f>'Hist. revenue'!$AC389</f>
        <v>0</v>
      </c>
      <c r="J112" s="199">
        <f>'Hist. revenue'!$AC467</f>
        <v>0</v>
      </c>
      <c r="K112" s="200"/>
      <c r="L112" s="199">
        <f>'Hist. revenue'!$AC74</f>
        <v>0</v>
      </c>
      <c r="M112" s="199">
        <f>'Hist. revenue'!$AC152</f>
        <v>0</v>
      </c>
      <c r="N112" s="199">
        <f>'Hist. revenue'!$AC230</f>
        <v>0</v>
      </c>
      <c r="O112" s="200"/>
      <c r="P112" s="199">
        <f>'Prop. revenue'!$AC74</f>
        <v>0</v>
      </c>
      <c r="Q112" s="199">
        <f>'Prop. revenue'!$AC152</f>
        <v>0</v>
      </c>
      <c r="R112" s="199">
        <f>'Prop. revenue'!$AC230</f>
        <v>0</v>
      </c>
      <c r="S112" s="182"/>
      <c r="T112" s="19"/>
      <c r="U112" s="19"/>
      <c r="V112" s="19"/>
      <c r="W112" s="19"/>
    </row>
    <row r="113" spans="1:23" hidden="1" outlineLevel="2" x14ac:dyDescent="0.2">
      <c r="A113" s="19"/>
      <c r="B113" s="19"/>
      <c r="C113" s="492">
        <f>IF(Tariffs!C113=0, IF(Tariffs!H113=0,0,Tariffs!H113&amp;" (historical)"),Tariffs!C113)</f>
        <v>0</v>
      </c>
      <c r="D113" s="552">
        <f>Tariffs!D113</f>
        <v>0</v>
      </c>
      <c r="E113" s="552">
        <f>Tariffs!E113</f>
        <v>0</v>
      </c>
      <c r="F113" s="552">
        <f>Tariffs!F113</f>
        <v>0</v>
      </c>
      <c r="G113" s="58"/>
      <c r="H113" s="199">
        <f>'Hist. revenue'!$AC312</f>
        <v>0</v>
      </c>
      <c r="I113" s="199">
        <f>'Hist. revenue'!$AC390</f>
        <v>0</v>
      </c>
      <c r="J113" s="199">
        <f>'Hist. revenue'!$AC468</f>
        <v>0</v>
      </c>
      <c r="K113" s="200"/>
      <c r="L113" s="199">
        <f>'Hist. revenue'!$AC75</f>
        <v>0</v>
      </c>
      <c r="M113" s="199">
        <f>'Hist. revenue'!$AC153</f>
        <v>0</v>
      </c>
      <c r="N113" s="199">
        <f>'Hist. revenue'!$AC231</f>
        <v>0</v>
      </c>
      <c r="O113" s="200"/>
      <c r="P113" s="199">
        <f>'Prop. revenue'!$AC75</f>
        <v>0</v>
      </c>
      <c r="Q113" s="199">
        <f>'Prop. revenue'!$AC153</f>
        <v>0</v>
      </c>
      <c r="R113" s="199">
        <f>'Prop. revenue'!$AC231</f>
        <v>0</v>
      </c>
      <c r="S113" s="182"/>
      <c r="T113" s="19"/>
      <c r="U113" s="19"/>
      <c r="V113" s="19"/>
      <c r="W113" s="19"/>
    </row>
    <row r="114" spans="1:23" hidden="1" outlineLevel="2" x14ac:dyDescent="0.2">
      <c r="A114" s="19"/>
      <c r="B114" s="19"/>
      <c r="C114" s="492">
        <f>IF(Tariffs!C114=0, IF(Tariffs!H114=0,0,Tariffs!H114&amp;" (historical)"),Tariffs!C114)</f>
        <v>0</v>
      </c>
      <c r="D114" s="552">
        <f>Tariffs!D114</f>
        <v>0</v>
      </c>
      <c r="E114" s="552">
        <f>Tariffs!E114</f>
        <v>0</v>
      </c>
      <c r="F114" s="552">
        <f>Tariffs!F114</f>
        <v>0</v>
      </c>
      <c r="G114" s="58"/>
      <c r="H114" s="199">
        <f>'Hist. revenue'!$AC313</f>
        <v>0</v>
      </c>
      <c r="I114" s="199">
        <f>'Hist. revenue'!$AC391</f>
        <v>0</v>
      </c>
      <c r="J114" s="199">
        <f>'Hist. revenue'!$AC469</f>
        <v>0</v>
      </c>
      <c r="K114" s="200"/>
      <c r="L114" s="199">
        <f>'Hist. revenue'!$AC76</f>
        <v>0</v>
      </c>
      <c r="M114" s="199">
        <f>'Hist. revenue'!$AC154</f>
        <v>0</v>
      </c>
      <c r="N114" s="199">
        <f>'Hist. revenue'!$AC232</f>
        <v>0</v>
      </c>
      <c r="O114" s="200"/>
      <c r="P114" s="199">
        <f>'Prop. revenue'!$AC76</f>
        <v>0</v>
      </c>
      <c r="Q114" s="199">
        <f>'Prop. revenue'!$AC154</f>
        <v>0</v>
      </c>
      <c r="R114" s="199">
        <f>'Prop. revenue'!$AC232</f>
        <v>0</v>
      </c>
      <c r="S114" s="182"/>
      <c r="T114" s="19"/>
      <c r="U114" s="19"/>
      <c r="V114" s="19"/>
      <c r="W114" s="19"/>
    </row>
    <row r="115" spans="1:23" hidden="1" outlineLevel="2" x14ac:dyDescent="0.2">
      <c r="A115" s="19"/>
      <c r="B115" s="19"/>
      <c r="C115" s="492">
        <f>IF(Tariffs!C115=0, IF(Tariffs!H115=0,0,Tariffs!H115&amp;" (historical)"),Tariffs!C115)</f>
        <v>0</v>
      </c>
      <c r="D115" s="552">
        <f>Tariffs!D115</f>
        <v>0</v>
      </c>
      <c r="E115" s="552">
        <f>Tariffs!E115</f>
        <v>0</v>
      </c>
      <c r="F115" s="552">
        <f>Tariffs!F115</f>
        <v>0</v>
      </c>
      <c r="G115" s="58"/>
      <c r="H115" s="199">
        <f>'Hist. revenue'!$AC314</f>
        <v>0</v>
      </c>
      <c r="I115" s="199">
        <f>'Hist. revenue'!$AC392</f>
        <v>0</v>
      </c>
      <c r="J115" s="199">
        <f>'Hist. revenue'!$AC470</f>
        <v>0</v>
      </c>
      <c r="K115" s="200"/>
      <c r="L115" s="199">
        <f>'Hist. revenue'!$AC77</f>
        <v>0</v>
      </c>
      <c r="M115" s="199">
        <f>'Hist. revenue'!$AC155</f>
        <v>0</v>
      </c>
      <c r="N115" s="199">
        <f>'Hist. revenue'!$AC233</f>
        <v>0</v>
      </c>
      <c r="O115" s="200"/>
      <c r="P115" s="199">
        <f>'Prop. revenue'!$AC77</f>
        <v>0</v>
      </c>
      <c r="Q115" s="199">
        <f>'Prop. revenue'!$AC155</f>
        <v>0</v>
      </c>
      <c r="R115" s="199">
        <f>'Prop. revenue'!$AC233</f>
        <v>0</v>
      </c>
      <c r="S115" s="182"/>
      <c r="T115" s="19"/>
      <c r="U115" s="19"/>
      <c r="V115" s="19"/>
      <c r="W115" s="19"/>
    </row>
    <row r="116" spans="1:23" hidden="1" outlineLevel="2" x14ac:dyDescent="0.2">
      <c r="A116" s="19"/>
      <c r="B116" s="19"/>
      <c r="C116" s="492">
        <f>IF(Tariffs!C116=0, IF(Tariffs!H116=0,0,Tariffs!H116&amp;" (historical)"),Tariffs!C116)</f>
        <v>0</v>
      </c>
      <c r="D116" s="552">
        <f>Tariffs!D116</f>
        <v>0</v>
      </c>
      <c r="E116" s="552">
        <f>Tariffs!E116</f>
        <v>0</v>
      </c>
      <c r="F116" s="552">
        <f>Tariffs!F116</f>
        <v>0</v>
      </c>
      <c r="G116" s="58"/>
      <c r="H116" s="199">
        <f>'Hist. revenue'!$AC315</f>
        <v>0</v>
      </c>
      <c r="I116" s="199">
        <f>'Hist. revenue'!$AC393</f>
        <v>0</v>
      </c>
      <c r="J116" s="199">
        <f>'Hist. revenue'!$AC471</f>
        <v>0</v>
      </c>
      <c r="K116" s="200"/>
      <c r="L116" s="199">
        <f>'Hist. revenue'!$AC78</f>
        <v>0</v>
      </c>
      <c r="M116" s="199">
        <f>'Hist. revenue'!$AC156</f>
        <v>0</v>
      </c>
      <c r="N116" s="199">
        <f>'Hist. revenue'!$AC234</f>
        <v>0</v>
      </c>
      <c r="O116" s="200"/>
      <c r="P116" s="199">
        <f>'Prop. revenue'!$AC78</f>
        <v>0</v>
      </c>
      <c r="Q116" s="199">
        <f>'Prop. revenue'!$AC156</f>
        <v>0</v>
      </c>
      <c r="R116" s="199">
        <f>'Prop. revenue'!$AC234</f>
        <v>0</v>
      </c>
      <c r="S116" s="182"/>
      <c r="T116" s="19"/>
      <c r="U116" s="19"/>
      <c r="V116" s="19"/>
      <c r="W116" s="19"/>
    </row>
    <row r="117" spans="1:23" hidden="1" outlineLevel="2" x14ac:dyDescent="0.2">
      <c r="A117" s="19"/>
      <c r="B117" s="19"/>
      <c r="C117" s="492">
        <f>IF(Tariffs!C117=0, IF(Tariffs!H117=0,0,Tariffs!H117&amp;" (historical)"),Tariffs!C117)</f>
        <v>0</v>
      </c>
      <c r="D117" s="552">
        <f>Tariffs!D117</f>
        <v>0</v>
      </c>
      <c r="E117" s="552">
        <f>Tariffs!E117</f>
        <v>0</v>
      </c>
      <c r="F117" s="552">
        <f>Tariffs!F117</f>
        <v>0</v>
      </c>
      <c r="G117" s="58"/>
      <c r="H117" s="199">
        <f>'Hist. revenue'!$AC316</f>
        <v>0</v>
      </c>
      <c r="I117" s="199">
        <f>'Hist. revenue'!$AC394</f>
        <v>0</v>
      </c>
      <c r="J117" s="199">
        <f>'Hist. revenue'!$AC472</f>
        <v>0</v>
      </c>
      <c r="K117" s="200"/>
      <c r="L117" s="199">
        <f>'Hist. revenue'!$AC79</f>
        <v>0</v>
      </c>
      <c r="M117" s="199">
        <f>'Hist. revenue'!$AC157</f>
        <v>0</v>
      </c>
      <c r="N117" s="199">
        <f>'Hist. revenue'!$AC235</f>
        <v>0</v>
      </c>
      <c r="O117" s="200"/>
      <c r="P117" s="199">
        <f>'Prop. revenue'!$AC79</f>
        <v>0</v>
      </c>
      <c r="Q117" s="199">
        <f>'Prop. revenue'!$AC157</f>
        <v>0</v>
      </c>
      <c r="R117" s="199">
        <f>'Prop. revenue'!$AC235</f>
        <v>0</v>
      </c>
      <c r="S117" s="182"/>
      <c r="T117" s="19"/>
      <c r="U117" s="19"/>
      <c r="V117" s="19"/>
      <c r="W117" s="19"/>
    </row>
    <row r="118" spans="1:23" hidden="1" outlineLevel="2" x14ac:dyDescent="0.2">
      <c r="A118" s="19"/>
      <c r="B118" s="19"/>
      <c r="C118" s="492">
        <f>IF(Tariffs!C118=0, IF(Tariffs!H118=0,0,Tariffs!H118&amp;" (historical)"),Tariffs!C118)</f>
        <v>0</v>
      </c>
      <c r="D118" s="552">
        <f>Tariffs!D118</f>
        <v>0</v>
      </c>
      <c r="E118" s="552">
        <f>Tariffs!E118</f>
        <v>0</v>
      </c>
      <c r="F118" s="552">
        <f>Tariffs!F118</f>
        <v>0</v>
      </c>
      <c r="G118" s="58"/>
      <c r="H118" s="199">
        <f>'Hist. revenue'!$AC317</f>
        <v>0</v>
      </c>
      <c r="I118" s="199">
        <f>'Hist. revenue'!$AC395</f>
        <v>0</v>
      </c>
      <c r="J118" s="199">
        <f>'Hist. revenue'!$AC473</f>
        <v>0</v>
      </c>
      <c r="K118" s="200"/>
      <c r="L118" s="199">
        <f>'Hist. revenue'!$AC80</f>
        <v>0</v>
      </c>
      <c r="M118" s="199">
        <f>'Hist. revenue'!$AC158</f>
        <v>0</v>
      </c>
      <c r="N118" s="199">
        <f>'Hist. revenue'!$AC236</f>
        <v>0</v>
      </c>
      <c r="O118" s="200"/>
      <c r="P118" s="199">
        <f>'Prop. revenue'!$AC80</f>
        <v>0</v>
      </c>
      <c r="Q118" s="199">
        <f>'Prop. revenue'!$AC158</f>
        <v>0</v>
      </c>
      <c r="R118" s="199">
        <f>'Prop. revenue'!$AC236</f>
        <v>0</v>
      </c>
      <c r="S118" s="182"/>
      <c r="T118" s="19"/>
      <c r="U118" s="19"/>
      <c r="V118" s="19"/>
      <c r="W118" s="19"/>
    </row>
    <row r="119" spans="1:23" hidden="1" outlineLevel="2" x14ac:dyDescent="0.2">
      <c r="A119" s="19"/>
      <c r="B119" s="19"/>
      <c r="C119" s="492">
        <f>IF(Tariffs!C119=0, IF(Tariffs!H119=0,0,Tariffs!H119&amp;" (historical)"),Tariffs!C119)</f>
        <v>0</v>
      </c>
      <c r="D119" s="552">
        <f>Tariffs!D119</f>
        <v>0</v>
      </c>
      <c r="E119" s="552">
        <f>Tariffs!E119</f>
        <v>0</v>
      </c>
      <c r="F119" s="552">
        <f>Tariffs!F119</f>
        <v>0</v>
      </c>
      <c r="G119" s="58"/>
      <c r="H119" s="199">
        <f>'Hist. revenue'!$AC318</f>
        <v>0</v>
      </c>
      <c r="I119" s="199">
        <f>'Hist. revenue'!$AC396</f>
        <v>0</v>
      </c>
      <c r="J119" s="199">
        <f>'Hist. revenue'!$AC474</f>
        <v>0</v>
      </c>
      <c r="K119" s="200"/>
      <c r="L119" s="199">
        <f>'Hist. revenue'!$AC81</f>
        <v>0</v>
      </c>
      <c r="M119" s="199">
        <f>'Hist. revenue'!$AC159</f>
        <v>0</v>
      </c>
      <c r="N119" s="199">
        <f>'Hist. revenue'!$AC237</f>
        <v>0</v>
      </c>
      <c r="O119" s="200"/>
      <c r="P119" s="199">
        <f>'Prop. revenue'!$AC81</f>
        <v>0</v>
      </c>
      <c r="Q119" s="199">
        <f>'Prop. revenue'!$AC159</f>
        <v>0</v>
      </c>
      <c r="R119" s="199">
        <f>'Prop. revenue'!$AC237</f>
        <v>0</v>
      </c>
      <c r="S119" s="182"/>
      <c r="T119" s="19"/>
      <c r="U119" s="19"/>
      <c r="V119" s="19"/>
      <c r="W119" s="19"/>
    </row>
    <row r="120" spans="1:23" hidden="1" outlineLevel="2" x14ac:dyDescent="0.2">
      <c r="A120" s="19"/>
      <c r="B120" s="19"/>
      <c r="C120" s="492">
        <f>IF(Tariffs!C120=0, IF(Tariffs!H120=0,0,Tariffs!H120&amp;" (historical)"),Tariffs!C120)</f>
        <v>0</v>
      </c>
      <c r="D120" s="552">
        <f>Tariffs!D120</f>
        <v>0</v>
      </c>
      <c r="E120" s="552">
        <f>Tariffs!E120</f>
        <v>0</v>
      </c>
      <c r="F120" s="552">
        <f>Tariffs!F120</f>
        <v>0</v>
      </c>
      <c r="G120" s="58"/>
      <c r="H120" s="199">
        <f>'Hist. revenue'!$AC319</f>
        <v>0</v>
      </c>
      <c r="I120" s="199">
        <f>'Hist. revenue'!$AC397</f>
        <v>0</v>
      </c>
      <c r="J120" s="199">
        <f>'Hist. revenue'!$AC475</f>
        <v>0</v>
      </c>
      <c r="K120" s="200"/>
      <c r="L120" s="199">
        <f>'Hist. revenue'!$AC82</f>
        <v>0</v>
      </c>
      <c r="M120" s="199">
        <f>'Hist. revenue'!$AC160</f>
        <v>0</v>
      </c>
      <c r="N120" s="199">
        <f>'Hist. revenue'!$AC238</f>
        <v>0</v>
      </c>
      <c r="O120" s="200"/>
      <c r="P120" s="199">
        <f>'Prop. revenue'!$AC82</f>
        <v>0</v>
      </c>
      <c r="Q120" s="199">
        <f>'Prop. revenue'!$AC160</f>
        <v>0</v>
      </c>
      <c r="R120" s="199">
        <f>'Prop. revenue'!$AC238</f>
        <v>0</v>
      </c>
      <c r="S120" s="182"/>
      <c r="T120" s="19"/>
      <c r="U120" s="19"/>
      <c r="V120" s="19"/>
      <c r="W120" s="19"/>
    </row>
    <row r="121" spans="1:23" outlineLevel="1" collapsed="1" x14ac:dyDescent="0.2">
      <c r="A121" s="19"/>
      <c r="B121" s="19"/>
      <c r="C121" s="60"/>
      <c r="D121" s="61"/>
      <c r="E121" s="58"/>
      <c r="F121" s="58"/>
      <c r="G121" s="58"/>
      <c r="H121" s="201"/>
      <c r="I121" s="201"/>
      <c r="J121" s="201"/>
      <c r="K121" s="174"/>
      <c r="L121" s="174"/>
      <c r="M121" s="174"/>
      <c r="N121" s="174"/>
      <c r="O121" s="174"/>
      <c r="P121" s="181"/>
      <c r="Q121" s="181"/>
      <c r="R121" s="181"/>
      <c r="S121" s="182"/>
      <c r="T121" s="19"/>
      <c r="U121" s="19"/>
      <c r="V121" s="19"/>
      <c r="W121" s="19"/>
    </row>
    <row r="122" spans="1:23" x14ac:dyDescent="0.2">
      <c r="A122" s="19"/>
      <c r="B122" s="19"/>
      <c r="C122" s="36"/>
      <c r="D122" s="20"/>
      <c r="E122" s="20"/>
      <c r="F122" s="20"/>
      <c r="G122" s="20"/>
      <c r="H122" s="22"/>
      <c r="I122" s="22"/>
      <c r="J122" s="22"/>
      <c r="K122" s="20"/>
      <c r="L122" s="20"/>
      <c r="M122" s="20"/>
      <c r="N122" s="20"/>
      <c r="O122" s="20"/>
      <c r="P122" s="20"/>
      <c r="Q122" s="20"/>
      <c r="R122" s="20"/>
      <c r="S122" s="37"/>
      <c r="T122" s="19"/>
      <c r="U122" s="19"/>
      <c r="V122" s="19"/>
      <c r="W122" s="19"/>
    </row>
    <row r="123" spans="1:23" ht="12.75" x14ac:dyDescent="0.2">
      <c r="A123" s="11"/>
      <c r="B123" s="12" t="s">
        <v>657</v>
      </c>
      <c r="C123" s="11"/>
      <c r="D123" s="32" t="s">
        <v>11</v>
      </c>
      <c r="E123" s="32"/>
      <c r="F123" s="32"/>
      <c r="G123" s="32"/>
      <c r="H123" s="689" t="str">
        <f>previousyear</f>
        <v>2020–21</v>
      </c>
      <c r="I123" s="689"/>
      <c r="J123" s="689"/>
      <c r="K123" s="34"/>
      <c r="L123" s="689" t="str">
        <f>currentyear</f>
        <v>2021–22</v>
      </c>
      <c r="M123" s="689"/>
      <c r="N123" s="689"/>
      <c r="O123" s="34"/>
      <c r="P123" s="690" t="str">
        <f>forecastyear</f>
        <v>2022–23</v>
      </c>
      <c r="Q123" s="690"/>
      <c r="R123" s="690"/>
      <c r="S123" s="33"/>
      <c r="T123" s="15"/>
      <c r="U123" s="15"/>
      <c r="V123" s="15"/>
      <c r="W123" s="15"/>
    </row>
    <row r="124" spans="1:23" hidden="1" outlineLevel="1" x14ac:dyDescent="0.2">
      <c r="A124" s="9"/>
      <c r="B124" s="9"/>
      <c r="C124" s="9"/>
      <c r="D124" s="10"/>
      <c r="E124" s="10"/>
      <c r="F124" s="10"/>
      <c r="G124" s="10"/>
      <c r="H124" s="93"/>
      <c r="I124" s="10"/>
      <c r="J124" s="93"/>
      <c r="K124" s="10"/>
      <c r="L124" s="93"/>
      <c r="M124" s="10"/>
      <c r="N124" s="93"/>
      <c r="O124" s="10"/>
      <c r="P124" s="136"/>
      <c r="Q124" s="50"/>
      <c r="R124" s="136"/>
      <c r="S124" s="50"/>
      <c r="T124" s="9"/>
      <c r="U124" s="9"/>
      <c r="V124" s="9"/>
      <c r="W124" s="9"/>
    </row>
    <row r="125" spans="1:23" hidden="1" outlineLevel="1" x14ac:dyDescent="0.2">
      <c r="A125" s="9"/>
      <c r="B125" s="9"/>
      <c r="C125" s="492">
        <f>Metering!C42</f>
        <v>0</v>
      </c>
      <c r="D125" s="458">
        <f t="shared" ref="D125:D132" si="4">IF(C125=0,0,revenueunits)</f>
        <v>0</v>
      </c>
      <c r="E125" s="371"/>
      <c r="F125" s="371"/>
      <c r="G125" s="10"/>
      <c r="H125" s="181"/>
      <c r="I125" s="236">
        <f>INDEX(Metering!$K42:$R42,1,MATCH('Rev. summary'!H$123,Metering!$K$39:$R$39,0))*INDEX(Metering!$K51:$R51,1,MATCH('Rev. summary'!H$123,Metering!$K$39:$R$39,0))*revenuemultiplier</f>
        <v>0</v>
      </c>
      <c r="J125" s="242"/>
      <c r="K125" s="347"/>
      <c r="L125" s="242"/>
      <c r="M125" s="236">
        <f>INDEX(Metering!$K42:$R42,1,MATCH('Rev. summary'!L$123,Metering!$K$39:$R$39,0))*INDEX(Metering!$K51:$R51,1,MATCH('Rev. summary'!L$123,Metering!$K$39:$R$39,0))*revenuemultiplier</f>
        <v>0</v>
      </c>
      <c r="N125" s="242"/>
      <c r="O125" s="347"/>
      <c r="P125" s="242"/>
      <c r="Q125" s="236">
        <f>INDEX(Metering!$K42:$R42,1,MATCH('Rev. summary'!P$123,Metering!$K$39:$R$39,0))*INDEX(Metering!$K51:$R51,1,MATCH('Rev. summary'!P$123,Metering!$K$39:$R$39,0))*revenuemultiplier</f>
        <v>0</v>
      </c>
      <c r="R125" s="181"/>
      <c r="S125" s="50"/>
      <c r="T125" s="9"/>
      <c r="U125" s="9"/>
      <c r="V125" s="9"/>
      <c r="W125" s="9"/>
    </row>
    <row r="126" spans="1:23" hidden="1" outlineLevel="1" x14ac:dyDescent="0.2">
      <c r="A126" s="9"/>
      <c r="B126" s="9"/>
      <c r="C126" s="492">
        <f>Metering!C43</f>
        <v>0</v>
      </c>
      <c r="D126" s="458">
        <f t="shared" si="4"/>
        <v>0</v>
      </c>
      <c r="E126" s="371"/>
      <c r="F126" s="371"/>
      <c r="G126" s="10"/>
      <c r="H126" s="181"/>
      <c r="I126" s="236">
        <f>INDEX(Metering!$K43:$R43,1,MATCH('Rev. summary'!H$123,Metering!$K$39:$R$39,0))*INDEX(Metering!$K52:$R52,1,MATCH('Rev. summary'!H$123,Metering!$K$39:$R$39,0))*revenuemultiplier</f>
        <v>0</v>
      </c>
      <c r="J126" s="242"/>
      <c r="K126" s="347"/>
      <c r="L126" s="242"/>
      <c r="M126" s="236">
        <f>INDEX(Metering!$K43:$R43,1,MATCH('Rev. summary'!L$123,Metering!$K$39:$R$39,0))*INDEX(Metering!$K52:$R52,1,MATCH('Rev. summary'!L$123,Metering!$K$39:$R$39,0))*revenuemultiplier</f>
        <v>0</v>
      </c>
      <c r="N126" s="242"/>
      <c r="O126" s="347"/>
      <c r="P126" s="242"/>
      <c r="Q126" s="236">
        <f>INDEX(Metering!$K43:$R43,1,MATCH('Rev. summary'!P$123,Metering!$K$39:$R$39,0))*INDEX(Metering!$K52:$R52,1,MATCH('Rev. summary'!P$123,Metering!$K$39:$R$39,0))*revenuemultiplier</f>
        <v>0</v>
      </c>
      <c r="R126" s="181"/>
      <c r="S126" s="50"/>
      <c r="T126" s="9"/>
      <c r="U126" s="9"/>
      <c r="V126" s="9"/>
      <c r="W126" s="9"/>
    </row>
    <row r="127" spans="1:23" hidden="1" outlineLevel="1" x14ac:dyDescent="0.2">
      <c r="A127" s="9"/>
      <c r="B127" s="9"/>
      <c r="C127" s="492">
        <f>Metering!C44</f>
        <v>0</v>
      </c>
      <c r="D127" s="458">
        <f t="shared" si="4"/>
        <v>0</v>
      </c>
      <c r="E127" s="371"/>
      <c r="F127" s="371"/>
      <c r="G127" s="10"/>
      <c r="H127" s="181"/>
      <c r="I127" s="236">
        <f>INDEX(Metering!$K44:$R44,1,MATCH('Rev. summary'!H$123,Metering!$K$39:$R$39,0))*INDEX(Metering!$K53:$R53,1,MATCH('Rev. summary'!H$123,Metering!$K$39:$R$39,0))*revenuemultiplier</f>
        <v>0</v>
      </c>
      <c r="J127" s="242"/>
      <c r="K127" s="347"/>
      <c r="L127" s="242"/>
      <c r="M127" s="236">
        <f>INDEX(Metering!$K44:$R44,1,MATCH('Rev. summary'!L$123,Metering!$K$39:$R$39,0))*INDEX(Metering!$K53:$R53,1,MATCH('Rev. summary'!L$123,Metering!$K$39:$R$39,0))*revenuemultiplier</f>
        <v>0</v>
      </c>
      <c r="N127" s="242"/>
      <c r="O127" s="347"/>
      <c r="P127" s="242"/>
      <c r="Q127" s="236">
        <f>INDEX(Metering!$K44:$R44,1,MATCH('Rev. summary'!P$123,Metering!$K$39:$R$39,0))*INDEX(Metering!$K53:$R53,1,MATCH('Rev. summary'!P$123,Metering!$K$39:$R$39,0))*revenuemultiplier</f>
        <v>0</v>
      </c>
      <c r="R127" s="181"/>
      <c r="S127" s="50"/>
      <c r="T127" s="9"/>
      <c r="U127" s="9"/>
      <c r="V127" s="9"/>
      <c r="W127" s="9"/>
    </row>
    <row r="128" spans="1:23" hidden="1" outlineLevel="1" x14ac:dyDescent="0.2">
      <c r="A128" s="9"/>
      <c r="B128" s="9"/>
      <c r="C128" s="492">
        <f>Metering!C45</f>
        <v>0</v>
      </c>
      <c r="D128" s="458">
        <f t="shared" si="4"/>
        <v>0</v>
      </c>
      <c r="E128" s="371"/>
      <c r="F128" s="371"/>
      <c r="G128" s="10"/>
      <c r="H128" s="181"/>
      <c r="I128" s="236">
        <f>INDEX(Metering!$K45:$R45,1,MATCH('Rev. summary'!H$123,Metering!$K$39:$R$39,0))*INDEX(Metering!$K54:$R54,1,MATCH('Rev. summary'!H$123,Metering!$K$39:$R$39,0))*revenuemultiplier</f>
        <v>0</v>
      </c>
      <c r="J128" s="242"/>
      <c r="K128" s="347"/>
      <c r="L128" s="242"/>
      <c r="M128" s="236">
        <f>INDEX(Metering!$K45:$R45,1,MATCH('Rev. summary'!L$123,Metering!$K$39:$R$39,0))*INDEX(Metering!$K54:$R54,1,MATCH('Rev. summary'!L$123,Metering!$K$39:$R$39,0))*revenuemultiplier</f>
        <v>0</v>
      </c>
      <c r="N128" s="242"/>
      <c r="O128" s="347"/>
      <c r="P128" s="242"/>
      <c r="Q128" s="236">
        <f>INDEX(Metering!$K45:$R45,1,MATCH('Rev. summary'!P$123,Metering!$K$39:$R$39,0))*INDEX(Metering!$K54:$R54,1,MATCH('Rev. summary'!P$123,Metering!$K$39:$R$39,0))*revenuemultiplier</f>
        <v>0</v>
      </c>
      <c r="R128" s="181"/>
      <c r="S128" s="50"/>
      <c r="T128" s="9"/>
      <c r="U128" s="9"/>
      <c r="V128" s="9"/>
      <c r="W128" s="9"/>
    </row>
    <row r="129" spans="1:23" hidden="1" outlineLevel="1" x14ac:dyDescent="0.2">
      <c r="A129" s="9"/>
      <c r="B129" s="9"/>
      <c r="C129" s="492">
        <f>Metering!C46</f>
        <v>0</v>
      </c>
      <c r="D129" s="458">
        <f t="shared" si="4"/>
        <v>0</v>
      </c>
      <c r="E129" s="371"/>
      <c r="F129" s="371"/>
      <c r="G129" s="10"/>
      <c r="H129" s="181"/>
      <c r="I129" s="236">
        <f>INDEX(Metering!$K46:$R46,1,MATCH('Rev. summary'!H$123,Metering!$K$39:$R$39,0))*INDEX(Metering!$K55:$R55,1,MATCH('Rev. summary'!H$123,Metering!$K$39:$R$39,0))*revenuemultiplier</f>
        <v>0</v>
      </c>
      <c r="J129" s="242"/>
      <c r="K129" s="347"/>
      <c r="L129" s="242"/>
      <c r="M129" s="236">
        <f>INDEX(Metering!$K46:$R46,1,MATCH('Rev. summary'!L$123,Metering!$K$39:$R$39,0))*INDEX(Metering!$K55:$R55,1,MATCH('Rev. summary'!L$123,Metering!$K$39:$R$39,0))*revenuemultiplier</f>
        <v>0</v>
      </c>
      <c r="N129" s="242"/>
      <c r="O129" s="347"/>
      <c r="P129" s="242"/>
      <c r="Q129" s="236">
        <f>INDEX(Metering!$K46:$R46,1,MATCH('Rev. summary'!P$123,Metering!$K$39:$R$39,0))*INDEX(Metering!$K55:$R55,1,MATCH('Rev. summary'!P$123,Metering!$K$39:$R$39,0))*revenuemultiplier</f>
        <v>0</v>
      </c>
      <c r="R129" s="181"/>
      <c r="S129" s="50"/>
      <c r="T129" s="9"/>
      <c r="U129" s="9"/>
      <c r="V129" s="9"/>
      <c r="W129" s="9"/>
    </row>
    <row r="130" spans="1:23" hidden="1" outlineLevel="1" x14ac:dyDescent="0.2">
      <c r="A130" s="9"/>
      <c r="B130" s="9"/>
      <c r="C130" s="492">
        <f>Metering!C47</f>
        <v>0</v>
      </c>
      <c r="D130" s="458">
        <f t="shared" si="4"/>
        <v>0</v>
      </c>
      <c r="E130" s="371"/>
      <c r="F130" s="371"/>
      <c r="G130" s="10"/>
      <c r="H130" s="181"/>
      <c r="I130" s="236">
        <f>INDEX(Metering!$K47:$R47,1,MATCH('Rev. summary'!H$123,Metering!$K$39:$R$39,0))*INDEX(Metering!$K56:$R56,1,MATCH('Rev. summary'!H$123,Metering!$K$39:$R$39,0))*revenuemultiplier</f>
        <v>0</v>
      </c>
      <c r="J130" s="242"/>
      <c r="K130" s="347"/>
      <c r="L130" s="242"/>
      <c r="M130" s="236">
        <f>INDEX(Metering!$K47:$R47,1,MATCH('Rev. summary'!L$123,Metering!$K$39:$R$39,0))*INDEX(Metering!$K56:$R56,1,MATCH('Rev. summary'!L$123,Metering!$K$39:$R$39,0))*revenuemultiplier</f>
        <v>0</v>
      </c>
      <c r="N130" s="242"/>
      <c r="O130" s="347"/>
      <c r="P130" s="242"/>
      <c r="Q130" s="236">
        <f>INDEX(Metering!$K47:$R47,1,MATCH('Rev. summary'!P$123,Metering!$K$39:$R$39,0))*INDEX(Metering!$K56:$R56,1,MATCH('Rev. summary'!P$123,Metering!$K$39:$R$39,0))*revenuemultiplier</f>
        <v>0</v>
      </c>
      <c r="R130" s="181"/>
      <c r="S130" s="50"/>
      <c r="T130" s="9"/>
      <c r="U130" s="9"/>
      <c r="V130" s="9"/>
      <c r="W130" s="9"/>
    </row>
    <row r="131" spans="1:23" hidden="1" outlineLevel="1" x14ac:dyDescent="0.2">
      <c r="A131" s="9"/>
      <c r="B131" s="9"/>
      <c r="C131" s="492">
        <f>Metering!C48</f>
        <v>0</v>
      </c>
      <c r="D131" s="458">
        <f t="shared" si="4"/>
        <v>0</v>
      </c>
      <c r="E131" s="371"/>
      <c r="F131" s="371"/>
      <c r="G131" s="10"/>
      <c r="H131" s="181"/>
      <c r="I131" s="236">
        <f>INDEX(Metering!$K48:$R48,1,MATCH('Rev. summary'!H$123,Metering!$K$39:$R$39,0))*INDEX(Metering!$K57:$R57,1,MATCH('Rev. summary'!H$123,Metering!$K$39:$R$39,0))*revenuemultiplier</f>
        <v>0</v>
      </c>
      <c r="J131" s="242"/>
      <c r="K131" s="347"/>
      <c r="L131" s="242"/>
      <c r="M131" s="236">
        <f>INDEX(Metering!$K48:$R48,1,MATCH('Rev. summary'!L$123,Metering!$K$39:$R$39,0))*INDEX(Metering!$K57:$R57,1,MATCH('Rev. summary'!L$123,Metering!$K$39:$R$39,0))*revenuemultiplier</f>
        <v>0</v>
      </c>
      <c r="N131" s="242"/>
      <c r="O131" s="347"/>
      <c r="P131" s="242"/>
      <c r="Q131" s="236">
        <f>INDEX(Metering!$K48:$R48,1,MATCH('Rev. summary'!P$123,Metering!$K$39:$R$39,0))*INDEX(Metering!$K57:$R57,1,MATCH('Rev. summary'!P$123,Metering!$K$39:$R$39,0))*revenuemultiplier</f>
        <v>0</v>
      </c>
      <c r="R131" s="181"/>
      <c r="S131" s="50"/>
      <c r="T131" s="9"/>
      <c r="U131" s="9"/>
      <c r="V131" s="9"/>
      <c r="W131" s="9"/>
    </row>
    <row r="132" spans="1:23" hidden="1" outlineLevel="1" x14ac:dyDescent="0.2">
      <c r="A132" s="9"/>
      <c r="B132" s="9"/>
      <c r="C132" s="515" t="s">
        <v>240</v>
      </c>
      <c r="D132" s="458" t="str">
        <f t="shared" si="4"/>
        <v>$millions</v>
      </c>
      <c r="E132" s="371"/>
      <c r="F132" s="371"/>
      <c r="G132" s="10"/>
      <c r="H132" s="181"/>
      <c r="I132" s="236">
        <f>SUM(I125:I131)</f>
        <v>0</v>
      </c>
      <c r="J132" s="242"/>
      <c r="K132" s="347"/>
      <c r="L132" s="242"/>
      <c r="M132" s="236">
        <f>SUM(M125:M131)</f>
        <v>0</v>
      </c>
      <c r="N132" s="242"/>
      <c r="O132" s="347"/>
      <c r="P132" s="242"/>
      <c r="Q132" s="236">
        <f>SUM(Q125:Q131)</f>
        <v>0</v>
      </c>
      <c r="R132" s="181"/>
      <c r="S132" s="50"/>
      <c r="T132" s="9"/>
      <c r="U132" s="9"/>
      <c r="V132" s="9"/>
      <c r="W132" s="9"/>
    </row>
    <row r="133" spans="1:23" collapsed="1" x14ac:dyDescent="0.2">
      <c r="A133" s="9"/>
      <c r="B133" s="9"/>
      <c r="C133" s="9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50"/>
      <c r="Q133" s="50"/>
      <c r="R133" s="50"/>
      <c r="S133" s="50"/>
      <c r="T133" s="9"/>
      <c r="U133" s="9"/>
      <c r="V133" s="9"/>
      <c r="W133" s="9"/>
    </row>
    <row r="134" spans="1:23" ht="12.75" x14ac:dyDescent="0.2">
      <c r="A134" s="11"/>
      <c r="B134" s="12" t="s">
        <v>688</v>
      </c>
      <c r="C134" s="11"/>
      <c r="D134" s="32" t="str">
        <f>D44</f>
        <v>Tariff class</v>
      </c>
      <c r="E134" s="32" t="str">
        <f>tariffid1</f>
        <v>Code</v>
      </c>
      <c r="F134" s="32" t="str">
        <f>tariffid2</f>
        <v>Trans. Node</v>
      </c>
      <c r="G134" s="32"/>
      <c r="H134" s="689" t="str">
        <f>previousyear</f>
        <v>2020–21</v>
      </c>
      <c r="I134" s="689"/>
      <c r="J134" s="689"/>
      <c r="K134" s="34"/>
      <c r="L134" s="689" t="str">
        <f>currentyear</f>
        <v>2021–22</v>
      </c>
      <c r="M134" s="689"/>
      <c r="N134" s="689"/>
      <c r="O134" s="34"/>
      <c r="P134" s="690" t="str">
        <f>forecastyear</f>
        <v>2022–23</v>
      </c>
      <c r="Q134" s="690"/>
      <c r="R134" s="690"/>
      <c r="S134" s="32"/>
      <c r="T134" s="15"/>
      <c r="U134" s="15"/>
      <c r="V134" s="15"/>
      <c r="W134" s="15"/>
    </row>
    <row r="135" spans="1:23" outlineLevel="1" x14ac:dyDescent="0.2">
      <c r="A135" s="19"/>
      <c r="B135" s="19"/>
      <c r="C135" s="36"/>
      <c r="D135" s="20"/>
      <c r="E135" s="20"/>
      <c r="F135" s="20"/>
      <c r="G135" s="20"/>
      <c r="H135" s="10" t="s">
        <v>136</v>
      </c>
      <c r="I135" s="10" t="s">
        <v>137</v>
      </c>
      <c r="J135" s="10" t="s">
        <v>138</v>
      </c>
      <c r="K135" s="10"/>
      <c r="L135" s="10" t="str">
        <f>H135</f>
        <v>Distribution</v>
      </c>
      <c r="M135" s="10" t="str">
        <f>I135</f>
        <v>DPPC</v>
      </c>
      <c r="N135" s="10" t="str">
        <f>J135</f>
        <v>JSA</v>
      </c>
      <c r="O135" s="10"/>
      <c r="P135" s="50" t="str">
        <f>H135</f>
        <v>Distribution</v>
      </c>
      <c r="Q135" s="50" t="str">
        <f>I135</f>
        <v>DPPC</v>
      </c>
      <c r="R135" s="50" t="str">
        <f>J135</f>
        <v>JSA</v>
      </c>
      <c r="S135" s="37"/>
      <c r="T135" s="19"/>
      <c r="U135" s="19"/>
      <c r="V135" s="19"/>
      <c r="W135" s="19"/>
    </row>
    <row r="136" spans="1:23" outlineLevel="1" x14ac:dyDescent="0.2">
      <c r="A136" s="9"/>
      <c r="B136" s="9"/>
      <c r="C136" s="492" t="s">
        <v>216</v>
      </c>
      <c r="D136" s="458" t="s">
        <v>15</v>
      </c>
      <c r="E136" s="371"/>
      <c r="F136" s="371"/>
      <c r="G136" s="10"/>
      <c r="H136" s="236">
        <v>0</v>
      </c>
      <c r="I136" s="236">
        <v>0</v>
      </c>
      <c r="J136" s="236">
        <v>0</v>
      </c>
      <c r="K136" s="347"/>
      <c r="L136" s="236">
        <v>0</v>
      </c>
      <c r="M136" s="236">
        <v>0</v>
      </c>
      <c r="N136" s="236">
        <v>0</v>
      </c>
      <c r="O136" s="347"/>
      <c r="P136" s="236">
        <v>0</v>
      </c>
      <c r="Q136" s="236">
        <v>0</v>
      </c>
      <c r="R136" s="236">
        <v>0</v>
      </c>
      <c r="S136" s="203"/>
      <c r="T136" s="9"/>
      <c r="U136" s="9"/>
      <c r="V136" s="9"/>
      <c r="W136" s="9"/>
    </row>
    <row r="137" spans="1:23" outlineLevel="1" x14ac:dyDescent="0.2">
      <c r="A137" s="9"/>
      <c r="B137" s="9"/>
      <c r="C137" s="492" t="s">
        <v>897</v>
      </c>
      <c r="D137" s="458" t="s">
        <v>15</v>
      </c>
      <c r="E137" s="371"/>
      <c r="F137" s="371"/>
      <c r="G137" s="10"/>
      <c r="H137" s="236">
        <v>0</v>
      </c>
      <c r="I137" s="236">
        <v>0</v>
      </c>
      <c r="J137" s="236">
        <v>0</v>
      </c>
      <c r="K137" s="347"/>
      <c r="L137" s="236">
        <v>0</v>
      </c>
      <c r="M137" s="236">
        <v>0</v>
      </c>
      <c r="N137" s="236">
        <v>0</v>
      </c>
      <c r="O137" s="347"/>
      <c r="P137" s="236">
        <v>0</v>
      </c>
      <c r="Q137" s="236">
        <v>0</v>
      </c>
      <c r="R137" s="236">
        <v>0</v>
      </c>
      <c r="S137" s="203"/>
      <c r="T137" s="9"/>
      <c r="U137" s="9"/>
      <c r="V137" s="9"/>
      <c r="W137" s="9"/>
    </row>
    <row r="138" spans="1:23" outlineLevel="1" x14ac:dyDescent="0.2">
      <c r="A138" s="9"/>
      <c r="B138" s="9"/>
      <c r="C138" s="492" t="s">
        <v>898</v>
      </c>
      <c r="D138" s="458" t="s">
        <v>15</v>
      </c>
      <c r="E138" s="371"/>
      <c r="F138" s="371"/>
      <c r="G138" s="10"/>
      <c r="H138" s="236">
        <v>0</v>
      </c>
      <c r="I138" s="236">
        <v>0</v>
      </c>
      <c r="J138" s="236">
        <v>0</v>
      </c>
      <c r="K138" s="347"/>
      <c r="L138" s="236">
        <v>0</v>
      </c>
      <c r="M138" s="236">
        <v>0</v>
      </c>
      <c r="N138" s="236">
        <v>0</v>
      </c>
      <c r="O138" s="347"/>
      <c r="P138" s="236">
        <v>0</v>
      </c>
      <c r="Q138" s="236">
        <v>0</v>
      </c>
      <c r="R138" s="236">
        <v>0</v>
      </c>
      <c r="S138" s="203"/>
      <c r="T138" s="9"/>
      <c r="U138" s="9"/>
      <c r="V138" s="9"/>
      <c r="W138" s="9"/>
    </row>
    <row r="139" spans="1:23" outlineLevel="1" x14ac:dyDescent="0.2">
      <c r="A139" s="9"/>
      <c r="B139" s="9"/>
      <c r="C139" s="492" t="s">
        <v>861</v>
      </c>
      <c r="D139" s="458" t="s">
        <v>15</v>
      </c>
      <c r="E139" s="371"/>
      <c r="F139" s="371"/>
      <c r="G139" s="10"/>
      <c r="H139" s="236">
        <v>0</v>
      </c>
      <c r="I139" s="236">
        <v>0</v>
      </c>
      <c r="J139" s="236">
        <v>0</v>
      </c>
      <c r="K139" s="347"/>
      <c r="L139" s="236">
        <v>0</v>
      </c>
      <c r="M139" s="236">
        <v>0</v>
      </c>
      <c r="N139" s="236">
        <v>0</v>
      </c>
      <c r="O139" s="347"/>
      <c r="P139" s="236">
        <v>0</v>
      </c>
      <c r="Q139" s="236">
        <v>0</v>
      </c>
      <c r="R139" s="236">
        <v>0</v>
      </c>
      <c r="S139" s="203"/>
      <c r="T139" s="9"/>
      <c r="U139" s="9"/>
      <c r="V139" s="9"/>
      <c r="W139" s="9"/>
    </row>
    <row r="140" spans="1:23" outlineLevel="1" x14ac:dyDescent="0.2">
      <c r="A140" s="9"/>
      <c r="B140" s="9"/>
      <c r="C140" s="492" t="s">
        <v>899</v>
      </c>
      <c r="D140" s="458" t="s">
        <v>15</v>
      </c>
      <c r="E140" s="371"/>
      <c r="F140" s="371"/>
      <c r="G140" s="10"/>
      <c r="H140" s="236">
        <v>2.8998216974309701</v>
      </c>
      <c r="I140" s="236">
        <v>2.3860136853458718</v>
      </c>
      <c r="J140" s="236">
        <v>0</v>
      </c>
      <c r="K140" s="347"/>
      <c r="L140" s="236">
        <v>2.8306301873930511</v>
      </c>
      <c r="M140" s="236">
        <v>2.303172879114594</v>
      </c>
      <c r="N140" s="236">
        <v>0</v>
      </c>
      <c r="O140" s="347"/>
      <c r="P140" s="236">
        <v>2.6664023734453277</v>
      </c>
      <c r="Q140" s="236">
        <v>2.2703842492999997</v>
      </c>
      <c r="R140" s="236">
        <v>0</v>
      </c>
      <c r="S140" s="203"/>
      <c r="T140" s="9"/>
      <c r="U140" s="9"/>
      <c r="V140" s="9"/>
      <c r="W140" s="9"/>
    </row>
    <row r="141" spans="1:23" outlineLevel="1" x14ac:dyDescent="0.2">
      <c r="A141" s="9"/>
      <c r="B141" s="9"/>
      <c r="C141" s="492" t="s">
        <v>862</v>
      </c>
      <c r="D141" s="458" t="s">
        <v>15</v>
      </c>
      <c r="E141" s="371"/>
      <c r="F141" s="371"/>
      <c r="G141" s="10"/>
      <c r="H141" s="236">
        <v>0</v>
      </c>
      <c r="I141" s="236">
        <v>0</v>
      </c>
      <c r="J141" s="236">
        <v>0</v>
      </c>
      <c r="K141" s="347"/>
      <c r="L141" s="236">
        <v>0</v>
      </c>
      <c r="M141" s="236">
        <v>0</v>
      </c>
      <c r="N141" s="236">
        <v>0</v>
      </c>
      <c r="O141" s="347"/>
      <c r="P141" s="236">
        <v>0</v>
      </c>
      <c r="Q141" s="236">
        <v>0</v>
      </c>
      <c r="R141" s="236">
        <v>0</v>
      </c>
      <c r="S141" s="203"/>
      <c r="T141" s="9"/>
      <c r="U141" s="9"/>
      <c r="V141" s="9"/>
      <c r="W141" s="9"/>
    </row>
    <row r="142" spans="1:23" outlineLevel="1" x14ac:dyDescent="0.2">
      <c r="A142" s="9"/>
      <c r="B142" s="9"/>
      <c r="C142" s="492" t="s">
        <v>863</v>
      </c>
      <c r="D142" s="458" t="s">
        <v>15</v>
      </c>
      <c r="E142" s="371"/>
      <c r="F142" s="371"/>
      <c r="G142" s="10"/>
      <c r="H142" s="236">
        <v>0</v>
      </c>
      <c r="I142" s="236">
        <v>0</v>
      </c>
      <c r="J142" s="236">
        <v>0</v>
      </c>
      <c r="K142" s="347"/>
      <c r="L142" s="236">
        <v>0</v>
      </c>
      <c r="M142" s="236">
        <v>0</v>
      </c>
      <c r="N142" s="236">
        <v>0</v>
      </c>
      <c r="O142" s="347"/>
      <c r="P142" s="236">
        <v>0</v>
      </c>
      <c r="Q142" s="236">
        <v>0</v>
      </c>
      <c r="R142" s="236">
        <v>0</v>
      </c>
      <c r="S142" s="203"/>
      <c r="T142" s="9"/>
      <c r="U142" s="9"/>
      <c r="V142" s="9"/>
      <c r="W142" s="9"/>
    </row>
    <row r="143" spans="1:23" outlineLevel="1" x14ac:dyDescent="0.2">
      <c r="A143" s="9"/>
      <c r="B143" s="9"/>
      <c r="C143" s="492" t="s">
        <v>900</v>
      </c>
      <c r="D143" s="458" t="s">
        <v>15</v>
      </c>
      <c r="E143" s="371"/>
      <c r="F143" s="371"/>
      <c r="G143" s="10"/>
      <c r="H143" s="236">
        <v>0</v>
      </c>
      <c r="I143" s="236">
        <v>0</v>
      </c>
      <c r="J143" s="236">
        <v>0</v>
      </c>
      <c r="K143" s="347"/>
      <c r="L143" s="236">
        <v>0</v>
      </c>
      <c r="M143" s="236">
        <v>0</v>
      </c>
      <c r="N143" s="236">
        <v>0</v>
      </c>
      <c r="O143" s="347"/>
      <c r="P143" s="236">
        <v>0</v>
      </c>
      <c r="Q143" s="236">
        <v>0</v>
      </c>
      <c r="R143" s="236">
        <v>0</v>
      </c>
      <c r="S143" s="203"/>
      <c r="T143" s="9"/>
      <c r="U143" s="9"/>
      <c r="V143" s="9"/>
      <c r="W143" s="9"/>
    </row>
    <row r="144" spans="1:23" outlineLevel="1" x14ac:dyDescent="0.2">
      <c r="A144" s="9"/>
      <c r="B144" s="9"/>
      <c r="C144" s="492" t="s">
        <v>901</v>
      </c>
      <c r="D144" s="458" t="s">
        <v>15</v>
      </c>
      <c r="E144" s="371"/>
      <c r="F144" s="371"/>
      <c r="G144" s="10"/>
      <c r="H144" s="236">
        <v>0</v>
      </c>
      <c r="I144" s="236">
        <v>0</v>
      </c>
      <c r="J144" s="236">
        <v>0</v>
      </c>
      <c r="K144" s="347"/>
      <c r="L144" s="236">
        <v>0</v>
      </c>
      <c r="M144" s="236">
        <v>0</v>
      </c>
      <c r="N144" s="236">
        <v>0</v>
      </c>
      <c r="O144" s="347"/>
      <c r="P144" s="236">
        <v>0</v>
      </c>
      <c r="Q144" s="236">
        <v>0</v>
      </c>
      <c r="R144" s="236">
        <v>0</v>
      </c>
      <c r="S144" s="203"/>
      <c r="T144" s="9"/>
      <c r="U144" s="9"/>
      <c r="V144" s="9"/>
      <c r="W144" s="9"/>
    </row>
    <row r="145" spans="1:23" outlineLevel="1" x14ac:dyDescent="0.2">
      <c r="A145" s="9"/>
      <c r="B145" s="9"/>
      <c r="C145" s="492" t="s">
        <v>864</v>
      </c>
      <c r="D145" s="458" t="s">
        <v>15</v>
      </c>
      <c r="E145" s="371"/>
      <c r="F145" s="371"/>
      <c r="G145" s="10"/>
      <c r="H145" s="236">
        <v>2.1631600552449322</v>
      </c>
      <c r="I145" s="236">
        <v>2.9235015498133663</v>
      </c>
      <c r="J145" s="236">
        <v>0</v>
      </c>
      <c r="K145" s="347"/>
      <c r="L145" s="236">
        <v>2.2062024874596262</v>
      </c>
      <c r="M145" s="236">
        <v>3.0353618414305465</v>
      </c>
      <c r="N145" s="236">
        <v>0</v>
      </c>
      <c r="O145" s="347"/>
      <c r="P145" s="236">
        <v>2.1968218274795355</v>
      </c>
      <c r="Q145" s="236">
        <v>3.3052304736859792</v>
      </c>
      <c r="R145" s="236">
        <v>0</v>
      </c>
      <c r="S145" s="203"/>
      <c r="T145" s="9"/>
      <c r="U145" s="9"/>
      <c r="V145" s="9"/>
      <c r="W145" s="9"/>
    </row>
    <row r="146" spans="1:23" outlineLevel="1" x14ac:dyDescent="0.2">
      <c r="A146" s="9"/>
      <c r="B146" s="9"/>
      <c r="C146" s="492">
        <v>0</v>
      </c>
      <c r="D146" s="458">
        <v>0</v>
      </c>
      <c r="E146" s="371"/>
      <c r="F146" s="371"/>
      <c r="G146" s="10"/>
      <c r="H146" s="236">
        <v>0</v>
      </c>
      <c r="I146" s="236">
        <v>0</v>
      </c>
      <c r="J146" s="236">
        <v>0</v>
      </c>
      <c r="K146" s="347"/>
      <c r="L146" s="236">
        <v>0</v>
      </c>
      <c r="M146" s="236">
        <v>0</v>
      </c>
      <c r="N146" s="236">
        <v>0</v>
      </c>
      <c r="O146" s="347"/>
      <c r="P146" s="236">
        <v>0</v>
      </c>
      <c r="Q146" s="236">
        <v>0</v>
      </c>
      <c r="R146" s="236">
        <v>0</v>
      </c>
      <c r="S146" s="203"/>
      <c r="T146" s="9"/>
      <c r="U146" s="9"/>
      <c r="V146" s="9"/>
      <c r="W146" s="9"/>
    </row>
    <row r="147" spans="1:23" outlineLevel="1" x14ac:dyDescent="0.2">
      <c r="A147" s="9"/>
      <c r="B147" s="9"/>
      <c r="C147" s="515" t="s">
        <v>240</v>
      </c>
      <c r="D147" s="458" t="s">
        <v>15</v>
      </c>
      <c r="E147" s="371"/>
      <c r="F147" s="371"/>
      <c r="G147" s="10"/>
      <c r="H147" s="236">
        <v>5.0629817526759027</v>
      </c>
      <c r="I147" s="236">
        <v>5.3095152351592381</v>
      </c>
      <c r="J147" s="236">
        <v>0</v>
      </c>
      <c r="K147" s="347"/>
      <c r="L147" s="236">
        <v>5.0368326748526773</v>
      </c>
      <c r="M147" s="236">
        <v>5.338534720545141</v>
      </c>
      <c r="N147" s="236">
        <v>0</v>
      </c>
      <c r="O147" s="347"/>
      <c r="P147" s="236">
        <v>4.8632242009248632</v>
      </c>
      <c r="Q147" s="236">
        <v>5.5756147229859785</v>
      </c>
      <c r="R147" s="236">
        <v>0</v>
      </c>
      <c r="S147" s="203"/>
      <c r="T147" s="9"/>
      <c r="U147" s="9"/>
      <c r="V147" s="9"/>
      <c r="W147" s="9"/>
    </row>
    <row r="148" spans="1:23" x14ac:dyDescent="0.2">
      <c r="A148" s="9"/>
      <c r="B148" s="9"/>
      <c r="C148" s="9"/>
      <c r="D148" s="10"/>
      <c r="E148" s="10"/>
      <c r="F148" s="10"/>
      <c r="G148" s="10"/>
      <c r="H148" s="200"/>
      <c r="I148" s="200"/>
      <c r="J148" s="200"/>
      <c r="K148" s="200"/>
      <c r="L148" s="200"/>
      <c r="M148" s="200"/>
      <c r="N148" s="200"/>
      <c r="O148" s="200"/>
      <c r="P148" s="203"/>
      <c r="Q148" s="203"/>
      <c r="R148" s="203"/>
      <c r="S148" s="203"/>
      <c r="T148" s="9"/>
      <c r="U148" s="9"/>
      <c r="V148" s="9"/>
      <c r="W148" s="9"/>
    </row>
    <row r="149" spans="1:23" outlineLevel="1" x14ac:dyDescent="0.2">
      <c r="A149" s="606"/>
      <c r="B149" s="606"/>
      <c r="C149" s="630"/>
      <c r="D149" s="631"/>
      <c r="E149" s="631"/>
      <c r="F149" s="631"/>
      <c r="G149" s="609"/>
      <c r="H149" s="632"/>
      <c r="I149" s="632"/>
      <c r="J149" s="632"/>
      <c r="K149" s="633"/>
      <c r="L149" s="632"/>
      <c r="M149" s="632"/>
      <c r="N149" s="632"/>
      <c r="O149" s="633"/>
      <c r="P149" s="632"/>
      <c r="Q149" s="632"/>
      <c r="R149" s="632"/>
      <c r="S149" s="634"/>
      <c r="T149" s="606"/>
      <c r="U149" s="19"/>
      <c r="V149" s="19"/>
      <c r="W149" s="19"/>
    </row>
    <row r="150" spans="1:23" outlineLevel="1" x14ac:dyDescent="0.2">
      <c r="A150" s="606"/>
      <c r="B150" s="606"/>
      <c r="C150" s="630"/>
      <c r="D150" s="631"/>
      <c r="E150" s="631"/>
      <c r="F150" s="631"/>
      <c r="G150" s="609"/>
      <c r="H150" s="632"/>
      <c r="I150" s="632"/>
      <c r="J150" s="632"/>
      <c r="K150" s="633"/>
      <c r="L150" s="632"/>
      <c r="M150" s="632"/>
      <c r="N150" s="632"/>
      <c r="O150" s="633"/>
      <c r="P150" s="632"/>
      <c r="Q150" s="632"/>
      <c r="R150" s="632"/>
      <c r="S150" s="634"/>
      <c r="T150" s="606"/>
      <c r="U150" s="19"/>
      <c r="V150" s="19"/>
      <c r="W150" s="19"/>
    </row>
    <row r="151" spans="1:23" outlineLevel="1" x14ac:dyDescent="0.2">
      <c r="A151" s="606"/>
      <c r="B151" s="606"/>
      <c r="C151" s="630"/>
      <c r="D151" s="631"/>
      <c r="E151" s="631"/>
      <c r="F151" s="631"/>
      <c r="G151" s="609"/>
      <c r="H151" s="632"/>
      <c r="I151" s="632"/>
      <c r="J151" s="632"/>
      <c r="K151" s="633"/>
      <c r="L151" s="632"/>
      <c r="M151" s="632"/>
      <c r="N151" s="632"/>
      <c r="O151" s="633"/>
      <c r="P151" s="632"/>
      <c r="Q151" s="632"/>
      <c r="R151" s="632"/>
      <c r="S151" s="634"/>
      <c r="T151" s="606"/>
      <c r="U151" s="19"/>
      <c r="V151" s="19"/>
      <c r="W151" s="19"/>
    </row>
    <row r="152" spans="1:23" outlineLevel="1" x14ac:dyDescent="0.2">
      <c r="A152" s="606"/>
      <c r="B152" s="606"/>
      <c r="C152" s="630"/>
      <c r="D152" s="631"/>
      <c r="E152" s="631"/>
      <c r="F152" s="631"/>
      <c r="G152" s="609"/>
      <c r="H152" s="632"/>
      <c r="I152" s="632"/>
      <c r="J152" s="632"/>
      <c r="K152" s="633"/>
      <c r="L152" s="632"/>
      <c r="M152" s="632"/>
      <c r="N152" s="632"/>
      <c r="O152" s="633"/>
      <c r="P152" s="632"/>
      <c r="Q152" s="632"/>
      <c r="R152" s="632"/>
      <c r="S152" s="634"/>
      <c r="T152" s="606"/>
      <c r="U152" s="19"/>
      <c r="V152" s="19"/>
      <c r="W152" s="19"/>
    </row>
    <row r="153" spans="1:23" outlineLevel="1" x14ac:dyDescent="0.2">
      <c r="A153" s="606"/>
      <c r="B153" s="606"/>
      <c r="C153" s="630"/>
      <c r="D153" s="631"/>
      <c r="E153" s="631"/>
      <c r="F153" s="631"/>
      <c r="G153" s="609"/>
      <c r="H153" s="632"/>
      <c r="I153" s="632"/>
      <c r="J153" s="632"/>
      <c r="K153" s="633"/>
      <c r="L153" s="632"/>
      <c r="M153" s="632"/>
      <c r="N153" s="632"/>
      <c r="O153" s="633"/>
      <c r="P153" s="632"/>
      <c r="Q153" s="632"/>
      <c r="R153" s="632"/>
      <c r="S153" s="634"/>
      <c r="T153" s="606"/>
      <c r="U153" s="19"/>
      <c r="V153" s="19"/>
      <c r="W153" s="19"/>
    </row>
    <row r="154" spans="1:23" outlineLevel="1" x14ac:dyDescent="0.2">
      <c r="A154" s="606"/>
      <c r="B154" s="606"/>
      <c r="C154" s="630"/>
      <c r="D154" s="631"/>
      <c r="E154" s="631"/>
      <c r="F154" s="631"/>
      <c r="G154" s="609"/>
      <c r="H154" s="632"/>
      <c r="I154" s="632"/>
      <c r="J154" s="632"/>
      <c r="K154" s="633"/>
      <c r="L154" s="632"/>
      <c r="M154" s="632"/>
      <c r="N154" s="632"/>
      <c r="O154" s="633"/>
      <c r="P154" s="632"/>
      <c r="Q154" s="632"/>
      <c r="R154" s="632"/>
      <c r="S154" s="634"/>
      <c r="T154" s="606"/>
      <c r="U154" s="19"/>
      <c r="V154" s="19"/>
      <c r="W154" s="19"/>
    </row>
    <row r="155" spans="1:23" outlineLevel="1" x14ac:dyDescent="0.2">
      <c r="A155" s="606"/>
      <c r="B155" s="606"/>
      <c r="C155" s="630"/>
      <c r="D155" s="631"/>
      <c r="E155" s="631"/>
      <c r="F155" s="631"/>
      <c r="G155" s="609"/>
      <c r="H155" s="632"/>
      <c r="I155" s="632"/>
      <c r="J155" s="632"/>
      <c r="K155" s="633"/>
      <c r="L155" s="632"/>
      <c r="M155" s="632"/>
      <c r="N155" s="632"/>
      <c r="O155" s="633"/>
      <c r="P155" s="632"/>
      <c r="Q155" s="632"/>
      <c r="R155" s="632"/>
      <c r="S155" s="634"/>
      <c r="T155" s="606"/>
      <c r="U155" s="19"/>
      <c r="V155" s="19"/>
      <c r="W155" s="19"/>
    </row>
    <row r="156" spans="1:23" outlineLevel="1" x14ac:dyDescent="0.2">
      <c r="A156" s="606"/>
      <c r="B156" s="606"/>
      <c r="C156" s="630"/>
      <c r="D156" s="631"/>
      <c r="E156" s="631"/>
      <c r="F156" s="631"/>
      <c r="G156" s="609"/>
      <c r="H156" s="632"/>
      <c r="I156" s="632"/>
      <c r="J156" s="632"/>
      <c r="K156" s="633"/>
      <c r="L156" s="632"/>
      <c r="M156" s="632"/>
      <c r="N156" s="632"/>
      <c r="O156" s="633"/>
      <c r="P156" s="632"/>
      <c r="Q156" s="632"/>
      <c r="R156" s="632"/>
      <c r="S156" s="634"/>
      <c r="T156" s="606"/>
      <c r="U156" s="19"/>
      <c r="V156" s="19"/>
      <c r="W156" s="19"/>
    </row>
    <row r="157" spans="1:23" outlineLevel="1" x14ac:dyDescent="0.2">
      <c r="A157" s="606"/>
      <c r="B157" s="606"/>
      <c r="C157" s="630"/>
      <c r="D157" s="631"/>
      <c r="E157" s="631"/>
      <c r="F157" s="631"/>
      <c r="G157" s="609"/>
      <c r="H157" s="632"/>
      <c r="I157" s="632"/>
      <c r="J157" s="632"/>
      <c r="K157" s="633"/>
      <c r="L157" s="632"/>
      <c r="M157" s="632"/>
      <c r="N157" s="632"/>
      <c r="O157" s="633"/>
      <c r="P157" s="632"/>
      <c r="Q157" s="632"/>
      <c r="R157" s="632"/>
      <c r="S157" s="634"/>
      <c r="T157" s="606"/>
      <c r="U157" s="19"/>
      <c r="V157" s="19"/>
      <c r="W157" s="19"/>
    </row>
    <row r="158" spans="1:23" outlineLevel="1" x14ac:dyDescent="0.2">
      <c r="A158" s="606"/>
      <c r="B158" s="606"/>
      <c r="C158" s="630"/>
      <c r="D158" s="631"/>
      <c r="E158" s="631"/>
      <c r="F158" s="631"/>
      <c r="G158" s="609"/>
      <c r="H158" s="632"/>
      <c r="I158" s="632"/>
      <c r="J158" s="632"/>
      <c r="K158" s="633"/>
      <c r="L158" s="632"/>
      <c r="M158" s="632"/>
      <c r="N158" s="632"/>
      <c r="O158" s="633"/>
      <c r="P158" s="632"/>
      <c r="Q158" s="632"/>
      <c r="R158" s="632"/>
      <c r="S158" s="634"/>
      <c r="T158" s="606"/>
      <c r="U158" s="19"/>
      <c r="V158" s="19"/>
      <c r="W158" s="19"/>
    </row>
    <row r="159" spans="1:23" outlineLevel="1" x14ac:dyDescent="0.2">
      <c r="A159" s="606"/>
      <c r="B159" s="606"/>
      <c r="C159" s="630"/>
      <c r="D159" s="631"/>
      <c r="E159" s="631"/>
      <c r="F159" s="631"/>
      <c r="G159" s="609"/>
      <c r="H159" s="632"/>
      <c r="I159" s="632"/>
      <c r="J159" s="632"/>
      <c r="K159" s="633"/>
      <c r="L159" s="632"/>
      <c r="M159" s="632"/>
      <c r="N159" s="632"/>
      <c r="O159" s="633"/>
      <c r="P159" s="632"/>
      <c r="Q159" s="632"/>
      <c r="R159" s="632"/>
      <c r="S159" s="634"/>
      <c r="T159" s="606"/>
      <c r="U159" s="19"/>
      <c r="V159" s="19"/>
      <c r="W159" s="19"/>
    </row>
    <row r="160" spans="1:23" hidden="1" outlineLevel="2" x14ac:dyDescent="0.2">
      <c r="A160" s="606"/>
      <c r="B160" s="606"/>
      <c r="C160" s="630"/>
      <c r="D160" s="631"/>
      <c r="E160" s="631"/>
      <c r="F160" s="631"/>
      <c r="G160" s="609"/>
      <c r="H160" s="632"/>
      <c r="I160" s="632"/>
      <c r="J160" s="632"/>
      <c r="K160" s="633"/>
      <c r="L160" s="632"/>
      <c r="M160" s="632"/>
      <c r="N160" s="632"/>
      <c r="O160" s="633"/>
      <c r="P160" s="632"/>
      <c r="Q160" s="632"/>
      <c r="R160" s="632"/>
      <c r="S160" s="634"/>
      <c r="T160" s="606"/>
      <c r="U160" s="19"/>
      <c r="V160" s="19"/>
      <c r="W160" s="19"/>
    </row>
    <row r="161" spans="1:23" hidden="1" outlineLevel="2" x14ac:dyDescent="0.2">
      <c r="A161" s="606"/>
      <c r="B161" s="606"/>
      <c r="C161" s="630"/>
      <c r="D161" s="631"/>
      <c r="E161" s="631"/>
      <c r="F161" s="631"/>
      <c r="G161" s="609"/>
      <c r="H161" s="632"/>
      <c r="I161" s="632"/>
      <c r="J161" s="632"/>
      <c r="K161" s="633"/>
      <c r="L161" s="632"/>
      <c r="M161" s="632"/>
      <c r="N161" s="632"/>
      <c r="O161" s="633"/>
      <c r="P161" s="632"/>
      <c r="Q161" s="632"/>
      <c r="R161" s="632"/>
      <c r="S161" s="634"/>
      <c r="T161" s="606"/>
      <c r="U161" s="19"/>
      <c r="V161" s="19"/>
      <c r="W161" s="19"/>
    </row>
    <row r="162" spans="1:23" hidden="1" outlineLevel="2" x14ac:dyDescent="0.2">
      <c r="A162" s="606"/>
      <c r="B162" s="606"/>
      <c r="C162" s="630"/>
      <c r="D162" s="631"/>
      <c r="E162" s="631"/>
      <c r="F162" s="631"/>
      <c r="G162" s="609"/>
      <c r="H162" s="632"/>
      <c r="I162" s="632"/>
      <c r="J162" s="632"/>
      <c r="K162" s="633"/>
      <c r="L162" s="632"/>
      <c r="M162" s="632"/>
      <c r="N162" s="632"/>
      <c r="O162" s="633"/>
      <c r="P162" s="632"/>
      <c r="Q162" s="632"/>
      <c r="R162" s="632"/>
      <c r="S162" s="634"/>
      <c r="T162" s="606"/>
      <c r="U162" s="19"/>
      <c r="V162" s="19"/>
      <c r="W162" s="19"/>
    </row>
    <row r="163" spans="1:23" hidden="1" outlineLevel="2" x14ac:dyDescent="0.2">
      <c r="A163" s="606"/>
      <c r="B163" s="606"/>
      <c r="C163" s="630"/>
      <c r="D163" s="631"/>
      <c r="E163" s="631"/>
      <c r="F163" s="631"/>
      <c r="G163" s="609"/>
      <c r="H163" s="632"/>
      <c r="I163" s="632"/>
      <c r="J163" s="632"/>
      <c r="K163" s="633"/>
      <c r="L163" s="632"/>
      <c r="M163" s="632"/>
      <c r="N163" s="632"/>
      <c r="O163" s="633"/>
      <c r="P163" s="632"/>
      <c r="Q163" s="632"/>
      <c r="R163" s="632"/>
      <c r="S163" s="634"/>
      <c r="T163" s="606"/>
      <c r="U163" s="19"/>
      <c r="V163" s="19"/>
      <c r="W163" s="19"/>
    </row>
    <row r="164" spans="1:23" hidden="1" outlineLevel="2" x14ac:dyDescent="0.2">
      <c r="A164" s="606"/>
      <c r="B164" s="606"/>
      <c r="C164" s="630"/>
      <c r="D164" s="631"/>
      <c r="E164" s="631"/>
      <c r="F164" s="631"/>
      <c r="G164" s="609"/>
      <c r="H164" s="632"/>
      <c r="I164" s="632"/>
      <c r="J164" s="632"/>
      <c r="K164" s="633"/>
      <c r="L164" s="632"/>
      <c r="M164" s="632"/>
      <c r="N164" s="632"/>
      <c r="O164" s="633"/>
      <c r="P164" s="632"/>
      <c r="Q164" s="632"/>
      <c r="R164" s="632"/>
      <c r="S164" s="634"/>
      <c r="T164" s="606"/>
      <c r="U164" s="19"/>
      <c r="V164" s="19"/>
      <c r="W164" s="19"/>
    </row>
    <row r="165" spans="1:23" hidden="1" outlineLevel="2" x14ac:dyDescent="0.2">
      <c r="A165" s="606"/>
      <c r="B165" s="606"/>
      <c r="C165" s="630"/>
      <c r="D165" s="631"/>
      <c r="E165" s="631"/>
      <c r="F165" s="631"/>
      <c r="G165" s="609"/>
      <c r="H165" s="632"/>
      <c r="I165" s="632"/>
      <c r="J165" s="632"/>
      <c r="K165" s="633"/>
      <c r="L165" s="632"/>
      <c r="M165" s="632"/>
      <c r="N165" s="632"/>
      <c r="O165" s="633"/>
      <c r="P165" s="632"/>
      <c r="Q165" s="632"/>
      <c r="R165" s="632"/>
      <c r="S165" s="634"/>
      <c r="T165" s="606"/>
      <c r="U165" s="19"/>
      <c r="V165" s="19"/>
      <c r="W165" s="19"/>
    </row>
    <row r="166" spans="1:23" hidden="1" outlineLevel="2" x14ac:dyDescent="0.2">
      <c r="A166" s="606"/>
      <c r="B166" s="606"/>
      <c r="C166" s="630"/>
      <c r="D166" s="631"/>
      <c r="E166" s="631"/>
      <c r="F166" s="631"/>
      <c r="G166" s="609"/>
      <c r="H166" s="632"/>
      <c r="I166" s="632"/>
      <c r="J166" s="632"/>
      <c r="K166" s="633"/>
      <c r="L166" s="632"/>
      <c r="M166" s="632"/>
      <c r="N166" s="632"/>
      <c r="O166" s="633"/>
      <c r="P166" s="632"/>
      <c r="Q166" s="632"/>
      <c r="R166" s="632"/>
      <c r="S166" s="634"/>
      <c r="T166" s="606"/>
      <c r="U166" s="19"/>
      <c r="V166" s="19"/>
      <c r="W166" s="19"/>
    </row>
    <row r="167" spans="1:23" hidden="1" outlineLevel="2" x14ac:dyDescent="0.2">
      <c r="A167" s="606"/>
      <c r="B167" s="606"/>
      <c r="C167" s="630"/>
      <c r="D167" s="631"/>
      <c r="E167" s="631"/>
      <c r="F167" s="631"/>
      <c r="G167" s="609"/>
      <c r="H167" s="632"/>
      <c r="I167" s="632"/>
      <c r="J167" s="632"/>
      <c r="K167" s="633"/>
      <c r="L167" s="632"/>
      <c r="M167" s="632"/>
      <c r="N167" s="632"/>
      <c r="O167" s="633"/>
      <c r="P167" s="632"/>
      <c r="Q167" s="632"/>
      <c r="R167" s="632"/>
      <c r="S167" s="634"/>
      <c r="T167" s="606"/>
      <c r="U167" s="19"/>
      <c r="V167" s="19"/>
      <c r="W167" s="19"/>
    </row>
    <row r="168" spans="1:23" hidden="1" outlineLevel="2" x14ac:dyDescent="0.2">
      <c r="A168" s="606"/>
      <c r="B168" s="606"/>
      <c r="C168" s="630"/>
      <c r="D168" s="631"/>
      <c r="E168" s="631"/>
      <c r="F168" s="631"/>
      <c r="G168" s="609"/>
      <c r="H168" s="632"/>
      <c r="I168" s="632"/>
      <c r="J168" s="632"/>
      <c r="K168" s="633"/>
      <c r="L168" s="632"/>
      <c r="M168" s="632"/>
      <c r="N168" s="632"/>
      <c r="O168" s="633"/>
      <c r="P168" s="632"/>
      <c r="Q168" s="632"/>
      <c r="R168" s="632"/>
      <c r="S168" s="634"/>
      <c r="T168" s="606"/>
      <c r="U168" s="19"/>
      <c r="V168" s="19"/>
      <c r="W168" s="19"/>
    </row>
    <row r="169" spans="1:23" hidden="1" outlineLevel="2" x14ac:dyDescent="0.2">
      <c r="A169" s="606"/>
      <c r="B169" s="606"/>
      <c r="C169" s="630"/>
      <c r="D169" s="631"/>
      <c r="E169" s="631"/>
      <c r="F169" s="631"/>
      <c r="G169" s="609"/>
      <c r="H169" s="632"/>
      <c r="I169" s="632"/>
      <c r="J169" s="632"/>
      <c r="K169" s="633"/>
      <c r="L169" s="632"/>
      <c r="M169" s="632"/>
      <c r="N169" s="632"/>
      <c r="O169" s="633"/>
      <c r="P169" s="632"/>
      <c r="Q169" s="632"/>
      <c r="R169" s="632"/>
      <c r="S169" s="634"/>
      <c r="T169" s="606"/>
      <c r="U169" s="19"/>
      <c r="V169" s="19"/>
      <c r="W169" s="19"/>
    </row>
    <row r="170" spans="1:23" hidden="1" outlineLevel="2" x14ac:dyDescent="0.2">
      <c r="A170" s="606"/>
      <c r="B170" s="606"/>
      <c r="C170" s="630"/>
      <c r="D170" s="631"/>
      <c r="E170" s="631"/>
      <c r="F170" s="631"/>
      <c r="G170" s="609"/>
      <c r="H170" s="632"/>
      <c r="I170" s="632"/>
      <c r="J170" s="632"/>
      <c r="K170" s="633"/>
      <c r="L170" s="632"/>
      <c r="M170" s="632"/>
      <c r="N170" s="632"/>
      <c r="O170" s="633"/>
      <c r="P170" s="632"/>
      <c r="Q170" s="632"/>
      <c r="R170" s="632"/>
      <c r="S170" s="634"/>
      <c r="T170" s="606"/>
      <c r="U170" s="19"/>
      <c r="V170" s="19"/>
      <c r="W170" s="19"/>
    </row>
    <row r="171" spans="1:23" hidden="1" outlineLevel="2" x14ac:dyDescent="0.2">
      <c r="A171" s="606"/>
      <c r="B171" s="606"/>
      <c r="C171" s="630"/>
      <c r="D171" s="631"/>
      <c r="E171" s="631"/>
      <c r="F171" s="631"/>
      <c r="G171" s="609"/>
      <c r="H171" s="632"/>
      <c r="I171" s="632"/>
      <c r="J171" s="632"/>
      <c r="K171" s="633"/>
      <c r="L171" s="632"/>
      <c r="M171" s="632"/>
      <c r="N171" s="632"/>
      <c r="O171" s="633"/>
      <c r="P171" s="632"/>
      <c r="Q171" s="632"/>
      <c r="R171" s="632"/>
      <c r="S171" s="634"/>
      <c r="T171" s="606"/>
      <c r="U171" s="19"/>
      <c r="V171" s="19"/>
      <c r="W171" s="19"/>
    </row>
    <row r="172" spans="1:23" hidden="1" outlineLevel="2" x14ac:dyDescent="0.2">
      <c r="A172" s="606"/>
      <c r="B172" s="606"/>
      <c r="C172" s="630"/>
      <c r="D172" s="631"/>
      <c r="E172" s="631"/>
      <c r="F172" s="631"/>
      <c r="G172" s="609"/>
      <c r="H172" s="632"/>
      <c r="I172" s="632"/>
      <c r="J172" s="632"/>
      <c r="K172" s="633"/>
      <c r="L172" s="632"/>
      <c r="M172" s="632"/>
      <c r="N172" s="632"/>
      <c r="O172" s="633"/>
      <c r="P172" s="632"/>
      <c r="Q172" s="632"/>
      <c r="R172" s="632"/>
      <c r="S172" s="634"/>
      <c r="T172" s="606"/>
      <c r="U172" s="19"/>
      <c r="V172" s="19"/>
      <c r="W172" s="19"/>
    </row>
    <row r="173" spans="1:23" hidden="1" outlineLevel="2" x14ac:dyDescent="0.2">
      <c r="A173" s="606"/>
      <c r="B173" s="606"/>
      <c r="C173" s="630"/>
      <c r="D173" s="631"/>
      <c r="E173" s="631"/>
      <c r="F173" s="631"/>
      <c r="G173" s="609"/>
      <c r="H173" s="632"/>
      <c r="I173" s="632"/>
      <c r="J173" s="632"/>
      <c r="K173" s="633"/>
      <c r="L173" s="632"/>
      <c r="M173" s="632"/>
      <c r="N173" s="632"/>
      <c r="O173" s="633"/>
      <c r="P173" s="632"/>
      <c r="Q173" s="632"/>
      <c r="R173" s="632"/>
      <c r="S173" s="634"/>
      <c r="T173" s="606"/>
      <c r="U173" s="19"/>
      <c r="V173" s="19"/>
      <c r="W173" s="19"/>
    </row>
    <row r="174" spans="1:23" hidden="1" outlineLevel="2" x14ac:dyDescent="0.2">
      <c r="A174" s="606"/>
      <c r="B174" s="606"/>
      <c r="C174" s="630"/>
      <c r="D174" s="631"/>
      <c r="E174" s="631"/>
      <c r="F174" s="631"/>
      <c r="G174" s="609"/>
      <c r="H174" s="632"/>
      <c r="I174" s="632"/>
      <c r="J174" s="632"/>
      <c r="K174" s="633"/>
      <c r="L174" s="632"/>
      <c r="M174" s="632"/>
      <c r="N174" s="632"/>
      <c r="O174" s="633"/>
      <c r="P174" s="632"/>
      <c r="Q174" s="632"/>
      <c r="R174" s="632"/>
      <c r="S174" s="634"/>
      <c r="T174" s="606"/>
      <c r="U174" s="19"/>
      <c r="V174" s="19"/>
      <c r="W174" s="19"/>
    </row>
    <row r="175" spans="1:23" hidden="1" outlineLevel="2" x14ac:dyDescent="0.2">
      <c r="A175" s="606"/>
      <c r="B175" s="606"/>
      <c r="C175" s="630"/>
      <c r="D175" s="631"/>
      <c r="E175" s="631"/>
      <c r="F175" s="631"/>
      <c r="G175" s="609"/>
      <c r="H175" s="632"/>
      <c r="I175" s="632"/>
      <c r="J175" s="632"/>
      <c r="K175" s="633"/>
      <c r="L175" s="632"/>
      <c r="M175" s="632"/>
      <c r="N175" s="632"/>
      <c r="O175" s="633"/>
      <c r="P175" s="632"/>
      <c r="Q175" s="632"/>
      <c r="R175" s="632"/>
      <c r="S175" s="634"/>
      <c r="T175" s="606"/>
      <c r="U175" s="19"/>
      <c r="V175" s="19"/>
      <c r="W175" s="19"/>
    </row>
    <row r="176" spans="1:23" hidden="1" outlineLevel="2" x14ac:dyDescent="0.2">
      <c r="A176" s="606"/>
      <c r="B176" s="606"/>
      <c r="C176" s="630"/>
      <c r="D176" s="631"/>
      <c r="E176" s="631"/>
      <c r="F176" s="631"/>
      <c r="G176" s="609"/>
      <c r="H176" s="632"/>
      <c r="I176" s="632"/>
      <c r="J176" s="632"/>
      <c r="K176" s="633"/>
      <c r="L176" s="632"/>
      <c r="M176" s="632"/>
      <c r="N176" s="632"/>
      <c r="O176" s="633"/>
      <c r="P176" s="632"/>
      <c r="Q176" s="632"/>
      <c r="R176" s="632"/>
      <c r="S176" s="634"/>
      <c r="T176" s="606"/>
      <c r="U176" s="19"/>
      <c r="V176" s="19"/>
      <c r="W176" s="19"/>
    </row>
    <row r="177" spans="1:23" hidden="1" outlineLevel="2" x14ac:dyDescent="0.2">
      <c r="A177" s="606"/>
      <c r="B177" s="606"/>
      <c r="C177" s="630"/>
      <c r="D177" s="631"/>
      <c r="E177" s="631"/>
      <c r="F177" s="631"/>
      <c r="G177" s="609"/>
      <c r="H177" s="632"/>
      <c r="I177" s="632"/>
      <c r="J177" s="632"/>
      <c r="K177" s="633"/>
      <c r="L177" s="632"/>
      <c r="M177" s="632"/>
      <c r="N177" s="632"/>
      <c r="O177" s="633"/>
      <c r="P177" s="632"/>
      <c r="Q177" s="632"/>
      <c r="R177" s="632"/>
      <c r="S177" s="634"/>
      <c r="T177" s="606"/>
      <c r="U177" s="19"/>
      <c r="V177" s="19"/>
      <c r="W177" s="19"/>
    </row>
    <row r="178" spans="1:23" hidden="1" outlineLevel="2" x14ac:dyDescent="0.2">
      <c r="A178" s="606"/>
      <c r="B178" s="606"/>
      <c r="C178" s="630"/>
      <c r="D178" s="631"/>
      <c r="E178" s="631"/>
      <c r="F178" s="631"/>
      <c r="G178" s="609"/>
      <c r="H178" s="632"/>
      <c r="I178" s="632"/>
      <c r="J178" s="632"/>
      <c r="K178" s="633"/>
      <c r="L178" s="632"/>
      <c r="M178" s="632"/>
      <c r="N178" s="632"/>
      <c r="O178" s="633"/>
      <c r="P178" s="632"/>
      <c r="Q178" s="632"/>
      <c r="R178" s="632"/>
      <c r="S178" s="634"/>
      <c r="T178" s="606"/>
      <c r="U178" s="19"/>
      <c r="V178" s="19"/>
      <c r="W178" s="19"/>
    </row>
    <row r="179" spans="1:23" hidden="1" outlineLevel="2" x14ac:dyDescent="0.2">
      <c r="A179" s="606"/>
      <c r="B179" s="606"/>
      <c r="C179" s="630"/>
      <c r="D179" s="631"/>
      <c r="E179" s="631"/>
      <c r="F179" s="631"/>
      <c r="G179" s="609"/>
      <c r="H179" s="632"/>
      <c r="I179" s="632"/>
      <c r="J179" s="632"/>
      <c r="K179" s="633"/>
      <c r="L179" s="632"/>
      <c r="M179" s="632"/>
      <c r="N179" s="632"/>
      <c r="O179" s="633"/>
      <c r="P179" s="632"/>
      <c r="Q179" s="632"/>
      <c r="R179" s="632"/>
      <c r="S179" s="634"/>
      <c r="T179" s="606"/>
      <c r="U179" s="19"/>
      <c r="V179" s="19"/>
      <c r="W179" s="19"/>
    </row>
    <row r="180" spans="1:23" hidden="1" outlineLevel="2" x14ac:dyDescent="0.2">
      <c r="A180" s="606"/>
      <c r="B180" s="606"/>
      <c r="C180" s="630"/>
      <c r="D180" s="631"/>
      <c r="E180" s="631"/>
      <c r="F180" s="631"/>
      <c r="G180" s="609"/>
      <c r="H180" s="632"/>
      <c r="I180" s="632"/>
      <c r="J180" s="632"/>
      <c r="K180" s="633"/>
      <c r="L180" s="632"/>
      <c r="M180" s="632"/>
      <c r="N180" s="632"/>
      <c r="O180" s="633"/>
      <c r="P180" s="632"/>
      <c r="Q180" s="632"/>
      <c r="R180" s="632"/>
      <c r="S180" s="634"/>
      <c r="T180" s="606"/>
      <c r="U180" s="19"/>
      <c r="V180" s="19"/>
      <c r="W180" s="19"/>
    </row>
    <row r="181" spans="1:23" hidden="1" outlineLevel="2" x14ac:dyDescent="0.2">
      <c r="A181" s="606"/>
      <c r="B181" s="606"/>
      <c r="C181" s="630"/>
      <c r="D181" s="631"/>
      <c r="E181" s="631"/>
      <c r="F181" s="631"/>
      <c r="G181" s="609"/>
      <c r="H181" s="632"/>
      <c r="I181" s="632"/>
      <c r="J181" s="632"/>
      <c r="K181" s="633"/>
      <c r="L181" s="632"/>
      <c r="M181" s="632"/>
      <c r="N181" s="632"/>
      <c r="O181" s="633"/>
      <c r="P181" s="632"/>
      <c r="Q181" s="632"/>
      <c r="R181" s="632"/>
      <c r="S181" s="634"/>
      <c r="T181" s="606"/>
      <c r="U181" s="19"/>
      <c r="V181" s="19"/>
      <c r="W181" s="19"/>
    </row>
    <row r="182" spans="1:23" hidden="1" outlineLevel="2" x14ac:dyDescent="0.2">
      <c r="A182" s="606"/>
      <c r="B182" s="606"/>
      <c r="C182" s="630"/>
      <c r="D182" s="631"/>
      <c r="E182" s="631"/>
      <c r="F182" s="631"/>
      <c r="G182" s="609"/>
      <c r="H182" s="632"/>
      <c r="I182" s="632"/>
      <c r="J182" s="632"/>
      <c r="K182" s="633"/>
      <c r="L182" s="632"/>
      <c r="M182" s="632"/>
      <c r="N182" s="632"/>
      <c r="O182" s="633"/>
      <c r="P182" s="632"/>
      <c r="Q182" s="632"/>
      <c r="R182" s="632"/>
      <c r="S182" s="634"/>
      <c r="T182" s="606"/>
      <c r="U182" s="19"/>
      <c r="V182" s="19"/>
      <c r="W182" s="19"/>
    </row>
    <row r="183" spans="1:23" hidden="1" outlineLevel="2" x14ac:dyDescent="0.2">
      <c r="A183" s="606"/>
      <c r="B183" s="606"/>
      <c r="C183" s="630"/>
      <c r="D183" s="631"/>
      <c r="E183" s="631"/>
      <c r="F183" s="631"/>
      <c r="G183" s="609"/>
      <c r="H183" s="632"/>
      <c r="I183" s="632"/>
      <c r="J183" s="632"/>
      <c r="K183" s="633"/>
      <c r="L183" s="632"/>
      <c r="M183" s="632"/>
      <c r="N183" s="632"/>
      <c r="O183" s="633"/>
      <c r="P183" s="632"/>
      <c r="Q183" s="632"/>
      <c r="R183" s="632"/>
      <c r="S183" s="634"/>
      <c r="T183" s="606"/>
      <c r="U183" s="19"/>
      <c r="V183" s="19"/>
      <c r="W183" s="19"/>
    </row>
    <row r="184" spans="1:23" hidden="1" outlineLevel="2" x14ac:dyDescent="0.2">
      <c r="A184" s="606"/>
      <c r="B184" s="606"/>
      <c r="C184" s="630"/>
      <c r="D184" s="631"/>
      <c r="E184" s="631"/>
      <c r="F184" s="631"/>
      <c r="G184" s="609"/>
      <c r="H184" s="632"/>
      <c r="I184" s="632"/>
      <c r="J184" s="632"/>
      <c r="K184" s="633"/>
      <c r="L184" s="632"/>
      <c r="M184" s="632"/>
      <c r="N184" s="632"/>
      <c r="O184" s="633"/>
      <c r="P184" s="632"/>
      <c r="Q184" s="632"/>
      <c r="R184" s="632"/>
      <c r="S184" s="634"/>
      <c r="T184" s="606"/>
      <c r="U184" s="19"/>
      <c r="V184" s="19"/>
      <c r="W184" s="19"/>
    </row>
    <row r="185" spans="1:23" hidden="1" outlineLevel="2" x14ac:dyDescent="0.2">
      <c r="A185" s="606"/>
      <c r="B185" s="606"/>
      <c r="C185" s="630"/>
      <c r="D185" s="631"/>
      <c r="E185" s="631"/>
      <c r="F185" s="631"/>
      <c r="G185" s="609"/>
      <c r="H185" s="632"/>
      <c r="I185" s="632"/>
      <c r="J185" s="632"/>
      <c r="K185" s="633"/>
      <c r="L185" s="632"/>
      <c r="M185" s="632"/>
      <c r="N185" s="632"/>
      <c r="O185" s="633"/>
      <c r="P185" s="632"/>
      <c r="Q185" s="632"/>
      <c r="R185" s="632"/>
      <c r="S185" s="634"/>
      <c r="T185" s="606"/>
      <c r="U185" s="19"/>
      <c r="V185" s="19"/>
      <c r="W185" s="19"/>
    </row>
    <row r="186" spans="1:23" hidden="1" outlineLevel="2" x14ac:dyDescent="0.2">
      <c r="A186" s="606"/>
      <c r="B186" s="606"/>
      <c r="C186" s="630"/>
      <c r="D186" s="631"/>
      <c r="E186" s="631"/>
      <c r="F186" s="631"/>
      <c r="G186" s="609"/>
      <c r="H186" s="632"/>
      <c r="I186" s="632"/>
      <c r="J186" s="632"/>
      <c r="K186" s="633"/>
      <c r="L186" s="632"/>
      <c r="M186" s="632"/>
      <c r="N186" s="632"/>
      <c r="O186" s="633"/>
      <c r="P186" s="632"/>
      <c r="Q186" s="632"/>
      <c r="R186" s="632"/>
      <c r="S186" s="634"/>
      <c r="T186" s="606"/>
      <c r="U186" s="19"/>
      <c r="V186" s="19"/>
      <c r="W186" s="19"/>
    </row>
    <row r="187" spans="1:23" hidden="1" outlineLevel="2" x14ac:dyDescent="0.2">
      <c r="A187" s="606"/>
      <c r="B187" s="606"/>
      <c r="C187" s="630"/>
      <c r="D187" s="631"/>
      <c r="E187" s="631"/>
      <c r="F187" s="631"/>
      <c r="G187" s="609"/>
      <c r="H187" s="632"/>
      <c r="I187" s="632"/>
      <c r="J187" s="632"/>
      <c r="K187" s="633"/>
      <c r="L187" s="632"/>
      <c r="M187" s="632"/>
      <c r="N187" s="632"/>
      <c r="O187" s="633"/>
      <c r="P187" s="632"/>
      <c r="Q187" s="632"/>
      <c r="R187" s="632"/>
      <c r="S187" s="634"/>
      <c r="T187" s="606"/>
      <c r="U187" s="19"/>
      <c r="V187" s="19"/>
      <c r="W187" s="19"/>
    </row>
    <row r="188" spans="1:23" hidden="1" outlineLevel="2" x14ac:dyDescent="0.2">
      <c r="A188" s="606"/>
      <c r="B188" s="606"/>
      <c r="C188" s="630"/>
      <c r="D188" s="631"/>
      <c r="E188" s="631"/>
      <c r="F188" s="631"/>
      <c r="G188" s="609"/>
      <c r="H188" s="632"/>
      <c r="I188" s="632"/>
      <c r="J188" s="632"/>
      <c r="K188" s="633"/>
      <c r="L188" s="632"/>
      <c r="M188" s="632"/>
      <c r="N188" s="632"/>
      <c r="O188" s="633"/>
      <c r="P188" s="632"/>
      <c r="Q188" s="632"/>
      <c r="R188" s="632"/>
      <c r="S188" s="634"/>
      <c r="T188" s="606"/>
      <c r="U188" s="19"/>
      <c r="V188" s="19"/>
      <c r="W188" s="19"/>
    </row>
    <row r="189" spans="1:23" hidden="1" outlineLevel="2" x14ac:dyDescent="0.2">
      <c r="A189" s="606"/>
      <c r="B189" s="606"/>
      <c r="C189" s="630"/>
      <c r="D189" s="631"/>
      <c r="E189" s="631"/>
      <c r="F189" s="631"/>
      <c r="G189" s="609"/>
      <c r="H189" s="632"/>
      <c r="I189" s="632"/>
      <c r="J189" s="632"/>
      <c r="K189" s="633"/>
      <c r="L189" s="632"/>
      <c r="M189" s="632"/>
      <c r="N189" s="632"/>
      <c r="O189" s="633"/>
      <c r="P189" s="632"/>
      <c r="Q189" s="632"/>
      <c r="R189" s="632"/>
      <c r="S189" s="634"/>
      <c r="T189" s="606"/>
      <c r="U189" s="19"/>
      <c r="V189" s="19"/>
      <c r="W189" s="19"/>
    </row>
    <row r="190" spans="1:23" hidden="1" outlineLevel="2" x14ac:dyDescent="0.2">
      <c r="A190" s="606"/>
      <c r="B190" s="606"/>
      <c r="C190" s="630"/>
      <c r="D190" s="631"/>
      <c r="E190" s="631"/>
      <c r="F190" s="631"/>
      <c r="G190" s="609"/>
      <c r="H190" s="632"/>
      <c r="I190" s="632"/>
      <c r="J190" s="632"/>
      <c r="K190" s="633"/>
      <c r="L190" s="632"/>
      <c r="M190" s="632"/>
      <c r="N190" s="632"/>
      <c r="O190" s="633"/>
      <c r="P190" s="632"/>
      <c r="Q190" s="632"/>
      <c r="R190" s="632"/>
      <c r="S190" s="634"/>
      <c r="T190" s="606"/>
      <c r="U190" s="19"/>
      <c r="V190" s="19"/>
      <c r="W190" s="19"/>
    </row>
    <row r="191" spans="1:23" hidden="1" outlineLevel="2" x14ac:dyDescent="0.2">
      <c r="A191" s="606"/>
      <c r="B191" s="606"/>
      <c r="C191" s="630"/>
      <c r="D191" s="631"/>
      <c r="E191" s="631"/>
      <c r="F191" s="631"/>
      <c r="G191" s="609"/>
      <c r="H191" s="632"/>
      <c r="I191" s="632"/>
      <c r="J191" s="632"/>
      <c r="K191" s="633"/>
      <c r="L191" s="632"/>
      <c r="M191" s="632"/>
      <c r="N191" s="632"/>
      <c r="O191" s="633"/>
      <c r="P191" s="632"/>
      <c r="Q191" s="632"/>
      <c r="R191" s="632"/>
      <c r="S191" s="634"/>
      <c r="T191" s="606"/>
      <c r="U191" s="19"/>
      <c r="V191" s="19"/>
      <c r="W191" s="19"/>
    </row>
    <row r="192" spans="1:23" hidden="1" outlineLevel="2" x14ac:dyDescent="0.2">
      <c r="A192" s="606"/>
      <c r="B192" s="606"/>
      <c r="C192" s="630"/>
      <c r="D192" s="631"/>
      <c r="E192" s="631"/>
      <c r="F192" s="631"/>
      <c r="G192" s="609"/>
      <c r="H192" s="632"/>
      <c r="I192" s="632"/>
      <c r="J192" s="632"/>
      <c r="K192" s="633"/>
      <c r="L192" s="632"/>
      <c r="M192" s="632"/>
      <c r="N192" s="632"/>
      <c r="O192" s="633"/>
      <c r="P192" s="632"/>
      <c r="Q192" s="632"/>
      <c r="R192" s="632"/>
      <c r="S192" s="634"/>
      <c r="T192" s="606"/>
      <c r="U192" s="19"/>
      <c r="V192" s="19"/>
      <c r="W192" s="19"/>
    </row>
    <row r="193" spans="1:23" hidden="1" outlineLevel="2" x14ac:dyDescent="0.2">
      <c r="A193" s="606"/>
      <c r="B193" s="606"/>
      <c r="C193" s="630"/>
      <c r="D193" s="631"/>
      <c r="E193" s="631"/>
      <c r="F193" s="631"/>
      <c r="G193" s="609"/>
      <c r="H193" s="632"/>
      <c r="I193" s="632"/>
      <c r="J193" s="632"/>
      <c r="K193" s="633"/>
      <c r="L193" s="632"/>
      <c r="M193" s="632"/>
      <c r="N193" s="632"/>
      <c r="O193" s="633"/>
      <c r="P193" s="632"/>
      <c r="Q193" s="632"/>
      <c r="R193" s="632"/>
      <c r="S193" s="634"/>
      <c r="T193" s="606"/>
      <c r="U193" s="19"/>
      <c r="V193" s="19"/>
      <c r="W193" s="19"/>
    </row>
    <row r="194" spans="1:23" hidden="1" outlineLevel="2" x14ac:dyDescent="0.2">
      <c r="A194" s="606"/>
      <c r="B194" s="606"/>
      <c r="C194" s="630"/>
      <c r="D194" s="631"/>
      <c r="E194" s="631"/>
      <c r="F194" s="631"/>
      <c r="G194" s="609"/>
      <c r="H194" s="632"/>
      <c r="I194" s="632"/>
      <c r="J194" s="632"/>
      <c r="K194" s="633"/>
      <c r="L194" s="632"/>
      <c r="M194" s="632"/>
      <c r="N194" s="632"/>
      <c r="O194" s="633"/>
      <c r="P194" s="632"/>
      <c r="Q194" s="632"/>
      <c r="R194" s="632"/>
      <c r="S194" s="634"/>
      <c r="T194" s="606"/>
      <c r="U194" s="19"/>
      <c r="V194" s="19"/>
      <c r="W194" s="19"/>
    </row>
    <row r="195" spans="1:23" hidden="1" outlineLevel="2" x14ac:dyDescent="0.2">
      <c r="A195" s="606"/>
      <c r="B195" s="606"/>
      <c r="C195" s="630"/>
      <c r="D195" s="631"/>
      <c r="E195" s="631"/>
      <c r="F195" s="631"/>
      <c r="G195" s="609"/>
      <c r="H195" s="632"/>
      <c r="I195" s="632"/>
      <c r="J195" s="632"/>
      <c r="K195" s="633"/>
      <c r="L195" s="632"/>
      <c r="M195" s="632"/>
      <c r="N195" s="632"/>
      <c r="O195" s="633"/>
      <c r="P195" s="632"/>
      <c r="Q195" s="632"/>
      <c r="R195" s="632"/>
      <c r="S195" s="634"/>
      <c r="T195" s="606"/>
      <c r="U195" s="19"/>
      <c r="V195" s="19"/>
      <c r="W195" s="19"/>
    </row>
    <row r="196" spans="1:23" hidden="1" outlineLevel="2" x14ac:dyDescent="0.2">
      <c r="A196" s="606"/>
      <c r="B196" s="606"/>
      <c r="C196" s="630"/>
      <c r="D196" s="631"/>
      <c r="E196" s="631"/>
      <c r="F196" s="631"/>
      <c r="G196" s="609"/>
      <c r="H196" s="632"/>
      <c r="I196" s="632"/>
      <c r="J196" s="632"/>
      <c r="K196" s="633"/>
      <c r="L196" s="632"/>
      <c r="M196" s="632"/>
      <c r="N196" s="632"/>
      <c r="O196" s="633"/>
      <c r="P196" s="632"/>
      <c r="Q196" s="632"/>
      <c r="R196" s="632"/>
      <c r="S196" s="634"/>
      <c r="T196" s="606"/>
      <c r="U196" s="19"/>
      <c r="V196" s="19"/>
      <c r="W196" s="19"/>
    </row>
    <row r="197" spans="1:23" hidden="1" outlineLevel="2" x14ac:dyDescent="0.2">
      <c r="A197" s="606"/>
      <c r="B197" s="606"/>
      <c r="C197" s="630"/>
      <c r="D197" s="631"/>
      <c r="E197" s="631"/>
      <c r="F197" s="631"/>
      <c r="G197" s="609"/>
      <c r="H197" s="632"/>
      <c r="I197" s="632"/>
      <c r="J197" s="632"/>
      <c r="K197" s="633"/>
      <c r="L197" s="632"/>
      <c r="M197" s="632"/>
      <c r="N197" s="632"/>
      <c r="O197" s="633"/>
      <c r="P197" s="632"/>
      <c r="Q197" s="632"/>
      <c r="R197" s="632"/>
      <c r="S197" s="634"/>
      <c r="T197" s="606"/>
      <c r="U197" s="19"/>
      <c r="V197" s="19"/>
      <c r="W197" s="19"/>
    </row>
    <row r="198" spans="1:23" hidden="1" outlineLevel="2" x14ac:dyDescent="0.2">
      <c r="A198" s="606"/>
      <c r="B198" s="606"/>
      <c r="C198" s="630"/>
      <c r="D198" s="631"/>
      <c r="E198" s="631"/>
      <c r="F198" s="631"/>
      <c r="G198" s="609"/>
      <c r="H198" s="632"/>
      <c r="I198" s="632"/>
      <c r="J198" s="632"/>
      <c r="K198" s="633"/>
      <c r="L198" s="632"/>
      <c r="M198" s="632"/>
      <c r="N198" s="632"/>
      <c r="O198" s="633"/>
      <c r="P198" s="632"/>
      <c r="Q198" s="632"/>
      <c r="R198" s="632"/>
      <c r="S198" s="634"/>
      <c r="T198" s="606"/>
      <c r="U198" s="19"/>
      <c r="V198" s="19"/>
      <c r="W198" s="19"/>
    </row>
    <row r="199" spans="1:23" hidden="1" outlineLevel="2" x14ac:dyDescent="0.2">
      <c r="A199" s="606"/>
      <c r="B199" s="606"/>
      <c r="C199" s="630"/>
      <c r="D199" s="631"/>
      <c r="E199" s="631"/>
      <c r="F199" s="631"/>
      <c r="G199" s="609"/>
      <c r="H199" s="632"/>
      <c r="I199" s="632"/>
      <c r="J199" s="632"/>
      <c r="K199" s="633"/>
      <c r="L199" s="632"/>
      <c r="M199" s="632"/>
      <c r="N199" s="632"/>
      <c r="O199" s="633"/>
      <c r="P199" s="632"/>
      <c r="Q199" s="632"/>
      <c r="R199" s="632"/>
      <c r="S199" s="634"/>
      <c r="T199" s="606"/>
      <c r="U199" s="19"/>
      <c r="V199" s="19"/>
      <c r="W199" s="19"/>
    </row>
    <row r="200" spans="1:23" hidden="1" outlineLevel="2" x14ac:dyDescent="0.2">
      <c r="A200" s="606"/>
      <c r="B200" s="606"/>
      <c r="C200" s="630"/>
      <c r="D200" s="631"/>
      <c r="E200" s="631"/>
      <c r="F200" s="631"/>
      <c r="G200" s="609"/>
      <c r="H200" s="632"/>
      <c r="I200" s="632"/>
      <c r="J200" s="632"/>
      <c r="K200" s="633"/>
      <c r="L200" s="632"/>
      <c r="M200" s="632"/>
      <c r="N200" s="632"/>
      <c r="O200" s="633"/>
      <c r="P200" s="632"/>
      <c r="Q200" s="632"/>
      <c r="R200" s="632"/>
      <c r="S200" s="634"/>
      <c r="T200" s="606"/>
      <c r="U200" s="19"/>
      <c r="V200" s="19"/>
      <c r="W200" s="19"/>
    </row>
    <row r="201" spans="1:23" hidden="1" outlineLevel="2" x14ac:dyDescent="0.2">
      <c r="A201" s="606"/>
      <c r="B201" s="606"/>
      <c r="C201" s="630"/>
      <c r="D201" s="631"/>
      <c r="E201" s="631"/>
      <c r="F201" s="631"/>
      <c r="G201" s="609"/>
      <c r="H201" s="632"/>
      <c r="I201" s="632"/>
      <c r="J201" s="632"/>
      <c r="K201" s="633"/>
      <c r="L201" s="632"/>
      <c r="M201" s="632"/>
      <c r="N201" s="632"/>
      <c r="O201" s="633"/>
      <c r="P201" s="632"/>
      <c r="Q201" s="632"/>
      <c r="R201" s="632"/>
      <c r="S201" s="634"/>
      <c r="T201" s="606"/>
      <c r="U201" s="19"/>
      <c r="V201" s="19"/>
      <c r="W201" s="19"/>
    </row>
    <row r="202" spans="1:23" hidden="1" outlineLevel="2" x14ac:dyDescent="0.2">
      <c r="A202" s="606"/>
      <c r="B202" s="606"/>
      <c r="C202" s="630"/>
      <c r="D202" s="631"/>
      <c r="E202" s="631"/>
      <c r="F202" s="631"/>
      <c r="G202" s="609"/>
      <c r="H202" s="632"/>
      <c r="I202" s="632"/>
      <c r="J202" s="632"/>
      <c r="K202" s="633"/>
      <c r="L202" s="632"/>
      <c r="M202" s="632"/>
      <c r="N202" s="632"/>
      <c r="O202" s="633"/>
      <c r="P202" s="632"/>
      <c r="Q202" s="632"/>
      <c r="R202" s="632"/>
      <c r="S202" s="634"/>
      <c r="T202" s="606"/>
      <c r="U202" s="19"/>
      <c r="V202" s="19"/>
      <c r="W202" s="19"/>
    </row>
    <row r="203" spans="1:23" hidden="1" outlineLevel="2" x14ac:dyDescent="0.2">
      <c r="A203" s="606"/>
      <c r="B203" s="606"/>
      <c r="C203" s="630"/>
      <c r="D203" s="631"/>
      <c r="E203" s="631"/>
      <c r="F203" s="631"/>
      <c r="G203" s="609"/>
      <c r="H203" s="632"/>
      <c r="I203" s="632"/>
      <c r="J203" s="632"/>
      <c r="K203" s="633"/>
      <c r="L203" s="632"/>
      <c r="M203" s="632"/>
      <c r="N203" s="632"/>
      <c r="O203" s="633"/>
      <c r="P203" s="632"/>
      <c r="Q203" s="632"/>
      <c r="R203" s="632"/>
      <c r="S203" s="634"/>
      <c r="T203" s="606"/>
      <c r="U203" s="19"/>
      <c r="V203" s="19"/>
      <c r="W203" s="19"/>
    </row>
    <row r="204" spans="1:23" hidden="1" outlineLevel="2" x14ac:dyDescent="0.2">
      <c r="A204" s="606"/>
      <c r="B204" s="606"/>
      <c r="C204" s="630"/>
      <c r="D204" s="631"/>
      <c r="E204" s="631"/>
      <c r="F204" s="631"/>
      <c r="G204" s="609"/>
      <c r="H204" s="632"/>
      <c r="I204" s="632"/>
      <c r="J204" s="632"/>
      <c r="K204" s="633"/>
      <c r="L204" s="632"/>
      <c r="M204" s="632"/>
      <c r="N204" s="632"/>
      <c r="O204" s="633"/>
      <c r="P204" s="632"/>
      <c r="Q204" s="632"/>
      <c r="R204" s="632"/>
      <c r="S204" s="634"/>
      <c r="T204" s="606"/>
      <c r="U204" s="19"/>
      <c r="V204" s="19"/>
      <c r="W204" s="19"/>
    </row>
    <row r="205" spans="1:23" hidden="1" outlineLevel="2" x14ac:dyDescent="0.2">
      <c r="A205" s="606"/>
      <c r="B205" s="606"/>
      <c r="C205" s="630"/>
      <c r="D205" s="631"/>
      <c r="E205" s="631"/>
      <c r="F205" s="631"/>
      <c r="G205" s="609"/>
      <c r="H205" s="632"/>
      <c r="I205" s="632"/>
      <c r="J205" s="632"/>
      <c r="K205" s="633"/>
      <c r="L205" s="632"/>
      <c r="M205" s="632"/>
      <c r="N205" s="632"/>
      <c r="O205" s="633"/>
      <c r="P205" s="632"/>
      <c r="Q205" s="632"/>
      <c r="R205" s="632"/>
      <c r="S205" s="634"/>
      <c r="T205" s="606"/>
      <c r="U205" s="19"/>
      <c r="V205" s="19"/>
      <c r="W205" s="19"/>
    </row>
    <row r="206" spans="1:23" hidden="1" outlineLevel="2" x14ac:dyDescent="0.2">
      <c r="A206" s="606"/>
      <c r="B206" s="606"/>
      <c r="C206" s="630"/>
      <c r="D206" s="631"/>
      <c r="E206" s="631"/>
      <c r="F206" s="631"/>
      <c r="G206" s="609"/>
      <c r="H206" s="632"/>
      <c r="I206" s="632"/>
      <c r="J206" s="632"/>
      <c r="K206" s="633"/>
      <c r="L206" s="632"/>
      <c r="M206" s="632"/>
      <c r="N206" s="632"/>
      <c r="O206" s="633"/>
      <c r="P206" s="632"/>
      <c r="Q206" s="632"/>
      <c r="R206" s="632"/>
      <c r="S206" s="634"/>
      <c r="T206" s="606"/>
      <c r="U206" s="19"/>
      <c r="V206" s="19"/>
      <c r="W206" s="19"/>
    </row>
    <row r="207" spans="1:23" hidden="1" outlineLevel="2" x14ac:dyDescent="0.2">
      <c r="A207" s="606"/>
      <c r="B207" s="606"/>
      <c r="C207" s="630"/>
      <c r="D207" s="631"/>
      <c r="E207" s="631"/>
      <c r="F207" s="631"/>
      <c r="G207" s="609"/>
      <c r="H207" s="632"/>
      <c r="I207" s="632"/>
      <c r="J207" s="632"/>
      <c r="K207" s="633"/>
      <c r="L207" s="632"/>
      <c r="M207" s="632"/>
      <c r="N207" s="632"/>
      <c r="O207" s="633"/>
      <c r="P207" s="632"/>
      <c r="Q207" s="632"/>
      <c r="R207" s="632"/>
      <c r="S207" s="634"/>
      <c r="T207" s="606"/>
      <c r="U207" s="19"/>
      <c r="V207" s="19"/>
      <c r="W207" s="19"/>
    </row>
    <row r="208" spans="1:23" hidden="1" outlineLevel="2" x14ac:dyDescent="0.2">
      <c r="A208" s="606"/>
      <c r="B208" s="606"/>
      <c r="C208" s="630"/>
      <c r="D208" s="631"/>
      <c r="E208" s="631"/>
      <c r="F208" s="631"/>
      <c r="G208" s="609"/>
      <c r="H208" s="632"/>
      <c r="I208" s="632"/>
      <c r="J208" s="632"/>
      <c r="K208" s="633"/>
      <c r="L208" s="632"/>
      <c r="M208" s="632"/>
      <c r="N208" s="632"/>
      <c r="O208" s="633"/>
      <c r="P208" s="632"/>
      <c r="Q208" s="632"/>
      <c r="R208" s="632"/>
      <c r="S208" s="634"/>
      <c r="T208" s="606"/>
      <c r="U208" s="19"/>
      <c r="V208" s="19"/>
      <c r="W208" s="19"/>
    </row>
    <row r="209" spans="1:23" hidden="1" outlineLevel="2" x14ac:dyDescent="0.2">
      <c r="A209" s="606"/>
      <c r="B209" s="606"/>
      <c r="C209" s="630"/>
      <c r="D209" s="631"/>
      <c r="E209" s="631"/>
      <c r="F209" s="631"/>
      <c r="G209" s="609"/>
      <c r="H209" s="632"/>
      <c r="I209" s="632"/>
      <c r="J209" s="632"/>
      <c r="K209" s="633"/>
      <c r="L209" s="632"/>
      <c r="M209" s="632"/>
      <c r="N209" s="632"/>
      <c r="O209" s="633"/>
      <c r="P209" s="632"/>
      <c r="Q209" s="632"/>
      <c r="R209" s="632"/>
      <c r="S209" s="634"/>
      <c r="T209" s="606"/>
      <c r="U209" s="19"/>
      <c r="V209" s="19"/>
      <c r="W209" s="19"/>
    </row>
    <row r="210" spans="1:23" hidden="1" outlineLevel="2" x14ac:dyDescent="0.2">
      <c r="A210" s="606"/>
      <c r="B210" s="606"/>
      <c r="C210" s="630"/>
      <c r="D210" s="631"/>
      <c r="E210" s="631"/>
      <c r="F210" s="631"/>
      <c r="G210" s="609"/>
      <c r="H210" s="632"/>
      <c r="I210" s="632"/>
      <c r="J210" s="632"/>
      <c r="K210" s="633"/>
      <c r="L210" s="632"/>
      <c r="M210" s="632"/>
      <c r="N210" s="632"/>
      <c r="O210" s="633"/>
      <c r="P210" s="632"/>
      <c r="Q210" s="632"/>
      <c r="R210" s="632"/>
      <c r="S210" s="634"/>
      <c r="T210" s="606"/>
      <c r="U210" s="19"/>
      <c r="V210" s="19"/>
      <c r="W210" s="19"/>
    </row>
    <row r="211" spans="1:23" hidden="1" outlineLevel="2" x14ac:dyDescent="0.2">
      <c r="A211" s="606"/>
      <c r="B211" s="606"/>
      <c r="C211" s="630"/>
      <c r="D211" s="631"/>
      <c r="E211" s="631"/>
      <c r="F211" s="631"/>
      <c r="G211" s="609"/>
      <c r="H211" s="632"/>
      <c r="I211" s="632"/>
      <c r="J211" s="632"/>
      <c r="K211" s="633"/>
      <c r="L211" s="632"/>
      <c r="M211" s="632"/>
      <c r="N211" s="632"/>
      <c r="O211" s="633"/>
      <c r="P211" s="632"/>
      <c r="Q211" s="632"/>
      <c r="R211" s="632"/>
      <c r="S211" s="634"/>
      <c r="T211" s="606"/>
      <c r="U211" s="19"/>
      <c r="V211" s="19"/>
      <c r="W211" s="19"/>
    </row>
    <row r="212" spans="1:23" hidden="1" outlineLevel="2" x14ac:dyDescent="0.2">
      <c r="A212" s="606"/>
      <c r="B212" s="606"/>
      <c r="C212" s="630"/>
      <c r="D212" s="631"/>
      <c r="E212" s="631"/>
      <c r="F212" s="631"/>
      <c r="G212" s="609"/>
      <c r="H212" s="632"/>
      <c r="I212" s="632"/>
      <c r="J212" s="632"/>
      <c r="K212" s="633"/>
      <c r="L212" s="632"/>
      <c r="M212" s="632"/>
      <c r="N212" s="632"/>
      <c r="O212" s="633"/>
      <c r="P212" s="632"/>
      <c r="Q212" s="632"/>
      <c r="R212" s="632"/>
      <c r="S212" s="634"/>
      <c r="T212" s="606"/>
      <c r="U212" s="19"/>
      <c r="V212" s="19"/>
      <c r="W212" s="19"/>
    </row>
    <row r="213" spans="1:23" hidden="1" outlineLevel="2" x14ac:dyDescent="0.2">
      <c r="A213" s="606"/>
      <c r="B213" s="606"/>
      <c r="C213" s="630"/>
      <c r="D213" s="631"/>
      <c r="E213" s="631"/>
      <c r="F213" s="631"/>
      <c r="G213" s="609"/>
      <c r="H213" s="632"/>
      <c r="I213" s="632"/>
      <c r="J213" s="632"/>
      <c r="K213" s="633"/>
      <c r="L213" s="632"/>
      <c r="M213" s="632"/>
      <c r="N213" s="632"/>
      <c r="O213" s="633"/>
      <c r="P213" s="632"/>
      <c r="Q213" s="632"/>
      <c r="R213" s="632"/>
      <c r="S213" s="634"/>
      <c r="T213" s="606"/>
      <c r="U213" s="19"/>
      <c r="V213" s="19"/>
      <c r="W213" s="19"/>
    </row>
    <row r="214" spans="1:23" hidden="1" outlineLevel="2" x14ac:dyDescent="0.2">
      <c r="A214" s="606"/>
      <c r="B214" s="606"/>
      <c r="C214" s="630"/>
      <c r="D214" s="631"/>
      <c r="E214" s="631"/>
      <c r="F214" s="631"/>
      <c r="G214" s="609"/>
      <c r="H214" s="632"/>
      <c r="I214" s="632"/>
      <c r="J214" s="632"/>
      <c r="K214" s="633"/>
      <c r="L214" s="632"/>
      <c r="M214" s="632"/>
      <c r="N214" s="632"/>
      <c r="O214" s="633"/>
      <c r="P214" s="632"/>
      <c r="Q214" s="632"/>
      <c r="R214" s="632"/>
      <c r="S214" s="634"/>
      <c r="T214" s="606"/>
      <c r="U214" s="19"/>
      <c r="V214" s="19"/>
      <c r="W214" s="19"/>
    </row>
    <row r="215" spans="1:23" hidden="1" outlineLevel="2" x14ac:dyDescent="0.2">
      <c r="A215" s="606"/>
      <c r="B215" s="606"/>
      <c r="C215" s="630"/>
      <c r="D215" s="631"/>
      <c r="E215" s="631"/>
      <c r="F215" s="631"/>
      <c r="G215" s="609"/>
      <c r="H215" s="632"/>
      <c r="I215" s="632"/>
      <c r="J215" s="632"/>
      <c r="K215" s="633"/>
      <c r="L215" s="632"/>
      <c r="M215" s="632"/>
      <c r="N215" s="632"/>
      <c r="O215" s="633"/>
      <c r="P215" s="632"/>
      <c r="Q215" s="632"/>
      <c r="R215" s="632"/>
      <c r="S215" s="634"/>
      <c r="T215" s="606"/>
      <c r="U215" s="19"/>
      <c r="V215" s="19"/>
      <c r="W215" s="19"/>
    </row>
    <row r="216" spans="1:23" hidden="1" outlineLevel="2" x14ac:dyDescent="0.2">
      <c r="A216" s="606"/>
      <c r="B216" s="606"/>
      <c r="C216" s="630"/>
      <c r="D216" s="631"/>
      <c r="E216" s="631"/>
      <c r="F216" s="631"/>
      <c r="G216" s="609"/>
      <c r="H216" s="632"/>
      <c r="I216" s="632"/>
      <c r="J216" s="632"/>
      <c r="K216" s="633"/>
      <c r="L216" s="632"/>
      <c r="M216" s="632"/>
      <c r="N216" s="632"/>
      <c r="O216" s="633"/>
      <c r="P216" s="632"/>
      <c r="Q216" s="632"/>
      <c r="R216" s="632"/>
      <c r="S216" s="634"/>
      <c r="T216" s="606"/>
      <c r="U216" s="19"/>
      <c r="V216" s="19"/>
      <c r="W216" s="19"/>
    </row>
    <row r="217" spans="1:23" hidden="1" outlineLevel="2" x14ac:dyDescent="0.2">
      <c r="A217" s="606"/>
      <c r="B217" s="606"/>
      <c r="C217" s="630"/>
      <c r="D217" s="631"/>
      <c r="E217" s="631"/>
      <c r="F217" s="631"/>
      <c r="G217" s="609"/>
      <c r="H217" s="632"/>
      <c r="I217" s="632"/>
      <c r="J217" s="632"/>
      <c r="K217" s="633"/>
      <c r="L217" s="632"/>
      <c r="M217" s="632"/>
      <c r="N217" s="632"/>
      <c r="O217" s="633"/>
      <c r="P217" s="632"/>
      <c r="Q217" s="632"/>
      <c r="R217" s="632"/>
      <c r="S217" s="634"/>
      <c r="T217" s="606"/>
      <c r="U217" s="19"/>
      <c r="V217" s="19"/>
      <c r="W217" s="19"/>
    </row>
    <row r="218" spans="1:23" hidden="1" outlineLevel="2" x14ac:dyDescent="0.2">
      <c r="A218" s="606"/>
      <c r="B218" s="606"/>
      <c r="C218" s="630"/>
      <c r="D218" s="631"/>
      <c r="E218" s="631"/>
      <c r="F218" s="631"/>
      <c r="G218" s="609"/>
      <c r="H218" s="632"/>
      <c r="I218" s="632"/>
      <c r="J218" s="632"/>
      <c r="K218" s="633"/>
      <c r="L218" s="632"/>
      <c r="M218" s="632"/>
      <c r="N218" s="632"/>
      <c r="O218" s="633"/>
      <c r="P218" s="632"/>
      <c r="Q218" s="632"/>
      <c r="R218" s="632"/>
      <c r="S218" s="634"/>
      <c r="T218" s="606"/>
      <c r="U218" s="19"/>
      <c r="V218" s="19"/>
      <c r="W218" s="19"/>
    </row>
    <row r="219" spans="1:23" hidden="1" outlineLevel="2" x14ac:dyDescent="0.2">
      <c r="A219" s="606"/>
      <c r="B219" s="606"/>
      <c r="C219" s="630"/>
      <c r="D219" s="631"/>
      <c r="E219" s="631"/>
      <c r="F219" s="631"/>
      <c r="G219" s="609"/>
      <c r="H219" s="632"/>
      <c r="I219" s="632"/>
      <c r="J219" s="632"/>
      <c r="K219" s="633"/>
      <c r="L219" s="632"/>
      <c r="M219" s="632"/>
      <c r="N219" s="632"/>
      <c r="O219" s="633"/>
      <c r="P219" s="632"/>
      <c r="Q219" s="632"/>
      <c r="R219" s="632"/>
      <c r="S219" s="634"/>
      <c r="T219" s="606"/>
      <c r="U219" s="19"/>
      <c r="V219" s="19"/>
      <c r="W219" s="19"/>
    </row>
    <row r="220" spans="1:23" hidden="1" outlineLevel="2" x14ac:dyDescent="0.2">
      <c r="A220" s="606"/>
      <c r="B220" s="606"/>
      <c r="C220" s="630"/>
      <c r="D220" s="631"/>
      <c r="E220" s="631"/>
      <c r="F220" s="631"/>
      <c r="G220" s="609"/>
      <c r="H220" s="632"/>
      <c r="I220" s="632"/>
      <c r="J220" s="632"/>
      <c r="K220" s="633"/>
      <c r="L220" s="632"/>
      <c r="M220" s="632"/>
      <c r="N220" s="632"/>
      <c r="O220" s="633"/>
      <c r="P220" s="632"/>
      <c r="Q220" s="632"/>
      <c r="R220" s="632"/>
      <c r="S220" s="634"/>
      <c r="T220" s="606"/>
      <c r="U220" s="19"/>
      <c r="V220" s="19"/>
      <c r="W220" s="19"/>
    </row>
    <row r="221" spans="1:23" hidden="1" outlineLevel="2" x14ac:dyDescent="0.2">
      <c r="A221" s="606"/>
      <c r="B221" s="606"/>
      <c r="C221" s="630"/>
      <c r="D221" s="631"/>
      <c r="E221" s="631"/>
      <c r="F221" s="631"/>
      <c r="G221" s="609"/>
      <c r="H221" s="632"/>
      <c r="I221" s="632"/>
      <c r="J221" s="632"/>
      <c r="K221" s="633"/>
      <c r="L221" s="632"/>
      <c r="M221" s="632"/>
      <c r="N221" s="632"/>
      <c r="O221" s="633"/>
      <c r="P221" s="632"/>
      <c r="Q221" s="632"/>
      <c r="R221" s="632"/>
      <c r="S221" s="634"/>
      <c r="T221" s="606"/>
      <c r="U221" s="19"/>
      <c r="V221" s="19"/>
      <c r="W221" s="19"/>
    </row>
    <row r="222" spans="1:23" hidden="1" outlineLevel="2" x14ac:dyDescent="0.2">
      <c r="A222" s="606"/>
      <c r="B222" s="606"/>
      <c r="C222" s="630"/>
      <c r="D222" s="631"/>
      <c r="E222" s="631"/>
      <c r="F222" s="631"/>
      <c r="G222" s="609"/>
      <c r="H222" s="632"/>
      <c r="I222" s="632"/>
      <c r="J222" s="632"/>
      <c r="K222" s="633"/>
      <c r="L222" s="632"/>
      <c r="M222" s="632"/>
      <c r="N222" s="632"/>
      <c r="O222" s="633"/>
      <c r="P222" s="632"/>
      <c r="Q222" s="632"/>
      <c r="R222" s="632"/>
      <c r="S222" s="634"/>
      <c r="T222" s="606"/>
      <c r="U222" s="19"/>
      <c r="V222" s="19"/>
      <c r="W222" s="19"/>
    </row>
    <row r="223" spans="1:23" hidden="1" outlineLevel="2" x14ac:dyDescent="0.2">
      <c r="A223" s="606"/>
      <c r="B223" s="606"/>
      <c r="C223" s="630"/>
      <c r="D223" s="631"/>
      <c r="E223" s="631"/>
      <c r="F223" s="631"/>
      <c r="G223" s="609"/>
      <c r="H223" s="632"/>
      <c r="I223" s="632"/>
      <c r="J223" s="632"/>
      <c r="K223" s="633"/>
      <c r="L223" s="632"/>
      <c r="M223" s="632"/>
      <c r="N223" s="632"/>
      <c r="O223" s="633"/>
      <c r="P223" s="632"/>
      <c r="Q223" s="632"/>
      <c r="R223" s="632"/>
      <c r="S223" s="634"/>
      <c r="T223" s="606"/>
      <c r="U223" s="19"/>
      <c r="V223" s="19"/>
      <c r="W223" s="19"/>
    </row>
    <row r="224" spans="1:23" hidden="1" outlineLevel="2" x14ac:dyDescent="0.2">
      <c r="A224" s="606"/>
      <c r="B224" s="606"/>
      <c r="C224" s="630"/>
      <c r="D224" s="631"/>
      <c r="E224" s="631"/>
      <c r="F224" s="631"/>
      <c r="G224" s="609"/>
      <c r="H224" s="632"/>
      <c r="I224" s="632"/>
      <c r="J224" s="632"/>
      <c r="K224" s="633"/>
      <c r="L224" s="632"/>
      <c r="M224" s="632"/>
      <c r="N224" s="632"/>
      <c r="O224" s="633"/>
      <c r="P224" s="632"/>
      <c r="Q224" s="632"/>
      <c r="R224" s="632"/>
      <c r="S224" s="634"/>
      <c r="T224" s="606"/>
      <c r="U224" s="19"/>
      <c r="V224" s="19"/>
      <c r="W224" s="19"/>
    </row>
    <row r="225" spans="1:23" hidden="1" outlineLevel="2" x14ac:dyDescent="0.2">
      <c r="A225" s="606"/>
      <c r="B225" s="606"/>
      <c r="C225" s="630"/>
      <c r="D225" s="631"/>
      <c r="E225" s="631"/>
      <c r="F225" s="631"/>
      <c r="G225" s="609"/>
      <c r="H225" s="632"/>
      <c r="I225" s="632"/>
      <c r="J225" s="632"/>
      <c r="K225" s="633"/>
      <c r="L225" s="632"/>
      <c r="M225" s="632"/>
      <c r="N225" s="632"/>
      <c r="O225" s="633"/>
      <c r="P225" s="632"/>
      <c r="Q225" s="632"/>
      <c r="R225" s="632"/>
      <c r="S225" s="634"/>
      <c r="T225" s="606"/>
      <c r="U225" s="19"/>
      <c r="V225" s="19"/>
      <c r="W225" s="19"/>
    </row>
    <row r="226" spans="1:23" hidden="1" outlineLevel="2" x14ac:dyDescent="0.2">
      <c r="A226" s="606"/>
      <c r="B226" s="606"/>
      <c r="C226" s="630"/>
      <c r="D226" s="631"/>
      <c r="E226" s="631"/>
      <c r="F226" s="631"/>
      <c r="G226" s="609"/>
      <c r="H226" s="632"/>
      <c r="I226" s="632"/>
      <c r="J226" s="632"/>
      <c r="K226" s="633"/>
      <c r="L226" s="632"/>
      <c r="M226" s="632"/>
      <c r="N226" s="632"/>
      <c r="O226" s="633"/>
      <c r="P226" s="632"/>
      <c r="Q226" s="632"/>
      <c r="R226" s="632"/>
      <c r="S226" s="634"/>
      <c r="T226" s="606"/>
      <c r="U226" s="19"/>
      <c r="V226" s="19"/>
      <c r="W226" s="19"/>
    </row>
    <row r="227" spans="1:23" hidden="1" outlineLevel="2" x14ac:dyDescent="0.2">
      <c r="A227" s="606"/>
      <c r="B227" s="606"/>
      <c r="C227" s="630"/>
      <c r="D227" s="631"/>
      <c r="E227" s="631"/>
      <c r="F227" s="631"/>
      <c r="G227" s="609"/>
      <c r="H227" s="632"/>
      <c r="I227" s="632"/>
      <c r="J227" s="632"/>
      <c r="K227" s="633"/>
      <c r="L227" s="632"/>
      <c r="M227" s="632"/>
      <c r="N227" s="632"/>
      <c r="O227" s="633"/>
      <c r="P227" s="632"/>
      <c r="Q227" s="632"/>
      <c r="R227" s="632"/>
      <c r="S227" s="634"/>
      <c r="T227" s="606"/>
      <c r="U227" s="19"/>
      <c r="V227" s="19"/>
      <c r="W227" s="19"/>
    </row>
    <row r="228" spans="1:23" hidden="1" outlineLevel="2" x14ac:dyDescent="0.2">
      <c r="A228" s="606"/>
      <c r="B228" s="606"/>
      <c r="C228" s="630"/>
      <c r="D228" s="631"/>
      <c r="E228" s="631"/>
      <c r="F228" s="631"/>
      <c r="G228" s="609"/>
      <c r="H228" s="632"/>
      <c r="I228" s="632"/>
      <c r="J228" s="632"/>
      <c r="K228" s="633"/>
      <c r="L228" s="632"/>
      <c r="M228" s="632"/>
      <c r="N228" s="632"/>
      <c r="O228" s="633"/>
      <c r="P228" s="632"/>
      <c r="Q228" s="632"/>
      <c r="R228" s="632"/>
      <c r="S228" s="634"/>
      <c r="T228" s="606"/>
      <c r="U228" s="19"/>
      <c r="V228" s="19"/>
      <c r="W228" s="19"/>
    </row>
    <row r="229" spans="1:23" hidden="1" outlineLevel="2" x14ac:dyDescent="0.2">
      <c r="A229" s="606"/>
      <c r="B229" s="606"/>
      <c r="C229" s="630"/>
      <c r="D229" s="631"/>
      <c r="E229" s="631"/>
      <c r="F229" s="631"/>
      <c r="G229" s="609"/>
      <c r="H229" s="632"/>
      <c r="I229" s="632"/>
      <c r="J229" s="632"/>
      <c r="K229" s="633"/>
      <c r="L229" s="632"/>
      <c r="M229" s="632"/>
      <c r="N229" s="632"/>
      <c r="O229" s="633"/>
      <c r="P229" s="632"/>
      <c r="Q229" s="632"/>
      <c r="R229" s="632"/>
      <c r="S229" s="634"/>
      <c r="T229" s="606"/>
      <c r="U229" s="19"/>
      <c r="V229" s="19"/>
      <c r="W229" s="19"/>
    </row>
    <row r="230" spans="1:23" hidden="1" outlineLevel="2" x14ac:dyDescent="0.2">
      <c r="A230" s="606"/>
      <c r="B230" s="606"/>
      <c r="C230" s="630"/>
      <c r="D230" s="631"/>
      <c r="E230" s="631"/>
      <c r="F230" s="631"/>
      <c r="G230" s="609"/>
      <c r="H230" s="632"/>
      <c r="I230" s="632"/>
      <c r="J230" s="632"/>
      <c r="K230" s="633"/>
      <c r="L230" s="632"/>
      <c r="M230" s="632"/>
      <c r="N230" s="632"/>
      <c r="O230" s="633"/>
      <c r="P230" s="632"/>
      <c r="Q230" s="632"/>
      <c r="R230" s="632"/>
      <c r="S230" s="634"/>
      <c r="T230" s="606"/>
      <c r="U230" s="19"/>
      <c r="V230" s="19"/>
      <c r="W230" s="19"/>
    </row>
    <row r="231" spans="1:23" hidden="1" outlineLevel="2" x14ac:dyDescent="0.2">
      <c r="A231" s="606"/>
      <c r="B231" s="606"/>
      <c r="C231" s="630"/>
      <c r="D231" s="631"/>
      <c r="E231" s="631"/>
      <c r="F231" s="631"/>
      <c r="G231" s="609"/>
      <c r="H231" s="632"/>
      <c r="I231" s="632"/>
      <c r="J231" s="632"/>
      <c r="K231" s="633"/>
      <c r="L231" s="632"/>
      <c r="M231" s="632"/>
      <c r="N231" s="632"/>
      <c r="O231" s="633"/>
      <c r="P231" s="632"/>
      <c r="Q231" s="632"/>
      <c r="R231" s="632"/>
      <c r="S231" s="634"/>
      <c r="T231" s="606"/>
      <c r="U231" s="19"/>
      <c r="V231" s="19"/>
      <c r="W231" s="19"/>
    </row>
    <row r="232" spans="1:23" hidden="1" outlineLevel="2" x14ac:dyDescent="0.2">
      <c r="A232" s="606"/>
      <c r="B232" s="606"/>
      <c r="C232" s="630"/>
      <c r="D232" s="631"/>
      <c r="E232" s="631"/>
      <c r="F232" s="631"/>
      <c r="G232" s="609"/>
      <c r="H232" s="632"/>
      <c r="I232" s="632"/>
      <c r="J232" s="632"/>
      <c r="K232" s="633"/>
      <c r="L232" s="632"/>
      <c r="M232" s="632"/>
      <c r="N232" s="632"/>
      <c r="O232" s="633"/>
      <c r="P232" s="632"/>
      <c r="Q232" s="632"/>
      <c r="R232" s="632"/>
      <c r="S232" s="634"/>
      <c r="T232" s="606"/>
      <c r="U232" s="19"/>
      <c r="V232" s="19"/>
      <c r="W232" s="19"/>
    </row>
    <row r="233" spans="1:23" hidden="1" outlineLevel="2" x14ac:dyDescent="0.2">
      <c r="A233" s="606"/>
      <c r="B233" s="606"/>
      <c r="C233" s="630"/>
      <c r="D233" s="631"/>
      <c r="E233" s="631"/>
      <c r="F233" s="631"/>
      <c r="G233" s="609"/>
      <c r="H233" s="632"/>
      <c r="I233" s="632"/>
      <c r="J233" s="632"/>
      <c r="K233" s="633"/>
      <c r="L233" s="632"/>
      <c r="M233" s="632"/>
      <c r="N233" s="632"/>
      <c r="O233" s="633"/>
      <c r="P233" s="632"/>
      <c r="Q233" s="632"/>
      <c r="R233" s="632"/>
      <c r="S233" s="634"/>
      <c r="T233" s="606"/>
      <c r="U233" s="19"/>
      <c r="V233" s="19"/>
      <c r="W233" s="19"/>
    </row>
    <row r="234" spans="1:23" hidden="1" outlineLevel="2" x14ac:dyDescent="0.2">
      <c r="A234" s="606"/>
      <c r="B234" s="606"/>
      <c r="C234" s="630"/>
      <c r="D234" s="631"/>
      <c r="E234" s="631"/>
      <c r="F234" s="631"/>
      <c r="G234" s="609"/>
      <c r="H234" s="632"/>
      <c r="I234" s="632"/>
      <c r="J234" s="632"/>
      <c r="K234" s="633"/>
      <c r="L234" s="632"/>
      <c r="M234" s="632"/>
      <c r="N234" s="632"/>
      <c r="O234" s="633"/>
      <c r="P234" s="632"/>
      <c r="Q234" s="632"/>
      <c r="R234" s="632"/>
      <c r="S234" s="634"/>
      <c r="T234" s="606"/>
      <c r="U234" s="19"/>
      <c r="V234" s="19"/>
      <c r="W234" s="19"/>
    </row>
    <row r="235" spans="1:23" hidden="1" outlineLevel="2" x14ac:dyDescent="0.2">
      <c r="A235" s="606"/>
      <c r="B235" s="606"/>
      <c r="C235" s="630"/>
      <c r="D235" s="631"/>
      <c r="E235" s="631"/>
      <c r="F235" s="631"/>
      <c r="G235" s="609"/>
      <c r="H235" s="632"/>
      <c r="I235" s="632"/>
      <c r="J235" s="632"/>
      <c r="K235" s="633"/>
      <c r="L235" s="632"/>
      <c r="M235" s="632"/>
      <c r="N235" s="632"/>
      <c r="O235" s="633"/>
      <c r="P235" s="632"/>
      <c r="Q235" s="632"/>
      <c r="R235" s="632"/>
      <c r="S235" s="634"/>
      <c r="T235" s="606"/>
      <c r="U235" s="19"/>
      <c r="V235" s="19"/>
      <c r="W235" s="19"/>
    </row>
    <row r="236" spans="1:23" hidden="1" outlineLevel="2" x14ac:dyDescent="0.2">
      <c r="A236" s="606"/>
      <c r="B236" s="606"/>
      <c r="C236" s="630"/>
      <c r="D236" s="631"/>
      <c r="E236" s="631"/>
      <c r="F236" s="631"/>
      <c r="G236" s="609"/>
      <c r="H236" s="632"/>
      <c r="I236" s="632"/>
      <c r="J236" s="632"/>
      <c r="K236" s="633"/>
      <c r="L236" s="632"/>
      <c r="M236" s="632"/>
      <c r="N236" s="632"/>
      <c r="O236" s="633"/>
      <c r="P236" s="632"/>
      <c r="Q236" s="632"/>
      <c r="R236" s="632"/>
      <c r="S236" s="634"/>
      <c r="T236" s="606"/>
      <c r="U236" s="19"/>
      <c r="V236" s="19"/>
      <c r="W236" s="19"/>
    </row>
    <row r="237" spans="1:23" hidden="1" outlineLevel="2" x14ac:dyDescent="0.2">
      <c r="A237" s="606"/>
      <c r="B237" s="606"/>
      <c r="C237" s="630"/>
      <c r="D237" s="631"/>
      <c r="E237" s="631"/>
      <c r="F237" s="631"/>
      <c r="G237" s="609"/>
      <c r="H237" s="632"/>
      <c r="I237" s="632"/>
      <c r="J237" s="632"/>
      <c r="K237" s="633"/>
      <c r="L237" s="632"/>
      <c r="M237" s="632"/>
      <c r="N237" s="632"/>
      <c r="O237" s="633"/>
      <c r="P237" s="632"/>
      <c r="Q237" s="632"/>
      <c r="R237" s="632"/>
      <c r="S237" s="634"/>
      <c r="T237" s="606"/>
      <c r="U237" s="19"/>
      <c r="V237" s="19"/>
      <c r="W237" s="19"/>
    </row>
    <row r="238" spans="1:23" hidden="1" outlineLevel="2" x14ac:dyDescent="0.2">
      <c r="A238" s="606"/>
      <c r="B238" s="606"/>
      <c r="C238" s="630"/>
      <c r="D238" s="631"/>
      <c r="E238" s="631"/>
      <c r="F238" s="631"/>
      <c r="G238" s="609"/>
      <c r="H238" s="632"/>
      <c r="I238" s="632"/>
      <c r="J238" s="632"/>
      <c r="K238" s="633"/>
      <c r="L238" s="632"/>
      <c r="M238" s="632"/>
      <c r="N238" s="632"/>
      <c r="O238" s="633"/>
      <c r="P238" s="632"/>
      <c r="Q238" s="632"/>
      <c r="R238" s="632"/>
      <c r="S238" s="634"/>
      <c r="T238" s="606"/>
      <c r="U238" s="19"/>
      <c r="V238" s="19"/>
      <c r="W238" s="19"/>
    </row>
    <row r="239" spans="1:23" hidden="1" outlineLevel="2" x14ac:dyDescent="0.2">
      <c r="A239" s="606"/>
      <c r="B239" s="606"/>
      <c r="C239" s="630"/>
      <c r="D239" s="631"/>
      <c r="E239" s="631"/>
      <c r="F239" s="631"/>
      <c r="G239" s="609"/>
      <c r="H239" s="632"/>
      <c r="I239" s="632"/>
      <c r="J239" s="632"/>
      <c r="K239" s="633"/>
      <c r="L239" s="632"/>
      <c r="M239" s="632"/>
      <c r="N239" s="632"/>
      <c r="O239" s="633"/>
      <c r="P239" s="632"/>
      <c r="Q239" s="632"/>
      <c r="R239" s="632"/>
      <c r="S239" s="634"/>
      <c r="T239" s="606"/>
      <c r="U239" s="19"/>
      <c r="V239" s="19"/>
      <c r="W239" s="19"/>
    </row>
    <row r="240" spans="1:23" hidden="1" outlineLevel="2" x14ac:dyDescent="0.2">
      <c r="A240" s="606"/>
      <c r="B240" s="606"/>
      <c r="C240" s="630"/>
      <c r="D240" s="631"/>
      <c r="E240" s="631"/>
      <c r="F240" s="631"/>
      <c r="G240" s="609"/>
      <c r="H240" s="632"/>
      <c r="I240" s="632"/>
      <c r="J240" s="632"/>
      <c r="K240" s="633"/>
      <c r="L240" s="632"/>
      <c r="M240" s="632"/>
      <c r="N240" s="632"/>
      <c r="O240" s="633"/>
      <c r="P240" s="632"/>
      <c r="Q240" s="632"/>
      <c r="R240" s="632"/>
      <c r="S240" s="634"/>
      <c r="T240" s="606"/>
      <c r="U240" s="19"/>
      <c r="V240" s="19"/>
      <c r="W240" s="19"/>
    </row>
    <row r="241" spans="1:23" hidden="1" outlineLevel="2" x14ac:dyDescent="0.2">
      <c r="A241" s="606"/>
      <c r="B241" s="606"/>
      <c r="C241" s="630"/>
      <c r="D241" s="631"/>
      <c r="E241" s="631"/>
      <c r="F241" s="631"/>
      <c r="G241" s="609"/>
      <c r="H241" s="632"/>
      <c r="I241" s="632"/>
      <c r="J241" s="632"/>
      <c r="K241" s="633"/>
      <c r="L241" s="632"/>
      <c r="M241" s="632"/>
      <c r="N241" s="632"/>
      <c r="O241" s="633"/>
      <c r="P241" s="632"/>
      <c r="Q241" s="632"/>
      <c r="R241" s="632"/>
      <c r="S241" s="634"/>
      <c r="T241" s="606"/>
      <c r="U241" s="19"/>
      <c r="V241" s="19"/>
      <c r="W241" s="19"/>
    </row>
    <row r="242" spans="1:23" hidden="1" outlineLevel="2" x14ac:dyDescent="0.2">
      <c r="A242" s="606"/>
      <c r="B242" s="606"/>
      <c r="C242" s="630"/>
      <c r="D242" s="631"/>
      <c r="E242" s="631"/>
      <c r="F242" s="631"/>
      <c r="G242" s="609"/>
      <c r="H242" s="632"/>
      <c r="I242" s="632"/>
      <c r="J242" s="632"/>
      <c r="K242" s="633"/>
      <c r="L242" s="632"/>
      <c r="M242" s="632"/>
      <c r="N242" s="632"/>
      <c r="O242" s="633"/>
      <c r="P242" s="632"/>
      <c r="Q242" s="632"/>
      <c r="R242" s="632"/>
      <c r="S242" s="634"/>
      <c r="T242" s="606"/>
      <c r="U242" s="19"/>
      <c r="V242" s="19"/>
      <c r="W242" s="19"/>
    </row>
    <row r="243" spans="1:23" hidden="1" outlineLevel="2" x14ac:dyDescent="0.2">
      <c r="A243" s="606"/>
      <c r="B243" s="606"/>
      <c r="C243" s="630"/>
      <c r="D243" s="631"/>
      <c r="E243" s="631"/>
      <c r="F243" s="631"/>
      <c r="G243" s="609"/>
      <c r="H243" s="632"/>
      <c r="I243" s="632"/>
      <c r="J243" s="632"/>
      <c r="K243" s="633"/>
      <c r="L243" s="632"/>
      <c r="M243" s="632"/>
      <c r="N243" s="632"/>
      <c r="O243" s="633"/>
      <c r="P243" s="632"/>
      <c r="Q243" s="632"/>
      <c r="R243" s="632"/>
      <c r="S243" s="634"/>
      <c r="T243" s="606"/>
      <c r="U243" s="19"/>
      <c r="V243" s="19"/>
      <c r="W243" s="19"/>
    </row>
    <row r="244" spans="1:23" hidden="1" outlineLevel="2" x14ac:dyDescent="0.2">
      <c r="A244" s="606"/>
      <c r="B244" s="606"/>
      <c r="C244" s="630"/>
      <c r="D244" s="631"/>
      <c r="E244" s="631"/>
      <c r="F244" s="631"/>
      <c r="G244" s="609"/>
      <c r="H244" s="632"/>
      <c r="I244" s="632"/>
      <c r="J244" s="632"/>
      <c r="K244" s="633"/>
      <c r="L244" s="632"/>
      <c r="M244" s="632"/>
      <c r="N244" s="632"/>
      <c r="O244" s="633"/>
      <c r="P244" s="632"/>
      <c r="Q244" s="632"/>
      <c r="R244" s="632"/>
      <c r="S244" s="634"/>
      <c r="T244" s="606"/>
      <c r="U244" s="19"/>
      <c r="V244" s="19"/>
      <c r="W244" s="19"/>
    </row>
    <row r="245" spans="1:23" hidden="1" outlineLevel="2" x14ac:dyDescent="0.2">
      <c r="A245" s="606"/>
      <c r="B245" s="606"/>
      <c r="C245" s="630"/>
      <c r="D245" s="631"/>
      <c r="E245" s="631"/>
      <c r="F245" s="631"/>
      <c r="G245" s="609"/>
      <c r="H245" s="632"/>
      <c r="I245" s="632"/>
      <c r="J245" s="632"/>
      <c r="K245" s="633"/>
      <c r="L245" s="632"/>
      <c r="M245" s="632"/>
      <c r="N245" s="632"/>
      <c r="O245" s="633"/>
      <c r="P245" s="632"/>
      <c r="Q245" s="632"/>
      <c r="R245" s="632"/>
      <c r="S245" s="634"/>
      <c r="T245" s="606"/>
      <c r="U245" s="19"/>
      <c r="V245" s="19"/>
      <c r="W245" s="19"/>
    </row>
    <row r="246" spans="1:23" hidden="1" outlineLevel="2" x14ac:dyDescent="0.2">
      <c r="A246" s="606"/>
      <c r="B246" s="606"/>
      <c r="C246" s="630"/>
      <c r="D246" s="631"/>
      <c r="E246" s="631"/>
      <c r="F246" s="631"/>
      <c r="G246" s="609"/>
      <c r="H246" s="632"/>
      <c r="I246" s="632"/>
      <c r="J246" s="632"/>
      <c r="K246" s="633"/>
      <c r="L246" s="632"/>
      <c r="M246" s="632"/>
      <c r="N246" s="632"/>
      <c r="O246" s="633"/>
      <c r="P246" s="632"/>
      <c r="Q246" s="632"/>
      <c r="R246" s="632"/>
      <c r="S246" s="634"/>
      <c r="T246" s="606"/>
      <c r="U246" s="19"/>
      <c r="V246" s="19"/>
      <c r="W246" s="19"/>
    </row>
    <row r="247" spans="1:23" hidden="1" outlineLevel="2" x14ac:dyDescent="0.2">
      <c r="A247" s="606"/>
      <c r="B247" s="606"/>
      <c r="C247" s="630"/>
      <c r="D247" s="631"/>
      <c r="E247" s="631"/>
      <c r="F247" s="631"/>
      <c r="G247" s="609"/>
      <c r="H247" s="632"/>
      <c r="I247" s="632"/>
      <c r="J247" s="632"/>
      <c r="K247" s="633"/>
      <c r="L247" s="632"/>
      <c r="M247" s="632"/>
      <c r="N247" s="632"/>
      <c r="O247" s="633"/>
      <c r="P247" s="632"/>
      <c r="Q247" s="632"/>
      <c r="R247" s="632"/>
      <c r="S247" s="634"/>
      <c r="T247" s="606"/>
      <c r="U247" s="19"/>
      <c r="V247" s="19"/>
      <c r="W247" s="19"/>
    </row>
    <row r="248" spans="1:23" hidden="1" outlineLevel="2" x14ac:dyDescent="0.2">
      <c r="A248" s="606"/>
      <c r="B248" s="606"/>
      <c r="C248" s="630"/>
      <c r="D248" s="631"/>
      <c r="E248" s="631"/>
      <c r="F248" s="631"/>
      <c r="G248" s="609"/>
      <c r="H248" s="632"/>
      <c r="I248" s="632"/>
      <c r="J248" s="632"/>
      <c r="K248" s="633"/>
      <c r="L248" s="632"/>
      <c r="M248" s="632"/>
      <c r="N248" s="632"/>
      <c r="O248" s="633"/>
      <c r="P248" s="632"/>
      <c r="Q248" s="632"/>
      <c r="R248" s="632"/>
      <c r="S248" s="634"/>
      <c r="T248" s="606"/>
      <c r="U248" s="19"/>
      <c r="V248" s="19"/>
      <c r="W248" s="19"/>
    </row>
    <row r="249" spans="1:23" outlineLevel="1" collapsed="1" x14ac:dyDescent="0.2">
      <c r="A249" s="606"/>
      <c r="B249" s="606"/>
      <c r="C249" s="620"/>
      <c r="D249" s="621"/>
      <c r="E249" s="609"/>
      <c r="F249" s="609"/>
      <c r="G249" s="609"/>
      <c r="H249" s="635"/>
      <c r="I249" s="635"/>
      <c r="J249" s="635"/>
      <c r="K249" s="635"/>
      <c r="L249" s="636"/>
      <c r="M249" s="636"/>
      <c r="N249" s="636"/>
      <c r="O249" s="636"/>
      <c r="P249" s="633"/>
      <c r="Q249" s="633"/>
      <c r="R249" s="633"/>
      <c r="S249" s="634"/>
      <c r="T249" s="606"/>
      <c r="U249" s="19"/>
      <c r="V249" s="19"/>
      <c r="W249" s="19"/>
    </row>
    <row r="250" spans="1:23" x14ac:dyDescent="0.2">
      <c r="A250" s="606"/>
      <c r="B250" s="606"/>
      <c r="C250" s="623"/>
      <c r="D250" s="617"/>
      <c r="E250" s="617"/>
      <c r="F250" s="617"/>
      <c r="G250" s="617"/>
      <c r="H250" s="618"/>
      <c r="I250" s="618"/>
      <c r="J250" s="618"/>
      <c r="K250" s="617"/>
      <c r="L250" s="617"/>
      <c r="M250" s="617"/>
      <c r="N250" s="617"/>
      <c r="O250" s="617"/>
      <c r="P250" s="617"/>
      <c r="Q250" s="617"/>
      <c r="R250" s="617"/>
      <c r="S250" s="622"/>
      <c r="T250" s="606"/>
      <c r="U250" s="19"/>
      <c r="V250" s="19"/>
      <c r="W250" s="19"/>
    </row>
    <row r="251" spans="1:23" ht="12.75" x14ac:dyDescent="0.2">
      <c r="A251" s="11"/>
      <c r="B251" s="12" t="s">
        <v>8</v>
      </c>
      <c r="C251" s="11"/>
      <c r="D251" s="11"/>
      <c r="E251" s="11"/>
      <c r="F251" s="11"/>
      <c r="G251" s="11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4"/>
      <c r="T251" s="15"/>
      <c r="U251" s="15"/>
      <c r="V251" s="15"/>
      <c r="W251" s="15"/>
    </row>
  </sheetData>
  <sheetProtection formatColumns="0" formatRows="0"/>
  <mergeCells count="15">
    <mergeCell ref="H134:J134"/>
    <mergeCell ref="L134:N134"/>
    <mergeCell ref="P134:R134"/>
    <mergeCell ref="H123:J123"/>
    <mergeCell ref="L123:N123"/>
    <mergeCell ref="P123:R123"/>
    <mergeCell ref="H44:J44"/>
    <mergeCell ref="L44:N44"/>
    <mergeCell ref="P44:R44"/>
    <mergeCell ref="H5:J5"/>
    <mergeCell ref="L5:N5"/>
    <mergeCell ref="P5:R5"/>
    <mergeCell ref="H20:J20"/>
    <mergeCell ref="L20:N20"/>
    <mergeCell ref="P20:R20"/>
  </mergeCells>
  <phoneticPr fontId="31" type="noConversion"/>
  <dataValidations count="4">
    <dataValidation type="list" allowBlank="1" showInputMessage="1" showErrorMessage="1" sqref="D84:D120" xr:uid="{00000000-0002-0000-1800-000000000000}">
      <formula1>$C$7:$C$17</formula1>
    </dataValidation>
    <dataValidation type="list" allowBlank="1" showInputMessage="1" showErrorMessage="1" sqref="D22:D41" xr:uid="{00000000-0002-0000-1800-000001000000}">
      <formula1>"Fixed,Consumption,Demand,Export"</formula1>
    </dataValidation>
    <dataValidation type="list" allowBlank="1" showInputMessage="1" showErrorMessage="1" sqref="I121 I249" xr:uid="{00000000-0002-0000-1800-000002000000}">
      <formula1>"open,closed"</formula1>
    </dataValidation>
    <dataValidation type="list" allowBlank="1" showInputMessage="1" showErrorMessage="1" sqref="H121 J249:O249 J121:O121 H249" xr:uid="{00000000-0002-0000-1800-000003000000}">
      <formula1>"yes,no"</formula1>
    </dataValidation>
  </dataValidations>
  <hyperlinks>
    <hyperlink ref="H1" location="'Pricing model'!A51" display="Back to Index" xr:uid="{00000000-0004-0000-1800-000000000000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">
    <tabColor theme="7" tint="0.79998168889431442"/>
  </sheetPr>
  <dimension ref="A1:AT559"/>
  <sheetViews>
    <sheetView showGridLines="0" zoomScaleNormal="100" workbookViewId="0">
      <pane xSplit="7" ySplit="6" topLeftCell="H7" activePane="bottomRight" state="frozen"/>
      <selection pane="topRight" activeCell="G1" sqref="G1"/>
      <selection pane="bottomLeft" activeCell="A7" sqref="A7"/>
      <selection pane="bottomRight" activeCell="A250" sqref="A250:XFD558"/>
    </sheetView>
  </sheetViews>
  <sheetFormatPr defaultColWidth="0" defaultRowHeight="11.25" zeroHeight="1" outlineLevelRow="3" outlineLevelCol="1" x14ac:dyDescent="0.2"/>
  <cols>
    <col min="1" max="2" width="1.42578125" style="18" customWidth="1"/>
    <col min="3" max="3" width="38.140625" style="18" customWidth="1"/>
    <col min="4" max="4" width="16.85546875" style="18" customWidth="1"/>
    <col min="5" max="5" width="9.42578125" style="18" customWidth="1"/>
    <col min="6" max="6" width="9.85546875" style="18" customWidth="1"/>
    <col min="7" max="7" width="13.85546875" style="18" bestFit="1" customWidth="1"/>
    <col min="8" max="8" width="3.140625" style="18" customWidth="1"/>
    <col min="9" max="21" width="11" style="18" customWidth="1"/>
    <col min="22" max="22" width="9.28515625" style="18" customWidth="1"/>
    <col min="23" max="28" width="9.28515625" style="18" hidden="1" customWidth="1" outlineLevel="1"/>
    <col min="29" max="29" width="12.28515625" style="18" customWidth="1" collapsed="1"/>
    <col min="30" max="31" width="3.28515625" style="18" customWidth="1"/>
    <col min="32" max="33" width="8" style="18" hidden="1" customWidth="1"/>
    <col min="34" max="43" width="9.28515625" style="18" hidden="1" customWidth="1"/>
    <col min="44" max="46" width="0" style="18" hidden="1" customWidth="1"/>
    <col min="47" max="16384" width="8" style="18" hidden="1"/>
  </cols>
  <sheetData>
    <row r="1" spans="1:33" ht="15.75" x14ac:dyDescent="0.25">
      <c r="A1" s="1"/>
      <c r="B1" s="2" t="str">
        <f>'Calculations&gt;&gt;'!B1</f>
        <v>AER pricing model - TasNetworks 2022–23</v>
      </c>
      <c r="C1" s="2"/>
      <c r="D1" s="2"/>
      <c r="E1" s="2"/>
      <c r="F1" s="2"/>
      <c r="G1" s="3"/>
      <c r="H1" s="4"/>
      <c r="I1" s="160" t="s">
        <v>0</v>
      </c>
      <c r="J1" s="111"/>
      <c r="K1" s="112"/>
      <c r="L1" s="112"/>
      <c r="M1" s="51"/>
      <c r="P1" s="111"/>
      <c r="Q1" s="113"/>
      <c r="S1" s="114"/>
      <c r="T1" s="113"/>
      <c r="U1" s="5"/>
      <c r="V1" s="3"/>
      <c r="W1" s="3"/>
      <c r="X1" s="3"/>
      <c r="Y1" s="5"/>
      <c r="Z1" s="5"/>
      <c r="AA1" s="5"/>
      <c r="AB1" s="5"/>
      <c r="AC1" s="5"/>
      <c r="AD1" s="1"/>
    </row>
    <row r="2" spans="1:33" ht="13.5" thickBot="1" x14ac:dyDescent="0.25">
      <c r="A2" s="6"/>
      <c r="B2" s="7" t="str">
        <f>'Calculations&gt;&gt;'!C10</f>
        <v>Proposed revenue</v>
      </c>
      <c r="C2" s="7"/>
      <c r="D2" s="7"/>
      <c r="E2" s="7"/>
      <c r="F2" s="7"/>
      <c r="G2" s="8"/>
      <c r="H2" s="8"/>
      <c r="I2" s="8"/>
      <c r="J2" s="116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3" x14ac:dyDescent="0.2">
      <c r="A3" s="27"/>
      <c r="B3" s="296" t="str">
        <f>'Calculations&gt;&gt;'!D10</f>
        <v>Calculates revenues for the t year for each tariff component</v>
      </c>
      <c r="C3" s="27"/>
      <c r="D3" s="28"/>
      <c r="E3" s="28"/>
      <c r="F3" s="28"/>
      <c r="G3" s="28"/>
      <c r="H3" s="28"/>
      <c r="I3" s="28"/>
      <c r="J3" s="28"/>
      <c r="K3" s="29"/>
      <c r="L3" s="30"/>
      <c r="M3" s="30"/>
      <c r="N3" s="30"/>
      <c r="O3" s="30"/>
      <c r="P3" s="30"/>
      <c r="Q3" s="30"/>
      <c r="R3" s="30"/>
      <c r="S3" s="30"/>
      <c r="T3" s="30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3" x14ac:dyDescent="0.2">
      <c r="A4" s="9"/>
      <c r="B4" s="9"/>
      <c r="C4" s="9"/>
      <c r="D4" s="10"/>
      <c r="E4" s="10"/>
      <c r="F4" s="10"/>
      <c r="G4" s="10"/>
      <c r="H4" s="10"/>
      <c r="I4" s="10"/>
      <c r="J4" s="10"/>
      <c r="K4" s="50"/>
      <c r="L4" s="50"/>
      <c r="M4" s="50"/>
      <c r="N4" s="50"/>
      <c r="O4" s="50"/>
      <c r="P4" s="50"/>
      <c r="Q4" s="50"/>
      <c r="R4" s="50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31.5" x14ac:dyDescent="0.2">
      <c r="A5" s="11"/>
      <c r="B5" s="12" t="s">
        <v>690</v>
      </c>
      <c r="C5" s="11"/>
      <c r="D5" s="32" t="s">
        <v>199</v>
      </c>
      <c r="E5" s="32" t="str">
        <f>tariffid1</f>
        <v>Code</v>
      </c>
      <c r="F5" s="599" t="str">
        <f>tariffid2</f>
        <v>Trans. Node</v>
      </c>
      <c r="G5" s="33" t="str">
        <f>tariffid3</f>
        <v>Other identifier</v>
      </c>
      <c r="H5" s="33"/>
      <c r="I5" s="597" t="str">
        <f>Qty!M5</f>
        <v>Service</v>
      </c>
      <c r="J5" s="597" t="str">
        <f>Qty!N5</f>
        <v>All energy</v>
      </c>
      <c r="K5" s="597" t="str">
        <f>Qty!O5</f>
        <v>Peak energy</v>
      </c>
      <c r="L5" s="597" t="str">
        <f>Qty!P5</f>
        <v>Shoulder energy</v>
      </c>
      <c r="M5" s="597" t="str">
        <f>Qty!Q5</f>
        <v>Off-peak energy</v>
      </c>
      <c r="N5" s="597" t="str">
        <f>Qty!R5</f>
        <v>All demand</v>
      </c>
      <c r="O5" s="597" t="str">
        <f>Qty!S5</f>
        <v>Peak demand</v>
      </c>
      <c r="P5" s="597" t="str">
        <f>Qty!T5</f>
        <v>Off-peak demand</v>
      </c>
      <c r="Q5" s="597" t="str">
        <f>Qty!U5</f>
        <v>Specified demand</v>
      </c>
      <c r="R5" s="597" t="str">
        <f>Qty!V5</f>
        <v>Excess daily demand</v>
      </c>
      <c r="S5" s="597" t="str">
        <f>Qty!W5</f>
        <v>Daily demand connection</v>
      </c>
      <c r="T5" s="597" t="str">
        <f>Qty!X5</f>
        <v>Excess daily demand connection</v>
      </c>
      <c r="U5" s="597" t="str">
        <f>Qty!Y5</f>
        <v>All demand (lamps)</v>
      </c>
      <c r="V5" s="169">
        <f>Qty!Z5</f>
        <v>0</v>
      </c>
      <c r="W5" s="169">
        <f>Qty!AA5</f>
        <v>0</v>
      </c>
      <c r="X5" s="169">
        <f>Qty!AB5</f>
        <v>0</v>
      </c>
      <c r="Y5" s="169">
        <f>Qty!AC5</f>
        <v>0</v>
      </c>
      <c r="Z5" s="169">
        <f>Qty!AD5</f>
        <v>0</v>
      </c>
      <c r="AA5" s="169">
        <f>Qty!AE5</f>
        <v>0</v>
      </c>
      <c r="AB5" s="169">
        <f>Qty!AF5</f>
        <v>0</v>
      </c>
      <c r="AC5" s="204" t="s">
        <v>240</v>
      </c>
      <c r="AD5" s="15"/>
      <c r="AE5" s="15"/>
      <c r="AF5" s="15"/>
      <c r="AG5" s="15"/>
    </row>
    <row r="6" spans="1:33" outlineLevel="1" x14ac:dyDescent="0.2">
      <c r="A6" s="19"/>
      <c r="B6" s="19"/>
      <c r="C6" s="36"/>
      <c r="D6" s="20"/>
      <c r="E6" s="20"/>
      <c r="F6" s="20"/>
      <c r="G6" s="22"/>
      <c r="H6" s="22"/>
      <c r="I6" s="170" t="str">
        <f t="shared" ref="I6:AC6" si="0">IF(I5=0,0,dollars)</f>
        <v>$dollars</v>
      </c>
      <c r="J6" s="170" t="str">
        <f t="shared" si="0"/>
        <v>$dollars</v>
      </c>
      <c r="K6" s="170" t="str">
        <f t="shared" si="0"/>
        <v>$dollars</v>
      </c>
      <c r="L6" s="170" t="str">
        <f t="shared" si="0"/>
        <v>$dollars</v>
      </c>
      <c r="M6" s="170" t="str">
        <f t="shared" si="0"/>
        <v>$dollars</v>
      </c>
      <c r="N6" s="170" t="str">
        <f t="shared" si="0"/>
        <v>$dollars</v>
      </c>
      <c r="O6" s="170" t="str">
        <f t="shared" si="0"/>
        <v>$dollars</v>
      </c>
      <c r="P6" s="170" t="str">
        <f t="shared" si="0"/>
        <v>$dollars</v>
      </c>
      <c r="Q6" s="170" t="str">
        <f t="shared" si="0"/>
        <v>$dollars</v>
      </c>
      <c r="R6" s="170" t="str">
        <f t="shared" si="0"/>
        <v>$dollars</v>
      </c>
      <c r="S6" s="170" t="str">
        <f t="shared" si="0"/>
        <v>$dollars</v>
      </c>
      <c r="T6" s="170" t="str">
        <f t="shared" si="0"/>
        <v>$dollars</v>
      </c>
      <c r="U6" s="170" t="str">
        <f t="shared" si="0"/>
        <v>$dollars</v>
      </c>
      <c r="V6" s="170">
        <f t="shared" si="0"/>
        <v>0</v>
      </c>
      <c r="W6" s="170">
        <f t="shared" si="0"/>
        <v>0</v>
      </c>
      <c r="X6" s="170">
        <f t="shared" si="0"/>
        <v>0</v>
      </c>
      <c r="Y6" s="170">
        <f t="shared" si="0"/>
        <v>0</v>
      </c>
      <c r="Z6" s="170">
        <f t="shared" si="0"/>
        <v>0</v>
      </c>
      <c r="AA6" s="170">
        <f t="shared" si="0"/>
        <v>0</v>
      </c>
      <c r="AB6" s="170">
        <f t="shared" si="0"/>
        <v>0</v>
      </c>
      <c r="AC6" s="170" t="str">
        <f t="shared" si="0"/>
        <v>$dollars</v>
      </c>
      <c r="AD6" s="19"/>
      <c r="AE6" s="19"/>
      <c r="AF6" s="19"/>
      <c r="AG6" s="19"/>
    </row>
    <row r="7" spans="1:33" outlineLevel="1" x14ac:dyDescent="0.2">
      <c r="A7" s="19"/>
      <c r="B7" s="19"/>
      <c r="C7" s="167" t="s">
        <v>136</v>
      </c>
      <c r="D7" s="20"/>
      <c r="E7" s="20"/>
      <c r="F7" s="20"/>
      <c r="G7" s="22"/>
      <c r="H7" s="22"/>
      <c r="I7" s="197">
        <f>Tariffs!$P22</f>
        <v>3.65</v>
      </c>
      <c r="J7" s="197">
        <f>Tariffs!$P23</f>
        <v>0.01</v>
      </c>
      <c r="K7" s="197">
        <f>Tariffs!$P24</f>
        <v>0.01</v>
      </c>
      <c r="L7" s="197">
        <f>Tariffs!$P25</f>
        <v>0.01</v>
      </c>
      <c r="M7" s="197">
        <f>Tariffs!$P26</f>
        <v>0.01</v>
      </c>
      <c r="N7" s="197">
        <f>Tariffs!$P27</f>
        <v>0.01</v>
      </c>
      <c r="O7" s="197">
        <f>Tariffs!$P28</f>
        <v>0.01</v>
      </c>
      <c r="P7" s="197">
        <f>Tariffs!$P29</f>
        <v>0.01</v>
      </c>
      <c r="Q7" s="197">
        <f>Tariffs!$P30</f>
        <v>0.01</v>
      </c>
      <c r="R7" s="197">
        <f>Tariffs!$P31</f>
        <v>0.01</v>
      </c>
      <c r="S7" s="197">
        <f>Tariffs!$P32</f>
        <v>0.01</v>
      </c>
      <c r="T7" s="197">
        <f>Tariffs!$P33</f>
        <v>0.01</v>
      </c>
      <c r="U7" s="197">
        <f>Tariffs!$P34</f>
        <v>3.65</v>
      </c>
      <c r="V7" s="197">
        <f>Tariffs!$P35</f>
        <v>0</v>
      </c>
      <c r="W7" s="197">
        <f>Tariffs!$P36</f>
        <v>0</v>
      </c>
      <c r="X7" s="197">
        <f>Tariffs!$P37</f>
        <v>0</v>
      </c>
      <c r="Y7" s="197">
        <f>Tariffs!$P38</f>
        <v>0</v>
      </c>
      <c r="Z7" s="197">
        <f>Tariffs!$P39</f>
        <v>0</v>
      </c>
      <c r="AA7" s="197">
        <f>Tariffs!$P40</f>
        <v>0</v>
      </c>
      <c r="AB7" s="197">
        <f>Tariffs!$P41</f>
        <v>0</v>
      </c>
      <c r="AC7" s="19"/>
      <c r="AD7" s="19"/>
      <c r="AE7" s="19"/>
      <c r="AF7" s="19"/>
      <c r="AG7" s="19"/>
    </row>
    <row r="8" spans="1:33" outlineLevel="2" x14ac:dyDescent="0.2">
      <c r="A8" s="19"/>
      <c r="B8" s="19"/>
      <c r="C8" s="506" t="str">
        <f>Qty!C8</f>
        <v>Residential time of use consumption</v>
      </c>
      <c r="D8" s="505" t="str">
        <f>Qty!D8</f>
        <v>Residential</v>
      </c>
      <c r="E8" s="505" t="str">
        <f>Qty!E8</f>
        <v>TAS93</v>
      </c>
      <c r="F8" s="505">
        <f>Qty!F8</f>
        <v>0</v>
      </c>
      <c r="G8" s="505">
        <f>Qty!G8</f>
        <v>0</v>
      </c>
      <c r="H8" s="22"/>
      <c r="I8" s="198">
        <f>Qty!M8*'Prop. prices'!I8*I$7</f>
        <v>13173437.85805</v>
      </c>
      <c r="J8" s="198">
        <f>Qty!N8*'Prop. prices'!J8*J$7</f>
        <v>0</v>
      </c>
      <c r="K8" s="198">
        <f>Qty!O8*'Prop. prices'!K8*K$7</f>
        <v>16175560.53671388</v>
      </c>
      <c r="L8" s="198">
        <f>Qty!P8*'Prop. prices'!L8*L$7</f>
        <v>0</v>
      </c>
      <c r="M8" s="198">
        <f>Qty!Q8*'Prop. prices'!M8*M$7</f>
        <v>7322678.2025531298</v>
      </c>
      <c r="N8" s="198">
        <f>Qty!R8*'Prop. prices'!N8*N$7</f>
        <v>0</v>
      </c>
      <c r="O8" s="198">
        <f>Qty!S8*'Prop. prices'!O8*O$7</f>
        <v>0</v>
      </c>
      <c r="P8" s="198">
        <f>Qty!T8*'Prop. prices'!P8*P$7</f>
        <v>0</v>
      </c>
      <c r="Q8" s="198">
        <f>Qty!U8*'Prop. prices'!Q8*Q$7</f>
        <v>0</v>
      </c>
      <c r="R8" s="198">
        <f>Qty!V8*'Prop. prices'!R8*R$7</f>
        <v>0</v>
      </c>
      <c r="S8" s="198">
        <f>Qty!W8*'Prop. prices'!S8*S$7</f>
        <v>0</v>
      </c>
      <c r="T8" s="198">
        <f>Qty!X8*'Prop. prices'!T8*T$7</f>
        <v>0</v>
      </c>
      <c r="U8" s="198">
        <f>Qty!Y8*'Prop. prices'!U8*U$7</f>
        <v>0</v>
      </c>
      <c r="V8" s="198">
        <f>Qty!Z8*'Prop. prices'!V8*V$7</f>
        <v>0</v>
      </c>
      <c r="W8" s="198">
        <f>Qty!AA8*'Prop. prices'!W8*W$7</f>
        <v>0</v>
      </c>
      <c r="X8" s="198">
        <f>Qty!AB8*'Prop. prices'!X8*X$7</f>
        <v>0</v>
      </c>
      <c r="Y8" s="198">
        <f>Qty!AC8*'Prop. prices'!Y8*Y$7</f>
        <v>0</v>
      </c>
      <c r="Z8" s="198">
        <f>Qty!AD8*'Prop. prices'!Z8*Z$7</f>
        <v>0</v>
      </c>
      <c r="AA8" s="198">
        <f>Qty!AE8*'Prop. prices'!AA8*AA$7</f>
        <v>0</v>
      </c>
      <c r="AB8" s="198">
        <f>Qty!AF8*'Prop. prices'!AB8*AB$7</f>
        <v>0</v>
      </c>
      <c r="AC8" s="206">
        <f t="shared" ref="AC8:AC39" si="1">SUM(I8:AB8)</f>
        <v>36671676.59731701</v>
      </c>
      <c r="AD8" s="19"/>
      <c r="AE8" s="19"/>
      <c r="AF8" s="19"/>
      <c r="AG8" s="19"/>
    </row>
    <row r="9" spans="1:33" s="59" customFormat="1" outlineLevel="2" x14ac:dyDescent="0.2">
      <c r="A9" s="57"/>
      <c r="B9" s="57"/>
      <c r="C9" s="506" t="str">
        <f>Qty!C9</f>
        <v>Residential general light and power</v>
      </c>
      <c r="D9" s="505" t="str">
        <f>Qty!D9</f>
        <v>Residential</v>
      </c>
      <c r="E9" s="505" t="str">
        <f>Qty!E9</f>
        <v>TAS31</v>
      </c>
      <c r="F9" s="505">
        <f>Qty!F9</f>
        <v>0</v>
      </c>
      <c r="G9" s="505">
        <f>Qty!G9</f>
        <v>0</v>
      </c>
      <c r="H9" s="58"/>
      <c r="I9" s="198">
        <f>Qty!M9*'Prop. prices'!I9*I$7</f>
        <v>40999773.6404</v>
      </c>
      <c r="J9" s="198">
        <f>Qty!N9*'Prop. prices'!J9*J$7</f>
        <v>43409550.102072708</v>
      </c>
      <c r="K9" s="198">
        <f>Qty!O9*'Prop. prices'!K9*K$7</f>
        <v>0</v>
      </c>
      <c r="L9" s="198">
        <f>Qty!P9*'Prop. prices'!L9*L$7</f>
        <v>0</v>
      </c>
      <c r="M9" s="198">
        <f>Qty!Q9*'Prop. prices'!M9*M$7</f>
        <v>0</v>
      </c>
      <c r="N9" s="198">
        <f>Qty!R9*'Prop. prices'!N9*N$7</f>
        <v>0</v>
      </c>
      <c r="O9" s="198">
        <f>Qty!S9*'Prop. prices'!O9*O$7</f>
        <v>0</v>
      </c>
      <c r="P9" s="198">
        <f>Qty!T9*'Prop. prices'!P9*P$7</f>
        <v>0</v>
      </c>
      <c r="Q9" s="198">
        <f>Qty!U9*'Prop. prices'!Q9*Q$7</f>
        <v>0</v>
      </c>
      <c r="R9" s="198">
        <f>Qty!V9*'Prop. prices'!R9*R$7</f>
        <v>0</v>
      </c>
      <c r="S9" s="198">
        <f>Qty!W9*'Prop. prices'!S9*S$7</f>
        <v>0</v>
      </c>
      <c r="T9" s="198">
        <f>Qty!X9*'Prop. prices'!T9*T$7</f>
        <v>0</v>
      </c>
      <c r="U9" s="198">
        <f>Qty!Y9*'Prop. prices'!U9*U$7</f>
        <v>0</v>
      </c>
      <c r="V9" s="198">
        <f>Qty!Z9*'Prop. prices'!V9*V$7</f>
        <v>0</v>
      </c>
      <c r="W9" s="198">
        <f>Qty!AA9*'Prop. prices'!W9*W$7</f>
        <v>0</v>
      </c>
      <c r="X9" s="198">
        <f>Qty!AB9*'Prop. prices'!X9*X$7</f>
        <v>0</v>
      </c>
      <c r="Y9" s="198">
        <f>Qty!AC9*'Prop. prices'!Y9*Y$7</f>
        <v>0</v>
      </c>
      <c r="Z9" s="198">
        <f>Qty!AD9*'Prop. prices'!Z9*Z$7</f>
        <v>0</v>
      </c>
      <c r="AA9" s="198">
        <f>Qty!AE9*'Prop. prices'!AA9*AA$7</f>
        <v>0</v>
      </c>
      <c r="AB9" s="198">
        <f>Qty!AF9*'Prop. prices'!AB9*AB$7</f>
        <v>0</v>
      </c>
      <c r="AC9" s="206">
        <f t="shared" si="1"/>
        <v>84409323.742472708</v>
      </c>
      <c r="AD9" s="57"/>
      <c r="AE9" s="57"/>
      <c r="AF9" s="57"/>
      <c r="AG9" s="57"/>
    </row>
    <row r="10" spans="1:33" outlineLevel="2" x14ac:dyDescent="0.2">
      <c r="A10" s="19"/>
      <c r="B10" s="19"/>
      <c r="C10" s="506" t="str">
        <f>Qty!C10</f>
        <v>Residential time of use demand</v>
      </c>
      <c r="D10" s="505" t="str">
        <f>Qty!D10</f>
        <v>Residential</v>
      </c>
      <c r="E10" s="505" t="str">
        <f>Qty!E10</f>
        <v>TAS87</v>
      </c>
      <c r="F10" s="505">
        <f>Qty!F10</f>
        <v>0</v>
      </c>
      <c r="G10" s="505">
        <f>Qty!G10</f>
        <v>0</v>
      </c>
      <c r="H10" s="58"/>
      <c r="I10" s="198">
        <f>Qty!M10*'Prop. prices'!I10*I$7</f>
        <v>0</v>
      </c>
      <c r="J10" s="198">
        <f>Qty!N10*'Prop. prices'!J10*J$7</f>
        <v>0</v>
      </c>
      <c r="K10" s="198">
        <f>Qty!O10*'Prop. prices'!K10*K$7</f>
        <v>0</v>
      </c>
      <c r="L10" s="198">
        <f>Qty!P10*'Prop. prices'!L10*L$7</f>
        <v>0</v>
      </c>
      <c r="M10" s="198">
        <f>Qty!Q10*'Prop. prices'!M10*M$7</f>
        <v>0</v>
      </c>
      <c r="N10" s="198">
        <f>Qty!R10*'Prop. prices'!N10*N$7</f>
        <v>0</v>
      </c>
      <c r="O10" s="198">
        <f>Qty!S10*'Prop. prices'!O10*O$7</f>
        <v>0</v>
      </c>
      <c r="P10" s="198">
        <f>Qty!T10*'Prop. prices'!P10*P$7</f>
        <v>0</v>
      </c>
      <c r="Q10" s="198">
        <f>Qty!U10*'Prop. prices'!Q10*Q$7</f>
        <v>0</v>
      </c>
      <c r="R10" s="198">
        <f>Qty!V10*'Prop. prices'!R10*R$7</f>
        <v>0</v>
      </c>
      <c r="S10" s="198">
        <f>Qty!W10*'Prop. prices'!S10*S$7</f>
        <v>0</v>
      </c>
      <c r="T10" s="198">
        <f>Qty!X10*'Prop. prices'!T10*T$7</f>
        <v>0</v>
      </c>
      <c r="U10" s="198">
        <f>Qty!Y10*'Prop. prices'!U10*U$7</f>
        <v>0</v>
      </c>
      <c r="V10" s="198">
        <f>Qty!Z10*'Prop. prices'!V10*V$7</f>
        <v>0</v>
      </c>
      <c r="W10" s="198">
        <f>Qty!AA10*'Prop. prices'!W10*W$7</f>
        <v>0</v>
      </c>
      <c r="X10" s="198">
        <f>Qty!AB10*'Prop. prices'!X10*X$7</f>
        <v>0</v>
      </c>
      <c r="Y10" s="198">
        <f>Qty!AC10*'Prop. prices'!Y10*Y$7</f>
        <v>0</v>
      </c>
      <c r="Z10" s="198">
        <f>Qty!AD10*'Prop. prices'!Z10*Z$7</f>
        <v>0</v>
      </c>
      <c r="AA10" s="198">
        <f>Qty!AE10*'Prop. prices'!AA10*AA$7</f>
        <v>0</v>
      </c>
      <c r="AB10" s="198">
        <f>Qty!AF10*'Prop. prices'!AB10*AB$7</f>
        <v>0</v>
      </c>
      <c r="AC10" s="206">
        <f t="shared" si="1"/>
        <v>0</v>
      </c>
      <c r="AD10" s="19"/>
      <c r="AE10" s="19"/>
      <c r="AF10" s="19"/>
      <c r="AG10" s="19"/>
    </row>
    <row r="11" spans="1:33" outlineLevel="2" x14ac:dyDescent="0.2">
      <c r="A11" s="19"/>
      <c r="B11" s="19"/>
      <c r="C11" s="506" t="str">
        <f>Qty!C11</f>
        <v>Residential time of use demand DER</v>
      </c>
      <c r="D11" s="505" t="str">
        <f>Qty!D11</f>
        <v>Residential</v>
      </c>
      <c r="E11" s="505" t="str">
        <f>Qty!E11</f>
        <v>TAS97</v>
      </c>
      <c r="F11" s="505">
        <f>Qty!F11</f>
        <v>0</v>
      </c>
      <c r="G11" s="505">
        <f>Qty!G11</f>
        <v>0</v>
      </c>
      <c r="H11" s="58"/>
      <c r="I11" s="198">
        <f>Qty!M11*'Prop. prices'!I11*I$7</f>
        <v>0</v>
      </c>
      <c r="J11" s="198">
        <f>Qty!N11*'Prop. prices'!J11*J$7</f>
        <v>0</v>
      </c>
      <c r="K11" s="198">
        <f>Qty!O11*'Prop. prices'!K11*K$7</f>
        <v>0</v>
      </c>
      <c r="L11" s="198">
        <f>Qty!P11*'Prop. prices'!L11*L$7</f>
        <v>0</v>
      </c>
      <c r="M11" s="198">
        <f>Qty!Q11*'Prop. prices'!M11*M$7</f>
        <v>0</v>
      </c>
      <c r="N11" s="198">
        <f>Qty!R11*'Prop. prices'!N11*N$7</f>
        <v>0</v>
      </c>
      <c r="O11" s="198">
        <f>Qty!S11*'Prop. prices'!O11*O$7</f>
        <v>0</v>
      </c>
      <c r="P11" s="198">
        <f>Qty!T11*'Prop. prices'!P11*P$7</f>
        <v>0</v>
      </c>
      <c r="Q11" s="198">
        <f>Qty!U11*'Prop. prices'!Q11*Q$7</f>
        <v>0</v>
      </c>
      <c r="R11" s="198">
        <f>Qty!V11*'Prop. prices'!R11*R$7</f>
        <v>0</v>
      </c>
      <c r="S11" s="198">
        <f>Qty!W11*'Prop. prices'!S11*S$7</f>
        <v>0</v>
      </c>
      <c r="T11" s="198">
        <f>Qty!X11*'Prop. prices'!T11*T$7</f>
        <v>0</v>
      </c>
      <c r="U11" s="198">
        <f>Qty!Y11*'Prop. prices'!U11*U$7</f>
        <v>0</v>
      </c>
      <c r="V11" s="198">
        <f>Qty!Z11*'Prop. prices'!V11*V$7</f>
        <v>0</v>
      </c>
      <c r="W11" s="198">
        <f>Qty!AA11*'Prop. prices'!W11*W$7</f>
        <v>0</v>
      </c>
      <c r="X11" s="198">
        <f>Qty!AB11*'Prop. prices'!X11*X$7</f>
        <v>0</v>
      </c>
      <c r="Y11" s="198">
        <f>Qty!AC11*'Prop. prices'!Y11*Y$7</f>
        <v>0</v>
      </c>
      <c r="Z11" s="198">
        <f>Qty!AD11*'Prop. prices'!Z11*Z$7</f>
        <v>0</v>
      </c>
      <c r="AA11" s="198">
        <f>Qty!AE11*'Prop. prices'!AA11*AA$7</f>
        <v>0</v>
      </c>
      <c r="AB11" s="198">
        <f>Qty!AF11*'Prop. prices'!AB11*AB$7</f>
        <v>0</v>
      </c>
      <c r="AC11" s="206">
        <f t="shared" si="1"/>
        <v>0</v>
      </c>
      <c r="AD11" s="19"/>
      <c r="AE11" s="19"/>
      <c r="AF11" s="19"/>
      <c r="AG11" s="19"/>
    </row>
    <row r="12" spans="1:33" outlineLevel="2" x14ac:dyDescent="0.2">
      <c r="A12" s="19"/>
      <c r="B12" s="19"/>
      <c r="C12" s="506" t="str">
        <f>Qty!C12</f>
        <v>Residential pay as you go</v>
      </c>
      <c r="D12" s="505" t="str">
        <f>Qty!D12</f>
        <v>Residential</v>
      </c>
      <c r="E12" s="505" t="str">
        <f>Qty!E12</f>
        <v>TAS101</v>
      </c>
      <c r="F12" s="505">
        <f>Qty!F12</f>
        <v>0</v>
      </c>
      <c r="G12" s="505">
        <f>Qty!G12</f>
        <v>0</v>
      </c>
      <c r="H12" s="58"/>
      <c r="I12" s="198">
        <f>Qty!M12*'Prop. prices'!I12*I$7</f>
        <v>0</v>
      </c>
      <c r="J12" s="198">
        <f>Qty!N12*'Prop. prices'!J12*J$7</f>
        <v>0</v>
      </c>
      <c r="K12" s="198">
        <f>Qty!O12*'Prop. prices'!K12*K$7</f>
        <v>0</v>
      </c>
      <c r="L12" s="198">
        <f>Qty!P12*'Prop. prices'!L12*L$7</f>
        <v>0</v>
      </c>
      <c r="M12" s="198">
        <f>Qty!Q12*'Prop. prices'!M12*M$7</f>
        <v>0</v>
      </c>
      <c r="N12" s="198">
        <f>Qty!R12*'Prop. prices'!N12*N$7</f>
        <v>0</v>
      </c>
      <c r="O12" s="198">
        <f>Qty!S12*'Prop. prices'!O12*O$7</f>
        <v>0</v>
      </c>
      <c r="P12" s="198">
        <f>Qty!T12*'Prop. prices'!P12*P$7</f>
        <v>0</v>
      </c>
      <c r="Q12" s="198">
        <f>Qty!U12*'Prop. prices'!Q12*Q$7</f>
        <v>0</v>
      </c>
      <c r="R12" s="198">
        <f>Qty!V12*'Prop. prices'!R12*R$7</f>
        <v>0</v>
      </c>
      <c r="S12" s="198">
        <f>Qty!W12*'Prop. prices'!S12*S$7</f>
        <v>0</v>
      </c>
      <c r="T12" s="198">
        <f>Qty!X12*'Prop. prices'!T12*T$7</f>
        <v>0</v>
      </c>
      <c r="U12" s="198">
        <f>Qty!Y12*'Prop. prices'!U12*U$7</f>
        <v>0</v>
      </c>
      <c r="V12" s="198">
        <f>Qty!Z12*'Prop. prices'!V12*V$7</f>
        <v>0</v>
      </c>
      <c r="W12" s="198">
        <f>Qty!AA12*'Prop. prices'!W12*W$7</f>
        <v>0</v>
      </c>
      <c r="X12" s="198">
        <f>Qty!AB12*'Prop. prices'!X12*X$7</f>
        <v>0</v>
      </c>
      <c r="Y12" s="198">
        <f>Qty!AC12*'Prop. prices'!Y12*Y$7</f>
        <v>0</v>
      </c>
      <c r="Z12" s="198">
        <f>Qty!AD12*'Prop. prices'!Z12*Z$7</f>
        <v>0</v>
      </c>
      <c r="AA12" s="198">
        <f>Qty!AE12*'Prop. prices'!AA12*AA$7</f>
        <v>0</v>
      </c>
      <c r="AB12" s="198">
        <f>Qty!AF12*'Prop. prices'!AB12*AB$7</f>
        <v>0</v>
      </c>
      <c r="AC12" s="206">
        <f t="shared" si="1"/>
        <v>0</v>
      </c>
      <c r="AD12" s="19"/>
      <c r="AE12" s="19"/>
      <c r="AF12" s="19"/>
      <c r="AG12" s="19"/>
    </row>
    <row r="13" spans="1:33" outlineLevel="2" x14ac:dyDescent="0.2">
      <c r="A13" s="19"/>
      <c r="B13" s="19"/>
      <c r="C13" s="506" t="str">
        <f>Qty!C13</f>
        <v>Residential pay as you go time of use</v>
      </c>
      <c r="D13" s="505" t="str">
        <f>Qty!D13</f>
        <v>Residential</v>
      </c>
      <c r="E13" s="505" t="str">
        <f>Qty!E13</f>
        <v>TAS92</v>
      </c>
      <c r="F13" s="505">
        <f>Qty!F13</f>
        <v>0</v>
      </c>
      <c r="G13" s="505">
        <f>Qty!G13</f>
        <v>0</v>
      </c>
      <c r="H13" s="58"/>
      <c r="I13" s="198">
        <f>Qty!M13*'Prop. prices'!I13*I$7</f>
        <v>0</v>
      </c>
      <c r="J13" s="198">
        <f>Qty!N13*'Prop. prices'!J13*J$7</f>
        <v>0</v>
      </c>
      <c r="K13" s="198">
        <f>Qty!O13*'Prop. prices'!K13*K$7</f>
        <v>0</v>
      </c>
      <c r="L13" s="198">
        <f>Qty!P13*'Prop. prices'!L13*L$7</f>
        <v>0</v>
      </c>
      <c r="M13" s="198">
        <f>Qty!Q13*'Prop. prices'!M13*M$7</f>
        <v>0</v>
      </c>
      <c r="N13" s="198">
        <f>Qty!R13*'Prop. prices'!N13*N$7</f>
        <v>0</v>
      </c>
      <c r="O13" s="198">
        <f>Qty!S13*'Prop. prices'!O13*O$7</f>
        <v>0</v>
      </c>
      <c r="P13" s="198">
        <f>Qty!T13*'Prop. prices'!P13*P$7</f>
        <v>0</v>
      </c>
      <c r="Q13" s="198">
        <f>Qty!U13*'Prop. prices'!Q13*Q$7</f>
        <v>0</v>
      </c>
      <c r="R13" s="198">
        <f>Qty!V13*'Prop. prices'!R13*R$7</f>
        <v>0</v>
      </c>
      <c r="S13" s="198">
        <f>Qty!W13*'Prop. prices'!S13*S$7</f>
        <v>0</v>
      </c>
      <c r="T13" s="198">
        <f>Qty!X13*'Prop. prices'!T13*T$7</f>
        <v>0</v>
      </c>
      <c r="U13" s="198">
        <f>Qty!Y13*'Prop. prices'!U13*U$7</f>
        <v>0</v>
      </c>
      <c r="V13" s="198">
        <f>Qty!Z13*'Prop. prices'!V13*V$7</f>
        <v>0</v>
      </c>
      <c r="W13" s="198">
        <f>Qty!AA13*'Prop. prices'!W13*W$7</f>
        <v>0</v>
      </c>
      <c r="X13" s="198">
        <f>Qty!AB13*'Prop. prices'!X13*X$7</f>
        <v>0</v>
      </c>
      <c r="Y13" s="198">
        <f>Qty!AC13*'Prop. prices'!Y13*Y$7</f>
        <v>0</v>
      </c>
      <c r="Z13" s="198">
        <f>Qty!AD13*'Prop. prices'!Z13*Z$7</f>
        <v>0</v>
      </c>
      <c r="AA13" s="198">
        <f>Qty!AE13*'Prop. prices'!AA13*AA$7</f>
        <v>0</v>
      </c>
      <c r="AB13" s="198">
        <f>Qty!AF13*'Prop. prices'!AB13*AB$7</f>
        <v>0</v>
      </c>
      <c r="AC13" s="206">
        <f t="shared" si="1"/>
        <v>0</v>
      </c>
      <c r="AD13" s="19"/>
      <c r="AE13" s="19"/>
      <c r="AF13" s="19"/>
      <c r="AG13" s="19"/>
    </row>
    <row r="14" spans="1:33" outlineLevel="2" x14ac:dyDescent="0.2">
      <c r="A14" s="19"/>
      <c r="B14" s="19"/>
      <c r="C14" s="506" t="str">
        <f>Qty!C14</f>
        <v>Small business time of use consumption</v>
      </c>
      <c r="D14" s="505" t="str">
        <f>Qty!D14</f>
        <v>Small Business LV</v>
      </c>
      <c r="E14" s="505" t="str">
        <f>Qty!E14</f>
        <v>TAS94</v>
      </c>
      <c r="F14" s="505">
        <f>Qty!F14</f>
        <v>0</v>
      </c>
      <c r="G14" s="505">
        <f>Qty!G14</f>
        <v>0</v>
      </c>
      <c r="H14" s="58"/>
      <c r="I14" s="198">
        <f>Qty!M14*'Prop. prices'!I14*I$7</f>
        <v>2263428.1888000001</v>
      </c>
      <c r="J14" s="198">
        <f>Qty!N14*'Prop. prices'!J14*J$7</f>
        <v>0</v>
      </c>
      <c r="K14" s="198">
        <f>Qty!O14*'Prop. prices'!K14*K$7</f>
        <v>22558005.533091277</v>
      </c>
      <c r="L14" s="198">
        <f>Qty!P14*'Prop. prices'!L14*L$7</f>
        <v>3396704.7579264571</v>
      </c>
      <c r="M14" s="198">
        <f>Qty!Q14*'Prop. prices'!M14*M$7</f>
        <v>1670763.3953483943</v>
      </c>
      <c r="N14" s="198">
        <f>Qty!R14*'Prop. prices'!N14*N$7</f>
        <v>0</v>
      </c>
      <c r="O14" s="198">
        <f>Qty!S14*'Prop. prices'!O14*O$7</f>
        <v>0</v>
      </c>
      <c r="P14" s="198">
        <f>Qty!T14*'Prop. prices'!P14*P$7</f>
        <v>0</v>
      </c>
      <c r="Q14" s="198">
        <f>Qty!U14*'Prop. prices'!Q14*Q$7</f>
        <v>0</v>
      </c>
      <c r="R14" s="198">
        <f>Qty!V14*'Prop. prices'!R14*R$7</f>
        <v>0</v>
      </c>
      <c r="S14" s="198">
        <f>Qty!W14*'Prop. prices'!S14*S$7</f>
        <v>0</v>
      </c>
      <c r="T14" s="198">
        <f>Qty!X14*'Prop. prices'!T14*T$7</f>
        <v>0</v>
      </c>
      <c r="U14" s="198">
        <f>Qty!Y14*'Prop. prices'!U14*U$7</f>
        <v>0</v>
      </c>
      <c r="V14" s="198">
        <f>Qty!Z14*'Prop. prices'!V14*V$7</f>
        <v>0</v>
      </c>
      <c r="W14" s="198">
        <f>Qty!AA14*'Prop. prices'!W14*W$7</f>
        <v>0</v>
      </c>
      <c r="X14" s="198">
        <f>Qty!AB14*'Prop. prices'!X14*X$7</f>
        <v>0</v>
      </c>
      <c r="Y14" s="198">
        <f>Qty!AC14*'Prop. prices'!Y14*Y$7</f>
        <v>0</v>
      </c>
      <c r="Z14" s="198">
        <f>Qty!AD14*'Prop. prices'!Z14*Z$7</f>
        <v>0</v>
      </c>
      <c r="AA14" s="198">
        <f>Qty!AE14*'Prop. prices'!AA14*AA$7</f>
        <v>0</v>
      </c>
      <c r="AB14" s="198">
        <f>Qty!AF14*'Prop. prices'!AB14*AB$7</f>
        <v>0</v>
      </c>
      <c r="AC14" s="206">
        <f t="shared" si="1"/>
        <v>29888901.875166126</v>
      </c>
      <c r="AD14" s="19"/>
      <c r="AE14" s="19"/>
      <c r="AF14" s="19"/>
      <c r="AG14" s="19"/>
    </row>
    <row r="15" spans="1:33" outlineLevel="2" x14ac:dyDescent="0.2">
      <c r="A15" s="19"/>
      <c r="B15" s="19"/>
      <c r="C15" s="506" t="str">
        <f>Qty!C15</f>
        <v>Small business general light and power</v>
      </c>
      <c r="D15" s="505" t="str">
        <f>Qty!D15</f>
        <v>Small Business LV</v>
      </c>
      <c r="E15" s="505" t="str">
        <f>Qty!E15</f>
        <v>TAS22</v>
      </c>
      <c r="F15" s="505">
        <f>Qty!F15</f>
        <v>0</v>
      </c>
      <c r="G15" s="505">
        <f>Qty!G15</f>
        <v>0</v>
      </c>
      <c r="H15" s="58"/>
      <c r="I15" s="198">
        <f>Qty!M15*'Prop. prices'!I15*I$7</f>
        <v>5217508.4139999999</v>
      </c>
      <c r="J15" s="198">
        <f>Qty!N15*'Prop. prices'!J15*J$7</f>
        <v>17048312.687471151</v>
      </c>
      <c r="K15" s="198">
        <f>Qty!O15*'Prop. prices'!K15*K$7</f>
        <v>0</v>
      </c>
      <c r="L15" s="198">
        <f>Qty!P15*'Prop. prices'!L15*L$7</f>
        <v>0</v>
      </c>
      <c r="M15" s="198">
        <f>Qty!Q15*'Prop. prices'!M15*M$7</f>
        <v>0</v>
      </c>
      <c r="N15" s="198">
        <f>Qty!R15*'Prop. prices'!N15*N$7</f>
        <v>0</v>
      </c>
      <c r="O15" s="198">
        <f>Qty!S15*'Prop. prices'!O15*O$7</f>
        <v>0</v>
      </c>
      <c r="P15" s="198">
        <f>Qty!T15*'Prop. prices'!P15*P$7</f>
        <v>0</v>
      </c>
      <c r="Q15" s="198">
        <f>Qty!U15*'Prop. prices'!Q15*Q$7</f>
        <v>0</v>
      </c>
      <c r="R15" s="198">
        <f>Qty!V15*'Prop. prices'!R15*R$7</f>
        <v>0</v>
      </c>
      <c r="S15" s="198">
        <f>Qty!W15*'Prop. prices'!S15*S$7</f>
        <v>0</v>
      </c>
      <c r="T15" s="198">
        <f>Qty!X15*'Prop. prices'!T15*T$7</f>
        <v>0</v>
      </c>
      <c r="U15" s="198">
        <f>Qty!Y15*'Prop. prices'!U15*U$7</f>
        <v>0</v>
      </c>
      <c r="V15" s="198">
        <f>Qty!Z15*'Prop. prices'!V15*V$7</f>
        <v>0</v>
      </c>
      <c r="W15" s="198">
        <f>Qty!AA15*'Prop. prices'!W15*W$7</f>
        <v>0</v>
      </c>
      <c r="X15" s="198">
        <f>Qty!AB15*'Prop. prices'!X15*X$7</f>
        <v>0</v>
      </c>
      <c r="Y15" s="198">
        <f>Qty!AC15*'Prop. prices'!Y15*Y$7</f>
        <v>0</v>
      </c>
      <c r="Z15" s="198">
        <f>Qty!AD15*'Prop. prices'!Z15*Z$7</f>
        <v>0</v>
      </c>
      <c r="AA15" s="198">
        <f>Qty!AE15*'Prop. prices'!AA15*AA$7</f>
        <v>0</v>
      </c>
      <c r="AB15" s="198">
        <f>Qty!AF15*'Prop. prices'!AB15*AB$7</f>
        <v>0</v>
      </c>
      <c r="AC15" s="206">
        <f t="shared" si="1"/>
        <v>22265821.101471152</v>
      </c>
      <c r="AD15" s="19"/>
      <c r="AE15" s="19"/>
      <c r="AF15" s="19"/>
      <c r="AG15" s="19"/>
    </row>
    <row r="16" spans="1:33" outlineLevel="2" x14ac:dyDescent="0.2">
      <c r="A16" s="19"/>
      <c r="B16" s="19"/>
      <c r="C16" s="506" t="str">
        <f>Qty!C16</f>
        <v>Small business time of use demand</v>
      </c>
      <c r="D16" s="505" t="str">
        <f>Qty!D16</f>
        <v>Small Business LV</v>
      </c>
      <c r="E16" s="505" t="str">
        <f>Qty!E16</f>
        <v>TAS88</v>
      </c>
      <c r="F16" s="505">
        <f>Qty!F16</f>
        <v>0</v>
      </c>
      <c r="G16" s="505">
        <f>Qty!G16</f>
        <v>0</v>
      </c>
      <c r="H16" s="58"/>
      <c r="I16" s="198">
        <f>Qty!M16*'Prop. prices'!I16*I$7</f>
        <v>274777.47499999998</v>
      </c>
      <c r="J16" s="198">
        <f>Qty!N16*'Prop. prices'!J16*J$7</f>
        <v>0</v>
      </c>
      <c r="K16" s="198">
        <f>Qty!O16*'Prop. prices'!K16*K$7</f>
        <v>0</v>
      </c>
      <c r="L16" s="198">
        <f>Qty!P16*'Prop. prices'!L16*L$7</f>
        <v>0</v>
      </c>
      <c r="M16" s="198">
        <f>Qty!Q16*'Prop. prices'!M16*M$7</f>
        <v>0</v>
      </c>
      <c r="N16" s="198">
        <f>Qty!R16*'Prop. prices'!N16*N$7</f>
        <v>0</v>
      </c>
      <c r="O16" s="198">
        <f>Qty!S16*'Prop. prices'!O16*O$7</f>
        <v>5474785.4851836301</v>
      </c>
      <c r="P16" s="198">
        <f>Qty!T16*'Prop. prices'!P16*P$7</f>
        <v>1511267.349090992</v>
      </c>
      <c r="Q16" s="198">
        <f>Qty!U16*'Prop. prices'!Q16*Q$7</f>
        <v>0</v>
      </c>
      <c r="R16" s="198">
        <f>Qty!V16*'Prop. prices'!R16*R$7</f>
        <v>0</v>
      </c>
      <c r="S16" s="198">
        <f>Qty!W16*'Prop. prices'!S16*S$7</f>
        <v>0</v>
      </c>
      <c r="T16" s="198">
        <f>Qty!X16*'Prop. prices'!T16*T$7</f>
        <v>0</v>
      </c>
      <c r="U16" s="198">
        <f>Qty!Y16*'Prop. prices'!U16*U$7</f>
        <v>0</v>
      </c>
      <c r="V16" s="198">
        <f>Qty!Z16*'Prop. prices'!V16*V$7</f>
        <v>0</v>
      </c>
      <c r="W16" s="198">
        <f>Qty!AA16*'Prop. prices'!W16*W$7</f>
        <v>0</v>
      </c>
      <c r="X16" s="198">
        <f>Qty!AB16*'Prop. prices'!X16*X$7</f>
        <v>0</v>
      </c>
      <c r="Y16" s="198">
        <f>Qty!AC16*'Prop. prices'!Y16*Y$7</f>
        <v>0</v>
      </c>
      <c r="Z16" s="198">
        <f>Qty!AD16*'Prop. prices'!Z16*Z$7</f>
        <v>0</v>
      </c>
      <c r="AA16" s="198">
        <f>Qty!AE16*'Prop. prices'!AA16*AA$7</f>
        <v>0</v>
      </c>
      <c r="AB16" s="198">
        <f>Qty!AF16*'Prop. prices'!AB16*AB$7</f>
        <v>0</v>
      </c>
      <c r="AC16" s="206">
        <f t="shared" si="1"/>
        <v>7260830.3092746213</v>
      </c>
      <c r="AD16" s="19"/>
      <c r="AE16" s="19"/>
      <c r="AF16" s="19"/>
      <c r="AG16" s="19"/>
    </row>
    <row r="17" spans="1:33" outlineLevel="2" x14ac:dyDescent="0.2">
      <c r="A17" s="19"/>
      <c r="B17" s="19"/>
      <c r="C17" s="506" t="str">
        <f>Qty!C17</f>
        <v>Small business time of use demand DER</v>
      </c>
      <c r="D17" s="505" t="str">
        <f>Qty!D17</f>
        <v>Small Business LV</v>
      </c>
      <c r="E17" s="505" t="str">
        <f>Qty!E17</f>
        <v>TAS98</v>
      </c>
      <c r="F17" s="505">
        <f>Qty!F17</f>
        <v>0</v>
      </c>
      <c r="G17" s="505">
        <f>Qty!G17</f>
        <v>0</v>
      </c>
      <c r="H17" s="58"/>
      <c r="I17" s="198">
        <f>Qty!M17*'Prop. prices'!I17*I$7</f>
        <v>26933.35</v>
      </c>
      <c r="J17" s="198">
        <f>Qty!N17*'Prop. prices'!J17*J$7</f>
        <v>0</v>
      </c>
      <c r="K17" s="198">
        <f>Qty!O17*'Prop. prices'!K17*K$7</f>
        <v>0</v>
      </c>
      <c r="L17" s="198">
        <f>Qty!P17*'Prop. prices'!L17*L$7</f>
        <v>0</v>
      </c>
      <c r="M17" s="198">
        <f>Qty!Q17*'Prop. prices'!M17*M$7</f>
        <v>0</v>
      </c>
      <c r="N17" s="198">
        <f>Qty!R17*'Prop. prices'!N17*N$7</f>
        <v>0</v>
      </c>
      <c r="O17" s="198">
        <f>Qty!S17*'Prop. prices'!O17*O$7</f>
        <v>942136.42312737717</v>
      </c>
      <c r="P17" s="198">
        <f>Qty!T17*'Prop. prices'!P17*P$7</f>
        <v>266278.0113232148</v>
      </c>
      <c r="Q17" s="198">
        <f>Qty!U17*'Prop. prices'!Q17*Q$7</f>
        <v>0</v>
      </c>
      <c r="R17" s="198">
        <f>Qty!V17*'Prop. prices'!R17*R$7</f>
        <v>0</v>
      </c>
      <c r="S17" s="198">
        <f>Qty!W17*'Prop. prices'!S17*S$7</f>
        <v>0</v>
      </c>
      <c r="T17" s="198">
        <f>Qty!X17*'Prop. prices'!T17*T$7</f>
        <v>0</v>
      </c>
      <c r="U17" s="198">
        <f>Qty!Y17*'Prop. prices'!U17*U$7</f>
        <v>0</v>
      </c>
      <c r="V17" s="198">
        <f>Qty!Z17*'Prop. prices'!V17*V$7</f>
        <v>0</v>
      </c>
      <c r="W17" s="198">
        <f>Qty!AA17*'Prop. prices'!W17*W$7</f>
        <v>0</v>
      </c>
      <c r="X17" s="198">
        <f>Qty!AB17*'Prop. prices'!X17*X$7</f>
        <v>0</v>
      </c>
      <c r="Y17" s="198">
        <f>Qty!AC17*'Prop. prices'!Y17*Y$7</f>
        <v>0</v>
      </c>
      <c r="Z17" s="198">
        <f>Qty!AD17*'Prop. prices'!Z17*Z$7</f>
        <v>0</v>
      </c>
      <c r="AA17" s="198">
        <f>Qty!AE17*'Prop. prices'!AA17*AA$7</f>
        <v>0</v>
      </c>
      <c r="AB17" s="198">
        <f>Qty!AF17*'Prop. prices'!AB17*AB$7</f>
        <v>0</v>
      </c>
      <c r="AC17" s="206">
        <f t="shared" si="1"/>
        <v>1235347.784450592</v>
      </c>
      <c r="AD17" s="19"/>
      <c r="AE17" s="19"/>
      <c r="AF17" s="19"/>
      <c r="AG17" s="19"/>
    </row>
    <row r="18" spans="1:33" outlineLevel="2" x14ac:dyDescent="0.2">
      <c r="A18" s="19"/>
      <c r="B18" s="19"/>
      <c r="C18" s="506" t="str">
        <f>Qty!C18</f>
        <v>Large business kVA demand</v>
      </c>
      <c r="D18" s="505" t="str">
        <f>Qty!D18</f>
        <v>Large Business LV</v>
      </c>
      <c r="E18" s="505" t="str">
        <f>Qty!E18</f>
        <v>TAS82</v>
      </c>
      <c r="F18" s="505">
        <f>Qty!F18</f>
        <v>0</v>
      </c>
      <c r="G18" s="505">
        <f>Qty!G18</f>
        <v>0</v>
      </c>
      <c r="H18" s="58"/>
      <c r="I18" s="198">
        <f>Qty!M18*'Prop. prices'!I18*I$7</f>
        <v>694700.02874999994</v>
      </c>
      <c r="J18" s="198">
        <f>Qty!N18*'Prop. prices'!J18*J$7</f>
        <v>3490415.0835077101</v>
      </c>
      <c r="K18" s="198">
        <f>Qty!O18*'Prop. prices'!K18*K$7</f>
        <v>0</v>
      </c>
      <c r="L18" s="198">
        <f>Qty!P18*'Prop. prices'!L18*L$7</f>
        <v>0</v>
      </c>
      <c r="M18" s="198">
        <f>Qty!Q18*'Prop. prices'!M18*M$7</f>
        <v>0</v>
      </c>
      <c r="N18" s="198">
        <f>Qty!R18*'Prop. prices'!N18*N$7</f>
        <v>4568475.3124003559</v>
      </c>
      <c r="O18" s="198">
        <f>Qty!S18*'Prop. prices'!O18*O$7</f>
        <v>0</v>
      </c>
      <c r="P18" s="198">
        <f>Qty!T18*'Prop. prices'!P18*P$7</f>
        <v>0</v>
      </c>
      <c r="Q18" s="198">
        <f>Qty!U18*'Prop. prices'!Q18*Q$7</f>
        <v>0</v>
      </c>
      <c r="R18" s="198">
        <f>Qty!V18*'Prop. prices'!R18*R$7</f>
        <v>0</v>
      </c>
      <c r="S18" s="198">
        <f>Qty!W18*'Prop. prices'!S18*S$7</f>
        <v>0</v>
      </c>
      <c r="T18" s="198">
        <f>Qty!X18*'Prop. prices'!T18*T$7</f>
        <v>0</v>
      </c>
      <c r="U18" s="198">
        <f>Qty!Y18*'Prop. prices'!U18*U$7</f>
        <v>0</v>
      </c>
      <c r="V18" s="198">
        <f>Qty!Z18*'Prop. prices'!V18*V$7</f>
        <v>0</v>
      </c>
      <c r="W18" s="198">
        <f>Qty!AA18*'Prop. prices'!W18*W$7</f>
        <v>0</v>
      </c>
      <c r="X18" s="198">
        <f>Qty!AB18*'Prop. prices'!X18*X$7</f>
        <v>0</v>
      </c>
      <c r="Y18" s="198">
        <f>Qty!AC18*'Prop. prices'!Y18*Y$7</f>
        <v>0</v>
      </c>
      <c r="Z18" s="198">
        <f>Qty!AD18*'Prop. prices'!Z18*Z$7</f>
        <v>0</v>
      </c>
      <c r="AA18" s="198">
        <f>Qty!AE18*'Prop. prices'!AA18*AA$7</f>
        <v>0</v>
      </c>
      <c r="AB18" s="198">
        <f>Qty!AF18*'Prop. prices'!AB18*AB$7</f>
        <v>0</v>
      </c>
      <c r="AC18" s="206">
        <f t="shared" si="1"/>
        <v>8753590.4246580657</v>
      </c>
      <c r="AD18" s="19"/>
      <c r="AE18" s="19"/>
      <c r="AF18" s="19"/>
      <c r="AG18" s="19"/>
    </row>
    <row r="19" spans="1:33" outlineLevel="2" x14ac:dyDescent="0.2">
      <c r="A19" s="19"/>
      <c r="B19" s="19"/>
      <c r="C19" s="506" t="str">
        <f>Qty!C19</f>
        <v>Large business time of use demand</v>
      </c>
      <c r="D19" s="505" t="str">
        <f>Qty!D19</f>
        <v>Large Business LV</v>
      </c>
      <c r="E19" s="505" t="str">
        <f>Qty!E19</f>
        <v>TAS89</v>
      </c>
      <c r="F19" s="505">
        <f>Qty!F19</f>
        <v>0</v>
      </c>
      <c r="G19" s="505">
        <f>Qty!G19</f>
        <v>0</v>
      </c>
      <c r="H19" s="58"/>
      <c r="I19" s="198">
        <f>Qty!M19*'Prop. prices'!I19*I$7</f>
        <v>410096.11499999993</v>
      </c>
      <c r="J19" s="198">
        <f>Qty!N19*'Prop. prices'!J19*J$7</f>
        <v>0</v>
      </c>
      <c r="K19" s="198">
        <f>Qty!O19*'Prop. prices'!K19*K$7</f>
        <v>0</v>
      </c>
      <c r="L19" s="198">
        <f>Qty!P19*'Prop. prices'!L19*L$7</f>
        <v>0</v>
      </c>
      <c r="M19" s="198">
        <f>Qty!Q19*'Prop. prices'!M19*M$7</f>
        <v>0</v>
      </c>
      <c r="N19" s="198">
        <f>Qty!R19*'Prop. prices'!N19*N$7</f>
        <v>0</v>
      </c>
      <c r="O19" s="198">
        <f>Qty!S19*'Prop. prices'!O19*O$7</f>
        <v>4275333.7613195088</v>
      </c>
      <c r="P19" s="198">
        <f>Qty!T19*'Prop. prices'!P19*P$7</f>
        <v>1450885.1963893292</v>
      </c>
      <c r="Q19" s="198">
        <f>Qty!U19*'Prop. prices'!Q19*Q$7</f>
        <v>0</v>
      </c>
      <c r="R19" s="198">
        <f>Qty!V19*'Prop. prices'!R19*R$7</f>
        <v>0</v>
      </c>
      <c r="S19" s="198">
        <f>Qty!W19*'Prop. prices'!S19*S$7</f>
        <v>0</v>
      </c>
      <c r="T19" s="198">
        <f>Qty!X19*'Prop. prices'!T19*T$7</f>
        <v>0</v>
      </c>
      <c r="U19" s="198">
        <f>Qty!Y19*'Prop. prices'!U19*U$7</f>
        <v>0</v>
      </c>
      <c r="V19" s="198">
        <f>Qty!Z19*'Prop. prices'!V19*V$7</f>
        <v>0</v>
      </c>
      <c r="W19" s="198">
        <f>Qty!AA19*'Prop. prices'!W19*W$7</f>
        <v>0</v>
      </c>
      <c r="X19" s="198">
        <f>Qty!AB19*'Prop. prices'!X19*X$7</f>
        <v>0</v>
      </c>
      <c r="Y19" s="198">
        <f>Qty!AC19*'Prop. prices'!Y19*Y$7</f>
        <v>0</v>
      </c>
      <c r="Z19" s="198">
        <f>Qty!AD19*'Prop. prices'!Z19*Z$7</f>
        <v>0</v>
      </c>
      <c r="AA19" s="198">
        <f>Qty!AE19*'Prop. prices'!AA19*AA$7</f>
        <v>0</v>
      </c>
      <c r="AB19" s="198">
        <f>Qty!AF19*'Prop. prices'!AB19*AB$7</f>
        <v>0</v>
      </c>
      <c r="AC19" s="206">
        <f t="shared" si="1"/>
        <v>6136315.0727088377</v>
      </c>
      <c r="AD19" s="19"/>
      <c r="AE19" s="19"/>
      <c r="AF19" s="19"/>
      <c r="AG19" s="19"/>
    </row>
    <row r="20" spans="1:33" outlineLevel="2" x14ac:dyDescent="0.2">
      <c r="A20" s="19"/>
      <c r="B20" s="19"/>
      <c r="C20" s="506" t="str">
        <f>Qty!C20</f>
        <v>Irrigation time of use consumption</v>
      </c>
      <c r="D20" s="505" t="str">
        <f>Qty!D20</f>
        <v>Irrigation</v>
      </c>
      <c r="E20" s="505" t="str">
        <f>Qty!E20</f>
        <v>TAS75</v>
      </c>
      <c r="F20" s="505">
        <f>Qty!F20</f>
        <v>0</v>
      </c>
      <c r="G20" s="505">
        <f>Qty!G20</f>
        <v>0</v>
      </c>
      <c r="H20" s="58"/>
      <c r="I20" s="198">
        <f>Qty!M20*'Prop. prices'!I20*I$7</f>
        <v>3824334.6653</v>
      </c>
      <c r="J20" s="198">
        <f>Qty!N20*'Prop. prices'!J20*J$7</f>
        <v>0</v>
      </c>
      <c r="K20" s="198">
        <f>Qty!O20*'Prop. prices'!K20*K$7</f>
        <v>633689.70447514555</v>
      </c>
      <c r="L20" s="198">
        <f>Qty!P20*'Prop. prices'!L20*L$7</f>
        <v>2451719.429445344</v>
      </c>
      <c r="M20" s="198">
        <f>Qty!Q20*'Prop. prices'!M20*M$7</f>
        <v>989812.85074714245</v>
      </c>
      <c r="N20" s="198">
        <f>Qty!R20*'Prop. prices'!N20*N$7</f>
        <v>0</v>
      </c>
      <c r="O20" s="198">
        <f>Qty!S20*'Prop. prices'!O20*O$7</f>
        <v>0</v>
      </c>
      <c r="P20" s="198">
        <f>Qty!T20*'Prop. prices'!P20*P$7</f>
        <v>0</v>
      </c>
      <c r="Q20" s="198">
        <f>Qty!U20*'Prop. prices'!Q20*Q$7</f>
        <v>0</v>
      </c>
      <c r="R20" s="198">
        <f>Qty!V20*'Prop. prices'!R20*R$7</f>
        <v>0</v>
      </c>
      <c r="S20" s="198">
        <f>Qty!W20*'Prop. prices'!S20*S$7</f>
        <v>0</v>
      </c>
      <c r="T20" s="198">
        <f>Qty!X20*'Prop. prices'!T20*T$7</f>
        <v>0</v>
      </c>
      <c r="U20" s="198">
        <f>Qty!Y20*'Prop. prices'!U20*U$7</f>
        <v>0</v>
      </c>
      <c r="V20" s="198">
        <f>Qty!Z20*'Prop. prices'!V20*V$7</f>
        <v>0</v>
      </c>
      <c r="W20" s="198">
        <f>Qty!AA20*'Prop. prices'!W20*W$7</f>
        <v>0</v>
      </c>
      <c r="X20" s="198">
        <f>Qty!AB20*'Prop. prices'!X20*X$7</f>
        <v>0</v>
      </c>
      <c r="Y20" s="198">
        <f>Qty!AC20*'Prop. prices'!Y20*Y$7</f>
        <v>0</v>
      </c>
      <c r="Z20" s="198">
        <f>Qty!AD20*'Prop. prices'!Z20*Z$7</f>
        <v>0</v>
      </c>
      <c r="AA20" s="198">
        <f>Qty!AE20*'Prop. prices'!AA20*AA$7</f>
        <v>0</v>
      </c>
      <c r="AB20" s="198">
        <f>Qty!AF20*'Prop. prices'!AB20*AB$7</f>
        <v>0</v>
      </c>
      <c r="AC20" s="206">
        <f t="shared" si="1"/>
        <v>7899556.6499676313</v>
      </c>
      <c r="AD20" s="19"/>
      <c r="AE20" s="19"/>
      <c r="AF20" s="19"/>
      <c r="AG20" s="19"/>
    </row>
    <row r="21" spans="1:33" outlineLevel="2" x14ac:dyDescent="0.2">
      <c r="A21" s="19"/>
      <c r="B21" s="19"/>
      <c r="C21" s="506" t="str">
        <f>Qty!C21</f>
        <v>Business HV kVA specified demand &lt;2MVA</v>
      </c>
      <c r="D21" s="505" t="str">
        <f>Qty!D21</f>
        <v>Large Business HV</v>
      </c>
      <c r="E21" s="505" t="str">
        <f>Qty!E21</f>
        <v>TASSDM</v>
      </c>
      <c r="F21" s="505">
        <f>Qty!F21</f>
        <v>0</v>
      </c>
      <c r="G21" s="505">
        <f>Qty!G21</f>
        <v>0</v>
      </c>
      <c r="H21" s="58"/>
      <c r="I21" s="198">
        <f>Qty!M21*'Prop. prices'!I21*I$7</f>
        <v>145626.22904999999</v>
      </c>
      <c r="J21" s="198">
        <f>Qty!N21*'Prop. prices'!J21*J$7</f>
        <v>0</v>
      </c>
      <c r="K21" s="198">
        <f>Qty!O21*'Prop. prices'!K21*K$7</f>
        <v>255650.23126839017</v>
      </c>
      <c r="L21" s="198">
        <f>Qty!P21*'Prop. prices'!L21*L$7</f>
        <v>186583.68491228711</v>
      </c>
      <c r="M21" s="198">
        <f>Qty!Q21*'Prop. prices'!M21*M$7</f>
        <v>57118.377925656496</v>
      </c>
      <c r="N21" s="198">
        <f>Qty!R21*'Prop. prices'!N21*N$7</f>
        <v>0</v>
      </c>
      <c r="O21" s="198">
        <f>Qty!S21*'Prop. prices'!O21*O$7</f>
        <v>0</v>
      </c>
      <c r="P21" s="198">
        <f>Qty!T21*'Prop. prices'!P21*P$7</f>
        <v>0</v>
      </c>
      <c r="Q21" s="198">
        <f>Qty!U21*'Prop. prices'!Q21*Q$7</f>
        <v>3986228.9567505806</v>
      </c>
      <c r="R21" s="198">
        <f>Qty!V21*'Prop. prices'!R21*R$7</f>
        <v>244540.50260884629</v>
      </c>
      <c r="S21" s="198">
        <f>Qty!W21*'Prop. prices'!S21*S$7</f>
        <v>0</v>
      </c>
      <c r="T21" s="198">
        <f>Qty!X21*'Prop. prices'!T21*T$7</f>
        <v>0</v>
      </c>
      <c r="U21" s="198">
        <f>Qty!Y21*'Prop. prices'!U21*U$7</f>
        <v>0</v>
      </c>
      <c r="V21" s="198">
        <f>Qty!Z21*'Prop. prices'!V21*V$7</f>
        <v>0</v>
      </c>
      <c r="W21" s="198">
        <f>Qty!AA21*'Prop. prices'!W21*W$7</f>
        <v>0</v>
      </c>
      <c r="X21" s="198">
        <f>Qty!AB21*'Prop. prices'!X21*X$7</f>
        <v>0</v>
      </c>
      <c r="Y21" s="198">
        <f>Qty!AC21*'Prop. prices'!Y21*Y$7</f>
        <v>0</v>
      </c>
      <c r="Z21" s="198">
        <f>Qty!AD21*'Prop. prices'!Z21*Z$7</f>
        <v>0</v>
      </c>
      <c r="AA21" s="198">
        <f>Qty!AE21*'Prop. prices'!AA21*AA$7</f>
        <v>0</v>
      </c>
      <c r="AB21" s="198">
        <f>Qty!AF21*'Prop. prices'!AB21*AB$7</f>
        <v>0</v>
      </c>
      <c r="AC21" s="206">
        <f t="shared" si="1"/>
        <v>4875747.9825157607</v>
      </c>
      <c r="AD21" s="19"/>
      <c r="AE21" s="19"/>
      <c r="AF21" s="19"/>
      <c r="AG21" s="19"/>
    </row>
    <row r="22" spans="1:33" outlineLevel="2" x14ac:dyDescent="0.2">
      <c r="A22" s="19"/>
      <c r="B22" s="19"/>
      <c r="C22" s="506" t="str">
        <f>Qty!C22</f>
        <v>Business HV kVA specified demand &gt;2MVA</v>
      </c>
      <c r="D22" s="505" t="str">
        <f>Qty!D22</f>
        <v>Large Business HV</v>
      </c>
      <c r="E22" s="505" t="str">
        <f>Qty!E22</f>
        <v>TAS15*</v>
      </c>
      <c r="F22" s="505">
        <f>Qty!F22</f>
        <v>0</v>
      </c>
      <c r="G22" s="505">
        <f>Qty!G22</f>
        <v>0</v>
      </c>
      <c r="H22" s="58"/>
      <c r="I22" s="198">
        <f>Qty!M22*'Prop. prices'!I22*I$7</f>
        <v>0</v>
      </c>
      <c r="J22" s="198">
        <f>Qty!N22*'Prop. prices'!J22*J$7</f>
        <v>0</v>
      </c>
      <c r="K22" s="198">
        <f>Qty!O22*'Prop. prices'!K22*K$7</f>
        <v>0</v>
      </c>
      <c r="L22" s="198">
        <f>Qty!P22*'Prop. prices'!L22*L$7</f>
        <v>0</v>
      </c>
      <c r="M22" s="198">
        <f>Qty!Q22*'Prop. prices'!M22*M$7</f>
        <v>0</v>
      </c>
      <c r="N22" s="198">
        <f>Qty!R22*'Prop. prices'!N22*N$7</f>
        <v>0</v>
      </c>
      <c r="O22" s="198">
        <f>Qty!S22*'Prop. prices'!O22*O$7</f>
        <v>0</v>
      </c>
      <c r="P22" s="198">
        <f>Qty!T22*'Prop. prices'!P22*P$7</f>
        <v>0</v>
      </c>
      <c r="Q22" s="198">
        <f>Qty!U22*'Prop. prices'!Q22*Q$7</f>
        <v>0</v>
      </c>
      <c r="R22" s="198">
        <f>Qty!V22*'Prop. prices'!R22*R$7</f>
        <v>0</v>
      </c>
      <c r="S22" s="198">
        <f>Qty!W22*'Prop. prices'!S22*S$7</f>
        <v>0</v>
      </c>
      <c r="T22" s="198">
        <f>Qty!X22*'Prop. prices'!T22*T$7</f>
        <v>0</v>
      </c>
      <c r="U22" s="198">
        <f>Qty!Y22*'Prop. prices'!U22*U$7</f>
        <v>0</v>
      </c>
      <c r="V22" s="198">
        <f>Qty!Z22*'Prop. prices'!V22*V$7</f>
        <v>0</v>
      </c>
      <c r="W22" s="198">
        <f>Qty!AA22*'Prop. prices'!W22*W$7</f>
        <v>0</v>
      </c>
      <c r="X22" s="198">
        <f>Qty!AB22*'Prop. prices'!X22*X$7</f>
        <v>0</v>
      </c>
      <c r="Y22" s="198">
        <f>Qty!AC22*'Prop. prices'!Y22*Y$7</f>
        <v>0</v>
      </c>
      <c r="Z22" s="198">
        <f>Qty!AD22*'Prop. prices'!Z22*Z$7</f>
        <v>0</v>
      </c>
      <c r="AA22" s="198">
        <f>Qty!AE22*'Prop. prices'!AA22*AA$7</f>
        <v>0</v>
      </c>
      <c r="AB22" s="198">
        <f>Qty!AF22*'Prop. prices'!AB22*AB$7</f>
        <v>0</v>
      </c>
      <c r="AC22" s="206">
        <f t="shared" si="1"/>
        <v>0</v>
      </c>
      <c r="AD22" s="19"/>
      <c r="AE22" s="19"/>
      <c r="AF22" s="19"/>
      <c r="AG22" s="19"/>
    </row>
    <row r="23" spans="1:33" outlineLevel="2" x14ac:dyDescent="0.2">
      <c r="A23" s="19"/>
      <c r="B23" s="19"/>
      <c r="C23" s="506" t="str">
        <f>Qty!C23</f>
        <v>Uncontrolled low voltage heating and hot water</v>
      </c>
      <c r="D23" s="505" t="str">
        <f>Qty!D23</f>
        <v>Uncontrolled energy</v>
      </c>
      <c r="E23" s="505" t="str">
        <f>Qty!E23</f>
        <v>TAS41</v>
      </c>
      <c r="F23" s="505">
        <f>Qty!F23</f>
        <v>0</v>
      </c>
      <c r="G23" s="505">
        <f>Qty!G23</f>
        <v>0</v>
      </c>
      <c r="H23" s="58"/>
      <c r="I23" s="198">
        <f>Qty!M23*'Prop. prices'!I23*I$7</f>
        <v>4828729.4013</v>
      </c>
      <c r="J23" s="198">
        <f>Qty!N23*'Prop. prices'!J23*J$7</f>
        <v>33437586.796777286</v>
      </c>
      <c r="K23" s="198">
        <f>Qty!O23*'Prop. prices'!K23*K$7</f>
        <v>0</v>
      </c>
      <c r="L23" s="198">
        <f>Qty!P23*'Prop. prices'!L23*L$7</f>
        <v>0</v>
      </c>
      <c r="M23" s="198">
        <f>Qty!Q23*'Prop. prices'!M23*M$7</f>
        <v>0</v>
      </c>
      <c r="N23" s="198">
        <f>Qty!R23*'Prop. prices'!N23*N$7</f>
        <v>0</v>
      </c>
      <c r="O23" s="198">
        <f>Qty!S23*'Prop. prices'!O23*O$7</f>
        <v>0</v>
      </c>
      <c r="P23" s="198">
        <f>Qty!T23*'Prop. prices'!P23*P$7</f>
        <v>0</v>
      </c>
      <c r="Q23" s="198">
        <f>Qty!U23*'Prop. prices'!Q23*Q$7</f>
        <v>0</v>
      </c>
      <c r="R23" s="198">
        <f>Qty!V23*'Prop. prices'!R23*R$7</f>
        <v>0</v>
      </c>
      <c r="S23" s="198">
        <f>Qty!W23*'Prop. prices'!S23*S$7</f>
        <v>0</v>
      </c>
      <c r="T23" s="198">
        <f>Qty!X23*'Prop. prices'!T23*T$7</f>
        <v>0</v>
      </c>
      <c r="U23" s="198">
        <f>Qty!Y23*'Prop. prices'!U23*U$7</f>
        <v>0</v>
      </c>
      <c r="V23" s="198">
        <f>Qty!Z23*'Prop. prices'!V23*V$7</f>
        <v>0</v>
      </c>
      <c r="W23" s="198">
        <f>Qty!AA23*'Prop. prices'!W23*W$7</f>
        <v>0</v>
      </c>
      <c r="X23" s="198">
        <f>Qty!AB23*'Prop. prices'!X23*X$7</f>
        <v>0</v>
      </c>
      <c r="Y23" s="198">
        <f>Qty!AC23*'Prop. prices'!Y23*Y$7</f>
        <v>0</v>
      </c>
      <c r="Z23" s="198">
        <f>Qty!AD23*'Prop. prices'!Z23*Z$7</f>
        <v>0</v>
      </c>
      <c r="AA23" s="198">
        <f>Qty!AE23*'Prop. prices'!AA23*AA$7</f>
        <v>0</v>
      </c>
      <c r="AB23" s="198">
        <f>Qty!AF23*'Prop. prices'!AB23*AB$7</f>
        <v>0</v>
      </c>
      <c r="AC23" s="206">
        <f t="shared" si="1"/>
        <v>38266316.198077284</v>
      </c>
      <c r="AD23" s="19"/>
      <c r="AE23" s="19"/>
      <c r="AF23" s="19"/>
      <c r="AG23" s="19"/>
    </row>
    <row r="24" spans="1:33" outlineLevel="2" x14ac:dyDescent="0.2">
      <c r="A24" s="19"/>
      <c r="B24" s="19"/>
      <c r="C24" s="506" t="str">
        <f>Qty!C24</f>
        <v>Controlled low voltage night period only</v>
      </c>
      <c r="D24" s="505" t="str">
        <f>Qty!D24</f>
        <v>Controlled energy</v>
      </c>
      <c r="E24" s="505" t="str">
        <f>Qty!E24</f>
        <v>TAS63</v>
      </c>
      <c r="F24" s="505">
        <f>Qty!F24</f>
        <v>0</v>
      </c>
      <c r="G24" s="505">
        <f>Qty!G24</f>
        <v>0</v>
      </c>
      <c r="H24" s="58"/>
      <c r="I24" s="198">
        <f>Qty!M24*'Prop. prices'!I24*I$7</f>
        <v>37948.643439125342</v>
      </c>
      <c r="J24" s="198">
        <f>Qty!N24*'Prop. prices'!J24*J$7</f>
        <v>19826.45608166097</v>
      </c>
      <c r="K24" s="198">
        <f>Qty!O24*'Prop. prices'!K24*K$7</f>
        <v>0</v>
      </c>
      <c r="L24" s="198">
        <f>Qty!P24*'Prop. prices'!L24*L$7</f>
        <v>0</v>
      </c>
      <c r="M24" s="198">
        <f>Qty!Q24*'Prop. prices'!M24*M$7</f>
        <v>0</v>
      </c>
      <c r="N24" s="198">
        <f>Qty!R24*'Prop. prices'!N24*N$7</f>
        <v>0</v>
      </c>
      <c r="O24" s="198">
        <f>Qty!S24*'Prop. prices'!O24*O$7</f>
        <v>0</v>
      </c>
      <c r="P24" s="198">
        <f>Qty!T24*'Prop. prices'!P24*P$7</f>
        <v>0</v>
      </c>
      <c r="Q24" s="198">
        <f>Qty!U24*'Prop. prices'!Q24*Q$7</f>
        <v>0</v>
      </c>
      <c r="R24" s="198">
        <f>Qty!V24*'Prop. prices'!R24*R$7</f>
        <v>0</v>
      </c>
      <c r="S24" s="198">
        <f>Qty!W24*'Prop. prices'!S24*S$7</f>
        <v>0</v>
      </c>
      <c r="T24" s="198">
        <f>Qty!X24*'Prop. prices'!T24*T$7</f>
        <v>0</v>
      </c>
      <c r="U24" s="198">
        <f>Qty!Y24*'Prop. prices'!U24*U$7</f>
        <v>0</v>
      </c>
      <c r="V24" s="198">
        <f>Qty!Z24*'Prop. prices'!V24*V$7</f>
        <v>0</v>
      </c>
      <c r="W24" s="198">
        <f>Qty!AA24*'Prop. prices'!W24*W$7</f>
        <v>0</v>
      </c>
      <c r="X24" s="198">
        <f>Qty!AB24*'Prop. prices'!X24*X$7</f>
        <v>0</v>
      </c>
      <c r="Y24" s="198">
        <f>Qty!AC24*'Prop. prices'!Y24*Y$7</f>
        <v>0</v>
      </c>
      <c r="Z24" s="198">
        <f>Qty!AD24*'Prop. prices'!Z24*Z$7</f>
        <v>0</v>
      </c>
      <c r="AA24" s="198">
        <f>Qty!AE24*'Prop. prices'!AA24*AA$7</f>
        <v>0</v>
      </c>
      <c r="AB24" s="198">
        <f>Qty!AF24*'Prop. prices'!AB24*AB$7</f>
        <v>0</v>
      </c>
      <c r="AC24" s="206">
        <f t="shared" si="1"/>
        <v>57775.099520786316</v>
      </c>
      <c r="AD24" s="19"/>
      <c r="AE24" s="19"/>
      <c r="AF24" s="19"/>
      <c r="AG24" s="19"/>
    </row>
    <row r="25" spans="1:33" ht="22.5" outlineLevel="2" x14ac:dyDescent="0.2">
      <c r="A25" s="19"/>
      <c r="B25" s="19"/>
      <c r="C25" s="506" t="str">
        <f>Qty!C25</f>
        <v>Controlled low voltage off peak with afternoon boost</v>
      </c>
      <c r="D25" s="505" t="str">
        <f>Qty!D25</f>
        <v>Controlled energy</v>
      </c>
      <c r="E25" s="505" t="str">
        <f>Qty!E25</f>
        <v>TAS61</v>
      </c>
      <c r="F25" s="505">
        <f>Qty!F25</f>
        <v>0</v>
      </c>
      <c r="G25" s="505">
        <f>Qty!G25</f>
        <v>0</v>
      </c>
      <c r="H25" s="58"/>
      <c r="I25" s="198">
        <f>Qty!M25*'Prop. prices'!I25*I$7</f>
        <v>885599.73010331974</v>
      </c>
      <c r="J25" s="198">
        <f>Qty!N25*'Prop. prices'!J25*J$7</f>
        <v>336464.14748818416</v>
      </c>
      <c r="K25" s="198">
        <f>Qty!O25*'Prop. prices'!K25*K$7</f>
        <v>0</v>
      </c>
      <c r="L25" s="198">
        <f>Qty!P25*'Prop. prices'!L25*L$7</f>
        <v>0</v>
      </c>
      <c r="M25" s="198">
        <f>Qty!Q25*'Prop. prices'!M25*M$7</f>
        <v>0</v>
      </c>
      <c r="N25" s="198">
        <f>Qty!R25*'Prop. prices'!N25*N$7</f>
        <v>0</v>
      </c>
      <c r="O25" s="198">
        <f>Qty!S25*'Prop. prices'!O25*O$7</f>
        <v>0</v>
      </c>
      <c r="P25" s="198">
        <f>Qty!T25*'Prop. prices'!P25*P$7</f>
        <v>0</v>
      </c>
      <c r="Q25" s="198">
        <f>Qty!U25*'Prop. prices'!Q25*Q$7</f>
        <v>0</v>
      </c>
      <c r="R25" s="198">
        <f>Qty!V25*'Prop. prices'!R25*R$7</f>
        <v>0</v>
      </c>
      <c r="S25" s="198">
        <f>Qty!W25*'Prop. prices'!S25*S$7</f>
        <v>0</v>
      </c>
      <c r="T25" s="198">
        <f>Qty!X25*'Prop. prices'!T25*T$7</f>
        <v>0</v>
      </c>
      <c r="U25" s="198">
        <f>Qty!Y25*'Prop. prices'!U25*U$7</f>
        <v>0</v>
      </c>
      <c r="V25" s="198">
        <f>Qty!Z25*'Prop. prices'!V25*V$7</f>
        <v>0</v>
      </c>
      <c r="W25" s="198">
        <f>Qty!AA25*'Prop. prices'!W25*W$7</f>
        <v>0</v>
      </c>
      <c r="X25" s="198">
        <f>Qty!AB25*'Prop. prices'!X25*X$7</f>
        <v>0</v>
      </c>
      <c r="Y25" s="198">
        <f>Qty!AC25*'Prop. prices'!Y25*Y$7</f>
        <v>0</v>
      </c>
      <c r="Z25" s="198">
        <f>Qty!AD25*'Prop. prices'!Z25*Z$7</f>
        <v>0</v>
      </c>
      <c r="AA25" s="198">
        <f>Qty!AE25*'Prop. prices'!AA25*AA$7</f>
        <v>0</v>
      </c>
      <c r="AB25" s="198">
        <f>Qty!AF25*'Prop. prices'!AB25*AB$7</f>
        <v>0</v>
      </c>
      <c r="AC25" s="206">
        <f t="shared" si="1"/>
        <v>1222063.8775915038</v>
      </c>
      <c r="AD25" s="19"/>
      <c r="AE25" s="19"/>
      <c r="AF25" s="19"/>
      <c r="AG25" s="19"/>
    </row>
    <row r="26" spans="1:33" outlineLevel="2" x14ac:dyDescent="0.2">
      <c r="A26" s="19"/>
      <c r="B26" s="19"/>
      <c r="C26" s="506" t="str">
        <f>Qty!C26</f>
        <v>Unmetered supply general</v>
      </c>
      <c r="D26" s="505" t="str">
        <f>Qty!D26</f>
        <v>Unmetered supplies</v>
      </c>
      <c r="E26" s="505" t="str">
        <f>Qty!E26</f>
        <v>TASUMS</v>
      </c>
      <c r="F26" s="505">
        <f>Qty!F26</f>
        <v>0</v>
      </c>
      <c r="G26" s="505">
        <f>Qty!G26</f>
        <v>0</v>
      </c>
      <c r="H26" s="58"/>
      <c r="I26" s="198">
        <f>Qty!M26*'Prop. prices'!I26*I$7</f>
        <v>353138.522</v>
      </c>
      <c r="J26" s="198">
        <f>Qty!N26*'Prop. prices'!J26*J$7</f>
        <v>546007.34751200746</v>
      </c>
      <c r="K26" s="198">
        <f>Qty!O26*'Prop. prices'!K26*K$7</f>
        <v>0</v>
      </c>
      <c r="L26" s="198">
        <f>Qty!P26*'Prop. prices'!L26*L$7</f>
        <v>0</v>
      </c>
      <c r="M26" s="198">
        <f>Qty!Q26*'Prop. prices'!M26*M$7</f>
        <v>0</v>
      </c>
      <c r="N26" s="198">
        <f>Qty!R26*'Prop. prices'!N26*N$7</f>
        <v>0</v>
      </c>
      <c r="O26" s="198">
        <f>Qty!S26*'Prop. prices'!O26*O$7</f>
        <v>0</v>
      </c>
      <c r="P26" s="198">
        <f>Qty!T26*'Prop. prices'!P26*P$7</f>
        <v>0</v>
      </c>
      <c r="Q26" s="198">
        <f>Qty!U26*'Prop. prices'!Q26*Q$7</f>
        <v>0</v>
      </c>
      <c r="R26" s="198">
        <f>Qty!V26*'Prop. prices'!R26*R$7</f>
        <v>0</v>
      </c>
      <c r="S26" s="198">
        <f>Qty!W26*'Prop. prices'!S26*S$7</f>
        <v>0</v>
      </c>
      <c r="T26" s="198">
        <f>Qty!X26*'Prop. prices'!T26*T$7</f>
        <v>0</v>
      </c>
      <c r="U26" s="198">
        <f>Qty!Y26*'Prop. prices'!U26*U$7</f>
        <v>0</v>
      </c>
      <c r="V26" s="198">
        <f>Qty!Z26*'Prop. prices'!V26*V$7</f>
        <v>0</v>
      </c>
      <c r="W26" s="198">
        <f>Qty!AA26*'Prop. prices'!W26*W$7</f>
        <v>0</v>
      </c>
      <c r="X26" s="198">
        <f>Qty!AB26*'Prop. prices'!X26*X$7</f>
        <v>0</v>
      </c>
      <c r="Y26" s="198">
        <f>Qty!AC26*'Prop. prices'!Y26*Y$7</f>
        <v>0</v>
      </c>
      <c r="Z26" s="198">
        <f>Qty!AD26*'Prop. prices'!Z26*Z$7</f>
        <v>0</v>
      </c>
      <c r="AA26" s="198">
        <f>Qty!AE26*'Prop. prices'!AA26*AA$7</f>
        <v>0</v>
      </c>
      <c r="AB26" s="198">
        <f>Qty!AF26*'Prop. prices'!AB26*AB$7</f>
        <v>0</v>
      </c>
      <c r="AC26" s="206">
        <f t="shared" si="1"/>
        <v>899145.86951200746</v>
      </c>
      <c r="AD26" s="19"/>
      <c r="AE26" s="19"/>
      <c r="AF26" s="19"/>
      <c r="AG26" s="19"/>
    </row>
    <row r="27" spans="1:33" outlineLevel="2" x14ac:dyDescent="0.2">
      <c r="A27" s="19"/>
      <c r="B27" s="19"/>
      <c r="C27" s="506" t="str">
        <f>Qty!C27</f>
        <v>Street lighting</v>
      </c>
      <c r="D27" s="505" t="str">
        <f>Qty!D27</f>
        <v>Street lighting</v>
      </c>
      <c r="E27" s="505" t="str">
        <f>Qty!E27</f>
        <v>TASUMSSL</v>
      </c>
      <c r="F27" s="505">
        <f>Qty!F27</f>
        <v>0</v>
      </c>
      <c r="G27" s="505">
        <f>Qty!G27</f>
        <v>0</v>
      </c>
      <c r="H27" s="58"/>
      <c r="I27" s="198">
        <f>Qty!M27*'Prop. prices'!I27*I$7</f>
        <v>0</v>
      </c>
      <c r="J27" s="198">
        <f>Qty!N27*'Prop. prices'!J27*J$7</f>
        <v>0</v>
      </c>
      <c r="K27" s="198">
        <f>Qty!O27*'Prop. prices'!K27*K$7</f>
        <v>0</v>
      </c>
      <c r="L27" s="198">
        <f>Qty!P27*'Prop. prices'!L27*L$7</f>
        <v>0</v>
      </c>
      <c r="M27" s="198">
        <f>Qty!Q27*'Prop. prices'!M27*M$7</f>
        <v>0</v>
      </c>
      <c r="N27" s="198">
        <f>Qty!R27*'Prop. prices'!N27*N$7</f>
        <v>0</v>
      </c>
      <c r="O27" s="198">
        <f>Qty!S27*'Prop. prices'!O27*O$7</f>
        <v>0</v>
      </c>
      <c r="P27" s="198">
        <f>Qty!T27*'Prop. prices'!P27*P$7</f>
        <v>0</v>
      </c>
      <c r="Q27" s="198">
        <f>Qty!U27*'Prop. prices'!Q27*Q$7</f>
        <v>0</v>
      </c>
      <c r="R27" s="198">
        <f>Qty!V27*'Prop. prices'!R27*R$7</f>
        <v>0</v>
      </c>
      <c r="S27" s="198">
        <f>Qty!W27*'Prop. prices'!S27*S$7</f>
        <v>0</v>
      </c>
      <c r="T27" s="198">
        <f>Qty!X27*'Prop. prices'!T27*T$7</f>
        <v>0</v>
      </c>
      <c r="U27" s="198">
        <f>Qty!Y27*'Prop. prices'!U27*U$7</f>
        <v>1112056.1369067715</v>
      </c>
      <c r="V27" s="198">
        <f>Qty!Z27*'Prop. prices'!V27*V$7</f>
        <v>0</v>
      </c>
      <c r="W27" s="198">
        <f>Qty!AA27*'Prop. prices'!W27*W$7</f>
        <v>0</v>
      </c>
      <c r="X27" s="198">
        <f>Qty!AB27*'Prop. prices'!X27*X$7</f>
        <v>0</v>
      </c>
      <c r="Y27" s="198">
        <f>Qty!AC27*'Prop. prices'!Y27*Y$7</f>
        <v>0</v>
      </c>
      <c r="Z27" s="198">
        <f>Qty!AD27*'Prop. prices'!Z27*Z$7</f>
        <v>0</v>
      </c>
      <c r="AA27" s="198">
        <f>Qty!AE27*'Prop. prices'!AA27*AA$7</f>
        <v>0</v>
      </c>
      <c r="AB27" s="198">
        <f>Qty!AF27*'Prop. prices'!AB27*AB$7</f>
        <v>0</v>
      </c>
      <c r="AC27" s="206">
        <f t="shared" si="1"/>
        <v>1112056.1369067715</v>
      </c>
      <c r="AD27" s="19"/>
      <c r="AE27" s="19"/>
      <c r="AF27" s="19"/>
      <c r="AG27" s="19"/>
    </row>
    <row r="28" spans="1:33" outlineLevel="2" x14ac:dyDescent="0.2">
      <c r="A28" s="19"/>
      <c r="B28" s="19"/>
      <c r="C28" s="506">
        <f>Qty!C28</f>
        <v>0</v>
      </c>
      <c r="D28" s="505">
        <f>Qty!D28</f>
        <v>0</v>
      </c>
      <c r="E28" s="505">
        <f>Qty!E28</f>
        <v>0</v>
      </c>
      <c r="F28" s="505">
        <f>Qty!F28</f>
        <v>0</v>
      </c>
      <c r="G28" s="505">
        <f>Qty!G28</f>
        <v>0</v>
      </c>
      <c r="H28" s="58"/>
      <c r="I28" s="198">
        <f>Qty!M28*'Prop. prices'!I28*I$7</f>
        <v>0</v>
      </c>
      <c r="J28" s="198">
        <f>Qty!N28*'Prop. prices'!J28*J$7</f>
        <v>0</v>
      </c>
      <c r="K28" s="198">
        <f>Qty!O28*'Prop. prices'!K28*K$7</f>
        <v>0</v>
      </c>
      <c r="L28" s="198">
        <f>Qty!P28*'Prop. prices'!L28*L$7</f>
        <v>0</v>
      </c>
      <c r="M28" s="198">
        <f>Qty!Q28*'Prop. prices'!M28*M$7</f>
        <v>0</v>
      </c>
      <c r="N28" s="198">
        <f>Qty!R28*'Prop. prices'!N28*N$7</f>
        <v>0</v>
      </c>
      <c r="O28" s="198">
        <f>Qty!S28*'Prop. prices'!O28*O$7</f>
        <v>0</v>
      </c>
      <c r="P28" s="198">
        <f>Qty!T28*'Prop. prices'!P28*P$7</f>
        <v>0</v>
      </c>
      <c r="Q28" s="198">
        <f>Qty!U28*'Prop. prices'!Q28*Q$7</f>
        <v>0</v>
      </c>
      <c r="R28" s="198">
        <f>Qty!V28*'Prop. prices'!R28*R$7</f>
        <v>0</v>
      </c>
      <c r="S28" s="198">
        <f>Qty!W28*'Prop. prices'!S28*S$7</f>
        <v>0</v>
      </c>
      <c r="T28" s="198">
        <f>Qty!X28*'Prop. prices'!T28*T$7</f>
        <v>0</v>
      </c>
      <c r="U28" s="198">
        <f>Qty!Y28*'Prop. prices'!U28*U$7</f>
        <v>0</v>
      </c>
      <c r="V28" s="198">
        <f>Qty!Z28*'Prop. prices'!V28*V$7</f>
        <v>0</v>
      </c>
      <c r="W28" s="198">
        <f>Qty!AA28*'Prop. prices'!W28*W$7</f>
        <v>0</v>
      </c>
      <c r="X28" s="198">
        <f>Qty!AB28*'Prop. prices'!X28*X$7</f>
        <v>0</v>
      </c>
      <c r="Y28" s="198">
        <f>Qty!AC28*'Prop. prices'!Y28*Y$7</f>
        <v>0</v>
      </c>
      <c r="Z28" s="198">
        <f>Qty!AD28*'Prop. prices'!Z28*Z$7</f>
        <v>0</v>
      </c>
      <c r="AA28" s="198">
        <f>Qty!AE28*'Prop. prices'!AA28*AA$7</f>
        <v>0</v>
      </c>
      <c r="AB28" s="198">
        <f>Qty!AF28*'Prop. prices'!AB28*AB$7</f>
        <v>0</v>
      </c>
      <c r="AC28" s="206">
        <f t="shared" si="1"/>
        <v>0</v>
      </c>
      <c r="AD28" s="19"/>
      <c r="AE28" s="19"/>
      <c r="AF28" s="19"/>
      <c r="AG28" s="19"/>
    </row>
    <row r="29" spans="1:33" hidden="1" outlineLevel="3" x14ac:dyDescent="0.2">
      <c r="A29" s="19"/>
      <c r="B29" s="19"/>
      <c r="C29" s="506">
        <f>Qty!C29</f>
        <v>0</v>
      </c>
      <c r="D29" s="505">
        <f>Qty!D29</f>
        <v>0</v>
      </c>
      <c r="E29" s="505">
        <f>Qty!E29</f>
        <v>0</v>
      </c>
      <c r="F29" s="505">
        <f>Qty!F29</f>
        <v>0</v>
      </c>
      <c r="G29" s="505">
        <f>Qty!G29</f>
        <v>0</v>
      </c>
      <c r="H29" s="58"/>
      <c r="I29" s="198">
        <f>Qty!M29*'Prop. prices'!I29*I$7</f>
        <v>0</v>
      </c>
      <c r="J29" s="198">
        <f>Qty!N29*'Prop. prices'!J29*J$7</f>
        <v>0</v>
      </c>
      <c r="K29" s="198">
        <f>Qty!O29*'Prop. prices'!K29*K$7</f>
        <v>0</v>
      </c>
      <c r="L29" s="198">
        <f>Qty!P29*'Prop. prices'!L29*L$7</f>
        <v>0</v>
      </c>
      <c r="M29" s="198">
        <f>Qty!Q29*'Prop. prices'!M29*M$7</f>
        <v>0</v>
      </c>
      <c r="N29" s="198">
        <f>Qty!R29*'Prop. prices'!N29*N$7</f>
        <v>0</v>
      </c>
      <c r="O29" s="198">
        <f>Qty!S29*'Prop. prices'!O29*O$7</f>
        <v>0</v>
      </c>
      <c r="P29" s="198">
        <f>Qty!T29*'Prop. prices'!P29*P$7</f>
        <v>0</v>
      </c>
      <c r="Q29" s="198">
        <f>Qty!U29*'Prop. prices'!Q29*Q$7</f>
        <v>0</v>
      </c>
      <c r="R29" s="198">
        <f>Qty!V29*'Prop. prices'!R29*R$7</f>
        <v>0</v>
      </c>
      <c r="S29" s="198">
        <f>Qty!W29*'Prop. prices'!S29*S$7</f>
        <v>0</v>
      </c>
      <c r="T29" s="198">
        <f>Qty!X29*'Prop. prices'!T29*T$7</f>
        <v>0</v>
      </c>
      <c r="U29" s="198">
        <f>Qty!Y29*'Prop. prices'!U29*U$7</f>
        <v>0</v>
      </c>
      <c r="V29" s="198">
        <f>Qty!Z29*'Prop. prices'!V29*V$7</f>
        <v>0</v>
      </c>
      <c r="W29" s="198">
        <f>Qty!AA29*'Prop. prices'!W29*W$7</f>
        <v>0</v>
      </c>
      <c r="X29" s="198">
        <f>Qty!AB29*'Prop. prices'!X29*X$7</f>
        <v>0</v>
      </c>
      <c r="Y29" s="198">
        <f>Qty!AC29*'Prop. prices'!Y29*Y$7</f>
        <v>0</v>
      </c>
      <c r="Z29" s="198">
        <f>Qty!AD29*'Prop. prices'!Z29*Z$7</f>
        <v>0</v>
      </c>
      <c r="AA29" s="198">
        <f>Qty!AE29*'Prop. prices'!AA29*AA$7</f>
        <v>0</v>
      </c>
      <c r="AB29" s="198">
        <f>Qty!AF29*'Prop. prices'!AB29*AB$7</f>
        <v>0</v>
      </c>
      <c r="AC29" s="206">
        <f t="shared" si="1"/>
        <v>0</v>
      </c>
      <c r="AD29" s="19"/>
      <c r="AE29" s="19"/>
      <c r="AF29" s="19"/>
      <c r="AG29" s="19"/>
    </row>
    <row r="30" spans="1:33" hidden="1" outlineLevel="3" x14ac:dyDescent="0.2">
      <c r="A30" s="19"/>
      <c r="B30" s="19"/>
      <c r="C30" s="506">
        <f>Qty!C30</f>
        <v>0</v>
      </c>
      <c r="D30" s="505">
        <f>Qty!D30</f>
        <v>0</v>
      </c>
      <c r="E30" s="505">
        <f>Qty!E30</f>
        <v>0</v>
      </c>
      <c r="F30" s="505">
        <f>Qty!F30</f>
        <v>0</v>
      </c>
      <c r="G30" s="505">
        <f>Qty!G30</f>
        <v>0</v>
      </c>
      <c r="H30" s="58"/>
      <c r="I30" s="198">
        <f>Qty!M30*'Prop. prices'!I30*I$7</f>
        <v>0</v>
      </c>
      <c r="J30" s="198">
        <f>Qty!N30*'Prop. prices'!J30*J$7</f>
        <v>0</v>
      </c>
      <c r="K30" s="198">
        <f>Qty!O30*'Prop. prices'!K30*K$7</f>
        <v>0</v>
      </c>
      <c r="L30" s="198">
        <f>Qty!P30*'Prop. prices'!L30*L$7</f>
        <v>0</v>
      </c>
      <c r="M30" s="198">
        <f>Qty!Q30*'Prop. prices'!M30*M$7</f>
        <v>0</v>
      </c>
      <c r="N30" s="198">
        <f>Qty!R30*'Prop. prices'!N30*N$7</f>
        <v>0</v>
      </c>
      <c r="O30" s="198">
        <f>Qty!S30*'Prop. prices'!O30*O$7</f>
        <v>0</v>
      </c>
      <c r="P30" s="198">
        <f>Qty!T30*'Prop. prices'!P30*P$7</f>
        <v>0</v>
      </c>
      <c r="Q30" s="198">
        <f>Qty!U30*'Prop. prices'!Q30*Q$7</f>
        <v>0</v>
      </c>
      <c r="R30" s="198">
        <f>Qty!V30*'Prop. prices'!R30*R$7</f>
        <v>0</v>
      </c>
      <c r="S30" s="198">
        <f>Qty!W30*'Prop. prices'!S30*S$7</f>
        <v>0</v>
      </c>
      <c r="T30" s="198">
        <f>Qty!X30*'Prop. prices'!T30*T$7</f>
        <v>0</v>
      </c>
      <c r="U30" s="198">
        <f>Qty!Y30*'Prop. prices'!U30*U$7</f>
        <v>0</v>
      </c>
      <c r="V30" s="198">
        <f>Qty!Z30*'Prop. prices'!V30*V$7</f>
        <v>0</v>
      </c>
      <c r="W30" s="198">
        <f>Qty!AA30*'Prop. prices'!W30*W$7</f>
        <v>0</v>
      </c>
      <c r="X30" s="198">
        <f>Qty!AB30*'Prop. prices'!X30*X$7</f>
        <v>0</v>
      </c>
      <c r="Y30" s="198">
        <f>Qty!AC30*'Prop. prices'!Y30*Y$7</f>
        <v>0</v>
      </c>
      <c r="Z30" s="198">
        <f>Qty!AD30*'Prop. prices'!Z30*Z$7</f>
        <v>0</v>
      </c>
      <c r="AA30" s="198">
        <f>Qty!AE30*'Prop. prices'!AA30*AA$7</f>
        <v>0</v>
      </c>
      <c r="AB30" s="198">
        <f>Qty!AF30*'Prop. prices'!AB30*AB$7</f>
        <v>0</v>
      </c>
      <c r="AC30" s="206">
        <f t="shared" si="1"/>
        <v>0</v>
      </c>
      <c r="AD30" s="19"/>
      <c r="AE30" s="19"/>
      <c r="AF30" s="19"/>
      <c r="AG30" s="19"/>
    </row>
    <row r="31" spans="1:33" hidden="1" outlineLevel="3" x14ac:dyDescent="0.2">
      <c r="A31" s="19"/>
      <c r="B31" s="19"/>
      <c r="C31" s="506">
        <f>Qty!C31</f>
        <v>0</v>
      </c>
      <c r="D31" s="505">
        <f>Qty!D31</f>
        <v>0</v>
      </c>
      <c r="E31" s="505">
        <f>Qty!E31</f>
        <v>0</v>
      </c>
      <c r="F31" s="505">
        <f>Qty!F31</f>
        <v>0</v>
      </c>
      <c r="G31" s="505">
        <f>Qty!G31</f>
        <v>0</v>
      </c>
      <c r="H31" s="58"/>
      <c r="I31" s="198">
        <f>Qty!M31*'Prop. prices'!I31*I$7</f>
        <v>0</v>
      </c>
      <c r="J31" s="198">
        <f>Qty!N31*'Prop. prices'!J31*J$7</f>
        <v>0</v>
      </c>
      <c r="K31" s="198">
        <f>Qty!O31*'Prop. prices'!K31*K$7</f>
        <v>0</v>
      </c>
      <c r="L31" s="198">
        <f>Qty!P31*'Prop. prices'!L31*L$7</f>
        <v>0</v>
      </c>
      <c r="M31" s="198">
        <f>Qty!Q31*'Prop. prices'!M31*M$7</f>
        <v>0</v>
      </c>
      <c r="N31" s="198">
        <f>Qty!R31*'Prop. prices'!N31*N$7</f>
        <v>0</v>
      </c>
      <c r="O31" s="198">
        <f>Qty!S31*'Prop. prices'!O31*O$7</f>
        <v>0</v>
      </c>
      <c r="P31" s="198">
        <f>Qty!T31*'Prop. prices'!P31*P$7</f>
        <v>0</v>
      </c>
      <c r="Q31" s="198">
        <f>Qty!U31*'Prop. prices'!Q31*Q$7</f>
        <v>0</v>
      </c>
      <c r="R31" s="198">
        <f>Qty!V31*'Prop. prices'!R31*R$7</f>
        <v>0</v>
      </c>
      <c r="S31" s="198">
        <f>Qty!W31*'Prop. prices'!S31*S$7</f>
        <v>0</v>
      </c>
      <c r="T31" s="198">
        <f>Qty!X31*'Prop. prices'!T31*T$7</f>
        <v>0</v>
      </c>
      <c r="U31" s="198">
        <f>Qty!Y31*'Prop. prices'!U31*U$7</f>
        <v>0</v>
      </c>
      <c r="V31" s="198">
        <f>Qty!Z31*'Prop. prices'!V31*V$7</f>
        <v>0</v>
      </c>
      <c r="W31" s="198">
        <f>Qty!AA31*'Prop. prices'!W31*W$7</f>
        <v>0</v>
      </c>
      <c r="X31" s="198">
        <f>Qty!AB31*'Prop. prices'!X31*X$7</f>
        <v>0</v>
      </c>
      <c r="Y31" s="198">
        <f>Qty!AC31*'Prop. prices'!Y31*Y$7</f>
        <v>0</v>
      </c>
      <c r="Z31" s="198">
        <f>Qty!AD31*'Prop. prices'!Z31*Z$7</f>
        <v>0</v>
      </c>
      <c r="AA31" s="198">
        <f>Qty!AE31*'Prop. prices'!AA31*AA$7</f>
        <v>0</v>
      </c>
      <c r="AB31" s="198">
        <f>Qty!AF31*'Prop. prices'!AB31*AB$7</f>
        <v>0</v>
      </c>
      <c r="AC31" s="206">
        <f t="shared" si="1"/>
        <v>0</v>
      </c>
      <c r="AD31" s="19"/>
      <c r="AE31" s="19"/>
      <c r="AF31" s="19"/>
      <c r="AG31" s="19"/>
    </row>
    <row r="32" spans="1:33" hidden="1" outlineLevel="3" x14ac:dyDescent="0.2">
      <c r="A32" s="19"/>
      <c r="B32" s="19"/>
      <c r="C32" s="506">
        <f>Qty!C32</f>
        <v>0</v>
      </c>
      <c r="D32" s="505">
        <f>Qty!D32</f>
        <v>0</v>
      </c>
      <c r="E32" s="505">
        <f>Qty!E32</f>
        <v>0</v>
      </c>
      <c r="F32" s="505">
        <f>Qty!F32</f>
        <v>0</v>
      </c>
      <c r="G32" s="505">
        <f>Qty!G32</f>
        <v>0</v>
      </c>
      <c r="H32" s="58"/>
      <c r="I32" s="198">
        <f>Qty!M32*'Prop. prices'!I32*I$7</f>
        <v>0</v>
      </c>
      <c r="J32" s="198">
        <f>Qty!N32*'Prop. prices'!J32*J$7</f>
        <v>0</v>
      </c>
      <c r="K32" s="198">
        <f>Qty!O32*'Prop. prices'!K32*K$7</f>
        <v>0</v>
      </c>
      <c r="L32" s="198">
        <f>Qty!P32*'Prop. prices'!L32*L$7</f>
        <v>0</v>
      </c>
      <c r="M32" s="198">
        <f>Qty!Q32*'Prop. prices'!M32*M$7</f>
        <v>0</v>
      </c>
      <c r="N32" s="198">
        <f>Qty!R32*'Prop. prices'!N32*N$7</f>
        <v>0</v>
      </c>
      <c r="O32" s="198">
        <f>Qty!S32*'Prop. prices'!O32*O$7</f>
        <v>0</v>
      </c>
      <c r="P32" s="198">
        <f>Qty!T32*'Prop. prices'!P32*P$7</f>
        <v>0</v>
      </c>
      <c r="Q32" s="198">
        <f>Qty!U32*'Prop. prices'!Q32*Q$7</f>
        <v>0</v>
      </c>
      <c r="R32" s="198">
        <f>Qty!V32*'Prop. prices'!R32*R$7</f>
        <v>0</v>
      </c>
      <c r="S32" s="198">
        <f>Qty!W32*'Prop. prices'!S32*S$7</f>
        <v>0</v>
      </c>
      <c r="T32" s="198">
        <f>Qty!X32*'Prop. prices'!T32*T$7</f>
        <v>0</v>
      </c>
      <c r="U32" s="198">
        <f>Qty!Y32*'Prop. prices'!U32*U$7</f>
        <v>0</v>
      </c>
      <c r="V32" s="198">
        <f>Qty!Z32*'Prop. prices'!V32*V$7</f>
        <v>0</v>
      </c>
      <c r="W32" s="198">
        <f>Qty!AA32*'Prop. prices'!W32*W$7</f>
        <v>0</v>
      </c>
      <c r="X32" s="198">
        <f>Qty!AB32*'Prop. prices'!X32*X$7</f>
        <v>0</v>
      </c>
      <c r="Y32" s="198">
        <f>Qty!AC32*'Prop. prices'!Y32*Y$7</f>
        <v>0</v>
      </c>
      <c r="Z32" s="198">
        <f>Qty!AD32*'Prop. prices'!Z32*Z$7</f>
        <v>0</v>
      </c>
      <c r="AA32" s="198">
        <f>Qty!AE32*'Prop. prices'!AA32*AA$7</f>
        <v>0</v>
      </c>
      <c r="AB32" s="198">
        <f>Qty!AF32*'Prop. prices'!AB32*AB$7</f>
        <v>0</v>
      </c>
      <c r="AC32" s="206">
        <f t="shared" si="1"/>
        <v>0</v>
      </c>
      <c r="AD32" s="19"/>
      <c r="AE32" s="19"/>
      <c r="AF32" s="19"/>
      <c r="AG32" s="19"/>
    </row>
    <row r="33" spans="1:33" hidden="1" outlineLevel="3" x14ac:dyDescent="0.2">
      <c r="A33" s="19"/>
      <c r="B33" s="19"/>
      <c r="C33" s="506">
        <f>Qty!C33</f>
        <v>0</v>
      </c>
      <c r="D33" s="505">
        <f>Qty!D33</f>
        <v>0</v>
      </c>
      <c r="E33" s="505">
        <f>Qty!E33</f>
        <v>0</v>
      </c>
      <c r="F33" s="505">
        <f>Qty!F33</f>
        <v>0</v>
      </c>
      <c r="G33" s="505">
        <f>Qty!G33</f>
        <v>0</v>
      </c>
      <c r="H33" s="58"/>
      <c r="I33" s="198">
        <f>Qty!M33*'Prop. prices'!I33*I$7</f>
        <v>0</v>
      </c>
      <c r="J33" s="198">
        <f>Qty!N33*'Prop. prices'!J33*J$7</f>
        <v>0</v>
      </c>
      <c r="K33" s="198">
        <f>Qty!O33*'Prop. prices'!K33*K$7</f>
        <v>0</v>
      </c>
      <c r="L33" s="198">
        <f>Qty!P33*'Prop. prices'!L33*L$7</f>
        <v>0</v>
      </c>
      <c r="M33" s="198">
        <f>Qty!Q33*'Prop. prices'!M33*M$7</f>
        <v>0</v>
      </c>
      <c r="N33" s="198">
        <f>Qty!R33*'Prop. prices'!N33*N$7</f>
        <v>0</v>
      </c>
      <c r="O33" s="198">
        <f>Qty!S33*'Prop. prices'!O33*O$7</f>
        <v>0</v>
      </c>
      <c r="P33" s="198">
        <f>Qty!T33*'Prop. prices'!P33*P$7</f>
        <v>0</v>
      </c>
      <c r="Q33" s="198">
        <f>Qty!U33*'Prop. prices'!Q33*Q$7</f>
        <v>0</v>
      </c>
      <c r="R33" s="198">
        <f>Qty!V33*'Prop. prices'!R33*R$7</f>
        <v>0</v>
      </c>
      <c r="S33" s="198">
        <f>Qty!W33*'Prop. prices'!S33*S$7</f>
        <v>0</v>
      </c>
      <c r="T33" s="198">
        <f>Qty!X33*'Prop. prices'!T33*T$7</f>
        <v>0</v>
      </c>
      <c r="U33" s="198">
        <f>Qty!Y33*'Prop. prices'!U33*U$7</f>
        <v>0</v>
      </c>
      <c r="V33" s="198">
        <f>Qty!Z33*'Prop. prices'!V33*V$7</f>
        <v>0</v>
      </c>
      <c r="W33" s="198">
        <f>Qty!AA33*'Prop. prices'!W33*W$7</f>
        <v>0</v>
      </c>
      <c r="X33" s="198">
        <f>Qty!AB33*'Prop. prices'!X33*X$7</f>
        <v>0</v>
      </c>
      <c r="Y33" s="198">
        <f>Qty!AC33*'Prop. prices'!Y33*Y$7</f>
        <v>0</v>
      </c>
      <c r="Z33" s="198">
        <f>Qty!AD33*'Prop. prices'!Z33*Z$7</f>
        <v>0</v>
      </c>
      <c r="AA33" s="198">
        <f>Qty!AE33*'Prop. prices'!AA33*AA$7</f>
        <v>0</v>
      </c>
      <c r="AB33" s="198">
        <f>Qty!AF33*'Prop. prices'!AB33*AB$7</f>
        <v>0</v>
      </c>
      <c r="AC33" s="206">
        <f t="shared" si="1"/>
        <v>0</v>
      </c>
      <c r="AD33" s="19"/>
      <c r="AE33" s="19"/>
      <c r="AF33" s="19"/>
      <c r="AG33" s="19"/>
    </row>
    <row r="34" spans="1:33" hidden="1" outlineLevel="3" x14ac:dyDescent="0.2">
      <c r="A34" s="19"/>
      <c r="B34" s="19"/>
      <c r="C34" s="506">
        <f>Qty!C34</f>
        <v>0</v>
      </c>
      <c r="D34" s="505">
        <f>Qty!D34</f>
        <v>0</v>
      </c>
      <c r="E34" s="505">
        <f>Qty!E34</f>
        <v>0</v>
      </c>
      <c r="F34" s="505">
        <f>Qty!F34</f>
        <v>0</v>
      </c>
      <c r="G34" s="505">
        <f>Qty!G34</f>
        <v>0</v>
      </c>
      <c r="H34" s="58"/>
      <c r="I34" s="198">
        <f>Qty!M34*'Prop. prices'!I34*I$7</f>
        <v>0</v>
      </c>
      <c r="J34" s="198">
        <f>Qty!N34*'Prop. prices'!J34*J$7</f>
        <v>0</v>
      </c>
      <c r="K34" s="198">
        <f>Qty!O34*'Prop. prices'!K34*K$7</f>
        <v>0</v>
      </c>
      <c r="L34" s="198">
        <f>Qty!P34*'Prop. prices'!L34*L$7</f>
        <v>0</v>
      </c>
      <c r="M34" s="198">
        <f>Qty!Q34*'Prop. prices'!M34*M$7</f>
        <v>0</v>
      </c>
      <c r="N34" s="198">
        <f>Qty!R34*'Prop. prices'!N34*N$7</f>
        <v>0</v>
      </c>
      <c r="O34" s="198">
        <f>Qty!S34*'Prop. prices'!O34*O$7</f>
        <v>0</v>
      </c>
      <c r="P34" s="198">
        <f>Qty!T34*'Prop. prices'!P34*P$7</f>
        <v>0</v>
      </c>
      <c r="Q34" s="198">
        <f>Qty!U34*'Prop. prices'!Q34*Q$7</f>
        <v>0</v>
      </c>
      <c r="R34" s="198">
        <f>Qty!V34*'Prop. prices'!R34*R$7</f>
        <v>0</v>
      </c>
      <c r="S34" s="198">
        <f>Qty!W34*'Prop. prices'!S34*S$7</f>
        <v>0</v>
      </c>
      <c r="T34" s="198">
        <f>Qty!X34*'Prop. prices'!T34*T$7</f>
        <v>0</v>
      </c>
      <c r="U34" s="198">
        <f>Qty!Y34*'Prop. prices'!U34*U$7</f>
        <v>0</v>
      </c>
      <c r="V34" s="198">
        <f>Qty!Z34*'Prop. prices'!V34*V$7</f>
        <v>0</v>
      </c>
      <c r="W34" s="198">
        <f>Qty!AA34*'Prop. prices'!W34*W$7</f>
        <v>0</v>
      </c>
      <c r="X34" s="198">
        <f>Qty!AB34*'Prop. prices'!X34*X$7</f>
        <v>0</v>
      </c>
      <c r="Y34" s="198">
        <f>Qty!AC34*'Prop. prices'!Y34*Y$7</f>
        <v>0</v>
      </c>
      <c r="Z34" s="198">
        <f>Qty!AD34*'Prop. prices'!Z34*Z$7</f>
        <v>0</v>
      </c>
      <c r="AA34" s="198">
        <f>Qty!AE34*'Prop. prices'!AA34*AA$7</f>
        <v>0</v>
      </c>
      <c r="AB34" s="198">
        <f>Qty!AF34*'Prop. prices'!AB34*AB$7</f>
        <v>0</v>
      </c>
      <c r="AC34" s="206">
        <f t="shared" si="1"/>
        <v>0</v>
      </c>
      <c r="AD34" s="19"/>
      <c r="AE34" s="19"/>
      <c r="AF34" s="19"/>
      <c r="AG34" s="19"/>
    </row>
    <row r="35" spans="1:33" hidden="1" outlineLevel="3" x14ac:dyDescent="0.2">
      <c r="A35" s="19"/>
      <c r="B35" s="19"/>
      <c r="C35" s="506">
        <f>Qty!C35</f>
        <v>0</v>
      </c>
      <c r="D35" s="505">
        <f>Qty!D35</f>
        <v>0</v>
      </c>
      <c r="E35" s="505">
        <f>Qty!E35</f>
        <v>0</v>
      </c>
      <c r="F35" s="505">
        <f>Qty!F35</f>
        <v>0</v>
      </c>
      <c r="G35" s="505">
        <f>Qty!G35</f>
        <v>0</v>
      </c>
      <c r="H35" s="58"/>
      <c r="I35" s="198">
        <f>Qty!M35*'Prop. prices'!I35*I$7</f>
        <v>0</v>
      </c>
      <c r="J35" s="198">
        <f>Qty!N35*'Prop. prices'!J35*J$7</f>
        <v>0</v>
      </c>
      <c r="K35" s="198">
        <f>Qty!O35*'Prop. prices'!K35*K$7</f>
        <v>0</v>
      </c>
      <c r="L35" s="198">
        <f>Qty!P35*'Prop. prices'!L35*L$7</f>
        <v>0</v>
      </c>
      <c r="M35" s="198">
        <f>Qty!Q35*'Prop. prices'!M35*M$7</f>
        <v>0</v>
      </c>
      <c r="N35" s="198">
        <f>Qty!R35*'Prop. prices'!N35*N$7</f>
        <v>0</v>
      </c>
      <c r="O35" s="198">
        <f>Qty!S35*'Prop. prices'!O35*O$7</f>
        <v>0</v>
      </c>
      <c r="P35" s="198">
        <f>Qty!T35*'Prop. prices'!P35*P$7</f>
        <v>0</v>
      </c>
      <c r="Q35" s="198">
        <f>Qty!U35*'Prop. prices'!Q35*Q$7</f>
        <v>0</v>
      </c>
      <c r="R35" s="198">
        <f>Qty!V35*'Prop. prices'!R35*R$7</f>
        <v>0</v>
      </c>
      <c r="S35" s="198">
        <f>Qty!W35*'Prop. prices'!S35*S$7</f>
        <v>0</v>
      </c>
      <c r="T35" s="198">
        <f>Qty!X35*'Prop. prices'!T35*T$7</f>
        <v>0</v>
      </c>
      <c r="U35" s="198">
        <f>Qty!Y35*'Prop. prices'!U35*U$7</f>
        <v>0</v>
      </c>
      <c r="V35" s="198">
        <f>Qty!Z35*'Prop. prices'!V35*V$7</f>
        <v>0</v>
      </c>
      <c r="W35" s="198">
        <f>Qty!AA35*'Prop. prices'!W35*W$7</f>
        <v>0</v>
      </c>
      <c r="X35" s="198">
        <f>Qty!AB35*'Prop. prices'!X35*X$7</f>
        <v>0</v>
      </c>
      <c r="Y35" s="198">
        <f>Qty!AC35*'Prop. prices'!Y35*Y$7</f>
        <v>0</v>
      </c>
      <c r="Z35" s="198">
        <f>Qty!AD35*'Prop. prices'!Z35*Z$7</f>
        <v>0</v>
      </c>
      <c r="AA35" s="198">
        <f>Qty!AE35*'Prop. prices'!AA35*AA$7</f>
        <v>0</v>
      </c>
      <c r="AB35" s="198">
        <f>Qty!AF35*'Prop. prices'!AB35*AB$7</f>
        <v>0</v>
      </c>
      <c r="AC35" s="206">
        <f t="shared" si="1"/>
        <v>0</v>
      </c>
      <c r="AD35" s="19"/>
      <c r="AE35" s="19"/>
      <c r="AF35" s="19"/>
      <c r="AG35" s="19"/>
    </row>
    <row r="36" spans="1:33" hidden="1" outlineLevel="3" x14ac:dyDescent="0.2">
      <c r="A36" s="19"/>
      <c r="B36" s="19"/>
      <c r="C36" s="506">
        <f>Qty!C36</f>
        <v>0</v>
      </c>
      <c r="D36" s="505">
        <f>Qty!D36</f>
        <v>0</v>
      </c>
      <c r="E36" s="505">
        <f>Qty!E36</f>
        <v>0</v>
      </c>
      <c r="F36" s="505">
        <f>Qty!F36</f>
        <v>0</v>
      </c>
      <c r="G36" s="505">
        <f>Qty!G36</f>
        <v>0</v>
      </c>
      <c r="H36" s="58"/>
      <c r="I36" s="198">
        <f>Qty!M36*'Prop. prices'!I36*I$7</f>
        <v>0</v>
      </c>
      <c r="J36" s="198">
        <f>Qty!N36*'Prop. prices'!J36*J$7</f>
        <v>0</v>
      </c>
      <c r="K36" s="198">
        <f>Qty!O36*'Prop. prices'!K36*K$7</f>
        <v>0</v>
      </c>
      <c r="L36" s="198">
        <f>Qty!P36*'Prop. prices'!L36*L$7</f>
        <v>0</v>
      </c>
      <c r="M36" s="198">
        <f>Qty!Q36*'Prop. prices'!M36*M$7</f>
        <v>0</v>
      </c>
      <c r="N36" s="198">
        <f>Qty!R36*'Prop. prices'!N36*N$7</f>
        <v>0</v>
      </c>
      <c r="O36" s="198">
        <f>Qty!S36*'Prop. prices'!O36*O$7</f>
        <v>0</v>
      </c>
      <c r="P36" s="198">
        <f>Qty!T36*'Prop. prices'!P36*P$7</f>
        <v>0</v>
      </c>
      <c r="Q36" s="198">
        <f>Qty!U36*'Prop. prices'!Q36*Q$7</f>
        <v>0</v>
      </c>
      <c r="R36" s="198">
        <f>Qty!V36*'Prop. prices'!R36*R$7</f>
        <v>0</v>
      </c>
      <c r="S36" s="198">
        <f>Qty!W36*'Prop. prices'!S36*S$7</f>
        <v>0</v>
      </c>
      <c r="T36" s="198">
        <f>Qty!X36*'Prop. prices'!T36*T$7</f>
        <v>0</v>
      </c>
      <c r="U36" s="198">
        <f>Qty!Y36*'Prop. prices'!U36*U$7</f>
        <v>0</v>
      </c>
      <c r="V36" s="198">
        <f>Qty!Z36*'Prop. prices'!V36*V$7</f>
        <v>0</v>
      </c>
      <c r="W36" s="198">
        <f>Qty!AA36*'Prop. prices'!W36*W$7</f>
        <v>0</v>
      </c>
      <c r="X36" s="198">
        <f>Qty!AB36*'Prop. prices'!X36*X$7</f>
        <v>0</v>
      </c>
      <c r="Y36" s="198">
        <f>Qty!AC36*'Prop. prices'!Y36*Y$7</f>
        <v>0</v>
      </c>
      <c r="Z36" s="198">
        <f>Qty!AD36*'Prop. prices'!Z36*Z$7</f>
        <v>0</v>
      </c>
      <c r="AA36" s="198">
        <f>Qty!AE36*'Prop. prices'!AA36*AA$7</f>
        <v>0</v>
      </c>
      <c r="AB36" s="198">
        <f>Qty!AF36*'Prop. prices'!AB36*AB$7</f>
        <v>0</v>
      </c>
      <c r="AC36" s="206">
        <f t="shared" si="1"/>
        <v>0</v>
      </c>
      <c r="AD36" s="19"/>
      <c r="AE36" s="19"/>
      <c r="AF36" s="19"/>
      <c r="AG36" s="19"/>
    </row>
    <row r="37" spans="1:33" hidden="1" outlineLevel="3" x14ac:dyDescent="0.2">
      <c r="A37" s="19"/>
      <c r="B37" s="19"/>
      <c r="C37" s="506">
        <f>Qty!C37</f>
        <v>0</v>
      </c>
      <c r="D37" s="505">
        <f>Qty!D37</f>
        <v>0</v>
      </c>
      <c r="E37" s="505">
        <f>Qty!E37</f>
        <v>0</v>
      </c>
      <c r="F37" s="505">
        <f>Qty!F37</f>
        <v>0</v>
      </c>
      <c r="G37" s="505">
        <f>Qty!G37</f>
        <v>0</v>
      </c>
      <c r="H37" s="58"/>
      <c r="I37" s="198">
        <f>Qty!M37*'Prop. prices'!I37*I$7</f>
        <v>0</v>
      </c>
      <c r="J37" s="198">
        <f>Qty!N37*'Prop. prices'!J37*J$7</f>
        <v>0</v>
      </c>
      <c r="K37" s="198">
        <f>Qty!O37*'Prop. prices'!K37*K$7</f>
        <v>0</v>
      </c>
      <c r="L37" s="198">
        <f>Qty!P37*'Prop. prices'!L37*L$7</f>
        <v>0</v>
      </c>
      <c r="M37" s="198">
        <f>Qty!Q37*'Prop. prices'!M37*M$7</f>
        <v>0</v>
      </c>
      <c r="N37" s="198">
        <f>Qty!R37*'Prop. prices'!N37*N$7</f>
        <v>0</v>
      </c>
      <c r="O37" s="198">
        <f>Qty!S37*'Prop. prices'!O37*O$7</f>
        <v>0</v>
      </c>
      <c r="P37" s="198">
        <f>Qty!T37*'Prop. prices'!P37*P$7</f>
        <v>0</v>
      </c>
      <c r="Q37" s="198">
        <f>Qty!U37*'Prop. prices'!Q37*Q$7</f>
        <v>0</v>
      </c>
      <c r="R37" s="198">
        <f>Qty!V37*'Prop. prices'!R37*R$7</f>
        <v>0</v>
      </c>
      <c r="S37" s="198">
        <f>Qty!W37*'Prop. prices'!S37*S$7</f>
        <v>0</v>
      </c>
      <c r="T37" s="198">
        <f>Qty!X37*'Prop. prices'!T37*T$7</f>
        <v>0</v>
      </c>
      <c r="U37" s="198">
        <f>Qty!Y37*'Prop. prices'!U37*U$7</f>
        <v>0</v>
      </c>
      <c r="V37" s="198">
        <f>Qty!Z37*'Prop. prices'!V37*V$7</f>
        <v>0</v>
      </c>
      <c r="W37" s="198">
        <f>Qty!AA37*'Prop. prices'!W37*W$7</f>
        <v>0</v>
      </c>
      <c r="X37" s="198">
        <f>Qty!AB37*'Prop. prices'!X37*X$7</f>
        <v>0</v>
      </c>
      <c r="Y37" s="198">
        <f>Qty!AC37*'Prop. prices'!Y37*Y$7</f>
        <v>0</v>
      </c>
      <c r="Z37" s="198">
        <f>Qty!AD37*'Prop. prices'!Z37*Z$7</f>
        <v>0</v>
      </c>
      <c r="AA37" s="198">
        <f>Qty!AE37*'Prop. prices'!AA37*AA$7</f>
        <v>0</v>
      </c>
      <c r="AB37" s="198">
        <f>Qty!AF37*'Prop. prices'!AB37*AB$7</f>
        <v>0</v>
      </c>
      <c r="AC37" s="206">
        <f t="shared" si="1"/>
        <v>0</v>
      </c>
      <c r="AD37" s="19"/>
      <c r="AE37" s="19"/>
      <c r="AF37" s="19"/>
      <c r="AG37" s="19"/>
    </row>
    <row r="38" spans="1:33" hidden="1" outlineLevel="3" x14ac:dyDescent="0.2">
      <c r="A38" s="19"/>
      <c r="B38" s="19"/>
      <c r="C38" s="506">
        <f>Qty!C38</f>
        <v>0</v>
      </c>
      <c r="D38" s="505">
        <f>Qty!D38</f>
        <v>0</v>
      </c>
      <c r="E38" s="505">
        <f>Qty!E38</f>
        <v>0</v>
      </c>
      <c r="F38" s="505">
        <f>Qty!F38</f>
        <v>0</v>
      </c>
      <c r="G38" s="505">
        <f>Qty!G38</f>
        <v>0</v>
      </c>
      <c r="H38" s="58"/>
      <c r="I38" s="198">
        <f>Qty!M38*'Prop. prices'!I38*I$7</f>
        <v>0</v>
      </c>
      <c r="J38" s="198">
        <f>Qty!N38*'Prop. prices'!J38*J$7</f>
        <v>0</v>
      </c>
      <c r="K38" s="198">
        <f>Qty!O38*'Prop. prices'!K38*K$7</f>
        <v>0</v>
      </c>
      <c r="L38" s="198">
        <f>Qty!P38*'Prop. prices'!L38*L$7</f>
        <v>0</v>
      </c>
      <c r="M38" s="198">
        <f>Qty!Q38*'Prop. prices'!M38*M$7</f>
        <v>0</v>
      </c>
      <c r="N38" s="198">
        <f>Qty!R38*'Prop. prices'!N38*N$7</f>
        <v>0</v>
      </c>
      <c r="O38" s="198">
        <f>Qty!S38*'Prop. prices'!O38*O$7</f>
        <v>0</v>
      </c>
      <c r="P38" s="198">
        <f>Qty!T38*'Prop. prices'!P38*P$7</f>
        <v>0</v>
      </c>
      <c r="Q38" s="198">
        <f>Qty!U38*'Prop. prices'!Q38*Q$7</f>
        <v>0</v>
      </c>
      <c r="R38" s="198">
        <f>Qty!V38*'Prop. prices'!R38*R$7</f>
        <v>0</v>
      </c>
      <c r="S38" s="198">
        <f>Qty!W38*'Prop. prices'!S38*S$7</f>
        <v>0</v>
      </c>
      <c r="T38" s="198">
        <f>Qty!X38*'Prop. prices'!T38*T$7</f>
        <v>0</v>
      </c>
      <c r="U38" s="198">
        <f>Qty!Y38*'Prop. prices'!U38*U$7</f>
        <v>0</v>
      </c>
      <c r="V38" s="198">
        <f>Qty!Z38*'Prop. prices'!V38*V$7</f>
        <v>0</v>
      </c>
      <c r="W38" s="198">
        <f>Qty!AA38*'Prop. prices'!W38*W$7</f>
        <v>0</v>
      </c>
      <c r="X38" s="198">
        <f>Qty!AB38*'Prop. prices'!X38*X$7</f>
        <v>0</v>
      </c>
      <c r="Y38" s="198">
        <f>Qty!AC38*'Prop. prices'!Y38*Y$7</f>
        <v>0</v>
      </c>
      <c r="Z38" s="198">
        <f>Qty!AD38*'Prop. prices'!Z38*Z$7</f>
        <v>0</v>
      </c>
      <c r="AA38" s="198">
        <f>Qty!AE38*'Prop. prices'!AA38*AA$7</f>
        <v>0</v>
      </c>
      <c r="AB38" s="198">
        <f>Qty!AF38*'Prop. prices'!AB38*AB$7</f>
        <v>0</v>
      </c>
      <c r="AC38" s="206">
        <f t="shared" si="1"/>
        <v>0</v>
      </c>
      <c r="AD38" s="19"/>
      <c r="AE38" s="19"/>
      <c r="AF38" s="19"/>
      <c r="AG38" s="19"/>
    </row>
    <row r="39" spans="1:33" hidden="1" outlineLevel="3" x14ac:dyDescent="0.2">
      <c r="A39" s="19"/>
      <c r="B39" s="19"/>
      <c r="C39" s="506">
        <f>Qty!C39</f>
        <v>0</v>
      </c>
      <c r="D39" s="505">
        <f>Qty!D39</f>
        <v>0</v>
      </c>
      <c r="E39" s="505">
        <f>Qty!E39</f>
        <v>0</v>
      </c>
      <c r="F39" s="505">
        <f>Qty!F39</f>
        <v>0</v>
      </c>
      <c r="G39" s="505">
        <f>Qty!G39</f>
        <v>0</v>
      </c>
      <c r="H39" s="58"/>
      <c r="I39" s="198">
        <f>Qty!M39*'Prop. prices'!I39*I$7</f>
        <v>0</v>
      </c>
      <c r="J39" s="198">
        <f>Qty!N39*'Prop. prices'!J39*J$7</f>
        <v>0</v>
      </c>
      <c r="K39" s="198">
        <f>Qty!O39*'Prop. prices'!K39*K$7</f>
        <v>0</v>
      </c>
      <c r="L39" s="198">
        <f>Qty!P39*'Prop. prices'!L39*L$7</f>
        <v>0</v>
      </c>
      <c r="M39" s="198">
        <f>Qty!Q39*'Prop. prices'!M39*M$7</f>
        <v>0</v>
      </c>
      <c r="N39" s="198">
        <f>Qty!R39*'Prop. prices'!N39*N$7</f>
        <v>0</v>
      </c>
      <c r="O39" s="198">
        <f>Qty!S39*'Prop. prices'!O39*O$7</f>
        <v>0</v>
      </c>
      <c r="P39" s="198">
        <f>Qty!T39*'Prop. prices'!P39*P$7</f>
        <v>0</v>
      </c>
      <c r="Q39" s="198">
        <f>Qty!U39*'Prop. prices'!Q39*Q$7</f>
        <v>0</v>
      </c>
      <c r="R39" s="198">
        <f>Qty!V39*'Prop. prices'!R39*R$7</f>
        <v>0</v>
      </c>
      <c r="S39" s="198">
        <f>Qty!W39*'Prop. prices'!S39*S$7</f>
        <v>0</v>
      </c>
      <c r="T39" s="198">
        <f>Qty!X39*'Prop. prices'!T39*T$7</f>
        <v>0</v>
      </c>
      <c r="U39" s="198">
        <f>Qty!Y39*'Prop. prices'!U39*U$7</f>
        <v>0</v>
      </c>
      <c r="V39" s="198">
        <f>Qty!Z39*'Prop. prices'!V39*V$7</f>
        <v>0</v>
      </c>
      <c r="W39" s="198">
        <f>Qty!AA39*'Prop. prices'!W39*W$7</f>
        <v>0</v>
      </c>
      <c r="X39" s="198">
        <f>Qty!AB39*'Prop. prices'!X39*X$7</f>
        <v>0</v>
      </c>
      <c r="Y39" s="198">
        <f>Qty!AC39*'Prop. prices'!Y39*Y$7</f>
        <v>0</v>
      </c>
      <c r="Z39" s="198">
        <f>Qty!AD39*'Prop. prices'!Z39*Z$7</f>
        <v>0</v>
      </c>
      <c r="AA39" s="198">
        <f>Qty!AE39*'Prop. prices'!AA39*AA$7</f>
        <v>0</v>
      </c>
      <c r="AB39" s="198">
        <f>Qty!AF39*'Prop. prices'!AB39*AB$7</f>
        <v>0</v>
      </c>
      <c r="AC39" s="206">
        <f t="shared" si="1"/>
        <v>0</v>
      </c>
      <c r="AD39" s="19"/>
      <c r="AE39" s="19"/>
      <c r="AF39" s="19"/>
      <c r="AG39" s="19"/>
    </row>
    <row r="40" spans="1:33" hidden="1" outlineLevel="3" x14ac:dyDescent="0.2">
      <c r="A40" s="19"/>
      <c r="B40" s="19"/>
      <c r="C40" s="506">
        <f>Qty!C40</f>
        <v>0</v>
      </c>
      <c r="D40" s="505">
        <f>Qty!D40</f>
        <v>0</v>
      </c>
      <c r="E40" s="505">
        <f>Qty!E40</f>
        <v>0</v>
      </c>
      <c r="F40" s="505">
        <f>Qty!F40</f>
        <v>0</v>
      </c>
      <c r="G40" s="505">
        <f>Qty!G40</f>
        <v>0</v>
      </c>
      <c r="H40" s="58"/>
      <c r="I40" s="198">
        <f>Qty!M40*'Prop. prices'!I40*I$7</f>
        <v>0</v>
      </c>
      <c r="J40" s="198">
        <f>Qty!N40*'Prop. prices'!J40*J$7</f>
        <v>0</v>
      </c>
      <c r="K40" s="198">
        <f>Qty!O40*'Prop. prices'!K40*K$7</f>
        <v>0</v>
      </c>
      <c r="L40" s="198">
        <f>Qty!P40*'Prop. prices'!L40*L$7</f>
        <v>0</v>
      </c>
      <c r="M40" s="198">
        <f>Qty!Q40*'Prop. prices'!M40*M$7</f>
        <v>0</v>
      </c>
      <c r="N40" s="198">
        <f>Qty!R40*'Prop. prices'!N40*N$7</f>
        <v>0</v>
      </c>
      <c r="O40" s="198">
        <f>Qty!S40*'Prop. prices'!O40*O$7</f>
        <v>0</v>
      </c>
      <c r="P40" s="198">
        <f>Qty!T40*'Prop. prices'!P40*P$7</f>
        <v>0</v>
      </c>
      <c r="Q40" s="198">
        <f>Qty!U40*'Prop. prices'!Q40*Q$7</f>
        <v>0</v>
      </c>
      <c r="R40" s="198">
        <f>Qty!V40*'Prop. prices'!R40*R$7</f>
        <v>0</v>
      </c>
      <c r="S40" s="198">
        <f>Qty!W40*'Prop. prices'!S40*S$7</f>
        <v>0</v>
      </c>
      <c r="T40" s="198">
        <f>Qty!X40*'Prop. prices'!T40*T$7</f>
        <v>0</v>
      </c>
      <c r="U40" s="198">
        <f>Qty!Y40*'Prop. prices'!U40*U$7</f>
        <v>0</v>
      </c>
      <c r="V40" s="198">
        <f>Qty!Z40*'Prop. prices'!V40*V$7</f>
        <v>0</v>
      </c>
      <c r="W40" s="198">
        <f>Qty!AA40*'Prop. prices'!W40*W$7</f>
        <v>0</v>
      </c>
      <c r="X40" s="198">
        <f>Qty!AB40*'Prop. prices'!X40*X$7</f>
        <v>0</v>
      </c>
      <c r="Y40" s="198">
        <f>Qty!AC40*'Prop. prices'!Y40*Y$7</f>
        <v>0</v>
      </c>
      <c r="Z40" s="198">
        <f>Qty!AD40*'Prop. prices'!Z40*Z$7</f>
        <v>0</v>
      </c>
      <c r="AA40" s="198">
        <f>Qty!AE40*'Prop. prices'!AA40*AA$7</f>
        <v>0</v>
      </c>
      <c r="AB40" s="198">
        <f>Qty!AF40*'Prop. prices'!AB40*AB$7</f>
        <v>0</v>
      </c>
      <c r="AC40" s="206">
        <f t="shared" ref="AC40:AC71" si="2">SUM(I40:AB40)</f>
        <v>0</v>
      </c>
      <c r="AD40" s="19"/>
      <c r="AE40" s="19"/>
      <c r="AF40" s="19"/>
      <c r="AG40" s="19"/>
    </row>
    <row r="41" spans="1:33" hidden="1" outlineLevel="3" x14ac:dyDescent="0.2">
      <c r="A41" s="19"/>
      <c r="B41" s="19"/>
      <c r="C41" s="506">
        <f>Qty!C41</f>
        <v>0</v>
      </c>
      <c r="D41" s="505">
        <f>Qty!D41</f>
        <v>0</v>
      </c>
      <c r="E41" s="505">
        <f>Qty!E41</f>
        <v>0</v>
      </c>
      <c r="F41" s="505">
        <f>Qty!F41</f>
        <v>0</v>
      </c>
      <c r="G41" s="505">
        <f>Qty!G41</f>
        <v>0</v>
      </c>
      <c r="H41" s="58"/>
      <c r="I41" s="198">
        <f>Qty!M41*'Prop. prices'!I41*I$7</f>
        <v>0</v>
      </c>
      <c r="J41" s="198">
        <f>Qty!N41*'Prop. prices'!J41*J$7</f>
        <v>0</v>
      </c>
      <c r="K41" s="198">
        <f>Qty!O41*'Prop. prices'!K41*K$7</f>
        <v>0</v>
      </c>
      <c r="L41" s="198">
        <f>Qty!P41*'Prop. prices'!L41*L$7</f>
        <v>0</v>
      </c>
      <c r="M41" s="198">
        <f>Qty!Q41*'Prop. prices'!M41*M$7</f>
        <v>0</v>
      </c>
      <c r="N41" s="198">
        <f>Qty!R41*'Prop. prices'!N41*N$7</f>
        <v>0</v>
      </c>
      <c r="O41" s="198">
        <f>Qty!S41*'Prop. prices'!O41*O$7</f>
        <v>0</v>
      </c>
      <c r="P41" s="198">
        <f>Qty!T41*'Prop. prices'!P41*P$7</f>
        <v>0</v>
      </c>
      <c r="Q41" s="198">
        <f>Qty!U41*'Prop. prices'!Q41*Q$7</f>
        <v>0</v>
      </c>
      <c r="R41" s="198">
        <f>Qty!V41*'Prop. prices'!R41*R$7</f>
        <v>0</v>
      </c>
      <c r="S41" s="198">
        <f>Qty!W41*'Prop. prices'!S41*S$7</f>
        <v>0</v>
      </c>
      <c r="T41" s="198">
        <f>Qty!X41*'Prop. prices'!T41*T$7</f>
        <v>0</v>
      </c>
      <c r="U41" s="198">
        <f>Qty!Y41*'Prop. prices'!U41*U$7</f>
        <v>0</v>
      </c>
      <c r="V41" s="198">
        <f>Qty!Z41*'Prop. prices'!V41*V$7</f>
        <v>0</v>
      </c>
      <c r="W41" s="198">
        <f>Qty!AA41*'Prop. prices'!W41*W$7</f>
        <v>0</v>
      </c>
      <c r="X41" s="198">
        <f>Qty!AB41*'Prop. prices'!X41*X$7</f>
        <v>0</v>
      </c>
      <c r="Y41" s="198">
        <f>Qty!AC41*'Prop. prices'!Y41*Y$7</f>
        <v>0</v>
      </c>
      <c r="Z41" s="198">
        <f>Qty!AD41*'Prop. prices'!Z41*Z$7</f>
        <v>0</v>
      </c>
      <c r="AA41" s="198">
        <f>Qty!AE41*'Prop. prices'!AA41*AA$7</f>
        <v>0</v>
      </c>
      <c r="AB41" s="198">
        <f>Qty!AF41*'Prop. prices'!AB41*AB$7</f>
        <v>0</v>
      </c>
      <c r="AC41" s="206">
        <f t="shared" si="2"/>
        <v>0</v>
      </c>
      <c r="AD41" s="19"/>
      <c r="AE41" s="19"/>
      <c r="AF41" s="19"/>
      <c r="AG41" s="19"/>
    </row>
    <row r="42" spans="1:33" hidden="1" outlineLevel="3" x14ac:dyDescent="0.2">
      <c r="A42" s="19"/>
      <c r="B42" s="19"/>
      <c r="C42" s="506">
        <f>Qty!C42</f>
        <v>0</v>
      </c>
      <c r="D42" s="505">
        <f>Qty!D42</f>
        <v>0</v>
      </c>
      <c r="E42" s="505">
        <f>Qty!E42</f>
        <v>0</v>
      </c>
      <c r="F42" s="505">
        <f>Qty!F42</f>
        <v>0</v>
      </c>
      <c r="G42" s="505">
        <f>Qty!G42</f>
        <v>0</v>
      </c>
      <c r="H42" s="58"/>
      <c r="I42" s="198">
        <f>Qty!M42*'Prop. prices'!I42*I$7</f>
        <v>0</v>
      </c>
      <c r="J42" s="198">
        <f>Qty!N42*'Prop. prices'!J42*J$7</f>
        <v>0</v>
      </c>
      <c r="K42" s="198">
        <f>Qty!O42*'Prop. prices'!K42*K$7</f>
        <v>0</v>
      </c>
      <c r="L42" s="198">
        <f>Qty!P42*'Prop. prices'!L42*L$7</f>
        <v>0</v>
      </c>
      <c r="M42" s="198">
        <f>Qty!Q42*'Prop. prices'!M42*M$7</f>
        <v>0</v>
      </c>
      <c r="N42" s="198">
        <f>Qty!R42*'Prop. prices'!N42*N$7</f>
        <v>0</v>
      </c>
      <c r="O42" s="198">
        <f>Qty!S42*'Prop. prices'!O42*O$7</f>
        <v>0</v>
      </c>
      <c r="P42" s="198">
        <f>Qty!T42*'Prop. prices'!P42*P$7</f>
        <v>0</v>
      </c>
      <c r="Q42" s="198">
        <f>Qty!U42*'Prop. prices'!Q42*Q$7</f>
        <v>0</v>
      </c>
      <c r="R42" s="198">
        <f>Qty!V42*'Prop. prices'!R42*R$7</f>
        <v>0</v>
      </c>
      <c r="S42" s="198">
        <f>Qty!W42*'Prop. prices'!S42*S$7</f>
        <v>0</v>
      </c>
      <c r="T42" s="198">
        <f>Qty!X42*'Prop. prices'!T42*T$7</f>
        <v>0</v>
      </c>
      <c r="U42" s="198">
        <f>Qty!Y42*'Prop. prices'!U42*U$7</f>
        <v>0</v>
      </c>
      <c r="V42" s="198">
        <f>Qty!Z42*'Prop. prices'!V42*V$7</f>
        <v>0</v>
      </c>
      <c r="W42" s="198">
        <f>Qty!AA42*'Prop. prices'!W42*W$7</f>
        <v>0</v>
      </c>
      <c r="X42" s="198">
        <f>Qty!AB42*'Prop. prices'!X42*X$7</f>
        <v>0</v>
      </c>
      <c r="Y42" s="198">
        <f>Qty!AC42*'Prop. prices'!Y42*Y$7</f>
        <v>0</v>
      </c>
      <c r="Z42" s="198">
        <f>Qty!AD42*'Prop. prices'!Z42*Z$7</f>
        <v>0</v>
      </c>
      <c r="AA42" s="198">
        <f>Qty!AE42*'Prop. prices'!AA42*AA$7</f>
        <v>0</v>
      </c>
      <c r="AB42" s="198">
        <f>Qty!AF42*'Prop. prices'!AB42*AB$7</f>
        <v>0</v>
      </c>
      <c r="AC42" s="206">
        <f t="shared" si="2"/>
        <v>0</v>
      </c>
      <c r="AD42" s="19"/>
      <c r="AE42" s="19"/>
      <c r="AF42" s="19"/>
      <c r="AG42" s="19"/>
    </row>
    <row r="43" spans="1:33" hidden="1" outlineLevel="3" x14ac:dyDescent="0.2">
      <c r="A43" s="19"/>
      <c r="B43" s="19"/>
      <c r="C43" s="506">
        <f>Qty!C43</f>
        <v>0</v>
      </c>
      <c r="D43" s="505">
        <f>Qty!D43</f>
        <v>0</v>
      </c>
      <c r="E43" s="505">
        <f>Qty!E43</f>
        <v>0</v>
      </c>
      <c r="F43" s="505">
        <f>Qty!F43</f>
        <v>0</v>
      </c>
      <c r="G43" s="505">
        <f>Qty!G43</f>
        <v>0</v>
      </c>
      <c r="H43" s="58"/>
      <c r="I43" s="198">
        <f>Qty!M43*'Prop. prices'!I43*I$7</f>
        <v>0</v>
      </c>
      <c r="J43" s="198">
        <f>Qty!N43*'Prop. prices'!J43*J$7</f>
        <v>0</v>
      </c>
      <c r="K43" s="198">
        <f>Qty!O43*'Prop. prices'!K43*K$7</f>
        <v>0</v>
      </c>
      <c r="L43" s="198">
        <f>Qty!P43*'Prop. prices'!L43*L$7</f>
        <v>0</v>
      </c>
      <c r="M43" s="198">
        <f>Qty!Q43*'Prop. prices'!M43*M$7</f>
        <v>0</v>
      </c>
      <c r="N43" s="198">
        <f>Qty!R43*'Prop. prices'!N43*N$7</f>
        <v>0</v>
      </c>
      <c r="O43" s="198">
        <f>Qty!S43*'Prop. prices'!O43*O$7</f>
        <v>0</v>
      </c>
      <c r="P43" s="198">
        <f>Qty!T43*'Prop. prices'!P43*P$7</f>
        <v>0</v>
      </c>
      <c r="Q43" s="198">
        <f>Qty!U43*'Prop. prices'!Q43*Q$7</f>
        <v>0</v>
      </c>
      <c r="R43" s="198">
        <f>Qty!V43*'Prop. prices'!R43*R$7</f>
        <v>0</v>
      </c>
      <c r="S43" s="198">
        <f>Qty!W43*'Prop. prices'!S43*S$7</f>
        <v>0</v>
      </c>
      <c r="T43" s="198">
        <f>Qty!X43*'Prop. prices'!T43*T$7</f>
        <v>0</v>
      </c>
      <c r="U43" s="198">
        <f>Qty!Y43*'Prop. prices'!U43*U$7</f>
        <v>0</v>
      </c>
      <c r="V43" s="198">
        <f>Qty!Z43*'Prop. prices'!V43*V$7</f>
        <v>0</v>
      </c>
      <c r="W43" s="198">
        <f>Qty!AA43*'Prop. prices'!W43*W$7</f>
        <v>0</v>
      </c>
      <c r="X43" s="198">
        <f>Qty!AB43*'Prop. prices'!X43*X$7</f>
        <v>0</v>
      </c>
      <c r="Y43" s="198">
        <f>Qty!AC43*'Prop. prices'!Y43*Y$7</f>
        <v>0</v>
      </c>
      <c r="Z43" s="198">
        <f>Qty!AD43*'Prop. prices'!Z43*Z$7</f>
        <v>0</v>
      </c>
      <c r="AA43" s="198">
        <f>Qty!AE43*'Prop. prices'!AA43*AA$7</f>
        <v>0</v>
      </c>
      <c r="AB43" s="198">
        <f>Qty!AF43*'Prop. prices'!AB43*AB$7</f>
        <v>0</v>
      </c>
      <c r="AC43" s="206">
        <f t="shared" si="2"/>
        <v>0</v>
      </c>
      <c r="AD43" s="19"/>
      <c r="AE43" s="19"/>
      <c r="AF43" s="19"/>
      <c r="AG43" s="19"/>
    </row>
    <row r="44" spans="1:33" hidden="1" outlineLevel="3" x14ac:dyDescent="0.2">
      <c r="A44" s="19"/>
      <c r="B44" s="19"/>
      <c r="C44" s="506">
        <f>Qty!C44</f>
        <v>0</v>
      </c>
      <c r="D44" s="505">
        <f>Qty!D44</f>
        <v>0</v>
      </c>
      <c r="E44" s="505">
        <f>Qty!E44</f>
        <v>0</v>
      </c>
      <c r="F44" s="505">
        <f>Qty!F44</f>
        <v>0</v>
      </c>
      <c r="G44" s="505">
        <f>Qty!G44</f>
        <v>0</v>
      </c>
      <c r="H44" s="58"/>
      <c r="I44" s="198">
        <f>Qty!M44*'Prop. prices'!I44*I$7</f>
        <v>0</v>
      </c>
      <c r="J44" s="198">
        <f>Qty!N44*'Prop. prices'!J44*J$7</f>
        <v>0</v>
      </c>
      <c r="K44" s="198">
        <f>Qty!O44*'Prop. prices'!K44*K$7</f>
        <v>0</v>
      </c>
      <c r="L44" s="198">
        <f>Qty!P44*'Prop. prices'!L44*L$7</f>
        <v>0</v>
      </c>
      <c r="M44" s="198">
        <f>Qty!Q44*'Prop. prices'!M44*M$7</f>
        <v>0</v>
      </c>
      <c r="N44" s="198">
        <f>Qty!R44*'Prop. prices'!N44*N$7</f>
        <v>0</v>
      </c>
      <c r="O44" s="198">
        <f>Qty!S44*'Prop. prices'!O44*O$7</f>
        <v>0</v>
      </c>
      <c r="P44" s="198">
        <f>Qty!T44*'Prop. prices'!P44*P$7</f>
        <v>0</v>
      </c>
      <c r="Q44" s="198">
        <f>Qty!U44*'Prop. prices'!Q44*Q$7</f>
        <v>0</v>
      </c>
      <c r="R44" s="198">
        <f>Qty!V44*'Prop. prices'!R44*R$7</f>
        <v>0</v>
      </c>
      <c r="S44" s="198">
        <f>Qty!W44*'Prop. prices'!S44*S$7</f>
        <v>0</v>
      </c>
      <c r="T44" s="198">
        <f>Qty!X44*'Prop. prices'!T44*T$7</f>
        <v>0</v>
      </c>
      <c r="U44" s="198">
        <f>Qty!Y44*'Prop. prices'!U44*U$7</f>
        <v>0</v>
      </c>
      <c r="V44" s="198">
        <f>Qty!Z44*'Prop. prices'!V44*V$7</f>
        <v>0</v>
      </c>
      <c r="W44" s="198">
        <f>Qty!AA44*'Prop. prices'!W44*W$7</f>
        <v>0</v>
      </c>
      <c r="X44" s="198">
        <f>Qty!AB44*'Prop. prices'!X44*X$7</f>
        <v>0</v>
      </c>
      <c r="Y44" s="198">
        <f>Qty!AC44*'Prop. prices'!Y44*Y$7</f>
        <v>0</v>
      </c>
      <c r="Z44" s="198">
        <f>Qty!AD44*'Prop. prices'!Z44*Z$7</f>
        <v>0</v>
      </c>
      <c r="AA44" s="198">
        <f>Qty!AE44*'Prop. prices'!AA44*AA$7</f>
        <v>0</v>
      </c>
      <c r="AB44" s="198">
        <f>Qty!AF44*'Prop. prices'!AB44*AB$7</f>
        <v>0</v>
      </c>
      <c r="AC44" s="206">
        <f t="shared" si="2"/>
        <v>0</v>
      </c>
      <c r="AD44" s="19"/>
      <c r="AE44" s="19"/>
      <c r="AF44" s="19"/>
      <c r="AG44" s="19"/>
    </row>
    <row r="45" spans="1:33" hidden="1" outlineLevel="3" x14ac:dyDescent="0.2">
      <c r="A45" s="19"/>
      <c r="B45" s="19"/>
      <c r="C45" s="506">
        <f>Qty!C45</f>
        <v>0</v>
      </c>
      <c r="D45" s="505">
        <f>Qty!D45</f>
        <v>0</v>
      </c>
      <c r="E45" s="505">
        <f>Qty!E45</f>
        <v>0</v>
      </c>
      <c r="F45" s="505">
        <f>Qty!F45</f>
        <v>0</v>
      </c>
      <c r="G45" s="505">
        <f>Qty!G45</f>
        <v>0</v>
      </c>
      <c r="H45" s="58"/>
      <c r="I45" s="198">
        <f>Qty!M45*'Prop. prices'!I45*I$7</f>
        <v>0</v>
      </c>
      <c r="J45" s="198">
        <f>Qty!N45*'Prop. prices'!J45*J$7</f>
        <v>0</v>
      </c>
      <c r="K45" s="198">
        <f>Qty!O45*'Prop. prices'!K45*K$7</f>
        <v>0</v>
      </c>
      <c r="L45" s="198">
        <f>Qty!P45*'Prop. prices'!L45*L$7</f>
        <v>0</v>
      </c>
      <c r="M45" s="198">
        <f>Qty!Q45*'Prop. prices'!M45*M$7</f>
        <v>0</v>
      </c>
      <c r="N45" s="198">
        <f>Qty!R45*'Prop. prices'!N45*N$7</f>
        <v>0</v>
      </c>
      <c r="O45" s="198">
        <f>Qty!S45*'Prop. prices'!O45*O$7</f>
        <v>0</v>
      </c>
      <c r="P45" s="198">
        <f>Qty!T45*'Prop. prices'!P45*P$7</f>
        <v>0</v>
      </c>
      <c r="Q45" s="198">
        <f>Qty!U45*'Prop. prices'!Q45*Q$7</f>
        <v>0</v>
      </c>
      <c r="R45" s="198">
        <f>Qty!V45*'Prop. prices'!R45*R$7</f>
        <v>0</v>
      </c>
      <c r="S45" s="198">
        <f>Qty!W45*'Prop. prices'!S45*S$7</f>
        <v>0</v>
      </c>
      <c r="T45" s="198">
        <f>Qty!X45*'Prop. prices'!T45*T$7</f>
        <v>0</v>
      </c>
      <c r="U45" s="198">
        <f>Qty!Y45*'Prop. prices'!U45*U$7</f>
        <v>0</v>
      </c>
      <c r="V45" s="198">
        <f>Qty!Z45*'Prop. prices'!V45*V$7</f>
        <v>0</v>
      </c>
      <c r="W45" s="198">
        <f>Qty!AA45*'Prop. prices'!W45*W$7</f>
        <v>0</v>
      </c>
      <c r="X45" s="198">
        <f>Qty!AB45*'Prop. prices'!X45*X$7</f>
        <v>0</v>
      </c>
      <c r="Y45" s="198">
        <f>Qty!AC45*'Prop. prices'!Y45*Y$7</f>
        <v>0</v>
      </c>
      <c r="Z45" s="198">
        <f>Qty!AD45*'Prop. prices'!Z45*Z$7</f>
        <v>0</v>
      </c>
      <c r="AA45" s="198">
        <f>Qty!AE45*'Prop. prices'!AA45*AA$7</f>
        <v>0</v>
      </c>
      <c r="AB45" s="198">
        <f>Qty!AF45*'Prop. prices'!AB45*AB$7</f>
        <v>0</v>
      </c>
      <c r="AC45" s="206">
        <f t="shared" si="2"/>
        <v>0</v>
      </c>
      <c r="AD45" s="19"/>
      <c r="AE45" s="19"/>
      <c r="AF45" s="19"/>
      <c r="AG45" s="19"/>
    </row>
    <row r="46" spans="1:33" hidden="1" outlineLevel="3" x14ac:dyDescent="0.2">
      <c r="A46" s="19"/>
      <c r="B46" s="19"/>
      <c r="C46" s="506">
        <f>Qty!C46</f>
        <v>0</v>
      </c>
      <c r="D46" s="505">
        <f>Qty!D46</f>
        <v>0</v>
      </c>
      <c r="E46" s="505">
        <f>Qty!E46</f>
        <v>0</v>
      </c>
      <c r="F46" s="505">
        <f>Qty!F46</f>
        <v>0</v>
      </c>
      <c r="G46" s="505">
        <f>Qty!G46</f>
        <v>0</v>
      </c>
      <c r="H46" s="58"/>
      <c r="I46" s="198">
        <f>Qty!M46*'Prop. prices'!I46*I$7</f>
        <v>0</v>
      </c>
      <c r="J46" s="198">
        <f>Qty!N46*'Prop. prices'!J46*J$7</f>
        <v>0</v>
      </c>
      <c r="K46" s="198">
        <f>Qty!O46*'Prop. prices'!K46*K$7</f>
        <v>0</v>
      </c>
      <c r="L46" s="198">
        <f>Qty!P46*'Prop. prices'!L46*L$7</f>
        <v>0</v>
      </c>
      <c r="M46" s="198">
        <f>Qty!Q46*'Prop. prices'!M46*M$7</f>
        <v>0</v>
      </c>
      <c r="N46" s="198">
        <f>Qty!R46*'Prop. prices'!N46*N$7</f>
        <v>0</v>
      </c>
      <c r="O46" s="198">
        <f>Qty!S46*'Prop. prices'!O46*O$7</f>
        <v>0</v>
      </c>
      <c r="P46" s="198">
        <f>Qty!T46*'Prop. prices'!P46*P$7</f>
        <v>0</v>
      </c>
      <c r="Q46" s="198">
        <f>Qty!U46*'Prop. prices'!Q46*Q$7</f>
        <v>0</v>
      </c>
      <c r="R46" s="198">
        <f>Qty!V46*'Prop. prices'!R46*R$7</f>
        <v>0</v>
      </c>
      <c r="S46" s="198">
        <f>Qty!W46*'Prop. prices'!S46*S$7</f>
        <v>0</v>
      </c>
      <c r="T46" s="198">
        <f>Qty!X46*'Prop. prices'!T46*T$7</f>
        <v>0</v>
      </c>
      <c r="U46" s="198">
        <f>Qty!Y46*'Prop. prices'!U46*U$7</f>
        <v>0</v>
      </c>
      <c r="V46" s="198">
        <f>Qty!Z46*'Prop. prices'!V46*V$7</f>
        <v>0</v>
      </c>
      <c r="W46" s="198">
        <f>Qty!AA46*'Prop. prices'!W46*W$7</f>
        <v>0</v>
      </c>
      <c r="X46" s="198">
        <f>Qty!AB46*'Prop. prices'!X46*X$7</f>
        <v>0</v>
      </c>
      <c r="Y46" s="198">
        <f>Qty!AC46*'Prop. prices'!Y46*Y$7</f>
        <v>0</v>
      </c>
      <c r="Z46" s="198">
        <f>Qty!AD46*'Prop. prices'!Z46*Z$7</f>
        <v>0</v>
      </c>
      <c r="AA46" s="198">
        <f>Qty!AE46*'Prop. prices'!AA46*AA$7</f>
        <v>0</v>
      </c>
      <c r="AB46" s="198">
        <f>Qty!AF46*'Prop. prices'!AB46*AB$7</f>
        <v>0</v>
      </c>
      <c r="AC46" s="206">
        <f t="shared" si="2"/>
        <v>0</v>
      </c>
      <c r="AD46" s="19"/>
      <c r="AE46" s="19"/>
      <c r="AF46" s="19"/>
      <c r="AG46" s="19"/>
    </row>
    <row r="47" spans="1:33" hidden="1" outlineLevel="3" x14ac:dyDescent="0.2">
      <c r="A47" s="19"/>
      <c r="B47" s="19"/>
      <c r="C47" s="506">
        <f>Qty!C47</f>
        <v>0</v>
      </c>
      <c r="D47" s="505">
        <f>Qty!D47</f>
        <v>0</v>
      </c>
      <c r="E47" s="505">
        <f>Qty!E47</f>
        <v>0</v>
      </c>
      <c r="F47" s="505">
        <f>Qty!F47</f>
        <v>0</v>
      </c>
      <c r="G47" s="505">
        <f>Qty!G47</f>
        <v>0</v>
      </c>
      <c r="H47" s="58"/>
      <c r="I47" s="198">
        <f>Qty!M47*'Prop. prices'!I47*I$7</f>
        <v>0</v>
      </c>
      <c r="J47" s="198">
        <f>Qty!N47*'Prop. prices'!J47*J$7</f>
        <v>0</v>
      </c>
      <c r="K47" s="198">
        <f>Qty!O47*'Prop. prices'!K47*K$7</f>
        <v>0</v>
      </c>
      <c r="L47" s="198">
        <f>Qty!P47*'Prop. prices'!L47*L$7</f>
        <v>0</v>
      </c>
      <c r="M47" s="198">
        <f>Qty!Q47*'Prop. prices'!M47*M$7</f>
        <v>0</v>
      </c>
      <c r="N47" s="198">
        <f>Qty!R47*'Prop. prices'!N47*N$7</f>
        <v>0</v>
      </c>
      <c r="O47" s="198">
        <f>Qty!S47*'Prop. prices'!O47*O$7</f>
        <v>0</v>
      </c>
      <c r="P47" s="198">
        <f>Qty!T47*'Prop. prices'!P47*P$7</f>
        <v>0</v>
      </c>
      <c r="Q47" s="198">
        <f>Qty!U47*'Prop. prices'!Q47*Q$7</f>
        <v>0</v>
      </c>
      <c r="R47" s="198">
        <f>Qty!V47*'Prop. prices'!R47*R$7</f>
        <v>0</v>
      </c>
      <c r="S47" s="198">
        <f>Qty!W47*'Prop. prices'!S47*S$7</f>
        <v>0</v>
      </c>
      <c r="T47" s="198">
        <f>Qty!X47*'Prop. prices'!T47*T$7</f>
        <v>0</v>
      </c>
      <c r="U47" s="198">
        <f>Qty!Y47*'Prop. prices'!U47*U$7</f>
        <v>0</v>
      </c>
      <c r="V47" s="198">
        <f>Qty!Z47*'Prop. prices'!V47*V$7</f>
        <v>0</v>
      </c>
      <c r="W47" s="198">
        <f>Qty!AA47*'Prop. prices'!W47*W$7</f>
        <v>0</v>
      </c>
      <c r="X47" s="198">
        <f>Qty!AB47*'Prop. prices'!X47*X$7</f>
        <v>0</v>
      </c>
      <c r="Y47" s="198">
        <f>Qty!AC47*'Prop. prices'!Y47*Y$7</f>
        <v>0</v>
      </c>
      <c r="Z47" s="198">
        <f>Qty!AD47*'Prop. prices'!Z47*Z$7</f>
        <v>0</v>
      </c>
      <c r="AA47" s="198">
        <f>Qty!AE47*'Prop. prices'!AA47*AA$7</f>
        <v>0</v>
      </c>
      <c r="AB47" s="198">
        <f>Qty!AF47*'Prop. prices'!AB47*AB$7</f>
        <v>0</v>
      </c>
      <c r="AC47" s="206">
        <f t="shared" si="2"/>
        <v>0</v>
      </c>
      <c r="AD47" s="19"/>
      <c r="AE47" s="19"/>
      <c r="AF47" s="19"/>
      <c r="AG47" s="19"/>
    </row>
    <row r="48" spans="1:33" hidden="1" outlineLevel="3" x14ac:dyDescent="0.2">
      <c r="A48" s="19"/>
      <c r="B48" s="19"/>
      <c r="C48" s="506">
        <f>Qty!C48</f>
        <v>0</v>
      </c>
      <c r="D48" s="505">
        <f>Qty!D48</f>
        <v>0</v>
      </c>
      <c r="E48" s="505">
        <f>Qty!E48</f>
        <v>0</v>
      </c>
      <c r="F48" s="505">
        <f>Qty!F48</f>
        <v>0</v>
      </c>
      <c r="G48" s="505">
        <f>Qty!G48</f>
        <v>0</v>
      </c>
      <c r="H48" s="58"/>
      <c r="I48" s="198">
        <f>Qty!M48*'Prop. prices'!I48*I$7</f>
        <v>0</v>
      </c>
      <c r="J48" s="198">
        <f>Qty!N48*'Prop. prices'!J48*J$7</f>
        <v>0</v>
      </c>
      <c r="K48" s="198">
        <f>Qty!O48*'Prop. prices'!K48*K$7</f>
        <v>0</v>
      </c>
      <c r="L48" s="198">
        <f>Qty!P48*'Prop. prices'!L48*L$7</f>
        <v>0</v>
      </c>
      <c r="M48" s="198">
        <f>Qty!Q48*'Prop. prices'!M48*M$7</f>
        <v>0</v>
      </c>
      <c r="N48" s="198">
        <f>Qty!R48*'Prop. prices'!N48*N$7</f>
        <v>0</v>
      </c>
      <c r="O48" s="198">
        <f>Qty!S48*'Prop. prices'!O48*O$7</f>
        <v>0</v>
      </c>
      <c r="P48" s="198">
        <f>Qty!T48*'Prop. prices'!P48*P$7</f>
        <v>0</v>
      </c>
      <c r="Q48" s="198">
        <f>Qty!U48*'Prop. prices'!Q48*Q$7</f>
        <v>0</v>
      </c>
      <c r="R48" s="198">
        <f>Qty!V48*'Prop. prices'!R48*R$7</f>
        <v>0</v>
      </c>
      <c r="S48" s="198">
        <f>Qty!W48*'Prop. prices'!S48*S$7</f>
        <v>0</v>
      </c>
      <c r="T48" s="198">
        <f>Qty!X48*'Prop. prices'!T48*T$7</f>
        <v>0</v>
      </c>
      <c r="U48" s="198">
        <f>Qty!Y48*'Prop. prices'!U48*U$7</f>
        <v>0</v>
      </c>
      <c r="V48" s="198">
        <f>Qty!Z48*'Prop. prices'!V48*V$7</f>
        <v>0</v>
      </c>
      <c r="W48" s="198">
        <f>Qty!AA48*'Prop. prices'!W48*W$7</f>
        <v>0</v>
      </c>
      <c r="X48" s="198">
        <f>Qty!AB48*'Prop. prices'!X48*X$7</f>
        <v>0</v>
      </c>
      <c r="Y48" s="198">
        <f>Qty!AC48*'Prop. prices'!Y48*Y$7</f>
        <v>0</v>
      </c>
      <c r="Z48" s="198">
        <f>Qty!AD48*'Prop. prices'!Z48*Z$7</f>
        <v>0</v>
      </c>
      <c r="AA48" s="198">
        <f>Qty!AE48*'Prop. prices'!AA48*AA$7</f>
        <v>0</v>
      </c>
      <c r="AB48" s="198">
        <f>Qty!AF48*'Prop. prices'!AB48*AB$7</f>
        <v>0</v>
      </c>
      <c r="AC48" s="206">
        <f t="shared" si="2"/>
        <v>0</v>
      </c>
      <c r="AD48" s="19"/>
      <c r="AE48" s="19"/>
      <c r="AF48" s="19"/>
      <c r="AG48" s="19"/>
    </row>
    <row r="49" spans="1:33" hidden="1" outlineLevel="3" x14ac:dyDescent="0.2">
      <c r="A49" s="19"/>
      <c r="B49" s="19"/>
      <c r="C49" s="506">
        <f>Qty!C49</f>
        <v>0</v>
      </c>
      <c r="D49" s="505">
        <f>Qty!D49</f>
        <v>0</v>
      </c>
      <c r="E49" s="505">
        <f>Qty!E49</f>
        <v>0</v>
      </c>
      <c r="F49" s="505">
        <f>Qty!F49</f>
        <v>0</v>
      </c>
      <c r="G49" s="505">
        <f>Qty!G49</f>
        <v>0</v>
      </c>
      <c r="H49" s="58"/>
      <c r="I49" s="198">
        <f>Qty!M49*'Prop. prices'!I49*I$7</f>
        <v>0</v>
      </c>
      <c r="J49" s="198">
        <f>Qty!N49*'Prop. prices'!J49*J$7</f>
        <v>0</v>
      </c>
      <c r="K49" s="198">
        <f>Qty!O49*'Prop. prices'!K49*K$7</f>
        <v>0</v>
      </c>
      <c r="L49" s="198">
        <f>Qty!P49*'Prop. prices'!L49*L$7</f>
        <v>0</v>
      </c>
      <c r="M49" s="198">
        <f>Qty!Q49*'Prop. prices'!M49*M$7</f>
        <v>0</v>
      </c>
      <c r="N49" s="198">
        <f>Qty!R49*'Prop. prices'!N49*N$7</f>
        <v>0</v>
      </c>
      <c r="O49" s="198">
        <f>Qty!S49*'Prop. prices'!O49*O$7</f>
        <v>0</v>
      </c>
      <c r="P49" s="198">
        <f>Qty!T49*'Prop. prices'!P49*P$7</f>
        <v>0</v>
      </c>
      <c r="Q49" s="198">
        <f>Qty!U49*'Prop. prices'!Q49*Q$7</f>
        <v>0</v>
      </c>
      <c r="R49" s="198">
        <f>Qty!V49*'Prop. prices'!R49*R$7</f>
        <v>0</v>
      </c>
      <c r="S49" s="198">
        <f>Qty!W49*'Prop. prices'!S49*S$7</f>
        <v>0</v>
      </c>
      <c r="T49" s="198">
        <f>Qty!X49*'Prop. prices'!T49*T$7</f>
        <v>0</v>
      </c>
      <c r="U49" s="198">
        <f>Qty!Y49*'Prop. prices'!U49*U$7</f>
        <v>0</v>
      </c>
      <c r="V49" s="198">
        <f>Qty!Z49*'Prop. prices'!V49*V$7</f>
        <v>0</v>
      </c>
      <c r="W49" s="198">
        <f>Qty!AA49*'Prop. prices'!W49*W$7</f>
        <v>0</v>
      </c>
      <c r="X49" s="198">
        <f>Qty!AB49*'Prop. prices'!X49*X$7</f>
        <v>0</v>
      </c>
      <c r="Y49" s="198">
        <f>Qty!AC49*'Prop. prices'!Y49*Y$7</f>
        <v>0</v>
      </c>
      <c r="Z49" s="198">
        <f>Qty!AD49*'Prop. prices'!Z49*Z$7</f>
        <v>0</v>
      </c>
      <c r="AA49" s="198">
        <f>Qty!AE49*'Prop. prices'!AA49*AA$7</f>
        <v>0</v>
      </c>
      <c r="AB49" s="198">
        <f>Qty!AF49*'Prop. prices'!AB49*AB$7</f>
        <v>0</v>
      </c>
      <c r="AC49" s="206">
        <f t="shared" si="2"/>
        <v>0</v>
      </c>
      <c r="AD49" s="19"/>
      <c r="AE49" s="19"/>
      <c r="AF49" s="19"/>
      <c r="AG49" s="19"/>
    </row>
    <row r="50" spans="1:33" hidden="1" outlineLevel="3" x14ac:dyDescent="0.2">
      <c r="A50" s="19"/>
      <c r="B50" s="19"/>
      <c r="C50" s="506">
        <f>Qty!C50</f>
        <v>0</v>
      </c>
      <c r="D50" s="505">
        <f>Qty!D50</f>
        <v>0</v>
      </c>
      <c r="E50" s="505">
        <f>Qty!E50</f>
        <v>0</v>
      </c>
      <c r="F50" s="505">
        <f>Qty!F50</f>
        <v>0</v>
      </c>
      <c r="G50" s="505">
        <f>Qty!G50</f>
        <v>0</v>
      </c>
      <c r="H50" s="58"/>
      <c r="I50" s="198">
        <f>Qty!M50*'Prop. prices'!I50*I$7</f>
        <v>0</v>
      </c>
      <c r="J50" s="198">
        <f>Qty!N50*'Prop. prices'!J50*J$7</f>
        <v>0</v>
      </c>
      <c r="K50" s="198">
        <f>Qty!O50*'Prop. prices'!K50*K$7</f>
        <v>0</v>
      </c>
      <c r="L50" s="198">
        <f>Qty!P50*'Prop. prices'!L50*L$7</f>
        <v>0</v>
      </c>
      <c r="M50" s="198">
        <f>Qty!Q50*'Prop. prices'!M50*M$7</f>
        <v>0</v>
      </c>
      <c r="N50" s="198">
        <f>Qty!R50*'Prop. prices'!N50*N$7</f>
        <v>0</v>
      </c>
      <c r="O50" s="198">
        <f>Qty!S50*'Prop. prices'!O50*O$7</f>
        <v>0</v>
      </c>
      <c r="P50" s="198">
        <f>Qty!T50*'Prop. prices'!P50*P$7</f>
        <v>0</v>
      </c>
      <c r="Q50" s="198">
        <f>Qty!U50*'Prop. prices'!Q50*Q$7</f>
        <v>0</v>
      </c>
      <c r="R50" s="198">
        <f>Qty!V50*'Prop. prices'!R50*R$7</f>
        <v>0</v>
      </c>
      <c r="S50" s="198">
        <f>Qty!W50*'Prop. prices'!S50*S$7</f>
        <v>0</v>
      </c>
      <c r="T50" s="198">
        <f>Qty!X50*'Prop. prices'!T50*T$7</f>
        <v>0</v>
      </c>
      <c r="U50" s="198">
        <f>Qty!Y50*'Prop. prices'!U50*U$7</f>
        <v>0</v>
      </c>
      <c r="V50" s="198">
        <f>Qty!Z50*'Prop. prices'!V50*V$7</f>
        <v>0</v>
      </c>
      <c r="W50" s="198">
        <f>Qty!AA50*'Prop. prices'!W50*W$7</f>
        <v>0</v>
      </c>
      <c r="X50" s="198">
        <f>Qty!AB50*'Prop. prices'!X50*X$7</f>
        <v>0</v>
      </c>
      <c r="Y50" s="198">
        <f>Qty!AC50*'Prop. prices'!Y50*Y$7</f>
        <v>0</v>
      </c>
      <c r="Z50" s="198">
        <f>Qty!AD50*'Prop. prices'!Z50*Z$7</f>
        <v>0</v>
      </c>
      <c r="AA50" s="198">
        <f>Qty!AE50*'Prop. prices'!AA50*AA$7</f>
        <v>0</v>
      </c>
      <c r="AB50" s="198">
        <f>Qty!AF50*'Prop. prices'!AB50*AB$7</f>
        <v>0</v>
      </c>
      <c r="AC50" s="206">
        <f t="shared" si="2"/>
        <v>0</v>
      </c>
      <c r="AD50" s="19"/>
      <c r="AE50" s="19"/>
      <c r="AF50" s="19"/>
      <c r="AG50" s="19"/>
    </row>
    <row r="51" spans="1:33" hidden="1" outlineLevel="3" x14ac:dyDescent="0.2">
      <c r="A51" s="19"/>
      <c r="B51" s="19"/>
      <c r="C51" s="506">
        <f>Qty!C51</f>
        <v>0</v>
      </c>
      <c r="D51" s="505">
        <f>Qty!D51</f>
        <v>0</v>
      </c>
      <c r="E51" s="505">
        <f>Qty!E51</f>
        <v>0</v>
      </c>
      <c r="F51" s="505">
        <f>Qty!F51</f>
        <v>0</v>
      </c>
      <c r="G51" s="505">
        <f>Qty!G51</f>
        <v>0</v>
      </c>
      <c r="H51" s="58"/>
      <c r="I51" s="198">
        <f>Qty!M51*'Prop. prices'!I51*I$7</f>
        <v>0</v>
      </c>
      <c r="J51" s="198">
        <f>Qty!N51*'Prop. prices'!J51*J$7</f>
        <v>0</v>
      </c>
      <c r="K51" s="198">
        <f>Qty!O51*'Prop. prices'!K51*K$7</f>
        <v>0</v>
      </c>
      <c r="L51" s="198">
        <f>Qty!P51*'Prop. prices'!L51*L$7</f>
        <v>0</v>
      </c>
      <c r="M51" s="198">
        <f>Qty!Q51*'Prop. prices'!M51*M$7</f>
        <v>0</v>
      </c>
      <c r="N51" s="198">
        <f>Qty!R51*'Prop. prices'!N51*N$7</f>
        <v>0</v>
      </c>
      <c r="O51" s="198">
        <f>Qty!S51*'Prop. prices'!O51*O$7</f>
        <v>0</v>
      </c>
      <c r="P51" s="198">
        <f>Qty!T51*'Prop. prices'!P51*P$7</f>
        <v>0</v>
      </c>
      <c r="Q51" s="198">
        <f>Qty!U51*'Prop. prices'!Q51*Q$7</f>
        <v>0</v>
      </c>
      <c r="R51" s="198">
        <f>Qty!V51*'Prop. prices'!R51*R$7</f>
        <v>0</v>
      </c>
      <c r="S51" s="198">
        <f>Qty!W51*'Prop. prices'!S51*S$7</f>
        <v>0</v>
      </c>
      <c r="T51" s="198">
        <f>Qty!X51*'Prop. prices'!T51*T$7</f>
        <v>0</v>
      </c>
      <c r="U51" s="198">
        <f>Qty!Y51*'Prop. prices'!U51*U$7</f>
        <v>0</v>
      </c>
      <c r="V51" s="198">
        <f>Qty!Z51*'Prop. prices'!V51*V$7</f>
        <v>0</v>
      </c>
      <c r="W51" s="198">
        <f>Qty!AA51*'Prop. prices'!W51*W$7</f>
        <v>0</v>
      </c>
      <c r="X51" s="198">
        <f>Qty!AB51*'Prop. prices'!X51*X$7</f>
        <v>0</v>
      </c>
      <c r="Y51" s="198">
        <f>Qty!AC51*'Prop. prices'!Y51*Y$7</f>
        <v>0</v>
      </c>
      <c r="Z51" s="198">
        <f>Qty!AD51*'Prop. prices'!Z51*Z$7</f>
        <v>0</v>
      </c>
      <c r="AA51" s="198">
        <f>Qty!AE51*'Prop. prices'!AA51*AA$7</f>
        <v>0</v>
      </c>
      <c r="AB51" s="198">
        <f>Qty!AF51*'Prop. prices'!AB51*AB$7</f>
        <v>0</v>
      </c>
      <c r="AC51" s="206">
        <f t="shared" si="2"/>
        <v>0</v>
      </c>
      <c r="AD51" s="19"/>
      <c r="AE51" s="19"/>
      <c r="AF51" s="19"/>
      <c r="AG51" s="19"/>
    </row>
    <row r="52" spans="1:33" hidden="1" outlineLevel="3" x14ac:dyDescent="0.2">
      <c r="A52" s="19"/>
      <c r="B52" s="19"/>
      <c r="C52" s="506">
        <f>Qty!C52</f>
        <v>0</v>
      </c>
      <c r="D52" s="505">
        <f>Qty!D52</f>
        <v>0</v>
      </c>
      <c r="E52" s="505">
        <f>Qty!E52</f>
        <v>0</v>
      </c>
      <c r="F52" s="505">
        <f>Qty!F52</f>
        <v>0</v>
      </c>
      <c r="G52" s="505">
        <f>Qty!G52</f>
        <v>0</v>
      </c>
      <c r="H52" s="58"/>
      <c r="I52" s="198">
        <f>Qty!M52*'Prop. prices'!I52*I$7</f>
        <v>0</v>
      </c>
      <c r="J52" s="198">
        <f>Qty!N52*'Prop. prices'!J52*J$7</f>
        <v>0</v>
      </c>
      <c r="K52" s="198">
        <f>Qty!O52*'Prop. prices'!K52*K$7</f>
        <v>0</v>
      </c>
      <c r="L52" s="198">
        <f>Qty!P52*'Prop. prices'!L52*L$7</f>
        <v>0</v>
      </c>
      <c r="M52" s="198">
        <f>Qty!Q52*'Prop. prices'!M52*M$7</f>
        <v>0</v>
      </c>
      <c r="N52" s="198">
        <f>Qty!R52*'Prop. prices'!N52*N$7</f>
        <v>0</v>
      </c>
      <c r="O52" s="198">
        <f>Qty!S52*'Prop. prices'!O52*O$7</f>
        <v>0</v>
      </c>
      <c r="P52" s="198">
        <f>Qty!T52*'Prop. prices'!P52*P$7</f>
        <v>0</v>
      </c>
      <c r="Q52" s="198">
        <f>Qty!U52*'Prop. prices'!Q52*Q$7</f>
        <v>0</v>
      </c>
      <c r="R52" s="198">
        <f>Qty!V52*'Prop. prices'!R52*R$7</f>
        <v>0</v>
      </c>
      <c r="S52" s="198">
        <f>Qty!W52*'Prop. prices'!S52*S$7</f>
        <v>0</v>
      </c>
      <c r="T52" s="198">
        <f>Qty!X52*'Prop. prices'!T52*T$7</f>
        <v>0</v>
      </c>
      <c r="U52" s="198">
        <f>Qty!Y52*'Prop. prices'!U52*U$7</f>
        <v>0</v>
      </c>
      <c r="V52" s="198">
        <f>Qty!Z52*'Prop. prices'!V52*V$7</f>
        <v>0</v>
      </c>
      <c r="W52" s="198">
        <f>Qty!AA52*'Prop. prices'!W52*W$7</f>
        <v>0</v>
      </c>
      <c r="X52" s="198">
        <f>Qty!AB52*'Prop. prices'!X52*X$7</f>
        <v>0</v>
      </c>
      <c r="Y52" s="198">
        <f>Qty!AC52*'Prop. prices'!Y52*Y$7</f>
        <v>0</v>
      </c>
      <c r="Z52" s="198">
        <f>Qty!AD52*'Prop. prices'!Z52*Z$7</f>
        <v>0</v>
      </c>
      <c r="AA52" s="198">
        <f>Qty!AE52*'Prop. prices'!AA52*AA$7</f>
        <v>0</v>
      </c>
      <c r="AB52" s="198">
        <f>Qty!AF52*'Prop. prices'!AB52*AB$7</f>
        <v>0</v>
      </c>
      <c r="AC52" s="206">
        <f t="shared" si="2"/>
        <v>0</v>
      </c>
      <c r="AD52" s="19"/>
      <c r="AE52" s="19"/>
      <c r="AF52" s="19"/>
      <c r="AG52" s="19"/>
    </row>
    <row r="53" spans="1:33" hidden="1" outlineLevel="3" x14ac:dyDescent="0.2">
      <c r="A53" s="19"/>
      <c r="B53" s="19"/>
      <c r="C53" s="506">
        <f>Qty!C53</f>
        <v>0</v>
      </c>
      <c r="D53" s="505">
        <f>Qty!D53</f>
        <v>0</v>
      </c>
      <c r="E53" s="505">
        <f>Qty!E53</f>
        <v>0</v>
      </c>
      <c r="F53" s="505">
        <f>Qty!F53</f>
        <v>0</v>
      </c>
      <c r="G53" s="505">
        <f>Qty!G53</f>
        <v>0</v>
      </c>
      <c r="H53" s="58"/>
      <c r="I53" s="198">
        <f>Qty!M53*'Prop. prices'!I53*I$7</f>
        <v>0</v>
      </c>
      <c r="J53" s="198">
        <f>Qty!N53*'Prop. prices'!J53*J$7</f>
        <v>0</v>
      </c>
      <c r="K53" s="198">
        <f>Qty!O53*'Prop. prices'!K53*K$7</f>
        <v>0</v>
      </c>
      <c r="L53" s="198">
        <f>Qty!P53*'Prop. prices'!L53*L$7</f>
        <v>0</v>
      </c>
      <c r="M53" s="198">
        <f>Qty!Q53*'Prop. prices'!M53*M$7</f>
        <v>0</v>
      </c>
      <c r="N53" s="198">
        <f>Qty!R53*'Prop. prices'!N53*N$7</f>
        <v>0</v>
      </c>
      <c r="O53" s="198">
        <f>Qty!S53*'Prop. prices'!O53*O$7</f>
        <v>0</v>
      </c>
      <c r="P53" s="198">
        <f>Qty!T53*'Prop. prices'!P53*P$7</f>
        <v>0</v>
      </c>
      <c r="Q53" s="198">
        <f>Qty!U53*'Prop. prices'!Q53*Q$7</f>
        <v>0</v>
      </c>
      <c r="R53" s="198">
        <f>Qty!V53*'Prop. prices'!R53*R$7</f>
        <v>0</v>
      </c>
      <c r="S53" s="198">
        <f>Qty!W53*'Prop. prices'!S53*S$7</f>
        <v>0</v>
      </c>
      <c r="T53" s="198">
        <f>Qty!X53*'Prop. prices'!T53*T$7</f>
        <v>0</v>
      </c>
      <c r="U53" s="198">
        <f>Qty!Y53*'Prop. prices'!U53*U$7</f>
        <v>0</v>
      </c>
      <c r="V53" s="198">
        <f>Qty!Z53*'Prop. prices'!V53*V$7</f>
        <v>0</v>
      </c>
      <c r="W53" s="198">
        <f>Qty!AA53*'Prop. prices'!W53*W$7</f>
        <v>0</v>
      </c>
      <c r="X53" s="198">
        <f>Qty!AB53*'Prop. prices'!X53*X$7</f>
        <v>0</v>
      </c>
      <c r="Y53" s="198">
        <f>Qty!AC53*'Prop. prices'!Y53*Y$7</f>
        <v>0</v>
      </c>
      <c r="Z53" s="198">
        <f>Qty!AD53*'Prop. prices'!Z53*Z$7</f>
        <v>0</v>
      </c>
      <c r="AA53" s="198">
        <f>Qty!AE53*'Prop. prices'!AA53*AA$7</f>
        <v>0</v>
      </c>
      <c r="AB53" s="198">
        <f>Qty!AF53*'Prop. prices'!AB53*AB$7</f>
        <v>0</v>
      </c>
      <c r="AC53" s="206">
        <f t="shared" si="2"/>
        <v>0</v>
      </c>
      <c r="AD53" s="19"/>
      <c r="AE53" s="19"/>
      <c r="AF53" s="19"/>
      <c r="AG53" s="19"/>
    </row>
    <row r="54" spans="1:33" hidden="1" outlineLevel="3" x14ac:dyDescent="0.2">
      <c r="A54" s="19"/>
      <c r="B54" s="19"/>
      <c r="C54" s="506">
        <f>Qty!C54</f>
        <v>0</v>
      </c>
      <c r="D54" s="505">
        <f>Qty!D54</f>
        <v>0</v>
      </c>
      <c r="E54" s="505">
        <f>Qty!E54</f>
        <v>0</v>
      </c>
      <c r="F54" s="505">
        <f>Qty!F54</f>
        <v>0</v>
      </c>
      <c r="G54" s="505">
        <f>Qty!G54</f>
        <v>0</v>
      </c>
      <c r="H54" s="58"/>
      <c r="I54" s="198">
        <f>Qty!M54*'Prop. prices'!I54*I$7</f>
        <v>0</v>
      </c>
      <c r="J54" s="198">
        <f>Qty!N54*'Prop. prices'!J54*J$7</f>
        <v>0</v>
      </c>
      <c r="K54" s="198">
        <f>Qty!O54*'Prop. prices'!K54*K$7</f>
        <v>0</v>
      </c>
      <c r="L54" s="198">
        <f>Qty!P54*'Prop. prices'!L54*L$7</f>
        <v>0</v>
      </c>
      <c r="M54" s="198">
        <f>Qty!Q54*'Prop. prices'!M54*M$7</f>
        <v>0</v>
      </c>
      <c r="N54" s="198">
        <f>Qty!R54*'Prop. prices'!N54*N$7</f>
        <v>0</v>
      </c>
      <c r="O54" s="198">
        <f>Qty!S54*'Prop. prices'!O54*O$7</f>
        <v>0</v>
      </c>
      <c r="P54" s="198">
        <f>Qty!T54*'Prop. prices'!P54*P$7</f>
        <v>0</v>
      </c>
      <c r="Q54" s="198">
        <f>Qty!U54*'Prop. prices'!Q54*Q$7</f>
        <v>0</v>
      </c>
      <c r="R54" s="198">
        <f>Qty!V54*'Prop. prices'!R54*R$7</f>
        <v>0</v>
      </c>
      <c r="S54" s="198">
        <f>Qty!W54*'Prop. prices'!S54*S$7</f>
        <v>0</v>
      </c>
      <c r="T54" s="198">
        <f>Qty!X54*'Prop. prices'!T54*T$7</f>
        <v>0</v>
      </c>
      <c r="U54" s="198">
        <f>Qty!Y54*'Prop. prices'!U54*U$7</f>
        <v>0</v>
      </c>
      <c r="V54" s="198">
        <f>Qty!Z54*'Prop. prices'!V54*V$7</f>
        <v>0</v>
      </c>
      <c r="W54" s="198">
        <f>Qty!AA54*'Prop. prices'!W54*W$7</f>
        <v>0</v>
      </c>
      <c r="X54" s="198">
        <f>Qty!AB54*'Prop. prices'!X54*X$7</f>
        <v>0</v>
      </c>
      <c r="Y54" s="198">
        <f>Qty!AC54*'Prop. prices'!Y54*Y$7</f>
        <v>0</v>
      </c>
      <c r="Z54" s="198">
        <f>Qty!AD54*'Prop. prices'!Z54*Z$7</f>
        <v>0</v>
      </c>
      <c r="AA54" s="198">
        <f>Qty!AE54*'Prop. prices'!AA54*AA$7</f>
        <v>0</v>
      </c>
      <c r="AB54" s="198">
        <f>Qty!AF54*'Prop. prices'!AB54*AB$7</f>
        <v>0</v>
      </c>
      <c r="AC54" s="206">
        <f t="shared" si="2"/>
        <v>0</v>
      </c>
      <c r="AD54" s="19"/>
      <c r="AE54" s="19"/>
      <c r="AF54" s="19"/>
      <c r="AG54" s="19"/>
    </row>
    <row r="55" spans="1:33" hidden="1" outlineLevel="3" x14ac:dyDescent="0.2">
      <c r="A55" s="19"/>
      <c r="B55" s="19"/>
      <c r="C55" s="506">
        <f>Qty!C55</f>
        <v>0</v>
      </c>
      <c r="D55" s="505">
        <f>Qty!D55</f>
        <v>0</v>
      </c>
      <c r="E55" s="505">
        <f>Qty!E55</f>
        <v>0</v>
      </c>
      <c r="F55" s="505">
        <f>Qty!F55</f>
        <v>0</v>
      </c>
      <c r="G55" s="505">
        <f>Qty!G55</f>
        <v>0</v>
      </c>
      <c r="H55" s="58"/>
      <c r="I55" s="198">
        <f>Qty!M55*'Prop. prices'!I55*I$7</f>
        <v>0</v>
      </c>
      <c r="J55" s="198">
        <f>Qty!N55*'Prop. prices'!J55*J$7</f>
        <v>0</v>
      </c>
      <c r="K55" s="198">
        <f>Qty!O55*'Prop. prices'!K55*K$7</f>
        <v>0</v>
      </c>
      <c r="L55" s="198">
        <f>Qty!P55*'Prop. prices'!L55*L$7</f>
        <v>0</v>
      </c>
      <c r="M55" s="198">
        <f>Qty!Q55*'Prop. prices'!M55*M$7</f>
        <v>0</v>
      </c>
      <c r="N55" s="198">
        <f>Qty!R55*'Prop. prices'!N55*N$7</f>
        <v>0</v>
      </c>
      <c r="O55" s="198">
        <f>Qty!S55*'Prop. prices'!O55*O$7</f>
        <v>0</v>
      </c>
      <c r="P55" s="198">
        <f>Qty!T55*'Prop. prices'!P55*P$7</f>
        <v>0</v>
      </c>
      <c r="Q55" s="198">
        <f>Qty!U55*'Prop. prices'!Q55*Q$7</f>
        <v>0</v>
      </c>
      <c r="R55" s="198">
        <f>Qty!V55*'Prop. prices'!R55*R$7</f>
        <v>0</v>
      </c>
      <c r="S55" s="198">
        <f>Qty!W55*'Prop. prices'!S55*S$7</f>
        <v>0</v>
      </c>
      <c r="T55" s="198">
        <f>Qty!X55*'Prop. prices'!T55*T$7</f>
        <v>0</v>
      </c>
      <c r="U55" s="198">
        <f>Qty!Y55*'Prop. prices'!U55*U$7</f>
        <v>0</v>
      </c>
      <c r="V55" s="198">
        <f>Qty!Z55*'Prop. prices'!V55*V$7</f>
        <v>0</v>
      </c>
      <c r="W55" s="198">
        <f>Qty!AA55*'Prop. prices'!W55*W$7</f>
        <v>0</v>
      </c>
      <c r="X55" s="198">
        <f>Qty!AB55*'Prop. prices'!X55*X$7</f>
        <v>0</v>
      </c>
      <c r="Y55" s="198">
        <f>Qty!AC55*'Prop. prices'!Y55*Y$7</f>
        <v>0</v>
      </c>
      <c r="Z55" s="198">
        <f>Qty!AD55*'Prop. prices'!Z55*Z$7</f>
        <v>0</v>
      </c>
      <c r="AA55" s="198">
        <f>Qty!AE55*'Prop. prices'!AA55*AA$7</f>
        <v>0</v>
      </c>
      <c r="AB55" s="198">
        <f>Qty!AF55*'Prop. prices'!AB55*AB$7</f>
        <v>0</v>
      </c>
      <c r="AC55" s="206">
        <f t="shared" si="2"/>
        <v>0</v>
      </c>
      <c r="AD55" s="19"/>
      <c r="AE55" s="19"/>
      <c r="AF55" s="19"/>
      <c r="AG55" s="19"/>
    </row>
    <row r="56" spans="1:33" hidden="1" outlineLevel="3" x14ac:dyDescent="0.2">
      <c r="A56" s="19"/>
      <c r="B56" s="19"/>
      <c r="C56" s="506">
        <f>Qty!C56</f>
        <v>0</v>
      </c>
      <c r="D56" s="505">
        <f>Qty!D56</f>
        <v>0</v>
      </c>
      <c r="E56" s="505">
        <f>Qty!E56</f>
        <v>0</v>
      </c>
      <c r="F56" s="505">
        <f>Qty!F56</f>
        <v>0</v>
      </c>
      <c r="G56" s="505">
        <f>Qty!G56</f>
        <v>0</v>
      </c>
      <c r="H56" s="58"/>
      <c r="I56" s="198">
        <f>Qty!M56*'Prop. prices'!I56*I$7</f>
        <v>0</v>
      </c>
      <c r="J56" s="198">
        <f>Qty!N56*'Prop. prices'!J56*J$7</f>
        <v>0</v>
      </c>
      <c r="K56" s="198">
        <f>Qty!O56*'Prop. prices'!K56*K$7</f>
        <v>0</v>
      </c>
      <c r="L56" s="198">
        <f>Qty!P56*'Prop. prices'!L56*L$7</f>
        <v>0</v>
      </c>
      <c r="M56" s="198">
        <f>Qty!Q56*'Prop. prices'!M56*M$7</f>
        <v>0</v>
      </c>
      <c r="N56" s="198">
        <f>Qty!R56*'Prop. prices'!N56*N$7</f>
        <v>0</v>
      </c>
      <c r="O56" s="198">
        <f>Qty!S56*'Prop. prices'!O56*O$7</f>
        <v>0</v>
      </c>
      <c r="P56" s="198">
        <f>Qty!T56*'Prop. prices'!P56*P$7</f>
        <v>0</v>
      </c>
      <c r="Q56" s="198">
        <f>Qty!U56*'Prop. prices'!Q56*Q$7</f>
        <v>0</v>
      </c>
      <c r="R56" s="198">
        <f>Qty!V56*'Prop. prices'!R56*R$7</f>
        <v>0</v>
      </c>
      <c r="S56" s="198">
        <f>Qty!W56*'Prop. prices'!S56*S$7</f>
        <v>0</v>
      </c>
      <c r="T56" s="198">
        <f>Qty!X56*'Prop. prices'!T56*T$7</f>
        <v>0</v>
      </c>
      <c r="U56" s="198">
        <f>Qty!Y56*'Prop. prices'!U56*U$7</f>
        <v>0</v>
      </c>
      <c r="V56" s="198">
        <f>Qty!Z56*'Prop. prices'!V56*V$7</f>
        <v>0</v>
      </c>
      <c r="W56" s="198">
        <f>Qty!AA56*'Prop. prices'!W56*W$7</f>
        <v>0</v>
      </c>
      <c r="X56" s="198">
        <f>Qty!AB56*'Prop. prices'!X56*X$7</f>
        <v>0</v>
      </c>
      <c r="Y56" s="198">
        <f>Qty!AC56*'Prop. prices'!Y56*Y$7</f>
        <v>0</v>
      </c>
      <c r="Z56" s="198">
        <f>Qty!AD56*'Prop. prices'!Z56*Z$7</f>
        <v>0</v>
      </c>
      <c r="AA56" s="198">
        <f>Qty!AE56*'Prop. prices'!AA56*AA$7</f>
        <v>0</v>
      </c>
      <c r="AB56" s="198">
        <f>Qty!AF56*'Prop. prices'!AB56*AB$7</f>
        <v>0</v>
      </c>
      <c r="AC56" s="206">
        <f t="shared" si="2"/>
        <v>0</v>
      </c>
      <c r="AD56" s="19"/>
      <c r="AE56" s="19"/>
      <c r="AF56" s="19"/>
      <c r="AG56" s="19"/>
    </row>
    <row r="57" spans="1:33" hidden="1" outlineLevel="3" x14ac:dyDescent="0.2">
      <c r="A57" s="19"/>
      <c r="B57" s="19"/>
      <c r="C57" s="506">
        <f>Qty!C57</f>
        <v>0</v>
      </c>
      <c r="D57" s="505">
        <f>Qty!D57</f>
        <v>0</v>
      </c>
      <c r="E57" s="505">
        <f>Qty!E57</f>
        <v>0</v>
      </c>
      <c r="F57" s="505">
        <f>Qty!F57</f>
        <v>0</v>
      </c>
      <c r="G57" s="505">
        <f>Qty!G57</f>
        <v>0</v>
      </c>
      <c r="H57" s="58"/>
      <c r="I57" s="198">
        <f>Qty!M57*'Prop. prices'!I57*I$7</f>
        <v>0</v>
      </c>
      <c r="J57" s="198">
        <f>Qty!N57*'Prop. prices'!J57*J$7</f>
        <v>0</v>
      </c>
      <c r="K57" s="198">
        <f>Qty!O57*'Prop. prices'!K57*K$7</f>
        <v>0</v>
      </c>
      <c r="L57" s="198">
        <f>Qty!P57*'Prop. prices'!L57*L$7</f>
        <v>0</v>
      </c>
      <c r="M57" s="198">
        <f>Qty!Q57*'Prop. prices'!M57*M$7</f>
        <v>0</v>
      </c>
      <c r="N57" s="198">
        <f>Qty!R57*'Prop. prices'!N57*N$7</f>
        <v>0</v>
      </c>
      <c r="O57" s="198">
        <f>Qty!S57*'Prop. prices'!O57*O$7</f>
        <v>0</v>
      </c>
      <c r="P57" s="198">
        <f>Qty!T57*'Prop. prices'!P57*P$7</f>
        <v>0</v>
      </c>
      <c r="Q57" s="198">
        <f>Qty!U57*'Prop. prices'!Q57*Q$7</f>
        <v>0</v>
      </c>
      <c r="R57" s="198">
        <f>Qty!V57*'Prop. prices'!R57*R$7</f>
        <v>0</v>
      </c>
      <c r="S57" s="198">
        <f>Qty!W57*'Prop. prices'!S57*S$7</f>
        <v>0</v>
      </c>
      <c r="T57" s="198">
        <f>Qty!X57*'Prop. prices'!T57*T$7</f>
        <v>0</v>
      </c>
      <c r="U57" s="198">
        <f>Qty!Y57*'Prop. prices'!U57*U$7</f>
        <v>0</v>
      </c>
      <c r="V57" s="198">
        <f>Qty!Z57*'Prop. prices'!V57*V$7</f>
        <v>0</v>
      </c>
      <c r="W57" s="198">
        <f>Qty!AA57*'Prop. prices'!W57*W$7</f>
        <v>0</v>
      </c>
      <c r="X57" s="198">
        <f>Qty!AB57*'Prop. prices'!X57*X$7</f>
        <v>0</v>
      </c>
      <c r="Y57" s="198">
        <f>Qty!AC57*'Prop. prices'!Y57*Y$7</f>
        <v>0</v>
      </c>
      <c r="Z57" s="198">
        <f>Qty!AD57*'Prop. prices'!Z57*Z$7</f>
        <v>0</v>
      </c>
      <c r="AA57" s="198">
        <f>Qty!AE57*'Prop. prices'!AA57*AA$7</f>
        <v>0</v>
      </c>
      <c r="AB57" s="198">
        <f>Qty!AF57*'Prop. prices'!AB57*AB$7</f>
        <v>0</v>
      </c>
      <c r="AC57" s="206">
        <f t="shared" si="2"/>
        <v>0</v>
      </c>
      <c r="AD57" s="19"/>
      <c r="AE57" s="19"/>
      <c r="AF57" s="19"/>
      <c r="AG57" s="19"/>
    </row>
    <row r="58" spans="1:33" hidden="1" outlineLevel="3" x14ac:dyDescent="0.2">
      <c r="A58" s="19"/>
      <c r="B58" s="19"/>
      <c r="C58" s="506">
        <f>Qty!C58</f>
        <v>0</v>
      </c>
      <c r="D58" s="505">
        <f>Qty!D58</f>
        <v>0</v>
      </c>
      <c r="E58" s="505">
        <f>Qty!E58</f>
        <v>0</v>
      </c>
      <c r="F58" s="505">
        <f>Qty!F58</f>
        <v>0</v>
      </c>
      <c r="G58" s="505">
        <f>Qty!G58</f>
        <v>0</v>
      </c>
      <c r="H58" s="58"/>
      <c r="I58" s="198">
        <f>Qty!M58*'Prop. prices'!I58*I$7</f>
        <v>0</v>
      </c>
      <c r="J58" s="198">
        <f>Qty!N58*'Prop. prices'!J58*J$7</f>
        <v>0</v>
      </c>
      <c r="K58" s="198">
        <f>Qty!O58*'Prop. prices'!K58*K$7</f>
        <v>0</v>
      </c>
      <c r="L58" s="198">
        <f>Qty!P58*'Prop. prices'!L58*L$7</f>
        <v>0</v>
      </c>
      <c r="M58" s="198">
        <f>Qty!Q58*'Prop. prices'!M58*M$7</f>
        <v>0</v>
      </c>
      <c r="N58" s="198">
        <f>Qty!R58*'Prop. prices'!N58*N$7</f>
        <v>0</v>
      </c>
      <c r="O58" s="198">
        <f>Qty!S58*'Prop. prices'!O58*O$7</f>
        <v>0</v>
      </c>
      <c r="P58" s="198">
        <f>Qty!T58*'Prop. prices'!P58*P$7</f>
        <v>0</v>
      </c>
      <c r="Q58" s="198">
        <f>Qty!U58*'Prop. prices'!Q58*Q$7</f>
        <v>0</v>
      </c>
      <c r="R58" s="198">
        <f>Qty!V58*'Prop. prices'!R58*R$7</f>
        <v>0</v>
      </c>
      <c r="S58" s="198">
        <f>Qty!W58*'Prop. prices'!S58*S$7</f>
        <v>0</v>
      </c>
      <c r="T58" s="198">
        <f>Qty!X58*'Prop. prices'!T58*T$7</f>
        <v>0</v>
      </c>
      <c r="U58" s="198">
        <f>Qty!Y58*'Prop. prices'!U58*U$7</f>
        <v>0</v>
      </c>
      <c r="V58" s="198">
        <f>Qty!Z58*'Prop. prices'!V58*V$7</f>
        <v>0</v>
      </c>
      <c r="W58" s="198">
        <f>Qty!AA58*'Prop. prices'!W58*W$7</f>
        <v>0</v>
      </c>
      <c r="X58" s="198">
        <f>Qty!AB58*'Prop. prices'!X58*X$7</f>
        <v>0</v>
      </c>
      <c r="Y58" s="198">
        <f>Qty!AC58*'Prop. prices'!Y58*Y$7</f>
        <v>0</v>
      </c>
      <c r="Z58" s="198">
        <f>Qty!AD58*'Prop. prices'!Z58*Z$7</f>
        <v>0</v>
      </c>
      <c r="AA58" s="198">
        <f>Qty!AE58*'Prop. prices'!AA58*AA$7</f>
        <v>0</v>
      </c>
      <c r="AB58" s="198">
        <f>Qty!AF58*'Prop. prices'!AB58*AB$7</f>
        <v>0</v>
      </c>
      <c r="AC58" s="206">
        <f t="shared" si="2"/>
        <v>0</v>
      </c>
      <c r="AD58" s="19"/>
      <c r="AE58" s="19"/>
      <c r="AF58" s="19"/>
      <c r="AG58" s="19"/>
    </row>
    <row r="59" spans="1:33" hidden="1" outlineLevel="3" x14ac:dyDescent="0.2">
      <c r="A59" s="19"/>
      <c r="B59" s="19"/>
      <c r="C59" s="506">
        <f>Qty!C59</f>
        <v>0</v>
      </c>
      <c r="D59" s="505">
        <f>Qty!D59</f>
        <v>0</v>
      </c>
      <c r="E59" s="505">
        <f>Qty!E59</f>
        <v>0</v>
      </c>
      <c r="F59" s="505">
        <f>Qty!F59</f>
        <v>0</v>
      </c>
      <c r="G59" s="505">
        <f>Qty!G59</f>
        <v>0</v>
      </c>
      <c r="H59" s="58"/>
      <c r="I59" s="198">
        <f>Qty!M59*'Prop. prices'!I59*I$7</f>
        <v>0</v>
      </c>
      <c r="J59" s="198">
        <f>Qty!N59*'Prop. prices'!J59*J$7</f>
        <v>0</v>
      </c>
      <c r="K59" s="198">
        <f>Qty!O59*'Prop. prices'!K59*K$7</f>
        <v>0</v>
      </c>
      <c r="L59" s="198">
        <f>Qty!P59*'Prop. prices'!L59*L$7</f>
        <v>0</v>
      </c>
      <c r="M59" s="198">
        <f>Qty!Q59*'Prop. prices'!M59*M$7</f>
        <v>0</v>
      </c>
      <c r="N59" s="198">
        <f>Qty!R59*'Prop. prices'!N59*N$7</f>
        <v>0</v>
      </c>
      <c r="O59" s="198">
        <f>Qty!S59*'Prop. prices'!O59*O$7</f>
        <v>0</v>
      </c>
      <c r="P59" s="198">
        <f>Qty!T59*'Prop. prices'!P59*P$7</f>
        <v>0</v>
      </c>
      <c r="Q59" s="198">
        <f>Qty!U59*'Prop. prices'!Q59*Q$7</f>
        <v>0</v>
      </c>
      <c r="R59" s="198">
        <f>Qty!V59*'Prop. prices'!R59*R$7</f>
        <v>0</v>
      </c>
      <c r="S59" s="198">
        <f>Qty!W59*'Prop. prices'!S59*S$7</f>
        <v>0</v>
      </c>
      <c r="T59" s="198">
        <f>Qty!X59*'Prop. prices'!T59*T$7</f>
        <v>0</v>
      </c>
      <c r="U59" s="198">
        <f>Qty!Y59*'Prop. prices'!U59*U$7</f>
        <v>0</v>
      </c>
      <c r="V59" s="198">
        <f>Qty!Z59*'Prop. prices'!V59*V$7</f>
        <v>0</v>
      </c>
      <c r="W59" s="198">
        <f>Qty!AA59*'Prop. prices'!W59*W$7</f>
        <v>0</v>
      </c>
      <c r="X59" s="198">
        <f>Qty!AB59*'Prop. prices'!X59*X$7</f>
        <v>0</v>
      </c>
      <c r="Y59" s="198">
        <f>Qty!AC59*'Prop. prices'!Y59*Y$7</f>
        <v>0</v>
      </c>
      <c r="Z59" s="198">
        <f>Qty!AD59*'Prop. prices'!Z59*Z$7</f>
        <v>0</v>
      </c>
      <c r="AA59" s="198">
        <f>Qty!AE59*'Prop. prices'!AA59*AA$7</f>
        <v>0</v>
      </c>
      <c r="AB59" s="198">
        <f>Qty!AF59*'Prop. prices'!AB59*AB$7</f>
        <v>0</v>
      </c>
      <c r="AC59" s="206">
        <f t="shared" si="2"/>
        <v>0</v>
      </c>
      <c r="AD59" s="19"/>
      <c r="AE59" s="19"/>
      <c r="AF59" s="19"/>
      <c r="AG59" s="19"/>
    </row>
    <row r="60" spans="1:33" hidden="1" outlineLevel="3" x14ac:dyDescent="0.2">
      <c r="A60" s="19"/>
      <c r="B60" s="19"/>
      <c r="C60" s="506">
        <f>Qty!C60</f>
        <v>0</v>
      </c>
      <c r="D60" s="505">
        <f>Qty!D60</f>
        <v>0</v>
      </c>
      <c r="E60" s="505">
        <f>Qty!E60</f>
        <v>0</v>
      </c>
      <c r="F60" s="505">
        <f>Qty!F60</f>
        <v>0</v>
      </c>
      <c r="G60" s="505">
        <f>Qty!G60</f>
        <v>0</v>
      </c>
      <c r="H60" s="58"/>
      <c r="I60" s="198">
        <f>Qty!M60*'Prop. prices'!I60*I$7</f>
        <v>0</v>
      </c>
      <c r="J60" s="198">
        <f>Qty!N60*'Prop. prices'!J60*J$7</f>
        <v>0</v>
      </c>
      <c r="K60" s="198">
        <f>Qty!O60*'Prop. prices'!K60*K$7</f>
        <v>0</v>
      </c>
      <c r="L60" s="198">
        <f>Qty!P60*'Prop. prices'!L60*L$7</f>
        <v>0</v>
      </c>
      <c r="M60" s="198">
        <f>Qty!Q60*'Prop. prices'!M60*M$7</f>
        <v>0</v>
      </c>
      <c r="N60" s="198">
        <f>Qty!R60*'Prop. prices'!N60*N$7</f>
        <v>0</v>
      </c>
      <c r="O60" s="198">
        <f>Qty!S60*'Prop. prices'!O60*O$7</f>
        <v>0</v>
      </c>
      <c r="P60" s="198">
        <f>Qty!T60*'Prop. prices'!P60*P$7</f>
        <v>0</v>
      </c>
      <c r="Q60" s="198">
        <f>Qty!U60*'Prop. prices'!Q60*Q$7</f>
        <v>0</v>
      </c>
      <c r="R60" s="198">
        <f>Qty!V60*'Prop. prices'!R60*R$7</f>
        <v>0</v>
      </c>
      <c r="S60" s="198">
        <f>Qty!W60*'Prop. prices'!S60*S$7</f>
        <v>0</v>
      </c>
      <c r="T60" s="198">
        <f>Qty!X60*'Prop. prices'!T60*T$7</f>
        <v>0</v>
      </c>
      <c r="U60" s="198">
        <f>Qty!Y60*'Prop. prices'!U60*U$7</f>
        <v>0</v>
      </c>
      <c r="V60" s="198">
        <f>Qty!Z60*'Prop. prices'!V60*V$7</f>
        <v>0</v>
      </c>
      <c r="W60" s="198">
        <f>Qty!AA60*'Prop. prices'!W60*W$7</f>
        <v>0</v>
      </c>
      <c r="X60" s="198">
        <f>Qty!AB60*'Prop. prices'!X60*X$7</f>
        <v>0</v>
      </c>
      <c r="Y60" s="198">
        <f>Qty!AC60*'Prop. prices'!Y60*Y$7</f>
        <v>0</v>
      </c>
      <c r="Z60" s="198">
        <f>Qty!AD60*'Prop. prices'!Z60*Z$7</f>
        <v>0</v>
      </c>
      <c r="AA60" s="198">
        <f>Qty!AE60*'Prop. prices'!AA60*AA$7</f>
        <v>0</v>
      </c>
      <c r="AB60" s="198">
        <f>Qty!AF60*'Prop. prices'!AB60*AB$7</f>
        <v>0</v>
      </c>
      <c r="AC60" s="206">
        <f t="shared" si="2"/>
        <v>0</v>
      </c>
      <c r="AD60" s="19"/>
      <c r="AE60" s="19"/>
      <c r="AF60" s="19"/>
      <c r="AG60" s="19"/>
    </row>
    <row r="61" spans="1:33" hidden="1" outlineLevel="3" x14ac:dyDescent="0.2">
      <c r="A61" s="19"/>
      <c r="B61" s="19"/>
      <c r="C61" s="506">
        <f>Qty!C61</f>
        <v>0</v>
      </c>
      <c r="D61" s="505">
        <f>Qty!D61</f>
        <v>0</v>
      </c>
      <c r="E61" s="505">
        <f>Qty!E61</f>
        <v>0</v>
      </c>
      <c r="F61" s="505">
        <f>Qty!F61</f>
        <v>0</v>
      </c>
      <c r="G61" s="505">
        <f>Qty!G61</f>
        <v>0</v>
      </c>
      <c r="H61" s="58"/>
      <c r="I61" s="198">
        <f>Qty!M61*'Prop. prices'!I61*I$7</f>
        <v>0</v>
      </c>
      <c r="J61" s="198">
        <f>Qty!N61*'Prop. prices'!J61*J$7</f>
        <v>0</v>
      </c>
      <c r="K61" s="198">
        <f>Qty!O61*'Prop. prices'!K61*K$7</f>
        <v>0</v>
      </c>
      <c r="L61" s="198">
        <f>Qty!P61*'Prop. prices'!L61*L$7</f>
        <v>0</v>
      </c>
      <c r="M61" s="198">
        <f>Qty!Q61*'Prop. prices'!M61*M$7</f>
        <v>0</v>
      </c>
      <c r="N61" s="198">
        <f>Qty!R61*'Prop. prices'!N61*N$7</f>
        <v>0</v>
      </c>
      <c r="O61" s="198">
        <f>Qty!S61*'Prop. prices'!O61*O$7</f>
        <v>0</v>
      </c>
      <c r="P61" s="198">
        <f>Qty!T61*'Prop. prices'!P61*P$7</f>
        <v>0</v>
      </c>
      <c r="Q61" s="198">
        <f>Qty!U61*'Prop. prices'!Q61*Q$7</f>
        <v>0</v>
      </c>
      <c r="R61" s="198">
        <f>Qty!V61*'Prop. prices'!R61*R$7</f>
        <v>0</v>
      </c>
      <c r="S61" s="198">
        <f>Qty!W61*'Prop. prices'!S61*S$7</f>
        <v>0</v>
      </c>
      <c r="T61" s="198">
        <f>Qty!X61*'Prop. prices'!T61*T$7</f>
        <v>0</v>
      </c>
      <c r="U61" s="198">
        <f>Qty!Y61*'Prop. prices'!U61*U$7</f>
        <v>0</v>
      </c>
      <c r="V61" s="198">
        <f>Qty!Z61*'Prop. prices'!V61*V$7</f>
        <v>0</v>
      </c>
      <c r="W61" s="198">
        <f>Qty!AA61*'Prop. prices'!W61*W$7</f>
        <v>0</v>
      </c>
      <c r="X61" s="198">
        <f>Qty!AB61*'Prop. prices'!X61*X$7</f>
        <v>0</v>
      </c>
      <c r="Y61" s="198">
        <f>Qty!AC61*'Prop. prices'!Y61*Y$7</f>
        <v>0</v>
      </c>
      <c r="Z61" s="198">
        <f>Qty!AD61*'Prop. prices'!Z61*Z$7</f>
        <v>0</v>
      </c>
      <c r="AA61" s="198">
        <f>Qty!AE61*'Prop. prices'!AA61*AA$7</f>
        <v>0</v>
      </c>
      <c r="AB61" s="198">
        <f>Qty!AF61*'Prop. prices'!AB61*AB$7</f>
        <v>0</v>
      </c>
      <c r="AC61" s="206">
        <f t="shared" si="2"/>
        <v>0</v>
      </c>
      <c r="AD61" s="19"/>
      <c r="AE61" s="19"/>
      <c r="AF61" s="19"/>
      <c r="AG61" s="19"/>
    </row>
    <row r="62" spans="1:33" hidden="1" outlineLevel="3" x14ac:dyDescent="0.2">
      <c r="A62" s="19"/>
      <c r="B62" s="19"/>
      <c r="C62" s="506">
        <f>Qty!C62</f>
        <v>0</v>
      </c>
      <c r="D62" s="505">
        <f>Qty!D62</f>
        <v>0</v>
      </c>
      <c r="E62" s="505">
        <f>Qty!E62</f>
        <v>0</v>
      </c>
      <c r="F62" s="505">
        <f>Qty!F62</f>
        <v>0</v>
      </c>
      <c r="G62" s="505">
        <f>Qty!G62</f>
        <v>0</v>
      </c>
      <c r="H62" s="58"/>
      <c r="I62" s="198">
        <f>Qty!M62*'Prop. prices'!I62*I$7</f>
        <v>0</v>
      </c>
      <c r="J62" s="198">
        <f>Qty!N62*'Prop. prices'!J62*J$7</f>
        <v>0</v>
      </c>
      <c r="K62" s="198">
        <f>Qty!O62*'Prop. prices'!K62*K$7</f>
        <v>0</v>
      </c>
      <c r="L62" s="198">
        <f>Qty!P62*'Prop. prices'!L62*L$7</f>
        <v>0</v>
      </c>
      <c r="M62" s="198">
        <f>Qty!Q62*'Prop. prices'!M62*M$7</f>
        <v>0</v>
      </c>
      <c r="N62" s="198">
        <f>Qty!R62*'Prop. prices'!N62*N$7</f>
        <v>0</v>
      </c>
      <c r="O62" s="198">
        <f>Qty!S62*'Prop. prices'!O62*O$7</f>
        <v>0</v>
      </c>
      <c r="P62" s="198">
        <f>Qty!T62*'Prop. prices'!P62*P$7</f>
        <v>0</v>
      </c>
      <c r="Q62" s="198">
        <f>Qty!U62*'Prop. prices'!Q62*Q$7</f>
        <v>0</v>
      </c>
      <c r="R62" s="198">
        <f>Qty!V62*'Prop. prices'!R62*R$7</f>
        <v>0</v>
      </c>
      <c r="S62" s="198">
        <f>Qty!W62*'Prop. prices'!S62*S$7</f>
        <v>0</v>
      </c>
      <c r="T62" s="198">
        <f>Qty!X62*'Prop. prices'!T62*T$7</f>
        <v>0</v>
      </c>
      <c r="U62" s="198">
        <f>Qty!Y62*'Prop. prices'!U62*U$7</f>
        <v>0</v>
      </c>
      <c r="V62" s="198">
        <f>Qty!Z62*'Prop. prices'!V62*V$7</f>
        <v>0</v>
      </c>
      <c r="W62" s="198">
        <f>Qty!AA62*'Prop. prices'!W62*W$7</f>
        <v>0</v>
      </c>
      <c r="X62" s="198">
        <f>Qty!AB62*'Prop. prices'!X62*X$7</f>
        <v>0</v>
      </c>
      <c r="Y62" s="198">
        <f>Qty!AC62*'Prop. prices'!Y62*Y$7</f>
        <v>0</v>
      </c>
      <c r="Z62" s="198">
        <f>Qty!AD62*'Prop. prices'!Z62*Z$7</f>
        <v>0</v>
      </c>
      <c r="AA62" s="198">
        <f>Qty!AE62*'Prop. prices'!AA62*AA$7</f>
        <v>0</v>
      </c>
      <c r="AB62" s="198">
        <f>Qty!AF62*'Prop. prices'!AB62*AB$7</f>
        <v>0</v>
      </c>
      <c r="AC62" s="206">
        <f t="shared" si="2"/>
        <v>0</v>
      </c>
      <c r="AD62" s="19"/>
      <c r="AE62" s="19"/>
      <c r="AF62" s="19"/>
      <c r="AG62" s="19"/>
    </row>
    <row r="63" spans="1:33" hidden="1" outlineLevel="3" x14ac:dyDescent="0.2">
      <c r="A63" s="19"/>
      <c r="B63" s="19"/>
      <c r="C63" s="506">
        <f>Qty!C63</f>
        <v>0</v>
      </c>
      <c r="D63" s="505">
        <f>Qty!D63</f>
        <v>0</v>
      </c>
      <c r="E63" s="505">
        <f>Qty!E63</f>
        <v>0</v>
      </c>
      <c r="F63" s="505">
        <f>Qty!F63</f>
        <v>0</v>
      </c>
      <c r="G63" s="505">
        <f>Qty!G63</f>
        <v>0</v>
      </c>
      <c r="H63" s="58"/>
      <c r="I63" s="198">
        <f>Qty!M63*'Prop. prices'!I63*I$7</f>
        <v>0</v>
      </c>
      <c r="J63" s="198">
        <f>Qty!N63*'Prop. prices'!J63*J$7</f>
        <v>0</v>
      </c>
      <c r="K63" s="198">
        <f>Qty!O63*'Prop. prices'!K63*K$7</f>
        <v>0</v>
      </c>
      <c r="L63" s="198">
        <f>Qty!P63*'Prop. prices'!L63*L$7</f>
        <v>0</v>
      </c>
      <c r="M63" s="198">
        <f>Qty!Q63*'Prop. prices'!M63*M$7</f>
        <v>0</v>
      </c>
      <c r="N63" s="198">
        <f>Qty!R63*'Prop. prices'!N63*N$7</f>
        <v>0</v>
      </c>
      <c r="O63" s="198">
        <f>Qty!S63*'Prop. prices'!O63*O$7</f>
        <v>0</v>
      </c>
      <c r="P63" s="198">
        <f>Qty!T63*'Prop. prices'!P63*P$7</f>
        <v>0</v>
      </c>
      <c r="Q63" s="198">
        <f>Qty!U63*'Prop. prices'!Q63*Q$7</f>
        <v>0</v>
      </c>
      <c r="R63" s="198">
        <f>Qty!V63*'Prop. prices'!R63*R$7</f>
        <v>0</v>
      </c>
      <c r="S63" s="198">
        <f>Qty!W63*'Prop. prices'!S63*S$7</f>
        <v>0</v>
      </c>
      <c r="T63" s="198">
        <f>Qty!X63*'Prop. prices'!T63*T$7</f>
        <v>0</v>
      </c>
      <c r="U63" s="198">
        <f>Qty!Y63*'Prop. prices'!U63*U$7</f>
        <v>0</v>
      </c>
      <c r="V63" s="198">
        <f>Qty!Z63*'Prop. prices'!V63*V$7</f>
        <v>0</v>
      </c>
      <c r="W63" s="198">
        <f>Qty!AA63*'Prop. prices'!W63*W$7</f>
        <v>0</v>
      </c>
      <c r="X63" s="198">
        <f>Qty!AB63*'Prop. prices'!X63*X$7</f>
        <v>0</v>
      </c>
      <c r="Y63" s="198">
        <f>Qty!AC63*'Prop. prices'!Y63*Y$7</f>
        <v>0</v>
      </c>
      <c r="Z63" s="198">
        <f>Qty!AD63*'Prop. prices'!Z63*Z$7</f>
        <v>0</v>
      </c>
      <c r="AA63" s="198">
        <f>Qty!AE63*'Prop. prices'!AA63*AA$7</f>
        <v>0</v>
      </c>
      <c r="AB63" s="198">
        <f>Qty!AF63*'Prop. prices'!AB63*AB$7</f>
        <v>0</v>
      </c>
      <c r="AC63" s="206">
        <f t="shared" si="2"/>
        <v>0</v>
      </c>
      <c r="AD63" s="19"/>
      <c r="AE63" s="19"/>
      <c r="AF63" s="19"/>
      <c r="AG63" s="19"/>
    </row>
    <row r="64" spans="1:33" hidden="1" outlineLevel="3" x14ac:dyDescent="0.2">
      <c r="A64" s="19"/>
      <c r="B64" s="19"/>
      <c r="C64" s="506">
        <f>Qty!C64</f>
        <v>0</v>
      </c>
      <c r="D64" s="505">
        <f>Qty!D64</f>
        <v>0</v>
      </c>
      <c r="E64" s="505">
        <f>Qty!E64</f>
        <v>0</v>
      </c>
      <c r="F64" s="505">
        <f>Qty!F64</f>
        <v>0</v>
      </c>
      <c r="G64" s="505">
        <f>Qty!G64</f>
        <v>0</v>
      </c>
      <c r="H64" s="58"/>
      <c r="I64" s="198">
        <f>Qty!M64*'Prop. prices'!I64*I$7</f>
        <v>0</v>
      </c>
      <c r="J64" s="198">
        <f>Qty!N64*'Prop. prices'!J64*J$7</f>
        <v>0</v>
      </c>
      <c r="K64" s="198">
        <f>Qty!O64*'Prop. prices'!K64*K$7</f>
        <v>0</v>
      </c>
      <c r="L64" s="198">
        <f>Qty!P64*'Prop. prices'!L64*L$7</f>
        <v>0</v>
      </c>
      <c r="M64" s="198">
        <f>Qty!Q64*'Prop. prices'!M64*M$7</f>
        <v>0</v>
      </c>
      <c r="N64" s="198">
        <f>Qty!R64*'Prop. prices'!N64*N$7</f>
        <v>0</v>
      </c>
      <c r="O64" s="198">
        <f>Qty!S64*'Prop. prices'!O64*O$7</f>
        <v>0</v>
      </c>
      <c r="P64" s="198">
        <f>Qty!T64*'Prop. prices'!P64*P$7</f>
        <v>0</v>
      </c>
      <c r="Q64" s="198">
        <f>Qty!U64*'Prop. prices'!Q64*Q$7</f>
        <v>0</v>
      </c>
      <c r="R64" s="198">
        <f>Qty!V64*'Prop. prices'!R64*R$7</f>
        <v>0</v>
      </c>
      <c r="S64" s="198">
        <f>Qty!W64*'Prop. prices'!S64*S$7</f>
        <v>0</v>
      </c>
      <c r="T64" s="198">
        <f>Qty!X64*'Prop. prices'!T64*T$7</f>
        <v>0</v>
      </c>
      <c r="U64" s="198">
        <f>Qty!Y64*'Prop. prices'!U64*U$7</f>
        <v>0</v>
      </c>
      <c r="V64" s="198">
        <f>Qty!Z64*'Prop. prices'!V64*V$7</f>
        <v>0</v>
      </c>
      <c r="W64" s="198">
        <f>Qty!AA64*'Prop. prices'!W64*W$7</f>
        <v>0</v>
      </c>
      <c r="X64" s="198">
        <f>Qty!AB64*'Prop. prices'!X64*X$7</f>
        <v>0</v>
      </c>
      <c r="Y64" s="198">
        <f>Qty!AC64*'Prop. prices'!Y64*Y$7</f>
        <v>0</v>
      </c>
      <c r="Z64" s="198">
        <f>Qty!AD64*'Prop. prices'!Z64*Z$7</f>
        <v>0</v>
      </c>
      <c r="AA64" s="198">
        <f>Qty!AE64*'Prop. prices'!AA64*AA$7</f>
        <v>0</v>
      </c>
      <c r="AB64" s="198">
        <f>Qty!AF64*'Prop. prices'!AB64*AB$7</f>
        <v>0</v>
      </c>
      <c r="AC64" s="206">
        <f t="shared" si="2"/>
        <v>0</v>
      </c>
      <c r="AD64" s="19"/>
      <c r="AE64" s="19"/>
      <c r="AF64" s="19"/>
      <c r="AG64" s="19"/>
    </row>
    <row r="65" spans="1:33" hidden="1" outlineLevel="3" x14ac:dyDescent="0.2">
      <c r="A65" s="19"/>
      <c r="B65" s="19"/>
      <c r="C65" s="506">
        <f>Qty!C65</f>
        <v>0</v>
      </c>
      <c r="D65" s="505">
        <f>Qty!D65</f>
        <v>0</v>
      </c>
      <c r="E65" s="505">
        <f>Qty!E65</f>
        <v>0</v>
      </c>
      <c r="F65" s="505">
        <f>Qty!F65</f>
        <v>0</v>
      </c>
      <c r="G65" s="505">
        <f>Qty!G65</f>
        <v>0</v>
      </c>
      <c r="H65" s="58"/>
      <c r="I65" s="198">
        <f>Qty!M65*'Prop. prices'!I65*I$7</f>
        <v>0</v>
      </c>
      <c r="J65" s="198">
        <f>Qty!N65*'Prop. prices'!J65*J$7</f>
        <v>0</v>
      </c>
      <c r="K65" s="198">
        <f>Qty!O65*'Prop. prices'!K65*K$7</f>
        <v>0</v>
      </c>
      <c r="L65" s="198">
        <f>Qty!P65*'Prop. prices'!L65*L$7</f>
        <v>0</v>
      </c>
      <c r="M65" s="198">
        <f>Qty!Q65*'Prop. prices'!M65*M$7</f>
        <v>0</v>
      </c>
      <c r="N65" s="198">
        <f>Qty!R65*'Prop. prices'!N65*N$7</f>
        <v>0</v>
      </c>
      <c r="O65" s="198">
        <f>Qty!S65*'Prop. prices'!O65*O$7</f>
        <v>0</v>
      </c>
      <c r="P65" s="198">
        <f>Qty!T65*'Prop. prices'!P65*P$7</f>
        <v>0</v>
      </c>
      <c r="Q65" s="198">
        <f>Qty!U65*'Prop. prices'!Q65*Q$7</f>
        <v>0</v>
      </c>
      <c r="R65" s="198">
        <f>Qty!V65*'Prop. prices'!R65*R$7</f>
        <v>0</v>
      </c>
      <c r="S65" s="198">
        <f>Qty!W65*'Prop. prices'!S65*S$7</f>
        <v>0</v>
      </c>
      <c r="T65" s="198">
        <f>Qty!X65*'Prop. prices'!T65*T$7</f>
        <v>0</v>
      </c>
      <c r="U65" s="198">
        <f>Qty!Y65*'Prop. prices'!U65*U$7</f>
        <v>0</v>
      </c>
      <c r="V65" s="198">
        <f>Qty!Z65*'Prop. prices'!V65*V$7</f>
        <v>0</v>
      </c>
      <c r="W65" s="198">
        <f>Qty!AA65*'Prop. prices'!W65*W$7</f>
        <v>0</v>
      </c>
      <c r="X65" s="198">
        <f>Qty!AB65*'Prop. prices'!X65*X$7</f>
        <v>0</v>
      </c>
      <c r="Y65" s="198">
        <f>Qty!AC65*'Prop. prices'!Y65*Y$7</f>
        <v>0</v>
      </c>
      <c r="Z65" s="198">
        <f>Qty!AD65*'Prop. prices'!Z65*Z$7</f>
        <v>0</v>
      </c>
      <c r="AA65" s="198">
        <f>Qty!AE65*'Prop. prices'!AA65*AA$7</f>
        <v>0</v>
      </c>
      <c r="AB65" s="198">
        <f>Qty!AF65*'Prop. prices'!AB65*AB$7</f>
        <v>0</v>
      </c>
      <c r="AC65" s="206">
        <f t="shared" si="2"/>
        <v>0</v>
      </c>
      <c r="AD65" s="19"/>
      <c r="AE65" s="19"/>
      <c r="AF65" s="19"/>
      <c r="AG65" s="19"/>
    </row>
    <row r="66" spans="1:33" hidden="1" outlineLevel="3" x14ac:dyDescent="0.2">
      <c r="A66" s="19"/>
      <c r="B66" s="19"/>
      <c r="C66" s="506">
        <f>Qty!C66</f>
        <v>0</v>
      </c>
      <c r="D66" s="505">
        <f>Qty!D66</f>
        <v>0</v>
      </c>
      <c r="E66" s="505">
        <f>Qty!E66</f>
        <v>0</v>
      </c>
      <c r="F66" s="505">
        <f>Qty!F66</f>
        <v>0</v>
      </c>
      <c r="G66" s="505">
        <f>Qty!G66</f>
        <v>0</v>
      </c>
      <c r="H66" s="58"/>
      <c r="I66" s="198">
        <f>Qty!M66*'Prop. prices'!I66*I$7</f>
        <v>0</v>
      </c>
      <c r="J66" s="198">
        <f>Qty!N66*'Prop. prices'!J66*J$7</f>
        <v>0</v>
      </c>
      <c r="K66" s="198">
        <f>Qty!O66*'Prop. prices'!K66*K$7</f>
        <v>0</v>
      </c>
      <c r="L66" s="198">
        <f>Qty!P66*'Prop. prices'!L66*L$7</f>
        <v>0</v>
      </c>
      <c r="M66" s="198">
        <f>Qty!Q66*'Prop. prices'!M66*M$7</f>
        <v>0</v>
      </c>
      <c r="N66" s="198">
        <f>Qty!R66*'Prop. prices'!N66*N$7</f>
        <v>0</v>
      </c>
      <c r="O66" s="198">
        <f>Qty!S66*'Prop. prices'!O66*O$7</f>
        <v>0</v>
      </c>
      <c r="P66" s="198">
        <f>Qty!T66*'Prop. prices'!P66*P$7</f>
        <v>0</v>
      </c>
      <c r="Q66" s="198">
        <f>Qty!U66*'Prop. prices'!Q66*Q$7</f>
        <v>0</v>
      </c>
      <c r="R66" s="198">
        <f>Qty!V66*'Prop. prices'!R66*R$7</f>
        <v>0</v>
      </c>
      <c r="S66" s="198">
        <f>Qty!W66*'Prop. prices'!S66*S$7</f>
        <v>0</v>
      </c>
      <c r="T66" s="198">
        <f>Qty!X66*'Prop. prices'!T66*T$7</f>
        <v>0</v>
      </c>
      <c r="U66" s="198">
        <f>Qty!Y66*'Prop. prices'!U66*U$7</f>
        <v>0</v>
      </c>
      <c r="V66" s="198">
        <f>Qty!Z66*'Prop. prices'!V66*V$7</f>
        <v>0</v>
      </c>
      <c r="W66" s="198">
        <f>Qty!AA66*'Prop. prices'!W66*W$7</f>
        <v>0</v>
      </c>
      <c r="X66" s="198">
        <f>Qty!AB66*'Prop. prices'!X66*X$7</f>
        <v>0</v>
      </c>
      <c r="Y66" s="198">
        <f>Qty!AC66*'Prop. prices'!Y66*Y$7</f>
        <v>0</v>
      </c>
      <c r="Z66" s="198">
        <f>Qty!AD66*'Prop. prices'!Z66*Z$7</f>
        <v>0</v>
      </c>
      <c r="AA66" s="198">
        <f>Qty!AE66*'Prop. prices'!AA66*AA$7</f>
        <v>0</v>
      </c>
      <c r="AB66" s="198">
        <f>Qty!AF66*'Prop. prices'!AB66*AB$7</f>
        <v>0</v>
      </c>
      <c r="AC66" s="206">
        <f t="shared" si="2"/>
        <v>0</v>
      </c>
      <c r="AD66" s="19"/>
      <c r="AE66" s="19"/>
      <c r="AF66" s="19"/>
      <c r="AG66" s="19"/>
    </row>
    <row r="67" spans="1:33" hidden="1" outlineLevel="3" x14ac:dyDescent="0.2">
      <c r="A67" s="19"/>
      <c r="B67" s="19"/>
      <c r="C67" s="506">
        <f>Qty!C67</f>
        <v>0</v>
      </c>
      <c r="D67" s="505">
        <f>Qty!D67</f>
        <v>0</v>
      </c>
      <c r="E67" s="505">
        <f>Qty!E67</f>
        <v>0</v>
      </c>
      <c r="F67" s="505">
        <f>Qty!F67</f>
        <v>0</v>
      </c>
      <c r="G67" s="505">
        <f>Qty!G67</f>
        <v>0</v>
      </c>
      <c r="H67" s="58"/>
      <c r="I67" s="198">
        <f>Qty!M67*'Prop. prices'!I67*I$7</f>
        <v>0</v>
      </c>
      <c r="J67" s="198">
        <f>Qty!N67*'Prop. prices'!J67*J$7</f>
        <v>0</v>
      </c>
      <c r="K67" s="198">
        <f>Qty!O67*'Prop. prices'!K67*K$7</f>
        <v>0</v>
      </c>
      <c r="L67" s="198">
        <f>Qty!P67*'Prop. prices'!L67*L$7</f>
        <v>0</v>
      </c>
      <c r="M67" s="198">
        <f>Qty!Q67*'Prop. prices'!M67*M$7</f>
        <v>0</v>
      </c>
      <c r="N67" s="198">
        <f>Qty!R67*'Prop. prices'!N67*N$7</f>
        <v>0</v>
      </c>
      <c r="O67" s="198">
        <f>Qty!S67*'Prop. prices'!O67*O$7</f>
        <v>0</v>
      </c>
      <c r="P67" s="198">
        <f>Qty!T67*'Prop. prices'!P67*P$7</f>
        <v>0</v>
      </c>
      <c r="Q67" s="198">
        <f>Qty!U67*'Prop. prices'!Q67*Q$7</f>
        <v>0</v>
      </c>
      <c r="R67" s="198">
        <f>Qty!V67*'Prop. prices'!R67*R$7</f>
        <v>0</v>
      </c>
      <c r="S67" s="198">
        <f>Qty!W67*'Prop. prices'!S67*S$7</f>
        <v>0</v>
      </c>
      <c r="T67" s="198">
        <f>Qty!X67*'Prop. prices'!T67*T$7</f>
        <v>0</v>
      </c>
      <c r="U67" s="198">
        <f>Qty!Y67*'Prop. prices'!U67*U$7</f>
        <v>0</v>
      </c>
      <c r="V67" s="198">
        <f>Qty!Z67*'Prop. prices'!V67*V$7</f>
        <v>0</v>
      </c>
      <c r="W67" s="198">
        <f>Qty!AA67*'Prop. prices'!W67*W$7</f>
        <v>0</v>
      </c>
      <c r="X67" s="198">
        <f>Qty!AB67*'Prop. prices'!X67*X$7</f>
        <v>0</v>
      </c>
      <c r="Y67" s="198">
        <f>Qty!AC67*'Prop. prices'!Y67*Y$7</f>
        <v>0</v>
      </c>
      <c r="Z67" s="198">
        <f>Qty!AD67*'Prop. prices'!Z67*Z$7</f>
        <v>0</v>
      </c>
      <c r="AA67" s="198">
        <f>Qty!AE67*'Prop. prices'!AA67*AA$7</f>
        <v>0</v>
      </c>
      <c r="AB67" s="198">
        <f>Qty!AF67*'Prop. prices'!AB67*AB$7</f>
        <v>0</v>
      </c>
      <c r="AC67" s="206">
        <f t="shared" si="2"/>
        <v>0</v>
      </c>
      <c r="AD67" s="19"/>
      <c r="AE67" s="19"/>
      <c r="AF67" s="19"/>
      <c r="AG67" s="19"/>
    </row>
    <row r="68" spans="1:33" hidden="1" outlineLevel="3" x14ac:dyDescent="0.2">
      <c r="A68" s="19"/>
      <c r="B68" s="19"/>
      <c r="C68" s="506">
        <f>Qty!C68</f>
        <v>0</v>
      </c>
      <c r="D68" s="505">
        <f>Qty!D68</f>
        <v>0</v>
      </c>
      <c r="E68" s="505">
        <f>Qty!E68</f>
        <v>0</v>
      </c>
      <c r="F68" s="505">
        <f>Qty!F68</f>
        <v>0</v>
      </c>
      <c r="G68" s="505">
        <f>Qty!G68</f>
        <v>0</v>
      </c>
      <c r="H68" s="58"/>
      <c r="I68" s="198">
        <f>Qty!M68*'Prop. prices'!I68*I$7</f>
        <v>0</v>
      </c>
      <c r="J68" s="198">
        <f>Qty!N68*'Prop. prices'!J68*J$7</f>
        <v>0</v>
      </c>
      <c r="K68" s="198">
        <f>Qty!O68*'Prop. prices'!K68*K$7</f>
        <v>0</v>
      </c>
      <c r="L68" s="198">
        <f>Qty!P68*'Prop. prices'!L68*L$7</f>
        <v>0</v>
      </c>
      <c r="M68" s="198">
        <f>Qty!Q68*'Prop. prices'!M68*M$7</f>
        <v>0</v>
      </c>
      <c r="N68" s="198">
        <f>Qty!R68*'Prop. prices'!N68*N$7</f>
        <v>0</v>
      </c>
      <c r="O68" s="198">
        <f>Qty!S68*'Prop. prices'!O68*O$7</f>
        <v>0</v>
      </c>
      <c r="P68" s="198">
        <f>Qty!T68*'Prop. prices'!P68*P$7</f>
        <v>0</v>
      </c>
      <c r="Q68" s="198">
        <f>Qty!U68*'Prop. prices'!Q68*Q$7</f>
        <v>0</v>
      </c>
      <c r="R68" s="198">
        <f>Qty!V68*'Prop. prices'!R68*R$7</f>
        <v>0</v>
      </c>
      <c r="S68" s="198">
        <f>Qty!W68*'Prop. prices'!S68*S$7</f>
        <v>0</v>
      </c>
      <c r="T68" s="198">
        <f>Qty!X68*'Prop. prices'!T68*T$7</f>
        <v>0</v>
      </c>
      <c r="U68" s="198">
        <f>Qty!Y68*'Prop. prices'!U68*U$7</f>
        <v>0</v>
      </c>
      <c r="V68" s="198">
        <f>Qty!Z68*'Prop. prices'!V68*V$7</f>
        <v>0</v>
      </c>
      <c r="W68" s="198">
        <f>Qty!AA68*'Prop. prices'!W68*W$7</f>
        <v>0</v>
      </c>
      <c r="X68" s="198">
        <f>Qty!AB68*'Prop. prices'!X68*X$7</f>
        <v>0</v>
      </c>
      <c r="Y68" s="198">
        <f>Qty!AC68*'Prop. prices'!Y68*Y$7</f>
        <v>0</v>
      </c>
      <c r="Z68" s="198">
        <f>Qty!AD68*'Prop. prices'!Z68*Z$7</f>
        <v>0</v>
      </c>
      <c r="AA68" s="198">
        <f>Qty!AE68*'Prop. prices'!AA68*AA$7</f>
        <v>0</v>
      </c>
      <c r="AB68" s="198">
        <f>Qty!AF68*'Prop. prices'!AB68*AB$7</f>
        <v>0</v>
      </c>
      <c r="AC68" s="206">
        <f t="shared" si="2"/>
        <v>0</v>
      </c>
      <c r="AD68" s="19"/>
      <c r="AE68" s="19"/>
      <c r="AF68" s="19"/>
      <c r="AG68" s="19"/>
    </row>
    <row r="69" spans="1:33" hidden="1" outlineLevel="3" x14ac:dyDescent="0.2">
      <c r="A69" s="19"/>
      <c r="B69" s="19"/>
      <c r="C69" s="506">
        <f>Qty!C69</f>
        <v>0</v>
      </c>
      <c r="D69" s="505">
        <f>Qty!D69</f>
        <v>0</v>
      </c>
      <c r="E69" s="505">
        <f>Qty!E69</f>
        <v>0</v>
      </c>
      <c r="F69" s="505">
        <f>Qty!F69</f>
        <v>0</v>
      </c>
      <c r="G69" s="505">
        <f>Qty!G69</f>
        <v>0</v>
      </c>
      <c r="H69" s="58"/>
      <c r="I69" s="198">
        <f>Qty!M69*'Prop. prices'!I69*I$7</f>
        <v>0</v>
      </c>
      <c r="J69" s="198">
        <f>Qty!N69*'Prop. prices'!J69*J$7</f>
        <v>0</v>
      </c>
      <c r="K69" s="198">
        <f>Qty!O69*'Prop. prices'!K69*K$7</f>
        <v>0</v>
      </c>
      <c r="L69" s="198">
        <f>Qty!P69*'Prop. prices'!L69*L$7</f>
        <v>0</v>
      </c>
      <c r="M69" s="198">
        <f>Qty!Q69*'Prop. prices'!M69*M$7</f>
        <v>0</v>
      </c>
      <c r="N69" s="198">
        <f>Qty!R69*'Prop. prices'!N69*N$7</f>
        <v>0</v>
      </c>
      <c r="O69" s="198">
        <f>Qty!S69*'Prop. prices'!O69*O$7</f>
        <v>0</v>
      </c>
      <c r="P69" s="198">
        <f>Qty!T69*'Prop. prices'!P69*P$7</f>
        <v>0</v>
      </c>
      <c r="Q69" s="198">
        <f>Qty!U69*'Prop. prices'!Q69*Q$7</f>
        <v>0</v>
      </c>
      <c r="R69" s="198">
        <f>Qty!V69*'Prop. prices'!R69*R$7</f>
        <v>0</v>
      </c>
      <c r="S69" s="198">
        <f>Qty!W69*'Prop. prices'!S69*S$7</f>
        <v>0</v>
      </c>
      <c r="T69" s="198">
        <f>Qty!X69*'Prop. prices'!T69*T$7</f>
        <v>0</v>
      </c>
      <c r="U69" s="198">
        <f>Qty!Y69*'Prop. prices'!U69*U$7</f>
        <v>0</v>
      </c>
      <c r="V69" s="198">
        <f>Qty!Z69*'Prop. prices'!V69*V$7</f>
        <v>0</v>
      </c>
      <c r="W69" s="198">
        <f>Qty!AA69*'Prop. prices'!W69*W$7</f>
        <v>0</v>
      </c>
      <c r="X69" s="198">
        <f>Qty!AB69*'Prop. prices'!X69*X$7</f>
        <v>0</v>
      </c>
      <c r="Y69" s="198">
        <f>Qty!AC69*'Prop. prices'!Y69*Y$7</f>
        <v>0</v>
      </c>
      <c r="Z69" s="198">
        <f>Qty!AD69*'Prop. prices'!Z69*Z$7</f>
        <v>0</v>
      </c>
      <c r="AA69" s="198">
        <f>Qty!AE69*'Prop. prices'!AA69*AA$7</f>
        <v>0</v>
      </c>
      <c r="AB69" s="198">
        <f>Qty!AF69*'Prop. prices'!AB69*AB$7</f>
        <v>0</v>
      </c>
      <c r="AC69" s="206">
        <f t="shared" si="2"/>
        <v>0</v>
      </c>
      <c r="AD69" s="19"/>
      <c r="AE69" s="19"/>
      <c r="AF69" s="19"/>
      <c r="AG69" s="19"/>
    </row>
    <row r="70" spans="1:33" hidden="1" outlineLevel="3" x14ac:dyDescent="0.2">
      <c r="A70" s="19"/>
      <c r="B70" s="19"/>
      <c r="C70" s="506">
        <f>Qty!C70</f>
        <v>0</v>
      </c>
      <c r="D70" s="505">
        <f>Qty!D70</f>
        <v>0</v>
      </c>
      <c r="E70" s="505">
        <f>Qty!E70</f>
        <v>0</v>
      </c>
      <c r="F70" s="505">
        <f>Qty!F70</f>
        <v>0</v>
      </c>
      <c r="G70" s="505">
        <f>Qty!G70</f>
        <v>0</v>
      </c>
      <c r="H70" s="58"/>
      <c r="I70" s="198">
        <f>Qty!M70*'Prop. prices'!I70*I$7</f>
        <v>0</v>
      </c>
      <c r="J70" s="198">
        <f>Qty!N70*'Prop. prices'!J70*J$7</f>
        <v>0</v>
      </c>
      <c r="K70" s="198">
        <f>Qty!O70*'Prop. prices'!K70*K$7</f>
        <v>0</v>
      </c>
      <c r="L70" s="198">
        <f>Qty!P70*'Prop. prices'!L70*L$7</f>
        <v>0</v>
      </c>
      <c r="M70" s="198">
        <f>Qty!Q70*'Prop. prices'!M70*M$7</f>
        <v>0</v>
      </c>
      <c r="N70" s="198">
        <f>Qty!R70*'Prop. prices'!N70*N$7</f>
        <v>0</v>
      </c>
      <c r="O70" s="198">
        <f>Qty!S70*'Prop. prices'!O70*O$7</f>
        <v>0</v>
      </c>
      <c r="P70" s="198">
        <f>Qty!T70*'Prop. prices'!P70*P$7</f>
        <v>0</v>
      </c>
      <c r="Q70" s="198">
        <f>Qty!U70*'Prop. prices'!Q70*Q$7</f>
        <v>0</v>
      </c>
      <c r="R70" s="198">
        <f>Qty!V70*'Prop. prices'!R70*R$7</f>
        <v>0</v>
      </c>
      <c r="S70" s="198">
        <f>Qty!W70*'Prop. prices'!S70*S$7</f>
        <v>0</v>
      </c>
      <c r="T70" s="198">
        <f>Qty!X70*'Prop. prices'!T70*T$7</f>
        <v>0</v>
      </c>
      <c r="U70" s="198">
        <f>Qty!Y70*'Prop. prices'!U70*U$7</f>
        <v>0</v>
      </c>
      <c r="V70" s="198">
        <f>Qty!Z70*'Prop. prices'!V70*V$7</f>
        <v>0</v>
      </c>
      <c r="W70" s="198">
        <f>Qty!AA70*'Prop. prices'!W70*W$7</f>
        <v>0</v>
      </c>
      <c r="X70" s="198">
        <f>Qty!AB70*'Prop. prices'!X70*X$7</f>
        <v>0</v>
      </c>
      <c r="Y70" s="198">
        <f>Qty!AC70*'Prop. prices'!Y70*Y$7</f>
        <v>0</v>
      </c>
      <c r="Z70" s="198">
        <f>Qty!AD70*'Prop. prices'!Z70*Z$7</f>
        <v>0</v>
      </c>
      <c r="AA70" s="198">
        <f>Qty!AE70*'Prop. prices'!AA70*AA$7</f>
        <v>0</v>
      </c>
      <c r="AB70" s="198">
        <f>Qty!AF70*'Prop. prices'!AB70*AB$7</f>
        <v>0</v>
      </c>
      <c r="AC70" s="206">
        <f t="shared" si="2"/>
        <v>0</v>
      </c>
      <c r="AD70" s="19"/>
      <c r="AE70" s="19"/>
      <c r="AF70" s="19"/>
      <c r="AG70" s="19"/>
    </row>
    <row r="71" spans="1:33" hidden="1" outlineLevel="3" x14ac:dyDescent="0.2">
      <c r="A71" s="19"/>
      <c r="B71" s="19"/>
      <c r="C71" s="506">
        <f>Qty!C71</f>
        <v>0</v>
      </c>
      <c r="D71" s="505">
        <f>Qty!D71</f>
        <v>0</v>
      </c>
      <c r="E71" s="505">
        <f>Qty!E71</f>
        <v>0</v>
      </c>
      <c r="F71" s="505">
        <f>Qty!F71</f>
        <v>0</v>
      </c>
      <c r="G71" s="505">
        <f>Qty!G71</f>
        <v>0</v>
      </c>
      <c r="H71" s="58"/>
      <c r="I71" s="198">
        <f>Qty!M71*'Prop. prices'!I71*I$7</f>
        <v>0</v>
      </c>
      <c r="J71" s="198">
        <f>Qty!N71*'Prop. prices'!J71*J$7</f>
        <v>0</v>
      </c>
      <c r="K71" s="198">
        <f>Qty!O71*'Prop. prices'!K71*K$7</f>
        <v>0</v>
      </c>
      <c r="L71" s="198">
        <f>Qty!P71*'Prop. prices'!L71*L$7</f>
        <v>0</v>
      </c>
      <c r="M71" s="198">
        <f>Qty!Q71*'Prop. prices'!M71*M$7</f>
        <v>0</v>
      </c>
      <c r="N71" s="198">
        <f>Qty!R71*'Prop. prices'!N71*N$7</f>
        <v>0</v>
      </c>
      <c r="O71" s="198">
        <f>Qty!S71*'Prop. prices'!O71*O$7</f>
        <v>0</v>
      </c>
      <c r="P71" s="198">
        <f>Qty!T71*'Prop. prices'!P71*P$7</f>
        <v>0</v>
      </c>
      <c r="Q71" s="198">
        <f>Qty!U71*'Prop. prices'!Q71*Q$7</f>
        <v>0</v>
      </c>
      <c r="R71" s="198">
        <f>Qty!V71*'Prop. prices'!R71*R$7</f>
        <v>0</v>
      </c>
      <c r="S71" s="198">
        <f>Qty!W71*'Prop. prices'!S71*S$7</f>
        <v>0</v>
      </c>
      <c r="T71" s="198">
        <f>Qty!X71*'Prop. prices'!T71*T$7</f>
        <v>0</v>
      </c>
      <c r="U71" s="198">
        <f>Qty!Y71*'Prop. prices'!U71*U$7</f>
        <v>0</v>
      </c>
      <c r="V71" s="198">
        <f>Qty!Z71*'Prop. prices'!V71*V$7</f>
        <v>0</v>
      </c>
      <c r="W71" s="198">
        <f>Qty!AA71*'Prop. prices'!W71*W$7</f>
        <v>0</v>
      </c>
      <c r="X71" s="198">
        <f>Qty!AB71*'Prop. prices'!X71*X$7</f>
        <v>0</v>
      </c>
      <c r="Y71" s="198">
        <f>Qty!AC71*'Prop. prices'!Y71*Y$7</f>
        <v>0</v>
      </c>
      <c r="Z71" s="198">
        <f>Qty!AD71*'Prop. prices'!Z71*Z$7</f>
        <v>0</v>
      </c>
      <c r="AA71" s="198">
        <f>Qty!AE71*'Prop. prices'!AA71*AA$7</f>
        <v>0</v>
      </c>
      <c r="AB71" s="198">
        <f>Qty!AF71*'Prop. prices'!AB71*AB$7</f>
        <v>0</v>
      </c>
      <c r="AC71" s="206">
        <f t="shared" si="2"/>
        <v>0</v>
      </c>
      <c r="AD71" s="19"/>
      <c r="AE71" s="19"/>
      <c r="AF71" s="19"/>
      <c r="AG71" s="19"/>
    </row>
    <row r="72" spans="1:33" hidden="1" outlineLevel="3" x14ac:dyDescent="0.2">
      <c r="A72" s="19"/>
      <c r="B72" s="19"/>
      <c r="C72" s="506">
        <f>Qty!C72</f>
        <v>0</v>
      </c>
      <c r="D72" s="505">
        <f>Qty!D72</f>
        <v>0</v>
      </c>
      <c r="E72" s="505">
        <f>Qty!E72</f>
        <v>0</v>
      </c>
      <c r="F72" s="505">
        <f>Qty!F72</f>
        <v>0</v>
      </c>
      <c r="G72" s="505">
        <f>Qty!G72</f>
        <v>0</v>
      </c>
      <c r="H72" s="58"/>
      <c r="I72" s="198">
        <f>Qty!M72*'Prop. prices'!I72*I$7</f>
        <v>0</v>
      </c>
      <c r="J72" s="198">
        <f>Qty!N72*'Prop. prices'!J72*J$7</f>
        <v>0</v>
      </c>
      <c r="K72" s="198">
        <f>Qty!O72*'Prop. prices'!K72*K$7</f>
        <v>0</v>
      </c>
      <c r="L72" s="198">
        <f>Qty!P72*'Prop. prices'!L72*L$7</f>
        <v>0</v>
      </c>
      <c r="M72" s="198">
        <f>Qty!Q72*'Prop. prices'!M72*M$7</f>
        <v>0</v>
      </c>
      <c r="N72" s="198">
        <f>Qty!R72*'Prop. prices'!N72*N$7</f>
        <v>0</v>
      </c>
      <c r="O72" s="198">
        <f>Qty!S72*'Prop. prices'!O72*O$7</f>
        <v>0</v>
      </c>
      <c r="P72" s="198">
        <f>Qty!T72*'Prop. prices'!P72*P$7</f>
        <v>0</v>
      </c>
      <c r="Q72" s="198">
        <f>Qty!U72*'Prop. prices'!Q72*Q$7</f>
        <v>0</v>
      </c>
      <c r="R72" s="198">
        <f>Qty!V72*'Prop. prices'!R72*R$7</f>
        <v>0</v>
      </c>
      <c r="S72" s="198">
        <f>Qty!W72*'Prop. prices'!S72*S$7</f>
        <v>0</v>
      </c>
      <c r="T72" s="198">
        <f>Qty!X72*'Prop. prices'!T72*T$7</f>
        <v>0</v>
      </c>
      <c r="U72" s="198">
        <f>Qty!Y72*'Prop. prices'!U72*U$7</f>
        <v>0</v>
      </c>
      <c r="V72" s="198">
        <f>Qty!Z72*'Prop. prices'!V72*V$7</f>
        <v>0</v>
      </c>
      <c r="W72" s="198">
        <f>Qty!AA72*'Prop. prices'!W72*W$7</f>
        <v>0</v>
      </c>
      <c r="X72" s="198">
        <f>Qty!AB72*'Prop. prices'!X72*X$7</f>
        <v>0</v>
      </c>
      <c r="Y72" s="198">
        <f>Qty!AC72*'Prop. prices'!Y72*Y$7</f>
        <v>0</v>
      </c>
      <c r="Z72" s="198">
        <f>Qty!AD72*'Prop. prices'!Z72*Z$7</f>
        <v>0</v>
      </c>
      <c r="AA72" s="198">
        <f>Qty!AE72*'Prop. prices'!AA72*AA$7</f>
        <v>0</v>
      </c>
      <c r="AB72" s="198">
        <f>Qty!AF72*'Prop. prices'!AB72*AB$7</f>
        <v>0</v>
      </c>
      <c r="AC72" s="206">
        <f t="shared" ref="AC72:AC82" si="3">SUM(I72:AB72)</f>
        <v>0</v>
      </c>
      <c r="AD72" s="19"/>
      <c r="AE72" s="19"/>
      <c r="AF72" s="19"/>
      <c r="AG72" s="19"/>
    </row>
    <row r="73" spans="1:33" hidden="1" outlineLevel="3" x14ac:dyDescent="0.2">
      <c r="A73" s="19"/>
      <c r="B73" s="19"/>
      <c r="C73" s="506">
        <f>Qty!C73</f>
        <v>0</v>
      </c>
      <c r="D73" s="505">
        <f>Qty!D73</f>
        <v>0</v>
      </c>
      <c r="E73" s="505">
        <f>Qty!E73</f>
        <v>0</v>
      </c>
      <c r="F73" s="505">
        <f>Qty!F73</f>
        <v>0</v>
      </c>
      <c r="G73" s="505">
        <f>Qty!G73</f>
        <v>0</v>
      </c>
      <c r="H73" s="58"/>
      <c r="I73" s="198">
        <f>Qty!M73*'Prop. prices'!I73*I$7</f>
        <v>0</v>
      </c>
      <c r="J73" s="198">
        <f>Qty!N73*'Prop. prices'!J73*J$7</f>
        <v>0</v>
      </c>
      <c r="K73" s="198">
        <f>Qty!O73*'Prop. prices'!K73*K$7</f>
        <v>0</v>
      </c>
      <c r="L73" s="198">
        <f>Qty!P73*'Prop. prices'!L73*L$7</f>
        <v>0</v>
      </c>
      <c r="M73" s="198">
        <f>Qty!Q73*'Prop. prices'!M73*M$7</f>
        <v>0</v>
      </c>
      <c r="N73" s="198">
        <f>Qty!R73*'Prop. prices'!N73*N$7</f>
        <v>0</v>
      </c>
      <c r="O73" s="198">
        <f>Qty!S73*'Prop. prices'!O73*O$7</f>
        <v>0</v>
      </c>
      <c r="P73" s="198">
        <f>Qty!T73*'Prop. prices'!P73*P$7</f>
        <v>0</v>
      </c>
      <c r="Q73" s="198">
        <f>Qty!U73*'Prop. prices'!Q73*Q$7</f>
        <v>0</v>
      </c>
      <c r="R73" s="198">
        <f>Qty!V73*'Prop. prices'!R73*R$7</f>
        <v>0</v>
      </c>
      <c r="S73" s="198">
        <f>Qty!W73*'Prop. prices'!S73*S$7</f>
        <v>0</v>
      </c>
      <c r="T73" s="198">
        <f>Qty!X73*'Prop. prices'!T73*T$7</f>
        <v>0</v>
      </c>
      <c r="U73" s="198">
        <f>Qty!Y73*'Prop. prices'!U73*U$7</f>
        <v>0</v>
      </c>
      <c r="V73" s="198">
        <f>Qty!Z73*'Prop. prices'!V73*V$7</f>
        <v>0</v>
      </c>
      <c r="W73" s="198">
        <f>Qty!AA73*'Prop. prices'!W73*W$7</f>
        <v>0</v>
      </c>
      <c r="X73" s="198">
        <f>Qty!AB73*'Prop. prices'!X73*X$7</f>
        <v>0</v>
      </c>
      <c r="Y73" s="198">
        <f>Qty!AC73*'Prop. prices'!Y73*Y$7</f>
        <v>0</v>
      </c>
      <c r="Z73" s="198">
        <f>Qty!AD73*'Prop. prices'!Z73*Z$7</f>
        <v>0</v>
      </c>
      <c r="AA73" s="198">
        <f>Qty!AE73*'Prop. prices'!AA73*AA$7</f>
        <v>0</v>
      </c>
      <c r="AB73" s="198">
        <f>Qty!AF73*'Prop. prices'!AB73*AB$7</f>
        <v>0</v>
      </c>
      <c r="AC73" s="206">
        <f t="shared" si="3"/>
        <v>0</v>
      </c>
      <c r="AD73" s="19"/>
      <c r="AE73" s="19"/>
      <c r="AF73" s="19"/>
      <c r="AG73" s="19"/>
    </row>
    <row r="74" spans="1:33" hidden="1" outlineLevel="3" x14ac:dyDescent="0.2">
      <c r="A74" s="19"/>
      <c r="B74" s="19"/>
      <c r="C74" s="506">
        <f>Qty!C74</f>
        <v>0</v>
      </c>
      <c r="D74" s="505">
        <f>Qty!D74</f>
        <v>0</v>
      </c>
      <c r="E74" s="505">
        <f>Qty!E74</f>
        <v>0</v>
      </c>
      <c r="F74" s="505">
        <f>Qty!F74</f>
        <v>0</v>
      </c>
      <c r="G74" s="505">
        <f>Qty!G74</f>
        <v>0</v>
      </c>
      <c r="H74" s="58"/>
      <c r="I74" s="198">
        <f>Qty!M74*'Prop. prices'!I74*I$7</f>
        <v>0</v>
      </c>
      <c r="J74" s="198">
        <f>Qty!N74*'Prop. prices'!J74*J$7</f>
        <v>0</v>
      </c>
      <c r="K74" s="198">
        <f>Qty!O74*'Prop. prices'!K74*K$7</f>
        <v>0</v>
      </c>
      <c r="L74" s="198">
        <f>Qty!P74*'Prop. prices'!L74*L$7</f>
        <v>0</v>
      </c>
      <c r="M74" s="198">
        <f>Qty!Q74*'Prop. prices'!M74*M$7</f>
        <v>0</v>
      </c>
      <c r="N74" s="198">
        <f>Qty!R74*'Prop. prices'!N74*N$7</f>
        <v>0</v>
      </c>
      <c r="O74" s="198">
        <f>Qty!S74*'Prop. prices'!O74*O$7</f>
        <v>0</v>
      </c>
      <c r="P74" s="198">
        <f>Qty!T74*'Prop. prices'!P74*P$7</f>
        <v>0</v>
      </c>
      <c r="Q74" s="198">
        <f>Qty!U74*'Prop. prices'!Q74*Q$7</f>
        <v>0</v>
      </c>
      <c r="R74" s="198">
        <f>Qty!V74*'Prop. prices'!R74*R$7</f>
        <v>0</v>
      </c>
      <c r="S74" s="198">
        <f>Qty!W74*'Prop. prices'!S74*S$7</f>
        <v>0</v>
      </c>
      <c r="T74" s="198">
        <f>Qty!X74*'Prop. prices'!T74*T$7</f>
        <v>0</v>
      </c>
      <c r="U74" s="198">
        <f>Qty!Y74*'Prop. prices'!U74*U$7</f>
        <v>0</v>
      </c>
      <c r="V74" s="198">
        <f>Qty!Z74*'Prop. prices'!V74*V$7</f>
        <v>0</v>
      </c>
      <c r="W74" s="198">
        <f>Qty!AA74*'Prop. prices'!W74*W$7</f>
        <v>0</v>
      </c>
      <c r="X74" s="198">
        <f>Qty!AB74*'Prop. prices'!X74*X$7</f>
        <v>0</v>
      </c>
      <c r="Y74" s="198">
        <f>Qty!AC74*'Prop. prices'!Y74*Y$7</f>
        <v>0</v>
      </c>
      <c r="Z74" s="198">
        <f>Qty!AD74*'Prop. prices'!Z74*Z$7</f>
        <v>0</v>
      </c>
      <c r="AA74" s="198">
        <f>Qty!AE74*'Prop. prices'!AA74*AA$7</f>
        <v>0</v>
      </c>
      <c r="AB74" s="198">
        <f>Qty!AF74*'Prop. prices'!AB74*AB$7</f>
        <v>0</v>
      </c>
      <c r="AC74" s="206">
        <f t="shared" si="3"/>
        <v>0</v>
      </c>
      <c r="AD74" s="19"/>
      <c r="AE74" s="19"/>
      <c r="AF74" s="19"/>
      <c r="AG74" s="19"/>
    </row>
    <row r="75" spans="1:33" hidden="1" outlineLevel="3" x14ac:dyDescent="0.2">
      <c r="A75" s="19"/>
      <c r="B75" s="19"/>
      <c r="C75" s="506">
        <f>Qty!C75</f>
        <v>0</v>
      </c>
      <c r="D75" s="505">
        <f>Qty!D75</f>
        <v>0</v>
      </c>
      <c r="E75" s="505">
        <f>Qty!E75</f>
        <v>0</v>
      </c>
      <c r="F75" s="505">
        <f>Qty!F75</f>
        <v>0</v>
      </c>
      <c r="G75" s="505">
        <f>Qty!G75</f>
        <v>0</v>
      </c>
      <c r="H75" s="58"/>
      <c r="I75" s="198">
        <f>Qty!M75*'Prop. prices'!I75*I$7</f>
        <v>0</v>
      </c>
      <c r="J75" s="198">
        <f>Qty!N75*'Prop. prices'!J75*J$7</f>
        <v>0</v>
      </c>
      <c r="K75" s="198">
        <f>Qty!O75*'Prop. prices'!K75*K$7</f>
        <v>0</v>
      </c>
      <c r="L75" s="198">
        <f>Qty!P75*'Prop. prices'!L75*L$7</f>
        <v>0</v>
      </c>
      <c r="M75" s="198">
        <f>Qty!Q75*'Prop. prices'!M75*M$7</f>
        <v>0</v>
      </c>
      <c r="N75" s="198">
        <f>Qty!R75*'Prop. prices'!N75*N$7</f>
        <v>0</v>
      </c>
      <c r="O75" s="198">
        <f>Qty!S75*'Prop. prices'!O75*O$7</f>
        <v>0</v>
      </c>
      <c r="P75" s="198">
        <f>Qty!T75*'Prop. prices'!P75*P$7</f>
        <v>0</v>
      </c>
      <c r="Q75" s="198">
        <f>Qty!U75*'Prop. prices'!Q75*Q$7</f>
        <v>0</v>
      </c>
      <c r="R75" s="198">
        <f>Qty!V75*'Prop. prices'!R75*R$7</f>
        <v>0</v>
      </c>
      <c r="S75" s="198">
        <f>Qty!W75*'Prop. prices'!S75*S$7</f>
        <v>0</v>
      </c>
      <c r="T75" s="198">
        <f>Qty!X75*'Prop. prices'!T75*T$7</f>
        <v>0</v>
      </c>
      <c r="U75" s="198">
        <f>Qty!Y75*'Prop. prices'!U75*U$7</f>
        <v>0</v>
      </c>
      <c r="V75" s="198">
        <f>Qty!Z75*'Prop. prices'!V75*V$7</f>
        <v>0</v>
      </c>
      <c r="W75" s="198">
        <f>Qty!AA75*'Prop. prices'!W75*W$7</f>
        <v>0</v>
      </c>
      <c r="X75" s="198">
        <f>Qty!AB75*'Prop. prices'!X75*X$7</f>
        <v>0</v>
      </c>
      <c r="Y75" s="198">
        <f>Qty!AC75*'Prop. prices'!Y75*Y$7</f>
        <v>0</v>
      </c>
      <c r="Z75" s="198">
        <f>Qty!AD75*'Prop. prices'!Z75*Z$7</f>
        <v>0</v>
      </c>
      <c r="AA75" s="198">
        <f>Qty!AE75*'Prop. prices'!AA75*AA$7</f>
        <v>0</v>
      </c>
      <c r="AB75" s="198">
        <f>Qty!AF75*'Prop. prices'!AB75*AB$7</f>
        <v>0</v>
      </c>
      <c r="AC75" s="206">
        <f t="shared" si="3"/>
        <v>0</v>
      </c>
      <c r="AD75" s="19"/>
      <c r="AE75" s="19"/>
      <c r="AF75" s="19"/>
      <c r="AG75" s="19"/>
    </row>
    <row r="76" spans="1:33" hidden="1" outlineLevel="3" x14ac:dyDescent="0.2">
      <c r="A76" s="19"/>
      <c r="B76" s="19"/>
      <c r="C76" s="506">
        <f>Qty!C76</f>
        <v>0</v>
      </c>
      <c r="D76" s="505">
        <f>Qty!D76</f>
        <v>0</v>
      </c>
      <c r="E76" s="505">
        <f>Qty!E76</f>
        <v>0</v>
      </c>
      <c r="F76" s="505">
        <f>Qty!F76</f>
        <v>0</v>
      </c>
      <c r="G76" s="505">
        <f>Qty!G76</f>
        <v>0</v>
      </c>
      <c r="H76" s="58"/>
      <c r="I76" s="198">
        <f>Qty!M76*'Prop. prices'!I76*I$7</f>
        <v>0</v>
      </c>
      <c r="J76" s="198">
        <f>Qty!N76*'Prop. prices'!J76*J$7</f>
        <v>0</v>
      </c>
      <c r="K76" s="198">
        <f>Qty!O76*'Prop. prices'!K76*K$7</f>
        <v>0</v>
      </c>
      <c r="L76" s="198">
        <f>Qty!P76*'Prop. prices'!L76*L$7</f>
        <v>0</v>
      </c>
      <c r="M76" s="198">
        <f>Qty!Q76*'Prop. prices'!M76*M$7</f>
        <v>0</v>
      </c>
      <c r="N76" s="198">
        <f>Qty!R76*'Prop. prices'!N76*N$7</f>
        <v>0</v>
      </c>
      <c r="O76" s="198">
        <f>Qty!S76*'Prop. prices'!O76*O$7</f>
        <v>0</v>
      </c>
      <c r="P76" s="198">
        <f>Qty!T76*'Prop. prices'!P76*P$7</f>
        <v>0</v>
      </c>
      <c r="Q76" s="198">
        <f>Qty!U76*'Prop. prices'!Q76*Q$7</f>
        <v>0</v>
      </c>
      <c r="R76" s="198">
        <f>Qty!V76*'Prop. prices'!R76*R$7</f>
        <v>0</v>
      </c>
      <c r="S76" s="198">
        <f>Qty!W76*'Prop. prices'!S76*S$7</f>
        <v>0</v>
      </c>
      <c r="T76" s="198">
        <f>Qty!X76*'Prop. prices'!T76*T$7</f>
        <v>0</v>
      </c>
      <c r="U76" s="198">
        <f>Qty!Y76*'Prop. prices'!U76*U$7</f>
        <v>0</v>
      </c>
      <c r="V76" s="198">
        <f>Qty!Z76*'Prop. prices'!V76*V$7</f>
        <v>0</v>
      </c>
      <c r="W76" s="198">
        <f>Qty!AA76*'Prop. prices'!W76*W$7</f>
        <v>0</v>
      </c>
      <c r="X76" s="198">
        <f>Qty!AB76*'Prop. prices'!X76*X$7</f>
        <v>0</v>
      </c>
      <c r="Y76" s="198">
        <f>Qty!AC76*'Prop. prices'!Y76*Y$7</f>
        <v>0</v>
      </c>
      <c r="Z76" s="198">
        <f>Qty!AD76*'Prop. prices'!Z76*Z$7</f>
        <v>0</v>
      </c>
      <c r="AA76" s="198">
        <f>Qty!AE76*'Prop. prices'!AA76*AA$7</f>
        <v>0</v>
      </c>
      <c r="AB76" s="198">
        <f>Qty!AF76*'Prop. prices'!AB76*AB$7</f>
        <v>0</v>
      </c>
      <c r="AC76" s="206">
        <f t="shared" si="3"/>
        <v>0</v>
      </c>
      <c r="AD76" s="19"/>
      <c r="AE76" s="19"/>
      <c r="AF76" s="19"/>
      <c r="AG76" s="19"/>
    </row>
    <row r="77" spans="1:33" hidden="1" outlineLevel="3" x14ac:dyDescent="0.2">
      <c r="A77" s="19"/>
      <c r="B77" s="19"/>
      <c r="C77" s="506">
        <f>Qty!C77</f>
        <v>0</v>
      </c>
      <c r="D77" s="505">
        <f>Qty!D77</f>
        <v>0</v>
      </c>
      <c r="E77" s="505">
        <f>Qty!E77</f>
        <v>0</v>
      </c>
      <c r="F77" s="505">
        <f>Qty!F77</f>
        <v>0</v>
      </c>
      <c r="G77" s="505">
        <f>Qty!G77</f>
        <v>0</v>
      </c>
      <c r="H77" s="58"/>
      <c r="I77" s="198">
        <f>Qty!M77*'Prop. prices'!I77*I$7</f>
        <v>0</v>
      </c>
      <c r="J77" s="198">
        <f>Qty!N77*'Prop. prices'!J77*J$7</f>
        <v>0</v>
      </c>
      <c r="K77" s="198">
        <f>Qty!O77*'Prop. prices'!K77*K$7</f>
        <v>0</v>
      </c>
      <c r="L77" s="198">
        <f>Qty!P77*'Prop. prices'!L77*L$7</f>
        <v>0</v>
      </c>
      <c r="M77" s="198">
        <f>Qty!Q77*'Prop. prices'!M77*M$7</f>
        <v>0</v>
      </c>
      <c r="N77" s="198">
        <f>Qty!R77*'Prop. prices'!N77*N$7</f>
        <v>0</v>
      </c>
      <c r="O77" s="198">
        <f>Qty!S77*'Prop. prices'!O77*O$7</f>
        <v>0</v>
      </c>
      <c r="P77" s="198">
        <f>Qty!T77*'Prop. prices'!P77*P$7</f>
        <v>0</v>
      </c>
      <c r="Q77" s="198">
        <f>Qty!U77*'Prop. prices'!Q77*Q$7</f>
        <v>0</v>
      </c>
      <c r="R77" s="198">
        <f>Qty!V77*'Prop. prices'!R77*R$7</f>
        <v>0</v>
      </c>
      <c r="S77" s="198">
        <f>Qty!W77*'Prop. prices'!S77*S$7</f>
        <v>0</v>
      </c>
      <c r="T77" s="198">
        <f>Qty!X77*'Prop. prices'!T77*T$7</f>
        <v>0</v>
      </c>
      <c r="U77" s="198">
        <f>Qty!Y77*'Prop. prices'!U77*U$7</f>
        <v>0</v>
      </c>
      <c r="V77" s="198">
        <f>Qty!Z77*'Prop. prices'!V77*V$7</f>
        <v>0</v>
      </c>
      <c r="W77" s="198">
        <f>Qty!AA77*'Prop. prices'!W77*W$7</f>
        <v>0</v>
      </c>
      <c r="X77" s="198">
        <f>Qty!AB77*'Prop. prices'!X77*X$7</f>
        <v>0</v>
      </c>
      <c r="Y77" s="198">
        <f>Qty!AC77*'Prop. prices'!Y77*Y$7</f>
        <v>0</v>
      </c>
      <c r="Z77" s="198">
        <f>Qty!AD77*'Prop. prices'!Z77*Z$7</f>
        <v>0</v>
      </c>
      <c r="AA77" s="198">
        <f>Qty!AE77*'Prop. prices'!AA77*AA$7</f>
        <v>0</v>
      </c>
      <c r="AB77" s="198">
        <f>Qty!AF77*'Prop. prices'!AB77*AB$7</f>
        <v>0</v>
      </c>
      <c r="AC77" s="206">
        <f t="shared" si="3"/>
        <v>0</v>
      </c>
      <c r="AD77" s="19"/>
      <c r="AE77" s="19"/>
      <c r="AF77" s="19"/>
      <c r="AG77" s="19"/>
    </row>
    <row r="78" spans="1:33" hidden="1" outlineLevel="3" x14ac:dyDescent="0.2">
      <c r="A78" s="19"/>
      <c r="B78" s="19"/>
      <c r="C78" s="506">
        <f>Qty!C78</f>
        <v>0</v>
      </c>
      <c r="D78" s="505">
        <f>Qty!D78</f>
        <v>0</v>
      </c>
      <c r="E78" s="505">
        <f>Qty!E78</f>
        <v>0</v>
      </c>
      <c r="F78" s="505">
        <f>Qty!F78</f>
        <v>0</v>
      </c>
      <c r="G78" s="505">
        <f>Qty!G78</f>
        <v>0</v>
      </c>
      <c r="H78" s="58"/>
      <c r="I78" s="198">
        <f>Qty!M78*'Prop. prices'!I78*I$7</f>
        <v>0</v>
      </c>
      <c r="J78" s="198">
        <f>Qty!N78*'Prop. prices'!J78*J$7</f>
        <v>0</v>
      </c>
      <c r="K78" s="198">
        <f>Qty!O78*'Prop. prices'!K78*K$7</f>
        <v>0</v>
      </c>
      <c r="L78" s="198">
        <f>Qty!P78*'Prop. prices'!L78*L$7</f>
        <v>0</v>
      </c>
      <c r="M78" s="198">
        <f>Qty!Q78*'Prop. prices'!M78*M$7</f>
        <v>0</v>
      </c>
      <c r="N78" s="198">
        <f>Qty!R78*'Prop. prices'!N78*N$7</f>
        <v>0</v>
      </c>
      <c r="O78" s="198">
        <f>Qty!S78*'Prop. prices'!O78*O$7</f>
        <v>0</v>
      </c>
      <c r="P78" s="198">
        <f>Qty!T78*'Prop. prices'!P78*P$7</f>
        <v>0</v>
      </c>
      <c r="Q78" s="198">
        <f>Qty!U78*'Prop. prices'!Q78*Q$7</f>
        <v>0</v>
      </c>
      <c r="R78" s="198">
        <f>Qty!V78*'Prop. prices'!R78*R$7</f>
        <v>0</v>
      </c>
      <c r="S78" s="198">
        <f>Qty!W78*'Prop. prices'!S78*S$7</f>
        <v>0</v>
      </c>
      <c r="T78" s="198">
        <f>Qty!X78*'Prop. prices'!T78*T$7</f>
        <v>0</v>
      </c>
      <c r="U78" s="198">
        <f>Qty!Y78*'Prop. prices'!U78*U$7</f>
        <v>0</v>
      </c>
      <c r="V78" s="198">
        <f>Qty!Z78*'Prop. prices'!V78*V$7</f>
        <v>0</v>
      </c>
      <c r="W78" s="198">
        <f>Qty!AA78*'Prop. prices'!W78*W$7</f>
        <v>0</v>
      </c>
      <c r="X78" s="198">
        <f>Qty!AB78*'Prop. prices'!X78*X$7</f>
        <v>0</v>
      </c>
      <c r="Y78" s="198">
        <f>Qty!AC78*'Prop. prices'!Y78*Y$7</f>
        <v>0</v>
      </c>
      <c r="Z78" s="198">
        <f>Qty!AD78*'Prop. prices'!Z78*Z$7</f>
        <v>0</v>
      </c>
      <c r="AA78" s="198">
        <f>Qty!AE78*'Prop. prices'!AA78*AA$7</f>
        <v>0</v>
      </c>
      <c r="AB78" s="198">
        <f>Qty!AF78*'Prop. prices'!AB78*AB$7</f>
        <v>0</v>
      </c>
      <c r="AC78" s="206">
        <f t="shared" si="3"/>
        <v>0</v>
      </c>
      <c r="AD78" s="19"/>
      <c r="AE78" s="19"/>
      <c r="AF78" s="19"/>
      <c r="AG78" s="19"/>
    </row>
    <row r="79" spans="1:33" hidden="1" outlineLevel="3" x14ac:dyDescent="0.2">
      <c r="A79" s="19"/>
      <c r="B79" s="19"/>
      <c r="C79" s="506">
        <f>Qty!C79</f>
        <v>0</v>
      </c>
      <c r="D79" s="505">
        <f>Qty!D79</f>
        <v>0</v>
      </c>
      <c r="E79" s="505">
        <f>Qty!E79</f>
        <v>0</v>
      </c>
      <c r="F79" s="505">
        <f>Qty!F79</f>
        <v>0</v>
      </c>
      <c r="G79" s="505">
        <f>Qty!G79</f>
        <v>0</v>
      </c>
      <c r="H79" s="58"/>
      <c r="I79" s="198">
        <f>Qty!M79*'Prop. prices'!I79*I$7</f>
        <v>0</v>
      </c>
      <c r="J79" s="198">
        <f>Qty!N79*'Prop. prices'!J79*J$7</f>
        <v>0</v>
      </c>
      <c r="K79" s="198">
        <f>Qty!O79*'Prop. prices'!K79*K$7</f>
        <v>0</v>
      </c>
      <c r="L79" s="198">
        <f>Qty!P79*'Prop. prices'!L79*L$7</f>
        <v>0</v>
      </c>
      <c r="M79" s="198">
        <f>Qty!Q79*'Prop. prices'!M79*M$7</f>
        <v>0</v>
      </c>
      <c r="N79" s="198">
        <f>Qty!R79*'Prop. prices'!N79*N$7</f>
        <v>0</v>
      </c>
      <c r="O79" s="198">
        <f>Qty!S79*'Prop. prices'!O79*O$7</f>
        <v>0</v>
      </c>
      <c r="P79" s="198">
        <f>Qty!T79*'Prop. prices'!P79*P$7</f>
        <v>0</v>
      </c>
      <c r="Q79" s="198">
        <f>Qty!U79*'Prop. prices'!Q79*Q$7</f>
        <v>0</v>
      </c>
      <c r="R79" s="198">
        <f>Qty!V79*'Prop. prices'!R79*R$7</f>
        <v>0</v>
      </c>
      <c r="S79" s="198">
        <f>Qty!W79*'Prop. prices'!S79*S$7</f>
        <v>0</v>
      </c>
      <c r="T79" s="198">
        <f>Qty!X79*'Prop. prices'!T79*T$7</f>
        <v>0</v>
      </c>
      <c r="U79" s="198">
        <f>Qty!Y79*'Prop. prices'!U79*U$7</f>
        <v>0</v>
      </c>
      <c r="V79" s="198">
        <f>Qty!Z79*'Prop. prices'!V79*V$7</f>
        <v>0</v>
      </c>
      <c r="W79" s="198">
        <f>Qty!AA79*'Prop. prices'!W79*W$7</f>
        <v>0</v>
      </c>
      <c r="X79" s="198">
        <f>Qty!AB79*'Prop. prices'!X79*X$7</f>
        <v>0</v>
      </c>
      <c r="Y79" s="198">
        <f>Qty!AC79*'Prop. prices'!Y79*Y$7</f>
        <v>0</v>
      </c>
      <c r="Z79" s="198">
        <f>Qty!AD79*'Prop. prices'!Z79*Z$7</f>
        <v>0</v>
      </c>
      <c r="AA79" s="198">
        <f>Qty!AE79*'Prop. prices'!AA79*AA$7</f>
        <v>0</v>
      </c>
      <c r="AB79" s="198">
        <f>Qty!AF79*'Prop. prices'!AB79*AB$7</f>
        <v>0</v>
      </c>
      <c r="AC79" s="206">
        <f t="shared" si="3"/>
        <v>0</v>
      </c>
      <c r="AD79" s="19"/>
      <c r="AE79" s="19"/>
      <c r="AF79" s="19"/>
      <c r="AG79" s="19"/>
    </row>
    <row r="80" spans="1:33" hidden="1" outlineLevel="3" x14ac:dyDescent="0.2">
      <c r="A80" s="19"/>
      <c r="B80" s="19"/>
      <c r="C80" s="506">
        <f>Qty!C80</f>
        <v>0</v>
      </c>
      <c r="D80" s="505">
        <f>Qty!D80</f>
        <v>0</v>
      </c>
      <c r="E80" s="505">
        <f>Qty!E80</f>
        <v>0</v>
      </c>
      <c r="F80" s="505">
        <f>Qty!F80</f>
        <v>0</v>
      </c>
      <c r="G80" s="505">
        <f>Qty!G80</f>
        <v>0</v>
      </c>
      <c r="H80" s="58"/>
      <c r="I80" s="198">
        <f>Qty!M80*'Prop. prices'!I80*I$7</f>
        <v>0</v>
      </c>
      <c r="J80" s="198">
        <f>Qty!N80*'Prop. prices'!J80*J$7</f>
        <v>0</v>
      </c>
      <c r="K80" s="198">
        <f>Qty!O80*'Prop. prices'!K80*K$7</f>
        <v>0</v>
      </c>
      <c r="L80" s="198">
        <f>Qty!P80*'Prop. prices'!L80*L$7</f>
        <v>0</v>
      </c>
      <c r="M80" s="198">
        <f>Qty!Q80*'Prop. prices'!M80*M$7</f>
        <v>0</v>
      </c>
      <c r="N80" s="198">
        <f>Qty!R80*'Prop. prices'!N80*N$7</f>
        <v>0</v>
      </c>
      <c r="O80" s="198">
        <f>Qty!S80*'Prop. prices'!O80*O$7</f>
        <v>0</v>
      </c>
      <c r="P80" s="198">
        <f>Qty!T80*'Prop. prices'!P80*P$7</f>
        <v>0</v>
      </c>
      <c r="Q80" s="198">
        <f>Qty!U80*'Prop. prices'!Q80*Q$7</f>
        <v>0</v>
      </c>
      <c r="R80" s="198">
        <f>Qty!V80*'Prop. prices'!R80*R$7</f>
        <v>0</v>
      </c>
      <c r="S80" s="198">
        <f>Qty!W80*'Prop. prices'!S80*S$7</f>
        <v>0</v>
      </c>
      <c r="T80" s="198">
        <f>Qty!X80*'Prop. prices'!T80*T$7</f>
        <v>0</v>
      </c>
      <c r="U80" s="198">
        <f>Qty!Y80*'Prop. prices'!U80*U$7</f>
        <v>0</v>
      </c>
      <c r="V80" s="198">
        <f>Qty!Z80*'Prop. prices'!V80*V$7</f>
        <v>0</v>
      </c>
      <c r="W80" s="198">
        <f>Qty!AA80*'Prop. prices'!W80*W$7</f>
        <v>0</v>
      </c>
      <c r="X80" s="198">
        <f>Qty!AB80*'Prop. prices'!X80*X$7</f>
        <v>0</v>
      </c>
      <c r="Y80" s="198">
        <f>Qty!AC80*'Prop. prices'!Y80*Y$7</f>
        <v>0</v>
      </c>
      <c r="Z80" s="198">
        <f>Qty!AD80*'Prop. prices'!Z80*Z$7</f>
        <v>0</v>
      </c>
      <c r="AA80" s="198">
        <f>Qty!AE80*'Prop. prices'!AA80*AA$7</f>
        <v>0</v>
      </c>
      <c r="AB80" s="198">
        <f>Qty!AF80*'Prop. prices'!AB80*AB$7</f>
        <v>0</v>
      </c>
      <c r="AC80" s="206">
        <f t="shared" si="3"/>
        <v>0</v>
      </c>
      <c r="AD80" s="19"/>
      <c r="AE80" s="19"/>
      <c r="AF80" s="19"/>
      <c r="AG80" s="19"/>
    </row>
    <row r="81" spans="1:33" hidden="1" outlineLevel="3" x14ac:dyDescent="0.2">
      <c r="A81" s="19"/>
      <c r="B81" s="19"/>
      <c r="C81" s="506">
        <f>Qty!C81</f>
        <v>0</v>
      </c>
      <c r="D81" s="505">
        <f>Qty!D81</f>
        <v>0</v>
      </c>
      <c r="E81" s="505">
        <f>Qty!E81</f>
        <v>0</v>
      </c>
      <c r="F81" s="505">
        <f>Qty!F81</f>
        <v>0</v>
      </c>
      <c r="G81" s="505">
        <f>Qty!G81</f>
        <v>0</v>
      </c>
      <c r="H81" s="58"/>
      <c r="I81" s="198">
        <f>Qty!M81*'Prop. prices'!I81*I$7</f>
        <v>0</v>
      </c>
      <c r="J81" s="198">
        <f>Qty!N81*'Prop. prices'!J81*J$7</f>
        <v>0</v>
      </c>
      <c r="K81" s="198">
        <f>Qty!O81*'Prop. prices'!K81*K$7</f>
        <v>0</v>
      </c>
      <c r="L81" s="198">
        <f>Qty!P81*'Prop. prices'!L81*L$7</f>
        <v>0</v>
      </c>
      <c r="M81" s="198">
        <f>Qty!Q81*'Prop. prices'!M81*M$7</f>
        <v>0</v>
      </c>
      <c r="N81" s="198">
        <f>Qty!R81*'Prop. prices'!N81*N$7</f>
        <v>0</v>
      </c>
      <c r="O81" s="198">
        <f>Qty!S81*'Prop. prices'!O81*O$7</f>
        <v>0</v>
      </c>
      <c r="P81" s="198">
        <f>Qty!T81*'Prop. prices'!P81*P$7</f>
        <v>0</v>
      </c>
      <c r="Q81" s="198">
        <f>Qty!U81*'Prop. prices'!Q81*Q$7</f>
        <v>0</v>
      </c>
      <c r="R81" s="198">
        <f>Qty!V81*'Prop. prices'!R81*R$7</f>
        <v>0</v>
      </c>
      <c r="S81" s="198">
        <f>Qty!W81*'Prop. prices'!S81*S$7</f>
        <v>0</v>
      </c>
      <c r="T81" s="198">
        <f>Qty!X81*'Prop. prices'!T81*T$7</f>
        <v>0</v>
      </c>
      <c r="U81" s="198">
        <f>Qty!Y81*'Prop. prices'!U81*U$7</f>
        <v>0</v>
      </c>
      <c r="V81" s="198">
        <f>Qty!Z81*'Prop. prices'!V81*V$7</f>
        <v>0</v>
      </c>
      <c r="W81" s="198">
        <f>Qty!AA81*'Prop. prices'!W81*W$7</f>
        <v>0</v>
      </c>
      <c r="X81" s="198">
        <f>Qty!AB81*'Prop. prices'!X81*X$7</f>
        <v>0</v>
      </c>
      <c r="Y81" s="198">
        <f>Qty!AC81*'Prop. prices'!Y81*Y$7</f>
        <v>0</v>
      </c>
      <c r="Z81" s="198">
        <f>Qty!AD81*'Prop. prices'!Z81*Z$7</f>
        <v>0</v>
      </c>
      <c r="AA81" s="198">
        <f>Qty!AE81*'Prop. prices'!AA81*AA$7</f>
        <v>0</v>
      </c>
      <c r="AB81" s="198">
        <f>Qty!AF81*'Prop. prices'!AB81*AB$7</f>
        <v>0</v>
      </c>
      <c r="AC81" s="206">
        <f t="shared" si="3"/>
        <v>0</v>
      </c>
      <c r="AD81" s="19"/>
      <c r="AE81" s="19"/>
      <c r="AF81" s="19"/>
      <c r="AG81" s="19"/>
    </row>
    <row r="82" spans="1:33" hidden="1" outlineLevel="3" x14ac:dyDescent="0.2">
      <c r="A82" s="19"/>
      <c r="B82" s="19"/>
      <c r="C82" s="506">
        <f>Qty!C82</f>
        <v>0</v>
      </c>
      <c r="D82" s="505">
        <f>Qty!D82</f>
        <v>0</v>
      </c>
      <c r="E82" s="505">
        <f>Qty!E82</f>
        <v>0</v>
      </c>
      <c r="F82" s="505">
        <f>Qty!F82</f>
        <v>0</v>
      </c>
      <c r="G82" s="505">
        <f>Qty!G82</f>
        <v>0</v>
      </c>
      <c r="H82" s="58"/>
      <c r="I82" s="198">
        <f>Qty!M82*'Prop. prices'!I82*I$7</f>
        <v>0</v>
      </c>
      <c r="J82" s="198">
        <f>Qty!N82*'Prop. prices'!J82*J$7</f>
        <v>0</v>
      </c>
      <c r="K82" s="198">
        <f>Qty!O82*'Prop. prices'!K82*K$7</f>
        <v>0</v>
      </c>
      <c r="L82" s="198">
        <f>Qty!P82*'Prop. prices'!L82*L$7</f>
        <v>0</v>
      </c>
      <c r="M82" s="198">
        <f>Qty!Q82*'Prop. prices'!M82*M$7</f>
        <v>0</v>
      </c>
      <c r="N82" s="198">
        <f>Qty!R82*'Prop. prices'!N82*N$7</f>
        <v>0</v>
      </c>
      <c r="O82" s="198">
        <f>Qty!S82*'Prop. prices'!O82*O$7</f>
        <v>0</v>
      </c>
      <c r="P82" s="198">
        <f>Qty!T82*'Prop. prices'!P82*P$7</f>
        <v>0</v>
      </c>
      <c r="Q82" s="198">
        <f>Qty!U82*'Prop. prices'!Q82*Q$7</f>
        <v>0</v>
      </c>
      <c r="R82" s="198">
        <f>Qty!V82*'Prop. prices'!R82*R$7</f>
        <v>0</v>
      </c>
      <c r="S82" s="198">
        <f>Qty!W82*'Prop. prices'!S82*S$7</f>
        <v>0</v>
      </c>
      <c r="T82" s="198">
        <f>Qty!X82*'Prop. prices'!T82*T$7</f>
        <v>0</v>
      </c>
      <c r="U82" s="198">
        <f>Qty!Y82*'Prop. prices'!U82*U$7</f>
        <v>0</v>
      </c>
      <c r="V82" s="198">
        <f>Qty!Z82*'Prop. prices'!V82*V$7</f>
        <v>0</v>
      </c>
      <c r="W82" s="198">
        <f>Qty!AA82*'Prop. prices'!W82*W$7</f>
        <v>0</v>
      </c>
      <c r="X82" s="198">
        <f>Qty!AB82*'Prop. prices'!X82*X$7</f>
        <v>0</v>
      </c>
      <c r="Y82" s="198">
        <f>Qty!AC82*'Prop. prices'!Y82*Y$7</f>
        <v>0</v>
      </c>
      <c r="Z82" s="198">
        <f>Qty!AD82*'Prop. prices'!Z82*Z$7</f>
        <v>0</v>
      </c>
      <c r="AA82" s="198">
        <f>Qty!AE82*'Prop. prices'!AA82*AA$7</f>
        <v>0</v>
      </c>
      <c r="AB82" s="198">
        <f>Qty!AF82*'Prop. prices'!AB82*AB$7</f>
        <v>0</v>
      </c>
      <c r="AC82" s="206">
        <f t="shared" si="3"/>
        <v>0</v>
      </c>
      <c r="AD82" s="19"/>
      <c r="AE82" s="19"/>
      <c r="AF82" s="19"/>
      <c r="AG82" s="19"/>
    </row>
    <row r="83" spans="1:33" outlineLevel="2" collapsed="1" x14ac:dyDescent="0.2">
      <c r="A83" s="19"/>
      <c r="B83" s="19"/>
      <c r="C83" s="539" t="s">
        <v>240</v>
      </c>
      <c r="D83" s="505"/>
      <c r="E83" s="505"/>
      <c r="F83" s="505"/>
      <c r="G83" s="505"/>
      <c r="H83" s="58"/>
      <c r="I83" s="205">
        <f t="shared" ref="I83:AC83" si="4">SUM(I8:I82)</f>
        <v>73136032.261192441</v>
      </c>
      <c r="J83" s="205">
        <f t="shared" si="4"/>
        <v>98288162.620910704</v>
      </c>
      <c r="K83" s="205">
        <f t="shared" si="4"/>
        <v>39622906.005548693</v>
      </c>
      <c r="L83" s="205">
        <f t="shared" si="4"/>
        <v>6035007.8722840883</v>
      </c>
      <c r="M83" s="205">
        <f t="shared" si="4"/>
        <v>10040372.826574322</v>
      </c>
      <c r="N83" s="205">
        <f t="shared" si="4"/>
        <v>4568475.3124003559</v>
      </c>
      <c r="O83" s="205">
        <f t="shared" si="4"/>
        <v>10692255.669630516</v>
      </c>
      <c r="P83" s="205">
        <f t="shared" si="4"/>
        <v>3228430.5568035357</v>
      </c>
      <c r="Q83" s="205">
        <f t="shared" si="4"/>
        <v>3986228.9567505806</v>
      </c>
      <c r="R83" s="205">
        <f t="shared" si="4"/>
        <v>244540.50260884629</v>
      </c>
      <c r="S83" s="205">
        <f t="shared" si="4"/>
        <v>0</v>
      </c>
      <c r="T83" s="205">
        <f t="shared" si="4"/>
        <v>0</v>
      </c>
      <c r="U83" s="205">
        <f t="shared" si="4"/>
        <v>1112056.1369067715</v>
      </c>
      <c r="V83" s="205">
        <f t="shared" si="4"/>
        <v>0</v>
      </c>
      <c r="W83" s="205">
        <f t="shared" si="4"/>
        <v>0</v>
      </c>
      <c r="X83" s="205">
        <f t="shared" si="4"/>
        <v>0</v>
      </c>
      <c r="Y83" s="205">
        <f t="shared" si="4"/>
        <v>0</v>
      </c>
      <c r="Z83" s="205">
        <f t="shared" si="4"/>
        <v>0</v>
      </c>
      <c r="AA83" s="205">
        <f t="shared" si="4"/>
        <v>0</v>
      </c>
      <c r="AB83" s="205">
        <f t="shared" si="4"/>
        <v>0</v>
      </c>
      <c r="AC83" s="205">
        <f t="shared" si="4"/>
        <v>250954468.72161084</v>
      </c>
      <c r="AD83" s="19"/>
      <c r="AE83" s="19"/>
      <c r="AF83" s="19"/>
      <c r="AG83" s="19"/>
    </row>
    <row r="84" spans="1:33" outlineLevel="1" x14ac:dyDescent="0.2">
      <c r="A84" s="19"/>
      <c r="B84" s="19"/>
      <c r="C84" s="66"/>
      <c r="D84" s="58"/>
      <c r="E84" s="58"/>
      <c r="F84" s="58"/>
      <c r="G84" s="58"/>
      <c r="H84" s="58"/>
      <c r="I84" s="71"/>
      <c r="J84" s="71"/>
      <c r="K84" s="70"/>
      <c r="L84" s="70"/>
      <c r="M84" s="70"/>
      <c r="N84" s="72"/>
      <c r="O84" s="72"/>
      <c r="P84" s="72"/>
      <c r="Q84" s="72"/>
      <c r="R84" s="72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19"/>
      <c r="AE84" s="19"/>
      <c r="AF84" s="19"/>
      <c r="AG84" s="19"/>
    </row>
    <row r="85" spans="1:33" outlineLevel="1" x14ac:dyDescent="0.2">
      <c r="A85" s="19"/>
      <c r="B85" s="19"/>
      <c r="C85" s="167" t="s">
        <v>219</v>
      </c>
      <c r="D85" s="20"/>
      <c r="E85" s="20"/>
      <c r="F85" s="20"/>
      <c r="G85" s="22"/>
      <c r="H85" s="22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19"/>
      <c r="AE85" s="19"/>
      <c r="AF85" s="19"/>
      <c r="AG85" s="19"/>
    </row>
    <row r="86" spans="1:33" outlineLevel="2" x14ac:dyDescent="0.2">
      <c r="A86" s="19"/>
      <c r="B86" s="19"/>
      <c r="C86" s="506" t="str">
        <f t="shared" ref="C86:G95" si="5">C8</f>
        <v>Residential time of use consumption</v>
      </c>
      <c r="D86" s="505" t="str">
        <f t="shared" si="5"/>
        <v>Residential</v>
      </c>
      <c r="E86" s="505" t="str">
        <f t="shared" si="5"/>
        <v>TAS93</v>
      </c>
      <c r="F86" s="505">
        <f t="shared" si="5"/>
        <v>0</v>
      </c>
      <c r="G86" s="505">
        <f t="shared" si="5"/>
        <v>0</v>
      </c>
      <c r="H86" s="22"/>
      <c r="I86" s="198">
        <f>IF(Qty!$J8=0,Qty!M8,Qty!M8*Qty!$J8)*'Prop. prices'!I86*I$7</f>
        <v>0</v>
      </c>
      <c r="J86" s="198">
        <f>IF(Qty!$J8=0,Qty!N8,Qty!N8*Qty!$J8)*'Prop. prices'!J86*J$7</f>
        <v>0</v>
      </c>
      <c r="K86" s="198">
        <f>IF(Qty!$J8=0,Qty!O8,Qty!O8*Qty!$J8)*'Prop. prices'!K86*K$7</f>
        <v>5528732.7956612194</v>
      </c>
      <c r="L86" s="198">
        <f>IF(Qty!$J8=0,Qty!P8,Qty!P8*Qty!$J8)*'Prop. prices'!L86*L$7</f>
        <v>0</v>
      </c>
      <c r="M86" s="198">
        <f>IF(Qty!$J8=0,Qty!Q8,Qty!Q8*Qty!$J8)*'Prop. prices'!M86*M$7</f>
        <v>2502644.8502745978</v>
      </c>
      <c r="N86" s="198">
        <f>IF(Qty!$J8=0,Qty!R8,Qty!R8*Qty!$J8)*'Prop. prices'!N86*N$7</f>
        <v>0</v>
      </c>
      <c r="O86" s="198">
        <f>IF(Qty!$J8=0,Qty!S8,Qty!S8*Qty!$J8)*'Prop. prices'!O86*O$7</f>
        <v>0</v>
      </c>
      <c r="P86" s="198">
        <f>IF(Qty!$J8=0,Qty!T8,Qty!T8*Qty!$J8)*'Prop. prices'!P86*P$7</f>
        <v>0</v>
      </c>
      <c r="Q86" s="198">
        <f>IF(Qty!$J8=0,Qty!U8,Qty!U8*Qty!$J8)*'Prop. prices'!Q86*Q$7</f>
        <v>0</v>
      </c>
      <c r="R86" s="198">
        <f>IF(Qty!$J8=0,Qty!V8,Qty!V8*Qty!$J8)*'Prop. prices'!R86*R$7</f>
        <v>0</v>
      </c>
      <c r="S86" s="198">
        <f>IF(Qty!$J8=0,Qty!W8,Qty!W8*Qty!$J8)*'Prop. prices'!S86*S$7</f>
        <v>0</v>
      </c>
      <c r="T86" s="198">
        <f>IF(Qty!$J8=0,Qty!X8,Qty!X8*Qty!$J8)*'Prop. prices'!T86*T$7</f>
        <v>0</v>
      </c>
      <c r="U86" s="198">
        <f>IF(Qty!$J8=0,Qty!Y8,Qty!Y8*Qty!$J8)*'Prop. prices'!U86*U$7</f>
        <v>0</v>
      </c>
      <c r="V86" s="198">
        <f>IF(Qty!$J8=0,Qty!Z8,Qty!Z8*Qty!$J8)*'Prop. prices'!V86*V$7</f>
        <v>0</v>
      </c>
      <c r="W86" s="198">
        <f>IF(Qty!$J8=0,Qty!AA8,Qty!AA8*Qty!$J8)*'Prop. prices'!W86*W$7</f>
        <v>0</v>
      </c>
      <c r="X86" s="198">
        <f>IF(Qty!$J8=0,Qty!AB8,Qty!AB8*Qty!$J8)*'Prop. prices'!X86*X$7</f>
        <v>0</v>
      </c>
      <c r="Y86" s="198">
        <f>IF(Qty!$J8=0,Qty!AC8,Qty!AC8*Qty!$J8)*'Prop. prices'!Y86*Y$7</f>
        <v>0</v>
      </c>
      <c r="Z86" s="198">
        <f>IF(Qty!$J8=0,Qty!AD8,Qty!AD8*Qty!$J8)*'Prop. prices'!Z86*Z$7</f>
        <v>0</v>
      </c>
      <c r="AA86" s="198">
        <f>IF(Qty!$J8=0,Qty!AE8,Qty!AE8*Qty!$J8)*'Prop. prices'!AA86*AA$7</f>
        <v>0</v>
      </c>
      <c r="AB86" s="198">
        <f>IF(Qty!$J8=0,Qty!AF8,Qty!AF8*Qty!$J8)*'Prop. prices'!AB86*AB$7</f>
        <v>0</v>
      </c>
      <c r="AC86" s="206">
        <f t="shared" ref="AC86:AC117" si="6">SUM(I86:AB86)</f>
        <v>8031377.6459358167</v>
      </c>
      <c r="AD86" s="19"/>
      <c r="AE86" s="19"/>
      <c r="AF86" s="19"/>
      <c r="AG86" s="19"/>
    </row>
    <row r="87" spans="1:33" s="59" customFormat="1" outlineLevel="2" x14ac:dyDescent="0.2">
      <c r="A87" s="57"/>
      <c r="B87" s="57"/>
      <c r="C87" s="506" t="str">
        <f t="shared" si="5"/>
        <v>Residential general light and power</v>
      </c>
      <c r="D87" s="505" t="str">
        <f t="shared" si="5"/>
        <v>Residential</v>
      </c>
      <c r="E87" s="505" t="str">
        <f t="shared" si="5"/>
        <v>TAS31</v>
      </c>
      <c r="F87" s="505">
        <f t="shared" si="5"/>
        <v>0</v>
      </c>
      <c r="G87" s="505">
        <f t="shared" si="5"/>
        <v>0</v>
      </c>
      <c r="H87" s="58"/>
      <c r="I87" s="198">
        <f>IF(Qty!$J9=0,Qty!M9,Qty!M9*Qty!$J9)*'Prop. prices'!I87*I$7</f>
        <v>0</v>
      </c>
      <c r="J87" s="198">
        <f>IF(Qty!$J9=0,Qty!N9,Qty!N9*Qty!$J9)*'Prop. prices'!J87*J$7</f>
        <v>14287976.604737857</v>
      </c>
      <c r="K87" s="198">
        <f>IF(Qty!$J9=0,Qty!O9,Qty!O9*Qty!$J9)*'Prop. prices'!K87*K$7</f>
        <v>0</v>
      </c>
      <c r="L87" s="198">
        <f>IF(Qty!$J9=0,Qty!P9,Qty!P9*Qty!$J9)*'Prop. prices'!L87*L$7</f>
        <v>0</v>
      </c>
      <c r="M87" s="198">
        <f>IF(Qty!$J9=0,Qty!Q9,Qty!Q9*Qty!$J9)*'Prop. prices'!M87*M$7</f>
        <v>0</v>
      </c>
      <c r="N87" s="198">
        <f>IF(Qty!$J9=0,Qty!R9,Qty!R9*Qty!$J9)*'Prop. prices'!N87*N$7</f>
        <v>0</v>
      </c>
      <c r="O87" s="198">
        <f>IF(Qty!$J9=0,Qty!S9,Qty!S9*Qty!$J9)*'Prop. prices'!O87*O$7</f>
        <v>0</v>
      </c>
      <c r="P87" s="198">
        <f>IF(Qty!$J9=0,Qty!T9,Qty!T9*Qty!$J9)*'Prop. prices'!P87*P$7</f>
        <v>0</v>
      </c>
      <c r="Q87" s="198">
        <f>IF(Qty!$J9=0,Qty!U9,Qty!U9*Qty!$J9)*'Prop. prices'!Q87*Q$7</f>
        <v>0</v>
      </c>
      <c r="R87" s="198">
        <f>IF(Qty!$J9=0,Qty!V9,Qty!V9*Qty!$J9)*'Prop. prices'!R87*R$7</f>
        <v>0</v>
      </c>
      <c r="S87" s="198">
        <f>IF(Qty!$J9=0,Qty!W9,Qty!W9*Qty!$J9)*'Prop. prices'!S87*S$7</f>
        <v>0</v>
      </c>
      <c r="T87" s="198">
        <f>IF(Qty!$J9=0,Qty!X9,Qty!X9*Qty!$J9)*'Prop. prices'!T87*T$7</f>
        <v>0</v>
      </c>
      <c r="U87" s="198">
        <f>IF(Qty!$J9=0,Qty!Y9,Qty!Y9*Qty!$J9)*'Prop. prices'!U87*U$7</f>
        <v>0</v>
      </c>
      <c r="V87" s="198">
        <f>IF(Qty!$J9=0,Qty!Z9,Qty!Z9*Qty!$J9)*'Prop. prices'!V87*V$7</f>
        <v>0</v>
      </c>
      <c r="W87" s="198">
        <f>IF(Qty!$J9=0,Qty!AA9,Qty!AA9*Qty!$J9)*'Prop. prices'!W87*W$7</f>
        <v>0</v>
      </c>
      <c r="X87" s="198">
        <f>IF(Qty!$J9=0,Qty!AB9,Qty!AB9*Qty!$J9)*'Prop. prices'!X87*X$7</f>
        <v>0</v>
      </c>
      <c r="Y87" s="198">
        <f>IF(Qty!$J9=0,Qty!AC9,Qty!AC9*Qty!$J9)*'Prop. prices'!Y87*Y$7</f>
        <v>0</v>
      </c>
      <c r="Z87" s="198">
        <f>IF(Qty!$J9=0,Qty!AD9,Qty!AD9*Qty!$J9)*'Prop. prices'!Z87*Z$7</f>
        <v>0</v>
      </c>
      <c r="AA87" s="198">
        <f>IF(Qty!$J9=0,Qty!AE9,Qty!AE9*Qty!$J9)*'Prop. prices'!AA87*AA$7</f>
        <v>0</v>
      </c>
      <c r="AB87" s="198">
        <f>IF(Qty!$J9=0,Qty!AF9,Qty!AF9*Qty!$J9)*'Prop. prices'!AB87*AB$7</f>
        <v>0</v>
      </c>
      <c r="AC87" s="206">
        <f t="shared" si="6"/>
        <v>14287976.604737857</v>
      </c>
      <c r="AD87" s="57"/>
      <c r="AE87" s="57"/>
      <c r="AF87" s="57"/>
      <c r="AG87" s="57"/>
    </row>
    <row r="88" spans="1:33" outlineLevel="2" x14ac:dyDescent="0.2">
      <c r="A88" s="19"/>
      <c r="B88" s="19"/>
      <c r="C88" s="506" t="str">
        <f t="shared" si="5"/>
        <v>Residential time of use demand</v>
      </c>
      <c r="D88" s="505" t="str">
        <f t="shared" si="5"/>
        <v>Residential</v>
      </c>
      <c r="E88" s="505" t="str">
        <f t="shared" si="5"/>
        <v>TAS87</v>
      </c>
      <c r="F88" s="505">
        <f t="shared" si="5"/>
        <v>0</v>
      </c>
      <c r="G88" s="505">
        <f t="shared" si="5"/>
        <v>0</v>
      </c>
      <c r="H88" s="58"/>
      <c r="I88" s="198">
        <f>IF(Qty!$J10=0,Qty!M10,Qty!M10*Qty!$J10)*'Prop. prices'!I88*I$7</f>
        <v>0</v>
      </c>
      <c r="J88" s="198">
        <f>IF(Qty!$J10=0,Qty!N10,Qty!N10*Qty!$J10)*'Prop. prices'!J88*J$7</f>
        <v>0</v>
      </c>
      <c r="K88" s="198">
        <f>IF(Qty!$J10=0,Qty!O10,Qty!O10*Qty!$J10)*'Prop. prices'!K88*K$7</f>
        <v>0</v>
      </c>
      <c r="L88" s="198">
        <f>IF(Qty!$J10=0,Qty!P10,Qty!P10*Qty!$J10)*'Prop. prices'!L88*L$7</f>
        <v>0</v>
      </c>
      <c r="M88" s="198">
        <f>IF(Qty!$J10=0,Qty!Q10,Qty!Q10*Qty!$J10)*'Prop. prices'!M88*M$7</f>
        <v>0</v>
      </c>
      <c r="N88" s="198">
        <f>IF(Qty!$J10=0,Qty!R10,Qty!R10*Qty!$J10)*'Prop. prices'!N88*N$7</f>
        <v>0</v>
      </c>
      <c r="O88" s="198">
        <f>IF(Qty!$J10=0,Qty!S10,Qty!S10*Qty!$J10)*'Prop. prices'!O88*O$7</f>
        <v>0</v>
      </c>
      <c r="P88" s="198">
        <f>IF(Qty!$J10=0,Qty!T10,Qty!T10*Qty!$J10)*'Prop. prices'!P88*P$7</f>
        <v>0</v>
      </c>
      <c r="Q88" s="198">
        <f>IF(Qty!$J10=0,Qty!U10,Qty!U10*Qty!$J10)*'Prop. prices'!Q88*Q$7</f>
        <v>0</v>
      </c>
      <c r="R88" s="198">
        <f>IF(Qty!$J10=0,Qty!V10,Qty!V10*Qty!$J10)*'Prop. prices'!R88*R$7</f>
        <v>0</v>
      </c>
      <c r="S88" s="198">
        <f>IF(Qty!$J10=0,Qty!W10,Qty!W10*Qty!$J10)*'Prop. prices'!S88*S$7</f>
        <v>0</v>
      </c>
      <c r="T88" s="198">
        <f>IF(Qty!$J10=0,Qty!X10,Qty!X10*Qty!$J10)*'Prop. prices'!T88*T$7</f>
        <v>0</v>
      </c>
      <c r="U88" s="198">
        <f>IF(Qty!$J10=0,Qty!Y10,Qty!Y10*Qty!$J10)*'Prop. prices'!U88*U$7</f>
        <v>0</v>
      </c>
      <c r="V88" s="198">
        <f>IF(Qty!$J10=0,Qty!Z10,Qty!Z10*Qty!$J10)*'Prop. prices'!V88*V$7</f>
        <v>0</v>
      </c>
      <c r="W88" s="198">
        <f>IF(Qty!$J10=0,Qty!AA10,Qty!AA10*Qty!$J10)*'Prop. prices'!W88*W$7</f>
        <v>0</v>
      </c>
      <c r="X88" s="198">
        <f>IF(Qty!$J10=0,Qty!AB10,Qty!AB10*Qty!$J10)*'Prop. prices'!X88*X$7</f>
        <v>0</v>
      </c>
      <c r="Y88" s="198">
        <f>IF(Qty!$J10=0,Qty!AC10,Qty!AC10*Qty!$J10)*'Prop. prices'!Y88*Y$7</f>
        <v>0</v>
      </c>
      <c r="Z88" s="198">
        <f>IF(Qty!$J10=0,Qty!AD10,Qty!AD10*Qty!$J10)*'Prop. prices'!Z88*Z$7</f>
        <v>0</v>
      </c>
      <c r="AA88" s="198">
        <f>IF(Qty!$J10=0,Qty!AE10,Qty!AE10*Qty!$J10)*'Prop. prices'!AA88*AA$7</f>
        <v>0</v>
      </c>
      <c r="AB88" s="198">
        <f>IF(Qty!$J10=0,Qty!AF10,Qty!AF10*Qty!$J10)*'Prop. prices'!AB88*AB$7</f>
        <v>0</v>
      </c>
      <c r="AC88" s="206">
        <f t="shared" si="6"/>
        <v>0</v>
      </c>
      <c r="AD88" s="19"/>
      <c r="AE88" s="19"/>
      <c r="AF88" s="19"/>
      <c r="AG88" s="19"/>
    </row>
    <row r="89" spans="1:33" outlineLevel="2" x14ac:dyDescent="0.2">
      <c r="A89" s="19"/>
      <c r="B89" s="19"/>
      <c r="C89" s="506" t="str">
        <f t="shared" si="5"/>
        <v>Residential time of use demand DER</v>
      </c>
      <c r="D89" s="505" t="str">
        <f t="shared" si="5"/>
        <v>Residential</v>
      </c>
      <c r="E89" s="505" t="str">
        <f t="shared" si="5"/>
        <v>TAS97</v>
      </c>
      <c r="F89" s="505">
        <f t="shared" si="5"/>
        <v>0</v>
      </c>
      <c r="G89" s="505">
        <f t="shared" si="5"/>
        <v>0</v>
      </c>
      <c r="H89" s="58"/>
      <c r="I89" s="198">
        <f>IF(Qty!$J11=0,Qty!M11,Qty!M11*Qty!$J11)*'Prop. prices'!I89*I$7</f>
        <v>0</v>
      </c>
      <c r="J89" s="198">
        <f>IF(Qty!$J11=0,Qty!N11,Qty!N11*Qty!$J11)*'Prop. prices'!J89*J$7</f>
        <v>0</v>
      </c>
      <c r="K89" s="198">
        <f>IF(Qty!$J11=0,Qty!O11,Qty!O11*Qty!$J11)*'Prop. prices'!K89*K$7</f>
        <v>0</v>
      </c>
      <c r="L89" s="198">
        <f>IF(Qty!$J11=0,Qty!P11,Qty!P11*Qty!$J11)*'Prop. prices'!L89*L$7</f>
        <v>0</v>
      </c>
      <c r="M89" s="198">
        <f>IF(Qty!$J11=0,Qty!Q11,Qty!Q11*Qty!$J11)*'Prop. prices'!M89*M$7</f>
        <v>0</v>
      </c>
      <c r="N89" s="198">
        <f>IF(Qty!$J11=0,Qty!R11,Qty!R11*Qty!$J11)*'Prop. prices'!N89*N$7</f>
        <v>0</v>
      </c>
      <c r="O89" s="198">
        <f>IF(Qty!$J11=0,Qty!S11,Qty!S11*Qty!$J11)*'Prop. prices'!O89*O$7</f>
        <v>0</v>
      </c>
      <c r="P89" s="198">
        <f>IF(Qty!$J11=0,Qty!T11,Qty!T11*Qty!$J11)*'Prop. prices'!P89*P$7</f>
        <v>0</v>
      </c>
      <c r="Q89" s="198">
        <f>IF(Qty!$J11=0,Qty!U11,Qty!U11*Qty!$J11)*'Prop. prices'!Q89*Q$7</f>
        <v>0</v>
      </c>
      <c r="R89" s="198">
        <f>IF(Qty!$J11=0,Qty!V11,Qty!V11*Qty!$J11)*'Prop. prices'!R89*R$7</f>
        <v>0</v>
      </c>
      <c r="S89" s="198">
        <f>IF(Qty!$J11=0,Qty!W11,Qty!W11*Qty!$J11)*'Prop. prices'!S89*S$7</f>
        <v>0</v>
      </c>
      <c r="T89" s="198">
        <f>IF(Qty!$J11=0,Qty!X11,Qty!X11*Qty!$J11)*'Prop. prices'!T89*T$7</f>
        <v>0</v>
      </c>
      <c r="U89" s="198">
        <f>IF(Qty!$J11=0,Qty!Y11,Qty!Y11*Qty!$J11)*'Prop. prices'!U89*U$7</f>
        <v>0</v>
      </c>
      <c r="V89" s="198">
        <f>IF(Qty!$J11=0,Qty!Z11,Qty!Z11*Qty!$J11)*'Prop. prices'!V89*V$7</f>
        <v>0</v>
      </c>
      <c r="W89" s="198">
        <f>IF(Qty!$J11=0,Qty!AA11,Qty!AA11*Qty!$J11)*'Prop. prices'!W89*W$7</f>
        <v>0</v>
      </c>
      <c r="X89" s="198">
        <f>IF(Qty!$J11=0,Qty!AB11,Qty!AB11*Qty!$J11)*'Prop. prices'!X89*X$7</f>
        <v>0</v>
      </c>
      <c r="Y89" s="198">
        <f>IF(Qty!$J11=0,Qty!AC11,Qty!AC11*Qty!$J11)*'Prop. prices'!Y89*Y$7</f>
        <v>0</v>
      </c>
      <c r="Z89" s="198">
        <f>IF(Qty!$J11=0,Qty!AD11,Qty!AD11*Qty!$J11)*'Prop. prices'!Z89*Z$7</f>
        <v>0</v>
      </c>
      <c r="AA89" s="198">
        <f>IF(Qty!$J11=0,Qty!AE11,Qty!AE11*Qty!$J11)*'Prop. prices'!AA89*AA$7</f>
        <v>0</v>
      </c>
      <c r="AB89" s="198">
        <f>IF(Qty!$J11=0,Qty!AF11,Qty!AF11*Qty!$J11)*'Prop. prices'!AB89*AB$7</f>
        <v>0</v>
      </c>
      <c r="AC89" s="206">
        <f t="shared" si="6"/>
        <v>0</v>
      </c>
      <c r="AD89" s="19"/>
      <c r="AE89" s="19"/>
      <c r="AF89" s="19"/>
      <c r="AG89" s="19"/>
    </row>
    <row r="90" spans="1:33" outlineLevel="2" x14ac:dyDescent="0.2">
      <c r="A90" s="19"/>
      <c r="B90" s="19"/>
      <c r="C90" s="506" t="str">
        <f t="shared" si="5"/>
        <v>Residential pay as you go</v>
      </c>
      <c r="D90" s="505" t="str">
        <f t="shared" si="5"/>
        <v>Residential</v>
      </c>
      <c r="E90" s="505" t="str">
        <f t="shared" si="5"/>
        <v>TAS101</v>
      </c>
      <c r="F90" s="505">
        <f t="shared" si="5"/>
        <v>0</v>
      </c>
      <c r="G90" s="505">
        <f t="shared" si="5"/>
        <v>0</v>
      </c>
      <c r="H90" s="58"/>
      <c r="I90" s="198">
        <f>IF(Qty!$J12=0,Qty!M12,Qty!M12*Qty!$J12)*'Prop. prices'!I90*I$7</f>
        <v>0</v>
      </c>
      <c r="J90" s="198">
        <f>IF(Qty!$J12=0,Qty!N12,Qty!N12*Qty!$J12)*'Prop. prices'!J90*J$7</f>
        <v>0</v>
      </c>
      <c r="K90" s="198">
        <f>IF(Qty!$J12=0,Qty!O12,Qty!O12*Qty!$J12)*'Prop. prices'!K90*K$7</f>
        <v>0</v>
      </c>
      <c r="L90" s="198">
        <f>IF(Qty!$J12=0,Qty!P12,Qty!P12*Qty!$J12)*'Prop. prices'!L90*L$7</f>
        <v>0</v>
      </c>
      <c r="M90" s="198">
        <f>IF(Qty!$J12=0,Qty!Q12,Qty!Q12*Qty!$J12)*'Prop. prices'!M90*M$7</f>
        <v>0</v>
      </c>
      <c r="N90" s="198">
        <f>IF(Qty!$J12=0,Qty!R12,Qty!R12*Qty!$J12)*'Prop. prices'!N90*N$7</f>
        <v>0</v>
      </c>
      <c r="O90" s="198">
        <f>IF(Qty!$J12=0,Qty!S12,Qty!S12*Qty!$J12)*'Prop. prices'!O90*O$7</f>
        <v>0</v>
      </c>
      <c r="P90" s="198">
        <f>IF(Qty!$J12=0,Qty!T12,Qty!T12*Qty!$J12)*'Prop. prices'!P90*P$7</f>
        <v>0</v>
      </c>
      <c r="Q90" s="198">
        <f>IF(Qty!$J12=0,Qty!U12,Qty!U12*Qty!$J12)*'Prop. prices'!Q90*Q$7</f>
        <v>0</v>
      </c>
      <c r="R90" s="198">
        <f>IF(Qty!$J12=0,Qty!V12,Qty!V12*Qty!$J12)*'Prop. prices'!R90*R$7</f>
        <v>0</v>
      </c>
      <c r="S90" s="198">
        <f>IF(Qty!$J12=0,Qty!W12,Qty!W12*Qty!$J12)*'Prop. prices'!S90*S$7</f>
        <v>0</v>
      </c>
      <c r="T90" s="198">
        <f>IF(Qty!$J12=0,Qty!X12,Qty!X12*Qty!$J12)*'Prop. prices'!T90*T$7</f>
        <v>0</v>
      </c>
      <c r="U90" s="198">
        <f>IF(Qty!$J12=0,Qty!Y12,Qty!Y12*Qty!$J12)*'Prop. prices'!U90*U$7</f>
        <v>0</v>
      </c>
      <c r="V90" s="198">
        <f>IF(Qty!$J12=0,Qty!Z12,Qty!Z12*Qty!$J12)*'Prop. prices'!V90*V$7</f>
        <v>0</v>
      </c>
      <c r="W90" s="198">
        <f>IF(Qty!$J12=0,Qty!AA12,Qty!AA12*Qty!$J12)*'Prop. prices'!W90*W$7</f>
        <v>0</v>
      </c>
      <c r="X90" s="198">
        <f>IF(Qty!$J12=0,Qty!AB12,Qty!AB12*Qty!$J12)*'Prop. prices'!X90*X$7</f>
        <v>0</v>
      </c>
      <c r="Y90" s="198">
        <f>IF(Qty!$J12=0,Qty!AC12,Qty!AC12*Qty!$J12)*'Prop. prices'!Y90*Y$7</f>
        <v>0</v>
      </c>
      <c r="Z90" s="198">
        <f>IF(Qty!$J12=0,Qty!AD12,Qty!AD12*Qty!$J12)*'Prop. prices'!Z90*Z$7</f>
        <v>0</v>
      </c>
      <c r="AA90" s="198">
        <f>IF(Qty!$J12=0,Qty!AE12,Qty!AE12*Qty!$J12)*'Prop. prices'!AA90*AA$7</f>
        <v>0</v>
      </c>
      <c r="AB90" s="198">
        <f>IF(Qty!$J12=0,Qty!AF12,Qty!AF12*Qty!$J12)*'Prop. prices'!AB90*AB$7</f>
        <v>0</v>
      </c>
      <c r="AC90" s="206">
        <f t="shared" si="6"/>
        <v>0</v>
      </c>
      <c r="AD90" s="19"/>
      <c r="AE90" s="19"/>
      <c r="AF90" s="19"/>
      <c r="AG90" s="19"/>
    </row>
    <row r="91" spans="1:33" outlineLevel="2" x14ac:dyDescent="0.2">
      <c r="A91" s="19"/>
      <c r="B91" s="19"/>
      <c r="C91" s="506" t="str">
        <f t="shared" si="5"/>
        <v>Residential pay as you go time of use</v>
      </c>
      <c r="D91" s="505" t="str">
        <f t="shared" si="5"/>
        <v>Residential</v>
      </c>
      <c r="E91" s="505" t="str">
        <f t="shared" si="5"/>
        <v>TAS92</v>
      </c>
      <c r="F91" s="505">
        <f t="shared" si="5"/>
        <v>0</v>
      </c>
      <c r="G91" s="505">
        <f t="shared" si="5"/>
        <v>0</v>
      </c>
      <c r="H91" s="58"/>
      <c r="I91" s="198">
        <f>IF(Qty!$J13=0,Qty!M13,Qty!M13*Qty!$J13)*'Prop. prices'!I91*I$7</f>
        <v>0</v>
      </c>
      <c r="J91" s="198">
        <f>IF(Qty!$J13=0,Qty!N13,Qty!N13*Qty!$J13)*'Prop. prices'!J91*J$7</f>
        <v>0</v>
      </c>
      <c r="K91" s="198">
        <f>IF(Qty!$J13=0,Qty!O13,Qty!O13*Qty!$J13)*'Prop. prices'!K91*K$7</f>
        <v>0</v>
      </c>
      <c r="L91" s="198">
        <f>IF(Qty!$J13=0,Qty!P13,Qty!P13*Qty!$J13)*'Prop. prices'!L91*L$7</f>
        <v>0</v>
      </c>
      <c r="M91" s="198">
        <f>IF(Qty!$J13=0,Qty!Q13,Qty!Q13*Qty!$J13)*'Prop. prices'!M91*M$7</f>
        <v>0</v>
      </c>
      <c r="N91" s="198">
        <f>IF(Qty!$J13=0,Qty!R13,Qty!R13*Qty!$J13)*'Prop. prices'!N91*N$7</f>
        <v>0</v>
      </c>
      <c r="O91" s="198">
        <f>IF(Qty!$J13=0,Qty!S13,Qty!S13*Qty!$J13)*'Prop. prices'!O91*O$7</f>
        <v>0</v>
      </c>
      <c r="P91" s="198">
        <f>IF(Qty!$J13=0,Qty!T13,Qty!T13*Qty!$J13)*'Prop. prices'!P91*P$7</f>
        <v>0</v>
      </c>
      <c r="Q91" s="198">
        <f>IF(Qty!$J13=0,Qty!U13,Qty!U13*Qty!$J13)*'Prop. prices'!Q91*Q$7</f>
        <v>0</v>
      </c>
      <c r="R91" s="198">
        <f>IF(Qty!$J13=0,Qty!V13,Qty!V13*Qty!$J13)*'Prop. prices'!R91*R$7</f>
        <v>0</v>
      </c>
      <c r="S91" s="198">
        <f>IF(Qty!$J13=0,Qty!W13,Qty!W13*Qty!$J13)*'Prop. prices'!S91*S$7</f>
        <v>0</v>
      </c>
      <c r="T91" s="198">
        <f>IF(Qty!$J13=0,Qty!X13,Qty!X13*Qty!$J13)*'Prop. prices'!T91*T$7</f>
        <v>0</v>
      </c>
      <c r="U91" s="198">
        <f>IF(Qty!$J13=0,Qty!Y13,Qty!Y13*Qty!$J13)*'Prop. prices'!U91*U$7</f>
        <v>0</v>
      </c>
      <c r="V91" s="198">
        <f>IF(Qty!$J13=0,Qty!Z13,Qty!Z13*Qty!$J13)*'Prop. prices'!V91*V$7</f>
        <v>0</v>
      </c>
      <c r="W91" s="198">
        <f>IF(Qty!$J13=0,Qty!AA13,Qty!AA13*Qty!$J13)*'Prop. prices'!W91*W$7</f>
        <v>0</v>
      </c>
      <c r="X91" s="198">
        <f>IF(Qty!$J13=0,Qty!AB13,Qty!AB13*Qty!$J13)*'Prop. prices'!X91*X$7</f>
        <v>0</v>
      </c>
      <c r="Y91" s="198">
        <f>IF(Qty!$J13=0,Qty!AC13,Qty!AC13*Qty!$J13)*'Prop. prices'!Y91*Y$7</f>
        <v>0</v>
      </c>
      <c r="Z91" s="198">
        <f>IF(Qty!$J13=0,Qty!AD13,Qty!AD13*Qty!$J13)*'Prop. prices'!Z91*Z$7</f>
        <v>0</v>
      </c>
      <c r="AA91" s="198">
        <f>IF(Qty!$J13=0,Qty!AE13,Qty!AE13*Qty!$J13)*'Prop. prices'!AA91*AA$7</f>
        <v>0</v>
      </c>
      <c r="AB91" s="198">
        <f>IF(Qty!$J13=0,Qty!AF13,Qty!AF13*Qty!$J13)*'Prop. prices'!AB91*AB$7</f>
        <v>0</v>
      </c>
      <c r="AC91" s="206">
        <f t="shared" si="6"/>
        <v>0</v>
      </c>
      <c r="AD91" s="19"/>
      <c r="AE91" s="19"/>
      <c r="AF91" s="19"/>
      <c r="AG91" s="19"/>
    </row>
    <row r="92" spans="1:33" outlineLevel="2" x14ac:dyDescent="0.2">
      <c r="A92" s="19"/>
      <c r="B92" s="19"/>
      <c r="C92" s="506" t="str">
        <f t="shared" si="5"/>
        <v>Small business time of use consumption</v>
      </c>
      <c r="D92" s="505" t="str">
        <f t="shared" si="5"/>
        <v>Small Business LV</v>
      </c>
      <c r="E92" s="505" t="str">
        <f t="shared" si="5"/>
        <v>TAS94</v>
      </c>
      <c r="F92" s="505">
        <f t="shared" si="5"/>
        <v>0</v>
      </c>
      <c r="G92" s="505">
        <f t="shared" si="5"/>
        <v>0</v>
      </c>
      <c r="H92" s="58"/>
      <c r="I92" s="198">
        <f>IF(Qty!$J14=0,Qty!M14,Qty!M14*Qty!$J14)*'Prop. prices'!I92*I$7</f>
        <v>0</v>
      </c>
      <c r="J92" s="198">
        <f>IF(Qty!$J14=0,Qty!N14,Qty!N14*Qty!$J14)*'Prop. prices'!J92*J$7</f>
        <v>0</v>
      </c>
      <c r="K92" s="198">
        <f>IF(Qty!$J14=0,Qty!O14,Qty!O14*Qty!$J14)*'Prop. prices'!K92*K$7</f>
        <v>6703490.6545420531</v>
      </c>
      <c r="L92" s="198">
        <f>IF(Qty!$J14=0,Qty!P14,Qty!P14*Qty!$J14)*'Prop. prices'!L92*L$7</f>
        <v>1009014.7735275924</v>
      </c>
      <c r="M92" s="198">
        <f>IF(Qty!$J14=0,Qty!Q14,Qty!Q14*Qty!$J14)*'Prop. prices'!M92*M$7</f>
        <v>496560.50107306213</v>
      </c>
      <c r="N92" s="198">
        <f>IF(Qty!$J14=0,Qty!R14,Qty!R14*Qty!$J14)*'Prop. prices'!N92*N$7</f>
        <v>0</v>
      </c>
      <c r="O92" s="198">
        <f>IF(Qty!$J14=0,Qty!S14,Qty!S14*Qty!$J14)*'Prop. prices'!O92*O$7</f>
        <v>0</v>
      </c>
      <c r="P92" s="198">
        <f>IF(Qty!$J14=0,Qty!T14,Qty!T14*Qty!$J14)*'Prop. prices'!P92*P$7</f>
        <v>0</v>
      </c>
      <c r="Q92" s="198">
        <f>IF(Qty!$J14=0,Qty!U14,Qty!U14*Qty!$J14)*'Prop. prices'!Q92*Q$7</f>
        <v>0</v>
      </c>
      <c r="R92" s="198">
        <f>IF(Qty!$J14=0,Qty!V14,Qty!V14*Qty!$J14)*'Prop. prices'!R92*R$7</f>
        <v>0</v>
      </c>
      <c r="S92" s="198">
        <f>IF(Qty!$J14=0,Qty!W14,Qty!W14*Qty!$J14)*'Prop. prices'!S92*S$7</f>
        <v>0</v>
      </c>
      <c r="T92" s="198">
        <f>IF(Qty!$J14=0,Qty!X14,Qty!X14*Qty!$J14)*'Prop. prices'!T92*T$7</f>
        <v>0</v>
      </c>
      <c r="U92" s="198">
        <f>IF(Qty!$J14=0,Qty!Y14,Qty!Y14*Qty!$J14)*'Prop. prices'!U92*U$7</f>
        <v>0</v>
      </c>
      <c r="V92" s="198">
        <f>IF(Qty!$J14=0,Qty!Z14,Qty!Z14*Qty!$J14)*'Prop. prices'!V92*V$7</f>
        <v>0</v>
      </c>
      <c r="W92" s="198">
        <f>IF(Qty!$J14=0,Qty!AA14,Qty!AA14*Qty!$J14)*'Prop. prices'!W92*W$7</f>
        <v>0</v>
      </c>
      <c r="X92" s="198">
        <f>IF(Qty!$J14=0,Qty!AB14,Qty!AB14*Qty!$J14)*'Prop. prices'!X92*X$7</f>
        <v>0</v>
      </c>
      <c r="Y92" s="198">
        <f>IF(Qty!$J14=0,Qty!AC14,Qty!AC14*Qty!$J14)*'Prop. prices'!Y92*Y$7</f>
        <v>0</v>
      </c>
      <c r="Z92" s="198">
        <f>IF(Qty!$J14=0,Qty!AD14,Qty!AD14*Qty!$J14)*'Prop. prices'!Z92*Z$7</f>
        <v>0</v>
      </c>
      <c r="AA92" s="198">
        <f>IF(Qty!$J14=0,Qty!AE14,Qty!AE14*Qty!$J14)*'Prop. prices'!AA92*AA$7</f>
        <v>0</v>
      </c>
      <c r="AB92" s="198">
        <f>IF(Qty!$J14=0,Qty!AF14,Qty!AF14*Qty!$J14)*'Prop. prices'!AB92*AB$7</f>
        <v>0</v>
      </c>
      <c r="AC92" s="206">
        <f t="shared" si="6"/>
        <v>8209065.929142708</v>
      </c>
      <c r="AD92" s="19"/>
      <c r="AE92" s="19"/>
      <c r="AF92" s="19"/>
      <c r="AG92" s="19"/>
    </row>
    <row r="93" spans="1:33" outlineLevel="2" x14ac:dyDescent="0.2">
      <c r="A93" s="19"/>
      <c r="B93" s="19"/>
      <c r="C93" s="506" t="str">
        <f t="shared" si="5"/>
        <v>Small business general light and power</v>
      </c>
      <c r="D93" s="505" t="str">
        <f t="shared" si="5"/>
        <v>Small Business LV</v>
      </c>
      <c r="E93" s="505" t="str">
        <f t="shared" si="5"/>
        <v>TAS22</v>
      </c>
      <c r="F93" s="505">
        <f t="shared" si="5"/>
        <v>0</v>
      </c>
      <c r="G93" s="505">
        <f t="shared" si="5"/>
        <v>0</v>
      </c>
      <c r="H93" s="58"/>
      <c r="I93" s="198">
        <f>IF(Qty!$J15=0,Qty!M15,Qty!M15*Qty!$J15)*'Prop. prices'!I93*I$7</f>
        <v>0</v>
      </c>
      <c r="J93" s="198">
        <f>IF(Qty!$J15=0,Qty!N15,Qty!N15*Qty!$J15)*'Prop. prices'!J93*J$7</f>
        <v>4710591.744259052</v>
      </c>
      <c r="K93" s="198">
        <f>IF(Qty!$J15=0,Qty!O15,Qty!O15*Qty!$J15)*'Prop. prices'!K93*K$7</f>
        <v>0</v>
      </c>
      <c r="L93" s="198">
        <f>IF(Qty!$J15=0,Qty!P15,Qty!P15*Qty!$J15)*'Prop. prices'!L93*L$7</f>
        <v>0</v>
      </c>
      <c r="M93" s="198">
        <f>IF(Qty!$J15=0,Qty!Q15,Qty!Q15*Qty!$J15)*'Prop. prices'!M93*M$7</f>
        <v>0</v>
      </c>
      <c r="N93" s="198">
        <f>IF(Qty!$J15=0,Qty!R15,Qty!R15*Qty!$J15)*'Prop. prices'!N93*N$7</f>
        <v>0</v>
      </c>
      <c r="O93" s="198">
        <f>IF(Qty!$J15=0,Qty!S15,Qty!S15*Qty!$J15)*'Prop. prices'!O93*O$7</f>
        <v>0</v>
      </c>
      <c r="P93" s="198">
        <f>IF(Qty!$J15=0,Qty!T15,Qty!T15*Qty!$J15)*'Prop. prices'!P93*P$7</f>
        <v>0</v>
      </c>
      <c r="Q93" s="198">
        <f>IF(Qty!$J15=0,Qty!U15,Qty!U15*Qty!$J15)*'Prop. prices'!Q93*Q$7</f>
        <v>0</v>
      </c>
      <c r="R93" s="198">
        <f>IF(Qty!$J15=0,Qty!V15,Qty!V15*Qty!$J15)*'Prop. prices'!R93*R$7</f>
        <v>0</v>
      </c>
      <c r="S93" s="198">
        <f>IF(Qty!$J15=0,Qty!W15,Qty!W15*Qty!$J15)*'Prop. prices'!S93*S$7</f>
        <v>0</v>
      </c>
      <c r="T93" s="198">
        <f>IF(Qty!$J15=0,Qty!X15,Qty!X15*Qty!$J15)*'Prop. prices'!T93*T$7</f>
        <v>0</v>
      </c>
      <c r="U93" s="198">
        <f>IF(Qty!$J15=0,Qty!Y15,Qty!Y15*Qty!$J15)*'Prop. prices'!U93*U$7</f>
        <v>0</v>
      </c>
      <c r="V93" s="198">
        <f>IF(Qty!$J15=0,Qty!Z15,Qty!Z15*Qty!$J15)*'Prop. prices'!V93*V$7</f>
        <v>0</v>
      </c>
      <c r="W93" s="198">
        <f>IF(Qty!$J15=0,Qty!AA15,Qty!AA15*Qty!$J15)*'Prop. prices'!W93*W$7</f>
        <v>0</v>
      </c>
      <c r="X93" s="198">
        <f>IF(Qty!$J15=0,Qty!AB15,Qty!AB15*Qty!$J15)*'Prop. prices'!X93*X$7</f>
        <v>0</v>
      </c>
      <c r="Y93" s="198">
        <f>IF(Qty!$J15=0,Qty!AC15,Qty!AC15*Qty!$J15)*'Prop. prices'!Y93*Y$7</f>
        <v>0</v>
      </c>
      <c r="Z93" s="198">
        <f>IF(Qty!$J15=0,Qty!AD15,Qty!AD15*Qty!$J15)*'Prop. prices'!Z93*Z$7</f>
        <v>0</v>
      </c>
      <c r="AA93" s="198">
        <f>IF(Qty!$J15=0,Qty!AE15,Qty!AE15*Qty!$J15)*'Prop. prices'!AA93*AA$7</f>
        <v>0</v>
      </c>
      <c r="AB93" s="198">
        <f>IF(Qty!$J15=0,Qty!AF15,Qty!AF15*Qty!$J15)*'Prop. prices'!AB93*AB$7</f>
        <v>0</v>
      </c>
      <c r="AC93" s="206">
        <f t="shared" si="6"/>
        <v>4710591.744259052</v>
      </c>
      <c r="AD93" s="19"/>
      <c r="AE93" s="19"/>
      <c r="AF93" s="19"/>
      <c r="AG93" s="19"/>
    </row>
    <row r="94" spans="1:33" outlineLevel="2" x14ac:dyDescent="0.2">
      <c r="A94" s="19"/>
      <c r="B94" s="19"/>
      <c r="C94" s="506" t="str">
        <f t="shared" si="5"/>
        <v>Small business time of use demand</v>
      </c>
      <c r="D94" s="505" t="str">
        <f t="shared" si="5"/>
        <v>Small Business LV</v>
      </c>
      <c r="E94" s="505" t="str">
        <f t="shared" si="5"/>
        <v>TAS88</v>
      </c>
      <c r="F94" s="505">
        <f t="shared" si="5"/>
        <v>0</v>
      </c>
      <c r="G94" s="505">
        <f t="shared" si="5"/>
        <v>0</v>
      </c>
      <c r="H94" s="58"/>
      <c r="I94" s="198">
        <f>IF(Qty!$J16=0,Qty!M16,Qty!M16*Qty!$J16)*'Prop. prices'!I94*I$7</f>
        <v>0</v>
      </c>
      <c r="J94" s="198">
        <f>IF(Qty!$J16=0,Qty!N16,Qty!N16*Qty!$J16)*'Prop. prices'!J94*J$7</f>
        <v>0</v>
      </c>
      <c r="K94" s="198">
        <f>IF(Qty!$J16=0,Qty!O16,Qty!O16*Qty!$J16)*'Prop. prices'!K94*K$7</f>
        <v>0</v>
      </c>
      <c r="L94" s="198">
        <f>IF(Qty!$J16=0,Qty!P16,Qty!P16*Qty!$J16)*'Prop. prices'!L94*L$7</f>
        <v>0</v>
      </c>
      <c r="M94" s="198">
        <f>IF(Qty!$J16=0,Qty!Q16,Qty!Q16*Qty!$J16)*'Prop. prices'!M94*M$7</f>
        <v>0</v>
      </c>
      <c r="N94" s="198">
        <f>IF(Qty!$J16=0,Qty!R16,Qty!R16*Qty!$J16)*'Prop. prices'!N94*N$7</f>
        <v>0</v>
      </c>
      <c r="O94" s="198">
        <f>IF(Qty!$J16=0,Qty!S16,Qty!S16*Qty!$J16)*'Prop. prices'!O94*O$7</f>
        <v>1386824.4038396266</v>
      </c>
      <c r="P94" s="198">
        <f>IF(Qty!$J16=0,Qty!T16,Qty!T16*Qty!$J16)*'Prop. prices'!P94*P$7</f>
        <v>382869.27344269294</v>
      </c>
      <c r="Q94" s="198">
        <f>IF(Qty!$J16=0,Qty!U16,Qty!U16*Qty!$J16)*'Prop. prices'!Q94*Q$7</f>
        <v>0</v>
      </c>
      <c r="R94" s="198">
        <f>IF(Qty!$J16=0,Qty!V16,Qty!V16*Qty!$J16)*'Prop. prices'!R94*R$7</f>
        <v>0</v>
      </c>
      <c r="S94" s="198">
        <f>IF(Qty!$J16=0,Qty!W16,Qty!W16*Qty!$J16)*'Prop. prices'!S94*S$7</f>
        <v>0</v>
      </c>
      <c r="T94" s="198">
        <f>IF(Qty!$J16=0,Qty!X16,Qty!X16*Qty!$J16)*'Prop. prices'!T94*T$7</f>
        <v>0</v>
      </c>
      <c r="U94" s="198">
        <f>IF(Qty!$J16=0,Qty!Y16,Qty!Y16*Qty!$J16)*'Prop. prices'!U94*U$7</f>
        <v>0</v>
      </c>
      <c r="V94" s="198">
        <f>IF(Qty!$J16=0,Qty!Z16,Qty!Z16*Qty!$J16)*'Prop. prices'!V94*V$7</f>
        <v>0</v>
      </c>
      <c r="W94" s="198">
        <f>IF(Qty!$J16=0,Qty!AA16,Qty!AA16*Qty!$J16)*'Prop. prices'!W94*W$7</f>
        <v>0</v>
      </c>
      <c r="X94" s="198">
        <f>IF(Qty!$J16=0,Qty!AB16,Qty!AB16*Qty!$J16)*'Prop. prices'!X94*X$7</f>
        <v>0</v>
      </c>
      <c r="Y94" s="198">
        <f>IF(Qty!$J16=0,Qty!AC16,Qty!AC16*Qty!$J16)*'Prop. prices'!Y94*Y$7</f>
        <v>0</v>
      </c>
      <c r="Z94" s="198">
        <f>IF(Qty!$J16=0,Qty!AD16,Qty!AD16*Qty!$J16)*'Prop. prices'!Z94*Z$7</f>
        <v>0</v>
      </c>
      <c r="AA94" s="198">
        <f>IF(Qty!$J16=0,Qty!AE16,Qty!AE16*Qty!$J16)*'Prop. prices'!AA94*AA$7</f>
        <v>0</v>
      </c>
      <c r="AB94" s="198">
        <f>IF(Qty!$J16=0,Qty!AF16,Qty!AF16*Qty!$J16)*'Prop. prices'!AB94*AB$7</f>
        <v>0</v>
      </c>
      <c r="AC94" s="206">
        <f t="shared" si="6"/>
        <v>1769693.6772823194</v>
      </c>
      <c r="AD94" s="19"/>
      <c r="AE94" s="19"/>
      <c r="AF94" s="19"/>
      <c r="AG94" s="19"/>
    </row>
    <row r="95" spans="1:33" outlineLevel="2" x14ac:dyDescent="0.2">
      <c r="A95" s="19"/>
      <c r="B95" s="19"/>
      <c r="C95" s="506" t="str">
        <f t="shared" si="5"/>
        <v>Small business time of use demand DER</v>
      </c>
      <c r="D95" s="505" t="str">
        <f t="shared" si="5"/>
        <v>Small Business LV</v>
      </c>
      <c r="E95" s="505" t="str">
        <f t="shared" si="5"/>
        <v>TAS98</v>
      </c>
      <c r="F95" s="505">
        <f t="shared" si="5"/>
        <v>0</v>
      </c>
      <c r="G95" s="505">
        <f t="shared" si="5"/>
        <v>0</v>
      </c>
      <c r="H95" s="58"/>
      <c r="I95" s="198">
        <f>IF(Qty!$J17=0,Qty!M17,Qty!M17*Qty!$J17)*'Prop. prices'!I95*I$7</f>
        <v>0</v>
      </c>
      <c r="J95" s="198">
        <f>IF(Qty!$J17=0,Qty!N17,Qty!N17*Qty!$J17)*'Prop. prices'!J95*J$7</f>
        <v>0</v>
      </c>
      <c r="K95" s="198">
        <f>IF(Qty!$J17=0,Qty!O17,Qty!O17*Qty!$J17)*'Prop. prices'!K95*K$7</f>
        <v>0</v>
      </c>
      <c r="L95" s="198">
        <f>IF(Qty!$J17=0,Qty!P17,Qty!P17*Qty!$J17)*'Prop. prices'!L95*L$7</f>
        <v>0</v>
      </c>
      <c r="M95" s="198">
        <f>IF(Qty!$J17=0,Qty!Q17,Qty!Q17*Qty!$J17)*'Prop. prices'!M95*M$7</f>
        <v>0</v>
      </c>
      <c r="N95" s="198">
        <f>IF(Qty!$J17=0,Qty!R17,Qty!R17*Qty!$J17)*'Prop. prices'!N95*N$7</f>
        <v>0</v>
      </c>
      <c r="O95" s="198">
        <f>IF(Qty!$J17=0,Qty!S17,Qty!S17*Qty!$J17)*'Prop. prices'!O95*O$7</f>
        <v>238653.69462880408</v>
      </c>
      <c r="P95" s="198">
        <f>IF(Qty!$J17=0,Qty!T17,Qty!T17*Qty!$J17)*'Prop. prices'!P95*P$7</f>
        <v>67459.717693501298</v>
      </c>
      <c r="Q95" s="198">
        <f>IF(Qty!$J17=0,Qty!U17,Qty!U17*Qty!$J17)*'Prop. prices'!Q95*Q$7</f>
        <v>0</v>
      </c>
      <c r="R95" s="198">
        <f>IF(Qty!$J17=0,Qty!V17,Qty!V17*Qty!$J17)*'Prop. prices'!R95*R$7</f>
        <v>0</v>
      </c>
      <c r="S95" s="198">
        <f>IF(Qty!$J17=0,Qty!W17,Qty!W17*Qty!$J17)*'Prop. prices'!S95*S$7</f>
        <v>0</v>
      </c>
      <c r="T95" s="198">
        <f>IF(Qty!$J17=0,Qty!X17,Qty!X17*Qty!$J17)*'Prop. prices'!T95*T$7</f>
        <v>0</v>
      </c>
      <c r="U95" s="198">
        <f>IF(Qty!$J17=0,Qty!Y17,Qty!Y17*Qty!$J17)*'Prop. prices'!U95*U$7</f>
        <v>0</v>
      </c>
      <c r="V95" s="198">
        <f>IF(Qty!$J17=0,Qty!Z17,Qty!Z17*Qty!$J17)*'Prop. prices'!V95*V$7</f>
        <v>0</v>
      </c>
      <c r="W95" s="198">
        <f>IF(Qty!$J17=0,Qty!AA17,Qty!AA17*Qty!$J17)*'Prop. prices'!W95*W$7</f>
        <v>0</v>
      </c>
      <c r="X95" s="198">
        <f>IF(Qty!$J17=0,Qty!AB17,Qty!AB17*Qty!$J17)*'Prop. prices'!X95*X$7</f>
        <v>0</v>
      </c>
      <c r="Y95" s="198">
        <f>IF(Qty!$J17=0,Qty!AC17,Qty!AC17*Qty!$J17)*'Prop. prices'!Y95*Y$7</f>
        <v>0</v>
      </c>
      <c r="Z95" s="198">
        <f>IF(Qty!$J17=0,Qty!AD17,Qty!AD17*Qty!$J17)*'Prop. prices'!Z95*Z$7</f>
        <v>0</v>
      </c>
      <c r="AA95" s="198">
        <f>IF(Qty!$J17=0,Qty!AE17,Qty!AE17*Qty!$J17)*'Prop. prices'!AA95*AA$7</f>
        <v>0</v>
      </c>
      <c r="AB95" s="198">
        <f>IF(Qty!$J17=0,Qty!AF17,Qty!AF17*Qty!$J17)*'Prop. prices'!AB95*AB$7</f>
        <v>0</v>
      </c>
      <c r="AC95" s="206">
        <f t="shared" si="6"/>
        <v>306113.41232230538</v>
      </c>
      <c r="AD95" s="19"/>
      <c r="AE95" s="19"/>
      <c r="AF95" s="19"/>
      <c r="AG95" s="19"/>
    </row>
    <row r="96" spans="1:33" outlineLevel="2" x14ac:dyDescent="0.2">
      <c r="A96" s="19"/>
      <c r="B96" s="19"/>
      <c r="C96" s="506" t="str">
        <f t="shared" ref="C96:G105" si="7">C18</f>
        <v>Large business kVA demand</v>
      </c>
      <c r="D96" s="505" t="str">
        <f t="shared" si="7"/>
        <v>Large Business LV</v>
      </c>
      <c r="E96" s="505" t="str">
        <f t="shared" si="7"/>
        <v>TAS82</v>
      </c>
      <c r="F96" s="505">
        <f t="shared" si="7"/>
        <v>0</v>
      </c>
      <c r="G96" s="505">
        <f t="shared" si="7"/>
        <v>0</v>
      </c>
      <c r="H96" s="58"/>
      <c r="I96" s="198">
        <f>IF(Qty!$J18=0,Qty!M18,Qty!M18*Qty!$J18)*'Prop. prices'!I96*I$7</f>
        <v>0</v>
      </c>
      <c r="J96" s="198">
        <f>IF(Qty!$J18=0,Qty!N18,Qty!N18*Qty!$J18)*'Prop. prices'!J96*J$7</f>
        <v>1150159.6613846917</v>
      </c>
      <c r="K96" s="198">
        <f>IF(Qty!$J18=0,Qty!O18,Qty!O18*Qty!$J18)*'Prop. prices'!K96*K$7</f>
        <v>0</v>
      </c>
      <c r="L96" s="198">
        <f>IF(Qty!$J18=0,Qty!P18,Qty!P18*Qty!$J18)*'Prop. prices'!L96*L$7</f>
        <v>0</v>
      </c>
      <c r="M96" s="198">
        <f>IF(Qty!$J18=0,Qty!Q18,Qty!Q18*Qty!$J18)*'Prop. prices'!M96*M$7</f>
        <v>0</v>
      </c>
      <c r="N96" s="198">
        <f>IF(Qty!$J18=0,Qty!R18,Qty!R18*Qty!$J18)*'Prop. prices'!N96*N$7</f>
        <v>2718095.0169248991</v>
      </c>
      <c r="O96" s="198">
        <f>IF(Qty!$J18=0,Qty!S18,Qty!S18*Qty!$J18)*'Prop. prices'!O96*O$7</f>
        <v>0</v>
      </c>
      <c r="P96" s="198">
        <f>IF(Qty!$J18=0,Qty!T18,Qty!T18*Qty!$J18)*'Prop. prices'!P96*P$7</f>
        <v>0</v>
      </c>
      <c r="Q96" s="198">
        <f>IF(Qty!$J18=0,Qty!U18,Qty!U18*Qty!$J18)*'Prop. prices'!Q96*Q$7</f>
        <v>0</v>
      </c>
      <c r="R96" s="198">
        <f>IF(Qty!$J18=0,Qty!V18,Qty!V18*Qty!$J18)*'Prop. prices'!R96*R$7</f>
        <v>0</v>
      </c>
      <c r="S96" s="198">
        <f>IF(Qty!$J18=0,Qty!W18,Qty!W18*Qty!$J18)*'Prop. prices'!S96*S$7</f>
        <v>0</v>
      </c>
      <c r="T96" s="198">
        <f>IF(Qty!$J18=0,Qty!X18,Qty!X18*Qty!$J18)*'Prop. prices'!T96*T$7</f>
        <v>0</v>
      </c>
      <c r="U96" s="198">
        <f>IF(Qty!$J18=0,Qty!Y18,Qty!Y18*Qty!$J18)*'Prop. prices'!U96*U$7</f>
        <v>0</v>
      </c>
      <c r="V96" s="198">
        <f>IF(Qty!$J18=0,Qty!Z18,Qty!Z18*Qty!$J18)*'Prop. prices'!V96*V$7</f>
        <v>0</v>
      </c>
      <c r="W96" s="198">
        <f>IF(Qty!$J18=0,Qty!AA18,Qty!AA18*Qty!$J18)*'Prop. prices'!W96*W$7</f>
        <v>0</v>
      </c>
      <c r="X96" s="198">
        <f>IF(Qty!$J18=0,Qty!AB18,Qty!AB18*Qty!$J18)*'Prop. prices'!X96*X$7</f>
        <v>0</v>
      </c>
      <c r="Y96" s="198">
        <f>IF(Qty!$J18=0,Qty!AC18,Qty!AC18*Qty!$J18)*'Prop. prices'!Y96*Y$7</f>
        <v>0</v>
      </c>
      <c r="Z96" s="198">
        <f>IF(Qty!$J18=0,Qty!AD18,Qty!AD18*Qty!$J18)*'Prop. prices'!Z96*Z$7</f>
        <v>0</v>
      </c>
      <c r="AA96" s="198">
        <f>IF(Qty!$J18=0,Qty!AE18,Qty!AE18*Qty!$J18)*'Prop. prices'!AA96*AA$7</f>
        <v>0</v>
      </c>
      <c r="AB96" s="198">
        <f>IF(Qty!$J18=0,Qty!AF18,Qty!AF18*Qty!$J18)*'Prop. prices'!AB96*AB$7</f>
        <v>0</v>
      </c>
      <c r="AC96" s="206">
        <f t="shared" si="6"/>
        <v>3868254.6783095906</v>
      </c>
      <c r="AD96" s="19"/>
      <c r="AE96" s="19"/>
      <c r="AF96" s="19"/>
      <c r="AG96" s="19"/>
    </row>
    <row r="97" spans="1:33" outlineLevel="2" x14ac:dyDescent="0.2">
      <c r="A97" s="19"/>
      <c r="B97" s="19"/>
      <c r="C97" s="506" t="str">
        <f t="shared" si="7"/>
        <v>Large business time of use demand</v>
      </c>
      <c r="D97" s="505" t="str">
        <f t="shared" si="7"/>
        <v>Large Business LV</v>
      </c>
      <c r="E97" s="505" t="str">
        <f t="shared" si="7"/>
        <v>TAS89</v>
      </c>
      <c r="F97" s="505">
        <f t="shared" si="7"/>
        <v>0</v>
      </c>
      <c r="G97" s="505">
        <f t="shared" si="7"/>
        <v>0</v>
      </c>
      <c r="H97" s="58"/>
      <c r="I97" s="198">
        <f>IF(Qty!$J19=0,Qty!M19,Qty!M19*Qty!$J19)*'Prop. prices'!I97*I$7</f>
        <v>0</v>
      </c>
      <c r="J97" s="198">
        <f>IF(Qty!$J19=0,Qty!N19,Qty!N19*Qty!$J19)*'Prop. prices'!J97*J$7</f>
        <v>0</v>
      </c>
      <c r="K97" s="198">
        <f>IF(Qty!$J19=0,Qty!O19,Qty!O19*Qty!$J19)*'Prop. prices'!K97*K$7</f>
        <v>0</v>
      </c>
      <c r="L97" s="198">
        <f>IF(Qty!$J19=0,Qty!P19,Qty!P19*Qty!$J19)*'Prop. prices'!L97*L$7</f>
        <v>0</v>
      </c>
      <c r="M97" s="198">
        <f>IF(Qty!$J19=0,Qty!Q19,Qty!Q19*Qty!$J19)*'Prop. prices'!M97*M$7</f>
        <v>0</v>
      </c>
      <c r="N97" s="198">
        <f>IF(Qty!$J19=0,Qty!R19,Qty!R19*Qty!$J19)*'Prop. prices'!N97*N$7</f>
        <v>0</v>
      </c>
      <c r="O97" s="198">
        <f>IF(Qty!$J19=0,Qty!S19,Qty!S19*Qty!$J19)*'Prop. prices'!O97*O$7</f>
        <v>2891659.3894017763</v>
      </c>
      <c r="P97" s="198">
        <f>IF(Qty!$J19=0,Qty!T19,Qty!T19*Qty!$J19)*'Prop. prices'!P97*P$7</f>
        <v>981313.81679665821</v>
      </c>
      <c r="Q97" s="198">
        <f>IF(Qty!$J19=0,Qty!U19,Qty!U19*Qty!$J19)*'Prop. prices'!Q97*Q$7</f>
        <v>0</v>
      </c>
      <c r="R97" s="198">
        <f>IF(Qty!$J19=0,Qty!V19,Qty!V19*Qty!$J19)*'Prop. prices'!R97*R$7</f>
        <v>0</v>
      </c>
      <c r="S97" s="198">
        <f>IF(Qty!$J19=0,Qty!W19,Qty!W19*Qty!$J19)*'Prop. prices'!S97*S$7</f>
        <v>0</v>
      </c>
      <c r="T97" s="198">
        <f>IF(Qty!$J19=0,Qty!X19,Qty!X19*Qty!$J19)*'Prop. prices'!T97*T$7</f>
        <v>0</v>
      </c>
      <c r="U97" s="198">
        <f>IF(Qty!$J19=0,Qty!Y19,Qty!Y19*Qty!$J19)*'Prop. prices'!U97*U$7</f>
        <v>0</v>
      </c>
      <c r="V97" s="198">
        <f>IF(Qty!$J19=0,Qty!Z19,Qty!Z19*Qty!$J19)*'Prop. prices'!V97*V$7</f>
        <v>0</v>
      </c>
      <c r="W97" s="198">
        <f>IF(Qty!$J19=0,Qty!AA19,Qty!AA19*Qty!$J19)*'Prop. prices'!W97*W$7</f>
        <v>0</v>
      </c>
      <c r="X97" s="198">
        <f>IF(Qty!$J19=0,Qty!AB19,Qty!AB19*Qty!$J19)*'Prop. prices'!X97*X$7</f>
        <v>0</v>
      </c>
      <c r="Y97" s="198">
        <f>IF(Qty!$J19=0,Qty!AC19,Qty!AC19*Qty!$J19)*'Prop. prices'!Y97*Y$7</f>
        <v>0</v>
      </c>
      <c r="Z97" s="198">
        <f>IF(Qty!$J19=0,Qty!AD19,Qty!AD19*Qty!$J19)*'Prop. prices'!Z97*Z$7</f>
        <v>0</v>
      </c>
      <c r="AA97" s="198">
        <f>IF(Qty!$J19=0,Qty!AE19,Qty!AE19*Qty!$J19)*'Prop. prices'!AA97*AA$7</f>
        <v>0</v>
      </c>
      <c r="AB97" s="198">
        <f>IF(Qty!$J19=0,Qty!AF19,Qty!AF19*Qty!$J19)*'Prop. prices'!AB97*AB$7</f>
        <v>0</v>
      </c>
      <c r="AC97" s="206">
        <f t="shared" si="6"/>
        <v>3872973.2061984343</v>
      </c>
      <c r="AD97" s="19"/>
      <c r="AE97" s="19"/>
      <c r="AF97" s="19"/>
      <c r="AG97" s="19"/>
    </row>
    <row r="98" spans="1:33" outlineLevel="2" x14ac:dyDescent="0.2">
      <c r="A98" s="19"/>
      <c r="B98" s="19"/>
      <c r="C98" s="506" t="str">
        <f t="shared" si="7"/>
        <v>Irrigation time of use consumption</v>
      </c>
      <c r="D98" s="505" t="str">
        <f t="shared" si="7"/>
        <v>Irrigation</v>
      </c>
      <c r="E98" s="505" t="str">
        <f t="shared" si="7"/>
        <v>TAS75</v>
      </c>
      <c r="F98" s="505">
        <f t="shared" si="7"/>
        <v>0</v>
      </c>
      <c r="G98" s="505">
        <f t="shared" si="7"/>
        <v>0</v>
      </c>
      <c r="H98" s="58"/>
      <c r="I98" s="198">
        <f>IF(Qty!$J20=0,Qty!M20,Qty!M20*Qty!$J20)*'Prop. prices'!I98*I$7</f>
        <v>0</v>
      </c>
      <c r="J98" s="198">
        <f>IF(Qty!$J20=0,Qty!N20,Qty!N20*Qty!$J20)*'Prop. prices'!J98*J$7</f>
        <v>0</v>
      </c>
      <c r="K98" s="198">
        <f>IF(Qty!$J20=0,Qty!O20,Qty!O20*Qty!$J20)*'Prop. prices'!K98*K$7</f>
        <v>236795.31155014253</v>
      </c>
      <c r="L98" s="198">
        <f>IF(Qty!$J20=0,Qty!P20,Qty!P20*Qty!$J20)*'Prop. prices'!L98*L$7</f>
        <v>915929.55618356145</v>
      </c>
      <c r="M98" s="198">
        <f>IF(Qty!$J20=0,Qty!Q20,Qty!Q20*Qty!$J20)*'Prop. prices'!M98*M$7</f>
        <v>369613.65945621132</v>
      </c>
      <c r="N98" s="198">
        <f>IF(Qty!$J20=0,Qty!R20,Qty!R20*Qty!$J20)*'Prop. prices'!N98*N$7</f>
        <v>0</v>
      </c>
      <c r="O98" s="198">
        <f>IF(Qty!$J20=0,Qty!S20,Qty!S20*Qty!$J20)*'Prop. prices'!O98*O$7</f>
        <v>0</v>
      </c>
      <c r="P98" s="198">
        <f>IF(Qty!$J20=0,Qty!T20,Qty!T20*Qty!$J20)*'Prop. prices'!P98*P$7</f>
        <v>0</v>
      </c>
      <c r="Q98" s="198">
        <f>IF(Qty!$J20=0,Qty!U20,Qty!U20*Qty!$J20)*'Prop. prices'!Q98*Q$7</f>
        <v>0</v>
      </c>
      <c r="R98" s="198">
        <f>IF(Qty!$J20=0,Qty!V20,Qty!V20*Qty!$J20)*'Prop. prices'!R98*R$7</f>
        <v>0</v>
      </c>
      <c r="S98" s="198">
        <f>IF(Qty!$J20=0,Qty!W20,Qty!W20*Qty!$J20)*'Prop. prices'!S98*S$7</f>
        <v>0</v>
      </c>
      <c r="T98" s="198">
        <f>IF(Qty!$J20=0,Qty!X20,Qty!X20*Qty!$J20)*'Prop. prices'!T98*T$7</f>
        <v>0</v>
      </c>
      <c r="U98" s="198">
        <f>IF(Qty!$J20=0,Qty!Y20,Qty!Y20*Qty!$J20)*'Prop. prices'!U98*U$7</f>
        <v>0</v>
      </c>
      <c r="V98" s="198">
        <f>IF(Qty!$J20=0,Qty!Z20,Qty!Z20*Qty!$J20)*'Prop. prices'!V98*V$7</f>
        <v>0</v>
      </c>
      <c r="W98" s="198">
        <f>IF(Qty!$J20=0,Qty!AA20,Qty!AA20*Qty!$J20)*'Prop. prices'!W98*W$7</f>
        <v>0</v>
      </c>
      <c r="X98" s="198">
        <f>IF(Qty!$J20=0,Qty!AB20,Qty!AB20*Qty!$J20)*'Prop. prices'!X98*X$7</f>
        <v>0</v>
      </c>
      <c r="Y98" s="198">
        <f>IF(Qty!$J20=0,Qty!AC20,Qty!AC20*Qty!$J20)*'Prop. prices'!Y98*Y$7</f>
        <v>0</v>
      </c>
      <c r="Z98" s="198">
        <f>IF(Qty!$J20=0,Qty!AD20,Qty!AD20*Qty!$J20)*'Prop. prices'!Z98*Z$7</f>
        <v>0</v>
      </c>
      <c r="AA98" s="198">
        <f>IF(Qty!$J20=0,Qty!AE20,Qty!AE20*Qty!$J20)*'Prop. prices'!AA98*AA$7</f>
        <v>0</v>
      </c>
      <c r="AB98" s="198">
        <f>IF(Qty!$J20=0,Qty!AF20,Qty!AF20*Qty!$J20)*'Prop. prices'!AB98*AB$7</f>
        <v>0</v>
      </c>
      <c r="AC98" s="206">
        <f t="shared" si="6"/>
        <v>1522338.5271899153</v>
      </c>
      <c r="AD98" s="19"/>
      <c r="AE98" s="19"/>
      <c r="AF98" s="19"/>
      <c r="AG98" s="19"/>
    </row>
    <row r="99" spans="1:33" outlineLevel="2" x14ac:dyDescent="0.2">
      <c r="A99" s="19"/>
      <c r="B99" s="19"/>
      <c r="C99" s="506" t="str">
        <f t="shared" si="7"/>
        <v>Business HV kVA specified demand &lt;2MVA</v>
      </c>
      <c r="D99" s="505" t="str">
        <f t="shared" si="7"/>
        <v>Large Business HV</v>
      </c>
      <c r="E99" s="505" t="str">
        <f t="shared" si="7"/>
        <v>TASSDM</v>
      </c>
      <c r="F99" s="505">
        <f t="shared" si="7"/>
        <v>0</v>
      </c>
      <c r="G99" s="505">
        <f t="shared" si="7"/>
        <v>0</v>
      </c>
      <c r="H99" s="58"/>
      <c r="I99" s="198">
        <f>IF(Qty!$J21=0,Qty!M21,Qty!M21*Qty!$J21)*'Prop. prices'!I99*I$7</f>
        <v>0</v>
      </c>
      <c r="J99" s="198">
        <f>IF(Qty!$J21=0,Qty!N21,Qty!N21*Qty!$J21)*'Prop. prices'!J99*J$7</f>
        <v>0</v>
      </c>
      <c r="K99" s="198">
        <f>IF(Qty!$J21=0,Qty!O21,Qty!O21*Qty!$J21)*'Prop. prices'!K99*K$7</f>
        <v>734045.21849339758</v>
      </c>
      <c r="L99" s="198">
        <f>IF(Qty!$J21=0,Qty!P21,Qty!P21*Qty!$J21)*'Prop. prices'!L99*L$7</f>
        <v>535146.61277040595</v>
      </c>
      <c r="M99" s="198">
        <f>IF(Qty!$J21=0,Qty!Q21,Qty!Q21*Qty!$J21)*'Prop. prices'!M99*M$7</f>
        <v>166277.94462802223</v>
      </c>
      <c r="N99" s="198">
        <f>IF(Qty!$J21=0,Qty!R21,Qty!R21*Qty!$J21)*'Prop. prices'!N99*N$7</f>
        <v>0</v>
      </c>
      <c r="O99" s="198">
        <f>IF(Qty!$J21=0,Qty!S21,Qty!S21*Qty!$J21)*'Prop. prices'!O99*O$7</f>
        <v>0</v>
      </c>
      <c r="P99" s="198">
        <f>IF(Qty!$J21=0,Qty!T21,Qty!T21*Qty!$J21)*'Prop. prices'!P99*P$7</f>
        <v>0</v>
      </c>
      <c r="Q99" s="198">
        <f>IF(Qty!$J21=0,Qty!U21,Qty!U21*Qty!$J21)*'Prop. prices'!Q99*Q$7</f>
        <v>830926.55207753065</v>
      </c>
      <c r="R99" s="198">
        <f>IF(Qty!$J21=0,Qty!V21,Qty!V21*Qty!$J21)*'Prop. prices'!R99*R$7</f>
        <v>50974.291462102032</v>
      </c>
      <c r="S99" s="198">
        <f>IF(Qty!$J21=0,Qty!W21,Qty!W21*Qty!$J21)*'Prop. prices'!S99*S$7</f>
        <v>0</v>
      </c>
      <c r="T99" s="198">
        <f>IF(Qty!$J21=0,Qty!X21,Qty!X21*Qty!$J21)*'Prop. prices'!T99*T$7</f>
        <v>0</v>
      </c>
      <c r="U99" s="198">
        <f>IF(Qty!$J21=0,Qty!Y21,Qty!Y21*Qty!$J21)*'Prop. prices'!U99*U$7</f>
        <v>0</v>
      </c>
      <c r="V99" s="198">
        <f>IF(Qty!$J21=0,Qty!Z21,Qty!Z21*Qty!$J21)*'Prop. prices'!V99*V$7</f>
        <v>0</v>
      </c>
      <c r="W99" s="198">
        <f>IF(Qty!$J21=0,Qty!AA21,Qty!AA21*Qty!$J21)*'Prop. prices'!W99*W$7</f>
        <v>0</v>
      </c>
      <c r="X99" s="198">
        <f>IF(Qty!$J21=0,Qty!AB21,Qty!AB21*Qty!$J21)*'Prop. prices'!X99*X$7</f>
        <v>0</v>
      </c>
      <c r="Y99" s="198">
        <f>IF(Qty!$J21=0,Qty!AC21,Qty!AC21*Qty!$J21)*'Prop. prices'!Y99*Y$7</f>
        <v>0</v>
      </c>
      <c r="Z99" s="198">
        <f>IF(Qty!$J21=0,Qty!AD21,Qty!AD21*Qty!$J21)*'Prop. prices'!Z99*Z$7</f>
        <v>0</v>
      </c>
      <c r="AA99" s="198">
        <f>IF(Qty!$J21=0,Qty!AE21,Qty!AE21*Qty!$J21)*'Prop. prices'!AA99*AA$7</f>
        <v>0</v>
      </c>
      <c r="AB99" s="198">
        <f>IF(Qty!$J21=0,Qty!AF21,Qty!AF21*Qty!$J21)*'Prop. prices'!AB99*AB$7</f>
        <v>0</v>
      </c>
      <c r="AC99" s="206">
        <f t="shared" si="6"/>
        <v>2317370.6194314584</v>
      </c>
      <c r="AD99" s="19"/>
      <c r="AE99" s="19"/>
      <c r="AF99" s="19"/>
      <c r="AG99" s="19"/>
    </row>
    <row r="100" spans="1:33" outlineLevel="2" x14ac:dyDescent="0.2">
      <c r="A100" s="19"/>
      <c r="B100" s="19"/>
      <c r="C100" s="506" t="str">
        <f t="shared" si="7"/>
        <v>Business HV kVA specified demand &gt;2MVA</v>
      </c>
      <c r="D100" s="505" t="str">
        <f t="shared" si="7"/>
        <v>Large Business HV</v>
      </c>
      <c r="E100" s="505" t="str">
        <f t="shared" si="7"/>
        <v>TAS15*</v>
      </c>
      <c r="F100" s="505">
        <f t="shared" si="7"/>
        <v>0</v>
      </c>
      <c r="G100" s="505">
        <f t="shared" si="7"/>
        <v>0</v>
      </c>
      <c r="H100" s="58"/>
      <c r="I100" s="198">
        <f>IF(Qty!$J22=0,Qty!M22,Qty!M22*Qty!$J22)*'Prop. prices'!I100*I$7</f>
        <v>0</v>
      </c>
      <c r="J100" s="198">
        <f>IF(Qty!$J22=0,Qty!N22,Qty!N22*Qty!$J22)*'Prop. prices'!J100*J$7</f>
        <v>0</v>
      </c>
      <c r="K100" s="198">
        <f>IF(Qty!$J22=0,Qty!O22,Qty!O22*Qty!$J22)*'Prop. prices'!K100*K$7</f>
        <v>0</v>
      </c>
      <c r="L100" s="198">
        <f>IF(Qty!$J22=0,Qty!P22,Qty!P22*Qty!$J22)*'Prop. prices'!L100*L$7</f>
        <v>0</v>
      </c>
      <c r="M100" s="198">
        <f>IF(Qty!$J22=0,Qty!Q22,Qty!Q22*Qty!$J22)*'Prop. prices'!M100*M$7</f>
        <v>0</v>
      </c>
      <c r="N100" s="198">
        <f>IF(Qty!$J22=0,Qty!R22,Qty!R22*Qty!$J22)*'Prop. prices'!N100*N$7</f>
        <v>0</v>
      </c>
      <c r="O100" s="198">
        <f>IF(Qty!$J22=0,Qty!S22,Qty!S22*Qty!$J22)*'Prop. prices'!O100*O$7</f>
        <v>0</v>
      </c>
      <c r="P100" s="198">
        <f>IF(Qty!$J22=0,Qty!T22,Qty!T22*Qty!$J22)*'Prop. prices'!P100*P$7</f>
        <v>0</v>
      </c>
      <c r="Q100" s="198">
        <f>IF(Qty!$J22=0,Qty!U22,Qty!U22*Qty!$J22)*'Prop. prices'!Q100*Q$7</f>
        <v>0</v>
      </c>
      <c r="R100" s="198">
        <f>IF(Qty!$J22=0,Qty!V22,Qty!V22*Qty!$J22)*'Prop. prices'!R100*R$7</f>
        <v>0</v>
      </c>
      <c r="S100" s="198">
        <f>IF(Qty!$J22=0,Qty!W22,Qty!W22*Qty!$J22)*'Prop. prices'!S100*S$7</f>
        <v>0</v>
      </c>
      <c r="T100" s="198">
        <f>IF(Qty!$J22=0,Qty!X22,Qty!X22*Qty!$J22)*'Prop. prices'!T100*T$7</f>
        <v>0</v>
      </c>
      <c r="U100" s="198">
        <f>IF(Qty!$J22=0,Qty!Y22,Qty!Y22*Qty!$J22)*'Prop. prices'!U100*U$7</f>
        <v>0</v>
      </c>
      <c r="V100" s="198">
        <f>IF(Qty!$J22=0,Qty!Z22,Qty!Z22*Qty!$J22)*'Prop. prices'!V100*V$7</f>
        <v>0</v>
      </c>
      <c r="W100" s="198">
        <f>IF(Qty!$J22=0,Qty!AA22,Qty!AA22*Qty!$J22)*'Prop. prices'!W100*W$7</f>
        <v>0</v>
      </c>
      <c r="X100" s="198">
        <f>IF(Qty!$J22=0,Qty!AB22,Qty!AB22*Qty!$J22)*'Prop. prices'!X100*X$7</f>
        <v>0</v>
      </c>
      <c r="Y100" s="198">
        <f>IF(Qty!$J22=0,Qty!AC22,Qty!AC22*Qty!$J22)*'Prop. prices'!Y100*Y$7</f>
        <v>0</v>
      </c>
      <c r="Z100" s="198">
        <f>IF(Qty!$J22=0,Qty!AD22,Qty!AD22*Qty!$J22)*'Prop. prices'!Z100*Z$7</f>
        <v>0</v>
      </c>
      <c r="AA100" s="198">
        <f>IF(Qty!$J22=0,Qty!AE22,Qty!AE22*Qty!$J22)*'Prop. prices'!AA100*AA$7</f>
        <v>0</v>
      </c>
      <c r="AB100" s="198">
        <f>IF(Qty!$J22=0,Qty!AF22,Qty!AF22*Qty!$J22)*'Prop. prices'!AB100*AB$7</f>
        <v>0</v>
      </c>
      <c r="AC100" s="206">
        <f t="shared" si="6"/>
        <v>0</v>
      </c>
      <c r="AD100" s="19"/>
      <c r="AE100" s="19"/>
      <c r="AF100" s="19"/>
      <c r="AG100" s="19"/>
    </row>
    <row r="101" spans="1:33" outlineLevel="2" x14ac:dyDescent="0.2">
      <c r="A101" s="19"/>
      <c r="B101" s="19"/>
      <c r="C101" s="506" t="str">
        <f t="shared" si="7"/>
        <v>Uncontrolled low voltage heating and hot water</v>
      </c>
      <c r="D101" s="505" t="str">
        <f t="shared" si="7"/>
        <v>Uncontrolled energy</v>
      </c>
      <c r="E101" s="505" t="str">
        <f t="shared" si="7"/>
        <v>TAS41</v>
      </c>
      <c r="F101" s="505">
        <f t="shared" si="7"/>
        <v>0</v>
      </c>
      <c r="G101" s="505">
        <f t="shared" si="7"/>
        <v>0</v>
      </c>
      <c r="H101" s="58"/>
      <c r="I101" s="198">
        <f>IF(Qty!$J23=0,Qty!M23,Qty!M23*Qty!$J23)*'Prop. prices'!I101*I$7</f>
        <v>0</v>
      </c>
      <c r="J101" s="198">
        <f>IF(Qty!$J23=0,Qty!N23,Qty!N23*Qty!$J23)*'Prop. prices'!J101*J$7</f>
        <v>17022141.12723447</v>
      </c>
      <c r="K101" s="198">
        <f>IF(Qty!$J23=0,Qty!O23,Qty!O23*Qty!$J23)*'Prop. prices'!K101*K$7</f>
        <v>0</v>
      </c>
      <c r="L101" s="198">
        <f>IF(Qty!$J23=0,Qty!P23,Qty!P23*Qty!$J23)*'Prop. prices'!L101*L$7</f>
        <v>0</v>
      </c>
      <c r="M101" s="198">
        <f>IF(Qty!$J23=0,Qty!Q23,Qty!Q23*Qty!$J23)*'Prop. prices'!M101*M$7</f>
        <v>0</v>
      </c>
      <c r="N101" s="198">
        <f>IF(Qty!$J23=0,Qty!R23,Qty!R23*Qty!$J23)*'Prop. prices'!N101*N$7</f>
        <v>0</v>
      </c>
      <c r="O101" s="198">
        <f>IF(Qty!$J23=0,Qty!S23,Qty!S23*Qty!$J23)*'Prop. prices'!O101*O$7</f>
        <v>0</v>
      </c>
      <c r="P101" s="198">
        <f>IF(Qty!$J23=0,Qty!T23,Qty!T23*Qty!$J23)*'Prop. prices'!P101*P$7</f>
        <v>0</v>
      </c>
      <c r="Q101" s="198">
        <f>IF(Qty!$J23=0,Qty!U23,Qty!U23*Qty!$J23)*'Prop. prices'!Q101*Q$7</f>
        <v>0</v>
      </c>
      <c r="R101" s="198">
        <f>IF(Qty!$J23=0,Qty!V23,Qty!V23*Qty!$J23)*'Prop. prices'!R101*R$7</f>
        <v>0</v>
      </c>
      <c r="S101" s="198">
        <f>IF(Qty!$J23=0,Qty!W23,Qty!W23*Qty!$J23)*'Prop. prices'!S101*S$7</f>
        <v>0</v>
      </c>
      <c r="T101" s="198">
        <f>IF(Qty!$J23=0,Qty!X23,Qty!X23*Qty!$J23)*'Prop. prices'!T101*T$7</f>
        <v>0</v>
      </c>
      <c r="U101" s="198">
        <f>IF(Qty!$J23=0,Qty!Y23,Qty!Y23*Qty!$J23)*'Prop. prices'!U101*U$7</f>
        <v>0</v>
      </c>
      <c r="V101" s="198">
        <f>IF(Qty!$J23=0,Qty!Z23,Qty!Z23*Qty!$J23)*'Prop. prices'!V101*V$7</f>
        <v>0</v>
      </c>
      <c r="W101" s="198">
        <f>IF(Qty!$J23=0,Qty!AA23,Qty!AA23*Qty!$J23)*'Prop. prices'!W101*W$7</f>
        <v>0</v>
      </c>
      <c r="X101" s="198">
        <f>IF(Qty!$J23=0,Qty!AB23,Qty!AB23*Qty!$J23)*'Prop. prices'!X101*X$7</f>
        <v>0</v>
      </c>
      <c r="Y101" s="198">
        <f>IF(Qty!$J23=0,Qty!AC23,Qty!AC23*Qty!$J23)*'Prop. prices'!Y101*Y$7</f>
        <v>0</v>
      </c>
      <c r="Z101" s="198">
        <f>IF(Qty!$J23=0,Qty!AD23,Qty!AD23*Qty!$J23)*'Prop. prices'!Z101*Z$7</f>
        <v>0</v>
      </c>
      <c r="AA101" s="198">
        <f>IF(Qty!$J23=0,Qty!AE23,Qty!AE23*Qty!$J23)*'Prop. prices'!AA101*AA$7</f>
        <v>0</v>
      </c>
      <c r="AB101" s="198">
        <f>IF(Qty!$J23=0,Qty!AF23,Qty!AF23*Qty!$J23)*'Prop. prices'!AB101*AB$7</f>
        <v>0</v>
      </c>
      <c r="AC101" s="206">
        <f t="shared" si="6"/>
        <v>17022141.12723447</v>
      </c>
      <c r="AD101" s="19"/>
      <c r="AE101" s="19"/>
      <c r="AF101" s="19"/>
      <c r="AG101" s="19"/>
    </row>
    <row r="102" spans="1:33" outlineLevel="2" x14ac:dyDescent="0.2">
      <c r="A102" s="19"/>
      <c r="B102" s="19"/>
      <c r="C102" s="506" t="str">
        <f t="shared" si="7"/>
        <v>Controlled low voltage night period only</v>
      </c>
      <c r="D102" s="505" t="str">
        <f t="shared" si="7"/>
        <v>Controlled energy</v>
      </c>
      <c r="E102" s="505" t="str">
        <f t="shared" si="7"/>
        <v>TAS63</v>
      </c>
      <c r="F102" s="505">
        <f t="shared" si="7"/>
        <v>0</v>
      </c>
      <c r="G102" s="505">
        <f t="shared" si="7"/>
        <v>0</v>
      </c>
      <c r="H102" s="58"/>
      <c r="I102" s="198">
        <f>IF(Qty!$J24=0,Qty!M24,Qty!M24*Qty!$J24)*'Prop. prices'!I102*I$7</f>
        <v>0</v>
      </c>
      <c r="J102" s="198">
        <f>IF(Qty!$J24=0,Qty!N24,Qty!N24*Qty!$J24)*'Prop. prices'!J102*J$7</f>
        <v>9606.8589623059215</v>
      </c>
      <c r="K102" s="198">
        <f>IF(Qty!$J24=0,Qty!O24,Qty!O24*Qty!$J24)*'Prop. prices'!K102*K$7</f>
        <v>0</v>
      </c>
      <c r="L102" s="198">
        <f>IF(Qty!$J24=0,Qty!P24,Qty!P24*Qty!$J24)*'Prop. prices'!L102*L$7</f>
        <v>0</v>
      </c>
      <c r="M102" s="198">
        <f>IF(Qty!$J24=0,Qty!Q24,Qty!Q24*Qty!$J24)*'Prop. prices'!M102*M$7</f>
        <v>0</v>
      </c>
      <c r="N102" s="198">
        <f>IF(Qty!$J24=0,Qty!R24,Qty!R24*Qty!$J24)*'Prop. prices'!N102*N$7</f>
        <v>0</v>
      </c>
      <c r="O102" s="198">
        <f>IF(Qty!$J24=0,Qty!S24,Qty!S24*Qty!$J24)*'Prop. prices'!O102*O$7</f>
        <v>0</v>
      </c>
      <c r="P102" s="198">
        <f>IF(Qty!$J24=0,Qty!T24,Qty!T24*Qty!$J24)*'Prop. prices'!P102*P$7</f>
        <v>0</v>
      </c>
      <c r="Q102" s="198">
        <f>IF(Qty!$J24=0,Qty!U24,Qty!U24*Qty!$J24)*'Prop. prices'!Q102*Q$7</f>
        <v>0</v>
      </c>
      <c r="R102" s="198">
        <f>IF(Qty!$J24=0,Qty!V24,Qty!V24*Qty!$J24)*'Prop. prices'!R102*R$7</f>
        <v>0</v>
      </c>
      <c r="S102" s="198">
        <f>IF(Qty!$J24=0,Qty!W24,Qty!W24*Qty!$J24)*'Prop. prices'!S102*S$7</f>
        <v>0</v>
      </c>
      <c r="T102" s="198">
        <f>IF(Qty!$J24=0,Qty!X24,Qty!X24*Qty!$J24)*'Prop. prices'!T102*T$7</f>
        <v>0</v>
      </c>
      <c r="U102" s="198">
        <f>IF(Qty!$J24=0,Qty!Y24,Qty!Y24*Qty!$J24)*'Prop. prices'!U102*U$7</f>
        <v>0</v>
      </c>
      <c r="V102" s="198">
        <f>IF(Qty!$J24=0,Qty!Z24,Qty!Z24*Qty!$J24)*'Prop. prices'!V102*V$7</f>
        <v>0</v>
      </c>
      <c r="W102" s="198">
        <f>IF(Qty!$J24=0,Qty!AA24,Qty!AA24*Qty!$J24)*'Prop. prices'!W102*W$7</f>
        <v>0</v>
      </c>
      <c r="X102" s="198">
        <f>IF(Qty!$J24=0,Qty!AB24,Qty!AB24*Qty!$J24)*'Prop. prices'!X102*X$7</f>
        <v>0</v>
      </c>
      <c r="Y102" s="198">
        <f>IF(Qty!$J24=0,Qty!AC24,Qty!AC24*Qty!$J24)*'Prop. prices'!Y102*Y$7</f>
        <v>0</v>
      </c>
      <c r="Z102" s="198">
        <f>IF(Qty!$J24=0,Qty!AD24,Qty!AD24*Qty!$J24)*'Prop. prices'!Z102*Z$7</f>
        <v>0</v>
      </c>
      <c r="AA102" s="198">
        <f>IF(Qty!$J24=0,Qty!AE24,Qty!AE24*Qty!$J24)*'Prop. prices'!AA102*AA$7</f>
        <v>0</v>
      </c>
      <c r="AB102" s="198">
        <f>IF(Qty!$J24=0,Qty!AF24,Qty!AF24*Qty!$J24)*'Prop. prices'!AB102*AB$7</f>
        <v>0</v>
      </c>
      <c r="AC102" s="206">
        <f t="shared" si="6"/>
        <v>9606.8589623059215</v>
      </c>
      <c r="AD102" s="19"/>
      <c r="AE102" s="19"/>
      <c r="AF102" s="19"/>
      <c r="AG102" s="19"/>
    </row>
    <row r="103" spans="1:33" ht="22.5" outlineLevel="2" x14ac:dyDescent="0.2">
      <c r="A103" s="19"/>
      <c r="B103" s="19"/>
      <c r="C103" s="506" t="str">
        <f t="shared" si="7"/>
        <v>Controlled low voltage off peak with afternoon boost</v>
      </c>
      <c r="D103" s="505" t="str">
        <f t="shared" si="7"/>
        <v>Controlled energy</v>
      </c>
      <c r="E103" s="505" t="str">
        <f t="shared" si="7"/>
        <v>TAS61</v>
      </c>
      <c r="F103" s="505">
        <f t="shared" si="7"/>
        <v>0</v>
      </c>
      <c r="G103" s="505">
        <f t="shared" si="7"/>
        <v>0</v>
      </c>
      <c r="H103" s="58"/>
      <c r="I103" s="198">
        <f>IF(Qty!$J25=0,Qty!M25,Qty!M25*Qty!$J25)*'Prop. prices'!I103*I$7</f>
        <v>0</v>
      </c>
      <c r="J103" s="198">
        <f>IF(Qty!$J25=0,Qty!N25,Qty!N25*Qty!$J25)*'Prop. prices'!J103*J$7</f>
        <v>183586.58841121156</v>
      </c>
      <c r="K103" s="198">
        <f>IF(Qty!$J25=0,Qty!O25,Qty!O25*Qty!$J25)*'Prop. prices'!K103*K$7</f>
        <v>0</v>
      </c>
      <c r="L103" s="198">
        <f>IF(Qty!$J25=0,Qty!P25,Qty!P25*Qty!$J25)*'Prop. prices'!L103*L$7</f>
        <v>0</v>
      </c>
      <c r="M103" s="198">
        <f>IF(Qty!$J25=0,Qty!Q25,Qty!Q25*Qty!$J25)*'Prop. prices'!M103*M$7</f>
        <v>0</v>
      </c>
      <c r="N103" s="198">
        <f>IF(Qty!$J25=0,Qty!R25,Qty!R25*Qty!$J25)*'Prop. prices'!N103*N$7</f>
        <v>0</v>
      </c>
      <c r="O103" s="198">
        <f>IF(Qty!$J25=0,Qty!S25,Qty!S25*Qty!$J25)*'Prop. prices'!O103*O$7</f>
        <v>0</v>
      </c>
      <c r="P103" s="198">
        <f>IF(Qty!$J25=0,Qty!T25,Qty!T25*Qty!$J25)*'Prop. prices'!P103*P$7</f>
        <v>0</v>
      </c>
      <c r="Q103" s="198">
        <f>IF(Qty!$J25=0,Qty!U25,Qty!U25*Qty!$J25)*'Prop. prices'!Q103*Q$7</f>
        <v>0</v>
      </c>
      <c r="R103" s="198">
        <f>IF(Qty!$J25=0,Qty!V25,Qty!V25*Qty!$J25)*'Prop. prices'!R103*R$7</f>
        <v>0</v>
      </c>
      <c r="S103" s="198">
        <f>IF(Qty!$J25=0,Qty!W25,Qty!W25*Qty!$J25)*'Prop. prices'!S103*S$7</f>
        <v>0</v>
      </c>
      <c r="T103" s="198">
        <f>IF(Qty!$J25=0,Qty!X25,Qty!X25*Qty!$J25)*'Prop. prices'!T103*T$7</f>
        <v>0</v>
      </c>
      <c r="U103" s="198">
        <f>IF(Qty!$J25=0,Qty!Y25,Qty!Y25*Qty!$J25)*'Prop. prices'!U103*U$7</f>
        <v>0</v>
      </c>
      <c r="V103" s="198">
        <f>IF(Qty!$J25=0,Qty!Z25,Qty!Z25*Qty!$J25)*'Prop. prices'!V103*V$7</f>
        <v>0</v>
      </c>
      <c r="W103" s="198">
        <f>IF(Qty!$J25=0,Qty!AA25,Qty!AA25*Qty!$J25)*'Prop. prices'!W103*W$7</f>
        <v>0</v>
      </c>
      <c r="X103" s="198">
        <f>IF(Qty!$J25=0,Qty!AB25,Qty!AB25*Qty!$J25)*'Prop. prices'!X103*X$7</f>
        <v>0</v>
      </c>
      <c r="Y103" s="198">
        <f>IF(Qty!$J25=0,Qty!AC25,Qty!AC25*Qty!$J25)*'Prop. prices'!Y103*Y$7</f>
        <v>0</v>
      </c>
      <c r="Z103" s="198">
        <f>IF(Qty!$J25=0,Qty!AD25,Qty!AD25*Qty!$J25)*'Prop. prices'!Z103*Z$7</f>
        <v>0</v>
      </c>
      <c r="AA103" s="198">
        <f>IF(Qty!$J25=0,Qty!AE25,Qty!AE25*Qty!$J25)*'Prop. prices'!AA103*AA$7</f>
        <v>0</v>
      </c>
      <c r="AB103" s="198">
        <f>IF(Qty!$J25=0,Qty!AF25,Qty!AF25*Qty!$J25)*'Prop. prices'!AB103*AB$7</f>
        <v>0</v>
      </c>
      <c r="AC103" s="206">
        <f t="shared" si="6"/>
        <v>183586.58841121156</v>
      </c>
      <c r="AD103" s="19"/>
      <c r="AE103" s="19"/>
      <c r="AF103" s="19"/>
      <c r="AG103" s="19"/>
    </row>
    <row r="104" spans="1:33" outlineLevel="2" x14ac:dyDescent="0.2">
      <c r="A104" s="19"/>
      <c r="B104" s="19"/>
      <c r="C104" s="506" t="str">
        <f t="shared" si="7"/>
        <v>Unmetered supply general</v>
      </c>
      <c r="D104" s="505" t="str">
        <f t="shared" si="7"/>
        <v>Unmetered supplies</v>
      </c>
      <c r="E104" s="505" t="str">
        <f t="shared" si="7"/>
        <v>TASUMS</v>
      </c>
      <c r="F104" s="505">
        <f t="shared" si="7"/>
        <v>0</v>
      </c>
      <c r="G104" s="505">
        <f t="shared" si="7"/>
        <v>0</v>
      </c>
      <c r="H104" s="58"/>
      <c r="I104" s="198">
        <f>IF(Qty!$J26=0,Qty!M26,Qty!M26*Qty!$J26)*'Prop. prices'!I104*I$7</f>
        <v>0</v>
      </c>
      <c r="J104" s="198">
        <f>IF(Qty!$J26=0,Qty!N26,Qty!N26*Qty!$J26)*'Prop. prices'!J104*J$7</f>
        <v>191594.90743912582</v>
      </c>
      <c r="K104" s="198">
        <f>IF(Qty!$J26=0,Qty!O26,Qty!O26*Qty!$J26)*'Prop. prices'!K104*K$7</f>
        <v>0</v>
      </c>
      <c r="L104" s="198">
        <f>IF(Qty!$J26=0,Qty!P26,Qty!P26*Qty!$J26)*'Prop. prices'!L104*L$7</f>
        <v>0</v>
      </c>
      <c r="M104" s="198">
        <f>IF(Qty!$J26=0,Qty!Q26,Qty!Q26*Qty!$J26)*'Prop. prices'!M104*M$7</f>
        <v>0</v>
      </c>
      <c r="N104" s="198">
        <f>IF(Qty!$J26=0,Qty!R26,Qty!R26*Qty!$J26)*'Prop. prices'!N104*N$7</f>
        <v>0</v>
      </c>
      <c r="O104" s="198">
        <f>IF(Qty!$J26=0,Qty!S26,Qty!S26*Qty!$J26)*'Prop. prices'!O104*O$7</f>
        <v>0</v>
      </c>
      <c r="P104" s="198">
        <f>IF(Qty!$J26=0,Qty!T26,Qty!T26*Qty!$J26)*'Prop. prices'!P104*P$7</f>
        <v>0</v>
      </c>
      <c r="Q104" s="198">
        <f>IF(Qty!$J26=0,Qty!U26,Qty!U26*Qty!$J26)*'Prop. prices'!Q104*Q$7</f>
        <v>0</v>
      </c>
      <c r="R104" s="198">
        <f>IF(Qty!$J26=0,Qty!V26,Qty!V26*Qty!$J26)*'Prop. prices'!R104*R$7</f>
        <v>0</v>
      </c>
      <c r="S104" s="198">
        <f>IF(Qty!$J26=0,Qty!W26,Qty!W26*Qty!$J26)*'Prop. prices'!S104*S$7</f>
        <v>0</v>
      </c>
      <c r="T104" s="198">
        <f>IF(Qty!$J26=0,Qty!X26,Qty!X26*Qty!$J26)*'Prop. prices'!T104*T$7</f>
        <v>0</v>
      </c>
      <c r="U104" s="198">
        <f>IF(Qty!$J26=0,Qty!Y26,Qty!Y26*Qty!$J26)*'Prop. prices'!U104*U$7</f>
        <v>0</v>
      </c>
      <c r="V104" s="198">
        <f>IF(Qty!$J26=0,Qty!Z26,Qty!Z26*Qty!$J26)*'Prop. prices'!V104*V$7</f>
        <v>0</v>
      </c>
      <c r="W104" s="198">
        <f>IF(Qty!$J26=0,Qty!AA26,Qty!AA26*Qty!$J26)*'Prop. prices'!W104*W$7</f>
        <v>0</v>
      </c>
      <c r="X104" s="198">
        <f>IF(Qty!$J26=0,Qty!AB26,Qty!AB26*Qty!$J26)*'Prop. prices'!X104*X$7</f>
        <v>0</v>
      </c>
      <c r="Y104" s="198">
        <f>IF(Qty!$J26=0,Qty!AC26,Qty!AC26*Qty!$J26)*'Prop. prices'!Y104*Y$7</f>
        <v>0</v>
      </c>
      <c r="Z104" s="198">
        <f>IF(Qty!$J26=0,Qty!AD26,Qty!AD26*Qty!$J26)*'Prop. prices'!Z104*Z$7</f>
        <v>0</v>
      </c>
      <c r="AA104" s="198">
        <f>IF(Qty!$J26=0,Qty!AE26,Qty!AE26*Qty!$J26)*'Prop. prices'!AA104*AA$7</f>
        <v>0</v>
      </c>
      <c r="AB104" s="198">
        <f>IF(Qty!$J26=0,Qty!AF26,Qty!AF26*Qty!$J26)*'Prop. prices'!AB104*AB$7</f>
        <v>0</v>
      </c>
      <c r="AC104" s="206">
        <f t="shared" si="6"/>
        <v>191594.90743912582</v>
      </c>
      <c r="AD104" s="19"/>
      <c r="AE104" s="19"/>
      <c r="AF104" s="19"/>
      <c r="AG104" s="19"/>
    </row>
    <row r="105" spans="1:33" outlineLevel="2" x14ac:dyDescent="0.2">
      <c r="A105" s="19"/>
      <c r="B105" s="19"/>
      <c r="C105" s="506" t="str">
        <f t="shared" si="7"/>
        <v>Street lighting</v>
      </c>
      <c r="D105" s="505" t="str">
        <f t="shared" si="7"/>
        <v>Street lighting</v>
      </c>
      <c r="E105" s="505" t="str">
        <f t="shared" si="7"/>
        <v>TASUMSSL</v>
      </c>
      <c r="F105" s="505">
        <f t="shared" si="7"/>
        <v>0</v>
      </c>
      <c r="G105" s="505">
        <f t="shared" si="7"/>
        <v>0</v>
      </c>
      <c r="H105" s="58"/>
      <c r="I105" s="198">
        <f>IF(Qty!$J27=0,Qty!M27,Qty!M27*Qty!$J27)*'Prop. prices'!I105*I$7</f>
        <v>0</v>
      </c>
      <c r="J105" s="198">
        <f>IF(Qty!$J27=0,Qty!N27,Qty!N27*Qty!$J27)*'Prop. prices'!J105*J$7</f>
        <v>0</v>
      </c>
      <c r="K105" s="198">
        <f>IF(Qty!$J27=0,Qty!O27,Qty!O27*Qty!$J27)*'Prop. prices'!K105*K$7</f>
        <v>0</v>
      </c>
      <c r="L105" s="198">
        <f>IF(Qty!$J27=0,Qty!P27,Qty!P27*Qty!$J27)*'Prop. prices'!L105*L$7</f>
        <v>0</v>
      </c>
      <c r="M105" s="198">
        <f>IF(Qty!$J27=0,Qty!Q27,Qty!Q27*Qty!$J27)*'Prop. prices'!M105*M$7</f>
        <v>0</v>
      </c>
      <c r="N105" s="198">
        <f>IF(Qty!$J27=0,Qty!R27,Qty!R27*Qty!$J27)*'Prop. prices'!N105*N$7</f>
        <v>0</v>
      </c>
      <c r="O105" s="198">
        <f>IF(Qty!$J27=0,Qty!S27,Qty!S27*Qty!$J27)*'Prop. prices'!O105*O$7</f>
        <v>0</v>
      </c>
      <c r="P105" s="198">
        <f>IF(Qty!$J27=0,Qty!T27,Qty!T27*Qty!$J27)*'Prop. prices'!P105*P$7</f>
        <v>0</v>
      </c>
      <c r="Q105" s="198">
        <f>IF(Qty!$J27=0,Qty!U27,Qty!U27*Qty!$J27)*'Prop. prices'!Q105*Q$7</f>
        <v>0</v>
      </c>
      <c r="R105" s="198">
        <f>IF(Qty!$J27=0,Qty!V27,Qty!V27*Qty!$J27)*'Prop. prices'!R105*R$7</f>
        <v>0</v>
      </c>
      <c r="S105" s="198">
        <f>IF(Qty!$J27=0,Qty!W27,Qty!W27*Qty!$J27)*'Prop. prices'!S105*S$7</f>
        <v>0</v>
      </c>
      <c r="T105" s="198">
        <f>IF(Qty!$J27=0,Qty!X27,Qty!X27*Qty!$J27)*'Prop. prices'!T105*T$7</f>
        <v>0</v>
      </c>
      <c r="U105" s="198">
        <f>IF(Qty!$J27=0,Qty!Y27,Qty!Y27*Qty!$J27)*'Prop. prices'!U105*U$7</f>
        <v>344207.85189971491</v>
      </c>
      <c r="V105" s="198">
        <f>IF(Qty!$J27=0,Qty!Z27,Qty!Z27*Qty!$J27)*'Prop. prices'!V105*V$7</f>
        <v>0</v>
      </c>
      <c r="W105" s="198">
        <f>IF(Qty!$J27=0,Qty!AA27,Qty!AA27*Qty!$J27)*'Prop. prices'!W105*W$7</f>
        <v>0</v>
      </c>
      <c r="X105" s="198">
        <f>IF(Qty!$J27=0,Qty!AB27,Qty!AB27*Qty!$J27)*'Prop. prices'!X105*X$7</f>
        <v>0</v>
      </c>
      <c r="Y105" s="198">
        <f>IF(Qty!$J27=0,Qty!AC27,Qty!AC27*Qty!$J27)*'Prop. prices'!Y105*Y$7</f>
        <v>0</v>
      </c>
      <c r="Z105" s="198">
        <f>IF(Qty!$J27=0,Qty!AD27,Qty!AD27*Qty!$J27)*'Prop. prices'!Z105*Z$7</f>
        <v>0</v>
      </c>
      <c r="AA105" s="198">
        <f>IF(Qty!$J27=0,Qty!AE27,Qty!AE27*Qty!$J27)*'Prop. prices'!AA105*AA$7</f>
        <v>0</v>
      </c>
      <c r="AB105" s="198">
        <f>IF(Qty!$J27=0,Qty!AF27,Qty!AF27*Qty!$J27)*'Prop. prices'!AB105*AB$7</f>
        <v>0</v>
      </c>
      <c r="AC105" s="206">
        <f t="shared" si="6"/>
        <v>344207.85189971491</v>
      </c>
      <c r="AD105" s="19"/>
      <c r="AE105" s="19"/>
      <c r="AF105" s="19"/>
      <c r="AG105" s="19"/>
    </row>
    <row r="106" spans="1:33" outlineLevel="2" x14ac:dyDescent="0.2">
      <c r="A106" s="19"/>
      <c r="B106" s="19"/>
      <c r="C106" s="506">
        <f t="shared" ref="C106:G115" si="8">C28</f>
        <v>0</v>
      </c>
      <c r="D106" s="505">
        <f t="shared" si="8"/>
        <v>0</v>
      </c>
      <c r="E106" s="505">
        <f t="shared" si="8"/>
        <v>0</v>
      </c>
      <c r="F106" s="505">
        <f t="shared" si="8"/>
        <v>0</v>
      </c>
      <c r="G106" s="505">
        <f t="shared" si="8"/>
        <v>0</v>
      </c>
      <c r="H106" s="58"/>
      <c r="I106" s="198">
        <f>IF(Qty!$J28=0,Qty!M28,Qty!M28*Qty!$J28)*'Prop. prices'!I106*I$7</f>
        <v>0</v>
      </c>
      <c r="J106" s="198">
        <f>IF(Qty!$J28=0,Qty!N28,Qty!N28*Qty!$J28)*'Prop. prices'!J106*J$7</f>
        <v>0</v>
      </c>
      <c r="K106" s="198">
        <f>IF(Qty!$J28=0,Qty!O28,Qty!O28*Qty!$J28)*'Prop. prices'!K106*K$7</f>
        <v>0</v>
      </c>
      <c r="L106" s="198">
        <f>IF(Qty!$J28=0,Qty!P28,Qty!P28*Qty!$J28)*'Prop. prices'!L106*L$7</f>
        <v>0</v>
      </c>
      <c r="M106" s="198">
        <f>IF(Qty!$J28=0,Qty!Q28,Qty!Q28*Qty!$J28)*'Prop. prices'!M106*M$7</f>
        <v>0</v>
      </c>
      <c r="N106" s="198">
        <f>IF(Qty!$J28=0,Qty!R28,Qty!R28*Qty!$J28)*'Prop. prices'!N106*N$7</f>
        <v>0</v>
      </c>
      <c r="O106" s="198">
        <f>IF(Qty!$J28=0,Qty!S28,Qty!S28*Qty!$J28)*'Prop. prices'!O106*O$7</f>
        <v>0</v>
      </c>
      <c r="P106" s="198">
        <f>IF(Qty!$J28=0,Qty!T28,Qty!T28*Qty!$J28)*'Prop. prices'!P106*P$7</f>
        <v>0</v>
      </c>
      <c r="Q106" s="198">
        <f>IF(Qty!$J28=0,Qty!U28,Qty!U28*Qty!$J28)*'Prop. prices'!Q106*Q$7</f>
        <v>0</v>
      </c>
      <c r="R106" s="198">
        <f>IF(Qty!$J28=0,Qty!V28,Qty!V28*Qty!$J28)*'Prop. prices'!R106*R$7</f>
        <v>0</v>
      </c>
      <c r="S106" s="198">
        <f>IF(Qty!$J28=0,Qty!W28,Qty!W28*Qty!$J28)*'Prop. prices'!S106*S$7</f>
        <v>0</v>
      </c>
      <c r="T106" s="198">
        <f>IF(Qty!$J28=0,Qty!X28,Qty!X28*Qty!$J28)*'Prop. prices'!T106*T$7</f>
        <v>0</v>
      </c>
      <c r="U106" s="198">
        <f>IF(Qty!$J28=0,Qty!Y28,Qty!Y28*Qty!$J28)*'Prop. prices'!U106*U$7</f>
        <v>0</v>
      </c>
      <c r="V106" s="198">
        <f>IF(Qty!$J28=0,Qty!Z28,Qty!Z28*Qty!$J28)*'Prop. prices'!V106*V$7</f>
        <v>0</v>
      </c>
      <c r="W106" s="198">
        <f>IF(Qty!$J28=0,Qty!AA28,Qty!AA28*Qty!$J28)*'Prop. prices'!W106*W$7</f>
        <v>0</v>
      </c>
      <c r="X106" s="198">
        <f>IF(Qty!$J28=0,Qty!AB28,Qty!AB28*Qty!$J28)*'Prop. prices'!X106*X$7</f>
        <v>0</v>
      </c>
      <c r="Y106" s="198">
        <f>IF(Qty!$J28=0,Qty!AC28,Qty!AC28*Qty!$J28)*'Prop. prices'!Y106*Y$7</f>
        <v>0</v>
      </c>
      <c r="Z106" s="198">
        <f>IF(Qty!$J28=0,Qty!AD28,Qty!AD28*Qty!$J28)*'Prop. prices'!Z106*Z$7</f>
        <v>0</v>
      </c>
      <c r="AA106" s="198">
        <f>IF(Qty!$J28=0,Qty!AE28,Qty!AE28*Qty!$J28)*'Prop. prices'!AA106*AA$7</f>
        <v>0</v>
      </c>
      <c r="AB106" s="198">
        <f>IF(Qty!$J28=0,Qty!AF28,Qty!AF28*Qty!$J28)*'Prop. prices'!AB106*AB$7</f>
        <v>0</v>
      </c>
      <c r="AC106" s="206">
        <f t="shared" si="6"/>
        <v>0</v>
      </c>
      <c r="AD106" s="19"/>
      <c r="AE106" s="19"/>
      <c r="AF106" s="19"/>
      <c r="AG106" s="19"/>
    </row>
    <row r="107" spans="1:33" hidden="1" outlineLevel="3" x14ac:dyDescent="0.2">
      <c r="A107" s="19"/>
      <c r="B107" s="19"/>
      <c r="C107" s="506">
        <f t="shared" si="8"/>
        <v>0</v>
      </c>
      <c r="D107" s="505">
        <f t="shared" si="8"/>
        <v>0</v>
      </c>
      <c r="E107" s="505">
        <f t="shared" si="8"/>
        <v>0</v>
      </c>
      <c r="F107" s="505">
        <f t="shared" si="8"/>
        <v>0</v>
      </c>
      <c r="G107" s="505">
        <f t="shared" si="8"/>
        <v>0</v>
      </c>
      <c r="H107" s="58"/>
      <c r="I107" s="198">
        <f>IF(Qty!$J29=0,Qty!M29,Qty!M29*Qty!$J29)*'Prop. prices'!I107*I$7</f>
        <v>0</v>
      </c>
      <c r="J107" s="198">
        <f>IF(Qty!$J29=0,Qty!N29,Qty!N29*Qty!$J29)*'Prop. prices'!J107*J$7</f>
        <v>0</v>
      </c>
      <c r="K107" s="198">
        <f>IF(Qty!$J29=0,Qty!O29,Qty!O29*Qty!$J29)*'Prop. prices'!K107*K$7</f>
        <v>0</v>
      </c>
      <c r="L107" s="198">
        <f>IF(Qty!$J29=0,Qty!P29,Qty!P29*Qty!$J29)*'Prop. prices'!L107*L$7</f>
        <v>0</v>
      </c>
      <c r="M107" s="198">
        <f>IF(Qty!$J29=0,Qty!Q29,Qty!Q29*Qty!$J29)*'Prop. prices'!M107*M$7</f>
        <v>0</v>
      </c>
      <c r="N107" s="198">
        <f>IF(Qty!$J29=0,Qty!R29,Qty!R29*Qty!$J29)*'Prop. prices'!N107*N$7</f>
        <v>0</v>
      </c>
      <c r="O107" s="198">
        <f>IF(Qty!$J29=0,Qty!S29,Qty!S29*Qty!$J29)*'Prop. prices'!O107*O$7</f>
        <v>0</v>
      </c>
      <c r="P107" s="198">
        <f>IF(Qty!$J29=0,Qty!T29,Qty!T29*Qty!$J29)*'Prop. prices'!P107*P$7</f>
        <v>0</v>
      </c>
      <c r="Q107" s="198">
        <f>IF(Qty!$J29=0,Qty!U29,Qty!U29*Qty!$J29)*'Prop. prices'!Q107*Q$7</f>
        <v>0</v>
      </c>
      <c r="R107" s="198">
        <f>IF(Qty!$J29=0,Qty!V29,Qty!V29*Qty!$J29)*'Prop. prices'!R107*R$7</f>
        <v>0</v>
      </c>
      <c r="S107" s="198">
        <f>IF(Qty!$J29=0,Qty!W29,Qty!W29*Qty!$J29)*'Prop. prices'!S107*S$7</f>
        <v>0</v>
      </c>
      <c r="T107" s="198">
        <f>IF(Qty!$J29=0,Qty!X29,Qty!X29*Qty!$J29)*'Prop. prices'!T107*T$7</f>
        <v>0</v>
      </c>
      <c r="U107" s="198">
        <f>IF(Qty!$J29=0,Qty!Y29,Qty!Y29*Qty!$J29)*'Prop. prices'!U107*U$7</f>
        <v>0</v>
      </c>
      <c r="V107" s="198">
        <f>IF(Qty!$J29=0,Qty!Z29,Qty!Z29*Qty!$J29)*'Prop. prices'!V107*V$7</f>
        <v>0</v>
      </c>
      <c r="W107" s="198">
        <f>IF(Qty!$J29=0,Qty!AA29,Qty!AA29*Qty!$J29)*'Prop. prices'!W107*W$7</f>
        <v>0</v>
      </c>
      <c r="X107" s="198">
        <f>IF(Qty!$J29=0,Qty!AB29,Qty!AB29*Qty!$J29)*'Prop. prices'!X107*X$7</f>
        <v>0</v>
      </c>
      <c r="Y107" s="198">
        <f>IF(Qty!$J29=0,Qty!AC29,Qty!AC29*Qty!$J29)*'Prop. prices'!Y107*Y$7</f>
        <v>0</v>
      </c>
      <c r="Z107" s="198">
        <f>IF(Qty!$J29=0,Qty!AD29,Qty!AD29*Qty!$J29)*'Prop. prices'!Z107*Z$7</f>
        <v>0</v>
      </c>
      <c r="AA107" s="198">
        <f>IF(Qty!$J29=0,Qty!AE29,Qty!AE29*Qty!$J29)*'Prop. prices'!AA107*AA$7</f>
        <v>0</v>
      </c>
      <c r="AB107" s="198">
        <f>IF(Qty!$J29=0,Qty!AF29,Qty!AF29*Qty!$J29)*'Prop. prices'!AB107*AB$7</f>
        <v>0</v>
      </c>
      <c r="AC107" s="206">
        <f t="shared" si="6"/>
        <v>0</v>
      </c>
      <c r="AD107" s="19"/>
      <c r="AE107" s="19"/>
      <c r="AF107" s="19"/>
      <c r="AG107" s="19"/>
    </row>
    <row r="108" spans="1:33" hidden="1" outlineLevel="3" x14ac:dyDescent="0.2">
      <c r="A108" s="19"/>
      <c r="B108" s="19"/>
      <c r="C108" s="506">
        <f t="shared" si="8"/>
        <v>0</v>
      </c>
      <c r="D108" s="505">
        <f t="shared" si="8"/>
        <v>0</v>
      </c>
      <c r="E108" s="505">
        <f t="shared" si="8"/>
        <v>0</v>
      </c>
      <c r="F108" s="505">
        <f t="shared" si="8"/>
        <v>0</v>
      </c>
      <c r="G108" s="505">
        <f t="shared" si="8"/>
        <v>0</v>
      </c>
      <c r="H108" s="58"/>
      <c r="I108" s="198">
        <f>IF(Qty!$J30=0,Qty!M30,Qty!M30*Qty!$J30)*'Prop. prices'!I108*I$7</f>
        <v>0</v>
      </c>
      <c r="J108" s="198">
        <f>IF(Qty!$J30=0,Qty!N30,Qty!N30*Qty!$J30)*'Prop. prices'!J108*J$7</f>
        <v>0</v>
      </c>
      <c r="K108" s="198">
        <f>IF(Qty!$J30=0,Qty!O30,Qty!O30*Qty!$J30)*'Prop. prices'!K108*K$7</f>
        <v>0</v>
      </c>
      <c r="L108" s="198">
        <f>IF(Qty!$J30=0,Qty!P30,Qty!P30*Qty!$J30)*'Prop. prices'!L108*L$7</f>
        <v>0</v>
      </c>
      <c r="M108" s="198">
        <f>IF(Qty!$J30=0,Qty!Q30,Qty!Q30*Qty!$J30)*'Prop. prices'!M108*M$7</f>
        <v>0</v>
      </c>
      <c r="N108" s="198">
        <f>IF(Qty!$J30=0,Qty!R30,Qty!R30*Qty!$J30)*'Prop. prices'!N108*N$7</f>
        <v>0</v>
      </c>
      <c r="O108" s="198">
        <f>IF(Qty!$J30=0,Qty!S30,Qty!S30*Qty!$J30)*'Prop. prices'!O108*O$7</f>
        <v>0</v>
      </c>
      <c r="P108" s="198">
        <f>IF(Qty!$J30=0,Qty!T30,Qty!T30*Qty!$J30)*'Prop. prices'!P108*P$7</f>
        <v>0</v>
      </c>
      <c r="Q108" s="198">
        <f>IF(Qty!$J30=0,Qty!U30,Qty!U30*Qty!$J30)*'Prop. prices'!Q108*Q$7</f>
        <v>0</v>
      </c>
      <c r="R108" s="198">
        <f>IF(Qty!$J30=0,Qty!V30,Qty!V30*Qty!$J30)*'Prop. prices'!R108*R$7</f>
        <v>0</v>
      </c>
      <c r="S108" s="198">
        <f>IF(Qty!$J30=0,Qty!W30,Qty!W30*Qty!$J30)*'Prop. prices'!S108*S$7</f>
        <v>0</v>
      </c>
      <c r="T108" s="198">
        <f>IF(Qty!$J30=0,Qty!X30,Qty!X30*Qty!$J30)*'Prop. prices'!T108*T$7</f>
        <v>0</v>
      </c>
      <c r="U108" s="198">
        <f>IF(Qty!$J30=0,Qty!Y30,Qty!Y30*Qty!$J30)*'Prop. prices'!U108*U$7</f>
        <v>0</v>
      </c>
      <c r="V108" s="198">
        <f>IF(Qty!$J30=0,Qty!Z30,Qty!Z30*Qty!$J30)*'Prop. prices'!V108*V$7</f>
        <v>0</v>
      </c>
      <c r="W108" s="198">
        <f>IF(Qty!$J30=0,Qty!AA30,Qty!AA30*Qty!$J30)*'Prop. prices'!W108*W$7</f>
        <v>0</v>
      </c>
      <c r="X108" s="198">
        <f>IF(Qty!$J30=0,Qty!AB30,Qty!AB30*Qty!$J30)*'Prop. prices'!X108*X$7</f>
        <v>0</v>
      </c>
      <c r="Y108" s="198">
        <f>IF(Qty!$J30=0,Qty!AC30,Qty!AC30*Qty!$J30)*'Prop. prices'!Y108*Y$7</f>
        <v>0</v>
      </c>
      <c r="Z108" s="198">
        <f>IF(Qty!$J30=0,Qty!AD30,Qty!AD30*Qty!$J30)*'Prop. prices'!Z108*Z$7</f>
        <v>0</v>
      </c>
      <c r="AA108" s="198">
        <f>IF(Qty!$J30=0,Qty!AE30,Qty!AE30*Qty!$J30)*'Prop. prices'!AA108*AA$7</f>
        <v>0</v>
      </c>
      <c r="AB108" s="198">
        <f>IF(Qty!$J30=0,Qty!AF30,Qty!AF30*Qty!$J30)*'Prop. prices'!AB108*AB$7</f>
        <v>0</v>
      </c>
      <c r="AC108" s="206">
        <f t="shared" si="6"/>
        <v>0</v>
      </c>
      <c r="AD108" s="19"/>
      <c r="AE108" s="19"/>
      <c r="AF108" s="19"/>
      <c r="AG108" s="19"/>
    </row>
    <row r="109" spans="1:33" hidden="1" outlineLevel="3" x14ac:dyDescent="0.2">
      <c r="A109" s="19"/>
      <c r="B109" s="19"/>
      <c r="C109" s="506">
        <f t="shared" si="8"/>
        <v>0</v>
      </c>
      <c r="D109" s="505">
        <f t="shared" si="8"/>
        <v>0</v>
      </c>
      <c r="E109" s="505">
        <f t="shared" si="8"/>
        <v>0</v>
      </c>
      <c r="F109" s="505">
        <f t="shared" si="8"/>
        <v>0</v>
      </c>
      <c r="G109" s="505">
        <f t="shared" si="8"/>
        <v>0</v>
      </c>
      <c r="H109" s="58"/>
      <c r="I109" s="198">
        <f>IF(Qty!$J31=0,Qty!M31,Qty!M31*Qty!$J31)*'Prop. prices'!I109*I$7</f>
        <v>0</v>
      </c>
      <c r="J109" s="198">
        <f>IF(Qty!$J31=0,Qty!N31,Qty!N31*Qty!$J31)*'Prop. prices'!J109*J$7</f>
        <v>0</v>
      </c>
      <c r="K109" s="198">
        <f>IF(Qty!$J31=0,Qty!O31,Qty!O31*Qty!$J31)*'Prop. prices'!K109*K$7</f>
        <v>0</v>
      </c>
      <c r="L109" s="198">
        <f>IF(Qty!$J31=0,Qty!P31,Qty!P31*Qty!$J31)*'Prop. prices'!L109*L$7</f>
        <v>0</v>
      </c>
      <c r="M109" s="198">
        <f>IF(Qty!$J31=0,Qty!Q31,Qty!Q31*Qty!$J31)*'Prop. prices'!M109*M$7</f>
        <v>0</v>
      </c>
      <c r="N109" s="198">
        <f>IF(Qty!$J31=0,Qty!R31,Qty!R31*Qty!$J31)*'Prop. prices'!N109*N$7</f>
        <v>0</v>
      </c>
      <c r="O109" s="198">
        <f>IF(Qty!$J31=0,Qty!S31,Qty!S31*Qty!$J31)*'Prop. prices'!O109*O$7</f>
        <v>0</v>
      </c>
      <c r="P109" s="198">
        <f>IF(Qty!$J31=0,Qty!T31,Qty!T31*Qty!$J31)*'Prop. prices'!P109*P$7</f>
        <v>0</v>
      </c>
      <c r="Q109" s="198">
        <f>IF(Qty!$J31=0,Qty!U31,Qty!U31*Qty!$J31)*'Prop. prices'!Q109*Q$7</f>
        <v>0</v>
      </c>
      <c r="R109" s="198">
        <f>IF(Qty!$J31=0,Qty!V31,Qty!V31*Qty!$J31)*'Prop. prices'!R109*R$7</f>
        <v>0</v>
      </c>
      <c r="S109" s="198">
        <f>IF(Qty!$J31=0,Qty!W31,Qty!W31*Qty!$J31)*'Prop. prices'!S109*S$7</f>
        <v>0</v>
      </c>
      <c r="T109" s="198">
        <f>IF(Qty!$J31=0,Qty!X31,Qty!X31*Qty!$J31)*'Prop. prices'!T109*T$7</f>
        <v>0</v>
      </c>
      <c r="U109" s="198">
        <f>IF(Qty!$J31=0,Qty!Y31,Qty!Y31*Qty!$J31)*'Prop. prices'!U109*U$7</f>
        <v>0</v>
      </c>
      <c r="V109" s="198">
        <f>IF(Qty!$J31=0,Qty!Z31,Qty!Z31*Qty!$J31)*'Prop. prices'!V109*V$7</f>
        <v>0</v>
      </c>
      <c r="W109" s="198">
        <f>IF(Qty!$J31=0,Qty!AA31,Qty!AA31*Qty!$J31)*'Prop. prices'!W109*W$7</f>
        <v>0</v>
      </c>
      <c r="X109" s="198">
        <f>IF(Qty!$J31=0,Qty!AB31,Qty!AB31*Qty!$J31)*'Prop. prices'!X109*X$7</f>
        <v>0</v>
      </c>
      <c r="Y109" s="198">
        <f>IF(Qty!$J31=0,Qty!AC31,Qty!AC31*Qty!$J31)*'Prop. prices'!Y109*Y$7</f>
        <v>0</v>
      </c>
      <c r="Z109" s="198">
        <f>IF(Qty!$J31=0,Qty!AD31,Qty!AD31*Qty!$J31)*'Prop. prices'!Z109*Z$7</f>
        <v>0</v>
      </c>
      <c r="AA109" s="198">
        <f>IF(Qty!$J31=0,Qty!AE31,Qty!AE31*Qty!$J31)*'Prop. prices'!AA109*AA$7</f>
        <v>0</v>
      </c>
      <c r="AB109" s="198">
        <f>IF(Qty!$J31=0,Qty!AF31,Qty!AF31*Qty!$J31)*'Prop. prices'!AB109*AB$7</f>
        <v>0</v>
      </c>
      <c r="AC109" s="206">
        <f t="shared" si="6"/>
        <v>0</v>
      </c>
      <c r="AD109" s="19"/>
      <c r="AE109" s="19"/>
      <c r="AF109" s="19"/>
      <c r="AG109" s="19"/>
    </row>
    <row r="110" spans="1:33" hidden="1" outlineLevel="3" x14ac:dyDescent="0.2">
      <c r="A110" s="19"/>
      <c r="B110" s="19"/>
      <c r="C110" s="506">
        <f t="shared" si="8"/>
        <v>0</v>
      </c>
      <c r="D110" s="505">
        <f t="shared" si="8"/>
        <v>0</v>
      </c>
      <c r="E110" s="505">
        <f t="shared" si="8"/>
        <v>0</v>
      </c>
      <c r="F110" s="505">
        <f t="shared" si="8"/>
        <v>0</v>
      </c>
      <c r="G110" s="505">
        <f t="shared" si="8"/>
        <v>0</v>
      </c>
      <c r="H110" s="58"/>
      <c r="I110" s="198">
        <f>IF(Qty!$J32=0,Qty!M32,Qty!M32*Qty!$J32)*'Prop. prices'!I110*I$7</f>
        <v>0</v>
      </c>
      <c r="J110" s="198">
        <f>IF(Qty!$J32=0,Qty!N32,Qty!N32*Qty!$J32)*'Prop. prices'!J110*J$7</f>
        <v>0</v>
      </c>
      <c r="K110" s="198">
        <f>IF(Qty!$J32=0,Qty!O32,Qty!O32*Qty!$J32)*'Prop. prices'!K110*K$7</f>
        <v>0</v>
      </c>
      <c r="L110" s="198">
        <f>IF(Qty!$J32=0,Qty!P32,Qty!P32*Qty!$J32)*'Prop. prices'!L110*L$7</f>
        <v>0</v>
      </c>
      <c r="M110" s="198">
        <f>IF(Qty!$J32=0,Qty!Q32,Qty!Q32*Qty!$J32)*'Prop. prices'!M110*M$7</f>
        <v>0</v>
      </c>
      <c r="N110" s="198">
        <f>IF(Qty!$J32=0,Qty!R32,Qty!R32*Qty!$J32)*'Prop. prices'!N110*N$7</f>
        <v>0</v>
      </c>
      <c r="O110" s="198">
        <f>IF(Qty!$J32=0,Qty!S32,Qty!S32*Qty!$J32)*'Prop. prices'!O110*O$7</f>
        <v>0</v>
      </c>
      <c r="P110" s="198">
        <f>IF(Qty!$J32=0,Qty!T32,Qty!T32*Qty!$J32)*'Prop. prices'!P110*P$7</f>
        <v>0</v>
      </c>
      <c r="Q110" s="198">
        <f>IF(Qty!$J32=0,Qty!U32,Qty!U32*Qty!$J32)*'Prop. prices'!Q110*Q$7</f>
        <v>0</v>
      </c>
      <c r="R110" s="198">
        <f>IF(Qty!$J32=0,Qty!V32,Qty!V32*Qty!$J32)*'Prop. prices'!R110*R$7</f>
        <v>0</v>
      </c>
      <c r="S110" s="198">
        <f>IF(Qty!$J32=0,Qty!W32,Qty!W32*Qty!$J32)*'Prop. prices'!S110*S$7</f>
        <v>0</v>
      </c>
      <c r="T110" s="198">
        <f>IF(Qty!$J32=0,Qty!X32,Qty!X32*Qty!$J32)*'Prop. prices'!T110*T$7</f>
        <v>0</v>
      </c>
      <c r="U110" s="198">
        <f>IF(Qty!$J32=0,Qty!Y32,Qty!Y32*Qty!$J32)*'Prop. prices'!U110*U$7</f>
        <v>0</v>
      </c>
      <c r="V110" s="198">
        <f>IF(Qty!$J32=0,Qty!Z32,Qty!Z32*Qty!$J32)*'Prop. prices'!V110*V$7</f>
        <v>0</v>
      </c>
      <c r="W110" s="198">
        <f>IF(Qty!$J32=0,Qty!AA32,Qty!AA32*Qty!$J32)*'Prop. prices'!W110*W$7</f>
        <v>0</v>
      </c>
      <c r="X110" s="198">
        <f>IF(Qty!$J32=0,Qty!AB32,Qty!AB32*Qty!$J32)*'Prop. prices'!X110*X$7</f>
        <v>0</v>
      </c>
      <c r="Y110" s="198">
        <f>IF(Qty!$J32=0,Qty!AC32,Qty!AC32*Qty!$J32)*'Prop. prices'!Y110*Y$7</f>
        <v>0</v>
      </c>
      <c r="Z110" s="198">
        <f>IF(Qty!$J32=0,Qty!AD32,Qty!AD32*Qty!$J32)*'Prop. prices'!Z110*Z$7</f>
        <v>0</v>
      </c>
      <c r="AA110" s="198">
        <f>IF(Qty!$J32=0,Qty!AE32,Qty!AE32*Qty!$J32)*'Prop. prices'!AA110*AA$7</f>
        <v>0</v>
      </c>
      <c r="AB110" s="198">
        <f>IF(Qty!$J32=0,Qty!AF32,Qty!AF32*Qty!$J32)*'Prop. prices'!AB110*AB$7</f>
        <v>0</v>
      </c>
      <c r="AC110" s="206">
        <f t="shared" si="6"/>
        <v>0</v>
      </c>
      <c r="AD110" s="19"/>
      <c r="AE110" s="19"/>
      <c r="AF110" s="19"/>
      <c r="AG110" s="19"/>
    </row>
    <row r="111" spans="1:33" hidden="1" outlineLevel="3" x14ac:dyDescent="0.2">
      <c r="A111" s="19"/>
      <c r="B111" s="19"/>
      <c r="C111" s="506">
        <f t="shared" si="8"/>
        <v>0</v>
      </c>
      <c r="D111" s="505">
        <f t="shared" si="8"/>
        <v>0</v>
      </c>
      <c r="E111" s="505">
        <f t="shared" si="8"/>
        <v>0</v>
      </c>
      <c r="F111" s="505">
        <f t="shared" si="8"/>
        <v>0</v>
      </c>
      <c r="G111" s="505">
        <f t="shared" si="8"/>
        <v>0</v>
      </c>
      <c r="H111" s="58"/>
      <c r="I111" s="198">
        <f>IF(Qty!$J33=0,Qty!M33,Qty!M33*Qty!$J33)*'Prop. prices'!I111*I$7</f>
        <v>0</v>
      </c>
      <c r="J111" s="198">
        <f>IF(Qty!$J33=0,Qty!N33,Qty!N33*Qty!$J33)*'Prop. prices'!J111*J$7</f>
        <v>0</v>
      </c>
      <c r="K111" s="198">
        <f>IF(Qty!$J33=0,Qty!O33,Qty!O33*Qty!$J33)*'Prop. prices'!K111*K$7</f>
        <v>0</v>
      </c>
      <c r="L111" s="198">
        <f>IF(Qty!$J33=0,Qty!P33,Qty!P33*Qty!$J33)*'Prop. prices'!L111*L$7</f>
        <v>0</v>
      </c>
      <c r="M111" s="198">
        <f>IF(Qty!$J33=0,Qty!Q33,Qty!Q33*Qty!$J33)*'Prop. prices'!M111*M$7</f>
        <v>0</v>
      </c>
      <c r="N111" s="198">
        <f>IF(Qty!$J33=0,Qty!R33,Qty!R33*Qty!$J33)*'Prop. prices'!N111*N$7</f>
        <v>0</v>
      </c>
      <c r="O111" s="198">
        <f>IF(Qty!$J33=0,Qty!S33,Qty!S33*Qty!$J33)*'Prop. prices'!O111*O$7</f>
        <v>0</v>
      </c>
      <c r="P111" s="198">
        <f>IF(Qty!$J33=0,Qty!T33,Qty!T33*Qty!$J33)*'Prop. prices'!P111*P$7</f>
        <v>0</v>
      </c>
      <c r="Q111" s="198">
        <f>IF(Qty!$J33=0,Qty!U33,Qty!U33*Qty!$J33)*'Prop. prices'!Q111*Q$7</f>
        <v>0</v>
      </c>
      <c r="R111" s="198">
        <f>IF(Qty!$J33=0,Qty!V33,Qty!V33*Qty!$J33)*'Prop. prices'!R111*R$7</f>
        <v>0</v>
      </c>
      <c r="S111" s="198">
        <f>IF(Qty!$J33=0,Qty!W33,Qty!W33*Qty!$J33)*'Prop. prices'!S111*S$7</f>
        <v>0</v>
      </c>
      <c r="T111" s="198">
        <f>IF(Qty!$J33=0,Qty!X33,Qty!X33*Qty!$J33)*'Prop. prices'!T111*T$7</f>
        <v>0</v>
      </c>
      <c r="U111" s="198">
        <f>IF(Qty!$J33=0,Qty!Y33,Qty!Y33*Qty!$J33)*'Prop. prices'!U111*U$7</f>
        <v>0</v>
      </c>
      <c r="V111" s="198">
        <f>IF(Qty!$J33=0,Qty!Z33,Qty!Z33*Qty!$J33)*'Prop. prices'!V111*V$7</f>
        <v>0</v>
      </c>
      <c r="W111" s="198">
        <f>IF(Qty!$J33=0,Qty!AA33,Qty!AA33*Qty!$J33)*'Prop. prices'!W111*W$7</f>
        <v>0</v>
      </c>
      <c r="X111" s="198">
        <f>IF(Qty!$J33=0,Qty!AB33,Qty!AB33*Qty!$J33)*'Prop. prices'!X111*X$7</f>
        <v>0</v>
      </c>
      <c r="Y111" s="198">
        <f>IF(Qty!$J33=0,Qty!AC33,Qty!AC33*Qty!$J33)*'Prop. prices'!Y111*Y$7</f>
        <v>0</v>
      </c>
      <c r="Z111" s="198">
        <f>IF(Qty!$J33=0,Qty!AD33,Qty!AD33*Qty!$J33)*'Prop. prices'!Z111*Z$7</f>
        <v>0</v>
      </c>
      <c r="AA111" s="198">
        <f>IF(Qty!$J33=0,Qty!AE33,Qty!AE33*Qty!$J33)*'Prop. prices'!AA111*AA$7</f>
        <v>0</v>
      </c>
      <c r="AB111" s="198">
        <f>IF(Qty!$J33=0,Qty!AF33,Qty!AF33*Qty!$J33)*'Prop. prices'!AB111*AB$7</f>
        <v>0</v>
      </c>
      <c r="AC111" s="206">
        <f t="shared" si="6"/>
        <v>0</v>
      </c>
      <c r="AD111" s="19"/>
      <c r="AE111" s="19"/>
      <c r="AF111" s="19"/>
      <c r="AG111" s="19"/>
    </row>
    <row r="112" spans="1:33" hidden="1" outlineLevel="3" x14ac:dyDescent="0.2">
      <c r="A112" s="19"/>
      <c r="B112" s="19"/>
      <c r="C112" s="506">
        <f t="shared" si="8"/>
        <v>0</v>
      </c>
      <c r="D112" s="505">
        <f t="shared" si="8"/>
        <v>0</v>
      </c>
      <c r="E112" s="505">
        <f t="shared" si="8"/>
        <v>0</v>
      </c>
      <c r="F112" s="505">
        <f t="shared" si="8"/>
        <v>0</v>
      </c>
      <c r="G112" s="505">
        <f t="shared" si="8"/>
        <v>0</v>
      </c>
      <c r="H112" s="58"/>
      <c r="I112" s="198">
        <f>IF(Qty!$J34=0,Qty!M34,Qty!M34*Qty!$J34)*'Prop. prices'!I112*I$7</f>
        <v>0</v>
      </c>
      <c r="J112" s="198">
        <f>IF(Qty!$J34=0,Qty!N34,Qty!N34*Qty!$J34)*'Prop. prices'!J112*J$7</f>
        <v>0</v>
      </c>
      <c r="K112" s="198">
        <f>IF(Qty!$J34=0,Qty!O34,Qty!O34*Qty!$J34)*'Prop. prices'!K112*K$7</f>
        <v>0</v>
      </c>
      <c r="L112" s="198">
        <f>IF(Qty!$J34=0,Qty!P34,Qty!P34*Qty!$J34)*'Prop. prices'!L112*L$7</f>
        <v>0</v>
      </c>
      <c r="M112" s="198">
        <f>IF(Qty!$J34=0,Qty!Q34,Qty!Q34*Qty!$J34)*'Prop. prices'!M112*M$7</f>
        <v>0</v>
      </c>
      <c r="N112" s="198">
        <f>IF(Qty!$J34=0,Qty!R34,Qty!R34*Qty!$J34)*'Prop. prices'!N112*N$7</f>
        <v>0</v>
      </c>
      <c r="O112" s="198">
        <f>IF(Qty!$J34=0,Qty!S34,Qty!S34*Qty!$J34)*'Prop. prices'!O112*O$7</f>
        <v>0</v>
      </c>
      <c r="P112" s="198">
        <f>IF(Qty!$J34=0,Qty!T34,Qty!T34*Qty!$J34)*'Prop. prices'!P112*P$7</f>
        <v>0</v>
      </c>
      <c r="Q112" s="198">
        <f>IF(Qty!$J34=0,Qty!U34,Qty!U34*Qty!$J34)*'Prop. prices'!Q112*Q$7</f>
        <v>0</v>
      </c>
      <c r="R112" s="198">
        <f>IF(Qty!$J34=0,Qty!V34,Qty!V34*Qty!$J34)*'Prop. prices'!R112*R$7</f>
        <v>0</v>
      </c>
      <c r="S112" s="198">
        <f>IF(Qty!$J34=0,Qty!W34,Qty!W34*Qty!$J34)*'Prop. prices'!S112*S$7</f>
        <v>0</v>
      </c>
      <c r="T112" s="198">
        <f>IF(Qty!$J34=0,Qty!X34,Qty!X34*Qty!$J34)*'Prop. prices'!T112*T$7</f>
        <v>0</v>
      </c>
      <c r="U112" s="198">
        <f>IF(Qty!$J34=0,Qty!Y34,Qty!Y34*Qty!$J34)*'Prop. prices'!U112*U$7</f>
        <v>0</v>
      </c>
      <c r="V112" s="198">
        <f>IF(Qty!$J34=0,Qty!Z34,Qty!Z34*Qty!$J34)*'Prop. prices'!V112*V$7</f>
        <v>0</v>
      </c>
      <c r="W112" s="198">
        <f>IF(Qty!$J34=0,Qty!AA34,Qty!AA34*Qty!$J34)*'Prop. prices'!W112*W$7</f>
        <v>0</v>
      </c>
      <c r="X112" s="198">
        <f>IF(Qty!$J34=0,Qty!AB34,Qty!AB34*Qty!$J34)*'Prop. prices'!X112*X$7</f>
        <v>0</v>
      </c>
      <c r="Y112" s="198">
        <f>IF(Qty!$J34=0,Qty!AC34,Qty!AC34*Qty!$J34)*'Prop. prices'!Y112*Y$7</f>
        <v>0</v>
      </c>
      <c r="Z112" s="198">
        <f>IF(Qty!$J34=0,Qty!AD34,Qty!AD34*Qty!$J34)*'Prop. prices'!Z112*Z$7</f>
        <v>0</v>
      </c>
      <c r="AA112" s="198">
        <f>IF(Qty!$J34=0,Qty!AE34,Qty!AE34*Qty!$J34)*'Prop. prices'!AA112*AA$7</f>
        <v>0</v>
      </c>
      <c r="AB112" s="198">
        <f>IF(Qty!$J34=0,Qty!AF34,Qty!AF34*Qty!$J34)*'Prop. prices'!AB112*AB$7</f>
        <v>0</v>
      </c>
      <c r="AC112" s="206">
        <f t="shared" si="6"/>
        <v>0</v>
      </c>
      <c r="AD112" s="19"/>
      <c r="AE112" s="19"/>
      <c r="AF112" s="19"/>
      <c r="AG112" s="19"/>
    </row>
    <row r="113" spans="1:33" hidden="1" outlineLevel="3" x14ac:dyDescent="0.2">
      <c r="A113" s="19"/>
      <c r="B113" s="19"/>
      <c r="C113" s="506">
        <f t="shared" si="8"/>
        <v>0</v>
      </c>
      <c r="D113" s="505">
        <f t="shared" si="8"/>
        <v>0</v>
      </c>
      <c r="E113" s="505">
        <f t="shared" si="8"/>
        <v>0</v>
      </c>
      <c r="F113" s="505">
        <f t="shared" si="8"/>
        <v>0</v>
      </c>
      <c r="G113" s="505">
        <f t="shared" si="8"/>
        <v>0</v>
      </c>
      <c r="H113" s="58"/>
      <c r="I113" s="198">
        <f>IF(Qty!$J35=0,Qty!M35,Qty!M35*Qty!$J35)*'Prop. prices'!I113*I$7</f>
        <v>0</v>
      </c>
      <c r="J113" s="198">
        <f>IF(Qty!$J35=0,Qty!N35,Qty!N35*Qty!$J35)*'Prop. prices'!J113*J$7</f>
        <v>0</v>
      </c>
      <c r="K113" s="198">
        <f>IF(Qty!$J35=0,Qty!O35,Qty!O35*Qty!$J35)*'Prop. prices'!K113*K$7</f>
        <v>0</v>
      </c>
      <c r="L113" s="198">
        <f>IF(Qty!$J35=0,Qty!P35,Qty!P35*Qty!$J35)*'Prop. prices'!L113*L$7</f>
        <v>0</v>
      </c>
      <c r="M113" s="198">
        <f>IF(Qty!$J35=0,Qty!Q35,Qty!Q35*Qty!$J35)*'Prop. prices'!M113*M$7</f>
        <v>0</v>
      </c>
      <c r="N113" s="198">
        <f>IF(Qty!$J35=0,Qty!R35,Qty!R35*Qty!$J35)*'Prop. prices'!N113*N$7</f>
        <v>0</v>
      </c>
      <c r="O113" s="198">
        <f>IF(Qty!$J35=0,Qty!S35,Qty!S35*Qty!$J35)*'Prop. prices'!O113*O$7</f>
        <v>0</v>
      </c>
      <c r="P113" s="198">
        <f>IF(Qty!$J35=0,Qty!T35,Qty!T35*Qty!$J35)*'Prop. prices'!P113*P$7</f>
        <v>0</v>
      </c>
      <c r="Q113" s="198">
        <f>IF(Qty!$J35=0,Qty!U35,Qty!U35*Qty!$J35)*'Prop. prices'!Q113*Q$7</f>
        <v>0</v>
      </c>
      <c r="R113" s="198">
        <f>IF(Qty!$J35=0,Qty!V35,Qty!V35*Qty!$J35)*'Prop. prices'!R113*R$7</f>
        <v>0</v>
      </c>
      <c r="S113" s="198">
        <f>IF(Qty!$J35=0,Qty!W35,Qty!W35*Qty!$J35)*'Prop. prices'!S113*S$7</f>
        <v>0</v>
      </c>
      <c r="T113" s="198">
        <f>IF(Qty!$J35=0,Qty!X35,Qty!X35*Qty!$J35)*'Prop. prices'!T113*T$7</f>
        <v>0</v>
      </c>
      <c r="U113" s="198">
        <f>IF(Qty!$J35=0,Qty!Y35,Qty!Y35*Qty!$J35)*'Prop. prices'!U113*U$7</f>
        <v>0</v>
      </c>
      <c r="V113" s="198">
        <f>IF(Qty!$J35=0,Qty!Z35,Qty!Z35*Qty!$J35)*'Prop. prices'!V113*V$7</f>
        <v>0</v>
      </c>
      <c r="W113" s="198">
        <f>IF(Qty!$J35=0,Qty!AA35,Qty!AA35*Qty!$J35)*'Prop. prices'!W113*W$7</f>
        <v>0</v>
      </c>
      <c r="X113" s="198">
        <f>IF(Qty!$J35=0,Qty!AB35,Qty!AB35*Qty!$J35)*'Prop. prices'!X113*X$7</f>
        <v>0</v>
      </c>
      <c r="Y113" s="198">
        <f>IF(Qty!$J35=0,Qty!AC35,Qty!AC35*Qty!$J35)*'Prop. prices'!Y113*Y$7</f>
        <v>0</v>
      </c>
      <c r="Z113" s="198">
        <f>IF(Qty!$J35=0,Qty!AD35,Qty!AD35*Qty!$J35)*'Prop. prices'!Z113*Z$7</f>
        <v>0</v>
      </c>
      <c r="AA113" s="198">
        <f>IF(Qty!$J35=0,Qty!AE35,Qty!AE35*Qty!$J35)*'Prop. prices'!AA113*AA$7</f>
        <v>0</v>
      </c>
      <c r="AB113" s="198">
        <f>IF(Qty!$J35=0,Qty!AF35,Qty!AF35*Qty!$J35)*'Prop. prices'!AB113*AB$7</f>
        <v>0</v>
      </c>
      <c r="AC113" s="206">
        <f t="shared" si="6"/>
        <v>0</v>
      </c>
      <c r="AD113" s="19"/>
      <c r="AE113" s="19"/>
      <c r="AF113" s="19"/>
      <c r="AG113" s="19"/>
    </row>
    <row r="114" spans="1:33" hidden="1" outlineLevel="3" x14ac:dyDescent="0.2">
      <c r="A114" s="19"/>
      <c r="B114" s="19"/>
      <c r="C114" s="506">
        <f t="shared" si="8"/>
        <v>0</v>
      </c>
      <c r="D114" s="505">
        <f t="shared" si="8"/>
        <v>0</v>
      </c>
      <c r="E114" s="505">
        <f t="shared" si="8"/>
        <v>0</v>
      </c>
      <c r="F114" s="505">
        <f t="shared" si="8"/>
        <v>0</v>
      </c>
      <c r="G114" s="505">
        <f t="shared" si="8"/>
        <v>0</v>
      </c>
      <c r="H114" s="58"/>
      <c r="I114" s="198">
        <f>IF(Qty!$J36=0,Qty!M36,Qty!M36*Qty!$J36)*'Prop. prices'!I114*I$7</f>
        <v>0</v>
      </c>
      <c r="J114" s="198">
        <f>IF(Qty!$J36=0,Qty!N36,Qty!N36*Qty!$J36)*'Prop. prices'!J114*J$7</f>
        <v>0</v>
      </c>
      <c r="K114" s="198">
        <f>IF(Qty!$J36=0,Qty!O36,Qty!O36*Qty!$J36)*'Prop. prices'!K114*K$7</f>
        <v>0</v>
      </c>
      <c r="L114" s="198">
        <f>IF(Qty!$J36=0,Qty!P36,Qty!P36*Qty!$J36)*'Prop. prices'!L114*L$7</f>
        <v>0</v>
      </c>
      <c r="M114" s="198">
        <f>IF(Qty!$J36=0,Qty!Q36,Qty!Q36*Qty!$J36)*'Prop. prices'!M114*M$7</f>
        <v>0</v>
      </c>
      <c r="N114" s="198">
        <f>IF(Qty!$J36=0,Qty!R36,Qty!R36*Qty!$J36)*'Prop. prices'!N114*N$7</f>
        <v>0</v>
      </c>
      <c r="O114" s="198">
        <f>IF(Qty!$J36=0,Qty!S36,Qty!S36*Qty!$J36)*'Prop. prices'!O114*O$7</f>
        <v>0</v>
      </c>
      <c r="P114" s="198">
        <f>IF(Qty!$J36=0,Qty!T36,Qty!T36*Qty!$J36)*'Prop. prices'!P114*P$7</f>
        <v>0</v>
      </c>
      <c r="Q114" s="198">
        <f>IF(Qty!$J36=0,Qty!U36,Qty!U36*Qty!$J36)*'Prop. prices'!Q114*Q$7</f>
        <v>0</v>
      </c>
      <c r="R114" s="198">
        <f>IF(Qty!$J36=0,Qty!V36,Qty!V36*Qty!$J36)*'Prop. prices'!R114*R$7</f>
        <v>0</v>
      </c>
      <c r="S114" s="198">
        <f>IF(Qty!$J36=0,Qty!W36,Qty!W36*Qty!$J36)*'Prop. prices'!S114*S$7</f>
        <v>0</v>
      </c>
      <c r="T114" s="198">
        <f>IF(Qty!$J36=0,Qty!X36,Qty!X36*Qty!$J36)*'Prop. prices'!T114*T$7</f>
        <v>0</v>
      </c>
      <c r="U114" s="198">
        <f>IF(Qty!$J36=0,Qty!Y36,Qty!Y36*Qty!$J36)*'Prop. prices'!U114*U$7</f>
        <v>0</v>
      </c>
      <c r="V114" s="198">
        <f>IF(Qty!$J36=0,Qty!Z36,Qty!Z36*Qty!$J36)*'Prop. prices'!V114*V$7</f>
        <v>0</v>
      </c>
      <c r="W114" s="198">
        <f>IF(Qty!$J36=0,Qty!AA36,Qty!AA36*Qty!$J36)*'Prop. prices'!W114*W$7</f>
        <v>0</v>
      </c>
      <c r="X114" s="198">
        <f>IF(Qty!$J36=0,Qty!AB36,Qty!AB36*Qty!$J36)*'Prop. prices'!X114*X$7</f>
        <v>0</v>
      </c>
      <c r="Y114" s="198">
        <f>IF(Qty!$J36=0,Qty!AC36,Qty!AC36*Qty!$J36)*'Prop. prices'!Y114*Y$7</f>
        <v>0</v>
      </c>
      <c r="Z114" s="198">
        <f>IF(Qty!$J36=0,Qty!AD36,Qty!AD36*Qty!$J36)*'Prop. prices'!Z114*Z$7</f>
        <v>0</v>
      </c>
      <c r="AA114" s="198">
        <f>IF(Qty!$J36=0,Qty!AE36,Qty!AE36*Qty!$J36)*'Prop. prices'!AA114*AA$7</f>
        <v>0</v>
      </c>
      <c r="AB114" s="198">
        <f>IF(Qty!$J36=0,Qty!AF36,Qty!AF36*Qty!$J36)*'Prop. prices'!AB114*AB$7</f>
        <v>0</v>
      </c>
      <c r="AC114" s="206">
        <f t="shared" si="6"/>
        <v>0</v>
      </c>
      <c r="AD114" s="19"/>
      <c r="AE114" s="19"/>
      <c r="AF114" s="19"/>
      <c r="AG114" s="19"/>
    </row>
    <row r="115" spans="1:33" hidden="1" outlineLevel="3" x14ac:dyDescent="0.2">
      <c r="A115" s="19"/>
      <c r="B115" s="19"/>
      <c r="C115" s="506">
        <f t="shared" si="8"/>
        <v>0</v>
      </c>
      <c r="D115" s="505">
        <f t="shared" si="8"/>
        <v>0</v>
      </c>
      <c r="E115" s="505">
        <f t="shared" si="8"/>
        <v>0</v>
      </c>
      <c r="F115" s="505">
        <f t="shared" si="8"/>
        <v>0</v>
      </c>
      <c r="G115" s="505">
        <f t="shared" si="8"/>
        <v>0</v>
      </c>
      <c r="H115" s="58"/>
      <c r="I115" s="198">
        <f>IF(Qty!$J37=0,Qty!M37,Qty!M37*Qty!$J37)*'Prop. prices'!I115*I$7</f>
        <v>0</v>
      </c>
      <c r="J115" s="198">
        <f>IF(Qty!$J37=0,Qty!N37,Qty!N37*Qty!$J37)*'Prop. prices'!J115*J$7</f>
        <v>0</v>
      </c>
      <c r="K115" s="198">
        <f>IF(Qty!$J37=0,Qty!O37,Qty!O37*Qty!$J37)*'Prop. prices'!K115*K$7</f>
        <v>0</v>
      </c>
      <c r="L115" s="198">
        <f>IF(Qty!$J37=0,Qty!P37,Qty!P37*Qty!$J37)*'Prop. prices'!L115*L$7</f>
        <v>0</v>
      </c>
      <c r="M115" s="198">
        <f>IF(Qty!$J37=0,Qty!Q37,Qty!Q37*Qty!$J37)*'Prop. prices'!M115*M$7</f>
        <v>0</v>
      </c>
      <c r="N115" s="198">
        <f>IF(Qty!$J37=0,Qty!R37,Qty!R37*Qty!$J37)*'Prop. prices'!N115*N$7</f>
        <v>0</v>
      </c>
      <c r="O115" s="198">
        <f>IF(Qty!$J37=0,Qty!S37,Qty!S37*Qty!$J37)*'Prop. prices'!O115*O$7</f>
        <v>0</v>
      </c>
      <c r="P115" s="198">
        <f>IF(Qty!$J37=0,Qty!T37,Qty!T37*Qty!$J37)*'Prop. prices'!P115*P$7</f>
        <v>0</v>
      </c>
      <c r="Q115" s="198">
        <f>IF(Qty!$J37=0,Qty!U37,Qty!U37*Qty!$J37)*'Prop. prices'!Q115*Q$7</f>
        <v>0</v>
      </c>
      <c r="R115" s="198">
        <f>IF(Qty!$J37=0,Qty!V37,Qty!V37*Qty!$J37)*'Prop. prices'!R115*R$7</f>
        <v>0</v>
      </c>
      <c r="S115" s="198">
        <f>IF(Qty!$J37=0,Qty!W37,Qty!W37*Qty!$J37)*'Prop. prices'!S115*S$7</f>
        <v>0</v>
      </c>
      <c r="T115" s="198">
        <f>IF(Qty!$J37=0,Qty!X37,Qty!X37*Qty!$J37)*'Prop. prices'!T115*T$7</f>
        <v>0</v>
      </c>
      <c r="U115" s="198">
        <f>IF(Qty!$J37=0,Qty!Y37,Qty!Y37*Qty!$J37)*'Prop. prices'!U115*U$7</f>
        <v>0</v>
      </c>
      <c r="V115" s="198">
        <f>IF(Qty!$J37=0,Qty!Z37,Qty!Z37*Qty!$J37)*'Prop. prices'!V115*V$7</f>
        <v>0</v>
      </c>
      <c r="W115" s="198">
        <f>IF(Qty!$J37=0,Qty!AA37,Qty!AA37*Qty!$J37)*'Prop. prices'!W115*W$7</f>
        <v>0</v>
      </c>
      <c r="X115" s="198">
        <f>IF(Qty!$J37=0,Qty!AB37,Qty!AB37*Qty!$J37)*'Prop. prices'!X115*X$7</f>
        <v>0</v>
      </c>
      <c r="Y115" s="198">
        <f>IF(Qty!$J37=0,Qty!AC37,Qty!AC37*Qty!$J37)*'Prop. prices'!Y115*Y$7</f>
        <v>0</v>
      </c>
      <c r="Z115" s="198">
        <f>IF(Qty!$J37=0,Qty!AD37,Qty!AD37*Qty!$J37)*'Prop. prices'!Z115*Z$7</f>
        <v>0</v>
      </c>
      <c r="AA115" s="198">
        <f>IF(Qty!$J37=0,Qty!AE37,Qty!AE37*Qty!$J37)*'Prop. prices'!AA115*AA$7</f>
        <v>0</v>
      </c>
      <c r="AB115" s="198">
        <f>IF(Qty!$J37=0,Qty!AF37,Qty!AF37*Qty!$J37)*'Prop. prices'!AB115*AB$7</f>
        <v>0</v>
      </c>
      <c r="AC115" s="206">
        <f t="shared" si="6"/>
        <v>0</v>
      </c>
      <c r="AD115" s="19"/>
      <c r="AE115" s="19"/>
      <c r="AF115" s="19"/>
      <c r="AG115" s="19"/>
    </row>
    <row r="116" spans="1:33" hidden="1" outlineLevel="3" x14ac:dyDescent="0.2">
      <c r="A116" s="19"/>
      <c r="B116" s="19"/>
      <c r="C116" s="506">
        <f t="shared" ref="C116:G125" si="9">C38</f>
        <v>0</v>
      </c>
      <c r="D116" s="505">
        <f t="shared" si="9"/>
        <v>0</v>
      </c>
      <c r="E116" s="505">
        <f t="shared" si="9"/>
        <v>0</v>
      </c>
      <c r="F116" s="505">
        <f t="shared" si="9"/>
        <v>0</v>
      </c>
      <c r="G116" s="505">
        <f t="shared" si="9"/>
        <v>0</v>
      </c>
      <c r="H116" s="58"/>
      <c r="I116" s="198">
        <f>IF(Qty!$J38=0,Qty!M38,Qty!M38*Qty!$J38)*'Prop. prices'!I116*I$7</f>
        <v>0</v>
      </c>
      <c r="J116" s="198">
        <f>IF(Qty!$J38=0,Qty!N38,Qty!N38*Qty!$J38)*'Prop. prices'!J116*J$7</f>
        <v>0</v>
      </c>
      <c r="K116" s="198">
        <f>IF(Qty!$J38=0,Qty!O38,Qty!O38*Qty!$J38)*'Prop. prices'!K116*K$7</f>
        <v>0</v>
      </c>
      <c r="L116" s="198">
        <f>IF(Qty!$J38=0,Qty!P38,Qty!P38*Qty!$J38)*'Prop. prices'!L116*L$7</f>
        <v>0</v>
      </c>
      <c r="M116" s="198">
        <f>IF(Qty!$J38=0,Qty!Q38,Qty!Q38*Qty!$J38)*'Prop. prices'!M116*M$7</f>
        <v>0</v>
      </c>
      <c r="N116" s="198">
        <f>IF(Qty!$J38=0,Qty!R38,Qty!R38*Qty!$J38)*'Prop. prices'!N116*N$7</f>
        <v>0</v>
      </c>
      <c r="O116" s="198">
        <f>IF(Qty!$J38=0,Qty!S38,Qty!S38*Qty!$J38)*'Prop. prices'!O116*O$7</f>
        <v>0</v>
      </c>
      <c r="P116" s="198">
        <f>IF(Qty!$J38=0,Qty!T38,Qty!T38*Qty!$J38)*'Prop. prices'!P116*P$7</f>
        <v>0</v>
      </c>
      <c r="Q116" s="198">
        <f>IF(Qty!$J38=0,Qty!U38,Qty!U38*Qty!$J38)*'Prop. prices'!Q116*Q$7</f>
        <v>0</v>
      </c>
      <c r="R116" s="198">
        <f>IF(Qty!$J38=0,Qty!V38,Qty!V38*Qty!$J38)*'Prop. prices'!R116*R$7</f>
        <v>0</v>
      </c>
      <c r="S116" s="198">
        <f>IF(Qty!$J38=0,Qty!W38,Qty!W38*Qty!$J38)*'Prop. prices'!S116*S$7</f>
        <v>0</v>
      </c>
      <c r="T116" s="198">
        <f>IF(Qty!$J38=0,Qty!X38,Qty!X38*Qty!$J38)*'Prop. prices'!T116*T$7</f>
        <v>0</v>
      </c>
      <c r="U116" s="198">
        <f>IF(Qty!$J38=0,Qty!Y38,Qty!Y38*Qty!$J38)*'Prop. prices'!U116*U$7</f>
        <v>0</v>
      </c>
      <c r="V116" s="198">
        <f>IF(Qty!$J38=0,Qty!Z38,Qty!Z38*Qty!$J38)*'Prop. prices'!V116*V$7</f>
        <v>0</v>
      </c>
      <c r="W116" s="198">
        <f>IF(Qty!$J38=0,Qty!AA38,Qty!AA38*Qty!$J38)*'Prop. prices'!W116*W$7</f>
        <v>0</v>
      </c>
      <c r="X116" s="198">
        <f>IF(Qty!$J38=0,Qty!AB38,Qty!AB38*Qty!$J38)*'Prop. prices'!X116*X$7</f>
        <v>0</v>
      </c>
      <c r="Y116" s="198">
        <f>IF(Qty!$J38=0,Qty!AC38,Qty!AC38*Qty!$J38)*'Prop. prices'!Y116*Y$7</f>
        <v>0</v>
      </c>
      <c r="Z116" s="198">
        <f>IF(Qty!$J38=0,Qty!AD38,Qty!AD38*Qty!$J38)*'Prop. prices'!Z116*Z$7</f>
        <v>0</v>
      </c>
      <c r="AA116" s="198">
        <f>IF(Qty!$J38=0,Qty!AE38,Qty!AE38*Qty!$J38)*'Prop. prices'!AA116*AA$7</f>
        <v>0</v>
      </c>
      <c r="AB116" s="198">
        <f>IF(Qty!$J38=0,Qty!AF38,Qty!AF38*Qty!$J38)*'Prop. prices'!AB116*AB$7</f>
        <v>0</v>
      </c>
      <c r="AC116" s="206">
        <f t="shared" si="6"/>
        <v>0</v>
      </c>
      <c r="AD116" s="19"/>
      <c r="AE116" s="19"/>
      <c r="AF116" s="19"/>
      <c r="AG116" s="19"/>
    </row>
    <row r="117" spans="1:33" hidden="1" outlineLevel="3" x14ac:dyDescent="0.2">
      <c r="A117" s="19"/>
      <c r="B117" s="19"/>
      <c r="C117" s="506">
        <f t="shared" si="9"/>
        <v>0</v>
      </c>
      <c r="D117" s="505">
        <f t="shared" si="9"/>
        <v>0</v>
      </c>
      <c r="E117" s="505">
        <f t="shared" si="9"/>
        <v>0</v>
      </c>
      <c r="F117" s="505">
        <f t="shared" si="9"/>
        <v>0</v>
      </c>
      <c r="G117" s="505">
        <f t="shared" si="9"/>
        <v>0</v>
      </c>
      <c r="H117" s="58"/>
      <c r="I117" s="198">
        <f>IF(Qty!$J39=0,Qty!M39,Qty!M39*Qty!$J39)*'Prop. prices'!I117*I$7</f>
        <v>0</v>
      </c>
      <c r="J117" s="198">
        <f>IF(Qty!$J39=0,Qty!N39,Qty!N39*Qty!$J39)*'Prop. prices'!J117*J$7</f>
        <v>0</v>
      </c>
      <c r="K117" s="198">
        <f>IF(Qty!$J39=0,Qty!O39,Qty!O39*Qty!$J39)*'Prop. prices'!K117*K$7</f>
        <v>0</v>
      </c>
      <c r="L117" s="198">
        <f>IF(Qty!$J39=0,Qty!P39,Qty!P39*Qty!$J39)*'Prop. prices'!L117*L$7</f>
        <v>0</v>
      </c>
      <c r="M117" s="198">
        <f>IF(Qty!$J39=0,Qty!Q39,Qty!Q39*Qty!$J39)*'Prop. prices'!M117*M$7</f>
        <v>0</v>
      </c>
      <c r="N117" s="198">
        <f>IF(Qty!$J39=0,Qty!R39,Qty!R39*Qty!$J39)*'Prop. prices'!N117*N$7</f>
        <v>0</v>
      </c>
      <c r="O117" s="198">
        <f>IF(Qty!$J39=0,Qty!S39,Qty!S39*Qty!$J39)*'Prop. prices'!O117*O$7</f>
        <v>0</v>
      </c>
      <c r="P117" s="198">
        <f>IF(Qty!$J39=0,Qty!T39,Qty!T39*Qty!$J39)*'Prop. prices'!P117*P$7</f>
        <v>0</v>
      </c>
      <c r="Q117" s="198">
        <f>IF(Qty!$J39=0,Qty!U39,Qty!U39*Qty!$J39)*'Prop. prices'!Q117*Q$7</f>
        <v>0</v>
      </c>
      <c r="R117" s="198">
        <f>IF(Qty!$J39=0,Qty!V39,Qty!V39*Qty!$J39)*'Prop. prices'!R117*R$7</f>
        <v>0</v>
      </c>
      <c r="S117" s="198">
        <f>IF(Qty!$J39=0,Qty!W39,Qty!W39*Qty!$J39)*'Prop. prices'!S117*S$7</f>
        <v>0</v>
      </c>
      <c r="T117" s="198">
        <f>IF(Qty!$J39=0,Qty!X39,Qty!X39*Qty!$J39)*'Prop. prices'!T117*T$7</f>
        <v>0</v>
      </c>
      <c r="U117" s="198">
        <f>IF(Qty!$J39=0,Qty!Y39,Qty!Y39*Qty!$J39)*'Prop. prices'!U117*U$7</f>
        <v>0</v>
      </c>
      <c r="V117" s="198">
        <f>IF(Qty!$J39=0,Qty!Z39,Qty!Z39*Qty!$J39)*'Prop. prices'!V117*V$7</f>
        <v>0</v>
      </c>
      <c r="W117" s="198">
        <f>IF(Qty!$J39=0,Qty!AA39,Qty!AA39*Qty!$J39)*'Prop. prices'!W117*W$7</f>
        <v>0</v>
      </c>
      <c r="X117" s="198">
        <f>IF(Qty!$J39=0,Qty!AB39,Qty!AB39*Qty!$J39)*'Prop. prices'!X117*X$7</f>
        <v>0</v>
      </c>
      <c r="Y117" s="198">
        <f>IF(Qty!$J39=0,Qty!AC39,Qty!AC39*Qty!$J39)*'Prop. prices'!Y117*Y$7</f>
        <v>0</v>
      </c>
      <c r="Z117" s="198">
        <f>IF(Qty!$J39=0,Qty!AD39,Qty!AD39*Qty!$J39)*'Prop. prices'!Z117*Z$7</f>
        <v>0</v>
      </c>
      <c r="AA117" s="198">
        <f>IF(Qty!$J39=0,Qty!AE39,Qty!AE39*Qty!$J39)*'Prop. prices'!AA117*AA$7</f>
        <v>0</v>
      </c>
      <c r="AB117" s="198">
        <f>IF(Qty!$J39=0,Qty!AF39,Qty!AF39*Qty!$J39)*'Prop. prices'!AB117*AB$7</f>
        <v>0</v>
      </c>
      <c r="AC117" s="206">
        <f t="shared" si="6"/>
        <v>0</v>
      </c>
      <c r="AD117" s="19"/>
      <c r="AE117" s="19"/>
      <c r="AF117" s="19"/>
      <c r="AG117" s="19"/>
    </row>
    <row r="118" spans="1:33" hidden="1" outlineLevel="3" x14ac:dyDescent="0.2">
      <c r="A118" s="19"/>
      <c r="B118" s="19"/>
      <c r="C118" s="506">
        <f t="shared" si="9"/>
        <v>0</v>
      </c>
      <c r="D118" s="505">
        <f t="shared" si="9"/>
        <v>0</v>
      </c>
      <c r="E118" s="505">
        <f t="shared" si="9"/>
        <v>0</v>
      </c>
      <c r="F118" s="505">
        <f t="shared" si="9"/>
        <v>0</v>
      </c>
      <c r="G118" s="505">
        <f t="shared" si="9"/>
        <v>0</v>
      </c>
      <c r="H118" s="58"/>
      <c r="I118" s="198">
        <f>IF(Qty!$J40=0,Qty!M40,Qty!M40*Qty!$J40)*'Prop. prices'!I118*I$7</f>
        <v>0</v>
      </c>
      <c r="J118" s="198">
        <f>IF(Qty!$J40=0,Qty!N40,Qty!N40*Qty!$J40)*'Prop. prices'!J118*J$7</f>
        <v>0</v>
      </c>
      <c r="K118" s="198">
        <f>IF(Qty!$J40=0,Qty!O40,Qty!O40*Qty!$J40)*'Prop. prices'!K118*K$7</f>
        <v>0</v>
      </c>
      <c r="L118" s="198">
        <f>IF(Qty!$J40=0,Qty!P40,Qty!P40*Qty!$J40)*'Prop. prices'!L118*L$7</f>
        <v>0</v>
      </c>
      <c r="M118" s="198">
        <f>IF(Qty!$J40=0,Qty!Q40,Qty!Q40*Qty!$J40)*'Prop. prices'!M118*M$7</f>
        <v>0</v>
      </c>
      <c r="N118" s="198">
        <f>IF(Qty!$J40=0,Qty!R40,Qty!R40*Qty!$J40)*'Prop. prices'!N118*N$7</f>
        <v>0</v>
      </c>
      <c r="O118" s="198">
        <f>IF(Qty!$J40=0,Qty!S40,Qty!S40*Qty!$J40)*'Prop. prices'!O118*O$7</f>
        <v>0</v>
      </c>
      <c r="P118" s="198">
        <f>IF(Qty!$J40=0,Qty!T40,Qty!T40*Qty!$J40)*'Prop. prices'!P118*P$7</f>
        <v>0</v>
      </c>
      <c r="Q118" s="198">
        <f>IF(Qty!$J40=0,Qty!U40,Qty!U40*Qty!$J40)*'Prop. prices'!Q118*Q$7</f>
        <v>0</v>
      </c>
      <c r="R118" s="198">
        <f>IF(Qty!$J40=0,Qty!V40,Qty!V40*Qty!$J40)*'Prop. prices'!R118*R$7</f>
        <v>0</v>
      </c>
      <c r="S118" s="198">
        <f>IF(Qty!$J40=0,Qty!W40,Qty!W40*Qty!$J40)*'Prop. prices'!S118*S$7</f>
        <v>0</v>
      </c>
      <c r="T118" s="198">
        <f>IF(Qty!$J40=0,Qty!X40,Qty!X40*Qty!$J40)*'Prop. prices'!T118*T$7</f>
        <v>0</v>
      </c>
      <c r="U118" s="198">
        <f>IF(Qty!$J40=0,Qty!Y40,Qty!Y40*Qty!$J40)*'Prop. prices'!U118*U$7</f>
        <v>0</v>
      </c>
      <c r="V118" s="198">
        <f>IF(Qty!$J40=0,Qty!Z40,Qty!Z40*Qty!$J40)*'Prop. prices'!V118*V$7</f>
        <v>0</v>
      </c>
      <c r="W118" s="198">
        <f>IF(Qty!$J40=0,Qty!AA40,Qty!AA40*Qty!$J40)*'Prop. prices'!W118*W$7</f>
        <v>0</v>
      </c>
      <c r="X118" s="198">
        <f>IF(Qty!$J40=0,Qty!AB40,Qty!AB40*Qty!$J40)*'Prop. prices'!X118*X$7</f>
        <v>0</v>
      </c>
      <c r="Y118" s="198">
        <f>IF(Qty!$J40=0,Qty!AC40,Qty!AC40*Qty!$J40)*'Prop. prices'!Y118*Y$7</f>
        <v>0</v>
      </c>
      <c r="Z118" s="198">
        <f>IF(Qty!$J40=0,Qty!AD40,Qty!AD40*Qty!$J40)*'Prop. prices'!Z118*Z$7</f>
        <v>0</v>
      </c>
      <c r="AA118" s="198">
        <f>IF(Qty!$J40=0,Qty!AE40,Qty!AE40*Qty!$J40)*'Prop. prices'!AA118*AA$7</f>
        <v>0</v>
      </c>
      <c r="AB118" s="198">
        <f>IF(Qty!$J40=0,Qty!AF40,Qty!AF40*Qty!$J40)*'Prop. prices'!AB118*AB$7</f>
        <v>0</v>
      </c>
      <c r="AC118" s="206">
        <f t="shared" ref="AC118:AC149" si="10">SUM(I118:AB118)</f>
        <v>0</v>
      </c>
      <c r="AD118" s="19"/>
      <c r="AE118" s="19"/>
      <c r="AF118" s="19"/>
      <c r="AG118" s="19"/>
    </row>
    <row r="119" spans="1:33" hidden="1" outlineLevel="3" x14ac:dyDescent="0.2">
      <c r="A119" s="19"/>
      <c r="B119" s="19"/>
      <c r="C119" s="506">
        <f t="shared" si="9"/>
        <v>0</v>
      </c>
      <c r="D119" s="505">
        <f t="shared" si="9"/>
        <v>0</v>
      </c>
      <c r="E119" s="505">
        <f t="shared" si="9"/>
        <v>0</v>
      </c>
      <c r="F119" s="505">
        <f t="shared" si="9"/>
        <v>0</v>
      </c>
      <c r="G119" s="505">
        <f t="shared" si="9"/>
        <v>0</v>
      </c>
      <c r="H119" s="58"/>
      <c r="I119" s="198">
        <f>IF(Qty!$J41=0,Qty!M41,Qty!M41*Qty!$J41)*'Prop. prices'!I119*I$7</f>
        <v>0</v>
      </c>
      <c r="J119" s="198">
        <f>IF(Qty!$J41=0,Qty!N41,Qty!N41*Qty!$J41)*'Prop. prices'!J119*J$7</f>
        <v>0</v>
      </c>
      <c r="K119" s="198">
        <f>IF(Qty!$J41=0,Qty!O41,Qty!O41*Qty!$J41)*'Prop. prices'!K119*K$7</f>
        <v>0</v>
      </c>
      <c r="L119" s="198">
        <f>IF(Qty!$J41=0,Qty!P41,Qty!P41*Qty!$J41)*'Prop. prices'!L119*L$7</f>
        <v>0</v>
      </c>
      <c r="M119" s="198">
        <f>IF(Qty!$J41=0,Qty!Q41,Qty!Q41*Qty!$J41)*'Prop. prices'!M119*M$7</f>
        <v>0</v>
      </c>
      <c r="N119" s="198">
        <f>IF(Qty!$J41=0,Qty!R41,Qty!R41*Qty!$J41)*'Prop. prices'!N119*N$7</f>
        <v>0</v>
      </c>
      <c r="O119" s="198">
        <f>IF(Qty!$J41=0,Qty!S41,Qty!S41*Qty!$J41)*'Prop. prices'!O119*O$7</f>
        <v>0</v>
      </c>
      <c r="P119" s="198">
        <f>IF(Qty!$J41=0,Qty!T41,Qty!T41*Qty!$J41)*'Prop. prices'!P119*P$7</f>
        <v>0</v>
      </c>
      <c r="Q119" s="198">
        <f>IF(Qty!$J41=0,Qty!U41,Qty!U41*Qty!$J41)*'Prop. prices'!Q119*Q$7</f>
        <v>0</v>
      </c>
      <c r="R119" s="198">
        <f>IF(Qty!$J41=0,Qty!V41,Qty!V41*Qty!$J41)*'Prop. prices'!R119*R$7</f>
        <v>0</v>
      </c>
      <c r="S119" s="198">
        <f>IF(Qty!$J41=0,Qty!W41,Qty!W41*Qty!$J41)*'Prop. prices'!S119*S$7</f>
        <v>0</v>
      </c>
      <c r="T119" s="198">
        <f>IF(Qty!$J41=0,Qty!X41,Qty!X41*Qty!$J41)*'Prop. prices'!T119*T$7</f>
        <v>0</v>
      </c>
      <c r="U119" s="198">
        <f>IF(Qty!$J41=0,Qty!Y41,Qty!Y41*Qty!$J41)*'Prop. prices'!U119*U$7</f>
        <v>0</v>
      </c>
      <c r="V119" s="198">
        <f>IF(Qty!$J41=0,Qty!Z41,Qty!Z41*Qty!$J41)*'Prop. prices'!V119*V$7</f>
        <v>0</v>
      </c>
      <c r="W119" s="198">
        <f>IF(Qty!$J41=0,Qty!AA41,Qty!AA41*Qty!$J41)*'Prop. prices'!W119*W$7</f>
        <v>0</v>
      </c>
      <c r="X119" s="198">
        <f>IF(Qty!$J41=0,Qty!AB41,Qty!AB41*Qty!$J41)*'Prop. prices'!X119*X$7</f>
        <v>0</v>
      </c>
      <c r="Y119" s="198">
        <f>IF(Qty!$J41=0,Qty!AC41,Qty!AC41*Qty!$J41)*'Prop. prices'!Y119*Y$7</f>
        <v>0</v>
      </c>
      <c r="Z119" s="198">
        <f>IF(Qty!$J41=0,Qty!AD41,Qty!AD41*Qty!$J41)*'Prop. prices'!Z119*Z$7</f>
        <v>0</v>
      </c>
      <c r="AA119" s="198">
        <f>IF(Qty!$J41=0,Qty!AE41,Qty!AE41*Qty!$J41)*'Prop. prices'!AA119*AA$7</f>
        <v>0</v>
      </c>
      <c r="AB119" s="198">
        <f>IF(Qty!$J41=0,Qty!AF41,Qty!AF41*Qty!$J41)*'Prop. prices'!AB119*AB$7</f>
        <v>0</v>
      </c>
      <c r="AC119" s="206">
        <f t="shared" si="10"/>
        <v>0</v>
      </c>
      <c r="AD119" s="19"/>
      <c r="AE119" s="19"/>
      <c r="AF119" s="19"/>
      <c r="AG119" s="19"/>
    </row>
    <row r="120" spans="1:33" hidden="1" outlineLevel="3" x14ac:dyDescent="0.2">
      <c r="A120" s="19"/>
      <c r="B120" s="19"/>
      <c r="C120" s="506">
        <f t="shared" si="9"/>
        <v>0</v>
      </c>
      <c r="D120" s="505">
        <f t="shared" si="9"/>
        <v>0</v>
      </c>
      <c r="E120" s="505">
        <f t="shared" si="9"/>
        <v>0</v>
      </c>
      <c r="F120" s="505">
        <f t="shared" si="9"/>
        <v>0</v>
      </c>
      <c r="G120" s="505">
        <f t="shared" si="9"/>
        <v>0</v>
      </c>
      <c r="H120" s="58"/>
      <c r="I120" s="198">
        <f>IF(Qty!$J42=0,Qty!M42,Qty!M42*Qty!$J42)*'Prop. prices'!I120*I$7</f>
        <v>0</v>
      </c>
      <c r="J120" s="198">
        <f>IF(Qty!$J42=0,Qty!N42,Qty!N42*Qty!$J42)*'Prop. prices'!J120*J$7</f>
        <v>0</v>
      </c>
      <c r="K120" s="198">
        <f>IF(Qty!$J42=0,Qty!O42,Qty!O42*Qty!$J42)*'Prop. prices'!K120*K$7</f>
        <v>0</v>
      </c>
      <c r="L120" s="198">
        <f>IF(Qty!$J42=0,Qty!P42,Qty!P42*Qty!$J42)*'Prop. prices'!L120*L$7</f>
        <v>0</v>
      </c>
      <c r="M120" s="198">
        <f>IF(Qty!$J42=0,Qty!Q42,Qty!Q42*Qty!$J42)*'Prop. prices'!M120*M$7</f>
        <v>0</v>
      </c>
      <c r="N120" s="198">
        <f>IF(Qty!$J42=0,Qty!R42,Qty!R42*Qty!$J42)*'Prop. prices'!N120*N$7</f>
        <v>0</v>
      </c>
      <c r="O120" s="198">
        <f>IF(Qty!$J42=0,Qty!S42,Qty!S42*Qty!$J42)*'Prop. prices'!O120*O$7</f>
        <v>0</v>
      </c>
      <c r="P120" s="198">
        <f>IF(Qty!$J42=0,Qty!T42,Qty!T42*Qty!$J42)*'Prop. prices'!P120*P$7</f>
        <v>0</v>
      </c>
      <c r="Q120" s="198">
        <f>IF(Qty!$J42=0,Qty!U42,Qty!U42*Qty!$J42)*'Prop. prices'!Q120*Q$7</f>
        <v>0</v>
      </c>
      <c r="R120" s="198">
        <f>IF(Qty!$J42=0,Qty!V42,Qty!V42*Qty!$J42)*'Prop. prices'!R120*R$7</f>
        <v>0</v>
      </c>
      <c r="S120" s="198">
        <f>IF(Qty!$J42=0,Qty!W42,Qty!W42*Qty!$J42)*'Prop. prices'!S120*S$7</f>
        <v>0</v>
      </c>
      <c r="T120" s="198">
        <f>IF(Qty!$J42=0,Qty!X42,Qty!X42*Qty!$J42)*'Prop. prices'!T120*T$7</f>
        <v>0</v>
      </c>
      <c r="U120" s="198">
        <f>IF(Qty!$J42=0,Qty!Y42,Qty!Y42*Qty!$J42)*'Prop. prices'!U120*U$7</f>
        <v>0</v>
      </c>
      <c r="V120" s="198">
        <f>IF(Qty!$J42=0,Qty!Z42,Qty!Z42*Qty!$J42)*'Prop. prices'!V120*V$7</f>
        <v>0</v>
      </c>
      <c r="W120" s="198">
        <f>IF(Qty!$J42=0,Qty!AA42,Qty!AA42*Qty!$J42)*'Prop. prices'!W120*W$7</f>
        <v>0</v>
      </c>
      <c r="X120" s="198">
        <f>IF(Qty!$J42=0,Qty!AB42,Qty!AB42*Qty!$J42)*'Prop. prices'!X120*X$7</f>
        <v>0</v>
      </c>
      <c r="Y120" s="198">
        <f>IF(Qty!$J42=0,Qty!AC42,Qty!AC42*Qty!$J42)*'Prop. prices'!Y120*Y$7</f>
        <v>0</v>
      </c>
      <c r="Z120" s="198">
        <f>IF(Qty!$J42=0,Qty!AD42,Qty!AD42*Qty!$J42)*'Prop. prices'!Z120*Z$7</f>
        <v>0</v>
      </c>
      <c r="AA120" s="198">
        <f>IF(Qty!$J42=0,Qty!AE42,Qty!AE42*Qty!$J42)*'Prop. prices'!AA120*AA$7</f>
        <v>0</v>
      </c>
      <c r="AB120" s="198">
        <f>IF(Qty!$J42=0,Qty!AF42,Qty!AF42*Qty!$J42)*'Prop. prices'!AB120*AB$7</f>
        <v>0</v>
      </c>
      <c r="AC120" s="206">
        <f t="shared" si="10"/>
        <v>0</v>
      </c>
      <c r="AD120" s="19"/>
      <c r="AE120" s="19"/>
      <c r="AF120" s="19"/>
      <c r="AG120" s="19"/>
    </row>
    <row r="121" spans="1:33" hidden="1" outlineLevel="3" x14ac:dyDescent="0.2">
      <c r="A121" s="19"/>
      <c r="B121" s="19"/>
      <c r="C121" s="506">
        <f t="shared" si="9"/>
        <v>0</v>
      </c>
      <c r="D121" s="505">
        <f t="shared" si="9"/>
        <v>0</v>
      </c>
      <c r="E121" s="505">
        <f t="shared" si="9"/>
        <v>0</v>
      </c>
      <c r="F121" s="505">
        <f t="shared" si="9"/>
        <v>0</v>
      </c>
      <c r="G121" s="505">
        <f t="shared" si="9"/>
        <v>0</v>
      </c>
      <c r="H121" s="58"/>
      <c r="I121" s="198">
        <f>IF(Qty!$J43=0,Qty!M43,Qty!M43*Qty!$J43)*'Prop. prices'!I121*I$7</f>
        <v>0</v>
      </c>
      <c r="J121" s="198">
        <f>IF(Qty!$J43=0,Qty!N43,Qty!N43*Qty!$J43)*'Prop. prices'!J121*J$7</f>
        <v>0</v>
      </c>
      <c r="K121" s="198">
        <f>IF(Qty!$J43=0,Qty!O43,Qty!O43*Qty!$J43)*'Prop. prices'!K121*K$7</f>
        <v>0</v>
      </c>
      <c r="L121" s="198">
        <f>IF(Qty!$J43=0,Qty!P43,Qty!P43*Qty!$J43)*'Prop. prices'!L121*L$7</f>
        <v>0</v>
      </c>
      <c r="M121" s="198">
        <f>IF(Qty!$J43=0,Qty!Q43,Qty!Q43*Qty!$J43)*'Prop. prices'!M121*M$7</f>
        <v>0</v>
      </c>
      <c r="N121" s="198">
        <f>IF(Qty!$J43=0,Qty!R43,Qty!R43*Qty!$J43)*'Prop. prices'!N121*N$7</f>
        <v>0</v>
      </c>
      <c r="O121" s="198">
        <f>IF(Qty!$J43=0,Qty!S43,Qty!S43*Qty!$J43)*'Prop. prices'!O121*O$7</f>
        <v>0</v>
      </c>
      <c r="P121" s="198">
        <f>IF(Qty!$J43=0,Qty!T43,Qty!T43*Qty!$J43)*'Prop. prices'!P121*P$7</f>
        <v>0</v>
      </c>
      <c r="Q121" s="198">
        <f>IF(Qty!$J43=0,Qty!U43,Qty!U43*Qty!$J43)*'Prop. prices'!Q121*Q$7</f>
        <v>0</v>
      </c>
      <c r="R121" s="198">
        <f>IF(Qty!$J43=0,Qty!V43,Qty!V43*Qty!$J43)*'Prop. prices'!R121*R$7</f>
        <v>0</v>
      </c>
      <c r="S121" s="198">
        <f>IF(Qty!$J43=0,Qty!W43,Qty!W43*Qty!$J43)*'Prop. prices'!S121*S$7</f>
        <v>0</v>
      </c>
      <c r="T121" s="198">
        <f>IF(Qty!$J43=0,Qty!X43,Qty!X43*Qty!$J43)*'Prop. prices'!T121*T$7</f>
        <v>0</v>
      </c>
      <c r="U121" s="198">
        <f>IF(Qty!$J43=0,Qty!Y43,Qty!Y43*Qty!$J43)*'Prop. prices'!U121*U$7</f>
        <v>0</v>
      </c>
      <c r="V121" s="198">
        <f>IF(Qty!$J43=0,Qty!Z43,Qty!Z43*Qty!$J43)*'Prop. prices'!V121*V$7</f>
        <v>0</v>
      </c>
      <c r="W121" s="198">
        <f>IF(Qty!$J43=0,Qty!AA43,Qty!AA43*Qty!$J43)*'Prop. prices'!W121*W$7</f>
        <v>0</v>
      </c>
      <c r="X121" s="198">
        <f>IF(Qty!$J43=0,Qty!AB43,Qty!AB43*Qty!$J43)*'Prop. prices'!X121*X$7</f>
        <v>0</v>
      </c>
      <c r="Y121" s="198">
        <f>IF(Qty!$J43=0,Qty!AC43,Qty!AC43*Qty!$J43)*'Prop. prices'!Y121*Y$7</f>
        <v>0</v>
      </c>
      <c r="Z121" s="198">
        <f>IF(Qty!$J43=0,Qty!AD43,Qty!AD43*Qty!$J43)*'Prop. prices'!Z121*Z$7</f>
        <v>0</v>
      </c>
      <c r="AA121" s="198">
        <f>IF(Qty!$J43=0,Qty!AE43,Qty!AE43*Qty!$J43)*'Prop. prices'!AA121*AA$7</f>
        <v>0</v>
      </c>
      <c r="AB121" s="198">
        <f>IF(Qty!$J43=0,Qty!AF43,Qty!AF43*Qty!$J43)*'Prop. prices'!AB121*AB$7</f>
        <v>0</v>
      </c>
      <c r="AC121" s="206">
        <f t="shared" si="10"/>
        <v>0</v>
      </c>
      <c r="AD121" s="19"/>
      <c r="AE121" s="19"/>
      <c r="AF121" s="19"/>
      <c r="AG121" s="19"/>
    </row>
    <row r="122" spans="1:33" hidden="1" outlineLevel="3" x14ac:dyDescent="0.2">
      <c r="A122" s="19"/>
      <c r="B122" s="19"/>
      <c r="C122" s="506">
        <f t="shared" si="9"/>
        <v>0</v>
      </c>
      <c r="D122" s="505">
        <f t="shared" si="9"/>
        <v>0</v>
      </c>
      <c r="E122" s="505">
        <f t="shared" si="9"/>
        <v>0</v>
      </c>
      <c r="F122" s="505">
        <f t="shared" si="9"/>
        <v>0</v>
      </c>
      <c r="G122" s="505">
        <f t="shared" si="9"/>
        <v>0</v>
      </c>
      <c r="H122" s="58"/>
      <c r="I122" s="198">
        <f>IF(Qty!$J44=0,Qty!M44,Qty!M44*Qty!$J44)*'Prop. prices'!I122*I$7</f>
        <v>0</v>
      </c>
      <c r="J122" s="198">
        <f>IF(Qty!$J44=0,Qty!N44,Qty!N44*Qty!$J44)*'Prop. prices'!J122*J$7</f>
        <v>0</v>
      </c>
      <c r="K122" s="198">
        <f>IF(Qty!$J44=0,Qty!O44,Qty!O44*Qty!$J44)*'Prop. prices'!K122*K$7</f>
        <v>0</v>
      </c>
      <c r="L122" s="198">
        <f>IF(Qty!$J44=0,Qty!P44,Qty!P44*Qty!$J44)*'Prop. prices'!L122*L$7</f>
        <v>0</v>
      </c>
      <c r="M122" s="198">
        <f>IF(Qty!$J44=0,Qty!Q44,Qty!Q44*Qty!$J44)*'Prop. prices'!M122*M$7</f>
        <v>0</v>
      </c>
      <c r="N122" s="198">
        <f>IF(Qty!$J44=0,Qty!R44,Qty!R44*Qty!$J44)*'Prop. prices'!N122*N$7</f>
        <v>0</v>
      </c>
      <c r="O122" s="198">
        <f>IF(Qty!$J44=0,Qty!S44,Qty!S44*Qty!$J44)*'Prop. prices'!O122*O$7</f>
        <v>0</v>
      </c>
      <c r="P122" s="198">
        <f>IF(Qty!$J44=0,Qty!T44,Qty!T44*Qty!$J44)*'Prop. prices'!P122*P$7</f>
        <v>0</v>
      </c>
      <c r="Q122" s="198">
        <f>IF(Qty!$J44=0,Qty!U44,Qty!U44*Qty!$J44)*'Prop. prices'!Q122*Q$7</f>
        <v>0</v>
      </c>
      <c r="R122" s="198">
        <f>IF(Qty!$J44=0,Qty!V44,Qty!V44*Qty!$J44)*'Prop. prices'!R122*R$7</f>
        <v>0</v>
      </c>
      <c r="S122" s="198">
        <f>IF(Qty!$J44=0,Qty!W44,Qty!W44*Qty!$J44)*'Prop. prices'!S122*S$7</f>
        <v>0</v>
      </c>
      <c r="T122" s="198">
        <f>IF(Qty!$J44=0,Qty!X44,Qty!X44*Qty!$J44)*'Prop. prices'!T122*T$7</f>
        <v>0</v>
      </c>
      <c r="U122" s="198">
        <f>IF(Qty!$J44=0,Qty!Y44,Qty!Y44*Qty!$J44)*'Prop. prices'!U122*U$7</f>
        <v>0</v>
      </c>
      <c r="V122" s="198">
        <f>IF(Qty!$J44=0,Qty!Z44,Qty!Z44*Qty!$J44)*'Prop. prices'!V122*V$7</f>
        <v>0</v>
      </c>
      <c r="W122" s="198">
        <f>IF(Qty!$J44=0,Qty!AA44,Qty!AA44*Qty!$J44)*'Prop. prices'!W122*W$7</f>
        <v>0</v>
      </c>
      <c r="X122" s="198">
        <f>IF(Qty!$J44=0,Qty!AB44,Qty!AB44*Qty!$J44)*'Prop. prices'!X122*X$7</f>
        <v>0</v>
      </c>
      <c r="Y122" s="198">
        <f>IF(Qty!$J44=0,Qty!AC44,Qty!AC44*Qty!$J44)*'Prop. prices'!Y122*Y$7</f>
        <v>0</v>
      </c>
      <c r="Z122" s="198">
        <f>IF(Qty!$J44=0,Qty!AD44,Qty!AD44*Qty!$J44)*'Prop. prices'!Z122*Z$7</f>
        <v>0</v>
      </c>
      <c r="AA122" s="198">
        <f>IF(Qty!$J44=0,Qty!AE44,Qty!AE44*Qty!$J44)*'Prop. prices'!AA122*AA$7</f>
        <v>0</v>
      </c>
      <c r="AB122" s="198">
        <f>IF(Qty!$J44=0,Qty!AF44,Qty!AF44*Qty!$J44)*'Prop. prices'!AB122*AB$7</f>
        <v>0</v>
      </c>
      <c r="AC122" s="206">
        <f t="shared" si="10"/>
        <v>0</v>
      </c>
      <c r="AD122" s="19"/>
      <c r="AE122" s="19"/>
      <c r="AF122" s="19"/>
      <c r="AG122" s="19"/>
    </row>
    <row r="123" spans="1:33" hidden="1" outlineLevel="3" x14ac:dyDescent="0.2">
      <c r="A123" s="19"/>
      <c r="B123" s="19"/>
      <c r="C123" s="506">
        <f t="shared" si="9"/>
        <v>0</v>
      </c>
      <c r="D123" s="505">
        <f t="shared" si="9"/>
        <v>0</v>
      </c>
      <c r="E123" s="505">
        <f t="shared" si="9"/>
        <v>0</v>
      </c>
      <c r="F123" s="505">
        <f t="shared" si="9"/>
        <v>0</v>
      </c>
      <c r="G123" s="505">
        <f t="shared" si="9"/>
        <v>0</v>
      </c>
      <c r="H123" s="58"/>
      <c r="I123" s="198">
        <f>IF(Qty!$J45=0,Qty!M45,Qty!M45*Qty!$J45)*'Prop. prices'!I123*I$7</f>
        <v>0</v>
      </c>
      <c r="J123" s="198">
        <f>IF(Qty!$J45=0,Qty!N45,Qty!N45*Qty!$J45)*'Prop. prices'!J123*J$7</f>
        <v>0</v>
      </c>
      <c r="K123" s="198">
        <f>IF(Qty!$J45=0,Qty!O45,Qty!O45*Qty!$J45)*'Prop. prices'!K123*K$7</f>
        <v>0</v>
      </c>
      <c r="L123" s="198">
        <f>IF(Qty!$J45=0,Qty!P45,Qty!P45*Qty!$J45)*'Prop. prices'!L123*L$7</f>
        <v>0</v>
      </c>
      <c r="M123" s="198">
        <f>IF(Qty!$J45=0,Qty!Q45,Qty!Q45*Qty!$J45)*'Prop. prices'!M123*M$7</f>
        <v>0</v>
      </c>
      <c r="N123" s="198">
        <f>IF(Qty!$J45=0,Qty!R45,Qty!R45*Qty!$J45)*'Prop. prices'!N123*N$7</f>
        <v>0</v>
      </c>
      <c r="O123" s="198">
        <f>IF(Qty!$J45=0,Qty!S45,Qty!S45*Qty!$J45)*'Prop. prices'!O123*O$7</f>
        <v>0</v>
      </c>
      <c r="P123" s="198">
        <f>IF(Qty!$J45=0,Qty!T45,Qty!T45*Qty!$J45)*'Prop. prices'!P123*P$7</f>
        <v>0</v>
      </c>
      <c r="Q123" s="198">
        <f>IF(Qty!$J45=0,Qty!U45,Qty!U45*Qty!$J45)*'Prop. prices'!Q123*Q$7</f>
        <v>0</v>
      </c>
      <c r="R123" s="198">
        <f>IF(Qty!$J45=0,Qty!V45,Qty!V45*Qty!$J45)*'Prop. prices'!R123*R$7</f>
        <v>0</v>
      </c>
      <c r="S123" s="198">
        <f>IF(Qty!$J45=0,Qty!W45,Qty!W45*Qty!$J45)*'Prop. prices'!S123*S$7</f>
        <v>0</v>
      </c>
      <c r="T123" s="198">
        <f>IF(Qty!$J45=0,Qty!X45,Qty!X45*Qty!$J45)*'Prop. prices'!T123*T$7</f>
        <v>0</v>
      </c>
      <c r="U123" s="198">
        <f>IF(Qty!$J45=0,Qty!Y45,Qty!Y45*Qty!$J45)*'Prop. prices'!U123*U$7</f>
        <v>0</v>
      </c>
      <c r="V123" s="198">
        <f>IF(Qty!$J45=0,Qty!Z45,Qty!Z45*Qty!$J45)*'Prop. prices'!V123*V$7</f>
        <v>0</v>
      </c>
      <c r="W123" s="198">
        <f>IF(Qty!$J45=0,Qty!AA45,Qty!AA45*Qty!$J45)*'Prop. prices'!W123*W$7</f>
        <v>0</v>
      </c>
      <c r="X123" s="198">
        <f>IF(Qty!$J45=0,Qty!AB45,Qty!AB45*Qty!$J45)*'Prop. prices'!X123*X$7</f>
        <v>0</v>
      </c>
      <c r="Y123" s="198">
        <f>IF(Qty!$J45=0,Qty!AC45,Qty!AC45*Qty!$J45)*'Prop. prices'!Y123*Y$7</f>
        <v>0</v>
      </c>
      <c r="Z123" s="198">
        <f>IF(Qty!$J45=0,Qty!AD45,Qty!AD45*Qty!$J45)*'Prop. prices'!Z123*Z$7</f>
        <v>0</v>
      </c>
      <c r="AA123" s="198">
        <f>IF(Qty!$J45=0,Qty!AE45,Qty!AE45*Qty!$J45)*'Prop. prices'!AA123*AA$7</f>
        <v>0</v>
      </c>
      <c r="AB123" s="198">
        <f>IF(Qty!$J45=0,Qty!AF45,Qty!AF45*Qty!$J45)*'Prop. prices'!AB123*AB$7</f>
        <v>0</v>
      </c>
      <c r="AC123" s="206">
        <f t="shared" si="10"/>
        <v>0</v>
      </c>
      <c r="AD123" s="19"/>
      <c r="AE123" s="19"/>
      <c r="AF123" s="19"/>
      <c r="AG123" s="19"/>
    </row>
    <row r="124" spans="1:33" hidden="1" outlineLevel="3" x14ac:dyDescent="0.2">
      <c r="A124" s="19"/>
      <c r="B124" s="19"/>
      <c r="C124" s="506">
        <f t="shared" si="9"/>
        <v>0</v>
      </c>
      <c r="D124" s="505">
        <f t="shared" si="9"/>
        <v>0</v>
      </c>
      <c r="E124" s="505">
        <f t="shared" si="9"/>
        <v>0</v>
      </c>
      <c r="F124" s="505">
        <f t="shared" si="9"/>
        <v>0</v>
      </c>
      <c r="G124" s="505">
        <f t="shared" si="9"/>
        <v>0</v>
      </c>
      <c r="H124" s="58"/>
      <c r="I124" s="198">
        <f>IF(Qty!$J46=0,Qty!M46,Qty!M46*Qty!$J46)*'Prop. prices'!I124*I$7</f>
        <v>0</v>
      </c>
      <c r="J124" s="198">
        <f>IF(Qty!$J46=0,Qty!N46,Qty!N46*Qty!$J46)*'Prop. prices'!J124*J$7</f>
        <v>0</v>
      </c>
      <c r="K124" s="198">
        <f>IF(Qty!$J46=0,Qty!O46,Qty!O46*Qty!$J46)*'Prop. prices'!K124*K$7</f>
        <v>0</v>
      </c>
      <c r="L124" s="198">
        <f>IF(Qty!$J46=0,Qty!P46,Qty!P46*Qty!$J46)*'Prop. prices'!L124*L$7</f>
        <v>0</v>
      </c>
      <c r="M124" s="198">
        <f>IF(Qty!$J46=0,Qty!Q46,Qty!Q46*Qty!$J46)*'Prop. prices'!M124*M$7</f>
        <v>0</v>
      </c>
      <c r="N124" s="198">
        <f>IF(Qty!$J46=0,Qty!R46,Qty!R46*Qty!$J46)*'Prop. prices'!N124*N$7</f>
        <v>0</v>
      </c>
      <c r="O124" s="198">
        <f>IF(Qty!$J46=0,Qty!S46,Qty!S46*Qty!$J46)*'Prop. prices'!O124*O$7</f>
        <v>0</v>
      </c>
      <c r="P124" s="198">
        <f>IF(Qty!$J46=0,Qty!T46,Qty!T46*Qty!$J46)*'Prop. prices'!P124*P$7</f>
        <v>0</v>
      </c>
      <c r="Q124" s="198">
        <f>IF(Qty!$J46=0,Qty!U46,Qty!U46*Qty!$J46)*'Prop. prices'!Q124*Q$7</f>
        <v>0</v>
      </c>
      <c r="R124" s="198">
        <f>IF(Qty!$J46=0,Qty!V46,Qty!V46*Qty!$J46)*'Prop. prices'!R124*R$7</f>
        <v>0</v>
      </c>
      <c r="S124" s="198">
        <f>IF(Qty!$J46=0,Qty!W46,Qty!W46*Qty!$J46)*'Prop. prices'!S124*S$7</f>
        <v>0</v>
      </c>
      <c r="T124" s="198">
        <f>IF(Qty!$J46=0,Qty!X46,Qty!X46*Qty!$J46)*'Prop. prices'!T124*T$7</f>
        <v>0</v>
      </c>
      <c r="U124" s="198">
        <f>IF(Qty!$J46=0,Qty!Y46,Qty!Y46*Qty!$J46)*'Prop. prices'!U124*U$7</f>
        <v>0</v>
      </c>
      <c r="V124" s="198">
        <f>IF(Qty!$J46=0,Qty!Z46,Qty!Z46*Qty!$J46)*'Prop. prices'!V124*V$7</f>
        <v>0</v>
      </c>
      <c r="W124" s="198">
        <f>IF(Qty!$J46=0,Qty!AA46,Qty!AA46*Qty!$J46)*'Prop. prices'!W124*W$7</f>
        <v>0</v>
      </c>
      <c r="X124" s="198">
        <f>IF(Qty!$J46=0,Qty!AB46,Qty!AB46*Qty!$J46)*'Prop. prices'!X124*X$7</f>
        <v>0</v>
      </c>
      <c r="Y124" s="198">
        <f>IF(Qty!$J46=0,Qty!AC46,Qty!AC46*Qty!$J46)*'Prop. prices'!Y124*Y$7</f>
        <v>0</v>
      </c>
      <c r="Z124" s="198">
        <f>IF(Qty!$J46=0,Qty!AD46,Qty!AD46*Qty!$J46)*'Prop. prices'!Z124*Z$7</f>
        <v>0</v>
      </c>
      <c r="AA124" s="198">
        <f>IF(Qty!$J46=0,Qty!AE46,Qty!AE46*Qty!$J46)*'Prop. prices'!AA124*AA$7</f>
        <v>0</v>
      </c>
      <c r="AB124" s="198">
        <f>IF(Qty!$J46=0,Qty!AF46,Qty!AF46*Qty!$J46)*'Prop. prices'!AB124*AB$7</f>
        <v>0</v>
      </c>
      <c r="AC124" s="206">
        <f t="shared" si="10"/>
        <v>0</v>
      </c>
      <c r="AD124" s="19"/>
      <c r="AE124" s="19"/>
      <c r="AF124" s="19"/>
      <c r="AG124" s="19"/>
    </row>
    <row r="125" spans="1:33" hidden="1" outlineLevel="3" x14ac:dyDescent="0.2">
      <c r="A125" s="19"/>
      <c r="B125" s="19"/>
      <c r="C125" s="506">
        <f t="shared" si="9"/>
        <v>0</v>
      </c>
      <c r="D125" s="505">
        <f t="shared" si="9"/>
        <v>0</v>
      </c>
      <c r="E125" s="505">
        <f t="shared" si="9"/>
        <v>0</v>
      </c>
      <c r="F125" s="505">
        <f t="shared" si="9"/>
        <v>0</v>
      </c>
      <c r="G125" s="505">
        <f t="shared" si="9"/>
        <v>0</v>
      </c>
      <c r="H125" s="58"/>
      <c r="I125" s="198">
        <f>IF(Qty!$J47=0,Qty!M47,Qty!M47*Qty!$J47)*'Prop. prices'!I125*I$7</f>
        <v>0</v>
      </c>
      <c r="J125" s="198">
        <f>IF(Qty!$J47=0,Qty!N47,Qty!N47*Qty!$J47)*'Prop. prices'!J125*J$7</f>
        <v>0</v>
      </c>
      <c r="K125" s="198">
        <f>IF(Qty!$J47=0,Qty!O47,Qty!O47*Qty!$J47)*'Prop. prices'!K125*K$7</f>
        <v>0</v>
      </c>
      <c r="L125" s="198">
        <f>IF(Qty!$J47=0,Qty!P47,Qty!P47*Qty!$J47)*'Prop. prices'!L125*L$7</f>
        <v>0</v>
      </c>
      <c r="M125" s="198">
        <f>IF(Qty!$J47=0,Qty!Q47,Qty!Q47*Qty!$J47)*'Prop. prices'!M125*M$7</f>
        <v>0</v>
      </c>
      <c r="N125" s="198">
        <f>IF(Qty!$J47=0,Qty!R47,Qty!R47*Qty!$J47)*'Prop. prices'!N125*N$7</f>
        <v>0</v>
      </c>
      <c r="O125" s="198">
        <f>IF(Qty!$J47=0,Qty!S47,Qty!S47*Qty!$J47)*'Prop. prices'!O125*O$7</f>
        <v>0</v>
      </c>
      <c r="P125" s="198">
        <f>IF(Qty!$J47=0,Qty!T47,Qty!T47*Qty!$J47)*'Prop. prices'!P125*P$7</f>
        <v>0</v>
      </c>
      <c r="Q125" s="198">
        <f>IF(Qty!$J47=0,Qty!U47,Qty!U47*Qty!$J47)*'Prop. prices'!Q125*Q$7</f>
        <v>0</v>
      </c>
      <c r="R125" s="198">
        <f>IF(Qty!$J47=0,Qty!V47,Qty!V47*Qty!$J47)*'Prop. prices'!R125*R$7</f>
        <v>0</v>
      </c>
      <c r="S125" s="198">
        <f>IF(Qty!$J47=0,Qty!W47,Qty!W47*Qty!$J47)*'Prop. prices'!S125*S$7</f>
        <v>0</v>
      </c>
      <c r="T125" s="198">
        <f>IF(Qty!$J47=0,Qty!X47,Qty!X47*Qty!$J47)*'Prop. prices'!T125*T$7</f>
        <v>0</v>
      </c>
      <c r="U125" s="198">
        <f>IF(Qty!$J47=0,Qty!Y47,Qty!Y47*Qty!$J47)*'Prop. prices'!U125*U$7</f>
        <v>0</v>
      </c>
      <c r="V125" s="198">
        <f>IF(Qty!$J47=0,Qty!Z47,Qty!Z47*Qty!$J47)*'Prop. prices'!V125*V$7</f>
        <v>0</v>
      </c>
      <c r="W125" s="198">
        <f>IF(Qty!$J47=0,Qty!AA47,Qty!AA47*Qty!$J47)*'Prop. prices'!W125*W$7</f>
        <v>0</v>
      </c>
      <c r="X125" s="198">
        <f>IF(Qty!$J47=0,Qty!AB47,Qty!AB47*Qty!$J47)*'Prop. prices'!X125*X$7</f>
        <v>0</v>
      </c>
      <c r="Y125" s="198">
        <f>IF(Qty!$J47=0,Qty!AC47,Qty!AC47*Qty!$J47)*'Prop. prices'!Y125*Y$7</f>
        <v>0</v>
      </c>
      <c r="Z125" s="198">
        <f>IF(Qty!$J47=0,Qty!AD47,Qty!AD47*Qty!$J47)*'Prop. prices'!Z125*Z$7</f>
        <v>0</v>
      </c>
      <c r="AA125" s="198">
        <f>IF(Qty!$J47=0,Qty!AE47,Qty!AE47*Qty!$J47)*'Prop. prices'!AA125*AA$7</f>
        <v>0</v>
      </c>
      <c r="AB125" s="198">
        <f>IF(Qty!$J47=0,Qty!AF47,Qty!AF47*Qty!$J47)*'Prop. prices'!AB125*AB$7</f>
        <v>0</v>
      </c>
      <c r="AC125" s="206">
        <f t="shared" si="10"/>
        <v>0</v>
      </c>
      <c r="AD125" s="19"/>
      <c r="AE125" s="19"/>
      <c r="AF125" s="19"/>
      <c r="AG125" s="19"/>
    </row>
    <row r="126" spans="1:33" hidden="1" outlineLevel="3" x14ac:dyDescent="0.2">
      <c r="A126" s="19"/>
      <c r="B126" s="19"/>
      <c r="C126" s="506">
        <f t="shared" ref="C126:G135" si="11">C48</f>
        <v>0</v>
      </c>
      <c r="D126" s="505">
        <f t="shared" si="11"/>
        <v>0</v>
      </c>
      <c r="E126" s="505">
        <f t="shared" si="11"/>
        <v>0</v>
      </c>
      <c r="F126" s="505">
        <f t="shared" si="11"/>
        <v>0</v>
      </c>
      <c r="G126" s="505">
        <f t="shared" si="11"/>
        <v>0</v>
      </c>
      <c r="H126" s="58"/>
      <c r="I126" s="198">
        <f>IF(Qty!$J48=0,Qty!M48,Qty!M48*Qty!$J48)*'Prop. prices'!I126*I$7</f>
        <v>0</v>
      </c>
      <c r="J126" s="198">
        <f>IF(Qty!$J48=0,Qty!N48,Qty!N48*Qty!$J48)*'Prop. prices'!J126*J$7</f>
        <v>0</v>
      </c>
      <c r="K126" s="198">
        <f>IF(Qty!$J48=0,Qty!O48,Qty!O48*Qty!$J48)*'Prop. prices'!K126*K$7</f>
        <v>0</v>
      </c>
      <c r="L126" s="198">
        <f>IF(Qty!$J48=0,Qty!P48,Qty!P48*Qty!$J48)*'Prop. prices'!L126*L$7</f>
        <v>0</v>
      </c>
      <c r="M126" s="198">
        <f>IF(Qty!$J48=0,Qty!Q48,Qty!Q48*Qty!$J48)*'Prop. prices'!M126*M$7</f>
        <v>0</v>
      </c>
      <c r="N126" s="198">
        <f>IF(Qty!$J48=0,Qty!R48,Qty!R48*Qty!$J48)*'Prop. prices'!N126*N$7</f>
        <v>0</v>
      </c>
      <c r="O126" s="198">
        <f>IF(Qty!$J48=0,Qty!S48,Qty!S48*Qty!$J48)*'Prop. prices'!O126*O$7</f>
        <v>0</v>
      </c>
      <c r="P126" s="198">
        <f>IF(Qty!$J48=0,Qty!T48,Qty!T48*Qty!$J48)*'Prop. prices'!P126*P$7</f>
        <v>0</v>
      </c>
      <c r="Q126" s="198">
        <f>IF(Qty!$J48=0,Qty!U48,Qty!U48*Qty!$J48)*'Prop. prices'!Q126*Q$7</f>
        <v>0</v>
      </c>
      <c r="R126" s="198">
        <f>IF(Qty!$J48=0,Qty!V48,Qty!V48*Qty!$J48)*'Prop. prices'!R126*R$7</f>
        <v>0</v>
      </c>
      <c r="S126" s="198">
        <f>IF(Qty!$J48=0,Qty!W48,Qty!W48*Qty!$J48)*'Prop. prices'!S126*S$7</f>
        <v>0</v>
      </c>
      <c r="T126" s="198">
        <f>IF(Qty!$J48=0,Qty!X48,Qty!X48*Qty!$J48)*'Prop. prices'!T126*T$7</f>
        <v>0</v>
      </c>
      <c r="U126" s="198">
        <f>IF(Qty!$J48=0,Qty!Y48,Qty!Y48*Qty!$J48)*'Prop. prices'!U126*U$7</f>
        <v>0</v>
      </c>
      <c r="V126" s="198">
        <f>IF(Qty!$J48=0,Qty!Z48,Qty!Z48*Qty!$J48)*'Prop. prices'!V126*V$7</f>
        <v>0</v>
      </c>
      <c r="W126" s="198">
        <f>IF(Qty!$J48=0,Qty!AA48,Qty!AA48*Qty!$J48)*'Prop. prices'!W126*W$7</f>
        <v>0</v>
      </c>
      <c r="X126" s="198">
        <f>IF(Qty!$J48=0,Qty!AB48,Qty!AB48*Qty!$J48)*'Prop. prices'!X126*X$7</f>
        <v>0</v>
      </c>
      <c r="Y126" s="198">
        <f>IF(Qty!$J48=0,Qty!AC48,Qty!AC48*Qty!$J48)*'Prop. prices'!Y126*Y$7</f>
        <v>0</v>
      </c>
      <c r="Z126" s="198">
        <f>IF(Qty!$J48=0,Qty!AD48,Qty!AD48*Qty!$J48)*'Prop. prices'!Z126*Z$7</f>
        <v>0</v>
      </c>
      <c r="AA126" s="198">
        <f>IF(Qty!$J48=0,Qty!AE48,Qty!AE48*Qty!$J48)*'Prop. prices'!AA126*AA$7</f>
        <v>0</v>
      </c>
      <c r="AB126" s="198">
        <f>IF(Qty!$J48=0,Qty!AF48,Qty!AF48*Qty!$J48)*'Prop. prices'!AB126*AB$7</f>
        <v>0</v>
      </c>
      <c r="AC126" s="206">
        <f t="shared" si="10"/>
        <v>0</v>
      </c>
      <c r="AD126" s="19"/>
      <c r="AE126" s="19"/>
      <c r="AF126" s="19"/>
      <c r="AG126" s="19"/>
    </row>
    <row r="127" spans="1:33" hidden="1" outlineLevel="3" x14ac:dyDescent="0.2">
      <c r="A127" s="19"/>
      <c r="B127" s="19"/>
      <c r="C127" s="506">
        <f t="shared" si="11"/>
        <v>0</v>
      </c>
      <c r="D127" s="505">
        <f t="shared" si="11"/>
        <v>0</v>
      </c>
      <c r="E127" s="505">
        <f t="shared" si="11"/>
        <v>0</v>
      </c>
      <c r="F127" s="505">
        <f t="shared" si="11"/>
        <v>0</v>
      </c>
      <c r="G127" s="505">
        <f t="shared" si="11"/>
        <v>0</v>
      </c>
      <c r="H127" s="58"/>
      <c r="I127" s="198">
        <f>IF(Qty!$J49=0,Qty!M49,Qty!M49*Qty!$J49)*'Prop. prices'!I127*I$7</f>
        <v>0</v>
      </c>
      <c r="J127" s="198">
        <f>IF(Qty!$J49=0,Qty!N49,Qty!N49*Qty!$J49)*'Prop. prices'!J127*J$7</f>
        <v>0</v>
      </c>
      <c r="K127" s="198">
        <f>IF(Qty!$J49=0,Qty!O49,Qty!O49*Qty!$J49)*'Prop. prices'!K127*K$7</f>
        <v>0</v>
      </c>
      <c r="L127" s="198">
        <f>IF(Qty!$J49=0,Qty!P49,Qty!P49*Qty!$J49)*'Prop. prices'!L127*L$7</f>
        <v>0</v>
      </c>
      <c r="M127" s="198">
        <f>IF(Qty!$J49=0,Qty!Q49,Qty!Q49*Qty!$J49)*'Prop. prices'!M127*M$7</f>
        <v>0</v>
      </c>
      <c r="N127" s="198">
        <f>IF(Qty!$J49=0,Qty!R49,Qty!R49*Qty!$J49)*'Prop. prices'!N127*N$7</f>
        <v>0</v>
      </c>
      <c r="O127" s="198">
        <f>IF(Qty!$J49=0,Qty!S49,Qty!S49*Qty!$J49)*'Prop. prices'!O127*O$7</f>
        <v>0</v>
      </c>
      <c r="P127" s="198">
        <f>IF(Qty!$J49=0,Qty!T49,Qty!T49*Qty!$J49)*'Prop. prices'!P127*P$7</f>
        <v>0</v>
      </c>
      <c r="Q127" s="198">
        <f>IF(Qty!$J49=0,Qty!U49,Qty!U49*Qty!$J49)*'Prop. prices'!Q127*Q$7</f>
        <v>0</v>
      </c>
      <c r="R127" s="198">
        <f>IF(Qty!$J49=0,Qty!V49,Qty!V49*Qty!$J49)*'Prop. prices'!R127*R$7</f>
        <v>0</v>
      </c>
      <c r="S127" s="198">
        <f>IF(Qty!$J49=0,Qty!W49,Qty!W49*Qty!$J49)*'Prop. prices'!S127*S$7</f>
        <v>0</v>
      </c>
      <c r="T127" s="198">
        <f>IF(Qty!$J49=0,Qty!X49,Qty!X49*Qty!$J49)*'Prop. prices'!T127*T$7</f>
        <v>0</v>
      </c>
      <c r="U127" s="198">
        <f>IF(Qty!$J49=0,Qty!Y49,Qty!Y49*Qty!$J49)*'Prop. prices'!U127*U$7</f>
        <v>0</v>
      </c>
      <c r="V127" s="198">
        <f>IF(Qty!$J49=0,Qty!Z49,Qty!Z49*Qty!$J49)*'Prop. prices'!V127*V$7</f>
        <v>0</v>
      </c>
      <c r="W127" s="198">
        <f>IF(Qty!$J49=0,Qty!AA49,Qty!AA49*Qty!$J49)*'Prop. prices'!W127*W$7</f>
        <v>0</v>
      </c>
      <c r="X127" s="198">
        <f>IF(Qty!$J49=0,Qty!AB49,Qty!AB49*Qty!$J49)*'Prop. prices'!X127*X$7</f>
        <v>0</v>
      </c>
      <c r="Y127" s="198">
        <f>IF(Qty!$J49=0,Qty!AC49,Qty!AC49*Qty!$J49)*'Prop. prices'!Y127*Y$7</f>
        <v>0</v>
      </c>
      <c r="Z127" s="198">
        <f>IF(Qty!$J49=0,Qty!AD49,Qty!AD49*Qty!$J49)*'Prop. prices'!Z127*Z$7</f>
        <v>0</v>
      </c>
      <c r="AA127" s="198">
        <f>IF(Qty!$J49=0,Qty!AE49,Qty!AE49*Qty!$J49)*'Prop. prices'!AA127*AA$7</f>
        <v>0</v>
      </c>
      <c r="AB127" s="198">
        <f>IF(Qty!$J49=0,Qty!AF49,Qty!AF49*Qty!$J49)*'Prop. prices'!AB127*AB$7</f>
        <v>0</v>
      </c>
      <c r="AC127" s="206">
        <f t="shared" si="10"/>
        <v>0</v>
      </c>
      <c r="AD127" s="19"/>
      <c r="AE127" s="19"/>
      <c r="AF127" s="19"/>
      <c r="AG127" s="19"/>
    </row>
    <row r="128" spans="1:33" hidden="1" outlineLevel="3" x14ac:dyDescent="0.2">
      <c r="A128" s="19"/>
      <c r="B128" s="19"/>
      <c r="C128" s="506">
        <f t="shared" si="11"/>
        <v>0</v>
      </c>
      <c r="D128" s="505">
        <f t="shared" si="11"/>
        <v>0</v>
      </c>
      <c r="E128" s="505">
        <f t="shared" si="11"/>
        <v>0</v>
      </c>
      <c r="F128" s="505">
        <f t="shared" si="11"/>
        <v>0</v>
      </c>
      <c r="G128" s="505">
        <f t="shared" si="11"/>
        <v>0</v>
      </c>
      <c r="H128" s="58"/>
      <c r="I128" s="198">
        <f>IF(Qty!$J50=0,Qty!M50,Qty!M50*Qty!$J50)*'Prop. prices'!I128*I$7</f>
        <v>0</v>
      </c>
      <c r="J128" s="198">
        <f>IF(Qty!$J50=0,Qty!N50,Qty!N50*Qty!$J50)*'Prop. prices'!J128*J$7</f>
        <v>0</v>
      </c>
      <c r="K128" s="198">
        <f>IF(Qty!$J50=0,Qty!O50,Qty!O50*Qty!$J50)*'Prop. prices'!K128*K$7</f>
        <v>0</v>
      </c>
      <c r="L128" s="198">
        <f>IF(Qty!$J50=0,Qty!P50,Qty!P50*Qty!$J50)*'Prop. prices'!L128*L$7</f>
        <v>0</v>
      </c>
      <c r="M128" s="198">
        <f>IF(Qty!$J50=0,Qty!Q50,Qty!Q50*Qty!$J50)*'Prop. prices'!M128*M$7</f>
        <v>0</v>
      </c>
      <c r="N128" s="198">
        <f>IF(Qty!$J50=0,Qty!R50,Qty!R50*Qty!$J50)*'Prop. prices'!N128*N$7</f>
        <v>0</v>
      </c>
      <c r="O128" s="198">
        <f>IF(Qty!$J50=0,Qty!S50,Qty!S50*Qty!$J50)*'Prop. prices'!O128*O$7</f>
        <v>0</v>
      </c>
      <c r="P128" s="198">
        <f>IF(Qty!$J50=0,Qty!T50,Qty!T50*Qty!$J50)*'Prop. prices'!P128*P$7</f>
        <v>0</v>
      </c>
      <c r="Q128" s="198">
        <f>IF(Qty!$J50=0,Qty!U50,Qty!U50*Qty!$J50)*'Prop. prices'!Q128*Q$7</f>
        <v>0</v>
      </c>
      <c r="R128" s="198">
        <f>IF(Qty!$J50=0,Qty!V50,Qty!V50*Qty!$J50)*'Prop. prices'!R128*R$7</f>
        <v>0</v>
      </c>
      <c r="S128" s="198">
        <f>IF(Qty!$J50=0,Qty!W50,Qty!W50*Qty!$J50)*'Prop. prices'!S128*S$7</f>
        <v>0</v>
      </c>
      <c r="T128" s="198">
        <f>IF(Qty!$J50=0,Qty!X50,Qty!X50*Qty!$J50)*'Prop. prices'!T128*T$7</f>
        <v>0</v>
      </c>
      <c r="U128" s="198">
        <f>IF(Qty!$J50=0,Qty!Y50,Qty!Y50*Qty!$J50)*'Prop. prices'!U128*U$7</f>
        <v>0</v>
      </c>
      <c r="V128" s="198">
        <f>IF(Qty!$J50=0,Qty!Z50,Qty!Z50*Qty!$J50)*'Prop. prices'!V128*V$7</f>
        <v>0</v>
      </c>
      <c r="W128" s="198">
        <f>IF(Qty!$J50=0,Qty!AA50,Qty!AA50*Qty!$J50)*'Prop. prices'!W128*W$7</f>
        <v>0</v>
      </c>
      <c r="X128" s="198">
        <f>IF(Qty!$J50=0,Qty!AB50,Qty!AB50*Qty!$J50)*'Prop. prices'!X128*X$7</f>
        <v>0</v>
      </c>
      <c r="Y128" s="198">
        <f>IF(Qty!$J50=0,Qty!AC50,Qty!AC50*Qty!$J50)*'Prop. prices'!Y128*Y$7</f>
        <v>0</v>
      </c>
      <c r="Z128" s="198">
        <f>IF(Qty!$J50=0,Qty!AD50,Qty!AD50*Qty!$J50)*'Prop. prices'!Z128*Z$7</f>
        <v>0</v>
      </c>
      <c r="AA128" s="198">
        <f>IF(Qty!$J50=0,Qty!AE50,Qty!AE50*Qty!$J50)*'Prop. prices'!AA128*AA$7</f>
        <v>0</v>
      </c>
      <c r="AB128" s="198">
        <f>IF(Qty!$J50=0,Qty!AF50,Qty!AF50*Qty!$J50)*'Prop. prices'!AB128*AB$7</f>
        <v>0</v>
      </c>
      <c r="AC128" s="206">
        <f t="shared" si="10"/>
        <v>0</v>
      </c>
      <c r="AD128" s="19"/>
      <c r="AE128" s="19"/>
      <c r="AF128" s="19"/>
      <c r="AG128" s="19"/>
    </row>
    <row r="129" spans="1:33" hidden="1" outlineLevel="3" x14ac:dyDescent="0.2">
      <c r="A129" s="19"/>
      <c r="B129" s="19"/>
      <c r="C129" s="506">
        <f t="shared" si="11"/>
        <v>0</v>
      </c>
      <c r="D129" s="505">
        <f t="shared" si="11"/>
        <v>0</v>
      </c>
      <c r="E129" s="505">
        <f t="shared" si="11"/>
        <v>0</v>
      </c>
      <c r="F129" s="505">
        <f t="shared" si="11"/>
        <v>0</v>
      </c>
      <c r="G129" s="505">
        <f t="shared" si="11"/>
        <v>0</v>
      </c>
      <c r="H129" s="58"/>
      <c r="I129" s="198">
        <f>IF(Qty!$J51=0,Qty!M51,Qty!M51*Qty!$J51)*'Prop. prices'!I129*I$7</f>
        <v>0</v>
      </c>
      <c r="J129" s="198">
        <f>IF(Qty!$J51=0,Qty!N51,Qty!N51*Qty!$J51)*'Prop. prices'!J129*J$7</f>
        <v>0</v>
      </c>
      <c r="K129" s="198">
        <f>IF(Qty!$J51=0,Qty!O51,Qty!O51*Qty!$J51)*'Prop. prices'!K129*K$7</f>
        <v>0</v>
      </c>
      <c r="L129" s="198">
        <f>IF(Qty!$J51=0,Qty!P51,Qty!P51*Qty!$J51)*'Prop. prices'!L129*L$7</f>
        <v>0</v>
      </c>
      <c r="M129" s="198">
        <f>IF(Qty!$J51=0,Qty!Q51,Qty!Q51*Qty!$J51)*'Prop. prices'!M129*M$7</f>
        <v>0</v>
      </c>
      <c r="N129" s="198">
        <f>IF(Qty!$J51=0,Qty!R51,Qty!R51*Qty!$J51)*'Prop. prices'!N129*N$7</f>
        <v>0</v>
      </c>
      <c r="O129" s="198">
        <f>IF(Qty!$J51=0,Qty!S51,Qty!S51*Qty!$J51)*'Prop. prices'!O129*O$7</f>
        <v>0</v>
      </c>
      <c r="P129" s="198">
        <f>IF(Qty!$J51=0,Qty!T51,Qty!T51*Qty!$J51)*'Prop. prices'!P129*P$7</f>
        <v>0</v>
      </c>
      <c r="Q129" s="198">
        <f>IF(Qty!$J51=0,Qty!U51,Qty!U51*Qty!$J51)*'Prop. prices'!Q129*Q$7</f>
        <v>0</v>
      </c>
      <c r="R129" s="198">
        <f>IF(Qty!$J51=0,Qty!V51,Qty!V51*Qty!$J51)*'Prop. prices'!R129*R$7</f>
        <v>0</v>
      </c>
      <c r="S129" s="198">
        <f>IF(Qty!$J51=0,Qty!W51,Qty!W51*Qty!$J51)*'Prop. prices'!S129*S$7</f>
        <v>0</v>
      </c>
      <c r="T129" s="198">
        <f>IF(Qty!$J51=0,Qty!X51,Qty!X51*Qty!$J51)*'Prop. prices'!T129*T$7</f>
        <v>0</v>
      </c>
      <c r="U129" s="198">
        <f>IF(Qty!$J51=0,Qty!Y51,Qty!Y51*Qty!$J51)*'Prop. prices'!U129*U$7</f>
        <v>0</v>
      </c>
      <c r="V129" s="198">
        <f>IF(Qty!$J51=0,Qty!Z51,Qty!Z51*Qty!$J51)*'Prop. prices'!V129*V$7</f>
        <v>0</v>
      </c>
      <c r="W129" s="198">
        <f>IF(Qty!$J51=0,Qty!AA51,Qty!AA51*Qty!$J51)*'Prop. prices'!W129*W$7</f>
        <v>0</v>
      </c>
      <c r="X129" s="198">
        <f>IF(Qty!$J51=0,Qty!AB51,Qty!AB51*Qty!$J51)*'Prop. prices'!X129*X$7</f>
        <v>0</v>
      </c>
      <c r="Y129" s="198">
        <f>IF(Qty!$J51=0,Qty!AC51,Qty!AC51*Qty!$J51)*'Prop. prices'!Y129*Y$7</f>
        <v>0</v>
      </c>
      <c r="Z129" s="198">
        <f>IF(Qty!$J51=0,Qty!AD51,Qty!AD51*Qty!$J51)*'Prop. prices'!Z129*Z$7</f>
        <v>0</v>
      </c>
      <c r="AA129" s="198">
        <f>IF(Qty!$J51=0,Qty!AE51,Qty!AE51*Qty!$J51)*'Prop. prices'!AA129*AA$7</f>
        <v>0</v>
      </c>
      <c r="AB129" s="198">
        <f>IF(Qty!$J51=0,Qty!AF51,Qty!AF51*Qty!$J51)*'Prop. prices'!AB129*AB$7</f>
        <v>0</v>
      </c>
      <c r="AC129" s="206">
        <f t="shared" si="10"/>
        <v>0</v>
      </c>
      <c r="AD129" s="19"/>
      <c r="AE129" s="19"/>
      <c r="AF129" s="19"/>
      <c r="AG129" s="19"/>
    </row>
    <row r="130" spans="1:33" hidden="1" outlineLevel="3" x14ac:dyDescent="0.2">
      <c r="A130" s="19"/>
      <c r="B130" s="19"/>
      <c r="C130" s="506">
        <f t="shared" si="11"/>
        <v>0</v>
      </c>
      <c r="D130" s="505">
        <f t="shared" si="11"/>
        <v>0</v>
      </c>
      <c r="E130" s="505">
        <f t="shared" si="11"/>
        <v>0</v>
      </c>
      <c r="F130" s="505">
        <f t="shared" si="11"/>
        <v>0</v>
      </c>
      <c r="G130" s="505">
        <f t="shared" si="11"/>
        <v>0</v>
      </c>
      <c r="H130" s="58"/>
      <c r="I130" s="198">
        <f>IF(Qty!$J52=0,Qty!M52,Qty!M52*Qty!$J52)*'Prop. prices'!I130*I$7</f>
        <v>0</v>
      </c>
      <c r="J130" s="198">
        <f>IF(Qty!$J52=0,Qty!N52,Qty!N52*Qty!$J52)*'Prop. prices'!J130*J$7</f>
        <v>0</v>
      </c>
      <c r="K130" s="198">
        <f>IF(Qty!$J52=0,Qty!O52,Qty!O52*Qty!$J52)*'Prop. prices'!K130*K$7</f>
        <v>0</v>
      </c>
      <c r="L130" s="198">
        <f>IF(Qty!$J52=0,Qty!P52,Qty!P52*Qty!$J52)*'Prop. prices'!L130*L$7</f>
        <v>0</v>
      </c>
      <c r="M130" s="198">
        <f>IF(Qty!$J52=0,Qty!Q52,Qty!Q52*Qty!$J52)*'Prop. prices'!M130*M$7</f>
        <v>0</v>
      </c>
      <c r="N130" s="198">
        <f>IF(Qty!$J52=0,Qty!R52,Qty!R52*Qty!$J52)*'Prop. prices'!N130*N$7</f>
        <v>0</v>
      </c>
      <c r="O130" s="198">
        <f>IF(Qty!$J52=0,Qty!S52,Qty!S52*Qty!$J52)*'Prop. prices'!O130*O$7</f>
        <v>0</v>
      </c>
      <c r="P130" s="198">
        <f>IF(Qty!$J52=0,Qty!T52,Qty!T52*Qty!$J52)*'Prop. prices'!P130*P$7</f>
        <v>0</v>
      </c>
      <c r="Q130" s="198">
        <f>IF(Qty!$J52=0,Qty!U52,Qty!U52*Qty!$J52)*'Prop. prices'!Q130*Q$7</f>
        <v>0</v>
      </c>
      <c r="R130" s="198">
        <f>IF(Qty!$J52=0,Qty!V52,Qty!V52*Qty!$J52)*'Prop. prices'!R130*R$7</f>
        <v>0</v>
      </c>
      <c r="S130" s="198">
        <f>IF(Qty!$J52=0,Qty!W52,Qty!W52*Qty!$J52)*'Prop. prices'!S130*S$7</f>
        <v>0</v>
      </c>
      <c r="T130" s="198">
        <f>IF(Qty!$J52=0,Qty!X52,Qty!X52*Qty!$J52)*'Prop. prices'!T130*T$7</f>
        <v>0</v>
      </c>
      <c r="U130" s="198">
        <f>IF(Qty!$J52=0,Qty!Y52,Qty!Y52*Qty!$J52)*'Prop. prices'!U130*U$7</f>
        <v>0</v>
      </c>
      <c r="V130" s="198">
        <f>IF(Qty!$J52=0,Qty!Z52,Qty!Z52*Qty!$J52)*'Prop. prices'!V130*V$7</f>
        <v>0</v>
      </c>
      <c r="W130" s="198">
        <f>IF(Qty!$J52=0,Qty!AA52,Qty!AA52*Qty!$J52)*'Prop. prices'!W130*W$7</f>
        <v>0</v>
      </c>
      <c r="X130" s="198">
        <f>IF(Qty!$J52=0,Qty!AB52,Qty!AB52*Qty!$J52)*'Prop. prices'!X130*X$7</f>
        <v>0</v>
      </c>
      <c r="Y130" s="198">
        <f>IF(Qty!$J52=0,Qty!AC52,Qty!AC52*Qty!$J52)*'Prop. prices'!Y130*Y$7</f>
        <v>0</v>
      </c>
      <c r="Z130" s="198">
        <f>IF(Qty!$J52=0,Qty!AD52,Qty!AD52*Qty!$J52)*'Prop. prices'!Z130*Z$7</f>
        <v>0</v>
      </c>
      <c r="AA130" s="198">
        <f>IF(Qty!$J52=0,Qty!AE52,Qty!AE52*Qty!$J52)*'Prop. prices'!AA130*AA$7</f>
        <v>0</v>
      </c>
      <c r="AB130" s="198">
        <f>IF(Qty!$J52=0,Qty!AF52,Qty!AF52*Qty!$J52)*'Prop. prices'!AB130*AB$7</f>
        <v>0</v>
      </c>
      <c r="AC130" s="206">
        <f t="shared" si="10"/>
        <v>0</v>
      </c>
      <c r="AD130" s="19"/>
      <c r="AE130" s="19"/>
      <c r="AF130" s="19"/>
      <c r="AG130" s="19"/>
    </row>
    <row r="131" spans="1:33" hidden="1" outlineLevel="3" x14ac:dyDescent="0.2">
      <c r="A131" s="19"/>
      <c r="B131" s="19"/>
      <c r="C131" s="506">
        <f t="shared" si="11"/>
        <v>0</v>
      </c>
      <c r="D131" s="505">
        <f t="shared" si="11"/>
        <v>0</v>
      </c>
      <c r="E131" s="505">
        <f t="shared" si="11"/>
        <v>0</v>
      </c>
      <c r="F131" s="505">
        <f t="shared" si="11"/>
        <v>0</v>
      </c>
      <c r="G131" s="505">
        <f t="shared" si="11"/>
        <v>0</v>
      </c>
      <c r="H131" s="58"/>
      <c r="I131" s="198">
        <f>IF(Qty!$J53=0,Qty!M53,Qty!M53*Qty!$J53)*'Prop. prices'!I131*I$7</f>
        <v>0</v>
      </c>
      <c r="J131" s="198">
        <f>IF(Qty!$J53=0,Qty!N53,Qty!N53*Qty!$J53)*'Prop. prices'!J131*J$7</f>
        <v>0</v>
      </c>
      <c r="K131" s="198">
        <f>IF(Qty!$J53=0,Qty!O53,Qty!O53*Qty!$J53)*'Prop. prices'!K131*K$7</f>
        <v>0</v>
      </c>
      <c r="L131" s="198">
        <f>IF(Qty!$J53=0,Qty!P53,Qty!P53*Qty!$J53)*'Prop. prices'!L131*L$7</f>
        <v>0</v>
      </c>
      <c r="M131" s="198">
        <f>IF(Qty!$J53=0,Qty!Q53,Qty!Q53*Qty!$J53)*'Prop. prices'!M131*M$7</f>
        <v>0</v>
      </c>
      <c r="N131" s="198">
        <f>IF(Qty!$J53=0,Qty!R53,Qty!R53*Qty!$J53)*'Prop. prices'!N131*N$7</f>
        <v>0</v>
      </c>
      <c r="O131" s="198">
        <f>IF(Qty!$J53=0,Qty!S53,Qty!S53*Qty!$J53)*'Prop. prices'!O131*O$7</f>
        <v>0</v>
      </c>
      <c r="P131" s="198">
        <f>IF(Qty!$J53=0,Qty!T53,Qty!T53*Qty!$J53)*'Prop. prices'!P131*P$7</f>
        <v>0</v>
      </c>
      <c r="Q131" s="198">
        <f>IF(Qty!$J53=0,Qty!U53,Qty!U53*Qty!$J53)*'Prop. prices'!Q131*Q$7</f>
        <v>0</v>
      </c>
      <c r="R131" s="198">
        <f>IF(Qty!$J53=0,Qty!V53,Qty!V53*Qty!$J53)*'Prop. prices'!R131*R$7</f>
        <v>0</v>
      </c>
      <c r="S131" s="198">
        <f>IF(Qty!$J53=0,Qty!W53,Qty!W53*Qty!$J53)*'Prop. prices'!S131*S$7</f>
        <v>0</v>
      </c>
      <c r="T131" s="198">
        <f>IF(Qty!$J53=0,Qty!X53,Qty!X53*Qty!$J53)*'Prop. prices'!T131*T$7</f>
        <v>0</v>
      </c>
      <c r="U131" s="198">
        <f>IF(Qty!$J53=0,Qty!Y53,Qty!Y53*Qty!$J53)*'Prop. prices'!U131*U$7</f>
        <v>0</v>
      </c>
      <c r="V131" s="198">
        <f>IF(Qty!$J53=0,Qty!Z53,Qty!Z53*Qty!$J53)*'Prop. prices'!V131*V$7</f>
        <v>0</v>
      </c>
      <c r="W131" s="198">
        <f>IF(Qty!$J53=0,Qty!AA53,Qty!AA53*Qty!$J53)*'Prop. prices'!W131*W$7</f>
        <v>0</v>
      </c>
      <c r="X131" s="198">
        <f>IF(Qty!$J53=0,Qty!AB53,Qty!AB53*Qty!$J53)*'Prop. prices'!X131*X$7</f>
        <v>0</v>
      </c>
      <c r="Y131" s="198">
        <f>IF(Qty!$J53=0,Qty!AC53,Qty!AC53*Qty!$J53)*'Prop. prices'!Y131*Y$7</f>
        <v>0</v>
      </c>
      <c r="Z131" s="198">
        <f>IF(Qty!$J53=0,Qty!AD53,Qty!AD53*Qty!$J53)*'Prop. prices'!Z131*Z$7</f>
        <v>0</v>
      </c>
      <c r="AA131" s="198">
        <f>IF(Qty!$J53=0,Qty!AE53,Qty!AE53*Qty!$J53)*'Prop. prices'!AA131*AA$7</f>
        <v>0</v>
      </c>
      <c r="AB131" s="198">
        <f>IF(Qty!$J53=0,Qty!AF53,Qty!AF53*Qty!$J53)*'Prop. prices'!AB131*AB$7</f>
        <v>0</v>
      </c>
      <c r="AC131" s="206">
        <f t="shared" si="10"/>
        <v>0</v>
      </c>
      <c r="AD131" s="19"/>
      <c r="AE131" s="19"/>
      <c r="AF131" s="19"/>
      <c r="AG131" s="19"/>
    </row>
    <row r="132" spans="1:33" hidden="1" outlineLevel="3" x14ac:dyDescent="0.2">
      <c r="A132" s="19"/>
      <c r="B132" s="19"/>
      <c r="C132" s="506">
        <f t="shared" si="11"/>
        <v>0</v>
      </c>
      <c r="D132" s="505">
        <f t="shared" si="11"/>
        <v>0</v>
      </c>
      <c r="E132" s="505">
        <f t="shared" si="11"/>
        <v>0</v>
      </c>
      <c r="F132" s="505">
        <f t="shared" si="11"/>
        <v>0</v>
      </c>
      <c r="G132" s="505">
        <f t="shared" si="11"/>
        <v>0</v>
      </c>
      <c r="H132" s="58"/>
      <c r="I132" s="198">
        <f>IF(Qty!$J54=0,Qty!M54,Qty!M54*Qty!$J54)*'Prop. prices'!I132*I$7</f>
        <v>0</v>
      </c>
      <c r="J132" s="198">
        <f>IF(Qty!$J54=0,Qty!N54,Qty!N54*Qty!$J54)*'Prop. prices'!J132*J$7</f>
        <v>0</v>
      </c>
      <c r="K132" s="198">
        <f>IF(Qty!$J54=0,Qty!O54,Qty!O54*Qty!$J54)*'Prop. prices'!K132*K$7</f>
        <v>0</v>
      </c>
      <c r="L132" s="198">
        <f>IF(Qty!$J54=0,Qty!P54,Qty!P54*Qty!$J54)*'Prop. prices'!L132*L$7</f>
        <v>0</v>
      </c>
      <c r="M132" s="198">
        <f>IF(Qty!$J54=0,Qty!Q54,Qty!Q54*Qty!$J54)*'Prop. prices'!M132*M$7</f>
        <v>0</v>
      </c>
      <c r="N132" s="198">
        <f>IF(Qty!$J54=0,Qty!R54,Qty!R54*Qty!$J54)*'Prop. prices'!N132*N$7</f>
        <v>0</v>
      </c>
      <c r="O132" s="198">
        <f>IF(Qty!$J54=0,Qty!S54,Qty!S54*Qty!$J54)*'Prop. prices'!O132*O$7</f>
        <v>0</v>
      </c>
      <c r="P132" s="198">
        <f>IF(Qty!$J54=0,Qty!T54,Qty!T54*Qty!$J54)*'Prop. prices'!P132*P$7</f>
        <v>0</v>
      </c>
      <c r="Q132" s="198">
        <f>IF(Qty!$J54=0,Qty!U54,Qty!U54*Qty!$J54)*'Prop. prices'!Q132*Q$7</f>
        <v>0</v>
      </c>
      <c r="R132" s="198">
        <f>IF(Qty!$J54=0,Qty!V54,Qty!V54*Qty!$J54)*'Prop. prices'!R132*R$7</f>
        <v>0</v>
      </c>
      <c r="S132" s="198">
        <f>IF(Qty!$J54=0,Qty!W54,Qty!W54*Qty!$J54)*'Prop. prices'!S132*S$7</f>
        <v>0</v>
      </c>
      <c r="T132" s="198">
        <f>IF(Qty!$J54=0,Qty!X54,Qty!X54*Qty!$J54)*'Prop. prices'!T132*T$7</f>
        <v>0</v>
      </c>
      <c r="U132" s="198">
        <f>IF(Qty!$J54=0,Qty!Y54,Qty!Y54*Qty!$J54)*'Prop. prices'!U132*U$7</f>
        <v>0</v>
      </c>
      <c r="V132" s="198">
        <f>IF(Qty!$J54=0,Qty!Z54,Qty!Z54*Qty!$J54)*'Prop. prices'!V132*V$7</f>
        <v>0</v>
      </c>
      <c r="W132" s="198">
        <f>IF(Qty!$J54=0,Qty!AA54,Qty!AA54*Qty!$J54)*'Prop. prices'!W132*W$7</f>
        <v>0</v>
      </c>
      <c r="X132" s="198">
        <f>IF(Qty!$J54=0,Qty!AB54,Qty!AB54*Qty!$J54)*'Prop. prices'!X132*X$7</f>
        <v>0</v>
      </c>
      <c r="Y132" s="198">
        <f>IF(Qty!$J54=0,Qty!AC54,Qty!AC54*Qty!$J54)*'Prop. prices'!Y132*Y$7</f>
        <v>0</v>
      </c>
      <c r="Z132" s="198">
        <f>IF(Qty!$J54=0,Qty!AD54,Qty!AD54*Qty!$J54)*'Prop. prices'!Z132*Z$7</f>
        <v>0</v>
      </c>
      <c r="AA132" s="198">
        <f>IF(Qty!$J54=0,Qty!AE54,Qty!AE54*Qty!$J54)*'Prop. prices'!AA132*AA$7</f>
        <v>0</v>
      </c>
      <c r="AB132" s="198">
        <f>IF(Qty!$J54=0,Qty!AF54,Qty!AF54*Qty!$J54)*'Prop. prices'!AB132*AB$7</f>
        <v>0</v>
      </c>
      <c r="AC132" s="206">
        <f t="shared" si="10"/>
        <v>0</v>
      </c>
      <c r="AD132" s="19"/>
      <c r="AE132" s="19"/>
      <c r="AF132" s="19"/>
      <c r="AG132" s="19"/>
    </row>
    <row r="133" spans="1:33" hidden="1" outlineLevel="3" x14ac:dyDescent="0.2">
      <c r="A133" s="19"/>
      <c r="B133" s="19"/>
      <c r="C133" s="506">
        <f t="shared" si="11"/>
        <v>0</v>
      </c>
      <c r="D133" s="505">
        <f t="shared" si="11"/>
        <v>0</v>
      </c>
      <c r="E133" s="505">
        <f t="shared" si="11"/>
        <v>0</v>
      </c>
      <c r="F133" s="505">
        <f t="shared" si="11"/>
        <v>0</v>
      </c>
      <c r="G133" s="505">
        <f t="shared" si="11"/>
        <v>0</v>
      </c>
      <c r="H133" s="58"/>
      <c r="I133" s="198">
        <f>IF(Qty!$J55=0,Qty!M55,Qty!M55*Qty!$J55)*'Prop. prices'!I133*I$7</f>
        <v>0</v>
      </c>
      <c r="J133" s="198">
        <f>IF(Qty!$J55=0,Qty!N55,Qty!N55*Qty!$J55)*'Prop. prices'!J133*J$7</f>
        <v>0</v>
      </c>
      <c r="K133" s="198">
        <f>IF(Qty!$J55=0,Qty!O55,Qty!O55*Qty!$J55)*'Prop. prices'!K133*K$7</f>
        <v>0</v>
      </c>
      <c r="L133" s="198">
        <f>IF(Qty!$J55=0,Qty!P55,Qty!P55*Qty!$J55)*'Prop. prices'!L133*L$7</f>
        <v>0</v>
      </c>
      <c r="M133" s="198">
        <f>IF(Qty!$J55=0,Qty!Q55,Qty!Q55*Qty!$J55)*'Prop. prices'!M133*M$7</f>
        <v>0</v>
      </c>
      <c r="N133" s="198">
        <f>IF(Qty!$J55=0,Qty!R55,Qty!R55*Qty!$J55)*'Prop. prices'!N133*N$7</f>
        <v>0</v>
      </c>
      <c r="O133" s="198">
        <f>IF(Qty!$J55=0,Qty!S55,Qty!S55*Qty!$J55)*'Prop. prices'!O133*O$7</f>
        <v>0</v>
      </c>
      <c r="P133" s="198">
        <f>IF(Qty!$J55=0,Qty!T55,Qty!T55*Qty!$J55)*'Prop. prices'!P133*P$7</f>
        <v>0</v>
      </c>
      <c r="Q133" s="198">
        <f>IF(Qty!$J55=0,Qty!U55,Qty!U55*Qty!$J55)*'Prop. prices'!Q133*Q$7</f>
        <v>0</v>
      </c>
      <c r="R133" s="198">
        <f>IF(Qty!$J55=0,Qty!V55,Qty!V55*Qty!$J55)*'Prop. prices'!R133*R$7</f>
        <v>0</v>
      </c>
      <c r="S133" s="198">
        <f>IF(Qty!$J55=0,Qty!W55,Qty!W55*Qty!$J55)*'Prop. prices'!S133*S$7</f>
        <v>0</v>
      </c>
      <c r="T133" s="198">
        <f>IF(Qty!$J55=0,Qty!X55,Qty!X55*Qty!$J55)*'Prop. prices'!T133*T$7</f>
        <v>0</v>
      </c>
      <c r="U133" s="198">
        <f>IF(Qty!$J55=0,Qty!Y55,Qty!Y55*Qty!$J55)*'Prop. prices'!U133*U$7</f>
        <v>0</v>
      </c>
      <c r="V133" s="198">
        <f>IF(Qty!$J55=0,Qty!Z55,Qty!Z55*Qty!$J55)*'Prop. prices'!V133*V$7</f>
        <v>0</v>
      </c>
      <c r="W133" s="198">
        <f>IF(Qty!$J55=0,Qty!AA55,Qty!AA55*Qty!$J55)*'Prop. prices'!W133*W$7</f>
        <v>0</v>
      </c>
      <c r="X133" s="198">
        <f>IF(Qty!$J55=0,Qty!AB55,Qty!AB55*Qty!$J55)*'Prop. prices'!X133*X$7</f>
        <v>0</v>
      </c>
      <c r="Y133" s="198">
        <f>IF(Qty!$J55=0,Qty!AC55,Qty!AC55*Qty!$J55)*'Prop. prices'!Y133*Y$7</f>
        <v>0</v>
      </c>
      <c r="Z133" s="198">
        <f>IF(Qty!$J55=0,Qty!AD55,Qty!AD55*Qty!$J55)*'Prop. prices'!Z133*Z$7</f>
        <v>0</v>
      </c>
      <c r="AA133" s="198">
        <f>IF(Qty!$J55=0,Qty!AE55,Qty!AE55*Qty!$J55)*'Prop. prices'!AA133*AA$7</f>
        <v>0</v>
      </c>
      <c r="AB133" s="198">
        <f>IF(Qty!$J55=0,Qty!AF55,Qty!AF55*Qty!$J55)*'Prop. prices'!AB133*AB$7</f>
        <v>0</v>
      </c>
      <c r="AC133" s="206">
        <f t="shared" si="10"/>
        <v>0</v>
      </c>
      <c r="AD133" s="19"/>
      <c r="AE133" s="19"/>
      <c r="AF133" s="19"/>
      <c r="AG133" s="19"/>
    </row>
    <row r="134" spans="1:33" hidden="1" outlineLevel="3" x14ac:dyDescent="0.2">
      <c r="A134" s="19"/>
      <c r="B134" s="19"/>
      <c r="C134" s="506">
        <f t="shared" si="11"/>
        <v>0</v>
      </c>
      <c r="D134" s="505">
        <f t="shared" si="11"/>
        <v>0</v>
      </c>
      <c r="E134" s="505">
        <f t="shared" si="11"/>
        <v>0</v>
      </c>
      <c r="F134" s="505">
        <f t="shared" si="11"/>
        <v>0</v>
      </c>
      <c r="G134" s="505">
        <f t="shared" si="11"/>
        <v>0</v>
      </c>
      <c r="H134" s="58"/>
      <c r="I134" s="198">
        <f>IF(Qty!$J56=0,Qty!M56,Qty!M56*Qty!$J56)*'Prop. prices'!I134*I$7</f>
        <v>0</v>
      </c>
      <c r="J134" s="198">
        <f>IF(Qty!$J56=0,Qty!N56,Qty!N56*Qty!$J56)*'Prop. prices'!J134*J$7</f>
        <v>0</v>
      </c>
      <c r="K134" s="198">
        <f>IF(Qty!$J56=0,Qty!O56,Qty!O56*Qty!$J56)*'Prop. prices'!K134*K$7</f>
        <v>0</v>
      </c>
      <c r="L134" s="198">
        <f>IF(Qty!$J56=0,Qty!P56,Qty!P56*Qty!$J56)*'Prop. prices'!L134*L$7</f>
        <v>0</v>
      </c>
      <c r="M134" s="198">
        <f>IF(Qty!$J56=0,Qty!Q56,Qty!Q56*Qty!$J56)*'Prop. prices'!M134*M$7</f>
        <v>0</v>
      </c>
      <c r="N134" s="198">
        <f>IF(Qty!$J56=0,Qty!R56,Qty!R56*Qty!$J56)*'Prop. prices'!N134*N$7</f>
        <v>0</v>
      </c>
      <c r="O134" s="198">
        <f>IF(Qty!$J56=0,Qty!S56,Qty!S56*Qty!$J56)*'Prop. prices'!O134*O$7</f>
        <v>0</v>
      </c>
      <c r="P134" s="198">
        <f>IF(Qty!$J56=0,Qty!T56,Qty!T56*Qty!$J56)*'Prop. prices'!P134*P$7</f>
        <v>0</v>
      </c>
      <c r="Q134" s="198">
        <f>IF(Qty!$J56=0,Qty!U56,Qty!U56*Qty!$J56)*'Prop. prices'!Q134*Q$7</f>
        <v>0</v>
      </c>
      <c r="R134" s="198">
        <f>IF(Qty!$J56=0,Qty!V56,Qty!V56*Qty!$J56)*'Prop. prices'!R134*R$7</f>
        <v>0</v>
      </c>
      <c r="S134" s="198">
        <f>IF(Qty!$J56=0,Qty!W56,Qty!W56*Qty!$J56)*'Prop. prices'!S134*S$7</f>
        <v>0</v>
      </c>
      <c r="T134" s="198">
        <f>IF(Qty!$J56=0,Qty!X56,Qty!X56*Qty!$J56)*'Prop. prices'!T134*T$7</f>
        <v>0</v>
      </c>
      <c r="U134" s="198">
        <f>IF(Qty!$J56=0,Qty!Y56,Qty!Y56*Qty!$J56)*'Prop. prices'!U134*U$7</f>
        <v>0</v>
      </c>
      <c r="V134" s="198">
        <f>IF(Qty!$J56=0,Qty!Z56,Qty!Z56*Qty!$J56)*'Prop. prices'!V134*V$7</f>
        <v>0</v>
      </c>
      <c r="W134" s="198">
        <f>IF(Qty!$J56=0,Qty!AA56,Qty!AA56*Qty!$J56)*'Prop. prices'!W134*W$7</f>
        <v>0</v>
      </c>
      <c r="X134" s="198">
        <f>IF(Qty!$J56=0,Qty!AB56,Qty!AB56*Qty!$J56)*'Prop. prices'!X134*X$7</f>
        <v>0</v>
      </c>
      <c r="Y134" s="198">
        <f>IF(Qty!$J56=0,Qty!AC56,Qty!AC56*Qty!$J56)*'Prop. prices'!Y134*Y$7</f>
        <v>0</v>
      </c>
      <c r="Z134" s="198">
        <f>IF(Qty!$J56=0,Qty!AD56,Qty!AD56*Qty!$J56)*'Prop. prices'!Z134*Z$7</f>
        <v>0</v>
      </c>
      <c r="AA134" s="198">
        <f>IF(Qty!$J56=0,Qty!AE56,Qty!AE56*Qty!$J56)*'Prop. prices'!AA134*AA$7</f>
        <v>0</v>
      </c>
      <c r="AB134" s="198">
        <f>IF(Qty!$J56=0,Qty!AF56,Qty!AF56*Qty!$J56)*'Prop. prices'!AB134*AB$7</f>
        <v>0</v>
      </c>
      <c r="AC134" s="206">
        <f t="shared" si="10"/>
        <v>0</v>
      </c>
      <c r="AD134" s="19"/>
      <c r="AE134" s="19"/>
      <c r="AF134" s="19"/>
      <c r="AG134" s="19"/>
    </row>
    <row r="135" spans="1:33" hidden="1" outlineLevel="3" x14ac:dyDescent="0.2">
      <c r="A135" s="19"/>
      <c r="B135" s="19"/>
      <c r="C135" s="506">
        <f t="shared" si="11"/>
        <v>0</v>
      </c>
      <c r="D135" s="505">
        <f t="shared" si="11"/>
        <v>0</v>
      </c>
      <c r="E135" s="505">
        <f t="shared" si="11"/>
        <v>0</v>
      </c>
      <c r="F135" s="505">
        <f t="shared" si="11"/>
        <v>0</v>
      </c>
      <c r="G135" s="505">
        <f t="shared" si="11"/>
        <v>0</v>
      </c>
      <c r="H135" s="58"/>
      <c r="I135" s="198">
        <f>IF(Qty!$J57=0,Qty!M57,Qty!M57*Qty!$J57)*'Prop. prices'!I135*I$7</f>
        <v>0</v>
      </c>
      <c r="J135" s="198">
        <f>IF(Qty!$J57=0,Qty!N57,Qty!N57*Qty!$J57)*'Prop. prices'!J135*J$7</f>
        <v>0</v>
      </c>
      <c r="K135" s="198">
        <f>IF(Qty!$J57=0,Qty!O57,Qty!O57*Qty!$J57)*'Prop. prices'!K135*K$7</f>
        <v>0</v>
      </c>
      <c r="L135" s="198">
        <f>IF(Qty!$J57=0,Qty!P57,Qty!P57*Qty!$J57)*'Prop. prices'!L135*L$7</f>
        <v>0</v>
      </c>
      <c r="M135" s="198">
        <f>IF(Qty!$J57=0,Qty!Q57,Qty!Q57*Qty!$J57)*'Prop. prices'!M135*M$7</f>
        <v>0</v>
      </c>
      <c r="N135" s="198">
        <f>IF(Qty!$J57=0,Qty!R57,Qty!R57*Qty!$J57)*'Prop. prices'!N135*N$7</f>
        <v>0</v>
      </c>
      <c r="O135" s="198">
        <f>IF(Qty!$J57=0,Qty!S57,Qty!S57*Qty!$J57)*'Prop. prices'!O135*O$7</f>
        <v>0</v>
      </c>
      <c r="P135" s="198">
        <f>IF(Qty!$J57=0,Qty!T57,Qty!T57*Qty!$J57)*'Prop. prices'!P135*P$7</f>
        <v>0</v>
      </c>
      <c r="Q135" s="198">
        <f>IF(Qty!$J57=0,Qty!U57,Qty!U57*Qty!$J57)*'Prop. prices'!Q135*Q$7</f>
        <v>0</v>
      </c>
      <c r="R135" s="198">
        <f>IF(Qty!$J57=0,Qty!V57,Qty!V57*Qty!$J57)*'Prop. prices'!R135*R$7</f>
        <v>0</v>
      </c>
      <c r="S135" s="198">
        <f>IF(Qty!$J57=0,Qty!W57,Qty!W57*Qty!$J57)*'Prop. prices'!S135*S$7</f>
        <v>0</v>
      </c>
      <c r="T135" s="198">
        <f>IF(Qty!$J57=0,Qty!X57,Qty!X57*Qty!$J57)*'Prop. prices'!T135*T$7</f>
        <v>0</v>
      </c>
      <c r="U135" s="198">
        <f>IF(Qty!$J57=0,Qty!Y57,Qty!Y57*Qty!$J57)*'Prop. prices'!U135*U$7</f>
        <v>0</v>
      </c>
      <c r="V135" s="198">
        <f>IF(Qty!$J57=0,Qty!Z57,Qty!Z57*Qty!$J57)*'Prop. prices'!V135*V$7</f>
        <v>0</v>
      </c>
      <c r="W135" s="198">
        <f>IF(Qty!$J57=0,Qty!AA57,Qty!AA57*Qty!$J57)*'Prop. prices'!W135*W$7</f>
        <v>0</v>
      </c>
      <c r="X135" s="198">
        <f>IF(Qty!$J57=0,Qty!AB57,Qty!AB57*Qty!$J57)*'Prop. prices'!X135*X$7</f>
        <v>0</v>
      </c>
      <c r="Y135" s="198">
        <f>IF(Qty!$J57=0,Qty!AC57,Qty!AC57*Qty!$J57)*'Prop. prices'!Y135*Y$7</f>
        <v>0</v>
      </c>
      <c r="Z135" s="198">
        <f>IF(Qty!$J57=0,Qty!AD57,Qty!AD57*Qty!$J57)*'Prop. prices'!Z135*Z$7</f>
        <v>0</v>
      </c>
      <c r="AA135" s="198">
        <f>IF(Qty!$J57=0,Qty!AE57,Qty!AE57*Qty!$J57)*'Prop. prices'!AA135*AA$7</f>
        <v>0</v>
      </c>
      <c r="AB135" s="198">
        <f>IF(Qty!$J57=0,Qty!AF57,Qty!AF57*Qty!$J57)*'Prop. prices'!AB135*AB$7</f>
        <v>0</v>
      </c>
      <c r="AC135" s="206">
        <f t="shared" si="10"/>
        <v>0</v>
      </c>
      <c r="AD135" s="19"/>
      <c r="AE135" s="19"/>
      <c r="AF135" s="19"/>
      <c r="AG135" s="19"/>
    </row>
    <row r="136" spans="1:33" hidden="1" outlineLevel="3" x14ac:dyDescent="0.2">
      <c r="A136" s="19"/>
      <c r="B136" s="19"/>
      <c r="C136" s="506">
        <f t="shared" ref="C136:G145" si="12">C58</f>
        <v>0</v>
      </c>
      <c r="D136" s="505">
        <f t="shared" si="12"/>
        <v>0</v>
      </c>
      <c r="E136" s="505">
        <f t="shared" si="12"/>
        <v>0</v>
      </c>
      <c r="F136" s="505">
        <f t="shared" si="12"/>
        <v>0</v>
      </c>
      <c r="G136" s="505">
        <f t="shared" si="12"/>
        <v>0</v>
      </c>
      <c r="H136" s="58"/>
      <c r="I136" s="198">
        <f>IF(Qty!$J58=0,Qty!M58,Qty!M58*Qty!$J58)*'Prop. prices'!I136*I$7</f>
        <v>0</v>
      </c>
      <c r="J136" s="198">
        <f>IF(Qty!$J58=0,Qty!N58,Qty!N58*Qty!$J58)*'Prop. prices'!J136*J$7</f>
        <v>0</v>
      </c>
      <c r="K136" s="198">
        <f>IF(Qty!$J58=0,Qty!O58,Qty!O58*Qty!$J58)*'Prop. prices'!K136*K$7</f>
        <v>0</v>
      </c>
      <c r="L136" s="198">
        <f>IF(Qty!$J58=0,Qty!P58,Qty!P58*Qty!$J58)*'Prop. prices'!L136*L$7</f>
        <v>0</v>
      </c>
      <c r="M136" s="198">
        <f>IF(Qty!$J58=0,Qty!Q58,Qty!Q58*Qty!$J58)*'Prop. prices'!M136*M$7</f>
        <v>0</v>
      </c>
      <c r="N136" s="198">
        <f>IF(Qty!$J58=0,Qty!R58,Qty!R58*Qty!$J58)*'Prop. prices'!N136*N$7</f>
        <v>0</v>
      </c>
      <c r="O136" s="198">
        <f>IF(Qty!$J58=0,Qty!S58,Qty!S58*Qty!$J58)*'Prop. prices'!O136*O$7</f>
        <v>0</v>
      </c>
      <c r="P136" s="198">
        <f>IF(Qty!$J58=0,Qty!T58,Qty!T58*Qty!$J58)*'Prop. prices'!P136*P$7</f>
        <v>0</v>
      </c>
      <c r="Q136" s="198">
        <f>IF(Qty!$J58=0,Qty!U58,Qty!U58*Qty!$J58)*'Prop. prices'!Q136*Q$7</f>
        <v>0</v>
      </c>
      <c r="R136" s="198">
        <f>IF(Qty!$J58=0,Qty!V58,Qty!V58*Qty!$J58)*'Prop. prices'!R136*R$7</f>
        <v>0</v>
      </c>
      <c r="S136" s="198">
        <f>IF(Qty!$J58=0,Qty!W58,Qty!W58*Qty!$J58)*'Prop. prices'!S136*S$7</f>
        <v>0</v>
      </c>
      <c r="T136" s="198">
        <f>IF(Qty!$J58=0,Qty!X58,Qty!X58*Qty!$J58)*'Prop. prices'!T136*T$7</f>
        <v>0</v>
      </c>
      <c r="U136" s="198">
        <f>IF(Qty!$J58=0,Qty!Y58,Qty!Y58*Qty!$J58)*'Prop. prices'!U136*U$7</f>
        <v>0</v>
      </c>
      <c r="V136" s="198">
        <f>IF(Qty!$J58=0,Qty!Z58,Qty!Z58*Qty!$J58)*'Prop. prices'!V136*V$7</f>
        <v>0</v>
      </c>
      <c r="W136" s="198">
        <f>IF(Qty!$J58=0,Qty!AA58,Qty!AA58*Qty!$J58)*'Prop. prices'!W136*W$7</f>
        <v>0</v>
      </c>
      <c r="X136" s="198">
        <f>IF(Qty!$J58=0,Qty!AB58,Qty!AB58*Qty!$J58)*'Prop. prices'!X136*X$7</f>
        <v>0</v>
      </c>
      <c r="Y136" s="198">
        <f>IF(Qty!$J58=0,Qty!AC58,Qty!AC58*Qty!$J58)*'Prop. prices'!Y136*Y$7</f>
        <v>0</v>
      </c>
      <c r="Z136" s="198">
        <f>IF(Qty!$J58=0,Qty!AD58,Qty!AD58*Qty!$J58)*'Prop. prices'!Z136*Z$7</f>
        <v>0</v>
      </c>
      <c r="AA136" s="198">
        <f>IF(Qty!$J58=0,Qty!AE58,Qty!AE58*Qty!$J58)*'Prop. prices'!AA136*AA$7</f>
        <v>0</v>
      </c>
      <c r="AB136" s="198">
        <f>IF(Qty!$J58=0,Qty!AF58,Qty!AF58*Qty!$J58)*'Prop. prices'!AB136*AB$7</f>
        <v>0</v>
      </c>
      <c r="AC136" s="206">
        <f t="shared" si="10"/>
        <v>0</v>
      </c>
      <c r="AD136" s="19"/>
      <c r="AE136" s="19"/>
      <c r="AF136" s="19"/>
      <c r="AG136" s="19"/>
    </row>
    <row r="137" spans="1:33" hidden="1" outlineLevel="3" x14ac:dyDescent="0.2">
      <c r="A137" s="19"/>
      <c r="B137" s="19"/>
      <c r="C137" s="506">
        <f t="shared" si="12"/>
        <v>0</v>
      </c>
      <c r="D137" s="505">
        <f t="shared" si="12"/>
        <v>0</v>
      </c>
      <c r="E137" s="505">
        <f t="shared" si="12"/>
        <v>0</v>
      </c>
      <c r="F137" s="505">
        <f t="shared" si="12"/>
        <v>0</v>
      </c>
      <c r="G137" s="505">
        <f t="shared" si="12"/>
        <v>0</v>
      </c>
      <c r="H137" s="58"/>
      <c r="I137" s="198">
        <f>IF(Qty!$J59=0,Qty!M59,Qty!M59*Qty!$J59)*'Prop. prices'!I137*I$7</f>
        <v>0</v>
      </c>
      <c r="J137" s="198">
        <f>IF(Qty!$J59=0,Qty!N59,Qty!N59*Qty!$J59)*'Prop. prices'!J137*J$7</f>
        <v>0</v>
      </c>
      <c r="K137" s="198">
        <f>IF(Qty!$J59=0,Qty!O59,Qty!O59*Qty!$J59)*'Prop. prices'!K137*K$7</f>
        <v>0</v>
      </c>
      <c r="L137" s="198">
        <f>IF(Qty!$J59=0,Qty!P59,Qty!P59*Qty!$J59)*'Prop. prices'!L137*L$7</f>
        <v>0</v>
      </c>
      <c r="M137" s="198">
        <f>IF(Qty!$J59=0,Qty!Q59,Qty!Q59*Qty!$J59)*'Prop. prices'!M137*M$7</f>
        <v>0</v>
      </c>
      <c r="N137" s="198">
        <f>IF(Qty!$J59=0,Qty!R59,Qty!R59*Qty!$J59)*'Prop. prices'!N137*N$7</f>
        <v>0</v>
      </c>
      <c r="O137" s="198">
        <f>IF(Qty!$J59=0,Qty!S59,Qty!S59*Qty!$J59)*'Prop. prices'!O137*O$7</f>
        <v>0</v>
      </c>
      <c r="P137" s="198">
        <f>IF(Qty!$J59=0,Qty!T59,Qty!T59*Qty!$J59)*'Prop. prices'!P137*P$7</f>
        <v>0</v>
      </c>
      <c r="Q137" s="198">
        <f>IF(Qty!$J59=0,Qty!U59,Qty!U59*Qty!$J59)*'Prop. prices'!Q137*Q$7</f>
        <v>0</v>
      </c>
      <c r="R137" s="198">
        <f>IF(Qty!$J59=0,Qty!V59,Qty!V59*Qty!$J59)*'Prop. prices'!R137*R$7</f>
        <v>0</v>
      </c>
      <c r="S137" s="198">
        <f>IF(Qty!$J59=0,Qty!W59,Qty!W59*Qty!$J59)*'Prop. prices'!S137*S$7</f>
        <v>0</v>
      </c>
      <c r="T137" s="198">
        <f>IF(Qty!$J59=0,Qty!X59,Qty!X59*Qty!$J59)*'Prop. prices'!T137*T$7</f>
        <v>0</v>
      </c>
      <c r="U137" s="198">
        <f>IF(Qty!$J59=0,Qty!Y59,Qty!Y59*Qty!$J59)*'Prop. prices'!U137*U$7</f>
        <v>0</v>
      </c>
      <c r="V137" s="198">
        <f>IF(Qty!$J59=0,Qty!Z59,Qty!Z59*Qty!$J59)*'Prop. prices'!V137*V$7</f>
        <v>0</v>
      </c>
      <c r="W137" s="198">
        <f>IF(Qty!$J59=0,Qty!AA59,Qty!AA59*Qty!$J59)*'Prop. prices'!W137*W$7</f>
        <v>0</v>
      </c>
      <c r="X137" s="198">
        <f>IF(Qty!$J59=0,Qty!AB59,Qty!AB59*Qty!$J59)*'Prop. prices'!X137*X$7</f>
        <v>0</v>
      </c>
      <c r="Y137" s="198">
        <f>IF(Qty!$J59=0,Qty!AC59,Qty!AC59*Qty!$J59)*'Prop. prices'!Y137*Y$7</f>
        <v>0</v>
      </c>
      <c r="Z137" s="198">
        <f>IF(Qty!$J59=0,Qty!AD59,Qty!AD59*Qty!$J59)*'Prop. prices'!Z137*Z$7</f>
        <v>0</v>
      </c>
      <c r="AA137" s="198">
        <f>IF(Qty!$J59=0,Qty!AE59,Qty!AE59*Qty!$J59)*'Prop. prices'!AA137*AA$7</f>
        <v>0</v>
      </c>
      <c r="AB137" s="198">
        <f>IF(Qty!$J59=0,Qty!AF59,Qty!AF59*Qty!$J59)*'Prop. prices'!AB137*AB$7</f>
        <v>0</v>
      </c>
      <c r="AC137" s="206">
        <f t="shared" si="10"/>
        <v>0</v>
      </c>
      <c r="AD137" s="19"/>
      <c r="AE137" s="19"/>
      <c r="AF137" s="19"/>
      <c r="AG137" s="19"/>
    </row>
    <row r="138" spans="1:33" hidden="1" outlineLevel="3" x14ac:dyDescent="0.2">
      <c r="A138" s="19"/>
      <c r="B138" s="19"/>
      <c r="C138" s="506">
        <f t="shared" si="12"/>
        <v>0</v>
      </c>
      <c r="D138" s="505">
        <f t="shared" si="12"/>
        <v>0</v>
      </c>
      <c r="E138" s="505">
        <f t="shared" si="12"/>
        <v>0</v>
      </c>
      <c r="F138" s="505">
        <f t="shared" si="12"/>
        <v>0</v>
      </c>
      <c r="G138" s="505">
        <f t="shared" si="12"/>
        <v>0</v>
      </c>
      <c r="H138" s="58"/>
      <c r="I138" s="198">
        <f>IF(Qty!$J60=0,Qty!M60,Qty!M60*Qty!$J60)*'Prop. prices'!I138*I$7</f>
        <v>0</v>
      </c>
      <c r="J138" s="198">
        <f>IF(Qty!$J60=0,Qty!N60,Qty!N60*Qty!$J60)*'Prop. prices'!J138*J$7</f>
        <v>0</v>
      </c>
      <c r="K138" s="198">
        <f>IF(Qty!$J60=0,Qty!O60,Qty!O60*Qty!$J60)*'Prop. prices'!K138*K$7</f>
        <v>0</v>
      </c>
      <c r="L138" s="198">
        <f>IF(Qty!$J60=0,Qty!P60,Qty!P60*Qty!$J60)*'Prop. prices'!L138*L$7</f>
        <v>0</v>
      </c>
      <c r="M138" s="198">
        <f>IF(Qty!$J60=0,Qty!Q60,Qty!Q60*Qty!$J60)*'Prop. prices'!M138*M$7</f>
        <v>0</v>
      </c>
      <c r="N138" s="198">
        <f>IF(Qty!$J60=0,Qty!R60,Qty!R60*Qty!$J60)*'Prop. prices'!N138*N$7</f>
        <v>0</v>
      </c>
      <c r="O138" s="198">
        <f>IF(Qty!$J60=0,Qty!S60,Qty!S60*Qty!$J60)*'Prop. prices'!O138*O$7</f>
        <v>0</v>
      </c>
      <c r="P138" s="198">
        <f>IF(Qty!$J60=0,Qty!T60,Qty!T60*Qty!$J60)*'Prop. prices'!P138*P$7</f>
        <v>0</v>
      </c>
      <c r="Q138" s="198">
        <f>IF(Qty!$J60=0,Qty!U60,Qty!U60*Qty!$J60)*'Prop. prices'!Q138*Q$7</f>
        <v>0</v>
      </c>
      <c r="R138" s="198">
        <f>IF(Qty!$J60=0,Qty!V60,Qty!V60*Qty!$J60)*'Prop. prices'!R138*R$7</f>
        <v>0</v>
      </c>
      <c r="S138" s="198">
        <f>IF(Qty!$J60=0,Qty!W60,Qty!W60*Qty!$J60)*'Prop. prices'!S138*S$7</f>
        <v>0</v>
      </c>
      <c r="T138" s="198">
        <f>IF(Qty!$J60=0,Qty!X60,Qty!X60*Qty!$J60)*'Prop. prices'!T138*T$7</f>
        <v>0</v>
      </c>
      <c r="U138" s="198">
        <f>IF(Qty!$J60=0,Qty!Y60,Qty!Y60*Qty!$J60)*'Prop. prices'!U138*U$7</f>
        <v>0</v>
      </c>
      <c r="V138" s="198">
        <f>IF(Qty!$J60=0,Qty!Z60,Qty!Z60*Qty!$J60)*'Prop. prices'!V138*V$7</f>
        <v>0</v>
      </c>
      <c r="W138" s="198">
        <f>IF(Qty!$J60=0,Qty!AA60,Qty!AA60*Qty!$J60)*'Prop. prices'!W138*W$7</f>
        <v>0</v>
      </c>
      <c r="X138" s="198">
        <f>IF(Qty!$J60=0,Qty!AB60,Qty!AB60*Qty!$J60)*'Prop. prices'!X138*X$7</f>
        <v>0</v>
      </c>
      <c r="Y138" s="198">
        <f>IF(Qty!$J60=0,Qty!AC60,Qty!AC60*Qty!$J60)*'Prop. prices'!Y138*Y$7</f>
        <v>0</v>
      </c>
      <c r="Z138" s="198">
        <f>IF(Qty!$J60=0,Qty!AD60,Qty!AD60*Qty!$J60)*'Prop. prices'!Z138*Z$7</f>
        <v>0</v>
      </c>
      <c r="AA138" s="198">
        <f>IF(Qty!$J60=0,Qty!AE60,Qty!AE60*Qty!$J60)*'Prop. prices'!AA138*AA$7</f>
        <v>0</v>
      </c>
      <c r="AB138" s="198">
        <f>IF(Qty!$J60=0,Qty!AF60,Qty!AF60*Qty!$J60)*'Prop. prices'!AB138*AB$7</f>
        <v>0</v>
      </c>
      <c r="AC138" s="206">
        <f t="shared" si="10"/>
        <v>0</v>
      </c>
      <c r="AD138" s="19"/>
      <c r="AE138" s="19"/>
      <c r="AF138" s="19"/>
      <c r="AG138" s="19"/>
    </row>
    <row r="139" spans="1:33" hidden="1" outlineLevel="3" x14ac:dyDescent="0.2">
      <c r="A139" s="19"/>
      <c r="B139" s="19"/>
      <c r="C139" s="506">
        <f t="shared" si="12"/>
        <v>0</v>
      </c>
      <c r="D139" s="505">
        <f t="shared" si="12"/>
        <v>0</v>
      </c>
      <c r="E139" s="505">
        <f t="shared" si="12"/>
        <v>0</v>
      </c>
      <c r="F139" s="505">
        <f t="shared" si="12"/>
        <v>0</v>
      </c>
      <c r="G139" s="505">
        <f t="shared" si="12"/>
        <v>0</v>
      </c>
      <c r="H139" s="58"/>
      <c r="I139" s="198">
        <f>IF(Qty!$J61=0,Qty!M61,Qty!M61*Qty!$J61)*'Prop. prices'!I139*I$7</f>
        <v>0</v>
      </c>
      <c r="J139" s="198">
        <f>IF(Qty!$J61=0,Qty!N61,Qty!N61*Qty!$J61)*'Prop. prices'!J139*J$7</f>
        <v>0</v>
      </c>
      <c r="K139" s="198">
        <f>IF(Qty!$J61=0,Qty!O61,Qty!O61*Qty!$J61)*'Prop. prices'!K139*K$7</f>
        <v>0</v>
      </c>
      <c r="L139" s="198">
        <f>IF(Qty!$J61=0,Qty!P61,Qty!P61*Qty!$J61)*'Prop. prices'!L139*L$7</f>
        <v>0</v>
      </c>
      <c r="M139" s="198">
        <f>IF(Qty!$J61=0,Qty!Q61,Qty!Q61*Qty!$J61)*'Prop. prices'!M139*M$7</f>
        <v>0</v>
      </c>
      <c r="N139" s="198">
        <f>IF(Qty!$J61=0,Qty!R61,Qty!R61*Qty!$J61)*'Prop. prices'!N139*N$7</f>
        <v>0</v>
      </c>
      <c r="O139" s="198">
        <f>IF(Qty!$J61=0,Qty!S61,Qty!S61*Qty!$J61)*'Prop. prices'!O139*O$7</f>
        <v>0</v>
      </c>
      <c r="P139" s="198">
        <f>IF(Qty!$J61=0,Qty!T61,Qty!T61*Qty!$J61)*'Prop. prices'!P139*P$7</f>
        <v>0</v>
      </c>
      <c r="Q139" s="198">
        <f>IF(Qty!$J61=0,Qty!U61,Qty!U61*Qty!$J61)*'Prop. prices'!Q139*Q$7</f>
        <v>0</v>
      </c>
      <c r="R139" s="198">
        <f>IF(Qty!$J61=0,Qty!V61,Qty!V61*Qty!$J61)*'Prop. prices'!R139*R$7</f>
        <v>0</v>
      </c>
      <c r="S139" s="198">
        <f>IF(Qty!$J61=0,Qty!W61,Qty!W61*Qty!$J61)*'Prop. prices'!S139*S$7</f>
        <v>0</v>
      </c>
      <c r="T139" s="198">
        <f>IF(Qty!$J61=0,Qty!X61,Qty!X61*Qty!$J61)*'Prop. prices'!T139*T$7</f>
        <v>0</v>
      </c>
      <c r="U139" s="198">
        <f>IF(Qty!$J61=0,Qty!Y61,Qty!Y61*Qty!$J61)*'Prop. prices'!U139*U$7</f>
        <v>0</v>
      </c>
      <c r="V139" s="198">
        <f>IF(Qty!$J61=0,Qty!Z61,Qty!Z61*Qty!$J61)*'Prop. prices'!V139*V$7</f>
        <v>0</v>
      </c>
      <c r="W139" s="198">
        <f>IF(Qty!$J61=0,Qty!AA61,Qty!AA61*Qty!$J61)*'Prop. prices'!W139*W$7</f>
        <v>0</v>
      </c>
      <c r="X139" s="198">
        <f>IF(Qty!$J61=0,Qty!AB61,Qty!AB61*Qty!$J61)*'Prop. prices'!X139*X$7</f>
        <v>0</v>
      </c>
      <c r="Y139" s="198">
        <f>IF(Qty!$J61=0,Qty!AC61,Qty!AC61*Qty!$J61)*'Prop. prices'!Y139*Y$7</f>
        <v>0</v>
      </c>
      <c r="Z139" s="198">
        <f>IF(Qty!$J61=0,Qty!AD61,Qty!AD61*Qty!$J61)*'Prop. prices'!Z139*Z$7</f>
        <v>0</v>
      </c>
      <c r="AA139" s="198">
        <f>IF(Qty!$J61=0,Qty!AE61,Qty!AE61*Qty!$J61)*'Prop. prices'!AA139*AA$7</f>
        <v>0</v>
      </c>
      <c r="AB139" s="198">
        <f>IF(Qty!$J61=0,Qty!AF61,Qty!AF61*Qty!$J61)*'Prop. prices'!AB139*AB$7</f>
        <v>0</v>
      </c>
      <c r="AC139" s="206">
        <f t="shared" si="10"/>
        <v>0</v>
      </c>
      <c r="AD139" s="19"/>
      <c r="AE139" s="19"/>
      <c r="AF139" s="19"/>
      <c r="AG139" s="19"/>
    </row>
    <row r="140" spans="1:33" hidden="1" outlineLevel="3" x14ac:dyDescent="0.2">
      <c r="A140" s="19"/>
      <c r="B140" s="19"/>
      <c r="C140" s="506">
        <f t="shared" si="12"/>
        <v>0</v>
      </c>
      <c r="D140" s="505">
        <f t="shared" si="12"/>
        <v>0</v>
      </c>
      <c r="E140" s="505">
        <f t="shared" si="12"/>
        <v>0</v>
      </c>
      <c r="F140" s="505">
        <f t="shared" si="12"/>
        <v>0</v>
      </c>
      <c r="G140" s="505">
        <f t="shared" si="12"/>
        <v>0</v>
      </c>
      <c r="H140" s="58"/>
      <c r="I140" s="198">
        <f>IF(Qty!$J62=0,Qty!M62,Qty!M62*Qty!$J62)*'Prop. prices'!I140*I$7</f>
        <v>0</v>
      </c>
      <c r="J140" s="198">
        <f>IF(Qty!$J62=0,Qty!N62,Qty!N62*Qty!$J62)*'Prop. prices'!J140*J$7</f>
        <v>0</v>
      </c>
      <c r="K140" s="198">
        <f>IF(Qty!$J62=0,Qty!O62,Qty!O62*Qty!$J62)*'Prop. prices'!K140*K$7</f>
        <v>0</v>
      </c>
      <c r="L140" s="198">
        <f>IF(Qty!$J62=0,Qty!P62,Qty!P62*Qty!$J62)*'Prop. prices'!L140*L$7</f>
        <v>0</v>
      </c>
      <c r="M140" s="198">
        <f>IF(Qty!$J62=0,Qty!Q62,Qty!Q62*Qty!$J62)*'Prop. prices'!M140*M$7</f>
        <v>0</v>
      </c>
      <c r="N140" s="198">
        <f>IF(Qty!$J62=0,Qty!R62,Qty!R62*Qty!$J62)*'Prop. prices'!N140*N$7</f>
        <v>0</v>
      </c>
      <c r="O140" s="198">
        <f>IF(Qty!$J62=0,Qty!S62,Qty!S62*Qty!$J62)*'Prop. prices'!O140*O$7</f>
        <v>0</v>
      </c>
      <c r="P140" s="198">
        <f>IF(Qty!$J62=0,Qty!T62,Qty!T62*Qty!$J62)*'Prop. prices'!P140*P$7</f>
        <v>0</v>
      </c>
      <c r="Q140" s="198">
        <f>IF(Qty!$J62=0,Qty!U62,Qty!U62*Qty!$J62)*'Prop. prices'!Q140*Q$7</f>
        <v>0</v>
      </c>
      <c r="R140" s="198">
        <f>IF(Qty!$J62=0,Qty!V62,Qty!V62*Qty!$J62)*'Prop. prices'!R140*R$7</f>
        <v>0</v>
      </c>
      <c r="S140" s="198">
        <f>IF(Qty!$J62=0,Qty!W62,Qty!W62*Qty!$J62)*'Prop. prices'!S140*S$7</f>
        <v>0</v>
      </c>
      <c r="T140" s="198">
        <f>IF(Qty!$J62=0,Qty!X62,Qty!X62*Qty!$J62)*'Prop. prices'!T140*T$7</f>
        <v>0</v>
      </c>
      <c r="U140" s="198">
        <f>IF(Qty!$J62=0,Qty!Y62,Qty!Y62*Qty!$J62)*'Prop. prices'!U140*U$7</f>
        <v>0</v>
      </c>
      <c r="V140" s="198">
        <f>IF(Qty!$J62=0,Qty!Z62,Qty!Z62*Qty!$J62)*'Prop. prices'!V140*V$7</f>
        <v>0</v>
      </c>
      <c r="W140" s="198">
        <f>IF(Qty!$J62=0,Qty!AA62,Qty!AA62*Qty!$J62)*'Prop. prices'!W140*W$7</f>
        <v>0</v>
      </c>
      <c r="X140" s="198">
        <f>IF(Qty!$J62=0,Qty!AB62,Qty!AB62*Qty!$J62)*'Prop. prices'!X140*X$7</f>
        <v>0</v>
      </c>
      <c r="Y140" s="198">
        <f>IF(Qty!$J62=0,Qty!AC62,Qty!AC62*Qty!$J62)*'Prop. prices'!Y140*Y$7</f>
        <v>0</v>
      </c>
      <c r="Z140" s="198">
        <f>IF(Qty!$J62=0,Qty!AD62,Qty!AD62*Qty!$J62)*'Prop. prices'!Z140*Z$7</f>
        <v>0</v>
      </c>
      <c r="AA140" s="198">
        <f>IF(Qty!$J62=0,Qty!AE62,Qty!AE62*Qty!$J62)*'Prop. prices'!AA140*AA$7</f>
        <v>0</v>
      </c>
      <c r="AB140" s="198">
        <f>IF(Qty!$J62=0,Qty!AF62,Qty!AF62*Qty!$J62)*'Prop. prices'!AB140*AB$7</f>
        <v>0</v>
      </c>
      <c r="AC140" s="206">
        <f t="shared" si="10"/>
        <v>0</v>
      </c>
      <c r="AD140" s="19"/>
      <c r="AE140" s="19"/>
      <c r="AF140" s="19"/>
      <c r="AG140" s="19"/>
    </row>
    <row r="141" spans="1:33" hidden="1" outlineLevel="3" x14ac:dyDescent="0.2">
      <c r="A141" s="19"/>
      <c r="B141" s="19"/>
      <c r="C141" s="506">
        <f t="shared" si="12"/>
        <v>0</v>
      </c>
      <c r="D141" s="505">
        <f t="shared" si="12"/>
        <v>0</v>
      </c>
      <c r="E141" s="505">
        <f t="shared" si="12"/>
        <v>0</v>
      </c>
      <c r="F141" s="505">
        <f t="shared" si="12"/>
        <v>0</v>
      </c>
      <c r="G141" s="505">
        <f t="shared" si="12"/>
        <v>0</v>
      </c>
      <c r="H141" s="58"/>
      <c r="I141" s="198">
        <f>IF(Qty!$J63=0,Qty!M63,Qty!M63*Qty!$J63)*'Prop. prices'!I141*I$7</f>
        <v>0</v>
      </c>
      <c r="J141" s="198">
        <f>IF(Qty!$J63=0,Qty!N63,Qty!N63*Qty!$J63)*'Prop. prices'!J141*J$7</f>
        <v>0</v>
      </c>
      <c r="K141" s="198">
        <f>IF(Qty!$J63=0,Qty!O63,Qty!O63*Qty!$J63)*'Prop. prices'!K141*K$7</f>
        <v>0</v>
      </c>
      <c r="L141" s="198">
        <f>IF(Qty!$J63=0,Qty!P63,Qty!P63*Qty!$J63)*'Prop. prices'!L141*L$7</f>
        <v>0</v>
      </c>
      <c r="M141" s="198">
        <f>IF(Qty!$J63=0,Qty!Q63,Qty!Q63*Qty!$J63)*'Prop. prices'!M141*M$7</f>
        <v>0</v>
      </c>
      <c r="N141" s="198">
        <f>IF(Qty!$J63=0,Qty!R63,Qty!R63*Qty!$J63)*'Prop. prices'!N141*N$7</f>
        <v>0</v>
      </c>
      <c r="O141" s="198">
        <f>IF(Qty!$J63=0,Qty!S63,Qty!S63*Qty!$J63)*'Prop. prices'!O141*O$7</f>
        <v>0</v>
      </c>
      <c r="P141" s="198">
        <f>IF(Qty!$J63=0,Qty!T63,Qty!T63*Qty!$J63)*'Prop. prices'!P141*P$7</f>
        <v>0</v>
      </c>
      <c r="Q141" s="198">
        <f>IF(Qty!$J63=0,Qty!U63,Qty!U63*Qty!$J63)*'Prop. prices'!Q141*Q$7</f>
        <v>0</v>
      </c>
      <c r="R141" s="198">
        <f>IF(Qty!$J63=0,Qty!V63,Qty!V63*Qty!$J63)*'Prop. prices'!R141*R$7</f>
        <v>0</v>
      </c>
      <c r="S141" s="198">
        <f>IF(Qty!$J63=0,Qty!W63,Qty!W63*Qty!$J63)*'Prop. prices'!S141*S$7</f>
        <v>0</v>
      </c>
      <c r="T141" s="198">
        <f>IF(Qty!$J63=0,Qty!X63,Qty!X63*Qty!$J63)*'Prop. prices'!T141*T$7</f>
        <v>0</v>
      </c>
      <c r="U141" s="198">
        <f>IF(Qty!$J63=0,Qty!Y63,Qty!Y63*Qty!$J63)*'Prop. prices'!U141*U$7</f>
        <v>0</v>
      </c>
      <c r="V141" s="198">
        <f>IF(Qty!$J63=0,Qty!Z63,Qty!Z63*Qty!$J63)*'Prop. prices'!V141*V$7</f>
        <v>0</v>
      </c>
      <c r="W141" s="198">
        <f>IF(Qty!$J63=0,Qty!AA63,Qty!AA63*Qty!$J63)*'Prop. prices'!W141*W$7</f>
        <v>0</v>
      </c>
      <c r="X141" s="198">
        <f>IF(Qty!$J63=0,Qty!AB63,Qty!AB63*Qty!$J63)*'Prop. prices'!X141*X$7</f>
        <v>0</v>
      </c>
      <c r="Y141" s="198">
        <f>IF(Qty!$J63=0,Qty!AC63,Qty!AC63*Qty!$J63)*'Prop. prices'!Y141*Y$7</f>
        <v>0</v>
      </c>
      <c r="Z141" s="198">
        <f>IF(Qty!$J63=0,Qty!AD63,Qty!AD63*Qty!$J63)*'Prop. prices'!Z141*Z$7</f>
        <v>0</v>
      </c>
      <c r="AA141" s="198">
        <f>IF(Qty!$J63=0,Qty!AE63,Qty!AE63*Qty!$J63)*'Prop. prices'!AA141*AA$7</f>
        <v>0</v>
      </c>
      <c r="AB141" s="198">
        <f>IF(Qty!$J63=0,Qty!AF63,Qty!AF63*Qty!$J63)*'Prop. prices'!AB141*AB$7</f>
        <v>0</v>
      </c>
      <c r="AC141" s="206">
        <f t="shared" si="10"/>
        <v>0</v>
      </c>
      <c r="AD141" s="19"/>
      <c r="AE141" s="19"/>
      <c r="AF141" s="19"/>
      <c r="AG141" s="19"/>
    </row>
    <row r="142" spans="1:33" hidden="1" outlineLevel="3" x14ac:dyDescent="0.2">
      <c r="A142" s="19"/>
      <c r="B142" s="19"/>
      <c r="C142" s="506">
        <f t="shared" si="12"/>
        <v>0</v>
      </c>
      <c r="D142" s="505">
        <f t="shared" si="12"/>
        <v>0</v>
      </c>
      <c r="E142" s="505">
        <f t="shared" si="12"/>
        <v>0</v>
      </c>
      <c r="F142" s="505">
        <f t="shared" si="12"/>
        <v>0</v>
      </c>
      <c r="G142" s="505">
        <f t="shared" si="12"/>
        <v>0</v>
      </c>
      <c r="H142" s="58"/>
      <c r="I142" s="198">
        <f>IF(Qty!$J64=0,Qty!M64,Qty!M64*Qty!$J64)*'Prop. prices'!I142*I$7</f>
        <v>0</v>
      </c>
      <c r="J142" s="198">
        <f>IF(Qty!$J64=0,Qty!N64,Qty!N64*Qty!$J64)*'Prop. prices'!J142*J$7</f>
        <v>0</v>
      </c>
      <c r="K142" s="198">
        <f>IF(Qty!$J64=0,Qty!O64,Qty!O64*Qty!$J64)*'Prop. prices'!K142*K$7</f>
        <v>0</v>
      </c>
      <c r="L142" s="198">
        <f>IF(Qty!$J64=0,Qty!P64,Qty!P64*Qty!$J64)*'Prop. prices'!L142*L$7</f>
        <v>0</v>
      </c>
      <c r="M142" s="198">
        <f>IF(Qty!$J64=0,Qty!Q64,Qty!Q64*Qty!$J64)*'Prop. prices'!M142*M$7</f>
        <v>0</v>
      </c>
      <c r="N142" s="198">
        <f>IF(Qty!$J64=0,Qty!R64,Qty!R64*Qty!$J64)*'Prop. prices'!N142*N$7</f>
        <v>0</v>
      </c>
      <c r="O142" s="198">
        <f>IF(Qty!$J64=0,Qty!S64,Qty!S64*Qty!$J64)*'Prop. prices'!O142*O$7</f>
        <v>0</v>
      </c>
      <c r="P142" s="198">
        <f>IF(Qty!$J64=0,Qty!T64,Qty!T64*Qty!$J64)*'Prop. prices'!P142*P$7</f>
        <v>0</v>
      </c>
      <c r="Q142" s="198">
        <f>IF(Qty!$J64=0,Qty!U64,Qty!U64*Qty!$J64)*'Prop. prices'!Q142*Q$7</f>
        <v>0</v>
      </c>
      <c r="R142" s="198">
        <f>IF(Qty!$J64=0,Qty!V64,Qty!V64*Qty!$J64)*'Prop. prices'!R142*R$7</f>
        <v>0</v>
      </c>
      <c r="S142" s="198">
        <f>IF(Qty!$J64=0,Qty!W64,Qty!W64*Qty!$J64)*'Prop. prices'!S142*S$7</f>
        <v>0</v>
      </c>
      <c r="T142" s="198">
        <f>IF(Qty!$J64=0,Qty!X64,Qty!X64*Qty!$J64)*'Prop. prices'!T142*T$7</f>
        <v>0</v>
      </c>
      <c r="U142" s="198">
        <f>IF(Qty!$J64=0,Qty!Y64,Qty!Y64*Qty!$J64)*'Prop. prices'!U142*U$7</f>
        <v>0</v>
      </c>
      <c r="V142" s="198">
        <f>IF(Qty!$J64=0,Qty!Z64,Qty!Z64*Qty!$J64)*'Prop. prices'!V142*V$7</f>
        <v>0</v>
      </c>
      <c r="W142" s="198">
        <f>IF(Qty!$J64=0,Qty!AA64,Qty!AA64*Qty!$J64)*'Prop. prices'!W142*W$7</f>
        <v>0</v>
      </c>
      <c r="X142" s="198">
        <f>IF(Qty!$J64=0,Qty!AB64,Qty!AB64*Qty!$J64)*'Prop. prices'!X142*X$7</f>
        <v>0</v>
      </c>
      <c r="Y142" s="198">
        <f>IF(Qty!$J64=0,Qty!AC64,Qty!AC64*Qty!$J64)*'Prop. prices'!Y142*Y$7</f>
        <v>0</v>
      </c>
      <c r="Z142" s="198">
        <f>IF(Qty!$J64=0,Qty!AD64,Qty!AD64*Qty!$J64)*'Prop. prices'!Z142*Z$7</f>
        <v>0</v>
      </c>
      <c r="AA142" s="198">
        <f>IF(Qty!$J64=0,Qty!AE64,Qty!AE64*Qty!$J64)*'Prop. prices'!AA142*AA$7</f>
        <v>0</v>
      </c>
      <c r="AB142" s="198">
        <f>IF(Qty!$J64=0,Qty!AF64,Qty!AF64*Qty!$J64)*'Prop. prices'!AB142*AB$7</f>
        <v>0</v>
      </c>
      <c r="AC142" s="206">
        <f t="shared" si="10"/>
        <v>0</v>
      </c>
      <c r="AD142" s="19"/>
      <c r="AE142" s="19"/>
      <c r="AF142" s="19"/>
      <c r="AG142" s="19"/>
    </row>
    <row r="143" spans="1:33" hidden="1" outlineLevel="3" x14ac:dyDescent="0.2">
      <c r="A143" s="19"/>
      <c r="B143" s="19"/>
      <c r="C143" s="506">
        <f t="shared" si="12"/>
        <v>0</v>
      </c>
      <c r="D143" s="505">
        <f t="shared" si="12"/>
        <v>0</v>
      </c>
      <c r="E143" s="505">
        <f t="shared" si="12"/>
        <v>0</v>
      </c>
      <c r="F143" s="505">
        <f t="shared" si="12"/>
        <v>0</v>
      </c>
      <c r="G143" s="505">
        <f t="shared" si="12"/>
        <v>0</v>
      </c>
      <c r="H143" s="58"/>
      <c r="I143" s="198">
        <f>IF(Qty!$J65=0,Qty!M65,Qty!M65*Qty!$J65)*'Prop. prices'!I143*I$7</f>
        <v>0</v>
      </c>
      <c r="J143" s="198">
        <f>IF(Qty!$J65=0,Qty!N65,Qty!N65*Qty!$J65)*'Prop. prices'!J143*J$7</f>
        <v>0</v>
      </c>
      <c r="K143" s="198">
        <f>IF(Qty!$J65=0,Qty!O65,Qty!O65*Qty!$J65)*'Prop. prices'!K143*K$7</f>
        <v>0</v>
      </c>
      <c r="L143" s="198">
        <f>IF(Qty!$J65=0,Qty!P65,Qty!P65*Qty!$J65)*'Prop. prices'!L143*L$7</f>
        <v>0</v>
      </c>
      <c r="M143" s="198">
        <f>IF(Qty!$J65=0,Qty!Q65,Qty!Q65*Qty!$J65)*'Prop. prices'!M143*M$7</f>
        <v>0</v>
      </c>
      <c r="N143" s="198">
        <f>IF(Qty!$J65=0,Qty!R65,Qty!R65*Qty!$J65)*'Prop. prices'!N143*N$7</f>
        <v>0</v>
      </c>
      <c r="O143" s="198">
        <f>IF(Qty!$J65=0,Qty!S65,Qty!S65*Qty!$J65)*'Prop. prices'!O143*O$7</f>
        <v>0</v>
      </c>
      <c r="P143" s="198">
        <f>IF(Qty!$J65=0,Qty!T65,Qty!T65*Qty!$J65)*'Prop. prices'!P143*P$7</f>
        <v>0</v>
      </c>
      <c r="Q143" s="198">
        <f>IF(Qty!$J65=0,Qty!U65,Qty!U65*Qty!$J65)*'Prop. prices'!Q143*Q$7</f>
        <v>0</v>
      </c>
      <c r="R143" s="198">
        <f>IF(Qty!$J65=0,Qty!V65,Qty!V65*Qty!$J65)*'Prop. prices'!R143*R$7</f>
        <v>0</v>
      </c>
      <c r="S143" s="198">
        <f>IF(Qty!$J65=0,Qty!W65,Qty!W65*Qty!$J65)*'Prop. prices'!S143*S$7</f>
        <v>0</v>
      </c>
      <c r="T143" s="198">
        <f>IF(Qty!$J65=0,Qty!X65,Qty!X65*Qty!$J65)*'Prop. prices'!T143*T$7</f>
        <v>0</v>
      </c>
      <c r="U143" s="198">
        <f>IF(Qty!$J65=0,Qty!Y65,Qty!Y65*Qty!$J65)*'Prop. prices'!U143*U$7</f>
        <v>0</v>
      </c>
      <c r="V143" s="198">
        <f>IF(Qty!$J65=0,Qty!Z65,Qty!Z65*Qty!$J65)*'Prop. prices'!V143*V$7</f>
        <v>0</v>
      </c>
      <c r="W143" s="198">
        <f>IF(Qty!$J65=0,Qty!AA65,Qty!AA65*Qty!$J65)*'Prop. prices'!W143*W$7</f>
        <v>0</v>
      </c>
      <c r="X143" s="198">
        <f>IF(Qty!$J65=0,Qty!AB65,Qty!AB65*Qty!$J65)*'Prop. prices'!X143*X$7</f>
        <v>0</v>
      </c>
      <c r="Y143" s="198">
        <f>IF(Qty!$J65=0,Qty!AC65,Qty!AC65*Qty!$J65)*'Prop. prices'!Y143*Y$7</f>
        <v>0</v>
      </c>
      <c r="Z143" s="198">
        <f>IF(Qty!$J65=0,Qty!AD65,Qty!AD65*Qty!$J65)*'Prop. prices'!Z143*Z$7</f>
        <v>0</v>
      </c>
      <c r="AA143" s="198">
        <f>IF(Qty!$J65=0,Qty!AE65,Qty!AE65*Qty!$J65)*'Prop. prices'!AA143*AA$7</f>
        <v>0</v>
      </c>
      <c r="AB143" s="198">
        <f>IF(Qty!$J65=0,Qty!AF65,Qty!AF65*Qty!$J65)*'Prop. prices'!AB143*AB$7</f>
        <v>0</v>
      </c>
      <c r="AC143" s="206">
        <f t="shared" si="10"/>
        <v>0</v>
      </c>
      <c r="AD143" s="19"/>
      <c r="AE143" s="19"/>
      <c r="AF143" s="19"/>
      <c r="AG143" s="19"/>
    </row>
    <row r="144" spans="1:33" hidden="1" outlineLevel="3" x14ac:dyDescent="0.2">
      <c r="A144" s="19"/>
      <c r="B144" s="19"/>
      <c r="C144" s="506">
        <f t="shared" si="12"/>
        <v>0</v>
      </c>
      <c r="D144" s="505">
        <f t="shared" si="12"/>
        <v>0</v>
      </c>
      <c r="E144" s="505">
        <f t="shared" si="12"/>
        <v>0</v>
      </c>
      <c r="F144" s="505">
        <f t="shared" si="12"/>
        <v>0</v>
      </c>
      <c r="G144" s="505">
        <f t="shared" si="12"/>
        <v>0</v>
      </c>
      <c r="H144" s="58"/>
      <c r="I144" s="198">
        <f>IF(Qty!$J66=0,Qty!M66,Qty!M66*Qty!$J66)*'Prop. prices'!I144*I$7</f>
        <v>0</v>
      </c>
      <c r="J144" s="198">
        <f>IF(Qty!$J66=0,Qty!N66,Qty!N66*Qty!$J66)*'Prop. prices'!J144*J$7</f>
        <v>0</v>
      </c>
      <c r="K144" s="198">
        <f>IF(Qty!$J66=0,Qty!O66,Qty!O66*Qty!$J66)*'Prop. prices'!K144*K$7</f>
        <v>0</v>
      </c>
      <c r="L144" s="198">
        <f>IF(Qty!$J66=0,Qty!P66,Qty!P66*Qty!$J66)*'Prop. prices'!L144*L$7</f>
        <v>0</v>
      </c>
      <c r="M144" s="198">
        <f>IF(Qty!$J66=0,Qty!Q66,Qty!Q66*Qty!$J66)*'Prop. prices'!M144*M$7</f>
        <v>0</v>
      </c>
      <c r="N144" s="198">
        <f>IF(Qty!$J66=0,Qty!R66,Qty!R66*Qty!$J66)*'Prop. prices'!N144*N$7</f>
        <v>0</v>
      </c>
      <c r="O144" s="198">
        <f>IF(Qty!$J66=0,Qty!S66,Qty!S66*Qty!$J66)*'Prop. prices'!O144*O$7</f>
        <v>0</v>
      </c>
      <c r="P144" s="198">
        <f>IF(Qty!$J66=0,Qty!T66,Qty!T66*Qty!$J66)*'Prop. prices'!P144*P$7</f>
        <v>0</v>
      </c>
      <c r="Q144" s="198">
        <f>IF(Qty!$J66=0,Qty!U66,Qty!U66*Qty!$J66)*'Prop. prices'!Q144*Q$7</f>
        <v>0</v>
      </c>
      <c r="R144" s="198">
        <f>IF(Qty!$J66=0,Qty!V66,Qty!V66*Qty!$J66)*'Prop. prices'!R144*R$7</f>
        <v>0</v>
      </c>
      <c r="S144" s="198">
        <f>IF(Qty!$J66=0,Qty!W66,Qty!W66*Qty!$J66)*'Prop. prices'!S144*S$7</f>
        <v>0</v>
      </c>
      <c r="T144" s="198">
        <f>IF(Qty!$J66=0,Qty!X66,Qty!X66*Qty!$J66)*'Prop. prices'!T144*T$7</f>
        <v>0</v>
      </c>
      <c r="U144" s="198">
        <f>IF(Qty!$J66=0,Qty!Y66,Qty!Y66*Qty!$J66)*'Prop. prices'!U144*U$7</f>
        <v>0</v>
      </c>
      <c r="V144" s="198">
        <f>IF(Qty!$J66=0,Qty!Z66,Qty!Z66*Qty!$J66)*'Prop. prices'!V144*V$7</f>
        <v>0</v>
      </c>
      <c r="W144" s="198">
        <f>IF(Qty!$J66=0,Qty!AA66,Qty!AA66*Qty!$J66)*'Prop. prices'!W144*W$7</f>
        <v>0</v>
      </c>
      <c r="X144" s="198">
        <f>IF(Qty!$J66=0,Qty!AB66,Qty!AB66*Qty!$J66)*'Prop. prices'!X144*X$7</f>
        <v>0</v>
      </c>
      <c r="Y144" s="198">
        <f>IF(Qty!$J66=0,Qty!AC66,Qty!AC66*Qty!$J66)*'Prop. prices'!Y144*Y$7</f>
        <v>0</v>
      </c>
      <c r="Z144" s="198">
        <f>IF(Qty!$J66=0,Qty!AD66,Qty!AD66*Qty!$J66)*'Prop. prices'!Z144*Z$7</f>
        <v>0</v>
      </c>
      <c r="AA144" s="198">
        <f>IF(Qty!$J66=0,Qty!AE66,Qty!AE66*Qty!$J66)*'Prop. prices'!AA144*AA$7</f>
        <v>0</v>
      </c>
      <c r="AB144" s="198">
        <f>IF(Qty!$J66=0,Qty!AF66,Qty!AF66*Qty!$J66)*'Prop. prices'!AB144*AB$7</f>
        <v>0</v>
      </c>
      <c r="AC144" s="206">
        <f t="shared" si="10"/>
        <v>0</v>
      </c>
      <c r="AD144" s="19"/>
      <c r="AE144" s="19"/>
      <c r="AF144" s="19"/>
      <c r="AG144" s="19"/>
    </row>
    <row r="145" spans="1:33" hidden="1" outlineLevel="3" x14ac:dyDescent="0.2">
      <c r="A145" s="19"/>
      <c r="B145" s="19"/>
      <c r="C145" s="506">
        <f t="shared" si="12"/>
        <v>0</v>
      </c>
      <c r="D145" s="505">
        <f t="shared" si="12"/>
        <v>0</v>
      </c>
      <c r="E145" s="505">
        <f t="shared" si="12"/>
        <v>0</v>
      </c>
      <c r="F145" s="505">
        <f t="shared" si="12"/>
        <v>0</v>
      </c>
      <c r="G145" s="505">
        <f t="shared" si="12"/>
        <v>0</v>
      </c>
      <c r="H145" s="58"/>
      <c r="I145" s="198">
        <f>IF(Qty!$J67=0,Qty!M67,Qty!M67*Qty!$J67)*'Prop. prices'!I145*I$7</f>
        <v>0</v>
      </c>
      <c r="J145" s="198">
        <f>IF(Qty!$J67=0,Qty!N67,Qty!N67*Qty!$J67)*'Prop. prices'!J145*J$7</f>
        <v>0</v>
      </c>
      <c r="K145" s="198">
        <f>IF(Qty!$J67=0,Qty!O67,Qty!O67*Qty!$J67)*'Prop. prices'!K145*K$7</f>
        <v>0</v>
      </c>
      <c r="L145" s="198">
        <f>IF(Qty!$J67=0,Qty!P67,Qty!P67*Qty!$J67)*'Prop. prices'!L145*L$7</f>
        <v>0</v>
      </c>
      <c r="M145" s="198">
        <f>IF(Qty!$J67=0,Qty!Q67,Qty!Q67*Qty!$J67)*'Prop. prices'!M145*M$7</f>
        <v>0</v>
      </c>
      <c r="N145" s="198">
        <f>IF(Qty!$J67=0,Qty!R67,Qty!R67*Qty!$J67)*'Prop. prices'!N145*N$7</f>
        <v>0</v>
      </c>
      <c r="O145" s="198">
        <f>IF(Qty!$J67=0,Qty!S67,Qty!S67*Qty!$J67)*'Prop. prices'!O145*O$7</f>
        <v>0</v>
      </c>
      <c r="P145" s="198">
        <f>IF(Qty!$J67=0,Qty!T67,Qty!T67*Qty!$J67)*'Prop. prices'!P145*P$7</f>
        <v>0</v>
      </c>
      <c r="Q145" s="198">
        <f>IF(Qty!$J67=0,Qty!U67,Qty!U67*Qty!$J67)*'Prop. prices'!Q145*Q$7</f>
        <v>0</v>
      </c>
      <c r="R145" s="198">
        <f>IF(Qty!$J67=0,Qty!V67,Qty!V67*Qty!$J67)*'Prop. prices'!R145*R$7</f>
        <v>0</v>
      </c>
      <c r="S145" s="198">
        <f>IF(Qty!$J67=0,Qty!W67,Qty!W67*Qty!$J67)*'Prop. prices'!S145*S$7</f>
        <v>0</v>
      </c>
      <c r="T145" s="198">
        <f>IF(Qty!$J67=0,Qty!X67,Qty!X67*Qty!$J67)*'Prop. prices'!T145*T$7</f>
        <v>0</v>
      </c>
      <c r="U145" s="198">
        <f>IF(Qty!$J67=0,Qty!Y67,Qty!Y67*Qty!$J67)*'Prop. prices'!U145*U$7</f>
        <v>0</v>
      </c>
      <c r="V145" s="198">
        <f>IF(Qty!$J67=0,Qty!Z67,Qty!Z67*Qty!$J67)*'Prop. prices'!V145*V$7</f>
        <v>0</v>
      </c>
      <c r="W145" s="198">
        <f>IF(Qty!$J67=0,Qty!AA67,Qty!AA67*Qty!$J67)*'Prop. prices'!W145*W$7</f>
        <v>0</v>
      </c>
      <c r="X145" s="198">
        <f>IF(Qty!$J67=0,Qty!AB67,Qty!AB67*Qty!$J67)*'Prop. prices'!X145*X$7</f>
        <v>0</v>
      </c>
      <c r="Y145" s="198">
        <f>IF(Qty!$J67=0,Qty!AC67,Qty!AC67*Qty!$J67)*'Prop. prices'!Y145*Y$7</f>
        <v>0</v>
      </c>
      <c r="Z145" s="198">
        <f>IF(Qty!$J67=0,Qty!AD67,Qty!AD67*Qty!$J67)*'Prop. prices'!Z145*Z$7</f>
        <v>0</v>
      </c>
      <c r="AA145" s="198">
        <f>IF(Qty!$J67=0,Qty!AE67,Qty!AE67*Qty!$J67)*'Prop. prices'!AA145*AA$7</f>
        <v>0</v>
      </c>
      <c r="AB145" s="198">
        <f>IF(Qty!$J67=0,Qty!AF67,Qty!AF67*Qty!$J67)*'Prop. prices'!AB145*AB$7</f>
        <v>0</v>
      </c>
      <c r="AC145" s="206">
        <f t="shared" si="10"/>
        <v>0</v>
      </c>
      <c r="AD145" s="19"/>
      <c r="AE145" s="19"/>
      <c r="AF145" s="19"/>
      <c r="AG145" s="19"/>
    </row>
    <row r="146" spans="1:33" hidden="1" outlineLevel="3" x14ac:dyDescent="0.2">
      <c r="A146" s="19"/>
      <c r="B146" s="19"/>
      <c r="C146" s="506">
        <f t="shared" ref="C146:G155" si="13">C68</f>
        <v>0</v>
      </c>
      <c r="D146" s="505">
        <f t="shared" si="13"/>
        <v>0</v>
      </c>
      <c r="E146" s="505">
        <f t="shared" si="13"/>
        <v>0</v>
      </c>
      <c r="F146" s="505">
        <f t="shared" si="13"/>
        <v>0</v>
      </c>
      <c r="G146" s="505">
        <f t="shared" si="13"/>
        <v>0</v>
      </c>
      <c r="H146" s="58"/>
      <c r="I146" s="198">
        <f>IF(Qty!$J68=0,Qty!M68,Qty!M68*Qty!$J68)*'Prop. prices'!I146*I$7</f>
        <v>0</v>
      </c>
      <c r="J146" s="198">
        <f>IF(Qty!$J68=0,Qty!N68,Qty!N68*Qty!$J68)*'Prop. prices'!J146*J$7</f>
        <v>0</v>
      </c>
      <c r="K146" s="198">
        <f>IF(Qty!$J68=0,Qty!O68,Qty!O68*Qty!$J68)*'Prop. prices'!K146*K$7</f>
        <v>0</v>
      </c>
      <c r="L146" s="198">
        <f>IF(Qty!$J68=0,Qty!P68,Qty!P68*Qty!$J68)*'Prop. prices'!L146*L$7</f>
        <v>0</v>
      </c>
      <c r="M146" s="198">
        <f>IF(Qty!$J68=0,Qty!Q68,Qty!Q68*Qty!$J68)*'Prop. prices'!M146*M$7</f>
        <v>0</v>
      </c>
      <c r="N146" s="198">
        <f>IF(Qty!$J68=0,Qty!R68,Qty!R68*Qty!$J68)*'Prop. prices'!N146*N$7</f>
        <v>0</v>
      </c>
      <c r="O146" s="198">
        <f>IF(Qty!$J68=0,Qty!S68,Qty!S68*Qty!$J68)*'Prop. prices'!O146*O$7</f>
        <v>0</v>
      </c>
      <c r="P146" s="198">
        <f>IF(Qty!$J68=0,Qty!T68,Qty!T68*Qty!$J68)*'Prop. prices'!P146*P$7</f>
        <v>0</v>
      </c>
      <c r="Q146" s="198">
        <f>IF(Qty!$J68=0,Qty!U68,Qty!U68*Qty!$J68)*'Prop. prices'!Q146*Q$7</f>
        <v>0</v>
      </c>
      <c r="R146" s="198">
        <f>IF(Qty!$J68=0,Qty!V68,Qty!V68*Qty!$J68)*'Prop. prices'!R146*R$7</f>
        <v>0</v>
      </c>
      <c r="S146" s="198">
        <f>IF(Qty!$J68=0,Qty!W68,Qty!W68*Qty!$J68)*'Prop. prices'!S146*S$7</f>
        <v>0</v>
      </c>
      <c r="T146" s="198">
        <f>IF(Qty!$J68=0,Qty!X68,Qty!X68*Qty!$J68)*'Prop. prices'!T146*T$7</f>
        <v>0</v>
      </c>
      <c r="U146" s="198">
        <f>IF(Qty!$J68=0,Qty!Y68,Qty!Y68*Qty!$J68)*'Prop. prices'!U146*U$7</f>
        <v>0</v>
      </c>
      <c r="V146" s="198">
        <f>IF(Qty!$J68=0,Qty!Z68,Qty!Z68*Qty!$J68)*'Prop. prices'!V146*V$7</f>
        <v>0</v>
      </c>
      <c r="W146" s="198">
        <f>IF(Qty!$J68=0,Qty!AA68,Qty!AA68*Qty!$J68)*'Prop. prices'!W146*W$7</f>
        <v>0</v>
      </c>
      <c r="X146" s="198">
        <f>IF(Qty!$J68=0,Qty!AB68,Qty!AB68*Qty!$J68)*'Prop. prices'!X146*X$7</f>
        <v>0</v>
      </c>
      <c r="Y146" s="198">
        <f>IF(Qty!$J68=0,Qty!AC68,Qty!AC68*Qty!$J68)*'Prop. prices'!Y146*Y$7</f>
        <v>0</v>
      </c>
      <c r="Z146" s="198">
        <f>IF(Qty!$J68=0,Qty!AD68,Qty!AD68*Qty!$J68)*'Prop. prices'!Z146*Z$7</f>
        <v>0</v>
      </c>
      <c r="AA146" s="198">
        <f>IF(Qty!$J68=0,Qty!AE68,Qty!AE68*Qty!$J68)*'Prop. prices'!AA146*AA$7</f>
        <v>0</v>
      </c>
      <c r="AB146" s="198">
        <f>IF(Qty!$J68=0,Qty!AF68,Qty!AF68*Qty!$J68)*'Prop. prices'!AB146*AB$7</f>
        <v>0</v>
      </c>
      <c r="AC146" s="206">
        <f t="shared" si="10"/>
        <v>0</v>
      </c>
      <c r="AD146" s="19"/>
      <c r="AE146" s="19"/>
      <c r="AF146" s="19"/>
      <c r="AG146" s="19"/>
    </row>
    <row r="147" spans="1:33" hidden="1" outlineLevel="3" x14ac:dyDescent="0.2">
      <c r="A147" s="19"/>
      <c r="B147" s="19"/>
      <c r="C147" s="506">
        <f t="shared" si="13"/>
        <v>0</v>
      </c>
      <c r="D147" s="505">
        <f t="shared" si="13"/>
        <v>0</v>
      </c>
      <c r="E147" s="505">
        <f t="shared" si="13"/>
        <v>0</v>
      </c>
      <c r="F147" s="505">
        <f t="shared" si="13"/>
        <v>0</v>
      </c>
      <c r="G147" s="505">
        <f t="shared" si="13"/>
        <v>0</v>
      </c>
      <c r="H147" s="58"/>
      <c r="I147" s="198">
        <f>IF(Qty!$J69=0,Qty!M69,Qty!M69*Qty!$J69)*'Prop. prices'!I147*I$7</f>
        <v>0</v>
      </c>
      <c r="J147" s="198">
        <f>IF(Qty!$J69=0,Qty!N69,Qty!N69*Qty!$J69)*'Prop. prices'!J147*J$7</f>
        <v>0</v>
      </c>
      <c r="K147" s="198">
        <f>IF(Qty!$J69=0,Qty!O69,Qty!O69*Qty!$J69)*'Prop. prices'!K147*K$7</f>
        <v>0</v>
      </c>
      <c r="L147" s="198">
        <f>IF(Qty!$J69=0,Qty!P69,Qty!P69*Qty!$J69)*'Prop. prices'!L147*L$7</f>
        <v>0</v>
      </c>
      <c r="M147" s="198">
        <f>IF(Qty!$J69=0,Qty!Q69,Qty!Q69*Qty!$J69)*'Prop. prices'!M147*M$7</f>
        <v>0</v>
      </c>
      <c r="N147" s="198">
        <f>IF(Qty!$J69=0,Qty!R69,Qty!R69*Qty!$J69)*'Prop. prices'!N147*N$7</f>
        <v>0</v>
      </c>
      <c r="O147" s="198">
        <f>IF(Qty!$J69=0,Qty!S69,Qty!S69*Qty!$J69)*'Prop. prices'!O147*O$7</f>
        <v>0</v>
      </c>
      <c r="P147" s="198">
        <f>IF(Qty!$J69=0,Qty!T69,Qty!T69*Qty!$J69)*'Prop. prices'!P147*P$7</f>
        <v>0</v>
      </c>
      <c r="Q147" s="198">
        <f>IF(Qty!$J69=0,Qty!U69,Qty!U69*Qty!$J69)*'Prop. prices'!Q147*Q$7</f>
        <v>0</v>
      </c>
      <c r="R147" s="198">
        <f>IF(Qty!$J69=0,Qty!V69,Qty!V69*Qty!$J69)*'Prop. prices'!R147*R$7</f>
        <v>0</v>
      </c>
      <c r="S147" s="198">
        <f>IF(Qty!$J69=0,Qty!W69,Qty!W69*Qty!$J69)*'Prop. prices'!S147*S$7</f>
        <v>0</v>
      </c>
      <c r="T147" s="198">
        <f>IF(Qty!$J69=0,Qty!X69,Qty!X69*Qty!$J69)*'Prop. prices'!T147*T$7</f>
        <v>0</v>
      </c>
      <c r="U147" s="198">
        <f>IF(Qty!$J69=0,Qty!Y69,Qty!Y69*Qty!$J69)*'Prop. prices'!U147*U$7</f>
        <v>0</v>
      </c>
      <c r="V147" s="198">
        <f>IF(Qty!$J69=0,Qty!Z69,Qty!Z69*Qty!$J69)*'Prop. prices'!V147*V$7</f>
        <v>0</v>
      </c>
      <c r="W147" s="198">
        <f>IF(Qty!$J69=0,Qty!AA69,Qty!AA69*Qty!$J69)*'Prop. prices'!W147*W$7</f>
        <v>0</v>
      </c>
      <c r="X147" s="198">
        <f>IF(Qty!$J69=0,Qty!AB69,Qty!AB69*Qty!$J69)*'Prop. prices'!X147*X$7</f>
        <v>0</v>
      </c>
      <c r="Y147" s="198">
        <f>IF(Qty!$J69=0,Qty!AC69,Qty!AC69*Qty!$J69)*'Prop. prices'!Y147*Y$7</f>
        <v>0</v>
      </c>
      <c r="Z147" s="198">
        <f>IF(Qty!$J69=0,Qty!AD69,Qty!AD69*Qty!$J69)*'Prop. prices'!Z147*Z$7</f>
        <v>0</v>
      </c>
      <c r="AA147" s="198">
        <f>IF(Qty!$J69=0,Qty!AE69,Qty!AE69*Qty!$J69)*'Prop. prices'!AA147*AA$7</f>
        <v>0</v>
      </c>
      <c r="AB147" s="198">
        <f>IF(Qty!$J69=0,Qty!AF69,Qty!AF69*Qty!$J69)*'Prop. prices'!AB147*AB$7</f>
        <v>0</v>
      </c>
      <c r="AC147" s="206">
        <f t="shared" si="10"/>
        <v>0</v>
      </c>
      <c r="AD147" s="19"/>
      <c r="AE147" s="19"/>
      <c r="AF147" s="19"/>
      <c r="AG147" s="19"/>
    </row>
    <row r="148" spans="1:33" hidden="1" outlineLevel="3" x14ac:dyDescent="0.2">
      <c r="A148" s="19"/>
      <c r="B148" s="19"/>
      <c r="C148" s="506">
        <f t="shared" si="13"/>
        <v>0</v>
      </c>
      <c r="D148" s="505">
        <f t="shared" si="13"/>
        <v>0</v>
      </c>
      <c r="E148" s="505">
        <f t="shared" si="13"/>
        <v>0</v>
      </c>
      <c r="F148" s="505">
        <f t="shared" si="13"/>
        <v>0</v>
      </c>
      <c r="G148" s="505">
        <f t="shared" si="13"/>
        <v>0</v>
      </c>
      <c r="H148" s="58"/>
      <c r="I148" s="198">
        <f>IF(Qty!$J70=0,Qty!M70,Qty!M70*Qty!$J70)*'Prop. prices'!I148*I$7</f>
        <v>0</v>
      </c>
      <c r="J148" s="198">
        <f>IF(Qty!$J70=0,Qty!N70,Qty!N70*Qty!$J70)*'Prop. prices'!J148*J$7</f>
        <v>0</v>
      </c>
      <c r="K148" s="198">
        <f>IF(Qty!$J70=0,Qty!O70,Qty!O70*Qty!$J70)*'Prop. prices'!K148*K$7</f>
        <v>0</v>
      </c>
      <c r="L148" s="198">
        <f>IF(Qty!$J70=0,Qty!P70,Qty!P70*Qty!$J70)*'Prop. prices'!L148*L$7</f>
        <v>0</v>
      </c>
      <c r="M148" s="198">
        <f>IF(Qty!$J70=0,Qty!Q70,Qty!Q70*Qty!$J70)*'Prop. prices'!M148*M$7</f>
        <v>0</v>
      </c>
      <c r="N148" s="198">
        <f>IF(Qty!$J70=0,Qty!R70,Qty!R70*Qty!$J70)*'Prop. prices'!N148*N$7</f>
        <v>0</v>
      </c>
      <c r="O148" s="198">
        <f>IF(Qty!$J70=0,Qty!S70,Qty!S70*Qty!$J70)*'Prop. prices'!O148*O$7</f>
        <v>0</v>
      </c>
      <c r="P148" s="198">
        <f>IF(Qty!$J70=0,Qty!T70,Qty!T70*Qty!$J70)*'Prop. prices'!P148*P$7</f>
        <v>0</v>
      </c>
      <c r="Q148" s="198">
        <f>IF(Qty!$J70=0,Qty!U70,Qty!U70*Qty!$J70)*'Prop. prices'!Q148*Q$7</f>
        <v>0</v>
      </c>
      <c r="R148" s="198">
        <f>IF(Qty!$J70=0,Qty!V70,Qty!V70*Qty!$J70)*'Prop. prices'!R148*R$7</f>
        <v>0</v>
      </c>
      <c r="S148" s="198">
        <f>IF(Qty!$J70=0,Qty!W70,Qty!W70*Qty!$J70)*'Prop. prices'!S148*S$7</f>
        <v>0</v>
      </c>
      <c r="T148" s="198">
        <f>IF(Qty!$J70=0,Qty!X70,Qty!X70*Qty!$J70)*'Prop. prices'!T148*T$7</f>
        <v>0</v>
      </c>
      <c r="U148" s="198">
        <f>IF(Qty!$J70=0,Qty!Y70,Qty!Y70*Qty!$J70)*'Prop. prices'!U148*U$7</f>
        <v>0</v>
      </c>
      <c r="V148" s="198">
        <f>IF(Qty!$J70=0,Qty!Z70,Qty!Z70*Qty!$J70)*'Prop. prices'!V148*V$7</f>
        <v>0</v>
      </c>
      <c r="W148" s="198">
        <f>IF(Qty!$J70=0,Qty!AA70,Qty!AA70*Qty!$J70)*'Prop. prices'!W148*W$7</f>
        <v>0</v>
      </c>
      <c r="X148" s="198">
        <f>IF(Qty!$J70=0,Qty!AB70,Qty!AB70*Qty!$J70)*'Prop. prices'!X148*X$7</f>
        <v>0</v>
      </c>
      <c r="Y148" s="198">
        <f>IF(Qty!$J70=0,Qty!AC70,Qty!AC70*Qty!$J70)*'Prop. prices'!Y148*Y$7</f>
        <v>0</v>
      </c>
      <c r="Z148" s="198">
        <f>IF(Qty!$J70=0,Qty!AD70,Qty!AD70*Qty!$J70)*'Prop. prices'!Z148*Z$7</f>
        <v>0</v>
      </c>
      <c r="AA148" s="198">
        <f>IF(Qty!$J70=0,Qty!AE70,Qty!AE70*Qty!$J70)*'Prop. prices'!AA148*AA$7</f>
        <v>0</v>
      </c>
      <c r="AB148" s="198">
        <f>IF(Qty!$J70=0,Qty!AF70,Qty!AF70*Qty!$J70)*'Prop. prices'!AB148*AB$7</f>
        <v>0</v>
      </c>
      <c r="AC148" s="206">
        <f t="shared" si="10"/>
        <v>0</v>
      </c>
      <c r="AD148" s="19"/>
      <c r="AE148" s="19"/>
      <c r="AF148" s="19"/>
      <c r="AG148" s="19"/>
    </row>
    <row r="149" spans="1:33" hidden="1" outlineLevel="3" x14ac:dyDescent="0.2">
      <c r="A149" s="19"/>
      <c r="B149" s="19"/>
      <c r="C149" s="506">
        <f t="shared" si="13"/>
        <v>0</v>
      </c>
      <c r="D149" s="505">
        <f t="shared" si="13"/>
        <v>0</v>
      </c>
      <c r="E149" s="505">
        <f t="shared" si="13"/>
        <v>0</v>
      </c>
      <c r="F149" s="505">
        <f t="shared" si="13"/>
        <v>0</v>
      </c>
      <c r="G149" s="505">
        <f t="shared" si="13"/>
        <v>0</v>
      </c>
      <c r="H149" s="58"/>
      <c r="I149" s="198">
        <f>IF(Qty!$J71=0,Qty!M71,Qty!M71*Qty!$J71)*'Prop. prices'!I149*I$7</f>
        <v>0</v>
      </c>
      <c r="J149" s="198">
        <f>IF(Qty!$J71=0,Qty!N71,Qty!N71*Qty!$J71)*'Prop. prices'!J149*J$7</f>
        <v>0</v>
      </c>
      <c r="K149" s="198">
        <f>IF(Qty!$J71=0,Qty!O71,Qty!O71*Qty!$J71)*'Prop. prices'!K149*K$7</f>
        <v>0</v>
      </c>
      <c r="L149" s="198">
        <f>IF(Qty!$J71=0,Qty!P71,Qty!P71*Qty!$J71)*'Prop. prices'!L149*L$7</f>
        <v>0</v>
      </c>
      <c r="M149" s="198">
        <f>IF(Qty!$J71=0,Qty!Q71,Qty!Q71*Qty!$J71)*'Prop. prices'!M149*M$7</f>
        <v>0</v>
      </c>
      <c r="N149" s="198">
        <f>IF(Qty!$J71=0,Qty!R71,Qty!R71*Qty!$J71)*'Prop. prices'!N149*N$7</f>
        <v>0</v>
      </c>
      <c r="O149" s="198">
        <f>IF(Qty!$J71=0,Qty!S71,Qty!S71*Qty!$J71)*'Prop. prices'!O149*O$7</f>
        <v>0</v>
      </c>
      <c r="P149" s="198">
        <f>IF(Qty!$J71=0,Qty!T71,Qty!T71*Qty!$J71)*'Prop. prices'!P149*P$7</f>
        <v>0</v>
      </c>
      <c r="Q149" s="198">
        <f>IF(Qty!$J71=0,Qty!U71,Qty!U71*Qty!$J71)*'Prop. prices'!Q149*Q$7</f>
        <v>0</v>
      </c>
      <c r="R149" s="198">
        <f>IF(Qty!$J71=0,Qty!V71,Qty!V71*Qty!$J71)*'Prop. prices'!R149*R$7</f>
        <v>0</v>
      </c>
      <c r="S149" s="198">
        <f>IF(Qty!$J71=0,Qty!W71,Qty!W71*Qty!$J71)*'Prop. prices'!S149*S$7</f>
        <v>0</v>
      </c>
      <c r="T149" s="198">
        <f>IF(Qty!$J71=0,Qty!X71,Qty!X71*Qty!$J71)*'Prop. prices'!T149*T$7</f>
        <v>0</v>
      </c>
      <c r="U149" s="198">
        <f>IF(Qty!$J71=0,Qty!Y71,Qty!Y71*Qty!$J71)*'Prop. prices'!U149*U$7</f>
        <v>0</v>
      </c>
      <c r="V149" s="198">
        <f>IF(Qty!$J71=0,Qty!Z71,Qty!Z71*Qty!$J71)*'Prop. prices'!V149*V$7</f>
        <v>0</v>
      </c>
      <c r="W149" s="198">
        <f>IF(Qty!$J71=0,Qty!AA71,Qty!AA71*Qty!$J71)*'Prop. prices'!W149*W$7</f>
        <v>0</v>
      </c>
      <c r="X149" s="198">
        <f>IF(Qty!$J71=0,Qty!AB71,Qty!AB71*Qty!$J71)*'Prop. prices'!X149*X$7</f>
        <v>0</v>
      </c>
      <c r="Y149" s="198">
        <f>IF(Qty!$J71=0,Qty!AC71,Qty!AC71*Qty!$J71)*'Prop. prices'!Y149*Y$7</f>
        <v>0</v>
      </c>
      <c r="Z149" s="198">
        <f>IF(Qty!$J71=0,Qty!AD71,Qty!AD71*Qty!$J71)*'Prop. prices'!Z149*Z$7</f>
        <v>0</v>
      </c>
      <c r="AA149" s="198">
        <f>IF(Qty!$J71=0,Qty!AE71,Qty!AE71*Qty!$J71)*'Prop. prices'!AA149*AA$7</f>
        <v>0</v>
      </c>
      <c r="AB149" s="198">
        <f>IF(Qty!$J71=0,Qty!AF71,Qty!AF71*Qty!$J71)*'Prop. prices'!AB149*AB$7</f>
        <v>0</v>
      </c>
      <c r="AC149" s="206">
        <f t="shared" si="10"/>
        <v>0</v>
      </c>
      <c r="AD149" s="19"/>
      <c r="AE149" s="19"/>
      <c r="AF149" s="19"/>
      <c r="AG149" s="19"/>
    </row>
    <row r="150" spans="1:33" hidden="1" outlineLevel="3" x14ac:dyDescent="0.2">
      <c r="A150" s="19"/>
      <c r="B150" s="19"/>
      <c r="C150" s="506">
        <f t="shared" si="13"/>
        <v>0</v>
      </c>
      <c r="D150" s="505">
        <f t="shared" si="13"/>
        <v>0</v>
      </c>
      <c r="E150" s="505">
        <f t="shared" si="13"/>
        <v>0</v>
      </c>
      <c r="F150" s="505">
        <f t="shared" si="13"/>
        <v>0</v>
      </c>
      <c r="G150" s="505">
        <f t="shared" si="13"/>
        <v>0</v>
      </c>
      <c r="H150" s="58"/>
      <c r="I150" s="198">
        <f>IF(Qty!$J72=0,Qty!M72,Qty!M72*Qty!$J72)*'Prop. prices'!I150*I$7</f>
        <v>0</v>
      </c>
      <c r="J150" s="198">
        <f>IF(Qty!$J72=0,Qty!N72,Qty!N72*Qty!$J72)*'Prop. prices'!J150*J$7</f>
        <v>0</v>
      </c>
      <c r="K150" s="198">
        <f>IF(Qty!$J72=0,Qty!O72,Qty!O72*Qty!$J72)*'Prop. prices'!K150*K$7</f>
        <v>0</v>
      </c>
      <c r="L150" s="198">
        <f>IF(Qty!$J72=0,Qty!P72,Qty!P72*Qty!$J72)*'Prop. prices'!L150*L$7</f>
        <v>0</v>
      </c>
      <c r="M150" s="198">
        <f>IF(Qty!$J72=0,Qty!Q72,Qty!Q72*Qty!$J72)*'Prop. prices'!M150*M$7</f>
        <v>0</v>
      </c>
      <c r="N150" s="198">
        <f>IF(Qty!$J72=0,Qty!R72,Qty!R72*Qty!$J72)*'Prop. prices'!N150*N$7</f>
        <v>0</v>
      </c>
      <c r="O150" s="198">
        <f>IF(Qty!$J72=0,Qty!S72,Qty!S72*Qty!$J72)*'Prop. prices'!O150*O$7</f>
        <v>0</v>
      </c>
      <c r="P150" s="198">
        <f>IF(Qty!$J72=0,Qty!T72,Qty!T72*Qty!$J72)*'Prop. prices'!P150*P$7</f>
        <v>0</v>
      </c>
      <c r="Q150" s="198">
        <f>IF(Qty!$J72=0,Qty!U72,Qty!U72*Qty!$J72)*'Prop. prices'!Q150*Q$7</f>
        <v>0</v>
      </c>
      <c r="R150" s="198">
        <f>IF(Qty!$J72=0,Qty!V72,Qty!V72*Qty!$J72)*'Prop. prices'!R150*R$7</f>
        <v>0</v>
      </c>
      <c r="S150" s="198">
        <f>IF(Qty!$J72=0,Qty!W72,Qty!W72*Qty!$J72)*'Prop. prices'!S150*S$7</f>
        <v>0</v>
      </c>
      <c r="T150" s="198">
        <f>IF(Qty!$J72=0,Qty!X72,Qty!X72*Qty!$J72)*'Prop. prices'!T150*T$7</f>
        <v>0</v>
      </c>
      <c r="U150" s="198">
        <f>IF(Qty!$J72=0,Qty!Y72,Qty!Y72*Qty!$J72)*'Prop. prices'!U150*U$7</f>
        <v>0</v>
      </c>
      <c r="V150" s="198">
        <f>IF(Qty!$J72=0,Qty!Z72,Qty!Z72*Qty!$J72)*'Prop. prices'!V150*V$7</f>
        <v>0</v>
      </c>
      <c r="W150" s="198">
        <f>IF(Qty!$J72=0,Qty!AA72,Qty!AA72*Qty!$J72)*'Prop. prices'!W150*W$7</f>
        <v>0</v>
      </c>
      <c r="X150" s="198">
        <f>IF(Qty!$J72=0,Qty!AB72,Qty!AB72*Qty!$J72)*'Prop. prices'!X150*X$7</f>
        <v>0</v>
      </c>
      <c r="Y150" s="198">
        <f>IF(Qty!$J72=0,Qty!AC72,Qty!AC72*Qty!$J72)*'Prop. prices'!Y150*Y$7</f>
        <v>0</v>
      </c>
      <c r="Z150" s="198">
        <f>IF(Qty!$J72=0,Qty!AD72,Qty!AD72*Qty!$J72)*'Prop. prices'!Z150*Z$7</f>
        <v>0</v>
      </c>
      <c r="AA150" s="198">
        <f>IF(Qty!$J72=0,Qty!AE72,Qty!AE72*Qty!$J72)*'Prop. prices'!AA150*AA$7</f>
        <v>0</v>
      </c>
      <c r="AB150" s="198">
        <f>IF(Qty!$J72=0,Qty!AF72,Qty!AF72*Qty!$J72)*'Prop. prices'!AB150*AB$7</f>
        <v>0</v>
      </c>
      <c r="AC150" s="206">
        <f t="shared" ref="AC150:AC160" si="14">SUM(I150:AB150)</f>
        <v>0</v>
      </c>
      <c r="AD150" s="19"/>
      <c r="AE150" s="19"/>
      <c r="AF150" s="19"/>
      <c r="AG150" s="19"/>
    </row>
    <row r="151" spans="1:33" hidden="1" outlineLevel="3" x14ac:dyDescent="0.2">
      <c r="A151" s="19"/>
      <c r="B151" s="19"/>
      <c r="C151" s="506">
        <f t="shared" si="13"/>
        <v>0</v>
      </c>
      <c r="D151" s="505">
        <f t="shared" si="13"/>
        <v>0</v>
      </c>
      <c r="E151" s="505">
        <f t="shared" si="13"/>
        <v>0</v>
      </c>
      <c r="F151" s="505">
        <f t="shared" si="13"/>
        <v>0</v>
      </c>
      <c r="G151" s="505">
        <f t="shared" si="13"/>
        <v>0</v>
      </c>
      <c r="H151" s="58"/>
      <c r="I151" s="198">
        <f>IF(Qty!$J73=0,Qty!M73,Qty!M73*Qty!$J73)*'Prop. prices'!I151*I$7</f>
        <v>0</v>
      </c>
      <c r="J151" s="198">
        <f>IF(Qty!$J73=0,Qty!N73,Qty!N73*Qty!$J73)*'Prop. prices'!J151*J$7</f>
        <v>0</v>
      </c>
      <c r="K151" s="198">
        <f>IF(Qty!$J73=0,Qty!O73,Qty!O73*Qty!$J73)*'Prop. prices'!K151*K$7</f>
        <v>0</v>
      </c>
      <c r="L151" s="198">
        <f>IF(Qty!$J73=0,Qty!P73,Qty!P73*Qty!$J73)*'Prop. prices'!L151*L$7</f>
        <v>0</v>
      </c>
      <c r="M151" s="198">
        <f>IF(Qty!$J73=0,Qty!Q73,Qty!Q73*Qty!$J73)*'Prop. prices'!M151*M$7</f>
        <v>0</v>
      </c>
      <c r="N151" s="198">
        <f>IF(Qty!$J73=0,Qty!R73,Qty!R73*Qty!$J73)*'Prop. prices'!N151*N$7</f>
        <v>0</v>
      </c>
      <c r="O151" s="198">
        <f>IF(Qty!$J73=0,Qty!S73,Qty!S73*Qty!$J73)*'Prop. prices'!O151*O$7</f>
        <v>0</v>
      </c>
      <c r="P151" s="198">
        <f>IF(Qty!$J73=0,Qty!T73,Qty!T73*Qty!$J73)*'Prop. prices'!P151*P$7</f>
        <v>0</v>
      </c>
      <c r="Q151" s="198">
        <f>IF(Qty!$J73=0,Qty!U73,Qty!U73*Qty!$J73)*'Prop. prices'!Q151*Q$7</f>
        <v>0</v>
      </c>
      <c r="R151" s="198">
        <f>IF(Qty!$J73=0,Qty!V73,Qty!V73*Qty!$J73)*'Prop. prices'!R151*R$7</f>
        <v>0</v>
      </c>
      <c r="S151" s="198">
        <f>IF(Qty!$J73=0,Qty!W73,Qty!W73*Qty!$J73)*'Prop. prices'!S151*S$7</f>
        <v>0</v>
      </c>
      <c r="T151" s="198">
        <f>IF(Qty!$J73=0,Qty!X73,Qty!X73*Qty!$J73)*'Prop. prices'!T151*T$7</f>
        <v>0</v>
      </c>
      <c r="U151" s="198">
        <f>IF(Qty!$J73=0,Qty!Y73,Qty!Y73*Qty!$J73)*'Prop. prices'!U151*U$7</f>
        <v>0</v>
      </c>
      <c r="V151" s="198">
        <f>IF(Qty!$J73=0,Qty!Z73,Qty!Z73*Qty!$J73)*'Prop. prices'!V151*V$7</f>
        <v>0</v>
      </c>
      <c r="W151" s="198">
        <f>IF(Qty!$J73=0,Qty!AA73,Qty!AA73*Qty!$J73)*'Prop. prices'!W151*W$7</f>
        <v>0</v>
      </c>
      <c r="X151" s="198">
        <f>IF(Qty!$J73=0,Qty!AB73,Qty!AB73*Qty!$J73)*'Prop. prices'!X151*X$7</f>
        <v>0</v>
      </c>
      <c r="Y151" s="198">
        <f>IF(Qty!$J73=0,Qty!AC73,Qty!AC73*Qty!$J73)*'Prop. prices'!Y151*Y$7</f>
        <v>0</v>
      </c>
      <c r="Z151" s="198">
        <f>IF(Qty!$J73=0,Qty!AD73,Qty!AD73*Qty!$J73)*'Prop. prices'!Z151*Z$7</f>
        <v>0</v>
      </c>
      <c r="AA151" s="198">
        <f>IF(Qty!$J73=0,Qty!AE73,Qty!AE73*Qty!$J73)*'Prop. prices'!AA151*AA$7</f>
        <v>0</v>
      </c>
      <c r="AB151" s="198">
        <f>IF(Qty!$J73=0,Qty!AF73,Qty!AF73*Qty!$J73)*'Prop. prices'!AB151*AB$7</f>
        <v>0</v>
      </c>
      <c r="AC151" s="206">
        <f t="shared" si="14"/>
        <v>0</v>
      </c>
      <c r="AD151" s="19"/>
      <c r="AE151" s="19"/>
      <c r="AF151" s="19"/>
      <c r="AG151" s="19"/>
    </row>
    <row r="152" spans="1:33" hidden="1" outlineLevel="3" x14ac:dyDescent="0.2">
      <c r="A152" s="19"/>
      <c r="B152" s="19"/>
      <c r="C152" s="506">
        <f t="shared" si="13"/>
        <v>0</v>
      </c>
      <c r="D152" s="505">
        <f t="shared" si="13"/>
        <v>0</v>
      </c>
      <c r="E152" s="505">
        <f t="shared" si="13"/>
        <v>0</v>
      </c>
      <c r="F152" s="505">
        <f t="shared" si="13"/>
        <v>0</v>
      </c>
      <c r="G152" s="505">
        <f t="shared" si="13"/>
        <v>0</v>
      </c>
      <c r="H152" s="58"/>
      <c r="I152" s="198">
        <f>IF(Qty!$J74=0,Qty!M74,Qty!M74*Qty!$J74)*'Prop. prices'!I152*I$7</f>
        <v>0</v>
      </c>
      <c r="J152" s="198">
        <f>IF(Qty!$J74=0,Qty!N74,Qty!N74*Qty!$J74)*'Prop. prices'!J152*J$7</f>
        <v>0</v>
      </c>
      <c r="K152" s="198">
        <f>IF(Qty!$J74=0,Qty!O74,Qty!O74*Qty!$J74)*'Prop. prices'!K152*K$7</f>
        <v>0</v>
      </c>
      <c r="L152" s="198">
        <f>IF(Qty!$J74=0,Qty!P74,Qty!P74*Qty!$J74)*'Prop. prices'!L152*L$7</f>
        <v>0</v>
      </c>
      <c r="M152" s="198">
        <f>IF(Qty!$J74=0,Qty!Q74,Qty!Q74*Qty!$J74)*'Prop. prices'!M152*M$7</f>
        <v>0</v>
      </c>
      <c r="N152" s="198">
        <f>IF(Qty!$J74=0,Qty!R74,Qty!R74*Qty!$J74)*'Prop. prices'!N152*N$7</f>
        <v>0</v>
      </c>
      <c r="O152" s="198">
        <f>IF(Qty!$J74=0,Qty!S74,Qty!S74*Qty!$J74)*'Prop. prices'!O152*O$7</f>
        <v>0</v>
      </c>
      <c r="P152" s="198">
        <f>IF(Qty!$J74=0,Qty!T74,Qty!T74*Qty!$J74)*'Prop. prices'!P152*P$7</f>
        <v>0</v>
      </c>
      <c r="Q152" s="198">
        <f>IF(Qty!$J74=0,Qty!U74,Qty!U74*Qty!$J74)*'Prop. prices'!Q152*Q$7</f>
        <v>0</v>
      </c>
      <c r="R152" s="198">
        <f>IF(Qty!$J74=0,Qty!V74,Qty!V74*Qty!$J74)*'Prop. prices'!R152*R$7</f>
        <v>0</v>
      </c>
      <c r="S152" s="198">
        <f>IF(Qty!$J74=0,Qty!W74,Qty!W74*Qty!$J74)*'Prop. prices'!S152*S$7</f>
        <v>0</v>
      </c>
      <c r="T152" s="198">
        <f>IF(Qty!$J74=0,Qty!X74,Qty!X74*Qty!$J74)*'Prop. prices'!T152*T$7</f>
        <v>0</v>
      </c>
      <c r="U152" s="198">
        <f>IF(Qty!$J74=0,Qty!Y74,Qty!Y74*Qty!$J74)*'Prop. prices'!U152*U$7</f>
        <v>0</v>
      </c>
      <c r="V152" s="198">
        <f>IF(Qty!$J74=0,Qty!Z74,Qty!Z74*Qty!$J74)*'Prop. prices'!V152*V$7</f>
        <v>0</v>
      </c>
      <c r="W152" s="198">
        <f>IF(Qty!$J74=0,Qty!AA74,Qty!AA74*Qty!$J74)*'Prop. prices'!W152*W$7</f>
        <v>0</v>
      </c>
      <c r="X152" s="198">
        <f>IF(Qty!$J74=0,Qty!AB74,Qty!AB74*Qty!$J74)*'Prop. prices'!X152*X$7</f>
        <v>0</v>
      </c>
      <c r="Y152" s="198">
        <f>IF(Qty!$J74=0,Qty!AC74,Qty!AC74*Qty!$J74)*'Prop. prices'!Y152*Y$7</f>
        <v>0</v>
      </c>
      <c r="Z152" s="198">
        <f>IF(Qty!$J74=0,Qty!AD74,Qty!AD74*Qty!$J74)*'Prop. prices'!Z152*Z$7</f>
        <v>0</v>
      </c>
      <c r="AA152" s="198">
        <f>IF(Qty!$J74=0,Qty!AE74,Qty!AE74*Qty!$J74)*'Prop. prices'!AA152*AA$7</f>
        <v>0</v>
      </c>
      <c r="AB152" s="198">
        <f>IF(Qty!$J74=0,Qty!AF74,Qty!AF74*Qty!$J74)*'Prop. prices'!AB152*AB$7</f>
        <v>0</v>
      </c>
      <c r="AC152" s="206">
        <f t="shared" si="14"/>
        <v>0</v>
      </c>
      <c r="AD152" s="19"/>
      <c r="AE152" s="19"/>
      <c r="AF152" s="19"/>
      <c r="AG152" s="19"/>
    </row>
    <row r="153" spans="1:33" hidden="1" outlineLevel="3" x14ac:dyDescent="0.2">
      <c r="A153" s="19"/>
      <c r="B153" s="19"/>
      <c r="C153" s="506">
        <f t="shared" si="13"/>
        <v>0</v>
      </c>
      <c r="D153" s="505">
        <f t="shared" si="13"/>
        <v>0</v>
      </c>
      <c r="E153" s="505">
        <f t="shared" si="13"/>
        <v>0</v>
      </c>
      <c r="F153" s="505">
        <f t="shared" si="13"/>
        <v>0</v>
      </c>
      <c r="G153" s="505">
        <f t="shared" si="13"/>
        <v>0</v>
      </c>
      <c r="H153" s="58"/>
      <c r="I153" s="198">
        <f>IF(Qty!$J75=0,Qty!M75,Qty!M75*Qty!$J75)*'Prop. prices'!I153*I$7</f>
        <v>0</v>
      </c>
      <c r="J153" s="198">
        <f>IF(Qty!$J75=0,Qty!N75,Qty!N75*Qty!$J75)*'Prop. prices'!J153*J$7</f>
        <v>0</v>
      </c>
      <c r="K153" s="198">
        <f>IF(Qty!$J75=0,Qty!O75,Qty!O75*Qty!$J75)*'Prop. prices'!K153*K$7</f>
        <v>0</v>
      </c>
      <c r="L153" s="198">
        <f>IF(Qty!$J75=0,Qty!P75,Qty!P75*Qty!$J75)*'Prop. prices'!L153*L$7</f>
        <v>0</v>
      </c>
      <c r="M153" s="198">
        <f>IF(Qty!$J75=0,Qty!Q75,Qty!Q75*Qty!$J75)*'Prop. prices'!M153*M$7</f>
        <v>0</v>
      </c>
      <c r="N153" s="198">
        <f>IF(Qty!$J75=0,Qty!R75,Qty!R75*Qty!$J75)*'Prop. prices'!N153*N$7</f>
        <v>0</v>
      </c>
      <c r="O153" s="198">
        <f>IF(Qty!$J75=0,Qty!S75,Qty!S75*Qty!$J75)*'Prop. prices'!O153*O$7</f>
        <v>0</v>
      </c>
      <c r="P153" s="198">
        <f>IF(Qty!$J75=0,Qty!T75,Qty!T75*Qty!$J75)*'Prop. prices'!P153*P$7</f>
        <v>0</v>
      </c>
      <c r="Q153" s="198">
        <f>IF(Qty!$J75=0,Qty!U75,Qty!U75*Qty!$J75)*'Prop. prices'!Q153*Q$7</f>
        <v>0</v>
      </c>
      <c r="R153" s="198">
        <f>IF(Qty!$J75=0,Qty!V75,Qty!V75*Qty!$J75)*'Prop. prices'!R153*R$7</f>
        <v>0</v>
      </c>
      <c r="S153" s="198">
        <f>IF(Qty!$J75=0,Qty!W75,Qty!W75*Qty!$J75)*'Prop. prices'!S153*S$7</f>
        <v>0</v>
      </c>
      <c r="T153" s="198">
        <f>IF(Qty!$J75=0,Qty!X75,Qty!X75*Qty!$J75)*'Prop. prices'!T153*T$7</f>
        <v>0</v>
      </c>
      <c r="U153" s="198">
        <f>IF(Qty!$J75=0,Qty!Y75,Qty!Y75*Qty!$J75)*'Prop. prices'!U153*U$7</f>
        <v>0</v>
      </c>
      <c r="V153" s="198">
        <f>IF(Qty!$J75=0,Qty!Z75,Qty!Z75*Qty!$J75)*'Prop. prices'!V153*V$7</f>
        <v>0</v>
      </c>
      <c r="W153" s="198">
        <f>IF(Qty!$J75=0,Qty!AA75,Qty!AA75*Qty!$J75)*'Prop. prices'!W153*W$7</f>
        <v>0</v>
      </c>
      <c r="X153" s="198">
        <f>IF(Qty!$J75=0,Qty!AB75,Qty!AB75*Qty!$J75)*'Prop. prices'!X153*X$7</f>
        <v>0</v>
      </c>
      <c r="Y153" s="198">
        <f>IF(Qty!$J75=0,Qty!AC75,Qty!AC75*Qty!$J75)*'Prop. prices'!Y153*Y$7</f>
        <v>0</v>
      </c>
      <c r="Z153" s="198">
        <f>IF(Qty!$J75=0,Qty!AD75,Qty!AD75*Qty!$J75)*'Prop. prices'!Z153*Z$7</f>
        <v>0</v>
      </c>
      <c r="AA153" s="198">
        <f>IF(Qty!$J75=0,Qty!AE75,Qty!AE75*Qty!$J75)*'Prop. prices'!AA153*AA$7</f>
        <v>0</v>
      </c>
      <c r="AB153" s="198">
        <f>IF(Qty!$J75=0,Qty!AF75,Qty!AF75*Qty!$J75)*'Prop. prices'!AB153*AB$7</f>
        <v>0</v>
      </c>
      <c r="AC153" s="206">
        <f t="shared" si="14"/>
        <v>0</v>
      </c>
      <c r="AD153" s="19"/>
      <c r="AE153" s="19"/>
      <c r="AF153" s="19"/>
      <c r="AG153" s="19"/>
    </row>
    <row r="154" spans="1:33" hidden="1" outlineLevel="3" x14ac:dyDescent="0.2">
      <c r="A154" s="19"/>
      <c r="B154" s="19"/>
      <c r="C154" s="506">
        <f t="shared" si="13"/>
        <v>0</v>
      </c>
      <c r="D154" s="505">
        <f t="shared" si="13"/>
        <v>0</v>
      </c>
      <c r="E154" s="505">
        <f t="shared" si="13"/>
        <v>0</v>
      </c>
      <c r="F154" s="505">
        <f t="shared" si="13"/>
        <v>0</v>
      </c>
      <c r="G154" s="505">
        <f t="shared" si="13"/>
        <v>0</v>
      </c>
      <c r="H154" s="58"/>
      <c r="I154" s="198">
        <f>IF(Qty!$J76=0,Qty!M76,Qty!M76*Qty!$J76)*'Prop. prices'!I154*I$7</f>
        <v>0</v>
      </c>
      <c r="J154" s="198">
        <f>IF(Qty!$J76=0,Qty!N76,Qty!N76*Qty!$J76)*'Prop. prices'!J154*J$7</f>
        <v>0</v>
      </c>
      <c r="K154" s="198">
        <f>IF(Qty!$J76=0,Qty!O76,Qty!O76*Qty!$J76)*'Prop. prices'!K154*K$7</f>
        <v>0</v>
      </c>
      <c r="L154" s="198">
        <f>IF(Qty!$J76=0,Qty!P76,Qty!P76*Qty!$J76)*'Prop. prices'!L154*L$7</f>
        <v>0</v>
      </c>
      <c r="M154" s="198">
        <f>IF(Qty!$J76=0,Qty!Q76,Qty!Q76*Qty!$J76)*'Prop. prices'!M154*M$7</f>
        <v>0</v>
      </c>
      <c r="N154" s="198">
        <f>IF(Qty!$J76=0,Qty!R76,Qty!R76*Qty!$J76)*'Prop. prices'!N154*N$7</f>
        <v>0</v>
      </c>
      <c r="O154" s="198">
        <f>IF(Qty!$J76=0,Qty!S76,Qty!S76*Qty!$J76)*'Prop. prices'!O154*O$7</f>
        <v>0</v>
      </c>
      <c r="P154" s="198">
        <f>IF(Qty!$J76=0,Qty!T76,Qty!T76*Qty!$J76)*'Prop. prices'!P154*P$7</f>
        <v>0</v>
      </c>
      <c r="Q154" s="198">
        <f>IF(Qty!$J76=0,Qty!U76,Qty!U76*Qty!$J76)*'Prop. prices'!Q154*Q$7</f>
        <v>0</v>
      </c>
      <c r="R154" s="198">
        <f>IF(Qty!$J76=0,Qty!V76,Qty!V76*Qty!$J76)*'Prop. prices'!R154*R$7</f>
        <v>0</v>
      </c>
      <c r="S154" s="198">
        <f>IF(Qty!$J76=0,Qty!W76,Qty!W76*Qty!$J76)*'Prop. prices'!S154*S$7</f>
        <v>0</v>
      </c>
      <c r="T154" s="198">
        <f>IF(Qty!$J76=0,Qty!X76,Qty!X76*Qty!$J76)*'Prop. prices'!T154*T$7</f>
        <v>0</v>
      </c>
      <c r="U154" s="198">
        <f>IF(Qty!$J76=0,Qty!Y76,Qty!Y76*Qty!$J76)*'Prop. prices'!U154*U$7</f>
        <v>0</v>
      </c>
      <c r="V154" s="198">
        <f>IF(Qty!$J76=0,Qty!Z76,Qty!Z76*Qty!$J76)*'Prop. prices'!V154*V$7</f>
        <v>0</v>
      </c>
      <c r="W154" s="198">
        <f>IF(Qty!$J76=0,Qty!AA76,Qty!AA76*Qty!$J76)*'Prop. prices'!W154*W$7</f>
        <v>0</v>
      </c>
      <c r="X154" s="198">
        <f>IF(Qty!$J76=0,Qty!AB76,Qty!AB76*Qty!$J76)*'Prop. prices'!X154*X$7</f>
        <v>0</v>
      </c>
      <c r="Y154" s="198">
        <f>IF(Qty!$J76=0,Qty!AC76,Qty!AC76*Qty!$J76)*'Prop. prices'!Y154*Y$7</f>
        <v>0</v>
      </c>
      <c r="Z154" s="198">
        <f>IF(Qty!$J76=0,Qty!AD76,Qty!AD76*Qty!$J76)*'Prop. prices'!Z154*Z$7</f>
        <v>0</v>
      </c>
      <c r="AA154" s="198">
        <f>IF(Qty!$J76=0,Qty!AE76,Qty!AE76*Qty!$J76)*'Prop. prices'!AA154*AA$7</f>
        <v>0</v>
      </c>
      <c r="AB154" s="198">
        <f>IF(Qty!$J76=0,Qty!AF76,Qty!AF76*Qty!$J76)*'Prop. prices'!AB154*AB$7</f>
        <v>0</v>
      </c>
      <c r="AC154" s="206">
        <f t="shared" si="14"/>
        <v>0</v>
      </c>
      <c r="AD154" s="19"/>
      <c r="AE154" s="19"/>
      <c r="AF154" s="19"/>
      <c r="AG154" s="19"/>
    </row>
    <row r="155" spans="1:33" hidden="1" outlineLevel="3" x14ac:dyDescent="0.2">
      <c r="A155" s="19"/>
      <c r="B155" s="19"/>
      <c r="C155" s="506">
        <f t="shared" si="13"/>
        <v>0</v>
      </c>
      <c r="D155" s="505">
        <f t="shared" si="13"/>
        <v>0</v>
      </c>
      <c r="E155" s="505">
        <f t="shared" si="13"/>
        <v>0</v>
      </c>
      <c r="F155" s="505">
        <f t="shared" si="13"/>
        <v>0</v>
      </c>
      <c r="G155" s="505">
        <f t="shared" si="13"/>
        <v>0</v>
      </c>
      <c r="H155" s="58"/>
      <c r="I155" s="198">
        <f>IF(Qty!$J77=0,Qty!M77,Qty!M77*Qty!$J77)*'Prop. prices'!I155*I$7</f>
        <v>0</v>
      </c>
      <c r="J155" s="198">
        <f>IF(Qty!$J77=0,Qty!N77,Qty!N77*Qty!$J77)*'Prop. prices'!J155*J$7</f>
        <v>0</v>
      </c>
      <c r="K155" s="198">
        <f>IF(Qty!$J77=0,Qty!O77,Qty!O77*Qty!$J77)*'Prop. prices'!K155*K$7</f>
        <v>0</v>
      </c>
      <c r="L155" s="198">
        <f>IF(Qty!$J77=0,Qty!P77,Qty!P77*Qty!$J77)*'Prop. prices'!L155*L$7</f>
        <v>0</v>
      </c>
      <c r="M155" s="198">
        <f>IF(Qty!$J77=0,Qty!Q77,Qty!Q77*Qty!$J77)*'Prop. prices'!M155*M$7</f>
        <v>0</v>
      </c>
      <c r="N155" s="198">
        <f>IF(Qty!$J77=0,Qty!R77,Qty!R77*Qty!$J77)*'Prop. prices'!N155*N$7</f>
        <v>0</v>
      </c>
      <c r="O155" s="198">
        <f>IF(Qty!$J77=0,Qty!S77,Qty!S77*Qty!$J77)*'Prop. prices'!O155*O$7</f>
        <v>0</v>
      </c>
      <c r="P155" s="198">
        <f>IF(Qty!$J77=0,Qty!T77,Qty!T77*Qty!$J77)*'Prop. prices'!P155*P$7</f>
        <v>0</v>
      </c>
      <c r="Q155" s="198">
        <f>IF(Qty!$J77=0,Qty!U77,Qty!U77*Qty!$J77)*'Prop. prices'!Q155*Q$7</f>
        <v>0</v>
      </c>
      <c r="R155" s="198">
        <f>IF(Qty!$J77=0,Qty!V77,Qty!V77*Qty!$J77)*'Prop. prices'!R155*R$7</f>
        <v>0</v>
      </c>
      <c r="S155" s="198">
        <f>IF(Qty!$J77=0,Qty!W77,Qty!W77*Qty!$J77)*'Prop. prices'!S155*S$7</f>
        <v>0</v>
      </c>
      <c r="T155" s="198">
        <f>IF(Qty!$J77=0,Qty!X77,Qty!X77*Qty!$J77)*'Prop. prices'!T155*T$7</f>
        <v>0</v>
      </c>
      <c r="U155" s="198">
        <f>IF(Qty!$J77=0,Qty!Y77,Qty!Y77*Qty!$J77)*'Prop. prices'!U155*U$7</f>
        <v>0</v>
      </c>
      <c r="V155" s="198">
        <f>IF(Qty!$J77=0,Qty!Z77,Qty!Z77*Qty!$J77)*'Prop. prices'!V155*V$7</f>
        <v>0</v>
      </c>
      <c r="W155" s="198">
        <f>IF(Qty!$J77=0,Qty!AA77,Qty!AA77*Qty!$J77)*'Prop. prices'!W155*W$7</f>
        <v>0</v>
      </c>
      <c r="X155" s="198">
        <f>IF(Qty!$J77=0,Qty!AB77,Qty!AB77*Qty!$J77)*'Prop. prices'!X155*X$7</f>
        <v>0</v>
      </c>
      <c r="Y155" s="198">
        <f>IF(Qty!$J77=0,Qty!AC77,Qty!AC77*Qty!$J77)*'Prop. prices'!Y155*Y$7</f>
        <v>0</v>
      </c>
      <c r="Z155" s="198">
        <f>IF(Qty!$J77=0,Qty!AD77,Qty!AD77*Qty!$J77)*'Prop. prices'!Z155*Z$7</f>
        <v>0</v>
      </c>
      <c r="AA155" s="198">
        <f>IF(Qty!$J77=0,Qty!AE77,Qty!AE77*Qty!$J77)*'Prop. prices'!AA155*AA$7</f>
        <v>0</v>
      </c>
      <c r="AB155" s="198">
        <f>IF(Qty!$J77=0,Qty!AF77,Qty!AF77*Qty!$J77)*'Prop. prices'!AB155*AB$7</f>
        <v>0</v>
      </c>
      <c r="AC155" s="206">
        <f t="shared" si="14"/>
        <v>0</v>
      </c>
      <c r="AD155" s="19"/>
      <c r="AE155" s="19"/>
      <c r="AF155" s="19"/>
      <c r="AG155" s="19"/>
    </row>
    <row r="156" spans="1:33" hidden="1" outlineLevel="3" x14ac:dyDescent="0.2">
      <c r="A156" s="19"/>
      <c r="B156" s="19"/>
      <c r="C156" s="506">
        <f t="shared" ref="C156:G160" si="15">C78</f>
        <v>0</v>
      </c>
      <c r="D156" s="505">
        <f t="shared" si="15"/>
        <v>0</v>
      </c>
      <c r="E156" s="505">
        <f t="shared" si="15"/>
        <v>0</v>
      </c>
      <c r="F156" s="505">
        <f t="shared" si="15"/>
        <v>0</v>
      </c>
      <c r="G156" s="505">
        <f t="shared" si="15"/>
        <v>0</v>
      </c>
      <c r="H156" s="58"/>
      <c r="I156" s="198">
        <f>IF(Qty!$J78=0,Qty!M78,Qty!M78*Qty!$J78)*'Prop. prices'!I156*I$7</f>
        <v>0</v>
      </c>
      <c r="J156" s="198">
        <f>IF(Qty!$J78=0,Qty!N78,Qty!N78*Qty!$J78)*'Prop. prices'!J156*J$7</f>
        <v>0</v>
      </c>
      <c r="K156" s="198">
        <f>IF(Qty!$J78=0,Qty!O78,Qty!O78*Qty!$J78)*'Prop. prices'!K156*K$7</f>
        <v>0</v>
      </c>
      <c r="L156" s="198">
        <f>IF(Qty!$J78=0,Qty!P78,Qty!P78*Qty!$J78)*'Prop. prices'!L156*L$7</f>
        <v>0</v>
      </c>
      <c r="M156" s="198">
        <f>IF(Qty!$J78=0,Qty!Q78,Qty!Q78*Qty!$J78)*'Prop. prices'!M156*M$7</f>
        <v>0</v>
      </c>
      <c r="N156" s="198">
        <f>IF(Qty!$J78=0,Qty!R78,Qty!R78*Qty!$J78)*'Prop. prices'!N156*N$7</f>
        <v>0</v>
      </c>
      <c r="O156" s="198">
        <f>IF(Qty!$J78=0,Qty!S78,Qty!S78*Qty!$J78)*'Prop. prices'!O156*O$7</f>
        <v>0</v>
      </c>
      <c r="P156" s="198">
        <f>IF(Qty!$J78=0,Qty!T78,Qty!T78*Qty!$J78)*'Prop. prices'!P156*P$7</f>
        <v>0</v>
      </c>
      <c r="Q156" s="198">
        <f>IF(Qty!$J78=0,Qty!U78,Qty!U78*Qty!$J78)*'Prop. prices'!Q156*Q$7</f>
        <v>0</v>
      </c>
      <c r="R156" s="198">
        <f>IF(Qty!$J78=0,Qty!V78,Qty!V78*Qty!$J78)*'Prop. prices'!R156*R$7</f>
        <v>0</v>
      </c>
      <c r="S156" s="198">
        <f>IF(Qty!$J78=0,Qty!W78,Qty!W78*Qty!$J78)*'Prop. prices'!S156*S$7</f>
        <v>0</v>
      </c>
      <c r="T156" s="198">
        <f>IF(Qty!$J78=0,Qty!X78,Qty!X78*Qty!$J78)*'Prop. prices'!T156*T$7</f>
        <v>0</v>
      </c>
      <c r="U156" s="198">
        <f>IF(Qty!$J78=0,Qty!Y78,Qty!Y78*Qty!$J78)*'Prop. prices'!U156*U$7</f>
        <v>0</v>
      </c>
      <c r="V156" s="198">
        <f>IF(Qty!$J78=0,Qty!Z78,Qty!Z78*Qty!$J78)*'Prop. prices'!V156*V$7</f>
        <v>0</v>
      </c>
      <c r="W156" s="198">
        <f>IF(Qty!$J78=0,Qty!AA78,Qty!AA78*Qty!$J78)*'Prop. prices'!W156*W$7</f>
        <v>0</v>
      </c>
      <c r="X156" s="198">
        <f>IF(Qty!$J78=0,Qty!AB78,Qty!AB78*Qty!$J78)*'Prop. prices'!X156*X$7</f>
        <v>0</v>
      </c>
      <c r="Y156" s="198">
        <f>IF(Qty!$J78=0,Qty!AC78,Qty!AC78*Qty!$J78)*'Prop. prices'!Y156*Y$7</f>
        <v>0</v>
      </c>
      <c r="Z156" s="198">
        <f>IF(Qty!$J78=0,Qty!AD78,Qty!AD78*Qty!$J78)*'Prop. prices'!Z156*Z$7</f>
        <v>0</v>
      </c>
      <c r="AA156" s="198">
        <f>IF(Qty!$J78=0,Qty!AE78,Qty!AE78*Qty!$J78)*'Prop. prices'!AA156*AA$7</f>
        <v>0</v>
      </c>
      <c r="AB156" s="198">
        <f>IF(Qty!$J78=0,Qty!AF78,Qty!AF78*Qty!$J78)*'Prop. prices'!AB156*AB$7</f>
        <v>0</v>
      </c>
      <c r="AC156" s="206">
        <f t="shared" si="14"/>
        <v>0</v>
      </c>
      <c r="AD156" s="19"/>
      <c r="AE156" s="19"/>
      <c r="AF156" s="19"/>
      <c r="AG156" s="19"/>
    </row>
    <row r="157" spans="1:33" hidden="1" outlineLevel="3" x14ac:dyDescent="0.2">
      <c r="A157" s="19"/>
      <c r="B157" s="19"/>
      <c r="C157" s="506">
        <f t="shared" si="15"/>
        <v>0</v>
      </c>
      <c r="D157" s="505">
        <f t="shared" si="15"/>
        <v>0</v>
      </c>
      <c r="E157" s="505">
        <f t="shared" si="15"/>
        <v>0</v>
      </c>
      <c r="F157" s="505">
        <f t="shared" si="15"/>
        <v>0</v>
      </c>
      <c r="G157" s="505">
        <f t="shared" si="15"/>
        <v>0</v>
      </c>
      <c r="H157" s="58"/>
      <c r="I157" s="198">
        <f>IF(Qty!$J79=0,Qty!M79,Qty!M79*Qty!$J79)*'Prop. prices'!I157*I$7</f>
        <v>0</v>
      </c>
      <c r="J157" s="198">
        <f>IF(Qty!$J79=0,Qty!N79,Qty!N79*Qty!$J79)*'Prop. prices'!J157*J$7</f>
        <v>0</v>
      </c>
      <c r="K157" s="198">
        <f>IF(Qty!$J79=0,Qty!O79,Qty!O79*Qty!$J79)*'Prop. prices'!K157*K$7</f>
        <v>0</v>
      </c>
      <c r="L157" s="198">
        <f>IF(Qty!$J79=0,Qty!P79,Qty!P79*Qty!$J79)*'Prop. prices'!L157*L$7</f>
        <v>0</v>
      </c>
      <c r="M157" s="198">
        <f>IF(Qty!$J79=0,Qty!Q79,Qty!Q79*Qty!$J79)*'Prop. prices'!M157*M$7</f>
        <v>0</v>
      </c>
      <c r="N157" s="198">
        <f>IF(Qty!$J79=0,Qty!R79,Qty!R79*Qty!$J79)*'Prop. prices'!N157*N$7</f>
        <v>0</v>
      </c>
      <c r="O157" s="198">
        <f>IF(Qty!$J79=0,Qty!S79,Qty!S79*Qty!$J79)*'Prop. prices'!O157*O$7</f>
        <v>0</v>
      </c>
      <c r="P157" s="198">
        <f>IF(Qty!$J79=0,Qty!T79,Qty!T79*Qty!$J79)*'Prop. prices'!P157*P$7</f>
        <v>0</v>
      </c>
      <c r="Q157" s="198">
        <f>IF(Qty!$J79=0,Qty!U79,Qty!U79*Qty!$J79)*'Prop. prices'!Q157*Q$7</f>
        <v>0</v>
      </c>
      <c r="R157" s="198">
        <f>IF(Qty!$J79=0,Qty!V79,Qty!V79*Qty!$J79)*'Prop. prices'!R157*R$7</f>
        <v>0</v>
      </c>
      <c r="S157" s="198">
        <f>IF(Qty!$J79=0,Qty!W79,Qty!W79*Qty!$J79)*'Prop. prices'!S157*S$7</f>
        <v>0</v>
      </c>
      <c r="T157" s="198">
        <f>IF(Qty!$J79=0,Qty!X79,Qty!X79*Qty!$J79)*'Prop. prices'!T157*T$7</f>
        <v>0</v>
      </c>
      <c r="U157" s="198">
        <f>IF(Qty!$J79=0,Qty!Y79,Qty!Y79*Qty!$J79)*'Prop. prices'!U157*U$7</f>
        <v>0</v>
      </c>
      <c r="V157" s="198">
        <f>IF(Qty!$J79=0,Qty!Z79,Qty!Z79*Qty!$J79)*'Prop. prices'!V157*V$7</f>
        <v>0</v>
      </c>
      <c r="W157" s="198">
        <f>IF(Qty!$J79=0,Qty!AA79,Qty!AA79*Qty!$J79)*'Prop. prices'!W157*W$7</f>
        <v>0</v>
      </c>
      <c r="X157" s="198">
        <f>IF(Qty!$J79=0,Qty!AB79,Qty!AB79*Qty!$J79)*'Prop. prices'!X157*X$7</f>
        <v>0</v>
      </c>
      <c r="Y157" s="198">
        <f>IF(Qty!$J79=0,Qty!AC79,Qty!AC79*Qty!$J79)*'Prop. prices'!Y157*Y$7</f>
        <v>0</v>
      </c>
      <c r="Z157" s="198">
        <f>IF(Qty!$J79=0,Qty!AD79,Qty!AD79*Qty!$J79)*'Prop. prices'!Z157*Z$7</f>
        <v>0</v>
      </c>
      <c r="AA157" s="198">
        <f>IF(Qty!$J79=0,Qty!AE79,Qty!AE79*Qty!$J79)*'Prop. prices'!AA157*AA$7</f>
        <v>0</v>
      </c>
      <c r="AB157" s="198">
        <f>IF(Qty!$J79=0,Qty!AF79,Qty!AF79*Qty!$J79)*'Prop. prices'!AB157*AB$7</f>
        <v>0</v>
      </c>
      <c r="AC157" s="206">
        <f t="shared" si="14"/>
        <v>0</v>
      </c>
      <c r="AD157" s="19"/>
      <c r="AE157" s="19"/>
      <c r="AF157" s="19"/>
      <c r="AG157" s="19"/>
    </row>
    <row r="158" spans="1:33" hidden="1" outlineLevel="3" x14ac:dyDescent="0.2">
      <c r="A158" s="19"/>
      <c r="B158" s="19"/>
      <c r="C158" s="506">
        <f t="shared" si="15"/>
        <v>0</v>
      </c>
      <c r="D158" s="505">
        <f t="shared" si="15"/>
        <v>0</v>
      </c>
      <c r="E158" s="505">
        <f t="shared" si="15"/>
        <v>0</v>
      </c>
      <c r="F158" s="505">
        <f t="shared" si="15"/>
        <v>0</v>
      </c>
      <c r="G158" s="505">
        <f t="shared" si="15"/>
        <v>0</v>
      </c>
      <c r="H158" s="58"/>
      <c r="I158" s="198">
        <f>IF(Qty!$J80=0,Qty!M80,Qty!M80*Qty!$J80)*'Prop. prices'!I158*I$7</f>
        <v>0</v>
      </c>
      <c r="J158" s="198">
        <f>IF(Qty!$J80=0,Qty!N80,Qty!N80*Qty!$J80)*'Prop. prices'!J158*J$7</f>
        <v>0</v>
      </c>
      <c r="K158" s="198">
        <f>IF(Qty!$J80=0,Qty!O80,Qty!O80*Qty!$J80)*'Prop. prices'!K158*K$7</f>
        <v>0</v>
      </c>
      <c r="L158" s="198">
        <f>IF(Qty!$J80=0,Qty!P80,Qty!P80*Qty!$J80)*'Prop. prices'!L158*L$7</f>
        <v>0</v>
      </c>
      <c r="M158" s="198">
        <f>IF(Qty!$J80=0,Qty!Q80,Qty!Q80*Qty!$J80)*'Prop. prices'!M158*M$7</f>
        <v>0</v>
      </c>
      <c r="N158" s="198">
        <f>IF(Qty!$J80=0,Qty!R80,Qty!R80*Qty!$J80)*'Prop. prices'!N158*N$7</f>
        <v>0</v>
      </c>
      <c r="O158" s="198">
        <f>IF(Qty!$J80=0,Qty!S80,Qty!S80*Qty!$J80)*'Prop. prices'!O158*O$7</f>
        <v>0</v>
      </c>
      <c r="P158" s="198">
        <f>IF(Qty!$J80=0,Qty!T80,Qty!T80*Qty!$J80)*'Prop. prices'!P158*P$7</f>
        <v>0</v>
      </c>
      <c r="Q158" s="198">
        <f>IF(Qty!$J80=0,Qty!U80,Qty!U80*Qty!$J80)*'Prop. prices'!Q158*Q$7</f>
        <v>0</v>
      </c>
      <c r="R158" s="198">
        <f>IF(Qty!$J80=0,Qty!V80,Qty!V80*Qty!$J80)*'Prop. prices'!R158*R$7</f>
        <v>0</v>
      </c>
      <c r="S158" s="198">
        <f>IF(Qty!$J80=0,Qty!W80,Qty!W80*Qty!$J80)*'Prop. prices'!S158*S$7</f>
        <v>0</v>
      </c>
      <c r="T158" s="198">
        <f>IF(Qty!$J80=0,Qty!X80,Qty!X80*Qty!$J80)*'Prop. prices'!T158*T$7</f>
        <v>0</v>
      </c>
      <c r="U158" s="198">
        <f>IF(Qty!$J80=0,Qty!Y80,Qty!Y80*Qty!$J80)*'Prop. prices'!U158*U$7</f>
        <v>0</v>
      </c>
      <c r="V158" s="198">
        <f>IF(Qty!$J80=0,Qty!Z80,Qty!Z80*Qty!$J80)*'Prop. prices'!V158*V$7</f>
        <v>0</v>
      </c>
      <c r="W158" s="198">
        <f>IF(Qty!$J80=0,Qty!AA80,Qty!AA80*Qty!$J80)*'Prop. prices'!W158*W$7</f>
        <v>0</v>
      </c>
      <c r="X158" s="198">
        <f>IF(Qty!$J80=0,Qty!AB80,Qty!AB80*Qty!$J80)*'Prop. prices'!X158*X$7</f>
        <v>0</v>
      </c>
      <c r="Y158" s="198">
        <f>IF(Qty!$J80=0,Qty!AC80,Qty!AC80*Qty!$J80)*'Prop. prices'!Y158*Y$7</f>
        <v>0</v>
      </c>
      <c r="Z158" s="198">
        <f>IF(Qty!$J80=0,Qty!AD80,Qty!AD80*Qty!$J80)*'Prop. prices'!Z158*Z$7</f>
        <v>0</v>
      </c>
      <c r="AA158" s="198">
        <f>IF(Qty!$J80=0,Qty!AE80,Qty!AE80*Qty!$J80)*'Prop. prices'!AA158*AA$7</f>
        <v>0</v>
      </c>
      <c r="AB158" s="198">
        <f>IF(Qty!$J80=0,Qty!AF80,Qty!AF80*Qty!$J80)*'Prop. prices'!AB158*AB$7</f>
        <v>0</v>
      </c>
      <c r="AC158" s="206">
        <f t="shared" si="14"/>
        <v>0</v>
      </c>
      <c r="AD158" s="19"/>
      <c r="AE158" s="19"/>
      <c r="AF158" s="19"/>
      <c r="AG158" s="19"/>
    </row>
    <row r="159" spans="1:33" hidden="1" outlineLevel="3" x14ac:dyDescent="0.2">
      <c r="A159" s="19"/>
      <c r="B159" s="19"/>
      <c r="C159" s="506">
        <f t="shared" si="15"/>
        <v>0</v>
      </c>
      <c r="D159" s="505">
        <f t="shared" si="15"/>
        <v>0</v>
      </c>
      <c r="E159" s="505">
        <f t="shared" si="15"/>
        <v>0</v>
      </c>
      <c r="F159" s="505">
        <f t="shared" si="15"/>
        <v>0</v>
      </c>
      <c r="G159" s="505">
        <f t="shared" si="15"/>
        <v>0</v>
      </c>
      <c r="H159" s="58"/>
      <c r="I159" s="198">
        <f>IF(Qty!$J81=0,Qty!M81,Qty!M81*Qty!$J81)*'Prop. prices'!I159*I$7</f>
        <v>0</v>
      </c>
      <c r="J159" s="198">
        <f>IF(Qty!$J81=0,Qty!N81,Qty!N81*Qty!$J81)*'Prop. prices'!J159*J$7</f>
        <v>0</v>
      </c>
      <c r="K159" s="198">
        <f>IF(Qty!$J81=0,Qty!O81,Qty!O81*Qty!$J81)*'Prop. prices'!K159*K$7</f>
        <v>0</v>
      </c>
      <c r="L159" s="198">
        <f>IF(Qty!$J81=0,Qty!P81,Qty!P81*Qty!$J81)*'Prop. prices'!L159*L$7</f>
        <v>0</v>
      </c>
      <c r="M159" s="198">
        <f>IF(Qty!$J81=0,Qty!Q81,Qty!Q81*Qty!$J81)*'Prop. prices'!M159*M$7</f>
        <v>0</v>
      </c>
      <c r="N159" s="198">
        <f>IF(Qty!$J81=0,Qty!R81,Qty!R81*Qty!$J81)*'Prop. prices'!N159*N$7</f>
        <v>0</v>
      </c>
      <c r="O159" s="198">
        <f>IF(Qty!$J81=0,Qty!S81,Qty!S81*Qty!$J81)*'Prop. prices'!O159*O$7</f>
        <v>0</v>
      </c>
      <c r="P159" s="198">
        <f>IF(Qty!$J81=0,Qty!T81,Qty!T81*Qty!$J81)*'Prop. prices'!P159*P$7</f>
        <v>0</v>
      </c>
      <c r="Q159" s="198">
        <f>IF(Qty!$J81=0,Qty!U81,Qty!U81*Qty!$J81)*'Prop. prices'!Q159*Q$7</f>
        <v>0</v>
      </c>
      <c r="R159" s="198">
        <f>IF(Qty!$J81=0,Qty!V81,Qty!V81*Qty!$J81)*'Prop. prices'!R159*R$7</f>
        <v>0</v>
      </c>
      <c r="S159" s="198">
        <f>IF(Qty!$J81=0,Qty!W81,Qty!W81*Qty!$J81)*'Prop. prices'!S159*S$7</f>
        <v>0</v>
      </c>
      <c r="T159" s="198">
        <f>IF(Qty!$J81=0,Qty!X81,Qty!X81*Qty!$J81)*'Prop. prices'!T159*T$7</f>
        <v>0</v>
      </c>
      <c r="U159" s="198">
        <f>IF(Qty!$J81=0,Qty!Y81,Qty!Y81*Qty!$J81)*'Prop. prices'!U159*U$7</f>
        <v>0</v>
      </c>
      <c r="V159" s="198">
        <f>IF(Qty!$J81=0,Qty!Z81,Qty!Z81*Qty!$J81)*'Prop. prices'!V159*V$7</f>
        <v>0</v>
      </c>
      <c r="W159" s="198">
        <f>IF(Qty!$J81=0,Qty!AA81,Qty!AA81*Qty!$J81)*'Prop. prices'!W159*W$7</f>
        <v>0</v>
      </c>
      <c r="X159" s="198">
        <f>IF(Qty!$J81=0,Qty!AB81,Qty!AB81*Qty!$J81)*'Prop. prices'!X159*X$7</f>
        <v>0</v>
      </c>
      <c r="Y159" s="198">
        <f>IF(Qty!$J81=0,Qty!AC81,Qty!AC81*Qty!$J81)*'Prop. prices'!Y159*Y$7</f>
        <v>0</v>
      </c>
      <c r="Z159" s="198">
        <f>IF(Qty!$J81=0,Qty!AD81,Qty!AD81*Qty!$J81)*'Prop. prices'!Z159*Z$7</f>
        <v>0</v>
      </c>
      <c r="AA159" s="198">
        <f>IF(Qty!$J81=0,Qty!AE81,Qty!AE81*Qty!$J81)*'Prop. prices'!AA159*AA$7</f>
        <v>0</v>
      </c>
      <c r="AB159" s="198">
        <f>IF(Qty!$J81=0,Qty!AF81,Qty!AF81*Qty!$J81)*'Prop. prices'!AB159*AB$7</f>
        <v>0</v>
      </c>
      <c r="AC159" s="206">
        <f t="shared" si="14"/>
        <v>0</v>
      </c>
      <c r="AD159" s="19"/>
      <c r="AE159" s="19"/>
      <c r="AF159" s="19"/>
      <c r="AG159" s="19"/>
    </row>
    <row r="160" spans="1:33" hidden="1" outlineLevel="3" x14ac:dyDescent="0.2">
      <c r="A160" s="19"/>
      <c r="B160" s="19"/>
      <c r="C160" s="506">
        <f t="shared" si="15"/>
        <v>0</v>
      </c>
      <c r="D160" s="505">
        <f t="shared" si="15"/>
        <v>0</v>
      </c>
      <c r="E160" s="505">
        <f t="shared" si="15"/>
        <v>0</v>
      </c>
      <c r="F160" s="505">
        <f t="shared" si="15"/>
        <v>0</v>
      </c>
      <c r="G160" s="505">
        <f t="shared" si="15"/>
        <v>0</v>
      </c>
      <c r="H160" s="58"/>
      <c r="I160" s="198">
        <f>IF(Qty!$J82=0,Qty!M82,Qty!M82*Qty!$J82)*'Prop. prices'!I160*I$7</f>
        <v>0</v>
      </c>
      <c r="J160" s="198">
        <f>IF(Qty!$J82=0,Qty!N82,Qty!N82*Qty!$J82)*'Prop. prices'!J160*J$7</f>
        <v>0</v>
      </c>
      <c r="K160" s="198">
        <f>IF(Qty!$J82=0,Qty!O82,Qty!O82*Qty!$J82)*'Prop. prices'!K160*K$7</f>
        <v>0</v>
      </c>
      <c r="L160" s="198">
        <f>IF(Qty!$J82=0,Qty!P82,Qty!P82*Qty!$J82)*'Prop. prices'!L160*L$7</f>
        <v>0</v>
      </c>
      <c r="M160" s="198">
        <f>IF(Qty!$J82=0,Qty!Q82,Qty!Q82*Qty!$J82)*'Prop. prices'!M160*M$7</f>
        <v>0</v>
      </c>
      <c r="N160" s="198">
        <f>IF(Qty!$J82=0,Qty!R82,Qty!R82*Qty!$J82)*'Prop. prices'!N160*N$7</f>
        <v>0</v>
      </c>
      <c r="O160" s="198">
        <f>IF(Qty!$J82=0,Qty!S82,Qty!S82*Qty!$J82)*'Prop. prices'!O160*O$7</f>
        <v>0</v>
      </c>
      <c r="P160" s="198">
        <f>IF(Qty!$J82=0,Qty!T82,Qty!T82*Qty!$J82)*'Prop. prices'!P160*P$7</f>
        <v>0</v>
      </c>
      <c r="Q160" s="198">
        <f>IF(Qty!$J82=0,Qty!U82,Qty!U82*Qty!$J82)*'Prop. prices'!Q160*Q$7</f>
        <v>0</v>
      </c>
      <c r="R160" s="198">
        <f>IF(Qty!$J82=0,Qty!V82,Qty!V82*Qty!$J82)*'Prop. prices'!R160*R$7</f>
        <v>0</v>
      </c>
      <c r="S160" s="198">
        <f>IF(Qty!$J82=0,Qty!W82,Qty!W82*Qty!$J82)*'Prop. prices'!S160*S$7</f>
        <v>0</v>
      </c>
      <c r="T160" s="198">
        <f>IF(Qty!$J82=0,Qty!X82,Qty!X82*Qty!$J82)*'Prop. prices'!T160*T$7</f>
        <v>0</v>
      </c>
      <c r="U160" s="198">
        <f>IF(Qty!$J82=0,Qty!Y82,Qty!Y82*Qty!$J82)*'Prop. prices'!U160*U$7</f>
        <v>0</v>
      </c>
      <c r="V160" s="198">
        <f>IF(Qty!$J82=0,Qty!Z82,Qty!Z82*Qty!$J82)*'Prop. prices'!V160*V$7</f>
        <v>0</v>
      </c>
      <c r="W160" s="198">
        <f>IF(Qty!$J82=0,Qty!AA82,Qty!AA82*Qty!$J82)*'Prop. prices'!W160*W$7</f>
        <v>0</v>
      </c>
      <c r="X160" s="198">
        <f>IF(Qty!$J82=0,Qty!AB82,Qty!AB82*Qty!$J82)*'Prop. prices'!X160*X$7</f>
        <v>0</v>
      </c>
      <c r="Y160" s="198">
        <f>IF(Qty!$J82=0,Qty!AC82,Qty!AC82*Qty!$J82)*'Prop. prices'!Y160*Y$7</f>
        <v>0</v>
      </c>
      <c r="Z160" s="198">
        <f>IF(Qty!$J82=0,Qty!AD82,Qty!AD82*Qty!$J82)*'Prop. prices'!Z160*Z$7</f>
        <v>0</v>
      </c>
      <c r="AA160" s="198">
        <f>IF(Qty!$J82=0,Qty!AE82,Qty!AE82*Qty!$J82)*'Prop. prices'!AA160*AA$7</f>
        <v>0</v>
      </c>
      <c r="AB160" s="198">
        <f>IF(Qty!$J82=0,Qty!AF82,Qty!AF82*Qty!$J82)*'Prop. prices'!AB160*AB$7</f>
        <v>0</v>
      </c>
      <c r="AC160" s="206">
        <f t="shared" si="14"/>
        <v>0</v>
      </c>
      <c r="AD160" s="19"/>
      <c r="AE160" s="19"/>
      <c r="AF160" s="19"/>
      <c r="AG160" s="19"/>
    </row>
    <row r="161" spans="1:33" outlineLevel="2" collapsed="1" x14ac:dyDescent="0.2">
      <c r="A161" s="19"/>
      <c r="B161" s="19"/>
      <c r="C161" s="539" t="s">
        <v>240</v>
      </c>
      <c r="D161" s="505"/>
      <c r="E161" s="505"/>
      <c r="F161" s="505"/>
      <c r="G161" s="505"/>
      <c r="H161" s="58"/>
      <c r="I161" s="205">
        <f t="shared" ref="I161:AC161" si="16">SUM(I86:I160)</f>
        <v>0</v>
      </c>
      <c r="J161" s="205">
        <f t="shared" si="16"/>
        <v>37555657.492428713</v>
      </c>
      <c r="K161" s="205">
        <f t="shared" si="16"/>
        <v>13203063.980246814</v>
      </c>
      <c r="L161" s="205">
        <f t="shared" si="16"/>
        <v>2460090.9424815597</v>
      </c>
      <c r="M161" s="205">
        <f t="shared" si="16"/>
        <v>3535096.955431893</v>
      </c>
      <c r="N161" s="205">
        <f t="shared" si="16"/>
        <v>2718095.0169248991</v>
      </c>
      <c r="O161" s="205">
        <f t="shared" si="16"/>
        <v>4517137.4878702071</v>
      </c>
      <c r="P161" s="205">
        <f t="shared" si="16"/>
        <v>1431642.8079328523</v>
      </c>
      <c r="Q161" s="205">
        <f t="shared" si="16"/>
        <v>830926.55207753065</v>
      </c>
      <c r="R161" s="205">
        <f t="shared" si="16"/>
        <v>50974.291462102032</v>
      </c>
      <c r="S161" s="205">
        <f t="shared" si="16"/>
        <v>0</v>
      </c>
      <c r="T161" s="205">
        <f t="shared" si="16"/>
        <v>0</v>
      </c>
      <c r="U161" s="205">
        <f t="shared" si="16"/>
        <v>344207.85189971491</v>
      </c>
      <c r="V161" s="205">
        <f t="shared" si="16"/>
        <v>0</v>
      </c>
      <c r="W161" s="205">
        <f t="shared" si="16"/>
        <v>0</v>
      </c>
      <c r="X161" s="205">
        <f t="shared" si="16"/>
        <v>0</v>
      </c>
      <c r="Y161" s="205">
        <f t="shared" si="16"/>
        <v>0</v>
      </c>
      <c r="Z161" s="205">
        <f t="shared" si="16"/>
        <v>0</v>
      </c>
      <c r="AA161" s="205">
        <f t="shared" si="16"/>
        <v>0</v>
      </c>
      <c r="AB161" s="205">
        <f t="shared" si="16"/>
        <v>0</v>
      </c>
      <c r="AC161" s="205">
        <f t="shared" si="16"/>
        <v>66646893.378756277</v>
      </c>
      <c r="AD161" s="19"/>
      <c r="AE161" s="19"/>
      <c r="AF161" s="19"/>
      <c r="AG161" s="19"/>
    </row>
    <row r="162" spans="1:33" outlineLevel="1" x14ac:dyDescent="0.2">
      <c r="A162" s="19"/>
      <c r="B162" s="19"/>
      <c r="C162" s="66"/>
      <c r="D162" s="58"/>
      <c r="E162" s="58"/>
      <c r="F162" s="58"/>
      <c r="G162" s="58"/>
      <c r="H162" s="58"/>
      <c r="I162" s="71"/>
      <c r="J162" s="71"/>
      <c r="K162" s="70"/>
      <c r="L162" s="70"/>
      <c r="M162" s="70"/>
      <c r="N162" s="72"/>
      <c r="O162" s="72"/>
      <c r="P162" s="72"/>
      <c r="Q162" s="72"/>
      <c r="R162" s="72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19"/>
      <c r="AE162" s="19"/>
      <c r="AF162" s="19"/>
      <c r="AG162" s="19"/>
    </row>
    <row r="163" spans="1:33" outlineLevel="1" x14ac:dyDescent="0.2">
      <c r="A163" s="19"/>
      <c r="B163" s="19"/>
      <c r="C163" s="167" t="s">
        <v>220</v>
      </c>
      <c r="D163" s="20"/>
      <c r="E163" s="20"/>
      <c r="F163" s="20"/>
      <c r="G163" s="22"/>
      <c r="H163" s="22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19"/>
      <c r="AE163" s="19"/>
      <c r="AF163" s="19"/>
      <c r="AG163" s="19"/>
    </row>
    <row r="164" spans="1:33" hidden="1" outlineLevel="2" x14ac:dyDescent="0.2">
      <c r="A164" s="19"/>
      <c r="B164" s="19"/>
      <c r="C164" s="506" t="str">
        <f t="shared" ref="C164:G173" si="17">C8</f>
        <v>Residential time of use consumption</v>
      </c>
      <c r="D164" s="505" t="str">
        <f t="shared" si="17"/>
        <v>Residential</v>
      </c>
      <c r="E164" s="505" t="str">
        <f t="shared" si="17"/>
        <v>TAS93</v>
      </c>
      <c r="F164" s="505">
        <f t="shared" si="17"/>
        <v>0</v>
      </c>
      <c r="G164" s="505">
        <f t="shared" si="17"/>
        <v>0</v>
      </c>
      <c r="H164" s="22"/>
      <c r="I164" s="198">
        <f>Qty!M8*'Prop. prices'!I164*I$7</f>
        <v>0</v>
      </c>
      <c r="J164" s="198">
        <f>Qty!N8*'Prop. prices'!J164*J$7</f>
        <v>0</v>
      </c>
      <c r="K164" s="198">
        <f>Qty!O8*'Prop. prices'!K164*K$7</f>
        <v>0</v>
      </c>
      <c r="L164" s="198">
        <f>Qty!P8*'Prop. prices'!L164*L$7</f>
        <v>0</v>
      </c>
      <c r="M164" s="198">
        <f>Qty!Q8*'Prop. prices'!M164*M$7</f>
        <v>0</v>
      </c>
      <c r="N164" s="198">
        <f>Qty!R8*'Prop. prices'!N164*N$7</f>
        <v>0</v>
      </c>
      <c r="O164" s="198">
        <f>Qty!S8*'Prop. prices'!O164*O$7</f>
        <v>0</v>
      </c>
      <c r="P164" s="198">
        <f>Qty!T8*'Prop. prices'!P164*P$7</f>
        <v>0</v>
      </c>
      <c r="Q164" s="198">
        <f>Qty!U8*'Prop. prices'!Q164*Q$7</f>
        <v>0</v>
      </c>
      <c r="R164" s="198">
        <f>Qty!V8*'Prop. prices'!R164*R$7</f>
        <v>0</v>
      </c>
      <c r="S164" s="198">
        <f>Qty!W8*'Prop. prices'!S164*S$7</f>
        <v>0</v>
      </c>
      <c r="T164" s="198">
        <f>Qty!X8*'Prop. prices'!T164*T$7</f>
        <v>0</v>
      </c>
      <c r="U164" s="198">
        <f>Qty!Y8*'Prop. prices'!U164*U$7</f>
        <v>0</v>
      </c>
      <c r="V164" s="198">
        <f>Qty!Z8*'Prop. prices'!V164*V$7</f>
        <v>0</v>
      </c>
      <c r="W164" s="198">
        <f>Qty!AA8*'Prop. prices'!W164*W$7</f>
        <v>0</v>
      </c>
      <c r="X164" s="198">
        <f>Qty!AB8*'Prop. prices'!X164*X$7</f>
        <v>0</v>
      </c>
      <c r="Y164" s="198">
        <f>Qty!AC8*'Prop. prices'!Y164*Y$7</f>
        <v>0</v>
      </c>
      <c r="Z164" s="198">
        <f>Qty!AD8*'Prop. prices'!Z164*Z$7</f>
        <v>0</v>
      </c>
      <c r="AA164" s="198">
        <f>Qty!AE8*'Prop. prices'!AA164*AA$7</f>
        <v>0</v>
      </c>
      <c r="AB164" s="198">
        <f>Qty!AF8*'Prop. prices'!AB164*AB$7</f>
        <v>0</v>
      </c>
      <c r="AC164" s="206">
        <f t="shared" ref="AC164:AC195" si="18">SUM(I164:AB164)</f>
        <v>0</v>
      </c>
      <c r="AD164" s="19"/>
      <c r="AE164" s="19"/>
      <c r="AF164" s="19"/>
      <c r="AG164" s="19"/>
    </row>
    <row r="165" spans="1:33" s="59" customFormat="1" hidden="1" outlineLevel="2" x14ac:dyDescent="0.2">
      <c r="A165" s="57"/>
      <c r="B165" s="57"/>
      <c r="C165" s="506" t="str">
        <f t="shared" si="17"/>
        <v>Residential general light and power</v>
      </c>
      <c r="D165" s="505" t="str">
        <f t="shared" si="17"/>
        <v>Residential</v>
      </c>
      <c r="E165" s="505" t="str">
        <f t="shared" si="17"/>
        <v>TAS31</v>
      </c>
      <c r="F165" s="505">
        <f t="shared" si="17"/>
        <v>0</v>
      </c>
      <c r="G165" s="505">
        <f t="shared" si="17"/>
        <v>0</v>
      </c>
      <c r="H165" s="58"/>
      <c r="I165" s="198">
        <f>Qty!M9*'Prop. prices'!I165*I$7</f>
        <v>0</v>
      </c>
      <c r="J165" s="198">
        <f>Qty!N9*'Prop. prices'!J165*J$7</f>
        <v>0</v>
      </c>
      <c r="K165" s="198">
        <f>Qty!O9*'Prop. prices'!K165*K$7</f>
        <v>0</v>
      </c>
      <c r="L165" s="198">
        <f>Qty!P9*'Prop. prices'!L165*L$7</f>
        <v>0</v>
      </c>
      <c r="M165" s="198">
        <f>Qty!Q9*'Prop. prices'!M165*M$7</f>
        <v>0</v>
      </c>
      <c r="N165" s="198">
        <f>Qty!R9*'Prop. prices'!N165*N$7</f>
        <v>0</v>
      </c>
      <c r="O165" s="198">
        <f>Qty!S9*'Prop. prices'!O165*O$7</f>
        <v>0</v>
      </c>
      <c r="P165" s="198">
        <f>Qty!T9*'Prop. prices'!P165*P$7</f>
        <v>0</v>
      </c>
      <c r="Q165" s="198">
        <f>Qty!U9*'Prop. prices'!Q165*Q$7</f>
        <v>0</v>
      </c>
      <c r="R165" s="198">
        <f>Qty!V9*'Prop. prices'!R165*R$7</f>
        <v>0</v>
      </c>
      <c r="S165" s="198">
        <f>Qty!W9*'Prop. prices'!S165*S$7</f>
        <v>0</v>
      </c>
      <c r="T165" s="198">
        <f>Qty!X9*'Prop. prices'!T165*T$7</f>
        <v>0</v>
      </c>
      <c r="U165" s="198">
        <f>Qty!Y9*'Prop. prices'!U165*U$7</f>
        <v>0</v>
      </c>
      <c r="V165" s="198">
        <f>Qty!Z9*'Prop. prices'!V165*V$7</f>
        <v>0</v>
      </c>
      <c r="W165" s="198">
        <f>Qty!AA9*'Prop. prices'!W165*W$7</f>
        <v>0</v>
      </c>
      <c r="X165" s="198">
        <f>Qty!AB9*'Prop. prices'!X165*X$7</f>
        <v>0</v>
      </c>
      <c r="Y165" s="198">
        <f>Qty!AC9*'Prop. prices'!Y165*Y$7</f>
        <v>0</v>
      </c>
      <c r="Z165" s="198">
        <f>Qty!AD9*'Prop. prices'!Z165*Z$7</f>
        <v>0</v>
      </c>
      <c r="AA165" s="198">
        <f>Qty!AE9*'Prop. prices'!AA165*AA$7</f>
        <v>0</v>
      </c>
      <c r="AB165" s="198">
        <f>Qty!AF9*'Prop. prices'!AB165*AB$7</f>
        <v>0</v>
      </c>
      <c r="AC165" s="206">
        <f t="shared" si="18"/>
        <v>0</v>
      </c>
      <c r="AD165" s="57"/>
      <c r="AE165" s="57"/>
      <c r="AF165" s="57"/>
      <c r="AG165" s="57"/>
    </row>
    <row r="166" spans="1:33" hidden="1" outlineLevel="2" x14ac:dyDescent="0.2">
      <c r="A166" s="19"/>
      <c r="B166" s="19"/>
      <c r="C166" s="506" t="str">
        <f t="shared" si="17"/>
        <v>Residential time of use demand</v>
      </c>
      <c r="D166" s="505" t="str">
        <f t="shared" si="17"/>
        <v>Residential</v>
      </c>
      <c r="E166" s="505" t="str">
        <f t="shared" si="17"/>
        <v>TAS87</v>
      </c>
      <c r="F166" s="505">
        <f t="shared" si="17"/>
        <v>0</v>
      </c>
      <c r="G166" s="505">
        <f t="shared" si="17"/>
        <v>0</v>
      </c>
      <c r="H166" s="58"/>
      <c r="I166" s="198">
        <f>Qty!M10*'Prop. prices'!I166*I$7</f>
        <v>0</v>
      </c>
      <c r="J166" s="198">
        <f>Qty!N10*'Prop. prices'!J166*J$7</f>
        <v>0</v>
      </c>
      <c r="K166" s="198">
        <f>Qty!O10*'Prop. prices'!K166*K$7</f>
        <v>0</v>
      </c>
      <c r="L166" s="198">
        <f>Qty!P10*'Prop. prices'!L166*L$7</f>
        <v>0</v>
      </c>
      <c r="M166" s="198">
        <f>Qty!Q10*'Prop. prices'!M166*M$7</f>
        <v>0</v>
      </c>
      <c r="N166" s="198">
        <f>Qty!R10*'Prop. prices'!N166*N$7</f>
        <v>0</v>
      </c>
      <c r="O166" s="198">
        <f>Qty!S10*'Prop. prices'!O166*O$7</f>
        <v>0</v>
      </c>
      <c r="P166" s="198">
        <f>Qty!T10*'Prop. prices'!P166*P$7</f>
        <v>0</v>
      </c>
      <c r="Q166" s="198">
        <f>Qty!U10*'Prop. prices'!Q166*Q$7</f>
        <v>0</v>
      </c>
      <c r="R166" s="198">
        <f>Qty!V10*'Prop. prices'!R166*R$7</f>
        <v>0</v>
      </c>
      <c r="S166" s="198">
        <f>Qty!W10*'Prop. prices'!S166*S$7</f>
        <v>0</v>
      </c>
      <c r="T166" s="198">
        <f>Qty!X10*'Prop. prices'!T166*T$7</f>
        <v>0</v>
      </c>
      <c r="U166" s="198">
        <f>Qty!Y10*'Prop. prices'!U166*U$7</f>
        <v>0</v>
      </c>
      <c r="V166" s="198">
        <f>Qty!Z10*'Prop. prices'!V166*V$7</f>
        <v>0</v>
      </c>
      <c r="W166" s="198">
        <f>Qty!AA10*'Prop. prices'!W166*W$7</f>
        <v>0</v>
      </c>
      <c r="X166" s="198">
        <f>Qty!AB10*'Prop. prices'!X166*X$7</f>
        <v>0</v>
      </c>
      <c r="Y166" s="198">
        <f>Qty!AC10*'Prop. prices'!Y166*Y$7</f>
        <v>0</v>
      </c>
      <c r="Z166" s="198">
        <f>Qty!AD10*'Prop. prices'!Z166*Z$7</f>
        <v>0</v>
      </c>
      <c r="AA166" s="198">
        <f>Qty!AE10*'Prop. prices'!AA166*AA$7</f>
        <v>0</v>
      </c>
      <c r="AB166" s="198">
        <f>Qty!AF10*'Prop. prices'!AB166*AB$7</f>
        <v>0</v>
      </c>
      <c r="AC166" s="206">
        <f t="shared" si="18"/>
        <v>0</v>
      </c>
      <c r="AD166" s="19"/>
      <c r="AE166" s="19"/>
      <c r="AF166" s="19"/>
      <c r="AG166" s="19"/>
    </row>
    <row r="167" spans="1:33" hidden="1" outlineLevel="2" x14ac:dyDescent="0.2">
      <c r="A167" s="19"/>
      <c r="B167" s="19"/>
      <c r="C167" s="506" t="str">
        <f t="shared" si="17"/>
        <v>Residential time of use demand DER</v>
      </c>
      <c r="D167" s="505" t="str">
        <f t="shared" si="17"/>
        <v>Residential</v>
      </c>
      <c r="E167" s="505" t="str">
        <f t="shared" si="17"/>
        <v>TAS97</v>
      </c>
      <c r="F167" s="505">
        <f t="shared" si="17"/>
        <v>0</v>
      </c>
      <c r="G167" s="505">
        <f t="shared" si="17"/>
        <v>0</v>
      </c>
      <c r="H167" s="58"/>
      <c r="I167" s="198">
        <f>Qty!M11*'Prop. prices'!I167*I$7</f>
        <v>0</v>
      </c>
      <c r="J167" s="198">
        <f>Qty!N11*'Prop. prices'!J167*J$7</f>
        <v>0</v>
      </c>
      <c r="K167" s="198">
        <f>Qty!O11*'Prop. prices'!K167*K$7</f>
        <v>0</v>
      </c>
      <c r="L167" s="198">
        <f>Qty!P11*'Prop. prices'!L167*L$7</f>
        <v>0</v>
      </c>
      <c r="M167" s="198">
        <f>Qty!Q11*'Prop. prices'!M167*M$7</f>
        <v>0</v>
      </c>
      <c r="N167" s="198">
        <f>Qty!R11*'Prop. prices'!N167*N$7</f>
        <v>0</v>
      </c>
      <c r="O167" s="198">
        <f>Qty!S11*'Prop. prices'!O167*O$7</f>
        <v>0</v>
      </c>
      <c r="P167" s="198">
        <f>Qty!T11*'Prop. prices'!P167*P$7</f>
        <v>0</v>
      </c>
      <c r="Q167" s="198">
        <f>Qty!U11*'Prop. prices'!Q167*Q$7</f>
        <v>0</v>
      </c>
      <c r="R167" s="198">
        <f>Qty!V11*'Prop. prices'!R167*R$7</f>
        <v>0</v>
      </c>
      <c r="S167" s="198">
        <f>Qty!W11*'Prop. prices'!S167*S$7</f>
        <v>0</v>
      </c>
      <c r="T167" s="198">
        <f>Qty!X11*'Prop. prices'!T167*T$7</f>
        <v>0</v>
      </c>
      <c r="U167" s="198">
        <f>Qty!Y11*'Prop. prices'!U167*U$7</f>
        <v>0</v>
      </c>
      <c r="V167" s="198">
        <f>Qty!Z11*'Prop. prices'!V167*V$7</f>
        <v>0</v>
      </c>
      <c r="W167" s="198">
        <f>Qty!AA11*'Prop. prices'!W167*W$7</f>
        <v>0</v>
      </c>
      <c r="X167" s="198">
        <f>Qty!AB11*'Prop. prices'!X167*X$7</f>
        <v>0</v>
      </c>
      <c r="Y167" s="198">
        <f>Qty!AC11*'Prop. prices'!Y167*Y$7</f>
        <v>0</v>
      </c>
      <c r="Z167" s="198">
        <f>Qty!AD11*'Prop. prices'!Z167*Z$7</f>
        <v>0</v>
      </c>
      <c r="AA167" s="198">
        <f>Qty!AE11*'Prop. prices'!AA167*AA$7</f>
        <v>0</v>
      </c>
      <c r="AB167" s="198">
        <f>Qty!AF11*'Prop. prices'!AB167*AB$7</f>
        <v>0</v>
      </c>
      <c r="AC167" s="206">
        <f t="shared" si="18"/>
        <v>0</v>
      </c>
      <c r="AD167" s="19"/>
      <c r="AE167" s="19"/>
      <c r="AF167" s="19"/>
      <c r="AG167" s="19"/>
    </row>
    <row r="168" spans="1:33" hidden="1" outlineLevel="2" x14ac:dyDescent="0.2">
      <c r="A168" s="19"/>
      <c r="B168" s="19"/>
      <c r="C168" s="506" t="str">
        <f t="shared" si="17"/>
        <v>Residential pay as you go</v>
      </c>
      <c r="D168" s="505" t="str">
        <f t="shared" si="17"/>
        <v>Residential</v>
      </c>
      <c r="E168" s="505" t="str">
        <f t="shared" si="17"/>
        <v>TAS101</v>
      </c>
      <c r="F168" s="505">
        <f t="shared" si="17"/>
        <v>0</v>
      </c>
      <c r="G168" s="505">
        <f t="shared" si="17"/>
        <v>0</v>
      </c>
      <c r="H168" s="58"/>
      <c r="I168" s="198">
        <f>Qty!M12*'Prop. prices'!I168*I$7</f>
        <v>0</v>
      </c>
      <c r="J168" s="198">
        <f>Qty!N12*'Prop. prices'!J168*J$7</f>
        <v>0</v>
      </c>
      <c r="K168" s="198">
        <f>Qty!O12*'Prop. prices'!K168*K$7</f>
        <v>0</v>
      </c>
      <c r="L168" s="198">
        <f>Qty!P12*'Prop. prices'!L168*L$7</f>
        <v>0</v>
      </c>
      <c r="M168" s="198">
        <f>Qty!Q12*'Prop. prices'!M168*M$7</f>
        <v>0</v>
      </c>
      <c r="N168" s="198">
        <f>Qty!R12*'Prop. prices'!N168*N$7</f>
        <v>0</v>
      </c>
      <c r="O168" s="198">
        <f>Qty!S12*'Prop. prices'!O168*O$7</f>
        <v>0</v>
      </c>
      <c r="P168" s="198">
        <f>Qty!T12*'Prop. prices'!P168*P$7</f>
        <v>0</v>
      </c>
      <c r="Q168" s="198">
        <f>Qty!U12*'Prop. prices'!Q168*Q$7</f>
        <v>0</v>
      </c>
      <c r="R168" s="198">
        <f>Qty!V12*'Prop. prices'!R168*R$7</f>
        <v>0</v>
      </c>
      <c r="S168" s="198">
        <f>Qty!W12*'Prop. prices'!S168*S$7</f>
        <v>0</v>
      </c>
      <c r="T168" s="198">
        <f>Qty!X12*'Prop. prices'!T168*T$7</f>
        <v>0</v>
      </c>
      <c r="U168" s="198">
        <f>Qty!Y12*'Prop. prices'!U168*U$7</f>
        <v>0</v>
      </c>
      <c r="V168" s="198">
        <f>Qty!Z12*'Prop. prices'!V168*V$7</f>
        <v>0</v>
      </c>
      <c r="W168" s="198">
        <f>Qty!AA12*'Prop. prices'!W168*W$7</f>
        <v>0</v>
      </c>
      <c r="X168" s="198">
        <f>Qty!AB12*'Prop. prices'!X168*X$7</f>
        <v>0</v>
      </c>
      <c r="Y168" s="198">
        <f>Qty!AC12*'Prop. prices'!Y168*Y$7</f>
        <v>0</v>
      </c>
      <c r="Z168" s="198">
        <f>Qty!AD12*'Prop. prices'!Z168*Z$7</f>
        <v>0</v>
      </c>
      <c r="AA168" s="198">
        <f>Qty!AE12*'Prop. prices'!AA168*AA$7</f>
        <v>0</v>
      </c>
      <c r="AB168" s="198">
        <f>Qty!AF12*'Prop. prices'!AB168*AB$7</f>
        <v>0</v>
      </c>
      <c r="AC168" s="206">
        <f t="shared" si="18"/>
        <v>0</v>
      </c>
      <c r="AD168" s="19"/>
      <c r="AE168" s="19"/>
      <c r="AF168" s="19"/>
      <c r="AG168" s="19"/>
    </row>
    <row r="169" spans="1:33" hidden="1" outlineLevel="2" x14ac:dyDescent="0.2">
      <c r="A169" s="19"/>
      <c r="B169" s="19"/>
      <c r="C169" s="506" t="str">
        <f t="shared" si="17"/>
        <v>Residential pay as you go time of use</v>
      </c>
      <c r="D169" s="505" t="str">
        <f t="shared" si="17"/>
        <v>Residential</v>
      </c>
      <c r="E169" s="505" t="str">
        <f t="shared" si="17"/>
        <v>TAS92</v>
      </c>
      <c r="F169" s="505">
        <f t="shared" si="17"/>
        <v>0</v>
      </c>
      <c r="G169" s="505">
        <f t="shared" si="17"/>
        <v>0</v>
      </c>
      <c r="H169" s="58"/>
      <c r="I169" s="198">
        <f>Qty!M13*'Prop. prices'!I169*I$7</f>
        <v>0</v>
      </c>
      <c r="J169" s="198">
        <f>Qty!N13*'Prop. prices'!J169*J$7</f>
        <v>0</v>
      </c>
      <c r="K169" s="198">
        <f>Qty!O13*'Prop. prices'!K169*K$7</f>
        <v>0</v>
      </c>
      <c r="L169" s="198">
        <f>Qty!P13*'Prop. prices'!L169*L$7</f>
        <v>0</v>
      </c>
      <c r="M169" s="198">
        <f>Qty!Q13*'Prop. prices'!M169*M$7</f>
        <v>0</v>
      </c>
      <c r="N169" s="198">
        <f>Qty!R13*'Prop. prices'!N169*N$7</f>
        <v>0</v>
      </c>
      <c r="O169" s="198">
        <f>Qty!S13*'Prop. prices'!O169*O$7</f>
        <v>0</v>
      </c>
      <c r="P169" s="198">
        <f>Qty!T13*'Prop. prices'!P169*P$7</f>
        <v>0</v>
      </c>
      <c r="Q169" s="198">
        <f>Qty!U13*'Prop. prices'!Q169*Q$7</f>
        <v>0</v>
      </c>
      <c r="R169" s="198">
        <f>Qty!V13*'Prop. prices'!R169*R$7</f>
        <v>0</v>
      </c>
      <c r="S169" s="198">
        <f>Qty!W13*'Prop. prices'!S169*S$7</f>
        <v>0</v>
      </c>
      <c r="T169" s="198">
        <f>Qty!X13*'Prop. prices'!T169*T$7</f>
        <v>0</v>
      </c>
      <c r="U169" s="198">
        <f>Qty!Y13*'Prop. prices'!U169*U$7</f>
        <v>0</v>
      </c>
      <c r="V169" s="198">
        <f>Qty!Z13*'Prop. prices'!V169*V$7</f>
        <v>0</v>
      </c>
      <c r="W169" s="198">
        <f>Qty!AA13*'Prop. prices'!W169*W$7</f>
        <v>0</v>
      </c>
      <c r="X169" s="198">
        <f>Qty!AB13*'Prop. prices'!X169*X$7</f>
        <v>0</v>
      </c>
      <c r="Y169" s="198">
        <f>Qty!AC13*'Prop. prices'!Y169*Y$7</f>
        <v>0</v>
      </c>
      <c r="Z169" s="198">
        <f>Qty!AD13*'Prop. prices'!Z169*Z$7</f>
        <v>0</v>
      </c>
      <c r="AA169" s="198">
        <f>Qty!AE13*'Prop. prices'!AA169*AA$7</f>
        <v>0</v>
      </c>
      <c r="AB169" s="198">
        <f>Qty!AF13*'Prop. prices'!AB169*AB$7</f>
        <v>0</v>
      </c>
      <c r="AC169" s="206">
        <f t="shared" si="18"/>
        <v>0</v>
      </c>
      <c r="AD169" s="19"/>
      <c r="AE169" s="19"/>
      <c r="AF169" s="19"/>
      <c r="AG169" s="19"/>
    </row>
    <row r="170" spans="1:33" hidden="1" outlineLevel="2" x14ac:dyDescent="0.2">
      <c r="A170" s="19"/>
      <c r="B170" s="19"/>
      <c r="C170" s="506" t="str">
        <f t="shared" si="17"/>
        <v>Small business time of use consumption</v>
      </c>
      <c r="D170" s="505" t="str">
        <f t="shared" si="17"/>
        <v>Small Business LV</v>
      </c>
      <c r="E170" s="505" t="str">
        <f t="shared" si="17"/>
        <v>TAS94</v>
      </c>
      <c r="F170" s="505">
        <f t="shared" si="17"/>
        <v>0</v>
      </c>
      <c r="G170" s="505">
        <f t="shared" si="17"/>
        <v>0</v>
      </c>
      <c r="H170" s="58"/>
      <c r="I170" s="198">
        <f>Qty!M14*'Prop. prices'!I170*I$7</f>
        <v>0</v>
      </c>
      <c r="J170" s="198">
        <f>Qty!N14*'Prop. prices'!J170*J$7</f>
        <v>0</v>
      </c>
      <c r="K170" s="198">
        <f>Qty!O14*'Prop. prices'!K170*K$7</f>
        <v>0</v>
      </c>
      <c r="L170" s="198">
        <f>Qty!P14*'Prop. prices'!L170*L$7</f>
        <v>0</v>
      </c>
      <c r="M170" s="198">
        <f>Qty!Q14*'Prop. prices'!M170*M$7</f>
        <v>0</v>
      </c>
      <c r="N170" s="198">
        <f>Qty!R14*'Prop. prices'!N170*N$7</f>
        <v>0</v>
      </c>
      <c r="O170" s="198">
        <f>Qty!S14*'Prop. prices'!O170*O$7</f>
        <v>0</v>
      </c>
      <c r="P170" s="198">
        <f>Qty!T14*'Prop. prices'!P170*P$7</f>
        <v>0</v>
      </c>
      <c r="Q170" s="198">
        <f>Qty!U14*'Prop. prices'!Q170*Q$7</f>
        <v>0</v>
      </c>
      <c r="R170" s="198">
        <f>Qty!V14*'Prop. prices'!R170*R$7</f>
        <v>0</v>
      </c>
      <c r="S170" s="198">
        <f>Qty!W14*'Prop. prices'!S170*S$7</f>
        <v>0</v>
      </c>
      <c r="T170" s="198">
        <f>Qty!X14*'Prop. prices'!T170*T$7</f>
        <v>0</v>
      </c>
      <c r="U170" s="198">
        <f>Qty!Y14*'Prop. prices'!U170*U$7</f>
        <v>0</v>
      </c>
      <c r="V170" s="198">
        <f>Qty!Z14*'Prop. prices'!V170*V$7</f>
        <v>0</v>
      </c>
      <c r="W170" s="198">
        <f>Qty!AA14*'Prop. prices'!W170*W$7</f>
        <v>0</v>
      </c>
      <c r="X170" s="198">
        <f>Qty!AB14*'Prop. prices'!X170*X$7</f>
        <v>0</v>
      </c>
      <c r="Y170" s="198">
        <f>Qty!AC14*'Prop. prices'!Y170*Y$7</f>
        <v>0</v>
      </c>
      <c r="Z170" s="198">
        <f>Qty!AD14*'Prop. prices'!Z170*Z$7</f>
        <v>0</v>
      </c>
      <c r="AA170" s="198">
        <f>Qty!AE14*'Prop. prices'!AA170*AA$7</f>
        <v>0</v>
      </c>
      <c r="AB170" s="198">
        <f>Qty!AF14*'Prop. prices'!AB170*AB$7</f>
        <v>0</v>
      </c>
      <c r="AC170" s="206">
        <f t="shared" si="18"/>
        <v>0</v>
      </c>
      <c r="AD170" s="19"/>
      <c r="AE170" s="19"/>
      <c r="AF170" s="19"/>
      <c r="AG170" s="19"/>
    </row>
    <row r="171" spans="1:33" hidden="1" outlineLevel="2" x14ac:dyDescent="0.2">
      <c r="A171" s="19"/>
      <c r="B171" s="19"/>
      <c r="C171" s="506" t="str">
        <f t="shared" si="17"/>
        <v>Small business general light and power</v>
      </c>
      <c r="D171" s="505" t="str">
        <f t="shared" si="17"/>
        <v>Small Business LV</v>
      </c>
      <c r="E171" s="505" t="str">
        <f t="shared" si="17"/>
        <v>TAS22</v>
      </c>
      <c r="F171" s="505">
        <f t="shared" si="17"/>
        <v>0</v>
      </c>
      <c r="G171" s="505">
        <f t="shared" si="17"/>
        <v>0</v>
      </c>
      <c r="H171" s="58"/>
      <c r="I171" s="198">
        <f>Qty!M15*'Prop. prices'!I171*I$7</f>
        <v>0</v>
      </c>
      <c r="J171" s="198">
        <f>Qty!N15*'Prop. prices'!J171*J$7</f>
        <v>0</v>
      </c>
      <c r="K171" s="198">
        <f>Qty!O15*'Prop. prices'!K171*K$7</f>
        <v>0</v>
      </c>
      <c r="L171" s="198">
        <f>Qty!P15*'Prop. prices'!L171*L$7</f>
        <v>0</v>
      </c>
      <c r="M171" s="198">
        <f>Qty!Q15*'Prop. prices'!M171*M$7</f>
        <v>0</v>
      </c>
      <c r="N171" s="198">
        <f>Qty!R15*'Prop. prices'!N171*N$7</f>
        <v>0</v>
      </c>
      <c r="O171" s="198">
        <f>Qty!S15*'Prop. prices'!O171*O$7</f>
        <v>0</v>
      </c>
      <c r="P171" s="198">
        <f>Qty!T15*'Prop. prices'!P171*P$7</f>
        <v>0</v>
      </c>
      <c r="Q171" s="198">
        <f>Qty!U15*'Prop. prices'!Q171*Q$7</f>
        <v>0</v>
      </c>
      <c r="R171" s="198">
        <f>Qty!V15*'Prop. prices'!R171*R$7</f>
        <v>0</v>
      </c>
      <c r="S171" s="198">
        <f>Qty!W15*'Prop. prices'!S171*S$7</f>
        <v>0</v>
      </c>
      <c r="T171" s="198">
        <f>Qty!X15*'Prop. prices'!T171*T$7</f>
        <v>0</v>
      </c>
      <c r="U171" s="198">
        <f>Qty!Y15*'Prop. prices'!U171*U$7</f>
        <v>0</v>
      </c>
      <c r="V171" s="198">
        <f>Qty!Z15*'Prop. prices'!V171*V$7</f>
        <v>0</v>
      </c>
      <c r="W171" s="198">
        <f>Qty!AA15*'Prop. prices'!W171*W$7</f>
        <v>0</v>
      </c>
      <c r="X171" s="198">
        <f>Qty!AB15*'Prop. prices'!X171*X$7</f>
        <v>0</v>
      </c>
      <c r="Y171" s="198">
        <f>Qty!AC15*'Prop. prices'!Y171*Y$7</f>
        <v>0</v>
      </c>
      <c r="Z171" s="198">
        <f>Qty!AD15*'Prop. prices'!Z171*Z$7</f>
        <v>0</v>
      </c>
      <c r="AA171" s="198">
        <f>Qty!AE15*'Prop. prices'!AA171*AA$7</f>
        <v>0</v>
      </c>
      <c r="AB171" s="198">
        <f>Qty!AF15*'Prop. prices'!AB171*AB$7</f>
        <v>0</v>
      </c>
      <c r="AC171" s="206">
        <f t="shared" si="18"/>
        <v>0</v>
      </c>
      <c r="AD171" s="19"/>
      <c r="AE171" s="19"/>
      <c r="AF171" s="19"/>
      <c r="AG171" s="19"/>
    </row>
    <row r="172" spans="1:33" hidden="1" outlineLevel="2" x14ac:dyDescent="0.2">
      <c r="A172" s="19"/>
      <c r="B172" s="19"/>
      <c r="C172" s="506" t="str">
        <f t="shared" si="17"/>
        <v>Small business time of use demand</v>
      </c>
      <c r="D172" s="505" t="str">
        <f t="shared" si="17"/>
        <v>Small Business LV</v>
      </c>
      <c r="E172" s="505" t="str">
        <f t="shared" si="17"/>
        <v>TAS88</v>
      </c>
      <c r="F172" s="505">
        <f t="shared" si="17"/>
        <v>0</v>
      </c>
      <c r="G172" s="505">
        <f t="shared" si="17"/>
        <v>0</v>
      </c>
      <c r="H172" s="58"/>
      <c r="I172" s="198">
        <f>Qty!M16*'Prop. prices'!I172*I$7</f>
        <v>0</v>
      </c>
      <c r="J172" s="198">
        <f>Qty!N16*'Prop. prices'!J172*J$7</f>
        <v>0</v>
      </c>
      <c r="K172" s="198">
        <f>Qty!O16*'Prop. prices'!K172*K$7</f>
        <v>0</v>
      </c>
      <c r="L172" s="198">
        <f>Qty!P16*'Prop. prices'!L172*L$7</f>
        <v>0</v>
      </c>
      <c r="M172" s="198">
        <f>Qty!Q16*'Prop. prices'!M172*M$7</f>
        <v>0</v>
      </c>
      <c r="N172" s="198">
        <f>Qty!R16*'Prop. prices'!N172*N$7</f>
        <v>0</v>
      </c>
      <c r="O172" s="198">
        <f>Qty!S16*'Prop. prices'!O172*O$7</f>
        <v>0</v>
      </c>
      <c r="P172" s="198">
        <f>Qty!T16*'Prop. prices'!P172*P$7</f>
        <v>0</v>
      </c>
      <c r="Q172" s="198">
        <f>Qty!U16*'Prop. prices'!Q172*Q$7</f>
        <v>0</v>
      </c>
      <c r="R172" s="198">
        <f>Qty!V16*'Prop. prices'!R172*R$7</f>
        <v>0</v>
      </c>
      <c r="S172" s="198">
        <f>Qty!W16*'Prop. prices'!S172*S$7</f>
        <v>0</v>
      </c>
      <c r="T172" s="198">
        <f>Qty!X16*'Prop. prices'!T172*T$7</f>
        <v>0</v>
      </c>
      <c r="U172" s="198">
        <f>Qty!Y16*'Prop. prices'!U172*U$7</f>
        <v>0</v>
      </c>
      <c r="V172" s="198">
        <f>Qty!Z16*'Prop. prices'!V172*V$7</f>
        <v>0</v>
      </c>
      <c r="W172" s="198">
        <f>Qty!AA16*'Prop. prices'!W172*W$7</f>
        <v>0</v>
      </c>
      <c r="X172" s="198">
        <f>Qty!AB16*'Prop. prices'!X172*X$7</f>
        <v>0</v>
      </c>
      <c r="Y172" s="198">
        <f>Qty!AC16*'Prop. prices'!Y172*Y$7</f>
        <v>0</v>
      </c>
      <c r="Z172" s="198">
        <f>Qty!AD16*'Prop. prices'!Z172*Z$7</f>
        <v>0</v>
      </c>
      <c r="AA172" s="198">
        <f>Qty!AE16*'Prop. prices'!AA172*AA$7</f>
        <v>0</v>
      </c>
      <c r="AB172" s="198">
        <f>Qty!AF16*'Prop. prices'!AB172*AB$7</f>
        <v>0</v>
      </c>
      <c r="AC172" s="206">
        <f t="shared" si="18"/>
        <v>0</v>
      </c>
      <c r="AD172" s="19"/>
      <c r="AE172" s="19"/>
      <c r="AF172" s="19"/>
      <c r="AG172" s="19"/>
    </row>
    <row r="173" spans="1:33" hidden="1" outlineLevel="2" x14ac:dyDescent="0.2">
      <c r="A173" s="19"/>
      <c r="B173" s="19"/>
      <c r="C173" s="506" t="str">
        <f t="shared" si="17"/>
        <v>Small business time of use demand DER</v>
      </c>
      <c r="D173" s="505" t="str">
        <f t="shared" si="17"/>
        <v>Small Business LV</v>
      </c>
      <c r="E173" s="505" t="str">
        <f t="shared" si="17"/>
        <v>TAS98</v>
      </c>
      <c r="F173" s="505">
        <f t="shared" si="17"/>
        <v>0</v>
      </c>
      <c r="G173" s="505">
        <f t="shared" si="17"/>
        <v>0</v>
      </c>
      <c r="H173" s="58"/>
      <c r="I173" s="198">
        <f>Qty!M17*'Prop. prices'!I173*I$7</f>
        <v>0</v>
      </c>
      <c r="J173" s="198">
        <f>Qty!N17*'Prop. prices'!J173*J$7</f>
        <v>0</v>
      </c>
      <c r="K173" s="198">
        <f>Qty!O17*'Prop. prices'!K173*K$7</f>
        <v>0</v>
      </c>
      <c r="L173" s="198">
        <f>Qty!P17*'Prop. prices'!L173*L$7</f>
        <v>0</v>
      </c>
      <c r="M173" s="198">
        <f>Qty!Q17*'Prop. prices'!M173*M$7</f>
        <v>0</v>
      </c>
      <c r="N173" s="198">
        <f>Qty!R17*'Prop. prices'!N173*N$7</f>
        <v>0</v>
      </c>
      <c r="O173" s="198">
        <f>Qty!S17*'Prop. prices'!O173*O$7</f>
        <v>0</v>
      </c>
      <c r="P173" s="198">
        <f>Qty!T17*'Prop. prices'!P173*P$7</f>
        <v>0</v>
      </c>
      <c r="Q173" s="198">
        <f>Qty!U17*'Prop. prices'!Q173*Q$7</f>
        <v>0</v>
      </c>
      <c r="R173" s="198">
        <f>Qty!V17*'Prop. prices'!R173*R$7</f>
        <v>0</v>
      </c>
      <c r="S173" s="198">
        <f>Qty!W17*'Prop. prices'!S173*S$7</f>
        <v>0</v>
      </c>
      <c r="T173" s="198">
        <f>Qty!X17*'Prop. prices'!T173*T$7</f>
        <v>0</v>
      </c>
      <c r="U173" s="198">
        <f>Qty!Y17*'Prop. prices'!U173*U$7</f>
        <v>0</v>
      </c>
      <c r="V173" s="198">
        <f>Qty!Z17*'Prop. prices'!V173*V$7</f>
        <v>0</v>
      </c>
      <c r="W173" s="198">
        <f>Qty!AA17*'Prop. prices'!W173*W$7</f>
        <v>0</v>
      </c>
      <c r="X173" s="198">
        <f>Qty!AB17*'Prop. prices'!X173*X$7</f>
        <v>0</v>
      </c>
      <c r="Y173" s="198">
        <f>Qty!AC17*'Prop. prices'!Y173*Y$7</f>
        <v>0</v>
      </c>
      <c r="Z173" s="198">
        <f>Qty!AD17*'Prop. prices'!Z173*Z$7</f>
        <v>0</v>
      </c>
      <c r="AA173" s="198">
        <f>Qty!AE17*'Prop. prices'!AA173*AA$7</f>
        <v>0</v>
      </c>
      <c r="AB173" s="198">
        <f>Qty!AF17*'Prop. prices'!AB173*AB$7</f>
        <v>0</v>
      </c>
      <c r="AC173" s="206">
        <f t="shared" si="18"/>
        <v>0</v>
      </c>
      <c r="AD173" s="19"/>
      <c r="AE173" s="19"/>
      <c r="AF173" s="19"/>
      <c r="AG173" s="19"/>
    </row>
    <row r="174" spans="1:33" hidden="1" outlineLevel="2" x14ac:dyDescent="0.2">
      <c r="A174" s="19"/>
      <c r="B174" s="19"/>
      <c r="C174" s="506" t="str">
        <f t="shared" ref="C174:G183" si="19">C18</f>
        <v>Large business kVA demand</v>
      </c>
      <c r="D174" s="505" t="str">
        <f t="shared" si="19"/>
        <v>Large Business LV</v>
      </c>
      <c r="E174" s="505" t="str">
        <f t="shared" si="19"/>
        <v>TAS82</v>
      </c>
      <c r="F174" s="505">
        <f t="shared" si="19"/>
        <v>0</v>
      </c>
      <c r="G174" s="505">
        <f t="shared" si="19"/>
        <v>0</v>
      </c>
      <c r="H174" s="58"/>
      <c r="I174" s="198">
        <f>Qty!M18*'Prop. prices'!I174*I$7</f>
        <v>0</v>
      </c>
      <c r="J174" s="198">
        <f>Qty!N18*'Prop. prices'!J174*J$7</f>
        <v>0</v>
      </c>
      <c r="K174" s="198">
        <f>Qty!O18*'Prop. prices'!K174*K$7</f>
        <v>0</v>
      </c>
      <c r="L174" s="198">
        <f>Qty!P18*'Prop. prices'!L174*L$7</f>
        <v>0</v>
      </c>
      <c r="M174" s="198">
        <f>Qty!Q18*'Prop. prices'!M174*M$7</f>
        <v>0</v>
      </c>
      <c r="N174" s="198">
        <f>Qty!R18*'Prop. prices'!N174*N$7</f>
        <v>0</v>
      </c>
      <c r="O174" s="198">
        <f>Qty!S18*'Prop. prices'!O174*O$7</f>
        <v>0</v>
      </c>
      <c r="P174" s="198">
        <f>Qty!T18*'Prop. prices'!P174*P$7</f>
        <v>0</v>
      </c>
      <c r="Q174" s="198">
        <f>Qty!U18*'Prop. prices'!Q174*Q$7</f>
        <v>0</v>
      </c>
      <c r="R174" s="198">
        <f>Qty!V18*'Prop. prices'!R174*R$7</f>
        <v>0</v>
      </c>
      <c r="S174" s="198">
        <f>Qty!W18*'Prop. prices'!S174*S$7</f>
        <v>0</v>
      </c>
      <c r="T174" s="198">
        <f>Qty!X18*'Prop. prices'!T174*T$7</f>
        <v>0</v>
      </c>
      <c r="U174" s="198">
        <f>Qty!Y18*'Prop. prices'!U174*U$7</f>
        <v>0</v>
      </c>
      <c r="V174" s="198">
        <f>Qty!Z18*'Prop. prices'!V174*V$7</f>
        <v>0</v>
      </c>
      <c r="W174" s="198">
        <f>Qty!AA18*'Prop. prices'!W174*W$7</f>
        <v>0</v>
      </c>
      <c r="X174" s="198">
        <f>Qty!AB18*'Prop. prices'!X174*X$7</f>
        <v>0</v>
      </c>
      <c r="Y174" s="198">
        <f>Qty!AC18*'Prop. prices'!Y174*Y$7</f>
        <v>0</v>
      </c>
      <c r="Z174" s="198">
        <f>Qty!AD18*'Prop. prices'!Z174*Z$7</f>
        <v>0</v>
      </c>
      <c r="AA174" s="198">
        <f>Qty!AE18*'Prop. prices'!AA174*AA$7</f>
        <v>0</v>
      </c>
      <c r="AB174" s="198">
        <f>Qty!AF18*'Prop. prices'!AB174*AB$7</f>
        <v>0</v>
      </c>
      <c r="AC174" s="206">
        <f t="shared" si="18"/>
        <v>0</v>
      </c>
      <c r="AD174" s="19"/>
      <c r="AE174" s="19"/>
      <c r="AF174" s="19"/>
      <c r="AG174" s="19"/>
    </row>
    <row r="175" spans="1:33" hidden="1" outlineLevel="2" x14ac:dyDescent="0.2">
      <c r="A175" s="19"/>
      <c r="B175" s="19"/>
      <c r="C175" s="506" t="str">
        <f t="shared" si="19"/>
        <v>Large business time of use demand</v>
      </c>
      <c r="D175" s="505" t="str">
        <f t="shared" si="19"/>
        <v>Large Business LV</v>
      </c>
      <c r="E175" s="505" t="str">
        <f t="shared" si="19"/>
        <v>TAS89</v>
      </c>
      <c r="F175" s="505">
        <f t="shared" si="19"/>
        <v>0</v>
      </c>
      <c r="G175" s="505">
        <f t="shared" si="19"/>
        <v>0</v>
      </c>
      <c r="H175" s="58"/>
      <c r="I175" s="198">
        <f>Qty!M19*'Prop. prices'!I175*I$7</f>
        <v>0</v>
      </c>
      <c r="J175" s="198">
        <f>Qty!N19*'Prop. prices'!J175*J$7</f>
        <v>0</v>
      </c>
      <c r="K175" s="198">
        <f>Qty!O19*'Prop. prices'!K175*K$7</f>
        <v>0</v>
      </c>
      <c r="L175" s="198">
        <f>Qty!P19*'Prop. prices'!L175*L$7</f>
        <v>0</v>
      </c>
      <c r="M175" s="198">
        <f>Qty!Q19*'Prop. prices'!M175*M$7</f>
        <v>0</v>
      </c>
      <c r="N175" s="198">
        <f>Qty!R19*'Prop. prices'!N175*N$7</f>
        <v>0</v>
      </c>
      <c r="O175" s="198">
        <f>Qty!S19*'Prop. prices'!O175*O$7</f>
        <v>0</v>
      </c>
      <c r="P175" s="198">
        <f>Qty!T19*'Prop. prices'!P175*P$7</f>
        <v>0</v>
      </c>
      <c r="Q175" s="198">
        <f>Qty!U19*'Prop. prices'!Q175*Q$7</f>
        <v>0</v>
      </c>
      <c r="R175" s="198">
        <f>Qty!V19*'Prop. prices'!R175*R$7</f>
        <v>0</v>
      </c>
      <c r="S175" s="198">
        <f>Qty!W19*'Prop. prices'!S175*S$7</f>
        <v>0</v>
      </c>
      <c r="T175" s="198">
        <f>Qty!X19*'Prop. prices'!T175*T$7</f>
        <v>0</v>
      </c>
      <c r="U175" s="198">
        <f>Qty!Y19*'Prop. prices'!U175*U$7</f>
        <v>0</v>
      </c>
      <c r="V175" s="198">
        <f>Qty!Z19*'Prop. prices'!V175*V$7</f>
        <v>0</v>
      </c>
      <c r="W175" s="198">
        <f>Qty!AA19*'Prop. prices'!W175*W$7</f>
        <v>0</v>
      </c>
      <c r="X175" s="198">
        <f>Qty!AB19*'Prop. prices'!X175*X$7</f>
        <v>0</v>
      </c>
      <c r="Y175" s="198">
        <f>Qty!AC19*'Prop. prices'!Y175*Y$7</f>
        <v>0</v>
      </c>
      <c r="Z175" s="198">
        <f>Qty!AD19*'Prop. prices'!Z175*Z$7</f>
        <v>0</v>
      </c>
      <c r="AA175" s="198">
        <f>Qty!AE19*'Prop. prices'!AA175*AA$7</f>
        <v>0</v>
      </c>
      <c r="AB175" s="198">
        <f>Qty!AF19*'Prop. prices'!AB175*AB$7</f>
        <v>0</v>
      </c>
      <c r="AC175" s="206">
        <f t="shared" si="18"/>
        <v>0</v>
      </c>
      <c r="AD175" s="19"/>
      <c r="AE175" s="19"/>
      <c r="AF175" s="19"/>
      <c r="AG175" s="19"/>
    </row>
    <row r="176" spans="1:33" hidden="1" outlineLevel="2" x14ac:dyDescent="0.2">
      <c r="A176" s="19"/>
      <c r="B176" s="19"/>
      <c r="C176" s="506" t="str">
        <f t="shared" si="19"/>
        <v>Irrigation time of use consumption</v>
      </c>
      <c r="D176" s="505" t="str">
        <f t="shared" si="19"/>
        <v>Irrigation</v>
      </c>
      <c r="E176" s="505" t="str">
        <f t="shared" si="19"/>
        <v>TAS75</v>
      </c>
      <c r="F176" s="505">
        <f t="shared" si="19"/>
        <v>0</v>
      </c>
      <c r="G176" s="505">
        <f t="shared" si="19"/>
        <v>0</v>
      </c>
      <c r="H176" s="58"/>
      <c r="I176" s="198">
        <f>Qty!M20*'Prop. prices'!I176*I$7</f>
        <v>0</v>
      </c>
      <c r="J176" s="198">
        <f>Qty!N20*'Prop. prices'!J176*J$7</f>
        <v>0</v>
      </c>
      <c r="K176" s="198">
        <f>Qty!O20*'Prop. prices'!K176*K$7</f>
        <v>0</v>
      </c>
      <c r="L176" s="198">
        <f>Qty!P20*'Prop. prices'!L176*L$7</f>
        <v>0</v>
      </c>
      <c r="M176" s="198">
        <f>Qty!Q20*'Prop. prices'!M176*M$7</f>
        <v>0</v>
      </c>
      <c r="N176" s="198">
        <f>Qty!R20*'Prop. prices'!N176*N$7</f>
        <v>0</v>
      </c>
      <c r="O176" s="198">
        <f>Qty!S20*'Prop. prices'!O176*O$7</f>
        <v>0</v>
      </c>
      <c r="P176" s="198">
        <f>Qty!T20*'Prop. prices'!P176*P$7</f>
        <v>0</v>
      </c>
      <c r="Q176" s="198">
        <f>Qty!U20*'Prop. prices'!Q176*Q$7</f>
        <v>0</v>
      </c>
      <c r="R176" s="198">
        <f>Qty!V20*'Prop. prices'!R176*R$7</f>
        <v>0</v>
      </c>
      <c r="S176" s="198">
        <f>Qty!W20*'Prop. prices'!S176*S$7</f>
        <v>0</v>
      </c>
      <c r="T176" s="198">
        <f>Qty!X20*'Prop. prices'!T176*T$7</f>
        <v>0</v>
      </c>
      <c r="U176" s="198">
        <f>Qty!Y20*'Prop. prices'!U176*U$7</f>
        <v>0</v>
      </c>
      <c r="V176" s="198">
        <f>Qty!Z20*'Prop. prices'!V176*V$7</f>
        <v>0</v>
      </c>
      <c r="W176" s="198">
        <f>Qty!AA20*'Prop. prices'!W176*W$7</f>
        <v>0</v>
      </c>
      <c r="X176" s="198">
        <f>Qty!AB20*'Prop. prices'!X176*X$7</f>
        <v>0</v>
      </c>
      <c r="Y176" s="198">
        <f>Qty!AC20*'Prop. prices'!Y176*Y$7</f>
        <v>0</v>
      </c>
      <c r="Z176" s="198">
        <f>Qty!AD20*'Prop. prices'!Z176*Z$7</f>
        <v>0</v>
      </c>
      <c r="AA176" s="198">
        <f>Qty!AE20*'Prop. prices'!AA176*AA$7</f>
        <v>0</v>
      </c>
      <c r="AB176" s="198">
        <f>Qty!AF20*'Prop. prices'!AB176*AB$7</f>
        <v>0</v>
      </c>
      <c r="AC176" s="206">
        <f t="shared" si="18"/>
        <v>0</v>
      </c>
      <c r="AD176" s="19"/>
      <c r="AE176" s="19"/>
      <c r="AF176" s="19"/>
      <c r="AG176" s="19"/>
    </row>
    <row r="177" spans="1:33" hidden="1" outlineLevel="2" x14ac:dyDescent="0.2">
      <c r="A177" s="19"/>
      <c r="B177" s="19"/>
      <c r="C177" s="506" t="str">
        <f t="shared" si="19"/>
        <v>Business HV kVA specified demand &lt;2MVA</v>
      </c>
      <c r="D177" s="505" t="str">
        <f t="shared" si="19"/>
        <v>Large Business HV</v>
      </c>
      <c r="E177" s="505" t="str">
        <f t="shared" si="19"/>
        <v>TASSDM</v>
      </c>
      <c r="F177" s="505">
        <f t="shared" si="19"/>
        <v>0</v>
      </c>
      <c r="G177" s="505">
        <f t="shared" si="19"/>
        <v>0</v>
      </c>
      <c r="H177" s="58"/>
      <c r="I177" s="198">
        <f>Qty!M21*'Prop. prices'!I177*I$7</f>
        <v>0</v>
      </c>
      <c r="J177" s="198">
        <f>Qty!N21*'Prop. prices'!J177*J$7</f>
        <v>0</v>
      </c>
      <c r="K177" s="198">
        <f>Qty!O21*'Prop. prices'!K177*K$7</f>
        <v>0</v>
      </c>
      <c r="L177" s="198">
        <f>Qty!P21*'Prop. prices'!L177*L$7</f>
        <v>0</v>
      </c>
      <c r="M177" s="198">
        <f>Qty!Q21*'Prop. prices'!M177*M$7</f>
        <v>0</v>
      </c>
      <c r="N177" s="198">
        <f>Qty!R21*'Prop. prices'!N177*N$7</f>
        <v>0</v>
      </c>
      <c r="O177" s="198">
        <f>Qty!S21*'Prop. prices'!O177*O$7</f>
        <v>0</v>
      </c>
      <c r="P177" s="198">
        <f>Qty!T21*'Prop. prices'!P177*P$7</f>
        <v>0</v>
      </c>
      <c r="Q177" s="198">
        <f>Qty!U21*'Prop. prices'!Q177*Q$7</f>
        <v>0</v>
      </c>
      <c r="R177" s="198">
        <f>Qty!V21*'Prop. prices'!R177*R$7</f>
        <v>0</v>
      </c>
      <c r="S177" s="198">
        <f>Qty!W21*'Prop. prices'!S177*S$7</f>
        <v>0</v>
      </c>
      <c r="T177" s="198">
        <f>Qty!X21*'Prop. prices'!T177*T$7</f>
        <v>0</v>
      </c>
      <c r="U177" s="198">
        <f>Qty!Y21*'Prop. prices'!U177*U$7</f>
        <v>0</v>
      </c>
      <c r="V177" s="198">
        <f>Qty!Z21*'Prop. prices'!V177*V$7</f>
        <v>0</v>
      </c>
      <c r="W177" s="198">
        <f>Qty!AA21*'Prop. prices'!W177*W$7</f>
        <v>0</v>
      </c>
      <c r="X177" s="198">
        <f>Qty!AB21*'Prop. prices'!X177*X$7</f>
        <v>0</v>
      </c>
      <c r="Y177" s="198">
        <f>Qty!AC21*'Prop. prices'!Y177*Y$7</f>
        <v>0</v>
      </c>
      <c r="Z177" s="198">
        <f>Qty!AD21*'Prop. prices'!Z177*Z$7</f>
        <v>0</v>
      </c>
      <c r="AA177" s="198">
        <f>Qty!AE21*'Prop. prices'!AA177*AA$7</f>
        <v>0</v>
      </c>
      <c r="AB177" s="198">
        <f>Qty!AF21*'Prop. prices'!AB177*AB$7</f>
        <v>0</v>
      </c>
      <c r="AC177" s="206">
        <f t="shared" si="18"/>
        <v>0</v>
      </c>
      <c r="AD177" s="19"/>
      <c r="AE177" s="19"/>
      <c r="AF177" s="19"/>
      <c r="AG177" s="19"/>
    </row>
    <row r="178" spans="1:33" hidden="1" outlineLevel="2" x14ac:dyDescent="0.2">
      <c r="A178" s="19"/>
      <c r="B178" s="19"/>
      <c r="C178" s="506" t="str">
        <f t="shared" si="19"/>
        <v>Business HV kVA specified demand &gt;2MVA</v>
      </c>
      <c r="D178" s="505" t="str">
        <f t="shared" si="19"/>
        <v>Large Business HV</v>
      </c>
      <c r="E178" s="505" t="str">
        <f t="shared" si="19"/>
        <v>TAS15*</v>
      </c>
      <c r="F178" s="505">
        <f t="shared" si="19"/>
        <v>0</v>
      </c>
      <c r="G178" s="505">
        <f t="shared" si="19"/>
        <v>0</v>
      </c>
      <c r="H178" s="58"/>
      <c r="I178" s="198">
        <f>Qty!M22*'Prop. prices'!I178*I$7</f>
        <v>0</v>
      </c>
      <c r="J178" s="198">
        <f>Qty!N22*'Prop. prices'!J178*J$7</f>
        <v>0</v>
      </c>
      <c r="K178" s="198">
        <f>Qty!O22*'Prop. prices'!K178*K$7</f>
        <v>0</v>
      </c>
      <c r="L178" s="198">
        <f>Qty!P22*'Prop. prices'!L178*L$7</f>
        <v>0</v>
      </c>
      <c r="M178" s="198">
        <f>Qty!Q22*'Prop. prices'!M178*M$7</f>
        <v>0</v>
      </c>
      <c r="N178" s="198">
        <f>Qty!R22*'Prop. prices'!N178*N$7</f>
        <v>0</v>
      </c>
      <c r="O178" s="198">
        <f>Qty!S22*'Prop. prices'!O178*O$7</f>
        <v>0</v>
      </c>
      <c r="P178" s="198">
        <f>Qty!T22*'Prop. prices'!P178*P$7</f>
        <v>0</v>
      </c>
      <c r="Q178" s="198">
        <f>Qty!U22*'Prop. prices'!Q178*Q$7</f>
        <v>0</v>
      </c>
      <c r="R178" s="198">
        <f>Qty!V22*'Prop. prices'!R178*R$7</f>
        <v>0</v>
      </c>
      <c r="S178" s="198">
        <f>Qty!W22*'Prop. prices'!S178*S$7</f>
        <v>0</v>
      </c>
      <c r="T178" s="198">
        <f>Qty!X22*'Prop. prices'!T178*T$7</f>
        <v>0</v>
      </c>
      <c r="U178" s="198">
        <f>Qty!Y22*'Prop. prices'!U178*U$7</f>
        <v>0</v>
      </c>
      <c r="V178" s="198">
        <f>Qty!Z22*'Prop. prices'!V178*V$7</f>
        <v>0</v>
      </c>
      <c r="W178" s="198">
        <f>Qty!AA22*'Prop. prices'!W178*W$7</f>
        <v>0</v>
      </c>
      <c r="X178" s="198">
        <f>Qty!AB22*'Prop. prices'!X178*X$7</f>
        <v>0</v>
      </c>
      <c r="Y178" s="198">
        <f>Qty!AC22*'Prop. prices'!Y178*Y$7</f>
        <v>0</v>
      </c>
      <c r="Z178" s="198">
        <f>Qty!AD22*'Prop. prices'!Z178*Z$7</f>
        <v>0</v>
      </c>
      <c r="AA178" s="198">
        <f>Qty!AE22*'Prop. prices'!AA178*AA$7</f>
        <v>0</v>
      </c>
      <c r="AB178" s="198">
        <f>Qty!AF22*'Prop. prices'!AB178*AB$7</f>
        <v>0</v>
      </c>
      <c r="AC178" s="206">
        <f t="shared" si="18"/>
        <v>0</v>
      </c>
      <c r="AD178" s="19"/>
      <c r="AE178" s="19"/>
      <c r="AF178" s="19"/>
      <c r="AG178" s="19"/>
    </row>
    <row r="179" spans="1:33" hidden="1" outlineLevel="2" x14ac:dyDescent="0.2">
      <c r="A179" s="19"/>
      <c r="B179" s="19"/>
      <c r="C179" s="506" t="str">
        <f t="shared" si="19"/>
        <v>Uncontrolled low voltage heating and hot water</v>
      </c>
      <c r="D179" s="505" t="str">
        <f t="shared" si="19"/>
        <v>Uncontrolled energy</v>
      </c>
      <c r="E179" s="505" t="str">
        <f t="shared" si="19"/>
        <v>TAS41</v>
      </c>
      <c r="F179" s="505">
        <f t="shared" si="19"/>
        <v>0</v>
      </c>
      <c r="G179" s="505">
        <f t="shared" si="19"/>
        <v>0</v>
      </c>
      <c r="H179" s="58"/>
      <c r="I179" s="198">
        <f>Qty!M23*'Prop. prices'!I179*I$7</f>
        <v>0</v>
      </c>
      <c r="J179" s="198">
        <f>Qty!N23*'Prop. prices'!J179*J$7</f>
        <v>0</v>
      </c>
      <c r="K179" s="198">
        <f>Qty!O23*'Prop. prices'!K179*K$7</f>
        <v>0</v>
      </c>
      <c r="L179" s="198">
        <f>Qty!P23*'Prop. prices'!L179*L$7</f>
        <v>0</v>
      </c>
      <c r="M179" s="198">
        <f>Qty!Q23*'Prop. prices'!M179*M$7</f>
        <v>0</v>
      </c>
      <c r="N179" s="198">
        <f>Qty!R23*'Prop. prices'!N179*N$7</f>
        <v>0</v>
      </c>
      <c r="O179" s="198">
        <f>Qty!S23*'Prop. prices'!O179*O$7</f>
        <v>0</v>
      </c>
      <c r="P179" s="198">
        <f>Qty!T23*'Prop. prices'!P179*P$7</f>
        <v>0</v>
      </c>
      <c r="Q179" s="198">
        <f>Qty!U23*'Prop. prices'!Q179*Q$7</f>
        <v>0</v>
      </c>
      <c r="R179" s="198">
        <f>Qty!V23*'Prop. prices'!R179*R$7</f>
        <v>0</v>
      </c>
      <c r="S179" s="198">
        <f>Qty!W23*'Prop. prices'!S179*S$7</f>
        <v>0</v>
      </c>
      <c r="T179" s="198">
        <f>Qty!X23*'Prop. prices'!T179*T$7</f>
        <v>0</v>
      </c>
      <c r="U179" s="198">
        <f>Qty!Y23*'Prop. prices'!U179*U$7</f>
        <v>0</v>
      </c>
      <c r="V179" s="198">
        <f>Qty!Z23*'Prop. prices'!V179*V$7</f>
        <v>0</v>
      </c>
      <c r="W179" s="198">
        <f>Qty!AA23*'Prop. prices'!W179*W$7</f>
        <v>0</v>
      </c>
      <c r="X179" s="198">
        <f>Qty!AB23*'Prop. prices'!X179*X$7</f>
        <v>0</v>
      </c>
      <c r="Y179" s="198">
        <f>Qty!AC23*'Prop. prices'!Y179*Y$7</f>
        <v>0</v>
      </c>
      <c r="Z179" s="198">
        <f>Qty!AD23*'Prop. prices'!Z179*Z$7</f>
        <v>0</v>
      </c>
      <c r="AA179" s="198">
        <f>Qty!AE23*'Prop. prices'!AA179*AA$7</f>
        <v>0</v>
      </c>
      <c r="AB179" s="198">
        <f>Qty!AF23*'Prop. prices'!AB179*AB$7</f>
        <v>0</v>
      </c>
      <c r="AC179" s="206">
        <f t="shared" si="18"/>
        <v>0</v>
      </c>
      <c r="AD179" s="19"/>
      <c r="AE179" s="19"/>
      <c r="AF179" s="19"/>
      <c r="AG179" s="19"/>
    </row>
    <row r="180" spans="1:33" hidden="1" outlineLevel="2" x14ac:dyDescent="0.2">
      <c r="A180" s="19"/>
      <c r="B180" s="19"/>
      <c r="C180" s="506" t="str">
        <f t="shared" si="19"/>
        <v>Controlled low voltage night period only</v>
      </c>
      <c r="D180" s="505" t="str">
        <f t="shared" si="19"/>
        <v>Controlled energy</v>
      </c>
      <c r="E180" s="505" t="str">
        <f t="shared" si="19"/>
        <v>TAS63</v>
      </c>
      <c r="F180" s="505">
        <f t="shared" si="19"/>
        <v>0</v>
      </c>
      <c r="G180" s="505">
        <f t="shared" si="19"/>
        <v>0</v>
      </c>
      <c r="H180" s="58"/>
      <c r="I180" s="198">
        <f>Qty!M24*'Prop. prices'!I180*I$7</f>
        <v>0</v>
      </c>
      <c r="J180" s="198">
        <f>Qty!N24*'Prop. prices'!J180*J$7</f>
        <v>0</v>
      </c>
      <c r="K180" s="198">
        <f>Qty!O24*'Prop. prices'!K180*K$7</f>
        <v>0</v>
      </c>
      <c r="L180" s="198">
        <f>Qty!P24*'Prop. prices'!L180*L$7</f>
        <v>0</v>
      </c>
      <c r="M180" s="198">
        <f>Qty!Q24*'Prop. prices'!M180*M$7</f>
        <v>0</v>
      </c>
      <c r="N180" s="198">
        <f>Qty!R24*'Prop. prices'!N180*N$7</f>
        <v>0</v>
      </c>
      <c r="O180" s="198">
        <f>Qty!S24*'Prop. prices'!O180*O$7</f>
        <v>0</v>
      </c>
      <c r="P180" s="198">
        <f>Qty!T24*'Prop. prices'!P180*P$7</f>
        <v>0</v>
      </c>
      <c r="Q180" s="198">
        <f>Qty!U24*'Prop. prices'!Q180*Q$7</f>
        <v>0</v>
      </c>
      <c r="R180" s="198">
        <f>Qty!V24*'Prop. prices'!R180*R$7</f>
        <v>0</v>
      </c>
      <c r="S180" s="198">
        <f>Qty!W24*'Prop. prices'!S180*S$7</f>
        <v>0</v>
      </c>
      <c r="T180" s="198">
        <f>Qty!X24*'Prop. prices'!T180*T$7</f>
        <v>0</v>
      </c>
      <c r="U180" s="198">
        <f>Qty!Y24*'Prop. prices'!U180*U$7</f>
        <v>0</v>
      </c>
      <c r="V180" s="198">
        <f>Qty!Z24*'Prop. prices'!V180*V$7</f>
        <v>0</v>
      </c>
      <c r="W180" s="198">
        <f>Qty!AA24*'Prop. prices'!W180*W$7</f>
        <v>0</v>
      </c>
      <c r="X180" s="198">
        <f>Qty!AB24*'Prop. prices'!X180*X$7</f>
        <v>0</v>
      </c>
      <c r="Y180" s="198">
        <f>Qty!AC24*'Prop. prices'!Y180*Y$7</f>
        <v>0</v>
      </c>
      <c r="Z180" s="198">
        <f>Qty!AD24*'Prop. prices'!Z180*Z$7</f>
        <v>0</v>
      </c>
      <c r="AA180" s="198">
        <f>Qty!AE24*'Prop. prices'!AA180*AA$7</f>
        <v>0</v>
      </c>
      <c r="AB180" s="198">
        <f>Qty!AF24*'Prop. prices'!AB180*AB$7</f>
        <v>0</v>
      </c>
      <c r="AC180" s="206">
        <f t="shared" si="18"/>
        <v>0</v>
      </c>
      <c r="AD180" s="19"/>
      <c r="AE180" s="19"/>
      <c r="AF180" s="19"/>
      <c r="AG180" s="19"/>
    </row>
    <row r="181" spans="1:33" ht="22.5" hidden="1" outlineLevel="2" x14ac:dyDescent="0.2">
      <c r="A181" s="19"/>
      <c r="B181" s="19"/>
      <c r="C181" s="506" t="str">
        <f t="shared" si="19"/>
        <v>Controlled low voltage off peak with afternoon boost</v>
      </c>
      <c r="D181" s="505" t="str">
        <f t="shared" si="19"/>
        <v>Controlled energy</v>
      </c>
      <c r="E181" s="505" t="str">
        <f t="shared" si="19"/>
        <v>TAS61</v>
      </c>
      <c r="F181" s="505">
        <f t="shared" si="19"/>
        <v>0</v>
      </c>
      <c r="G181" s="505">
        <f t="shared" si="19"/>
        <v>0</v>
      </c>
      <c r="H181" s="58"/>
      <c r="I181" s="198">
        <f>Qty!M25*'Prop. prices'!I181*I$7</f>
        <v>0</v>
      </c>
      <c r="J181" s="198">
        <f>Qty!N25*'Prop. prices'!J181*J$7</f>
        <v>0</v>
      </c>
      <c r="K181" s="198">
        <f>Qty!O25*'Prop. prices'!K181*K$7</f>
        <v>0</v>
      </c>
      <c r="L181" s="198">
        <f>Qty!P25*'Prop. prices'!L181*L$7</f>
        <v>0</v>
      </c>
      <c r="M181" s="198">
        <f>Qty!Q25*'Prop. prices'!M181*M$7</f>
        <v>0</v>
      </c>
      <c r="N181" s="198">
        <f>Qty!R25*'Prop. prices'!N181*N$7</f>
        <v>0</v>
      </c>
      <c r="O181" s="198">
        <f>Qty!S25*'Prop. prices'!O181*O$7</f>
        <v>0</v>
      </c>
      <c r="P181" s="198">
        <f>Qty!T25*'Prop. prices'!P181*P$7</f>
        <v>0</v>
      </c>
      <c r="Q181" s="198">
        <f>Qty!U25*'Prop. prices'!Q181*Q$7</f>
        <v>0</v>
      </c>
      <c r="R181" s="198">
        <f>Qty!V25*'Prop. prices'!R181*R$7</f>
        <v>0</v>
      </c>
      <c r="S181" s="198">
        <f>Qty!W25*'Prop. prices'!S181*S$7</f>
        <v>0</v>
      </c>
      <c r="T181" s="198">
        <f>Qty!X25*'Prop. prices'!T181*T$7</f>
        <v>0</v>
      </c>
      <c r="U181" s="198">
        <f>Qty!Y25*'Prop. prices'!U181*U$7</f>
        <v>0</v>
      </c>
      <c r="V181" s="198">
        <f>Qty!Z25*'Prop. prices'!V181*V$7</f>
        <v>0</v>
      </c>
      <c r="W181" s="198">
        <f>Qty!AA25*'Prop. prices'!W181*W$7</f>
        <v>0</v>
      </c>
      <c r="X181" s="198">
        <f>Qty!AB25*'Prop. prices'!X181*X$7</f>
        <v>0</v>
      </c>
      <c r="Y181" s="198">
        <f>Qty!AC25*'Prop. prices'!Y181*Y$7</f>
        <v>0</v>
      </c>
      <c r="Z181" s="198">
        <f>Qty!AD25*'Prop. prices'!Z181*Z$7</f>
        <v>0</v>
      </c>
      <c r="AA181" s="198">
        <f>Qty!AE25*'Prop. prices'!AA181*AA$7</f>
        <v>0</v>
      </c>
      <c r="AB181" s="198">
        <f>Qty!AF25*'Prop. prices'!AB181*AB$7</f>
        <v>0</v>
      </c>
      <c r="AC181" s="206">
        <f t="shared" si="18"/>
        <v>0</v>
      </c>
      <c r="AD181" s="19"/>
      <c r="AE181" s="19"/>
      <c r="AF181" s="19"/>
      <c r="AG181" s="19"/>
    </row>
    <row r="182" spans="1:33" hidden="1" outlineLevel="2" x14ac:dyDescent="0.2">
      <c r="A182" s="19"/>
      <c r="B182" s="19"/>
      <c r="C182" s="506" t="str">
        <f t="shared" si="19"/>
        <v>Unmetered supply general</v>
      </c>
      <c r="D182" s="505" t="str">
        <f t="shared" si="19"/>
        <v>Unmetered supplies</v>
      </c>
      <c r="E182" s="505" t="str">
        <f t="shared" si="19"/>
        <v>TASUMS</v>
      </c>
      <c r="F182" s="505">
        <f t="shared" si="19"/>
        <v>0</v>
      </c>
      <c r="G182" s="505">
        <f t="shared" si="19"/>
        <v>0</v>
      </c>
      <c r="H182" s="58"/>
      <c r="I182" s="198">
        <f>Qty!M26*'Prop. prices'!I182*I$7</f>
        <v>0</v>
      </c>
      <c r="J182" s="198">
        <f>Qty!N26*'Prop. prices'!J182*J$7</f>
        <v>0</v>
      </c>
      <c r="K182" s="198">
        <f>Qty!O26*'Prop. prices'!K182*K$7</f>
        <v>0</v>
      </c>
      <c r="L182" s="198">
        <f>Qty!P26*'Prop. prices'!L182*L$7</f>
        <v>0</v>
      </c>
      <c r="M182" s="198">
        <f>Qty!Q26*'Prop. prices'!M182*M$7</f>
        <v>0</v>
      </c>
      <c r="N182" s="198">
        <f>Qty!R26*'Prop. prices'!N182*N$7</f>
        <v>0</v>
      </c>
      <c r="O182" s="198">
        <f>Qty!S26*'Prop. prices'!O182*O$7</f>
        <v>0</v>
      </c>
      <c r="P182" s="198">
        <f>Qty!T26*'Prop. prices'!P182*P$7</f>
        <v>0</v>
      </c>
      <c r="Q182" s="198">
        <f>Qty!U26*'Prop. prices'!Q182*Q$7</f>
        <v>0</v>
      </c>
      <c r="R182" s="198">
        <f>Qty!V26*'Prop. prices'!R182*R$7</f>
        <v>0</v>
      </c>
      <c r="S182" s="198">
        <f>Qty!W26*'Prop. prices'!S182*S$7</f>
        <v>0</v>
      </c>
      <c r="T182" s="198">
        <f>Qty!X26*'Prop. prices'!T182*T$7</f>
        <v>0</v>
      </c>
      <c r="U182" s="198">
        <f>Qty!Y26*'Prop. prices'!U182*U$7</f>
        <v>0</v>
      </c>
      <c r="V182" s="198">
        <f>Qty!Z26*'Prop. prices'!V182*V$7</f>
        <v>0</v>
      </c>
      <c r="W182" s="198">
        <f>Qty!AA26*'Prop. prices'!W182*W$7</f>
        <v>0</v>
      </c>
      <c r="X182" s="198">
        <f>Qty!AB26*'Prop. prices'!X182*X$7</f>
        <v>0</v>
      </c>
      <c r="Y182" s="198">
        <f>Qty!AC26*'Prop. prices'!Y182*Y$7</f>
        <v>0</v>
      </c>
      <c r="Z182" s="198">
        <f>Qty!AD26*'Prop. prices'!Z182*Z$7</f>
        <v>0</v>
      </c>
      <c r="AA182" s="198">
        <f>Qty!AE26*'Prop. prices'!AA182*AA$7</f>
        <v>0</v>
      </c>
      <c r="AB182" s="198">
        <f>Qty!AF26*'Prop. prices'!AB182*AB$7</f>
        <v>0</v>
      </c>
      <c r="AC182" s="206">
        <f t="shared" si="18"/>
        <v>0</v>
      </c>
      <c r="AD182" s="19"/>
      <c r="AE182" s="19"/>
      <c r="AF182" s="19"/>
      <c r="AG182" s="19"/>
    </row>
    <row r="183" spans="1:33" hidden="1" outlineLevel="2" x14ac:dyDescent="0.2">
      <c r="A183" s="19"/>
      <c r="B183" s="19"/>
      <c r="C183" s="506" t="str">
        <f t="shared" si="19"/>
        <v>Street lighting</v>
      </c>
      <c r="D183" s="505" t="str">
        <f t="shared" si="19"/>
        <v>Street lighting</v>
      </c>
      <c r="E183" s="505" t="str">
        <f t="shared" si="19"/>
        <v>TASUMSSL</v>
      </c>
      <c r="F183" s="505">
        <f t="shared" si="19"/>
        <v>0</v>
      </c>
      <c r="G183" s="505">
        <f t="shared" si="19"/>
        <v>0</v>
      </c>
      <c r="H183" s="58"/>
      <c r="I183" s="198">
        <f>Qty!M27*'Prop. prices'!I183*I$7</f>
        <v>0</v>
      </c>
      <c r="J183" s="198">
        <f>Qty!N27*'Prop. prices'!J183*J$7</f>
        <v>0</v>
      </c>
      <c r="K183" s="198">
        <f>Qty!O27*'Prop. prices'!K183*K$7</f>
        <v>0</v>
      </c>
      <c r="L183" s="198">
        <f>Qty!P27*'Prop. prices'!L183*L$7</f>
        <v>0</v>
      </c>
      <c r="M183" s="198">
        <f>Qty!Q27*'Prop. prices'!M183*M$7</f>
        <v>0</v>
      </c>
      <c r="N183" s="198">
        <f>Qty!R27*'Prop. prices'!N183*N$7</f>
        <v>0</v>
      </c>
      <c r="O183" s="198">
        <f>Qty!S27*'Prop. prices'!O183*O$7</f>
        <v>0</v>
      </c>
      <c r="P183" s="198">
        <f>Qty!T27*'Prop. prices'!P183*P$7</f>
        <v>0</v>
      </c>
      <c r="Q183" s="198">
        <f>Qty!U27*'Prop. prices'!Q183*Q$7</f>
        <v>0</v>
      </c>
      <c r="R183" s="198">
        <f>Qty!V27*'Prop. prices'!R183*R$7</f>
        <v>0</v>
      </c>
      <c r="S183" s="198">
        <f>Qty!W27*'Prop. prices'!S183*S$7</f>
        <v>0</v>
      </c>
      <c r="T183" s="198">
        <f>Qty!X27*'Prop. prices'!T183*T$7</f>
        <v>0</v>
      </c>
      <c r="U183" s="198">
        <f>Qty!Y27*'Prop. prices'!U183*U$7</f>
        <v>0</v>
      </c>
      <c r="V183" s="198">
        <f>Qty!Z27*'Prop. prices'!V183*V$7</f>
        <v>0</v>
      </c>
      <c r="W183" s="198">
        <f>Qty!AA27*'Prop. prices'!W183*W$7</f>
        <v>0</v>
      </c>
      <c r="X183" s="198">
        <f>Qty!AB27*'Prop. prices'!X183*X$7</f>
        <v>0</v>
      </c>
      <c r="Y183" s="198">
        <f>Qty!AC27*'Prop. prices'!Y183*Y$7</f>
        <v>0</v>
      </c>
      <c r="Z183" s="198">
        <f>Qty!AD27*'Prop. prices'!Z183*Z$7</f>
        <v>0</v>
      </c>
      <c r="AA183" s="198">
        <f>Qty!AE27*'Prop. prices'!AA183*AA$7</f>
        <v>0</v>
      </c>
      <c r="AB183" s="198">
        <f>Qty!AF27*'Prop. prices'!AB183*AB$7</f>
        <v>0</v>
      </c>
      <c r="AC183" s="206">
        <f t="shared" si="18"/>
        <v>0</v>
      </c>
      <c r="AD183" s="19"/>
      <c r="AE183" s="19"/>
      <c r="AF183" s="19"/>
      <c r="AG183" s="19"/>
    </row>
    <row r="184" spans="1:33" hidden="1" outlineLevel="2" x14ac:dyDescent="0.2">
      <c r="A184" s="19"/>
      <c r="B184" s="19"/>
      <c r="C184" s="506">
        <f t="shared" ref="C184:G193" si="20">C28</f>
        <v>0</v>
      </c>
      <c r="D184" s="505">
        <f t="shared" si="20"/>
        <v>0</v>
      </c>
      <c r="E184" s="505">
        <f t="shared" si="20"/>
        <v>0</v>
      </c>
      <c r="F184" s="505">
        <f t="shared" si="20"/>
        <v>0</v>
      </c>
      <c r="G184" s="505">
        <f t="shared" si="20"/>
        <v>0</v>
      </c>
      <c r="H184" s="58"/>
      <c r="I184" s="198">
        <f>Qty!M28*'Prop. prices'!I184*I$7</f>
        <v>0</v>
      </c>
      <c r="J184" s="198">
        <f>Qty!N28*'Prop. prices'!J184*J$7</f>
        <v>0</v>
      </c>
      <c r="K184" s="198">
        <f>Qty!O28*'Prop. prices'!K184*K$7</f>
        <v>0</v>
      </c>
      <c r="L184" s="198">
        <f>Qty!P28*'Prop. prices'!L184*L$7</f>
        <v>0</v>
      </c>
      <c r="M184" s="198">
        <f>Qty!Q28*'Prop. prices'!M184*M$7</f>
        <v>0</v>
      </c>
      <c r="N184" s="198">
        <f>Qty!R28*'Prop. prices'!N184*N$7</f>
        <v>0</v>
      </c>
      <c r="O184" s="198">
        <f>Qty!S28*'Prop. prices'!O184*O$7</f>
        <v>0</v>
      </c>
      <c r="P184" s="198">
        <f>Qty!T28*'Prop. prices'!P184*P$7</f>
        <v>0</v>
      </c>
      <c r="Q184" s="198">
        <f>Qty!U28*'Prop. prices'!Q184*Q$7</f>
        <v>0</v>
      </c>
      <c r="R184" s="198">
        <f>Qty!V28*'Prop. prices'!R184*R$7</f>
        <v>0</v>
      </c>
      <c r="S184" s="198">
        <f>Qty!W28*'Prop. prices'!S184*S$7</f>
        <v>0</v>
      </c>
      <c r="T184" s="198">
        <f>Qty!X28*'Prop. prices'!T184*T$7</f>
        <v>0</v>
      </c>
      <c r="U184" s="198">
        <f>Qty!Y28*'Prop. prices'!U184*U$7</f>
        <v>0</v>
      </c>
      <c r="V184" s="198">
        <f>Qty!Z28*'Prop. prices'!V184*V$7</f>
        <v>0</v>
      </c>
      <c r="W184" s="198">
        <f>Qty!AA28*'Prop. prices'!W184*W$7</f>
        <v>0</v>
      </c>
      <c r="X184" s="198">
        <f>Qty!AB28*'Prop. prices'!X184*X$7</f>
        <v>0</v>
      </c>
      <c r="Y184" s="198">
        <f>Qty!AC28*'Prop. prices'!Y184*Y$7</f>
        <v>0</v>
      </c>
      <c r="Z184" s="198">
        <f>Qty!AD28*'Prop. prices'!Z184*Z$7</f>
        <v>0</v>
      </c>
      <c r="AA184" s="198">
        <f>Qty!AE28*'Prop. prices'!AA184*AA$7</f>
        <v>0</v>
      </c>
      <c r="AB184" s="198">
        <f>Qty!AF28*'Prop. prices'!AB184*AB$7</f>
        <v>0</v>
      </c>
      <c r="AC184" s="206">
        <f t="shared" si="18"/>
        <v>0</v>
      </c>
      <c r="AD184" s="19"/>
      <c r="AE184" s="19"/>
      <c r="AF184" s="19"/>
      <c r="AG184" s="19"/>
    </row>
    <row r="185" spans="1:33" hidden="1" outlineLevel="2" x14ac:dyDescent="0.2">
      <c r="A185" s="19"/>
      <c r="B185" s="19"/>
      <c r="C185" s="506">
        <f t="shared" si="20"/>
        <v>0</v>
      </c>
      <c r="D185" s="505">
        <f t="shared" si="20"/>
        <v>0</v>
      </c>
      <c r="E185" s="505">
        <f t="shared" si="20"/>
        <v>0</v>
      </c>
      <c r="F185" s="505">
        <f t="shared" si="20"/>
        <v>0</v>
      </c>
      <c r="G185" s="505">
        <f t="shared" si="20"/>
        <v>0</v>
      </c>
      <c r="H185" s="58"/>
      <c r="I185" s="198">
        <f>Qty!M29*'Prop. prices'!I185*I$7</f>
        <v>0</v>
      </c>
      <c r="J185" s="198">
        <f>Qty!N29*'Prop. prices'!J185*J$7</f>
        <v>0</v>
      </c>
      <c r="K185" s="198">
        <f>Qty!O29*'Prop. prices'!K185*K$7</f>
        <v>0</v>
      </c>
      <c r="L185" s="198">
        <f>Qty!P29*'Prop. prices'!L185*L$7</f>
        <v>0</v>
      </c>
      <c r="M185" s="198">
        <f>Qty!Q29*'Prop. prices'!M185*M$7</f>
        <v>0</v>
      </c>
      <c r="N185" s="198">
        <f>Qty!R29*'Prop. prices'!N185*N$7</f>
        <v>0</v>
      </c>
      <c r="O185" s="198">
        <f>Qty!S29*'Prop. prices'!O185*O$7</f>
        <v>0</v>
      </c>
      <c r="P185" s="198">
        <f>Qty!T29*'Prop. prices'!P185*P$7</f>
        <v>0</v>
      </c>
      <c r="Q185" s="198">
        <f>Qty!U29*'Prop. prices'!Q185*Q$7</f>
        <v>0</v>
      </c>
      <c r="R185" s="198">
        <f>Qty!V29*'Prop. prices'!R185*R$7</f>
        <v>0</v>
      </c>
      <c r="S185" s="198">
        <f>Qty!W29*'Prop. prices'!S185*S$7</f>
        <v>0</v>
      </c>
      <c r="T185" s="198">
        <f>Qty!X29*'Prop. prices'!T185*T$7</f>
        <v>0</v>
      </c>
      <c r="U185" s="198">
        <f>Qty!Y29*'Prop. prices'!U185*U$7</f>
        <v>0</v>
      </c>
      <c r="V185" s="198">
        <f>Qty!Z29*'Prop. prices'!V185*V$7</f>
        <v>0</v>
      </c>
      <c r="W185" s="198">
        <f>Qty!AA29*'Prop. prices'!W185*W$7</f>
        <v>0</v>
      </c>
      <c r="X185" s="198">
        <f>Qty!AB29*'Prop. prices'!X185*X$7</f>
        <v>0</v>
      </c>
      <c r="Y185" s="198">
        <f>Qty!AC29*'Prop. prices'!Y185*Y$7</f>
        <v>0</v>
      </c>
      <c r="Z185" s="198">
        <f>Qty!AD29*'Prop. prices'!Z185*Z$7</f>
        <v>0</v>
      </c>
      <c r="AA185" s="198">
        <f>Qty!AE29*'Prop. prices'!AA185*AA$7</f>
        <v>0</v>
      </c>
      <c r="AB185" s="198">
        <f>Qty!AF29*'Prop. prices'!AB185*AB$7</f>
        <v>0</v>
      </c>
      <c r="AC185" s="206">
        <f t="shared" si="18"/>
        <v>0</v>
      </c>
      <c r="AD185" s="19"/>
      <c r="AE185" s="19"/>
      <c r="AF185" s="19"/>
      <c r="AG185" s="19"/>
    </row>
    <row r="186" spans="1:33" hidden="1" outlineLevel="2" x14ac:dyDescent="0.2">
      <c r="A186" s="19"/>
      <c r="B186" s="19"/>
      <c r="C186" s="506">
        <f t="shared" si="20"/>
        <v>0</v>
      </c>
      <c r="D186" s="505">
        <f t="shared" si="20"/>
        <v>0</v>
      </c>
      <c r="E186" s="505">
        <f t="shared" si="20"/>
        <v>0</v>
      </c>
      <c r="F186" s="505">
        <f t="shared" si="20"/>
        <v>0</v>
      </c>
      <c r="G186" s="505">
        <f t="shared" si="20"/>
        <v>0</v>
      </c>
      <c r="H186" s="58"/>
      <c r="I186" s="198">
        <f>Qty!M30*'Prop. prices'!I186*I$7</f>
        <v>0</v>
      </c>
      <c r="J186" s="198">
        <f>Qty!N30*'Prop. prices'!J186*J$7</f>
        <v>0</v>
      </c>
      <c r="K186" s="198">
        <f>Qty!O30*'Prop. prices'!K186*K$7</f>
        <v>0</v>
      </c>
      <c r="L186" s="198">
        <f>Qty!P30*'Prop. prices'!L186*L$7</f>
        <v>0</v>
      </c>
      <c r="M186" s="198">
        <f>Qty!Q30*'Prop. prices'!M186*M$7</f>
        <v>0</v>
      </c>
      <c r="N186" s="198">
        <f>Qty!R30*'Prop. prices'!N186*N$7</f>
        <v>0</v>
      </c>
      <c r="O186" s="198">
        <f>Qty!S30*'Prop. prices'!O186*O$7</f>
        <v>0</v>
      </c>
      <c r="P186" s="198">
        <f>Qty!T30*'Prop. prices'!P186*P$7</f>
        <v>0</v>
      </c>
      <c r="Q186" s="198">
        <f>Qty!U30*'Prop. prices'!Q186*Q$7</f>
        <v>0</v>
      </c>
      <c r="R186" s="198">
        <f>Qty!V30*'Prop. prices'!R186*R$7</f>
        <v>0</v>
      </c>
      <c r="S186" s="198">
        <f>Qty!W30*'Prop. prices'!S186*S$7</f>
        <v>0</v>
      </c>
      <c r="T186" s="198">
        <f>Qty!X30*'Prop. prices'!T186*T$7</f>
        <v>0</v>
      </c>
      <c r="U186" s="198">
        <f>Qty!Y30*'Prop. prices'!U186*U$7</f>
        <v>0</v>
      </c>
      <c r="V186" s="198">
        <f>Qty!Z30*'Prop. prices'!V186*V$7</f>
        <v>0</v>
      </c>
      <c r="W186" s="198">
        <f>Qty!AA30*'Prop. prices'!W186*W$7</f>
        <v>0</v>
      </c>
      <c r="X186" s="198">
        <f>Qty!AB30*'Prop. prices'!X186*X$7</f>
        <v>0</v>
      </c>
      <c r="Y186" s="198">
        <f>Qty!AC30*'Prop. prices'!Y186*Y$7</f>
        <v>0</v>
      </c>
      <c r="Z186" s="198">
        <f>Qty!AD30*'Prop. prices'!Z186*Z$7</f>
        <v>0</v>
      </c>
      <c r="AA186" s="198">
        <f>Qty!AE30*'Prop. prices'!AA186*AA$7</f>
        <v>0</v>
      </c>
      <c r="AB186" s="198">
        <f>Qty!AF30*'Prop. prices'!AB186*AB$7</f>
        <v>0</v>
      </c>
      <c r="AC186" s="206">
        <f t="shared" si="18"/>
        <v>0</v>
      </c>
      <c r="AD186" s="19"/>
      <c r="AE186" s="19"/>
      <c r="AF186" s="19"/>
      <c r="AG186" s="19"/>
    </row>
    <row r="187" spans="1:33" hidden="1" outlineLevel="2" x14ac:dyDescent="0.2">
      <c r="A187" s="19"/>
      <c r="B187" s="19"/>
      <c r="C187" s="506">
        <f t="shared" si="20"/>
        <v>0</v>
      </c>
      <c r="D187" s="505">
        <f t="shared" si="20"/>
        <v>0</v>
      </c>
      <c r="E187" s="505">
        <f t="shared" si="20"/>
        <v>0</v>
      </c>
      <c r="F187" s="505">
        <f t="shared" si="20"/>
        <v>0</v>
      </c>
      <c r="G187" s="505">
        <f t="shared" si="20"/>
        <v>0</v>
      </c>
      <c r="H187" s="58"/>
      <c r="I187" s="198">
        <f>Qty!M31*'Prop. prices'!I187*I$7</f>
        <v>0</v>
      </c>
      <c r="J187" s="198">
        <f>Qty!N31*'Prop. prices'!J187*J$7</f>
        <v>0</v>
      </c>
      <c r="K187" s="198">
        <f>Qty!O31*'Prop. prices'!K187*K$7</f>
        <v>0</v>
      </c>
      <c r="L187" s="198">
        <f>Qty!P31*'Prop. prices'!L187*L$7</f>
        <v>0</v>
      </c>
      <c r="M187" s="198">
        <f>Qty!Q31*'Prop. prices'!M187*M$7</f>
        <v>0</v>
      </c>
      <c r="N187" s="198">
        <f>Qty!R31*'Prop. prices'!N187*N$7</f>
        <v>0</v>
      </c>
      <c r="O187" s="198">
        <f>Qty!S31*'Prop. prices'!O187*O$7</f>
        <v>0</v>
      </c>
      <c r="P187" s="198">
        <f>Qty!T31*'Prop. prices'!P187*P$7</f>
        <v>0</v>
      </c>
      <c r="Q187" s="198">
        <f>Qty!U31*'Prop. prices'!Q187*Q$7</f>
        <v>0</v>
      </c>
      <c r="R187" s="198">
        <f>Qty!V31*'Prop. prices'!R187*R$7</f>
        <v>0</v>
      </c>
      <c r="S187" s="198">
        <f>Qty!W31*'Prop. prices'!S187*S$7</f>
        <v>0</v>
      </c>
      <c r="T187" s="198">
        <f>Qty!X31*'Prop. prices'!T187*T$7</f>
        <v>0</v>
      </c>
      <c r="U187" s="198">
        <f>Qty!Y31*'Prop. prices'!U187*U$7</f>
        <v>0</v>
      </c>
      <c r="V187" s="198">
        <f>Qty!Z31*'Prop. prices'!V187*V$7</f>
        <v>0</v>
      </c>
      <c r="W187" s="198">
        <f>Qty!AA31*'Prop. prices'!W187*W$7</f>
        <v>0</v>
      </c>
      <c r="X187" s="198">
        <f>Qty!AB31*'Prop. prices'!X187*X$7</f>
        <v>0</v>
      </c>
      <c r="Y187" s="198">
        <f>Qty!AC31*'Prop. prices'!Y187*Y$7</f>
        <v>0</v>
      </c>
      <c r="Z187" s="198">
        <f>Qty!AD31*'Prop. prices'!Z187*Z$7</f>
        <v>0</v>
      </c>
      <c r="AA187" s="198">
        <f>Qty!AE31*'Prop. prices'!AA187*AA$7</f>
        <v>0</v>
      </c>
      <c r="AB187" s="198">
        <f>Qty!AF31*'Prop. prices'!AB187*AB$7</f>
        <v>0</v>
      </c>
      <c r="AC187" s="206">
        <f t="shared" si="18"/>
        <v>0</v>
      </c>
      <c r="AD187" s="19"/>
      <c r="AE187" s="19"/>
      <c r="AF187" s="19"/>
      <c r="AG187" s="19"/>
    </row>
    <row r="188" spans="1:33" hidden="1" outlineLevel="2" x14ac:dyDescent="0.2">
      <c r="A188" s="19"/>
      <c r="B188" s="19"/>
      <c r="C188" s="506">
        <f t="shared" si="20"/>
        <v>0</v>
      </c>
      <c r="D188" s="505">
        <f t="shared" si="20"/>
        <v>0</v>
      </c>
      <c r="E188" s="505">
        <f t="shared" si="20"/>
        <v>0</v>
      </c>
      <c r="F188" s="505">
        <f t="shared" si="20"/>
        <v>0</v>
      </c>
      <c r="G188" s="505">
        <f t="shared" si="20"/>
        <v>0</v>
      </c>
      <c r="H188" s="58"/>
      <c r="I188" s="198">
        <f>Qty!M32*'Prop. prices'!I188*I$7</f>
        <v>0</v>
      </c>
      <c r="J188" s="198">
        <f>Qty!N32*'Prop. prices'!J188*J$7</f>
        <v>0</v>
      </c>
      <c r="K188" s="198">
        <f>Qty!O32*'Prop. prices'!K188*K$7</f>
        <v>0</v>
      </c>
      <c r="L188" s="198">
        <f>Qty!P32*'Prop. prices'!L188*L$7</f>
        <v>0</v>
      </c>
      <c r="M188" s="198">
        <f>Qty!Q32*'Prop. prices'!M188*M$7</f>
        <v>0</v>
      </c>
      <c r="N188" s="198">
        <f>Qty!R32*'Prop. prices'!N188*N$7</f>
        <v>0</v>
      </c>
      <c r="O188" s="198">
        <f>Qty!S32*'Prop. prices'!O188*O$7</f>
        <v>0</v>
      </c>
      <c r="P188" s="198">
        <f>Qty!T32*'Prop. prices'!P188*P$7</f>
        <v>0</v>
      </c>
      <c r="Q188" s="198">
        <f>Qty!U32*'Prop. prices'!Q188*Q$7</f>
        <v>0</v>
      </c>
      <c r="R188" s="198">
        <f>Qty!V32*'Prop. prices'!R188*R$7</f>
        <v>0</v>
      </c>
      <c r="S188" s="198">
        <f>Qty!W32*'Prop. prices'!S188*S$7</f>
        <v>0</v>
      </c>
      <c r="T188" s="198">
        <f>Qty!X32*'Prop. prices'!T188*T$7</f>
        <v>0</v>
      </c>
      <c r="U188" s="198">
        <f>Qty!Y32*'Prop. prices'!U188*U$7</f>
        <v>0</v>
      </c>
      <c r="V188" s="198">
        <f>Qty!Z32*'Prop. prices'!V188*V$7</f>
        <v>0</v>
      </c>
      <c r="W188" s="198">
        <f>Qty!AA32*'Prop. prices'!W188*W$7</f>
        <v>0</v>
      </c>
      <c r="X188" s="198">
        <f>Qty!AB32*'Prop. prices'!X188*X$7</f>
        <v>0</v>
      </c>
      <c r="Y188" s="198">
        <f>Qty!AC32*'Prop. prices'!Y188*Y$7</f>
        <v>0</v>
      </c>
      <c r="Z188" s="198">
        <f>Qty!AD32*'Prop. prices'!Z188*Z$7</f>
        <v>0</v>
      </c>
      <c r="AA188" s="198">
        <f>Qty!AE32*'Prop. prices'!AA188*AA$7</f>
        <v>0</v>
      </c>
      <c r="AB188" s="198">
        <f>Qty!AF32*'Prop. prices'!AB188*AB$7</f>
        <v>0</v>
      </c>
      <c r="AC188" s="206">
        <f t="shared" si="18"/>
        <v>0</v>
      </c>
      <c r="AD188" s="19"/>
      <c r="AE188" s="19"/>
      <c r="AF188" s="19"/>
      <c r="AG188" s="19"/>
    </row>
    <row r="189" spans="1:33" hidden="1" outlineLevel="2" x14ac:dyDescent="0.2">
      <c r="A189" s="19"/>
      <c r="B189" s="19"/>
      <c r="C189" s="506">
        <f t="shared" si="20"/>
        <v>0</v>
      </c>
      <c r="D189" s="505">
        <f t="shared" si="20"/>
        <v>0</v>
      </c>
      <c r="E189" s="505">
        <f t="shared" si="20"/>
        <v>0</v>
      </c>
      <c r="F189" s="505">
        <f t="shared" si="20"/>
        <v>0</v>
      </c>
      <c r="G189" s="505">
        <f t="shared" si="20"/>
        <v>0</v>
      </c>
      <c r="H189" s="58"/>
      <c r="I189" s="198">
        <f>Qty!M33*'Prop. prices'!I189*I$7</f>
        <v>0</v>
      </c>
      <c r="J189" s="198">
        <f>Qty!N33*'Prop. prices'!J189*J$7</f>
        <v>0</v>
      </c>
      <c r="K189" s="198">
        <f>Qty!O33*'Prop. prices'!K189*K$7</f>
        <v>0</v>
      </c>
      <c r="L189" s="198">
        <f>Qty!P33*'Prop. prices'!L189*L$7</f>
        <v>0</v>
      </c>
      <c r="M189" s="198">
        <f>Qty!Q33*'Prop. prices'!M189*M$7</f>
        <v>0</v>
      </c>
      <c r="N189" s="198">
        <f>Qty!R33*'Prop. prices'!N189*N$7</f>
        <v>0</v>
      </c>
      <c r="O189" s="198">
        <f>Qty!S33*'Prop. prices'!O189*O$7</f>
        <v>0</v>
      </c>
      <c r="P189" s="198">
        <f>Qty!T33*'Prop. prices'!P189*P$7</f>
        <v>0</v>
      </c>
      <c r="Q189" s="198">
        <f>Qty!U33*'Prop. prices'!Q189*Q$7</f>
        <v>0</v>
      </c>
      <c r="R189" s="198">
        <f>Qty!V33*'Prop. prices'!R189*R$7</f>
        <v>0</v>
      </c>
      <c r="S189" s="198">
        <f>Qty!W33*'Prop. prices'!S189*S$7</f>
        <v>0</v>
      </c>
      <c r="T189" s="198">
        <f>Qty!X33*'Prop. prices'!T189*T$7</f>
        <v>0</v>
      </c>
      <c r="U189" s="198">
        <f>Qty!Y33*'Prop. prices'!U189*U$7</f>
        <v>0</v>
      </c>
      <c r="V189" s="198">
        <f>Qty!Z33*'Prop. prices'!V189*V$7</f>
        <v>0</v>
      </c>
      <c r="W189" s="198">
        <f>Qty!AA33*'Prop. prices'!W189*W$7</f>
        <v>0</v>
      </c>
      <c r="X189" s="198">
        <f>Qty!AB33*'Prop. prices'!X189*X$7</f>
        <v>0</v>
      </c>
      <c r="Y189" s="198">
        <f>Qty!AC33*'Prop. prices'!Y189*Y$7</f>
        <v>0</v>
      </c>
      <c r="Z189" s="198">
        <f>Qty!AD33*'Prop. prices'!Z189*Z$7</f>
        <v>0</v>
      </c>
      <c r="AA189" s="198">
        <f>Qty!AE33*'Prop. prices'!AA189*AA$7</f>
        <v>0</v>
      </c>
      <c r="AB189" s="198">
        <f>Qty!AF33*'Prop. prices'!AB189*AB$7</f>
        <v>0</v>
      </c>
      <c r="AC189" s="206">
        <f t="shared" si="18"/>
        <v>0</v>
      </c>
      <c r="AD189" s="19"/>
      <c r="AE189" s="19"/>
      <c r="AF189" s="19"/>
      <c r="AG189" s="19"/>
    </row>
    <row r="190" spans="1:33" hidden="1" outlineLevel="2" x14ac:dyDescent="0.2">
      <c r="A190" s="19"/>
      <c r="B190" s="19"/>
      <c r="C190" s="506">
        <f t="shared" si="20"/>
        <v>0</v>
      </c>
      <c r="D190" s="505">
        <f t="shared" si="20"/>
        <v>0</v>
      </c>
      <c r="E190" s="505">
        <f t="shared" si="20"/>
        <v>0</v>
      </c>
      <c r="F190" s="505">
        <f t="shared" si="20"/>
        <v>0</v>
      </c>
      <c r="G190" s="505">
        <f t="shared" si="20"/>
        <v>0</v>
      </c>
      <c r="H190" s="58"/>
      <c r="I190" s="198">
        <f>Qty!M34*'Prop. prices'!I190*I$7</f>
        <v>0</v>
      </c>
      <c r="J190" s="198">
        <f>Qty!N34*'Prop. prices'!J190*J$7</f>
        <v>0</v>
      </c>
      <c r="K190" s="198">
        <f>Qty!O34*'Prop. prices'!K190*K$7</f>
        <v>0</v>
      </c>
      <c r="L190" s="198">
        <f>Qty!P34*'Prop. prices'!L190*L$7</f>
        <v>0</v>
      </c>
      <c r="M190" s="198">
        <f>Qty!Q34*'Prop. prices'!M190*M$7</f>
        <v>0</v>
      </c>
      <c r="N190" s="198">
        <f>Qty!R34*'Prop. prices'!N190*N$7</f>
        <v>0</v>
      </c>
      <c r="O190" s="198">
        <f>Qty!S34*'Prop. prices'!O190*O$7</f>
        <v>0</v>
      </c>
      <c r="P190" s="198">
        <f>Qty!T34*'Prop. prices'!P190*P$7</f>
        <v>0</v>
      </c>
      <c r="Q190" s="198">
        <f>Qty!U34*'Prop. prices'!Q190*Q$7</f>
        <v>0</v>
      </c>
      <c r="R190" s="198">
        <f>Qty!V34*'Prop. prices'!R190*R$7</f>
        <v>0</v>
      </c>
      <c r="S190" s="198">
        <f>Qty!W34*'Prop. prices'!S190*S$7</f>
        <v>0</v>
      </c>
      <c r="T190" s="198">
        <f>Qty!X34*'Prop. prices'!T190*T$7</f>
        <v>0</v>
      </c>
      <c r="U190" s="198">
        <f>Qty!Y34*'Prop. prices'!U190*U$7</f>
        <v>0</v>
      </c>
      <c r="V190" s="198">
        <f>Qty!Z34*'Prop. prices'!V190*V$7</f>
        <v>0</v>
      </c>
      <c r="W190" s="198">
        <f>Qty!AA34*'Prop. prices'!W190*W$7</f>
        <v>0</v>
      </c>
      <c r="X190" s="198">
        <f>Qty!AB34*'Prop. prices'!X190*X$7</f>
        <v>0</v>
      </c>
      <c r="Y190" s="198">
        <f>Qty!AC34*'Prop. prices'!Y190*Y$7</f>
        <v>0</v>
      </c>
      <c r="Z190" s="198">
        <f>Qty!AD34*'Prop. prices'!Z190*Z$7</f>
        <v>0</v>
      </c>
      <c r="AA190" s="198">
        <f>Qty!AE34*'Prop. prices'!AA190*AA$7</f>
        <v>0</v>
      </c>
      <c r="AB190" s="198">
        <f>Qty!AF34*'Prop. prices'!AB190*AB$7</f>
        <v>0</v>
      </c>
      <c r="AC190" s="206">
        <f t="shared" si="18"/>
        <v>0</v>
      </c>
      <c r="AD190" s="19"/>
      <c r="AE190" s="19"/>
      <c r="AF190" s="19"/>
      <c r="AG190" s="19"/>
    </row>
    <row r="191" spans="1:33" hidden="1" outlineLevel="2" x14ac:dyDescent="0.2">
      <c r="A191" s="19"/>
      <c r="B191" s="19"/>
      <c r="C191" s="506">
        <f t="shared" si="20"/>
        <v>0</v>
      </c>
      <c r="D191" s="505">
        <f t="shared" si="20"/>
        <v>0</v>
      </c>
      <c r="E191" s="505">
        <f t="shared" si="20"/>
        <v>0</v>
      </c>
      <c r="F191" s="505">
        <f t="shared" si="20"/>
        <v>0</v>
      </c>
      <c r="G191" s="505">
        <f t="shared" si="20"/>
        <v>0</v>
      </c>
      <c r="H191" s="58"/>
      <c r="I191" s="198">
        <f>Qty!M35*'Prop. prices'!I191*I$7</f>
        <v>0</v>
      </c>
      <c r="J191" s="198">
        <f>Qty!N35*'Prop. prices'!J191*J$7</f>
        <v>0</v>
      </c>
      <c r="K191" s="198">
        <f>Qty!O35*'Prop. prices'!K191*K$7</f>
        <v>0</v>
      </c>
      <c r="L191" s="198">
        <f>Qty!P35*'Prop. prices'!L191*L$7</f>
        <v>0</v>
      </c>
      <c r="M191" s="198">
        <f>Qty!Q35*'Prop. prices'!M191*M$7</f>
        <v>0</v>
      </c>
      <c r="N191" s="198">
        <f>Qty!R35*'Prop. prices'!N191*N$7</f>
        <v>0</v>
      </c>
      <c r="O191" s="198">
        <f>Qty!S35*'Prop. prices'!O191*O$7</f>
        <v>0</v>
      </c>
      <c r="P191" s="198">
        <f>Qty!T35*'Prop. prices'!P191*P$7</f>
        <v>0</v>
      </c>
      <c r="Q191" s="198">
        <f>Qty!U35*'Prop. prices'!Q191*Q$7</f>
        <v>0</v>
      </c>
      <c r="R191" s="198">
        <f>Qty!V35*'Prop. prices'!R191*R$7</f>
        <v>0</v>
      </c>
      <c r="S191" s="198">
        <f>Qty!W35*'Prop. prices'!S191*S$7</f>
        <v>0</v>
      </c>
      <c r="T191" s="198">
        <f>Qty!X35*'Prop. prices'!T191*T$7</f>
        <v>0</v>
      </c>
      <c r="U191" s="198">
        <f>Qty!Y35*'Prop. prices'!U191*U$7</f>
        <v>0</v>
      </c>
      <c r="V191" s="198">
        <f>Qty!Z35*'Prop. prices'!V191*V$7</f>
        <v>0</v>
      </c>
      <c r="W191" s="198">
        <f>Qty!AA35*'Prop. prices'!W191*W$7</f>
        <v>0</v>
      </c>
      <c r="X191" s="198">
        <f>Qty!AB35*'Prop. prices'!X191*X$7</f>
        <v>0</v>
      </c>
      <c r="Y191" s="198">
        <f>Qty!AC35*'Prop. prices'!Y191*Y$7</f>
        <v>0</v>
      </c>
      <c r="Z191" s="198">
        <f>Qty!AD35*'Prop. prices'!Z191*Z$7</f>
        <v>0</v>
      </c>
      <c r="AA191" s="198">
        <f>Qty!AE35*'Prop. prices'!AA191*AA$7</f>
        <v>0</v>
      </c>
      <c r="AB191" s="198">
        <f>Qty!AF35*'Prop. prices'!AB191*AB$7</f>
        <v>0</v>
      </c>
      <c r="AC191" s="206">
        <f t="shared" si="18"/>
        <v>0</v>
      </c>
      <c r="AD191" s="19"/>
      <c r="AE191" s="19"/>
      <c r="AF191" s="19"/>
      <c r="AG191" s="19"/>
    </row>
    <row r="192" spans="1:33" hidden="1" outlineLevel="2" x14ac:dyDescent="0.2">
      <c r="A192" s="19"/>
      <c r="B192" s="19"/>
      <c r="C192" s="506">
        <f t="shared" si="20"/>
        <v>0</v>
      </c>
      <c r="D192" s="505">
        <f t="shared" si="20"/>
        <v>0</v>
      </c>
      <c r="E192" s="505">
        <f t="shared" si="20"/>
        <v>0</v>
      </c>
      <c r="F192" s="505">
        <f t="shared" si="20"/>
        <v>0</v>
      </c>
      <c r="G192" s="505">
        <f t="shared" si="20"/>
        <v>0</v>
      </c>
      <c r="H192" s="58"/>
      <c r="I192" s="198">
        <f>Qty!M36*'Prop. prices'!I192*I$7</f>
        <v>0</v>
      </c>
      <c r="J192" s="198">
        <f>Qty!N36*'Prop. prices'!J192*J$7</f>
        <v>0</v>
      </c>
      <c r="K192" s="198">
        <f>Qty!O36*'Prop. prices'!K192*K$7</f>
        <v>0</v>
      </c>
      <c r="L192" s="198">
        <f>Qty!P36*'Prop. prices'!L192*L$7</f>
        <v>0</v>
      </c>
      <c r="M192" s="198">
        <f>Qty!Q36*'Prop. prices'!M192*M$7</f>
        <v>0</v>
      </c>
      <c r="N192" s="198">
        <f>Qty!R36*'Prop. prices'!N192*N$7</f>
        <v>0</v>
      </c>
      <c r="O192" s="198">
        <f>Qty!S36*'Prop. prices'!O192*O$7</f>
        <v>0</v>
      </c>
      <c r="P192" s="198">
        <f>Qty!T36*'Prop. prices'!P192*P$7</f>
        <v>0</v>
      </c>
      <c r="Q192" s="198">
        <f>Qty!U36*'Prop. prices'!Q192*Q$7</f>
        <v>0</v>
      </c>
      <c r="R192" s="198">
        <f>Qty!V36*'Prop. prices'!R192*R$7</f>
        <v>0</v>
      </c>
      <c r="S192" s="198">
        <f>Qty!W36*'Prop. prices'!S192*S$7</f>
        <v>0</v>
      </c>
      <c r="T192" s="198">
        <f>Qty!X36*'Prop. prices'!T192*T$7</f>
        <v>0</v>
      </c>
      <c r="U192" s="198">
        <f>Qty!Y36*'Prop. prices'!U192*U$7</f>
        <v>0</v>
      </c>
      <c r="V192" s="198">
        <f>Qty!Z36*'Prop. prices'!V192*V$7</f>
        <v>0</v>
      </c>
      <c r="W192" s="198">
        <f>Qty!AA36*'Prop. prices'!W192*W$7</f>
        <v>0</v>
      </c>
      <c r="X192" s="198">
        <f>Qty!AB36*'Prop. prices'!X192*X$7</f>
        <v>0</v>
      </c>
      <c r="Y192" s="198">
        <f>Qty!AC36*'Prop. prices'!Y192*Y$7</f>
        <v>0</v>
      </c>
      <c r="Z192" s="198">
        <f>Qty!AD36*'Prop. prices'!Z192*Z$7</f>
        <v>0</v>
      </c>
      <c r="AA192" s="198">
        <f>Qty!AE36*'Prop. prices'!AA192*AA$7</f>
        <v>0</v>
      </c>
      <c r="AB192" s="198">
        <f>Qty!AF36*'Prop. prices'!AB192*AB$7</f>
        <v>0</v>
      </c>
      <c r="AC192" s="206">
        <f t="shared" si="18"/>
        <v>0</v>
      </c>
      <c r="AD192" s="19"/>
      <c r="AE192" s="19"/>
      <c r="AF192" s="19"/>
      <c r="AG192" s="19"/>
    </row>
    <row r="193" spans="1:33" hidden="1" outlineLevel="2" x14ac:dyDescent="0.2">
      <c r="A193" s="19"/>
      <c r="B193" s="19"/>
      <c r="C193" s="506">
        <f t="shared" si="20"/>
        <v>0</v>
      </c>
      <c r="D193" s="505">
        <f t="shared" si="20"/>
        <v>0</v>
      </c>
      <c r="E193" s="505">
        <f t="shared" si="20"/>
        <v>0</v>
      </c>
      <c r="F193" s="505">
        <f t="shared" si="20"/>
        <v>0</v>
      </c>
      <c r="G193" s="505">
        <f t="shared" si="20"/>
        <v>0</v>
      </c>
      <c r="H193" s="58"/>
      <c r="I193" s="198">
        <f>Qty!M37*'Prop. prices'!I193*I$7</f>
        <v>0</v>
      </c>
      <c r="J193" s="198">
        <f>Qty!N37*'Prop. prices'!J193*J$7</f>
        <v>0</v>
      </c>
      <c r="K193" s="198">
        <f>Qty!O37*'Prop. prices'!K193*K$7</f>
        <v>0</v>
      </c>
      <c r="L193" s="198">
        <f>Qty!P37*'Prop. prices'!L193*L$7</f>
        <v>0</v>
      </c>
      <c r="M193" s="198">
        <f>Qty!Q37*'Prop. prices'!M193*M$7</f>
        <v>0</v>
      </c>
      <c r="N193" s="198">
        <f>Qty!R37*'Prop. prices'!N193*N$7</f>
        <v>0</v>
      </c>
      <c r="O193" s="198">
        <f>Qty!S37*'Prop. prices'!O193*O$7</f>
        <v>0</v>
      </c>
      <c r="P193" s="198">
        <f>Qty!T37*'Prop. prices'!P193*P$7</f>
        <v>0</v>
      </c>
      <c r="Q193" s="198">
        <f>Qty!U37*'Prop. prices'!Q193*Q$7</f>
        <v>0</v>
      </c>
      <c r="R193" s="198">
        <f>Qty!V37*'Prop. prices'!R193*R$7</f>
        <v>0</v>
      </c>
      <c r="S193" s="198">
        <f>Qty!W37*'Prop. prices'!S193*S$7</f>
        <v>0</v>
      </c>
      <c r="T193" s="198">
        <f>Qty!X37*'Prop. prices'!T193*T$7</f>
        <v>0</v>
      </c>
      <c r="U193" s="198">
        <f>Qty!Y37*'Prop. prices'!U193*U$7</f>
        <v>0</v>
      </c>
      <c r="V193" s="198">
        <f>Qty!Z37*'Prop. prices'!V193*V$7</f>
        <v>0</v>
      </c>
      <c r="W193" s="198">
        <f>Qty!AA37*'Prop. prices'!W193*W$7</f>
        <v>0</v>
      </c>
      <c r="X193" s="198">
        <f>Qty!AB37*'Prop. prices'!X193*X$7</f>
        <v>0</v>
      </c>
      <c r="Y193" s="198">
        <f>Qty!AC37*'Prop. prices'!Y193*Y$7</f>
        <v>0</v>
      </c>
      <c r="Z193" s="198">
        <f>Qty!AD37*'Prop. prices'!Z193*Z$7</f>
        <v>0</v>
      </c>
      <c r="AA193" s="198">
        <f>Qty!AE37*'Prop. prices'!AA193*AA$7</f>
        <v>0</v>
      </c>
      <c r="AB193" s="198">
        <f>Qty!AF37*'Prop. prices'!AB193*AB$7</f>
        <v>0</v>
      </c>
      <c r="AC193" s="206">
        <f t="shared" si="18"/>
        <v>0</v>
      </c>
      <c r="AD193" s="19"/>
      <c r="AE193" s="19"/>
      <c r="AF193" s="19"/>
      <c r="AG193" s="19"/>
    </row>
    <row r="194" spans="1:33" hidden="1" outlineLevel="2" x14ac:dyDescent="0.2">
      <c r="A194" s="19"/>
      <c r="B194" s="19"/>
      <c r="C194" s="506">
        <f t="shared" ref="C194:G203" si="21">C38</f>
        <v>0</v>
      </c>
      <c r="D194" s="505">
        <f t="shared" si="21"/>
        <v>0</v>
      </c>
      <c r="E194" s="505">
        <f t="shared" si="21"/>
        <v>0</v>
      </c>
      <c r="F194" s="505">
        <f t="shared" si="21"/>
        <v>0</v>
      </c>
      <c r="G194" s="505">
        <f t="shared" si="21"/>
        <v>0</v>
      </c>
      <c r="H194" s="58"/>
      <c r="I194" s="198">
        <f>Qty!M38*'Prop. prices'!I194*I$7</f>
        <v>0</v>
      </c>
      <c r="J194" s="198">
        <f>Qty!N38*'Prop. prices'!J194*J$7</f>
        <v>0</v>
      </c>
      <c r="K194" s="198">
        <f>Qty!O38*'Prop. prices'!K194*K$7</f>
        <v>0</v>
      </c>
      <c r="L194" s="198">
        <f>Qty!P38*'Prop. prices'!L194*L$7</f>
        <v>0</v>
      </c>
      <c r="M194" s="198">
        <f>Qty!Q38*'Prop. prices'!M194*M$7</f>
        <v>0</v>
      </c>
      <c r="N194" s="198">
        <f>Qty!R38*'Prop. prices'!N194*N$7</f>
        <v>0</v>
      </c>
      <c r="O194" s="198">
        <f>Qty!S38*'Prop. prices'!O194*O$7</f>
        <v>0</v>
      </c>
      <c r="P194" s="198">
        <f>Qty!T38*'Prop. prices'!P194*P$7</f>
        <v>0</v>
      </c>
      <c r="Q194" s="198">
        <f>Qty!U38*'Prop. prices'!Q194*Q$7</f>
        <v>0</v>
      </c>
      <c r="R194" s="198">
        <f>Qty!V38*'Prop. prices'!R194*R$7</f>
        <v>0</v>
      </c>
      <c r="S194" s="198">
        <f>Qty!W38*'Prop. prices'!S194*S$7</f>
        <v>0</v>
      </c>
      <c r="T194" s="198">
        <f>Qty!X38*'Prop. prices'!T194*T$7</f>
        <v>0</v>
      </c>
      <c r="U194" s="198">
        <f>Qty!Y38*'Prop. prices'!U194*U$7</f>
        <v>0</v>
      </c>
      <c r="V194" s="198">
        <f>Qty!Z38*'Prop. prices'!V194*V$7</f>
        <v>0</v>
      </c>
      <c r="W194" s="198">
        <f>Qty!AA38*'Prop. prices'!W194*W$7</f>
        <v>0</v>
      </c>
      <c r="X194" s="198">
        <f>Qty!AB38*'Prop. prices'!X194*X$7</f>
        <v>0</v>
      </c>
      <c r="Y194" s="198">
        <f>Qty!AC38*'Prop. prices'!Y194*Y$7</f>
        <v>0</v>
      </c>
      <c r="Z194" s="198">
        <f>Qty!AD38*'Prop. prices'!Z194*Z$7</f>
        <v>0</v>
      </c>
      <c r="AA194" s="198">
        <f>Qty!AE38*'Prop. prices'!AA194*AA$7</f>
        <v>0</v>
      </c>
      <c r="AB194" s="198">
        <f>Qty!AF38*'Prop. prices'!AB194*AB$7</f>
        <v>0</v>
      </c>
      <c r="AC194" s="206">
        <f t="shared" si="18"/>
        <v>0</v>
      </c>
      <c r="AD194" s="19"/>
      <c r="AE194" s="19"/>
      <c r="AF194" s="19"/>
      <c r="AG194" s="19"/>
    </row>
    <row r="195" spans="1:33" hidden="1" outlineLevel="2" x14ac:dyDescent="0.2">
      <c r="A195" s="19"/>
      <c r="B195" s="19"/>
      <c r="C195" s="506">
        <f t="shared" si="21"/>
        <v>0</v>
      </c>
      <c r="D195" s="505">
        <f t="shared" si="21"/>
        <v>0</v>
      </c>
      <c r="E195" s="505">
        <f t="shared" si="21"/>
        <v>0</v>
      </c>
      <c r="F195" s="505">
        <f t="shared" si="21"/>
        <v>0</v>
      </c>
      <c r="G195" s="505">
        <f t="shared" si="21"/>
        <v>0</v>
      </c>
      <c r="H195" s="58"/>
      <c r="I195" s="198">
        <f>Qty!M39*'Prop. prices'!I195*I$7</f>
        <v>0</v>
      </c>
      <c r="J195" s="198">
        <f>Qty!N39*'Prop. prices'!J195*J$7</f>
        <v>0</v>
      </c>
      <c r="K195" s="198">
        <f>Qty!O39*'Prop. prices'!K195*K$7</f>
        <v>0</v>
      </c>
      <c r="L195" s="198">
        <f>Qty!P39*'Prop. prices'!L195*L$7</f>
        <v>0</v>
      </c>
      <c r="M195" s="198">
        <f>Qty!Q39*'Prop. prices'!M195*M$7</f>
        <v>0</v>
      </c>
      <c r="N195" s="198">
        <f>Qty!R39*'Prop. prices'!N195*N$7</f>
        <v>0</v>
      </c>
      <c r="O195" s="198">
        <f>Qty!S39*'Prop. prices'!O195*O$7</f>
        <v>0</v>
      </c>
      <c r="P195" s="198">
        <f>Qty!T39*'Prop. prices'!P195*P$7</f>
        <v>0</v>
      </c>
      <c r="Q195" s="198">
        <f>Qty!U39*'Prop. prices'!Q195*Q$7</f>
        <v>0</v>
      </c>
      <c r="R195" s="198">
        <f>Qty!V39*'Prop. prices'!R195*R$7</f>
        <v>0</v>
      </c>
      <c r="S195" s="198">
        <f>Qty!W39*'Prop. prices'!S195*S$7</f>
        <v>0</v>
      </c>
      <c r="T195" s="198">
        <f>Qty!X39*'Prop. prices'!T195*T$7</f>
        <v>0</v>
      </c>
      <c r="U195" s="198">
        <f>Qty!Y39*'Prop. prices'!U195*U$7</f>
        <v>0</v>
      </c>
      <c r="V195" s="198">
        <f>Qty!Z39*'Prop. prices'!V195*V$7</f>
        <v>0</v>
      </c>
      <c r="W195" s="198">
        <f>Qty!AA39*'Prop. prices'!W195*W$7</f>
        <v>0</v>
      </c>
      <c r="X195" s="198">
        <f>Qty!AB39*'Prop. prices'!X195*X$7</f>
        <v>0</v>
      </c>
      <c r="Y195" s="198">
        <f>Qty!AC39*'Prop. prices'!Y195*Y$7</f>
        <v>0</v>
      </c>
      <c r="Z195" s="198">
        <f>Qty!AD39*'Prop. prices'!Z195*Z$7</f>
        <v>0</v>
      </c>
      <c r="AA195" s="198">
        <f>Qty!AE39*'Prop. prices'!AA195*AA$7</f>
        <v>0</v>
      </c>
      <c r="AB195" s="198">
        <f>Qty!AF39*'Prop. prices'!AB195*AB$7</f>
        <v>0</v>
      </c>
      <c r="AC195" s="206">
        <f t="shared" si="18"/>
        <v>0</v>
      </c>
      <c r="AD195" s="19"/>
      <c r="AE195" s="19"/>
      <c r="AF195" s="19"/>
      <c r="AG195" s="19"/>
    </row>
    <row r="196" spans="1:33" hidden="1" outlineLevel="2" x14ac:dyDescent="0.2">
      <c r="A196" s="19"/>
      <c r="B196" s="19"/>
      <c r="C196" s="506">
        <f t="shared" si="21"/>
        <v>0</v>
      </c>
      <c r="D196" s="505">
        <f t="shared" si="21"/>
        <v>0</v>
      </c>
      <c r="E196" s="505">
        <f t="shared" si="21"/>
        <v>0</v>
      </c>
      <c r="F196" s="505">
        <f t="shared" si="21"/>
        <v>0</v>
      </c>
      <c r="G196" s="505">
        <f t="shared" si="21"/>
        <v>0</v>
      </c>
      <c r="H196" s="58"/>
      <c r="I196" s="198">
        <f>Qty!M40*'Prop. prices'!I196*I$7</f>
        <v>0</v>
      </c>
      <c r="J196" s="198">
        <f>Qty!N40*'Prop. prices'!J196*J$7</f>
        <v>0</v>
      </c>
      <c r="K196" s="198">
        <f>Qty!O40*'Prop. prices'!K196*K$7</f>
        <v>0</v>
      </c>
      <c r="L196" s="198">
        <f>Qty!P40*'Prop. prices'!L196*L$7</f>
        <v>0</v>
      </c>
      <c r="M196" s="198">
        <f>Qty!Q40*'Prop. prices'!M196*M$7</f>
        <v>0</v>
      </c>
      <c r="N196" s="198">
        <f>Qty!R40*'Prop. prices'!N196*N$7</f>
        <v>0</v>
      </c>
      <c r="O196" s="198">
        <f>Qty!S40*'Prop. prices'!O196*O$7</f>
        <v>0</v>
      </c>
      <c r="P196" s="198">
        <f>Qty!T40*'Prop. prices'!P196*P$7</f>
        <v>0</v>
      </c>
      <c r="Q196" s="198">
        <f>Qty!U40*'Prop. prices'!Q196*Q$7</f>
        <v>0</v>
      </c>
      <c r="R196" s="198">
        <f>Qty!V40*'Prop. prices'!R196*R$7</f>
        <v>0</v>
      </c>
      <c r="S196" s="198">
        <f>Qty!W40*'Prop. prices'!S196*S$7</f>
        <v>0</v>
      </c>
      <c r="T196" s="198">
        <f>Qty!X40*'Prop. prices'!T196*T$7</f>
        <v>0</v>
      </c>
      <c r="U196" s="198">
        <f>Qty!Y40*'Prop. prices'!U196*U$7</f>
        <v>0</v>
      </c>
      <c r="V196" s="198">
        <f>Qty!Z40*'Prop. prices'!V196*V$7</f>
        <v>0</v>
      </c>
      <c r="W196" s="198">
        <f>Qty!AA40*'Prop. prices'!W196*W$7</f>
        <v>0</v>
      </c>
      <c r="X196" s="198">
        <f>Qty!AB40*'Prop. prices'!X196*X$7</f>
        <v>0</v>
      </c>
      <c r="Y196" s="198">
        <f>Qty!AC40*'Prop. prices'!Y196*Y$7</f>
        <v>0</v>
      </c>
      <c r="Z196" s="198">
        <f>Qty!AD40*'Prop. prices'!Z196*Z$7</f>
        <v>0</v>
      </c>
      <c r="AA196" s="198">
        <f>Qty!AE40*'Prop. prices'!AA196*AA$7</f>
        <v>0</v>
      </c>
      <c r="AB196" s="198">
        <f>Qty!AF40*'Prop. prices'!AB196*AB$7</f>
        <v>0</v>
      </c>
      <c r="AC196" s="206">
        <f t="shared" ref="AC196:AC227" si="22">SUM(I196:AB196)</f>
        <v>0</v>
      </c>
      <c r="AD196" s="19"/>
      <c r="AE196" s="19"/>
      <c r="AF196" s="19"/>
      <c r="AG196" s="19"/>
    </row>
    <row r="197" spans="1:33" hidden="1" outlineLevel="2" x14ac:dyDescent="0.2">
      <c r="A197" s="19"/>
      <c r="B197" s="19"/>
      <c r="C197" s="506">
        <f t="shared" si="21"/>
        <v>0</v>
      </c>
      <c r="D197" s="505">
        <f t="shared" si="21"/>
        <v>0</v>
      </c>
      <c r="E197" s="505">
        <f t="shared" si="21"/>
        <v>0</v>
      </c>
      <c r="F197" s="505">
        <f t="shared" si="21"/>
        <v>0</v>
      </c>
      <c r="G197" s="505">
        <f t="shared" si="21"/>
        <v>0</v>
      </c>
      <c r="H197" s="58"/>
      <c r="I197" s="198">
        <f>Qty!M41*'Prop. prices'!I197*I$7</f>
        <v>0</v>
      </c>
      <c r="J197" s="198">
        <f>Qty!N41*'Prop. prices'!J197*J$7</f>
        <v>0</v>
      </c>
      <c r="K197" s="198">
        <f>Qty!O41*'Prop. prices'!K197*K$7</f>
        <v>0</v>
      </c>
      <c r="L197" s="198">
        <f>Qty!P41*'Prop. prices'!L197*L$7</f>
        <v>0</v>
      </c>
      <c r="M197" s="198">
        <f>Qty!Q41*'Prop. prices'!M197*M$7</f>
        <v>0</v>
      </c>
      <c r="N197" s="198">
        <f>Qty!R41*'Prop. prices'!N197*N$7</f>
        <v>0</v>
      </c>
      <c r="O197" s="198">
        <f>Qty!S41*'Prop. prices'!O197*O$7</f>
        <v>0</v>
      </c>
      <c r="P197" s="198">
        <f>Qty!T41*'Prop. prices'!P197*P$7</f>
        <v>0</v>
      </c>
      <c r="Q197" s="198">
        <f>Qty!U41*'Prop. prices'!Q197*Q$7</f>
        <v>0</v>
      </c>
      <c r="R197" s="198">
        <f>Qty!V41*'Prop. prices'!R197*R$7</f>
        <v>0</v>
      </c>
      <c r="S197" s="198">
        <f>Qty!W41*'Prop. prices'!S197*S$7</f>
        <v>0</v>
      </c>
      <c r="T197" s="198">
        <f>Qty!X41*'Prop. prices'!T197*T$7</f>
        <v>0</v>
      </c>
      <c r="U197" s="198">
        <f>Qty!Y41*'Prop. prices'!U197*U$7</f>
        <v>0</v>
      </c>
      <c r="V197" s="198">
        <f>Qty!Z41*'Prop. prices'!V197*V$7</f>
        <v>0</v>
      </c>
      <c r="W197" s="198">
        <f>Qty!AA41*'Prop. prices'!W197*W$7</f>
        <v>0</v>
      </c>
      <c r="X197" s="198">
        <f>Qty!AB41*'Prop. prices'!X197*X$7</f>
        <v>0</v>
      </c>
      <c r="Y197" s="198">
        <f>Qty!AC41*'Prop. prices'!Y197*Y$7</f>
        <v>0</v>
      </c>
      <c r="Z197" s="198">
        <f>Qty!AD41*'Prop. prices'!Z197*Z$7</f>
        <v>0</v>
      </c>
      <c r="AA197" s="198">
        <f>Qty!AE41*'Prop. prices'!AA197*AA$7</f>
        <v>0</v>
      </c>
      <c r="AB197" s="198">
        <f>Qty!AF41*'Prop. prices'!AB197*AB$7</f>
        <v>0</v>
      </c>
      <c r="AC197" s="206">
        <f t="shared" si="22"/>
        <v>0</v>
      </c>
      <c r="AD197" s="19"/>
      <c r="AE197" s="19"/>
      <c r="AF197" s="19"/>
      <c r="AG197" s="19"/>
    </row>
    <row r="198" spans="1:33" hidden="1" outlineLevel="2" x14ac:dyDescent="0.2">
      <c r="A198" s="19"/>
      <c r="B198" s="19"/>
      <c r="C198" s="506">
        <f t="shared" si="21"/>
        <v>0</v>
      </c>
      <c r="D198" s="505">
        <f t="shared" si="21"/>
        <v>0</v>
      </c>
      <c r="E198" s="505">
        <f t="shared" si="21"/>
        <v>0</v>
      </c>
      <c r="F198" s="505">
        <f t="shared" si="21"/>
        <v>0</v>
      </c>
      <c r="G198" s="505">
        <f t="shared" si="21"/>
        <v>0</v>
      </c>
      <c r="H198" s="58"/>
      <c r="I198" s="198">
        <f>Qty!M42*'Prop. prices'!I198*I$7</f>
        <v>0</v>
      </c>
      <c r="J198" s="198">
        <f>Qty!N42*'Prop. prices'!J198*J$7</f>
        <v>0</v>
      </c>
      <c r="K198" s="198">
        <f>Qty!O42*'Prop. prices'!K198*K$7</f>
        <v>0</v>
      </c>
      <c r="L198" s="198">
        <f>Qty!P42*'Prop. prices'!L198*L$7</f>
        <v>0</v>
      </c>
      <c r="M198" s="198">
        <f>Qty!Q42*'Prop. prices'!M198*M$7</f>
        <v>0</v>
      </c>
      <c r="N198" s="198">
        <f>Qty!R42*'Prop. prices'!N198*N$7</f>
        <v>0</v>
      </c>
      <c r="O198" s="198">
        <f>Qty!S42*'Prop. prices'!O198*O$7</f>
        <v>0</v>
      </c>
      <c r="P198" s="198">
        <f>Qty!T42*'Prop. prices'!P198*P$7</f>
        <v>0</v>
      </c>
      <c r="Q198" s="198">
        <f>Qty!U42*'Prop. prices'!Q198*Q$7</f>
        <v>0</v>
      </c>
      <c r="R198" s="198">
        <f>Qty!V42*'Prop. prices'!R198*R$7</f>
        <v>0</v>
      </c>
      <c r="S198" s="198">
        <f>Qty!W42*'Prop. prices'!S198*S$7</f>
        <v>0</v>
      </c>
      <c r="T198" s="198">
        <f>Qty!X42*'Prop. prices'!T198*T$7</f>
        <v>0</v>
      </c>
      <c r="U198" s="198">
        <f>Qty!Y42*'Prop. prices'!U198*U$7</f>
        <v>0</v>
      </c>
      <c r="V198" s="198">
        <f>Qty!Z42*'Prop. prices'!V198*V$7</f>
        <v>0</v>
      </c>
      <c r="W198" s="198">
        <f>Qty!AA42*'Prop. prices'!W198*W$7</f>
        <v>0</v>
      </c>
      <c r="X198" s="198">
        <f>Qty!AB42*'Prop. prices'!X198*X$7</f>
        <v>0</v>
      </c>
      <c r="Y198" s="198">
        <f>Qty!AC42*'Prop. prices'!Y198*Y$7</f>
        <v>0</v>
      </c>
      <c r="Z198" s="198">
        <f>Qty!AD42*'Prop. prices'!Z198*Z$7</f>
        <v>0</v>
      </c>
      <c r="AA198" s="198">
        <f>Qty!AE42*'Prop. prices'!AA198*AA$7</f>
        <v>0</v>
      </c>
      <c r="AB198" s="198">
        <f>Qty!AF42*'Prop. prices'!AB198*AB$7</f>
        <v>0</v>
      </c>
      <c r="AC198" s="206">
        <f t="shared" si="22"/>
        <v>0</v>
      </c>
      <c r="AD198" s="19"/>
      <c r="AE198" s="19"/>
      <c r="AF198" s="19"/>
      <c r="AG198" s="19"/>
    </row>
    <row r="199" spans="1:33" hidden="1" outlineLevel="2" x14ac:dyDescent="0.2">
      <c r="A199" s="19"/>
      <c r="B199" s="19"/>
      <c r="C199" s="506">
        <f t="shared" si="21"/>
        <v>0</v>
      </c>
      <c r="D199" s="505">
        <f t="shared" si="21"/>
        <v>0</v>
      </c>
      <c r="E199" s="505">
        <f t="shared" si="21"/>
        <v>0</v>
      </c>
      <c r="F199" s="505">
        <f t="shared" si="21"/>
        <v>0</v>
      </c>
      <c r="G199" s="505">
        <f t="shared" si="21"/>
        <v>0</v>
      </c>
      <c r="H199" s="58"/>
      <c r="I199" s="198">
        <f>Qty!M43*'Prop. prices'!I199*I$7</f>
        <v>0</v>
      </c>
      <c r="J199" s="198">
        <f>Qty!N43*'Prop. prices'!J199*J$7</f>
        <v>0</v>
      </c>
      <c r="K199" s="198">
        <f>Qty!O43*'Prop. prices'!K199*K$7</f>
        <v>0</v>
      </c>
      <c r="L199" s="198">
        <f>Qty!P43*'Prop. prices'!L199*L$7</f>
        <v>0</v>
      </c>
      <c r="M199" s="198">
        <f>Qty!Q43*'Prop. prices'!M199*M$7</f>
        <v>0</v>
      </c>
      <c r="N199" s="198">
        <f>Qty!R43*'Prop. prices'!N199*N$7</f>
        <v>0</v>
      </c>
      <c r="O199" s="198">
        <f>Qty!S43*'Prop. prices'!O199*O$7</f>
        <v>0</v>
      </c>
      <c r="P199" s="198">
        <f>Qty!T43*'Prop. prices'!P199*P$7</f>
        <v>0</v>
      </c>
      <c r="Q199" s="198">
        <f>Qty!U43*'Prop. prices'!Q199*Q$7</f>
        <v>0</v>
      </c>
      <c r="R199" s="198">
        <f>Qty!V43*'Prop. prices'!R199*R$7</f>
        <v>0</v>
      </c>
      <c r="S199" s="198">
        <f>Qty!W43*'Prop. prices'!S199*S$7</f>
        <v>0</v>
      </c>
      <c r="T199" s="198">
        <f>Qty!X43*'Prop. prices'!T199*T$7</f>
        <v>0</v>
      </c>
      <c r="U199" s="198">
        <f>Qty!Y43*'Prop. prices'!U199*U$7</f>
        <v>0</v>
      </c>
      <c r="V199" s="198">
        <f>Qty!Z43*'Prop. prices'!V199*V$7</f>
        <v>0</v>
      </c>
      <c r="W199" s="198">
        <f>Qty!AA43*'Prop. prices'!W199*W$7</f>
        <v>0</v>
      </c>
      <c r="X199" s="198">
        <f>Qty!AB43*'Prop. prices'!X199*X$7</f>
        <v>0</v>
      </c>
      <c r="Y199" s="198">
        <f>Qty!AC43*'Prop. prices'!Y199*Y$7</f>
        <v>0</v>
      </c>
      <c r="Z199" s="198">
        <f>Qty!AD43*'Prop. prices'!Z199*Z$7</f>
        <v>0</v>
      </c>
      <c r="AA199" s="198">
        <f>Qty!AE43*'Prop. prices'!AA199*AA$7</f>
        <v>0</v>
      </c>
      <c r="AB199" s="198">
        <f>Qty!AF43*'Prop. prices'!AB199*AB$7</f>
        <v>0</v>
      </c>
      <c r="AC199" s="206">
        <f t="shared" si="22"/>
        <v>0</v>
      </c>
      <c r="AD199" s="19"/>
      <c r="AE199" s="19"/>
      <c r="AF199" s="19"/>
      <c r="AG199" s="19"/>
    </row>
    <row r="200" spans="1:33" hidden="1" outlineLevel="2" x14ac:dyDescent="0.2">
      <c r="A200" s="19"/>
      <c r="B200" s="19"/>
      <c r="C200" s="506">
        <f t="shared" si="21"/>
        <v>0</v>
      </c>
      <c r="D200" s="505">
        <f t="shared" si="21"/>
        <v>0</v>
      </c>
      <c r="E200" s="505">
        <f t="shared" si="21"/>
        <v>0</v>
      </c>
      <c r="F200" s="505">
        <f t="shared" si="21"/>
        <v>0</v>
      </c>
      <c r="G200" s="505">
        <f t="shared" si="21"/>
        <v>0</v>
      </c>
      <c r="H200" s="58"/>
      <c r="I200" s="198">
        <f>Qty!M44*'Prop. prices'!I200*I$7</f>
        <v>0</v>
      </c>
      <c r="J200" s="198">
        <f>Qty!N44*'Prop. prices'!J200*J$7</f>
        <v>0</v>
      </c>
      <c r="K200" s="198">
        <f>Qty!O44*'Prop. prices'!K200*K$7</f>
        <v>0</v>
      </c>
      <c r="L200" s="198">
        <f>Qty!P44*'Prop. prices'!L200*L$7</f>
        <v>0</v>
      </c>
      <c r="M200" s="198">
        <f>Qty!Q44*'Prop. prices'!M200*M$7</f>
        <v>0</v>
      </c>
      <c r="N200" s="198">
        <f>Qty!R44*'Prop. prices'!N200*N$7</f>
        <v>0</v>
      </c>
      <c r="O200" s="198">
        <f>Qty!S44*'Prop. prices'!O200*O$7</f>
        <v>0</v>
      </c>
      <c r="P200" s="198">
        <f>Qty!T44*'Prop. prices'!P200*P$7</f>
        <v>0</v>
      </c>
      <c r="Q200" s="198">
        <f>Qty!U44*'Prop. prices'!Q200*Q$7</f>
        <v>0</v>
      </c>
      <c r="R200" s="198">
        <f>Qty!V44*'Prop. prices'!R200*R$7</f>
        <v>0</v>
      </c>
      <c r="S200" s="198">
        <f>Qty!W44*'Prop. prices'!S200*S$7</f>
        <v>0</v>
      </c>
      <c r="T200" s="198">
        <f>Qty!X44*'Prop. prices'!T200*T$7</f>
        <v>0</v>
      </c>
      <c r="U200" s="198">
        <f>Qty!Y44*'Prop. prices'!U200*U$7</f>
        <v>0</v>
      </c>
      <c r="V200" s="198">
        <f>Qty!Z44*'Prop. prices'!V200*V$7</f>
        <v>0</v>
      </c>
      <c r="W200" s="198">
        <f>Qty!AA44*'Prop. prices'!W200*W$7</f>
        <v>0</v>
      </c>
      <c r="X200" s="198">
        <f>Qty!AB44*'Prop. prices'!X200*X$7</f>
        <v>0</v>
      </c>
      <c r="Y200" s="198">
        <f>Qty!AC44*'Prop. prices'!Y200*Y$7</f>
        <v>0</v>
      </c>
      <c r="Z200" s="198">
        <f>Qty!AD44*'Prop. prices'!Z200*Z$7</f>
        <v>0</v>
      </c>
      <c r="AA200" s="198">
        <f>Qty!AE44*'Prop. prices'!AA200*AA$7</f>
        <v>0</v>
      </c>
      <c r="AB200" s="198">
        <f>Qty!AF44*'Prop. prices'!AB200*AB$7</f>
        <v>0</v>
      </c>
      <c r="AC200" s="206">
        <f t="shared" si="22"/>
        <v>0</v>
      </c>
      <c r="AD200" s="19"/>
      <c r="AE200" s="19"/>
      <c r="AF200" s="19"/>
      <c r="AG200" s="19"/>
    </row>
    <row r="201" spans="1:33" hidden="1" outlineLevel="2" x14ac:dyDescent="0.2">
      <c r="A201" s="19"/>
      <c r="B201" s="19"/>
      <c r="C201" s="506">
        <f t="shared" si="21"/>
        <v>0</v>
      </c>
      <c r="D201" s="505">
        <f t="shared" si="21"/>
        <v>0</v>
      </c>
      <c r="E201" s="505">
        <f t="shared" si="21"/>
        <v>0</v>
      </c>
      <c r="F201" s="505">
        <f t="shared" si="21"/>
        <v>0</v>
      </c>
      <c r="G201" s="505">
        <f t="shared" si="21"/>
        <v>0</v>
      </c>
      <c r="H201" s="58"/>
      <c r="I201" s="198">
        <f>Qty!M45*'Prop. prices'!I201*I$7</f>
        <v>0</v>
      </c>
      <c r="J201" s="198">
        <f>Qty!N45*'Prop. prices'!J201*J$7</f>
        <v>0</v>
      </c>
      <c r="K201" s="198">
        <f>Qty!O45*'Prop. prices'!K201*K$7</f>
        <v>0</v>
      </c>
      <c r="L201" s="198">
        <f>Qty!P45*'Prop. prices'!L201*L$7</f>
        <v>0</v>
      </c>
      <c r="M201" s="198">
        <f>Qty!Q45*'Prop. prices'!M201*M$7</f>
        <v>0</v>
      </c>
      <c r="N201" s="198">
        <f>Qty!R45*'Prop. prices'!N201*N$7</f>
        <v>0</v>
      </c>
      <c r="O201" s="198">
        <f>Qty!S45*'Prop. prices'!O201*O$7</f>
        <v>0</v>
      </c>
      <c r="P201" s="198">
        <f>Qty!T45*'Prop. prices'!P201*P$7</f>
        <v>0</v>
      </c>
      <c r="Q201" s="198">
        <f>Qty!U45*'Prop. prices'!Q201*Q$7</f>
        <v>0</v>
      </c>
      <c r="R201" s="198">
        <f>Qty!V45*'Prop. prices'!R201*R$7</f>
        <v>0</v>
      </c>
      <c r="S201" s="198">
        <f>Qty!W45*'Prop. prices'!S201*S$7</f>
        <v>0</v>
      </c>
      <c r="T201" s="198">
        <f>Qty!X45*'Prop. prices'!T201*T$7</f>
        <v>0</v>
      </c>
      <c r="U201" s="198">
        <f>Qty!Y45*'Prop. prices'!U201*U$7</f>
        <v>0</v>
      </c>
      <c r="V201" s="198">
        <f>Qty!Z45*'Prop. prices'!V201*V$7</f>
        <v>0</v>
      </c>
      <c r="W201" s="198">
        <f>Qty!AA45*'Prop. prices'!W201*W$7</f>
        <v>0</v>
      </c>
      <c r="X201" s="198">
        <f>Qty!AB45*'Prop. prices'!X201*X$7</f>
        <v>0</v>
      </c>
      <c r="Y201" s="198">
        <f>Qty!AC45*'Prop. prices'!Y201*Y$7</f>
        <v>0</v>
      </c>
      <c r="Z201" s="198">
        <f>Qty!AD45*'Prop. prices'!Z201*Z$7</f>
        <v>0</v>
      </c>
      <c r="AA201" s="198">
        <f>Qty!AE45*'Prop. prices'!AA201*AA$7</f>
        <v>0</v>
      </c>
      <c r="AB201" s="198">
        <f>Qty!AF45*'Prop. prices'!AB201*AB$7</f>
        <v>0</v>
      </c>
      <c r="AC201" s="206">
        <f t="shared" si="22"/>
        <v>0</v>
      </c>
      <c r="AD201" s="19"/>
      <c r="AE201" s="19"/>
      <c r="AF201" s="19"/>
      <c r="AG201" s="19"/>
    </row>
    <row r="202" spans="1:33" hidden="1" outlineLevel="2" x14ac:dyDescent="0.2">
      <c r="A202" s="19"/>
      <c r="B202" s="19"/>
      <c r="C202" s="506">
        <f t="shared" si="21"/>
        <v>0</v>
      </c>
      <c r="D202" s="505">
        <f t="shared" si="21"/>
        <v>0</v>
      </c>
      <c r="E202" s="505">
        <f t="shared" si="21"/>
        <v>0</v>
      </c>
      <c r="F202" s="505">
        <f t="shared" si="21"/>
        <v>0</v>
      </c>
      <c r="G202" s="505">
        <f t="shared" si="21"/>
        <v>0</v>
      </c>
      <c r="H202" s="58"/>
      <c r="I202" s="198">
        <f>Qty!M46*'Prop. prices'!I202*I$7</f>
        <v>0</v>
      </c>
      <c r="J202" s="198">
        <f>Qty!N46*'Prop. prices'!J202*J$7</f>
        <v>0</v>
      </c>
      <c r="K202" s="198">
        <f>Qty!O46*'Prop. prices'!K202*K$7</f>
        <v>0</v>
      </c>
      <c r="L202" s="198">
        <f>Qty!P46*'Prop. prices'!L202*L$7</f>
        <v>0</v>
      </c>
      <c r="M202" s="198">
        <f>Qty!Q46*'Prop. prices'!M202*M$7</f>
        <v>0</v>
      </c>
      <c r="N202" s="198">
        <f>Qty!R46*'Prop. prices'!N202*N$7</f>
        <v>0</v>
      </c>
      <c r="O202" s="198">
        <f>Qty!S46*'Prop. prices'!O202*O$7</f>
        <v>0</v>
      </c>
      <c r="P202" s="198">
        <f>Qty!T46*'Prop. prices'!P202*P$7</f>
        <v>0</v>
      </c>
      <c r="Q202" s="198">
        <f>Qty!U46*'Prop. prices'!Q202*Q$7</f>
        <v>0</v>
      </c>
      <c r="R202" s="198">
        <f>Qty!V46*'Prop. prices'!R202*R$7</f>
        <v>0</v>
      </c>
      <c r="S202" s="198">
        <f>Qty!W46*'Prop. prices'!S202*S$7</f>
        <v>0</v>
      </c>
      <c r="T202" s="198">
        <f>Qty!X46*'Prop. prices'!T202*T$7</f>
        <v>0</v>
      </c>
      <c r="U202" s="198">
        <f>Qty!Y46*'Prop. prices'!U202*U$7</f>
        <v>0</v>
      </c>
      <c r="V202" s="198">
        <f>Qty!Z46*'Prop. prices'!V202*V$7</f>
        <v>0</v>
      </c>
      <c r="W202" s="198">
        <f>Qty!AA46*'Prop. prices'!W202*W$7</f>
        <v>0</v>
      </c>
      <c r="X202" s="198">
        <f>Qty!AB46*'Prop. prices'!X202*X$7</f>
        <v>0</v>
      </c>
      <c r="Y202" s="198">
        <f>Qty!AC46*'Prop. prices'!Y202*Y$7</f>
        <v>0</v>
      </c>
      <c r="Z202" s="198">
        <f>Qty!AD46*'Prop. prices'!Z202*Z$7</f>
        <v>0</v>
      </c>
      <c r="AA202" s="198">
        <f>Qty!AE46*'Prop. prices'!AA202*AA$7</f>
        <v>0</v>
      </c>
      <c r="AB202" s="198">
        <f>Qty!AF46*'Prop. prices'!AB202*AB$7</f>
        <v>0</v>
      </c>
      <c r="AC202" s="206">
        <f t="shared" si="22"/>
        <v>0</v>
      </c>
      <c r="AD202" s="19"/>
      <c r="AE202" s="19"/>
      <c r="AF202" s="19"/>
      <c r="AG202" s="19"/>
    </row>
    <row r="203" spans="1:33" hidden="1" outlineLevel="2" x14ac:dyDescent="0.2">
      <c r="A203" s="19"/>
      <c r="B203" s="19"/>
      <c r="C203" s="506">
        <f t="shared" si="21"/>
        <v>0</v>
      </c>
      <c r="D203" s="505">
        <f t="shared" si="21"/>
        <v>0</v>
      </c>
      <c r="E203" s="505">
        <f t="shared" si="21"/>
        <v>0</v>
      </c>
      <c r="F203" s="505">
        <f t="shared" si="21"/>
        <v>0</v>
      </c>
      <c r="G203" s="505">
        <f t="shared" si="21"/>
        <v>0</v>
      </c>
      <c r="H203" s="58"/>
      <c r="I203" s="198">
        <f>Qty!M47*'Prop. prices'!I203*I$7</f>
        <v>0</v>
      </c>
      <c r="J203" s="198">
        <f>Qty!N47*'Prop. prices'!J203*J$7</f>
        <v>0</v>
      </c>
      <c r="K203" s="198">
        <f>Qty!O47*'Prop. prices'!K203*K$7</f>
        <v>0</v>
      </c>
      <c r="L203" s="198">
        <f>Qty!P47*'Prop. prices'!L203*L$7</f>
        <v>0</v>
      </c>
      <c r="M203" s="198">
        <f>Qty!Q47*'Prop. prices'!M203*M$7</f>
        <v>0</v>
      </c>
      <c r="N203" s="198">
        <f>Qty!R47*'Prop. prices'!N203*N$7</f>
        <v>0</v>
      </c>
      <c r="O203" s="198">
        <f>Qty!S47*'Prop. prices'!O203*O$7</f>
        <v>0</v>
      </c>
      <c r="P203" s="198">
        <f>Qty!T47*'Prop. prices'!P203*P$7</f>
        <v>0</v>
      </c>
      <c r="Q203" s="198">
        <f>Qty!U47*'Prop. prices'!Q203*Q$7</f>
        <v>0</v>
      </c>
      <c r="R203" s="198">
        <f>Qty!V47*'Prop. prices'!R203*R$7</f>
        <v>0</v>
      </c>
      <c r="S203" s="198">
        <f>Qty!W47*'Prop. prices'!S203*S$7</f>
        <v>0</v>
      </c>
      <c r="T203" s="198">
        <f>Qty!X47*'Prop. prices'!T203*T$7</f>
        <v>0</v>
      </c>
      <c r="U203" s="198">
        <f>Qty!Y47*'Prop. prices'!U203*U$7</f>
        <v>0</v>
      </c>
      <c r="V203" s="198">
        <f>Qty!Z47*'Prop. prices'!V203*V$7</f>
        <v>0</v>
      </c>
      <c r="W203" s="198">
        <f>Qty!AA47*'Prop. prices'!W203*W$7</f>
        <v>0</v>
      </c>
      <c r="X203" s="198">
        <f>Qty!AB47*'Prop. prices'!X203*X$7</f>
        <v>0</v>
      </c>
      <c r="Y203" s="198">
        <f>Qty!AC47*'Prop. prices'!Y203*Y$7</f>
        <v>0</v>
      </c>
      <c r="Z203" s="198">
        <f>Qty!AD47*'Prop. prices'!Z203*Z$7</f>
        <v>0</v>
      </c>
      <c r="AA203" s="198">
        <f>Qty!AE47*'Prop. prices'!AA203*AA$7</f>
        <v>0</v>
      </c>
      <c r="AB203" s="198">
        <f>Qty!AF47*'Prop. prices'!AB203*AB$7</f>
        <v>0</v>
      </c>
      <c r="AC203" s="206">
        <f t="shared" si="22"/>
        <v>0</v>
      </c>
      <c r="AD203" s="19"/>
      <c r="AE203" s="19"/>
      <c r="AF203" s="19"/>
      <c r="AG203" s="19"/>
    </row>
    <row r="204" spans="1:33" hidden="1" outlineLevel="2" x14ac:dyDescent="0.2">
      <c r="A204" s="19"/>
      <c r="B204" s="19"/>
      <c r="C204" s="506">
        <f t="shared" ref="C204:G213" si="23">C48</f>
        <v>0</v>
      </c>
      <c r="D204" s="505">
        <f t="shared" si="23"/>
        <v>0</v>
      </c>
      <c r="E204" s="505">
        <f t="shared" si="23"/>
        <v>0</v>
      </c>
      <c r="F204" s="505">
        <f t="shared" si="23"/>
        <v>0</v>
      </c>
      <c r="G204" s="505">
        <f t="shared" si="23"/>
        <v>0</v>
      </c>
      <c r="H204" s="58"/>
      <c r="I204" s="198">
        <f>Qty!M48*'Prop. prices'!I204*I$7</f>
        <v>0</v>
      </c>
      <c r="J204" s="198">
        <f>Qty!N48*'Prop. prices'!J204*J$7</f>
        <v>0</v>
      </c>
      <c r="K204" s="198">
        <f>Qty!O48*'Prop. prices'!K204*K$7</f>
        <v>0</v>
      </c>
      <c r="L204" s="198">
        <f>Qty!P48*'Prop. prices'!L204*L$7</f>
        <v>0</v>
      </c>
      <c r="M204" s="198">
        <f>Qty!Q48*'Prop. prices'!M204*M$7</f>
        <v>0</v>
      </c>
      <c r="N204" s="198">
        <f>Qty!R48*'Prop. prices'!N204*N$7</f>
        <v>0</v>
      </c>
      <c r="O204" s="198">
        <f>Qty!S48*'Prop. prices'!O204*O$7</f>
        <v>0</v>
      </c>
      <c r="P204" s="198">
        <f>Qty!T48*'Prop. prices'!P204*P$7</f>
        <v>0</v>
      </c>
      <c r="Q204" s="198">
        <f>Qty!U48*'Prop. prices'!Q204*Q$7</f>
        <v>0</v>
      </c>
      <c r="R204" s="198">
        <f>Qty!V48*'Prop. prices'!R204*R$7</f>
        <v>0</v>
      </c>
      <c r="S204" s="198">
        <f>Qty!W48*'Prop. prices'!S204*S$7</f>
        <v>0</v>
      </c>
      <c r="T204" s="198">
        <f>Qty!X48*'Prop. prices'!T204*T$7</f>
        <v>0</v>
      </c>
      <c r="U204" s="198">
        <f>Qty!Y48*'Prop. prices'!U204*U$7</f>
        <v>0</v>
      </c>
      <c r="V204" s="198">
        <f>Qty!Z48*'Prop. prices'!V204*V$7</f>
        <v>0</v>
      </c>
      <c r="W204" s="198">
        <f>Qty!AA48*'Prop. prices'!W204*W$7</f>
        <v>0</v>
      </c>
      <c r="X204" s="198">
        <f>Qty!AB48*'Prop. prices'!X204*X$7</f>
        <v>0</v>
      </c>
      <c r="Y204" s="198">
        <f>Qty!AC48*'Prop. prices'!Y204*Y$7</f>
        <v>0</v>
      </c>
      <c r="Z204" s="198">
        <f>Qty!AD48*'Prop. prices'!Z204*Z$7</f>
        <v>0</v>
      </c>
      <c r="AA204" s="198">
        <f>Qty!AE48*'Prop. prices'!AA204*AA$7</f>
        <v>0</v>
      </c>
      <c r="AB204" s="198">
        <f>Qty!AF48*'Prop. prices'!AB204*AB$7</f>
        <v>0</v>
      </c>
      <c r="AC204" s="206">
        <f t="shared" si="22"/>
        <v>0</v>
      </c>
      <c r="AD204" s="19"/>
      <c r="AE204" s="19"/>
      <c r="AF204" s="19"/>
      <c r="AG204" s="19"/>
    </row>
    <row r="205" spans="1:33" hidden="1" outlineLevel="2" x14ac:dyDescent="0.2">
      <c r="A205" s="19"/>
      <c r="B205" s="19"/>
      <c r="C205" s="506">
        <f t="shared" si="23"/>
        <v>0</v>
      </c>
      <c r="D205" s="505">
        <f t="shared" si="23"/>
        <v>0</v>
      </c>
      <c r="E205" s="505">
        <f t="shared" si="23"/>
        <v>0</v>
      </c>
      <c r="F205" s="505">
        <f t="shared" si="23"/>
        <v>0</v>
      </c>
      <c r="G205" s="505">
        <f t="shared" si="23"/>
        <v>0</v>
      </c>
      <c r="H205" s="58"/>
      <c r="I205" s="198">
        <f>Qty!M49*'Prop. prices'!I205*I$7</f>
        <v>0</v>
      </c>
      <c r="J205" s="198">
        <f>Qty!N49*'Prop. prices'!J205*J$7</f>
        <v>0</v>
      </c>
      <c r="K205" s="198">
        <f>Qty!O49*'Prop. prices'!K205*K$7</f>
        <v>0</v>
      </c>
      <c r="L205" s="198">
        <f>Qty!P49*'Prop. prices'!L205*L$7</f>
        <v>0</v>
      </c>
      <c r="M205" s="198">
        <f>Qty!Q49*'Prop. prices'!M205*M$7</f>
        <v>0</v>
      </c>
      <c r="N205" s="198">
        <f>Qty!R49*'Prop. prices'!N205*N$7</f>
        <v>0</v>
      </c>
      <c r="O205" s="198">
        <f>Qty!S49*'Prop. prices'!O205*O$7</f>
        <v>0</v>
      </c>
      <c r="P205" s="198">
        <f>Qty!T49*'Prop. prices'!P205*P$7</f>
        <v>0</v>
      </c>
      <c r="Q205" s="198">
        <f>Qty!U49*'Prop. prices'!Q205*Q$7</f>
        <v>0</v>
      </c>
      <c r="R205" s="198">
        <f>Qty!V49*'Prop. prices'!R205*R$7</f>
        <v>0</v>
      </c>
      <c r="S205" s="198">
        <f>Qty!W49*'Prop. prices'!S205*S$7</f>
        <v>0</v>
      </c>
      <c r="T205" s="198">
        <f>Qty!X49*'Prop. prices'!T205*T$7</f>
        <v>0</v>
      </c>
      <c r="U205" s="198">
        <f>Qty!Y49*'Prop. prices'!U205*U$7</f>
        <v>0</v>
      </c>
      <c r="V205" s="198">
        <f>Qty!Z49*'Prop. prices'!V205*V$7</f>
        <v>0</v>
      </c>
      <c r="W205" s="198">
        <f>Qty!AA49*'Prop. prices'!W205*W$7</f>
        <v>0</v>
      </c>
      <c r="X205" s="198">
        <f>Qty!AB49*'Prop. prices'!X205*X$7</f>
        <v>0</v>
      </c>
      <c r="Y205" s="198">
        <f>Qty!AC49*'Prop. prices'!Y205*Y$7</f>
        <v>0</v>
      </c>
      <c r="Z205" s="198">
        <f>Qty!AD49*'Prop. prices'!Z205*Z$7</f>
        <v>0</v>
      </c>
      <c r="AA205" s="198">
        <f>Qty!AE49*'Prop. prices'!AA205*AA$7</f>
        <v>0</v>
      </c>
      <c r="AB205" s="198">
        <f>Qty!AF49*'Prop. prices'!AB205*AB$7</f>
        <v>0</v>
      </c>
      <c r="AC205" s="206">
        <f t="shared" si="22"/>
        <v>0</v>
      </c>
      <c r="AD205" s="19"/>
      <c r="AE205" s="19"/>
      <c r="AF205" s="19"/>
      <c r="AG205" s="19"/>
    </row>
    <row r="206" spans="1:33" hidden="1" outlineLevel="2" x14ac:dyDescent="0.2">
      <c r="A206" s="19"/>
      <c r="B206" s="19"/>
      <c r="C206" s="506">
        <f t="shared" si="23"/>
        <v>0</v>
      </c>
      <c r="D206" s="505">
        <f t="shared" si="23"/>
        <v>0</v>
      </c>
      <c r="E206" s="505">
        <f t="shared" si="23"/>
        <v>0</v>
      </c>
      <c r="F206" s="505">
        <f t="shared" si="23"/>
        <v>0</v>
      </c>
      <c r="G206" s="505">
        <f t="shared" si="23"/>
        <v>0</v>
      </c>
      <c r="H206" s="58"/>
      <c r="I206" s="198">
        <f>Qty!M50*'Prop. prices'!I206*I$7</f>
        <v>0</v>
      </c>
      <c r="J206" s="198">
        <f>Qty!N50*'Prop. prices'!J206*J$7</f>
        <v>0</v>
      </c>
      <c r="K206" s="198">
        <f>Qty!O50*'Prop. prices'!K206*K$7</f>
        <v>0</v>
      </c>
      <c r="L206" s="198">
        <f>Qty!P50*'Prop. prices'!L206*L$7</f>
        <v>0</v>
      </c>
      <c r="M206" s="198">
        <f>Qty!Q50*'Prop. prices'!M206*M$7</f>
        <v>0</v>
      </c>
      <c r="N206" s="198">
        <f>Qty!R50*'Prop. prices'!N206*N$7</f>
        <v>0</v>
      </c>
      <c r="O206" s="198">
        <f>Qty!S50*'Prop. prices'!O206*O$7</f>
        <v>0</v>
      </c>
      <c r="P206" s="198">
        <f>Qty!T50*'Prop. prices'!P206*P$7</f>
        <v>0</v>
      </c>
      <c r="Q206" s="198">
        <f>Qty!U50*'Prop. prices'!Q206*Q$7</f>
        <v>0</v>
      </c>
      <c r="R206" s="198">
        <f>Qty!V50*'Prop. prices'!R206*R$7</f>
        <v>0</v>
      </c>
      <c r="S206" s="198">
        <f>Qty!W50*'Prop. prices'!S206*S$7</f>
        <v>0</v>
      </c>
      <c r="T206" s="198">
        <f>Qty!X50*'Prop. prices'!T206*T$7</f>
        <v>0</v>
      </c>
      <c r="U206" s="198">
        <f>Qty!Y50*'Prop. prices'!U206*U$7</f>
        <v>0</v>
      </c>
      <c r="V206" s="198">
        <f>Qty!Z50*'Prop. prices'!V206*V$7</f>
        <v>0</v>
      </c>
      <c r="W206" s="198">
        <f>Qty!AA50*'Prop. prices'!W206*W$7</f>
        <v>0</v>
      </c>
      <c r="X206" s="198">
        <f>Qty!AB50*'Prop. prices'!X206*X$7</f>
        <v>0</v>
      </c>
      <c r="Y206" s="198">
        <f>Qty!AC50*'Prop. prices'!Y206*Y$7</f>
        <v>0</v>
      </c>
      <c r="Z206" s="198">
        <f>Qty!AD50*'Prop. prices'!Z206*Z$7</f>
        <v>0</v>
      </c>
      <c r="AA206" s="198">
        <f>Qty!AE50*'Prop. prices'!AA206*AA$7</f>
        <v>0</v>
      </c>
      <c r="AB206" s="198">
        <f>Qty!AF50*'Prop. prices'!AB206*AB$7</f>
        <v>0</v>
      </c>
      <c r="AC206" s="206">
        <f t="shared" si="22"/>
        <v>0</v>
      </c>
      <c r="AD206" s="19"/>
      <c r="AE206" s="19"/>
      <c r="AF206" s="19"/>
      <c r="AG206" s="19"/>
    </row>
    <row r="207" spans="1:33" hidden="1" outlineLevel="2" x14ac:dyDescent="0.2">
      <c r="A207" s="19"/>
      <c r="B207" s="19"/>
      <c r="C207" s="506">
        <f t="shared" si="23"/>
        <v>0</v>
      </c>
      <c r="D207" s="505">
        <f t="shared" si="23"/>
        <v>0</v>
      </c>
      <c r="E207" s="505">
        <f t="shared" si="23"/>
        <v>0</v>
      </c>
      <c r="F207" s="505">
        <f t="shared" si="23"/>
        <v>0</v>
      </c>
      <c r="G207" s="505">
        <f t="shared" si="23"/>
        <v>0</v>
      </c>
      <c r="H207" s="58"/>
      <c r="I207" s="198">
        <f>Qty!M51*'Prop. prices'!I207*I$7</f>
        <v>0</v>
      </c>
      <c r="J207" s="198">
        <f>Qty!N51*'Prop. prices'!J207*J$7</f>
        <v>0</v>
      </c>
      <c r="K207" s="198">
        <f>Qty!O51*'Prop. prices'!K207*K$7</f>
        <v>0</v>
      </c>
      <c r="L207" s="198">
        <f>Qty!P51*'Prop. prices'!L207*L$7</f>
        <v>0</v>
      </c>
      <c r="M207" s="198">
        <f>Qty!Q51*'Prop. prices'!M207*M$7</f>
        <v>0</v>
      </c>
      <c r="N207" s="198">
        <f>Qty!R51*'Prop. prices'!N207*N$7</f>
        <v>0</v>
      </c>
      <c r="O207" s="198">
        <f>Qty!S51*'Prop. prices'!O207*O$7</f>
        <v>0</v>
      </c>
      <c r="P207" s="198">
        <f>Qty!T51*'Prop. prices'!P207*P$7</f>
        <v>0</v>
      </c>
      <c r="Q207" s="198">
        <f>Qty!U51*'Prop. prices'!Q207*Q$7</f>
        <v>0</v>
      </c>
      <c r="R207" s="198">
        <f>Qty!V51*'Prop. prices'!R207*R$7</f>
        <v>0</v>
      </c>
      <c r="S207" s="198">
        <f>Qty!W51*'Prop. prices'!S207*S$7</f>
        <v>0</v>
      </c>
      <c r="T207" s="198">
        <f>Qty!X51*'Prop. prices'!T207*T$7</f>
        <v>0</v>
      </c>
      <c r="U207" s="198">
        <f>Qty!Y51*'Prop. prices'!U207*U$7</f>
        <v>0</v>
      </c>
      <c r="V207" s="198">
        <f>Qty!Z51*'Prop. prices'!V207*V$7</f>
        <v>0</v>
      </c>
      <c r="W207" s="198">
        <f>Qty!AA51*'Prop. prices'!W207*W$7</f>
        <v>0</v>
      </c>
      <c r="X207" s="198">
        <f>Qty!AB51*'Prop. prices'!X207*X$7</f>
        <v>0</v>
      </c>
      <c r="Y207" s="198">
        <f>Qty!AC51*'Prop. prices'!Y207*Y$7</f>
        <v>0</v>
      </c>
      <c r="Z207" s="198">
        <f>Qty!AD51*'Prop. prices'!Z207*Z$7</f>
        <v>0</v>
      </c>
      <c r="AA207" s="198">
        <f>Qty!AE51*'Prop. prices'!AA207*AA$7</f>
        <v>0</v>
      </c>
      <c r="AB207" s="198">
        <f>Qty!AF51*'Prop. prices'!AB207*AB$7</f>
        <v>0</v>
      </c>
      <c r="AC207" s="206">
        <f t="shared" si="22"/>
        <v>0</v>
      </c>
      <c r="AD207" s="19"/>
      <c r="AE207" s="19"/>
      <c r="AF207" s="19"/>
      <c r="AG207" s="19"/>
    </row>
    <row r="208" spans="1:33" hidden="1" outlineLevel="2" x14ac:dyDescent="0.2">
      <c r="A208" s="19"/>
      <c r="B208" s="19"/>
      <c r="C208" s="506">
        <f t="shared" si="23"/>
        <v>0</v>
      </c>
      <c r="D208" s="505">
        <f t="shared" si="23"/>
        <v>0</v>
      </c>
      <c r="E208" s="505">
        <f t="shared" si="23"/>
        <v>0</v>
      </c>
      <c r="F208" s="505">
        <f t="shared" si="23"/>
        <v>0</v>
      </c>
      <c r="G208" s="505">
        <f t="shared" si="23"/>
        <v>0</v>
      </c>
      <c r="H208" s="58"/>
      <c r="I208" s="198">
        <f>Qty!M52*'Prop. prices'!I208*I$7</f>
        <v>0</v>
      </c>
      <c r="J208" s="198">
        <f>Qty!N52*'Prop. prices'!J208*J$7</f>
        <v>0</v>
      </c>
      <c r="K208" s="198">
        <f>Qty!O52*'Prop. prices'!K208*K$7</f>
        <v>0</v>
      </c>
      <c r="L208" s="198">
        <f>Qty!P52*'Prop. prices'!L208*L$7</f>
        <v>0</v>
      </c>
      <c r="M208" s="198">
        <f>Qty!Q52*'Prop. prices'!M208*M$7</f>
        <v>0</v>
      </c>
      <c r="N208" s="198">
        <f>Qty!R52*'Prop. prices'!N208*N$7</f>
        <v>0</v>
      </c>
      <c r="O208" s="198">
        <f>Qty!S52*'Prop. prices'!O208*O$7</f>
        <v>0</v>
      </c>
      <c r="P208" s="198">
        <f>Qty!T52*'Prop. prices'!P208*P$7</f>
        <v>0</v>
      </c>
      <c r="Q208" s="198">
        <f>Qty!U52*'Prop. prices'!Q208*Q$7</f>
        <v>0</v>
      </c>
      <c r="R208" s="198">
        <f>Qty!V52*'Prop. prices'!R208*R$7</f>
        <v>0</v>
      </c>
      <c r="S208" s="198">
        <f>Qty!W52*'Prop. prices'!S208*S$7</f>
        <v>0</v>
      </c>
      <c r="T208" s="198">
        <f>Qty!X52*'Prop. prices'!T208*T$7</f>
        <v>0</v>
      </c>
      <c r="U208" s="198">
        <f>Qty!Y52*'Prop. prices'!U208*U$7</f>
        <v>0</v>
      </c>
      <c r="V208" s="198">
        <f>Qty!Z52*'Prop. prices'!V208*V$7</f>
        <v>0</v>
      </c>
      <c r="W208" s="198">
        <f>Qty!AA52*'Prop. prices'!W208*W$7</f>
        <v>0</v>
      </c>
      <c r="X208" s="198">
        <f>Qty!AB52*'Prop. prices'!X208*X$7</f>
        <v>0</v>
      </c>
      <c r="Y208" s="198">
        <f>Qty!AC52*'Prop. prices'!Y208*Y$7</f>
        <v>0</v>
      </c>
      <c r="Z208" s="198">
        <f>Qty!AD52*'Prop. prices'!Z208*Z$7</f>
        <v>0</v>
      </c>
      <c r="AA208" s="198">
        <f>Qty!AE52*'Prop. prices'!AA208*AA$7</f>
        <v>0</v>
      </c>
      <c r="AB208" s="198">
        <f>Qty!AF52*'Prop. prices'!AB208*AB$7</f>
        <v>0</v>
      </c>
      <c r="AC208" s="206">
        <f t="shared" si="22"/>
        <v>0</v>
      </c>
      <c r="AD208" s="19"/>
      <c r="AE208" s="19"/>
      <c r="AF208" s="19"/>
      <c r="AG208" s="19"/>
    </row>
    <row r="209" spans="1:33" hidden="1" outlineLevel="2" x14ac:dyDescent="0.2">
      <c r="A209" s="19"/>
      <c r="B209" s="19"/>
      <c r="C209" s="506">
        <f t="shared" si="23"/>
        <v>0</v>
      </c>
      <c r="D209" s="505">
        <f t="shared" si="23"/>
        <v>0</v>
      </c>
      <c r="E209" s="505">
        <f t="shared" si="23"/>
        <v>0</v>
      </c>
      <c r="F209" s="505">
        <f t="shared" si="23"/>
        <v>0</v>
      </c>
      <c r="G209" s="505">
        <f t="shared" si="23"/>
        <v>0</v>
      </c>
      <c r="H209" s="58"/>
      <c r="I209" s="198">
        <f>Qty!M53*'Prop. prices'!I209*I$7</f>
        <v>0</v>
      </c>
      <c r="J209" s="198">
        <f>Qty!N53*'Prop. prices'!J209*J$7</f>
        <v>0</v>
      </c>
      <c r="K209" s="198">
        <f>Qty!O53*'Prop. prices'!K209*K$7</f>
        <v>0</v>
      </c>
      <c r="L209" s="198">
        <f>Qty!P53*'Prop. prices'!L209*L$7</f>
        <v>0</v>
      </c>
      <c r="M209" s="198">
        <f>Qty!Q53*'Prop. prices'!M209*M$7</f>
        <v>0</v>
      </c>
      <c r="N209" s="198">
        <f>Qty!R53*'Prop. prices'!N209*N$7</f>
        <v>0</v>
      </c>
      <c r="O209" s="198">
        <f>Qty!S53*'Prop. prices'!O209*O$7</f>
        <v>0</v>
      </c>
      <c r="P209" s="198">
        <f>Qty!T53*'Prop. prices'!P209*P$7</f>
        <v>0</v>
      </c>
      <c r="Q209" s="198">
        <f>Qty!U53*'Prop. prices'!Q209*Q$7</f>
        <v>0</v>
      </c>
      <c r="R209" s="198">
        <f>Qty!V53*'Prop. prices'!R209*R$7</f>
        <v>0</v>
      </c>
      <c r="S209" s="198">
        <f>Qty!W53*'Prop. prices'!S209*S$7</f>
        <v>0</v>
      </c>
      <c r="T209" s="198">
        <f>Qty!X53*'Prop. prices'!T209*T$7</f>
        <v>0</v>
      </c>
      <c r="U209" s="198">
        <f>Qty!Y53*'Prop. prices'!U209*U$7</f>
        <v>0</v>
      </c>
      <c r="V209" s="198">
        <f>Qty!Z53*'Prop. prices'!V209*V$7</f>
        <v>0</v>
      </c>
      <c r="W209" s="198">
        <f>Qty!AA53*'Prop. prices'!W209*W$7</f>
        <v>0</v>
      </c>
      <c r="X209" s="198">
        <f>Qty!AB53*'Prop. prices'!X209*X$7</f>
        <v>0</v>
      </c>
      <c r="Y209" s="198">
        <f>Qty!AC53*'Prop. prices'!Y209*Y$7</f>
        <v>0</v>
      </c>
      <c r="Z209" s="198">
        <f>Qty!AD53*'Prop. prices'!Z209*Z$7</f>
        <v>0</v>
      </c>
      <c r="AA209" s="198">
        <f>Qty!AE53*'Prop. prices'!AA209*AA$7</f>
        <v>0</v>
      </c>
      <c r="AB209" s="198">
        <f>Qty!AF53*'Prop. prices'!AB209*AB$7</f>
        <v>0</v>
      </c>
      <c r="AC209" s="206">
        <f t="shared" si="22"/>
        <v>0</v>
      </c>
      <c r="AD209" s="19"/>
      <c r="AE209" s="19"/>
      <c r="AF209" s="19"/>
      <c r="AG209" s="19"/>
    </row>
    <row r="210" spans="1:33" hidden="1" outlineLevel="2" x14ac:dyDescent="0.2">
      <c r="A210" s="19"/>
      <c r="B210" s="19"/>
      <c r="C210" s="506">
        <f t="shared" si="23"/>
        <v>0</v>
      </c>
      <c r="D210" s="505">
        <f t="shared" si="23"/>
        <v>0</v>
      </c>
      <c r="E210" s="505">
        <f t="shared" si="23"/>
        <v>0</v>
      </c>
      <c r="F210" s="505">
        <f t="shared" si="23"/>
        <v>0</v>
      </c>
      <c r="G210" s="505">
        <f t="shared" si="23"/>
        <v>0</v>
      </c>
      <c r="H210" s="58"/>
      <c r="I210" s="198">
        <f>Qty!M54*'Prop. prices'!I210*I$7</f>
        <v>0</v>
      </c>
      <c r="J210" s="198">
        <f>Qty!N54*'Prop. prices'!J210*J$7</f>
        <v>0</v>
      </c>
      <c r="K210" s="198">
        <f>Qty!O54*'Prop. prices'!K210*K$7</f>
        <v>0</v>
      </c>
      <c r="L210" s="198">
        <f>Qty!P54*'Prop. prices'!L210*L$7</f>
        <v>0</v>
      </c>
      <c r="M210" s="198">
        <f>Qty!Q54*'Prop. prices'!M210*M$7</f>
        <v>0</v>
      </c>
      <c r="N210" s="198">
        <f>Qty!R54*'Prop. prices'!N210*N$7</f>
        <v>0</v>
      </c>
      <c r="O210" s="198">
        <f>Qty!S54*'Prop. prices'!O210*O$7</f>
        <v>0</v>
      </c>
      <c r="P210" s="198">
        <f>Qty!T54*'Prop. prices'!P210*P$7</f>
        <v>0</v>
      </c>
      <c r="Q210" s="198">
        <f>Qty!U54*'Prop. prices'!Q210*Q$7</f>
        <v>0</v>
      </c>
      <c r="R210" s="198">
        <f>Qty!V54*'Prop. prices'!R210*R$7</f>
        <v>0</v>
      </c>
      <c r="S210" s="198">
        <f>Qty!W54*'Prop. prices'!S210*S$7</f>
        <v>0</v>
      </c>
      <c r="T210" s="198">
        <f>Qty!X54*'Prop. prices'!T210*T$7</f>
        <v>0</v>
      </c>
      <c r="U210" s="198">
        <f>Qty!Y54*'Prop. prices'!U210*U$7</f>
        <v>0</v>
      </c>
      <c r="V210" s="198">
        <f>Qty!Z54*'Prop. prices'!V210*V$7</f>
        <v>0</v>
      </c>
      <c r="W210" s="198">
        <f>Qty!AA54*'Prop. prices'!W210*W$7</f>
        <v>0</v>
      </c>
      <c r="X210" s="198">
        <f>Qty!AB54*'Prop. prices'!X210*X$7</f>
        <v>0</v>
      </c>
      <c r="Y210" s="198">
        <f>Qty!AC54*'Prop. prices'!Y210*Y$7</f>
        <v>0</v>
      </c>
      <c r="Z210" s="198">
        <f>Qty!AD54*'Prop. prices'!Z210*Z$7</f>
        <v>0</v>
      </c>
      <c r="AA210" s="198">
        <f>Qty!AE54*'Prop. prices'!AA210*AA$7</f>
        <v>0</v>
      </c>
      <c r="AB210" s="198">
        <f>Qty!AF54*'Prop. prices'!AB210*AB$7</f>
        <v>0</v>
      </c>
      <c r="AC210" s="206">
        <f t="shared" si="22"/>
        <v>0</v>
      </c>
      <c r="AD210" s="19"/>
      <c r="AE210" s="19"/>
      <c r="AF210" s="19"/>
      <c r="AG210" s="19"/>
    </row>
    <row r="211" spans="1:33" hidden="1" outlineLevel="3" x14ac:dyDescent="0.2">
      <c r="A211" s="19"/>
      <c r="B211" s="19"/>
      <c r="C211" s="506">
        <f t="shared" si="23"/>
        <v>0</v>
      </c>
      <c r="D211" s="505">
        <f t="shared" si="23"/>
        <v>0</v>
      </c>
      <c r="E211" s="505">
        <f t="shared" si="23"/>
        <v>0</v>
      </c>
      <c r="F211" s="505">
        <f t="shared" si="23"/>
        <v>0</v>
      </c>
      <c r="G211" s="505">
        <f t="shared" si="23"/>
        <v>0</v>
      </c>
      <c r="H211" s="58"/>
      <c r="I211" s="198">
        <f>Qty!M55*'Prop. prices'!I211*I$7</f>
        <v>0</v>
      </c>
      <c r="J211" s="198">
        <f>Qty!N55*'Prop. prices'!J211*J$7</f>
        <v>0</v>
      </c>
      <c r="K211" s="198">
        <f>Qty!O55*'Prop. prices'!K211*K$7</f>
        <v>0</v>
      </c>
      <c r="L211" s="198">
        <f>Qty!P55*'Prop. prices'!L211*L$7</f>
        <v>0</v>
      </c>
      <c r="M211" s="198">
        <f>Qty!Q55*'Prop. prices'!M211*M$7</f>
        <v>0</v>
      </c>
      <c r="N211" s="198">
        <f>Qty!R55*'Prop. prices'!N211*N$7</f>
        <v>0</v>
      </c>
      <c r="O211" s="198">
        <f>Qty!S55*'Prop. prices'!O211*O$7</f>
        <v>0</v>
      </c>
      <c r="P211" s="198">
        <f>Qty!T55*'Prop. prices'!P211*P$7</f>
        <v>0</v>
      </c>
      <c r="Q211" s="198">
        <f>Qty!U55*'Prop. prices'!Q211*Q$7</f>
        <v>0</v>
      </c>
      <c r="R211" s="198">
        <f>Qty!V55*'Prop. prices'!R211*R$7</f>
        <v>0</v>
      </c>
      <c r="S211" s="198">
        <f>Qty!W55*'Prop. prices'!S211*S$7</f>
        <v>0</v>
      </c>
      <c r="T211" s="198">
        <f>Qty!X55*'Prop. prices'!T211*T$7</f>
        <v>0</v>
      </c>
      <c r="U211" s="198">
        <f>Qty!Y55*'Prop. prices'!U211*U$7</f>
        <v>0</v>
      </c>
      <c r="V211" s="198">
        <f>Qty!Z55*'Prop. prices'!V211*V$7</f>
        <v>0</v>
      </c>
      <c r="W211" s="198">
        <f>Qty!AA55*'Prop. prices'!W211*W$7</f>
        <v>0</v>
      </c>
      <c r="X211" s="198">
        <f>Qty!AB55*'Prop. prices'!X211*X$7</f>
        <v>0</v>
      </c>
      <c r="Y211" s="198">
        <f>Qty!AC55*'Prop. prices'!Y211*Y$7</f>
        <v>0</v>
      </c>
      <c r="Z211" s="198">
        <f>Qty!AD55*'Prop. prices'!Z211*Z$7</f>
        <v>0</v>
      </c>
      <c r="AA211" s="198">
        <f>Qty!AE55*'Prop. prices'!AA211*AA$7</f>
        <v>0</v>
      </c>
      <c r="AB211" s="198">
        <f>Qty!AF55*'Prop. prices'!AB211*AB$7</f>
        <v>0</v>
      </c>
      <c r="AC211" s="206">
        <f t="shared" si="22"/>
        <v>0</v>
      </c>
      <c r="AD211" s="19"/>
      <c r="AE211" s="19"/>
      <c r="AF211" s="19"/>
      <c r="AG211" s="19"/>
    </row>
    <row r="212" spans="1:33" hidden="1" outlineLevel="3" x14ac:dyDescent="0.2">
      <c r="A212" s="19"/>
      <c r="B212" s="19"/>
      <c r="C212" s="506">
        <f t="shared" si="23"/>
        <v>0</v>
      </c>
      <c r="D212" s="505">
        <f t="shared" si="23"/>
        <v>0</v>
      </c>
      <c r="E212" s="505">
        <f t="shared" si="23"/>
        <v>0</v>
      </c>
      <c r="F212" s="505">
        <f t="shared" si="23"/>
        <v>0</v>
      </c>
      <c r="G212" s="505">
        <f t="shared" si="23"/>
        <v>0</v>
      </c>
      <c r="H212" s="58"/>
      <c r="I212" s="198">
        <f>Qty!M56*'Prop. prices'!I212*I$7</f>
        <v>0</v>
      </c>
      <c r="J212" s="198">
        <f>Qty!N56*'Prop. prices'!J212*J$7</f>
        <v>0</v>
      </c>
      <c r="K212" s="198">
        <f>Qty!O56*'Prop. prices'!K212*K$7</f>
        <v>0</v>
      </c>
      <c r="L212" s="198">
        <f>Qty!P56*'Prop. prices'!L212*L$7</f>
        <v>0</v>
      </c>
      <c r="M212" s="198">
        <f>Qty!Q56*'Prop. prices'!M212*M$7</f>
        <v>0</v>
      </c>
      <c r="N212" s="198">
        <f>Qty!R56*'Prop. prices'!N212*N$7</f>
        <v>0</v>
      </c>
      <c r="O212" s="198">
        <f>Qty!S56*'Prop. prices'!O212*O$7</f>
        <v>0</v>
      </c>
      <c r="P212" s="198">
        <f>Qty!T56*'Prop. prices'!P212*P$7</f>
        <v>0</v>
      </c>
      <c r="Q212" s="198">
        <f>Qty!U56*'Prop. prices'!Q212*Q$7</f>
        <v>0</v>
      </c>
      <c r="R212" s="198">
        <f>Qty!V56*'Prop. prices'!R212*R$7</f>
        <v>0</v>
      </c>
      <c r="S212" s="198">
        <f>Qty!W56*'Prop. prices'!S212*S$7</f>
        <v>0</v>
      </c>
      <c r="T212" s="198">
        <f>Qty!X56*'Prop. prices'!T212*T$7</f>
        <v>0</v>
      </c>
      <c r="U212" s="198">
        <f>Qty!Y56*'Prop. prices'!U212*U$7</f>
        <v>0</v>
      </c>
      <c r="V212" s="198">
        <f>Qty!Z56*'Prop. prices'!V212*V$7</f>
        <v>0</v>
      </c>
      <c r="W212" s="198">
        <f>Qty!AA56*'Prop. prices'!W212*W$7</f>
        <v>0</v>
      </c>
      <c r="X212" s="198">
        <f>Qty!AB56*'Prop. prices'!X212*X$7</f>
        <v>0</v>
      </c>
      <c r="Y212" s="198">
        <f>Qty!AC56*'Prop. prices'!Y212*Y$7</f>
        <v>0</v>
      </c>
      <c r="Z212" s="198">
        <f>Qty!AD56*'Prop. prices'!Z212*Z$7</f>
        <v>0</v>
      </c>
      <c r="AA212" s="198">
        <f>Qty!AE56*'Prop. prices'!AA212*AA$7</f>
        <v>0</v>
      </c>
      <c r="AB212" s="198">
        <f>Qty!AF56*'Prop. prices'!AB212*AB$7</f>
        <v>0</v>
      </c>
      <c r="AC212" s="206">
        <f t="shared" si="22"/>
        <v>0</v>
      </c>
      <c r="AD212" s="19"/>
      <c r="AE212" s="19"/>
      <c r="AF212" s="19"/>
      <c r="AG212" s="19"/>
    </row>
    <row r="213" spans="1:33" hidden="1" outlineLevel="3" x14ac:dyDescent="0.2">
      <c r="A213" s="19"/>
      <c r="B213" s="19"/>
      <c r="C213" s="506">
        <f t="shared" si="23"/>
        <v>0</v>
      </c>
      <c r="D213" s="505">
        <f t="shared" si="23"/>
        <v>0</v>
      </c>
      <c r="E213" s="505">
        <f t="shared" si="23"/>
        <v>0</v>
      </c>
      <c r="F213" s="505">
        <f t="shared" si="23"/>
        <v>0</v>
      </c>
      <c r="G213" s="505">
        <f t="shared" si="23"/>
        <v>0</v>
      </c>
      <c r="H213" s="58"/>
      <c r="I213" s="198">
        <f>Qty!M57*'Prop. prices'!I213*I$7</f>
        <v>0</v>
      </c>
      <c r="J213" s="198">
        <f>Qty!N57*'Prop. prices'!J213*J$7</f>
        <v>0</v>
      </c>
      <c r="K213" s="198">
        <f>Qty!O57*'Prop. prices'!K213*K$7</f>
        <v>0</v>
      </c>
      <c r="L213" s="198">
        <f>Qty!P57*'Prop. prices'!L213*L$7</f>
        <v>0</v>
      </c>
      <c r="M213" s="198">
        <f>Qty!Q57*'Prop. prices'!M213*M$7</f>
        <v>0</v>
      </c>
      <c r="N213" s="198">
        <f>Qty!R57*'Prop. prices'!N213*N$7</f>
        <v>0</v>
      </c>
      <c r="O213" s="198">
        <f>Qty!S57*'Prop. prices'!O213*O$7</f>
        <v>0</v>
      </c>
      <c r="P213" s="198">
        <f>Qty!T57*'Prop. prices'!P213*P$7</f>
        <v>0</v>
      </c>
      <c r="Q213" s="198">
        <f>Qty!U57*'Prop. prices'!Q213*Q$7</f>
        <v>0</v>
      </c>
      <c r="R213" s="198">
        <f>Qty!V57*'Prop. prices'!R213*R$7</f>
        <v>0</v>
      </c>
      <c r="S213" s="198">
        <f>Qty!W57*'Prop. prices'!S213*S$7</f>
        <v>0</v>
      </c>
      <c r="T213" s="198">
        <f>Qty!X57*'Prop. prices'!T213*T$7</f>
        <v>0</v>
      </c>
      <c r="U213" s="198">
        <f>Qty!Y57*'Prop. prices'!U213*U$7</f>
        <v>0</v>
      </c>
      <c r="V213" s="198">
        <f>Qty!Z57*'Prop. prices'!V213*V$7</f>
        <v>0</v>
      </c>
      <c r="W213" s="198">
        <f>Qty!AA57*'Prop. prices'!W213*W$7</f>
        <v>0</v>
      </c>
      <c r="X213" s="198">
        <f>Qty!AB57*'Prop. prices'!X213*X$7</f>
        <v>0</v>
      </c>
      <c r="Y213" s="198">
        <f>Qty!AC57*'Prop. prices'!Y213*Y$7</f>
        <v>0</v>
      </c>
      <c r="Z213" s="198">
        <f>Qty!AD57*'Prop. prices'!Z213*Z$7</f>
        <v>0</v>
      </c>
      <c r="AA213" s="198">
        <f>Qty!AE57*'Prop. prices'!AA213*AA$7</f>
        <v>0</v>
      </c>
      <c r="AB213" s="198">
        <f>Qty!AF57*'Prop. prices'!AB213*AB$7</f>
        <v>0</v>
      </c>
      <c r="AC213" s="206">
        <f t="shared" si="22"/>
        <v>0</v>
      </c>
      <c r="AD213" s="19"/>
      <c r="AE213" s="19"/>
      <c r="AF213" s="19"/>
      <c r="AG213" s="19"/>
    </row>
    <row r="214" spans="1:33" hidden="1" outlineLevel="3" x14ac:dyDescent="0.2">
      <c r="A214" s="19"/>
      <c r="B214" s="19"/>
      <c r="C214" s="506">
        <f t="shared" ref="C214:G223" si="24">C58</f>
        <v>0</v>
      </c>
      <c r="D214" s="505">
        <f t="shared" si="24"/>
        <v>0</v>
      </c>
      <c r="E214" s="505">
        <f t="shared" si="24"/>
        <v>0</v>
      </c>
      <c r="F214" s="505">
        <f t="shared" si="24"/>
        <v>0</v>
      </c>
      <c r="G214" s="505">
        <f t="shared" si="24"/>
        <v>0</v>
      </c>
      <c r="H214" s="58"/>
      <c r="I214" s="198">
        <f>Qty!M58*'Prop. prices'!I214*I$7</f>
        <v>0</v>
      </c>
      <c r="J214" s="198">
        <f>Qty!N58*'Prop. prices'!J214*J$7</f>
        <v>0</v>
      </c>
      <c r="K214" s="198">
        <f>Qty!O58*'Prop. prices'!K214*K$7</f>
        <v>0</v>
      </c>
      <c r="L214" s="198">
        <f>Qty!P58*'Prop. prices'!L214*L$7</f>
        <v>0</v>
      </c>
      <c r="M214" s="198">
        <f>Qty!Q58*'Prop. prices'!M214*M$7</f>
        <v>0</v>
      </c>
      <c r="N214" s="198">
        <f>Qty!R58*'Prop. prices'!N214*N$7</f>
        <v>0</v>
      </c>
      <c r="O214" s="198">
        <f>Qty!S58*'Prop. prices'!O214*O$7</f>
        <v>0</v>
      </c>
      <c r="P214" s="198">
        <f>Qty!T58*'Prop. prices'!P214*P$7</f>
        <v>0</v>
      </c>
      <c r="Q214" s="198">
        <f>Qty!U58*'Prop. prices'!Q214*Q$7</f>
        <v>0</v>
      </c>
      <c r="R214" s="198">
        <f>Qty!V58*'Prop. prices'!R214*R$7</f>
        <v>0</v>
      </c>
      <c r="S214" s="198">
        <f>Qty!W58*'Prop. prices'!S214*S$7</f>
        <v>0</v>
      </c>
      <c r="T214" s="198">
        <f>Qty!X58*'Prop. prices'!T214*T$7</f>
        <v>0</v>
      </c>
      <c r="U214" s="198">
        <f>Qty!Y58*'Prop. prices'!U214*U$7</f>
        <v>0</v>
      </c>
      <c r="V214" s="198">
        <f>Qty!Z58*'Prop. prices'!V214*V$7</f>
        <v>0</v>
      </c>
      <c r="W214" s="198">
        <f>Qty!AA58*'Prop. prices'!W214*W$7</f>
        <v>0</v>
      </c>
      <c r="X214" s="198">
        <f>Qty!AB58*'Prop. prices'!X214*X$7</f>
        <v>0</v>
      </c>
      <c r="Y214" s="198">
        <f>Qty!AC58*'Prop. prices'!Y214*Y$7</f>
        <v>0</v>
      </c>
      <c r="Z214" s="198">
        <f>Qty!AD58*'Prop. prices'!Z214*Z$7</f>
        <v>0</v>
      </c>
      <c r="AA214" s="198">
        <f>Qty!AE58*'Prop. prices'!AA214*AA$7</f>
        <v>0</v>
      </c>
      <c r="AB214" s="198">
        <f>Qty!AF58*'Prop. prices'!AB214*AB$7</f>
        <v>0</v>
      </c>
      <c r="AC214" s="206">
        <f t="shared" si="22"/>
        <v>0</v>
      </c>
      <c r="AD214" s="19"/>
      <c r="AE214" s="19"/>
      <c r="AF214" s="19"/>
      <c r="AG214" s="19"/>
    </row>
    <row r="215" spans="1:33" hidden="1" outlineLevel="3" x14ac:dyDescent="0.2">
      <c r="A215" s="19"/>
      <c r="B215" s="19"/>
      <c r="C215" s="506">
        <f t="shared" si="24"/>
        <v>0</v>
      </c>
      <c r="D215" s="505">
        <f t="shared" si="24"/>
        <v>0</v>
      </c>
      <c r="E215" s="505">
        <f t="shared" si="24"/>
        <v>0</v>
      </c>
      <c r="F215" s="505">
        <f t="shared" si="24"/>
        <v>0</v>
      </c>
      <c r="G215" s="505">
        <f t="shared" si="24"/>
        <v>0</v>
      </c>
      <c r="H215" s="58"/>
      <c r="I215" s="198">
        <f>Qty!M59*'Prop. prices'!I215*I$7</f>
        <v>0</v>
      </c>
      <c r="J215" s="198">
        <f>Qty!N59*'Prop. prices'!J215*J$7</f>
        <v>0</v>
      </c>
      <c r="K215" s="198">
        <f>Qty!O59*'Prop. prices'!K215*K$7</f>
        <v>0</v>
      </c>
      <c r="L215" s="198">
        <f>Qty!P59*'Prop. prices'!L215*L$7</f>
        <v>0</v>
      </c>
      <c r="M215" s="198">
        <f>Qty!Q59*'Prop. prices'!M215*M$7</f>
        <v>0</v>
      </c>
      <c r="N215" s="198">
        <f>Qty!R59*'Prop. prices'!N215*N$7</f>
        <v>0</v>
      </c>
      <c r="O215" s="198">
        <f>Qty!S59*'Prop. prices'!O215*O$7</f>
        <v>0</v>
      </c>
      <c r="P215" s="198">
        <f>Qty!T59*'Prop. prices'!P215*P$7</f>
        <v>0</v>
      </c>
      <c r="Q215" s="198">
        <f>Qty!U59*'Prop. prices'!Q215*Q$7</f>
        <v>0</v>
      </c>
      <c r="R215" s="198">
        <f>Qty!V59*'Prop. prices'!R215*R$7</f>
        <v>0</v>
      </c>
      <c r="S215" s="198">
        <f>Qty!W59*'Prop. prices'!S215*S$7</f>
        <v>0</v>
      </c>
      <c r="T215" s="198">
        <f>Qty!X59*'Prop. prices'!T215*T$7</f>
        <v>0</v>
      </c>
      <c r="U215" s="198">
        <f>Qty!Y59*'Prop. prices'!U215*U$7</f>
        <v>0</v>
      </c>
      <c r="V215" s="198">
        <f>Qty!Z59*'Prop. prices'!V215*V$7</f>
        <v>0</v>
      </c>
      <c r="W215" s="198">
        <f>Qty!AA59*'Prop. prices'!W215*W$7</f>
        <v>0</v>
      </c>
      <c r="X215" s="198">
        <f>Qty!AB59*'Prop. prices'!X215*X$7</f>
        <v>0</v>
      </c>
      <c r="Y215" s="198">
        <f>Qty!AC59*'Prop. prices'!Y215*Y$7</f>
        <v>0</v>
      </c>
      <c r="Z215" s="198">
        <f>Qty!AD59*'Prop. prices'!Z215*Z$7</f>
        <v>0</v>
      </c>
      <c r="AA215" s="198">
        <f>Qty!AE59*'Prop. prices'!AA215*AA$7</f>
        <v>0</v>
      </c>
      <c r="AB215" s="198">
        <f>Qty!AF59*'Prop. prices'!AB215*AB$7</f>
        <v>0</v>
      </c>
      <c r="AC215" s="206">
        <f t="shared" si="22"/>
        <v>0</v>
      </c>
      <c r="AD215" s="19"/>
      <c r="AE215" s="19"/>
      <c r="AF215" s="19"/>
      <c r="AG215" s="19"/>
    </row>
    <row r="216" spans="1:33" hidden="1" outlineLevel="3" x14ac:dyDescent="0.2">
      <c r="A216" s="19"/>
      <c r="B216" s="19"/>
      <c r="C216" s="506">
        <f t="shared" si="24"/>
        <v>0</v>
      </c>
      <c r="D216" s="505">
        <f t="shared" si="24"/>
        <v>0</v>
      </c>
      <c r="E216" s="505">
        <f t="shared" si="24"/>
        <v>0</v>
      </c>
      <c r="F216" s="505">
        <f t="shared" si="24"/>
        <v>0</v>
      </c>
      <c r="G216" s="505">
        <f t="shared" si="24"/>
        <v>0</v>
      </c>
      <c r="H216" s="58"/>
      <c r="I216" s="198">
        <f>Qty!M60*'Prop. prices'!I216*I$7</f>
        <v>0</v>
      </c>
      <c r="J216" s="198">
        <f>Qty!N60*'Prop. prices'!J216*J$7</f>
        <v>0</v>
      </c>
      <c r="K216" s="198">
        <f>Qty!O60*'Prop. prices'!K216*K$7</f>
        <v>0</v>
      </c>
      <c r="L216" s="198">
        <f>Qty!P60*'Prop. prices'!L216*L$7</f>
        <v>0</v>
      </c>
      <c r="M216" s="198">
        <f>Qty!Q60*'Prop. prices'!M216*M$7</f>
        <v>0</v>
      </c>
      <c r="N216" s="198">
        <f>Qty!R60*'Prop. prices'!N216*N$7</f>
        <v>0</v>
      </c>
      <c r="O216" s="198">
        <f>Qty!S60*'Prop. prices'!O216*O$7</f>
        <v>0</v>
      </c>
      <c r="P216" s="198">
        <f>Qty!T60*'Prop. prices'!P216*P$7</f>
        <v>0</v>
      </c>
      <c r="Q216" s="198">
        <f>Qty!U60*'Prop. prices'!Q216*Q$7</f>
        <v>0</v>
      </c>
      <c r="R216" s="198">
        <f>Qty!V60*'Prop. prices'!R216*R$7</f>
        <v>0</v>
      </c>
      <c r="S216" s="198">
        <f>Qty!W60*'Prop. prices'!S216*S$7</f>
        <v>0</v>
      </c>
      <c r="T216" s="198">
        <f>Qty!X60*'Prop. prices'!T216*T$7</f>
        <v>0</v>
      </c>
      <c r="U216" s="198">
        <f>Qty!Y60*'Prop. prices'!U216*U$7</f>
        <v>0</v>
      </c>
      <c r="V216" s="198">
        <f>Qty!Z60*'Prop. prices'!V216*V$7</f>
        <v>0</v>
      </c>
      <c r="W216" s="198">
        <f>Qty!AA60*'Prop. prices'!W216*W$7</f>
        <v>0</v>
      </c>
      <c r="X216" s="198">
        <f>Qty!AB60*'Prop. prices'!X216*X$7</f>
        <v>0</v>
      </c>
      <c r="Y216" s="198">
        <f>Qty!AC60*'Prop. prices'!Y216*Y$7</f>
        <v>0</v>
      </c>
      <c r="Z216" s="198">
        <f>Qty!AD60*'Prop. prices'!Z216*Z$7</f>
        <v>0</v>
      </c>
      <c r="AA216" s="198">
        <f>Qty!AE60*'Prop. prices'!AA216*AA$7</f>
        <v>0</v>
      </c>
      <c r="AB216" s="198">
        <f>Qty!AF60*'Prop. prices'!AB216*AB$7</f>
        <v>0</v>
      </c>
      <c r="AC216" s="206">
        <f t="shared" si="22"/>
        <v>0</v>
      </c>
      <c r="AD216" s="19"/>
      <c r="AE216" s="19"/>
      <c r="AF216" s="19"/>
      <c r="AG216" s="19"/>
    </row>
    <row r="217" spans="1:33" hidden="1" outlineLevel="3" x14ac:dyDescent="0.2">
      <c r="A217" s="19"/>
      <c r="B217" s="19"/>
      <c r="C217" s="506">
        <f t="shared" si="24"/>
        <v>0</v>
      </c>
      <c r="D217" s="505">
        <f t="shared" si="24"/>
        <v>0</v>
      </c>
      <c r="E217" s="505">
        <f t="shared" si="24"/>
        <v>0</v>
      </c>
      <c r="F217" s="505">
        <f t="shared" si="24"/>
        <v>0</v>
      </c>
      <c r="G217" s="505">
        <f t="shared" si="24"/>
        <v>0</v>
      </c>
      <c r="H217" s="58"/>
      <c r="I217" s="198">
        <f>Qty!M61*'Prop. prices'!I217*I$7</f>
        <v>0</v>
      </c>
      <c r="J217" s="198">
        <f>Qty!N61*'Prop. prices'!J217*J$7</f>
        <v>0</v>
      </c>
      <c r="K217" s="198">
        <f>Qty!O61*'Prop. prices'!K217*K$7</f>
        <v>0</v>
      </c>
      <c r="L217" s="198">
        <f>Qty!P61*'Prop. prices'!L217*L$7</f>
        <v>0</v>
      </c>
      <c r="M217" s="198">
        <f>Qty!Q61*'Prop. prices'!M217*M$7</f>
        <v>0</v>
      </c>
      <c r="N217" s="198">
        <f>Qty!R61*'Prop. prices'!N217*N$7</f>
        <v>0</v>
      </c>
      <c r="O217" s="198">
        <f>Qty!S61*'Prop. prices'!O217*O$7</f>
        <v>0</v>
      </c>
      <c r="P217" s="198">
        <f>Qty!T61*'Prop. prices'!P217*P$7</f>
        <v>0</v>
      </c>
      <c r="Q217" s="198">
        <f>Qty!U61*'Prop. prices'!Q217*Q$7</f>
        <v>0</v>
      </c>
      <c r="R217" s="198">
        <f>Qty!V61*'Prop. prices'!R217*R$7</f>
        <v>0</v>
      </c>
      <c r="S217" s="198">
        <f>Qty!W61*'Prop. prices'!S217*S$7</f>
        <v>0</v>
      </c>
      <c r="T217" s="198">
        <f>Qty!X61*'Prop. prices'!T217*T$7</f>
        <v>0</v>
      </c>
      <c r="U217" s="198">
        <f>Qty!Y61*'Prop. prices'!U217*U$7</f>
        <v>0</v>
      </c>
      <c r="V217" s="198">
        <f>Qty!Z61*'Prop. prices'!V217*V$7</f>
        <v>0</v>
      </c>
      <c r="W217" s="198">
        <f>Qty!AA61*'Prop. prices'!W217*W$7</f>
        <v>0</v>
      </c>
      <c r="X217" s="198">
        <f>Qty!AB61*'Prop. prices'!X217*X$7</f>
        <v>0</v>
      </c>
      <c r="Y217" s="198">
        <f>Qty!AC61*'Prop. prices'!Y217*Y$7</f>
        <v>0</v>
      </c>
      <c r="Z217" s="198">
        <f>Qty!AD61*'Prop. prices'!Z217*Z$7</f>
        <v>0</v>
      </c>
      <c r="AA217" s="198">
        <f>Qty!AE61*'Prop. prices'!AA217*AA$7</f>
        <v>0</v>
      </c>
      <c r="AB217" s="198">
        <f>Qty!AF61*'Prop. prices'!AB217*AB$7</f>
        <v>0</v>
      </c>
      <c r="AC217" s="206">
        <f t="shared" si="22"/>
        <v>0</v>
      </c>
      <c r="AD217" s="19"/>
      <c r="AE217" s="19"/>
      <c r="AF217" s="19"/>
      <c r="AG217" s="19"/>
    </row>
    <row r="218" spans="1:33" hidden="1" outlineLevel="3" x14ac:dyDescent="0.2">
      <c r="A218" s="19"/>
      <c r="B218" s="19"/>
      <c r="C218" s="506">
        <f t="shared" si="24"/>
        <v>0</v>
      </c>
      <c r="D218" s="505">
        <f t="shared" si="24"/>
        <v>0</v>
      </c>
      <c r="E218" s="505">
        <f t="shared" si="24"/>
        <v>0</v>
      </c>
      <c r="F218" s="505">
        <f t="shared" si="24"/>
        <v>0</v>
      </c>
      <c r="G218" s="505">
        <f t="shared" si="24"/>
        <v>0</v>
      </c>
      <c r="H218" s="58"/>
      <c r="I218" s="198">
        <f>Qty!M62*'Prop. prices'!I218*I$7</f>
        <v>0</v>
      </c>
      <c r="J218" s="198">
        <f>Qty!N62*'Prop. prices'!J218*J$7</f>
        <v>0</v>
      </c>
      <c r="K218" s="198">
        <f>Qty!O62*'Prop. prices'!K218*K$7</f>
        <v>0</v>
      </c>
      <c r="L218" s="198">
        <f>Qty!P62*'Prop. prices'!L218*L$7</f>
        <v>0</v>
      </c>
      <c r="M218" s="198">
        <f>Qty!Q62*'Prop. prices'!M218*M$7</f>
        <v>0</v>
      </c>
      <c r="N218" s="198">
        <f>Qty!R62*'Prop. prices'!N218*N$7</f>
        <v>0</v>
      </c>
      <c r="O218" s="198">
        <f>Qty!S62*'Prop. prices'!O218*O$7</f>
        <v>0</v>
      </c>
      <c r="P218" s="198">
        <f>Qty!T62*'Prop. prices'!P218*P$7</f>
        <v>0</v>
      </c>
      <c r="Q218" s="198">
        <f>Qty!U62*'Prop. prices'!Q218*Q$7</f>
        <v>0</v>
      </c>
      <c r="R218" s="198">
        <f>Qty!V62*'Prop. prices'!R218*R$7</f>
        <v>0</v>
      </c>
      <c r="S218" s="198">
        <f>Qty!W62*'Prop. prices'!S218*S$7</f>
        <v>0</v>
      </c>
      <c r="T218" s="198">
        <f>Qty!X62*'Prop. prices'!T218*T$7</f>
        <v>0</v>
      </c>
      <c r="U218" s="198">
        <f>Qty!Y62*'Prop. prices'!U218*U$7</f>
        <v>0</v>
      </c>
      <c r="V218" s="198">
        <f>Qty!Z62*'Prop. prices'!V218*V$7</f>
        <v>0</v>
      </c>
      <c r="W218" s="198">
        <f>Qty!AA62*'Prop. prices'!W218*W$7</f>
        <v>0</v>
      </c>
      <c r="X218" s="198">
        <f>Qty!AB62*'Prop. prices'!X218*X$7</f>
        <v>0</v>
      </c>
      <c r="Y218" s="198">
        <f>Qty!AC62*'Prop. prices'!Y218*Y$7</f>
        <v>0</v>
      </c>
      <c r="Z218" s="198">
        <f>Qty!AD62*'Prop. prices'!Z218*Z$7</f>
        <v>0</v>
      </c>
      <c r="AA218" s="198">
        <f>Qty!AE62*'Prop. prices'!AA218*AA$7</f>
        <v>0</v>
      </c>
      <c r="AB218" s="198">
        <f>Qty!AF62*'Prop. prices'!AB218*AB$7</f>
        <v>0</v>
      </c>
      <c r="AC218" s="206">
        <f t="shared" si="22"/>
        <v>0</v>
      </c>
      <c r="AD218" s="19"/>
      <c r="AE218" s="19"/>
      <c r="AF218" s="19"/>
      <c r="AG218" s="19"/>
    </row>
    <row r="219" spans="1:33" hidden="1" outlineLevel="3" x14ac:dyDescent="0.2">
      <c r="A219" s="19"/>
      <c r="B219" s="19"/>
      <c r="C219" s="506">
        <f t="shared" si="24"/>
        <v>0</v>
      </c>
      <c r="D219" s="505">
        <f t="shared" si="24"/>
        <v>0</v>
      </c>
      <c r="E219" s="505">
        <f t="shared" si="24"/>
        <v>0</v>
      </c>
      <c r="F219" s="505">
        <f t="shared" si="24"/>
        <v>0</v>
      </c>
      <c r="G219" s="505">
        <f t="shared" si="24"/>
        <v>0</v>
      </c>
      <c r="H219" s="58"/>
      <c r="I219" s="198">
        <f>Qty!M63*'Prop. prices'!I219*I$7</f>
        <v>0</v>
      </c>
      <c r="J219" s="198">
        <f>Qty!N63*'Prop. prices'!J219*J$7</f>
        <v>0</v>
      </c>
      <c r="K219" s="198">
        <f>Qty!O63*'Prop. prices'!K219*K$7</f>
        <v>0</v>
      </c>
      <c r="L219" s="198">
        <f>Qty!P63*'Prop. prices'!L219*L$7</f>
        <v>0</v>
      </c>
      <c r="M219" s="198">
        <f>Qty!Q63*'Prop. prices'!M219*M$7</f>
        <v>0</v>
      </c>
      <c r="N219" s="198">
        <f>Qty!R63*'Prop. prices'!N219*N$7</f>
        <v>0</v>
      </c>
      <c r="O219" s="198">
        <f>Qty!S63*'Prop. prices'!O219*O$7</f>
        <v>0</v>
      </c>
      <c r="P219" s="198">
        <f>Qty!T63*'Prop. prices'!P219*P$7</f>
        <v>0</v>
      </c>
      <c r="Q219" s="198">
        <f>Qty!U63*'Prop. prices'!Q219*Q$7</f>
        <v>0</v>
      </c>
      <c r="R219" s="198">
        <f>Qty!V63*'Prop. prices'!R219*R$7</f>
        <v>0</v>
      </c>
      <c r="S219" s="198">
        <f>Qty!W63*'Prop. prices'!S219*S$7</f>
        <v>0</v>
      </c>
      <c r="T219" s="198">
        <f>Qty!X63*'Prop. prices'!T219*T$7</f>
        <v>0</v>
      </c>
      <c r="U219" s="198">
        <f>Qty!Y63*'Prop. prices'!U219*U$7</f>
        <v>0</v>
      </c>
      <c r="V219" s="198">
        <f>Qty!Z63*'Prop. prices'!V219*V$7</f>
        <v>0</v>
      </c>
      <c r="W219" s="198">
        <f>Qty!AA63*'Prop. prices'!W219*W$7</f>
        <v>0</v>
      </c>
      <c r="X219" s="198">
        <f>Qty!AB63*'Prop. prices'!X219*X$7</f>
        <v>0</v>
      </c>
      <c r="Y219" s="198">
        <f>Qty!AC63*'Prop. prices'!Y219*Y$7</f>
        <v>0</v>
      </c>
      <c r="Z219" s="198">
        <f>Qty!AD63*'Prop. prices'!Z219*Z$7</f>
        <v>0</v>
      </c>
      <c r="AA219" s="198">
        <f>Qty!AE63*'Prop. prices'!AA219*AA$7</f>
        <v>0</v>
      </c>
      <c r="AB219" s="198">
        <f>Qty!AF63*'Prop. prices'!AB219*AB$7</f>
        <v>0</v>
      </c>
      <c r="AC219" s="206">
        <f t="shared" si="22"/>
        <v>0</v>
      </c>
      <c r="AD219" s="19"/>
      <c r="AE219" s="19"/>
      <c r="AF219" s="19"/>
      <c r="AG219" s="19"/>
    </row>
    <row r="220" spans="1:33" hidden="1" outlineLevel="3" x14ac:dyDescent="0.2">
      <c r="A220" s="19"/>
      <c r="B220" s="19"/>
      <c r="C220" s="506">
        <f t="shared" si="24"/>
        <v>0</v>
      </c>
      <c r="D220" s="505">
        <f t="shared" si="24"/>
        <v>0</v>
      </c>
      <c r="E220" s="505">
        <f t="shared" si="24"/>
        <v>0</v>
      </c>
      <c r="F220" s="505">
        <f t="shared" si="24"/>
        <v>0</v>
      </c>
      <c r="G220" s="505">
        <f t="shared" si="24"/>
        <v>0</v>
      </c>
      <c r="H220" s="58"/>
      <c r="I220" s="198">
        <f>Qty!M64*'Prop. prices'!I220*I$7</f>
        <v>0</v>
      </c>
      <c r="J220" s="198">
        <f>Qty!N64*'Prop. prices'!J220*J$7</f>
        <v>0</v>
      </c>
      <c r="K220" s="198">
        <f>Qty!O64*'Prop. prices'!K220*K$7</f>
        <v>0</v>
      </c>
      <c r="L220" s="198">
        <f>Qty!P64*'Prop. prices'!L220*L$7</f>
        <v>0</v>
      </c>
      <c r="M220" s="198">
        <f>Qty!Q64*'Prop. prices'!M220*M$7</f>
        <v>0</v>
      </c>
      <c r="N220" s="198">
        <f>Qty!R64*'Prop. prices'!N220*N$7</f>
        <v>0</v>
      </c>
      <c r="O220" s="198">
        <f>Qty!S64*'Prop. prices'!O220*O$7</f>
        <v>0</v>
      </c>
      <c r="P220" s="198">
        <f>Qty!T64*'Prop. prices'!P220*P$7</f>
        <v>0</v>
      </c>
      <c r="Q220" s="198">
        <f>Qty!U64*'Prop. prices'!Q220*Q$7</f>
        <v>0</v>
      </c>
      <c r="R220" s="198">
        <f>Qty!V64*'Prop. prices'!R220*R$7</f>
        <v>0</v>
      </c>
      <c r="S220" s="198">
        <f>Qty!W64*'Prop. prices'!S220*S$7</f>
        <v>0</v>
      </c>
      <c r="T220" s="198">
        <f>Qty!X64*'Prop. prices'!T220*T$7</f>
        <v>0</v>
      </c>
      <c r="U220" s="198">
        <f>Qty!Y64*'Prop. prices'!U220*U$7</f>
        <v>0</v>
      </c>
      <c r="V220" s="198">
        <f>Qty!Z64*'Prop. prices'!V220*V$7</f>
        <v>0</v>
      </c>
      <c r="W220" s="198">
        <f>Qty!AA64*'Prop. prices'!W220*W$7</f>
        <v>0</v>
      </c>
      <c r="X220" s="198">
        <f>Qty!AB64*'Prop. prices'!X220*X$7</f>
        <v>0</v>
      </c>
      <c r="Y220" s="198">
        <f>Qty!AC64*'Prop. prices'!Y220*Y$7</f>
        <v>0</v>
      </c>
      <c r="Z220" s="198">
        <f>Qty!AD64*'Prop. prices'!Z220*Z$7</f>
        <v>0</v>
      </c>
      <c r="AA220" s="198">
        <f>Qty!AE64*'Prop. prices'!AA220*AA$7</f>
        <v>0</v>
      </c>
      <c r="AB220" s="198">
        <f>Qty!AF64*'Prop. prices'!AB220*AB$7</f>
        <v>0</v>
      </c>
      <c r="AC220" s="206">
        <f t="shared" si="22"/>
        <v>0</v>
      </c>
      <c r="AD220" s="19"/>
      <c r="AE220" s="19"/>
      <c r="AF220" s="19"/>
      <c r="AG220" s="19"/>
    </row>
    <row r="221" spans="1:33" hidden="1" outlineLevel="3" x14ac:dyDescent="0.2">
      <c r="A221" s="19"/>
      <c r="B221" s="19"/>
      <c r="C221" s="506">
        <f t="shared" si="24"/>
        <v>0</v>
      </c>
      <c r="D221" s="505">
        <f t="shared" si="24"/>
        <v>0</v>
      </c>
      <c r="E221" s="505">
        <f t="shared" si="24"/>
        <v>0</v>
      </c>
      <c r="F221" s="505">
        <f t="shared" si="24"/>
        <v>0</v>
      </c>
      <c r="G221" s="505">
        <f t="shared" si="24"/>
        <v>0</v>
      </c>
      <c r="H221" s="58"/>
      <c r="I221" s="198">
        <f>Qty!M65*'Prop. prices'!I221*I$7</f>
        <v>0</v>
      </c>
      <c r="J221" s="198">
        <f>Qty!N65*'Prop. prices'!J221*J$7</f>
        <v>0</v>
      </c>
      <c r="K221" s="198">
        <f>Qty!O65*'Prop. prices'!K221*K$7</f>
        <v>0</v>
      </c>
      <c r="L221" s="198">
        <f>Qty!P65*'Prop. prices'!L221*L$7</f>
        <v>0</v>
      </c>
      <c r="M221" s="198">
        <f>Qty!Q65*'Prop. prices'!M221*M$7</f>
        <v>0</v>
      </c>
      <c r="N221" s="198">
        <f>Qty!R65*'Prop. prices'!N221*N$7</f>
        <v>0</v>
      </c>
      <c r="O221" s="198">
        <f>Qty!S65*'Prop. prices'!O221*O$7</f>
        <v>0</v>
      </c>
      <c r="P221" s="198">
        <f>Qty!T65*'Prop. prices'!P221*P$7</f>
        <v>0</v>
      </c>
      <c r="Q221" s="198">
        <f>Qty!U65*'Prop. prices'!Q221*Q$7</f>
        <v>0</v>
      </c>
      <c r="R221" s="198">
        <f>Qty!V65*'Prop. prices'!R221*R$7</f>
        <v>0</v>
      </c>
      <c r="S221" s="198">
        <f>Qty!W65*'Prop. prices'!S221*S$7</f>
        <v>0</v>
      </c>
      <c r="T221" s="198">
        <f>Qty!X65*'Prop. prices'!T221*T$7</f>
        <v>0</v>
      </c>
      <c r="U221" s="198">
        <f>Qty!Y65*'Prop. prices'!U221*U$7</f>
        <v>0</v>
      </c>
      <c r="V221" s="198">
        <f>Qty!Z65*'Prop. prices'!V221*V$7</f>
        <v>0</v>
      </c>
      <c r="W221" s="198">
        <f>Qty!AA65*'Prop. prices'!W221*W$7</f>
        <v>0</v>
      </c>
      <c r="X221" s="198">
        <f>Qty!AB65*'Prop. prices'!X221*X$7</f>
        <v>0</v>
      </c>
      <c r="Y221" s="198">
        <f>Qty!AC65*'Prop. prices'!Y221*Y$7</f>
        <v>0</v>
      </c>
      <c r="Z221" s="198">
        <f>Qty!AD65*'Prop. prices'!Z221*Z$7</f>
        <v>0</v>
      </c>
      <c r="AA221" s="198">
        <f>Qty!AE65*'Prop. prices'!AA221*AA$7</f>
        <v>0</v>
      </c>
      <c r="AB221" s="198">
        <f>Qty!AF65*'Prop. prices'!AB221*AB$7</f>
        <v>0</v>
      </c>
      <c r="AC221" s="206">
        <f t="shared" si="22"/>
        <v>0</v>
      </c>
      <c r="AD221" s="19"/>
      <c r="AE221" s="19"/>
      <c r="AF221" s="19"/>
      <c r="AG221" s="19"/>
    </row>
    <row r="222" spans="1:33" hidden="1" outlineLevel="3" x14ac:dyDescent="0.2">
      <c r="A222" s="19"/>
      <c r="B222" s="19"/>
      <c r="C222" s="506">
        <f t="shared" si="24"/>
        <v>0</v>
      </c>
      <c r="D222" s="505">
        <f t="shared" si="24"/>
        <v>0</v>
      </c>
      <c r="E222" s="505">
        <f t="shared" si="24"/>
        <v>0</v>
      </c>
      <c r="F222" s="505">
        <f t="shared" si="24"/>
        <v>0</v>
      </c>
      <c r="G222" s="505">
        <f t="shared" si="24"/>
        <v>0</v>
      </c>
      <c r="H222" s="58"/>
      <c r="I222" s="198">
        <f>Qty!M66*'Prop. prices'!I222*I$7</f>
        <v>0</v>
      </c>
      <c r="J222" s="198">
        <f>Qty!N66*'Prop. prices'!J222*J$7</f>
        <v>0</v>
      </c>
      <c r="K222" s="198">
        <f>Qty!O66*'Prop. prices'!K222*K$7</f>
        <v>0</v>
      </c>
      <c r="L222" s="198">
        <f>Qty!P66*'Prop. prices'!L222*L$7</f>
        <v>0</v>
      </c>
      <c r="M222" s="198">
        <f>Qty!Q66*'Prop. prices'!M222*M$7</f>
        <v>0</v>
      </c>
      <c r="N222" s="198">
        <f>Qty!R66*'Prop. prices'!N222*N$7</f>
        <v>0</v>
      </c>
      <c r="O222" s="198">
        <f>Qty!S66*'Prop. prices'!O222*O$7</f>
        <v>0</v>
      </c>
      <c r="P222" s="198">
        <f>Qty!T66*'Prop. prices'!P222*P$7</f>
        <v>0</v>
      </c>
      <c r="Q222" s="198">
        <f>Qty!U66*'Prop. prices'!Q222*Q$7</f>
        <v>0</v>
      </c>
      <c r="R222" s="198">
        <f>Qty!V66*'Prop. prices'!R222*R$7</f>
        <v>0</v>
      </c>
      <c r="S222" s="198">
        <f>Qty!W66*'Prop. prices'!S222*S$7</f>
        <v>0</v>
      </c>
      <c r="T222" s="198">
        <f>Qty!X66*'Prop. prices'!T222*T$7</f>
        <v>0</v>
      </c>
      <c r="U222" s="198">
        <f>Qty!Y66*'Prop. prices'!U222*U$7</f>
        <v>0</v>
      </c>
      <c r="V222" s="198">
        <f>Qty!Z66*'Prop. prices'!V222*V$7</f>
        <v>0</v>
      </c>
      <c r="W222" s="198">
        <f>Qty!AA66*'Prop. prices'!W222*W$7</f>
        <v>0</v>
      </c>
      <c r="X222" s="198">
        <f>Qty!AB66*'Prop. prices'!X222*X$7</f>
        <v>0</v>
      </c>
      <c r="Y222" s="198">
        <f>Qty!AC66*'Prop. prices'!Y222*Y$7</f>
        <v>0</v>
      </c>
      <c r="Z222" s="198">
        <f>Qty!AD66*'Prop. prices'!Z222*Z$7</f>
        <v>0</v>
      </c>
      <c r="AA222" s="198">
        <f>Qty!AE66*'Prop. prices'!AA222*AA$7</f>
        <v>0</v>
      </c>
      <c r="AB222" s="198">
        <f>Qty!AF66*'Prop. prices'!AB222*AB$7</f>
        <v>0</v>
      </c>
      <c r="AC222" s="206">
        <f t="shared" si="22"/>
        <v>0</v>
      </c>
      <c r="AD222" s="19"/>
      <c r="AE222" s="19"/>
      <c r="AF222" s="19"/>
      <c r="AG222" s="19"/>
    </row>
    <row r="223" spans="1:33" hidden="1" outlineLevel="3" x14ac:dyDescent="0.2">
      <c r="A223" s="19"/>
      <c r="B223" s="19"/>
      <c r="C223" s="506">
        <f t="shared" si="24"/>
        <v>0</v>
      </c>
      <c r="D223" s="505">
        <f t="shared" si="24"/>
        <v>0</v>
      </c>
      <c r="E223" s="505">
        <f t="shared" si="24"/>
        <v>0</v>
      </c>
      <c r="F223" s="505">
        <f t="shared" si="24"/>
        <v>0</v>
      </c>
      <c r="G223" s="505">
        <f t="shared" si="24"/>
        <v>0</v>
      </c>
      <c r="H223" s="58"/>
      <c r="I223" s="198">
        <f>Qty!M67*'Prop. prices'!I223*I$7</f>
        <v>0</v>
      </c>
      <c r="J223" s="198">
        <f>Qty!N67*'Prop. prices'!J223*J$7</f>
        <v>0</v>
      </c>
      <c r="K223" s="198">
        <f>Qty!O67*'Prop. prices'!K223*K$7</f>
        <v>0</v>
      </c>
      <c r="L223" s="198">
        <f>Qty!P67*'Prop. prices'!L223*L$7</f>
        <v>0</v>
      </c>
      <c r="M223" s="198">
        <f>Qty!Q67*'Prop. prices'!M223*M$7</f>
        <v>0</v>
      </c>
      <c r="N223" s="198">
        <f>Qty!R67*'Prop. prices'!N223*N$7</f>
        <v>0</v>
      </c>
      <c r="O223" s="198">
        <f>Qty!S67*'Prop. prices'!O223*O$7</f>
        <v>0</v>
      </c>
      <c r="P223" s="198">
        <f>Qty!T67*'Prop. prices'!P223*P$7</f>
        <v>0</v>
      </c>
      <c r="Q223" s="198">
        <f>Qty!U67*'Prop. prices'!Q223*Q$7</f>
        <v>0</v>
      </c>
      <c r="R223" s="198">
        <f>Qty!V67*'Prop. prices'!R223*R$7</f>
        <v>0</v>
      </c>
      <c r="S223" s="198">
        <f>Qty!W67*'Prop. prices'!S223*S$7</f>
        <v>0</v>
      </c>
      <c r="T223" s="198">
        <f>Qty!X67*'Prop. prices'!T223*T$7</f>
        <v>0</v>
      </c>
      <c r="U223" s="198">
        <f>Qty!Y67*'Prop. prices'!U223*U$7</f>
        <v>0</v>
      </c>
      <c r="V223" s="198">
        <f>Qty!Z67*'Prop. prices'!V223*V$7</f>
        <v>0</v>
      </c>
      <c r="W223" s="198">
        <f>Qty!AA67*'Prop. prices'!W223*W$7</f>
        <v>0</v>
      </c>
      <c r="X223" s="198">
        <f>Qty!AB67*'Prop. prices'!X223*X$7</f>
        <v>0</v>
      </c>
      <c r="Y223" s="198">
        <f>Qty!AC67*'Prop. prices'!Y223*Y$7</f>
        <v>0</v>
      </c>
      <c r="Z223" s="198">
        <f>Qty!AD67*'Prop. prices'!Z223*Z$7</f>
        <v>0</v>
      </c>
      <c r="AA223" s="198">
        <f>Qty!AE67*'Prop. prices'!AA223*AA$7</f>
        <v>0</v>
      </c>
      <c r="AB223" s="198">
        <f>Qty!AF67*'Prop. prices'!AB223*AB$7</f>
        <v>0</v>
      </c>
      <c r="AC223" s="206">
        <f t="shared" si="22"/>
        <v>0</v>
      </c>
      <c r="AD223" s="19"/>
      <c r="AE223" s="19"/>
      <c r="AF223" s="19"/>
      <c r="AG223" s="19"/>
    </row>
    <row r="224" spans="1:33" hidden="1" outlineLevel="3" x14ac:dyDescent="0.2">
      <c r="A224" s="19"/>
      <c r="B224" s="19"/>
      <c r="C224" s="506">
        <f t="shared" ref="C224:G233" si="25">C68</f>
        <v>0</v>
      </c>
      <c r="D224" s="505">
        <f t="shared" si="25"/>
        <v>0</v>
      </c>
      <c r="E224" s="505">
        <f t="shared" si="25"/>
        <v>0</v>
      </c>
      <c r="F224" s="505">
        <f t="shared" si="25"/>
        <v>0</v>
      </c>
      <c r="G224" s="505">
        <f t="shared" si="25"/>
        <v>0</v>
      </c>
      <c r="H224" s="58"/>
      <c r="I224" s="198">
        <f>Qty!M68*'Prop. prices'!I224*I$7</f>
        <v>0</v>
      </c>
      <c r="J224" s="198">
        <f>Qty!N68*'Prop. prices'!J224*J$7</f>
        <v>0</v>
      </c>
      <c r="K224" s="198">
        <f>Qty!O68*'Prop. prices'!K224*K$7</f>
        <v>0</v>
      </c>
      <c r="L224" s="198">
        <f>Qty!P68*'Prop. prices'!L224*L$7</f>
        <v>0</v>
      </c>
      <c r="M224" s="198">
        <f>Qty!Q68*'Prop. prices'!M224*M$7</f>
        <v>0</v>
      </c>
      <c r="N224" s="198">
        <f>Qty!R68*'Prop. prices'!N224*N$7</f>
        <v>0</v>
      </c>
      <c r="O224" s="198">
        <f>Qty!S68*'Prop. prices'!O224*O$7</f>
        <v>0</v>
      </c>
      <c r="P224" s="198">
        <f>Qty!T68*'Prop. prices'!P224*P$7</f>
        <v>0</v>
      </c>
      <c r="Q224" s="198">
        <f>Qty!U68*'Prop. prices'!Q224*Q$7</f>
        <v>0</v>
      </c>
      <c r="R224" s="198">
        <f>Qty!V68*'Prop. prices'!R224*R$7</f>
        <v>0</v>
      </c>
      <c r="S224" s="198">
        <f>Qty!W68*'Prop. prices'!S224*S$7</f>
        <v>0</v>
      </c>
      <c r="T224" s="198">
        <f>Qty!X68*'Prop. prices'!T224*T$7</f>
        <v>0</v>
      </c>
      <c r="U224" s="198">
        <f>Qty!Y68*'Prop. prices'!U224*U$7</f>
        <v>0</v>
      </c>
      <c r="V224" s="198">
        <f>Qty!Z68*'Prop. prices'!V224*V$7</f>
        <v>0</v>
      </c>
      <c r="W224" s="198">
        <f>Qty!AA68*'Prop. prices'!W224*W$7</f>
        <v>0</v>
      </c>
      <c r="X224" s="198">
        <f>Qty!AB68*'Prop. prices'!X224*X$7</f>
        <v>0</v>
      </c>
      <c r="Y224" s="198">
        <f>Qty!AC68*'Prop. prices'!Y224*Y$7</f>
        <v>0</v>
      </c>
      <c r="Z224" s="198">
        <f>Qty!AD68*'Prop. prices'!Z224*Z$7</f>
        <v>0</v>
      </c>
      <c r="AA224" s="198">
        <f>Qty!AE68*'Prop. prices'!AA224*AA$7</f>
        <v>0</v>
      </c>
      <c r="AB224" s="198">
        <f>Qty!AF68*'Prop. prices'!AB224*AB$7</f>
        <v>0</v>
      </c>
      <c r="AC224" s="206">
        <f t="shared" si="22"/>
        <v>0</v>
      </c>
      <c r="AD224" s="19"/>
      <c r="AE224" s="19"/>
      <c r="AF224" s="19"/>
      <c r="AG224" s="19"/>
    </row>
    <row r="225" spans="1:33" hidden="1" outlineLevel="3" x14ac:dyDescent="0.2">
      <c r="A225" s="19"/>
      <c r="B225" s="19"/>
      <c r="C225" s="506">
        <f t="shared" si="25"/>
        <v>0</v>
      </c>
      <c r="D225" s="505">
        <f t="shared" si="25"/>
        <v>0</v>
      </c>
      <c r="E225" s="505">
        <f t="shared" si="25"/>
        <v>0</v>
      </c>
      <c r="F225" s="505">
        <f t="shared" si="25"/>
        <v>0</v>
      </c>
      <c r="G225" s="505">
        <f t="shared" si="25"/>
        <v>0</v>
      </c>
      <c r="H225" s="58"/>
      <c r="I225" s="198">
        <f>Qty!M69*'Prop. prices'!I225*I$7</f>
        <v>0</v>
      </c>
      <c r="J225" s="198">
        <f>Qty!N69*'Prop. prices'!J225*J$7</f>
        <v>0</v>
      </c>
      <c r="K225" s="198">
        <f>Qty!O69*'Prop. prices'!K225*K$7</f>
        <v>0</v>
      </c>
      <c r="L225" s="198">
        <f>Qty!P69*'Prop. prices'!L225*L$7</f>
        <v>0</v>
      </c>
      <c r="M225" s="198">
        <f>Qty!Q69*'Prop. prices'!M225*M$7</f>
        <v>0</v>
      </c>
      <c r="N225" s="198">
        <f>Qty!R69*'Prop. prices'!N225*N$7</f>
        <v>0</v>
      </c>
      <c r="O225" s="198">
        <f>Qty!S69*'Prop. prices'!O225*O$7</f>
        <v>0</v>
      </c>
      <c r="P225" s="198">
        <f>Qty!T69*'Prop. prices'!P225*P$7</f>
        <v>0</v>
      </c>
      <c r="Q225" s="198">
        <f>Qty!U69*'Prop. prices'!Q225*Q$7</f>
        <v>0</v>
      </c>
      <c r="R225" s="198">
        <f>Qty!V69*'Prop. prices'!R225*R$7</f>
        <v>0</v>
      </c>
      <c r="S225" s="198">
        <f>Qty!W69*'Prop. prices'!S225*S$7</f>
        <v>0</v>
      </c>
      <c r="T225" s="198">
        <f>Qty!X69*'Prop. prices'!T225*T$7</f>
        <v>0</v>
      </c>
      <c r="U225" s="198">
        <f>Qty!Y69*'Prop. prices'!U225*U$7</f>
        <v>0</v>
      </c>
      <c r="V225" s="198">
        <f>Qty!Z69*'Prop. prices'!V225*V$7</f>
        <v>0</v>
      </c>
      <c r="W225" s="198">
        <f>Qty!AA69*'Prop. prices'!W225*W$7</f>
        <v>0</v>
      </c>
      <c r="X225" s="198">
        <f>Qty!AB69*'Prop. prices'!X225*X$7</f>
        <v>0</v>
      </c>
      <c r="Y225" s="198">
        <f>Qty!AC69*'Prop. prices'!Y225*Y$7</f>
        <v>0</v>
      </c>
      <c r="Z225" s="198">
        <f>Qty!AD69*'Prop. prices'!Z225*Z$7</f>
        <v>0</v>
      </c>
      <c r="AA225" s="198">
        <f>Qty!AE69*'Prop. prices'!AA225*AA$7</f>
        <v>0</v>
      </c>
      <c r="AB225" s="198">
        <f>Qty!AF69*'Prop. prices'!AB225*AB$7</f>
        <v>0</v>
      </c>
      <c r="AC225" s="206">
        <f t="shared" si="22"/>
        <v>0</v>
      </c>
      <c r="AD225" s="19"/>
      <c r="AE225" s="19"/>
      <c r="AF225" s="19"/>
      <c r="AG225" s="19"/>
    </row>
    <row r="226" spans="1:33" hidden="1" outlineLevel="3" x14ac:dyDescent="0.2">
      <c r="A226" s="19"/>
      <c r="B226" s="19"/>
      <c r="C226" s="506">
        <f t="shared" si="25"/>
        <v>0</v>
      </c>
      <c r="D226" s="505">
        <f t="shared" si="25"/>
        <v>0</v>
      </c>
      <c r="E226" s="505">
        <f t="shared" si="25"/>
        <v>0</v>
      </c>
      <c r="F226" s="505">
        <f t="shared" si="25"/>
        <v>0</v>
      </c>
      <c r="G226" s="505">
        <f t="shared" si="25"/>
        <v>0</v>
      </c>
      <c r="H226" s="58"/>
      <c r="I226" s="198">
        <f>Qty!M70*'Prop. prices'!I226*I$7</f>
        <v>0</v>
      </c>
      <c r="J226" s="198">
        <f>Qty!N70*'Prop. prices'!J226*J$7</f>
        <v>0</v>
      </c>
      <c r="K226" s="198">
        <f>Qty!O70*'Prop. prices'!K226*K$7</f>
        <v>0</v>
      </c>
      <c r="L226" s="198">
        <f>Qty!P70*'Prop. prices'!L226*L$7</f>
        <v>0</v>
      </c>
      <c r="M226" s="198">
        <f>Qty!Q70*'Prop. prices'!M226*M$7</f>
        <v>0</v>
      </c>
      <c r="N226" s="198">
        <f>Qty!R70*'Prop. prices'!N226*N$7</f>
        <v>0</v>
      </c>
      <c r="O226" s="198">
        <f>Qty!S70*'Prop. prices'!O226*O$7</f>
        <v>0</v>
      </c>
      <c r="P226" s="198">
        <f>Qty!T70*'Prop. prices'!P226*P$7</f>
        <v>0</v>
      </c>
      <c r="Q226" s="198">
        <f>Qty!U70*'Prop. prices'!Q226*Q$7</f>
        <v>0</v>
      </c>
      <c r="R226" s="198">
        <f>Qty!V70*'Prop. prices'!R226*R$7</f>
        <v>0</v>
      </c>
      <c r="S226" s="198">
        <f>Qty!W70*'Prop. prices'!S226*S$7</f>
        <v>0</v>
      </c>
      <c r="T226" s="198">
        <f>Qty!X70*'Prop. prices'!T226*T$7</f>
        <v>0</v>
      </c>
      <c r="U226" s="198">
        <f>Qty!Y70*'Prop. prices'!U226*U$7</f>
        <v>0</v>
      </c>
      <c r="V226" s="198">
        <f>Qty!Z70*'Prop. prices'!V226*V$7</f>
        <v>0</v>
      </c>
      <c r="W226" s="198">
        <f>Qty!AA70*'Prop. prices'!W226*W$7</f>
        <v>0</v>
      </c>
      <c r="X226" s="198">
        <f>Qty!AB70*'Prop. prices'!X226*X$7</f>
        <v>0</v>
      </c>
      <c r="Y226" s="198">
        <f>Qty!AC70*'Prop. prices'!Y226*Y$7</f>
        <v>0</v>
      </c>
      <c r="Z226" s="198">
        <f>Qty!AD70*'Prop. prices'!Z226*Z$7</f>
        <v>0</v>
      </c>
      <c r="AA226" s="198">
        <f>Qty!AE70*'Prop. prices'!AA226*AA$7</f>
        <v>0</v>
      </c>
      <c r="AB226" s="198">
        <f>Qty!AF70*'Prop. prices'!AB226*AB$7</f>
        <v>0</v>
      </c>
      <c r="AC226" s="206">
        <f t="shared" si="22"/>
        <v>0</v>
      </c>
      <c r="AD226" s="19"/>
      <c r="AE226" s="19"/>
      <c r="AF226" s="19"/>
      <c r="AG226" s="19"/>
    </row>
    <row r="227" spans="1:33" hidden="1" outlineLevel="3" x14ac:dyDescent="0.2">
      <c r="A227" s="19"/>
      <c r="B227" s="19"/>
      <c r="C227" s="506">
        <f t="shared" si="25"/>
        <v>0</v>
      </c>
      <c r="D227" s="505">
        <f t="shared" si="25"/>
        <v>0</v>
      </c>
      <c r="E227" s="505">
        <f t="shared" si="25"/>
        <v>0</v>
      </c>
      <c r="F227" s="505">
        <f t="shared" si="25"/>
        <v>0</v>
      </c>
      <c r="G227" s="505">
        <f t="shared" si="25"/>
        <v>0</v>
      </c>
      <c r="H227" s="58"/>
      <c r="I227" s="198">
        <f>Qty!M71*'Prop. prices'!I227*I$7</f>
        <v>0</v>
      </c>
      <c r="J227" s="198">
        <f>Qty!N71*'Prop. prices'!J227*J$7</f>
        <v>0</v>
      </c>
      <c r="K227" s="198">
        <f>Qty!O71*'Prop. prices'!K227*K$7</f>
        <v>0</v>
      </c>
      <c r="L227" s="198">
        <f>Qty!P71*'Prop. prices'!L227*L$7</f>
        <v>0</v>
      </c>
      <c r="M227" s="198">
        <f>Qty!Q71*'Prop. prices'!M227*M$7</f>
        <v>0</v>
      </c>
      <c r="N227" s="198">
        <f>Qty!R71*'Prop. prices'!N227*N$7</f>
        <v>0</v>
      </c>
      <c r="O227" s="198">
        <f>Qty!S71*'Prop. prices'!O227*O$7</f>
        <v>0</v>
      </c>
      <c r="P227" s="198">
        <f>Qty!T71*'Prop. prices'!P227*P$7</f>
        <v>0</v>
      </c>
      <c r="Q227" s="198">
        <f>Qty!U71*'Prop. prices'!Q227*Q$7</f>
        <v>0</v>
      </c>
      <c r="R227" s="198">
        <f>Qty!V71*'Prop. prices'!R227*R$7</f>
        <v>0</v>
      </c>
      <c r="S227" s="198">
        <f>Qty!W71*'Prop. prices'!S227*S$7</f>
        <v>0</v>
      </c>
      <c r="T227" s="198">
        <f>Qty!X71*'Prop. prices'!T227*T$7</f>
        <v>0</v>
      </c>
      <c r="U227" s="198">
        <f>Qty!Y71*'Prop. prices'!U227*U$7</f>
        <v>0</v>
      </c>
      <c r="V227" s="198">
        <f>Qty!Z71*'Prop. prices'!V227*V$7</f>
        <v>0</v>
      </c>
      <c r="W227" s="198">
        <f>Qty!AA71*'Prop. prices'!W227*W$7</f>
        <v>0</v>
      </c>
      <c r="X227" s="198">
        <f>Qty!AB71*'Prop. prices'!X227*X$7</f>
        <v>0</v>
      </c>
      <c r="Y227" s="198">
        <f>Qty!AC71*'Prop. prices'!Y227*Y$7</f>
        <v>0</v>
      </c>
      <c r="Z227" s="198">
        <f>Qty!AD71*'Prop. prices'!Z227*Z$7</f>
        <v>0</v>
      </c>
      <c r="AA227" s="198">
        <f>Qty!AE71*'Prop. prices'!AA227*AA$7</f>
        <v>0</v>
      </c>
      <c r="AB227" s="198">
        <f>Qty!AF71*'Prop. prices'!AB227*AB$7</f>
        <v>0</v>
      </c>
      <c r="AC227" s="206">
        <f t="shared" si="22"/>
        <v>0</v>
      </c>
      <c r="AD227" s="19"/>
      <c r="AE227" s="19"/>
      <c r="AF227" s="19"/>
      <c r="AG227" s="19"/>
    </row>
    <row r="228" spans="1:33" hidden="1" outlineLevel="3" x14ac:dyDescent="0.2">
      <c r="A228" s="19"/>
      <c r="B228" s="19"/>
      <c r="C228" s="506">
        <f t="shared" si="25"/>
        <v>0</v>
      </c>
      <c r="D228" s="505">
        <f t="shared" si="25"/>
        <v>0</v>
      </c>
      <c r="E228" s="505">
        <f t="shared" si="25"/>
        <v>0</v>
      </c>
      <c r="F228" s="505">
        <f t="shared" si="25"/>
        <v>0</v>
      </c>
      <c r="G228" s="505">
        <f t="shared" si="25"/>
        <v>0</v>
      </c>
      <c r="H228" s="58"/>
      <c r="I228" s="198">
        <f>Qty!M72*'Prop. prices'!I228*I$7</f>
        <v>0</v>
      </c>
      <c r="J228" s="198">
        <f>Qty!N72*'Prop. prices'!J228*J$7</f>
        <v>0</v>
      </c>
      <c r="K228" s="198">
        <f>Qty!O72*'Prop. prices'!K228*K$7</f>
        <v>0</v>
      </c>
      <c r="L228" s="198">
        <f>Qty!P72*'Prop. prices'!L228*L$7</f>
        <v>0</v>
      </c>
      <c r="M228" s="198">
        <f>Qty!Q72*'Prop. prices'!M228*M$7</f>
        <v>0</v>
      </c>
      <c r="N228" s="198">
        <f>Qty!R72*'Prop. prices'!N228*N$7</f>
        <v>0</v>
      </c>
      <c r="O228" s="198">
        <f>Qty!S72*'Prop. prices'!O228*O$7</f>
        <v>0</v>
      </c>
      <c r="P228" s="198">
        <f>Qty!T72*'Prop. prices'!P228*P$7</f>
        <v>0</v>
      </c>
      <c r="Q228" s="198">
        <f>Qty!U72*'Prop. prices'!Q228*Q$7</f>
        <v>0</v>
      </c>
      <c r="R228" s="198">
        <f>Qty!V72*'Prop. prices'!R228*R$7</f>
        <v>0</v>
      </c>
      <c r="S228" s="198">
        <f>Qty!W72*'Prop. prices'!S228*S$7</f>
        <v>0</v>
      </c>
      <c r="T228" s="198">
        <f>Qty!X72*'Prop. prices'!T228*T$7</f>
        <v>0</v>
      </c>
      <c r="U228" s="198">
        <f>Qty!Y72*'Prop. prices'!U228*U$7</f>
        <v>0</v>
      </c>
      <c r="V228" s="198">
        <f>Qty!Z72*'Prop. prices'!V228*V$7</f>
        <v>0</v>
      </c>
      <c r="W228" s="198">
        <f>Qty!AA72*'Prop. prices'!W228*W$7</f>
        <v>0</v>
      </c>
      <c r="X228" s="198">
        <f>Qty!AB72*'Prop. prices'!X228*X$7</f>
        <v>0</v>
      </c>
      <c r="Y228" s="198">
        <f>Qty!AC72*'Prop. prices'!Y228*Y$7</f>
        <v>0</v>
      </c>
      <c r="Z228" s="198">
        <f>Qty!AD72*'Prop. prices'!Z228*Z$7</f>
        <v>0</v>
      </c>
      <c r="AA228" s="198">
        <f>Qty!AE72*'Prop. prices'!AA228*AA$7</f>
        <v>0</v>
      </c>
      <c r="AB228" s="198">
        <f>Qty!AF72*'Prop. prices'!AB228*AB$7</f>
        <v>0</v>
      </c>
      <c r="AC228" s="206">
        <f t="shared" ref="AC228:AC238" si="26">SUM(I228:AB228)</f>
        <v>0</v>
      </c>
      <c r="AD228" s="19"/>
      <c r="AE228" s="19"/>
      <c r="AF228" s="19"/>
      <c r="AG228" s="19"/>
    </row>
    <row r="229" spans="1:33" hidden="1" outlineLevel="3" x14ac:dyDescent="0.2">
      <c r="A229" s="19"/>
      <c r="B229" s="19"/>
      <c r="C229" s="506">
        <f t="shared" si="25"/>
        <v>0</v>
      </c>
      <c r="D229" s="505">
        <f t="shared" si="25"/>
        <v>0</v>
      </c>
      <c r="E229" s="505">
        <f t="shared" si="25"/>
        <v>0</v>
      </c>
      <c r="F229" s="505">
        <f t="shared" si="25"/>
        <v>0</v>
      </c>
      <c r="G229" s="505">
        <f t="shared" si="25"/>
        <v>0</v>
      </c>
      <c r="H229" s="58"/>
      <c r="I229" s="198">
        <f>Qty!M73*'Prop. prices'!I229*I$7</f>
        <v>0</v>
      </c>
      <c r="J229" s="198">
        <f>Qty!N73*'Prop. prices'!J229*J$7</f>
        <v>0</v>
      </c>
      <c r="K229" s="198">
        <f>Qty!O73*'Prop. prices'!K229*K$7</f>
        <v>0</v>
      </c>
      <c r="L229" s="198">
        <f>Qty!P73*'Prop. prices'!L229*L$7</f>
        <v>0</v>
      </c>
      <c r="M229" s="198">
        <f>Qty!Q73*'Prop. prices'!M229*M$7</f>
        <v>0</v>
      </c>
      <c r="N229" s="198">
        <f>Qty!R73*'Prop. prices'!N229*N$7</f>
        <v>0</v>
      </c>
      <c r="O229" s="198">
        <f>Qty!S73*'Prop. prices'!O229*O$7</f>
        <v>0</v>
      </c>
      <c r="P229" s="198">
        <f>Qty!T73*'Prop. prices'!P229*P$7</f>
        <v>0</v>
      </c>
      <c r="Q229" s="198">
        <f>Qty!U73*'Prop. prices'!Q229*Q$7</f>
        <v>0</v>
      </c>
      <c r="R229" s="198">
        <f>Qty!V73*'Prop. prices'!R229*R$7</f>
        <v>0</v>
      </c>
      <c r="S229" s="198">
        <f>Qty!W73*'Prop. prices'!S229*S$7</f>
        <v>0</v>
      </c>
      <c r="T229" s="198">
        <f>Qty!X73*'Prop. prices'!T229*T$7</f>
        <v>0</v>
      </c>
      <c r="U229" s="198">
        <f>Qty!Y73*'Prop. prices'!U229*U$7</f>
        <v>0</v>
      </c>
      <c r="V229" s="198">
        <f>Qty!Z73*'Prop. prices'!V229*V$7</f>
        <v>0</v>
      </c>
      <c r="W229" s="198">
        <f>Qty!AA73*'Prop. prices'!W229*W$7</f>
        <v>0</v>
      </c>
      <c r="X229" s="198">
        <f>Qty!AB73*'Prop. prices'!X229*X$7</f>
        <v>0</v>
      </c>
      <c r="Y229" s="198">
        <f>Qty!AC73*'Prop. prices'!Y229*Y$7</f>
        <v>0</v>
      </c>
      <c r="Z229" s="198">
        <f>Qty!AD73*'Prop. prices'!Z229*Z$7</f>
        <v>0</v>
      </c>
      <c r="AA229" s="198">
        <f>Qty!AE73*'Prop. prices'!AA229*AA$7</f>
        <v>0</v>
      </c>
      <c r="AB229" s="198">
        <f>Qty!AF73*'Prop. prices'!AB229*AB$7</f>
        <v>0</v>
      </c>
      <c r="AC229" s="206">
        <f t="shared" si="26"/>
        <v>0</v>
      </c>
      <c r="AD229" s="19"/>
      <c r="AE229" s="19"/>
      <c r="AF229" s="19"/>
      <c r="AG229" s="19"/>
    </row>
    <row r="230" spans="1:33" hidden="1" outlineLevel="3" x14ac:dyDescent="0.2">
      <c r="A230" s="19"/>
      <c r="B230" s="19"/>
      <c r="C230" s="506">
        <f t="shared" si="25"/>
        <v>0</v>
      </c>
      <c r="D230" s="505">
        <f t="shared" si="25"/>
        <v>0</v>
      </c>
      <c r="E230" s="505">
        <f t="shared" si="25"/>
        <v>0</v>
      </c>
      <c r="F230" s="505">
        <f t="shared" si="25"/>
        <v>0</v>
      </c>
      <c r="G230" s="505">
        <f t="shared" si="25"/>
        <v>0</v>
      </c>
      <c r="H230" s="58"/>
      <c r="I230" s="198">
        <f>Qty!M74*'Prop. prices'!I230*I$7</f>
        <v>0</v>
      </c>
      <c r="J230" s="198">
        <f>Qty!N74*'Prop. prices'!J230*J$7</f>
        <v>0</v>
      </c>
      <c r="K230" s="198">
        <f>Qty!O74*'Prop. prices'!K230*K$7</f>
        <v>0</v>
      </c>
      <c r="L230" s="198">
        <f>Qty!P74*'Prop. prices'!L230*L$7</f>
        <v>0</v>
      </c>
      <c r="M230" s="198">
        <f>Qty!Q74*'Prop. prices'!M230*M$7</f>
        <v>0</v>
      </c>
      <c r="N230" s="198">
        <f>Qty!R74*'Prop. prices'!N230*N$7</f>
        <v>0</v>
      </c>
      <c r="O230" s="198">
        <f>Qty!S74*'Prop. prices'!O230*O$7</f>
        <v>0</v>
      </c>
      <c r="P230" s="198">
        <f>Qty!T74*'Prop. prices'!P230*P$7</f>
        <v>0</v>
      </c>
      <c r="Q230" s="198">
        <f>Qty!U74*'Prop. prices'!Q230*Q$7</f>
        <v>0</v>
      </c>
      <c r="R230" s="198">
        <f>Qty!V74*'Prop. prices'!R230*R$7</f>
        <v>0</v>
      </c>
      <c r="S230" s="198">
        <f>Qty!W74*'Prop. prices'!S230*S$7</f>
        <v>0</v>
      </c>
      <c r="T230" s="198">
        <f>Qty!X74*'Prop. prices'!T230*T$7</f>
        <v>0</v>
      </c>
      <c r="U230" s="198">
        <f>Qty!Y74*'Prop. prices'!U230*U$7</f>
        <v>0</v>
      </c>
      <c r="V230" s="198">
        <f>Qty!Z74*'Prop. prices'!V230*V$7</f>
        <v>0</v>
      </c>
      <c r="W230" s="198">
        <f>Qty!AA74*'Prop. prices'!W230*W$7</f>
        <v>0</v>
      </c>
      <c r="X230" s="198">
        <f>Qty!AB74*'Prop. prices'!X230*X$7</f>
        <v>0</v>
      </c>
      <c r="Y230" s="198">
        <f>Qty!AC74*'Prop. prices'!Y230*Y$7</f>
        <v>0</v>
      </c>
      <c r="Z230" s="198">
        <f>Qty!AD74*'Prop. prices'!Z230*Z$7</f>
        <v>0</v>
      </c>
      <c r="AA230" s="198">
        <f>Qty!AE74*'Prop. prices'!AA230*AA$7</f>
        <v>0</v>
      </c>
      <c r="AB230" s="198">
        <f>Qty!AF74*'Prop. prices'!AB230*AB$7</f>
        <v>0</v>
      </c>
      <c r="AC230" s="206">
        <f t="shared" si="26"/>
        <v>0</v>
      </c>
      <c r="AD230" s="19"/>
      <c r="AE230" s="19"/>
      <c r="AF230" s="19"/>
      <c r="AG230" s="19"/>
    </row>
    <row r="231" spans="1:33" hidden="1" outlineLevel="3" x14ac:dyDescent="0.2">
      <c r="A231" s="19"/>
      <c r="B231" s="19"/>
      <c r="C231" s="506">
        <f t="shared" si="25"/>
        <v>0</v>
      </c>
      <c r="D231" s="505">
        <f t="shared" si="25"/>
        <v>0</v>
      </c>
      <c r="E231" s="505">
        <f t="shared" si="25"/>
        <v>0</v>
      </c>
      <c r="F231" s="505">
        <f t="shared" si="25"/>
        <v>0</v>
      </c>
      <c r="G231" s="505">
        <f t="shared" si="25"/>
        <v>0</v>
      </c>
      <c r="H231" s="58"/>
      <c r="I231" s="198">
        <f>Qty!M75*'Prop. prices'!I231*I$7</f>
        <v>0</v>
      </c>
      <c r="J231" s="198">
        <f>Qty!N75*'Prop. prices'!J231*J$7</f>
        <v>0</v>
      </c>
      <c r="K231" s="198">
        <f>Qty!O75*'Prop. prices'!K231*K$7</f>
        <v>0</v>
      </c>
      <c r="L231" s="198">
        <f>Qty!P75*'Prop. prices'!L231*L$7</f>
        <v>0</v>
      </c>
      <c r="M231" s="198">
        <f>Qty!Q75*'Prop. prices'!M231*M$7</f>
        <v>0</v>
      </c>
      <c r="N231" s="198">
        <f>Qty!R75*'Prop. prices'!N231*N$7</f>
        <v>0</v>
      </c>
      <c r="O231" s="198">
        <f>Qty!S75*'Prop. prices'!O231*O$7</f>
        <v>0</v>
      </c>
      <c r="P231" s="198">
        <f>Qty!T75*'Prop. prices'!P231*P$7</f>
        <v>0</v>
      </c>
      <c r="Q231" s="198">
        <f>Qty!U75*'Prop. prices'!Q231*Q$7</f>
        <v>0</v>
      </c>
      <c r="R231" s="198">
        <f>Qty!V75*'Prop. prices'!R231*R$7</f>
        <v>0</v>
      </c>
      <c r="S231" s="198">
        <f>Qty!W75*'Prop. prices'!S231*S$7</f>
        <v>0</v>
      </c>
      <c r="T231" s="198">
        <f>Qty!X75*'Prop. prices'!T231*T$7</f>
        <v>0</v>
      </c>
      <c r="U231" s="198">
        <f>Qty!Y75*'Prop. prices'!U231*U$7</f>
        <v>0</v>
      </c>
      <c r="V231" s="198">
        <f>Qty!Z75*'Prop. prices'!V231*V$7</f>
        <v>0</v>
      </c>
      <c r="W231" s="198">
        <f>Qty!AA75*'Prop. prices'!W231*W$7</f>
        <v>0</v>
      </c>
      <c r="X231" s="198">
        <f>Qty!AB75*'Prop. prices'!X231*X$7</f>
        <v>0</v>
      </c>
      <c r="Y231" s="198">
        <f>Qty!AC75*'Prop. prices'!Y231*Y$7</f>
        <v>0</v>
      </c>
      <c r="Z231" s="198">
        <f>Qty!AD75*'Prop. prices'!Z231*Z$7</f>
        <v>0</v>
      </c>
      <c r="AA231" s="198">
        <f>Qty!AE75*'Prop. prices'!AA231*AA$7</f>
        <v>0</v>
      </c>
      <c r="AB231" s="198">
        <f>Qty!AF75*'Prop. prices'!AB231*AB$7</f>
        <v>0</v>
      </c>
      <c r="AC231" s="206">
        <f t="shared" si="26"/>
        <v>0</v>
      </c>
      <c r="AD231" s="19"/>
      <c r="AE231" s="19"/>
      <c r="AF231" s="19"/>
      <c r="AG231" s="19"/>
    </row>
    <row r="232" spans="1:33" hidden="1" outlineLevel="3" x14ac:dyDescent="0.2">
      <c r="A232" s="19"/>
      <c r="B232" s="19"/>
      <c r="C232" s="506">
        <f t="shared" si="25"/>
        <v>0</v>
      </c>
      <c r="D232" s="505">
        <f t="shared" si="25"/>
        <v>0</v>
      </c>
      <c r="E232" s="505">
        <f t="shared" si="25"/>
        <v>0</v>
      </c>
      <c r="F232" s="505">
        <f t="shared" si="25"/>
        <v>0</v>
      </c>
      <c r="G232" s="505">
        <f t="shared" si="25"/>
        <v>0</v>
      </c>
      <c r="H232" s="58"/>
      <c r="I232" s="198">
        <f>Qty!M76*'Prop. prices'!I232*I$7</f>
        <v>0</v>
      </c>
      <c r="J232" s="198">
        <f>Qty!N76*'Prop. prices'!J232*J$7</f>
        <v>0</v>
      </c>
      <c r="K232" s="198">
        <f>Qty!O76*'Prop. prices'!K232*K$7</f>
        <v>0</v>
      </c>
      <c r="L232" s="198">
        <f>Qty!P76*'Prop. prices'!L232*L$7</f>
        <v>0</v>
      </c>
      <c r="M232" s="198">
        <f>Qty!Q76*'Prop. prices'!M232*M$7</f>
        <v>0</v>
      </c>
      <c r="N232" s="198">
        <f>Qty!R76*'Prop. prices'!N232*N$7</f>
        <v>0</v>
      </c>
      <c r="O232" s="198">
        <f>Qty!S76*'Prop. prices'!O232*O$7</f>
        <v>0</v>
      </c>
      <c r="P232" s="198">
        <f>Qty!T76*'Prop. prices'!P232*P$7</f>
        <v>0</v>
      </c>
      <c r="Q232" s="198">
        <f>Qty!U76*'Prop. prices'!Q232*Q$7</f>
        <v>0</v>
      </c>
      <c r="R232" s="198">
        <f>Qty!V76*'Prop. prices'!R232*R$7</f>
        <v>0</v>
      </c>
      <c r="S232" s="198">
        <f>Qty!W76*'Prop. prices'!S232*S$7</f>
        <v>0</v>
      </c>
      <c r="T232" s="198">
        <f>Qty!X76*'Prop. prices'!T232*T$7</f>
        <v>0</v>
      </c>
      <c r="U232" s="198">
        <f>Qty!Y76*'Prop. prices'!U232*U$7</f>
        <v>0</v>
      </c>
      <c r="V232" s="198">
        <f>Qty!Z76*'Prop. prices'!V232*V$7</f>
        <v>0</v>
      </c>
      <c r="W232" s="198">
        <f>Qty!AA76*'Prop. prices'!W232*W$7</f>
        <v>0</v>
      </c>
      <c r="X232" s="198">
        <f>Qty!AB76*'Prop. prices'!X232*X$7</f>
        <v>0</v>
      </c>
      <c r="Y232" s="198">
        <f>Qty!AC76*'Prop. prices'!Y232*Y$7</f>
        <v>0</v>
      </c>
      <c r="Z232" s="198">
        <f>Qty!AD76*'Prop. prices'!Z232*Z$7</f>
        <v>0</v>
      </c>
      <c r="AA232" s="198">
        <f>Qty!AE76*'Prop. prices'!AA232*AA$7</f>
        <v>0</v>
      </c>
      <c r="AB232" s="198">
        <f>Qty!AF76*'Prop. prices'!AB232*AB$7</f>
        <v>0</v>
      </c>
      <c r="AC232" s="206">
        <f t="shared" si="26"/>
        <v>0</v>
      </c>
      <c r="AD232" s="19"/>
      <c r="AE232" s="19"/>
      <c r="AF232" s="19"/>
      <c r="AG232" s="19"/>
    </row>
    <row r="233" spans="1:33" hidden="1" outlineLevel="3" x14ac:dyDescent="0.2">
      <c r="A233" s="19"/>
      <c r="B233" s="19"/>
      <c r="C233" s="506">
        <f t="shared" si="25"/>
        <v>0</v>
      </c>
      <c r="D233" s="505">
        <f t="shared" si="25"/>
        <v>0</v>
      </c>
      <c r="E233" s="505">
        <f t="shared" si="25"/>
        <v>0</v>
      </c>
      <c r="F233" s="505">
        <f t="shared" si="25"/>
        <v>0</v>
      </c>
      <c r="G233" s="505">
        <f t="shared" si="25"/>
        <v>0</v>
      </c>
      <c r="H233" s="58"/>
      <c r="I233" s="198">
        <f>Qty!M77*'Prop. prices'!I233*I$7</f>
        <v>0</v>
      </c>
      <c r="J233" s="198">
        <f>Qty!N77*'Prop. prices'!J233*J$7</f>
        <v>0</v>
      </c>
      <c r="K233" s="198">
        <f>Qty!O77*'Prop. prices'!K233*K$7</f>
        <v>0</v>
      </c>
      <c r="L233" s="198">
        <f>Qty!P77*'Prop. prices'!L233*L$7</f>
        <v>0</v>
      </c>
      <c r="M233" s="198">
        <f>Qty!Q77*'Prop. prices'!M233*M$7</f>
        <v>0</v>
      </c>
      <c r="N233" s="198">
        <f>Qty!R77*'Prop. prices'!N233*N$7</f>
        <v>0</v>
      </c>
      <c r="O233" s="198">
        <f>Qty!S77*'Prop. prices'!O233*O$7</f>
        <v>0</v>
      </c>
      <c r="P233" s="198">
        <f>Qty!T77*'Prop. prices'!P233*P$7</f>
        <v>0</v>
      </c>
      <c r="Q233" s="198">
        <f>Qty!U77*'Prop. prices'!Q233*Q$7</f>
        <v>0</v>
      </c>
      <c r="R233" s="198">
        <f>Qty!V77*'Prop. prices'!R233*R$7</f>
        <v>0</v>
      </c>
      <c r="S233" s="198">
        <f>Qty!W77*'Prop. prices'!S233*S$7</f>
        <v>0</v>
      </c>
      <c r="T233" s="198">
        <f>Qty!X77*'Prop. prices'!T233*T$7</f>
        <v>0</v>
      </c>
      <c r="U233" s="198">
        <f>Qty!Y77*'Prop. prices'!U233*U$7</f>
        <v>0</v>
      </c>
      <c r="V233" s="198">
        <f>Qty!Z77*'Prop. prices'!V233*V$7</f>
        <v>0</v>
      </c>
      <c r="W233" s="198">
        <f>Qty!AA77*'Prop. prices'!W233*W$7</f>
        <v>0</v>
      </c>
      <c r="X233" s="198">
        <f>Qty!AB77*'Prop. prices'!X233*X$7</f>
        <v>0</v>
      </c>
      <c r="Y233" s="198">
        <f>Qty!AC77*'Prop. prices'!Y233*Y$7</f>
        <v>0</v>
      </c>
      <c r="Z233" s="198">
        <f>Qty!AD77*'Prop. prices'!Z233*Z$7</f>
        <v>0</v>
      </c>
      <c r="AA233" s="198">
        <f>Qty!AE77*'Prop. prices'!AA233*AA$7</f>
        <v>0</v>
      </c>
      <c r="AB233" s="198">
        <f>Qty!AF77*'Prop. prices'!AB233*AB$7</f>
        <v>0</v>
      </c>
      <c r="AC233" s="206">
        <f t="shared" si="26"/>
        <v>0</v>
      </c>
      <c r="AD233" s="19"/>
      <c r="AE233" s="19"/>
      <c r="AF233" s="19"/>
      <c r="AG233" s="19"/>
    </row>
    <row r="234" spans="1:33" hidden="1" outlineLevel="3" x14ac:dyDescent="0.2">
      <c r="A234" s="19"/>
      <c r="B234" s="19"/>
      <c r="C234" s="506">
        <f t="shared" ref="C234:G238" si="27">C78</f>
        <v>0</v>
      </c>
      <c r="D234" s="505">
        <f t="shared" si="27"/>
        <v>0</v>
      </c>
      <c r="E234" s="505">
        <f t="shared" si="27"/>
        <v>0</v>
      </c>
      <c r="F234" s="505">
        <f t="shared" si="27"/>
        <v>0</v>
      </c>
      <c r="G234" s="505">
        <f t="shared" si="27"/>
        <v>0</v>
      </c>
      <c r="H234" s="58"/>
      <c r="I234" s="198">
        <f>Qty!M78*'Prop. prices'!I234*I$7</f>
        <v>0</v>
      </c>
      <c r="J234" s="198">
        <f>Qty!N78*'Prop. prices'!J234*J$7</f>
        <v>0</v>
      </c>
      <c r="K234" s="198">
        <f>Qty!O78*'Prop. prices'!K234*K$7</f>
        <v>0</v>
      </c>
      <c r="L234" s="198">
        <f>Qty!P78*'Prop. prices'!L234*L$7</f>
        <v>0</v>
      </c>
      <c r="M234" s="198">
        <f>Qty!Q78*'Prop. prices'!M234*M$7</f>
        <v>0</v>
      </c>
      <c r="N234" s="198">
        <f>Qty!R78*'Prop. prices'!N234*N$7</f>
        <v>0</v>
      </c>
      <c r="O234" s="198">
        <f>Qty!S78*'Prop. prices'!O234*O$7</f>
        <v>0</v>
      </c>
      <c r="P234" s="198">
        <f>Qty!T78*'Prop. prices'!P234*P$7</f>
        <v>0</v>
      </c>
      <c r="Q234" s="198">
        <f>Qty!U78*'Prop. prices'!Q234*Q$7</f>
        <v>0</v>
      </c>
      <c r="R234" s="198">
        <f>Qty!V78*'Prop. prices'!R234*R$7</f>
        <v>0</v>
      </c>
      <c r="S234" s="198">
        <f>Qty!W78*'Prop. prices'!S234*S$7</f>
        <v>0</v>
      </c>
      <c r="T234" s="198">
        <f>Qty!X78*'Prop. prices'!T234*T$7</f>
        <v>0</v>
      </c>
      <c r="U234" s="198">
        <f>Qty!Y78*'Prop. prices'!U234*U$7</f>
        <v>0</v>
      </c>
      <c r="V234" s="198">
        <f>Qty!Z78*'Prop. prices'!V234*V$7</f>
        <v>0</v>
      </c>
      <c r="W234" s="198">
        <f>Qty!AA78*'Prop. prices'!W234*W$7</f>
        <v>0</v>
      </c>
      <c r="X234" s="198">
        <f>Qty!AB78*'Prop. prices'!X234*X$7</f>
        <v>0</v>
      </c>
      <c r="Y234" s="198">
        <f>Qty!AC78*'Prop. prices'!Y234*Y$7</f>
        <v>0</v>
      </c>
      <c r="Z234" s="198">
        <f>Qty!AD78*'Prop. prices'!Z234*Z$7</f>
        <v>0</v>
      </c>
      <c r="AA234" s="198">
        <f>Qty!AE78*'Prop. prices'!AA234*AA$7</f>
        <v>0</v>
      </c>
      <c r="AB234" s="198">
        <f>Qty!AF78*'Prop. prices'!AB234*AB$7</f>
        <v>0</v>
      </c>
      <c r="AC234" s="206">
        <f t="shared" si="26"/>
        <v>0</v>
      </c>
      <c r="AD234" s="19"/>
      <c r="AE234" s="19"/>
      <c r="AF234" s="19"/>
      <c r="AG234" s="19"/>
    </row>
    <row r="235" spans="1:33" hidden="1" outlineLevel="3" x14ac:dyDescent="0.2">
      <c r="A235" s="19"/>
      <c r="B235" s="19"/>
      <c r="C235" s="506">
        <f t="shared" si="27"/>
        <v>0</v>
      </c>
      <c r="D235" s="505">
        <f t="shared" si="27"/>
        <v>0</v>
      </c>
      <c r="E235" s="505">
        <f t="shared" si="27"/>
        <v>0</v>
      </c>
      <c r="F235" s="505">
        <f t="shared" si="27"/>
        <v>0</v>
      </c>
      <c r="G235" s="505">
        <f t="shared" si="27"/>
        <v>0</v>
      </c>
      <c r="H235" s="58"/>
      <c r="I235" s="198">
        <f>Qty!M79*'Prop. prices'!I235*I$7</f>
        <v>0</v>
      </c>
      <c r="J235" s="198">
        <f>Qty!N79*'Prop. prices'!J235*J$7</f>
        <v>0</v>
      </c>
      <c r="K235" s="198">
        <f>Qty!O79*'Prop. prices'!K235*K$7</f>
        <v>0</v>
      </c>
      <c r="L235" s="198">
        <f>Qty!P79*'Prop. prices'!L235*L$7</f>
        <v>0</v>
      </c>
      <c r="M235" s="198">
        <f>Qty!Q79*'Prop. prices'!M235*M$7</f>
        <v>0</v>
      </c>
      <c r="N235" s="198">
        <f>Qty!R79*'Prop. prices'!N235*N$7</f>
        <v>0</v>
      </c>
      <c r="O235" s="198">
        <f>Qty!S79*'Prop. prices'!O235*O$7</f>
        <v>0</v>
      </c>
      <c r="P235" s="198">
        <f>Qty!T79*'Prop. prices'!P235*P$7</f>
        <v>0</v>
      </c>
      <c r="Q235" s="198">
        <f>Qty!U79*'Prop. prices'!Q235*Q$7</f>
        <v>0</v>
      </c>
      <c r="R235" s="198">
        <f>Qty!V79*'Prop. prices'!R235*R$7</f>
        <v>0</v>
      </c>
      <c r="S235" s="198">
        <f>Qty!W79*'Prop. prices'!S235*S$7</f>
        <v>0</v>
      </c>
      <c r="T235" s="198">
        <f>Qty!X79*'Prop. prices'!T235*T$7</f>
        <v>0</v>
      </c>
      <c r="U235" s="198">
        <f>Qty!Y79*'Prop. prices'!U235*U$7</f>
        <v>0</v>
      </c>
      <c r="V235" s="198">
        <f>Qty!Z79*'Prop. prices'!V235*V$7</f>
        <v>0</v>
      </c>
      <c r="W235" s="198">
        <f>Qty!AA79*'Prop. prices'!W235*W$7</f>
        <v>0</v>
      </c>
      <c r="X235" s="198">
        <f>Qty!AB79*'Prop. prices'!X235*X$7</f>
        <v>0</v>
      </c>
      <c r="Y235" s="198">
        <f>Qty!AC79*'Prop. prices'!Y235*Y$7</f>
        <v>0</v>
      </c>
      <c r="Z235" s="198">
        <f>Qty!AD79*'Prop. prices'!Z235*Z$7</f>
        <v>0</v>
      </c>
      <c r="AA235" s="198">
        <f>Qty!AE79*'Prop. prices'!AA235*AA$7</f>
        <v>0</v>
      </c>
      <c r="AB235" s="198">
        <f>Qty!AF79*'Prop. prices'!AB235*AB$7</f>
        <v>0</v>
      </c>
      <c r="AC235" s="206">
        <f t="shared" si="26"/>
        <v>0</v>
      </c>
      <c r="AD235" s="19"/>
      <c r="AE235" s="19"/>
      <c r="AF235" s="19"/>
      <c r="AG235" s="19"/>
    </row>
    <row r="236" spans="1:33" hidden="1" outlineLevel="3" x14ac:dyDescent="0.2">
      <c r="A236" s="19"/>
      <c r="B236" s="19"/>
      <c r="C236" s="506">
        <f t="shared" si="27"/>
        <v>0</v>
      </c>
      <c r="D236" s="505">
        <f t="shared" si="27"/>
        <v>0</v>
      </c>
      <c r="E236" s="505">
        <f t="shared" si="27"/>
        <v>0</v>
      </c>
      <c r="F236" s="505">
        <f t="shared" si="27"/>
        <v>0</v>
      </c>
      <c r="G236" s="505">
        <f t="shared" si="27"/>
        <v>0</v>
      </c>
      <c r="H236" s="58"/>
      <c r="I236" s="198">
        <f>Qty!M80*'Prop. prices'!I236*I$7</f>
        <v>0</v>
      </c>
      <c r="J236" s="198">
        <f>Qty!N80*'Prop. prices'!J236*J$7</f>
        <v>0</v>
      </c>
      <c r="K236" s="198">
        <f>Qty!O80*'Prop. prices'!K236*K$7</f>
        <v>0</v>
      </c>
      <c r="L236" s="198">
        <f>Qty!P80*'Prop. prices'!L236*L$7</f>
        <v>0</v>
      </c>
      <c r="M236" s="198">
        <f>Qty!Q80*'Prop. prices'!M236*M$7</f>
        <v>0</v>
      </c>
      <c r="N236" s="198">
        <f>Qty!R80*'Prop. prices'!N236*N$7</f>
        <v>0</v>
      </c>
      <c r="O236" s="198">
        <f>Qty!S80*'Prop. prices'!O236*O$7</f>
        <v>0</v>
      </c>
      <c r="P236" s="198">
        <f>Qty!T80*'Prop. prices'!P236*P$7</f>
        <v>0</v>
      </c>
      <c r="Q236" s="198">
        <f>Qty!U80*'Prop. prices'!Q236*Q$7</f>
        <v>0</v>
      </c>
      <c r="R236" s="198">
        <f>Qty!V80*'Prop. prices'!R236*R$7</f>
        <v>0</v>
      </c>
      <c r="S236" s="198">
        <f>Qty!W80*'Prop. prices'!S236*S$7</f>
        <v>0</v>
      </c>
      <c r="T236" s="198">
        <f>Qty!X80*'Prop. prices'!T236*T$7</f>
        <v>0</v>
      </c>
      <c r="U236" s="198">
        <f>Qty!Y80*'Prop. prices'!U236*U$7</f>
        <v>0</v>
      </c>
      <c r="V236" s="198">
        <f>Qty!Z80*'Prop. prices'!V236*V$7</f>
        <v>0</v>
      </c>
      <c r="W236" s="198">
        <f>Qty!AA80*'Prop. prices'!W236*W$7</f>
        <v>0</v>
      </c>
      <c r="X236" s="198">
        <f>Qty!AB80*'Prop. prices'!X236*X$7</f>
        <v>0</v>
      </c>
      <c r="Y236" s="198">
        <f>Qty!AC80*'Prop. prices'!Y236*Y$7</f>
        <v>0</v>
      </c>
      <c r="Z236" s="198">
        <f>Qty!AD80*'Prop. prices'!Z236*Z$7</f>
        <v>0</v>
      </c>
      <c r="AA236" s="198">
        <f>Qty!AE80*'Prop. prices'!AA236*AA$7</f>
        <v>0</v>
      </c>
      <c r="AB236" s="198">
        <f>Qty!AF80*'Prop. prices'!AB236*AB$7</f>
        <v>0</v>
      </c>
      <c r="AC236" s="206">
        <f t="shared" si="26"/>
        <v>0</v>
      </c>
      <c r="AD236" s="19"/>
      <c r="AE236" s="19"/>
      <c r="AF236" s="19"/>
      <c r="AG236" s="19"/>
    </row>
    <row r="237" spans="1:33" hidden="1" outlineLevel="3" x14ac:dyDescent="0.2">
      <c r="A237" s="19"/>
      <c r="B237" s="19"/>
      <c r="C237" s="506">
        <f t="shared" si="27"/>
        <v>0</v>
      </c>
      <c r="D237" s="505">
        <f t="shared" si="27"/>
        <v>0</v>
      </c>
      <c r="E237" s="505">
        <f t="shared" si="27"/>
        <v>0</v>
      </c>
      <c r="F237" s="505">
        <f t="shared" si="27"/>
        <v>0</v>
      </c>
      <c r="G237" s="505">
        <f t="shared" si="27"/>
        <v>0</v>
      </c>
      <c r="H237" s="58"/>
      <c r="I237" s="198">
        <f>Qty!M81*'Prop. prices'!I237*I$7</f>
        <v>0</v>
      </c>
      <c r="J237" s="198">
        <f>Qty!N81*'Prop. prices'!J237*J$7</f>
        <v>0</v>
      </c>
      <c r="K237" s="198">
        <f>Qty!O81*'Prop. prices'!K237*K$7</f>
        <v>0</v>
      </c>
      <c r="L237" s="198">
        <f>Qty!P81*'Prop. prices'!L237*L$7</f>
        <v>0</v>
      </c>
      <c r="M237" s="198">
        <f>Qty!Q81*'Prop. prices'!M237*M$7</f>
        <v>0</v>
      </c>
      <c r="N237" s="198">
        <f>Qty!R81*'Prop. prices'!N237*N$7</f>
        <v>0</v>
      </c>
      <c r="O237" s="198">
        <f>Qty!S81*'Prop. prices'!O237*O$7</f>
        <v>0</v>
      </c>
      <c r="P237" s="198">
        <f>Qty!T81*'Prop. prices'!P237*P$7</f>
        <v>0</v>
      </c>
      <c r="Q237" s="198">
        <f>Qty!U81*'Prop. prices'!Q237*Q$7</f>
        <v>0</v>
      </c>
      <c r="R237" s="198">
        <f>Qty!V81*'Prop. prices'!R237*R$7</f>
        <v>0</v>
      </c>
      <c r="S237" s="198">
        <f>Qty!W81*'Prop. prices'!S237*S$7</f>
        <v>0</v>
      </c>
      <c r="T237" s="198">
        <f>Qty!X81*'Prop. prices'!T237*T$7</f>
        <v>0</v>
      </c>
      <c r="U237" s="198">
        <f>Qty!Y81*'Prop. prices'!U237*U$7</f>
        <v>0</v>
      </c>
      <c r="V237" s="198">
        <f>Qty!Z81*'Prop. prices'!V237*V$7</f>
        <v>0</v>
      </c>
      <c r="W237" s="198">
        <f>Qty!AA81*'Prop. prices'!W237*W$7</f>
        <v>0</v>
      </c>
      <c r="X237" s="198">
        <f>Qty!AB81*'Prop. prices'!X237*X$7</f>
        <v>0</v>
      </c>
      <c r="Y237" s="198">
        <f>Qty!AC81*'Prop. prices'!Y237*Y$7</f>
        <v>0</v>
      </c>
      <c r="Z237" s="198">
        <f>Qty!AD81*'Prop. prices'!Z237*Z$7</f>
        <v>0</v>
      </c>
      <c r="AA237" s="198">
        <f>Qty!AE81*'Prop. prices'!AA237*AA$7</f>
        <v>0</v>
      </c>
      <c r="AB237" s="198">
        <f>Qty!AF81*'Prop. prices'!AB237*AB$7</f>
        <v>0</v>
      </c>
      <c r="AC237" s="206">
        <f t="shared" si="26"/>
        <v>0</v>
      </c>
      <c r="AD237" s="19"/>
      <c r="AE237" s="19"/>
      <c r="AF237" s="19"/>
      <c r="AG237" s="19"/>
    </row>
    <row r="238" spans="1:33" hidden="1" outlineLevel="3" x14ac:dyDescent="0.2">
      <c r="A238" s="19"/>
      <c r="B238" s="19"/>
      <c r="C238" s="506">
        <f t="shared" si="27"/>
        <v>0</v>
      </c>
      <c r="D238" s="505">
        <f t="shared" si="27"/>
        <v>0</v>
      </c>
      <c r="E238" s="505">
        <f t="shared" si="27"/>
        <v>0</v>
      </c>
      <c r="F238" s="505">
        <f t="shared" si="27"/>
        <v>0</v>
      </c>
      <c r="G238" s="505">
        <f t="shared" si="27"/>
        <v>0</v>
      </c>
      <c r="H238" s="58"/>
      <c r="I238" s="198">
        <f>Qty!M82*'Prop. prices'!I238*I$7</f>
        <v>0</v>
      </c>
      <c r="J238" s="198">
        <f>Qty!N82*'Prop. prices'!J238*J$7</f>
        <v>0</v>
      </c>
      <c r="K238" s="198">
        <f>Qty!O82*'Prop. prices'!K238*K$7</f>
        <v>0</v>
      </c>
      <c r="L238" s="198">
        <f>Qty!P82*'Prop. prices'!L238*L$7</f>
        <v>0</v>
      </c>
      <c r="M238" s="198">
        <f>Qty!Q82*'Prop. prices'!M238*M$7</f>
        <v>0</v>
      </c>
      <c r="N238" s="198">
        <f>Qty!R82*'Prop. prices'!N238*N$7</f>
        <v>0</v>
      </c>
      <c r="O238" s="198">
        <f>Qty!S82*'Prop. prices'!O238*O$7</f>
        <v>0</v>
      </c>
      <c r="P238" s="198">
        <f>Qty!T82*'Prop. prices'!P238*P$7</f>
        <v>0</v>
      </c>
      <c r="Q238" s="198">
        <f>Qty!U82*'Prop. prices'!Q238*Q$7</f>
        <v>0</v>
      </c>
      <c r="R238" s="198">
        <f>Qty!V82*'Prop. prices'!R238*R$7</f>
        <v>0</v>
      </c>
      <c r="S238" s="198">
        <f>Qty!W82*'Prop. prices'!S238*S$7</f>
        <v>0</v>
      </c>
      <c r="T238" s="198">
        <f>Qty!X82*'Prop. prices'!T238*T$7</f>
        <v>0</v>
      </c>
      <c r="U238" s="198">
        <f>Qty!Y82*'Prop. prices'!U238*U$7</f>
        <v>0</v>
      </c>
      <c r="V238" s="198">
        <f>Qty!Z82*'Prop. prices'!V238*V$7</f>
        <v>0</v>
      </c>
      <c r="W238" s="198">
        <f>Qty!AA82*'Prop. prices'!W238*W$7</f>
        <v>0</v>
      </c>
      <c r="X238" s="198">
        <f>Qty!AB82*'Prop. prices'!X238*X$7</f>
        <v>0</v>
      </c>
      <c r="Y238" s="198">
        <f>Qty!AC82*'Prop. prices'!Y238*Y$7</f>
        <v>0</v>
      </c>
      <c r="Z238" s="198">
        <f>Qty!AD82*'Prop. prices'!Z238*Z$7</f>
        <v>0</v>
      </c>
      <c r="AA238" s="198">
        <f>Qty!AE82*'Prop. prices'!AA238*AA$7</f>
        <v>0</v>
      </c>
      <c r="AB238" s="198">
        <f>Qty!AF82*'Prop. prices'!AB238*AB$7</f>
        <v>0</v>
      </c>
      <c r="AC238" s="206">
        <f t="shared" si="26"/>
        <v>0</v>
      </c>
      <c r="AD238" s="19"/>
      <c r="AE238" s="19"/>
      <c r="AF238" s="19"/>
      <c r="AG238" s="19"/>
    </row>
    <row r="239" spans="1:33" hidden="1" outlineLevel="2" collapsed="1" x14ac:dyDescent="0.2">
      <c r="A239" s="19"/>
      <c r="B239" s="19"/>
      <c r="C239" s="539" t="s">
        <v>240</v>
      </c>
      <c r="D239" s="505"/>
      <c r="E239" s="505"/>
      <c r="F239" s="505"/>
      <c r="G239" s="505"/>
      <c r="H239" s="58"/>
      <c r="I239" s="205">
        <f t="shared" ref="I239:AC239" si="28">SUM(I164:I238)</f>
        <v>0</v>
      </c>
      <c r="J239" s="205">
        <f t="shared" si="28"/>
        <v>0</v>
      </c>
      <c r="K239" s="205">
        <f t="shared" si="28"/>
        <v>0</v>
      </c>
      <c r="L239" s="205">
        <f t="shared" si="28"/>
        <v>0</v>
      </c>
      <c r="M239" s="205">
        <f t="shared" si="28"/>
        <v>0</v>
      </c>
      <c r="N239" s="205">
        <f t="shared" si="28"/>
        <v>0</v>
      </c>
      <c r="O239" s="205">
        <f t="shared" si="28"/>
        <v>0</v>
      </c>
      <c r="P239" s="205">
        <f t="shared" si="28"/>
        <v>0</v>
      </c>
      <c r="Q239" s="205">
        <f t="shared" si="28"/>
        <v>0</v>
      </c>
      <c r="R239" s="205">
        <f t="shared" si="28"/>
        <v>0</v>
      </c>
      <c r="S239" s="205">
        <f t="shared" si="28"/>
        <v>0</v>
      </c>
      <c r="T239" s="205">
        <f t="shared" si="28"/>
        <v>0</v>
      </c>
      <c r="U239" s="205">
        <f t="shared" si="28"/>
        <v>0</v>
      </c>
      <c r="V239" s="205">
        <f t="shared" si="28"/>
        <v>0</v>
      </c>
      <c r="W239" s="205">
        <f t="shared" si="28"/>
        <v>0</v>
      </c>
      <c r="X239" s="205">
        <f t="shared" si="28"/>
        <v>0</v>
      </c>
      <c r="Y239" s="205">
        <f t="shared" si="28"/>
        <v>0</v>
      </c>
      <c r="Z239" s="205">
        <f t="shared" si="28"/>
        <v>0</v>
      </c>
      <c r="AA239" s="205">
        <f t="shared" si="28"/>
        <v>0</v>
      </c>
      <c r="AB239" s="205">
        <f t="shared" si="28"/>
        <v>0</v>
      </c>
      <c r="AC239" s="205">
        <f t="shared" si="28"/>
        <v>0</v>
      </c>
      <c r="AD239" s="19"/>
      <c r="AE239" s="19"/>
      <c r="AF239" s="19"/>
      <c r="AG239" s="19"/>
    </row>
    <row r="240" spans="1:33" outlineLevel="1" collapsed="1" x14ac:dyDescent="0.2">
      <c r="A240" s="19"/>
      <c r="B240" s="19"/>
      <c r="C240" s="66"/>
      <c r="D240" s="58"/>
      <c r="E240" s="58"/>
      <c r="F240" s="58"/>
      <c r="G240" s="58"/>
      <c r="H240" s="58"/>
      <c r="I240" s="58"/>
      <c r="J240" s="58"/>
      <c r="K240" s="20"/>
      <c r="L240" s="20"/>
      <c r="M240" s="20"/>
      <c r="N240" s="37"/>
      <c r="O240" s="37"/>
      <c r="P240" s="37"/>
      <c r="Q240" s="37"/>
      <c r="R240" s="37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</row>
    <row r="241" spans="1:33" x14ac:dyDescent="0.2">
      <c r="A241" s="19"/>
      <c r="B241" s="19"/>
      <c r="C241" s="36"/>
      <c r="D241" s="20"/>
      <c r="E241" s="20"/>
      <c r="F241" s="20"/>
      <c r="G241" s="22"/>
      <c r="H241" s="22"/>
      <c r="I241" s="22"/>
      <c r="J241" s="20"/>
      <c r="K241" s="20"/>
      <c r="L241" s="20"/>
      <c r="M241" s="20"/>
      <c r="N241" s="37"/>
      <c r="O241" s="37"/>
      <c r="P241" s="37"/>
      <c r="Q241" s="37"/>
      <c r="R241" s="37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</row>
    <row r="242" spans="1:33" ht="12.75" x14ac:dyDescent="0.2">
      <c r="A242" s="11"/>
      <c r="B242" s="12" t="s">
        <v>691</v>
      </c>
      <c r="C242" s="11"/>
      <c r="D242" s="32" t="str">
        <f>D5</f>
        <v>Tariff class</v>
      </c>
      <c r="E242" s="32" t="str">
        <f>tariffid1</f>
        <v>Code</v>
      </c>
      <c r="F242" s="32" t="str">
        <f>tariffid2</f>
        <v>Trans. Node</v>
      </c>
      <c r="G242" s="32" t="str">
        <f>tariffid3</f>
        <v>Other identifier</v>
      </c>
      <c r="H242" s="32"/>
      <c r="I242" s="183" t="str">
        <f t="shared" ref="I242:AC242" si="29">I5</f>
        <v>Service</v>
      </c>
      <c r="J242" s="183" t="str">
        <f t="shared" si="29"/>
        <v>All energy</v>
      </c>
      <c r="K242" s="183" t="str">
        <f t="shared" si="29"/>
        <v>Peak energy</v>
      </c>
      <c r="L242" s="183" t="str">
        <f t="shared" si="29"/>
        <v>Shoulder energy</v>
      </c>
      <c r="M242" s="183" t="str">
        <f t="shared" si="29"/>
        <v>Off-peak energy</v>
      </c>
      <c r="N242" s="183" t="str">
        <f t="shared" si="29"/>
        <v>All demand</v>
      </c>
      <c r="O242" s="183" t="str">
        <f t="shared" si="29"/>
        <v>Peak demand</v>
      </c>
      <c r="P242" s="183" t="str">
        <f t="shared" si="29"/>
        <v>Off-peak demand</v>
      </c>
      <c r="Q242" s="183" t="str">
        <f t="shared" si="29"/>
        <v>Specified demand</v>
      </c>
      <c r="R242" s="183" t="str">
        <f t="shared" si="29"/>
        <v>Excess daily demand</v>
      </c>
      <c r="S242" s="183" t="str">
        <f t="shared" si="29"/>
        <v>Daily demand connection</v>
      </c>
      <c r="T242" s="183" t="str">
        <f t="shared" si="29"/>
        <v>Excess daily demand connection</v>
      </c>
      <c r="U242" s="183" t="str">
        <f t="shared" si="29"/>
        <v>All demand (lamps)</v>
      </c>
      <c r="V242" s="183">
        <f t="shared" si="29"/>
        <v>0</v>
      </c>
      <c r="W242" s="183">
        <f t="shared" si="29"/>
        <v>0</v>
      </c>
      <c r="X242" s="183">
        <f t="shared" si="29"/>
        <v>0</v>
      </c>
      <c r="Y242" s="183">
        <f t="shared" si="29"/>
        <v>0</v>
      </c>
      <c r="Z242" s="183">
        <f t="shared" si="29"/>
        <v>0</v>
      </c>
      <c r="AA242" s="183">
        <f t="shared" si="29"/>
        <v>0</v>
      </c>
      <c r="AB242" s="183">
        <f t="shared" si="29"/>
        <v>0</v>
      </c>
      <c r="AC242" s="183" t="str">
        <f t="shared" si="29"/>
        <v>Total</v>
      </c>
      <c r="AD242" s="15"/>
      <c r="AE242" s="15"/>
      <c r="AF242" s="15"/>
      <c r="AG242" s="15"/>
    </row>
    <row r="243" spans="1:33" outlineLevel="1" x14ac:dyDescent="0.2">
      <c r="A243" s="19"/>
      <c r="B243" s="19"/>
      <c r="C243" s="36"/>
      <c r="D243" s="20"/>
      <c r="E243" s="20"/>
      <c r="F243" s="20"/>
      <c r="G243" s="22"/>
      <c r="H243" s="22"/>
      <c r="I243" s="170" t="str">
        <f t="shared" ref="I243:AC243" si="30">I6</f>
        <v>$dollars</v>
      </c>
      <c r="J243" s="170" t="str">
        <f t="shared" si="30"/>
        <v>$dollars</v>
      </c>
      <c r="K243" s="170" t="str">
        <f t="shared" si="30"/>
        <v>$dollars</v>
      </c>
      <c r="L243" s="170" t="str">
        <f t="shared" si="30"/>
        <v>$dollars</v>
      </c>
      <c r="M243" s="170" t="str">
        <f t="shared" si="30"/>
        <v>$dollars</v>
      </c>
      <c r="N243" s="170" t="str">
        <f t="shared" si="30"/>
        <v>$dollars</v>
      </c>
      <c r="O243" s="170" t="str">
        <f t="shared" si="30"/>
        <v>$dollars</v>
      </c>
      <c r="P243" s="170" t="str">
        <f t="shared" si="30"/>
        <v>$dollars</v>
      </c>
      <c r="Q243" s="170" t="str">
        <f t="shared" si="30"/>
        <v>$dollars</v>
      </c>
      <c r="R243" s="170" t="str">
        <f t="shared" si="30"/>
        <v>$dollars</v>
      </c>
      <c r="S243" s="170" t="str">
        <f t="shared" si="30"/>
        <v>$dollars</v>
      </c>
      <c r="T243" s="170" t="str">
        <f t="shared" si="30"/>
        <v>$dollars</v>
      </c>
      <c r="U243" s="170" t="str">
        <f t="shared" si="30"/>
        <v>$dollars</v>
      </c>
      <c r="V243" s="170">
        <f t="shared" si="30"/>
        <v>0</v>
      </c>
      <c r="W243" s="170">
        <f t="shared" si="30"/>
        <v>0</v>
      </c>
      <c r="X243" s="170">
        <f t="shared" si="30"/>
        <v>0</v>
      </c>
      <c r="Y243" s="170">
        <f t="shared" si="30"/>
        <v>0</v>
      </c>
      <c r="Z243" s="170">
        <f t="shared" si="30"/>
        <v>0</v>
      </c>
      <c r="AA243" s="170">
        <f t="shared" si="30"/>
        <v>0</v>
      </c>
      <c r="AB243" s="170">
        <f t="shared" si="30"/>
        <v>0</v>
      </c>
      <c r="AC243" s="170" t="str">
        <f t="shared" si="30"/>
        <v>$dollars</v>
      </c>
      <c r="AD243" s="19"/>
      <c r="AE243" s="19"/>
      <c r="AF243" s="19"/>
      <c r="AG243" s="19"/>
    </row>
    <row r="244" spans="1:33" outlineLevel="1" x14ac:dyDescent="0.2">
      <c r="A244" s="19"/>
      <c r="B244" s="19"/>
      <c r="C244" s="167" t="s">
        <v>549</v>
      </c>
      <c r="D244" s="20"/>
      <c r="E244" s="20"/>
      <c r="F244" s="20"/>
      <c r="G244" s="22"/>
      <c r="H244" s="22"/>
      <c r="I244" s="170"/>
      <c r="J244" s="170"/>
      <c r="K244" s="170"/>
      <c r="L244" s="170"/>
      <c r="M244" s="170"/>
      <c r="N244" s="170"/>
      <c r="O244" s="170"/>
      <c r="P244" s="170"/>
      <c r="Q244" s="170"/>
      <c r="R244" s="170"/>
      <c r="S244" s="170"/>
      <c r="T244" s="170"/>
      <c r="U244" s="170"/>
      <c r="V244" s="170"/>
      <c r="W244" s="170"/>
      <c r="X244" s="170"/>
      <c r="Y244" s="170"/>
      <c r="Z244" s="170"/>
      <c r="AA244" s="170"/>
      <c r="AB244" s="170"/>
      <c r="AC244" s="170"/>
      <c r="AD244" s="19"/>
      <c r="AE244" s="19"/>
      <c r="AF244" s="19"/>
      <c r="AG244" s="19"/>
    </row>
    <row r="245" spans="1:33" outlineLevel="1" x14ac:dyDescent="0.2">
      <c r="A245" s="19"/>
      <c r="B245" s="19"/>
      <c r="C245" s="256" t="s">
        <v>136</v>
      </c>
      <c r="D245" s="320">
        <v>4863224.200924865</v>
      </c>
      <c r="E245" s="20"/>
      <c r="F245" s="20"/>
      <c r="H245" s="22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  <c r="AA245" s="170"/>
      <c r="AB245" s="170"/>
      <c r="AC245" s="170"/>
      <c r="AD245" s="19"/>
      <c r="AE245" s="19"/>
      <c r="AF245" s="19"/>
      <c r="AG245" s="19"/>
    </row>
    <row r="246" spans="1:33" outlineLevel="1" x14ac:dyDescent="0.2">
      <c r="A246" s="19"/>
      <c r="B246" s="19"/>
      <c r="C246" s="256" t="s">
        <v>219</v>
      </c>
      <c r="D246" s="320">
        <v>5575614.7229859801</v>
      </c>
      <c r="E246" s="20"/>
      <c r="F246" s="20"/>
      <c r="H246" s="22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  <c r="W246" s="170"/>
      <c r="X246" s="170"/>
      <c r="Y246" s="170"/>
      <c r="Z246" s="170"/>
      <c r="AA246" s="170"/>
      <c r="AB246" s="170"/>
      <c r="AC246" s="170"/>
      <c r="AD246" s="19"/>
      <c r="AE246" s="19"/>
      <c r="AF246" s="19"/>
      <c r="AG246" s="19"/>
    </row>
    <row r="247" spans="1:33" outlineLevel="1" x14ac:dyDescent="0.2">
      <c r="A247" s="19"/>
      <c r="B247" s="19"/>
      <c r="C247" s="256" t="s">
        <v>220</v>
      </c>
      <c r="D247" s="320">
        <v>0</v>
      </c>
      <c r="E247" s="20"/>
      <c r="F247" s="20"/>
      <c r="H247" s="22"/>
      <c r="I247" s="170"/>
      <c r="J247" s="170"/>
      <c r="K247" s="170"/>
      <c r="L247" s="170"/>
      <c r="M247" s="170"/>
      <c r="N247" s="170"/>
      <c r="O247" s="170"/>
      <c r="P247" s="170"/>
      <c r="Q247" s="170"/>
      <c r="R247" s="170"/>
      <c r="S247" s="170"/>
      <c r="T247" s="170"/>
      <c r="U247" s="170"/>
      <c r="V247" s="170"/>
      <c r="W247" s="170"/>
      <c r="X247" s="170"/>
      <c r="Y247" s="170"/>
      <c r="Z247" s="170"/>
      <c r="AA247" s="170"/>
      <c r="AB247" s="170"/>
      <c r="AC247" s="170"/>
      <c r="AD247" s="19"/>
      <c r="AE247" s="19"/>
      <c r="AF247" s="19"/>
      <c r="AG247" s="19"/>
    </row>
    <row r="248" spans="1:33" outlineLevel="1" x14ac:dyDescent="0.2">
      <c r="A248" s="19"/>
      <c r="B248" s="19"/>
      <c r="C248" s="36"/>
      <c r="D248" s="20"/>
      <c r="E248" s="20"/>
      <c r="F248" s="20"/>
      <c r="G248" s="22"/>
      <c r="H248" s="22"/>
      <c r="I248" s="170"/>
      <c r="J248" s="170"/>
      <c r="K248" s="170"/>
      <c r="L248" s="170"/>
      <c r="M248" s="170"/>
      <c r="N248" s="170"/>
      <c r="O248" s="170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  <c r="AA248" s="170"/>
      <c r="AB248" s="170"/>
      <c r="AC248" s="170"/>
      <c r="AD248" s="19"/>
      <c r="AE248" s="19"/>
      <c r="AF248" s="19"/>
      <c r="AG248" s="19"/>
    </row>
    <row r="249" spans="1:33" outlineLevel="1" x14ac:dyDescent="0.2">
      <c r="A249" s="19"/>
      <c r="B249" s="19"/>
      <c r="C249" s="167" t="str">
        <f>C7</f>
        <v>Distribution</v>
      </c>
      <c r="D249" s="20"/>
      <c r="E249" s="20"/>
      <c r="F249" s="20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19"/>
      <c r="AE249" s="19"/>
      <c r="AF249" s="19"/>
      <c r="AG249" s="19"/>
    </row>
    <row r="250" spans="1:33" s="612" customFormat="1" outlineLevel="2" x14ac:dyDescent="0.2">
      <c r="A250" s="606"/>
      <c r="B250" s="606"/>
      <c r="C250" s="607"/>
      <c r="D250" s="608"/>
      <c r="E250" s="608"/>
      <c r="F250" s="608"/>
      <c r="G250" s="608"/>
      <c r="H250" s="609"/>
      <c r="I250" s="637"/>
      <c r="J250" s="637"/>
      <c r="K250" s="637"/>
      <c r="L250" s="637"/>
      <c r="M250" s="637"/>
      <c r="N250" s="637"/>
      <c r="O250" s="637"/>
      <c r="P250" s="637"/>
      <c r="Q250" s="637"/>
      <c r="R250" s="637"/>
      <c r="S250" s="637"/>
      <c r="T250" s="637"/>
      <c r="U250" s="637"/>
      <c r="V250" s="637"/>
      <c r="W250" s="637"/>
      <c r="X250" s="637"/>
      <c r="Y250" s="637"/>
      <c r="Z250" s="637"/>
      <c r="AA250" s="637"/>
      <c r="AB250" s="637"/>
      <c r="AC250" s="637"/>
      <c r="AD250" s="606"/>
      <c r="AE250" s="606"/>
      <c r="AF250" s="606"/>
      <c r="AG250" s="606"/>
    </row>
    <row r="251" spans="1:33" s="612" customFormat="1" outlineLevel="2" x14ac:dyDescent="0.2">
      <c r="A251" s="606"/>
      <c r="B251" s="606"/>
      <c r="C251" s="607"/>
      <c r="D251" s="608"/>
      <c r="E251" s="608"/>
      <c r="F251" s="608"/>
      <c r="G251" s="608"/>
      <c r="H251" s="609"/>
      <c r="I251" s="637"/>
      <c r="J251" s="637"/>
      <c r="K251" s="637"/>
      <c r="L251" s="637"/>
      <c r="M251" s="637"/>
      <c r="N251" s="637"/>
      <c r="O251" s="637"/>
      <c r="P251" s="637"/>
      <c r="Q251" s="637"/>
      <c r="R251" s="637"/>
      <c r="S251" s="637"/>
      <c r="T251" s="637"/>
      <c r="U251" s="637"/>
      <c r="V251" s="637"/>
      <c r="W251" s="637"/>
      <c r="X251" s="637"/>
      <c r="Y251" s="637"/>
      <c r="Z251" s="637"/>
      <c r="AA251" s="637"/>
      <c r="AB251" s="637"/>
      <c r="AC251" s="637"/>
      <c r="AD251" s="606"/>
      <c r="AE251" s="606"/>
      <c r="AF251" s="606"/>
      <c r="AG251" s="606"/>
    </row>
    <row r="252" spans="1:33" s="612" customFormat="1" outlineLevel="2" x14ac:dyDescent="0.2">
      <c r="A252" s="606"/>
      <c r="B252" s="606"/>
      <c r="C252" s="607"/>
      <c r="D252" s="608"/>
      <c r="E252" s="608"/>
      <c r="F252" s="608"/>
      <c r="G252" s="608"/>
      <c r="H252" s="609"/>
      <c r="I252" s="637"/>
      <c r="J252" s="637"/>
      <c r="K252" s="637"/>
      <c r="L252" s="637"/>
      <c r="M252" s="637"/>
      <c r="N252" s="637"/>
      <c r="O252" s="637"/>
      <c r="P252" s="637"/>
      <c r="Q252" s="637"/>
      <c r="R252" s="637"/>
      <c r="S252" s="637"/>
      <c r="T252" s="637"/>
      <c r="U252" s="637"/>
      <c r="V252" s="637"/>
      <c r="W252" s="637"/>
      <c r="X252" s="637"/>
      <c r="Y252" s="637"/>
      <c r="Z252" s="637"/>
      <c r="AA252" s="637"/>
      <c r="AB252" s="637"/>
      <c r="AC252" s="637"/>
      <c r="AD252" s="606"/>
      <c r="AE252" s="606"/>
      <c r="AF252" s="606"/>
      <c r="AG252" s="606"/>
    </row>
    <row r="253" spans="1:33" s="612" customFormat="1" outlineLevel="2" x14ac:dyDescent="0.2">
      <c r="A253" s="606"/>
      <c r="B253" s="606"/>
      <c r="C253" s="607"/>
      <c r="D253" s="608"/>
      <c r="E253" s="608"/>
      <c r="F253" s="608"/>
      <c r="G253" s="608"/>
      <c r="H253" s="609"/>
      <c r="I253" s="637"/>
      <c r="J253" s="637"/>
      <c r="K253" s="637"/>
      <c r="L253" s="637"/>
      <c r="M253" s="637"/>
      <c r="N253" s="637"/>
      <c r="O253" s="637"/>
      <c r="P253" s="637"/>
      <c r="Q253" s="637"/>
      <c r="R253" s="637"/>
      <c r="S253" s="637"/>
      <c r="T253" s="637"/>
      <c r="U253" s="637"/>
      <c r="V253" s="637"/>
      <c r="W253" s="637"/>
      <c r="X253" s="637"/>
      <c r="Y253" s="637"/>
      <c r="Z253" s="637"/>
      <c r="AA253" s="637"/>
      <c r="AB253" s="637"/>
      <c r="AC253" s="637"/>
      <c r="AD253" s="606"/>
      <c r="AE253" s="606"/>
      <c r="AF253" s="606"/>
      <c r="AG253" s="606"/>
    </row>
    <row r="254" spans="1:33" s="612" customFormat="1" outlineLevel="2" x14ac:dyDescent="0.2">
      <c r="A254" s="606"/>
      <c r="B254" s="606"/>
      <c r="C254" s="607"/>
      <c r="D254" s="608"/>
      <c r="E254" s="608"/>
      <c r="F254" s="608"/>
      <c r="G254" s="608"/>
      <c r="H254" s="609"/>
      <c r="I254" s="637"/>
      <c r="J254" s="637"/>
      <c r="K254" s="637"/>
      <c r="L254" s="637"/>
      <c r="M254" s="637"/>
      <c r="N254" s="637"/>
      <c r="O254" s="637"/>
      <c r="P254" s="637"/>
      <c r="Q254" s="637"/>
      <c r="R254" s="637"/>
      <c r="S254" s="637"/>
      <c r="T254" s="637"/>
      <c r="U254" s="637"/>
      <c r="V254" s="637"/>
      <c r="W254" s="637"/>
      <c r="X254" s="637"/>
      <c r="Y254" s="637"/>
      <c r="Z254" s="637"/>
      <c r="AA254" s="637"/>
      <c r="AB254" s="637"/>
      <c r="AC254" s="637"/>
      <c r="AD254" s="606"/>
      <c r="AE254" s="606"/>
      <c r="AF254" s="606"/>
      <c r="AG254" s="606"/>
    </row>
    <row r="255" spans="1:33" s="612" customFormat="1" outlineLevel="2" x14ac:dyDescent="0.2">
      <c r="A255" s="606"/>
      <c r="B255" s="606"/>
      <c r="C255" s="607"/>
      <c r="D255" s="608"/>
      <c r="E255" s="608"/>
      <c r="F255" s="608"/>
      <c r="G255" s="608"/>
      <c r="H255" s="609"/>
      <c r="I255" s="637"/>
      <c r="J255" s="637"/>
      <c r="K255" s="637"/>
      <c r="L255" s="637"/>
      <c r="M255" s="637"/>
      <c r="N255" s="637"/>
      <c r="O255" s="637"/>
      <c r="P255" s="637"/>
      <c r="Q255" s="637"/>
      <c r="R255" s="637"/>
      <c r="S255" s="637"/>
      <c r="T255" s="637"/>
      <c r="U255" s="637"/>
      <c r="V255" s="637"/>
      <c r="W255" s="637"/>
      <c r="X255" s="637"/>
      <c r="Y255" s="637"/>
      <c r="Z255" s="637"/>
      <c r="AA255" s="637"/>
      <c r="AB255" s="637"/>
      <c r="AC255" s="637"/>
      <c r="AD255" s="606"/>
      <c r="AE255" s="606"/>
      <c r="AF255" s="606"/>
      <c r="AG255" s="606"/>
    </row>
    <row r="256" spans="1:33" s="612" customFormat="1" outlineLevel="2" x14ac:dyDescent="0.2">
      <c r="A256" s="606"/>
      <c r="B256" s="606"/>
      <c r="C256" s="607"/>
      <c r="D256" s="608"/>
      <c r="E256" s="608"/>
      <c r="F256" s="608"/>
      <c r="G256" s="608"/>
      <c r="H256" s="609"/>
      <c r="I256" s="637"/>
      <c r="J256" s="637"/>
      <c r="K256" s="637"/>
      <c r="L256" s="637"/>
      <c r="M256" s="637"/>
      <c r="N256" s="637"/>
      <c r="O256" s="637"/>
      <c r="P256" s="637"/>
      <c r="Q256" s="637"/>
      <c r="R256" s="637"/>
      <c r="S256" s="637"/>
      <c r="T256" s="637"/>
      <c r="U256" s="637"/>
      <c r="V256" s="637"/>
      <c r="W256" s="637"/>
      <c r="X256" s="637"/>
      <c r="Y256" s="637"/>
      <c r="Z256" s="637"/>
      <c r="AA256" s="637"/>
      <c r="AB256" s="637"/>
      <c r="AC256" s="637"/>
      <c r="AD256" s="606"/>
      <c r="AE256" s="606"/>
      <c r="AF256" s="606"/>
      <c r="AG256" s="606"/>
    </row>
    <row r="257" spans="1:33" s="612" customFormat="1" outlineLevel="2" x14ac:dyDescent="0.2">
      <c r="A257" s="606"/>
      <c r="B257" s="606"/>
      <c r="C257" s="607"/>
      <c r="D257" s="608"/>
      <c r="E257" s="608"/>
      <c r="F257" s="608"/>
      <c r="G257" s="608"/>
      <c r="H257" s="609"/>
      <c r="I257" s="637"/>
      <c r="J257" s="637"/>
      <c r="K257" s="637"/>
      <c r="L257" s="637"/>
      <c r="M257" s="637"/>
      <c r="N257" s="637"/>
      <c r="O257" s="637"/>
      <c r="P257" s="637"/>
      <c r="Q257" s="637"/>
      <c r="R257" s="637"/>
      <c r="S257" s="637"/>
      <c r="T257" s="637"/>
      <c r="U257" s="637"/>
      <c r="V257" s="637"/>
      <c r="W257" s="637"/>
      <c r="X257" s="637"/>
      <c r="Y257" s="637"/>
      <c r="Z257" s="637"/>
      <c r="AA257" s="637"/>
      <c r="AB257" s="637"/>
      <c r="AC257" s="637"/>
      <c r="AD257" s="606"/>
      <c r="AE257" s="606"/>
      <c r="AF257" s="606"/>
      <c r="AG257" s="606"/>
    </row>
    <row r="258" spans="1:33" s="612" customFormat="1" outlineLevel="2" x14ac:dyDescent="0.2">
      <c r="A258" s="606"/>
      <c r="B258" s="606"/>
      <c r="C258" s="607"/>
      <c r="D258" s="608"/>
      <c r="E258" s="608"/>
      <c r="F258" s="608"/>
      <c r="G258" s="608"/>
      <c r="H258" s="609"/>
      <c r="I258" s="637"/>
      <c r="J258" s="637"/>
      <c r="K258" s="637"/>
      <c r="L258" s="637"/>
      <c r="M258" s="637"/>
      <c r="N258" s="637"/>
      <c r="O258" s="637"/>
      <c r="P258" s="637"/>
      <c r="Q258" s="637"/>
      <c r="R258" s="637"/>
      <c r="S258" s="637"/>
      <c r="T258" s="637"/>
      <c r="U258" s="637"/>
      <c r="V258" s="637"/>
      <c r="W258" s="637"/>
      <c r="X258" s="637"/>
      <c r="Y258" s="637"/>
      <c r="Z258" s="637"/>
      <c r="AA258" s="637"/>
      <c r="AB258" s="637"/>
      <c r="AC258" s="637"/>
      <c r="AD258" s="606"/>
      <c r="AE258" s="606"/>
      <c r="AF258" s="606"/>
      <c r="AG258" s="606"/>
    </row>
    <row r="259" spans="1:33" s="612" customFormat="1" outlineLevel="2" x14ac:dyDescent="0.2">
      <c r="A259" s="606"/>
      <c r="B259" s="606"/>
      <c r="C259" s="607"/>
      <c r="D259" s="608"/>
      <c r="E259" s="608"/>
      <c r="F259" s="608"/>
      <c r="G259" s="608"/>
      <c r="H259" s="609"/>
      <c r="I259" s="637"/>
      <c r="J259" s="637"/>
      <c r="K259" s="637"/>
      <c r="L259" s="637"/>
      <c r="M259" s="637"/>
      <c r="N259" s="637"/>
      <c r="O259" s="637"/>
      <c r="P259" s="637"/>
      <c r="Q259" s="637"/>
      <c r="R259" s="637"/>
      <c r="S259" s="637"/>
      <c r="T259" s="637"/>
      <c r="U259" s="637"/>
      <c r="V259" s="637"/>
      <c r="W259" s="637"/>
      <c r="X259" s="637"/>
      <c r="Y259" s="637"/>
      <c r="Z259" s="637"/>
      <c r="AA259" s="637"/>
      <c r="AB259" s="637"/>
      <c r="AC259" s="637"/>
      <c r="AD259" s="606"/>
      <c r="AE259" s="606"/>
      <c r="AF259" s="606"/>
      <c r="AG259" s="606"/>
    </row>
    <row r="260" spans="1:33" s="612" customFormat="1" outlineLevel="2" x14ac:dyDescent="0.2">
      <c r="A260" s="606"/>
      <c r="B260" s="606"/>
      <c r="C260" s="607"/>
      <c r="D260" s="608"/>
      <c r="E260" s="608"/>
      <c r="F260" s="608"/>
      <c r="G260" s="608"/>
      <c r="H260" s="609"/>
      <c r="I260" s="637"/>
      <c r="J260" s="637"/>
      <c r="K260" s="637"/>
      <c r="L260" s="637"/>
      <c r="M260" s="637"/>
      <c r="N260" s="637"/>
      <c r="O260" s="637"/>
      <c r="P260" s="637"/>
      <c r="Q260" s="637"/>
      <c r="R260" s="637"/>
      <c r="S260" s="637"/>
      <c r="T260" s="637"/>
      <c r="U260" s="637"/>
      <c r="V260" s="637"/>
      <c r="W260" s="637"/>
      <c r="X260" s="637"/>
      <c r="Y260" s="637"/>
      <c r="Z260" s="637"/>
      <c r="AA260" s="637"/>
      <c r="AB260" s="637"/>
      <c r="AC260" s="637"/>
      <c r="AD260" s="606"/>
      <c r="AE260" s="606"/>
      <c r="AF260" s="606"/>
      <c r="AG260" s="606"/>
    </row>
    <row r="261" spans="1:33" s="612" customFormat="1" outlineLevel="2" x14ac:dyDescent="0.2">
      <c r="A261" s="606"/>
      <c r="B261" s="606"/>
      <c r="C261" s="607"/>
      <c r="D261" s="608"/>
      <c r="E261" s="608"/>
      <c r="F261" s="608"/>
      <c r="G261" s="608"/>
      <c r="H261" s="609"/>
      <c r="I261" s="637"/>
      <c r="J261" s="637"/>
      <c r="K261" s="637"/>
      <c r="L261" s="637"/>
      <c r="M261" s="637"/>
      <c r="N261" s="637"/>
      <c r="O261" s="637"/>
      <c r="P261" s="637"/>
      <c r="Q261" s="637"/>
      <c r="R261" s="637"/>
      <c r="S261" s="637"/>
      <c r="T261" s="637"/>
      <c r="U261" s="637"/>
      <c r="V261" s="637"/>
      <c r="W261" s="637"/>
      <c r="X261" s="637"/>
      <c r="Y261" s="637"/>
      <c r="Z261" s="637"/>
      <c r="AA261" s="637"/>
      <c r="AB261" s="637"/>
      <c r="AC261" s="637"/>
      <c r="AD261" s="606"/>
      <c r="AE261" s="606"/>
      <c r="AF261" s="606"/>
      <c r="AG261" s="606"/>
    </row>
    <row r="262" spans="1:33" s="612" customFormat="1" outlineLevel="2" x14ac:dyDescent="0.2">
      <c r="A262" s="606"/>
      <c r="B262" s="606"/>
      <c r="C262" s="607"/>
      <c r="D262" s="608"/>
      <c r="E262" s="608"/>
      <c r="F262" s="608"/>
      <c r="G262" s="608"/>
      <c r="H262" s="609"/>
      <c r="I262" s="637"/>
      <c r="J262" s="637"/>
      <c r="K262" s="637"/>
      <c r="L262" s="637"/>
      <c r="M262" s="637"/>
      <c r="N262" s="637"/>
      <c r="O262" s="637"/>
      <c r="P262" s="637"/>
      <c r="Q262" s="637"/>
      <c r="R262" s="637"/>
      <c r="S262" s="637"/>
      <c r="T262" s="637"/>
      <c r="U262" s="637"/>
      <c r="V262" s="637"/>
      <c r="W262" s="637"/>
      <c r="X262" s="637"/>
      <c r="Y262" s="637"/>
      <c r="Z262" s="637"/>
      <c r="AA262" s="637"/>
      <c r="AB262" s="637"/>
      <c r="AC262" s="637"/>
      <c r="AD262" s="606"/>
      <c r="AE262" s="606"/>
      <c r="AF262" s="606"/>
      <c r="AG262" s="606"/>
    </row>
    <row r="263" spans="1:33" s="612" customFormat="1" outlineLevel="2" x14ac:dyDescent="0.2">
      <c r="A263" s="606"/>
      <c r="B263" s="606"/>
      <c r="C263" s="607"/>
      <c r="D263" s="608"/>
      <c r="E263" s="608"/>
      <c r="F263" s="608"/>
      <c r="G263" s="608"/>
      <c r="H263" s="609"/>
      <c r="I263" s="637"/>
      <c r="J263" s="637"/>
      <c r="K263" s="637"/>
      <c r="L263" s="637"/>
      <c r="M263" s="637"/>
      <c r="N263" s="637"/>
      <c r="O263" s="637"/>
      <c r="P263" s="637"/>
      <c r="Q263" s="637"/>
      <c r="R263" s="637"/>
      <c r="S263" s="637"/>
      <c r="T263" s="637"/>
      <c r="U263" s="637"/>
      <c r="V263" s="637"/>
      <c r="W263" s="637"/>
      <c r="X263" s="637"/>
      <c r="Y263" s="637"/>
      <c r="Z263" s="637"/>
      <c r="AA263" s="637"/>
      <c r="AB263" s="637"/>
      <c r="AC263" s="637"/>
      <c r="AD263" s="606"/>
      <c r="AE263" s="606"/>
      <c r="AF263" s="606"/>
      <c r="AG263" s="606"/>
    </row>
    <row r="264" spans="1:33" s="612" customFormat="1" outlineLevel="2" x14ac:dyDescent="0.2">
      <c r="A264" s="606"/>
      <c r="B264" s="606"/>
      <c r="C264" s="607"/>
      <c r="D264" s="608"/>
      <c r="E264" s="608"/>
      <c r="F264" s="608"/>
      <c r="G264" s="608"/>
      <c r="H264" s="609"/>
      <c r="I264" s="637"/>
      <c r="J264" s="637"/>
      <c r="K264" s="637"/>
      <c r="L264" s="637"/>
      <c r="M264" s="637"/>
      <c r="N264" s="637"/>
      <c r="O264" s="637"/>
      <c r="P264" s="637"/>
      <c r="Q264" s="637"/>
      <c r="R264" s="637"/>
      <c r="S264" s="637"/>
      <c r="T264" s="637"/>
      <c r="U264" s="637"/>
      <c r="V264" s="637"/>
      <c r="W264" s="637"/>
      <c r="X264" s="637"/>
      <c r="Y264" s="637"/>
      <c r="Z264" s="637"/>
      <c r="AA264" s="637"/>
      <c r="AB264" s="637"/>
      <c r="AC264" s="637"/>
      <c r="AD264" s="606"/>
      <c r="AE264" s="606"/>
      <c r="AF264" s="606"/>
      <c r="AG264" s="606"/>
    </row>
    <row r="265" spans="1:33" s="612" customFormat="1" outlineLevel="2" x14ac:dyDescent="0.2">
      <c r="A265" s="606"/>
      <c r="B265" s="606"/>
      <c r="C265" s="607"/>
      <c r="D265" s="608"/>
      <c r="E265" s="608"/>
      <c r="F265" s="608"/>
      <c r="G265" s="608"/>
      <c r="H265" s="609"/>
      <c r="I265" s="637"/>
      <c r="J265" s="637"/>
      <c r="K265" s="637"/>
      <c r="L265" s="637"/>
      <c r="M265" s="637"/>
      <c r="N265" s="637"/>
      <c r="O265" s="637"/>
      <c r="P265" s="637"/>
      <c r="Q265" s="637"/>
      <c r="R265" s="637"/>
      <c r="S265" s="637"/>
      <c r="T265" s="637"/>
      <c r="U265" s="637"/>
      <c r="V265" s="637"/>
      <c r="W265" s="637"/>
      <c r="X265" s="637"/>
      <c r="Y265" s="637"/>
      <c r="Z265" s="637"/>
      <c r="AA265" s="637"/>
      <c r="AB265" s="637"/>
      <c r="AC265" s="637"/>
      <c r="AD265" s="606"/>
      <c r="AE265" s="606"/>
      <c r="AF265" s="606"/>
      <c r="AG265" s="606"/>
    </row>
    <row r="266" spans="1:33" s="612" customFormat="1" outlineLevel="2" x14ac:dyDescent="0.2">
      <c r="A266" s="606"/>
      <c r="B266" s="606"/>
      <c r="C266" s="607"/>
      <c r="D266" s="608"/>
      <c r="E266" s="608"/>
      <c r="F266" s="608"/>
      <c r="G266" s="608"/>
      <c r="H266" s="609"/>
      <c r="I266" s="637"/>
      <c r="J266" s="637"/>
      <c r="K266" s="637"/>
      <c r="L266" s="637"/>
      <c r="M266" s="637"/>
      <c r="N266" s="637"/>
      <c r="O266" s="637"/>
      <c r="P266" s="637"/>
      <c r="Q266" s="637"/>
      <c r="R266" s="637"/>
      <c r="S266" s="637"/>
      <c r="T266" s="637"/>
      <c r="U266" s="637"/>
      <c r="V266" s="637"/>
      <c r="W266" s="637"/>
      <c r="X266" s="637"/>
      <c r="Y266" s="637"/>
      <c r="Z266" s="637"/>
      <c r="AA266" s="637"/>
      <c r="AB266" s="637"/>
      <c r="AC266" s="637"/>
      <c r="AD266" s="606"/>
      <c r="AE266" s="606"/>
      <c r="AF266" s="606"/>
      <c r="AG266" s="606"/>
    </row>
    <row r="267" spans="1:33" s="612" customFormat="1" outlineLevel="2" x14ac:dyDescent="0.2">
      <c r="A267" s="606"/>
      <c r="B267" s="606"/>
      <c r="C267" s="607"/>
      <c r="D267" s="608"/>
      <c r="E267" s="608"/>
      <c r="F267" s="608"/>
      <c r="G267" s="608"/>
      <c r="H267" s="609"/>
      <c r="I267" s="637"/>
      <c r="J267" s="637"/>
      <c r="K267" s="637"/>
      <c r="L267" s="637"/>
      <c r="M267" s="637"/>
      <c r="N267" s="637"/>
      <c r="O267" s="637"/>
      <c r="P267" s="637"/>
      <c r="Q267" s="637"/>
      <c r="R267" s="637"/>
      <c r="S267" s="637"/>
      <c r="T267" s="637"/>
      <c r="U267" s="637"/>
      <c r="V267" s="637"/>
      <c r="W267" s="637"/>
      <c r="X267" s="637"/>
      <c r="Y267" s="637"/>
      <c r="Z267" s="637"/>
      <c r="AA267" s="637"/>
      <c r="AB267" s="637"/>
      <c r="AC267" s="637"/>
      <c r="AD267" s="606"/>
      <c r="AE267" s="606"/>
      <c r="AF267" s="606"/>
      <c r="AG267" s="606"/>
    </row>
    <row r="268" spans="1:33" s="612" customFormat="1" outlineLevel="2" x14ac:dyDescent="0.2">
      <c r="A268" s="606"/>
      <c r="B268" s="606"/>
      <c r="C268" s="607"/>
      <c r="D268" s="608"/>
      <c r="E268" s="608"/>
      <c r="F268" s="608"/>
      <c r="G268" s="608"/>
      <c r="H268" s="609"/>
      <c r="I268" s="637"/>
      <c r="J268" s="637"/>
      <c r="K268" s="637"/>
      <c r="L268" s="637"/>
      <c r="M268" s="637"/>
      <c r="N268" s="637"/>
      <c r="O268" s="637"/>
      <c r="P268" s="637"/>
      <c r="Q268" s="637"/>
      <c r="R268" s="637"/>
      <c r="S268" s="637"/>
      <c r="T268" s="637"/>
      <c r="U268" s="637"/>
      <c r="V268" s="637"/>
      <c r="W268" s="637"/>
      <c r="X268" s="637"/>
      <c r="Y268" s="637"/>
      <c r="Z268" s="637"/>
      <c r="AA268" s="637"/>
      <c r="AB268" s="637"/>
      <c r="AC268" s="637"/>
      <c r="AD268" s="606"/>
      <c r="AE268" s="606"/>
      <c r="AF268" s="606"/>
      <c r="AG268" s="606"/>
    </row>
    <row r="269" spans="1:33" s="612" customFormat="1" outlineLevel="2" x14ac:dyDescent="0.2">
      <c r="A269" s="606"/>
      <c r="B269" s="606"/>
      <c r="C269" s="607"/>
      <c r="D269" s="608"/>
      <c r="E269" s="608"/>
      <c r="F269" s="608"/>
      <c r="G269" s="608"/>
      <c r="H269" s="609"/>
      <c r="I269" s="637"/>
      <c r="J269" s="637"/>
      <c r="K269" s="637"/>
      <c r="L269" s="637"/>
      <c r="M269" s="637"/>
      <c r="N269" s="637"/>
      <c r="O269" s="637"/>
      <c r="P269" s="637"/>
      <c r="Q269" s="637"/>
      <c r="R269" s="637"/>
      <c r="S269" s="637"/>
      <c r="T269" s="637"/>
      <c r="U269" s="637"/>
      <c r="V269" s="637"/>
      <c r="W269" s="637"/>
      <c r="X269" s="637"/>
      <c r="Y269" s="637"/>
      <c r="Z269" s="637"/>
      <c r="AA269" s="637"/>
      <c r="AB269" s="637"/>
      <c r="AC269" s="637"/>
      <c r="AD269" s="606"/>
      <c r="AE269" s="606"/>
      <c r="AF269" s="606"/>
      <c r="AG269" s="606"/>
    </row>
    <row r="270" spans="1:33" s="612" customFormat="1" outlineLevel="2" x14ac:dyDescent="0.2">
      <c r="A270" s="606"/>
      <c r="B270" s="606"/>
      <c r="C270" s="607"/>
      <c r="D270" s="608"/>
      <c r="E270" s="608"/>
      <c r="F270" s="608"/>
      <c r="G270" s="608"/>
      <c r="H270" s="609"/>
      <c r="I270" s="637"/>
      <c r="J270" s="637"/>
      <c r="K270" s="637"/>
      <c r="L270" s="637"/>
      <c r="M270" s="637"/>
      <c r="N270" s="637"/>
      <c r="O270" s="637"/>
      <c r="P270" s="637"/>
      <c r="Q270" s="637"/>
      <c r="R270" s="637"/>
      <c r="S270" s="637"/>
      <c r="T270" s="637"/>
      <c r="U270" s="637"/>
      <c r="V270" s="637"/>
      <c r="W270" s="637"/>
      <c r="X270" s="637"/>
      <c r="Y270" s="637"/>
      <c r="Z270" s="637"/>
      <c r="AA270" s="637"/>
      <c r="AB270" s="637"/>
      <c r="AC270" s="637"/>
      <c r="AD270" s="606"/>
      <c r="AE270" s="606"/>
      <c r="AF270" s="606"/>
      <c r="AG270" s="606"/>
    </row>
    <row r="271" spans="1:33" s="612" customFormat="1" outlineLevel="2" x14ac:dyDescent="0.2">
      <c r="A271" s="606"/>
      <c r="B271" s="606"/>
      <c r="C271" s="607"/>
      <c r="D271" s="608"/>
      <c r="E271" s="608"/>
      <c r="F271" s="608"/>
      <c r="G271" s="608"/>
      <c r="H271" s="609"/>
      <c r="I271" s="637"/>
      <c r="J271" s="637"/>
      <c r="K271" s="637"/>
      <c r="L271" s="637"/>
      <c r="M271" s="637"/>
      <c r="N271" s="637"/>
      <c r="O271" s="637"/>
      <c r="P271" s="637"/>
      <c r="Q271" s="637"/>
      <c r="R271" s="637"/>
      <c r="S271" s="637"/>
      <c r="T271" s="637"/>
      <c r="U271" s="637"/>
      <c r="V271" s="637"/>
      <c r="W271" s="637"/>
      <c r="X271" s="637"/>
      <c r="Y271" s="637"/>
      <c r="Z271" s="637"/>
      <c r="AA271" s="637"/>
      <c r="AB271" s="637"/>
      <c r="AC271" s="637"/>
      <c r="AD271" s="606"/>
      <c r="AE271" s="606"/>
      <c r="AF271" s="606"/>
      <c r="AG271" s="606"/>
    </row>
    <row r="272" spans="1:33" s="612" customFormat="1" outlineLevel="2" x14ac:dyDescent="0.2">
      <c r="A272" s="606"/>
      <c r="B272" s="606"/>
      <c r="C272" s="607"/>
      <c r="D272" s="608"/>
      <c r="E272" s="608"/>
      <c r="F272" s="608"/>
      <c r="G272" s="608"/>
      <c r="H272" s="609"/>
      <c r="I272" s="637"/>
      <c r="J272" s="637"/>
      <c r="K272" s="637"/>
      <c r="L272" s="637"/>
      <c r="M272" s="637"/>
      <c r="N272" s="637"/>
      <c r="O272" s="637"/>
      <c r="P272" s="637"/>
      <c r="Q272" s="637"/>
      <c r="R272" s="637"/>
      <c r="S272" s="637"/>
      <c r="T272" s="637"/>
      <c r="U272" s="637"/>
      <c r="V272" s="637"/>
      <c r="W272" s="637"/>
      <c r="X272" s="637"/>
      <c r="Y272" s="637"/>
      <c r="Z272" s="637"/>
      <c r="AA272" s="637"/>
      <c r="AB272" s="637"/>
      <c r="AC272" s="637"/>
      <c r="AD272" s="606"/>
      <c r="AE272" s="606"/>
      <c r="AF272" s="606"/>
      <c r="AG272" s="606"/>
    </row>
    <row r="273" spans="1:33" s="612" customFormat="1" outlineLevel="2" x14ac:dyDescent="0.2">
      <c r="A273" s="606"/>
      <c r="B273" s="606"/>
      <c r="C273" s="607"/>
      <c r="D273" s="608"/>
      <c r="E273" s="608"/>
      <c r="F273" s="608"/>
      <c r="G273" s="608"/>
      <c r="H273" s="609"/>
      <c r="I273" s="637"/>
      <c r="J273" s="637"/>
      <c r="K273" s="637"/>
      <c r="L273" s="637"/>
      <c r="M273" s="637"/>
      <c r="N273" s="637"/>
      <c r="O273" s="637"/>
      <c r="P273" s="637"/>
      <c r="Q273" s="637"/>
      <c r="R273" s="637"/>
      <c r="S273" s="637"/>
      <c r="T273" s="637"/>
      <c r="U273" s="637"/>
      <c r="V273" s="637"/>
      <c r="W273" s="637"/>
      <c r="X273" s="637"/>
      <c r="Y273" s="637"/>
      <c r="Z273" s="637"/>
      <c r="AA273" s="637"/>
      <c r="AB273" s="637"/>
      <c r="AC273" s="637"/>
      <c r="AD273" s="606"/>
      <c r="AE273" s="606"/>
      <c r="AF273" s="606"/>
      <c r="AG273" s="606"/>
    </row>
    <row r="274" spans="1:33" s="612" customFormat="1" outlineLevel="2" x14ac:dyDescent="0.2">
      <c r="A274" s="606"/>
      <c r="B274" s="606"/>
      <c r="C274" s="607"/>
      <c r="D274" s="608"/>
      <c r="E274" s="608"/>
      <c r="F274" s="608"/>
      <c r="G274" s="608"/>
      <c r="H274" s="609"/>
      <c r="I274" s="637"/>
      <c r="J274" s="637"/>
      <c r="K274" s="637"/>
      <c r="L274" s="637"/>
      <c r="M274" s="637"/>
      <c r="N274" s="637"/>
      <c r="O274" s="637"/>
      <c r="P274" s="637"/>
      <c r="Q274" s="637"/>
      <c r="R274" s="637"/>
      <c r="S274" s="637"/>
      <c r="T274" s="637"/>
      <c r="U274" s="637"/>
      <c r="V274" s="637"/>
      <c r="W274" s="637"/>
      <c r="X274" s="637"/>
      <c r="Y274" s="637"/>
      <c r="Z274" s="637"/>
      <c r="AA274" s="637"/>
      <c r="AB274" s="637"/>
      <c r="AC274" s="637"/>
      <c r="AD274" s="606"/>
      <c r="AE274" s="606"/>
      <c r="AF274" s="606"/>
      <c r="AG274" s="606"/>
    </row>
    <row r="275" spans="1:33" s="612" customFormat="1" outlineLevel="2" x14ac:dyDescent="0.2">
      <c r="A275" s="606"/>
      <c r="B275" s="606"/>
      <c r="C275" s="607"/>
      <c r="D275" s="608"/>
      <c r="E275" s="608"/>
      <c r="F275" s="608"/>
      <c r="G275" s="608"/>
      <c r="H275" s="609"/>
      <c r="I275" s="637"/>
      <c r="J275" s="637"/>
      <c r="K275" s="637"/>
      <c r="L275" s="637"/>
      <c r="M275" s="637"/>
      <c r="N275" s="637"/>
      <c r="O275" s="637"/>
      <c r="P275" s="637"/>
      <c r="Q275" s="637"/>
      <c r="R275" s="637"/>
      <c r="S275" s="637"/>
      <c r="T275" s="637"/>
      <c r="U275" s="637"/>
      <c r="V275" s="637"/>
      <c r="W275" s="637"/>
      <c r="X275" s="637"/>
      <c r="Y275" s="637"/>
      <c r="Z275" s="637"/>
      <c r="AA275" s="637"/>
      <c r="AB275" s="637"/>
      <c r="AC275" s="637"/>
      <c r="AD275" s="606"/>
      <c r="AE275" s="606"/>
      <c r="AF275" s="606"/>
      <c r="AG275" s="606"/>
    </row>
    <row r="276" spans="1:33" s="612" customFormat="1" outlineLevel="2" x14ac:dyDescent="0.2">
      <c r="A276" s="606"/>
      <c r="B276" s="606"/>
      <c r="C276" s="630"/>
      <c r="D276" s="608"/>
      <c r="E276" s="608"/>
      <c r="F276" s="608"/>
      <c r="G276" s="608"/>
      <c r="H276" s="609"/>
      <c r="I276" s="637"/>
      <c r="J276" s="637"/>
      <c r="K276" s="637"/>
      <c r="L276" s="637"/>
      <c r="M276" s="637"/>
      <c r="N276" s="637"/>
      <c r="O276" s="637"/>
      <c r="P276" s="637"/>
      <c r="Q276" s="637"/>
      <c r="R276" s="637"/>
      <c r="S276" s="637"/>
      <c r="T276" s="637"/>
      <c r="U276" s="637"/>
      <c r="V276" s="637"/>
      <c r="W276" s="637"/>
      <c r="X276" s="637"/>
      <c r="Y276" s="637"/>
      <c r="Z276" s="637"/>
      <c r="AA276" s="637"/>
      <c r="AB276" s="637"/>
      <c r="AC276" s="637"/>
      <c r="AD276" s="606"/>
      <c r="AE276" s="606"/>
      <c r="AF276" s="606"/>
      <c r="AG276" s="606"/>
    </row>
    <row r="277" spans="1:33" s="612" customFormat="1" outlineLevel="2" x14ac:dyDescent="0.2">
      <c r="A277" s="606"/>
      <c r="B277" s="606"/>
      <c r="C277" s="607"/>
      <c r="D277" s="608"/>
      <c r="E277" s="608"/>
      <c r="F277" s="608"/>
      <c r="G277" s="608"/>
      <c r="H277" s="609"/>
      <c r="I277" s="637"/>
      <c r="J277" s="637"/>
      <c r="K277" s="637"/>
      <c r="L277" s="637"/>
      <c r="M277" s="637"/>
      <c r="N277" s="637"/>
      <c r="O277" s="637"/>
      <c r="P277" s="637"/>
      <c r="Q277" s="637"/>
      <c r="R277" s="637"/>
      <c r="S277" s="637"/>
      <c r="T277" s="637"/>
      <c r="U277" s="637"/>
      <c r="V277" s="637"/>
      <c r="W277" s="637"/>
      <c r="X277" s="637"/>
      <c r="Y277" s="637"/>
      <c r="Z277" s="637"/>
      <c r="AA277" s="637"/>
      <c r="AB277" s="637"/>
      <c r="AC277" s="637"/>
      <c r="AD277" s="606"/>
      <c r="AE277" s="606"/>
      <c r="AF277" s="606"/>
      <c r="AG277" s="606"/>
    </row>
    <row r="278" spans="1:33" s="612" customFormat="1" outlineLevel="2" x14ac:dyDescent="0.2">
      <c r="A278" s="606"/>
      <c r="B278" s="606"/>
      <c r="C278" s="607"/>
      <c r="D278" s="608"/>
      <c r="E278" s="608"/>
      <c r="F278" s="608"/>
      <c r="G278" s="608"/>
      <c r="H278" s="609"/>
      <c r="I278" s="637"/>
      <c r="J278" s="637"/>
      <c r="K278" s="637"/>
      <c r="L278" s="637"/>
      <c r="M278" s="637"/>
      <c r="N278" s="637"/>
      <c r="O278" s="637"/>
      <c r="P278" s="637"/>
      <c r="Q278" s="637"/>
      <c r="R278" s="637"/>
      <c r="S278" s="637"/>
      <c r="T278" s="637"/>
      <c r="U278" s="637"/>
      <c r="V278" s="637"/>
      <c r="W278" s="637"/>
      <c r="X278" s="637"/>
      <c r="Y278" s="637"/>
      <c r="Z278" s="637"/>
      <c r="AA278" s="637"/>
      <c r="AB278" s="637"/>
      <c r="AC278" s="637"/>
      <c r="AD278" s="606"/>
      <c r="AE278" s="606"/>
      <c r="AF278" s="606"/>
      <c r="AG278" s="606"/>
    </row>
    <row r="279" spans="1:33" s="612" customFormat="1" outlineLevel="2" x14ac:dyDescent="0.2">
      <c r="A279" s="606"/>
      <c r="B279" s="606"/>
      <c r="C279" s="607"/>
      <c r="D279" s="608"/>
      <c r="E279" s="608"/>
      <c r="F279" s="608"/>
      <c r="G279" s="608"/>
      <c r="H279" s="609"/>
      <c r="I279" s="637"/>
      <c r="J279" s="637"/>
      <c r="K279" s="637"/>
      <c r="L279" s="637"/>
      <c r="M279" s="637"/>
      <c r="N279" s="637"/>
      <c r="O279" s="637"/>
      <c r="P279" s="637"/>
      <c r="Q279" s="637"/>
      <c r="R279" s="637"/>
      <c r="S279" s="637"/>
      <c r="T279" s="637"/>
      <c r="U279" s="637"/>
      <c r="V279" s="637"/>
      <c r="W279" s="637"/>
      <c r="X279" s="637"/>
      <c r="Y279" s="637"/>
      <c r="Z279" s="637"/>
      <c r="AA279" s="637"/>
      <c r="AB279" s="637"/>
      <c r="AC279" s="637"/>
      <c r="AD279" s="606"/>
      <c r="AE279" s="606"/>
      <c r="AF279" s="606"/>
      <c r="AG279" s="606"/>
    </row>
    <row r="280" spans="1:33" s="612" customFormat="1" outlineLevel="2" x14ac:dyDescent="0.2">
      <c r="A280" s="606"/>
      <c r="B280" s="606"/>
      <c r="C280" s="607"/>
      <c r="D280" s="608"/>
      <c r="E280" s="608"/>
      <c r="F280" s="608"/>
      <c r="G280" s="608"/>
      <c r="H280" s="609"/>
      <c r="I280" s="637"/>
      <c r="J280" s="637"/>
      <c r="K280" s="637"/>
      <c r="L280" s="637"/>
      <c r="M280" s="637"/>
      <c r="N280" s="637"/>
      <c r="O280" s="637"/>
      <c r="P280" s="637"/>
      <c r="Q280" s="637"/>
      <c r="R280" s="637"/>
      <c r="S280" s="637"/>
      <c r="T280" s="637"/>
      <c r="U280" s="637"/>
      <c r="V280" s="637"/>
      <c r="W280" s="637"/>
      <c r="X280" s="637"/>
      <c r="Y280" s="637"/>
      <c r="Z280" s="637"/>
      <c r="AA280" s="637"/>
      <c r="AB280" s="637"/>
      <c r="AC280" s="637"/>
      <c r="AD280" s="606"/>
      <c r="AE280" s="606"/>
      <c r="AF280" s="606"/>
      <c r="AG280" s="606"/>
    </row>
    <row r="281" spans="1:33" s="612" customFormat="1" outlineLevel="2" x14ac:dyDescent="0.2">
      <c r="A281" s="606"/>
      <c r="B281" s="606"/>
      <c r="C281" s="607"/>
      <c r="D281" s="608"/>
      <c r="E281" s="608"/>
      <c r="F281" s="608"/>
      <c r="G281" s="608"/>
      <c r="H281" s="609"/>
      <c r="I281" s="637"/>
      <c r="J281" s="637"/>
      <c r="K281" s="637"/>
      <c r="L281" s="637"/>
      <c r="M281" s="637"/>
      <c r="N281" s="637"/>
      <c r="O281" s="637"/>
      <c r="P281" s="637"/>
      <c r="Q281" s="637"/>
      <c r="R281" s="637"/>
      <c r="S281" s="637"/>
      <c r="T281" s="637"/>
      <c r="U281" s="637"/>
      <c r="V281" s="637"/>
      <c r="W281" s="637"/>
      <c r="X281" s="637"/>
      <c r="Y281" s="637"/>
      <c r="Z281" s="637"/>
      <c r="AA281" s="637"/>
      <c r="AB281" s="637"/>
      <c r="AC281" s="637"/>
      <c r="AD281" s="606"/>
      <c r="AE281" s="606"/>
      <c r="AF281" s="606"/>
      <c r="AG281" s="606"/>
    </row>
    <row r="282" spans="1:33" s="612" customFormat="1" hidden="1" outlineLevel="3" x14ac:dyDescent="0.2">
      <c r="A282" s="606"/>
      <c r="B282" s="606"/>
      <c r="C282" s="607"/>
      <c r="D282" s="608"/>
      <c r="E282" s="608"/>
      <c r="F282" s="608"/>
      <c r="G282" s="608"/>
      <c r="H282" s="609"/>
      <c r="I282" s="637"/>
      <c r="J282" s="637"/>
      <c r="K282" s="637"/>
      <c r="L282" s="637"/>
      <c r="M282" s="637"/>
      <c r="N282" s="637"/>
      <c r="O282" s="637"/>
      <c r="P282" s="637"/>
      <c r="Q282" s="637"/>
      <c r="R282" s="637"/>
      <c r="S282" s="637"/>
      <c r="T282" s="637"/>
      <c r="U282" s="637"/>
      <c r="V282" s="637"/>
      <c r="W282" s="637"/>
      <c r="X282" s="637"/>
      <c r="Y282" s="637"/>
      <c r="Z282" s="637"/>
      <c r="AA282" s="637"/>
      <c r="AB282" s="637"/>
      <c r="AC282" s="637"/>
      <c r="AD282" s="606"/>
      <c r="AE282" s="606"/>
      <c r="AF282" s="606"/>
      <c r="AG282" s="606"/>
    </row>
    <row r="283" spans="1:33" s="612" customFormat="1" hidden="1" outlineLevel="3" x14ac:dyDescent="0.2">
      <c r="A283" s="606"/>
      <c r="B283" s="606"/>
      <c r="C283" s="607"/>
      <c r="D283" s="608"/>
      <c r="E283" s="608"/>
      <c r="F283" s="608"/>
      <c r="G283" s="608"/>
      <c r="H283" s="609"/>
      <c r="I283" s="637"/>
      <c r="J283" s="637"/>
      <c r="K283" s="637"/>
      <c r="L283" s="637"/>
      <c r="M283" s="637"/>
      <c r="N283" s="637"/>
      <c r="O283" s="637"/>
      <c r="P283" s="637"/>
      <c r="Q283" s="637"/>
      <c r="R283" s="637"/>
      <c r="S283" s="637"/>
      <c r="T283" s="637"/>
      <c r="U283" s="637"/>
      <c r="V283" s="637"/>
      <c r="W283" s="637"/>
      <c r="X283" s="637"/>
      <c r="Y283" s="637"/>
      <c r="Z283" s="637"/>
      <c r="AA283" s="637"/>
      <c r="AB283" s="637"/>
      <c r="AC283" s="637"/>
      <c r="AD283" s="606"/>
      <c r="AE283" s="606"/>
      <c r="AF283" s="606"/>
      <c r="AG283" s="606"/>
    </row>
    <row r="284" spans="1:33" s="612" customFormat="1" hidden="1" outlineLevel="3" x14ac:dyDescent="0.2">
      <c r="A284" s="606"/>
      <c r="B284" s="606"/>
      <c r="C284" s="607"/>
      <c r="D284" s="608"/>
      <c r="E284" s="608"/>
      <c r="F284" s="608"/>
      <c r="G284" s="608"/>
      <c r="H284" s="609"/>
      <c r="I284" s="637"/>
      <c r="J284" s="637"/>
      <c r="K284" s="637"/>
      <c r="L284" s="637"/>
      <c r="M284" s="637"/>
      <c r="N284" s="637"/>
      <c r="O284" s="637"/>
      <c r="P284" s="637"/>
      <c r="Q284" s="637"/>
      <c r="R284" s="637"/>
      <c r="S284" s="637"/>
      <c r="T284" s="637"/>
      <c r="U284" s="637"/>
      <c r="V284" s="637"/>
      <c r="W284" s="637"/>
      <c r="X284" s="637"/>
      <c r="Y284" s="637"/>
      <c r="Z284" s="637"/>
      <c r="AA284" s="637"/>
      <c r="AB284" s="637"/>
      <c r="AC284" s="637"/>
      <c r="AD284" s="606"/>
      <c r="AE284" s="606"/>
      <c r="AF284" s="606"/>
      <c r="AG284" s="606"/>
    </row>
    <row r="285" spans="1:33" s="612" customFormat="1" hidden="1" outlineLevel="3" x14ac:dyDescent="0.2">
      <c r="A285" s="606"/>
      <c r="B285" s="606"/>
      <c r="C285" s="607"/>
      <c r="D285" s="608"/>
      <c r="E285" s="608"/>
      <c r="F285" s="608"/>
      <c r="G285" s="608"/>
      <c r="H285" s="609"/>
      <c r="I285" s="637"/>
      <c r="J285" s="637"/>
      <c r="K285" s="637"/>
      <c r="L285" s="637"/>
      <c r="M285" s="637"/>
      <c r="N285" s="637"/>
      <c r="O285" s="637"/>
      <c r="P285" s="637"/>
      <c r="Q285" s="637"/>
      <c r="R285" s="637"/>
      <c r="S285" s="637"/>
      <c r="T285" s="637"/>
      <c r="U285" s="637"/>
      <c r="V285" s="637"/>
      <c r="W285" s="637"/>
      <c r="X285" s="637"/>
      <c r="Y285" s="637"/>
      <c r="Z285" s="637"/>
      <c r="AA285" s="637"/>
      <c r="AB285" s="637"/>
      <c r="AC285" s="637"/>
      <c r="AD285" s="606"/>
      <c r="AE285" s="606"/>
      <c r="AF285" s="606"/>
      <c r="AG285" s="606"/>
    </row>
    <row r="286" spans="1:33" s="612" customFormat="1" hidden="1" outlineLevel="3" x14ac:dyDescent="0.2">
      <c r="A286" s="606"/>
      <c r="B286" s="606"/>
      <c r="C286" s="607"/>
      <c r="D286" s="608"/>
      <c r="E286" s="608"/>
      <c r="F286" s="608"/>
      <c r="G286" s="608"/>
      <c r="H286" s="609"/>
      <c r="I286" s="637"/>
      <c r="J286" s="637"/>
      <c r="K286" s="637"/>
      <c r="L286" s="637"/>
      <c r="M286" s="637"/>
      <c r="N286" s="637"/>
      <c r="O286" s="637"/>
      <c r="P286" s="637"/>
      <c r="Q286" s="637"/>
      <c r="R286" s="637"/>
      <c r="S286" s="637"/>
      <c r="T286" s="637"/>
      <c r="U286" s="637"/>
      <c r="V286" s="637"/>
      <c r="W286" s="637"/>
      <c r="X286" s="637"/>
      <c r="Y286" s="637"/>
      <c r="Z286" s="637"/>
      <c r="AA286" s="637"/>
      <c r="AB286" s="637"/>
      <c r="AC286" s="637"/>
      <c r="AD286" s="606"/>
      <c r="AE286" s="606"/>
      <c r="AF286" s="606"/>
      <c r="AG286" s="606"/>
    </row>
    <row r="287" spans="1:33" s="612" customFormat="1" hidden="1" outlineLevel="3" x14ac:dyDescent="0.2">
      <c r="A287" s="606"/>
      <c r="B287" s="606"/>
      <c r="C287" s="607"/>
      <c r="D287" s="608"/>
      <c r="E287" s="608"/>
      <c r="F287" s="608"/>
      <c r="G287" s="608"/>
      <c r="H287" s="609"/>
      <c r="I287" s="637"/>
      <c r="J287" s="637"/>
      <c r="K287" s="637"/>
      <c r="L287" s="637"/>
      <c r="M287" s="637"/>
      <c r="N287" s="637"/>
      <c r="O287" s="637"/>
      <c r="P287" s="637"/>
      <c r="Q287" s="637"/>
      <c r="R287" s="637"/>
      <c r="S287" s="637"/>
      <c r="T287" s="637"/>
      <c r="U287" s="637"/>
      <c r="V287" s="637"/>
      <c r="W287" s="637"/>
      <c r="X287" s="637"/>
      <c r="Y287" s="637"/>
      <c r="Z287" s="637"/>
      <c r="AA287" s="637"/>
      <c r="AB287" s="637"/>
      <c r="AC287" s="637"/>
      <c r="AD287" s="606"/>
      <c r="AE287" s="606"/>
      <c r="AF287" s="606"/>
      <c r="AG287" s="606"/>
    </row>
    <row r="288" spans="1:33" s="612" customFormat="1" hidden="1" outlineLevel="3" x14ac:dyDescent="0.2">
      <c r="A288" s="606"/>
      <c r="B288" s="606"/>
      <c r="C288" s="607"/>
      <c r="D288" s="608"/>
      <c r="E288" s="608"/>
      <c r="F288" s="608"/>
      <c r="G288" s="608"/>
      <c r="H288" s="609"/>
      <c r="I288" s="637"/>
      <c r="J288" s="637"/>
      <c r="K288" s="637"/>
      <c r="L288" s="637"/>
      <c r="M288" s="637"/>
      <c r="N288" s="637"/>
      <c r="O288" s="637"/>
      <c r="P288" s="637"/>
      <c r="Q288" s="637"/>
      <c r="R288" s="637"/>
      <c r="S288" s="637"/>
      <c r="T288" s="637"/>
      <c r="U288" s="637"/>
      <c r="V288" s="637"/>
      <c r="W288" s="637"/>
      <c r="X288" s="637"/>
      <c r="Y288" s="637"/>
      <c r="Z288" s="637"/>
      <c r="AA288" s="637"/>
      <c r="AB288" s="637"/>
      <c r="AC288" s="637"/>
      <c r="AD288" s="606"/>
      <c r="AE288" s="606"/>
      <c r="AF288" s="606"/>
      <c r="AG288" s="606"/>
    </row>
    <row r="289" spans="1:33" s="612" customFormat="1" hidden="1" outlineLevel="3" x14ac:dyDescent="0.2">
      <c r="A289" s="606"/>
      <c r="B289" s="606"/>
      <c r="C289" s="607"/>
      <c r="D289" s="608"/>
      <c r="E289" s="608"/>
      <c r="F289" s="608"/>
      <c r="G289" s="608"/>
      <c r="H289" s="609"/>
      <c r="I289" s="637"/>
      <c r="J289" s="637"/>
      <c r="K289" s="637"/>
      <c r="L289" s="637"/>
      <c r="M289" s="637"/>
      <c r="N289" s="637"/>
      <c r="O289" s="637"/>
      <c r="P289" s="637"/>
      <c r="Q289" s="637"/>
      <c r="R289" s="637"/>
      <c r="S289" s="637"/>
      <c r="T289" s="637"/>
      <c r="U289" s="637"/>
      <c r="V289" s="637"/>
      <c r="W289" s="637"/>
      <c r="X289" s="637"/>
      <c r="Y289" s="637"/>
      <c r="Z289" s="637"/>
      <c r="AA289" s="637"/>
      <c r="AB289" s="637"/>
      <c r="AC289" s="637"/>
      <c r="AD289" s="606"/>
      <c r="AE289" s="606"/>
      <c r="AF289" s="606"/>
      <c r="AG289" s="606"/>
    </row>
    <row r="290" spans="1:33" s="612" customFormat="1" hidden="1" outlineLevel="3" x14ac:dyDescent="0.2">
      <c r="A290" s="606"/>
      <c r="B290" s="606"/>
      <c r="C290" s="607"/>
      <c r="D290" s="608"/>
      <c r="E290" s="608"/>
      <c r="F290" s="608"/>
      <c r="G290" s="608"/>
      <c r="H290" s="609"/>
      <c r="I290" s="637"/>
      <c r="J290" s="637"/>
      <c r="K290" s="637"/>
      <c r="L290" s="637"/>
      <c r="M290" s="637"/>
      <c r="N290" s="637"/>
      <c r="O290" s="637"/>
      <c r="P290" s="637"/>
      <c r="Q290" s="637"/>
      <c r="R290" s="637"/>
      <c r="S290" s="637"/>
      <c r="T290" s="637"/>
      <c r="U290" s="637"/>
      <c r="V290" s="637"/>
      <c r="W290" s="637"/>
      <c r="X290" s="637"/>
      <c r="Y290" s="637"/>
      <c r="Z290" s="637"/>
      <c r="AA290" s="637"/>
      <c r="AB290" s="637"/>
      <c r="AC290" s="637"/>
      <c r="AD290" s="606"/>
      <c r="AE290" s="606"/>
      <c r="AF290" s="606"/>
      <c r="AG290" s="606"/>
    </row>
    <row r="291" spans="1:33" s="612" customFormat="1" hidden="1" outlineLevel="3" x14ac:dyDescent="0.2">
      <c r="A291" s="606"/>
      <c r="B291" s="606"/>
      <c r="C291" s="607"/>
      <c r="D291" s="608"/>
      <c r="E291" s="608"/>
      <c r="F291" s="608"/>
      <c r="G291" s="608"/>
      <c r="H291" s="609"/>
      <c r="I291" s="637"/>
      <c r="J291" s="637"/>
      <c r="K291" s="637"/>
      <c r="L291" s="637"/>
      <c r="M291" s="637"/>
      <c r="N291" s="637"/>
      <c r="O291" s="637"/>
      <c r="P291" s="637"/>
      <c r="Q291" s="637"/>
      <c r="R291" s="637"/>
      <c r="S291" s="637"/>
      <c r="T291" s="637"/>
      <c r="U291" s="637"/>
      <c r="V291" s="637"/>
      <c r="W291" s="637"/>
      <c r="X291" s="637"/>
      <c r="Y291" s="637"/>
      <c r="Z291" s="637"/>
      <c r="AA291" s="637"/>
      <c r="AB291" s="637"/>
      <c r="AC291" s="637"/>
      <c r="AD291" s="606"/>
      <c r="AE291" s="606"/>
      <c r="AF291" s="606"/>
      <c r="AG291" s="606"/>
    </row>
    <row r="292" spans="1:33" s="612" customFormat="1" hidden="1" outlineLevel="3" x14ac:dyDescent="0.2">
      <c r="A292" s="606"/>
      <c r="B292" s="606"/>
      <c r="C292" s="607"/>
      <c r="D292" s="608"/>
      <c r="E292" s="608"/>
      <c r="F292" s="608"/>
      <c r="G292" s="608"/>
      <c r="H292" s="609"/>
      <c r="I292" s="637"/>
      <c r="J292" s="637"/>
      <c r="K292" s="637"/>
      <c r="L292" s="637"/>
      <c r="M292" s="637"/>
      <c r="N292" s="637"/>
      <c r="O292" s="637"/>
      <c r="P292" s="637"/>
      <c r="Q292" s="637"/>
      <c r="R292" s="637"/>
      <c r="S292" s="637"/>
      <c r="T292" s="637"/>
      <c r="U292" s="637"/>
      <c r="V292" s="637"/>
      <c r="W292" s="637"/>
      <c r="X292" s="637"/>
      <c r="Y292" s="637"/>
      <c r="Z292" s="637"/>
      <c r="AA292" s="637"/>
      <c r="AB292" s="637"/>
      <c r="AC292" s="637"/>
      <c r="AD292" s="606"/>
      <c r="AE292" s="606"/>
      <c r="AF292" s="606"/>
      <c r="AG292" s="606"/>
    </row>
    <row r="293" spans="1:33" s="612" customFormat="1" hidden="1" outlineLevel="3" x14ac:dyDescent="0.2">
      <c r="A293" s="606"/>
      <c r="B293" s="606"/>
      <c r="C293" s="607"/>
      <c r="D293" s="608"/>
      <c r="E293" s="608"/>
      <c r="F293" s="608"/>
      <c r="G293" s="608"/>
      <c r="H293" s="609"/>
      <c r="I293" s="637"/>
      <c r="J293" s="637"/>
      <c r="K293" s="637"/>
      <c r="L293" s="637"/>
      <c r="M293" s="637"/>
      <c r="N293" s="637"/>
      <c r="O293" s="637"/>
      <c r="P293" s="637"/>
      <c r="Q293" s="637"/>
      <c r="R293" s="637"/>
      <c r="S293" s="637"/>
      <c r="T293" s="637"/>
      <c r="U293" s="637"/>
      <c r="V293" s="637"/>
      <c r="W293" s="637"/>
      <c r="X293" s="637"/>
      <c r="Y293" s="637"/>
      <c r="Z293" s="637"/>
      <c r="AA293" s="637"/>
      <c r="AB293" s="637"/>
      <c r="AC293" s="637"/>
      <c r="AD293" s="606"/>
      <c r="AE293" s="606"/>
      <c r="AF293" s="606"/>
      <c r="AG293" s="606"/>
    </row>
    <row r="294" spans="1:33" s="612" customFormat="1" hidden="1" outlineLevel="3" x14ac:dyDescent="0.2">
      <c r="A294" s="606"/>
      <c r="B294" s="606"/>
      <c r="C294" s="607"/>
      <c r="D294" s="608"/>
      <c r="E294" s="608"/>
      <c r="F294" s="608"/>
      <c r="G294" s="608"/>
      <c r="H294" s="609"/>
      <c r="I294" s="637"/>
      <c r="J294" s="637"/>
      <c r="K294" s="637"/>
      <c r="L294" s="637"/>
      <c r="M294" s="637"/>
      <c r="N294" s="637"/>
      <c r="O294" s="637"/>
      <c r="P294" s="637"/>
      <c r="Q294" s="637"/>
      <c r="R294" s="637"/>
      <c r="S294" s="637"/>
      <c r="T294" s="637"/>
      <c r="U294" s="637"/>
      <c r="V294" s="637"/>
      <c r="W294" s="637"/>
      <c r="X294" s="637"/>
      <c r="Y294" s="637"/>
      <c r="Z294" s="637"/>
      <c r="AA294" s="637"/>
      <c r="AB294" s="637"/>
      <c r="AC294" s="637"/>
      <c r="AD294" s="606"/>
      <c r="AE294" s="606"/>
      <c r="AF294" s="606"/>
      <c r="AG294" s="606"/>
    </row>
    <row r="295" spans="1:33" s="612" customFormat="1" hidden="1" outlineLevel="3" x14ac:dyDescent="0.2">
      <c r="A295" s="606"/>
      <c r="B295" s="606"/>
      <c r="C295" s="607"/>
      <c r="D295" s="608"/>
      <c r="E295" s="608"/>
      <c r="F295" s="608"/>
      <c r="G295" s="608"/>
      <c r="H295" s="609"/>
      <c r="I295" s="637"/>
      <c r="J295" s="637"/>
      <c r="K295" s="637"/>
      <c r="L295" s="637"/>
      <c r="M295" s="637"/>
      <c r="N295" s="637"/>
      <c r="O295" s="637"/>
      <c r="P295" s="637"/>
      <c r="Q295" s="637"/>
      <c r="R295" s="637"/>
      <c r="S295" s="637"/>
      <c r="T295" s="637"/>
      <c r="U295" s="637"/>
      <c r="V295" s="637"/>
      <c r="W295" s="637"/>
      <c r="X295" s="637"/>
      <c r="Y295" s="637"/>
      <c r="Z295" s="637"/>
      <c r="AA295" s="637"/>
      <c r="AB295" s="637"/>
      <c r="AC295" s="637"/>
      <c r="AD295" s="606"/>
      <c r="AE295" s="606"/>
      <c r="AF295" s="606"/>
      <c r="AG295" s="606"/>
    </row>
    <row r="296" spans="1:33" s="612" customFormat="1" hidden="1" outlineLevel="3" x14ac:dyDescent="0.2">
      <c r="A296" s="606"/>
      <c r="B296" s="606"/>
      <c r="C296" s="607"/>
      <c r="D296" s="608"/>
      <c r="E296" s="608"/>
      <c r="F296" s="608"/>
      <c r="G296" s="608"/>
      <c r="H296" s="609"/>
      <c r="I296" s="637"/>
      <c r="J296" s="637"/>
      <c r="K296" s="637"/>
      <c r="L296" s="637"/>
      <c r="M296" s="637"/>
      <c r="N296" s="637"/>
      <c r="O296" s="637"/>
      <c r="P296" s="637"/>
      <c r="Q296" s="637"/>
      <c r="R296" s="637"/>
      <c r="S296" s="637"/>
      <c r="T296" s="637"/>
      <c r="U296" s="637"/>
      <c r="V296" s="637"/>
      <c r="W296" s="637"/>
      <c r="X296" s="637"/>
      <c r="Y296" s="637"/>
      <c r="Z296" s="637"/>
      <c r="AA296" s="637"/>
      <c r="AB296" s="637"/>
      <c r="AC296" s="637"/>
      <c r="AD296" s="606"/>
      <c r="AE296" s="606"/>
      <c r="AF296" s="606"/>
      <c r="AG296" s="606"/>
    </row>
    <row r="297" spans="1:33" s="612" customFormat="1" hidden="1" outlineLevel="3" x14ac:dyDescent="0.2">
      <c r="A297" s="606"/>
      <c r="B297" s="606"/>
      <c r="C297" s="607"/>
      <c r="D297" s="608"/>
      <c r="E297" s="608"/>
      <c r="F297" s="608"/>
      <c r="G297" s="608"/>
      <c r="H297" s="609"/>
      <c r="I297" s="637"/>
      <c r="J297" s="637"/>
      <c r="K297" s="637"/>
      <c r="L297" s="637"/>
      <c r="M297" s="637"/>
      <c r="N297" s="637"/>
      <c r="O297" s="637"/>
      <c r="P297" s="637"/>
      <c r="Q297" s="637"/>
      <c r="R297" s="637"/>
      <c r="S297" s="637"/>
      <c r="T297" s="637"/>
      <c r="U297" s="637"/>
      <c r="V297" s="637"/>
      <c r="W297" s="637"/>
      <c r="X297" s="637"/>
      <c r="Y297" s="637"/>
      <c r="Z297" s="637"/>
      <c r="AA297" s="637"/>
      <c r="AB297" s="637"/>
      <c r="AC297" s="637"/>
      <c r="AD297" s="606"/>
      <c r="AE297" s="606"/>
      <c r="AF297" s="606"/>
      <c r="AG297" s="606"/>
    </row>
    <row r="298" spans="1:33" s="612" customFormat="1" hidden="1" outlineLevel="3" x14ac:dyDescent="0.2">
      <c r="A298" s="606"/>
      <c r="B298" s="606"/>
      <c r="C298" s="607"/>
      <c r="D298" s="608"/>
      <c r="E298" s="608"/>
      <c r="F298" s="608"/>
      <c r="G298" s="608"/>
      <c r="H298" s="609"/>
      <c r="I298" s="637"/>
      <c r="J298" s="637"/>
      <c r="K298" s="637"/>
      <c r="L298" s="637"/>
      <c r="M298" s="637"/>
      <c r="N298" s="637"/>
      <c r="O298" s="637"/>
      <c r="P298" s="637"/>
      <c r="Q298" s="637"/>
      <c r="R298" s="637"/>
      <c r="S298" s="637"/>
      <c r="T298" s="637"/>
      <c r="U298" s="637"/>
      <c r="V298" s="637"/>
      <c r="W298" s="637"/>
      <c r="X298" s="637"/>
      <c r="Y298" s="637"/>
      <c r="Z298" s="637"/>
      <c r="AA298" s="637"/>
      <c r="AB298" s="637"/>
      <c r="AC298" s="637"/>
      <c r="AD298" s="606"/>
      <c r="AE298" s="606"/>
      <c r="AF298" s="606"/>
      <c r="AG298" s="606"/>
    </row>
    <row r="299" spans="1:33" s="612" customFormat="1" hidden="1" outlineLevel="3" x14ac:dyDescent="0.2">
      <c r="A299" s="606"/>
      <c r="B299" s="606"/>
      <c r="C299" s="607"/>
      <c r="D299" s="608"/>
      <c r="E299" s="608"/>
      <c r="F299" s="608"/>
      <c r="G299" s="608"/>
      <c r="H299" s="609"/>
      <c r="I299" s="637"/>
      <c r="J299" s="637"/>
      <c r="K299" s="637"/>
      <c r="L299" s="637"/>
      <c r="M299" s="637"/>
      <c r="N299" s="637"/>
      <c r="O299" s="637"/>
      <c r="P299" s="637"/>
      <c r="Q299" s="637"/>
      <c r="R299" s="637"/>
      <c r="S299" s="637"/>
      <c r="T299" s="637"/>
      <c r="U299" s="637"/>
      <c r="V299" s="637"/>
      <c r="W299" s="637"/>
      <c r="X299" s="637"/>
      <c r="Y299" s="637"/>
      <c r="Z299" s="637"/>
      <c r="AA299" s="637"/>
      <c r="AB299" s="637"/>
      <c r="AC299" s="637"/>
      <c r="AD299" s="606"/>
      <c r="AE299" s="606"/>
      <c r="AF299" s="606"/>
      <c r="AG299" s="606"/>
    </row>
    <row r="300" spans="1:33" s="612" customFormat="1" hidden="1" outlineLevel="3" x14ac:dyDescent="0.2">
      <c r="A300" s="606"/>
      <c r="B300" s="606"/>
      <c r="C300" s="607"/>
      <c r="D300" s="608"/>
      <c r="E300" s="608"/>
      <c r="F300" s="608"/>
      <c r="G300" s="608"/>
      <c r="H300" s="609"/>
      <c r="I300" s="637"/>
      <c r="J300" s="637"/>
      <c r="K300" s="637"/>
      <c r="L300" s="637"/>
      <c r="M300" s="637"/>
      <c r="N300" s="637"/>
      <c r="O300" s="637"/>
      <c r="P300" s="637"/>
      <c r="Q300" s="637"/>
      <c r="R300" s="637"/>
      <c r="S300" s="637"/>
      <c r="T300" s="637"/>
      <c r="U300" s="637"/>
      <c r="V300" s="637"/>
      <c r="W300" s="637"/>
      <c r="X300" s="637"/>
      <c r="Y300" s="637"/>
      <c r="Z300" s="637"/>
      <c r="AA300" s="637"/>
      <c r="AB300" s="637"/>
      <c r="AC300" s="637"/>
      <c r="AD300" s="606"/>
      <c r="AE300" s="606"/>
      <c r="AF300" s="606"/>
      <c r="AG300" s="606"/>
    </row>
    <row r="301" spans="1:33" s="612" customFormat="1" hidden="1" outlineLevel="3" x14ac:dyDescent="0.2">
      <c r="A301" s="606"/>
      <c r="B301" s="606"/>
      <c r="C301" s="607"/>
      <c r="D301" s="608"/>
      <c r="E301" s="608"/>
      <c r="F301" s="608"/>
      <c r="G301" s="608"/>
      <c r="H301" s="609"/>
      <c r="I301" s="637"/>
      <c r="J301" s="637"/>
      <c r="K301" s="637"/>
      <c r="L301" s="637"/>
      <c r="M301" s="637"/>
      <c r="N301" s="637"/>
      <c r="O301" s="637"/>
      <c r="P301" s="637"/>
      <c r="Q301" s="637"/>
      <c r="R301" s="637"/>
      <c r="S301" s="637"/>
      <c r="T301" s="637"/>
      <c r="U301" s="637"/>
      <c r="V301" s="637"/>
      <c r="W301" s="637"/>
      <c r="X301" s="637"/>
      <c r="Y301" s="637"/>
      <c r="Z301" s="637"/>
      <c r="AA301" s="637"/>
      <c r="AB301" s="637"/>
      <c r="AC301" s="637"/>
      <c r="AD301" s="606"/>
      <c r="AE301" s="606"/>
      <c r="AF301" s="606"/>
      <c r="AG301" s="606"/>
    </row>
    <row r="302" spans="1:33" s="612" customFormat="1" hidden="1" outlineLevel="3" x14ac:dyDescent="0.2">
      <c r="A302" s="606"/>
      <c r="B302" s="606"/>
      <c r="C302" s="607"/>
      <c r="D302" s="608"/>
      <c r="E302" s="608"/>
      <c r="F302" s="608"/>
      <c r="G302" s="608"/>
      <c r="H302" s="609"/>
      <c r="I302" s="637"/>
      <c r="J302" s="637"/>
      <c r="K302" s="637"/>
      <c r="L302" s="637"/>
      <c r="M302" s="637"/>
      <c r="N302" s="637"/>
      <c r="O302" s="637"/>
      <c r="P302" s="637"/>
      <c r="Q302" s="637"/>
      <c r="R302" s="637"/>
      <c r="S302" s="637"/>
      <c r="T302" s="637"/>
      <c r="U302" s="637"/>
      <c r="V302" s="637"/>
      <c r="W302" s="637"/>
      <c r="X302" s="637"/>
      <c r="Y302" s="637"/>
      <c r="Z302" s="637"/>
      <c r="AA302" s="637"/>
      <c r="AB302" s="637"/>
      <c r="AC302" s="637"/>
      <c r="AD302" s="606"/>
      <c r="AE302" s="606"/>
      <c r="AF302" s="606"/>
      <c r="AG302" s="606"/>
    </row>
    <row r="303" spans="1:33" s="612" customFormat="1" hidden="1" outlineLevel="3" x14ac:dyDescent="0.2">
      <c r="A303" s="606"/>
      <c r="B303" s="606"/>
      <c r="C303" s="607"/>
      <c r="D303" s="608"/>
      <c r="E303" s="608"/>
      <c r="F303" s="608"/>
      <c r="G303" s="608"/>
      <c r="H303" s="609"/>
      <c r="I303" s="637"/>
      <c r="J303" s="637"/>
      <c r="K303" s="637"/>
      <c r="L303" s="637"/>
      <c r="M303" s="637"/>
      <c r="N303" s="637"/>
      <c r="O303" s="637"/>
      <c r="P303" s="637"/>
      <c r="Q303" s="637"/>
      <c r="R303" s="637"/>
      <c r="S303" s="637"/>
      <c r="T303" s="637"/>
      <c r="U303" s="637"/>
      <c r="V303" s="637"/>
      <c r="W303" s="637"/>
      <c r="X303" s="637"/>
      <c r="Y303" s="637"/>
      <c r="Z303" s="637"/>
      <c r="AA303" s="637"/>
      <c r="AB303" s="637"/>
      <c r="AC303" s="637"/>
      <c r="AD303" s="606"/>
      <c r="AE303" s="606"/>
      <c r="AF303" s="606"/>
      <c r="AG303" s="606"/>
    </row>
    <row r="304" spans="1:33" s="612" customFormat="1" hidden="1" outlineLevel="3" x14ac:dyDescent="0.2">
      <c r="A304" s="606"/>
      <c r="B304" s="606"/>
      <c r="C304" s="607"/>
      <c r="D304" s="608"/>
      <c r="E304" s="608"/>
      <c r="F304" s="608"/>
      <c r="G304" s="608"/>
      <c r="H304" s="609"/>
      <c r="I304" s="637"/>
      <c r="J304" s="637"/>
      <c r="K304" s="637"/>
      <c r="L304" s="637"/>
      <c r="M304" s="637"/>
      <c r="N304" s="637"/>
      <c r="O304" s="637"/>
      <c r="P304" s="637"/>
      <c r="Q304" s="637"/>
      <c r="R304" s="637"/>
      <c r="S304" s="637"/>
      <c r="T304" s="637"/>
      <c r="U304" s="637"/>
      <c r="V304" s="637"/>
      <c r="W304" s="637"/>
      <c r="X304" s="637"/>
      <c r="Y304" s="637"/>
      <c r="Z304" s="637"/>
      <c r="AA304" s="637"/>
      <c r="AB304" s="637"/>
      <c r="AC304" s="637"/>
      <c r="AD304" s="606"/>
      <c r="AE304" s="606"/>
      <c r="AF304" s="606"/>
      <c r="AG304" s="606"/>
    </row>
    <row r="305" spans="1:33" s="612" customFormat="1" hidden="1" outlineLevel="3" x14ac:dyDescent="0.2">
      <c r="A305" s="606"/>
      <c r="B305" s="606"/>
      <c r="C305" s="607"/>
      <c r="D305" s="608"/>
      <c r="E305" s="608"/>
      <c r="F305" s="608"/>
      <c r="G305" s="608"/>
      <c r="H305" s="609"/>
      <c r="I305" s="637"/>
      <c r="J305" s="637"/>
      <c r="K305" s="637"/>
      <c r="L305" s="637"/>
      <c r="M305" s="637"/>
      <c r="N305" s="637"/>
      <c r="O305" s="637"/>
      <c r="P305" s="637"/>
      <c r="Q305" s="637"/>
      <c r="R305" s="637"/>
      <c r="S305" s="637"/>
      <c r="T305" s="637"/>
      <c r="U305" s="637"/>
      <c r="V305" s="637"/>
      <c r="W305" s="637"/>
      <c r="X305" s="637"/>
      <c r="Y305" s="637"/>
      <c r="Z305" s="637"/>
      <c r="AA305" s="637"/>
      <c r="AB305" s="637"/>
      <c r="AC305" s="637"/>
      <c r="AD305" s="606"/>
      <c r="AE305" s="606"/>
      <c r="AF305" s="606"/>
      <c r="AG305" s="606"/>
    </row>
    <row r="306" spans="1:33" s="612" customFormat="1" hidden="1" outlineLevel="3" x14ac:dyDescent="0.2">
      <c r="A306" s="606"/>
      <c r="B306" s="606"/>
      <c r="C306" s="607"/>
      <c r="D306" s="608"/>
      <c r="E306" s="608"/>
      <c r="F306" s="608"/>
      <c r="G306" s="608"/>
      <c r="H306" s="609"/>
      <c r="I306" s="637"/>
      <c r="J306" s="637"/>
      <c r="K306" s="637"/>
      <c r="L306" s="637"/>
      <c r="M306" s="637"/>
      <c r="N306" s="637"/>
      <c r="O306" s="637"/>
      <c r="P306" s="637"/>
      <c r="Q306" s="637"/>
      <c r="R306" s="637"/>
      <c r="S306" s="637"/>
      <c r="T306" s="637"/>
      <c r="U306" s="637"/>
      <c r="V306" s="637"/>
      <c r="W306" s="637"/>
      <c r="X306" s="637"/>
      <c r="Y306" s="637"/>
      <c r="Z306" s="637"/>
      <c r="AA306" s="637"/>
      <c r="AB306" s="637"/>
      <c r="AC306" s="637"/>
      <c r="AD306" s="606"/>
      <c r="AE306" s="606"/>
      <c r="AF306" s="606"/>
      <c r="AG306" s="606"/>
    </row>
    <row r="307" spans="1:33" s="612" customFormat="1" hidden="1" outlineLevel="3" x14ac:dyDescent="0.2">
      <c r="A307" s="606"/>
      <c r="B307" s="606"/>
      <c r="C307" s="607"/>
      <c r="D307" s="608"/>
      <c r="E307" s="608"/>
      <c r="F307" s="608"/>
      <c r="G307" s="608"/>
      <c r="H307" s="609"/>
      <c r="I307" s="637"/>
      <c r="J307" s="637"/>
      <c r="K307" s="637"/>
      <c r="L307" s="637"/>
      <c r="M307" s="637"/>
      <c r="N307" s="637"/>
      <c r="O307" s="637"/>
      <c r="P307" s="637"/>
      <c r="Q307" s="637"/>
      <c r="R307" s="637"/>
      <c r="S307" s="637"/>
      <c r="T307" s="637"/>
      <c r="U307" s="637"/>
      <c r="V307" s="637"/>
      <c r="W307" s="637"/>
      <c r="X307" s="637"/>
      <c r="Y307" s="637"/>
      <c r="Z307" s="637"/>
      <c r="AA307" s="637"/>
      <c r="AB307" s="637"/>
      <c r="AC307" s="637"/>
      <c r="AD307" s="606"/>
      <c r="AE307" s="606"/>
      <c r="AF307" s="606"/>
      <c r="AG307" s="606"/>
    </row>
    <row r="308" spans="1:33" s="612" customFormat="1" hidden="1" outlineLevel="3" x14ac:dyDescent="0.2">
      <c r="A308" s="606"/>
      <c r="B308" s="606"/>
      <c r="C308" s="607"/>
      <c r="D308" s="608"/>
      <c r="E308" s="608"/>
      <c r="F308" s="608"/>
      <c r="G308" s="608"/>
      <c r="H308" s="609"/>
      <c r="I308" s="637"/>
      <c r="J308" s="637"/>
      <c r="K308" s="637"/>
      <c r="L308" s="637"/>
      <c r="M308" s="637"/>
      <c r="N308" s="637"/>
      <c r="O308" s="637"/>
      <c r="P308" s="637"/>
      <c r="Q308" s="637"/>
      <c r="R308" s="637"/>
      <c r="S308" s="637"/>
      <c r="T308" s="637"/>
      <c r="U308" s="637"/>
      <c r="V308" s="637"/>
      <c r="W308" s="637"/>
      <c r="X308" s="637"/>
      <c r="Y308" s="637"/>
      <c r="Z308" s="637"/>
      <c r="AA308" s="637"/>
      <c r="AB308" s="637"/>
      <c r="AC308" s="637"/>
      <c r="AD308" s="606"/>
      <c r="AE308" s="606"/>
      <c r="AF308" s="606"/>
      <c r="AG308" s="606"/>
    </row>
    <row r="309" spans="1:33" s="612" customFormat="1" hidden="1" outlineLevel="3" x14ac:dyDescent="0.2">
      <c r="A309" s="606"/>
      <c r="B309" s="606"/>
      <c r="C309" s="607"/>
      <c r="D309" s="608"/>
      <c r="E309" s="608"/>
      <c r="F309" s="608"/>
      <c r="G309" s="608"/>
      <c r="H309" s="609"/>
      <c r="I309" s="637"/>
      <c r="J309" s="637"/>
      <c r="K309" s="637"/>
      <c r="L309" s="637"/>
      <c r="M309" s="637"/>
      <c r="N309" s="637"/>
      <c r="O309" s="637"/>
      <c r="P309" s="637"/>
      <c r="Q309" s="637"/>
      <c r="R309" s="637"/>
      <c r="S309" s="637"/>
      <c r="T309" s="637"/>
      <c r="U309" s="637"/>
      <c r="V309" s="637"/>
      <c r="W309" s="637"/>
      <c r="X309" s="637"/>
      <c r="Y309" s="637"/>
      <c r="Z309" s="637"/>
      <c r="AA309" s="637"/>
      <c r="AB309" s="637"/>
      <c r="AC309" s="637"/>
      <c r="AD309" s="606"/>
      <c r="AE309" s="606"/>
      <c r="AF309" s="606"/>
      <c r="AG309" s="606"/>
    </row>
    <row r="310" spans="1:33" s="612" customFormat="1" hidden="1" outlineLevel="3" x14ac:dyDescent="0.2">
      <c r="A310" s="606"/>
      <c r="B310" s="606"/>
      <c r="C310" s="607"/>
      <c r="D310" s="608"/>
      <c r="E310" s="608"/>
      <c r="F310" s="608"/>
      <c r="G310" s="608"/>
      <c r="H310" s="609"/>
      <c r="I310" s="637"/>
      <c r="J310" s="637"/>
      <c r="K310" s="637"/>
      <c r="L310" s="637"/>
      <c r="M310" s="637"/>
      <c r="N310" s="637"/>
      <c r="O310" s="637"/>
      <c r="P310" s="637"/>
      <c r="Q310" s="637"/>
      <c r="R310" s="637"/>
      <c r="S310" s="637"/>
      <c r="T310" s="637"/>
      <c r="U310" s="637"/>
      <c r="V310" s="637"/>
      <c r="W310" s="637"/>
      <c r="X310" s="637"/>
      <c r="Y310" s="637"/>
      <c r="Z310" s="637"/>
      <c r="AA310" s="637"/>
      <c r="AB310" s="637"/>
      <c r="AC310" s="637"/>
      <c r="AD310" s="606"/>
      <c r="AE310" s="606"/>
      <c r="AF310" s="606"/>
      <c r="AG310" s="606"/>
    </row>
    <row r="311" spans="1:33" s="612" customFormat="1" hidden="1" outlineLevel="3" x14ac:dyDescent="0.2">
      <c r="A311" s="606"/>
      <c r="B311" s="606"/>
      <c r="C311" s="607"/>
      <c r="D311" s="608"/>
      <c r="E311" s="608"/>
      <c r="F311" s="608"/>
      <c r="G311" s="608"/>
      <c r="H311" s="609"/>
      <c r="I311" s="637"/>
      <c r="J311" s="637"/>
      <c r="K311" s="637"/>
      <c r="L311" s="637"/>
      <c r="M311" s="637"/>
      <c r="N311" s="637"/>
      <c r="O311" s="637"/>
      <c r="P311" s="637"/>
      <c r="Q311" s="637"/>
      <c r="R311" s="637"/>
      <c r="S311" s="637"/>
      <c r="T311" s="637"/>
      <c r="U311" s="637"/>
      <c r="V311" s="637"/>
      <c r="W311" s="637"/>
      <c r="X311" s="637"/>
      <c r="Y311" s="637"/>
      <c r="Z311" s="637"/>
      <c r="AA311" s="637"/>
      <c r="AB311" s="637"/>
      <c r="AC311" s="637"/>
      <c r="AD311" s="606"/>
      <c r="AE311" s="606"/>
      <c r="AF311" s="606"/>
      <c r="AG311" s="606"/>
    </row>
    <row r="312" spans="1:33" s="612" customFormat="1" hidden="1" outlineLevel="3" x14ac:dyDescent="0.2">
      <c r="A312" s="606"/>
      <c r="B312" s="606"/>
      <c r="C312" s="607"/>
      <c r="D312" s="608"/>
      <c r="E312" s="608"/>
      <c r="F312" s="608"/>
      <c r="G312" s="608"/>
      <c r="H312" s="609"/>
      <c r="I312" s="637"/>
      <c r="J312" s="637"/>
      <c r="K312" s="637"/>
      <c r="L312" s="637"/>
      <c r="M312" s="637"/>
      <c r="N312" s="637"/>
      <c r="O312" s="637"/>
      <c r="P312" s="637"/>
      <c r="Q312" s="637"/>
      <c r="R312" s="637"/>
      <c r="S312" s="637"/>
      <c r="T312" s="637"/>
      <c r="U312" s="637"/>
      <c r="V312" s="637"/>
      <c r="W312" s="637"/>
      <c r="X312" s="637"/>
      <c r="Y312" s="637"/>
      <c r="Z312" s="637"/>
      <c r="AA312" s="637"/>
      <c r="AB312" s="637"/>
      <c r="AC312" s="637"/>
      <c r="AD312" s="606"/>
      <c r="AE312" s="606"/>
      <c r="AF312" s="606"/>
      <c r="AG312" s="606"/>
    </row>
    <row r="313" spans="1:33" s="612" customFormat="1" hidden="1" outlineLevel="3" x14ac:dyDescent="0.2">
      <c r="A313" s="606"/>
      <c r="B313" s="606"/>
      <c r="C313" s="607"/>
      <c r="D313" s="608"/>
      <c r="E313" s="608"/>
      <c r="F313" s="608"/>
      <c r="G313" s="608"/>
      <c r="H313" s="609"/>
      <c r="I313" s="637"/>
      <c r="J313" s="637"/>
      <c r="K313" s="637"/>
      <c r="L313" s="637"/>
      <c r="M313" s="637"/>
      <c r="N313" s="637"/>
      <c r="O313" s="637"/>
      <c r="P313" s="637"/>
      <c r="Q313" s="637"/>
      <c r="R313" s="637"/>
      <c r="S313" s="637"/>
      <c r="T313" s="637"/>
      <c r="U313" s="637"/>
      <c r="V313" s="637"/>
      <c r="W313" s="637"/>
      <c r="X313" s="637"/>
      <c r="Y313" s="637"/>
      <c r="Z313" s="637"/>
      <c r="AA313" s="637"/>
      <c r="AB313" s="637"/>
      <c r="AC313" s="637"/>
      <c r="AD313" s="606"/>
      <c r="AE313" s="606"/>
      <c r="AF313" s="606"/>
      <c r="AG313" s="606"/>
    </row>
    <row r="314" spans="1:33" s="612" customFormat="1" hidden="1" outlineLevel="3" x14ac:dyDescent="0.2">
      <c r="A314" s="606"/>
      <c r="B314" s="606"/>
      <c r="C314" s="607"/>
      <c r="D314" s="608"/>
      <c r="E314" s="608"/>
      <c r="F314" s="608"/>
      <c r="G314" s="608"/>
      <c r="H314" s="609"/>
      <c r="I314" s="637"/>
      <c r="J314" s="637"/>
      <c r="K314" s="637"/>
      <c r="L314" s="637"/>
      <c r="M314" s="637"/>
      <c r="N314" s="637"/>
      <c r="O314" s="637"/>
      <c r="P314" s="637"/>
      <c r="Q314" s="637"/>
      <c r="R314" s="637"/>
      <c r="S314" s="637"/>
      <c r="T314" s="637"/>
      <c r="U314" s="637"/>
      <c r="V314" s="637"/>
      <c r="W314" s="637"/>
      <c r="X314" s="637"/>
      <c r="Y314" s="637"/>
      <c r="Z314" s="637"/>
      <c r="AA314" s="637"/>
      <c r="AB314" s="637"/>
      <c r="AC314" s="637"/>
      <c r="AD314" s="606"/>
      <c r="AE314" s="606"/>
      <c r="AF314" s="606"/>
      <c r="AG314" s="606"/>
    </row>
    <row r="315" spans="1:33" s="612" customFormat="1" hidden="1" outlineLevel="3" x14ac:dyDescent="0.2">
      <c r="A315" s="606"/>
      <c r="B315" s="606"/>
      <c r="C315" s="607"/>
      <c r="D315" s="608"/>
      <c r="E315" s="608"/>
      <c r="F315" s="608"/>
      <c r="G315" s="608"/>
      <c r="H315" s="609"/>
      <c r="I315" s="637"/>
      <c r="J315" s="637"/>
      <c r="K315" s="637"/>
      <c r="L315" s="637"/>
      <c r="M315" s="637"/>
      <c r="N315" s="637"/>
      <c r="O315" s="637"/>
      <c r="P315" s="637"/>
      <c r="Q315" s="637"/>
      <c r="R315" s="637"/>
      <c r="S315" s="637"/>
      <c r="T315" s="637"/>
      <c r="U315" s="637"/>
      <c r="V315" s="637"/>
      <c r="W315" s="637"/>
      <c r="X315" s="637"/>
      <c r="Y315" s="637"/>
      <c r="Z315" s="637"/>
      <c r="AA315" s="637"/>
      <c r="AB315" s="637"/>
      <c r="AC315" s="637"/>
      <c r="AD315" s="606"/>
      <c r="AE315" s="606"/>
      <c r="AF315" s="606"/>
      <c r="AG315" s="606"/>
    </row>
    <row r="316" spans="1:33" s="612" customFormat="1" hidden="1" outlineLevel="3" x14ac:dyDescent="0.2">
      <c r="A316" s="606"/>
      <c r="B316" s="606"/>
      <c r="C316" s="607"/>
      <c r="D316" s="608"/>
      <c r="E316" s="608"/>
      <c r="F316" s="608"/>
      <c r="G316" s="608"/>
      <c r="H316" s="609"/>
      <c r="I316" s="637"/>
      <c r="J316" s="637"/>
      <c r="K316" s="637"/>
      <c r="L316" s="637"/>
      <c r="M316" s="637"/>
      <c r="N316" s="637"/>
      <c r="O316" s="637"/>
      <c r="P316" s="637"/>
      <c r="Q316" s="637"/>
      <c r="R316" s="637"/>
      <c r="S316" s="637"/>
      <c r="T316" s="637"/>
      <c r="U316" s="637"/>
      <c r="V316" s="637"/>
      <c r="W316" s="637"/>
      <c r="X316" s="637"/>
      <c r="Y316" s="637"/>
      <c r="Z316" s="637"/>
      <c r="AA316" s="637"/>
      <c r="AB316" s="637"/>
      <c r="AC316" s="637"/>
      <c r="AD316" s="606"/>
      <c r="AE316" s="606"/>
      <c r="AF316" s="606"/>
      <c r="AG316" s="606"/>
    </row>
    <row r="317" spans="1:33" s="612" customFormat="1" hidden="1" outlineLevel="3" x14ac:dyDescent="0.2">
      <c r="A317" s="606"/>
      <c r="B317" s="606"/>
      <c r="C317" s="607"/>
      <c r="D317" s="608"/>
      <c r="E317" s="608"/>
      <c r="F317" s="608"/>
      <c r="G317" s="608"/>
      <c r="H317" s="609"/>
      <c r="I317" s="637"/>
      <c r="J317" s="637"/>
      <c r="K317" s="637"/>
      <c r="L317" s="637"/>
      <c r="M317" s="637"/>
      <c r="N317" s="637"/>
      <c r="O317" s="637"/>
      <c r="P317" s="637"/>
      <c r="Q317" s="637"/>
      <c r="R317" s="637"/>
      <c r="S317" s="637"/>
      <c r="T317" s="637"/>
      <c r="U317" s="637"/>
      <c r="V317" s="637"/>
      <c r="W317" s="637"/>
      <c r="X317" s="637"/>
      <c r="Y317" s="637"/>
      <c r="Z317" s="637"/>
      <c r="AA317" s="637"/>
      <c r="AB317" s="637"/>
      <c r="AC317" s="637"/>
      <c r="AD317" s="606"/>
      <c r="AE317" s="606"/>
      <c r="AF317" s="606"/>
      <c r="AG317" s="606"/>
    </row>
    <row r="318" spans="1:33" s="612" customFormat="1" hidden="1" outlineLevel="3" x14ac:dyDescent="0.2">
      <c r="A318" s="606"/>
      <c r="B318" s="606"/>
      <c r="C318" s="607"/>
      <c r="D318" s="608"/>
      <c r="E318" s="608"/>
      <c r="F318" s="608"/>
      <c r="G318" s="608"/>
      <c r="H318" s="609"/>
      <c r="I318" s="637"/>
      <c r="J318" s="637"/>
      <c r="K318" s="637"/>
      <c r="L318" s="637"/>
      <c r="M318" s="637"/>
      <c r="N318" s="637"/>
      <c r="O318" s="637"/>
      <c r="P318" s="637"/>
      <c r="Q318" s="637"/>
      <c r="R318" s="637"/>
      <c r="S318" s="637"/>
      <c r="T318" s="637"/>
      <c r="U318" s="637"/>
      <c r="V318" s="637"/>
      <c r="W318" s="637"/>
      <c r="X318" s="637"/>
      <c r="Y318" s="637"/>
      <c r="Z318" s="637"/>
      <c r="AA318" s="637"/>
      <c r="AB318" s="637"/>
      <c r="AC318" s="637"/>
      <c r="AD318" s="606"/>
      <c r="AE318" s="606"/>
      <c r="AF318" s="606"/>
      <c r="AG318" s="606"/>
    </row>
    <row r="319" spans="1:33" s="612" customFormat="1" hidden="1" outlineLevel="3" x14ac:dyDescent="0.2">
      <c r="A319" s="606"/>
      <c r="B319" s="606"/>
      <c r="C319" s="607"/>
      <c r="D319" s="608"/>
      <c r="E319" s="608"/>
      <c r="F319" s="608"/>
      <c r="G319" s="608"/>
      <c r="H319" s="609"/>
      <c r="I319" s="637"/>
      <c r="J319" s="637"/>
      <c r="K319" s="637"/>
      <c r="L319" s="637"/>
      <c r="M319" s="637"/>
      <c r="N319" s="637"/>
      <c r="O319" s="637"/>
      <c r="P319" s="637"/>
      <c r="Q319" s="637"/>
      <c r="R319" s="637"/>
      <c r="S319" s="637"/>
      <c r="T319" s="637"/>
      <c r="U319" s="637"/>
      <c r="V319" s="637"/>
      <c r="W319" s="637"/>
      <c r="X319" s="637"/>
      <c r="Y319" s="637"/>
      <c r="Z319" s="637"/>
      <c r="AA319" s="637"/>
      <c r="AB319" s="637"/>
      <c r="AC319" s="637"/>
      <c r="AD319" s="606"/>
      <c r="AE319" s="606"/>
      <c r="AF319" s="606"/>
      <c r="AG319" s="606"/>
    </row>
    <row r="320" spans="1:33" s="612" customFormat="1" hidden="1" outlineLevel="3" x14ac:dyDescent="0.2">
      <c r="A320" s="606"/>
      <c r="B320" s="606"/>
      <c r="C320" s="607"/>
      <c r="D320" s="608"/>
      <c r="E320" s="608"/>
      <c r="F320" s="608"/>
      <c r="G320" s="608"/>
      <c r="H320" s="609"/>
      <c r="I320" s="637"/>
      <c r="J320" s="637"/>
      <c r="K320" s="637"/>
      <c r="L320" s="637"/>
      <c r="M320" s="637"/>
      <c r="N320" s="637"/>
      <c r="O320" s="637"/>
      <c r="P320" s="637"/>
      <c r="Q320" s="637"/>
      <c r="R320" s="637"/>
      <c r="S320" s="637"/>
      <c r="T320" s="637"/>
      <c r="U320" s="637"/>
      <c r="V320" s="637"/>
      <c r="W320" s="637"/>
      <c r="X320" s="637"/>
      <c r="Y320" s="637"/>
      <c r="Z320" s="637"/>
      <c r="AA320" s="637"/>
      <c r="AB320" s="637"/>
      <c r="AC320" s="637"/>
      <c r="AD320" s="606"/>
      <c r="AE320" s="606"/>
      <c r="AF320" s="606"/>
      <c r="AG320" s="606"/>
    </row>
    <row r="321" spans="1:33" s="612" customFormat="1" hidden="1" outlineLevel="3" x14ac:dyDescent="0.2">
      <c r="A321" s="606"/>
      <c r="B321" s="606"/>
      <c r="C321" s="607"/>
      <c r="D321" s="608"/>
      <c r="E321" s="608"/>
      <c r="F321" s="608"/>
      <c r="G321" s="608"/>
      <c r="H321" s="609"/>
      <c r="I321" s="637"/>
      <c r="J321" s="637"/>
      <c r="K321" s="637"/>
      <c r="L321" s="637"/>
      <c r="M321" s="637"/>
      <c r="N321" s="637"/>
      <c r="O321" s="637"/>
      <c r="P321" s="637"/>
      <c r="Q321" s="637"/>
      <c r="R321" s="637"/>
      <c r="S321" s="637"/>
      <c r="T321" s="637"/>
      <c r="U321" s="637"/>
      <c r="V321" s="637"/>
      <c r="W321" s="637"/>
      <c r="X321" s="637"/>
      <c r="Y321" s="637"/>
      <c r="Z321" s="637"/>
      <c r="AA321" s="637"/>
      <c r="AB321" s="637"/>
      <c r="AC321" s="637"/>
      <c r="AD321" s="606"/>
      <c r="AE321" s="606"/>
      <c r="AF321" s="606"/>
      <c r="AG321" s="606"/>
    </row>
    <row r="322" spans="1:33" s="612" customFormat="1" hidden="1" outlineLevel="3" x14ac:dyDescent="0.2">
      <c r="A322" s="606"/>
      <c r="B322" s="606"/>
      <c r="C322" s="607"/>
      <c r="D322" s="608"/>
      <c r="E322" s="608"/>
      <c r="F322" s="608"/>
      <c r="G322" s="608"/>
      <c r="H322" s="609"/>
      <c r="I322" s="637"/>
      <c r="J322" s="637"/>
      <c r="K322" s="637"/>
      <c r="L322" s="637"/>
      <c r="M322" s="637"/>
      <c r="N322" s="637"/>
      <c r="O322" s="637"/>
      <c r="P322" s="637"/>
      <c r="Q322" s="637"/>
      <c r="R322" s="637"/>
      <c r="S322" s="637"/>
      <c r="T322" s="637"/>
      <c r="U322" s="637"/>
      <c r="V322" s="637"/>
      <c r="W322" s="637"/>
      <c r="X322" s="637"/>
      <c r="Y322" s="637"/>
      <c r="Z322" s="637"/>
      <c r="AA322" s="637"/>
      <c r="AB322" s="637"/>
      <c r="AC322" s="637"/>
      <c r="AD322" s="606"/>
      <c r="AE322" s="606"/>
      <c r="AF322" s="606"/>
      <c r="AG322" s="606"/>
    </row>
    <row r="323" spans="1:33" s="612" customFormat="1" hidden="1" outlineLevel="3" x14ac:dyDescent="0.2">
      <c r="A323" s="606"/>
      <c r="B323" s="606"/>
      <c r="C323" s="607"/>
      <c r="D323" s="608"/>
      <c r="E323" s="608"/>
      <c r="F323" s="608"/>
      <c r="G323" s="608"/>
      <c r="H323" s="609"/>
      <c r="I323" s="637"/>
      <c r="J323" s="637"/>
      <c r="K323" s="637"/>
      <c r="L323" s="637"/>
      <c r="M323" s="637"/>
      <c r="N323" s="637"/>
      <c r="O323" s="637"/>
      <c r="P323" s="637"/>
      <c r="Q323" s="637"/>
      <c r="R323" s="637"/>
      <c r="S323" s="637"/>
      <c r="T323" s="637"/>
      <c r="U323" s="637"/>
      <c r="V323" s="637"/>
      <c r="W323" s="637"/>
      <c r="X323" s="637"/>
      <c r="Y323" s="637"/>
      <c r="Z323" s="637"/>
      <c r="AA323" s="637"/>
      <c r="AB323" s="637"/>
      <c r="AC323" s="637"/>
      <c r="AD323" s="606"/>
      <c r="AE323" s="606"/>
      <c r="AF323" s="606"/>
      <c r="AG323" s="606"/>
    </row>
    <row r="324" spans="1:33" s="612" customFormat="1" hidden="1" outlineLevel="3" x14ac:dyDescent="0.2">
      <c r="A324" s="606"/>
      <c r="B324" s="606"/>
      <c r="C324" s="607"/>
      <c r="D324" s="608"/>
      <c r="E324" s="608"/>
      <c r="F324" s="608"/>
      <c r="G324" s="608"/>
      <c r="H324" s="609"/>
      <c r="I324" s="637"/>
      <c r="J324" s="637"/>
      <c r="K324" s="637"/>
      <c r="L324" s="637"/>
      <c r="M324" s="637"/>
      <c r="N324" s="637"/>
      <c r="O324" s="637"/>
      <c r="P324" s="637"/>
      <c r="Q324" s="637"/>
      <c r="R324" s="637"/>
      <c r="S324" s="637"/>
      <c r="T324" s="637"/>
      <c r="U324" s="637"/>
      <c r="V324" s="637"/>
      <c r="W324" s="637"/>
      <c r="X324" s="637"/>
      <c r="Y324" s="637"/>
      <c r="Z324" s="637"/>
      <c r="AA324" s="637"/>
      <c r="AB324" s="637"/>
      <c r="AC324" s="637"/>
      <c r="AD324" s="606"/>
      <c r="AE324" s="606"/>
      <c r="AF324" s="606"/>
      <c r="AG324" s="606"/>
    </row>
    <row r="325" spans="1:33" s="612" customFormat="1" hidden="1" outlineLevel="3" x14ac:dyDescent="0.2">
      <c r="A325" s="606"/>
      <c r="B325" s="606"/>
      <c r="C325" s="607"/>
      <c r="D325" s="608"/>
      <c r="E325" s="608"/>
      <c r="F325" s="608"/>
      <c r="G325" s="608"/>
      <c r="H325" s="609"/>
      <c r="I325" s="637"/>
      <c r="J325" s="637"/>
      <c r="K325" s="637"/>
      <c r="L325" s="637"/>
      <c r="M325" s="637"/>
      <c r="N325" s="637"/>
      <c r="O325" s="637"/>
      <c r="P325" s="637"/>
      <c r="Q325" s="637"/>
      <c r="R325" s="637"/>
      <c r="S325" s="637"/>
      <c r="T325" s="637"/>
      <c r="U325" s="637"/>
      <c r="V325" s="637"/>
      <c r="W325" s="637"/>
      <c r="X325" s="637"/>
      <c r="Y325" s="637"/>
      <c r="Z325" s="637"/>
      <c r="AA325" s="637"/>
      <c r="AB325" s="637"/>
      <c r="AC325" s="637"/>
      <c r="AD325" s="606"/>
      <c r="AE325" s="606"/>
      <c r="AF325" s="606"/>
      <c r="AG325" s="606"/>
    </row>
    <row r="326" spans="1:33" s="612" customFormat="1" hidden="1" outlineLevel="3" x14ac:dyDescent="0.2">
      <c r="A326" s="606"/>
      <c r="B326" s="606"/>
      <c r="C326" s="607"/>
      <c r="D326" s="608"/>
      <c r="E326" s="608"/>
      <c r="F326" s="608"/>
      <c r="G326" s="608"/>
      <c r="H326" s="609"/>
      <c r="I326" s="637"/>
      <c r="J326" s="637"/>
      <c r="K326" s="637"/>
      <c r="L326" s="637"/>
      <c r="M326" s="637"/>
      <c r="N326" s="637"/>
      <c r="O326" s="637"/>
      <c r="P326" s="637"/>
      <c r="Q326" s="637"/>
      <c r="R326" s="637"/>
      <c r="S326" s="637"/>
      <c r="T326" s="637"/>
      <c r="U326" s="637"/>
      <c r="V326" s="637"/>
      <c r="W326" s="637"/>
      <c r="X326" s="637"/>
      <c r="Y326" s="637"/>
      <c r="Z326" s="637"/>
      <c r="AA326" s="637"/>
      <c r="AB326" s="637"/>
      <c r="AC326" s="637"/>
      <c r="AD326" s="606"/>
      <c r="AE326" s="606"/>
      <c r="AF326" s="606"/>
      <c r="AG326" s="606"/>
    </row>
    <row r="327" spans="1:33" s="612" customFormat="1" hidden="1" outlineLevel="3" x14ac:dyDescent="0.2">
      <c r="A327" s="606"/>
      <c r="B327" s="606"/>
      <c r="C327" s="607"/>
      <c r="D327" s="608"/>
      <c r="E327" s="608"/>
      <c r="F327" s="608"/>
      <c r="G327" s="608"/>
      <c r="H327" s="609"/>
      <c r="I327" s="637"/>
      <c r="J327" s="637"/>
      <c r="K327" s="637"/>
      <c r="L327" s="637"/>
      <c r="M327" s="637"/>
      <c r="N327" s="637"/>
      <c r="O327" s="637"/>
      <c r="P327" s="637"/>
      <c r="Q327" s="637"/>
      <c r="R327" s="637"/>
      <c r="S327" s="637"/>
      <c r="T327" s="637"/>
      <c r="U327" s="637"/>
      <c r="V327" s="637"/>
      <c r="W327" s="637"/>
      <c r="X327" s="637"/>
      <c r="Y327" s="637"/>
      <c r="Z327" s="637"/>
      <c r="AA327" s="637"/>
      <c r="AB327" s="637"/>
      <c r="AC327" s="637"/>
      <c r="AD327" s="606"/>
      <c r="AE327" s="606"/>
      <c r="AF327" s="606"/>
      <c r="AG327" s="606"/>
    </row>
    <row r="328" spans="1:33" s="612" customFormat="1" hidden="1" outlineLevel="3" x14ac:dyDescent="0.2">
      <c r="A328" s="606"/>
      <c r="B328" s="606"/>
      <c r="C328" s="607"/>
      <c r="D328" s="608"/>
      <c r="E328" s="608"/>
      <c r="F328" s="608"/>
      <c r="G328" s="608"/>
      <c r="H328" s="609"/>
      <c r="I328" s="637"/>
      <c r="J328" s="637"/>
      <c r="K328" s="637"/>
      <c r="L328" s="637"/>
      <c r="M328" s="637"/>
      <c r="N328" s="637"/>
      <c r="O328" s="637"/>
      <c r="P328" s="637"/>
      <c r="Q328" s="637"/>
      <c r="R328" s="637"/>
      <c r="S328" s="637"/>
      <c r="T328" s="637"/>
      <c r="U328" s="637"/>
      <c r="V328" s="637"/>
      <c r="W328" s="637"/>
      <c r="X328" s="637"/>
      <c r="Y328" s="637"/>
      <c r="Z328" s="637"/>
      <c r="AA328" s="637"/>
      <c r="AB328" s="637"/>
      <c r="AC328" s="637"/>
      <c r="AD328" s="606"/>
      <c r="AE328" s="606"/>
      <c r="AF328" s="606"/>
      <c r="AG328" s="606"/>
    </row>
    <row r="329" spans="1:33" s="612" customFormat="1" hidden="1" outlineLevel="3" x14ac:dyDescent="0.2">
      <c r="A329" s="606"/>
      <c r="B329" s="606"/>
      <c r="C329" s="607"/>
      <c r="D329" s="608"/>
      <c r="E329" s="608"/>
      <c r="F329" s="608"/>
      <c r="G329" s="608"/>
      <c r="H329" s="609"/>
      <c r="I329" s="637"/>
      <c r="J329" s="637"/>
      <c r="K329" s="637"/>
      <c r="L329" s="637"/>
      <c r="M329" s="637"/>
      <c r="N329" s="637"/>
      <c r="O329" s="637"/>
      <c r="P329" s="637"/>
      <c r="Q329" s="637"/>
      <c r="R329" s="637"/>
      <c r="S329" s="637"/>
      <c r="T329" s="637"/>
      <c r="U329" s="637"/>
      <c r="V329" s="637"/>
      <c r="W329" s="637"/>
      <c r="X329" s="637"/>
      <c r="Y329" s="637"/>
      <c r="Z329" s="637"/>
      <c r="AA329" s="637"/>
      <c r="AB329" s="637"/>
      <c r="AC329" s="637"/>
      <c r="AD329" s="606"/>
      <c r="AE329" s="606"/>
      <c r="AF329" s="606"/>
      <c r="AG329" s="606"/>
    </row>
    <row r="330" spans="1:33" s="612" customFormat="1" hidden="1" outlineLevel="3" x14ac:dyDescent="0.2">
      <c r="A330" s="606"/>
      <c r="B330" s="606"/>
      <c r="C330" s="607"/>
      <c r="D330" s="608"/>
      <c r="E330" s="608"/>
      <c r="F330" s="608"/>
      <c r="G330" s="608"/>
      <c r="H330" s="609"/>
      <c r="I330" s="637"/>
      <c r="J330" s="637"/>
      <c r="K330" s="637"/>
      <c r="L330" s="637"/>
      <c r="M330" s="637"/>
      <c r="N330" s="637"/>
      <c r="O330" s="637"/>
      <c r="P330" s="637"/>
      <c r="Q330" s="637"/>
      <c r="R330" s="637"/>
      <c r="S330" s="637"/>
      <c r="T330" s="637"/>
      <c r="U330" s="637"/>
      <c r="V330" s="637"/>
      <c r="W330" s="637"/>
      <c r="X330" s="637"/>
      <c r="Y330" s="637"/>
      <c r="Z330" s="637"/>
      <c r="AA330" s="637"/>
      <c r="AB330" s="637"/>
      <c r="AC330" s="637"/>
      <c r="AD330" s="606"/>
      <c r="AE330" s="606"/>
      <c r="AF330" s="606"/>
      <c r="AG330" s="606"/>
    </row>
    <row r="331" spans="1:33" s="612" customFormat="1" hidden="1" outlineLevel="3" x14ac:dyDescent="0.2">
      <c r="A331" s="606"/>
      <c r="B331" s="606"/>
      <c r="C331" s="607"/>
      <c r="D331" s="608"/>
      <c r="E331" s="608"/>
      <c r="F331" s="608"/>
      <c r="G331" s="608"/>
      <c r="H331" s="609"/>
      <c r="I331" s="637"/>
      <c r="J331" s="637"/>
      <c r="K331" s="637"/>
      <c r="L331" s="637"/>
      <c r="M331" s="637"/>
      <c r="N331" s="637"/>
      <c r="O331" s="637"/>
      <c r="P331" s="637"/>
      <c r="Q331" s="637"/>
      <c r="R331" s="637"/>
      <c r="S331" s="637"/>
      <c r="T331" s="637"/>
      <c r="U331" s="637"/>
      <c r="V331" s="637"/>
      <c r="W331" s="637"/>
      <c r="X331" s="637"/>
      <c r="Y331" s="637"/>
      <c r="Z331" s="637"/>
      <c r="AA331" s="637"/>
      <c r="AB331" s="637"/>
      <c r="AC331" s="637"/>
      <c r="AD331" s="606"/>
      <c r="AE331" s="606"/>
      <c r="AF331" s="606"/>
      <c r="AG331" s="606"/>
    </row>
    <row r="332" spans="1:33" s="612" customFormat="1" hidden="1" outlineLevel="3" x14ac:dyDescent="0.2">
      <c r="A332" s="606"/>
      <c r="B332" s="606"/>
      <c r="C332" s="607"/>
      <c r="D332" s="608"/>
      <c r="E332" s="608"/>
      <c r="F332" s="608"/>
      <c r="G332" s="608"/>
      <c r="H332" s="609"/>
      <c r="I332" s="637"/>
      <c r="J332" s="637"/>
      <c r="K332" s="637"/>
      <c r="L332" s="637"/>
      <c r="M332" s="637"/>
      <c r="N332" s="637"/>
      <c r="O332" s="637"/>
      <c r="P332" s="637"/>
      <c r="Q332" s="637"/>
      <c r="R332" s="637"/>
      <c r="S332" s="637"/>
      <c r="T332" s="637"/>
      <c r="U332" s="637"/>
      <c r="V332" s="637"/>
      <c r="W332" s="637"/>
      <c r="X332" s="637"/>
      <c r="Y332" s="637"/>
      <c r="Z332" s="637"/>
      <c r="AA332" s="637"/>
      <c r="AB332" s="637"/>
      <c r="AC332" s="637"/>
      <c r="AD332" s="606"/>
      <c r="AE332" s="606"/>
      <c r="AF332" s="606"/>
      <c r="AG332" s="606"/>
    </row>
    <row r="333" spans="1:33" s="612" customFormat="1" hidden="1" outlineLevel="3" x14ac:dyDescent="0.2">
      <c r="A333" s="606"/>
      <c r="B333" s="606"/>
      <c r="C333" s="607"/>
      <c r="D333" s="608"/>
      <c r="E333" s="608"/>
      <c r="F333" s="608"/>
      <c r="G333" s="608"/>
      <c r="H333" s="609"/>
      <c r="I333" s="637"/>
      <c r="J333" s="637"/>
      <c r="K333" s="637"/>
      <c r="L333" s="637"/>
      <c r="M333" s="637"/>
      <c r="N333" s="637"/>
      <c r="O333" s="637"/>
      <c r="P333" s="637"/>
      <c r="Q333" s="637"/>
      <c r="R333" s="637"/>
      <c r="S333" s="637"/>
      <c r="T333" s="637"/>
      <c r="U333" s="637"/>
      <c r="V333" s="637"/>
      <c r="W333" s="637"/>
      <c r="X333" s="637"/>
      <c r="Y333" s="637"/>
      <c r="Z333" s="637"/>
      <c r="AA333" s="637"/>
      <c r="AB333" s="637"/>
      <c r="AC333" s="637"/>
      <c r="AD333" s="606"/>
      <c r="AE333" s="606"/>
      <c r="AF333" s="606"/>
      <c r="AG333" s="606"/>
    </row>
    <row r="334" spans="1:33" s="612" customFormat="1" hidden="1" outlineLevel="3" x14ac:dyDescent="0.2">
      <c r="A334" s="606"/>
      <c r="B334" s="606"/>
      <c r="C334" s="607"/>
      <c r="D334" s="608"/>
      <c r="E334" s="608"/>
      <c r="F334" s="608"/>
      <c r="G334" s="608"/>
      <c r="H334" s="609"/>
      <c r="I334" s="637"/>
      <c r="J334" s="637"/>
      <c r="K334" s="637"/>
      <c r="L334" s="637"/>
      <c r="M334" s="637"/>
      <c r="N334" s="637"/>
      <c r="O334" s="637"/>
      <c r="P334" s="637"/>
      <c r="Q334" s="637"/>
      <c r="R334" s="637"/>
      <c r="S334" s="637"/>
      <c r="T334" s="637"/>
      <c r="U334" s="637"/>
      <c r="V334" s="637"/>
      <c r="W334" s="637"/>
      <c r="X334" s="637"/>
      <c r="Y334" s="637"/>
      <c r="Z334" s="637"/>
      <c r="AA334" s="637"/>
      <c r="AB334" s="637"/>
      <c r="AC334" s="637"/>
      <c r="AD334" s="606"/>
      <c r="AE334" s="606"/>
      <c r="AF334" s="606"/>
      <c r="AG334" s="606"/>
    </row>
    <row r="335" spans="1:33" s="612" customFormat="1" hidden="1" outlineLevel="3" x14ac:dyDescent="0.2">
      <c r="A335" s="606"/>
      <c r="B335" s="606"/>
      <c r="C335" s="607"/>
      <c r="D335" s="608"/>
      <c r="E335" s="608"/>
      <c r="F335" s="608"/>
      <c r="G335" s="608"/>
      <c r="H335" s="609"/>
      <c r="I335" s="637"/>
      <c r="J335" s="637"/>
      <c r="K335" s="637"/>
      <c r="L335" s="637"/>
      <c r="M335" s="637"/>
      <c r="N335" s="637"/>
      <c r="O335" s="637"/>
      <c r="P335" s="637"/>
      <c r="Q335" s="637"/>
      <c r="R335" s="637"/>
      <c r="S335" s="637"/>
      <c r="T335" s="637"/>
      <c r="U335" s="637"/>
      <c r="V335" s="637"/>
      <c r="W335" s="637"/>
      <c r="X335" s="637"/>
      <c r="Y335" s="637"/>
      <c r="Z335" s="637"/>
      <c r="AA335" s="637"/>
      <c r="AB335" s="637"/>
      <c r="AC335" s="637"/>
      <c r="AD335" s="606"/>
      <c r="AE335" s="606"/>
      <c r="AF335" s="606"/>
      <c r="AG335" s="606"/>
    </row>
    <row r="336" spans="1:33" s="612" customFormat="1" hidden="1" outlineLevel="3" x14ac:dyDescent="0.2">
      <c r="A336" s="606"/>
      <c r="B336" s="606"/>
      <c r="C336" s="607"/>
      <c r="D336" s="608"/>
      <c r="E336" s="608"/>
      <c r="F336" s="608"/>
      <c r="G336" s="608"/>
      <c r="H336" s="609"/>
      <c r="I336" s="637"/>
      <c r="J336" s="637"/>
      <c r="K336" s="637"/>
      <c r="L336" s="637"/>
      <c r="M336" s="637"/>
      <c r="N336" s="637"/>
      <c r="O336" s="637"/>
      <c r="P336" s="637"/>
      <c r="Q336" s="637"/>
      <c r="R336" s="637"/>
      <c r="S336" s="637"/>
      <c r="T336" s="637"/>
      <c r="U336" s="637"/>
      <c r="V336" s="637"/>
      <c r="W336" s="637"/>
      <c r="X336" s="637"/>
      <c r="Y336" s="637"/>
      <c r="Z336" s="637"/>
      <c r="AA336" s="637"/>
      <c r="AB336" s="637"/>
      <c r="AC336" s="637"/>
      <c r="AD336" s="606"/>
      <c r="AE336" s="606"/>
      <c r="AF336" s="606"/>
      <c r="AG336" s="606"/>
    </row>
    <row r="337" spans="1:33" s="612" customFormat="1" hidden="1" outlineLevel="3" x14ac:dyDescent="0.2">
      <c r="A337" s="606"/>
      <c r="B337" s="606"/>
      <c r="C337" s="607"/>
      <c r="D337" s="608"/>
      <c r="E337" s="608"/>
      <c r="F337" s="608"/>
      <c r="G337" s="608"/>
      <c r="H337" s="609"/>
      <c r="I337" s="637"/>
      <c r="J337" s="637"/>
      <c r="K337" s="637"/>
      <c r="L337" s="637"/>
      <c r="M337" s="637"/>
      <c r="N337" s="637"/>
      <c r="O337" s="637"/>
      <c r="P337" s="637"/>
      <c r="Q337" s="637"/>
      <c r="R337" s="637"/>
      <c r="S337" s="637"/>
      <c r="T337" s="637"/>
      <c r="U337" s="637"/>
      <c r="V337" s="637"/>
      <c r="W337" s="637"/>
      <c r="X337" s="637"/>
      <c r="Y337" s="637"/>
      <c r="Z337" s="637"/>
      <c r="AA337" s="637"/>
      <c r="AB337" s="637"/>
      <c r="AC337" s="637"/>
      <c r="AD337" s="606"/>
      <c r="AE337" s="606"/>
      <c r="AF337" s="606"/>
      <c r="AG337" s="606"/>
    </row>
    <row r="338" spans="1:33" s="612" customFormat="1" hidden="1" outlineLevel="3" x14ac:dyDescent="0.2">
      <c r="A338" s="606"/>
      <c r="B338" s="606"/>
      <c r="C338" s="607"/>
      <c r="D338" s="608"/>
      <c r="E338" s="608"/>
      <c r="F338" s="608"/>
      <c r="G338" s="608"/>
      <c r="H338" s="609"/>
      <c r="I338" s="637"/>
      <c r="J338" s="637"/>
      <c r="K338" s="637"/>
      <c r="L338" s="637"/>
      <c r="M338" s="637"/>
      <c r="N338" s="637"/>
      <c r="O338" s="637"/>
      <c r="P338" s="637"/>
      <c r="Q338" s="637"/>
      <c r="R338" s="637"/>
      <c r="S338" s="637"/>
      <c r="T338" s="637"/>
      <c r="U338" s="637"/>
      <c r="V338" s="637"/>
      <c r="W338" s="637"/>
      <c r="X338" s="637"/>
      <c r="Y338" s="637"/>
      <c r="Z338" s="637"/>
      <c r="AA338" s="637"/>
      <c r="AB338" s="637"/>
      <c r="AC338" s="637"/>
      <c r="AD338" s="606"/>
      <c r="AE338" s="606"/>
      <c r="AF338" s="606"/>
      <c r="AG338" s="606"/>
    </row>
    <row r="339" spans="1:33" s="612" customFormat="1" hidden="1" outlineLevel="3" x14ac:dyDescent="0.2">
      <c r="A339" s="606"/>
      <c r="B339" s="606"/>
      <c r="C339" s="607"/>
      <c r="D339" s="608"/>
      <c r="E339" s="608"/>
      <c r="F339" s="608"/>
      <c r="G339" s="608"/>
      <c r="H339" s="609"/>
      <c r="I339" s="637"/>
      <c r="J339" s="637"/>
      <c r="K339" s="637"/>
      <c r="L339" s="637"/>
      <c r="M339" s="637"/>
      <c r="N339" s="637"/>
      <c r="O339" s="637"/>
      <c r="P339" s="637"/>
      <c r="Q339" s="637"/>
      <c r="R339" s="637"/>
      <c r="S339" s="637"/>
      <c r="T339" s="637"/>
      <c r="U339" s="637"/>
      <c r="V339" s="637"/>
      <c r="W339" s="637"/>
      <c r="X339" s="637"/>
      <c r="Y339" s="637"/>
      <c r="Z339" s="637"/>
      <c r="AA339" s="637"/>
      <c r="AB339" s="637"/>
      <c r="AC339" s="637"/>
      <c r="AD339" s="606"/>
      <c r="AE339" s="606"/>
      <c r="AF339" s="606"/>
      <c r="AG339" s="606"/>
    </row>
    <row r="340" spans="1:33" s="612" customFormat="1" hidden="1" outlineLevel="3" x14ac:dyDescent="0.2">
      <c r="A340" s="606"/>
      <c r="B340" s="606"/>
      <c r="C340" s="607"/>
      <c r="D340" s="608"/>
      <c r="E340" s="608"/>
      <c r="F340" s="608"/>
      <c r="G340" s="608"/>
      <c r="H340" s="609"/>
      <c r="I340" s="637"/>
      <c r="J340" s="637"/>
      <c r="K340" s="637"/>
      <c r="L340" s="637"/>
      <c r="M340" s="637"/>
      <c r="N340" s="637"/>
      <c r="O340" s="637"/>
      <c r="P340" s="637"/>
      <c r="Q340" s="637"/>
      <c r="R340" s="637"/>
      <c r="S340" s="637"/>
      <c r="T340" s="637"/>
      <c r="U340" s="637"/>
      <c r="V340" s="637"/>
      <c r="W340" s="637"/>
      <c r="X340" s="637"/>
      <c r="Y340" s="637"/>
      <c r="Z340" s="637"/>
      <c r="AA340" s="637"/>
      <c r="AB340" s="637"/>
      <c r="AC340" s="637"/>
      <c r="AD340" s="606"/>
      <c r="AE340" s="606"/>
      <c r="AF340" s="606"/>
      <c r="AG340" s="606"/>
    </row>
    <row r="341" spans="1:33" s="612" customFormat="1" hidden="1" outlineLevel="3" x14ac:dyDescent="0.2">
      <c r="A341" s="606"/>
      <c r="B341" s="606"/>
      <c r="C341" s="607"/>
      <c r="D341" s="608"/>
      <c r="E341" s="608"/>
      <c r="F341" s="608"/>
      <c r="G341" s="608"/>
      <c r="H341" s="609"/>
      <c r="I341" s="637"/>
      <c r="J341" s="637"/>
      <c r="K341" s="637"/>
      <c r="L341" s="637"/>
      <c r="M341" s="637"/>
      <c r="N341" s="637"/>
      <c r="O341" s="637"/>
      <c r="P341" s="637"/>
      <c r="Q341" s="637"/>
      <c r="R341" s="637"/>
      <c r="S341" s="637"/>
      <c r="T341" s="637"/>
      <c r="U341" s="637"/>
      <c r="V341" s="637"/>
      <c r="W341" s="637"/>
      <c r="X341" s="637"/>
      <c r="Y341" s="637"/>
      <c r="Z341" s="637"/>
      <c r="AA341" s="637"/>
      <c r="AB341" s="637"/>
      <c r="AC341" s="637"/>
      <c r="AD341" s="606"/>
      <c r="AE341" s="606"/>
      <c r="AF341" s="606"/>
      <c r="AG341" s="606"/>
    </row>
    <row r="342" spans="1:33" s="612" customFormat="1" hidden="1" outlineLevel="3" x14ac:dyDescent="0.2">
      <c r="A342" s="606"/>
      <c r="B342" s="606"/>
      <c r="C342" s="607"/>
      <c r="D342" s="608"/>
      <c r="E342" s="608"/>
      <c r="F342" s="608"/>
      <c r="G342" s="608"/>
      <c r="H342" s="609"/>
      <c r="I342" s="637"/>
      <c r="J342" s="637"/>
      <c r="K342" s="637"/>
      <c r="L342" s="637"/>
      <c r="M342" s="637"/>
      <c r="N342" s="637"/>
      <c r="O342" s="637"/>
      <c r="P342" s="637"/>
      <c r="Q342" s="637"/>
      <c r="R342" s="637"/>
      <c r="S342" s="637"/>
      <c r="T342" s="637"/>
      <c r="U342" s="637"/>
      <c r="V342" s="637"/>
      <c r="W342" s="637"/>
      <c r="X342" s="637"/>
      <c r="Y342" s="637"/>
      <c r="Z342" s="637"/>
      <c r="AA342" s="637"/>
      <c r="AB342" s="637"/>
      <c r="AC342" s="637"/>
      <c r="AD342" s="606"/>
      <c r="AE342" s="606"/>
      <c r="AF342" s="606"/>
      <c r="AG342" s="606"/>
    </row>
    <row r="343" spans="1:33" s="612" customFormat="1" hidden="1" outlineLevel="3" x14ac:dyDescent="0.2">
      <c r="A343" s="606"/>
      <c r="B343" s="606"/>
      <c r="C343" s="607"/>
      <c r="D343" s="608"/>
      <c r="E343" s="608"/>
      <c r="F343" s="608"/>
      <c r="G343" s="608"/>
      <c r="H343" s="609"/>
      <c r="I343" s="637"/>
      <c r="J343" s="637"/>
      <c r="K343" s="637"/>
      <c r="L343" s="637"/>
      <c r="M343" s="637"/>
      <c r="N343" s="637"/>
      <c r="O343" s="637"/>
      <c r="P343" s="637"/>
      <c r="Q343" s="637"/>
      <c r="R343" s="637"/>
      <c r="S343" s="637"/>
      <c r="T343" s="637"/>
      <c r="U343" s="637"/>
      <c r="V343" s="637"/>
      <c r="W343" s="637"/>
      <c r="X343" s="637"/>
      <c r="Y343" s="637"/>
      <c r="Z343" s="637"/>
      <c r="AA343" s="637"/>
      <c r="AB343" s="637"/>
      <c r="AC343" s="637"/>
      <c r="AD343" s="606"/>
      <c r="AE343" s="606"/>
      <c r="AF343" s="606"/>
      <c r="AG343" s="606"/>
    </row>
    <row r="344" spans="1:33" s="612" customFormat="1" hidden="1" outlineLevel="3" x14ac:dyDescent="0.2">
      <c r="A344" s="606"/>
      <c r="B344" s="606"/>
      <c r="C344" s="607"/>
      <c r="D344" s="608"/>
      <c r="E344" s="608"/>
      <c r="F344" s="608"/>
      <c r="G344" s="608"/>
      <c r="H344" s="609"/>
      <c r="I344" s="637"/>
      <c r="J344" s="637"/>
      <c r="K344" s="637"/>
      <c r="L344" s="637"/>
      <c r="M344" s="637"/>
      <c r="N344" s="637"/>
      <c r="O344" s="637"/>
      <c r="P344" s="637"/>
      <c r="Q344" s="637"/>
      <c r="R344" s="637"/>
      <c r="S344" s="637"/>
      <c r="T344" s="637"/>
      <c r="U344" s="637"/>
      <c r="V344" s="637"/>
      <c r="W344" s="637"/>
      <c r="X344" s="637"/>
      <c r="Y344" s="637"/>
      <c r="Z344" s="637"/>
      <c r="AA344" s="637"/>
      <c r="AB344" s="637"/>
      <c r="AC344" s="637"/>
      <c r="AD344" s="606"/>
      <c r="AE344" s="606"/>
      <c r="AF344" s="606"/>
      <c r="AG344" s="606"/>
    </row>
    <row r="345" spans="1:33" s="612" customFormat="1" hidden="1" outlineLevel="3" x14ac:dyDescent="0.2">
      <c r="A345" s="606"/>
      <c r="B345" s="606"/>
      <c r="C345" s="607"/>
      <c r="D345" s="608"/>
      <c r="E345" s="608"/>
      <c r="F345" s="608"/>
      <c r="G345" s="608"/>
      <c r="H345" s="609"/>
      <c r="I345" s="637"/>
      <c r="J345" s="637"/>
      <c r="K345" s="637"/>
      <c r="L345" s="637"/>
      <c r="M345" s="637"/>
      <c r="N345" s="637"/>
      <c r="O345" s="637"/>
      <c r="P345" s="637"/>
      <c r="Q345" s="637"/>
      <c r="R345" s="637"/>
      <c r="S345" s="637"/>
      <c r="T345" s="637"/>
      <c r="U345" s="637"/>
      <c r="V345" s="637"/>
      <c r="W345" s="637"/>
      <c r="X345" s="637"/>
      <c r="Y345" s="637"/>
      <c r="Z345" s="637"/>
      <c r="AA345" s="637"/>
      <c r="AB345" s="637"/>
      <c r="AC345" s="637"/>
      <c r="AD345" s="606"/>
      <c r="AE345" s="606"/>
      <c r="AF345" s="606"/>
      <c r="AG345" s="606"/>
    </row>
    <row r="346" spans="1:33" s="612" customFormat="1" hidden="1" outlineLevel="3" x14ac:dyDescent="0.2">
      <c r="A346" s="606"/>
      <c r="B346" s="606"/>
      <c r="C346" s="607"/>
      <c r="D346" s="608"/>
      <c r="E346" s="608"/>
      <c r="F346" s="608"/>
      <c r="G346" s="608"/>
      <c r="H346" s="609"/>
      <c r="I346" s="637"/>
      <c r="J346" s="637"/>
      <c r="K346" s="637"/>
      <c r="L346" s="637"/>
      <c r="M346" s="637"/>
      <c r="N346" s="637"/>
      <c r="O346" s="637"/>
      <c r="P346" s="637"/>
      <c r="Q346" s="637"/>
      <c r="R346" s="637"/>
      <c r="S346" s="637"/>
      <c r="T346" s="637"/>
      <c r="U346" s="637"/>
      <c r="V346" s="637"/>
      <c r="W346" s="637"/>
      <c r="X346" s="637"/>
      <c r="Y346" s="637"/>
      <c r="Z346" s="637"/>
      <c r="AA346" s="637"/>
      <c r="AB346" s="637"/>
      <c r="AC346" s="637"/>
      <c r="AD346" s="606"/>
      <c r="AE346" s="606"/>
      <c r="AF346" s="606"/>
      <c r="AG346" s="606"/>
    </row>
    <row r="347" spans="1:33" s="612" customFormat="1" hidden="1" outlineLevel="3" x14ac:dyDescent="0.2">
      <c r="A347" s="606"/>
      <c r="B347" s="606"/>
      <c r="C347" s="607"/>
      <c r="D347" s="608"/>
      <c r="E347" s="608"/>
      <c r="F347" s="608"/>
      <c r="G347" s="608"/>
      <c r="H347" s="609"/>
      <c r="I347" s="637"/>
      <c r="J347" s="637"/>
      <c r="K347" s="637"/>
      <c r="L347" s="637"/>
      <c r="M347" s="637"/>
      <c r="N347" s="637"/>
      <c r="O347" s="637"/>
      <c r="P347" s="637"/>
      <c r="Q347" s="637"/>
      <c r="R347" s="637"/>
      <c r="S347" s="637"/>
      <c r="T347" s="637"/>
      <c r="U347" s="637"/>
      <c r="V347" s="637"/>
      <c r="W347" s="637"/>
      <c r="X347" s="637"/>
      <c r="Y347" s="637"/>
      <c r="Z347" s="637"/>
      <c r="AA347" s="637"/>
      <c r="AB347" s="637"/>
      <c r="AC347" s="637"/>
      <c r="AD347" s="606"/>
      <c r="AE347" s="606"/>
      <c r="AF347" s="606"/>
      <c r="AG347" s="606"/>
    </row>
    <row r="348" spans="1:33" s="612" customFormat="1" hidden="1" outlineLevel="3" x14ac:dyDescent="0.2">
      <c r="A348" s="606"/>
      <c r="B348" s="606"/>
      <c r="C348" s="607"/>
      <c r="D348" s="608"/>
      <c r="E348" s="608"/>
      <c r="F348" s="608"/>
      <c r="G348" s="608"/>
      <c r="H348" s="609"/>
      <c r="I348" s="637"/>
      <c r="J348" s="637"/>
      <c r="K348" s="637"/>
      <c r="L348" s="637"/>
      <c r="M348" s="637"/>
      <c r="N348" s="637"/>
      <c r="O348" s="637"/>
      <c r="P348" s="637"/>
      <c r="Q348" s="637"/>
      <c r="R348" s="637"/>
      <c r="S348" s="637"/>
      <c r="T348" s="637"/>
      <c r="U348" s="637"/>
      <c r="V348" s="637"/>
      <c r="W348" s="637"/>
      <c r="X348" s="637"/>
      <c r="Y348" s="637"/>
      <c r="Z348" s="637"/>
      <c r="AA348" s="637"/>
      <c r="AB348" s="637"/>
      <c r="AC348" s="637"/>
      <c r="AD348" s="606"/>
      <c r="AE348" s="606"/>
      <c r="AF348" s="606"/>
      <c r="AG348" s="606"/>
    </row>
    <row r="349" spans="1:33" s="612" customFormat="1" hidden="1" outlineLevel="3" x14ac:dyDescent="0.2">
      <c r="A349" s="606"/>
      <c r="B349" s="606"/>
      <c r="C349" s="607"/>
      <c r="D349" s="608"/>
      <c r="E349" s="608"/>
      <c r="F349" s="608"/>
      <c r="G349" s="608"/>
      <c r="H349" s="609"/>
      <c r="I349" s="637"/>
      <c r="J349" s="637"/>
      <c r="K349" s="637"/>
      <c r="L349" s="637"/>
      <c r="M349" s="637"/>
      <c r="N349" s="637"/>
      <c r="O349" s="637"/>
      <c r="P349" s="637"/>
      <c r="Q349" s="637"/>
      <c r="R349" s="637"/>
      <c r="S349" s="637"/>
      <c r="T349" s="637"/>
      <c r="U349" s="637"/>
      <c r="V349" s="637"/>
      <c r="W349" s="637"/>
      <c r="X349" s="637"/>
      <c r="Y349" s="637"/>
      <c r="Z349" s="637"/>
      <c r="AA349" s="637"/>
      <c r="AB349" s="637"/>
      <c r="AC349" s="637"/>
      <c r="AD349" s="606"/>
      <c r="AE349" s="606"/>
      <c r="AF349" s="606"/>
      <c r="AG349" s="606"/>
    </row>
    <row r="350" spans="1:33" s="612" customFormat="1" outlineLevel="2" collapsed="1" x14ac:dyDescent="0.2">
      <c r="A350" s="606"/>
      <c r="B350" s="606"/>
      <c r="C350" s="638"/>
      <c r="D350" s="608"/>
      <c r="E350" s="608"/>
      <c r="F350" s="608"/>
      <c r="G350" s="608"/>
      <c r="H350" s="609"/>
      <c r="I350" s="639"/>
      <c r="J350" s="639"/>
      <c r="K350" s="639"/>
      <c r="L350" s="639"/>
      <c r="M350" s="639"/>
      <c r="N350" s="639"/>
      <c r="O350" s="639"/>
      <c r="P350" s="639"/>
      <c r="Q350" s="639"/>
      <c r="R350" s="639"/>
      <c r="S350" s="639"/>
      <c r="T350" s="639"/>
      <c r="U350" s="639"/>
      <c r="V350" s="639"/>
      <c r="W350" s="639"/>
      <c r="X350" s="639"/>
      <c r="Y350" s="639"/>
      <c r="Z350" s="639"/>
      <c r="AA350" s="639"/>
      <c r="AB350" s="639"/>
      <c r="AC350" s="639"/>
      <c r="AD350" s="606"/>
      <c r="AE350" s="606"/>
      <c r="AF350" s="606"/>
      <c r="AG350" s="606"/>
    </row>
    <row r="351" spans="1:33" s="612" customFormat="1" outlineLevel="1" x14ac:dyDescent="0.2">
      <c r="A351" s="606"/>
      <c r="B351" s="606"/>
      <c r="C351" s="613"/>
      <c r="D351" s="609"/>
      <c r="E351" s="609"/>
      <c r="F351" s="609"/>
      <c r="G351" s="609"/>
      <c r="H351" s="609"/>
      <c r="I351" s="614"/>
      <c r="J351" s="614"/>
      <c r="K351" s="611"/>
      <c r="L351" s="611"/>
      <c r="M351" s="611"/>
      <c r="N351" s="615"/>
      <c r="O351" s="615"/>
      <c r="P351" s="615"/>
      <c r="Q351" s="615"/>
      <c r="R351" s="615"/>
      <c r="S351" s="611"/>
      <c r="T351" s="611"/>
      <c r="U351" s="611"/>
      <c r="V351" s="611"/>
      <c r="W351" s="611"/>
      <c r="X351" s="611"/>
      <c r="Y351" s="611"/>
      <c r="Z351" s="611"/>
      <c r="AA351" s="611"/>
      <c r="AB351" s="611"/>
      <c r="AC351" s="611"/>
      <c r="AD351" s="606"/>
      <c r="AE351" s="606"/>
      <c r="AF351" s="606"/>
      <c r="AG351" s="606"/>
    </row>
    <row r="352" spans="1:33" s="612" customFormat="1" outlineLevel="1" x14ac:dyDescent="0.2">
      <c r="A352" s="606"/>
      <c r="B352" s="606"/>
      <c r="C352" s="616"/>
      <c r="D352" s="617"/>
      <c r="E352" s="617"/>
      <c r="F352" s="617"/>
      <c r="G352" s="618"/>
      <c r="H352" s="618"/>
      <c r="I352" s="611"/>
      <c r="J352" s="611"/>
      <c r="K352" s="611"/>
      <c r="L352" s="611"/>
      <c r="M352" s="611"/>
      <c r="N352" s="611"/>
      <c r="O352" s="611"/>
      <c r="P352" s="611"/>
      <c r="Q352" s="611"/>
      <c r="R352" s="611"/>
      <c r="S352" s="611"/>
      <c r="T352" s="611"/>
      <c r="U352" s="611"/>
      <c r="V352" s="611"/>
      <c r="W352" s="611"/>
      <c r="X352" s="611"/>
      <c r="Y352" s="611"/>
      <c r="Z352" s="611"/>
      <c r="AA352" s="611"/>
      <c r="AB352" s="611"/>
      <c r="AC352" s="611"/>
      <c r="AD352" s="606"/>
      <c r="AE352" s="606"/>
      <c r="AF352" s="606"/>
      <c r="AG352" s="606"/>
    </row>
    <row r="353" spans="1:33" s="612" customFormat="1" outlineLevel="2" x14ac:dyDescent="0.2">
      <c r="A353" s="606"/>
      <c r="B353" s="606"/>
      <c r="C353" s="607"/>
      <c r="D353" s="608"/>
      <c r="E353" s="608"/>
      <c r="F353" s="608"/>
      <c r="G353" s="608"/>
      <c r="H353" s="609"/>
      <c r="I353" s="637"/>
      <c r="J353" s="637"/>
      <c r="K353" s="637"/>
      <c r="L353" s="637"/>
      <c r="M353" s="637"/>
      <c r="N353" s="637"/>
      <c r="O353" s="637"/>
      <c r="P353" s="637"/>
      <c r="Q353" s="637"/>
      <c r="R353" s="637"/>
      <c r="S353" s="637"/>
      <c r="T353" s="637"/>
      <c r="U353" s="637"/>
      <c r="V353" s="637"/>
      <c r="W353" s="637"/>
      <c r="X353" s="637"/>
      <c r="Y353" s="637"/>
      <c r="Z353" s="637"/>
      <c r="AA353" s="637"/>
      <c r="AB353" s="637"/>
      <c r="AC353" s="637"/>
      <c r="AD353" s="606"/>
      <c r="AE353" s="606"/>
      <c r="AF353" s="606"/>
      <c r="AG353" s="606"/>
    </row>
    <row r="354" spans="1:33" s="612" customFormat="1" outlineLevel="2" x14ac:dyDescent="0.2">
      <c r="A354" s="606"/>
      <c r="B354" s="606"/>
      <c r="C354" s="607"/>
      <c r="D354" s="608"/>
      <c r="E354" s="608"/>
      <c r="F354" s="608"/>
      <c r="G354" s="608"/>
      <c r="H354" s="609"/>
      <c r="I354" s="637"/>
      <c r="J354" s="637"/>
      <c r="K354" s="637"/>
      <c r="L354" s="637"/>
      <c r="M354" s="637"/>
      <c r="N354" s="637"/>
      <c r="O354" s="637"/>
      <c r="P354" s="637"/>
      <c r="Q354" s="637"/>
      <c r="R354" s="637"/>
      <c r="S354" s="637"/>
      <c r="T354" s="637"/>
      <c r="U354" s="637"/>
      <c r="V354" s="637"/>
      <c r="W354" s="637"/>
      <c r="X354" s="637"/>
      <c r="Y354" s="637"/>
      <c r="Z354" s="637"/>
      <c r="AA354" s="637"/>
      <c r="AB354" s="637"/>
      <c r="AC354" s="637"/>
      <c r="AD354" s="606"/>
      <c r="AE354" s="606"/>
      <c r="AF354" s="606"/>
      <c r="AG354" s="606"/>
    </row>
    <row r="355" spans="1:33" s="612" customFormat="1" outlineLevel="2" x14ac:dyDescent="0.2">
      <c r="A355" s="606"/>
      <c r="B355" s="606"/>
      <c r="C355" s="607"/>
      <c r="D355" s="608"/>
      <c r="E355" s="608"/>
      <c r="F355" s="608"/>
      <c r="G355" s="608"/>
      <c r="H355" s="609"/>
      <c r="I355" s="637"/>
      <c r="J355" s="637"/>
      <c r="K355" s="637"/>
      <c r="L355" s="637"/>
      <c r="M355" s="637"/>
      <c r="N355" s="637"/>
      <c r="O355" s="637"/>
      <c r="P355" s="637"/>
      <c r="Q355" s="637"/>
      <c r="R355" s="637"/>
      <c r="S355" s="637"/>
      <c r="T355" s="637"/>
      <c r="U355" s="637"/>
      <c r="V355" s="637"/>
      <c r="W355" s="637"/>
      <c r="X355" s="637"/>
      <c r="Y355" s="637"/>
      <c r="Z355" s="637"/>
      <c r="AA355" s="637"/>
      <c r="AB355" s="637"/>
      <c r="AC355" s="637"/>
      <c r="AD355" s="606"/>
      <c r="AE355" s="606"/>
      <c r="AF355" s="606"/>
      <c r="AG355" s="606"/>
    </row>
    <row r="356" spans="1:33" s="612" customFormat="1" outlineLevel="2" x14ac:dyDescent="0.2">
      <c r="A356" s="606"/>
      <c r="B356" s="606"/>
      <c r="C356" s="607"/>
      <c r="D356" s="608"/>
      <c r="E356" s="608"/>
      <c r="F356" s="608"/>
      <c r="G356" s="608"/>
      <c r="H356" s="609"/>
      <c r="I356" s="637"/>
      <c r="J356" s="637"/>
      <c r="K356" s="637"/>
      <c r="L356" s="637"/>
      <c r="M356" s="637"/>
      <c r="N356" s="637"/>
      <c r="O356" s="637"/>
      <c r="P356" s="637"/>
      <c r="Q356" s="637"/>
      <c r="R356" s="637"/>
      <c r="S356" s="637"/>
      <c r="T356" s="637"/>
      <c r="U356" s="637"/>
      <c r="V356" s="637"/>
      <c r="W356" s="637"/>
      <c r="X356" s="637"/>
      <c r="Y356" s="637"/>
      <c r="Z356" s="637"/>
      <c r="AA356" s="637"/>
      <c r="AB356" s="637"/>
      <c r="AC356" s="637"/>
      <c r="AD356" s="606"/>
      <c r="AE356" s="606"/>
      <c r="AF356" s="606"/>
      <c r="AG356" s="606"/>
    </row>
    <row r="357" spans="1:33" s="612" customFormat="1" outlineLevel="2" x14ac:dyDescent="0.2">
      <c r="A357" s="606"/>
      <c r="B357" s="606"/>
      <c r="C357" s="607"/>
      <c r="D357" s="608"/>
      <c r="E357" s="608"/>
      <c r="F357" s="608"/>
      <c r="G357" s="608"/>
      <c r="H357" s="609"/>
      <c r="I357" s="637"/>
      <c r="J357" s="637"/>
      <c r="K357" s="637"/>
      <c r="L357" s="637"/>
      <c r="M357" s="637"/>
      <c r="N357" s="637"/>
      <c r="O357" s="637"/>
      <c r="P357" s="637"/>
      <c r="Q357" s="637"/>
      <c r="R357" s="637"/>
      <c r="S357" s="637"/>
      <c r="T357" s="637"/>
      <c r="U357" s="637"/>
      <c r="V357" s="637"/>
      <c r="W357" s="637"/>
      <c r="X357" s="637"/>
      <c r="Y357" s="637"/>
      <c r="Z357" s="637"/>
      <c r="AA357" s="637"/>
      <c r="AB357" s="637"/>
      <c r="AC357" s="637"/>
      <c r="AD357" s="606"/>
      <c r="AE357" s="606"/>
      <c r="AF357" s="606"/>
      <c r="AG357" s="606"/>
    </row>
    <row r="358" spans="1:33" s="612" customFormat="1" outlineLevel="2" x14ac:dyDescent="0.2">
      <c r="A358" s="606"/>
      <c r="B358" s="606"/>
      <c r="C358" s="607"/>
      <c r="D358" s="608"/>
      <c r="E358" s="608"/>
      <c r="F358" s="608"/>
      <c r="G358" s="608"/>
      <c r="H358" s="609"/>
      <c r="I358" s="637"/>
      <c r="J358" s="637"/>
      <c r="K358" s="637"/>
      <c r="L358" s="637"/>
      <c r="M358" s="637"/>
      <c r="N358" s="637"/>
      <c r="O358" s="637"/>
      <c r="P358" s="637"/>
      <c r="Q358" s="637"/>
      <c r="R358" s="637"/>
      <c r="S358" s="637"/>
      <c r="T358" s="637"/>
      <c r="U358" s="637"/>
      <c r="V358" s="637"/>
      <c r="W358" s="637"/>
      <c r="X358" s="637"/>
      <c r="Y358" s="637"/>
      <c r="Z358" s="637"/>
      <c r="AA358" s="637"/>
      <c r="AB358" s="637"/>
      <c r="AC358" s="637"/>
      <c r="AD358" s="606"/>
      <c r="AE358" s="606"/>
      <c r="AF358" s="606"/>
      <c r="AG358" s="606"/>
    </row>
    <row r="359" spans="1:33" s="612" customFormat="1" outlineLevel="2" x14ac:dyDescent="0.2">
      <c r="A359" s="606"/>
      <c r="B359" s="606"/>
      <c r="C359" s="607"/>
      <c r="D359" s="608"/>
      <c r="E359" s="608"/>
      <c r="F359" s="608"/>
      <c r="G359" s="608"/>
      <c r="H359" s="609"/>
      <c r="I359" s="637"/>
      <c r="J359" s="637"/>
      <c r="K359" s="637"/>
      <c r="L359" s="637"/>
      <c r="M359" s="637"/>
      <c r="N359" s="637"/>
      <c r="O359" s="637"/>
      <c r="P359" s="637"/>
      <c r="Q359" s="637"/>
      <c r="R359" s="637"/>
      <c r="S359" s="637"/>
      <c r="T359" s="637"/>
      <c r="U359" s="637"/>
      <c r="V359" s="637"/>
      <c r="W359" s="637"/>
      <c r="X359" s="637"/>
      <c r="Y359" s="637"/>
      <c r="Z359" s="637"/>
      <c r="AA359" s="637"/>
      <c r="AB359" s="637"/>
      <c r="AC359" s="637"/>
      <c r="AD359" s="606"/>
      <c r="AE359" s="606"/>
      <c r="AF359" s="606"/>
      <c r="AG359" s="606"/>
    </row>
    <row r="360" spans="1:33" s="612" customFormat="1" outlineLevel="2" x14ac:dyDescent="0.2">
      <c r="A360" s="606"/>
      <c r="B360" s="606"/>
      <c r="C360" s="607"/>
      <c r="D360" s="608"/>
      <c r="E360" s="608"/>
      <c r="F360" s="608"/>
      <c r="G360" s="608"/>
      <c r="H360" s="609"/>
      <c r="I360" s="637"/>
      <c r="J360" s="637"/>
      <c r="K360" s="637"/>
      <c r="L360" s="637"/>
      <c r="M360" s="637"/>
      <c r="N360" s="637"/>
      <c r="O360" s="637"/>
      <c r="P360" s="637"/>
      <c r="Q360" s="637"/>
      <c r="R360" s="637"/>
      <c r="S360" s="637"/>
      <c r="T360" s="637"/>
      <c r="U360" s="637"/>
      <c r="V360" s="637"/>
      <c r="W360" s="637"/>
      <c r="X360" s="637"/>
      <c r="Y360" s="637"/>
      <c r="Z360" s="637"/>
      <c r="AA360" s="637"/>
      <c r="AB360" s="637"/>
      <c r="AC360" s="637"/>
      <c r="AD360" s="606"/>
      <c r="AE360" s="606"/>
      <c r="AF360" s="606"/>
      <c r="AG360" s="606"/>
    </row>
    <row r="361" spans="1:33" s="612" customFormat="1" outlineLevel="2" x14ac:dyDescent="0.2">
      <c r="A361" s="606"/>
      <c r="B361" s="606"/>
      <c r="C361" s="607"/>
      <c r="D361" s="608"/>
      <c r="E361" s="608"/>
      <c r="F361" s="608"/>
      <c r="G361" s="608"/>
      <c r="H361" s="609"/>
      <c r="I361" s="637"/>
      <c r="J361" s="637"/>
      <c r="K361" s="637"/>
      <c r="L361" s="637"/>
      <c r="M361" s="637"/>
      <c r="N361" s="637"/>
      <c r="O361" s="637"/>
      <c r="P361" s="637"/>
      <c r="Q361" s="637"/>
      <c r="R361" s="637"/>
      <c r="S361" s="637"/>
      <c r="T361" s="637"/>
      <c r="U361" s="637"/>
      <c r="V361" s="637"/>
      <c r="W361" s="637"/>
      <c r="X361" s="637"/>
      <c r="Y361" s="637"/>
      <c r="Z361" s="637"/>
      <c r="AA361" s="637"/>
      <c r="AB361" s="637"/>
      <c r="AC361" s="637"/>
      <c r="AD361" s="606"/>
      <c r="AE361" s="606"/>
      <c r="AF361" s="606"/>
      <c r="AG361" s="606"/>
    </row>
    <row r="362" spans="1:33" s="612" customFormat="1" outlineLevel="2" x14ac:dyDescent="0.2">
      <c r="A362" s="606"/>
      <c r="B362" s="606"/>
      <c r="C362" s="607"/>
      <c r="D362" s="608"/>
      <c r="E362" s="608"/>
      <c r="F362" s="608"/>
      <c r="G362" s="608"/>
      <c r="H362" s="609"/>
      <c r="I362" s="637"/>
      <c r="J362" s="637"/>
      <c r="K362" s="637"/>
      <c r="L362" s="637"/>
      <c r="M362" s="637"/>
      <c r="N362" s="637"/>
      <c r="O362" s="637"/>
      <c r="P362" s="637"/>
      <c r="Q362" s="637"/>
      <c r="R362" s="637"/>
      <c r="S362" s="637"/>
      <c r="T362" s="637"/>
      <c r="U362" s="637"/>
      <c r="V362" s="637"/>
      <c r="W362" s="637"/>
      <c r="X362" s="637"/>
      <c r="Y362" s="637"/>
      <c r="Z362" s="637"/>
      <c r="AA362" s="637"/>
      <c r="AB362" s="637"/>
      <c r="AC362" s="637"/>
      <c r="AD362" s="606"/>
      <c r="AE362" s="606"/>
      <c r="AF362" s="606"/>
      <c r="AG362" s="606"/>
    </row>
    <row r="363" spans="1:33" s="612" customFormat="1" outlineLevel="2" x14ac:dyDescent="0.2">
      <c r="A363" s="606"/>
      <c r="B363" s="606"/>
      <c r="C363" s="607"/>
      <c r="D363" s="608"/>
      <c r="E363" s="608"/>
      <c r="F363" s="608"/>
      <c r="G363" s="608"/>
      <c r="H363" s="609"/>
      <c r="I363" s="637"/>
      <c r="J363" s="637"/>
      <c r="K363" s="637"/>
      <c r="L363" s="637"/>
      <c r="M363" s="637"/>
      <c r="N363" s="637"/>
      <c r="O363" s="637"/>
      <c r="P363" s="637"/>
      <c r="Q363" s="637"/>
      <c r="R363" s="637"/>
      <c r="S363" s="637"/>
      <c r="T363" s="637"/>
      <c r="U363" s="637"/>
      <c r="V363" s="637"/>
      <c r="W363" s="637"/>
      <c r="X363" s="637"/>
      <c r="Y363" s="637"/>
      <c r="Z363" s="637"/>
      <c r="AA363" s="637"/>
      <c r="AB363" s="637"/>
      <c r="AC363" s="637"/>
      <c r="AD363" s="606"/>
      <c r="AE363" s="606"/>
      <c r="AF363" s="606"/>
      <c r="AG363" s="606"/>
    </row>
    <row r="364" spans="1:33" s="612" customFormat="1" outlineLevel="2" x14ac:dyDescent="0.2">
      <c r="A364" s="606"/>
      <c r="B364" s="606"/>
      <c r="C364" s="607"/>
      <c r="D364" s="608"/>
      <c r="E364" s="608"/>
      <c r="F364" s="608"/>
      <c r="G364" s="608"/>
      <c r="H364" s="609"/>
      <c r="I364" s="637"/>
      <c r="J364" s="637"/>
      <c r="K364" s="637"/>
      <c r="L364" s="637"/>
      <c r="M364" s="637"/>
      <c r="N364" s="637"/>
      <c r="O364" s="637"/>
      <c r="P364" s="637"/>
      <c r="Q364" s="637"/>
      <c r="R364" s="637"/>
      <c r="S364" s="637"/>
      <c r="T364" s="637"/>
      <c r="U364" s="637"/>
      <c r="V364" s="637"/>
      <c r="W364" s="637"/>
      <c r="X364" s="637"/>
      <c r="Y364" s="637"/>
      <c r="Z364" s="637"/>
      <c r="AA364" s="637"/>
      <c r="AB364" s="637"/>
      <c r="AC364" s="637"/>
      <c r="AD364" s="606"/>
      <c r="AE364" s="606"/>
      <c r="AF364" s="606"/>
      <c r="AG364" s="606"/>
    </row>
    <row r="365" spans="1:33" s="612" customFormat="1" outlineLevel="2" x14ac:dyDescent="0.2">
      <c r="A365" s="606"/>
      <c r="B365" s="606"/>
      <c r="C365" s="607"/>
      <c r="D365" s="608"/>
      <c r="E365" s="608"/>
      <c r="F365" s="608"/>
      <c r="G365" s="608"/>
      <c r="H365" s="609"/>
      <c r="I365" s="637"/>
      <c r="J365" s="637"/>
      <c r="K365" s="637"/>
      <c r="L365" s="637"/>
      <c r="M365" s="637"/>
      <c r="N365" s="637"/>
      <c r="O365" s="637"/>
      <c r="P365" s="637"/>
      <c r="Q365" s="637"/>
      <c r="R365" s="637"/>
      <c r="S365" s="637"/>
      <c r="T365" s="637"/>
      <c r="U365" s="637"/>
      <c r="V365" s="637"/>
      <c r="W365" s="637"/>
      <c r="X365" s="637"/>
      <c r="Y365" s="637"/>
      <c r="Z365" s="637"/>
      <c r="AA365" s="637"/>
      <c r="AB365" s="637"/>
      <c r="AC365" s="637"/>
      <c r="AD365" s="606"/>
      <c r="AE365" s="606"/>
      <c r="AF365" s="606"/>
      <c r="AG365" s="606"/>
    </row>
    <row r="366" spans="1:33" s="612" customFormat="1" outlineLevel="2" x14ac:dyDescent="0.2">
      <c r="A366" s="606"/>
      <c r="B366" s="606"/>
      <c r="C366" s="607"/>
      <c r="D366" s="608"/>
      <c r="E366" s="608"/>
      <c r="F366" s="608"/>
      <c r="G366" s="608"/>
      <c r="H366" s="609"/>
      <c r="I366" s="637"/>
      <c r="J366" s="637"/>
      <c r="K366" s="637"/>
      <c r="L366" s="637"/>
      <c r="M366" s="637"/>
      <c r="N366" s="637"/>
      <c r="O366" s="637"/>
      <c r="P366" s="637"/>
      <c r="Q366" s="637"/>
      <c r="R366" s="637"/>
      <c r="S366" s="637"/>
      <c r="T366" s="637"/>
      <c r="U366" s="637"/>
      <c r="V366" s="637"/>
      <c r="W366" s="637"/>
      <c r="X366" s="637"/>
      <c r="Y366" s="637"/>
      <c r="Z366" s="637"/>
      <c r="AA366" s="637"/>
      <c r="AB366" s="637"/>
      <c r="AC366" s="637"/>
      <c r="AD366" s="606"/>
      <c r="AE366" s="606"/>
      <c r="AF366" s="606"/>
      <c r="AG366" s="606"/>
    </row>
    <row r="367" spans="1:33" s="612" customFormat="1" outlineLevel="2" x14ac:dyDescent="0.2">
      <c r="A367" s="606"/>
      <c r="B367" s="606"/>
      <c r="C367" s="607"/>
      <c r="D367" s="608"/>
      <c r="E367" s="608"/>
      <c r="F367" s="608"/>
      <c r="G367" s="608"/>
      <c r="H367" s="609"/>
      <c r="I367" s="637"/>
      <c r="J367" s="637"/>
      <c r="K367" s="637"/>
      <c r="L367" s="637"/>
      <c r="M367" s="637"/>
      <c r="N367" s="637"/>
      <c r="O367" s="637"/>
      <c r="P367" s="637"/>
      <c r="Q367" s="637"/>
      <c r="R367" s="637"/>
      <c r="S367" s="637"/>
      <c r="T367" s="637"/>
      <c r="U367" s="637"/>
      <c r="V367" s="637"/>
      <c r="W367" s="637"/>
      <c r="X367" s="637"/>
      <c r="Y367" s="637"/>
      <c r="Z367" s="637"/>
      <c r="AA367" s="637"/>
      <c r="AB367" s="637"/>
      <c r="AC367" s="637"/>
      <c r="AD367" s="606"/>
      <c r="AE367" s="606"/>
      <c r="AF367" s="606"/>
      <c r="AG367" s="606"/>
    </row>
    <row r="368" spans="1:33" s="612" customFormat="1" outlineLevel="2" x14ac:dyDescent="0.2">
      <c r="A368" s="606"/>
      <c r="B368" s="606"/>
      <c r="C368" s="607"/>
      <c r="D368" s="608"/>
      <c r="E368" s="608"/>
      <c r="F368" s="608"/>
      <c r="G368" s="608"/>
      <c r="H368" s="609"/>
      <c r="I368" s="637"/>
      <c r="J368" s="637"/>
      <c r="K368" s="637"/>
      <c r="L368" s="637"/>
      <c r="M368" s="637"/>
      <c r="N368" s="637"/>
      <c r="O368" s="637"/>
      <c r="P368" s="637"/>
      <c r="Q368" s="637"/>
      <c r="R368" s="637"/>
      <c r="S368" s="637"/>
      <c r="T368" s="637"/>
      <c r="U368" s="637"/>
      <c r="V368" s="637"/>
      <c r="W368" s="637"/>
      <c r="X368" s="637"/>
      <c r="Y368" s="637"/>
      <c r="Z368" s="637"/>
      <c r="AA368" s="637"/>
      <c r="AB368" s="637"/>
      <c r="AC368" s="637"/>
      <c r="AD368" s="606"/>
      <c r="AE368" s="606"/>
      <c r="AF368" s="606"/>
      <c r="AG368" s="606"/>
    </row>
    <row r="369" spans="1:33" s="612" customFormat="1" outlineLevel="2" x14ac:dyDescent="0.2">
      <c r="A369" s="606"/>
      <c r="B369" s="606"/>
      <c r="C369" s="607"/>
      <c r="D369" s="608"/>
      <c r="E369" s="608"/>
      <c r="F369" s="608"/>
      <c r="G369" s="608"/>
      <c r="H369" s="609"/>
      <c r="I369" s="637"/>
      <c r="J369" s="637"/>
      <c r="K369" s="637"/>
      <c r="L369" s="637"/>
      <c r="M369" s="637"/>
      <c r="N369" s="637"/>
      <c r="O369" s="637"/>
      <c r="P369" s="637"/>
      <c r="Q369" s="637"/>
      <c r="R369" s="637"/>
      <c r="S369" s="637"/>
      <c r="T369" s="637"/>
      <c r="U369" s="637"/>
      <c r="V369" s="637"/>
      <c r="W369" s="637"/>
      <c r="X369" s="637"/>
      <c r="Y369" s="637"/>
      <c r="Z369" s="637"/>
      <c r="AA369" s="637"/>
      <c r="AB369" s="637"/>
      <c r="AC369" s="637"/>
      <c r="AD369" s="606"/>
      <c r="AE369" s="606"/>
      <c r="AF369" s="606"/>
      <c r="AG369" s="606"/>
    </row>
    <row r="370" spans="1:33" s="612" customFormat="1" outlineLevel="2" x14ac:dyDescent="0.2">
      <c r="A370" s="606"/>
      <c r="B370" s="606"/>
      <c r="C370" s="607"/>
      <c r="D370" s="608"/>
      <c r="E370" s="608"/>
      <c r="F370" s="608"/>
      <c r="G370" s="608"/>
      <c r="H370" s="609"/>
      <c r="I370" s="637"/>
      <c r="J370" s="637"/>
      <c r="K370" s="637"/>
      <c r="L370" s="637"/>
      <c r="M370" s="637"/>
      <c r="N370" s="637"/>
      <c r="O370" s="637"/>
      <c r="P370" s="637"/>
      <c r="Q370" s="637"/>
      <c r="R370" s="637"/>
      <c r="S370" s="637"/>
      <c r="T370" s="637"/>
      <c r="U370" s="637"/>
      <c r="V370" s="637"/>
      <c r="W370" s="637"/>
      <c r="X370" s="637"/>
      <c r="Y370" s="637"/>
      <c r="Z370" s="637"/>
      <c r="AA370" s="637"/>
      <c r="AB370" s="637"/>
      <c r="AC370" s="637"/>
      <c r="AD370" s="606"/>
      <c r="AE370" s="606"/>
      <c r="AF370" s="606"/>
      <c r="AG370" s="606"/>
    </row>
    <row r="371" spans="1:33" s="612" customFormat="1" outlineLevel="2" x14ac:dyDescent="0.2">
      <c r="A371" s="606"/>
      <c r="B371" s="606"/>
      <c r="C371" s="607"/>
      <c r="D371" s="608"/>
      <c r="E371" s="608"/>
      <c r="F371" s="608"/>
      <c r="G371" s="608"/>
      <c r="H371" s="609"/>
      <c r="I371" s="637"/>
      <c r="J371" s="637"/>
      <c r="K371" s="637"/>
      <c r="L371" s="637"/>
      <c r="M371" s="637"/>
      <c r="N371" s="637"/>
      <c r="O371" s="637"/>
      <c r="P371" s="637"/>
      <c r="Q371" s="637"/>
      <c r="R371" s="637"/>
      <c r="S371" s="637"/>
      <c r="T371" s="637"/>
      <c r="U371" s="637"/>
      <c r="V371" s="637"/>
      <c r="W371" s="637"/>
      <c r="X371" s="637"/>
      <c r="Y371" s="637"/>
      <c r="Z371" s="637"/>
      <c r="AA371" s="637"/>
      <c r="AB371" s="637"/>
      <c r="AC371" s="637"/>
      <c r="AD371" s="606"/>
      <c r="AE371" s="606"/>
      <c r="AF371" s="606"/>
      <c r="AG371" s="606"/>
    </row>
    <row r="372" spans="1:33" s="612" customFormat="1" outlineLevel="2" x14ac:dyDescent="0.2">
      <c r="A372" s="606"/>
      <c r="B372" s="606"/>
      <c r="C372" s="607"/>
      <c r="D372" s="608"/>
      <c r="E372" s="608"/>
      <c r="F372" s="608"/>
      <c r="G372" s="608"/>
      <c r="H372" s="609"/>
      <c r="I372" s="637"/>
      <c r="J372" s="637"/>
      <c r="K372" s="637"/>
      <c r="L372" s="637"/>
      <c r="M372" s="637"/>
      <c r="N372" s="637"/>
      <c r="O372" s="637"/>
      <c r="P372" s="637"/>
      <c r="Q372" s="637"/>
      <c r="R372" s="637"/>
      <c r="S372" s="637"/>
      <c r="T372" s="637"/>
      <c r="U372" s="637"/>
      <c r="V372" s="637"/>
      <c r="W372" s="637"/>
      <c r="X372" s="637"/>
      <c r="Y372" s="637"/>
      <c r="Z372" s="637"/>
      <c r="AA372" s="637"/>
      <c r="AB372" s="637"/>
      <c r="AC372" s="637"/>
      <c r="AD372" s="606"/>
      <c r="AE372" s="606"/>
      <c r="AF372" s="606"/>
      <c r="AG372" s="606"/>
    </row>
    <row r="373" spans="1:33" s="612" customFormat="1" outlineLevel="2" x14ac:dyDescent="0.2">
      <c r="A373" s="606"/>
      <c r="B373" s="606"/>
      <c r="C373" s="607"/>
      <c r="D373" s="608"/>
      <c r="E373" s="608"/>
      <c r="F373" s="608"/>
      <c r="G373" s="608"/>
      <c r="H373" s="609"/>
      <c r="I373" s="637"/>
      <c r="J373" s="637"/>
      <c r="K373" s="637"/>
      <c r="L373" s="637"/>
      <c r="M373" s="637"/>
      <c r="N373" s="637"/>
      <c r="O373" s="637"/>
      <c r="P373" s="637"/>
      <c r="Q373" s="637"/>
      <c r="R373" s="637"/>
      <c r="S373" s="637"/>
      <c r="T373" s="637"/>
      <c r="U373" s="637"/>
      <c r="V373" s="637"/>
      <c r="W373" s="637"/>
      <c r="X373" s="637"/>
      <c r="Y373" s="637"/>
      <c r="Z373" s="637"/>
      <c r="AA373" s="637"/>
      <c r="AB373" s="637"/>
      <c r="AC373" s="637"/>
      <c r="AD373" s="606"/>
      <c r="AE373" s="606"/>
      <c r="AF373" s="606"/>
      <c r="AG373" s="606"/>
    </row>
    <row r="374" spans="1:33" s="612" customFormat="1" outlineLevel="2" x14ac:dyDescent="0.2">
      <c r="A374" s="606"/>
      <c r="B374" s="606"/>
      <c r="C374" s="607"/>
      <c r="D374" s="608"/>
      <c r="E374" s="608"/>
      <c r="F374" s="608"/>
      <c r="G374" s="608"/>
      <c r="H374" s="609"/>
      <c r="I374" s="637"/>
      <c r="J374" s="637"/>
      <c r="K374" s="637"/>
      <c r="L374" s="637"/>
      <c r="M374" s="637"/>
      <c r="N374" s="637"/>
      <c r="O374" s="637"/>
      <c r="P374" s="637"/>
      <c r="Q374" s="637"/>
      <c r="R374" s="637"/>
      <c r="S374" s="637"/>
      <c r="T374" s="637"/>
      <c r="U374" s="637"/>
      <c r="V374" s="637"/>
      <c r="W374" s="637"/>
      <c r="X374" s="637"/>
      <c r="Y374" s="637"/>
      <c r="Z374" s="637"/>
      <c r="AA374" s="637"/>
      <c r="AB374" s="637"/>
      <c r="AC374" s="637"/>
      <c r="AD374" s="606"/>
      <c r="AE374" s="606"/>
      <c r="AF374" s="606"/>
      <c r="AG374" s="606"/>
    </row>
    <row r="375" spans="1:33" s="612" customFormat="1" outlineLevel="2" x14ac:dyDescent="0.2">
      <c r="A375" s="606"/>
      <c r="B375" s="606"/>
      <c r="C375" s="607"/>
      <c r="D375" s="608"/>
      <c r="E375" s="608"/>
      <c r="F375" s="608"/>
      <c r="G375" s="608"/>
      <c r="H375" s="609"/>
      <c r="I375" s="637"/>
      <c r="J375" s="637"/>
      <c r="K375" s="637"/>
      <c r="L375" s="637"/>
      <c r="M375" s="637"/>
      <c r="N375" s="637"/>
      <c r="O375" s="637"/>
      <c r="P375" s="637"/>
      <c r="Q375" s="637"/>
      <c r="R375" s="637"/>
      <c r="S375" s="637"/>
      <c r="T375" s="637"/>
      <c r="U375" s="637"/>
      <c r="V375" s="637"/>
      <c r="W375" s="637"/>
      <c r="X375" s="637"/>
      <c r="Y375" s="637"/>
      <c r="Z375" s="637"/>
      <c r="AA375" s="637"/>
      <c r="AB375" s="637"/>
      <c r="AC375" s="637"/>
      <c r="AD375" s="606"/>
      <c r="AE375" s="606"/>
      <c r="AF375" s="606"/>
      <c r="AG375" s="606"/>
    </row>
    <row r="376" spans="1:33" s="612" customFormat="1" outlineLevel="2" x14ac:dyDescent="0.2">
      <c r="A376" s="606"/>
      <c r="B376" s="606"/>
      <c r="C376" s="607"/>
      <c r="D376" s="608"/>
      <c r="E376" s="608"/>
      <c r="F376" s="608"/>
      <c r="G376" s="608"/>
      <c r="H376" s="609"/>
      <c r="I376" s="637"/>
      <c r="J376" s="637"/>
      <c r="K376" s="637"/>
      <c r="L376" s="637"/>
      <c r="M376" s="637"/>
      <c r="N376" s="637"/>
      <c r="O376" s="637"/>
      <c r="P376" s="637"/>
      <c r="Q376" s="637"/>
      <c r="R376" s="637"/>
      <c r="S376" s="637"/>
      <c r="T376" s="637"/>
      <c r="U376" s="637"/>
      <c r="V376" s="637"/>
      <c r="W376" s="637"/>
      <c r="X376" s="637"/>
      <c r="Y376" s="637"/>
      <c r="Z376" s="637"/>
      <c r="AA376" s="637"/>
      <c r="AB376" s="637"/>
      <c r="AC376" s="637"/>
      <c r="AD376" s="606"/>
      <c r="AE376" s="606"/>
      <c r="AF376" s="606"/>
      <c r="AG376" s="606"/>
    </row>
    <row r="377" spans="1:33" s="612" customFormat="1" outlineLevel="2" x14ac:dyDescent="0.2">
      <c r="A377" s="606"/>
      <c r="B377" s="606"/>
      <c r="C377" s="607"/>
      <c r="D377" s="608"/>
      <c r="E377" s="608"/>
      <c r="F377" s="608"/>
      <c r="G377" s="608"/>
      <c r="H377" s="609"/>
      <c r="I377" s="637"/>
      <c r="J377" s="637"/>
      <c r="K377" s="637"/>
      <c r="L377" s="637"/>
      <c r="M377" s="637"/>
      <c r="N377" s="637"/>
      <c r="O377" s="637"/>
      <c r="P377" s="637"/>
      <c r="Q377" s="637"/>
      <c r="R377" s="637"/>
      <c r="S377" s="637"/>
      <c r="T377" s="637"/>
      <c r="U377" s="637"/>
      <c r="V377" s="637"/>
      <c r="W377" s="637"/>
      <c r="X377" s="637"/>
      <c r="Y377" s="637"/>
      <c r="Z377" s="637"/>
      <c r="AA377" s="637"/>
      <c r="AB377" s="637"/>
      <c r="AC377" s="637"/>
      <c r="AD377" s="606"/>
      <c r="AE377" s="606"/>
      <c r="AF377" s="606"/>
      <c r="AG377" s="606"/>
    </row>
    <row r="378" spans="1:33" s="612" customFormat="1" outlineLevel="2" x14ac:dyDescent="0.2">
      <c r="A378" s="606"/>
      <c r="B378" s="606"/>
      <c r="C378" s="607"/>
      <c r="D378" s="608"/>
      <c r="E378" s="608"/>
      <c r="F378" s="608"/>
      <c r="G378" s="608"/>
      <c r="H378" s="609"/>
      <c r="I378" s="637"/>
      <c r="J378" s="637"/>
      <c r="K378" s="637"/>
      <c r="L378" s="637"/>
      <c r="M378" s="637"/>
      <c r="N378" s="637"/>
      <c r="O378" s="637"/>
      <c r="P378" s="637"/>
      <c r="Q378" s="637"/>
      <c r="R378" s="637"/>
      <c r="S378" s="637"/>
      <c r="T378" s="637"/>
      <c r="U378" s="637"/>
      <c r="V378" s="637"/>
      <c r="W378" s="637"/>
      <c r="X378" s="637"/>
      <c r="Y378" s="637"/>
      <c r="Z378" s="637"/>
      <c r="AA378" s="637"/>
      <c r="AB378" s="637"/>
      <c r="AC378" s="637"/>
      <c r="AD378" s="606"/>
      <c r="AE378" s="606"/>
      <c r="AF378" s="606"/>
      <c r="AG378" s="606"/>
    </row>
    <row r="379" spans="1:33" s="612" customFormat="1" outlineLevel="2" x14ac:dyDescent="0.2">
      <c r="A379" s="606"/>
      <c r="B379" s="606"/>
      <c r="C379" s="630"/>
      <c r="D379" s="608"/>
      <c r="E379" s="608"/>
      <c r="F379" s="608"/>
      <c r="G379" s="608"/>
      <c r="H379" s="609"/>
      <c r="I379" s="637"/>
      <c r="J379" s="637"/>
      <c r="K379" s="637"/>
      <c r="L379" s="637"/>
      <c r="M379" s="637"/>
      <c r="N379" s="637"/>
      <c r="O379" s="637"/>
      <c r="P379" s="637"/>
      <c r="Q379" s="637"/>
      <c r="R379" s="637"/>
      <c r="S379" s="637"/>
      <c r="T379" s="637"/>
      <c r="U379" s="637"/>
      <c r="V379" s="637"/>
      <c r="W379" s="637"/>
      <c r="X379" s="637"/>
      <c r="Y379" s="637"/>
      <c r="Z379" s="637"/>
      <c r="AA379" s="637"/>
      <c r="AB379" s="637"/>
      <c r="AC379" s="637"/>
      <c r="AD379" s="606"/>
      <c r="AE379" s="606"/>
      <c r="AF379" s="606"/>
      <c r="AG379" s="606"/>
    </row>
    <row r="380" spans="1:33" s="612" customFormat="1" outlineLevel="2" x14ac:dyDescent="0.2">
      <c r="A380" s="606"/>
      <c r="B380" s="606"/>
      <c r="C380" s="607"/>
      <c r="D380" s="608"/>
      <c r="E380" s="608"/>
      <c r="F380" s="608"/>
      <c r="G380" s="608"/>
      <c r="H380" s="609"/>
      <c r="I380" s="637"/>
      <c r="J380" s="637"/>
      <c r="K380" s="637"/>
      <c r="L380" s="637"/>
      <c r="M380" s="637"/>
      <c r="N380" s="637"/>
      <c r="O380" s="637"/>
      <c r="P380" s="637"/>
      <c r="Q380" s="637"/>
      <c r="R380" s="637"/>
      <c r="S380" s="637"/>
      <c r="T380" s="637"/>
      <c r="U380" s="637"/>
      <c r="V380" s="637"/>
      <c r="W380" s="637"/>
      <c r="X380" s="637"/>
      <c r="Y380" s="637"/>
      <c r="Z380" s="637"/>
      <c r="AA380" s="637"/>
      <c r="AB380" s="637"/>
      <c r="AC380" s="637"/>
      <c r="AD380" s="606"/>
      <c r="AE380" s="606"/>
      <c r="AF380" s="606"/>
      <c r="AG380" s="606"/>
    </row>
    <row r="381" spans="1:33" s="612" customFormat="1" outlineLevel="2" x14ac:dyDescent="0.2">
      <c r="A381" s="606"/>
      <c r="B381" s="606"/>
      <c r="C381" s="607"/>
      <c r="D381" s="608"/>
      <c r="E381" s="608"/>
      <c r="F381" s="608"/>
      <c r="G381" s="608"/>
      <c r="H381" s="609"/>
      <c r="I381" s="637"/>
      <c r="J381" s="637"/>
      <c r="K381" s="637"/>
      <c r="L381" s="637"/>
      <c r="M381" s="637"/>
      <c r="N381" s="637"/>
      <c r="O381" s="637"/>
      <c r="P381" s="637"/>
      <c r="Q381" s="637"/>
      <c r="R381" s="637"/>
      <c r="S381" s="637"/>
      <c r="T381" s="637"/>
      <c r="U381" s="637"/>
      <c r="V381" s="637"/>
      <c r="W381" s="637"/>
      <c r="X381" s="637"/>
      <c r="Y381" s="637"/>
      <c r="Z381" s="637"/>
      <c r="AA381" s="637"/>
      <c r="AB381" s="637"/>
      <c r="AC381" s="637"/>
      <c r="AD381" s="606"/>
      <c r="AE381" s="606"/>
      <c r="AF381" s="606"/>
      <c r="AG381" s="606"/>
    </row>
    <row r="382" spans="1:33" s="612" customFormat="1" outlineLevel="2" x14ac:dyDescent="0.2">
      <c r="A382" s="606"/>
      <c r="B382" s="606"/>
      <c r="C382" s="607"/>
      <c r="D382" s="608"/>
      <c r="E382" s="608"/>
      <c r="F382" s="608"/>
      <c r="G382" s="608"/>
      <c r="H382" s="609"/>
      <c r="I382" s="637"/>
      <c r="J382" s="637"/>
      <c r="K382" s="637"/>
      <c r="L382" s="637"/>
      <c r="M382" s="637"/>
      <c r="N382" s="637"/>
      <c r="O382" s="637"/>
      <c r="P382" s="637"/>
      <c r="Q382" s="637"/>
      <c r="R382" s="637"/>
      <c r="S382" s="637"/>
      <c r="T382" s="637"/>
      <c r="U382" s="637"/>
      <c r="V382" s="637"/>
      <c r="W382" s="637"/>
      <c r="X382" s="637"/>
      <c r="Y382" s="637"/>
      <c r="Z382" s="637"/>
      <c r="AA382" s="637"/>
      <c r="AB382" s="637"/>
      <c r="AC382" s="637"/>
      <c r="AD382" s="606"/>
      <c r="AE382" s="606"/>
      <c r="AF382" s="606"/>
      <c r="AG382" s="606"/>
    </row>
    <row r="383" spans="1:33" s="612" customFormat="1" outlineLevel="2" x14ac:dyDescent="0.2">
      <c r="A383" s="606"/>
      <c r="B383" s="606"/>
      <c r="C383" s="607"/>
      <c r="D383" s="608"/>
      <c r="E383" s="608"/>
      <c r="F383" s="608"/>
      <c r="G383" s="608"/>
      <c r="H383" s="609"/>
      <c r="I383" s="637"/>
      <c r="J383" s="637"/>
      <c r="K383" s="637"/>
      <c r="L383" s="637"/>
      <c r="M383" s="637"/>
      <c r="N383" s="637"/>
      <c r="O383" s="637"/>
      <c r="P383" s="637"/>
      <c r="Q383" s="637"/>
      <c r="R383" s="637"/>
      <c r="S383" s="637"/>
      <c r="T383" s="637"/>
      <c r="U383" s="637"/>
      <c r="V383" s="637"/>
      <c r="W383" s="637"/>
      <c r="X383" s="637"/>
      <c r="Y383" s="637"/>
      <c r="Z383" s="637"/>
      <c r="AA383" s="637"/>
      <c r="AB383" s="637"/>
      <c r="AC383" s="637"/>
      <c r="AD383" s="606"/>
      <c r="AE383" s="606"/>
      <c r="AF383" s="606"/>
      <c r="AG383" s="606"/>
    </row>
    <row r="384" spans="1:33" s="612" customFormat="1" outlineLevel="2" x14ac:dyDescent="0.2">
      <c r="A384" s="606"/>
      <c r="B384" s="606"/>
      <c r="C384" s="607"/>
      <c r="D384" s="608"/>
      <c r="E384" s="608"/>
      <c r="F384" s="608"/>
      <c r="G384" s="608"/>
      <c r="H384" s="609"/>
      <c r="I384" s="637"/>
      <c r="J384" s="637"/>
      <c r="K384" s="637"/>
      <c r="L384" s="637"/>
      <c r="M384" s="637"/>
      <c r="N384" s="637"/>
      <c r="O384" s="637"/>
      <c r="P384" s="637"/>
      <c r="Q384" s="637"/>
      <c r="R384" s="637"/>
      <c r="S384" s="637"/>
      <c r="T384" s="637"/>
      <c r="U384" s="637"/>
      <c r="V384" s="637"/>
      <c r="W384" s="637"/>
      <c r="X384" s="637"/>
      <c r="Y384" s="637"/>
      <c r="Z384" s="637"/>
      <c r="AA384" s="637"/>
      <c r="AB384" s="637"/>
      <c r="AC384" s="637"/>
      <c r="AD384" s="606"/>
      <c r="AE384" s="606"/>
      <c r="AF384" s="606"/>
      <c r="AG384" s="606"/>
    </row>
    <row r="385" spans="1:33" s="612" customFormat="1" hidden="1" outlineLevel="3" x14ac:dyDescent="0.2">
      <c r="A385" s="606"/>
      <c r="B385" s="606"/>
      <c r="C385" s="607"/>
      <c r="D385" s="608"/>
      <c r="E385" s="608"/>
      <c r="F385" s="608"/>
      <c r="G385" s="608"/>
      <c r="H385" s="609"/>
      <c r="I385" s="637"/>
      <c r="J385" s="637"/>
      <c r="K385" s="637"/>
      <c r="L385" s="637"/>
      <c r="M385" s="637"/>
      <c r="N385" s="637"/>
      <c r="O385" s="637"/>
      <c r="P385" s="637"/>
      <c r="Q385" s="637"/>
      <c r="R385" s="637"/>
      <c r="S385" s="637"/>
      <c r="T385" s="637"/>
      <c r="U385" s="637"/>
      <c r="V385" s="637"/>
      <c r="W385" s="637"/>
      <c r="X385" s="637"/>
      <c r="Y385" s="637"/>
      <c r="Z385" s="637"/>
      <c r="AA385" s="637"/>
      <c r="AB385" s="637"/>
      <c r="AC385" s="637"/>
      <c r="AD385" s="606"/>
      <c r="AE385" s="606"/>
      <c r="AF385" s="606"/>
      <c r="AG385" s="606"/>
    </row>
    <row r="386" spans="1:33" s="612" customFormat="1" hidden="1" outlineLevel="3" x14ac:dyDescent="0.2">
      <c r="A386" s="606"/>
      <c r="B386" s="606"/>
      <c r="C386" s="607"/>
      <c r="D386" s="608"/>
      <c r="E386" s="608"/>
      <c r="F386" s="608"/>
      <c r="G386" s="608"/>
      <c r="H386" s="609"/>
      <c r="I386" s="637"/>
      <c r="J386" s="637"/>
      <c r="K386" s="637"/>
      <c r="L386" s="637"/>
      <c r="M386" s="637"/>
      <c r="N386" s="637"/>
      <c r="O386" s="637"/>
      <c r="P386" s="637"/>
      <c r="Q386" s="637"/>
      <c r="R386" s="637"/>
      <c r="S386" s="637"/>
      <c r="T386" s="637"/>
      <c r="U386" s="637"/>
      <c r="V386" s="637"/>
      <c r="W386" s="637"/>
      <c r="X386" s="637"/>
      <c r="Y386" s="637"/>
      <c r="Z386" s="637"/>
      <c r="AA386" s="637"/>
      <c r="AB386" s="637"/>
      <c r="AC386" s="637"/>
      <c r="AD386" s="606"/>
      <c r="AE386" s="606"/>
      <c r="AF386" s="606"/>
      <c r="AG386" s="606"/>
    </row>
    <row r="387" spans="1:33" s="612" customFormat="1" hidden="1" outlineLevel="3" x14ac:dyDescent="0.2">
      <c r="A387" s="606"/>
      <c r="B387" s="606"/>
      <c r="C387" s="607"/>
      <c r="D387" s="608"/>
      <c r="E387" s="608"/>
      <c r="F387" s="608"/>
      <c r="G387" s="608"/>
      <c r="H387" s="609"/>
      <c r="I387" s="637"/>
      <c r="J387" s="637"/>
      <c r="K387" s="637"/>
      <c r="L387" s="637"/>
      <c r="M387" s="637"/>
      <c r="N387" s="637"/>
      <c r="O387" s="637"/>
      <c r="P387" s="637"/>
      <c r="Q387" s="637"/>
      <c r="R387" s="637"/>
      <c r="S387" s="637"/>
      <c r="T387" s="637"/>
      <c r="U387" s="637"/>
      <c r="V387" s="637"/>
      <c r="W387" s="637"/>
      <c r="X387" s="637"/>
      <c r="Y387" s="637"/>
      <c r="Z387" s="637"/>
      <c r="AA387" s="637"/>
      <c r="AB387" s="637"/>
      <c r="AC387" s="637"/>
      <c r="AD387" s="606"/>
      <c r="AE387" s="606"/>
      <c r="AF387" s="606"/>
      <c r="AG387" s="606"/>
    </row>
    <row r="388" spans="1:33" s="612" customFormat="1" hidden="1" outlineLevel="3" x14ac:dyDescent="0.2">
      <c r="A388" s="606"/>
      <c r="B388" s="606"/>
      <c r="C388" s="607"/>
      <c r="D388" s="608"/>
      <c r="E388" s="608"/>
      <c r="F388" s="608"/>
      <c r="G388" s="608"/>
      <c r="H388" s="609"/>
      <c r="I388" s="637"/>
      <c r="J388" s="637"/>
      <c r="K388" s="637"/>
      <c r="L388" s="637"/>
      <c r="M388" s="637"/>
      <c r="N388" s="637"/>
      <c r="O388" s="637"/>
      <c r="P388" s="637"/>
      <c r="Q388" s="637"/>
      <c r="R388" s="637"/>
      <c r="S388" s="637"/>
      <c r="T388" s="637"/>
      <c r="U388" s="637"/>
      <c r="V388" s="637"/>
      <c r="W388" s="637"/>
      <c r="X388" s="637"/>
      <c r="Y388" s="637"/>
      <c r="Z388" s="637"/>
      <c r="AA388" s="637"/>
      <c r="AB388" s="637"/>
      <c r="AC388" s="637"/>
      <c r="AD388" s="606"/>
      <c r="AE388" s="606"/>
      <c r="AF388" s="606"/>
      <c r="AG388" s="606"/>
    </row>
    <row r="389" spans="1:33" s="612" customFormat="1" hidden="1" outlineLevel="3" x14ac:dyDescent="0.2">
      <c r="A389" s="606"/>
      <c r="B389" s="606"/>
      <c r="C389" s="607"/>
      <c r="D389" s="608"/>
      <c r="E389" s="608"/>
      <c r="F389" s="608"/>
      <c r="G389" s="608"/>
      <c r="H389" s="609"/>
      <c r="I389" s="637"/>
      <c r="J389" s="637"/>
      <c r="K389" s="637"/>
      <c r="L389" s="637"/>
      <c r="M389" s="637"/>
      <c r="N389" s="637"/>
      <c r="O389" s="637"/>
      <c r="P389" s="637"/>
      <c r="Q389" s="637"/>
      <c r="R389" s="637"/>
      <c r="S389" s="637"/>
      <c r="T389" s="637"/>
      <c r="U389" s="637"/>
      <c r="V389" s="637"/>
      <c r="W389" s="637"/>
      <c r="X389" s="637"/>
      <c r="Y389" s="637"/>
      <c r="Z389" s="637"/>
      <c r="AA389" s="637"/>
      <c r="AB389" s="637"/>
      <c r="AC389" s="637"/>
      <c r="AD389" s="606"/>
      <c r="AE389" s="606"/>
      <c r="AF389" s="606"/>
      <c r="AG389" s="606"/>
    </row>
    <row r="390" spans="1:33" s="612" customFormat="1" hidden="1" outlineLevel="3" x14ac:dyDescent="0.2">
      <c r="A390" s="606"/>
      <c r="B390" s="606"/>
      <c r="C390" s="607"/>
      <c r="D390" s="608"/>
      <c r="E390" s="608"/>
      <c r="F390" s="608"/>
      <c r="G390" s="608"/>
      <c r="H390" s="609"/>
      <c r="I390" s="637"/>
      <c r="J390" s="637"/>
      <c r="K390" s="637"/>
      <c r="L390" s="637"/>
      <c r="M390" s="637"/>
      <c r="N390" s="637"/>
      <c r="O390" s="637"/>
      <c r="P390" s="637"/>
      <c r="Q390" s="637"/>
      <c r="R390" s="637"/>
      <c r="S390" s="637"/>
      <c r="T390" s="637"/>
      <c r="U390" s="637"/>
      <c r="V390" s="637"/>
      <c r="W390" s="637"/>
      <c r="X390" s="637"/>
      <c r="Y390" s="637"/>
      <c r="Z390" s="637"/>
      <c r="AA390" s="637"/>
      <c r="AB390" s="637"/>
      <c r="AC390" s="637"/>
      <c r="AD390" s="606"/>
      <c r="AE390" s="606"/>
      <c r="AF390" s="606"/>
      <c r="AG390" s="606"/>
    </row>
    <row r="391" spans="1:33" s="612" customFormat="1" hidden="1" outlineLevel="3" x14ac:dyDescent="0.2">
      <c r="A391" s="606"/>
      <c r="B391" s="606"/>
      <c r="C391" s="607"/>
      <c r="D391" s="608"/>
      <c r="E391" s="608"/>
      <c r="F391" s="608"/>
      <c r="G391" s="608"/>
      <c r="H391" s="609"/>
      <c r="I391" s="637"/>
      <c r="J391" s="637"/>
      <c r="K391" s="637"/>
      <c r="L391" s="637"/>
      <c r="M391" s="637"/>
      <c r="N391" s="637"/>
      <c r="O391" s="637"/>
      <c r="P391" s="637"/>
      <c r="Q391" s="637"/>
      <c r="R391" s="637"/>
      <c r="S391" s="637"/>
      <c r="T391" s="637"/>
      <c r="U391" s="637"/>
      <c r="V391" s="637"/>
      <c r="W391" s="637"/>
      <c r="X391" s="637"/>
      <c r="Y391" s="637"/>
      <c r="Z391" s="637"/>
      <c r="AA391" s="637"/>
      <c r="AB391" s="637"/>
      <c r="AC391" s="637"/>
      <c r="AD391" s="606"/>
      <c r="AE391" s="606"/>
      <c r="AF391" s="606"/>
      <c r="AG391" s="606"/>
    </row>
    <row r="392" spans="1:33" s="612" customFormat="1" hidden="1" outlineLevel="3" x14ac:dyDescent="0.2">
      <c r="A392" s="606"/>
      <c r="B392" s="606"/>
      <c r="C392" s="607"/>
      <c r="D392" s="608"/>
      <c r="E392" s="608"/>
      <c r="F392" s="608"/>
      <c r="G392" s="608"/>
      <c r="H392" s="609"/>
      <c r="I392" s="637"/>
      <c r="J392" s="637"/>
      <c r="K392" s="637"/>
      <c r="L392" s="637"/>
      <c r="M392" s="637"/>
      <c r="N392" s="637"/>
      <c r="O392" s="637"/>
      <c r="P392" s="637"/>
      <c r="Q392" s="637"/>
      <c r="R392" s="637"/>
      <c r="S392" s="637"/>
      <c r="T392" s="637"/>
      <c r="U392" s="637"/>
      <c r="V392" s="637"/>
      <c r="W392" s="637"/>
      <c r="X392" s="637"/>
      <c r="Y392" s="637"/>
      <c r="Z392" s="637"/>
      <c r="AA392" s="637"/>
      <c r="AB392" s="637"/>
      <c r="AC392" s="637"/>
      <c r="AD392" s="606"/>
      <c r="AE392" s="606"/>
      <c r="AF392" s="606"/>
      <c r="AG392" s="606"/>
    </row>
    <row r="393" spans="1:33" s="612" customFormat="1" hidden="1" outlineLevel="3" x14ac:dyDescent="0.2">
      <c r="A393" s="606"/>
      <c r="B393" s="606"/>
      <c r="C393" s="607"/>
      <c r="D393" s="608"/>
      <c r="E393" s="608"/>
      <c r="F393" s="608"/>
      <c r="G393" s="608"/>
      <c r="H393" s="609"/>
      <c r="I393" s="637"/>
      <c r="J393" s="637"/>
      <c r="K393" s="637"/>
      <c r="L393" s="637"/>
      <c r="M393" s="637"/>
      <c r="N393" s="637"/>
      <c r="O393" s="637"/>
      <c r="P393" s="637"/>
      <c r="Q393" s="637"/>
      <c r="R393" s="637"/>
      <c r="S393" s="637"/>
      <c r="T393" s="637"/>
      <c r="U393" s="637"/>
      <c r="V393" s="637"/>
      <c r="W393" s="637"/>
      <c r="X393" s="637"/>
      <c r="Y393" s="637"/>
      <c r="Z393" s="637"/>
      <c r="AA393" s="637"/>
      <c r="AB393" s="637"/>
      <c r="AC393" s="637"/>
      <c r="AD393" s="606"/>
      <c r="AE393" s="606"/>
      <c r="AF393" s="606"/>
      <c r="AG393" s="606"/>
    </row>
    <row r="394" spans="1:33" s="612" customFormat="1" hidden="1" outlineLevel="3" x14ac:dyDescent="0.2">
      <c r="A394" s="606"/>
      <c r="B394" s="606"/>
      <c r="C394" s="607"/>
      <c r="D394" s="608"/>
      <c r="E394" s="608"/>
      <c r="F394" s="608"/>
      <c r="G394" s="608"/>
      <c r="H394" s="609"/>
      <c r="I394" s="637"/>
      <c r="J394" s="637"/>
      <c r="K394" s="637"/>
      <c r="L394" s="637"/>
      <c r="M394" s="637"/>
      <c r="N394" s="637"/>
      <c r="O394" s="637"/>
      <c r="P394" s="637"/>
      <c r="Q394" s="637"/>
      <c r="R394" s="637"/>
      <c r="S394" s="637"/>
      <c r="T394" s="637"/>
      <c r="U394" s="637"/>
      <c r="V394" s="637"/>
      <c r="W394" s="637"/>
      <c r="X394" s="637"/>
      <c r="Y394" s="637"/>
      <c r="Z394" s="637"/>
      <c r="AA394" s="637"/>
      <c r="AB394" s="637"/>
      <c r="AC394" s="637"/>
      <c r="AD394" s="606"/>
      <c r="AE394" s="606"/>
      <c r="AF394" s="606"/>
      <c r="AG394" s="606"/>
    </row>
    <row r="395" spans="1:33" s="612" customFormat="1" hidden="1" outlineLevel="3" x14ac:dyDescent="0.2">
      <c r="A395" s="606"/>
      <c r="B395" s="606"/>
      <c r="C395" s="607"/>
      <c r="D395" s="608"/>
      <c r="E395" s="608"/>
      <c r="F395" s="608"/>
      <c r="G395" s="608"/>
      <c r="H395" s="609"/>
      <c r="I395" s="637"/>
      <c r="J395" s="637"/>
      <c r="K395" s="637"/>
      <c r="L395" s="637"/>
      <c r="M395" s="637"/>
      <c r="N395" s="637"/>
      <c r="O395" s="637"/>
      <c r="P395" s="637"/>
      <c r="Q395" s="637"/>
      <c r="R395" s="637"/>
      <c r="S395" s="637"/>
      <c r="T395" s="637"/>
      <c r="U395" s="637"/>
      <c r="V395" s="637"/>
      <c r="W395" s="637"/>
      <c r="X395" s="637"/>
      <c r="Y395" s="637"/>
      <c r="Z395" s="637"/>
      <c r="AA395" s="637"/>
      <c r="AB395" s="637"/>
      <c r="AC395" s="637"/>
      <c r="AD395" s="606"/>
      <c r="AE395" s="606"/>
      <c r="AF395" s="606"/>
      <c r="AG395" s="606"/>
    </row>
    <row r="396" spans="1:33" s="612" customFormat="1" hidden="1" outlineLevel="3" x14ac:dyDescent="0.2">
      <c r="A396" s="606"/>
      <c r="B396" s="606"/>
      <c r="C396" s="607"/>
      <c r="D396" s="608"/>
      <c r="E396" s="608"/>
      <c r="F396" s="608"/>
      <c r="G396" s="608"/>
      <c r="H396" s="609"/>
      <c r="I396" s="637"/>
      <c r="J396" s="637"/>
      <c r="K396" s="637"/>
      <c r="L396" s="637"/>
      <c r="M396" s="637"/>
      <c r="N396" s="637"/>
      <c r="O396" s="637"/>
      <c r="P396" s="637"/>
      <c r="Q396" s="637"/>
      <c r="R396" s="637"/>
      <c r="S396" s="637"/>
      <c r="T396" s="637"/>
      <c r="U396" s="637"/>
      <c r="V396" s="637"/>
      <c r="W396" s="637"/>
      <c r="X396" s="637"/>
      <c r="Y396" s="637"/>
      <c r="Z396" s="637"/>
      <c r="AA396" s="637"/>
      <c r="AB396" s="637"/>
      <c r="AC396" s="637"/>
      <c r="AD396" s="606"/>
      <c r="AE396" s="606"/>
      <c r="AF396" s="606"/>
      <c r="AG396" s="606"/>
    </row>
    <row r="397" spans="1:33" s="612" customFormat="1" hidden="1" outlineLevel="3" x14ac:dyDescent="0.2">
      <c r="A397" s="606"/>
      <c r="B397" s="606"/>
      <c r="C397" s="607"/>
      <c r="D397" s="608"/>
      <c r="E397" s="608"/>
      <c r="F397" s="608"/>
      <c r="G397" s="608"/>
      <c r="H397" s="609"/>
      <c r="I397" s="637"/>
      <c r="J397" s="637"/>
      <c r="K397" s="637"/>
      <c r="L397" s="637"/>
      <c r="M397" s="637"/>
      <c r="N397" s="637"/>
      <c r="O397" s="637"/>
      <c r="P397" s="637"/>
      <c r="Q397" s="637"/>
      <c r="R397" s="637"/>
      <c r="S397" s="637"/>
      <c r="T397" s="637"/>
      <c r="U397" s="637"/>
      <c r="V397" s="637"/>
      <c r="W397" s="637"/>
      <c r="X397" s="637"/>
      <c r="Y397" s="637"/>
      <c r="Z397" s="637"/>
      <c r="AA397" s="637"/>
      <c r="AB397" s="637"/>
      <c r="AC397" s="637"/>
      <c r="AD397" s="606"/>
      <c r="AE397" s="606"/>
      <c r="AF397" s="606"/>
      <c r="AG397" s="606"/>
    </row>
    <row r="398" spans="1:33" s="612" customFormat="1" hidden="1" outlineLevel="3" x14ac:dyDescent="0.2">
      <c r="A398" s="606"/>
      <c r="B398" s="606"/>
      <c r="C398" s="607"/>
      <c r="D398" s="608"/>
      <c r="E398" s="608"/>
      <c r="F398" s="608"/>
      <c r="G398" s="608"/>
      <c r="H398" s="609"/>
      <c r="I398" s="637"/>
      <c r="J398" s="637"/>
      <c r="K398" s="637"/>
      <c r="L398" s="637"/>
      <c r="M398" s="637"/>
      <c r="N398" s="637"/>
      <c r="O398" s="637"/>
      <c r="P398" s="637"/>
      <c r="Q398" s="637"/>
      <c r="R398" s="637"/>
      <c r="S398" s="637"/>
      <c r="T398" s="637"/>
      <c r="U398" s="637"/>
      <c r="V398" s="637"/>
      <c r="W398" s="637"/>
      <c r="X398" s="637"/>
      <c r="Y398" s="637"/>
      <c r="Z398" s="637"/>
      <c r="AA398" s="637"/>
      <c r="AB398" s="637"/>
      <c r="AC398" s="637"/>
      <c r="AD398" s="606"/>
      <c r="AE398" s="606"/>
      <c r="AF398" s="606"/>
      <c r="AG398" s="606"/>
    </row>
    <row r="399" spans="1:33" s="612" customFormat="1" hidden="1" outlineLevel="3" x14ac:dyDescent="0.2">
      <c r="A399" s="606"/>
      <c r="B399" s="606"/>
      <c r="C399" s="607"/>
      <c r="D399" s="608"/>
      <c r="E399" s="608"/>
      <c r="F399" s="608"/>
      <c r="G399" s="608"/>
      <c r="H399" s="609"/>
      <c r="I399" s="637"/>
      <c r="J399" s="637"/>
      <c r="K399" s="637"/>
      <c r="L399" s="637"/>
      <c r="M399" s="637"/>
      <c r="N399" s="637"/>
      <c r="O399" s="637"/>
      <c r="P399" s="637"/>
      <c r="Q399" s="637"/>
      <c r="R399" s="637"/>
      <c r="S399" s="637"/>
      <c r="T399" s="637"/>
      <c r="U399" s="637"/>
      <c r="V399" s="637"/>
      <c r="W399" s="637"/>
      <c r="X399" s="637"/>
      <c r="Y399" s="637"/>
      <c r="Z399" s="637"/>
      <c r="AA399" s="637"/>
      <c r="AB399" s="637"/>
      <c r="AC399" s="637"/>
      <c r="AD399" s="606"/>
      <c r="AE399" s="606"/>
      <c r="AF399" s="606"/>
      <c r="AG399" s="606"/>
    </row>
    <row r="400" spans="1:33" s="612" customFormat="1" hidden="1" outlineLevel="3" x14ac:dyDescent="0.2">
      <c r="A400" s="606"/>
      <c r="B400" s="606"/>
      <c r="C400" s="607"/>
      <c r="D400" s="608"/>
      <c r="E400" s="608"/>
      <c r="F400" s="608"/>
      <c r="G400" s="608"/>
      <c r="H400" s="609"/>
      <c r="I400" s="637"/>
      <c r="J400" s="637"/>
      <c r="K400" s="637"/>
      <c r="L400" s="637"/>
      <c r="M400" s="637"/>
      <c r="N400" s="637"/>
      <c r="O400" s="637"/>
      <c r="P400" s="637"/>
      <c r="Q400" s="637"/>
      <c r="R400" s="637"/>
      <c r="S400" s="637"/>
      <c r="T400" s="637"/>
      <c r="U400" s="637"/>
      <c r="V400" s="637"/>
      <c r="W400" s="637"/>
      <c r="X400" s="637"/>
      <c r="Y400" s="637"/>
      <c r="Z400" s="637"/>
      <c r="AA400" s="637"/>
      <c r="AB400" s="637"/>
      <c r="AC400" s="637"/>
      <c r="AD400" s="606"/>
      <c r="AE400" s="606"/>
      <c r="AF400" s="606"/>
      <c r="AG400" s="606"/>
    </row>
    <row r="401" spans="1:33" s="612" customFormat="1" hidden="1" outlineLevel="3" x14ac:dyDescent="0.2">
      <c r="A401" s="606"/>
      <c r="B401" s="606"/>
      <c r="C401" s="607"/>
      <c r="D401" s="608"/>
      <c r="E401" s="608"/>
      <c r="F401" s="608"/>
      <c r="G401" s="608"/>
      <c r="H401" s="609"/>
      <c r="I401" s="637"/>
      <c r="J401" s="637"/>
      <c r="K401" s="637"/>
      <c r="L401" s="637"/>
      <c r="M401" s="637"/>
      <c r="N401" s="637"/>
      <c r="O401" s="637"/>
      <c r="P401" s="637"/>
      <c r="Q401" s="637"/>
      <c r="R401" s="637"/>
      <c r="S401" s="637"/>
      <c r="T401" s="637"/>
      <c r="U401" s="637"/>
      <c r="V401" s="637"/>
      <c r="W401" s="637"/>
      <c r="X401" s="637"/>
      <c r="Y401" s="637"/>
      <c r="Z401" s="637"/>
      <c r="AA401" s="637"/>
      <c r="AB401" s="637"/>
      <c r="AC401" s="637"/>
      <c r="AD401" s="606"/>
      <c r="AE401" s="606"/>
      <c r="AF401" s="606"/>
      <c r="AG401" s="606"/>
    </row>
    <row r="402" spans="1:33" s="612" customFormat="1" hidden="1" outlineLevel="3" x14ac:dyDescent="0.2">
      <c r="A402" s="606"/>
      <c r="B402" s="606"/>
      <c r="C402" s="607"/>
      <c r="D402" s="608"/>
      <c r="E402" s="608"/>
      <c r="F402" s="608"/>
      <c r="G402" s="608"/>
      <c r="H402" s="609"/>
      <c r="I402" s="637"/>
      <c r="J402" s="637"/>
      <c r="K402" s="637"/>
      <c r="L402" s="637"/>
      <c r="M402" s="637"/>
      <c r="N402" s="637"/>
      <c r="O402" s="637"/>
      <c r="P402" s="637"/>
      <c r="Q402" s="637"/>
      <c r="R402" s="637"/>
      <c r="S402" s="637"/>
      <c r="T402" s="637"/>
      <c r="U402" s="637"/>
      <c r="V402" s="637"/>
      <c r="W402" s="637"/>
      <c r="X402" s="637"/>
      <c r="Y402" s="637"/>
      <c r="Z402" s="637"/>
      <c r="AA402" s="637"/>
      <c r="AB402" s="637"/>
      <c r="AC402" s="637"/>
      <c r="AD402" s="606"/>
      <c r="AE402" s="606"/>
      <c r="AF402" s="606"/>
      <c r="AG402" s="606"/>
    </row>
    <row r="403" spans="1:33" s="612" customFormat="1" hidden="1" outlineLevel="3" x14ac:dyDescent="0.2">
      <c r="A403" s="606"/>
      <c r="B403" s="606"/>
      <c r="C403" s="607"/>
      <c r="D403" s="608"/>
      <c r="E403" s="608"/>
      <c r="F403" s="608"/>
      <c r="G403" s="608"/>
      <c r="H403" s="609"/>
      <c r="I403" s="637"/>
      <c r="J403" s="637"/>
      <c r="K403" s="637"/>
      <c r="L403" s="637"/>
      <c r="M403" s="637"/>
      <c r="N403" s="637"/>
      <c r="O403" s="637"/>
      <c r="P403" s="637"/>
      <c r="Q403" s="637"/>
      <c r="R403" s="637"/>
      <c r="S403" s="637"/>
      <c r="T403" s="637"/>
      <c r="U403" s="637"/>
      <c r="V403" s="637"/>
      <c r="W403" s="637"/>
      <c r="X403" s="637"/>
      <c r="Y403" s="637"/>
      <c r="Z403" s="637"/>
      <c r="AA403" s="637"/>
      <c r="AB403" s="637"/>
      <c r="AC403" s="637"/>
      <c r="AD403" s="606"/>
      <c r="AE403" s="606"/>
      <c r="AF403" s="606"/>
      <c r="AG403" s="606"/>
    </row>
    <row r="404" spans="1:33" s="612" customFormat="1" hidden="1" outlineLevel="3" x14ac:dyDescent="0.2">
      <c r="A404" s="606"/>
      <c r="B404" s="606"/>
      <c r="C404" s="607"/>
      <c r="D404" s="608"/>
      <c r="E404" s="608"/>
      <c r="F404" s="608"/>
      <c r="G404" s="608"/>
      <c r="H404" s="609"/>
      <c r="I404" s="637"/>
      <c r="J404" s="637"/>
      <c r="K404" s="637"/>
      <c r="L404" s="637"/>
      <c r="M404" s="637"/>
      <c r="N404" s="637"/>
      <c r="O404" s="637"/>
      <c r="P404" s="637"/>
      <c r="Q404" s="637"/>
      <c r="R404" s="637"/>
      <c r="S404" s="637"/>
      <c r="T404" s="637"/>
      <c r="U404" s="637"/>
      <c r="V404" s="637"/>
      <c r="W404" s="637"/>
      <c r="X404" s="637"/>
      <c r="Y404" s="637"/>
      <c r="Z404" s="637"/>
      <c r="AA404" s="637"/>
      <c r="AB404" s="637"/>
      <c r="AC404" s="637"/>
      <c r="AD404" s="606"/>
      <c r="AE404" s="606"/>
      <c r="AF404" s="606"/>
      <c r="AG404" s="606"/>
    </row>
    <row r="405" spans="1:33" s="612" customFormat="1" hidden="1" outlineLevel="3" x14ac:dyDescent="0.2">
      <c r="A405" s="606"/>
      <c r="B405" s="606"/>
      <c r="C405" s="607"/>
      <c r="D405" s="608"/>
      <c r="E405" s="608"/>
      <c r="F405" s="608"/>
      <c r="G405" s="608"/>
      <c r="H405" s="609"/>
      <c r="I405" s="637"/>
      <c r="J405" s="637"/>
      <c r="K405" s="637"/>
      <c r="L405" s="637"/>
      <c r="M405" s="637"/>
      <c r="N405" s="637"/>
      <c r="O405" s="637"/>
      <c r="P405" s="637"/>
      <c r="Q405" s="637"/>
      <c r="R405" s="637"/>
      <c r="S405" s="637"/>
      <c r="T405" s="637"/>
      <c r="U405" s="637"/>
      <c r="V405" s="637"/>
      <c r="W405" s="637"/>
      <c r="X405" s="637"/>
      <c r="Y405" s="637"/>
      <c r="Z405" s="637"/>
      <c r="AA405" s="637"/>
      <c r="AB405" s="637"/>
      <c r="AC405" s="637"/>
      <c r="AD405" s="606"/>
      <c r="AE405" s="606"/>
      <c r="AF405" s="606"/>
      <c r="AG405" s="606"/>
    </row>
    <row r="406" spans="1:33" s="612" customFormat="1" hidden="1" outlineLevel="3" x14ac:dyDescent="0.2">
      <c r="A406" s="606"/>
      <c r="B406" s="606"/>
      <c r="C406" s="607"/>
      <c r="D406" s="608"/>
      <c r="E406" s="608"/>
      <c r="F406" s="608"/>
      <c r="G406" s="608"/>
      <c r="H406" s="609"/>
      <c r="I406" s="637"/>
      <c r="J406" s="637"/>
      <c r="K406" s="637"/>
      <c r="L406" s="637"/>
      <c r="M406" s="637"/>
      <c r="N406" s="637"/>
      <c r="O406" s="637"/>
      <c r="P406" s="637"/>
      <c r="Q406" s="637"/>
      <c r="R406" s="637"/>
      <c r="S406" s="637"/>
      <c r="T406" s="637"/>
      <c r="U406" s="637"/>
      <c r="V406" s="637"/>
      <c r="W406" s="637"/>
      <c r="X406" s="637"/>
      <c r="Y406" s="637"/>
      <c r="Z406" s="637"/>
      <c r="AA406" s="637"/>
      <c r="AB406" s="637"/>
      <c r="AC406" s="637"/>
      <c r="AD406" s="606"/>
      <c r="AE406" s="606"/>
      <c r="AF406" s="606"/>
      <c r="AG406" s="606"/>
    </row>
    <row r="407" spans="1:33" s="612" customFormat="1" hidden="1" outlineLevel="3" x14ac:dyDescent="0.2">
      <c r="A407" s="606"/>
      <c r="B407" s="606"/>
      <c r="C407" s="607"/>
      <c r="D407" s="608"/>
      <c r="E407" s="608"/>
      <c r="F407" s="608"/>
      <c r="G407" s="608"/>
      <c r="H407" s="609"/>
      <c r="I407" s="637"/>
      <c r="J407" s="637"/>
      <c r="K407" s="637"/>
      <c r="L407" s="637"/>
      <c r="M407" s="637"/>
      <c r="N407" s="637"/>
      <c r="O407" s="637"/>
      <c r="P407" s="637"/>
      <c r="Q407" s="637"/>
      <c r="R407" s="637"/>
      <c r="S407" s="637"/>
      <c r="T407" s="637"/>
      <c r="U407" s="637"/>
      <c r="V407" s="637"/>
      <c r="W407" s="637"/>
      <c r="X407" s="637"/>
      <c r="Y407" s="637"/>
      <c r="Z407" s="637"/>
      <c r="AA407" s="637"/>
      <c r="AB407" s="637"/>
      <c r="AC407" s="637"/>
      <c r="AD407" s="606"/>
      <c r="AE407" s="606"/>
      <c r="AF407" s="606"/>
      <c r="AG407" s="606"/>
    </row>
    <row r="408" spans="1:33" s="612" customFormat="1" hidden="1" outlineLevel="3" x14ac:dyDescent="0.2">
      <c r="A408" s="606"/>
      <c r="B408" s="606"/>
      <c r="C408" s="607"/>
      <c r="D408" s="608"/>
      <c r="E408" s="608"/>
      <c r="F408" s="608"/>
      <c r="G408" s="608"/>
      <c r="H408" s="609"/>
      <c r="I408" s="637"/>
      <c r="J408" s="637"/>
      <c r="K408" s="637"/>
      <c r="L408" s="637"/>
      <c r="M408" s="637"/>
      <c r="N408" s="637"/>
      <c r="O408" s="637"/>
      <c r="P408" s="637"/>
      <c r="Q408" s="637"/>
      <c r="R408" s="637"/>
      <c r="S408" s="637"/>
      <c r="T408" s="637"/>
      <c r="U408" s="637"/>
      <c r="V408" s="637"/>
      <c r="W408" s="637"/>
      <c r="X408" s="637"/>
      <c r="Y408" s="637"/>
      <c r="Z408" s="637"/>
      <c r="AA408" s="637"/>
      <c r="AB408" s="637"/>
      <c r="AC408" s="637"/>
      <c r="AD408" s="606"/>
      <c r="AE408" s="606"/>
      <c r="AF408" s="606"/>
      <c r="AG408" s="606"/>
    </row>
    <row r="409" spans="1:33" s="612" customFormat="1" hidden="1" outlineLevel="3" x14ac:dyDescent="0.2">
      <c r="A409" s="606"/>
      <c r="B409" s="606"/>
      <c r="C409" s="607"/>
      <c r="D409" s="608"/>
      <c r="E409" s="608"/>
      <c r="F409" s="608"/>
      <c r="G409" s="608"/>
      <c r="H409" s="609"/>
      <c r="I409" s="637"/>
      <c r="J409" s="637"/>
      <c r="K409" s="637"/>
      <c r="L409" s="637"/>
      <c r="M409" s="637"/>
      <c r="N409" s="637"/>
      <c r="O409" s="637"/>
      <c r="P409" s="637"/>
      <c r="Q409" s="637"/>
      <c r="R409" s="637"/>
      <c r="S409" s="637"/>
      <c r="T409" s="637"/>
      <c r="U409" s="637"/>
      <c r="V409" s="637"/>
      <c r="W409" s="637"/>
      <c r="X409" s="637"/>
      <c r="Y409" s="637"/>
      <c r="Z409" s="637"/>
      <c r="AA409" s="637"/>
      <c r="AB409" s="637"/>
      <c r="AC409" s="637"/>
      <c r="AD409" s="606"/>
      <c r="AE409" s="606"/>
      <c r="AF409" s="606"/>
      <c r="AG409" s="606"/>
    </row>
    <row r="410" spans="1:33" s="612" customFormat="1" hidden="1" outlineLevel="3" x14ac:dyDescent="0.2">
      <c r="A410" s="606"/>
      <c r="B410" s="606"/>
      <c r="C410" s="607"/>
      <c r="D410" s="608"/>
      <c r="E410" s="608"/>
      <c r="F410" s="608"/>
      <c r="G410" s="608"/>
      <c r="H410" s="609"/>
      <c r="I410" s="637"/>
      <c r="J410" s="637"/>
      <c r="K410" s="637"/>
      <c r="L410" s="637"/>
      <c r="M410" s="637"/>
      <c r="N410" s="637"/>
      <c r="O410" s="637"/>
      <c r="P410" s="637"/>
      <c r="Q410" s="637"/>
      <c r="R410" s="637"/>
      <c r="S410" s="637"/>
      <c r="T410" s="637"/>
      <c r="U410" s="637"/>
      <c r="V410" s="637"/>
      <c r="W410" s="637"/>
      <c r="X410" s="637"/>
      <c r="Y410" s="637"/>
      <c r="Z410" s="637"/>
      <c r="AA410" s="637"/>
      <c r="AB410" s="637"/>
      <c r="AC410" s="637"/>
      <c r="AD410" s="606"/>
      <c r="AE410" s="606"/>
      <c r="AF410" s="606"/>
      <c r="AG410" s="606"/>
    </row>
    <row r="411" spans="1:33" s="612" customFormat="1" hidden="1" outlineLevel="3" x14ac:dyDescent="0.2">
      <c r="A411" s="606"/>
      <c r="B411" s="606"/>
      <c r="C411" s="607"/>
      <c r="D411" s="608"/>
      <c r="E411" s="608"/>
      <c r="F411" s="608"/>
      <c r="G411" s="608"/>
      <c r="H411" s="609"/>
      <c r="I411" s="637"/>
      <c r="J411" s="637"/>
      <c r="K411" s="637"/>
      <c r="L411" s="637"/>
      <c r="M411" s="637"/>
      <c r="N411" s="637"/>
      <c r="O411" s="637"/>
      <c r="P411" s="637"/>
      <c r="Q411" s="637"/>
      <c r="R411" s="637"/>
      <c r="S411" s="637"/>
      <c r="T411" s="637"/>
      <c r="U411" s="637"/>
      <c r="V411" s="637"/>
      <c r="W411" s="637"/>
      <c r="X411" s="637"/>
      <c r="Y411" s="637"/>
      <c r="Z411" s="637"/>
      <c r="AA411" s="637"/>
      <c r="AB411" s="637"/>
      <c r="AC411" s="637"/>
      <c r="AD411" s="606"/>
      <c r="AE411" s="606"/>
      <c r="AF411" s="606"/>
      <c r="AG411" s="606"/>
    </row>
    <row r="412" spans="1:33" s="612" customFormat="1" hidden="1" outlineLevel="3" x14ac:dyDescent="0.2">
      <c r="A412" s="606"/>
      <c r="B412" s="606"/>
      <c r="C412" s="607"/>
      <c r="D412" s="608"/>
      <c r="E412" s="608"/>
      <c r="F412" s="608"/>
      <c r="G412" s="608"/>
      <c r="H412" s="609"/>
      <c r="I412" s="637"/>
      <c r="J412" s="637"/>
      <c r="K412" s="637"/>
      <c r="L412" s="637"/>
      <c r="M412" s="637"/>
      <c r="N412" s="637"/>
      <c r="O412" s="637"/>
      <c r="P412" s="637"/>
      <c r="Q412" s="637"/>
      <c r="R412" s="637"/>
      <c r="S412" s="637"/>
      <c r="T412" s="637"/>
      <c r="U412" s="637"/>
      <c r="V412" s="637"/>
      <c r="W412" s="637"/>
      <c r="X412" s="637"/>
      <c r="Y412" s="637"/>
      <c r="Z412" s="637"/>
      <c r="AA412" s="637"/>
      <c r="AB412" s="637"/>
      <c r="AC412" s="637"/>
      <c r="AD412" s="606"/>
      <c r="AE412" s="606"/>
      <c r="AF412" s="606"/>
      <c r="AG412" s="606"/>
    </row>
    <row r="413" spans="1:33" s="612" customFormat="1" hidden="1" outlineLevel="3" x14ac:dyDescent="0.2">
      <c r="A413" s="606"/>
      <c r="B413" s="606"/>
      <c r="C413" s="607"/>
      <c r="D413" s="608"/>
      <c r="E413" s="608"/>
      <c r="F413" s="608"/>
      <c r="G413" s="608"/>
      <c r="H413" s="609"/>
      <c r="I413" s="637"/>
      <c r="J413" s="637"/>
      <c r="K413" s="637"/>
      <c r="L413" s="637"/>
      <c r="M413" s="637"/>
      <c r="N413" s="637"/>
      <c r="O413" s="637"/>
      <c r="P413" s="637"/>
      <c r="Q413" s="637"/>
      <c r="R413" s="637"/>
      <c r="S413" s="637"/>
      <c r="T413" s="637"/>
      <c r="U413" s="637"/>
      <c r="V413" s="637"/>
      <c r="W413" s="637"/>
      <c r="X413" s="637"/>
      <c r="Y413" s="637"/>
      <c r="Z413" s="637"/>
      <c r="AA413" s="637"/>
      <c r="AB413" s="637"/>
      <c r="AC413" s="637"/>
      <c r="AD413" s="606"/>
      <c r="AE413" s="606"/>
      <c r="AF413" s="606"/>
      <c r="AG413" s="606"/>
    </row>
    <row r="414" spans="1:33" s="612" customFormat="1" hidden="1" outlineLevel="3" x14ac:dyDescent="0.2">
      <c r="A414" s="606"/>
      <c r="B414" s="606"/>
      <c r="C414" s="607"/>
      <c r="D414" s="608"/>
      <c r="E414" s="608"/>
      <c r="F414" s="608"/>
      <c r="G414" s="608"/>
      <c r="H414" s="609"/>
      <c r="I414" s="637"/>
      <c r="J414" s="637"/>
      <c r="K414" s="637"/>
      <c r="L414" s="637"/>
      <c r="M414" s="637"/>
      <c r="N414" s="637"/>
      <c r="O414" s="637"/>
      <c r="P414" s="637"/>
      <c r="Q414" s="637"/>
      <c r="R414" s="637"/>
      <c r="S414" s="637"/>
      <c r="T414" s="637"/>
      <c r="U414" s="637"/>
      <c r="V414" s="637"/>
      <c r="W414" s="637"/>
      <c r="X414" s="637"/>
      <c r="Y414" s="637"/>
      <c r="Z414" s="637"/>
      <c r="AA414" s="637"/>
      <c r="AB414" s="637"/>
      <c r="AC414" s="637"/>
      <c r="AD414" s="606"/>
      <c r="AE414" s="606"/>
      <c r="AF414" s="606"/>
      <c r="AG414" s="606"/>
    </row>
    <row r="415" spans="1:33" s="612" customFormat="1" hidden="1" outlineLevel="3" x14ac:dyDescent="0.2">
      <c r="A415" s="606"/>
      <c r="B415" s="606"/>
      <c r="C415" s="607"/>
      <c r="D415" s="608"/>
      <c r="E415" s="608"/>
      <c r="F415" s="608"/>
      <c r="G415" s="608"/>
      <c r="H415" s="609"/>
      <c r="I415" s="637"/>
      <c r="J415" s="637"/>
      <c r="K415" s="637"/>
      <c r="L415" s="637"/>
      <c r="M415" s="637"/>
      <c r="N415" s="637"/>
      <c r="O415" s="637"/>
      <c r="P415" s="637"/>
      <c r="Q415" s="637"/>
      <c r="R415" s="637"/>
      <c r="S415" s="637"/>
      <c r="T415" s="637"/>
      <c r="U415" s="637"/>
      <c r="V415" s="637"/>
      <c r="W415" s="637"/>
      <c r="X415" s="637"/>
      <c r="Y415" s="637"/>
      <c r="Z415" s="637"/>
      <c r="AA415" s="637"/>
      <c r="AB415" s="637"/>
      <c r="AC415" s="637"/>
      <c r="AD415" s="606"/>
      <c r="AE415" s="606"/>
      <c r="AF415" s="606"/>
      <c r="AG415" s="606"/>
    </row>
    <row r="416" spans="1:33" s="612" customFormat="1" hidden="1" outlineLevel="3" x14ac:dyDescent="0.2">
      <c r="A416" s="606"/>
      <c r="B416" s="606"/>
      <c r="C416" s="607"/>
      <c r="D416" s="608"/>
      <c r="E416" s="608"/>
      <c r="F416" s="608"/>
      <c r="G416" s="608"/>
      <c r="H416" s="609"/>
      <c r="I416" s="637"/>
      <c r="J416" s="637"/>
      <c r="K416" s="637"/>
      <c r="L416" s="637"/>
      <c r="M416" s="637"/>
      <c r="N416" s="637"/>
      <c r="O416" s="637"/>
      <c r="P416" s="637"/>
      <c r="Q416" s="637"/>
      <c r="R416" s="637"/>
      <c r="S416" s="637"/>
      <c r="T416" s="637"/>
      <c r="U416" s="637"/>
      <c r="V416" s="637"/>
      <c r="W416" s="637"/>
      <c r="X416" s="637"/>
      <c r="Y416" s="637"/>
      <c r="Z416" s="637"/>
      <c r="AA416" s="637"/>
      <c r="AB416" s="637"/>
      <c r="AC416" s="637"/>
      <c r="AD416" s="606"/>
      <c r="AE416" s="606"/>
      <c r="AF416" s="606"/>
      <c r="AG416" s="606"/>
    </row>
    <row r="417" spans="1:33" s="612" customFormat="1" hidden="1" outlineLevel="3" x14ac:dyDescent="0.2">
      <c r="A417" s="606"/>
      <c r="B417" s="606"/>
      <c r="C417" s="607"/>
      <c r="D417" s="608"/>
      <c r="E417" s="608"/>
      <c r="F417" s="608"/>
      <c r="G417" s="608"/>
      <c r="H417" s="609"/>
      <c r="I417" s="637"/>
      <c r="J417" s="637"/>
      <c r="K417" s="637"/>
      <c r="L417" s="637"/>
      <c r="M417" s="637"/>
      <c r="N417" s="637"/>
      <c r="O417" s="637"/>
      <c r="P417" s="637"/>
      <c r="Q417" s="637"/>
      <c r="R417" s="637"/>
      <c r="S417" s="637"/>
      <c r="T417" s="637"/>
      <c r="U417" s="637"/>
      <c r="V417" s="637"/>
      <c r="W417" s="637"/>
      <c r="X417" s="637"/>
      <c r="Y417" s="637"/>
      <c r="Z417" s="637"/>
      <c r="AA417" s="637"/>
      <c r="AB417" s="637"/>
      <c r="AC417" s="637"/>
      <c r="AD417" s="606"/>
      <c r="AE417" s="606"/>
      <c r="AF417" s="606"/>
      <c r="AG417" s="606"/>
    </row>
    <row r="418" spans="1:33" s="612" customFormat="1" hidden="1" outlineLevel="3" x14ac:dyDescent="0.2">
      <c r="A418" s="606"/>
      <c r="B418" s="606"/>
      <c r="C418" s="607"/>
      <c r="D418" s="608"/>
      <c r="E418" s="608"/>
      <c r="F418" s="608"/>
      <c r="G418" s="608"/>
      <c r="H418" s="609"/>
      <c r="I418" s="637"/>
      <c r="J418" s="637"/>
      <c r="K418" s="637"/>
      <c r="L418" s="637"/>
      <c r="M418" s="637"/>
      <c r="N418" s="637"/>
      <c r="O418" s="637"/>
      <c r="P418" s="637"/>
      <c r="Q418" s="637"/>
      <c r="R418" s="637"/>
      <c r="S418" s="637"/>
      <c r="T418" s="637"/>
      <c r="U418" s="637"/>
      <c r="V418" s="637"/>
      <c r="W418" s="637"/>
      <c r="X418" s="637"/>
      <c r="Y418" s="637"/>
      <c r="Z418" s="637"/>
      <c r="AA418" s="637"/>
      <c r="AB418" s="637"/>
      <c r="AC418" s="637"/>
      <c r="AD418" s="606"/>
      <c r="AE418" s="606"/>
      <c r="AF418" s="606"/>
      <c r="AG418" s="606"/>
    </row>
    <row r="419" spans="1:33" s="612" customFormat="1" hidden="1" outlineLevel="3" x14ac:dyDescent="0.2">
      <c r="A419" s="606"/>
      <c r="B419" s="606"/>
      <c r="C419" s="607"/>
      <c r="D419" s="608"/>
      <c r="E419" s="608"/>
      <c r="F419" s="608"/>
      <c r="G419" s="608"/>
      <c r="H419" s="609"/>
      <c r="I419" s="637"/>
      <c r="J419" s="637"/>
      <c r="K419" s="637"/>
      <c r="L419" s="637"/>
      <c r="M419" s="637"/>
      <c r="N419" s="637"/>
      <c r="O419" s="637"/>
      <c r="P419" s="637"/>
      <c r="Q419" s="637"/>
      <c r="R419" s="637"/>
      <c r="S419" s="637"/>
      <c r="T419" s="637"/>
      <c r="U419" s="637"/>
      <c r="V419" s="637"/>
      <c r="W419" s="637"/>
      <c r="X419" s="637"/>
      <c r="Y419" s="637"/>
      <c r="Z419" s="637"/>
      <c r="AA419" s="637"/>
      <c r="AB419" s="637"/>
      <c r="AC419" s="637"/>
      <c r="AD419" s="606"/>
      <c r="AE419" s="606"/>
      <c r="AF419" s="606"/>
      <c r="AG419" s="606"/>
    </row>
    <row r="420" spans="1:33" s="612" customFormat="1" hidden="1" outlineLevel="3" x14ac:dyDescent="0.2">
      <c r="A420" s="606"/>
      <c r="B420" s="606"/>
      <c r="C420" s="607"/>
      <c r="D420" s="608"/>
      <c r="E420" s="608"/>
      <c r="F420" s="608"/>
      <c r="G420" s="608"/>
      <c r="H420" s="609"/>
      <c r="I420" s="637"/>
      <c r="J420" s="637"/>
      <c r="K420" s="637"/>
      <c r="L420" s="637"/>
      <c r="M420" s="637"/>
      <c r="N420" s="637"/>
      <c r="O420" s="637"/>
      <c r="P420" s="637"/>
      <c r="Q420" s="637"/>
      <c r="R420" s="637"/>
      <c r="S420" s="637"/>
      <c r="T420" s="637"/>
      <c r="U420" s="637"/>
      <c r="V420" s="637"/>
      <c r="W420" s="637"/>
      <c r="X420" s="637"/>
      <c r="Y420" s="637"/>
      <c r="Z420" s="637"/>
      <c r="AA420" s="637"/>
      <c r="AB420" s="637"/>
      <c r="AC420" s="637"/>
      <c r="AD420" s="606"/>
      <c r="AE420" s="606"/>
      <c r="AF420" s="606"/>
      <c r="AG420" s="606"/>
    </row>
    <row r="421" spans="1:33" s="612" customFormat="1" hidden="1" outlineLevel="3" x14ac:dyDescent="0.2">
      <c r="A421" s="606"/>
      <c r="B421" s="606"/>
      <c r="C421" s="607"/>
      <c r="D421" s="608"/>
      <c r="E421" s="608"/>
      <c r="F421" s="608"/>
      <c r="G421" s="608"/>
      <c r="H421" s="609"/>
      <c r="I421" s="637"/>
      <c r="J421" s="637"/>
      <c r="K421" s="637"/>
      <c r="L421" s="637"/>
      <c r="M421" s="637"/>
      <c r="N421" s="637"/>
      <c r="O421" s="637"/>
      <c r="P421" s="637"/>
      <c r="Q421" s="637"/>
      <c r="R421" s="637"/>
      <c r="S421" s="637"/>
      <c r="T421" s="637"/>
      <c r="U421" s="637"/>
      <c r="V421" s="637"/>
      <c r="W421" s="637"/>
      <c r="X421" s="637"/>
      <c r="Y421" s="637"/>
      <c r="Z421" s="637"/>
      <c r="AA421" s="637"/>
      <c r="AB421" s="637"/>
      <c r="AC421" s="637"/>
      <c r="AD421" s="606"/>
      <c r="AE421" s="606"/>
      <c r="AF421" s="606"/>
      <c r="AG421" s="606"/>
    </row>
    <row r="422" spans="1:33" s="612" customFormat="1" hidden="1" outlineLevel="3" x14ac:dyDescent="0.2">
      <c r="A422" s="606"/>
      <c r="B422" s="606"/>
      <c r="C422" s="607"/>
      <c r="D422" s="608"/>
      <c r="E422" s="608"/>
      <c r="F422" s="608"/>
      <c r="G422" s="608"/>
      <c r="H422" s="609"/>
      <c r="I422" s="637"/>
      <c r="J422" s="637"/>
      <c r="K422" s="637"/>
      <c r="L422" s="637"/>
      <c r="M422" s="637"/>
      <c r="N422" s="637"/>
      <c r="O422" s="637"/>
      <c r="P422" s="637"/>
      <c r="Q422" s="637"/>
      <c r="R422" s="637"/>
      <c r="S422" s="637"/>
      <c r="T422" s="637"/>
      <c r="U422" s="637"/>
      <c r="V422" s="637"/>
      <c r="W422" s="637"/>
      <c r="X422" s="637"/>
      <c r="Y422" s="637"/>
      <c r="Z422" s="637"/>
      <c r="AA422" s="637"/>
      <c r="AB422" s="637"/>
      <c r="AC422" s="637"/>
      <c r="AD422" s="606"/>
      <c r="AE422" s="606"/>
      <c r="AF422" s="606"/>
      <c r="AG422" s="606"/>
    </row>
    <row r="423" spans="1:33" s="612" customFormat="1" hidden="1" outlineLevel="3" x14ac:dyDescent="0.2">
      <c r="A423" s="606"/>
      <c r="B423" s="606"/>
      <c r="C423" s="607"/>
      <c r="D423" s="608"/>
      <c r="E423" s="608"/>
      <c r="F423" s="608"/>
      <c r="G423" s="608"/>
      <c r="H423" s="609"/>
      <c r="I423" s="637"/>
      <c r="J423" s="637"/>
      <c r="K423" s="637"/>
      <c r="L423" s="637"/>
      <c r="M423" s="637"/>
      <c r="N423" s="637"/>
      <c r="O423" s="637"/>
      <c r="P423" s="637"/>
      <c r="Q423" s="637"/>
      <c r="R423" s="637"/>
      <c r="S423" s="637"/>
      <c r="T423" s="637"/>
      <c r="U423" s="637"/>
      <c r="V423" s="637"/>
      <c r="W423" s="637"/>
      <c r="X423" s="637"/>
      <c r="Y423" s="637"/>
      <c r="Z423" s="637"/>
      <c r="AA423" s="637"/>
      <c r="AB423" s="637"/>
      <c r="AC423" s="637"/>
      <c r="AD423" s="606"/>
      <c r="AE423" s="606"/>
      <c r="AF423" s="606"/>
      <c r="AG423" s="606"/>
    </row>
    <row r="424" spans="1:33" s="612" customFormat="1" hidden="1" outlineLevel="3" x14ac:dyDescent="0.2">
      <c r="A424" s="606"/>
      <c r="B424" s="606"/>
      <c r="C424" s="607"/>
      <c r="D424" s="608"/>
      <c r="E424" s="608"/>
      <c r="F424" s="608"/>
      <c r="G424" s="608"/>
      <c r="H424" s="609"/>
      <c r="I424" s="637"/>
      <c r="J424" s="637"/>
      <c r="K424" s="637"/>
      <c r="L424" s="637"/>
      <c r="M424" s="637"/>
      <c r="N424" s="637"/>
      <c r="O424" s="637"/>
      <c r="P424" s="637"/>
      <c r="Q424" s="637"/>
      <c r="R424" s="637"/>
      <c r="S424" s="637"/>
      <c r="T424" s="637"/>
      <c r="U424" s="637"/>
      <c r="V424" s="637"/>
      <c r="W424" s="637"/>
      <c r="X424" s="637"/>
      <c r="Y424" s="637"/>
      <c r="Z424" s="637"/>
      <c r="AA424" s="637"/>
      <c r="AB424" s="637"/>
      <c r="AC424" s="637"/>
      <c r="AD424" s="606"/>
      <c r="AE424" s="606"/>
      <c r="AF424" s="606"/>
      <c r="AG424" s="606"/>
    </row>
    <row r="425" spans="1:33" s="612" customFormat="1" hidden="1" outlineLevel="3" x14ac:dyDescent="0.2">
      <c r="A425" s="606"/>
      <c r="B425" s="606"/>
      <c r="C425" s="607"/>
      <c r="D425" s="608"/>
      <c r="E425" s="608"/>
      <c r="F425" s="608"/>
      <c r="G425" s="608"/>
      <c r="H425" s="609"/>
      <c r="I425" s="637"/>
      <c r="J425" s="637"/>
      <c r="K425" s="637"/>
      <c r="L425" s="637"/>
      <c r="M425" s="637"/>
      <c r="N425" s="637"/>
      <c r="O425" s="637"/>
      <c r="P425" s="637"/>
      <c r="Q425" s="637"/>
      <c r="R425" s="637"/>
      <c r="S425" s="637"/>
      <c r="T425" s="637"/>
      <c r="U425" s="637"/>
      <c r="V425" s="637"/>
      <c r="W425" s="637"/>
      <c r="X425" s="637"/>
      <c r="Y425" s="637"/>
      <c r="Z425" s="637"/>
      <c r="AA425" s="637"/>
      <c r="AB425" s="637"/>
      <c r="AC425" s="637"/>
      <c r="AD425" s="606"/>
      <c r="AE425" s="606"/>
      <c r="AF425" s="606"/>
      <c r="AG425" s="606"/>
    </row>
    <row r="426" spans="1:33" s="612" customFormat="1" hidden="1" outlineLevel="3" x14ac:dyDescent="0.2">
      <c r="A426" s="606"/>
      <c r="B426" s="606"/>
      <c r="C426" s="607"/>
      <c r="D426" s="608"/>
      <c r="E426" s="608"/>
      <c r="F426" s="608"/>
      <c r="G426" s="608"/>
      <c r="H426" s="609"/>
      <c r="I426" s="637"/>
      <c r="J426" s="637"/>
      <c r="K426" s="637"/>
      <c r="L426" s="637"/>
      <c r="M426" s="637"/>
      <c r="N426" s="637"/>
      <c r="O426" s="637"/>
      <c r="P426" s="637"/>
      <c r="Q426" s="637"/>
      <c r="R426" s="637"/>
      <c r="S426" s="637"/>
      <c r="T426" s="637"/>
      <c r="U426" s="637"/>
      <c r="V426" s="637"/>
      <c r="W426" s="637"/>
      <c r="X426" s="637"/>
      <c r="Y426" s="637"/>
      <c r="Z426" s="637"/>
      <c r="AA426" s="637"/>
      <c r="AB426" s="637"/>
      <c r="AC426" s="637"/>
      <c r="AD426" s="606"/>
      <c r="AE426" s="606"/>
      <c r="AF426" s="606"/>
      <c r="AG426" s="606"/>
    </row>
    <row r="427" spans="1:33" s="612" customFormat="1" hidden="1" outlineLevel="3" x14ac:dyDescent="0.2">
      <c r="A427" s="606"/>
      <c r="B427" s="606"/>
      <c r="C427" s="607"/>
      <c r="D427" s="608"/>
      <c r="E427" s="608"/>
      <c r="F427" s="608"/>
      <c r="G427" s="608"/>
      <c r="H427" s="609"/>
      <c r="I427" s="637"/>
      <c r="J427" s="637"/>
      <c r="K427" s="637"/>
      <c r="L427" s="637"/>
      <c r="M427" s="637"/>
      <c r="N427" s="637"/>
      <c r="O427" s="637"/>
      <c r="P427" s="637"/>
      <c r="Q427" s="637"/>
      <c r="R427" s="637"/>
      <c r="S427" s="637"/>
      <c r="T427" s="637"/>
      <c r="U427" s="637"/>
      <c r="V427" s="637"/>
      <c r="W427" s="637"/>
      <c r="X427" s="637"/>
      <c r="Y427" s="637"/>
      <c r="Z427" s="637"/>
      <c r="AA427" s="637"/>
      <c r="AB427" s="637"/>
      <c r="AC427" s="637"/>
      <c r="AD427" s="606"/>
      <c r="AE427" s="606"/>
      <c r="AF427" s="606"/>
      <c r="AG427" s="606"/>
    </row>
    <row r="428" spans="1:33" s="612" customFormat="1" hidden="1" outlineLevel="3" x14ac:dyDescent="0.2">
      <c r="A428" s="606"/>
      <c r="B428" s="606"/>
      <c r="C428" s="607"/>
      <c r="D428" s="608"/>
      <c r="E428" s="608"/>
      <c r="F428" s="608"/>
      <c r="G428" s="608"/>
      <c r="H428" s="609"/>
      <c r="I428" s="637"/>
      <c r="J428" s="637"/>
      <c r="K428" s="637"/>
      <c r="L428" s="637"/>
      <c r="M428" s="637"/>
      <c r="N428" s="637"/>
      <c r="O428" s="637"/>
      <c r="P428" s="637"/>
      <c r="Q428" s="637"/>
      <c r="R428" s="637"/>
      <c r="S428" s="637"/>
      <c r="T428" s="637"/>
      <c r="U428" s="637"/>
      <c r="V428" s="637"/>
      <c r="W428" s="637"/>
      <c r="X428" s="637"/>
      <c r="Y428" s="637"/>
      <c r="Z428" s="637"/>
      <c r="AA428" s="637"/>
      <c r="AB428" s="637"/>
      <c r="AC428" s="637"/>
      <c r="AD428" s="606"/>
      <c r="AE428" s="606"/>
      <c r="AF428" s="606"/>
      <c r="AG428" s="606"/>
    </row>
    <row r="429" spans="1:33" s="612" customFormat="1" hidden="1" outlineLevel="3" x14ac:dyDescent="0.2">
      <c r="A429" s="606"/>
      <c r="B429" s="606"/>
      <c r="C429" s="607"/>
      <c r="D429" s="608"/>
      <c r="E429" s="608"/>
      <c r="F429" s="608"/>
      <c r="G429" s="608"/>
      <c r="H429" s="609"/>
      <c r="I429" s="637"/>
      <c r="J429" s="637"/>
      <c r="K429" s="637"/>
      <c r="L429" s="637"/>
      <c r="M429" s="637"/>
      <c r="N429" s="637"/>
      <c r="O429" s="637"/>
      <c r="P429" s="637"/>
      <c r="Q429" s="637"/>
      <c r="R429" s="637"/>
      <c r="S429" s="637"/>
      <c r="T429" s="637"/>
      <c r="U429" s="637"/>
      <c r="V429" s="637"/>
      <c r="W429" s="637"/>
      <c r="X429" s="637"/>
      <c r="Y429" s="637"/>
      <c r="Z429" s="637"/>
      <c r="AA429" s="637"/>
      <c r="AB429" s="637"/>
      <c r="AC429" s="637"/>
      <c r="AD429" s="606"/>
      <c r="AE429" s="606"/>
      <c r="AF429" s="606"/>
      <c r="AG429" s="606"/>
    </row>
    <row r="430" spans="1:33" s="612" customFormat="1" hidden="1" outlineLevel="3" x14ac:dyDescent="0.2">
      <c r="A430" s="606"/>
      <c r="B430" s="606"/>
      <c r="C430" s="607"/>
      <c r="D430" s="608"/>
      <c r="E430" s="608"/>
      <c r="F430" s="608"/>
      <c r="G430" s="608"/>
      <c r="H430" s="609"/>
      <c r="I430" s="637"/>
      <c r="J430" s="637"/>
      <c r="K430" s="637"/>
      <c r="L430" s="637"/>
      <c r="M430" s="637"/>
      <c r="N430" s="637"/>
      <c r="O430" s="637"/>
      <c r="P430" s="637"/>
      <c r="Q430" s="637"/>
      <c r="R430" s="637"/>
      <c r="S430" s="637"/>
      <c r="T430" s="637"/>
      <c r="U430" s="637"/>
      <c r="V430" s="637"/>
      <c r="W430" s="637"/>
      <c r="X430" s="637"/>
      <c r="Y430" s="637"/>
      <c r="Z430" s="637"/>
      <c r="AA430" s="637"/>
      <c r="AB430" s="637"/>
      <c r="AC430" s="637"/>
      <c r="AD430" s="606"/>
      <c r="AE430" s="606"/>
      <c r="AF430" s="606"/>
      <c r="AG430" s="606"/>
    </row>
    <row r="431" spans="1:33" s="612" customFormat="1" hidden="1" outlineLevel="3" x14ac:dyDescent="0.2">
      <c r="A431" s="606"/>
      <c r="B431" s="606"/>
      <c r="C431" s="607"/>
      <c r="D431" s="608"/>
      <c r="E431" s="608"/>
      <c r="F431" s="608"/>
      <c r="G431" s="608"/>
      <c r="H431" s="609"/>
      <c r="I431" s="637"/>
      <c r="J431" s="637"/>
      <c r="K431" s="637"/>
      <c r="L431" s="637"/>
      <c r="M431" s="637"/>
      <c r="N431" s="637"/>
      <c r="O431" s="637"/>
      <c r="P431" s="637"/>
      <c r="Q431" s="637"/>
      <c r="R431" s="637"/>
      <c r="S431" s="637"/>
      <c r="T431" s="637"/>
      <c r="U431" s="637"/>
      <c r="V431" s="637"/>
      <c r="W431" s="637"/>
      <c r="X431" s="637"/>
      <c r="Y431" s="637"/>
      <c r="Z431" s="637"/>
      <c r="AA431" s="637"/>
      <c r="AB431" s="637"/>
      <c r="AC431" s="637"/>
      <c r="AD431" s="606"/>
      <c r="AE431" s="606"/>
      <c r="AF431" s="606"/>
      <c r="AG431" s="606"/>
    </row>
    <row r="432" spans="1:33" s="612" customFormat="1" hidden="1" outlineLevel="3" x14ac:dyDescent="0.2">
      <c r="A432" s="606"/>
      <c r="B432" s="606"/>
      <c r="C432" s="607"/>
      <c r="D432" s="608"/>
      <c r="E432" s="608"/>
      <c r="F432" s="608"/>
      <c r="G432" s="608"/>
      <c r="H432" s="609"/>
      <c r="I432" s="637"/>
      <c r="J432" s="637"/>
      <c r="K432" s="637"/>
      <c r="L432" s="637"/>
      <c r="M432" s="637"/>
      <c r="N432" s="637"/>
      <c r="O432" s="637"/>
      <c r="P432" s="637"/>
      <c r="Q432" s="637"/>
      <c r="R432" s="637"/>
      <c r="S432" s="637"/>
      <c r="T432" s="637"/>
      <c r="U432" s="637"/>
      <c r="V432" s="637"/>
      <c r="W432" s="637"/>
      <c r="X432" s="637"/>
      <c r="Y432" s="637"/>
      <c r="Z432" s="637"/>
      <c r="AA432" s="637"/>
      <c r="AB432" s="637"/>
      <c r="AC432" s="637"/>
      <c r="AD432" s="606"/>
      <c r="AE432" s="606"/>
      <c r="AF432" s="606"/>
      <c r="AG432" s="606"/>
    </row>
    <row r="433" spans="1:33" s="612" customFormat="1" hidden="1" outlineLevel="3" x14ac:dyDescent="0.2">
      <c r="A433" s="606"/>
      <c r="B433" s="606"/>
      <c r="C433" s="607"/>
      <c r="D433" s="608"/>
      <c r="E433" s="608"/>
      <c r="F433" s="608"/>
      <c r="G433" s="608"/>
      <c r="H433" s="609"/>
      <c r="I433" s="637"/>
      <c r="J433" s="637"/>
      <c r="K433" s="637"/>
      <c r="L433" s="637"/>
      <c r="M433" s="637"/>
      <c r="N433" s="637"/>
      <c r="O433" s="637"/>
      <c r="P433" s="637"/>
      <c r="Q433" s="637"/>
      <c r="R433" s="637"/>
      <c r="S433" s="637"/>
      <c r="T433" s="637"/>
      <c r="U433" s="637"/>
      <c r="V433" s="637"/>
      <c r="W433" s="637"/>
      <c r="X433" s="637"/>
      <c r="Y433" s="637"/>
      <c r="Z433" s="637"/>
      <c r="AA433" s="637"/>
      <c r="AB433" s="637"/>
      <c r="AC433" s="637"/>
      <c r="AD433" s="606"/>
      <c r="AE433" s="606"/>
      <c r="AF433" s="606"/>
      <c r="AG433" s="606"/>
    </row>
    <row r="434" spans="1:33" s="612" customFormat="1" hidden="1" outlineLevel="3" x14ac:dyDescent="0.2">
      <c r="A434" s="606"/>
      <c r="B434" s="606"/>
      <c r="C434" s="607"/>
      <c r="D434" s="608"/>
      <c r="E434" s="608"/>
      <c r="F434" s="608"/>
      <c r="G434" s="608"/>
      <c r="H434" s="609"/>
      <c r="I434" s="637"/>
      <c r="J434" s="637"/>
      <c r="K434" s="637"/>
      <c r="L434" s="637"/>
      <c r="M434" s="637"/>
      <c r="N434" s="637"/>
      <c r="O434" s="637"/>
      <c r="P434" s="637"/>
      <c r="Q434" s="637"/>
      <c r="R434" s="637"/>
      <c r="S434" s="637"/>
      <c r="T434" s="637"/>
      <c r="U434" s="637"/>
      <c r="V434" s="637"/>
      <c r="W434" s="637"/>
      <c r="X434" s="637"/>
      <c r="Y434" s="637"/>
      <c r="Z434" s="637"/>
      <c r="AA434" s="637"/>
      <c r="AB434" s="637"/>
      <c r="AC434" s="637"/>
      <c r="AD434" s="606"/>
      <c r="AE434" s="606"/>
      <c r="AF434" s="606"/>
      <c r="AG434" s="606"/>
    </row>
    <row r="435" spans="1:33" s="612" customFormat="1" hidden="1" outlineLevel="3" x14ac:dyDescent="0.2">
      <c r="A435" s="606"/>
      <c r="B435" s="606"/>
      <c r="C435" s="607"/>
      <c r="D435" s="608"/>
      <c r="E435" s="608"/>
      <c r="F435" s="608"/>
      <c r="G435" s="608"/>
      <c r="H435" s="609"/>
      <c r="I435" s="637"/>
      <c r="J435" s="637"/>
      <c r="K435" s="637"/>
      <c r="L435" s="637"/>
      <c r="M435" s="637"/>
      <c r="N435" s="637"/>
      <c r="O435" s="637"/>
      <c r="P435" s="637"/>
      <c r="Q435" s="637"/>
      <c r="R435" s="637"/>
      <c r="S435" s="637"/>
      <c r="T435" s="637"/>
      <c r="U435" s="637"/>
      <c r="V435" s="637"/>
      <c r="W435" s="637"/>
      <c r="X435" s="637"/>
      <c r="Y435" s="637"/>
      <c r="Z435" s="637"/>
      <c r="AA435" s="637"/>
      <c r="AB435" s="637"/>
      <c r="AC435" s="637"/>
      <c r="AD435" s="606"/>
      <c r="AE435" s="606"/>
      <c r="AF435" s="606"/>
      <c r="AG435" s="606"/>
    </row>
    <row r="436" spans="1:33" s="612" customFormat="1" hidden="1" outlineLevel="3" x14ac:dyDescent="0.2">
      <c r="A436" s="606"/>
      <c r="B436" s="606"/>
      <c r="C436" s="607"/>
      <c r="D436" s="608"/>
      <c r="E436" s="608"/>
      <c r="F436" s="608"/>
      <c r="G436" s="608"/>
      <c r="H436" s="609"/>
      <c r="I436" s="637"/>
      <c r="J436" s="637"/>
      <c r="K436" s="637"/>
      <c r="L436" s="637"/>
      <c r="M436" s="637"/>
      <c r="N436" s="637"/>
      <c r="O436" s="637"/>
      <c r="P436" s="637"/>
      <c r="Q436" s="637"/>
      <c r="R436" s="637"/>
      <c r="S436" s="637"/>
      <c r="T436" s="637"/>
      <c r="U436" s="637"/>
      <c r="V436" s="637"/>
      <c r="W436" s="637"/>
      <c r="X436" s="637"/>
      <c r="Y436" s="637"/>
      <c r="Z436" s="637"/>
      <c r="AA436" s="637"/>
      <c r="AB436" s="637"/>
      <c r="AC436" s="637"/>
      <c r="AD436" s="606"/>
      <c r="AE436" s="606"/>
      <c r="AF436" s="606"/>
      <c r="AG436" s="606"/>
    </row>
    <row r="437" spans="1:33" s="612" customFormat="1" hidden="1" outlineLevel="3" x14ac:dyDescent="0.2">
      <c r="A437" s="606"/>
      <c r="B437" s="606"/>
      <c r="C437" s="607"/>
      <c r="D437" s="608"/>
      <c r="E437" s="608"/>
      <c r="F437" s="608"/>
      <c r="G437" s="608"/>
      <c r="H437" s="609"/>
      <c r="I437" s="637"/>
      <c r="J437" s="637"/>
      <c r="K437" s="637"/>
      <c r="L437" s="637"/>
      <c r="M437" s="637"/>
      <c r="N437" s="637"/>
      <c r="O437" s="637"/>
      <c r="P437" s="637"/>
      <c r="Q437" s="637"/>
      <c r="R437" s="637"/>
      <c r="S437" s="637"/>
      <c r="T437" s="637"/>
      <c r="U437" s="637"/>
      <c r="V437" s="637"/>
      <c r="W437" s="637"/>
      <c r="X437" s="637"/>
      <c r="Y437" s="637"/>
      <c r="Z437" s="637"/>
      <c r="AA437" s="637"/>
      <c r="AB437" s="637"/>
      <c r="AC437" s="637"/>
      <c r="AD437" s="606"/>
      <c r="AE437" s="606"/>
      <c r="AF437" s="606"/>
      <c r="AG437" s="606"/>
    </row>
    <row r="438" spans="1:33" s="612" customFormat="1" hidden="1" outlineLevel="3" x14ac:dyDescent="0.2">
      <c r="A438" s="606"/>
      <c r="B438" s="606"/>
      <c r="C438" s="607"/>
      <c r="D438" s="608"/>
      <c r="E438" s="608"/>
      <c r="F438" s="608"/>
      <c r="G438" s="608"/>
      <c r="H438" s="609"/>
      <c r="I438" s="637"/>
      <c r="J438" s="637"/>
      <c r="K438" s="637"/>
      <c r="L438" s="637"/>
      <c r="M438" s="637"/>
      <c r="N438" s="637"/>
      <c r="O438" s="637"/>
      <c r="P438" s="637"/>
      <c r="Q438" s="637"/>
      <c r="R438" s="637"/>
      <c r="S438" s="637"/>
      <c r="T438" s="637"/>
      <c r="U438" s="637"/>
      <c r="V438" s="637"/>
      <c r="W438" s="637"/>
      <c r="X438" s="637"/>
      <c r="Y438" s="637"/>
      <c r="Z438" s="637"/>
      <c r="AA438" s="637"/>
      <c r="AB438" s="637"/>
      <c r="AC438" s="637"/>
      <c r="AD438" s="606"/>
      <c r="AE438" s="606"/>
      <c r="AF438" s="606"/>
      <c r="AG438" s="606"/>
    </row>
    <row r="439" spans="1:33" s="612" customFormat="1" hidden="1" outlineLevel="3" x14ac:dyDescent="0.2">
      <c r="A439" s="606"/>
      <c r="B439" s="606"/>
      <c r="C439" s="607"/>
      <c r="D439" s="608"/>
      <c r="E439" s="608"/>
      <c r="F439" s="608"/>
      <c r="G439" s="608"/>
      <c r="H439" s="609"/>
      <c r="I439" s="637"/>
      <c r="J439" s="637"/>
      <c r="K439" s="637"/>
      <c r="L439" s="637"/>
      <c r="M439" s="637"/>
      <c r="N439" s="637"/>
      <c r="O439" s="637"/>
      <c r="P439" s="637"/>
      <c r="Q439" s="637"/>
      <c r="R439" s="637"/>
      <c r="S439" s="637"/>
      <c r="T439" s="637"/>
      <c r="U439" s="637"/>
      <c r="V439" s="637"/>
      <c r="W439" s="637"/>
      <c r="X439" s="637"/>
      <c r="Y439" s="637"/>
      <c r="Z439" s="637"/>
      <c r="AA439" s="637"/>
      <c r="AB439" s="637"/>
      <c r="AC439" s="637"/>
      <c r="AD439" s="606"/>
      <c r="AE439" s="606"/>
      <c r="AF439" s="606"/>
      <c r="AG439" s="606"/>
    </row>
    <row r="440" spans="1:33" s="612" customFormat="1" hidden="1" outlineLevel="3" x14ac:dyDescent="0.2">
      <c r="A440" s="606"/>
      <c r="B440" s="606"/>
      <c r="C440" s="607"/>
      <c r="D440" s="608"/>
      <c r="E440" s="608"/>
      <c r="F440" s="608"/>
      <c r="G440" s="608"/>
      <c r="H440" s="609"/>
      <c r="I440" s="637"/>
      <c r="J440" s="637"/>
      <c r="K440" s="637"/>
      <c r="L440" s="637"/>
      <c r="M440" s="637"/>
      <c r="N440" s="637"/>
      <c r="O440" s="637"/>
      <c r="P440" s="637"/>
      <c r="Q440" s="637"/>
      <c r="R440" s="637"/>
      <c r="S440" s="637"/>
      <c r="T440" s="637"/>
      <c r="U440" s="637"/>
      <c r="V440" s="637"/>
      <c r="W440" s="637"/>
      <c r="X440" s="637"/>
      <c r="Y440" s="637"/>
      <c r="Z440" s="637"/>
      <c r="AA440" s="637"/>
      <c r="AB440" s="637"/>
      <c r="AC440" s="637"/>
      <c r="AD440" s="606"/>
      <c r="AE440" s="606"/>
      <c r="AF440" s="606"/>
      <c r="AG440" s="606"/>
    </row>
    <row r="441" spans="1:33" s="612" customFormat="1" hidden="1" outlineLevel="3" x14ac:dyDescent="0.2">
      <c r="A441" s="606"/>
      <c r="B441" s="606"/>
      <c r="C441" s="607"/>
      <c r="D441" s="608"/>
      <c r="E441" s="608"/>
      <c r="F441" s="608"/>
      <c r="G441" s="608"/>
      <c r="H441" s="609"/>
      <c r="I441" s="637"/>
      <c r="J441" s="637"/>
      <c r="K441" s="637"/>
      <c r="L441" s="637"/>
      <c r="M441" s="637"/>
      <c r="N441" s="637"/>
      <c r="O441" s="637"/>
      <c r="P441" s="637"/>
      <c r="Q441" s="637"/>
      <c r="R441" s="637"/>
      <c r="S441" s="637"/>
      <c r="T441" s="637"/>
      <c r="U441" s="637"/>
      <c r="V441" s="637"/>
      <c r="W441" s="637"/>
      <c r="X441" s="637"/>
      <c r="Y441" s="637"/>
      <c r="Z441" s="637"/>
      <c r="AA441" s="637"/>
      <c r="AB441" s="637"/>
      <c r="AC441" s="637"/>
      <c r="AD441" s="606"/>
      <c r="AE441" s="606"/>
      <c r="AF441" s="606"/>
      <c r="AG441" s="606"/>
    </row>
    <row r="442" spans="1:33" s="612" customFormat="1" hidden="1" outlineLevel="3" x14ac:dyDescent="0.2">
      <c r="A442" s="606"/>
      <c r="B442" s="606"/>
      <c r="C442" s="607"/>
      <c r="D442" s="608"/>
      <c r="E442" s="608"/>
      <c r="F442" s="608"/>
      <c r="G442" s="608"/>
      <c r="H442" s="609"/>
      <c r="I442" s="637"/>
      <c r="J442" s="637"/>
      <c r="K442" s="637"/>
      <c r="L442" s="637"/>
      <c r="M442" s="637"/>
      <c r="N442" s="637"/>
      <c r="O442" s="637"/>
      <c r="P442" s="637"/>
      <c r="Q442" s="637"/>
      <c r="R442" s="637"/>
      <c r="S442" s="637"/>
      <c r="T442" s="637"/>
      <c r="U442" s="637"/>
      <c r="V442" s="637"/>
      <c r="W442" s="637"/>
      <c r="X442" s="637"/>
      <c r="Y442" s="637"/>
      <c r="Z442" s="637"/>
      <c r="AA442" s="637"/>
      <c r="AB442" s="637"/>
      <c r="AC442" s="637"/>
      <c r="AD442" s="606"/>
      <c r="AE442" s="606"/>
      <c r="AF442" s="606"/>
      <c r="AG442" s="606"/>
    </row>
    <row r="443" spans="1:33" s="612" customFormat="1" hidden="1" outlineLevel="3" x14ac:dyDescent="0.2">
      <c r="A443" s="606"/>
      <c r="B443" s="606"/>
      <c r="C443" s="607"/>
      <c r="D443" s="608"/>
      <c r="E443" s="608"/>
      <c r="F443" s="608"/>
      <c r="G443" s="608"/>
      <c r="H443" s="609"/>
      <c r="I443" s="637"/>
      <c r="J443" s="637"/>
      <c r="K443" s="637"/>
      <c r="L443" s="637"/>
      <c r="M443" s="637"/>
      <c r="N443" s="637"/>
      <c r="O443" s="637"/>
      <c r="P443" s="637"/>
      <c r="Q443" s="637"/>
      <c r="R443" s="637"/>
      <c r="S443" s="637"/>
      <c r="T443" s="637"/>
      <c r="U443" s="637"/>
      <c r="V443" s="637"/>
      <c r="W443" s="637"/>
      <c r="X443" s="637"/>
      <c r="Y443" s="637"/>
      <c r="Z443" s="637"/>
      <c r="AA443" s="637"/>
      <c r="AB443" s="637"/>
      <c r="AC443" s="637"/>
      <c r="AD443" s="606"/>
      <c r="AE443" s="606"/>
      <c r="AF443" s="606"/>
      <c r="AG443" s="606"/>
    </row>
    <row r="444" spans="1:33" s="612" customFormat="1" hidden="1" outlineLevel="3" x14ac:dyDescent="0.2">
      <c r="A444" s="606"/>
      <c r="B444" s="606"/>
      <c r="C444" s="607"/>
      <c r="D444" s="608"/>
      <c r="E444" s="608"/>
      <c r="F444" s="608"/>
      <c r="G444" s="608"/>
      <c r="H444" s="609"/>
      <c r="I444" s="637"/>
      <c r="J444" s="637"/>
      <c r="K444" s="637"/>
      <c r="L444" s="637"/>
      <c r="M444" s="637"/>
      <c r="N444" s="637"/>
      <c r="O444" s="637"/>
      <c r="P444" s="637"/>
      <c r="Q444" s="637"/>
      <c r="R444" s="637"/>
      <c r="S444" s="637"/>
      <c r="T444" s="637"/>
      <c r="U444" s="637"/>
      <c r="V444" s="637"/>
      <c r="W444" s="637"/>
      <c r="X444" s="637"/>
      <c r="Y444" s="637"/>
      <c r="Z444" s="637"/>
      <c r="AA444" s="637"/>
      <c r="AB444" s="637"/>
      <c r="AC444" s="637"/>
      <c r="AD444" s="606"/>
      <c r="AE444" s="606"/>
      <c r="AF444" s="606"/>
      <c r="AG444" s="606"/>
    </row>
    <row r="445" spans="1:33" s="612" customFormat="1" hidden="1" outlineLevel="3" x14ac:dyDescent="0.2">
      <c r="A445" s="606"/>
      <c r="B445" s="606"/>
      <c r="C445" s="607"/>
      <c r="D445" s="608"/>
      <c r="E445" s="608"/>
      <c r="F445" s="608"/>
      <c r="G445" s="608"/>
      <c r="H445" s="609"/>
      <c r="I445" s="637"/>
      <c r="J445" s="637"/>
      <c r="K445" s="637"/>
      <c r="L445" s="637"/>
      <c r="M445" s="637"/>
      <c r="N445" s="637"/>
      <c r="O445" s="637"/>
      <c r="P445" s="637"/>
      <c r="Q445" s="637"/>
      <c r="R445" s="637"/>
      <c r="S445" s="637"/>
      <c r="T445" s="637"/>
      <c r="U445" s="637"/>
      <c r="V445" s="637"/>
      <c r="W445" s="637"/>
      <c r="X445" s="637"/>
      <c r="Y445" s="637"/>
      <c r="Z445" s="637"/>
      <c r="AA445" s="637"/>
      <c r="AB445" s="637"/>
      <c r="AC445" s="637"/>
      <c r="AD445" s="606"/>
      <c r="AE445" s="606"/>
      <c r="AF445" s="606"/>
      <c r="AG445" s="606"/>
    </row>
    <row r="446" spans="1:33" s="612" customFormat="1" hidden="1" outlineLevel="3" x14ac:dyDescent="0.2">
      <c r="A446" s="606"/>
      <c r="B446" s="606"/>
      <c r="C446" s="607"/>
      <c r="D446" s="608"/>
      <c r="E446" s="608"/>
      <c r="F446" s="608"/>
      <c r="G446" s="608"/>
      <c r="H446" s="609"/>
      <c r="I446" s="637"/>
      <c r="J446" s="637"/>
      <c r="K446" s="637"/>
      <c r="L446" s="637"/>
      <c r="M446" s="637"/>
      <c r="N446" s="637"/>
      <c r="O446" s="637"/>
      <c r="P446" s="637"/>
      <c r="Q446" s="637"/>
      <c r="R446" s="637"/>
      <c r="S446" s="637"/>
      <c r="T446" s="637"/>
      <c r="U446" s="637"/>
      <c r="V446" s="637"/>
      <c r="W446" s="637"/>
      <c r="X446" s="637"/>
      <c r="Y446" s="637"/>
      <c r="Z446" s="637"/>
      <c r="AA446" s="637"/>
      <c r="AB446" s="637"/>
      <c r="AC446" s="637"/>
      <c r="AD446" s="606"/>
      <c r="AE446" s="606"/>
      <c r="AF446" s="606"/>
      <c r="AG446" s="606"/>
    </row>
    <row r="447" spans="1:33" s="612" customFormat="1" hidden="1" outlineLevel="3" x14ac:dyDescent="0.2">
      <c r="A447" s="606"/>
      <c r="B447" s="606"/>
      <c r="C447" s="607"/>
      <c r="D447" s="608"/>
      <c r="E447" s="608"/>
      <c r="F447" s="608"/>
      <c r="G447" s="608"/>
      <c r="H447" s="609"/>
      <c r="I447" s="637"/>
      <c r="J447" s="637"/>
      <c r="K447" s="637"/>
      <c r="L447" s="637"/>
      <c r="M447" s="637"/>
      <c r="N447" s="637"/>
      <c r="O447" s="637"/>
      <c r="P447" s="637"/>
      <c r="Q447" s="637"/>
      <c r="R447" s="637"/>
      <c r="S447" s="637"/>
      <c r="T447" s="637"/>
      <c r="U447" s="637"/>
      <c r="V447" s="637"/>
      <c r="W447" s="637"/>
      <c r="X447" s="637"/>
      <c r="Y447" s="637"/>
      <c r="Z447" s="637"/>
      <c r="AA447" s="637"/>
      <c r="AB447" s="637"/>
      <c r="AC447" s="637"/>
      <c r="AD447" s="606"/>
      <c r="AE447" s="606"/>
      <c r="AF447" s="606"/>
      <c r="AG447" s="606"/>
    </row>
    <row r="448" spans="1:33" s="612" customFormat="1" hidden="1" outlineLevel="3" x14ac:dyDescent="0.2">
      <c r="A448" s="606"/>
      <c r="B448" s="606"/>
      <c r="C448" s="607"/>
      <c r="D448" s="608"/>
      <c r="E448" s="608"/>
      <c r="F448" s="608"/>
      <c r="G448" s="608"/>
      <c r="H448" s="609"/>
      <c r="I448" s="637"/>
      <c r="J448" s="637"/>
      <c r="K448" s="637"/>
      <c r="L448" s="637"/>
      <c r="M448" s="637"/>
      <c r="N448" s="637"/>
      <c r="O448" s="637"/>
      <c r="P448" s="637"/>
      <c r="Q448" s="637"/>
      <c r="R448" s="637"/>
      <c r="S448" s="637"/>
      <c r="T448" s="637"/>
      <c r="U448" s="637"/>
      <c r="V448" s="637"/>
      <c r="W448" s="637"/>
      <c r="X448" s="637"/>
      <c r="Y448" s="637"/>
      <c r="Z448" s="637"/>
      <c r="AA448" s="637"/>
      <c r="AB448" s="637"/>
      <c r="AC448" s="637"/>
      <c r="AD448" s="606"/>
      <c r="AE448" s="606"/>
      <c r="AF448" s="606"/>
      <c r="AG448" s="606"/>
    </row>
    <row r="449" spans="1:33" s="612" customFormat="1" hidden="1" outlineLevel="3" x14ac:dyDescent="0.2">
      <c r="A449" s="606"/>
      <c r="B449" s="606"/>
      <c r="C449" s="607"/>
      <c r="D449" s="608"/>
      <c r="E449" s="608"/>
      <c r="F449" s="608"/>
      <c r="G449" s="608"/>
      <c r="H449" s="609"/>
      <c r="I449" s="637"/>
      <c r="J449" s="637"/>
      <c r="K449" s="637"/>
      <c r="L449" s="637"/>
      <c r="M449" s="637"/>
      <c r="N449" s="637"/>
      <c r="O449" s="637"/>
      <c r="P449" s="637"/>
      <c r="Q449" s="637"/>
      <c r="R449" s="637"/>
      <c r="S449" s="637"/>
      <c r="T449" s="637"/>
      <c r="U449" s="637"/>
      <c r="V449" s="637"/>
      <c r="W449" s="637"/>
      <c r="X449" s="637"/>
      <c r="Y449" s="637"/>
      <c r="Z449" s="637"/>
      <c r="AA449" s="637"/>
      <c r="AB449" s="637"/>
      <c r="AC449" s="637"/>
      <c r="AD449" s="606"/>
      <c r="AE449" s="606"/>
      <c r="AF449" s="606"/>
      <c r="AG449" s="606"/>
    </row>
    <row r="450" spans="1:33" s="612" customFormat="1" hidden="1" outlineLevel="3" x14ac:dyDescent="0.2">
      <c r="A450" s="606"/>
      <c r="B450" s="606"/>
      <c r="C450" s="607"/>
      <c r="D450" s="608"/>
      <c r="E450" s="608"/>
      <c r="F450" s="608"/>
      <c r="G450" s="608"/>
      <c r="H450" s="609"/>
      <c r="I450" s="637"/>
      <c r="J450" s="637"/>
      <c r="K450" s="637"/>
      <c r="L450" s="637"/>
      <c r="M450" s="637"/>
      <c r="N450" s="637"/>
      <c r="O450" s="637"/>
      <c r="P450" s="637"/>
      <c r="Q450" s="637"/>
      <c r="R450" s="637"/>
      <c r="S450" s="637"/>
      <c r="T450" s="637"/>
      <c r="U450" s="637"/>
      <c r="V450" s="637"/>
      <c r="W450" s="637"/>
      <c r="X450" s="637"/>
      <c r="Y450" s="637"/>
      <c r="Z450" s="637"/>
      <c r="AA450" s="637"/>
      <c r="AB450" s="637"/>
      <c r="AC450" s="637"/>
      <c r="AD450" s="606"/>
      <c r="AE450" s="606"/>
      <c r="AF450" s="606"/>
      <c r="AG450" s="606"/>
    </row>
    <row r="451" spans="1:33" s="612" customFormat="1" hidden="1" outlineLevel="3" x14ac:dyDescent="0.2">
      <c r="A451" s="606"/>
      <c r="B451" s="606"/>
      <c r="C451" s="607"/>
      <c r="D451" s="608"/>
      <c r="E451" s="608"/>
      <c r="F451" s="608"/>
      <c r="G451" s="608"/>
      <c r="H451" s="609"/>
      <c r="I451" s="637"/>
      <c r="J451" s="637"/>
      <c r="K451" s="637"/>
      <c r="L451" s="637"/>
      <c r="M451" s="637"/>
      <c r="N451" s="637"/>
      <c r="O451" s="637"/>
      <c r="P451" s="637"/>
      <c r="Q451" s="637"/>
      <c r="R451" s="637"/>
      <c r="S451" s="637"/>
      <c r="T451" s="637"/>
      <c r="U451" s="637"/>
      <c r="V451" s="637"/>
      <c r="W451" s="637"/>
      <c r="X451" s="637"/>
      <c r="Y451" s="637"/>
      <c r="Z451" s="637"/>
      <c r="AA451" s="637"/>
      <c r="AB451" s="637"/>
      <c r="AC451" s="637"/>
      <c r="AD451" s="606"/>
      <c r="AE451" s="606"/>
      <c r="AF451" s="606"/>
      <c r="AG451" s="606"/>
    </row>
    <row r="452" spans="1:33" s="612" customFormat="1" hidden="1" outlineLevel="3" x14ac:dyDescent="0.2">
      <c r="A452" s="606"/>
      <c r="B452" s="606"/>
      <c r="C452" s="607"/>
      <c r="D452" s="608"/>
      <c r="E452" s="608"/>
      <c r="F452" s="608"/>
      <c r="G452" s="608"/>
      <c r="H452" s="609"/>
      <c r="I452" s="637"/>
      <c r="J452" s="637"/>
      <c r="K452" s="637"/>
      <c r="L452" s="637"/>
      <c r="M452" s="637"/>
      <c r="N452" s="637"/>
      <c r="O452" s="637"/>
      <c r="P452" s="637"/>
      <c r="Q452" s="637"/>
      <c r="R452" s="637"/>
      <c r="S452" s="637"/>
      <c r="T452" s="637"/>
      <c r="U452" s="637"/>
      <c r="V452" s="637"/>
      <c r="W452" s="637"/>
      <c r="X452" s="637"/>
      <c r="Y452" s="637"/>
      <c r="Z452" s="637"/>
      <c r="AA452" s="637"/>
      <c r="AB452" s="637"/>
      <c r="AC452" s="637"/>
      <c r="AD452" s="606"/>
      <c r="AE452" s="606"/>
      <c r="AF452" s="606"/>
      <c r="AG452" s="606"/>
    </row>
    <row r="453" spans="1:33" s="612" customFormat="1" outlineLevel="2" collapsed="1" x14ac:dyDescent="0.2">
      <c r="A453" s="606"/>
      <c r="B453" s="606"/>
      <c r="C453" s="638"/>
      <c r="D453" s="608"/>
      <c r="E453" s="608"/>
      <c r="F453" s="608"/>
      <c r="G453" s="608"/>
      <c r="H453" s="609"/>
      <c r="I453" s="639"/>
      <c r="J453" s="639"/>
      <c r="K453" s="639"/>
      <c r="L453" s="639"/>
      <c r="M453" s="639"/>
      <c r="N453" s="639"/>
      <c r="O453" s="639"/>
      <c r="P453" s="639"/>
      <c r="Q453" s="639"/>
      <c r="R453" s="639"/>
      <c r="S453" s="639"/>
      <c r="T453" s="639"/>
      <c r="U453" s="639"/>
      <c r="V453" s="639"/>
      <c r="W453" s="639"/>
      <c r="X453" s="639"/>
      <c r="Y453" s="639"/>
      <c r="Z453" s="639"/>
      <c r="AA453" s="639"/>
      <c r="AB453" s="639"/>
      <c r="AC453" s="639"/>
      <c r="AD453" s="606"/>
      <c r="AE453" s="606"/>
      <c r="AF453" s="606"/>
      <c r="AG453" s="606"/>
    </row>
    <row r="454" spans="1:33" s="612" customFormat="1" outlineLevel="1" x14ac:dyDescent="0.2">
      <c r="A454" s="606"/>
      <c r="B454" s="606"/>
      <c r="C454" s="613"/>
      <c r="D454" s="609"/>
      <c r="E454" s="609"/>
      <c r="F454" s="609"/>
      <c r="G454" s="609"/>
      <c r="H454" s="609"/>
      <c r="I454" s="614"/>
      <c r="J454" s="614"/>
      <c r="K454" s="611"/>
      <c r="L454" s="611"/>
      <c r="M454" s="611"/>
      <c r="N454" s="615"/>
      <c r="O454" s="615"/>
      <c r="P454" s="615"/>
      <c r="Q454" s="615"/>
      <c r="R454" s="615"/>
      <c r="S454" s="611"/>
      <c r="T454" s="611"/>
      <c r="U454" s="611"/>
      <c r="V454" s="611"/>
      <c r="W454" s="611"/>
      <c r="X454" s="611"/>
      <c r="Y454" s="611"/>
      <c r="Z454" s="611"/>
      <c r="AA454" s="611"/>
      <c r="AB454" s="611"/>
      <c r="AC454" s="611"/>
      <c r="AD454" s="606"/>
      <c r="AE454" s="606"/>
      <c r="AF454" s="606"/>
      <c r="AG454" s="606"/>
    </row>
    <row r="455" spans="1:33" s="612" customFormat="1" outlineLevel="1" x14ac:dyDescent="0.2">
      <c r="A455" s="606"/>
      <c r="B455" s="606"/>
      <c r="C455" s="616"/>
      <c r="D455" s="617"/>
      <c r="E455" s="617"/>
      <c r="F455" s="617"/>
      <c r="G455" s="618"/>
      <c r="H455" s="618"/>
      <c r="I455" s="611"/>
      <c r="J455" s="611"/>
      <c r="K455" s="611"/>
      <c r="L455" s="611"/>
      <c r="M455" s="611"/>
      <c r="N455" s="611"/>
      <c r="O455" s="611"/>
      <c r="P455" s="611"/>
      <c r="Q455" s="611"/>
      <c r="R455" s="611"/>
      <c r="S455" s="611"/>
      <c r="T455" s="611"/>
      <c r="U455" s="611"/>
      <c r="V455" s="611"/>
      <c r="W455" s="611"/>
      <c r="X455" s="611"/>
      <c r="Y455" s="611"/>
      <c r="Z455" s="611"/>
      <c r="AA455" s="611"/>
      <c r="AB455" s="611"/>
      <c r="AC455" s="611"/>
      <c r="AD455" s="606"/>
      <c r="AE455" s="606"/>
      <c r="AF455" s="606"/>
      <c r="AG455" s="606"/>
    </row>
    <row r="456" spans="1:33" s="612" customFormat="1" hidden="1" outlineLevel="2" x14ac:dyDescent="0.2">
      <c r="A456" s="606"/>
      <c r="B456" s="606"/>
      <c r="C456" s="607"/>
      <c r="D456" s="608"/>
      <c r="E456" s="608"/>
      <c r="F456" s="608"/>
      <c r="G456" s="608"/>
      <c r="H456" s="609"/>
      <c r="I456" s="637"/>
      <c r="J456" s="637"/>
      <c r="K456" s="637"/>
      <c r="L456" s="637"/>
      <c r="M456" s="637"/>
      <c r="N456" s="637"/>
      <c r="O456" s="637"/>
      <c r="P456" s="637"/>
      <c r="Q456" s="637"/>
      <c r="R456" s="637"/>
      <c r="S456" s="637"/>
      <c r="T456" s="637"/>
      <c r="U456" s="637"/>
      <c r="V456" s="637"/>
      <c r="W456" s="637"/>
      <c r="X456" s="637"/>
      <c r="Y456" s="637"/>
      <c r="Z456" s="637"/>
      <c r="AA456" s="637"/>
      <c r="AB456" s="637"/>
      <c r="AC456" s="637"/>
      <c r="AD456" s="606"/>
      <c r="AE456" s="606"/>
      <c r="AF456" s="606"/>
      <c r="AG456" s="606"/>
    </row>
    <row r="457" spans="1:33" s="612" customFormat="1" hidden="1" outlineLevel="2" x14ac:dyDescent="0.2">
      <c r="A457" s="606"/>
      <c r="B457" s="606"/>
      <c r="C457" s="607"/>
      <c r="D457" s="608"/>
      <c r="E457" s="608"/>
      <c r="F457" s="608"/>
      <c r="G457" s="608"/>
      <c r="H457" s="609"/>
      <c r="I457" s="637"/>
      <c r="J457" s="637"/>
      <c r="K457" s="637"/>
      <c r="L457" s="637"/>
      <c r="M457" s="637"/>
      <c r="N457" s="637"/>
      <c r="O457" s="637"/>
      <c r="P457" s="637"/>
      <c r="Q457" s="637"/>
      <c r="R457" s="637"/>
      <c r="S457" s="637"/>
      <c r="T457" s="637"/>
      <c r="U457" s="637"/>
      <c r="V457" s="637"/>
      <c r="W457" s="637"/>
      <c r="X457" s="637"/>
      <c r="Y457" s="637"/>
      <c r="Z457" s="637"/>
      <c r="AA457" s="637"/>
      <c r="AB457" s="637"/>
      <c r="AC457" s="637"/>
      <c r="AD457" s="606"/>
      <c r="AE457" s="606"/>
      <c r="AF457" s="606"/>
      <c r="AG457" s="606"/>
    </row>
    <row r="458" spans="1:33" s="612" customFormat="1" hidden="1" outlineLevel="2" x14ac:dyDescent="0.2">
      <c r="A458" s="606"/>
      <c r="B458" s="606"/>
      <c r="C458" s="607"/>
      <c r="D458" s="608"/>
      <c r="E458" s="608"/>
      <c r="F458" s="608"/>
      <c r="G458" s="608"/>
      <c r="H458" s="609"/>
      <c r="I458" s="637"/>
      <c r="J458" s="637"/>
      <c r="K458" s="637"/>
      <c r="L458" s="637"/>
      <c r="M458" s="637"/>
      <c r="N458" s="637"/>
      <c r="O458" s="637"/>
      <c r="P458" s="637"/>
      <c r="Q458" s="637"/>
      <c r="R458" s="637"/>
      <c r="S458" s="637"/>
      <c r="T458" s="637"/>
      <c r="U458" s="637"/>
      <c r="V458" s="637"/>
      <c r="W458" s="637"/>
      <c r="X458" s="637"/>
      <c r="Y458" s="637"/>
      <c r="Z458" s="637"/>
      <c r="AA458" s="637"/>
      <c r="AB458" s="637"/>
      <c r="AC458" s="637"/>
      <c r="AD458" s="606"/>
      <c r="AE458" s="606"/>
      <c r="AF458" s="606"/>
      <c r="AG458" s="606"/>
    </row>
    <row r="459" spans="1:33" s="612" customFormat="1" hidden="1" outlineLevel="2" x14ac:dyDescent="0.2">
      <c r="A459" s="606"/>
      <c r="B459" s="606"/>
      <c r="C459" s="607"/>
      <c r="D459" s="608"/>
      <c r="E459" s="608"/>
      <c r="F459" s="608"/>
      <c r="G459" s="608"/>
      <c r="H459" s="609"/>
      <c r="I459" s="637"/>
      <c r="J459" s="637"/>
      <c r="K459" s="637"/>
      <c r="L459" s="637"/>
      <c r="M459" s="637"/>
      <c r="N459" s="637"/>
      <c r="O459" s="637"/>
      <c r="P459" s="637"/>
      <c r="Q459" s="637"/>
      <c r="R459" s="637"/>
      <c r="S459" s="637"/>
      <c r="T459" s="637"/>
      <c r="U459" s="637"/>
      <c r="V459" s="637"/>
      <c r="W459" s="637"/>
      <c r="X459" s="637"/>
      <c r="Y459" s="637"/>
      <c r="Z459" s="637"/>
      <c r="AA459" s="637"/>
      <c r="AB459" s="637"/>
      <c r="AC459" s="637"/>
      <c r="AD459" s="606"/>
      <c r="AE459" s="606"/>
      <c r="AF459" s="606"/>
      <c r="AG459" s="606"/>
    </row>
    <row r="460" spans="1:33" s="612" customFormat="1" hidden="1" outlineLevel="2" x14ac:dyDescent="0.2">
      <c r="A460" s="606"/>
      <c r="B460" s="606"/>
      <c r="C460" s="607"/>
      <c r="D460" s="608"/>
      <c r="E460" s="608"/>
      <c r="F460" s="608"/>
      <c r="G460" s="608"/>
      <c r="H460" s="609"/>
      <c r="I460" s="637"/>
      <c r="J460" s="637"/>
      <c r="K460" s="637"/>
      <c r="L460" s="637"/>
      <c r="M460" s="637"/>
      <c r="N460" s="637"/>
      <c r="O460" s="637"/>
      <c r="P460" s="637"/>
      <c r="Q460" s="637"/>
      <c r="R460" s="637"/>
      <c r="S460" s="637"/>
      <c r="T460" s="637"/>
      <c r="U460" s="637"/>
      <c r="V460" s="637"/>
      <c r="W460" s="637"/>
      <c r="X460" s="637"/>
      <c r="Y460" s="637"/>
      <c r="Z460" s="637"/>
      <c r="AA460" s="637"/>
      <c r="AB460" s="637"/>
      <c r="AC460" s="637"/>
      <c r="AD460" s="606"/>
      <c r="AE460" s="606"/>
      <c r="AF460" s="606"/>
      <c r="AG460" s="606"/>
    </row>
    <row r="461" spans="1:33" s="612" customFormat="1" hidden="1" outlineLevel="2" x14ac:dyDescent="0.2">
      <c r="A461" s="606"/>
      <c r="B461" s="606"/>
      <c r="C461" s="607"/>
      <c r="D461" s="608"/>
      <c r="E461" s="608"/>
      <c r="F461" s="608"/>
      <c r="G461" s="608"/>
      <c r="H461" s="609"/>
      <c r="I461" s="637"/>
      <c r="J461" s="637"/>
      <c r="K461" s="637"/>
      <c r="L461" s="637"/>
      <c r="M461" s="637"/>
      <c r="N461" s="637"/>
      <c r="O461" s="637"/>
      <c r="P461" s="637"/>
      <c r="Q461" s="637"/>
      <c r="R461" s="637"/>
      <c r="S461" s="637"/>
      <c r="T461" s="637"/>
      <c r="U461" s="637"/>
      <c r="V461" s="637"/>
      <c r="W461" s="637"/>
      <c r="X461" s="637"/>
      <c r="Y461" s="637"/>
      <c r="Z461" s="637"/>
      <c r="AA461" s="637"/>
      <c r="AB461" s="637"/>
      <c r="AC461" s="637"/>
      <c r="AD461" s="606"/>
      <c r="AE461" s="606"/>
      <c r="AF461" s="606"/>
      <c r="AG461" s="606"/>
    </row>
    <row r="462" spans="1:33" s="612" customFormat="1" hidden="1" outlineLevel="2" x14ac:dyDescent="0.2">
      <c r="A462" s="606"/>
      <c r="B462" s="606"/>
      <c r="C462" s="607"/>
      <c r="D462" s="608"/>
      <c r="E462" s="608"/>
      <c r="F462" s="608"/>
      <c r="G462" s="608"/>
      <c r="H462" s="609"/>
      <c r="I462" s="637"/>
      <c r="J462" s="637"/>
      <c r="K462" s="637"/>
      <c r="L462" s="637"/>
      <c r="M462" s="637"/>
      <c r="N462" s="637"/>
      <c r="O462" s="637"/>
      <c r="P462" s="637"/>
      <c r="Q462" s="637"/>
      <c r="R462" s="637"/>
      <c r="S462" s="637"/>
      <c r="T462" s="637"/>
      <c r="U462" s="637"/>
      <c r="V462" s="637"/>
      <c r="W462" s="637"/>
      <c r="X462" s="637"/>
      <c r="Y462" s="637"/>
      <c r="Z462" s="637"/>
      <c r="AA462" s="637"/>
      <c r="AB462" s="637"/>
      <c r="AC462" s="637"/>
      <c r="AD462" s="606"/>
      <c r="AE462" s="606"/>
      <c r="AF462" s="606"/>
      <c r="AG462" s="606"/>
    </row>
    <row r="463" spans="1:33" s="612" customFormat="1" hidden="1" outlineLevel="2" x14ac:dyDescent="0.2">
      <c r="A463" s="606"/>
      <c r="B463" s="606"/>
      <c r="C463" s="607"/>
      <c r="D463" s="608"/>
      <c r="E463" s="608"/>
      <c r="F463" s="608"/>
      <c r="G463" s="608"/>
      <c r="H463" s="609"/>
      <c r="I463" s="637"/>
      <c r="J463" s="637"/>
      <c r="K463" s="637"/>
      <c r="L463" s="637"/>
      <c r="M463" s="637"/>
      <c r="N463" s="637"/>
      <c r="O463" s="637"/>
      <c r="P463" s="637"/>
      <c r="Q463" s="637"/>
      <c r="R463" s="637"/>
      <c r="S463" s="637"/>
      <c r="T463" s="637"/>
      <c r="U463" s="637"/>
      <c r="V463" s="637"/>
      <c r="W463" s="637"/>
      <c r="X463" s="637"/>
      <c r="Y463" s="637"/>
      <c r="Z463" s="637"/>
      <c r="AA463" s="637"/>
      <c r="AB463" s="637"/>
      <c r="AC463" s="637"/>
      <c r="AD463" s="606"/>
      <c r="AE463" s="606"/>
      <c r="AF463" s="606"/>
      <c r="AG463" s="606"/>
    </row>
    <row r="464" spans="1:33" s="612" customFormat="1" hidden="1" outlineLevel="2" x14ac:dyDescent="0.2">
      <c r="A464" s="606"/>
      <c r="B464" s="606"/>
      <c r="C464" s="607"/>
      <c r="D464" s="608"/>
      <c r="E464" s="608"/>
      <c r="F464" s="608"/>
      <c r="G464" s="608"/>
      <c r="H464" s="609"/>
      <c r="I464" s="637"/>
      <c r="J464" s="637"/>
      <c r="K464" s="637"/>
      <c r="L464" s="637"/>
      <c r="M464" s="637"/>
      <c r="N464" s="637"/>
      <c r="O464" s="637"/>
      <c r="P464" s="637"/>
      <c r="Q464" s="637"/>
      <c r="R464" s="637"/>
      <c r="S464" s="637"/>
      <c r="T464" s="637"/>
      <c r="U464" s="637"/>
      <c r="V464" s="637"/>
      <c r="W464" s="637"/>
      <c r="X464" s="637"/>
      <c r="Y464" s="637"/>
      <c r="Z464" s="637"/>
      <c r="AA464" s="637"/>
      <c r="AB464" s="637"/>
      <c r="AC464" s="637"/>
      <c r="AD464" s="606"/>
      <c r="AE464" s="606"/>
      <c r="AF464" s="606"/>
      <c r="AG464" s="606"/>
    </row>
    <row r="465" spans="1:33" s="612" customFormat="1" hidden="1" outlineLevel="2" x14ac:dyDescent="0.2">
      <c r="A465" s="606"/>
      <c r="B465" s="606"/>
      <c r="C465" s="607"/>
      <c r="D465" s="608"/>
      <c r="E465" s="608"/>
      <c r="F465" s="608"/>
      <c r="G465" s="608"/>
      <c r="H465" s="609"/>
      <c r="I465" s="637"/>
      <c r="J465" s="637"/>
      <c r="K465" s="637"/>
      <c r="L465" s="637"/>
      <c r="M465" s="637"/>
      <c r="N465" s="637"/>
      <c r="O465" s="637"/>
      <c r="P465" s="637"/>
      <c r="Q465" s="637"/>
      <c r="R465" s="637"/>
      <c r="S465" s="637"/>
      <c r="T465" s="637"/>
      <c r="U465" s="637"/>
      <c r="V465" s="637"/>
      <c r="W465" s="637"/>
      <c r="X465" s="637"/>
      <c r="Y465" s="637"/>
      <c r="Z465" s="637"/>
      <c r="AA465" s="637"/>
      <c r="AB465" s="637"/>
      <c r="AC465" s="637"/>
      <c r="AD465" s="606"/>
      <c r="AE465" s="606"/>
      <c r="AF465" s="606"/>
      <c r="AG465" s="606"/>
    </row>
    <row r="466" spans="1:33" s="612" customFormat="1" hidden="1" outlineLevel="2" x14ac:dyDescent="0.2">
      <c r="A466" s="606"/>
      <c r="B466" s="606"/>
      <c r="C466" s="607"/>
      <c r="D466" s="608"/>
      <c r="E466" s="608"/>
      <c r="F466" s="608"/>
      <c r="G466" s="608"/>
      <c r="H466" s="609"/>
      <c r="I466" s="637"/>
      <c r="J466" s="637"/>
      <c r="K466" s="637"/>
      <c r="L466" s="637"/>
      <c r="M466" s="637"/>
      <c r="N466" s="637"/>
      <c r="O466" s="637"/>
      <c r="P466" s="637"/>
      <c r="Q466" s="637"/>
      <c r="R466" s="637"/>
      <c r="S466" s="637"/>
      <c r="T466" s="637"/>
      <c r="U466" s="637"/>
      <c r="V466" s="637"/>
      <c r="W466" s="637"/>
      <c r="X466" s="637"/>
      <c r="Y466" s="637"/>
      <c r="Z466" s="637"/>
      <c r="AA466" s="637"/>
      <c r="AB466" s="637"/>
      <c r="AC466" s="637"/>
      <c r="AD466" s="606"/>
      <c r="AE466" s="606"/>
      <c r="AF466" s="606"/>
      <c r="AG466" s="606"/>
    </row>
    <row r="467" spans="1:33" s="612" customFormat="1" hidden="1" outlineLevel="3" x14ac:dyDescent="0.2">
      <c r="A467" s="606"/>
      <c r="B467" s="606"/>
      <c r="C467" s="607"/>
      <c r="D467" s="608"/>
      <c r="E467" s="608"/>
      <c r="F467" s="608"/>
      <c r="G467" s="608"/>
      <c r="H467" s="609"/>
      <c r="I467" s="637"/>
      <c r="J467" s="637"/>
      <c r="K467" s="637"/>
      <c r="L467" s="637"/>
      <c r="M467" s="637"/>
      <c r="N467" s="637"/>
      <c r="O467" s="637"/>
      <c r="P467" s="637"/>
      <c r="Q467" s="637"/>
      <c r="R467" s="637"/>
      <c r="S467" s="637"/>
      <c r="T467" s="637"/>
      <c r="U467" s="637"/>
      <c r="V467" s="637"/>
      <c r="W467" s="637"/>
      <c r="X467" s="637"/>
      <c r="Y467" s="637"/>
      <c r="Z467" s="637"/>
      <c r="AA467" s="637"/>
      <c r="AB467" s="637"/>
      <c r="AC467" s="637"/>
      <c r="AD467" s="606"/>
      <c r="AE467" s="606"/>
      <c r="AF467" s="606"/>
      <c r="AG467" s="606"/>
    </row>
    <row r="468" spans="1:33" s="612" customFormat="1" hidden="1" outlineLevel="3" x14ac:dyDescent="0.2">
      <c r="A468" s="606"/>
      <c r="B468" s="606"/>
      <c r="C468" s="607"/>
      <c r="D468" s="608"/>
      <c r="E468" s="608"/>
      <c r="F468" s="608"/>
      <c r="G468" s="608"/>
      <c r="H468" s="609"/>
      <c r="I468" s="637"/>
      <c r="J468" s="637"/>
      <c r="K468" s="637"/>
      <c r="L468" s="637"/>
      <c r="M468" s="637"/>
      <c r="N468" s="637"/>
      <c r="O468" s="637"/>
      <c r="P468" s="637"/>
      <c r="Q468" s="637"/>
      <c r="R468" s="637"/>
      <c r="S468" s="637"/>
      <c r="T468" s="637"/>
      <c r="U468" s="637"/>
      <c r="V468" s="637"/>
      <c r="W468" s="637"/>
      <c r="X468" s="637"/>
      <c r="Y468" s="637"/>
      <c r="Z468" s="637"/>
      <c r="AA468" s="637"/>
      <c r="AB468" s="637"/>
      <c r="AC468" s="637"/>
      <c r="AD468" s="606"/>
      <c r="AE468" s="606"/>
      <c r="AF468" s="606"/>
      <c r="AG468" s="606"/>
    </row>
    <row r="469" spans="1:33" s="612" customFormat="1" hidden="1" outlineLevel="3" x14ac:dyDescent="0.2">
      <c r="A469" s="606"/>
      <c r="B469" s="606"/>
      <c r="C469" s="607"/>
      <c r="D469" s="608"/>
      <c r="E469" s="608"/>
      <c r="F469" s="608"/>
      <c r="G469" s="608"/>
      <c r="H469" s="609"/>
      <c r="I469" s="637"/>
      <c r="J469" s="637"/>
      <c r="K469" s="637"/>
      <c r="L469" s="637"/>
      <c r="M469" s="637"/>
      <c r="N469" s="637"/>
      <c r="O469" s="637"/>
      <c r="P469" s="637"/>
      <c r="Q469" s="637"/>
      <c r="R469" s="637"/>
      <c r="S469" s="637"/>
      <c r="T469" s="637"/>
      <c r="U469" s="637"/>
      <c r="V469" s="637"/>
      <c r="W469" s="637"/>
      <c r="X469" s="637"/>
      <c r="Y469" s="637"/>
      <c r="Z469" s="637"/>
      <c r="AA469" s="637"/>
      <c r="AB469" s="637"/>
      <c r="AC469" s="637"/>
      <c r="AD469" s="606"/>
      <c r="AE469" s="606"/>
      <c r="AF469" s="606"/>
      <c r="AG469" s="606"/>
    </row>
    <row r="470" spans="1:33" s="612" customFormat="1" hidden="1" outlineLevel="3" x14ac:dyDescent="0.2">
      <c r="A470" s="606"/>
      <c r="B470" s="606"/>
      <c r="C470" s="607"/>
      <c r="D470" s="608"/>
      <c r="E470" s="608"/>
      <c r="F470" s="608"/>
      <c r="G470" s="608"/>
      <c r="H470" s="609"/>
      <c r="I470" s="637"/>
      <c r="J470" s="637"/>
      <c r="K470" s="637"/>
      <c r="L470" s="637"/>
      <c r="M470" s="637"/>
      <c r="N470" s="637"/>
      <c r="O470" s="637"/>
      <c r="P470" s="637"/>
      <c r="Q470" s="637"/>
      <c r="R470" s="637"/>
      <c r="S470" s="637"/>
      <c r="T470" s="637"/>
      <c r="U470" s="637"/>
      <c r="V470" s="637"/>
      <c r="W470" s="637"/>
      <c r="X470" s="637"/>
      <c r="Y470" s="637"/>
      <c r="Z470" s="637"/>
      <c r="AA470" s="637"/>
      <c r="AB470" s="637"/>
      <c r="AC470" s="637"/>
      <c r="AD470" s="606"/>
      <c r="AE470" s="606"/>
      <c r="AF470" s="606"/>
      <c r="AG470" s="606"/>
    </row>
    <row r="471" spans="1:33" s="612" customFormat="1" hidden="1" outlineLevel="3" x14ac:dyDescent="0.2">
      <c r="A471" s="606"/>
      <c r="B471" s="606"/>
      <c r="C471" s="607"/>
      <c r="D471" s="608"/>
      <c r="E471" s="608"/>
      <c r="F471" s="608"/>
      <c r="G471" s="608"/>
      <c r="H471" s="609"/>
      <c r="I471" s="637"/>
      <c r="J471" s="637"/>
      <c r="K471" s="637"/>
      <c r="L471" s="637"/>
      <c r="M471" s="637"/>
      <c r="N471" s="637"/>
      <c r="O471" s="637"/>
      <c r="P471" s="637"/>
      <c r="Q471" s="637"/>
      <c r="R471" s="637"/>
      <c r="S471" s="637"/>
      <c r="T471" s="637"/>
      <c r="U471" s="637"/>
      <c r="V471" s="637"/>
      <c r="W471" s="637"/>
      <c r="X471" s="637"/>
      <c r="Y471" s="637"/>
      <c r="Z471" s="637"/>
      <c r="AA471" s="637"/>
      <c r="AB471" s="637"/>
      <c r="AC471" s="637"/>
      <c r="AD471" s="606"/>
      <c r="AE471" s="606"/>
      <c r="AF471" s="606"/>
      <c r="AG471" s="606"/>
    </row>
    <row r="472" spans="1:33" s="612" customFormat="1" hidden="1" outlineLevel="3" x14ac:dyDescent="0.2">
      <c r="A472" s="606"/>
      <c r="B472" s="606"/>
      <c r="C472" s="607"/>
      <c r="D472" s="608"/>
      <c r="E472" s="608"/>
      <c r="F472" s="608"/>
      <c r="G472" s="608"/>
      <c r="H472" s="609"/>
      <c r="I472" s="637"/>
      <c r="J472" s="637"/>
      <c r="K472" s="637"/>
      <c r="L472" s="637"/>
      <c r="M472" s="637"/>
      <c r="N472" s="637"/>
      <c r="O472" s="637"/>
      <c r="P472" s="637"/>
      <c r="Q472" s="637"/>
      <c r="R472" s="637"/>
      <c r="S472" s="637"/>
      <c r="T472" s="637"/>
      <c r="U472" s="637"/>
      <c r="V472" s="637"/>
      <c r="W472" s="637"/>
      <c r="X472" s="637"/>
      <c r="Y472" s="637"/>
      <c r="Z472" s="637"/>
      <c r="AA472" s="637"/>
      <c r="AB472" s="637"/>
      <c r="AC472" s="637"/>
      <c r="AD472" s="606"/>
      <c r="AE472" s="606"/>
      <c r="AF472" s="606"/>
      <c r="AG472" s="606"/>
    </row>
    <row r="473" spans="1:33" s="612" customFormat="1" hidden="1" outlineLevel="3" x14ac:dyDescent="0.2">
      <c r="A473" s="606"/>
      <c r="B473" s="606"/>
      <c r="C473" s="607"/>
      <c r="D473" s="608"/>
      <c r="E473" s="608"/>
      <c r="F473" s="608"/>
      <c r="G473" s="608"/>
      <c r="H473" s="609"/>
      <c r="I473" s="637"/>
      <c r="J473" s="637"/>
      <c r="K473" s="637"/>
      <c r="L473" s="637"/>
      <c r="M473" s="637"/>
      <c r="N473" s="637"/>
      <c r="O473" s="637"/>
      <c r="P473" s="637"/>
      <c r="Q473" s="637"/>
      <c r="R473" s="637"/>
      <c r="S473" s="637"/>
      <c r="T473" s="637"/>
      <c r="U473" s="637"/>
      <c r="V473" s="637"/>
      <c r="W473" s="637"/>
      <c r="X473" s="637"/>
      <c r="Y473" s="637"/>
      <c r="Z473" s="637"/>
      <c r="AA473" s="637"/>
      <c r="AB473" s="637"/>
      <c r="AC473" s="637"/>
      <c r="AD473" s="606"/>
      <c r="AE473" s="606"/>
      <c r="AF473" s="606"/>
      <c r="AG473" s="606"/>
    </row>
    <row r="474" spans="1:33" s="612" customFormat="1" hidden="1" outlineLevel="3" x14ac:dyDescent="0.2">
      <c r="A474" s="606"/>
      <c r="B474" s="606"/>
      <c r="C474" s="607"/>
      <c r="D474" s="608"/>
      <c r="E474" s="608"/>
      <c r="F474" s="608"/>
      <c r="G474" s="608"/>
      <c r="H474" s="609"/>
      <c r="I474" s="637"/>
      <c r="J474" s="637"/>
      <c r="K474" s="637"/>
      <c r="L474" s="637"/>
      <c r="M474" s="637"/>
      <c r="N474" s="637"/>
      <c r="O474" s="637"/>
      <c r="P474" s="637"/>
      <c r="Q474" s="637"/>
      <c r="R474" s="637"/>
      <c r="S474" s="637"/>
      <c r="T474" s="637"/>
      <c r="U474" s="637"/>
      <c r="V474" s="637"/>
      <c r="W474" s="637"/>
      <c r="X474" s="637"/>
      <c r="Y474" s="637"/>
      <c r="Z474" s="637"/>
      <c r="AA474" s="637"/>
      <c r="AB474" s="637"/>
      <c r="AC474" s="637"/>
      <c r="AD474" s="606"/>
      <c r="AE474" s="606"/>
      <c r="AF474" s="606"/>
      <c r="AG474" s="606"/>
    </row>
    <row r="475" spans="1:33" s="612" customFormat="1" hidden="1" outlineLevel="3" x14ac:dyDescent="0.2">
      <c r="A475" s="606"/>
      <c r="B475" s="606"/>
      <c r="C475" s="607"/>
      <c r="D475" s="608"/>
      <c r="E475" s="608"/>
      <c r="F475" s="608"/>
      <c r="G475" s="608"/>
      <c r="H475" s="609"/>
      <c r="I475" s="637"/>
      <c r="J475" s="637"/>
      <c r="K475" s="637"/>
      <c r="L475" s="637"/>
      <c r="M475" s="637"/>
      <c r="N475" s="637"/>
      <c r="O475" s="637"/>
      <c r="P475" s="637"/>
      <c r="Q475" s="637"/>
      <c r="R475" s="637"/>
      <c r="S475" s="637"/>
      <c r="T475" s="637"/>
      <c r="U475" s="637"/>
      <c r="V475" s="637"/>
      <c r="W475" s="637"/>
      <c r="X475" s="637"/>
      <c r="Y475" s="637"/>
      <c r="Z475" s="637"/>
      <c r="AA475" s="637"/>
      <c r="AB475" s="637"/>
      <c r="AC475" s="637"/>
      <c r="AD475" s="606"/>
      <c r="AE475" s="606"/>
      <c r="AF475" s="606"/>
      <c r="AG475" s="606"/>
    </row>
    <row r="476" spans="1:33" s="612" customFormat="1" hidden="1" outlineLevel="3" x14ac:dyDescent="0.2">
      <c r="A476" s="606"/>
      <c r="B476" s="606"/>
      <c r="C476" s="607"/>
      <c r="D476" s="608"/>
      <c r="E476" s="608"/>
      <c r="F476" s="608"/>
      <c r="G476" s="608"/>
      <c r="H476" s="609"/>
      <c r="I476" s="637"/>
      <c r="J476" s="637"/>
      <c r="K476" s="637"/>
      <c r="L476" s="637"/>
      <c r="M476" s="637"/>
      <c r="N476" s="637"/>
      <c r="O476" s="637"/>
      <c r="P476" s="637"/>
      <c r="Q476" s="637"/>
      <c r="R476" s="637"/>
      <c r="S476" s="637"/>
      <c r="T476" s="637"/>
      <c r="U476" s="637"/>
      <c r="V476" s="637"/>
      <c r="W476" s="637"/>
      <c r="X476" s="637"/>
      <c r="Y476" s="637"/>
      <c r="Z476" s="637"/>
      <c r="AA476" s="637"/>
      <c r="AB476" s="637"/>
      <c r="AC476" s="637"/>
      <c r="AD476" s="606"/>
      <c r="AE476" s="606"/>
      <c r="AF476" s="606"/>
      <c r="AG476" s="606"/>
    </row>
    <row r="477" spans="1:33" s="612" customFormat="1" hidden="1" outlineLevel="3" x14ac:dyDescent="0.2">
      <c r="A477" s="606"/>
      <c r="B477" s="606"/>
      <c r="C477" s="607"/>
      <c r="D477" s="608"/>
      <c r="E477" s="608"/>
      <c r="F477" s="608"/>
      <c r="G477" s="608"/>
      <c r="H477" s="609"/>
      <c r="I477" s="637"/>
      <c r="J477" s="637"/>
      <c r="K477" s="637"/>
      <c r="L477" s="637"/>
      <c r="M477" s="637"/>
      <c r="N477" s="637"/>
      <c r="O477" s="637"/>
      <c r="P477" s="637"/>
      <c r="Q477" s="637"/>
      <c r="R477" s="637"/>
      <c r="S477" s="637"/>
      <c r="T477" s="637"/>
      <c r="U477" s="637"/>
      <c r="V477" s="637"/>
      <c r="W477" s="637"/>
      <c r="X477" s="637"/>
      <c r="Y477" s="637"/>
      <c r="Z477" s="637"/>
      <c r="AA477" s="637"/>
      <c r="AB477" s="637"/>
      <c r="AC477" s="637"/>
      <c r="AD477" s="606"/>
      <c r="AE477" s="606"/>
      <c r="AF477" s="606"/>
      <c r="AG477" s="606"/>
    </row>
    <row r="478" spans="1:33" s="612" customFormat="1" hidden="1" outlineLevel="3" x14ac:dyDescent="0.2">
      <c r="A478" s="606"/>
      <c r="B478" s="606"/>
      <c r="C478" s="607"/>
      <c r="D478" s="608"/>
      <c r="E478" s="608"/>
      <c r="F478" s="608"/>
      <c r="G478" s="608"/>
      <c r="H478" s="609"/>
      <c r="I478" s="637"/>
      <c r="J478" s="637"/>
      <c r="K478" s="637"/>
      <c r="L478" s="637"/>
      <c r="M478" s="637"/>
      <c r="N478" s="637"/>
      <c r="O478" s="637"/>
      <c r="P478" s="637"/>
      <c r="Q478" s="637"/>
      <c r="R478" s="637"/>
      <c r="S478" s="637"/>
      <c r="T478" s="637"/>
      <c r="U478" s="637"/>
      <c r="V478" s="637"/>
      <c r="W478" s="637"/>
      <c r="X478" s="637"/>
      <c r="Y478" s="637"/>
      <c r="Z478" s="637"/>
      <c r="AA478" s="637"/>
      <c r="AB478" s="637"/>
      <c r="AC478" s="637"/>
      <c r="AD478" s="606"/>
      <c r="AE478" s="606"/>
      <c r="AF478" s="606"/>
      <c r="AG478" s="606"/>
    </row>
    <row r="479" spans="1:33" s="612" customFormat="1" hidden="1" outlineLevel="3" x14ac:dyDescent="0.2">
      <c r="A479" s="606"/>
      <c r="B479" s="606"/>
      <c r="C479" s="607"/>
      <c r="D479" s="608"/>
      <c r="E479" s="608"/>
      <c r="F479" s="608"/>
      <c r="G479" s="608"/>
      <c r="H479" s="609"/>
      <c r="I479" s="637"/>
      <c r="J479" s="637"/>
      <c r="K479" s="637"/>
      <c r="L479" s="637"/>
      <c r="M479" s="637"/>
      <c r="N479" s="637"/>
      <c r="O479" s="637"/>
      <c r="P479" s="637"/>
      <c r="Q479" s="637"/>
      <c r="R479" s="637"/>
      <c r="S479" s="637"/>
      <c r="T479" s="637"/>
      <c r="U479" s="637"/>
      <c r="V479" s="637"/>
      <c r="W479" s="637"/>
      <c r="X479" s="637"/>
      <c r="Y479" s="637"/>
      <c r="Z479" s="637"/>
      <c r="AA479" s="637"/>
      <c r="AB479" s="637"/>
      <c r="AC479" s="637"/>
      <c r="AD479" s="606"/>
      <c r="AE479" s="606"/>
      <c r="AF479" s="606"/>
      <c r="AG479" s="606"/>
    </row>
    <row r="480" spans="1:33" s="612" customFormat="1" hidden="1" outlineLevel="3" x14ac:dyDescent="0.2">
      <c r="A480" s="606"/>
      <c r="B480" s="606"/>
      <c r="C480" s="607"/>
      <c r="D480" s="608"/>
      <c r="E480" s="608"/>
      <c r="F480" s="608"/>
      <c r="G480" s="608"/>
      <c r="H480" s="609"/>
      <c r="I480" s="637"/>
      <c r="J480" s="637"/>
      <c r="K480" s="637"/>
      <c r="L480" s="637"/>
      <c r="M480" s="637"/>
      <c r="N480" s="637"/>
      <c r="O480" s="637"/>
      <c r="P480" s="637"/>
      <c r="Q480" s="637"/>
      <c r="R480" s="637"/>
      <c r="S480" s="637"/>
      <c r="T480" s="637"/>
      <c r="U480" s="637"/>
      <c r="V480" s="637"/>
      <c r="W480" s="637"/>
      <c r="X480" s="637"/>
      <c r="Y480" s="637"/>
      <c r="Z480" s="637"/>
      <c r="AA480" s="637"/>
      <c r="AB480" s="637"/>
      <c r="AC480" s="637"/>
      <c r="AD480" s="606"/>
      <c r="AE480" s="606"/>
      <c r="AF480" s="606"/>
      <c r="AG480" s="606"/>
    </row>
    <row r="481" spans="1:33" s="612" customFormat="1" hidden="1" outlineLevel="3" x14ac:dyDescent="0.2">
      <c r="A481" s="606"/>
      <c r="B481" s="606"/>
      <c r="C481" s="607"/>
      <c r="D481" s="608"/>
      <c r="E481" s="608"/>
      <c r="F481" s="608"/>
      <c r="G481" s="608"/>
      <c r="H481" s="609"/>
      <c r="I481" s="637"/>
      <c r="J481" s="637"/>
      <c r="K481" s="637"/>
      <c r="L481" s="637"/>
      <c r="M481" s="637"/>
      <c r="N481" s="637"/>
      <c r="O481" s="637"/>
      <c r="P481" s="637"/>
      <c r="Q481" s="637"/>
      <c r="R481" s="637"/>
      <c r="S481" s="637"/>
      <c r="T481" s="637"/>
      <c r="U481" s="637"/>
      <c r="V481" s="637"/>
      <c r="W481" s="637"/>
      <c r="X481" s="637"/>
      <c r="Y481" s="637"/>
      <c r="Z481" s="637"/>
      <c r="AA481" s="637"/>
      <c r="AB481" s="637"/>
      <c r="AC481" s="637"/>
      <c r="AD481" s="606"/>
      <c r="AE481" s="606"/>
      <c r="AF481" s="606"/>
      <c r="AG481" s="606"/>
    </row>
    <row r="482" spans="1:33" s="612" customFormat="1" hidden="1" outlineLevel="3" x14ac:dyDescent="0.2">
      <c r="A482" s="606"/>
      <c r="B482" s="606"/>
      <c r="C482" s="607"/>
      <c r="D482" s="608"/>
      <c r="E482" s="608"/>
      <c r="F482" s="608"/>
      <c r="G482" s="608"/>
      <c r="H482" s="609"/>
      <c r="I482" s="637"/>
      <c r="J482" s="637"/>
      <c r="K482" s="637"/>
      <c r="L482" s="637"/>
      <c r="M482" s="637"/>
      <c r="N482" s="637"/>
      <c r="O482" s="637"/>
      <c r="P482" s="637"/>
      <c r="Q482" s="637"/>
      <c r="R482" s="637"/>
      <c r="S482" s="637"/>
      <c r="T482" s="637"/>
      <c r="U482" s="637"/>
      <c r="V482" s="637"/>
      <c r="W482" s="637"/>
      <c r="X482" s="637"/>
      <c r="Y482" s="637"/>
      <c r="Z482" s="637"/>
      <c r="AA482" s="637"/>
      <c r="AB482" s="637"/>
      <c r="AC482" s="637"/>
      <c r="AD482" s="606"/>
      <c r="AE482" s="606"/>
      <c r="AF482" s="606"/>
      <c r="AG482" s="606"/>
    </row>
    <row r="483" spans="1:33" s="612" customFormat="1" hidden="1" outlineLevel="3" x14ac:dyDescent="0.2">
      <c r="A483" s="606"/>
      <c r="B483" s="606"/>
      <c r="C483" s="607"/>
      <c r="D483" s="608"/>
      <c r="E483" s="608"/>
      <c r="F483" s="608"/>
      <c r="G483" s="608"/>
      <c r="H483" s="609"/>
      <c r="I483" s="637"/>
      <c r="J483" s="637"/>
      <c r="K483" s="637"/>
      <c r="L483" s="637"/>
      <c r="M483" s="637"/>
      <c r="N483" s="637"/>
      <c r="O483" s="637"/>
      <c r="P483" s="637"/>
      <c r="Q483" s="637"/>
      <c r="R483" s="637"/>
      <c r="S483" s="637"/>
      <c r="T483" s="637"/>
      <c r="U483" s="637"/>
      <c r="V483" s="637"/>
      <c r="W483" s="637"/>
      <c r="X483" s="637"/>
      <c r="Y483" s="637"/>
      <c r="Z483" s="637"/>
      <c r="AA483" s="637"/>
      <c r="AB483" s="637"/>
      <c r="AC483" s="637"/>
      <c r="AD483" s="606"/>
      <c r="AE483" s="606"/>
      <c r="AF483" s="606"/>
      <c r="AG483" s="606"/>
    </row>
    <row r="484" spans="1:33" s="612" customFormat="1" hidden="1" outlineLevel="3" x14ac:dyDescent="0.2">
      <c r="A484" s="606"/>
      <c r="B484" s="606"/>
      <c r="C484" s="607"/>
      <c r="D484" s="608"/>
      <c r="E484" s="608"/>
      <c r="F484" s="608"/>
      <c r="G484" s="608"/>
      <c r="H484" s="609"/>
      <c r="I484" s="637"/>
      <c r="J484" s="637"/>
      <c r="K484" s="637"/>
      <c r="L484" s="637"/>
      <c r="M484" s="637"/>
      <c r="N484" s="637"/>
      <c r="O484" s="637"/>
      <c r="P484" s="637"/>
      <c r="Q484" s="637"/>
      <c r="R484" s="637"/>
      <c r="S484" s="637"/>
      <c r="T484" s="637"/>
      <c r="U484" s="637"/>
      <c r="V484" s="637"/>
      <c r="W484" s="637"/>
      <c r="X484" s="637"/>
      <c r="Y484" s="637"/>
      <c r="Z484" s="637"/>
      <c r="AA484" s="637"/>
      <c r="AB484" s="637"/>
      <c r="AC484" s="637"/>
      <c r="AD484" s="606"/>
      <c r="AE484" s="606"/>
      <c r="AF484" s="606"/>
      <c r="AG484" s="606"/>
    </row>
    <row r="485" spans="1:33" s="612" customFormat="1" hidden="1" outlineLevel="3" x14ac:dyDescent="0.2">
      <c r="A485" s="606"/>
      <c r="B485" s="606"/>
      <c r="C485" s="607"/>
      <c r="D485" s="608"/>
      <c r="E485" s="608"/>
      <c r="F485" s="608"/>
      <c r="G485" s="608"/>
      <c r="H485" s="609"/>
      <c r="I485" s="637"/>
      <c r="J485" s="637"/>
      <c r="K485" s="637"/>
      <c r="L485" s="637"/>
      <c r="M485" s="637"/>
      <c r="N485" s="637"/>
      <c r="O485" s="637"/>
      <c r="P485" s="637"/>
      <c r="Q485" s="637"/>
      <c r="R485" s="637"/>
      <c r="S485" s="637"/>
      <c r="T485" s="637"/>
      <c r="U485" s="637"/>
      <c r="V485" s="637"/>
      <c r="W485" s="637"/>
      <c r="X485" s="637"/>
      <c r="Y485" s="637"/>
      <c r="Z485" s="637"/>
      <c r="AA485" s="637"/>
      <c r="AB485" s="637"/>
      <c r="AC485" s="637"/>
      <c r="AD485" s="606"/>
      <c r="AE485" s="606"/>
      <c r="AF485" s="606"/>
      <c r="AG485" s="606"/>
    </row>
    <row r="486" spans="1:33" s="612" customFormat="1" hidden="1" outlineLevel="3" x14ac:dyDescent="0.2">
      <c r="A486" s="606"/>
      <c r="B486" s="606"/>
      <c r="C486" s="607"/>
      <c r="D486" s="608"/>
      <c r="E486" s="608"/>
      <c r="F486" s="608"/>
      <c r="G486" s="608"/>
      <c r="H486" s="609"/>
      <c r="I486" s="637"/>
      <c r="J486" s="637"/>
      <c r="K486" s="637"/>
      <c r="L486" s="637"/>
      <c r="M486" s="637"/>
      <c r="N486" s="637"/>
      <c r="O486" s="637"/>
      <c r="P486" s="637"/>
      <c r="Q486" s="637"/>
      <c r="R486" s="637"/>
      <c r="S486" s="637"/>
      <c r="T486" s="637"/>
      <c r="U486" s="637"/>
      <c r="V486" s="637"/>
      <c r="W486" s="637"/>
      <c r="X486" s="637"/>
      <c r="Y486" s="637"/>
      <c r="Z486" s="637"/>
      <c r="AA486" s="637"/>
      <c r="AB486" s="637"/>
      <c r="AC486" s="637"/>
      <c r="AD486" s="606"/>
      <c r="AE486" s="606"/>
      <c r="AF486" s="606"/>
      <c r="AG486" s="606"/>
    </row>
    <row r="487" spans="1:33" s="612" customFormat="1" hidden="1" outlineLevel="3" x14ac:dyDescent="0.2">
      <c r="A487" s="606"/>
      <c r="B487" s="606"/>
      <c r="C487" s="607"/>
      <c r="D487" s="608"/>
      <c r="E487" s="608"/>
      <c r="F487" s="608"/>
      <c r="G487" s="608"/>
      <c r="H487" s="609"/>
      <c r="I487" s="637"/>
      <c r="J487" s="637"/>
      <c r="K487" s="637"/>
      <c r="L487" s="637"/>
      <c r="M487" s="637"/>
      <c r="N487" s="637"/>
      <c r="O487" s="637"/>
      <c r="P487" s="637"/>
      <c r="Q487" s="637"/>
      <c r="R487" s="637"/>
      <c r="S487" s="637"/>
      <c r="T487" s="637"/>
      <c r="U487" s="637"/>
      <c r="V487" s="637"/>
      <c r="W487" s="637"/>
      <c r="X487" s="637"/>
      <c r="Y487" s="637"/>
      <c r="Z487" s="637"/>
      <c r="AA487" s="637"/>
      <c r="AB487" s="637"/>
      <c r="AC487" s="637"/>
      <c r="AD487" s="606"/>
      <c r="AE487" s="606"/>
      <c r="AF487" s="606"/>
      <c r="AG487" s="606"/>
    </row>
    <row r="488" spans="1:33" s="612" customFormat="1" hidden="1" outlineLevel="3" x14ac:dyDescent="0.2">
      <c r="A488" s="606"/>
      <c r="B488" s="606"/>
      <c r="C488" s="607"/>
      <c r="D488" s="608"/>
      <c r="E488" s="608"/>
      <c r="F488" s="608"/>
      <c r="G488" s="608"/>
      <c r="H488" s="609"/>
      <c r="I488" s="637"/>
      <c r="J488" s="637"/>
      <c r="K488" s="637"/>
      <c r="L488" s="637"/>
      <c r="M488" s="637"/>
      <c r="N488" s="637"/>
      <c r="O488" s="637"/>
      <c r="P488" s="637"/>
      <c r="Q488" s="637"/>
      <c r="R488" s="637"/>
      <c r="S488" s="637"/>
      <c r="T488" s="637"/>
      <c r="U488" s="637"/>
      <c r="V488" s="637"/>
      <c r="W488" s="637"/>
      <c r="X488" s="637"/>
      <c r="Y488" s="637"/>
      <c r="Z488" s="637"/>
      <c r="AA488" s="637"/>
      <c r="AB488" s="637"/>
      <c r="AC488" s="637"/>
      <c r="AD488" s="606"/>
      <c r="AE488" s="606"/>
      <c r="AF488" s="606"/>
      <c r="AG488" s="606"/>
    </row>
    <row r="489" spans="1:33" s="612" customFormat="1" hidden="1" outlineLevel="3" x14ac:dyDescent="0.2">
      <c r="A489" s="606"/>
      <c r="B489" s="606"/>
      <c r="C489" s="607"/>
      <c r="D489" s="608"/>
      <c r="E489" s="608"/>
      <c r="F489" s="608"/>
      <c r="G489" s="608"/>
      <c r="H489" s="609"/>
      <c r="I489" s="637"/>
      <c r="J489" s="637"/>
      <c r="K489" s="637"/>
      <c r="L489" s="637"/>
      <c r="M489" s="637"/>
      <c r="N489" s="637"/>
      <c r="O489" s="637"/>
      <c r="P489" s="637"/>
      <c r="Q489" s="637"/>
      <c r="R489" s="637"/>
      <c r="S489" s="637"/>
      <c r="T489" s="637"/>
      <c r="U489" s="637"/>
      <c r="V489" s="637"/>
      <c r="W489" s="637"/>
      <c r="X489" s="637"/>
      <c r="Y489" s="637"/>
      <c r="Z489" s="637"/>
      <c r="AA489" s="637"/>
      <c r="AB489" s="637"/>
      <c r="AC489" s="637"/>
      <c r="AD489" s="606"/>
      <c r="AE489" s="606"/>
      <c r="AF489" s="606"/>
      <c r="AG489" s="606"/>
    </row>
    <row r="490" spans="1:33" s="612" customFormat="1" hidden="1" outlineLevel="3" x14ac:dyDescent="0.2">
      <c r="A490" s="606"/>
      <c r="B490" s="606"/>
      <c r="C490" s="607"/>
      <c r="D490" s="608"/>
      <c r="E490" s="608"/>
      <c r="F490" s="608"/>
      <c r="G490" s="608"/>
      <c r="H490" s="609"/>
      <c r="I490" s="637"/>
      <c r="J490" s="637"/>
      <c r="K490" s="637"/>
      <c r="L490" s="637"/>
      <c r="M490" s="637"/>
      <c r="N490" s="637"/>
      <c r="O490" s="637"/>
      <c r="P490" s="637"/>
      <c r="Q490" s="637"/>
      <c r="R490" s="637"/>
      <c r="S490" s="637"/>
      <c r="T490" s="637"/>
      <c r="U490" s="637"/>
      <c r="V490" s="637"/>
      <c r="W490" s="637"/>
      <c r="X490" s="637"/>
      <c r="Y490" s="637"/>
      <c r="Z490" s="637"/>
      <c r="AA490" s="637"/>
      <c r="AB490" s="637"/>
      <c r="AC490" s="637"/>
      <c r="AD490" s="606"/>
      <c r="AE490" s="606"/>
      <c r="AF490" s="606"/>
      <c r="AG490" s="606"/>
    </row>
    <row r="491" spans="1:33" s="612" customFormat="1" hidden="1" outlineLevel="3" x14ac:dyDescent="0.2">
      <c r="A491" s="606"/>
      <c r="B491" s="606"/>
      <c r="C491" s="607"/>
      <c r="D491" s="608"/>
      <c r="E491" s="608"/>
      <c r="F491" s="608"/>
      <c r="G491" s="608"/>
      <c r="H491" s="609"/>
      <c r="I491" s="637"/>
      <c r="J491" s="637"/>
      <c r="K491" s="637"/>
      <c r="L491" s="637"/>
      <c r="M491" s="637"/>
      <c r="N491" s="637"/>
      <c r="O491" s="637"/>
      <c r="P491" s="637"/>
      <c r="Q491" s="637"/>
      <c r="R491" s="637"/>
      <c r="S491" s="637"/>
      <c r="T491" s="637"/>
      <c r="U491" s="637"/>
      <c r="V491" s="637"/>
      <c r="W491" s="637"/>
      <c r="X491" s="637"/>
      <c r="Y491" s="637"/>
      <c r="Z491" s="637"/>
      <c r="AA491" s="637"/>
      <c r="AB491" s="637"/>
      <c r="AC491" s="637"/>
      <c r="AD491" s="606"/>
      <c r="AE491" s="606"/>
      <c r="AF491" s="606"/>
      <c r="AG491" s="606"/>
    </row>
    <row r="492" spans="1:33" s="612" customFormat="1" hidden="1" outlineLevel="3" x14ac:dyDescent="0.2">
      <c r="A492" s="606"/>
      <c r="B492" s="606"/>
      <c r="C492" s="607"/>
      <c r="D492" s="608"/>
      <c r="E492" s="608"/>
      <c r="F492" s="608"/>
      <c r="G492" s="608"/>
      <c r="H492" s="609"/>
      <c r="I492" s="637"/>
      <c r="J492" s="637"/>
      <c r="K492" s="637"/>
      <c r="L492" s="637"/>
      <c r="M492" s="637"/>
      <c r="N492" s="637"/>
      <c r="O492" s="637"/>
      <c r="P492" s="637"/>
      <c r="Q492" s="637"/>
      <c r="R492" s="637"/>
      <c r="S492" s="637"/>
      <c r="T492" s="637"/>
      <c r="U492" s="637"/>
      <c r="V492" s="637"/>
      <c r="W492" s="637"/>
      <c r="X492" s="637"/>
      <c r="Y492" s="637"/>
      <c r="Z492" s="637"/>
      <c r="AA492" s="637"/>
      <c r="AB492" s="637"/>
      <c r="AC492" s="637"/>
      <c r="AD492" s="606"/>
      <c r="AE492" s="606"/>
      <c r="AF492" s="606"/>
      <c r="AG492" s="606"/>
    </row>
    <row r="493" spans="1:33" s="612" customFormat="1" hidden="1" outlineLevel="3" x14ac:dyDescent="0.2">
      <c r="A493" s="606"/>
      <c r="B493" s="606"/>
      <c r="C493" s="607"/>
      <c r="D493" s="608"/>
      <c r="E493" s="608"/>
      <c r="F493" s="608"/>
      <c r="G493" s="608"/>
      <c r="H493" s="609"/>
      <c r="I493" s="637"/>
      <c r="J493" s="637"/>
      <c r="K493" s="637"/>
      <c r="L493" s="637"/>
      <c r="M493" s="637"/>
      <c r="N493" s="637"/>
      <c r="O493" s="637"/>
      <c r="P493" s="637"/>
      <c r="Q493" s="637"/>
      <c r="R493" s="637"/>
      <c r="S493" s="637"/>
      <c r="T493" s="637"/>
      <c r="U493" s="637"/>
      <c r="V493" s="637"/>
      <c r="W493" s="637"/>
      <c r="X493" s="637"/>
      <c r="Y493" s="637"/>
      <c r="Z493" s="637"/>
      <c r="AA493" s="637"/>
      <c r="AB493" s="637"/>
      <c r="AC493" s="637"/>
      <c r="AD493" s="606"/>
      <c r="AE493" s="606"/>
      <c r="AF493" s="606"/>
      <c r="AG493" s="606"/>
    </row>
    <row r="494" spans="1:33" s="612" customFormat="1" hidden="1" outlineLevel="3" x14ac:dyDescent="0.2">
      <c r="A494" s="606"/>
      <c r="B494" s="606"/>
      <c r="C494" s="607"/>
      <c r="D494" s="608"/>
      <c r="E494" s="608"/>
      <c r="F494" s="608"/>
      <c r="G494" s="608"/>
      <c r="H494" s="609"/>
      <c r="I494" s="637"/>
      <c r="J494" s="637"/>
      <c r="K494" s="637"/>
      <c r="L494" s="637"/>
      <c r="M494" s="637"/>
      <c r="N494" s="637"/>
      <c r="O494" s="637"/>
      <c r="P494" s="637"/>
      <c r="Q494" s="637"/>
      <c r="R494" s="637"/>
      <c r="S494" s="637"/>
      <c r="T494" s="637"/>
      <c r="U494" s="637"/>
      <c r="V494" s="637"/>
      <c r="W494" s="637"/>
      <c r="X494" s="637"/>
      <c r="Y494" s="637"/>
      <c r="Z494" s="637"/>
      <c r="AA494" s="637"/>
      <c r="AB494" s="637"/>
      <c r="AC494" s="637"/>
      <c r="AD494" s="606"/>
      <c r="AE494" s="606"/>
      <c r="AF494" s="606"/>
      <c r="AG494" s="606"/>
    </row>
    <row r="495" spans="1:33" s="612" customFormat="1" hidden="1" outlineLevel="3" x14ac:dyDescent="0.2">
      <c r="A495" s="606"/>
      <c r="B495" s="606"/>
      <c r="C495" s="607"/>
      <c r="D495" s="608"/>
      <c r="E495" s="608"/>
      <c r="F495" s="608"/>
      <c r="G495" s="608"/>
      <c r="H495" s="609"/>
      <c r="I495" s="637"/>
      <c r="J495" s="637"/>
      <c r="K495" s="637"/>
      <c r="L495" s="637"/>
      <c r="M495" s="637"/>
      <c r="N495" s="637"/>
      <c r="O495" s="637"/>
      <c r="P495" s="637"/>
      <c r="Q495" s="637"/>
      <c r="R495" s="637"/>
      <c r="S495" s="637"/>
      <c r="T495" s="637"/>
      <c r="U495" s="637"/>
      <c r="V495" s="637"/>
      <c r="W495" s="637"/>
      <c r="X495" s="637"/>
      <c r="Y495" s="637"/>
      <c r="Z495" s="637"/>
      <c r="AA495" s="637"/>
      <c r="AB495" s="637"/>
      <c r="AC495" s="637"/>
      <c r="AD495" s="606"/>
      <c r="AE495" s="606"/>
      <c r="AF495" s="606"/>
      <c r="AG495" s="606"/>
    </row>
    <row r="496" spans="1:33" s="612" customFormat="1" hidden="1" outlineLevel="3" x14ac:dyDescent="0.2">
      <c r="A496" s="606"/>
      <c r="B496" s="606"/>
      <c r="C496" s="607"/>
      <c r="D496" s="608"/>
      <c r="E496" s="608"/>
      <c r="F496" s="608"/>
      <c r="G496" s="608"/>
      <c r="H496" s="609"/>
      <c r="I496" s="637"/>
      <c r="J496" s="637"/>
      <c r="K496" s="637"/>
      <c r="L496" s="637"/>
      <c r="M496" s="637"/>
      <c r="N496" s="637"/>
      <c r="O496" s="637"/>
      <c r="P496" s="637"/>
      <c r="Q496" s="637"/>
      <c r="R496" s="637"/>
      <c r="S496" s="637"/>
      <c r="T496" s="637"/>
      <c r="U496" s="637"/>
      <c r="V496" s="637"/>
      <c r="W496" s="637"/>
      <c r="X496" s="637"/>
      <c r="Y496" s="637"/>
      <c r="Z496" s="637"/>
      <c r="AA496" s="637"/>
      <c r="AB496" s="637"/>
      <c r="AC496" s="637"/>
      <c r="AD496" s="606"/>
      <c r="AE496" s="606"/>
      <c r="AF496" s="606"/>
      <c r="AG496" s="606"/>
    </row>
    <row r="497" spans="1:33" s="612" customFormat="1" hidden="1" outlineLevel="3" x14ac:dyDescent="0.2">
      <c r="A497" s="606"/>
      <c r="B497" s="606"/>
      <c r="C497" s="607"/>
      <c r="D497" s="608"/>
      <c r="E497" s="608"/>
      <c r="F497" s="608"/>
      <c r="G497" s="608"/>
      <c r="H497" s="609"/>
      <c r="I497" s="637"/>
      <c r="J497" s="637"/>
      <c r="K497" s="637"/>
      <c r="L497" s="637"/>
      <c r="M497" s="637"/>
      <c r="N497" s="637"/>
      <c r="O497" s="637"/>
      <c r="P497" s="637"/>
      <c r="Q497" s="637"/>
      <c r="R497" s="637"/>
      <c r="S497" s="637"/>
      <c r="T497" s="637"/>
      <c r="U497" s="637"/>
      <c r="V497" s="637"/>
      <c r="W497" s="637"/>
      <c r="X497" s="637"/>
      <c r="Y497" s="637"/>
      <c r="Z497" s="637"/>
      <c r="AA497" s="637"/>
      <c r="AB497" s="637"/>
      <c r="AC497" s="637"/>
      <c r="AD497" s="606"/>
      <c r="AE497" s="606"/>
      <c r="AF497" s="606"/>
      <c r="AG497" s="606"/>
    </row>
    <row r="498" spans="1:33" s="612" customFormat="1" hidden="1" outlineLevel="3" x14ac:dyDescent="0.2">
      <c r="A498" s="606"/>
      <c r="B498" s="606"/>
      <c r="C498" s="607"/>
      <c r="D498" s="608"/>
      <c r="E498" s="608"/>
      <c r="F498" s="608"/>
      <c r="G498" s="608"/>
      <c r="H498" s="609"/>
      <c r="I498" s="637"/>
      <c r="J498" s="637"/>
      <c r="K498" s="637"/>
      <c r="L498" s="637"/>
      <c r="M498" s="637"/>
      <c r="N498" s="637"/>
      <c r="O498" s="637"/>
      <c r="P498" s="637"/>
      <c r="Q498" s="637"/>
      <c r="R498" s="637"/>
      <c r="S498" s="637"/>
      <c r="T498" s="637"/>
      <c r="U498" s="637"/>
      <c r="V498" s="637"/>
      <c r="W498" s="637"/>
      <c r="X498" s="637"/>
      <c r="Y498" s="637"/>
      <c r="Z498" s="637"/>
      <c r="AA498" s="637"/>
      <c r="AB498" s="637"/>
      <c r="AC498" s="637"/>
      <c r="AD498" s="606"/>
      <c r="AE498" s="606"/>
      <c r="AF498" s="606"/>
      <c r="AG498" s="606"/>
    </row>
    <row r="499" spans="1:33" s="612" customFormat="1" hidden="1" outlineLevel="3" x14ac:dyDescent="0.2">
      <c r="A499" s="606"/>
      <c r="B499" s="606"/>
      <c r="C499" s="607"/>
      <c r="D499" s="608"/>
      <c r="E499" s="608"/>
      <c r="F499" s="608"/>
      <c r="G499" s="608"/>
      <c r="H499" s="609"/>
      <c r="I499" s="637"/>
      <c r="J499" s="637"/>
      <c r="K499" s="637"/>
      <c r="L499" s="637"/>
      <c r="M499" s="637"/>
      <c r="N499" s="637"/>
      <c r="O499" s="637"/>
      <c r="P499" s="637"/>
      <c r="Q499" s="637"/>
      <c r="R499" s="637"/>
      <c r="S499" s="637"/>
      <c r="T499" s="637"/>
      <c r="U499" s="637"/>
      <c r="V499" s="637"/>
      <c r="W499" s="637"/>
      <c r="X499" s="637"/>
      <c r="Y499" s="637"/>
      <c r="Z499" s="637"/>
      <c r="AA499" s="637"/>
      <c r="AB499" s="637"/>
      <c r="AC499" s="637"/>
      <c r="AD499" s="606"/>
      <c r="AE499" s="606"/>
      <c r="AF499" s="606"/>
      <c r="AG499" s="606"/>
    </row>
    <row r="500" spans="1:33" s="612" customFormat="1" hidden="1" outlineLevel="3" x14ac:dyDescent="0.2">
      <c r="A500" s="606"/>
      <c r="B500" s="606"/>
      <c r="C500" s="607"/>
      <c r="D500" s="608"/>
      <c r="E500" s="608"/>
      <c r="F500" s="608"/>
      <c r="G500" s="608"/>
      <c r="H500" s="609"/>
      <c r="I500" s="637"/>
      <c r="J500" s="637"/>
      <c r="K500" s="637"/>
      <c r="L500" s="637"/>
      <c r="M500" s="637"/>
      <c r="N500" s="637"/>
      <c r="O500" s="637"/>
      <c r="P500" s="637"/>
      <c r="Q500" s="637"/>
      <c r="R500" s="637"/>
      <c r="S500" s="637"/>
      <c r="T500" s="637"/>
      <c r="U500" s="637"/>
      <c r="V500" s="637"/>
      <c r="W500" s="637"/>
      <c r="X500" s="637"/>
      <c r="Y500" s="637"/>
      <c r="Z500" s="637"/>
      <c r="AA500" s="637"/>
      <c r="AB500" s="637"/>
      <c r="AC500" s="637"/>
      <c r="AD500" s="606"/>
      <c r="AE500" s="606"/>
      <c r="AF500" s="606"/>
      <c r="AG500" s="606"/>
    </row>
    <row r="501" spans="1:33" s="612" customFormat="1" hidden="1" outlineLevel="3" x14ac:dyDescent="0.2">
      <c r="A501" s="606"/>
      <c r="B501" s="606"/>
      <c r="C501" s="607"/>
      <c r="D501" s="608"/>
      <c r="E501" s="608"/>
      <c r="F501" s="608"/>
      <c r="G501" s="608"/>
      <c r="H501" s="609"/>
      <c r="I501" s="637"/>
      <c r="J501" s="637"/>
      <c r="K501" s="637"/>
      <c r="L501" s="637"/>
      <c r="M501" s="637"/>
      <c r="N501" s="637"/>
      <c r="O501" s="637"/>
      <c r="P501" s="637"/>
      <c r="Q501" s="637"/>
      <c r="R501" s="637"/>
      <c r="S501" s="637"/>
      <c r="T501" s="637"/>
      <c r="U501" s="637"/>
      <c r="V501" s="637"/>
      <c r="W501" s="637"/>
      <c r="X501" s="637"/>
      <c r="Y501" s="637"/>
      <c r="Z501" s="637"/>
      <c r="AA501" s="637"/>
      <c r="AB501" s="637"/>
      <c r="AC501" s="637"/>
      <c r="AD501" s="606"/>
      <c r="AE501" s="606"/>
      <c r="AF501" s="606"/>
      <c r="AG501" s="606"/>
    </row>
    <row r="502" spans="1:33" s="612" customFormat="1" hidden="1" outlineLevel="3" x14ac:dyDescent="0.2">
      <c r="A502" s="606"/>
      <c r="B502" s="606"/>
      <c r="C502" s="607"/>
      <c r="D502" s="608"/>
      <c r="E502" s="608"/>
      <c r="F502" s="608"/>
      <c r="G502" s="608"/>
      <c r="H502" s="609"/>
      <c r="I502" s="637"/>
      <c r="J502" s="637"/>
      <c r="K502" s="637"/>
      <c r="L502" s="637"/>
      <c r="M502" s="637"/>
      <c r="N502" s="637"/>
      <c r="O502" s="637"/>
      <c r="P502" s="637"/>
      <c r="Q502" s="637"/>
      <c r="R502" s="637"/>
      <c r="S502" s="637"/>
      <c r="T502" s="637"/>
      <c r="U502" s="637"/>
      <c r="V502" s="637"/>
      <c r="W502" s="637"/>
      <c r="X502" s="637"/>
      <c r="Y502" s="637"/>
      <c r="Z502" s="637"/>
      <c r="AA502" s="637"/>
      <c r="AB502" s="637"/>
      <c r="AC502" s="637"/>
      <c r="AD502" s="606"/>
      <c r="AE502" s="606"/>
      <c r="AF502" s="606"/>
      <c r="AG502" s="606"/>
    </row>
    <row r="503" spans="1:33" s="612" customFormat="1" hidden="1" outlineLevel="3" x14ac:dyDescent="0.2">
      <c r="A503" s="606"/>
      <c r="B503" s="606"/>
      <c r="C503" s="607"/>
      <c r="D503" s="608"/>
      <c r="E503" s="608"/>
      <c r="F503" s="608"/>
      <c r="G503" s="608"/>
      <c r="H503" s="609"/>
      <c r="I503" s="637"/>
      <c r="J503" s="637"/>
      <c r="K503" s="637"/>
      <c r="L503" s="637"/>
      <c r="M503" s="637"/>
      <c r="N503" s="637"/>
      <c r="O503" s="637"/>
      <c r="P503" s="637"/>
      <c r="Q503" s="637"/>
      <c r="R503" s="637"/>
      <c r="S503" s="637"/>
      <c r="T503" s="637"/>
      <c r="U503" s="637"/>
      <c r="V503" s="637"/>
      <c r="W503" s="637"/>
      <c r="X503" s="637"/>
      <c r="Y503" s="637"/>
      <c r="Z503" s="637"/>
      <c r="AA503" s="637"/>
      <c r="AB503" s="637"/>
      <c r="AC503" s="637"/>
      <c r="AD503" s="606"/>
      <c r="AE503" s="606"/>
      <c r="AF503" s="606"/>
      <c r="AG503" s="606"/>
    </row>
    <row r="504" spans="1:33" s="612" customFormat="1" hidden="1" outlineLevel="3" x14ac:dyDescent="0.2">
      <c r="A504" s="606"/>
      <c r="B504" s="606"/>
      <c r="C504" s="607"/>
      <c r="D504" s="608"/>
      <c r="E504" s="608"/>
      <c r="F504" s="608"/>
      <c r="G504" s="608"/>
      <c r="H504" s="609"/>
      <c r="I504" s="637"/>
      <c r="J504" s="637"/>
      <c r="K504" s="637"/>
      <c r="L504" s="637"/>
      <c r="M504" s="637"/>
      <c r="N504" s="637"/>
      <c r="O504" s="637"/>
      <c r="P504" s="637"/>
      <c r="Q504" s="637"/>
      <c r="R504" s="637"/>
      <c r="S504" s="637"/>
      <c r="T504" s="637"/>
      <c r="U504" s="637"/>
      <c r="V504" s="637"/>
      <c r="W504" s="637"/>
      <c r="X504" s="637"/>
      <c r="Y504" s="637"/>
      <c r="Z504" s="637"/>
      <c r="AA504" s="637"/>
      <c r="AB504" s="637"/>
      <c r="AC504" s="637"/>
      <c r="AD504" s="606"/>
      <c r="AE504" s="606"/>
      <c r="AF504" s="606"/>
      <c r="AG504" s="606"/>
    </row>
    <row r="505" spans="1:33" s="612" customFormat="1" hidden="1" outlineLevel="3" x14ac:dyDescent="0.2">
      <c r="A505" s="606"/>
      <c r="B505" s="606"/>
      <c r="C505" s="607"/>
      <c r="D505" s="608"/>
      <c r="E505" s="608"/>
      <c r="F505" s="608"/>
      <c r="G505" s="608"/>
      <c r="H505" s="609"/>
      <c r="I505" s="637"/>
      <c r="J505" s="637"/>
      <c r="K505" s="637"/>
      <c r="L505" s="637"/>
      <c r="M505" s="637"/>
      <c r="N505" s="637"/>
      <c r="O505" s="637"/>
      <c r="P505" s="637"/>
      <c r="Q505" s="637"/>
      <c r="R505" s="637"/>
      <c r="S505" s="637"/>
      <c r="T505" s="637"/>
      <c r="U505" s="637"/>
      <c r="V505" s="637"/>
      <c r="W505" s="637"/>
      <c r="X505" s="637"/>
      <c r="Y505" s="637"/>
      <c r="Z505" s="637"/>
      <c r="AA505" s="637"/>
      <c r="AB505" s="637"/>
      <c r="AC505" s="637"/>
      <c r="AD505" s="606"/>
      <c r="AE505" s="606"/>
      <c r="AF505" s="606"/>
      <c r="AG505" s="606"/>
    </row>
    <row r="506" spans="1:33" s="612" customFormat="1" hidden="1" outlineLevel="3" x14ac:dyDescent="0.2">
      <c r="A506" s="606"/>
      <c r="B506" s="606"/>
      <c r="C506" s="607"/>
      <c r="D506" s="608"/>
      <c r="E506" s="608"/>
      <c r="F506" s="608"/>
      <c r="G506" s="608"/>
      <c r="H506" s="609"/>
      <c r="I506" s="637"/>
      <c r="J506" s="637"/>
      <c r="K506" s="637"/>
      <c r="L506" s="637"/>
      <c r="M506" s="637"/>
      <c r="N506" s="637"/>
      <c r="O506" s="637"/>
      <c r="P506" s="637"/>
      <c r="Q506" s="637"/>
      <c r="R506" s="637"/>
      <c r="S506" s="637"/>
      <c r="T506" s="637"/>
      <c r="U506" s="637"/>
      <c r="V506" s="637"/>
      <c r="W506" s="637"/>
      <c r="X506" s="637"/>
      <c r="Y506" s="637"/>
      <c r="Z506" s="637"/>
      <c r="AA506" s="637"/>
      <c r="AB506" s="637"/>
      <c r="AC506" s="637"/>
      <c r="AD506" s="606"/>
      <c r="AE506" s="606"/>
      <c r="AF506" s="606"/>
      <c r="AG506" s="606"/>
    </row>
    <row r="507" spans="1:33" s="612" customFormat="1" hidden="1" outlineLevel="3" x14ac:dyDescent="0.2">
      <c r="A507" s="606"/>
      <c r="B507" s="606"/>
      <c r="C507" s="607"/>
      <c r="D507" s="608"/>
      <c r="E507" s="608"/>
      <c r="F507" s="608"/>
      <c r="G507" s="608"/>
      <c r="H507" s="609"/>
      <c r="I507" s="637"/>
      <c r="J507" s="637"/>
      <c r="K507" s="637"/>
      <c r="L507" s="637"/>
      <c r="M507" s="637"/>
      <c r="N507" s="637"/>
      <c r="O507" s="637"/>
      <c r="P507" s="637"/>
      <c r="Q507" s="637"/>
      <c r="R507" s="637"/>
      <c r="S507" s="637"/>
      <c r="T507" s="637"/>
      <c r="U507" s="637"/>
      <c r="V507" s="637"/>
      <c r="W507" s="637"/>
      <c r="X507" s="637"/>
      <c r="Y507" s="637"/>
      <c r="Z507" s="637"/>
      <c r="AA507" s="637"/>
      <c r="AB507" s="637"/>
      <c r="AC507" s="637"/>
      <c r="AD507" s="606"/>
      <c r="AE507" s="606"/>
      <c r="AF507" s="606"/>
      <c r="AG507" s="606"/>
    </row>
    <row r="508" spans="1:33" s="612" customFormat="1" hidden="1" outlineLevel="3" x14ac:dyDescent="0.2">
      <c r="A508" s="606"/>
      <c r="B508" s="606"/>
      <c r="C508" s="607"/>
      <c r="D508" s="608"/>
      <c r="E508" s="608"/>
      <c r="F508" s="608"/>
      <c r="G508" s="608"/>
      <c r="H508" s="609"/>
      <c r="I508" s="637"/>
      <c r="J508" s="637"/>
      <c r="K508" s="637"/>
      <c r="L508" s="637"/>
      <c r="M508" s="637"/>
      <c r="N508" s="637"/>
      <c r="O508" s="637"/>
      <c r="P508" s="637"/>
      <c r="Q508" s="637"/>
      <c r="R508" s="637"/>
      <c r="S508" s="637"/>
      <c r="T508" s="637"/>
      <c r="U508" s="637"/>
      <c r="V508" s="637"/>
      <c r="W508" s="637"/>
      <c r="X508" s="637"/>
      <c r="Y508" s="637"/>
      <c r="Z508" s="637"/>
      <c r="AA508" s="637"/>
      <c r="AB508" s="637"/>
      <c r="AC508" s="637"/>
      <c r="AD508" s="606"/>
      <c r="AE508" s="606"/>
      <c r="AF508" s="606"/>
      <c r="AG508" s="606"/>
    </row>
    <row r="509" spans="1:33" s="612" customFormat="1" hidden="1" outlineLevel="3" x14ac:dyDescent="0.2">
      <c r="A509" s="606"/>
      <c r="B509" s="606"/>
      <c r="C509" s="607"/>
      <c r="D509" s="608"/>
      <c r="E509" s="608"/>
      <c r="F509" s="608"/>
      <c r="G509" s="608"/>
      <c r="H509" s="609"/>
      <c r="I509" s="637"/>
      <c r="J509" s="637"/>
      <c r="K509" s="637"/>
      <c r="L509" s="637"/>
      <c r="M509" s="637"/>
      <c r="N509" s="637"/>
      <c r="O509" s="637"/>
      <c r="P509" s="637"/>
      <c r="Q509" s="637"/>
      <c r="R509" s="637"/>
      <c r="S509" s="637"/>
      <c r="T509" s="637"/>
      <c r="U509" s="637"/>
      <c r="V509" s="637"/>
      <c r="W509" s="637"/>
      <c r="X509" s="637"/>
      <c r="Y509" s="637"/>
      <c r="Z509" s="637"/>
      <c r="AA509" s="637"/>
      <c r="AB509" s="637"/>
      <c r="AC509" s="637"/>
      <c r="AD509" s="606"/>
      <c r="AE509" s="606"/>
      <c r="AF509" s="606"/>
      <c r="AG509" s="606"/>
    </row>
    <row r="510" spans="1:33" s="612" customFormat="1" hidden="1" outlineLevel="3" x14ac:dyDescent="0.2">
      <c r="A510" s="606"/>
      <c r="B510" s="606"/>
      <c r="C510" s="607"/>
      <c r="D510" s="608"/>
      <c r="E510" s="608"/>
      <c r="F510" s="608"/>
      <c r="G510" s="608"/>
      <c r="H510" s="609"/>
      <c r="I510" s="637"/>
      <c r="J510" s="637"/>
      <c r="K510" s="637"/>
      <c r="L510" s="637"/>
      <c r="M510" s="637"/>
      <c r="N510" s="637"/>
      <c r="O510" s="637"/>
      <c r="P510" s="637"/>
      <c r="Q510" s="637"/>
      <c r="R510" s="637"/>
      <c r="S510" s="637"/>
      <c r="T510" s="637"/>
      <c r="U510" s="637"/>
      <c r="V510" s="637"/>
      <c r="W510" s="637"/>
      <c r="X510" s="637"/>
      <c r="Y510" s="637"/>
      <c r="Z510" s="637"/>
      <c r="AA510" s="637"/>
      <c r="AB510" s="637"/>
      <c r="AC510" s="637"/>
      <c r="AD510" s="606"/>
      <c r="AE510" s="606"/>
      <c r="AF510" s="606"/>
      <c r="AG510" s="606"/>
    </row>
    <row r="511" spans="1:33" s="612" customFormat="1" hidden="1" outlineLevel="3" x14ac:dyDescent="0.2">
      <c r="A511" s="606"/>
      <c r="B511" s="606"/>
      <c r="C511" s="607"/>
      <c r="D511" s="608"/>
      <c r="E511" s="608"/>
      <c r="F511" s="608"/>
      <c r="G511" s="608"/>
      <c r="H511" s="609"/>
      <c r="I511" s="637"/>
      <c r="J511" s="637"/>
      <c r="K511" s="637"/>
      <c r="L511" s="637"/>
      <c r="M511" s="637"/>
      <c r="N511" s="637"/>
      <c r="O511" s="637"/>
      <c r="P511" s="637"/>
      <c r="Q511" s="637"/>
      <c r="R511" s="637"/>
      <c r="S511" s="637"/>
      <c r="T511" s="637"/>
      <c r="U511" s="637"/>
      <c r="V511" s="637"/>
      <c r="W511" s="637"/>
      <c r="X511" s="637"/>
      <c r="Y511" s="637"/>
      <c r="Z511" s="637"/>
      <c r="AA511" s="637"/>
      <c r="AB511" s="637"/>
      <c r="AC511" s="637"/>
      <c r="AD511" s="606"/>
      <c r="AE511" s="606"/>
      <c r="AF511" s="606"/>
      <c r="AG511" s="606"/>
    </row>
    <row r="512" spans="1:33" s="612" customFormat="1" hidden="1" outlineLevel="3" x14ac:dyDescent="0.2">
      <c r="A512" s="606"/>
      <c r="B512" s="606"/>
      <c r="C512" s="607"/>
      <c r="D512" s="608"/>
      <c r="E512" s="608"/>
      <c r="F512" s="608"/>
      <c r="G512" s="608"/>
      <c r="H512" s="609"/>
      <c r="I512" s="637"/>
      <c r="J512" s="637"/>
      <c r="K512" s="637"/>
      <c r="L512" s="637"/>
      <c r="M512" s="637"/>
      <c r="N512" s="637"/>
      <c r="O512" s="637"/>
      <c r="P512" s="637"/>
      <c r="Q512" s="637"/>
      <c r="R512" s="637"/>
      <c r="S512" s="637"/>
      <c r="T512" s="637"/>
      <c r="U512" s="637"/>
      <c r="V512" s="637"/>
      <c r="W512" s="637"/>
      <c r="X512" s="637"/>
      <c r="Y512" s="637"/>
      <c r="Z512" s="637"/>
      <c r="AA512" s="637"/>
      <c r="AB512" s="637"/>
      <c r="AC512" s="637"/>
      <c r="AD512" s="606"/>
      <c r="AE512" s="606"/>
      <c r="AF512" s="606"/>
      <c r="AG512" s="606"/>
    </row>
    <row r="513" spans="1:33" s="612" customFormat="1" hidden="1" outlineLevel="3" x14ac:dyDescent="0.2">
      <c r="A513" s="606"/>
      <c r="B513" s="606"/>
      <c r="C513" s="607"/>
      <c r="D513" s="608"/>
      <c r="E513" s="608"/>
      <c r="F513" s="608"/>
      <c r="G513" s="608"/>
      <c r="H513" s="609"/>
      <c r="I513" s="637"/>
      <c r="J513" s="637"/>
      <c r="K513" s="637"/>
      <c r="L513" s="637"/>
      <c r="M513" s="637"/>
      <c r="N513" s="637"/>
      <c r="O513" s="637"/>
      <c r="P513" s="637"/>
      <c r="Q513" s="637"/>
      <c r="R513" s="637"/>
      <c r="S513" s="637"/>
      <c r="T513" s="637"/>
      <c r="U513" s="637"/>
      <c r="V513" s="637"/>
      <c r="W513" s="637"/>
      <c r="X513" s="637"/>
      <c r="Y513" s="637"/>
      <c r="Z513" s="637"/>
      <c r="AA513" s="637"/>
      <c r="AB513" s="637"/>
      <c r="AC513" s="637"/>
      <c r="AD513" s="606"/>
      <c r="AE513" s="606"/>
      <c r="AF513" s="606"/>
      <c r="AG513" s="606"/>
    </row>
    <row r="514" spans="1:33" s="612" customFormat="1" hidden="1" outlineLevel="3" x14ac:dyDescent="0.2">
      <c r="A514" s="606"/>
      <c r="B514" s="606"/>
      <c r="C514" s="607"/>
      <c r="D514" s="608"/>
      <c r="E514" s="608"/>
      <c r="F514" s="608"/>
      <c r="G514" s="608"/>
      <c r="H514" s="609"/>
      <c r="I514" s="637"/>
      <c r="J514" s="637"/>
      <c r="K514" s="637"/>
      <c r="L514" s="637"/>
      <c r="M514" s="637"/>
      <c r="N514" s="637"/>
      <c r="O514" s="637"/>
      <c r="P514" s="637"/>
      <c r="Q514" s="637"/>
      <c r="R514" s="637"/>
      <c r="S514" s="637"/>
      <c r="T514" s="637"/>
      <c r="U514" s="637"/>
      <c r="V514" s="637"/>
      <c r="W514" s="637"/>
      <c r="X514" s="637"/>
      <c r="Y514" s="637"/>
      <c r="Z514" s="637"/>
      <c r="AA514" s="637"/>
      <c r="AB514" s="637"/>
      <c r="AC514" s="637"/>
      <c r="AD514" s="606"/>
      <c r="AE514" s="606"/>
      <c r="AF514" s="606"/>
      <c r="AG514" s="606"/>
    </row>
    <row r="515" spans="1:33" s="612" customFormat="1" hidden="1" outlineLevel="3" x14ac:dyDescent="0.2">
      <c r="A515" s="606"/>
      <c r="B515" s="606"/>
      <c r="C515" s="607"/>
      <c r="D515" s="608"/>
      <c r="E515" s="608"/>
      <c r="F515" s="608"/>
      <c r="G515" s="608"/>
      <c r="H515" s="609"/>
      <c r="I515" s="637"/>
      <c r="J515" s="637"/>
      <c r="K515" s="637"/>
      <c r="L515" s="637"/>
      <c r="M515" s="637"/>
      <c r="N515" s="637"/>
      <c r="O515" s="637"/>
      <c r="P515" s="637"/>
      <c r="Q515" s="637"/>
      <c r="R515" s="637"/>
      <c r="S515" s="637"/>
      <c r="T515" s="637"/>
      <c r="U515" s="637"/>
      <c r="V515" s="637"/>
      <c r="W515" s="637"/>
      <c r="X515" s="637"/>
      <c r="Y515" s="637"/>
      <c r="Z515" s="637"/>
      <c r="AA515" s="637"/>
      <c r="AB515" s="637"/>
      <c r="AC515" s="637"/>
      <c r="AD515" s="606"/>
      <c r="AE515" s="606"/>
      <c r="AF515" s="606"/>
      <c r="AG515" s="606"/>
    </row>
    <row r="516" spans="1:33" s="612" customFormat="1" hidden="1" outlineLevel="3" x14ac:dyDescent="0.2">
      <c r="A516" s="606"/>
      <c r="B516" s="606"/>
      <c r="C516" s="607"/>
      <c r="D516" s="608"/>
      <c r="E516" s="608"/>
      <c r="F516" s="608"/>
      <c r="G516" s="608"/>
      <c r="H516" s="609"/>
      <c r="I516" s="637"/>
      <c r="J516" s="637"/>
      <c r="K516" s="637"/>
      <c r="L516" s="637"/>
      <c r="M516" s="637"/>
      <c r="N516" s="637"/>
      <c r="O516" s="637"/>
      <c r="P516" s="637"/>
      <c r="Q516" s="637"/>
      <c r="R516" s="637"/>
      <c r="S516" s="637"/>
      <c r="T516" s="637"/>
      <c r="U516" s="637"/>
      <c r="V516" s="637"/>
      <c r="W516" s="637"/>
      <c r="X516" s="637"/>
      <c r="Y516" s="637"/>
      <c r="Z516" s="637"/>
      <c r="AA516" s="637"/>
      <c r="AB516" s="637"/>
      <c r="AC516" s="637"/>
      <c r="AD516" s="606"/>
      <c r="AE516" s="606"/>
      <c r="AF516" s="606"/>
      <c r="AG516" s="606"/>
    </row>
    <row r="517" spans="1:33" s="612" customFormat="1" hidden="1" outlineLevel="3" x14ac:dyDescent="0.2">
      <c r="A517" s="606"/>
      <c r="B517" s="606"/>
      <c r="C517" s="607"/>
      <c r="D517" s="608"/>
      <c r="E517" s="608"/>
      <c r="F517" s="608"/>
      <c r="G517" s="608"/>
      <c r="H517" s="609"/>
      <c r="I517" s="637"/>
      <c r="J517" s="637"/>
      <c r="K517" s="637"/>
      <c r="L517" s="637"/>
      <c r="M517" s="637"/>
      <c r="N517" s="637"/>
      <c r="O517" s="637"/>
      <c r="P517" s="637"/>
      <c r="Q517" s="637"/>
      <c r="R517" s="637"/>
      <c r="S517" s="637"/>
      <c r="T517" s="637"/>
      <c r="U517" s="637"/>
      <c r="V517" s="637"/>
      <c r="W517" s="637"/>
      <c r="X517" s="637"/>
      <c r="Y517" s="637"/>
      <c r="Z517" s="637"/>
      <c r="AA517" s="637"/>
      <c r="AB517" s="637"/>
      <c r="AC517" s="637"/>
      <c r="AD517" s="606"/>
      <c r="AE517" s="606"/>
      <c r="AF517" s="606"/>
      <c r="AG517" s="606"/>
    </row>
    <row r="518" spans="1:33" s="612" customFormat="1" hidden="1" outlineLevel="3" x14ac:dyDescent="0.2">
      <c r="A518" s="606"/>
      <c r="B518" s="606"/>
      <c r="C518" s="607"/>
      <c r="D518" s="608"/>
      <c r="E518" s="608"/>
      <c r="F518" s="608"/>
      <c r="G518" s="608"/>
      <c r="H518" s="609"/>
      <c r="I518" s="637"/>
      <c r="J518" s="637"/>
      <c r="K518" s="637"/>
      <c r="L518" s="637"/>
      <c r="M518" s="637"/>
      <c r="N518" s="637"/>
      <c r="O518" s="637"/>
      <c r="P518" s="637"/>
      <c r="Q518" s="637"/>
      <c r="R518" s="637"/>
      <c r="S518" s="637"/>
      <c r="T518" s="637"/>
      <c r="U518" s="637"/>
      <c r="V518" s="637"/>
      <c r="W518" s="637"/>
      <c r="X518" s="637"/>
      <c r="Y518" s="637"/>
      <c r="Z518" s="637"/>
      <c r="AA518" s="637"/>
      <c r="AB518" s="637"/>
      <c r="AC518" s="637"/>
      <c r="AD518" s="606"/>
      <c r="AE518" s="606"/>
      <c r="AF518" s="606"/>
      <c r="AG518" s="606"/>
    </row>
    <row r="519" spans="1:33" s="612" customFormat="1" hidden="1" outlineLevel="3" x14ac:dyDescent="0.2">
      <c r="A519" s="606"/>
      <c r="B519" s="606"/>
      <c r="C519" s="607"/>
      <c r="D519" s="608"/>
      <c r="E519" s="608"/>
      <c r="F519" s="608"/>
      <c r="G519" s="608"/>
      <c r="H519" s="609"/>
      <c r="I519" s="637"/>
      <c r="J519" s="637"/>
      <c r="K519" s="637"/>
      <c r="L519" s="637"/>
      <c r="M519" s="637"/>
      <c r="N519" s="637"/>
      <c r="O519" s="637"/>
      <c r="P519" s="637"/>
      <c r="Q519" s="637"/>
      <c r="R519" s="637"/>
      <c r="S519" s="637"/>
      <c r="T519" s="637"/>
      <c r="U519" s="637"/>
      <c r="V519" s="637"/>
      <c r="W519" s="637"/>
      <c r="X519" s="637"/>
      <c r="Y519" s="637"/>
      <c r="Z519" s="637"/>
      <c r="AA519" s="637"/>
      <c r="AB519" s="637"/>
      <c r="AC519" s="637"/>
      <c r="AD519" s="606"/>
      <c r="AE519" s="606"/>
      <c r="AF519" s="606"/>
      <c r="AG519" s="606"/>
    </row>
    <row r="520" spans="1:33" s="612" customFormat="1" hidden="1" outlineLevel="3" x14ac:dyDescent="0.2">
      <c r="A520" s="606"/>
      <c r="B520" s="606"/>
      <c r="C520" s="607"/>
      <c r="D520" s="608"/>
      <c r="E520" s="608"/>
      <c r="F520" s="608"/>
      <c r="G520" s="608"/>
      <c r="H520" s="609"/>
      <c r="I520" s="637"/>
      <c r="J520" s="637"/>
      <c r="K520" s="637"/>
      <c r="L520" s="637"/>
      <c r="M520" s="637"/>
      <c r="N520" s="637"/>
      <c r="O520" s="637"/>
      <c r="P520" s="637"/>
      <c r="Q520" s="637"/>
      <c r="R520" s="637"/>
      <c r="S520" s="637"/>
      <c r="T520" s="637"/>
      <c r="U520" s="637"/>
      <c r="V520" s="637"/>
      <c r="W520" s="637"/>
      <c r="X520" s="637"/>
      <c r="Y520" s="637"/>
      <c r="Z520" s="637"/>
      <c r="AA520" s="637"/>
      <c r="AB520" s="637"/>
      <c r="AC520" s="637"/>
      <c r="AD520" s="606"/>
      <c r="AE520" s="606"/>
      <c r="AF520" s="606"/>
      <c r="AG520" s="606"/>
    </row>
    <row r="521" spans="1:33" s="612" customFormat="1" hidden="1" outlineLevel="3" x14ac:dyDescent="0.2">
      <c r="A521" s="606"/>
      <c r="B521" s="606"/>
      <c r="C521" s="607"/>
      <c r="D521" s="608"/>
      <c r="E521" s="608"/>
      <c r="F521" s="608"/>
      <c r="G521" s="608"/>
      <c r="H521" s="609"/>
      <c r="I521" s="637"/>
      <c r="J521" s="637"/>
      <c r="K521" s="637"/>
      <c r="L521" s="637"/>
      <c r="M521" s="637"/>
      <c r="N521" s="637"/>
      <c r="O521" s="637"/>
      <c r="P521" s="637"/>
      <c r="Q521" s="637"/>
      <c r="R521" s="637"/>
      <c r="S521" s="637"/>
      <c r="T521" s="637"/>
      <c r="U521" s="637"/>
      <c r="V521" s="637"/>
      <c r="W521" s="637"/>
      <c r="X521" s="637"/>
      <c r="Y521" s="637"/>
      <c r="Z521" s="637"/>
      <c r="AA521" s="637"/>
      <c r="AB521" s="637"/>
      <c r="AC521" s="637"/>
      <c r="AD521" s="606"/>
      <c r="AE521" s="606"/>
      <c r="AF521" s="606"/>
      <c r="AG521" s="606"/>
    </row>
    <row r="522" spans="1:33" s="612" customFormat="1" hidden="1" outlineLevel="3" x14ac:dyDescent="0.2">
      <c r="A522" s="606"/>
      <c r="B522" s="606"/>
      <c r="C522" s="607"/>
      <c r="D522" s="608"/>
      <c r="E522" s="608"/>
      <c r="F522" s="608"/>
      <c r="G522" s="608"/>
      <c r="H522" s="609"/>
      <c r="I522" s="637"/>
      <c r="J522" s="637"/>
      <c r="K522" s="637"/>
      <c r="L522" s="637"/>
      <c r="M522" s="637"/>
      <c r="N522" s="637"/>
      <c r="O522" s="637"/>
      <c r="P522" s="637"/>
      <c r="Q522" s="637"/>
      <c r="R522" s="637"/>
      <c r="S522" s="637"/>
      <c r="T522" s="637"/>
      <c r="U522" s="637"/>
      <c r="V522" s="637"/>
      <c r="W522" s="637"/>
      <c r="X522" s="637"/>
      <c r="Y522" s="637"/>
      <c r="Z522" s="637"/>
      <c r="AA522" s="637"/>
      <c r="AB522" s="637"/>
      <c r="AC522" s="637"/>
      <c r="AD522" s="606"/>
      <c r="AE522" s="606"/>
      <c r="AF522" s="606"/>
      <c r="AG522" s="606"/>
    </row>
    <row r="523" spans="1:33" s="612" customFormat="1" hidden="1" outlineLevel="3" x14ac:dyDescent="0.2">
      <c r="A523" s="606"/>
      <c r="B523" s="606"/>
      <c r="C523" s="607"/>
      <c r="D523" s="608"/>
      <c r="E523" s="608"/>
      <c r="F523" s="608"/>
      <c r="G523" s="608"/>
      <c r="H523" s="609"/>
      <c r="I523" s="637"/>
      <c r="J523" s="637"/>
      <c r="K523" s="637"/>
      <c r="L523" s="637"/>
      <c r="M523" s="637"/>
      <c r="N523" s="637"/>
      <c r="O523" s="637"/>
      <c r="P523" s="637"/>
      <c r="Q523" s="637"/>
      <c r="R523" s="637"/>
      <c r="S523" s="637"/>
      <c r="T523" s="637"/>
      <c r="U523" s="637"/>
      <c r="V523" s="637"/>
      <c r="W523" s="637"/>
      <c r="X523" s="637"/>
      <c r="Y523" s="637"/>
      <c r="Z523" s="637"/>
      <c r="AA523" s="637"/>
      <c r="AB523" s="637"/>
      <c r="AC523" s="637"/>
      <c r="AD523" s="606"/>
      <c r="AE523" s="606"/>
      <c r="AF523" s="606"/>
      <c r="AG523" s="606"/>
    </row>
    <row r="524" spans="1:33" s="612" customFormat="1" hidden="1" outlineLevel="3" x14ac:dyDescent="0.2">
      <c r="A524" s="606"/>
      <c r="B524" s="606"/>
      <c r="C524" s="607"/>
      <c r="D524" s="608"/>
      <c r="E524" s="608"/>
      <c r="F524" s="608"/>
      <c r="G524" s="608"/>
      <c r="H524" s="609"/>
      <c r="I524" s="637"/>
      <c r="J524" s="637"/>
      <c r="K524" s="637"/>
      <c r="L524" s="637"/>
      <c r="M524" s="637"/>
      <c r="N524" s="637"/>
      <c r="O524" s="637"/>
      <c r="P524" s="637"/>
      <c r="Q524" s="637"/>
      <c r="R524" s="637"/>
      <c r="S524" s="637"/>
      <c r="T524" s="637"/>
      <c r="U524" s="637"/>
      <c r="V524" s="637"/>
      <c r="W524" s="637"/>
      <c r="X524" s="637"/>
      <c r="Y524" s="637"/>
      <c r="Z524" s="637"/>
      <c r="AA524" s="637"/>
      <c r="AB524" s="637"/>
      <c r="AC524" s="637"/>
      <c r="AD524" s="606"/>
      <c r="AE524" s="606"/>
      <c r="AF524" s="606"/>
      <c r="AG524" s="606"/>
    </row>
    <row r="525" spans="1:33" s="612" customFormat="1" hidden="1" outlineLevel="3" x14ac:dyDescent="0.2">
      <c r="A525" s="606"/>
      <c r="B525" s="606"/>
      <c r="C525" s="607"/>
      <c r="D525" s="608"/>
      <c r="E525" s="608"/>
      <c r="F525" s="608"/>
      <c r="G525" s="608"/>
      <c r="H525" s="609"/>
      <c r="I525" s="637"/>
      <c r="J525" s="637"/>
      <c r="K525" s="637"/>
      <c r="L525" s="637"/>
      <c r="M525" s="637"/>
      <c r="N525" s="637"/>
      <c r="O525" s="637"/>
      <c r="P525" s="637"/>
      <c r="Q525" s="637"/>
      <c r="R525" s="637"/>
      <c r="S525" s="637"/>
      <c r="T525" s="637"/>
      <c r="U525" s="637"/>
      <c r="V525" s="637"/>
      <c r="W525" s="637"/>
      <c r="X525" s="637"/>
      <c r="Y525" s="637"/>
      <c r="Z525" s="637"/>
      <c r="AA525" s="637"/>
      <c r="AB525" s="637"/>
      <c r="AC525" s="637"/>
      <c r="AD525" s="606"/>
      <c r="AE525" s="606"/>
      <c r="AF525" s="606"/>
      <c r="AG525" s="606"/>
    </row>
    <row r="526" spans="1:33" s="612" customFormat="1" hidden="1" outlineLevel="3" x14ac:dyDescent="0.2">
      <c r="A526" s="606"/>
      <c r="B526" s="606"/>
      <c r="C526" s="607"/>
      <c r="D526" s="608"/>
      <c r="E526" s="608"/>
      <c r="F526" s="608"/>
      <c r="G526" s="608"/>
      <c r="H526" s="609"/>
      <c r="I526" s="637"/>
      <c r="J526" s="637"/>
      <c r="K526" s="637"/>
      <c r="L526" s="637"/>
      <c r="M526" s="637"/>
      <c r="N526" s="637"/>
      <c r="O526" s="637"/>
      <c r="P526" s="637"/>
      <c r="Q526" s="637"/>
      <c r="R526" s="637"/>
      <c r="S526" s="637"/>
      <c r="T526" s="637"/>
      <c r="U526" s="637"/>
      <c r="V526" s="637"/>
      <c r="W526" s="637"/>
      <c r="X526" s="637"/>
      <c r="Y526" s="637"/>
      <c r="Z526" s="637"/>
      <c r="AA526" s="637"/>
      <c r="AB526" s="637"/>
      <c r="AC526" s="637"/>
      <c r="AD526" s="606"/>
      <c r="AE526" s="606"/>
      <c r="AF526" s="606"/>
      <c r="AG526" s="606"/>
    </row>
    <row r="527" spans="1:33" s="612" customFormat="1" hidden="1" outlineLevel="3" x14ac:dyDescent="0.2">
      <c r="A527" s="606"/>
      <c r="B527" s="606"/>
      <c r="C527" s="607"/>
      <c r="D527" s="608"/>
      <c r="E527" s="608"/>
      <c r="F527" s="608"/>
      <c r="G527" s="608"/>
      <c r="H527" s="609"/>
      <c r="I527" s="637"/>
      <c r="J527" s="637"/>
      <c r="K527" s="637"/>
      <c r="L527" s="637"/>
      <c r="M527" s="637"/>
      <c r="N527" s="637"/>
      <c r="O527" s="637"/>
      <c r="P527" s="637"/>
      <c r="Q527" s="637"/>
      <c r="R527" s="637"/>
      <c r="S527" s="637"/>
      <c r="T527" s="637"/>
      <c r="U527" s="637"/>
      <c r="V527" s="637"/>
      <c r="W527" s="637"/>
      <c r="X527" s="637"/>
      <c r="Y527" s="637"/>
      <c r="Z527" s="637"/>
      <c r="AA527" s="637"/>
      <c r="AB527" s="637"/>
      <c r="AC527" s="637"/>
      <c r="AD527" s="606"/>
      <c r="AE527" s="606"/>
      <c r="AF527" s="606"/>
      <c r="AG527" s="606"/>
    </row>
    <row r="528" spans="1:33" s="612" customFormat="1" hidden="1" outlineLevel="3" x14ac:dyDescent="0.2">
      <c r="A528" s="606"/>
      <c r="B528" s="606"/>
      <c r="C528" s="607"/>
      <c r="D528" s="608"/>
      <c r="E528" s="608"/>
      <c r="F528" s="608"/>
      <c r="G528" s="608"/>
      <c r="H528" s="609"/>
      <c r="I528" s="637"/>
      <c r="J528" s="637"/>
      <c r="K528" s="637"/>
      <c r="L528" s="637"/>
      <c r="M528" s="637"/>
      <c r="N528" s="637"/>
      <c r="O528" s="637"/>
      <c r="P528" s="637"/>
      <c r="Q528" s="637"/>
      <c r="R528" s="637"/>
      <c r="S528" s="637"/>
      <c r="T528" s="637"/>
      <c r="U528" s="637"/>
      <c r="V528" s="637"/>
      <c r="W528" s="637"/>
      <c r="X528" s="637"/>
      <c r="Y528" s="637"/>
      <c r="Z528" s="637"/>
      <c r="AA528" s="637"/>
      <c r="AB528" s="637"/>
      <c r="AC528" s="637"/>
      <c r="AD528" s="606"/>
      <c r="AE528" s="606"/>
      <c r="AF528" s="606"/>
      <c r="AG528" s="606"/>
    </row>
    <row r="529" spans="1:33" s="612" customFormat="1" hidden="1" outlineLevel="3" x14ac:dyDescent="0.2">
      <c r="A529" s="606"/>
      <c r="B529" s="606"/>
      <c r="C529" s="607"/>
      <c r="D529" s="608"/>
      <c r="E529" s="608"/>
      <c r="F529" s="608"/>
      <c r="G529" s="608"/>
      <c r="H529" s="609"/>
      <c r="I529" s="637"/>
      <c r="J529" s="637"/>
      <c r="K529" s="637"/>
      <c r="L529" s="637"/>
      <c r="M529" s="637"/>
      <c r="N529" s="637"/>
      <c r="O529" s="637"/>
      <c r="P529" s="637"/>
      <c r="Q529" s="637"/>
      <c r="R529" s="637"/>
      <c r="S529" s="637"/>
      <c r="T529" s="637"/>
      <c r="U529" s="637"/>
      <c r="V529" s="637"/>
      <c r="W529" s="637"/>
      <c r="X529" s="637"/>
      <c r="Y529" s="637"/>
      <c r="Z529" s="637"/>
      <c r="AA529" s="637"/>
      <c r="AB529" s="637"/>
      <c r="AC529" s="637"/>
      <c r="AD529" s="606"/>
      <c r="AE529" s="606"/>
      <c r="AF529" s="606"/>
      <c r="AG529" s="606"/>
    </row>
    <row r="530" spans="1:33" s="612" customFormat="1" hidden="1" outlineLevel="3" x14ac:dyDescent="0.2">
      <c r="A530" s="606"/>
      <c r="B530" s="606"/>
      <c r="C530" s="607"/>
      <c r="D530" s="608"/>
      <c r="E530" s="608"/>
      <c r="F530" s="608"/>
      <c r="G530" s="608"/>
      <c r="H530" s="609"/>
      <c r="I530" s="637"/>
      <c r="J530" s="637"/>
      <c r="K530" s="637"/>
      <c r="L530" s="637"/>
      <c r="M530" s="637"/>
      <c r="N530" s="637"/>
      <c r="O530" s="637"/>
      <c r="P530" s="637"/>
      <c r="Q530" s="637"/>
      <c r="R530" s="637"/>
      <c r="S530" s="637"/>
      <c r="T530" s="637"/>
      <c r="U530" s="637"/>
      <c r="V530" s="637"/>
      <c r="W530" s="637"/>
      <c r="X530" s="637"/>
      <c r="Y530" s="637"/>
      <c r="Z530" s="637"/>
      <c r="AA530" s="637"/>
      <c r="AB530" s="637"/>
      <c r="AC530" s="637"/>
      <c r="AD530" s="606"/>
      <c r="AE530" s="606"/>
      <c r="AF530" s="606"/>
      <c r="AG530" s="606"/>
    </row>
    <row r="531" spans="1:33" s="612" customFormat="1" hidden="1" outlineLevel="3" x14ac:dyDescent="0.2">
      <c r="A531" s="606"/>
      <c r="B531" s="606"/>
      <c r="C531" s="607"/>
      <c r="D531" s="608"/>
      <c r="E531" s="608"/>
      <c r="F531" s="608"/>
      <c r="G531" s="608"/>
      <c r="H531" s="609"/>
      <c r="I531" s="637"/>
      <c r="J531" s="637"/>
      <c r="K531" s="637"/>
      <c r="L531" s="637"/>
      <c r="M531" s="637"/>
      <c r="N531" s="637"/>
      <c r="O531" s="637"/>
      <c r="P531" s="637"/>
      <c r="Q531" s="637"/>
      <c r="R531" s="637"/>
      <c r="S531" s="637"/>
      <c r="T531" s="637"/>
      <c r="U531" s="637"/>
      <c r="V531" s="637"/>
      <c r="W531" s="637"/>
      <c r="X531" s="637"/>
      <c r="Y531" s="637"/>
      <c r="Z531" s="637"/>
      <c r="AA531" s="637"/>
      <c r="AB531" s="637"/>
      <c r="AC531" s="637"/>
      <c r="AD531" s="606"/>
      <c r="AE531" s="606"/>
      <c r="AF531" s="606"/>
      <c r="AG531" s="606"/>
    </row>
    <row r="532" spans="1:33" s="612" customFormat="1" hidden="1" outlineLevel="3" x14ac:dyDescent="0.2">
      <c r="A532" s="606"/>
      <c r="B532" s="606"/>
      <c r="C532" s="607"/>
      <c r="D532" s="608"/>
      <c r="E532" s="608"/>
      <c r="F532" s="608"/>
      <c r="G532" s="608"/>
      <c r="H532" s="609"/>
      <c r="I532" s="637"/>
      <c r="J532" s="637"/>
      <c r="K532" s="637"/>
      <c r="L532" s="637"/>
      <c r="M532" s="637"/>
      <c r="N532" s="637"/>
      <c r="O532" s="637"/>
      <c r="P532" s="637"/>
      <c r="Q532" s="637"/>
      <c r="R532" s="637"/>
      <c r="S532" s="637"/>
      <c r="T532" s="637"/>
      <c r="U532" s="637"/>
      <c r="V532" s="637"/>
      <c r="W532" s="637"/>
      <c r="X532" s="637"/>
      <c r="Y532" s="637"/>
      <c r="Z532" s="637"/>
      <c r="AA532" s="637"/>
      <c r="AB532" s="637"/>
      <c r="AC532" s="637"/>
      <c r="AD532" s="606"/>
      <c r="AE532" s="606"/>
      <c r="AF532" s="606"/>
      <c r="AG532" s="606"/>
    </row>
    <row r="533" spans="1:33" s="612" customFormat="1" hidden="1" outlineLevel="3" x14ac:dyDescent="0.2">
      <c r="A533" s="606"/>
      <c r="B533" s="606"/>
      <c r="C533" s="607"/>
      <c r="D533" s="608"/>
      <c r="E533" s="608"/>
      <c r="F533" s="608"/>
      <c r="G533" s="608"/>
      <c r="H533" s="609"/>
      <c r="I533" s="637"/>
      <c r="J533" s="637"/>
      <c r="K533" s="637"/>
      <c r="L533" s="637"/>
      <c r="M533" s="637"/>
      <c r="N533" s="637"/>
      <c r="O533" s="637"/>
      <c r="P533" s="637"/>
      <c r="Q533" s="637"/>
      <c r="R533" s="637"/>
      <c r="S533" s="637"/>
      <c r="T533" s="637"/>
      <c r="U533" s="637"/>
      <c r="V533" s="637"/>
      <c r="W533" s="637"/>
      <c r="X533" s="637"/>
      <c r="Y533" s="637"/>
      <c r="Z533" s="637"/>
      <c r="AA533" s="637"/>
      <c r="AB533" s="637"/>
      <c r="AC533" s="637"/>
      <c r="AD533" s="606"/>
      <c r="AE533" s="606"/>
      <c r="AF533" s="606"/>
      <c r="AG533" s="606"/>
    </row>
    <row r="534" spans="1:33" s="612" customFormat="1" hidden="1" outlineLevel="3" x14ac:dyDescent="0.2">
      <c r="A534" s="606"/>
      <c r="B534" s="606"/>
      <c r="C534" s="607"/>
      <c r="D534" s="608"/>
      <c r="E534" s="608"/>
      <c r="F534" s="608"/>
      <c r="G534" s="608"/>
      <c r="H534" s="609"/>
      <c r="I534" s="637"/>
      <c r="J534" s="637"/>
      <c r="K534" s="637"/>
      <c r="L534" s="637"/>
      <c r="M534" s="637"/>
      <c r="N534" s="637"/>
      <c r="O534" s="637"/>
      <c r="P534" s="637"/>
      <c r="Q534" s="637"/>
      <c r="R534" s="637"/>
      <c r="S534" s="637"/>
      <c r="T534" s="637"/>
      <c r="U534" s="637"/>
      <c r="V534" s="637"/>
      <c r="W534" s="637"/>
      <c r="X534" s="637"/>
      <c r="Y534" s="637"/>
      <c r="Z534" s="637"/>
      <c r="AA534" s="637"/>
      <c r="AB534" s="637"/>
      <c r="AC534" s="637"/>
      <c r="AD534" s="606"/>
      <c r="AE534" s="606"/>
      <c r="AF534" s="606"/>
      <c r="AG534" s="606"/>
    </row>
    <row r="535" spans="1:33" s="612" customFormat="1" hidden="1" outlineLevel="3" x14ac:dyDescent="0.2">
      <c r="A535" s="606"/>
      <c r="B535" s="606"/>
      <c r="C535" s="607"/>
      <c r="D535" s="608"/>
      <c r="E535" s="608"/>
      <c r="F535" s="608"/>
      <c r="G535" s="608"/>
      <c r="H535" s="609"/>
      <c r="I535" s="637"/>
      <c r="J535" s="637"/>
      <c r="K535" s="637"/>
      <c r="L535" s="637"/>
      <c r="M535" s="637"/>
      <c r="N535" s="637"/>
      <c r="O535" s="637"/>
      <c r="P535" s="637"/>
      <c r="Q535" s="637"/>
      <c r="R535" s="637"/>
      <c r="S535" s="637"/>
      <c r="T535" s="637"/>
      <c r="U535" s="637"/>
      <c r="V535" s="637"/>
      <c r="W535" s="637"/>
      <c r="X535" s="637"/>
      <c r="Y535" s="637"/>
      <c r="Z535" s="637"/>
      <c r="AA535" s="637"/>
      <c r="AB535" s="637"/>
      <c r="AC535" s="637"/>
      <c r="AD535" s="606"/>
      <c r="AE535" s="606"/>
      <c r="AF535" s="606"/>
      <c r="AG535" s="606"/>
    </row>
    <row r="536" spans="1:33" s="612" customFormat="1" hidden="1" outlineLevel="3" x14ac:dyDescent="0.2">
      <c r="A536" s="606"/>
      <c r="B536" s="606"/>
      <c r="C536" s="607"/>
      <c r="D536" s="608"/>
      <c r="E536" s="608"/>
      <c r="F536" s="608"/>
      <c r="G536" s="608"/>
      <c r="H536" s="609"/>
      <c r="I536" s="637"/>
      <c r="J536" s="637"/>
      <c r="K536" s="637"/>
      <c r="L536" s="637"/>
      <c r="M536" s="637"/>
      <c r="N536" s="637"/>
      <c r="O536" s="637"/>
      <c r="P536" s="637"/>
      <c r="Q536" s="637"/>
      <c r="R536" s="637"/>
      <c r="S536" s="637"/>
      <c r="T536" s="637"/>
      <c r="U536" s="637"/>
      <c r="V536" s="637"/>
      <c r="W536" s="637"/>
      <c r="X536" s="637"/>
      <c r="Y536" s="637"/>
      <c r="Z536" s="637"/>
      <c r="AA536" s="637"/>
      <c r="AB536" s="637"/>
      <c r="AC536" s="637"/>
      <c r="AD536" s="606"/>
      <c r="AE536" s="606"/>
      <c r="AF536" s="606"/>
      <c r="AG536" s="606"/>
    </row>
    <row r="537" spans="1:33" s="612" customFormat="1" hidden="1" outlineLevel="3" x14ac:dyDescent="0.2">
      <c r="A537" s="606"/>
      <c r="B537" s="606"/>
      <c r="C537" s="607"/>
      <c r="D537" s="608"/>
      <c r="E537" s="608"/>
      <c r="F537" s="608"/>
      <c r="G537" s="608"/>
      <c r="H537" s="609"/>
      <c r="I537" s="637"/>
      <c r="J537" s="637"/>
      <c r="K537" s="637"/>
      <c r="L537" s="637"/>
      <c r="M537" s="637"/>
      <c r="N537" s="637"/>
      <c r="O537" s="637"/>
      <c r="P537" s="637"/>
      <c r="Q537" s="637"/>
      <c r="R537" s="637"/>
      <c r="S537" s="637"/>
      <c r="T537" s="637"/>
      <c r="U537" s="637"/>
      <c r="V537" s="637"/>
      <c r="W537" s="637"/>
      <c r="X537" s="637"/>
      <c r="Y537" s="637"/>
      <c r="Z537" s="637"/>
      <c r="AA537" s="637"/>
      <c r="AB537" s="637"/>
      <c r="AC537" s="637"/>
      <c r="AD537" s="606"/>
      <c r="AE537" s="606"/>
      <c r="AF537" s="606"/>
      <c r="AG537" s="606"/>
    </row>
    <row r="538" spans="1:33" s="612" customFormat="1" hidden="1" outlineLevel="3" x14ac:dyDescent="0.2">
      <c r="A538" s="606"/>
      <c r="B538" s="606"/>
      <c r="C538" s="607"/>
      <c r="D538" s="608"/>
      <c r="E538" s="608"/>
      <c r="F538" s="608"/>
      <c r="G538" s="608"/>
      <c r="H538" s="609"/>
      <c r="I538" s="637"/>
      <c r="J538" s="637"/>
      <c r="K538" s="637"/>
      <c r="L538" s="637"/>
      <c r="M538" s="637"/>
      <c r="N538" s="637"/>
      <c r="O538" s="637"/>
      <c r="P538" s="637"/>
      <c r="Q538" s="637"/>
      <c r="R538" s="637"/>
      <c r="S538" s="637"/>
      <c r="T538" s="637"/>
      <c r="U538" s="637"/>
      <c r="V538" s="637"/>
      <c r="W538" s="637"/>
      <c r="X538" s="637"/>
      <c r="Y538" s="637"/>
      <c r="Z538" s="637"/>
      <c r="AA538" s="637"/>
      <c r="AB538" s="637"/>
      <c r="AC538" s="637"/>
      <c r="AD538" s="606"/>
      <c r="AE538" s="606"/>
      <c r="AF538" s="606"/>
      <c r="AG538" s="606"/>
    </row>
    <row r="539" spans="1:33" s="612" customFormat="1" hidden="1" outlineLevel="3" x14ac:dyDescent="0.2">
      <c r="A539" s="606"/>
      <c r="B539" s="606"/>
      <c r="C539" s="607"/>
      <c r="D539" s="608"/>
      <c r="E539" s="608"/>
      <c r="F539" s="608"/>
      <c r="G539" s="608"/>
      <c r="H539" s="609"/>
      <c r="I539" s="637"/>
      <c r="J539" s="637"/>
      <c r="K539" s="637"/>
      <c r="L539" s="637"/>
      <c r="M539" s="637"/>
      <c r="N539" s="637"/>
      <c r="O539" s="637"/>
      <c r="P539" s="637"/>
      <c r="Q539" s="637"/>
      <c r="R539" s="637"/>
      <c r="S539" s="637"/>
      <c r="T539" s="637"/>
      <c r="U539" s="637"/>
      <c r="V539" s="637"/>
      <c r="W539" s="637"/>
      <c r="X539" s="637"/>
      <c r="Y539" s="637"/>
      <c r="Z539" s="637"/>
      <c r="AA539" s="637"/>
      <c r="AB539" s="637"/>
      <c r="AC539" s="637"/>
      <c r="AD539" s="606"/>
      <c r="AE539" s="606"/>
      <c r="AF539" s="606"/>
      <c r="AG539" s="606"/>
    </row>
    <row r="540" spans="1:33" s="612" customFormat="1" hidden="1" outlineLevel="3" x14ac:dyDescent="0.2">
      <c r="A540" s="606"/>
      <c r="B540" s="606"/>
      <c r="C540" s="607"/>
      <c r="D540" s="608"/>
      <c r="E540" s="608"/>
      <c r="F540" s="608"/>
      <c r="G540" s="608"/>
      <c r="H540" s="609"/>
      <c r="I540" s="637"/>
      <c r="J540" s="637"/>
      <c r="K540" s="637"/>
      <c r="L540" s="637"/>
      <c r="M540" s="637"/>
      <c r="N540" s="637"/>
      <c r="O540" s="637"/>
      <c r="P540" s="637"/>
      <c r="Q540" s="637"/>
      <c r="R540" s="637"/>
      <c r="S540" s="637"/>
      <c r="T540" s="637"/>
      <c r="U540" s="637"/>
      <c r="V540" s="637"/>
      <c r="W540" s="637"/>
      <c r="X540" s="637"/>
      <c r="Y540" s="637"/>
      <c r="Z540" s="637"/>
      <c r="AA540" s="637"/>
      <c r="AB540" s="637"/>
      <c r="AC540" s="637"/>
      <c r="AD540" s="606"/>
      <c r="AE540" s="606"/>
      <c r="AF540" s="606"/>
      <c r="AG540" s="606"/>
    </row>
    <row r="541" spans="1:33" s="612" customFormat="1" hidden="1" outlineLevel="3" x14ac:dyDescent="0.2">
      <c r="A541" s="606"/>
      <c r="B541" s="606"/>
      <c r="C541" s="607"/>
      <c r="D541" s="608"/>
      <c r="E541" s="608"/>
      <c r="F541" s="608"/>
      <c r="G541" s="608"/>
      <c r="H541" s="609"/>
      <c r="I541" s="637"/>
      <c r="J541" s="637"/>
      <c r="K541" s="637"/>
      <c r="L541" s="637"/>
      <c r="M541" s="637"/>
      <c r="N541" s="637"/>
      <c r="O541" s="637"/>
      <c r="P541" s="637"/>
      <c r="Q541" s="637"/>
      <c r="R541" s="637"/>
      <c r="S541" s="637"/>
      <c r="T541" s="637"/>
      <c r="U541" s="637"/>
      <c r="V541" s="637"/>
      <c r="W541" s="637"/>
      <c r="X541" s="637"/>
      <c r="Y541" s="637"/>
      <c r="Z541" s="637"/>
      <c r="AA541" s="637"/>
      <c r="AB541" s="637"/>
      <c r="AC541" s="637"/>
      <c r="AD541" s="606"/>
      <c r="AE541" s="606"/>
      <c r="AF541" s="606"/>
      <c r="AG541" s="606"/>
    </row>
    <row r="542" spans="1:33" s="612" customFormat="1" hidden="1" outlineLevel="3" x14ac:dyDescent="0.2">
      <c r="A542" s="606"/>
      <c r="B542" s="606"/>
      <c r="C542" s="607"/>
      <c r="D542" s="608"/>
      <c r="E542" s="608"/>
      <c r="F542" s="608"/>
      <c r="G542" s="608"/>
      <c r="H542" s="609"/>
      <c r="I542" s="637"/>
      <c r="J542" s="637"/>
      <c r="K542" s="637"/>
      <c r="L542" s="637"/>
      <c r="M542" s="637"/>
      <c r="N542" s="637"/>
      <c r="O542" s="637"/>
      <c r="P542" s="637"/>
      <c r="Q542" s="637"/>
      <c r="R542" s="637"/>
      <c r="S542" s="637"/>
      <c r="T542" s="637"/>
      <c r="U542" s="637"/>
      <c r="V542" s="637"/>
      <c r="W542" s="637"/>
      <c r="X542" s="637"/>
      <c r="Y542" s="637"/>
      <c r="Z542" s="637"/>
      <c r="AA542" s="637"/>
      <c r="AB542" s="637"/>
      <c r="AC542" s="637"/>
      <c r="AD542" s="606"/>
      <c r="AE542" s="606"/>
      <c r="AF542" s="606"/>
      <c r="AG542" s="606"/>
    </row>
    <row r="543" spans="1:33" s="612" customFormat="1" hidden="1" outlineLevel="3" x14ac:dyDescent="0.2">
      <c r="A543" s="606"/>
      <c r="B543" s="606"/>
      <c r="C543" s="607"/>
      <c r="D543" s="608"/>
      <c r="E543" s="608"/>
      <c r="F543" s="608"/>
      <c r="G543" s="608"/>
      <c r="H543" s="609"/>
      <c r="I543" s="637"/>
      <c r="J543" s="637"/>
      <c r="K543" s="637"/>
      <c r="L543" s="637"/>
      <c r="M543" s="637"/>
      <c r="N543" s="637"/>
      <c r="O543" s="637"/>
      <c r="P543" s="637"/>
      <c r="Q543" s="637"/>
      <c r="R543" s="637"/>
      <c r="S543" s="637"/>
      <c r="T543" s="637"/>
      <c r="U543" s="637"/>
      <c r="V543" s="637"/>
      <c r="W543" s="637"/>
      <c r="X543" s="637"/>
      <c r="Y543" s="637"/>
      <c r="Z543" s="637"/>
      <c r="AA543" s="637"/>
      <c r="AB543" s="637"/>
      <c r="AC543" s="637"/>
      <c r="AD543" s="606"/>
      <c r="AE543" s="606"/>
      <c r="AF543" s="606"/>
      <c r="AG543" s="606"/>
    </row>
    <row r="544" spans="1:33" s="612" customFormat="1" hidden="1" outlineLevel="3" x14ac:dyDescent="0.2">
      <c r="A544" s="606"/>
      <c r="B544" s="606"/>
      <c r="C544" s="607"/>
      <c r="D544" s="608"/>
      <c r="E544" s="608"/>
      <c r="F544" s="608"/>
      <c r="G544" s="608"/>
      <c r="H544" s="609"/>
      <c r="I544" s="637"/>
      <c r="J544" s="637"/>
      <c r="K544" s="637"/>
      <c r="L544" s="637"/>
      <c r="M544" s="637"/>
      <c r="N544" s="637"/>
      <c r="O544" s="637"/>
      <c r="P544" s="637"/>
      <c r="Q544" s="637"/>
      <c r="R544" s="637"/>
      <c r="S544" s="637"/>
      <c r="T544" s="637"/>
      <c r="U544" s="637"/>
      <c r="V544" s="637"/>
      <c r="W544" s="637"/>
      <c r="X544" s="637"/>
      <c r="Y544" s="637"/>
      <c r="Z544" s="637"/>
      <c r="AA544" s="637"/>
      <c r="AB544" s="637"/>
      <c r="AC544" s="637"/>
      <c r="AD544" s="606"/>
      <c r="AE544" s="606"/>
      <c r="AF544" s="606"/>
      <c r="AG544" s="606"/>
    </row>
    <row r="545" spans="1:33" s="612" customFormat="1" hidden="1" outlineLevel="3" x14ac:dyDescent="0.2">
      <c r="A545" s="606"/>
      <c r="B545" s="606"/>
      <c r="C545" s="607"/>
      <c r="D545" s="608"/>
      <c r="E545" s="608"/>
      <c r="F545" s="608"/>
      <c r="G545" s="608"/>
      <c r="H545" s="609"/>
      <c r="I545" s="637"/>
      <c r="J545" s="637"/>
      <c r="K545" s="637"/>
      <c r="L545" s="637"/>
      <c r="M545" s="637"/>
      <c r="N545" s="637"/>
      <c r="O545" s="637"/>
      <c r="P545" s="637"/>
      <c r="Q545" s="637"/>
      <c r="R545" s="637"/>
      <c r="S545" s="637"/>
      <c r="T545" s="637"/>
      <c r="U545" s="637"/>
      <c r="V545" s="637"/>
      <c r="W545" s="637"/>
      <c r="X545" s="637"/>
      <c r="Y545" s="637"/>
      <c r="Z545" s="637"/>
      <c r="AA545" s="637"/>
      <c r="AB545" s="637"/>
      <c r="AC545" s="637"/>
      <c r="AD545" s="606"/>
      <c r="AE545" s="606"/>
      <c r="AF545" s="606"/>
      <c r="AG545" s="606"/>
    </row>
    <row r="546" spans="1:33" s="612" customFormat="1" hidden="1" outlineLevel="3" x14ac:dyDescent="0.2">
      <c r="A546" s="606"/>
      <c r="B546" s="606"/>
      <c r="C546" s="607"/>
      <c r="D546" s="608"/>
      <c r="E546" s="608"/>
      <c r="F546" s="608"/>
      <c r="G546" s="608"/>
      <c r="H546" s="609"/>
      <c r="I546" s="637"/>
      <c r="J546" s="637"/>
      <c r="K546" s="637"/>
      <c r="L546" s="637"/>
      <c r="M546" s="637"/>
      <c r="N546" s="637"/>
      <c r="O546" s="637"/>
      <c r="P546" s="637"/>
      <c r="Q546" s="637"/>
      <c r="R546" s="637"/>
      <c r="S546" s="637"/>
      <c r="T546" s="637"/>
      <c r="U546" s="637"/>
      <c r="V546" s="637"/>
      <c r="W546" s="637"/>
      <c r="X546" s="637"/>
      <c r="Y546" s="637"/>
      <c r="Z546" s="637"/>
      <c r="AA546" s="637"/>
      <c r="AB546" s="637"/>
      <c r="AC546" s="637"/>
      <c r="AD546" s="606"/>
      <c r="AE546" s="606"/>
      <c r="AF546" s="606"/>
      <c r="AG546" s="606"/>
    </row>
    <row r="547" spans="1:33" s="612" customFormat="1" hidden="1" outlineLevel="3" x14ac:dyDescent="0.2">
      <c r="A547" s="606"/>
      <c r="B547" s="606"/>
      <c r="C547" s="607"/>
      <c r="D547" s="608"/>
      <c r="E547" s="608"/>
      <c r="F547" s="608"/>
      <c r="G547" s="608"/>
      <c r="H547" s="609"/>
      <c r="I547" s="637"/>
      <c r="J547" s="637"/>
      <c r="K547" s="637"/>
      <c r="L547" s="637"/>
      <c r="M547" s="637"/>
      <c r="N547" s="637"/>
      <c r="O547" s="637"/>
      <c r="P547" s="637"/>
      <c r="Q547" s="637"/>
      <c r="R547" s="637"/>
      <c r="S547" s="637"/>
      <c r="T547" s="637"/>
      <c r="U547" s="637"/>
      <c r="V547" s="637"/>
      <c r="W547" s="637"/>
      <c r="X547" s="637"/>
      <c r="Y547" s="637"/>
      <c r="Z547" s="637"/>
      <c r="AA547" s="637"/>
      <c r="AB547" s="637"/>
      <c r="AC547" s="637"/>
      <c r="AD547" s="606"/>
      <c r="AE547" s="606"/>
      <c r="AF547" s="606"/>
      <c r="AG547" s="606"/>
    </row>
    <row r="548" spans="1:33" s="612" customFormat="1" hidden="1" outlineLevel="3" x14ac:dyDescent="0.2">
      <c r="A548" s="606"/>
      <c r="B548" s="606"/>
      <c r="C548" s="607"/>
      <c r="D548" s="608"/>
      <c r="E548" s="608"/>
      <c r="F548" s="608"/>
      <c r="G548" s="608"/>
      <c r="H548" s="609"/>
      <c r="I548" s="637"/>
      <c r="J548" s="637"/>
      <c r="K548" s="637"/>
      <c r="L548" s="637"/>
      <c r="M548" s="637"/>
      <c r="N548" s="637"/>
      <c r="O548" s="637"/>
      <c r="P548" s="637"/>
      <c r="Q548" s="637"/>
      <c r="R548" s="637"/>
      <c r="S548" s="637"/>
      <c r="T548" s="637"/>
      <c r="U548" s="637"/>
      <c r="V548" s="637"/>
      <c r="W548" s="637"/>
      <c r="X548" s="637"/>
      <c r="Y548" s="637"/>
      <c r="Z548" s="637"/>
      <c r="AA548" s="637"/>
      <c r="AB548" s="637"/>
      <c r="AC548" s="637"/>
      <c r="AD548" s="606"/>
      <c r="AE548" s="606"/>
      <c r="AF548" s="606"/>
      <c r="AG548" s="606"/>
    </row>
    <row r="549" spans="1:33" s="612" customFormat="1" hidden="1" outlineLevel="3" x14ac:dyDescent="0.2">
      <c r="A549" s="606"/>
      <c r="B549" s="606"/>
      <c r="C549" s="607"/>
      <c r="D549" s="608"/>
      <c r="E549" s="608"/>
      <c r="F549" s="608"/>
      <c r="G549" s="608"/>
      <c r="H549" s="609"/>
      <c r="I549" s="637"/>
      <c r="J549" s="637"/>
      <c r="K549" s="637"/>
      <c r="L549" s="637"/>
      <c r="M549" s="637"/>
      <c r="N549" s="637"/>
      <c r="O549" s="637"/>
      <c r="P549" s="637"/>
      <c r="Q549" s="637"/>
      <c r="R549" s="637"/>
      <c r="S549" s="637"/>
      <c r="T549" s="637"/>
      <c r="U549" s="637"/>
      <c r="V549" s="637"/>
      <c r="W549" s="637"/>
      <c r="X549" s="637"/>
      <c r="Y549" s="637"/>
      <c r="Z549" s="637"/>
      <c r="AA549" s="637"/>
      <c r="AB549" s="637"/>
      <c r="AC549" s="637"/>
      <c r="AD549" s="606"/>
      <c r="AE549" s="606"/>
      <c r="AF549" s="606"/>
      <c r="AG549" s="606"/>
    </row>
    <row r="550" spans="1:33" s="612" customFormat="1" hidden="1" outlineLevel="3" x14ac:dyDescent="0.2">
      <c r="A550" s="606"/>
      <c r="B550" s="606"/>
      <c r="C550" s="607"/>
      <c r="D550" s="608"/>
      <c r="E550" s="608"/>
      <c r="F550" s="608"/>
      <c r="G550" s="608"/>
      <c r="H550" s="609"/>
      <c r="I550" s="637"/>
      <c r="J550" s="637"/>
      <c r="K550" s="637"/>
      <c r="L550" s="637"/>
      <c r="M550" s="637"/>
      <c r="N550" s="637"/>
      <c r="O550" s="637"/>
      <c r="P550" s="637"/>
      <c r="Q550" s="637"/>
      <c r="R550" s="637"/>
      <c r="S550" s="637"/>
      <c r="T550" s="637"/>
      <c r="U550" s="637"/>
      <c r="V550" s="637"/>
      <c r="W550" s="637"/>
      <c r="X550" s="637"/>
      <c r="Y550" s="637"/>
      <c r="Z550" s="637"/>
      <c r="AA550" s="637"/>
      <c r="AB550" s="637"/>
      <c r="AC550" s="637"/>
      <c r="AD550" s="606"/>
      <c r="AE550" s="606"/>
      <c r="AF550" s="606"/>
      <c r="AG550" s="606"/>
    </row>
    <row r="551" spans="1:33" s="612" customFormat="1" hidden="1" outlineLevel="3" x14ac:dyDescent="0.2">
      <c r="A551" s="606"/>
      <c r="B551" s="606"/>
      <c r="C551" s="607"/>
      <c r="D551" s="608"/>
      <c r="E551" s="608"/>
      <c r="F551" s="608"/>
      <c r="G551" s="608"/>
      <c r="H551" s="609"/>
      <c r="I551" s="637"/>
      <c r="J551" s="637"/>
      <c r="K551" s="637"/>
      <c r="L551" s="637"/>
      <c r="M551" s="637"/>
      <c r="N551" s="637"/>
      <c r="O551" s="637"/>
      <c r="P551" s="637"/>
      <c r="Q551" s="637"/>
      <c r="R551" s="637"/>
      <c r="S551" s="637"/>
      <c r="T551" s="637"/>
      <c r="U551" s="637"/>
      <c r="V551" s="637"/>
      <c r="W551" s="637"/>
      <c r="X551" s="637"/>
      <c r="Y551" s="637"/>
      <c r="Z551" s="637"/>
      <c r="AA551" s="637"/>
      <c r="AB551" s="637"/>
      <c r="AC551" s="637"/>
      <c r="AD551" s="606"/>
      <c r="AE551" s="606"/>
      <c r="AF551" s="606"/>
      <c r="AG551" s="606"/>
    </row>
    <row r="552" spans="1:33" s="612" customFormat="1" hidden="1" outlineLevel="3" x14ac:dyDescent="0.2">
      <c r="A552" s="606"/>
      <c r="B552" s="606"/>
      <c r="C552" s="607"/>
      <c r="D552" s="608"/>
      <c r="E552" s="608"/>
      <c r="F552" s="608"/>
      <c r="G552" s="608"/>
      <c r="H552" s="609"/>
      <c r="I552" s="637"/>
      <c r="J552" s="637"/>
      <c r="K552" s="637"/>
      <c r="L552" s="637"/>
      <c r="M552" s="637"/>
      <c r="N552" s="637"/>
      <c r="O552" s="637"/>
      <c r="P552" s="637"/>
      <c r="Q552" s="637"/>
      <c r="R552" s="637"/>
      <c r="S552" s="637"/>
      <c r="T552" s="637"/>
      <c r="U552" s="637"/>
      <c r="V552" s="637"/>
      <c r="W552" s="637"/>
      <c r="X552" s="637"/>
      <c r="Y552" s="637"/>
      <c r="Z552" s="637"/>
      <c r="AA552" s="637"/>
      <c r="AB552" s="637"/>
      <c r="AC552" s="637"/>
      <c r="AD552" s="606"/>
      <c r="AE552" s="606"/>
      <c r="AF552" s="606"/>
      <c r="AG552" s="606"/>
    </row>
    <row r="553" spans="1:33" s="612" customFormat="1" hidden="1" outlineLevel="3" x14ac:dyDescent="0.2">
      <c r="A553" s="606"/>
      <c r="B553" s="606"/>
      <c r="C553" s="607"/>
      <c r="D553" s="608"/>
      <c r="E553" s="608"/>
      <c r="F553" s="608"/>
      <c r="G553" s="608"/>
      <c r="H553" s="609"/>
      <c r="I553" s="637"/>
      <c r="J553" s="637"/>
      <c r="K553" s="637"/>
      <c r="L553" s="637"/>
      <c r="M553" s="637"/>
      <c r="N553" s="637"/>
      <c r="O553" s="637"/>
      <c r="P553" s="637"/>
      <c r="Q553" s="637"/>
      <c r="R553" s="637"/>
      <c r="S553" s="637"/>
      <c r="T553" s="637"/>
      <c r="U553" s="637"/>
      <c r="V553" s="637"/>
      <c r="W553" s="637"/>
      <c r="X553" s="637"/>
      <c r="Y553" s="637"/>
      <c r="Z553" s="637"/>
      <c r="AA553" s="637"/>
      <c r="AB553" s="637"/>
      <c r="AC553" s="637"/>
      <c r="AD553" s="606"/>
      <c r="AE553" s="606"/>
      <c r="AF553" s="606"/>
      <c r="AG553" s="606"/>
    </row>
    <row r="554" spans="1:33" s="612" customFormat="1" hidden="1" outlineLevel="3" x14ac:dyDescent="0.2">
      <c r="A554" s="606"/>
      <c r="B554" s="606"/>
      <c r="C554" s="607"/>
      <c r="D554" s="608"/>
      <c r="E554" s="608"/>
      <c r="F554" s="608"/>
      <c r="G554" s="608"/>
      <c r="H554" s="609"/>
      <c r="I554" s="637"/>
      <c r="J554" s="637"/>
      <c r="K554" s="637"/>
      <c r="L554" s="637"/>
      <c r="M554" s="637"/>
      <c r="N554" s="637"/>
      <c r="O554" s="637"/>
      <c r="P554" s="637"/>
      <c r="Q554" s="637"/>
      <c r="R554" s="637"/>
      <c r="S554" s="637"/>
      <c r="T554" s="637"/>
      <c r="U554" s="637"/>
      <c r="V554" s="637"/>
      <c r="W554" s="637"/>
      <c r="X554" s="637"/>
      <c r="Y554" s="637"/>
      <c r="Z554" s="637"/>
      <c r="AA554" s="637"/>
      <c r="AB554" s="637"/>
      <c r="AC554" s="637"/>
      <c r="AD554" s="606"/>
      <c r="AE554" s="606"/>
      <c r="AF554" s="606"/>
      <c r="AG554" s="606"/>
    </row>
    <row r="555" spans="1:33" s="612" customFormat="1" hidden="1" outlineLevel="3" x14ac:dyDescent="0.2">
      <c r="A555" s="606"/>
      <c r="B555" s="606"/>
      <c r="C555" s="607"/>
      <c r="D555" s="608"/>
      <c r="E555" s="608"/>
      <c r="F555" s="608"/>
      <c r="G555" s="608"/>
      <c r="H555" s="609"/>
      <c r="I555" s="637"/>
      <c r="J555" s="637"/>
      <c r="K555" s="637"/>
      <c r="L555" s="637"/>
      <c r="M555" s="637"/>
      <c r="N555" s="637"/>
      <c r="O555" s="637"/>
      <c r="P555" s="637"/>
      <c r="Q555" s="637"/>
      <c r="R555" s="637"/>
      <c r="S555" s="637"/>
      <c r="T555" s="637"/>
      <c r="U555" s="637"/>
      <c r="V555" s="637"/>
      <c r="W555" s="637"/>
      <c r="X555" s="637"/>
      <c r="Y555" s="637"/>
      <c r="Z555" s="637"/>
      <c r="AA555" s="637"/>
      <c r="AB555" s="637"/>
      <c r="AC555" s="637"/>
      <c r="AD555" s="606"/>
      <c r="AE555" s="606"/>
      <c r="AF555" s="606"/>
      <c r="AG555" s="606"/>
    </row>
    <row r="556" spans="1:33" s="612" customFormat="1" hidden="1" outlineLevel="2" collapsed="1" x14ac:dyDescent="0.2">
      <c r="A556" s="606"/>
      <c r="B556" s="606"/>
      <c r="C556" s="638"/>
      <c r="D556" s="608"/>
      <c r="E556" s="608"/>
      <c r="F556" s="608"/>
      <c r="G556" s="608"/>
      <c r="H556" s="609"/>
      <c r="I556" s="639"/>
      <c r="J556" s="639"/>
      <c r="K556" s="639"/>
      <c r="L556" s="639"/>
      <c r="M556" s="639"/>
      <c r="N556" s="639"/>
      <c r="O556" s="639"/>
      <c r="P556" s="639"/>
      <c r="Q556" s="639"/>
      <c r="R556" s="639"/>
      <c r="S556" s="639"/>
      <c r="T556" s="639"/>
      <c r="U556" s="639"/>
      <c r="V556" s="639"/>
      <c r="W556" s="639"/>
      <c r="X556" s="639"/>
      <c r="Y556" s="639"/>
      <c r="Z556" s="639"/>
      <c r="AA556" s="639"/>
      <c r="AB556" s="639"/>
      <c r="AC556" s="639"/>
      <c r="AD556" s="606"/>
      <c r="AE556" s="606"/>
      <c r="AF556" s="606"/>
      <c r="AG556" s="606"/>
    </row>
    <row r="557" spans="1:33" s="612" customFormat="1" outlineLevel="1" collapsed="1" x14ac:dyDescent="0.2">
      <c r="A557" s="606"/>
      <c r="B557" s="606"/>
      <c r="C557" s="613"/>
      <c r="D557" s="609"/>
      <c r="E557" s="609"/>
      <c r="F557" s="609"/>
      <c r="G557" s="609"/>
      <c r="H557" s="609"/>
      <c r="I557" s="609"/>
      <c r="J557" s="609"/>
      <c r="K557" s="617"/>
      <c r="L557" s="617"/>
      <c r="M557" s="617"/>
      <c r="N557" s="622"/>
      <c r="O557" s="622"/>
      <c r="P557" s="622"/>
      <c r="Q557" s="622"/>
      <c r="R557" s="622"/>
      <c r="S557" s="606"/>
      <c r="T557" s="606"/>
      <c r="U557" s="606"/>
      <c r="V557" s="606"/>
      <c r="W557" s="606"/>
      <c r="X557" s="606"/>
      <c r="Y557" s="606"/>
      <c r="Z557" s="606"/>
      <c r="AA557" s="606"/>
      <c r="AB557" s="606"/>
      <c r="AC557" s="606"/>
      <c r="AD557" s="606"/>
      <c r="AE557" s="606"/>
      <c r="AF557" s="606"/>
      <c r="AG557" s="606"/>
    </row>
    <row r="558" spans="1:33" s="612" customFormat="1" x14ac:dyDescent="0.2">
      <c r="A558" s="606"/>
      <c r="B558" s="606"/>
      <c r="C558" s="623"/>
      <c r="D558" s="617"/>
      <c r="E558" s="617"/>
      <c r="F558" s="617"/>
      <c r="G558" s="618"/>
      <c r="H558" s="618"/>
      <c r="I558" s="618"/>
      <c r="J558" s="617"/>
      <c r="K558" s="617"/>
      <c r="L558" s="617"/>
      <c r="M558" s="617"/>
      <c r="N558" s="622"/>
      <c r="O558" s="622"/>
      <c r="P558" s="622"/>
      <c r="Q558" s="622"/>
      <c r="R558" s="622"/>
      <c r="S558" s="606"/>
      <c r="T558" s="606"/>
      <c r="U558" s="606"/>
      <c r="V558" s="606"/>
      <c r="W558" s="606"/>
      <c r="X558" s="606"/>
      <c r="Y558" s="606"/>
      <c r="Z558" s="606"/>
      <c r="AA558" s="606"/>
      <c r="AB558" s="606"/>
      <c r="AC558" s="606"/>
      <c r="AD558" s="606"/>
      <c r="AE558" s="606"/>
      <c r="AF558" s="606"/>
      <c r="AG558" s="606"/>
    </row>
    <row r="559" spans="1:33" ht="12.75" x14ac:dyDescent="0.2">
      <c r="A559" s="11"/>
      <c r="B559" s="12" t="s">
        <v>8</v>
      </c>
      <c r="C559" s="11"/>
      <c r="D559" s="11"/>
      <c r="E559" s="11"/>
      <c r="F559" s="11"/>
      <c r="G559" s="13"/>
      <c r="H559" s="13"/>
      <c r="I559" s="13"/>
      <c r="J559" s="13"/>
      <c r="K559" s="13"/>
      <c r="L559" s="13"/>
      <c r="M559" s="13"/>
      <c r="N559" s="14"/>
      <c r="O559" s="15"/>
      <c r="P559" s="14"/>
      <c r="Q559" s="15"/>
      <c r="R559" s="14"/>
      <c r="S559" s="14"/>
      <c r="T559" s="14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</row>
  </sheetData>
  <sheetProtection formatColumns="0" formatRows="0"/>
  <hyperlinks>
    <hyperlink ref="I1" location="'Pricing model'!A51" display="Back to Index" xr:uid="{00000000-0004-0000-1900-000000000000}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">
    <tabColor theme="7" tint="0.79998168889431442"/>
  </sheetPr>
  <dimension ref="A1:AT1186"/>
  <sheetViews>
    <sheetView showGridLines="0" zoomScaleNormal="100" workbookViewId="0">
      <pane xSplit="7" ySplit="6" topLeftCell="H885" activePane="bottomRight" state="frozen"/>
      <selection pane="topRight" activeCell="G1" sqref="G1"/>
      <selection pane="bottomLeft" activeCell="A7" sqref="A7"/>
      <selection pane="bottomRight" activeCell="A876" sqref="A876:XFD1184"/>
    </sheetView>
  </sheetViews>
  <sheetFormatPr defaultColWidth="0" defaultRowHeight="11.25" zeroHeight="1" outlineLevelRow="3" outlineLevelCol="1" x14ac:dyDescent="0.2"/>
  <cols>
    <col min="1" max="2" width="1.42578125" style="18" customWidth="1"/>
    <col min="3" max="3" width="37.140625" style="18" customWidth="1"/>
    <col min="4" max="4" width="16.85546875" style="18" customWidth="1"/>
    <col min="5" max="5" width="9" style="18" bestFit="1" customWidth="1"/>
    <col min="6" max="6" width="11.140625" style="18" customWidth="1"/>
    <col min="7" max="7" width="11.28515625" style="18" customWidth="1"/>
    <col min="8" max="8" width="3.140625" style="18" customWidth="1"/>
    <col min="9" max="21" width="11" style="18" customWidth="1"/>
    <col min="22" max="22" width="9.28515625" style="18" customWidth="1"/>
    <col min="23" max="28" width="9.28515625" style="18" hidden="1" customWidth="1" outlineLevel="1"/>
    <col min="29" max="29" width="12.28515625" style="18" customWidth="1" collapsed="1"/>
    <col min="30" max="31" width="2.140625" style="18" customWidth="1"/>
    <col min="32" max="34" width="8" style="18" hidden="1" customWidth="1"/>
    <col min="35" max="43" width="9.28515625" style="18" hidden="1" customWidth="1"/>
    <col min="44" max="46" width="0" style="18" hidden="1" customWidth="1"/>
    <col min="47" max="16384" width="8" style="18" hidden="1"/>
  </cols>
  <sheetData>
    <row r="1" spans="1:34" ht="15.75" x14ac:dyDescent="0.25">
      <c r="A1" s="1"/>
      <c r="B1" s="2" t="str">
        <f>'Calculations&gt;&gt;'!B1</f>
        <v>AER pricing model - TasNetworks 2022–23</v>
      </c>
      <c r="C1" s="2"/>
      <c r="D1" s="2"/>
      <c r="E1" s="2"/>
      <c r="F1" s="2"/>
      <c r="G1" s="3"/>
      <c r="H1" s="4"/>
      <c r="I1" s="160" t="s">
        <v>0</v>
      </c>
      <c r="J1" s="111"/>
      <c r="K1" s="112"/>
      <c r="L1" s="112"/>
      <c r="M1" s="51"/>
      <c r="P1" s="111"/>
      <c r="Q1" s="113"/>
      <c r="S1" s="114"/>
      <c r="T1" s="113"/>
      <c r="U1" s="5"/>
      <c r="V1" s="3"/>
      <c r="W1" s="3"/>
      <c r="X1" s="3"/>
      <c r="Y1" s="5"/>
      <c r="Z1" s="5"/>
      <c r="AA1" s="5"/>
      <c r="AB1" s="5"/>
      <c r="AC1" s="5"/>
      <c r="AD1" s="5"/>
      <c r="AE1" s="5"/>
    </row>
    <row r="2" spans="1:34" ht="13.5" thickBot="1" x14ac:dyDescent="0.25">
      <c r="A2" s="6"/>
      <c r="B2" s="7" t="str">
        <f>'Calculations&gt;&gt;'!C11</f>
        <v>Historical revenue</v>
      </c>
      <c r="C2" s="7"/>
      <c r="D2" s="7"/>
      <c r="E2" s="7"/>
      <c r="F2" s="7"/>
      <c r="G2" s="8"/>
      <c r="H2" s="8"/>
      <c r="I2" s="8"/>
      <c r="J2" s="8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4" x14ac:dyDescent="0.2">
      <c r="A3" s="27"/>
      <c r="B3" s="296" t="str">
        <f>'Calculations&gt;&gt;'!D11</f>
        <v>Calculates revenues for the t-1 and t-2 years for each tariff component</v>
      </c>
      <c r="C3" s="27"/>
      <c r="D3" s="28"/>
      <c r="E3" s="28"/>
      <c r="F3" s="28"/>
      <c r="G3" s="28"/>
      <c r="H3" s="28"/>
      <c r="I3" s="28"/>
      <c r="J3" s="28"/>
      <c r="K3" s="29"/>
      <c r="L3" s="30"/>
      <c r="M3" s="30"/>
      <c r="N3" s="30"/>
      <c r="O3" s="30"/>
      <c r="P3" s="30"/>
      <c r="Q3" s="30"/>
      <c r="R3" s="30"/>
      <c r="S3" s="30"/>
      <c r="T3" s="30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</row>
    <row r="4" spans="1:34" x14ac:dyDescent="0.2">
      <c r="A4" s="9"/>
      <c r="B4" s="9"/>
      <c r="C4" s="9"/>
      <c r="D4" s="10"/>
      <c r="E4" s="10"/>
      <c r="F4" s="10"/>
      <c r="G4" s="10"/>
      <c r="H4" s="10"/>
      <c r="I4" s="10"/>
      <c r="J4" s="10"/>
      <c r="K4" s="50"/>
      <c r="L4" s="50"/>
      <c r="M4" s="50"/>
      <c r="N4" s="50"/>
      <c r="O4" s="50"/>
      <c r="P4" s="50"/>
      <c r="Q4" s="50"/>
      <c r="R4" s="50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34" ht="31.5" x14ac:dyDescent="0.2">
      <c r="A5" s="11"/>
      <c r="B5" s="12" t="str">
        <f>"Calculation table 18 | "&amp;currentyear&amp;" revenue - Tariffs"</f>
        <v>Calculation table 18 | 2021–22 revenue - Tariffs</v>
      </c>
      <c r="C5" s="11"/>
      <c r="D5" s="32" t="s">
        <v>199</v>
      </c>
      <c r="E5" s="32" t="str">
        <f>tariffid1</f>
        <v>Code</v>
      </c>
      <c r="F5" s="599" t="str">
        <f>tariffid2</f>
        <v>Trans. Node</v>
      </c>
      <c r="G5" s="33" t="str">
        <f>tariffid3</f>
        <v>Other identifier</v>
      </c>
      <c r="H5" s="33"/>
      <c r="I5" s="597" t="str">
        <f>'Prop. revenue'!I5</f>
        <v>Service</v>
      </c>
      <c r="J5" s="597" t="str">
        <f>'Prop. revenue'!J5</f>
        <v>All energy</v>
      </c>
      <c r="K5" s="597" t="str">
        <f>'Prop. revenue'!K5</f>
        <v>Peak energy</v>
      </c>
      <c r="L5" s="597" t="str">
        <f>'Prop. revenue'!L5</f>
        <v>Shoulder energy</v>
      </c>
      <c r="M5" s="597" t="str">
        <f>'Prop. revenue'!M5</f>
        <v>Off-peak energy</v>
      </c>
      <c r="N5" s="597" t="str">
        <f>'Prop. revenue'!N5</f>
        <v>All demand</v>
      </c>
      <c r="O5" s="597" t="str">
        <f>'Prop. revenue'!O5</f>
        <v>Peak demand</v>
      </c>
      <c r="P5" s="597" t="str">
        <f>'Prop. revenue'!P5</f>
        <v>Off-peak demand</v>
      </c>
      <c r="Q5" s="597" t="str">
        <f>'Prop. revenue'!Q5</f>
        <v>Specified demand</v>
      </c>
      <c r="R5" s="597" t="str">
        <f>'Prop. revenue'!R5</f>
        <v>Excess daily demand</v>
      </c>
      <c r="S5" s="597" t="str">
        <f>'Prop. revenue'!S5</f>
        <v>Daily demand connection</v>
      </c>
      <c r="T5" s="597" t="str">
        <f>'Prop. revenue'!T5</f>
        <v>Excess daily demand connection</v>
      </c>
      <c r="U5" s="597" t="str">
        <f>'Prop. revenue'!U5</f>
        <v>All demand (lamps)</v>
      </c>
      <c r="V5" s="169">
        <f>'Prop. revenue'!V5</f>
        <v>0</v>
      </c>
      <c r="W5" s="169">
        <f>'Prop. revenue'!W5</f>
        <v>0</v>
      </c>
      <c r="X5" s="169">
        <f>'Prop. revenue'!X5</f>
        <v>0</v>
      </c>
      <c r="Y5" s="169">
        <f>'Prop. revenue'!Y5</f>
        <v>0</v>
      </c>
      <c r="Z5" s="169">
        <f>'Prop. revenue'!Z5</f>
        <v>0</v>
      </c>
      <c r="AA5" s="169">
        <f>'Prop. revenue'!AA5</f>
        <v>0</v>
      </c>
      <c r="AB5" s="169">
        <f>'Prop. revenue'!AB5</f>
        <v>0</v>
      </c>
      <c r="AC5" s="204" t="s">
        <v>240</v>
      </c>
      <c r="AD5" s="204"/>
      <c r="AE5" s="15"/>
      <c r="AF5" s="15"/>
      <c r="AG5" s="15"/>
      <c r="AH5" s="15"/>
    </row>
    <row r="6" spans="1:34" outlineLevel="1" x14ac:dyDescent="0.2">
      <c r="A6" s="19"/>
      <c r="B6" s="19"/>
      <c r="C6" s="36"/>
      <c r="D6" s="20"/>
      <c r="E6" s="20"/>
      <c r="F6" s="20"/>
      <c r="G6" s="22"/>
      <c r="H6" s="22"/>
      <c r="I6" s="170" t="str">
        <f>'Prop. revenue'!I6</f>
        <v>$dollars</v>
      </c>
      <c r="J6" s="170" t="str">
        <f>'Prop. revenue'!J6</f>
        <v>$dollars</v>
      </c>
      <c r="K6" s="170" t="str">
        <f>'Prop. revenue'!K6</f>
        <v>$dollars</v>
      </c>
      <c r="L6" s="170" t="str">
        <f>'Prop. revenue'!L6</f>
        <v>$dollars</v>
      </c>
      <c r="M6" s="170" t="str">
        <f>'Prop. revenue'!M6</f>
        <v>$dollars</v>
      </c>
      <c r="N6" s="170" t="str">
        <f>'Prop. revenue'!N6</f>
        <v>$dollars</v>
      </c>
      <c r="O6" s="170" t="str">
        <f>'Prop. revenue'!O6</f>
        <v>$dollars</v>
      </c>
      <c r="P6" s="170" t="str">
        <f>'Prop. revenue'!P6</f>
        <v>$dollars</v>
      </c>
      <c r="Q6" s="170" t="str">
        <f>'Prop. revenue'!Q6</f>
        <v>$dollars</v>
      </c>
      <c r="R6" s="170" t="str">
        <f>'Prop. revenue'!R6</f>
        <v>$dollars</v>
      </c>
      <c r="S6" s="170" t="str">
        <f>'Prop. revenue'!S6</f>
        <v>$dollars</v>
      </c>
      <c r="T6" s="170" t="str">
        <f>'Prop. revenue'!T6</f>
        <v>$dollars</v>
      </c>
      <c r="U6" s="170" t="str">
        <f>'Prop. revenue'!U6</f>
        <v>$dollars</v>
      </c>
      <c r="V6" s="170">
        <f>'Prop. revenue'!V6</f>
        <v>0</v>
      </c>
      <c r="W6" s="170">
        <f>'Prop. revenue'!W6</f>
        <v>0</v>
      </c>
      <c r="X6" s="170">
        <f>'Prop. revenue'!X6</f>
        <v>0</v>
      </c>
      <c r="Y6" s="170">
        <f>'Prop. revenue'!Y6</f>
        <v>0</v>
      </c>
      <c r="Z6" s="170">
        <f>'Prop. revenue'!Z6</f>
        <v>0</v>
      </c>
      <c r="AA6" s="170">
        <f>'Prop. revenue'!AA6</f>
        <v>0</v>
      </c>
      <c r="AB6" s="170">
        <f>'Prop. revenue'!AB6</f>
        <v>0</v>
      </c>
      <c r="AC6" s="170" t="str">
        <f>IF(AC5=0,0,dollars)</f>
        <v>$dollars</v>
      </c>
      <c r="AD6" s="170"/>
      <c r="AE6" s="19"/>
      <c r="AF6" s="19"/>
      <c r="AG6" s="19"/>
      <c r="AH6" s="19"/>
    </row>
    <row r="7" spans="1:34" outlineLevel="1" x14ac:dyDescent="0.2">
      <c r="A7" s="19"/>
      <c r="B7" s="19"/>
      <c r="C7" s="167" t="s">
        <v>136</v>
      </c>
      <c r="D7" s="20"/>
      <c r="E7" s="20"/>
      <c r="F7" s="20"/>
      <c r="G7" s="22"/>
      <c r="H7" s="22"/>
      <c r="I7" s="196">
        <f>Tariffs!$Q22</f>
        <v>3.65</v>
      </c>
      <c r="J7" s="196">
        <f>Tariffs!$Q23</f>
        <v>0.01</v>
      </c>
      <c r="K7" s="196">
        <f>Tariffs!$Q24</f>
        <v>0.01</v>
      </c>
      <c r="L7" s="196">
        <f>Tariffs!$Q25</f>
        <v>0.01</v>
      </c>
      <c r="M7" s="196">
        <f>Tariffs!$Q26</f>
        <v>0.01</v>
      </c>
      <c r="N7" s="196">
        <f>Tariffs!$Q27</f>
        <v>0.01</v>
      </c>
      <c r="O7" s="196">
        <f>Tariffs!$Q28</f>
        <v>0.01</v>
      </c>
      <c r="P7" s="196">
        <f>Tariffs!$Q29</f>
        <v>0.01</v>
      </c>
      <c r="Q7" s="196">
        <f>Tariffs!$Q30</f>
        <v>0.01</v>
      </c>
      <c r="R7" s="196">
        <f>Tariffs!$Q31</f>
        <v>0.01</v>
      </c>
      <c r="S7" s="196">
        <f>Tariffs!$Q32</f>
        <v>0.01</v>
      </c>
      <c r="T7" s="196">
        <f>Tariffs!$Q33</f>
        <v>0.01</v>
      </c>
      <c r="U7" s="196">
        <f>Tariffs!$Q34</f>
        <v>3.65</v>
      </c>
      <c r="V7" s="196">
        <f>Tariffs!$Q35</f>
        <v>0</v>
      </c>
      <c r="W7" s="196">
        <f>Tariffs!$Q36</f>
        <v>0</v>
      </c>
      <c r="X7" s="196">
        <f>Tariffs!$Q37</f>
        <v>0</v>
      </c>
      <c r="Y7" s="196">
        <f>Tariffs!$Q38</f>
        <v>0</v>
      </c>
      <c r="Z7" s="196">
        <f>Tariffs!$Q39</f>
        <v>0</v>
      </c>
      <c r="AA7" s="196">
        <f>Tariffs!$Q40</f>
        <v>0</v>
      </c>
      <c r="AB7" s="196">
        <f>Tariffs!$Q41</f>
        <v>0</v>
      </c>
      <c r="AC7" s="19"/>
      <c r="AD7" s="19"/>
      <c r="AE7" s="19"/>
      <c r="AF7" s="19"/>
      <c r="AG7" s="19"/>
      <c r="AH7" s="19"/>
    </row>
    <row r="8" spans="1:34" outlineLevel="2" x14ac:dyDescent="0.2">
      <c r="A8" s="19"/>
      <c r="B8" s="19"/>
      <c r="C8" s="506" t="str">
        <f>Qty!C87</f>
        <v>Residential time of use consumption</v>
      </c>
      <c r="D8" s="505" t="str">
        <f>Qty!D87</f>
        <v>Residential</v>
      </c>
      <c r="E8" s="505" t="str">
        <f>Qty!E87</f>
        <v>TAS93</v>
      </c>
      <c r="F8" s="505">
        <f>Qty!F87</f>
        <v>0</v>
      </c>
      <c r="G8" s="505">
        <f>Qty!G87</f>
        <v>0</v>
      </c>
      <c r="H8" s="22"/>
      <c r="I8" s="198">
        <f>Qty!M87*'Hist. prices'!I8*I$7</f>
        <v>10677022.747026242</v>
      </c>
      <c r="J8" s="198">
        <f>Qty!N87*'Hist. prices'!J8*J$7</f>
        <v>0</v>
      </c>
      <c r="K8" s="198">
        <f>Qty!O87*'Hist. prices'!K8*K$7</f>
        <v>14149797.439782858</v>
      </c>
      <c r="L8" s="198">
        <f>Qty!P87*'Hist. prices'!L8*L$7</f>
        <v>0</v>
      </c>
      <c r="M8" s="198">
        <f>Qty!Q87*'Hist. prices'!M8*M$7</f>
        <v>6247900.5698328111</v>
      </c>
      <c r="N8" s="198">
        <f>Qty!R87*'Hist. prices'!N8*N$7</f>
        <v>0</v>
      </c>
      <c r="O8" s="198">
        <f>Qty!S87*'Hist. prices'!O8*O$7</f>
        <v>0</v>
      </c>
      <c r="P8" s="198">
        <f>Qty!T87*'Hist. prices'!P8*P$7</f>
        <v>0</v>
      </c>
      <c r="Q8" s="198">
        <f>Qty!U87*'Hist. prices'!Q8*Q$7</f>
        <v>0</v>
      </c>
      <c r="R8" s="198">
        <f>Qty!V87*'Hist. prices'!R8*R$7</f>
        <v>0</v>
      </c>
      <c r="S8" s="198">
        <f>Qty!W87*'Hist. prices'!S8*S$7</f>
        <v>0</v>
      </c>
      <c r="T8" s="198">
        <f>Qty!X87*'Hist. prices'!T8*T$7</f>
        <v>0</v>
      </c>
      <c r="U8" s="198">
        <f>Qty!Y87*'Hist. prices'!U8*U$7</f>
        <v>0</v>
      </c>
      <c r="V8" s="198">
        <f>Qty!Z87*'Hist. prices'!V8*V$7</f>
        <v>0</v>
      </c>
      <c r="W8" s="198">
        <f>Qty!AA87*'Hist. prices'!W8*W$7</f>
        <v>0</v>
      </c>
      <c r="X8" s="198">
        <f>Qty!AB87*'Hist. prices'!X8*X$7</f>
        <v>0</v>
      </c>
      <c r="Y8" s="198">
        <f>Qty!AC87*'Hist. prices'!Y8*Y$7</f>
        <v>0</v>
      </c>
      <c r="Z8" s="198">
        <f>Qty!AD87*'Hist. prices'!Z8*Z$7</f>
        <v>0</v>
      </c>
      <c r="AA8" s="198">
        <f>Qty!AE87*'Hist. prices'!AA8*AA$7</f>
        <v>0</v>
      </c>
      <c r="AB8" s="198">
        <f>Qty!AF87*'Hist. prices'!AB8*AB$7</f>
        <v>0</v>
      </c>
      <c r="AC8" s="206">
        <f t="shared" ref="AC8:AC39" si="0">SUM(I8:AB8)</f>
        <v>31074720.756641909</v>
      </c>
      <c r="AD8" s="68"/>
      <c r="AE8" s="19"/>
      <c r="AF8" s="19"/>
      <c r="AG8" s="19"/>
      <c r="AH8" s="19"/>
    </row>
    <row r="9" spans="1:34" s="59" customFormat="1" outlineLevel="2" x14ac:dyDescent="0.2">
      <c r="A9" s="57"/>
      <c r="B9" s="57"/>
      <c r="C9" s="506" t="str">
        <f>Qty!C88</f>
        <v>Residential general light and power</v>
      </c>
      <c r="D9" s="505" t="str">
        <f>Qty!D88</f>
        <v>Residential</v>
      </c>
      <c r="E9" s="505" t="str">
        <f>Qty!E88</f>
        <v>TAS31</v>
      </c>
      <c r="F9" s="505">
        <f>Qty!F88</f>
        <v>0</v>
      </c>
      <c r="G9" s="505">
        <f>Qty!G88</f>
        <v>0</v>
      </c>
      <c r="H9" s="58"/>
      <c r="I9" s="198">
        <f>Qty!M88*'Hist. prices'!I9*I$7</f>
        <v>41083469.958292872</v>
      </c>
      <c r="J9" s="198">
        <f>Qty!N88*'Hist. prices'!J9*J$7</f>
        <v>49495778.550180875</v>
      </c>
      <c r="K9" s="198">
        <f>Qty!O88*'Hist. prices'!K9*K$7</f>
        <v>0</v>
      </c>
      <c r="L9" s="198">
        <f>Qty!P88*'Hist. prices'!L9*L$7</f>
        <v>0</v>
      </c>
      <c r="M9" s="198">
        <f>Qty!Q88*'Hist. prices'!M9*M$7</f>
        <v>0</v>
      </c>
      <c r="N9" s="198">
        <f>Qty!R88*'Hist. prices'!N9*N$7</f>
        <v>0</v>
      </c>
      <c r="O9" s="198">
        <f>Qty!S88*'Hist. prices'!O9*O$7</f>
        <v>0</v>
      </c>
      <c r="P9" s="198">
        <f>Qty!T88*'Hist. prices'!P9*P$7</f>
        <v>0</v>
      </c>
      <c r="Q9" s="198">
        <f>Qty!U88*'Hist. prices'!Q9*Q$7</f>
        <v>0</v>
      </c>
      <c r="R9" s="198">
        <f>Qty!V88*'Hist. prices'!R9*R$7</f>
        <v>0</v>
      </c>
      <c r="S9" s="198">
        <f>Qty!W88*'Hist. prices'!S9*S$7</f>
        <v>0</v>
      </c>
      <c r="T9" s="198">
        <f>Qty!X88*'Hist. prices'!T9*T$7</f>
        <v>0</v>
      </c>
      <c r="U9" s="198">
        <f>Qty!Y88*'Hist. prices'!U9*U$7</f>
        <v>0</v>
      </c>
      <c r="V9" s="198">
        <f>Qty!Z88*'Hist. prices'!V9*V$7</f>
        <v>0</v>
      </c>
      <c r="W9" s="198">
        <f>Qty!AA88*'Hist. prices'!W9*W$7</f>
        <v>0</v>
      </c>
      <c r="X9" s="198">
        <f>Qty!AB88*'Hist. prices'!X9*X$7</f>
        <v>0</v>
      </c>
      <c r="Y9" s="198">
        <f>Qty!AC88*'Hist. prices'!Y9*Y$7</f>
        <v>0</v>
      </c>
      <c r="Z9" s="198">
        <f>Qty!AD88*'Hist. prices'!Z9*Z$7</f>
        <v>0</v>
      </c>
      <c r="AA9" s="198">
        <f>Qty!AE88*'Hist. prices'!AA9*AA$7</f>
        <v>0</v>
      </c>
      <c r="AB9" s="198">
        <f>Qty!AF88*'Hist. prices'!AB9*AB$7</f>
        <v>0</v>
      </c>
      <c r="AC9" s="206">
        <f t="shared" si="0"/>
        <v>90579248.508473754</v>
      </c>
      <c r="AD9" s="68"/>
      <c r="AE9" s="57"/>
      <c r="AF9" s="57"/>
      <c r="AG9" s="57"/>
      <c r="AH9" s="57"/>
    </row>
    <row r="10" spans="1:34" outlineLevel="2" x14ac:dyDescent="0.2">
      <c r="A10" s="19"/>
      <c r="B10" s="19"/>
      <c r="C10" s="506" t="str">
        <f>Qty!C89</f>
        <v>Residential time of use demand</v>
      </c>
      <c r="D10" s="505" t="str">
        <f>Qty!D89</f>
        <v>Residential</v>
      </c>
      <c r="E10" s="505" t="str">
        <f>Qty!E89</f>
        <v>TAS87</v>
      </c>
      <c r="F10" s="505">
        <f>Qty!F89</f>
        <v>0</v>
      </c>
      <c r="G10" s="505">
        <f>Qty!G89</f>
        <v>0</v>
      </c>
      <c r="H10" s="58"/>
      <c r="I10" s="198">
        <f>Qty!M89*'Hist. prices'!I10*I$7</f>
        <v>213.92285000000001</v>
      </c>
      <c r="J10" s="198">
        <f>Qty!N89*'Hist. prices'!J10*J$7</f>
        <v>0</v>
      </c>
      <c r="K10" s="198">
        <f>Qty!O89*'Hist. prices'!K10*K$7</f>
        <v>0</v>
      </c>
      <c r="L10" s="198">
        <f>Qty!P89*'Hist. prices'!L10*L$7</f>
        <v>0</v>
      </c>
      <c r="M10" s="198">
        <f>Qty!Q89*'Hist. prices'!M10*M$7</f>
        <v>0</v>
      </c>
      <c r="N10" s="198">
        <f>Qty!R89*'Hist. prices'!N10*N$7</f>
        <v>0</v>
      </c>
      <c r="O10" s="198">
        <f>Qty!S89*'Hist. prices'!O10*O$7</f>
        <v>2939.1597767566809</v>
      </c>
      <c r="P10" s="198">
        <f>Qty!T89*'Hist. prices'!P10*P$7</f>
        <v>684.67324702106714</v>
      </c>
      <c r="Q10" s="198">
        <f>Qty!U89*'Hist. prices'!Q10*Q$7</f>
        <v>0</v>
      </c>
      <c r="R10" s="198">
        <f>Qty!V89*'Hist. prices'!R10*R$7</f>
        <v>0</v>
      </c>
      <c r="S10" s="198">
        <f>Qty!W89*'Hist. prices'!S10*S$7</f>
        <v>0</v>
      </c>
      <c r="T10" s="198">
        <f>Qty!X89*'Hist. prices'!T10*T$7</f>
        <v>0</v>
      </c>
      <c r="U10" s="198">
        <f>Qty!Y89*'Hist. prices'!U10*U$7</f>
        <v>0</v>
      </c>
      <c r="V10" s="198">
        <f>Qty!Z89*'Hist. prices'!V10*V$7</f>
        <v>0</v>
      </c>
      <c r="W10" s="198">
        <f>Qty!AA89*'Hist. prices'!W10*W$7</f>
        <v>0</v>
      </c>
      <c r="X10" s="198">
        <f>Qty!AB89*'Hist. prices'!X10*X$7</f>
        <v>0</v>
      </c>
      <c r="Y10" s="198">
        <f>Qty!AC89*'Hist. prices'!Y10*Y$7</f>
        <v>0</v>
      </c>
      <c r="Z10" s="198">
        <f>Qty!AD89*'Hist. prices'!Z10*Z$7</f>
        <v>0</v>
      </c>
      <c r="AA10" s="198">
        <f>Qty!AE89*'Hist. prices'!AA10*AA$7</f>
        <v>0</v>
      </c>
      <c r="AB10" s="198">
        <f>Qty!AF89*'Hist. prices'!AB10*AB$7</f>
        <v>0</v>
      </c>
      <c r="AC10" s="206">
        <f t="shared" si="0"/>
        <v>3837.7558737777481</v>
      </c>
      <c r="AD10" s="68"/>
      <c r="AE10" s="19"/>
      <c r="AF10" s="19"/>
      <c r="AG10" s="19"/>
      <c r="AH10" s="19"/>
    </row>
    <row r="11" spans="1:34" outlineLevel="2" x14ac:dyDescent="0.2">
      <c r="A11" s="19"/>
      <c r="B11" s="19"/>
      <c r="C11" s="506" t="str">
        <f>Qty!C90</f>
        <v>Residential time of use demand DER</v>
      </c>
      <c r="D11" s="505" t="str">
        <f>Qty!D90</f>
        <v>Residential</v>
      </c>
      <c r="E11" s="505" t="str">
        <f>Qty!E90</f>
        <v>TAS97</v>
      </c>
      <c r="F11" s="505">
        <f>Qty!F90</f>
        <v>0</v>
      </c>
      <c r="G11" s="505">
        <f>Qty!G90</f>
        <v>0</v>
      </c>
      <c r="H11" s="58"/>
      <c r="I11" s="198">
        <f>Qty!M90*'Hist. prices'!I11*I$7</f>
        <v>0</v>
      </c>
      <c r="J11" s="198">
        <f>Qty!N90*'Hist. prices'!J11*J$7</f>
        <v>0</v>
      </c>
      <c r="K11" s="198">
        <f>Qty!O90*'Hist. prices'!K11*K$7</f>
        <v>0</v>
      </c>
      <c r="L11" s="198">
        <f>Qty!P90*'Hist. prices'!L11*L$7</f>
        <v>0</v>
      </c>
      <c r="M11" s="198">
        <f>Qty!Q90*'Hist. prices'!M11*M$7</f>
        <v>0</v>
      </c>
      <c r="N11" s="198">
        <f>Qty!R90*'Hist. prices'!N11*N$7</f>
        <v>0</v>
      </c>
      <c r="O11" s="198">
        <f>Qty!S90*'Hist. prices'!O11*O$7</f>
        <v>0</v>
      </c>
      <c r="P11" s="198">
        <f>Qty!T90*'Hist. prices'!P11*P$7</f>
        <v>0</v>
      </c>
      <c r="Q11" s="198">
        <f>Qty!U90*'Hist. prices'!Q11*Q$7</f>
        <v>0</v>
      </c>
      <c r="R11" s="198">
        <f>Qty!V90*'Hist. prices'!R11*R$7</f>
        <v>0</v>
      </c>
      <c r="S11" s="198">
        <f>Qty!W90*'Hist. prices'!S11*S$7</f>
        <v>0</v>
      </c>
      <c r="T11" s="198">
        <f>Qty!X90*'Hist. prices'!T11*T$7</f>
        <v>0</v>
      </c>
      <c r="U11" s="198">
        <f>Qty!Y90*'Hist. prices'!U11*U$7</f>
        <v>0</v>
      </c>
      <c r="V11" s="198">
        <f>Qty!Z90*'Hist. prices'!V11*V$7</f>
        <v>0</v>
      </c>
      <c r="W11" s="198">
        <f>Qty!AA90*'Hist. prices'!W11*W$7</f>
        <v>0</v>
      </c>
      <c r="X11" s="198">
        <f>Qty!AB90*'Hist. prices'!X11*X$7</f>
        <v>0</v>
      </c>
      <c r="Y11" s="198">
        <f>Qty!AC90*'Hist. prices'!Y11*Y$7</f>
        <v>0</v>
      </c>
      <c r="Z11" s="198">
        <f>Qty!AD90*'Hist. prices'!Z11*Z$7</f>
        <v>0</v>
      </c>
      <c r="AA11" s="198">
        <f>Qty!AE90*'Hist. prices'!AA11*AA$7</f>
        <v>0</v>
      </c>
      <c r="AB11" s="198">
        <f>Qty!AF90*'Hist. prices'!AB11*AB$7</f>
        <v>0</v>
      </c>
      <c r="AC11" s="206">
        <f t="shared" si="0"/>
        <v>0</v>
      </c>
      <c r="AD11" s="68"/>
      <c r="AE11" s="19"/>
      <c r="AF11" s="19"/>
      <c r="AG11" s="19"/>
      <c r="AH11" s="19"/>
    </row>
    <row r="12" spans="1:34" outlineLevel="2" x14ac:dyDescent="0.2">
      <c r="A12" s="19"/>
      <c r="B12" s="19"/>
      <c r="C12" s="506" t="str">
        <f>Qty!C91</f>
        <v>Residential pay as you go</v>
      </c>
      <c r="D12" s="505" t="str">
        <f>Qty!D91</f>
        <v>Residential</v>
      </c>
      <c r="E12" s="505" t="str">
        <f>Qty!E91</f>
        <v>TAS101</v>
      </c>
      <c r="F12" s="505">
        <f>Qty!F91</f>
        <v>0</v>
      </c>
      <c r="G12" s="505">
        <f>Qty!G91</f>
        <v>0</v>
      </c>
      <c r="H12" s="58"/>
      <c r="I12" s="198">
        <f>Qty!M91*'Hist. prices'!I12*I$7</f>
        <v>2072.5394076265752</v>
      </c>
      <c r="J12" s="198">
        <f>Qty!N91*'Hist. prices'!J12*J$7</f>
        <v>4683.7069358719418</v>
      </c>
      <c r="K12" s="198">
        <f>Qty!O91*'Hist. prices'!K12*K$7</f>
        <v>0</v>
      </c>
      <c r="L12" s="198">
        <f>Qty!P91*'Hist. prices'!L12*L$7</f>
        <v>0</v>
      </c>
      <c r="M12" s="198">
        <f>Qty!Q91*'Hist. prices'!M12*M$7</f>
        <v>0</v>
      </c>
      <c r="N12" s="198">
        <f>Qty!R91*'Hist. prices'!N12*N$7</f>
        <v>0</v>
      </c>
      <c r="O12" s="198">
        <f>Qty!S91*'Hist. prices'!O12*O$7</f>
        <v>0</v>
      </c>
      <c r="P12" s="198">
        <f>Qty!T91*'Hist. prices'!P12*P$7</f>
        <v>0</v>
      </c>
      <c r="Q12" s="198">
        <f>Qty!U91*'Hist. prices'!Q12*Q$7</f>
        <v>0</v>
      </c>
      <c r="R12" s="198">
        <f>Qty!V91*'Hist. prices'!R12*R$7</f>
        <v>0</v>
      </c>
      <c r="S12" s="198">
        <f>Qty!W91*'Hist. prices'!S12*S$7</f>
        <v>0</v>
      </c>
      <c r="T12" s="198">
        <f>Qty!X91*'Hist. prices'!T12*T$7</f>
        <v>0</v>
      </c>
      <c r="U12" s="198">
        <f>Qty!Y91*'Hist. prices'!U12*U$7</f>
        <v>0</v>
      </c>
      <c r="V12" s="198">
        <f>Qty!Z91*'Hist. prices'!V12*V$7</f>
        <v>0</v>
      </c>
      <c r="W12" s="198">
        <f>Qty!AA91*'Hist. prices'!W12*W$7</f>
        <v>0</v>
      </c>
      <c r="X12" s="198">
        <f>Qty!AB91*'Hist. prices'!X12*X$7</f>
        <v>0</v>
      </c>
      <c r="Y12" s="198">
        <f>Qty!AC91*'Hist. prices'!Y12*Y$7</f>
        <v>0</v>
      </c>
      <c r="Z12" s="198">
        <f>Qty!AD91*'Hist. prices'!Z12*Z$7</f>
        <v>0</v>
      </c>
      <c r="AA12" s="198">
        <f>Qty!AE91*'Hist. prices'!AA12*AA$7</f>
        <v>0</v>
      </c>
      <c r="AB12" s="198">
        <f>Qty!AF91*'Hist. prices'!AB12*AB$7</f>
        <v>0</v>
      </c>
      <c r="AC12" s="206">
        <f t="shared" si="0"/>
        <v>6756.2463434985166</v>
      </c>
      <c r="AD12" s="68"/>
      <c r="AE12" s="19"/>
      <c r="AF12" s="19"/>
      <c r="AG12" s="19"/>
      <c r="AH12" s="19"/>
    </row>
    <row r="13" spans="1:34" outlineLevel="2" x14ac:dyDescent="0.2">
      <c r="A13" s="19"/>
      <c r="B13" s="19"/>
      <c r="C13" s="506" t="str">
        <f>Qty!C92</f>
        <v>Residential pay as you go time of use</v>
      </c>
      <c r="D13" s="505" t="str">
        <f>Qty!D92</f>
        <v>Residential</v>
      </c>
      <c r="E13" s="505" t="str">
        <f>Qty!E92</f>
        <v>TAS92</v>
      </c>
      <c r="F13" s="505">
        <f>Qty!F92</f>
        <v>0</v>
      </c>
      <c r="G13" s="505">
        <f>Qty!G92</f>
        <v>0</v>
      </c>
      <c r="H13" s="58"/>
      <c r="I13" s="198">
        <f>Qty!M92*'Hist. prices'!I13*I$7</f>
        <v>0</v>
      </c>
      <c r="J13" s="198">
        <f>Qty!N92*'Hist. prices'!J13*J$7</f>
        <v>0</v>
      </c>
      <c r="K13" s="198">
        <f>Qty!O92*'Hist. prices'!K13*K$7</f>
        <v>0</v>
      </c>
      <c r="L13" s="198">
        <f>Qty!P92*'Hist. prices'!L13*L$7</f>
        <v>0</v>
      </c>
      <c r="M13" s="198">
        <f>Qty!Q92*'Hist. prices'!M13*M$7</f>
        <v>0</v>
      </c>
      <c r="N13" s="198">
        <f>Qty!R92*'Hist. prices'!N13*N$7</f>
        <v>0</v>
      </c>
      <c r="O13" s="198">
        <f>Qty!S92*'Hist. prices'!O13*O$7</f>
        <v>0</v>
      </c>
      <c r="P13" s="198">
        <f>Qty!T92*'Hist. prices'!P13*P$7</f>
        <v>0</v>
      </c>
      <c r="Q13" s="198">
        <f>Qty!U92*'Hist. prices'!Q13*Q$7</f>
        <v>0</v>
      </c>
      <c r="R13" s="198">
        <f>Qty!V92*'Hist. prices'!R13*R$7</f>
        <v>0</v>
      </c>
      <c r="S13" s="198">
        <f>Qty!W92*'Hist. prices'!S13*S$7</f>
        <v>0</v>
      </c>
      <c r="T13" s="198">
        <f>Qty!X92*'Hist. prices'!T13*T$7</f>
        <v>0</v>
      </c>
      <c r="U13" s="198">
        <f>Qty!Y92*'Hist. prices'!U13*U$7</f>
        <v>0</v>
      </c>
      <c r="V13" s="198">
        <f>Qty!Z92*'Hist. prices'!V13*V$7</f>
        <v>0</v>
      </c>
      <c r="W13" s="198">
        <f>Qty!AA92*'Hist. prices'!W13*W$7</f>
        <v>0</v>
      </c>
      <c r="X13" s="198">
        <f>Qty!AB92*'Hist. prices'!X13*X$7</f>
        <v>0</v>
      </c>
      <c r="Y13" s="198">
        <f>Qty!AC92*'Hist. prices'!Y13*Y$7</f>
        <v>0</v>
      </c>
      <c r="Z13" s="198">
        <f>Qty!AD92*'Hist. prices'!Z13*Z$7</f>
        <v>0</v>
      </c>
      <c r="AA13" s="198">
        <f>Qty!AE92*'Hist. prices'!AA13*AA$7</f>
        <v>0</v>
      </c>
      <c r="AB13" s="198">
        <f>Qty!AF92*'Hist. prices'!AB13*AB$7</f>
        <v>0</v>
      </c>
      <c r="AC13" s="206">
        <f t="shared" si="0"/>
        <v>0</v>
      </c>
      <c r="AD13" s="68"/>
      <c r="AE13" s="19"/>
      <c r="AF13" s="19"/>
      <c r="AG13" s="19"/>
      <c r="AH13" s="19"/>
    </row>
    <row r="14" spans="1:34" outlineLevel="2" x14ac:dyDescent="0.2">
      <c r="A14" s="19"/>
      <c r="B14" s="19"/>
      <c r="C14" s="506" t="str">
        <f>Qty!C93</f>
        <v>Small business time of use consumption</v>
      </c>
      <c r="D14" s="505" t="str">
        <f>Qty!D93</f>
        <v>Small Business LV</v>
      </c>
      <c r="E14" s="505" t="str">
        <f>Qty!E93</f>
        <v>TAS94</v>
      </c>
      <c r="F14" s="505">
        <f>Qty!F93</f>
        <v>0</v>
      </c>
      <c r="G14" s="505">
        <f>Qty!G93</f>
        <v>0</v>
      </c>
      <c r="H14" s="58"/>
      <c r="I14" s="198">
        <f>Qty!M93*'Hist. prices'!I14*I$7</f>
        <v>2000572.9789000002</v>
      </c>
      <c r="J14" s="198">
        <f>Qty!N93*'Hist. prices'!J14*J$7</f>
        <v>0</v>
      </c>
      <c r="K14" s="198">
        <f>Qty!O93*'Hist. prices'!K14*K$7</f>
        <v>21619532.774444122</v>
      </c>
      <c r="L14" s="198">
        <f>Qty!P93*'Hist. prices'!L14*L$7</f>
        <v>3255532.1225690101</v>
      </c>
      <c r="M14" s="198">
        <f>Qty!Q93*'Hist. prices'!M14*M$7</f>
        <v>1599964.3595310168</v>
      </c>
      <c r="N14" s="198">
        <f>Qty!R93*'Hist. prices'!N14*N$7</f>
        <v>0</v>
      </c>
      <c r="O14" s="198">
        <f>Qty!S93*'Hist. prices'!O14*O$7</f>
        <v>0</v>
      </c>
      <c r="P14" s="198">
        <f>Qty!T93*'Hist. prices'!P14*P$7</f>
        <v>0</v>
      </c>
      <c r="Q14" s="198">
        <f>Qty!U93*'Hist. prices'!Q14*Q$7</f>
        <v>0</v>
      </c>
      <c r="R14" s="198">
        <f>Qty!V93*'Hist. prices'!R14*R$7</f>
        <v>0</v>
      </c>
      <c r="S14" s="198">
        <f>Qty!W93*'Hist. prices'!S14*S$7</f>
        <v>0</v>
      </c>
      <c r="T14" s="198">
        <f>Qty!X93*'Hist. prices'!T14*T$7</f>
        <v>0</v>
      </c>
      <c r="U14" s="198">
        <f>Qty!Y93*'Hist. prices'!U14*U$7</f>
        <v>0</v>
      </c>
      <c r="V14" s="198">
        <f>Qty!Z93*'Hist. prices'!V14*V$7</f>
        <v>0</v>
      </c>
      <c r="W14" s="198">
        <f>Qty!AA93*'Hist. prices'!W14*W$7</f>
        <v>0</v>
      </c>
      <c r="X14" s="198">
        <f>Qty!AB93*'Hist. prices'!X14*X$7</f>
        <v>0</v>
      </c>
      <c r="Y14" s="198">
        <f>Qty!AC93*'Hist. prices'!Y14*Y$7</f>
        <v>0</v>
      </c>
      <c r="Z14" s="198">
        <f>Qty!AD93*'Hist. prices'!Z14*Z$7</f>
        <v>0</v>
      </c>
      <c r="AA14" s="198">
        <f>Qty!AE93*'Hist. prices'!AA14*AA$7</f>
        <v>0</v>
      </c>
      <c r="AB14" s="198">
        <f>Qty!AF93*'Hist. prices'!AB14*AB$7</f>
        <v>0</v>
      </c>
      <c r="AC14" s="206">
        <f t="shared" si="0"/>
        <v>28475602.235444147</v>
      </c>
      <c r="AD14" s="68"/>
      <c r="AE14" s="19"/>
      <c r="AF14" s="19"/>
      <c r="AG14" s="19"/>
      <c r="AH14" s="19"/>
    </row>
    <row r="15" spans="1:34" outlineLevel="2" x14ac:dyDescent="0.2">
      <c r="A15" s="19"/>
      <c r="B15" s="19"/>
      <c r="C15" s="506" t="str">
        <f>Qty!C94</f>
        <v>Small business general light and power</v>
      </c>
      <c r="D15" s="505" t="str">
        <f>Qty!D94</f>
        <v>Small Business LV</v>
      </c>
      <c r="E15" s="505" t="str">
        <f>Qty!E94</f>
        <v>TAS22</v>
      </c>
      <c r="F15" s="505">
        <f>Qty!F94</f>
        <v>0</v>
      </c>
      <c r="G15" s="505">
        <f>Qty!G94</f>
        <v>0</v>
      </c>
      <c r="H15" s="58"/>
      <c r="I15" s="198">
        <f>Qty!M94*'Hist. prices'!I15*I$7</f>
        <v>5177561.0473999996</v>
      </c>
      <c r="J15" s="198">
        <f>Qty!N94*'Hist. prices'!J15*J$7</f>
        <v>18026915.938353319</v>
      </c>
      <c r="K15" s="198">
        <f>Qty!O94*'Hist. prices'!K15*K$7</f>
        <v>0</v>
      </c>
      <c r="L15" s="198">
        <f>Qty!P94*'Hist. prices'!L15*L$7</f>
        <v>0</v>
      </c>
      <c r="M15" s="198">
        <f>Qty!Q94*'Hist. prices'!M15*M$7</f>
        <v>0</v>
      </c>
      <c r="N15" s="198">
        <f>Qty!R94*'Hist. prices'!N15*N$7</f>
        <v>0</v>
      </c>
      <c r="O15" s="198">
        <f>Qty!S94*'Hist. prices'!O15*O$7</f>
        <v>0</v>
      </c>
      <c r="P15" s="198">
        <f>Qty!T94*'Hist. prices'!P15*P$7</f>
        <v>0</v>
      </c>
      <c r="Q15" s="198">
        <f>Qty!U94*'Hist. prices'!Q15*Q$7</f>
        <v>0</v>
      </c>
      <c r="R15" s="198">
        <f>Qty!V94*'Hist. prices'!R15*R$7</f>
        <v>0</v>
      </c>
      <c r="S15" s="198">
        <f>Qty!W94*'Hist. prices'!S15*S$7</f>
        <v>0</v>
      </c>
      <c r="T15" s="198">
        <f>Qty!X94*'Hist. prices'!T15*T$7</f>
        <v>0</v>
      </c>
      <c r="U15" s="198">
        <f>Qty!Y94*'Hist. prices'!U15*U$7</f>
        <v>0</v>
      </c>
      <c r="V15" s="198">
        <f>Qty!Z94*'Hist. prices'!V15*V$7</f>
        <v>0</v>
      </c>
      <c r="W15" s="198">
        <f>Qty!AA94*'Hist. prices'!W15*W$7</f>
        <v>0</v>
      </c>
      <c r="X15" s="198">
        <f>Qty!AB94*'Hist. prices'!X15*X$7</f>
        <v>0</v>
      </c>
      <c r="Y15" s="198">
        <f>Qty!AC94*'Hist. prices'!Y15*Y$7</f>
        <v>0</v>
      </c>
      <c r="Z15" s="198">
        <f>Qty!AD94*'Hist. prices'!Z15*Z$7</f>
        <v>0</v>
      </c>
      <c r="AA15" s="198">
        <f>Qty!AE94*'Hist. prices'!AA15*AA$7</f>
        <v>0</v>
      </c>
      <c r="AB15" s="198">
        <f>Qty!AF94*'Hist. prices'!AB15*AB$7</f>
        <v>0</v>
      </c>
      <c r="AC15" s="206">
        <f t="shared" si="0"/>
        <v>23204476.98575332</v>
      </c>
      <c r="AD15" s="68"/>
      <c r="AE15" s="19"/>
      <c r="AF15" s="19"/>
      <c r="AG15" s="19"/>
      <c r="AH15" s="19"/>
    </row>
    <row r="16" spans="1:34" outlineLevel="2" x14ac:dyDescent="0.2">
      <c r="A16" s="19"/>
      <c r="B16" s="19"/>
      <c r="C16" s="506" t="str">
        <f>Qty!C95</f>
        <v>Small business time of use demand</v>
      </c>
      <c r="D16" s="505" t="str">
        <f>Qty!D95</f>
        <v>Small Business LV</v>
      </c>
      <c r="E16" s="505" t="str">
        <f>Qty!E95</f>
        <v>TAS88</v>
      </c>
      <c r="F16" s="505">
        <f>Qty!F95</f>
        <v>0</v>
      </c>
      <c r="G16" s="505">
        <f>Qty!G95</f>
        <v>0</v>
      </c>
      <c r="H16" s="58"/>
      <c r="I16" s="198">
        <f>Qty!M95*'Hist. prices'!I16*I$7</f>
        <v>248693.90339999995</v>
      </c>
      <c r="J16" s="198">
        <f>Qty!N95*'Hist. prices'!J16*J$7</f>
        <v>0</v>
      </c>
      <c r="K16" s="198">
        <f>Qty!O95*'Hist. prices'!K16*K$7</f>
        <v>0</v>
      </c>
      <c r="L16" s="198">
        <f>Qty!P95*'Hist. prices'!L16*L$7</f>
        <v>0</v>
      </c>
      <c r="M16" s="198">
        <f>Qty!Q95*'Hist. prices'!M16*M$7</f>
        <v>0</v>
      </c>
      <c r="N16" s="198">
        <f>Qty!R95*'Hist. prices'!N16*N$7</f>
        <v>0</v>
      </c>
      <c r="O16" s="198">
        <f>Qty!S95*'Hist. prices'!O16*O$7</f>
        <v>5064869.9461475657</v>
      </c>
      <c r="P16" s="198">
        <f>Qty!T95*'Hist. prices'!P16*P$7</f>
        <v>1223432.4228968008</v>
      </c>
      <c r="Q16" s="198">
        <f>Qty!U95*'Hist. prices'!Q16*Q$7</f>
        <v>0</v>
      </c>
      <c r="R16" s="198">
        <f>Qty!V95*'Hist. prices'!R16*R$7</f>
        <v>0</v>
      </c>
      <c r="S16" s="198">
        <f>Qty!W95*'Hist. prices'!S16*S$7</f>
        <v>0</v>
      </c>
      <c r="T16" s="198">
        <f>Qty!X95*'Hist. prices'!T16*T$7</f>
        <v>0</v>
      </c>
      <c r="U16" s="198">
        <f>Qty!Y95*'Hist. prices'!U16*U$7</f>
        <v>0</v>
      </c>
      <c r="V16" s="198">
        <f>Qty!Z95*'Hist. prices'!V16*V$7</f>
        <v>0</v>
      </c>
      <c r="W16" s="198">
        <f>Qty!AA95*'Hist. prices'!W16*W$7</f>
        <v>0</v>
      </c>
      <c r="X16" s="198">
        <f>Qty!AB95*'Hist. prices'!X16*X$7</f>
        <v>0</v>
      </c>
      <c r="Y16" s="198">
        <f>Qty!AC95*'Hist. prices'!Y16*Y$7</f>
        <v>0</v>
      </c>
      <c r="Z16" s="198">
        <f>Qty!AD95*'Hist. prices'!Z16*Z$7</f>
        <v>0</v>
      </c>
      <c r="AA16" s="198">
        <f>Qty!AE95*'Hist. prices'!AA16*AA$7</f>
        <v>0</v>
      </c>
      <c r="AB16" s="198">
        <f>Qty!AF95*'Hist. prices'!AB16*AB$7</f>
        <v>0</v>
      </c>
      <c r="AC16" s="206">
        <f t="shared" si="0"/>
        <v>6536996.2724443665</v>
      </c>
      <c r="AD16" s="68"/>
      <c r="AE16" s="19"/>
      <c r="AF16" s="19"/>
      <c r="AG16" s="19"/>
      <c r="AH16" s="19"/>
    </row>
    <row r="17" spans="1:34" outlineLevel="2" x14ac:dyDescent="0.2">
      <c r="A17" s="19"/>
      <c r="B17" s="19"/>
      <c r="C17" s="506" t="str">
        <f>Qty!C96</f>
        <v>Small business time of use demand DER</v>
      </c>
      <c r="D17" s="505" t="str">
        <f>Qty!D96</f>
        <v>Small Business LV</v>
      </c>
      <c r="E17" s="505" t="str">
        <f>Qty!E96</f>
        <v>TAS98</v>
      </c>
      <c r="F17" s="505">
        <f>Qty!F96</f>
        <v>0</v>
      </c>
      <c r="G17" s="505">
        <f>Qty!G96</f>
        <v>0</v>
      </c>
      <c r="H17" s="58"/>
      <c r="I17" s="198">
        <f>Qty!M96*'Hist. prices'!I17*I$7</f>
        <v>23923.574599999996</v>
      </c>
      <c r="J17" s="198">
        <f>Qty!N96*'Hist. prices'!J17*J$7</f>
        <v>0</v>
      </c>
      <c r="K17" s="198">
        <f>Qty!O96*'Hist. prices'!K17*K$7</f>
        <v>0</v>
      </c>
      <c r="L17" s="198">
        <f>Qty!P96*'Hist. prices'!L17*L$7</f>
        <v>0</v>
      </c>
      <c r="M17" s="198">
        <f>Qty!Q96*'Hist. prices'!M17*M$7</f>
        <v>0</v>
      </c>
      <c r="N17" s="198">
        <f>Qty!R96*'Hist. prices'!N17*N$7</f>
        <v>0</v>
      </c>
      <c r="O17" s="198">
        <f>Qty!S96*'Hist. prices'!O17*O$7</f>
        <v>855394.92843270651</v>
      </c>
      <c r="P17" s="198">
        <f>Qty!T96*'Hist. prices'!P17*P$7</f>
        <v>211556.16080315394</v>
      </c>
      <c r="Q17" s="198">
        <f>Qty!U96*'Hist. prices'!Q17*Q$7</f>
        <v>0</v>
      </c>
      <c r="R17" s="198">
        <f>Qty!V96*'Hist. prices'!R17*R$7</f>
        <v>0</v>
      </c>
      <c r="S17" s="198">
        <f>Qty!W96*'Hist. prices'!S17*S$7</f>
        <v>0</v>
      </c>
      <c r="T17" s="198">
        <f>Qty!X96*'Hist. prices'!T17*T$7</f>
        <v>0</v>
      </c>
      <c r="U17" s="198">
        <f>Qty!Y96*'Hist. prices'!U17*U$7</f>
        <v>0</v>
      </c>
      <c r="V17" s="198">
        <f>Qty!Z96*'Hist. prices'!V17*V$7</f>
        <v>0</v>
      </c>
      <c r="W17" s="198">
        <f>Qty!AA96*'Hist. prices'!W17*W$7</f>
        <v>0</v>
      </c>
      <c r="X17" s="198">
        <f>Qty!AB96*'Hist. prices'!X17*X$7</f>
        <v>0</v>
      </c>
      <c r="Y17" s="198">
        <f>Qty!AC96*'Hist. prices'!Y17*Y$7</f>
        <v>0</v>
      </c>
      <c r="Z17" s="198">
        <f>Qty!AD96*'Hist. prices'!Z17*Z$7</f>
        <v>0</v>
      </c>
      <c r="AA17" s="198">
        <f>Qty!AE96*'Hist. prices'!AA17*AA$7</f>
        <v>0</v>
      </c>
      <c r="AB17" s="198">
        <f>Qty!AF96*'Hist. prices'!AB17*AB$7</f>
        <v>0</v>
      </c>
      <c r="AC17" s="206">
        <f t="shared" si="0"/>
        <v>1090874.6638358606</v>
      </c>
      <c r="AD17" s="68"/>
      <c r="AE17" s="19"/>
      <c r="AF17" s="19"/>
      <c r="AG17" s="19"/>
      <c r="AH17" s="19"/>
    </row>
    <row r="18" spans="1:34" outlineLevel="2" x14ac:dyDescent="0.2">
      <c r="A18" s="19"/>
      <c r="B18" s="19"/>
      <c r="C18" s="506" t="str">
        <f>Qty!C97</f>
        <v>Large business kVA demand</v>
      </c>
      <c r="D18" s="505" t="str">
        <f>Qty!D97</f>
        <v>Large Business LV</v>
      </c>
      <c r="E18" s="505" t="str">
        <f>Qty!E97</f>
        <v>TAS82</v>
      </c>
      <c r="F18" s="505">
        <f>Qty!F97</f>
        <v>0</v>
      </c>
      <c r="G18" s="505">
        <f>Qty!G97</f>
        <v>0</v>
      </c>
      <c r="H18" s="58"/>
      <c r="I18" s="198">
        <f>Qty!M97*'Hist. prices'!I18*I$7</f>
        <v>695175.64199999999</v>
      </c>
      <c r="J18" s="198">
        <f>Qty!N97*'Hist. prices'!J18*J$7</f>
        <v>3839952.2144562281</v>
      </c>
      <c r="K18" s="198">
        <f>Qty!O97*'Hist. prices'!K18*K$7</f>
        <v>0</v>
      </c>
      <c r="L18" s="198">
        <f>Qty!P97*'Hist. prices'!L18*L$7</f>
        <v>0</v>
      </c>
      <c r="M18" s="198">
        <f>Qty!Q97*'Hist. prices'!M18*M$7</f>
        <v>0</v>
      </c>
      <c r="N18" s="198">
        <f>Qty!R97*'Hist. prices'!N18*N$7</f>
        <v>4827650.7105381945</v>
      </c>
      <c r="O18" s="198">
        <f>Qty!S97*'Hist. prices'!O18*O$7</f>
        <v>0</v>
      </c>
      <c r="P18" s="198">
        <f>Qty!T97*'Hist. prices'!P18*P$7</f>
        <v>0</v>
      </c>
      <c r="Q18" s="198">
        <f>Qty!U97*'Hist. prices'!Q18*Q$7</f>
        <v>0</v>
      </c>
      <c r="R18" s="198">
        <f>Qty!V97*'Hist. prices'!R18*R$7</f>
        <v>0</v>
      </c>
      <c r="S18" s="198">
        <f>Qty!W97*'Hist. prices'!S18*S$7</f>
        <v>0</v>
      </c>
      <c r="T18" s="198">
        <f>Qty!X97*'Hist. prices'!T18*T$7</f>
        <v>0</v>
      </c>
      <c r="U18" s="198">
        <f>Qty!Y97*'Hist. prices'!U18*U$7</f>
        <v>0</v>
      </c>
      <c r="V18" s="198">
        <f>Qty!Z97*'Hist. prices'!V18*V$7</f>
        <v>0</v>
      </c>
      <c r="W18" s="198">
        <f>Qty!AA97*'Hist. prices'!W18*W$7</f>
        <v>0</v>
      </c>
      <c r="X18" s="198">
        <f>Qty!AB97*'Hist. prices'!X18*X$7</f>
        <v>0</v>
      </c>
      <c r="Y18" s="198">
        <f>Qty!AC97*'Hist. prices'!Y18*Y$7</f>
        <v>0</v>
      </c>
      <c r="Z18" s="198">
        <f>Qty!AD97*'Hist. prices'!Z18*Z$7</f>
        <v>0</v>
      </c>
      <c r="AA18" s="198">
        <f>Qty!AE97*'Hist. prices'!AA18*AA$7</f>
        <v>0</v>
      </c>
      <c r="AB18" s="198">
        <f>Qty!AF97*'Hist. prices'!AB18*AB$7</f>
        <v>0</v>
      </c>
      <c r="AC18" s="206">
        <f t="shared" si="0"/>
        <v>9362778.5669944212</v>
      </c>
      <c r="AD18" s="68"/>
      <c r="AE18" s="19"/>
      <c r="AF18" s="19"/>
      <c r="AG18" s="19"/>
      <c r="AH18" s="19"/>
    </row>
    <row r="19" spans="1:34" outlineLevel="2" x14ac:dyDescent="0.2">
      <c r="A19" s="19"/>
      <c r="B19" s="19"/>
      <c r="C19" s="506" t="str">
        <f>Qty!C98</f>
        <v>Large business time of use demand</v>
      </c>
      <c r="D19" s="505" t="str">
        <f>Qty!D98</f>
        <v>Large Business LV</v>
      </c>
      <c r="E19" s="505" t="str">
        <f>Qty!E98</f>
        <v>TAS89</v>
      </c>
      <c r="F19" s="505">
        <f>Qty!F98</f>
        <v>0</v>
      </c>
      <c r="G19" s="505">
        <f>Qty!G98</f>
        <v>0</v>
      </c>
      <c r="H19" s="58"/>
      <c r="I19" s="198">
        <f>Qty!M98*'Hist. prices'!I19*I$7</f>
        <v>385301.32919999998</v>
      </c>
      <c r="J19" s="198">
        <f>Qty!N98*'Hist. prices'!J19*J$7</f>
        <v>0</v>
      </c>
      <c r="K19" s="198">
        <f>Qty!O98*'Hist. prices'!K19*K$7</f>
        <v>0</v>
      </c>
      <c r="L19" s="198">
        <f>Qty!P98*'Hist. prices'!L19*L$7</f>
        <v>0</v>
      </c>
      <c r="M19" s="198">
        <f>Qty!Q98*'Hist. prices'!M19*M$7</f>
        <v>0</v>
      </c>
      <c r="N19" s="198">
        <f>Qty!R98*'Hist. prices'!N19*N$7</f>
        <v>0</v>
      </c>
      <c r="O19" s="198">
        <f>Qty!S98*'Hist. prices'!O19*O$7</f>
        <v>4253533.5737698916</v>
      </c>
      <c r="P19" s="198">
        <f>Qty!T98*'Hist. prices'!P19*P$7</f>
        <v>1443461.0798174178</v>
      </c>
      <c r="Q19" s="198">
        <f>Qty!U98*'Hist. prices'!Q19*Q$7</f>
        <v>0</v>
      </c>
      <c r="R19" s="198">
        <f>Qty!V98*'Hist. prices'!R19*R$7</f>
        <v>0</v>
      </c>
      <c r="S19" s="198">
        <f>Qty!W98*'Hist. prices'!S19*S$7</f>
        <v>0</v>
      </c>
      <c r="T19" s="198">
        <f>Qty!X98*'Hist. prices'!T19*T$7</f>
        <v>0</v>
      </c>
      <c r="U19" s="198">
        <f>Qty!Y98*'Hist. prices'!U19*U$7</f>
        <v>0</v>
      </c>
      <c r="V19" s="198">
        <f>Qty!Z98*'Hist. prices'!V19*V$7</f>
        <v>0</v>
      </c>
      <c r="W19" s="198">
        <f>Qty!AA98*'Hist. prices'!W19*W$7</f>
        <v>0</v>
      </c>
      <c r="X19" s="198">
        <f>Qty!AB98*'Hist. prices'!X19*X$7</f>
        <v>0</v>
      </c>
      <c r="Y19" s="198">
        <f>Qty!AC98*'Hist. prices'!Y19*Y$7</f>
        <v>0</v>
      </c>
      <c r="Z19" s="198">
        <f>Qty!AD98*'Hist. prices'!Z19*Z$7</f>
        <v>0</v>
      </c>
      <c r="AA19" s="198">
        <f>Qty!AE98*'Hist. prices'!AA19*AA$7</f>
        <v>0</v>
      </c>
      <c r="AB19" s="198">
        <f>Qty!AF98*'Hist. prices'!AB19*AB$7</f>
        <v>0</v>
      </c>
      <c r="AC19" s="206">
        <f t="shared" si="0"/>
        <v>6082295.9827873092</v>
      </c>
      <c r="AD19" s="68"/>
      <c r="AE19" s="19"/>
      <c r="AF19" s="19"/>
      <c r="AG19" s="19"/>
      <c r="AH19" s="19"/>
    </row>
    <row r="20" spans="1:34" outlineLevel="2" x14ac:dyDescent="0.2">
      <c r="A20" s="19"/>
      <c r="B20" s="19"/>
      <c r="C20" s="506" t="str">
        <f>Qty!C99</f>
        <v>Irrigation time of use consumption</v>
      </c>
      <c r="D20" s="505" t="str">
        <f>Qty!D99</f>
        <v>Irrigation</v>
      </c>
      <c r="E20" s="505" t="str">
        <f>Qty!E99</f>
        <v>TAS75</v>
      </c>
      <c r="F20" s="505">
        <f>Qty!F99</f>
        <v>0</v>
      </c>
      <c r="G20" s="505">
        <f>Qty!G99</f>
        <v>0</v>
      </c>
      <c r="H20" s="58"/>
      <c r="I20" s="198">
        <f>Qty!M99*'Hist. prices'!I20*I$7</f>
        <v>3672448.6680000001</v>
      </c>
      <c r="J20" s="198">
        <f>Qty!N99*'Hist. prices'!J20*J$7</f>
        <v>0</v>
      </c>
      <c r="K20" s="198">
        <f>Qty!O99*'Hist. prices'!K20*K$7</f>
        <v>804016.0616585837</v>
      </c>
      <c r="L20" s="198">
        <f>Qty!P99*'Hist. prices'!L20*L$7</f>
        <v>2150788.4545095121</v>
      </c>
      <c r="M20" s="198">
        <f>Qty!Q99*'Hist. prices'!M20*M$7</f>
        <v>810561.78607289307</v>
      </c>
      <c r="N20" s="198">
        <f>Qty!R99*'Hist. prices'!N20*N$7</f>
        <v>0</v>
      </c>
      <c r="O20" s="198">
        <f>Qty!S99*'Hist. prices'!O20*O$7</f>
        <v>0</v>
      </c>
      <c r="P20" s="198">
        <f>Qty!T99*'Hist. prices'!P20*P$7</f>
        <v>0</v>
      </c>
      <c r="Q20" s="198">
        <f>Qty!U99*'Hist. prices'!Q20*Q$7</f>
        <v>0</v>
      </c>
      <c r="R20" s="198">
        <f>Qty!V99*'Hist. prices'!R20*R$7</f>
        <v>0</v>
      </c>
      <c r="S20" s="198">
        <f>Qty!W99*'Hist. prices'!S20*S$7</f>
        <v>0</v>
      </c>
      <c r="T20" s="198">
        <f>Qty!X99*'Hist. prices'!T20*T$7</f>
        <v>0</v>
      </c>
      <c r="U20" s="198">
        <f>Qty!Y99*'Hist. prices'!U20*U$7</f>
        <v>0</v>
      </c>
      <c r="V20" s="198">
        <f>Qty!Z99*'Hist. prices'!V20*V$7</f>
        <v>0</v>
      </c>
      <c r="W20" s="198">
        <f>Qty!AA99*'Hist. prices'!W20*W$7</f>
        <v>0</v>
      </c>
      <c r="X20" s="198">
        <f>Qty!AB99*'Hist. prices'!X20*X$7</f>
        <v>0</v>
      </c>
      <c r="Y20" s="198">
        <f>Qty!AC99*'Hist. prices'!Y20*Y$7</f>
        <v>0</v>
      </c>
      <c r="Z20" s="198">
        <f>Qty!AD99*'Hist. prices'!Z20*Z$7</f>
        <v>0</v>
      </c>
      <c r="AA20" s="198">
        <f>Qty!AE99*'Hist. prices'!AA20*AA$7</f>
        <v>0</v>
      </c>
      <c r="AB20" s="198">
        <f>Qty!AF99*'Hist. prices'!AB20*AB$7</f>
        <v>0</v>
      </c>
      <c r="AC20" s="206">
        <f t="shared" si="0"/>
        <v>7437814.9702409897</v>
      </c>
      <c r="AD20" s="68"/>
      <c r="AE20" s="19"/>
      <c r="AF20" s="19"/>
      <c r="AG20" s="19"/>
      <c r="AH20" s="19"/>
    </row>
    <row r="21" spans="1:34" outlineLevel="2" x14ac:dyDescent="0.2">
      <c r="A21" s="19"/>
      <c r="B21" s="19"/>
      <c r="C21" s="506" t="str">
        <f>Qty!C100</f>
        <v>Business HV kVA specified demand &lt;2MVA</v>
      </c>
      <c r="D21" s="505" t="str">
        <f>Qty!D100</f>
        <v>Large Business HV</v>
      </c>
      <c r="E21" s="505" t="str">
        <f>Qty!E100</f>
        <v>TASSDM</v>
      </c>
      <c r="F21" s="505">
        <f>Qty!F100</f>
        <v>0</v>
      </c>
      <c r="G21" s="505">
        <f>Qty!G100</f>
        <v>0</v>
      </c>
      <c r="H21" s="58"/>
      <c r="I21" s="198">
        <f>Qty!M100*'Hist. prices'!I21*I$7</f>
        <v>138076.82820000002</v>
      </c>
      <c r="J21" s="198">
        <f>Qty!N100*'Hist. prices'!J21*J$7</f>
        <v>0</v>
      </c>
      <c r="K21" s="198">
        <f>Qty!O100*'Hist. prices'!K21*K$7</f>
        <v>257389.85965137341</v>
      </c>
      <c r="L21" s="198">
        <f>Qty!P100*'Hist. prices'!L21*L$7</f>
        <v>187242.05482568927</v>
      </c>
      <c r="M21" s="198">
        <f>Qty!Q100*'Hist. prices'!M21*M$7</f>
        <v>57643.530967666033</v>
      </c>
      <c r="N21" s="198">
        <f>Qty!R100*'Hist. prices'!N21*N$7</f>
        <v>0</v>
      </c>
      <c r="O21" s="198">
        <f>Qty!S100*'Hist. prices'!O21*O$7</f>
        <v>0</v>
      </c>
      <c r="P21" s="198">
        <f>Qty!T100*'Hist. prices'!P21*P$7</f>
        <v>0</v>
      </c>
      <c r="Q21" s="198">
        <f>Qty!U100*'Hist. prices'!Q21*Q$7</f>
        <v>4042045.0218271818</v>
      </c>
      <c r="R21" s="198">
        <f>Qty!V100*'Hist. prices'!R21*R$7</f>
        <v>255143.52854515717</v>
      </c>
      <c r="S21" s="198">
        <f>Qty!W100*'Hist. prices'!S21*S$7</f>
        <v>0</v>
      </c>
      <c r="T21" s="198">
        <f>Qty!X100*'Hist. prices'!T21*T$7</f>
        <v>0</v>
      </c>
      <c r="U21" s="198">
        <f>Qty!Y100*'Hist. prices'!U21*U$7</f>
        <v>0</v>
      </c>
      <c r="V21" s="198">
        <f>Qty!Z100*'Hist. prices'!V21*V$7</f>
        <v>0</v>
      </c>
      <c r="W21" s="198">
        <f>Qty!AA100*'Hist. prices'!W21*W$7</f>
        <v>0</v>
      </c>
      <c r="X21" s="198">
        <f>Qty!AB100*'Hist. prices'!X21*X$7</f>
        <v>0</v>
      </c>
      <c r="Y21" s="198">
        <f>Qty!AC100*'Hist. prices'!Y21*Y$7</f>
        <v>0</v>
      </c>
      <c r="Z21" s="198">
        <f>Qty!AD100*'Hist. prices'!Z21*Z$7</f>
        <v>0</v>
      </c>
      <c r="AA21" s="198">
        <f>Qty!AE100*'Hist. prices'!AA21*AA$7</f>
        <v>0</v>
      </c>
      <c r="AB21" s="198">
        <f>Qty!AF100*'Hist. prices'!AB21*AB$7</f>
        <v>0</v>
      </c>
      <c r="AC21" s="206">
        <f t="shared" si="0"/>
        <v>4937540.8240170674</v>
      </c>
      <c r="AD21" s="68"/>
      <c r="AE21" s="19"/>
      <c r="AF21" s="19"/>
      <c r="AG21" s="19"/>
      <c r="AH21" s="19"/>
    </row>
    <row r="22" spans="1:34" outlineLevel="2" x14ac:dyDescent="0.2">
      <c r="A22" s="19"/>
      <c r="B22" s="19"/>
      <c r="C22" s="506" t="str">
        <f>Qty!C101</f>
        <v>Business HV kVA specified demand &gt;2MVA</v>
      </c>
      <c r="D22" s="505" t="str">
        <f>Qty!D101</f>
        <v>Large Business HV</v>
      </c>
      <c r="E22" s="505" t="str">
        <f>Qty!E101</f>
        <v>TAS15*</v>
      </c>
      <c r="F22" s="505">
        <f>Qty!F101</f>
        <v>0</v>
      </c>
      <c r="G22" s="505">
        <f>Qty!G101</f>
        <v>0</v>
      </c>
      <c r="H22" s="58"/>
      <c r="I22" s="198">
        <f>Qty!M101*'Hist. prices'!I22*I$7</f>
        <v>0</v>
      </c>
      <c r="J22" s="198">
        <f>Qty!N101*'Hist. prices'!J22*J$7</f>
        <v>0</v>
      </c>
      <c r="K22" s="198">
        <f>Qty!O101*'Hist. prices'!K22*K$7</f>
        <v>0</v>
      </c>
      <c r="L22" s="198">
        <f>Qty!P101*'Hist. prices'!L22*L$7</f>
        <v>0</v>
      </c>
      <c r="M22" s="198">
        <f>Qty!Q101*'Hist. prices'!M22*M$7</f>
        <v>0</v>
      </c>
      <c r="N22" s="198">
        <f>Qty!R101*'Hist. prices'!N22*N$7</f>
        <v>0</v>
      </c>
      <c r="O22" s="198">
        <f>Qty!S101*'Hist. prices'!O22*O$7</f>
        <v>0</v>
      </c>
      <c r="P22" s="198">
        <f>Qty!T101*'Hist. prices'!P22*P$7</f>
        <v>0</v>
      </c>
      <c r="Q22" s="198">
        <f>Qty!U101*'Hist. prices'!Q22*Q$7</f>
        <v>0</v>
      </c>
      <c r="R22" s="198">
        <f>Qty!V101*'Hist. prices'!R22*R$7</f>
        <v>0</v>
      </c>
      <c r="S22" s="198">
        <f>Qty!W101*'Hist. prices'!S22*S$7</f>
        <v>0</v>
      </c>
      <c r="T22" s="198">
        <f>Qty!X101*'Hist. prices'!T22*T$7</f>
        <v>0</v>
      </c>
      <c r="U22" s="198">
        <f>Qty!Y101*'Hist. prices'!U22*U$7</f>
        <v>0</v>
      </c>
      <c r="V22" s="198">
        <f>Qty!Z101*'Hist. prices'!V22*V$7</f>
        <v>0</v>
      </c>
      <c r="W22" s="198">
        <f>Qty!AA101*'Hist. prices'!W22*W$7</f>
        <v>0</v>
      </c>
      <c r="X22" s="198">
        <f>Qty!AB101*'Hist. prices'!X22*X$7</f>
        <v>0</v>
      </c>
      <c r="Y22" s="198">
        <f>Qty!AC101*'Hist. prices'!Y22*Y$7</f>
        <v>0</v>
      </c>
      <c r="Z22" s="198">
        <f>Qty!AD101*'Hist. prices'!Z22*Z$7</f>
        <v>0</v>
      </c>
      <c r="AA22" s="198">
        <f>Qty!AE101*'Hist. prices'!AA22*AA$7</f>
        <v>0</v>
      </c>
      <c r="AB22" s="198">
        <f>Qty!AF101*'Hist. prices'!AB22*AB$7</f>
        <v>0</v>
      </c>
      <c r="AC22" s="206">
        <f t="shared" si="0"/>
        <v>0</v>
      </c>
      <c r="AD22" s="68"/>
      <c r="AE22" s="19"/>
      <c r="AF22" s="19"/>
      <c r="AG22" s="19"/>
      <c r="AH22" s="19"/>
    </row>
    <row r="23" spans="1:34" outlineLevel="2" x14ac:dyDescent="0.2">
      <c r="A23" s="19"/>
      <c r="B23" s="19"/>
      <c r="C23" s="506" t="str">
        <f>Qty!C102</f>
        <v>Uncontrolled low voltage heating and hot water</v>
      </c>
      <c r="D23" s="505" t="str">
        <f>Qty!D102</f>
        <v>Uncontrolled energy</v>
      </c>
      <c r="E23" s="505" t="str">
        <f>Qty!E102</f>
        <v>TAS41</v>
      </c>
      <c r="F23" s="505">
        <f>Qty!F102</f>
        <v>0</v>
      </c>
      <c r="G23" s="505">
        <f>Qty!G102</f>
        <v>0</v>
      </c>
      <c r="H23" s="58"/>
      <c r="I23" s="198">
        <f>Qty!M102*'Hist. prices'!I23*I$7</f>
        <v>4830630.0419684397</v>
      </c>
      <c r="J23" s="198">
        <f>Qty!N102*'Hist. prices'!J23*J$7</f>
        <v>32843499.528370976</v>
      </c>
      <c r="K23" s="198">
        <f>Qty!O102*'Hist. prices'!K23*K$7</f>
        <v>0</v>
      </c>
      <c r="L23" s="198">
        <f>Qty!P102*'Hist. prices'!L23*L$7</f>
        <v>0</v>
      </c>
      <c r="M23" s="198">
        <f>Qty!Q102*'Hist. prices'!M23*M$7</f>
        <v>0</v>
      </c>
      <c r="N23" s="198">
        <f>Qty!R102*'Hist. prices'!N23*N$7</f>
        <v>0</v>
      </c>
      <c r="O23" s="198">
        <f>Qty!S102*'Hist. prices'!O23*O$7</f>
        <v>0</v>
      </c>
      <c r="P23" s="198">
        <f>Qty!T102*'Hist. prices'!P23*P$7</f>
        <v>0</v>
      </c>
      <c r="Q23" s="198">
        <f>Qty!U102*'Hist. prices'!Q23*Q$7</f>
        <v>0</v>
      </c>
      <c r="R23" s="198">
        <f>Qty!V102*'Hist. prices'!R23*R$7</f>
        <v>0</v>
      </c>
      <c r="S23" s="198">
        <f>Qty!W102*'Hist. prices'!S23*S$7</f>
        <v>0</v>
      </c>
      <c r="T23" s="198">
        <f>Qty!X102*'Hist. prices'!T23*T$7</f>
        <v>0</v>
      </c>
      <c r="U23" s="198">
        <f>Qty!Y102*'Hist. prices'!U23*U$7</f>
        <v>0</v>
      </c>
      <c r="V23" s="198">
        <f>Qty!Z102*'Hist. prices'!V23*V$7</f>
        <v>0</v>
      </c>
      <c r="W23" s="198">
        <f>Qty!AA102*'Hist. prices'!W23*W$7</f>
        <v>0</v>
      </c>
      <c r="X23" s="198">
        <f>Qty!AB102*'Hist. prices'!X23*X$7</f>
        <v>0</v>
      </c>
      <c r="Y23" s="198">
        <f>Qty!AC102*'Hist. prices'!Y23*Y$7</f>
        <v>0</v>
      </c>
      <c r="Z23" s="198">
        <f>Qty!AD102*'Hist. prices'!Z23*Z$7</f>
        <v>0</v>
      </c>
      <c r="AA23" s="198">
        <f>Qty!AE102*'Hist. prices'!AA23*AA$7</f>
        <v>0</v>
      </c>
      <c r="AB23" s="198">
        <f>Qty!AF102*'Hist. prices'!AB23*AB$7</f>
        <v>0</v>
      </c>
      <c r="AC23" s="206">
        <f t="shared" si="0"/>
        <v>37674129.570339419</v>
      </c>
      <c r="AD23" s="68"/>
      <c r="AE23" s="19"/>
      <c r="AF23" s="19"/>
      <c r="AG23" s="19"/>
      <c r="AH23" s="19"/>
    </row>
    <row r="24" spans="1:34" outlineLevel="2" x14ac:dyDescent="0.2">
      <c r="A24" s="19"/>
      <c r="B24" s="19"/>
      <c r="C24" s="506" t="str">
        <f>Qty!C103</f>
        <v>Controlled low voltage night period only</v>
      </c>
      <c r="D24" s="505" t="str">
        <f>Qty!D103</f>
        <v>Controlled energy</v>
      </c>
      <c r="E24" s="505" t="str">
        <f>Qty!E103</f>
        <v>TAS63</v>
      </c>
      <c r="F24" s="505">
        <f>Qty!F103</f>
        <v>0</v>
      </c>
      <c r="G24" s="505">
        <f>Qty!G103</f>
        <v>0</v>
      </c>
      <c r="H24" s="58"/>
      <c r="I24" s="198">
        <f>Qty!M103*'Hist. prices'!I24*I$7</f>
        <v>23622.526679920938</v>
      </c>
      <c r="J24" s="198">
        <f>Qty!N103*'Hist. prices'!J24*J$7</f>
        <v>12999.343962432698</v>
      </c>
      <c r="K24" s="198">
        <f>Qty!O103*'Hist. prices'!K24*K$7</f>
        <v>0</v>
      </c>
      <c r="L24" s="198">
        <f>Qty!P103*'Hist. prices'!L24*L$7</f>
        <v>0</v>
      </c>
      <c r="M24" s="198">
        <f>Qty!Q103*'Hist. prices'!M24*M$7</f>
        <v>0</v>
      </c>
      <c r="N24" s="198">
        <f>Qty!R103*'Hist. prices'!N24*N$7</f>
        <v>0</v>
      </c>
      <c r="O24" s="198">
        <f>Qty!S103*'Hist. prices'!O24*O$7</f>
        <v>0</v>
      </c>
      <c r="P24" s="198">
        <f>Qty!T103*'Hist. prices'!P24*P$7</f>
        <v>0</v>
      </c>
      <c r="Q24" s="198">
        <f>Qty!U103*'Hist. prices'!Q24*Q$7</f>
        <v>0</v>
      </c>
      <c r="R24" s="198">
        <f>Qty!V103*'Hist. prices'!R24*R$7</f>
        <v>0</v>
      </c>
      <c r="S24" s="198">
        <f>Qty!W103*'Hist. prices'!S24*S$7</f>
        <v>0</v>
      </c>
      <c r="T24" s="198">
        <f>Qty!X103*'Hist. prices'!T24*T$7</f>
        <v>0</v>
      </c>
      <c r="U24" s="198">
        <f>Qty!Y103*'Hist. prices'!U24*U$7</f>
        <v>0</v>
      </c>
      <c r="V24" s="198">
        <f>Qty!Z103*'Hist. prices'!V24*V$7</f>
        <v>0</v>
      </c>
      <c r="W24" s="198">
        <f>Qty!AA103*'Hist. prices'!W24*W$7</f>
        <v>0</v>
      </c>
      <c r="X24" s="198">
        <f>Qty!AB103*'Hist. prices'!X24*X$7</f>
        <v>0</v>
      </c>
      <c r="Y24" s="198">
        <f>Qty!AC103*'Hist. prices'!Y24*Y$7</f>
        <v>0</v>
      </c>
      <c r="Z24" s="198">
        <f>Qty!AD103*'Hist. prices'!Z24*Z$7</f>
        <v>0</v>
      </c>
      <c r="AA24" s="198">
        <f>Qty!AE103*'Hist. prices'!AA24*AA$7</f>
        <v>0</v>
      </c>
      <c r="AB24" s="198">
        <f>Qty!AF103*'Hist. prices'!AB24*AB$7</f>
        <v>0</v>
      </c>
      <c r="AC24" s="206">
        <f t="shared" si="0"/>
        <v>36621.870642353635</v>
      </c>
      <c r="AD24" s="68"/>
      <c r="AE24" s="19"/>
      <c r="AF24" s="19"/>
      <c r="AG24" s="19"/>
      <c r="AH24" s="19"/>
    </row>
    <row r="25" spans="1:34" ht="22.5" outlineLevel="2" x14ac:dyDescent="0.2">
      <c r="A25" s="19"/>
      <c r="B25" s="19"/>
      <c r="C25" s="506" t="str">
        <f>Qty!C104</f>
        <v>Controlled low voltage off peak with afternoon boost</v>
      </c>
      <c r="D25" s="505" t="str">
        <f>Qty!D104</f>
        <v>Controlled energy</v>
      </c>
      <c r="E25" s="505" t="str">
        <f>Qty!E104</f>
        <v>TAS61</v>
      </c>
      <c r="F25" s="505">
        <f>Qty!F104</f>
        <v>0</v>
      </c>
      <c r="G25" s="505">
        <f>Qty!G104</f>
        <v>0</v>
      </c>
      <c r="H25" s="58"/>
      <c r="I25" s="198">
        <f>Qty!M104*'Hist. prices'!I25*I$7</f>
        <v>873036.90619117802</v>
      </c>
      <c r="J25" s="198">
        <f>Qty!N104*'Hist. prices'!J25*J$7</f>
        <v>350868.76616234233</v>
      </c>
      <c r="K25" s="198">
        <f>Qty!O104*'Hist. prices'!K25*K$7</f>
        <v>0</v>
      </c>
      <c r="L25" s="198">
        <f>Qty!P104*'Hist. prices'!L25*L$7</f>
        <v>0</v>
      </c>
      <c r="M25" s="198">
        <f>Qty!Q104*'Hist. prices'!M25*M$7</f>
        <v>0</v>
      </c>
      <c r="N25" s="198">
        <f>Qty!R104*'Hist. prices'!N25*N$7</f>
        <v>0</v>
      </c>
      <c r="O25" s="198">
        <f>Qty!S104*'Hist. prices'!O25*O$7</f>
        <v>0</v>
      </c>
      <c r="P25" s="198">
        <f>Qty!T104*'Hist. prices'!P25*P$7</f>
        <v>0</v>
      </c>
      <c r="Q25" s="198">
        <f>Qty!U104*'Hist. prices'!Q25*Q$7</f>
        <v>0</v>
      </c>
      <c r="R25" s="198">
        <f>Qty!V104*'Hist. prices'!R25*R$7</f>
        <v>0</v>
      </c>
      <c r="S25" s="198">
        <f>Qty!W104*'Hist. prices'!S25*S$7</f>
        <v>0</v>
      </c>
      <c r="T25" s="198">
        <f>Qty!X104*'Hist. prices'!T25*T$7</f>
        <v>0</v>
      </c>
      <c r="U25" s="198">
        <f>Qty!Y104*'Hist. prices'!U25*U$7</f>
        <v>0</v>
      </c>
      <c r="V25" s="198">
        <f>Qty!Z104*'Hist. prices'!V25*V$7</f>
        <v>0</v>
      </c>
      <c r="W25" s="198">
        <f>Qty!AA104*'Hist. prices'!W25*W$7</f>
        <v>0</v>
      </c>
      <c r="X25" s="198">
        <f>Qty!AB104*'Hist. prices'!X25*X$7</f>
        <v>0</v>
      </c>
      <c r="Y25" s="198">
        <f>Qty!AC104*'Hist. prices'!Y25*Y$7</f>
        <v>0</v>
      </c>
      <c r="Z25" s="198">
        <f>Qty!AD104*'Hist. prices'!Z25*Z$7</f>
        <v>0</v>
      </c>
      <c r="AA25" s="198">
        <f>Qty!AE104*'Hist. prices'!AA25*AA$7</f>
        <v>0</v>
      </c>
      <c r="AB25" s="198">
        <f>Qty!AF104*'Hist. prices'!AB25*AB$7</f>
        <v>0</v>
      </c>
      <c r="AC25" s="206">
        <f t="shared" si="0"/>
        <v>1223905.6723535203</v>
      </c>
      <c r="AD25" s="68"/>
      <c r="AE25" s="19"/>
      <c r="AF25" s="19"/>
      <c r="AG25" s="19"/>
      <c r="AH25" s="19"/>
    </row>
    <row r="26" spans="1:34" outlineLevel="2" x14ac:dyDescent="0.2">
      <c r="A26" s="19"/>
      <c r="B26" s="19"/>
      <c r="C26" s="506" t="str">
        <f>Qty!C105</f>
        <v>Unmetered supply general</v>
      </c>
      <c r="D26" s="505" t="str">
        <f>Qty!D105</f>
        <v>Unmetered supplies</v>
      </c>
      <c r="E26" s="505" t="str">
        <f>Qty!E105</f>
        <v>TASUMS</v>
      </c>
      <c r="F26" s="505">
        <f>Qty!F105</f>
        <v>0</v>
      </c>
      <c r="G26" s="505">
        <f>Qty!G105</f>
        <v>0</v>
      </c>
      <c r="H26" s="58"/>
      <c r="I26" s="198">
        <f>Qty!M105*'Hist. prices'!I26*I$7</f>
        <v>349160.78119999997</v>
      </c>
      <c r="J26" s="198">
        <f>Qty!N105*'Hist. prices'!J26*J$7</f>
        <v>566401.25193502649</v>
      </c>
      <c r="K26" s="198">
        <f>Qty!O105*'Hist. prices'!K26*K$7</f>
        <v>0</v>
      </c>
      <c r="L26" s="198">
        <f>Qty!P105*'Hist. prices'!L26*L$7</f>
        <v>0</v>
      </c>
      <c r="M26" s="198">
        <f>Qty!Q105*'Hist. prices'!M26*M$7</f>
        <v>0</v>
      </c>
      <c r="N26" s="198">
        <f>Qty!R105*'Hist. prices'!N26*N$7</f>
        <v>0</v>
      </c>
      <c r="O26" s="198">
        <f>Qty!S105*'Hist. prices'!O26*O$7</f>
        <v>0</v>
      </c>
      <c r="P26" s="198">
        <f>Qty!T105*'Hist. prices'!P26*P$7</f>
        <v>0</v>
      </c>
      <c r="Q26" s="198">
        <f>Qty!U105*'Hist. prices'!Q26*Q$7</f>
        <v>0</v>
      </c>
      <c r="R26" s="198">
        <f>Qty!V105*'Hist. prices'!R26*R$7</f>
        <v>0</v>
      </c>
      <c r="S26" s="198">
        <f>Qty!W105*'Hist. prices'!S26*S$7</f>
        <v>0</v>
      </c>
      <c r="T26" s="198">
        <f>Qty!X105*'Hist. prices'!T26*T$7</f>
        <v>0</v>
      </c>
      <c r="U26" s="198">
        <f>Qty!Y105*'Hist. prices'!U26*U$7</f>
        <v>0</v>
      </c>
      <c r="V26" s="198">
        <f>Qty!Z105*'Hist. prices'!V26*V$7</f>
        <v>0</v>
      </c>
      <c r="W26" s="198">
        <f>Qty!AA105*'Hist. prices'!W26*W$7</f>
        <v>0</v>
      </c>
      <c r="X26" s="198">
        <f>Qty!AB105*'Hist. prices'!X26*X$7</f>
        <v>0</v>
      </c>
      <c r="Y26" s="198">
        <f>Qty!AC105*'Hist. prices'!Y26*Y$7</f>
        <v>0</v>
      </c>
      <c r="Z26" s="198">
        <f>Qty!AD105*'Hist. prices'!Z26*Z$7</f>
        <v>0</v>
      </c>
      <c r="AA26" s="198">
        <f>Qty!AE105*'Hist. prices'!AA26*AA$7</f>
        <v>0</v>
      </c>
      <c r="AB26" s="198">
        <f>Qty!AF105*'Hist. prices'!AB26*AB$7</f>
        <v>0</v>
      </c>
      <c r="AC26" s="206">
        <f t="shared" si="0"/>
        <v>915562.03313502646</v>
      </c>
      <c r="AD26" s="68"/>
      <c r="AE26" s="19"/>
      <c r="AF26" s="19"/>
      <c r="AG26" s="19"/>
      <c r="AH26" s="19"/>
    </row>
    <row r="27" spans="1:34" outlineLevel="2" x14ac:dyDescent="0.2">
      <c r="A27" s="19"/>
      <c r="B27" s="19"/>
      <c r="C27" s="506" t="str">
        <f>Qty!C106</f>
        <v>Street lighting</v>
      </c>
      <c r="D27" s="505" t="str">
        <f>Qty!D106</f>
        <v>Street lighting</v>
      </c>
      <c r="E27" s="505" t="str">
        <f>Qty!E106</f>
        <v>TASUMSSL</v>
      </c>
      <c r="F27" s="505">
        <f>Qty!F106</f>
        <v>0</v>
      </c>
      <c r="G27" s="505">
        <f>Qty!G106</f>
        <v>0</v>
      </c>
      <c r="H27" s="58"/>
      <c r="I27" s="198">
        <f>Qty!M106*'Hist. prices'!I27*I$7</f>
        <v>0</v>
      </c>
      <c r="J27" s="198">
        <f>Qty!N106*'Hist. prices'!J27*J$7</f>
        <v>0</v>
      </c>
      <c r="K27" s="198">
        <f>Qty!O106*'Hist. prices'!K27*K$7</f>
        <v>0</v>
      </c>
      <c r="L27" s="198">
        <f>Qty!P106*'Hist. prices'!L27*L$7</f>
        <v>0</v>
      </c>
      <c r="M27" s="198">
        <f>Qty!Q106*'Hist. prices'!M27*M$7</f>
        <v>0</v>
      </c>
      <c r="N27" s="198">
        <f>Qty!R106*'Hist. prices'!N27*N$7</f>
        <v>0</v>
      </c>
      <c r="O27" s="198">
        <f>Qty!S106*'Hist. prices'!O27*O$7</f>
        <v>0</v>
      </c>
      <c r="P27" s="198">
        <f>Qty!T106*'Hist. prices'!P27*P$7</f>
        <v>0</v>
      </c>
      <c r="Q27" s="198">
        <f>Qty!U106*'Hist. prices'!Q27*Q$7</f>
        <v>0</v>
      </c>
      <c r="R27" s="198">
        <f>Qty!V106*'Hist. prices'!R27*R$7</f>
        <v>0</v>
      </c>
      <c r="S27" s="198">
        <f>Qty!W106*'Hist. prices'!S27*S$7</f>
        <v>0</v>
      </c>
      <c r="T27" s="198">
        <f>Qty!X106*'Hist. prices'!T27*T$7</f>
        <v>0</v>
      </c>
      <c r="U27" s="198">
        <f>Qty!Y106*'Hist. prices'!U27*U$7</f>
        <v>1135461.7091592061</v>
      </c>
      <c r="V27" s="198">
        <f>Qty!Z106*'Hist. prices'!V27*V$7</f>
        <v>0</v>
      </c>
      <c r="W27" s="198">
        <f>Qty!AA106*'Hist. prices'!W27*W$7</f>
        <v>0</v>
      </c>
      <c r="X27" s="198">
        <f>Qty!AB106*'Hist. prices'!X27*X$7</f>
        <v>0</v>
      </c>
      <c r="Y27" s="198">
        <f>Qty!AC106*'Hist. prices'!Y27*Y$7</f>
        <v>0</v>
      </c>
      <c r="Z27" s="198">
        <f>Qty!AD106*'Hist. prices'!Z27*Z$7</f>
        <v>0</v>
      </c>
      <c r="AA27" s="198">
        <f>Qty!AE106*'Hist. prices'!AA27*AA$7</f>
        <v>0</v>
      </c>
      <c r="AB27" s="198">
        <f>Qty!AF106*'Hist. prices'!AB27*AB$7</f>
        <v>0</v>
      </c>
      <c r="AC27" s="206">
        <f t="shared" si="0"/>
        <v>1135461.7091592061</v>
      </c>
      <c r="AD27" s="68"/>
      <c r="AE27" s="19"/>
      <c r="AF27" s="19"/>
      <c r="AG27" s="19"/>
      <c r="AH27" s="19"/>
    </row>
    <row r="28" spans="1:34" outlineLevel="2" x14ac:dyDescent="0.2">
      <c r="A28" s="19"/>
      <c r="B28" s="19"/>
      <c r="C28" s="506">
        <f>Qty!C107</f>
        <v>0</v>
      </c>
      <c r="D28" s="505">
        <f>Qty!D107</f>
        <v>0</v>
      </c>
      <c r="E28" s="505">
        <f>Qty!E107</f>
        <v>0</v>
      </c>
      <c r="F28" s="505">
        <f>Qty!F107</f>
        <v>0</v>
      </c>
      <c r="G28" s="505">
        <f>Qty!G107</f>
        <v>0</v>
      </c>
      <c r="H28" s="58"/>
      <c r="I28" s="198">
        <f>Qty!M107*'Hist. prices'!I28*I$7</f>
        <v>0</v>
      </c>
      <c r="J28" s="198">
        <f>Qty!N107*'Hist. prices'!J28*J$7</f>
        <v>0</v>
      </c>
      <c r="K28" s="198">
        <f>Qty!O107*'Hist. prices'!K28*K$7</f>
        <v>0</v>
      </c>
      <c r="L28" s="198">
        <f>Qty!P107*'Hist. prices'!L28*L$7</f>
        <v>0</v>
      </c>
      <c r="M28" s="198">
        <f>Qty!Q107*'Hist. prices'!M28*M$7</f>
        <v>0</v>
      </c>
      <c r="N28" s="198">
        <f>Qty!R107*'Hist. prices'!N28*N$7</f>
        <v>0</v>
      </c>
      <c r="O28" s="198">
        <f>Qty!S107*'Hist. prices'!O28*O$7</f>
        <v>0</v>
      </c>
      <c r="P28" s="198">
        <f>Qty!T107*'Hist. prices'!P28*P$7</f>
        <v>0</v>
      </c>
      <c r="Q28" s="198">
        <f>Qty!U107*'Hist. prices'!Q28*Q$7</f>
        <v>0</v>
      </c>
      <c r="R28" s="198">
        <f>Qty!V107*'Hist. prices'!R28*R$7</f>
        <v>0</v>
      </c>
      <c r="S28" s="198">
        <f>Qty!W107*'Hist. prices'!S28*S$7</f>
        <v>0</v>
      </c>
      <c r="T28" s="198">
        <f>Qty!X107*'Hist. prices'!T28*T$7</f>
        <v>0</v>
      </c>
      <c r="U28" s="198">
        <f>Qty!Y107*'Hist. prices'!U28*U$7</f>
        <v>0</v>
      </c>
      <c r="V28" s="198">
        <f>Qty!Z107*'Hist. prices'!V28*V$7</f>
        <v>0</v>
      </c>
      <c r="W28" s="198">
        <f>Qty!AA107*'Hist. prices'!W28*W$7</f>
        <v>0</v>
      </c>
      <c r="X28" s="198">
        <f>Qty!AB107*'Hist. prices'!X28*X$7</f>
        <v>0</v>
      </c>
      <c r="Y28" s="198">
        <f>Qty!AC107*'Hist. prices'!Y28*Y$7</f>
        <v>0</v>
      </c>
      <c r="Z28" s="198">
        <f>Qty!AD107*'Hist. prices'!Z28*Z$7</f>
        <v>0</v>
      </c>
      <c r="AA28" s="198">
        <f>Qty!AE107*'Hist. prices'!AA28*AA$7</f>
        <v>0</v>
      </c>
      <c r="AB28" s="198">
        <f>Qty!AF107*'Hist. prices'!AB28*AB$7</f>
        <v>0</v>
      </c>
      <c r="AC28" s="206">
        <f t="shared" si="0"/>
        <v>0</v>
      </c>
      <c r="AD28" s="68"/>
      <c r="AE28" s="19"/>
      <c r="AF28" s="19"/>
      <c r="AG28" s="19"/>
      <c r="AH28" s="19"/>
    </row>
    <row r="29" spans="1:34" hidden="1" outlineLevel="3" x14ac:dyDescent="0.2">
      <c r="A29" s="19"/>
      <c r="B29" s="19"/>
      <c r="C29" s="506">
        <f>Qty!C108</f>
        <v>0</v>
      </c>
      <c r="D29" s="505">
        <f>Qty!D108</f>
        <v>0</v>
      </c>
      <c r="E29" s="505">
        <f>Qty!E108</f>
        <v>0</v>
      </c>
      <c r="F29" s="505">
        <f>Qty!F108</f>
        <v>0</v>
      </c>
      <c r="G29" s="505">
        <f>Qty!G108</f>
        <v>0</v>
      </c>
      <c r="H29" s="58"/>
      <c r="I29" s="198">
        <f>Qty!M108*'Hist. prices'!I29*I$7</f>
        <v>0</v>
      </c>
      <c r="J29" s="198">
        <f>Qty!N108*'Hist. prices'!J29*J$7</f>
        <v>0</v>
      </c>
      <c r="K29" s="198">
        <f>Qty!O108*'Hist. prices'!K29*K$7</f>
        <v>0</v>
      </c>
      <c r="L29" s="198">
        <f>Qty!P108*'Hist. prices'!L29*L$7</f>
        <v>0</v>
      </c>
      <c r="M29" s="198">
        <f>Qty!Q108*'Hist. prices'!M29*M$7</f>
        <v>0</v>
      </c>
      <c r="N29" s="198">
        <f>Qty!R108*'Hist. prices'!N29*N$7</f>
        <v>0</v>
      </c>
      <c r="O29" s="198">
        <f>Qty!S108*'Hist. prices'!O29*O$7</f>
        <v>0</v>
      </c>
      <c r="P29" s="198">
        <f>Qty!T108*'Hist. prices'!P29*P$7</f>
        <v>0</v>
      </c>
      <c r="Q29" s="198">
        <f>Qty!U108*'Hist. prices'!Q29*Q$7</f>
        <v>0</v>
      </c>
      <c r="R29" s="198">
        <f>Qty!V108*'Hist. prices'!R29*R$7</f>
        <v>0</v>
      </c>
      <c r="S29" s="198">
        <f>Qty!W108*'Hist. prices'!S29*S$7</f>
        <v>0</v>
      </c>
      <c r="T29" s="198">
        <f>Qty!X108*'Hist. prices'!T29*T$7</f>
        <v>0</v>
      </c>
      <c r="U29" s="198">
        <f>Qty!Y108*'Hist. prices'!U29*U$7</f>
        <v>0</v>
      </c>
      <c r="V29" s="198">
        <f>Qty!Z108*'Hist. prices'!V29*V$7</f>
        <v>0</v>
      </c>
      <c r="W29" s="198">
        <f>Qty!AA108*'Hist. prices'!W29*W$7</f>
        <v>0</v>
      </c>
      <c r="X29" s="198">
        <f>Qty!AB108*'Hist. prices'!X29*X$7</f>
        <v>0</v>
      </c>
      <c r="Y29" s="198">
        <f>Qty!AC108*'Hist. prices'!Y29*Y$7</f>
        <v>0</v>
      </c>
      <c r="Z29" s="198">
        <f>Qty!AD108*'Hist. prices'!Z29*Z$7</f>
        <v>0</v>
      </c>
      <c r="AA29" s="198">
        <f>Qty!AE108*'Hist. prices'!AA29*AA$7</f>
        <v>0</v>
      </c>
      <c r="AB29" s="198">
        <f>Qty!AF108*'Hist. prices'!AB29*AB$7</f>
        <v>0</v>
      </c>
      <c r="AC29" s="206">
        <f t="shared" si="0"/>
        <v>0</v>
      </c>
      <c r="AD29" s="68"/>
      <c r="AE29" s="19"/>
      <c r="AF29" s="19"/>
      <c r="AG29" s="19"/>
      <c r="AH29" s="19"/>
    </row>
    <row r="30" spans="1:34" hidden="1" outlineLevel="3" x14ac:dyDescent="0.2">
      <c r="A30" s="19"/>
      <c r="B30" s="19"/>
      <c r="C30" s="506">
        <f>Qty!C109</f>
        <v>0</v>
      </c>
      <c r="D30" s="505">
        <f>Qty!D109</f>
        <v>0</v>
      </c>
      <c r="E30" s="505">
        <f>Qty!E109</f>
        <v>0</v>
      </c>
      <c r="F30" s="505">
        <f>Qty!F109</f>
        <v>0</v>
      </c>
      <c r="G30" s="505">
        <f>Qty!G109</f>
        <v>0</v>
      </c>
      <c r="H30" s="58"/>
      <c r="I30" s="198">
        <f>Qty!M109*'Hist. prices'!I30*I$7</f>
        <v>0</v>
      </c>
      <c r="J30" s="198">
        <f>Qty!N109*'Hist. prices'!J30*J$7</f>
        <v>0</v>
      </c>
      <c r="K30" s="198">
        <f>Qty!O109*'Hist. prices'!K30*K$7</f>
        <v>0</v>
      </c>
      <c r="L30" s="198">
        <f>Qty!P109*'Hist. prices'!L30*L$7</f>
        <v>0</v>
      </c>
      <c r="M30" s="198">
        <f>Qty!Q109*'Hist. prices'!M30*M$7</f>
        <v>0</v>
      </c>
      <c r="N30" s="198">
        <f>Qty!R109*'Hist. prices'!N30*N$7</f>
        <v>0</v>
      </c>
      <c r="O30" s="198">
        <f>Qty!S109*'Hist. prices'!O30*O$7</f>
        <v>0</v>
      </c>
      <c r="P30" s="198">
        <f>Qty!T109*'Hist. prices'!P30*P$7</f>
        <v>0</v>
      </c>
      <c r="Q30" s="198">
        <f>Qty!U109*'Hist. prices'!Q30*Q$7</f>
        <v>0</v>
      </c>
      <c r="R30" s="198">
        <f>Qty!V109*'Hist. prices'!R30*R$7</f>
        <v>0</v>
      </c>
      <c r="S30" s="198">
        <f>Qty!W109*'Hist. prices'!S30*S$7</f>
        <v>0</v>
      </c>
      <c r="T30" s="198">
        <f>Qty!X109*'Hist. prices'!T30*T$7</f>
        <v>0</v>
      </c>
      <c r="U30" s="198">
        <f>Qty!Y109*'Hist. prices'!U30*U$7</f>
        <v>0</v>
      </c>
      <c r="V30" s="198">
        <f>Qty!Z109*'Hist. prices'!V30*V$7</f>
        <v>0</v>
      </c>
      <c r="W30" s="198">
        <f>Qty!AA109*'Hist. prices'!W30*W$7</f>
        <v>0</v>
      </c>
      <c r="X30" s="198">
        <f>Qty!AB109*'Hist. prices'!X30*X$7</f>
        <v>0</v>
      </c>
      <c r="Y30" s="198">
        <f>Qty!AC109*'Hist. prices'!Y30*Y$7</f>
        <v>0</v>
      </c>
      <c r="Z30" s="198">
        <f>Qty!AD109*'Hist. prices'!Z30*Z$7</f>
        <v>0</v>
      </c>
      <c r="AA30" s="198">
        <f>Qty!AE109*'Hist. prices'!AA30*AA$7</f>
        <v>0</v>
      </c>
      <c r="AB30" s="198">
        <f>Qty!AF109*'Hist. prices'!AB30*AB$7</f>
        <v>0</v>
      </c>
      <c r="AC30" s="206">
        <f t="shared" si="0"/>
        <v>0</v>
      </c>
      <c r="AD30" s="68"/>
      <c r="AE30" s="19"/>
      <c r="AF30" s="19"/>
      <c r="AG30" s="19"/>
      <c r="AH30" s="19"/>
    </row>
    <row r="31" spans="1:34" hidden="1" outlineLevel="3" x14ac:dyDescent="0.2">
      <c r="A31" s="19"/>
      <c r="B31" s="19"/>
      <c r="C31" s="506">
        <f>Qty!C110</f>
        <v>0</v>
      </c>
      <c r="D31" s="505">
        <f>Qty!D110</f>
        <v>0</v>
      </c>
      <c r="E31" s="505">
        <f>Qty!E110</f>
        <v>0</v>
      </c>
      <c r="F31" s="505">
        <f>Qty!F110</f>
        <v>0</v>
      </c>
      <c r="G31" s="505">
        <f>Qty!G110</f>
        <v>0</v>
      </c>
      <c r="H31" s="58"/>
      <c r="I31" s="198">
        <f>Qty!M110*'Hist. prices'!I31*I$7</f>
        <v>0</v>
      </c>
      <c r="J31" s="198">
        <f>Qty!N110*'Hist. prices'!J31*J$7</f>
        <v>0</v>
      </c>
      <c r="K31" s="198">
        <f>Qty!O110*'Hist. prices'!K31*K$7</f>
        <v>0</v>
      </c>
      <c r="L31" s="198">
        <f>Qty!P110*'Hist. prices'!L31*L$7</f>
        <v>0</v>
      </c>
      <c r="M31" s="198">
        <f>Qty!Q110*'Hist. prices'!M31*M$7</f>
        <v>0</v>
      </c>
      <c r="N31" s="198">
        <f>Qty!R110*'Hist. prices'!N31*N$7</f>
        <v>0</v>
      </c>
      <c r="O31" s="198">
        <f>Qty!S110*'Hist. prices'!O31*O$7</f>
        <v>0</v>
      </c>
      <c r="P31" s="198">
        <f>Qty!T110*'Hist. prices'!P31*P$7</f>
        <v>0</v>
      </c>
      <c r="Q31" s="198">
        <f>Qty!U110*'Hist. prices'!Q31*Q$7</f>
        <v>0</v>
      </c>
      <c r="R31" s="198">
        <f>Qty!V110*'Hist. prices'!R31*R$7</f>
        <v>0</v>
      </c>
      <c r="S31" s="198">
        <f>Qty!W110*'Hist. prices'!S31*S$7</f>
        <v>0</v>
      </c>
      <c r="T31" s="198">
        <f>Qty!X110*'Hist. prices'!T31*T$7</f>
        <v>0</v>
      </c>
      <c r="U31" s="198">
        <f>Qty!Y110*'Hist. prices'!U31*U$7</f>
        <v>0</v>
      </c>
      <c r="V31" s="198">
        <f>Qty!Z110*'Hist. prices'!V31*V$7</f>
        <v>0</v>
      </c>
      <c r="W31" s="198">
        <f>Qty!AA110*'Hist. prices'!W31*W$7</f>
        <v>0</v>
      </c>
      <c r="X31" s="198">
        <f>Qty!AB110*'Hist. prices'!X31*X$7</f>
        <v>0</v>
      </c>
      <c r="Y31" s="198">
        <f>Qty!AC110*'Hist. prices'!Y31*Y$7</f>
        <v>0</v>
      </c>
      <c r="Z31" s="198">
        <f>Qty!AD110*'Hist. prices'!Z31*Z$7</f>
        <v>0</v>
      </c>
      <c r="AA31" s="198">
        <f>Qty!AE110*'Hist. prices'!AA31*AA$7</f>
        <v>0</v>
      </c>
      <c r="AB31" s="198">
        <f>Qty!AF110*'Hist. prices'!AB31*AB$7</f>
        <v>0</v>
      </c>
      <c r="AC31" s="206">
        <f t="shared" si="0"/>
        <v>0</v>
      </c>
      <c r="AD31" s="68"/>
      <c r="AE31" s="19"/>
      <c r="AF31" s="19"/>
      <c r="AG31" s="19"/>
      <c r="AH31" s="19"/>
    </row>
    <row r="32" spans="1:34" hidden="1" outlineLevel="3" x14ac:dyDescent="0.2">
      <c r="A32" s="19"/>
      <c r="B32" s="19"/>
      <c r="C32" s="506">
        <f>Qty!C111</f>
        <v>0</v>
      </c>
      <c r="D32" s="505">
        <f>Qty!D111</f>
        <v>0</v>
      </c>
      <c r="E32" s="505">
        <f>Qty!E111</f>
        <v>0</v>
      </c>
      <c r="F32" s="505">
        <f>Qty!F111</f>
        <v>0</v>
      </c>
      <c r="G32" s="505">
        <f>Qty!G111</f>
        <v>0</v>
      </c>
      <c r="H32" s="58"/>
      <c r="I32" s="198">
        <f>Qty!M111*'Hist. prices'!I32*I$7</f>
        <v>0</v>
      </c>
      <c r="J32" s="198">
        <f>Qty!N111*'Hist. prices'!J32*J$7</f>
        <v>0</v>
      </c>
      <c r="K32" s="198">
        <f>Qty!O111*'Hist. prices'!K32*K$7</f>
        <v>0</v>
      </c>
      <c r="L32" s="198">
        <f>Qty!P111*'Hist. prices'!L32*L$7</f>
        <v>0</v>
      </c>
      <c r="M32" s="198">
        <f>Qty!Q111*'Hist. prices'!M32*M$7</f>
        <v>0</v>
      </c>
      <c r="N32" s="198">
        <f>Qty!R111*'Hist. prices'!N32*N$7</f>
        <v>0</v>
      </c>
      <c r="O32" s="198">
        <f>Qty!S111*'Hist. prices'!O32*O$7</f>
        <v>0</v>
      </c>
      <c r="P32" s="198">
        <f>Qty!T111*'Hist. prices'!P32*P$7</f>
        <v>0</v>
      </c>
      <c r="Q32" s="198">
        <f>Qty!U111*'Hist. prices'!Q32*Q$7</f>
        <v>0</v>
      </c>
      <c r="R32" s="198">
        <f>Qty!V111*'Hist. prices'!R32*R$7</f>
        <v>0</v>
      </c>
      <c r="S32" s="198">
        <f>Qty!W111*'Hist. prices'!S32*S$7</f>
        <v>0</v>
      </c>
      <c r="T32" s="198">
        <f>Qty!X111*'Hist. prices'!T32*T$7</f>
        <v>0</v>
      </c>
      <c r="U32" s="198">
        <f>Qty!Y111*'Hist. prices'!U32*U$7</f>
        <v>0</v>
      </c>
      <c r="V32" s="198">
        <f>Qty!Z111*'Hist. prices'!V32*V$7</f>
        <v>0</v>
      </c>
      <c r="W32" s="198">
        <f>Qty!AA111*'Hist. prices'!W32*W$7</f>
        <v>0</v>
      </c>
      <c r="X32" s="198">
        <f>Qty!AB111*'Hist. prices'!X32*X$7</f>
        <v>0</v>
      </c>
      <c r="Y32" s="198">
        <f>Qty!AC111*'Hist. prices'!Y32*Y$7</f>
        <v>0</v>
      </c>
      <c r="Z32" s="198">
        <f>Qty!AD111*'Hist. prices'!Z32*Z$7</f>
        <v>0</v>
      </c>
      <c r="AA32" s="198">
        <f>Qty!AE111*'Hist. prices'!AA32*AA$7</f>
        <v>0</v>
      </c>
      <c r="AB32" s="198">
        <f>Qty!AF111*'Hist. prices'!AB32*AB$7</f>
        <v>0</v>
      </c>
      <c r="AC32" s="206">
        <f t="shared" si="0"/>
        <v>0</v>
      </c>
      <c r="AD32" s="68"/>
      <c r="AE32" s="19"/>
      <c r="AF32" s="19"/>
      <c r="AG32" s="19"/>
      <c r="AH32" s="19"/>
    </row>
    <row r="33" spans="1:34" hidden="1" outlineLevel="3" x14ac:dyDescent="0.2">
      <c r="A33" s="19"/>
      <c r="B33" s="19"/>
      <c r="C33" s="506">
        <f>Qty!C112</f>
        <v>0</v>
      </c>
      <c r="D33" s="505">
        <f>Qty!D112</f>
        <v>0</v>
      </c>
      <c r="E33" s="505">
        <f>Qty!E112</f>
        <v>0</v>
      </c>
      <c r="F33" s="505">
        <f>Qty!F112</f>
        <v>0</v>
      </c>
      <c r="G33" s="505">
        <f>Qty!G112</f>
        <v>0</v>
      </c>
      <c r="H33" s="58"/>
      <c r="I33" s="198">
        <f>Qty!M112*'Hist. prices'!I33*I$7</f>
        <v>0</v>
      </c>
      <c r="J33" s="198">
        <f>Qty!N112*'Hist. prices'!J33*J$7</f>
        <v>0</v>
      </c>
      <c r="K33" s="198">
        <f>Qty!O112*'Hist. prices'!K33*K$7</f>
        <v>0</v>
      </c>
      <c r="L33" s="198">
        <f>Qty!P112*'Hist. prices'!L33*L$7</f>
        <v>0</v>
      </c>
      <c r="M33" s="198">
        <f>Qty!Q112*'Hist. prices'!M33*M$7</f>
        <v>0</v>
      </c>
      <c r="N33" s="198">
        <f>Qty!R112*'Hist. prices'!N33*N$7</f>
        <v>0</v>
      </c>
      <c r="O33" s="198">
        <f>Qty!S112*'Hist. prices'!O33*O$7</f>
        <v>0</v>
      </c>
      <c r="P33" s="198">
        <f>Qty!T112*'Hist. prices'!P33*P$7</f>
        <v>0</v>
      </c>
      <c r="Q33" s="198">
        <f>Qty!U112*'Hist. prices'!Q33*Q$7</f>
        <v>0</v>
      </c>
      <c r="R33" s="198">
        <f>Qty!V112*'Hist. prices'!R33*R$7</f>
        <v>0</v>
      </c>
      <c r="S33" s="198">
        <f>Qty!W112*'Hist. prices'!S33*S$7</f>
        <v>0</v>
      </c>
      <c r="T33" s="198">
        <f>Qty!X112*'Hist. prices'!T33*T$7</f>
        <v>0</v>
      </c>
      <c r="U33" s="198">
        <f>Qty!Y112*'Hist. prices'!U33*U$7</f>
        <v>0</v>
      </c>
      <c r="V33" s="198">
        <f>Qty!Z112*'Hist. prices'!V33*V$7</f>
        <v>0</v>
      </c>
      <c r="W33" s="198">
        <f>Qty!AA112*'Hist. prices'!W33*W$7</f>
        <v>0</v>
      </c>
      <c r="X33" s="198">
        <f>Qty!AB112*'Hist. prices'!X33*X$7</f>
        <v>0</v>
      </c>
      <c r="Y33" s="198">
        <f>Qty!AC112*'Hist. prices'!Y33*Y$7</f>
        <v>0</v>
      </c>
      <c r="Z33" s="198">
        <f>Qty!AD112*'Hist. prices'!Z33*Z$7</f>
        <v>0</v>
      </c>
      <c r="AA33" s="198">
        <f>Qty!AE112*'Hist. prices'!AA33*AA$7</f>
        <v>0</v>
      </c>
      <c r="AB33" s="198">
        <f>Qty!AF112*'Hist. prices'!AB33*AB$7</f>
        <v>0</v>
      </c>
      <c r="AC33" s="206">
        <f t="shared" si="0"/>
        <v>0</v>
      </c>
      <c r="AD33" s="68"/>
      <c r="AE33" s="19"/>
      <c r="AF33" s="19"/>
      <c r="AG33" s="19"/>
      <c r="AH33" s="19"/>
    </row>
    <row r="34" spans="1:34" hidden="1" outlineLevel="3" x14ac:dyDescent="0.2">
      <c r="A34" s="19"/>
      <c r="B34" s="19"/>
      <c r="C34" s="506">
        <f>Qty!C113</f>
        <v>0</v>
      </c>
      <c r="D34" s="505">
        <f>Qty!D113</f>
        <v>0</v>
      </c>
      <c r="E34" s="505">
        <f>Qty!E113</f>
        <v>0</v>
      </c>
      <c r="F34" s="505">
        <f>Qty!F113</f>
        <v>0</v>
      </c>
      <c r="G34" s="505">
        <f>Qty!G113</f>
        <v>0</v>
      </c>
      <c r="H34" s="58"/>
      <c r="I34" s="198">
        <f>Qty!M113*'Hist. prices'!I34*I$7</f>
        <v>0</v>
      </c>
      <c r="J34" s="198">
        <f>Qty!N113*'Hist. prices'!J34*J$7</f>
        <v>0</v>
      </c>
      <c r="K34" s="198">
        <f>Qty!O113*'Hist. prices'!K34*K$7</f>
        <v>0</v>
      </c>
      <c r="L34" s="198">
        <f>Qty!P113*'Hist. prices'!L34*L$7</f>
        <v>0</v>
      </c>
      <c r="M34" s="198">
        <f>Qty!Q113*'Hist. prices'!M34*M$7</f>
        <v>0</v>
      </c>
      <c r="N34" s="198">
        <f>Qty!R113*'Hist. prices'!N34*N$7</f>
        <v>0</v>
      </c>
      <c r="O34" s="198">
        <f>Qty!S113*'Hist. prices'!O34*O$7</f>
        <v>0</v>
      </c>
      <c r="P34" s="198">
        <f>Qty!T113*'Hist. prices'!P34*P$7</f>
        <v>0</v>
      </c>
      <c r="Q34" s="198">
        <f>Qty!U113*'Hist. prices'!Q34*Q$7</f>
        <v>0</v>
      </c>
      <c r="R34" s="198">
        <f>Qty!V113*'Hist. prices'!R34*R$7</f>
        <v>0</v>
      </c>
      <c r="S34" s="198">
        <f>Qty!W113*'Hist. prices'!S34*S$7</f>
        <v>0</v>
      </c>
      <c r="T34" s="198">
        <f>Qty!X113*'Hist. prices'!T34*T$7</f>
        <v>0</v>
      </c>
      <c r="U34" s="198">
        <f>Qty!Y113*'Hist. prices'!U34*U$7</f>
        <v>0</v>
      </c>
      <c r="V34" s="198">
        <f>Qty!Z113*'Hist. prices'!V34*V$7</f>
        <v>0</v>
      </c>
      <c r="W34" s="198">
        <f>Qty!AA113*'Hist. prices'!W34*W$7</f>
        <v>0</v>
      </c>
      <c r="X34" s="198">
        <f>Qty!AB113*'Hist. prices'!X34*X$7</f>
        <v>0</v>
      </c>
      <c r="Y34" s="198">
        <f>Qty!AC113*'Hist. prices'!Y34*Y$7</f>
        <v>0</v>
      </c>
      <c r="Z34" s="198">
        <f>Qty!AD113*'Hist. prices'!Z34*Z$7</f>
        <v>0</v>
      </c>
      <c r="AA34" s="198">
        <f>Qty!AE113*'Hist. prices'!AA34*AA$7</f>
        <v>0</v>
      </c>
      <c r="AB34" s="198">
        <f>Qty!AF113*'Hist. prices'!AB34*AB$7</f>
        <v>0</v>
      </c>
      <c r="AC34" s="206">
        <f t="shared" si="0"/>
        <v>0</v>
      </c>
      <c r="AD34" s="68"/>
      <c r="AE34" s="19"/>
      <c r="AF34" s="19"/>
      <c r="AG34" s="19"/>
      <c r="AH34" s="19"/>
    </row>
    <row r="35" spans="1:34" hidden="1" outlineLevel="3" x14ac:dyDescent="0.2">
      <c r="A35" s="19"/>
      <c r="B35" s="19"/>
      <c r="C35" s="506">
        <f>Qty!C114</f>
        <v>0</v>
      </c>
      <c r="D35" s="505">
        <f>Qty!D114</f>
        <v>0</v>
      </c>
      <c r="E35" s="505">
        <f>Qty!E114</f>
        <v>0</v>
      </c>
      <c r="F35" s="505">
        <f>Qty!F114</f>
        <v>0</v>
      </c>
      <c r="G35" s="505">
        <f>Qty!G114</f>
        <v>0</v>
      </c>
      <c r="H35" s="58"/>
      <c r="I35" s="198">
        <f>Qty!M114*'Hist. prices'!I35*I$7</f>
        <v>0</v>
      </c>
      <c r="J35" s="198">
        <f>Qty!N114*'Hist. prices'!J35*J$7</f>
        <v>0</v>
      </c>
      <c r="K35" s="198">
        <f>Qty!O114*'Hist. prices'!K35*K$7</f>
        <v>0</v>
      </c>
      <c r="L35" s="198">
        <f>Qty!P114*'Hist. prices'!L35*L$7</f>
        <v>0</v>
      </c>
      <c r="M35" s="198">
        <f>Qty!Q114*'Hist. prices'!M35*M$7</f>
        <v>0</v>
      </c>
      <c r="N35" s="198">
        <f>Qty!R114*'Hist. prices'!N35*N$7</f>
        <v>0</v>
      </c>
      <c r="O35" s="198">
        <f>Qty!S114*'Hist. prices'!O35*O$7</f>
        <v>0</v>
      </c>
      <c r="P35" s="198">
        <f>Qty!T114*'Hist. prices'!P35*P$7</f>
        <v>0</v>
      </c>
      <c r="Q35" s="198">
        <f>Qty!U114*'Hist. prices'!Q35*Q$7</f>
        <v>0</v>
      </c>
      <c r="R35" s="198">
        <f>Qty!V114*'Hist. prices'!R35*R$7</f>
        <v>0</v>
      </c>
      <c r="S35" s="198">
        <f>Qty!W114*'Hist. prices'!S35*S$7</f>
        <v>0</v>
      </c>
      <c r="T35" s="198">
        <f>Qty!X114*'Hist. prices'!T35*T$7</f>
        <v>0</v>
      </c>
      <c r="U35" s="198">
        <f>Qty!Y114*'Hist. prices'!U35*U$7</f>
        <v>0</v>
      </c>
      <c r="V35" s="198">
        <f>Qty!Z114*'Hist. prices'!V35*V$7</f>
        <v>0</v>
      </c>
      <c r="W35" s="198">
        <f>Qty!AA114*'Hist. prices'!W35*W$7</f>
        <v>0</v>
      </c>
      <c r="X35" s="198">
        <f>Qty!AB114*'Hist. prices'!X35*X$7</f>
        <v>0</v>
      </c>
      <c r="Y35" s="198">
        <f>Qty!AC114*'Hist. prices'!Y35*Y$7</f>
        <v>0</v>
      </c>
      <c r="Z35" s="198">
        <f>Qty!AD114*'Hist. prices'!Z35*Z$7</f>
        <v>0</v>
      </c>
      <c r="AA35" s="198">
        <f>Qty!AE114*'Hist. prices'!AA35*AA$7</f>
        <v>0</v>
      </c>
      <c r="AB35" s="198">
        <f>Qty!AF114*'Hist. prices'!AB35*AB$7</f>
        <v>0</v>
      </c>
      <c r="AC35" s="206">
        <f t="shared" si="0"/>
        <v>0</v>
      </c>
      <c r="AD35" s="68"/>
      <c r="AE35" s="19"/>
      <c r="AF35" s="19"/>
      <c r="AG35" s="19"/>
      <c r="AH35" s="19"/>
    </row>
    <row r="36" spans="1:34" hidden="1" outlineLevel="3" x14ac:dyDescent="0.2">
      <c r="A36" s="19"/>
      <c r="B36" s="19"/>
      <c r="C36" s="506">
        <f>Qty!C115</f>
        <v>0</v>
      </c>
      <c r="D36" s="505">
        <f>Qty!D115</f>
        <v>0</v>
      </c>
      <c r="E36" s="505">
        <f>Qty!E115</f>
        <v>0</v>
      </c>
      <c r="F36" s="505">
        <f>Qty!F115</f>
        <v>0</v>
      </c>
      <c r="G36" s="505">
        <f>Qty!G115</f>
        <v>0</v>
      </c>
      <c r="H36" s="58"/>
      <c r="I36" s="198">
        <f>Qty!M115*'Hist. prices'!I36*I$7</f>
        <v>0</v>
      </c>
      <c r="J36" s="198">
        <f>Qty!N115*'Hist. prices'!J36*J$7</f>
        <v>0</v>
      </c>
      <c r="K36" s="198">
        <f>Qty!O115*'Hist. prices'!K36*K$7</f>
        <v>0</v>
      </c>
      <c r="L36" s="198">
        <f>Qty!P115*'Hist. prices'!L36*L$7</f>
        <v>0</v>
      </c>
      <c r="M36" s="198">
        <f>Qty!Q115*'Hist. prices'!M36*M$7</f>
        <v>0</v>
      </c>
      <c r="N36" s="198">
        <f>Qty!R115*'Hist. prices'!N36*N$7</f>
        <v>0</v>
      </c>
      <c r="O36" s="198">
        <f>Qty!S115*'Hist. prices'!O36*O$7</f>
        <v>0</v>
      </c>
      <c r="P36" s="198">
        <f>Qty!T115*'Hist. prices'!P36*P$7</f>
        <v>0</v>
      </c>
      <c r="Q36" s="198">
        <f>Qty!U115*'Hist. prices'!Q36*Q$7</f>
        <v>0</v>
      </c>
      <c r="R36" s="198">
        <f>Qty!V115*'Hist. prices'!R36*R$7</f>
        <v>0</v>
      </c>
      <c r="S36" s="198">
        <f>Qty!W115*'Hist. prices'!S36*S$7</f>
        <v>0</v>
      </c>
      <c r="T36" s="198">
        <f>Qty!X115*'Hist. prices'!T36*T$7</f>
        <v>0</v>
      </c>
      <c r="U36" s="198">
        <f>Qty!Y115*'Hist. prices'!U36*U$7</f>
        <v>0</v>
      </c>
      <c r="V36" s="198">
        <f>Qty!Z115*'Hist. prices'!V36*V$7</f>
        <v>0</v>
      </c>
      <c r="W36" s="198">
        <f>Qty!AA115*'Hist. prices'!W36*W$7</f>
        <v>0</v>
      </c>
      <c r="X36" s="198">
        <f>Qty!AB115*'Hist. prices'!X36*X$7</f>
        <v>0</v>
      </c>
      <c r="Y36" s="198">
        <f>Qty!AC115*'Hist. prices'!Y36*Y$7</f>
        <v>0</v>
      </c>
      <c r="Z36" s="198">
        <f>Qty!AD115*'Hist. prices'!Z36*Z$7</f>
        <v>0</v>
      </c>
      <c r="AA36" s="198">
        <f>Qty!AE115*'Hist. prices'!AA36*AA$7</f>
        <v>0</v>
      </c>
      <c r="AB36" s="198">
        <f>Qty!AF115*'Hist. prices'!AB36*AB$7</f>
        <v>0</v>
      </c>
      <c r="AC36" s="206">
        <f t="shared" si="0"/>
        <v>0</v>
      </c>
      <c r="AD36" s="68"/>
      <c r="AE36" s="19"/>
      <c r="AF36" s="19"/>
      <c r="AG36" s="19"/>
      <c r="AH36" s="19"/>
    </row>
    <row r="37" spans="1:34" hidden="1" outlineLevel="3" x14ac:dyDescent="0.2">
      <c r="A37" s="19"/>
      <c r="B37" s="19"/>
      <c r="C37" s="506">
        <f>Qty!C116</f>
        <v>0</v>
      </c>
      <c r="D37" s="505">
        <f>Qty!D116</f>
        <v>0</v>
      </c>
      <c r="E37" s="505">
        <f>Qty!E116</f>
        <v>0</v>
      </c>
      <c r="F37" s="505">
        <f>Qty!F116</f>
        <v>0</v>
      </c>
      <c r="G37" s="505">
        <f>Qty!G116</f>
        <v>0</v>
      </c>
      <c r="H37" s="58"/>
      <c r="I37" s="198">
        <f>Qty!M116*'Hist. prices'!I37*I$7</f>
        <v>0</v>
      </c>
      <c r="J37" s="198">
        <f>Qty!N116*'Hist. prices'!J37*J$7</f>
        <v>0</v>
      </c>
      <c r="K37" s="198">
        <f>Qty!O116*'Hist. prices'!K37*K$7</f>
        <v>0</v>
      </c>
      <c r="L37" s="198">
        <f>Qty!P116*'Hist. prices'!L37*L$7</f>
        <v>0</v>
      </c>
      <c r="M37" s="198">
        <f>Qty!Q116*'Hist. prices'!M37*M$7</f>
        <v>0</v>
      </c>
      <c r="N37" s="198">
        <f>Qty!R116*'Hist. prices'!N37*N$7</f>
        <v>0</v>
      </c>
      <c r="O37" s="198">
        <f>Qty!S116*'Hist. prices'!O37*O$7</f>
        <v>0</v>
      </c>
      <c r="P37" s="198">
        <f>Qty!T116*'Hist. prices'!P37*P$7</f>
        <v>0</v>
      </c>
      <c r="Q37" s="198">
        <f>Qty!U116*'Hist. prices'!Q37*Q$7</f>
        <v>0</v>
      </c>
      <c r="R37" s="198">
        <f>Qty!V116*'Hist. prices'!R37*R$7</f>
        <v>0</v>
      </c>
      <c r="S37" s="198">
        <f>Qty!W116*'Hist. prices'!S37*S$7</f>
        <v>0</v>
      </c>
      <c r="T37" s="198">
        <f>Qty!X116*'Hist. prices'!T37*T$7</f>
        <v>0</v>
      </c>
      <c r="U37" s="198">
        <f>Qty!Y116*'Hist. prices'!U37*U$7</f>
        <v>0</v>
      </c>
      <c r="V37" s="198">
        <f>Qty!Z116*'Hist. prices'!V37*V$7</f>
        <v>0</v>
      </c>
      <c r="W37" s="198">
        <f>Qty!AA116*'Hist. prices'!W37*W$7</f>
        <v>0</v>
      </c>
      <c r="X37" s="198">
        <f>Qty!AB116*'Hist. prices'!X37*X$7</f>
        <v>0</v>
      </c>
      <c r="Y37" s="198">
        <f>Qty!AC116*'Hist. prices'!Y37*Y$7</f>
        <v>0</v>
      </c>
      <c r="Z37" s="198">
        <f>Qty!AD116*'Hist. prices'!Z37*Z$7</f>
        <v>0</v>
      </c>
      <c r="AA37" s="198">
        <f>Qty!AE116*'Hist. prices'!AA37*AA$7</f>
        <v>0</v>
      </c>
      <c r="AB37" s="198">
        <f>Qty!AF116*'Hist. prices'!AB37*AB$7</f>
        <v>0</v>
      </c>
      <c r="AC37" s="206">
        <f t="shared" si="0"/>
        <v>0</v>
      </c>
      <c r="AD37" s="68"/>
      <c r="AE37" s="19"/>
      <c r="AF37" s="19"/>
      <c r="AG37" s="19"/>
      <c r="AH37" s="19"/>
    </row>
    <row r="38" spans="1:34" hidden="1" outlineLevel="3" x14ac:dyDescent="0.2">
      <c r="A38" s="19"/>
      <c r="B38" s="19"/>
      <c r="C38" s="506">
        <f>Qty!C117</f>
        <v>0</v>
      </c>
      <c r="D38" s="505">
        <f>Qty!D117</f>
        <v>0</v>
      </c>
      <c r="E38" s="505">
        <f>Qty!E117</f>
        <v>0</v>
      </c>
      <c r="F38" s="505">
        <f>Qty!F117</f>
        <v>0</v>
      </c>
      <c r="G38" s="505">
        <f>Qty!G117</f>
        <v>0</v>
      </c>
      <c r="H38" s="58"/>
      <c r="I38" s="198">
        <f>Qty!M117*'Hist. prices'!I38*I$7</f>
        <v>0</v>
      </c>
      <c r="J38" s="198">
        <f>Qty!N117*'Hist. prices'!J38*J$7</f>
        <v>0</v>
      </c>
      <c r="K38" s="198">
        <f>Qty!O117*'Hist. prices'!K38*K$7</f>
        <v>0</v>
      </c>
      <c r="L38" s="198">
        <f>Qty!P117*'Hist. prices'!L38*L$7</f>
        <v>0</v>
      </c>
      <c r="M38" s="198">
        <f>Qty!Q117*'Hist. prices'!M38*M$7</f>
        <v>0</v>
      </c>
      <c r="N38" s="198">
        <f>Qty!R117*'Hist. prices'!N38*N$7</f>
        <v>0</v>
      </c>
      <c r="O38" s="198">
        <f>Qty!S117*'Hist. prices'!O38*O$7</f>
        <v>0</v>
      </c>
      <c r="P38" s="198">
        <f>Qty!T117*'Hist. prices'!P38*P$7</f>
        <v>0</v>
      </c>
      <c r="Q38" s="198">
        <f>Qty!U117*'Hist. prices'!Q38*Q$7</f>
        <v>0</v>
      </c>
      <c r="R38" s="198">
        <f>Qty!V117*'Hist. prices'!R38*R$7</f>
        <v>0</v>
      </c>
      <c r="S38" s="198">
        <f>Qty!W117*'Hist. prices'!S38*S$7</f>
        <v>0</v>
      </c>
      <c r="T38" s="198">
        <f>Qty!X117*'Hist. prices'!T38*T$7</f>
        <v>0</v>
      </c>
      <c r="U38" s="198">
        <f>Qty!Y117*'Hist. prices'!U38*U$7</f>
        <v>0</v>
      </c>
      <c r="V38" s="198">
        <f>Qty!Z117*'Hist. prices'!V38*V$7</f>
        <v>0</v>
      </c>
      <c r="W38" s="198">
        <f>Qty!AA117*'Hist. prices'!W38*W$7</f>
        <v>0</v>
      </c>
      <c r="X38" s="198">
        <f>Qty!AB117*'Hist. prices'!X38*X$7</f>
        <v>0</v>
      </c>
      <c r="Y38" s="198">
        <f>Qty!AC117*'Hist. prices'!Y38*Y$7</f>
        <v>0</v>
      </c>
      <c r="Z38" s="198">
        <f>Qty!AD117*'Hist. prices'!Z38*Z$7</f>
        <v>0</v>
      </c>
      <c r="AA38" s="198">
        <f>Qty!AE117*'Hist. prices'!AA38*AA$7</f>
        <v>0</v>
      </c>
      <c r="AB38" s="198">
        <f>Qty!AF117*'Hist. prices'!AB38*AB$7</f>
        <v>0</v>
      </c>
      <c r="AC38" s="206">
        <f t="shared" si="0"/>
        <v>0</v>
      </c>
      <c r="AD38" s="68"/>
      <c r="AE38" s="19"/>
      <c r="AF38" s="19"/>
      <c r="AG38" s="19"/>
      <c r="AH38" s="19"/>
    </row>
    <row r="39" spans="1:34" hidden="1" outlineLevel="3" x14ac:dyDescent="0.2">
      <c r="A39" s="19"/>
      <c r="B39" s="19"/>
      <c r="C39" s="506">
        <f>Qty!C118</f>
        <v>0</v>
      </c>
      <c r="D39" s="505">
        <f>Qty!D118</f>
        <v>0</v>
      </c>
      <c r="E39" s="505">
        <f>Qty!E118</f>
        <v>0</v>
      </c>
      <c r="F39" s="505">
        <f>Qty!F118</f>
        <v>0</v>
      </c>
      <c r="G39" s="505">
        <f>Qty!G118</f>
        <v>0</v>
      </c>
      <c r="H39" s="58"/>
      <c r="I39" s="198">
        <f>Qty!M118*'Hist. prices'!I39*I$7</f>
        <v>0</v>
      </c>
      <c r="J39" s="198">
        <f>Qty!N118*'Hist. prices'!J39*J$7</f>
        <v>0</v>
      </c>
      <c r="K39" s="198">
        <f>Qty!O118*'Hist. prices'!K39*K$7</f>
        <v>0</v>
      </c>
      <c r="L39" s="198">
        <f>Qty!P118*'Hist. prices'!L39*L$7</f>
        <v>0</v>
      </c>
      <c r="M39" s="198">
        <f>Qty!Q118*'Hist. prices'!M39*M$7</f>
        <v>0</v>
      </c>
      <c r="N39" s="198">
        <f>Qty!R118*'Hist. prices'!N39*N$7</f>
        <v>0</v>
      </c>
      <c r="O39" s="198">
        <f>Qty!S118*'Hist. prices'!O39*O$7</f>
        <v>0</v>
      </c>
      <c r="P39" s="198">
        <f>Qty!T118*'Hist. prices'!P39*P$7</f>
        <v>0</v>
      </c>
      <c r="Q39" s="198">
        <f>Qty!U118*'Hist. prices'!Q39*Q$7</f>
        <v>0</v>
      </c>
      <c r="R39" s="198">
        <f>Qty!V118*'Hist. prices'!R39*R$7</f>
        <v>0</v>
      </c>
      <c r="S39" s="198">
        <f>Qty!W118*'Hist. prices'!S39*S$7</f>
        <v>0</v>
      </c>
      <c r="T39" s="198">
        <f>Qty!X118*'Hist. prices'!T39*T$7</f>
        <v>0</v>
      </c>
      <c r="U39" s="198">
        <f>Qty!Y118*'Hist. prices'!U39*U$7</f>
        <v>0</v>
      </c>
      <c r="V39" s="198">
        <f>Qty!Z118*'Hist. prices'!V39*V$7</f>
        <v>0</v>
      </c>
      <c r="W39" s="198">
        <f>Qty!AA118*'Hist. prices'!W39*W$7</f>
        <v>0</v>
      </c>
      <c r="X39" s="198">
        <f>Qty!AB118*'Hist. prices'!X39*X$7</f>
        <v>0</v>
      </c>
      <c r="Y39" s="198">
        <f>Qty!AC118*'Hist. prices'!Y39*Y$7</f>
        <v>0</v>
      </c>
      <c r="Z39" s="198">
        <f>Qty!AD118*'Hist. prices'!Z39*Z$7</f>
        <v>0</v>
      </c>
      <c r="AA39" s="198">
        <f>Qty!AE118*'Hist. prices'!AA39*AA$7</f>
        <v>0</v>
      </c>
      <c r="AB39" s="198">
        <f>Qty!AF118*'Hist. prices'!AB39*AB$7</f>
        <v>0</v>
      </c>
      <c r="AC39" s="206">
        <f t="shared" si="0"/>
        <v>0</v>
      </c>
      <c r="AD39" s="68"/>
      <c r="AE39" s="19"/>
      <c r="AF39" s="19"/>
      <c r="AG39" s="19"/>
      <c r="AH39" s="19"/>
    </row>
    <row r="40" spans="1:34" hidden="1" outlineLevel="3" x14ac:dyDescent="0.2">
      <c r="A40" s="19"/>
      <c r="B40" s="19"/>
      <c r="C40" s="506">
        <f>Qty!C119</f>
        <v>0</v>
      </c>
      <c r="D40" s="505">
        <f>Qty!D119</f>
        <v>0</v>
      </c>
      <c r="E40" s="505">
        <f>Qty!E119</f>
        <v>0</v>
      </c>
      <c r="F40" s="505">
        <f>Qty!F119</f>
        <v>0</v>
      </c>
      <c r="G40" s="505">
        <f>Qty!G119</f>
        <v>0</v>
      </c>
      <c r="H40" s="58"/>
      <c r="I40" s="198">
        <f>Qty!M119*'Hist. prices'!I40*I$7</f>
        <v>0</v>
      </c>
      <c r="J40" s="198">
        <f>Qty!N119*'Hist. prices'!J40*J$7</f>
        <v>0</v>
      </c>
      <c r="K40" s="198">
        <f>Qty!O119*'Hist. prices'!K40*K$7</f>
        <v>0</v>
      </c>
      <c r="L40" s="198">
        <f>Qty!P119*'Hist. prices'!L40*L$7</f>
        <v>0</v>
      </c>
      <c r="M40" s="198">
        <f>Qty!Q119*'Hist. prices'!M40*M$7</f>
        <v>0</v>
      </c>
      <c r="N40" s="198">
        <f>Qty!R119*'Hist. prices'!N40*N$7</f>
        <v>0</v>
      </c>
      <c r="O40" s="198">
        <f>Qty!S119*'Hist. prices'!O40*O$7</f>
        <v>0</v>
      </c>
      <c r="P40" s="198">
        <f>Qty!T119*'Hist. prices'!P40*P$7</f>
        <v>0</v>
      </c>
      <c r="Q40" s="198">
        <f>Qty!U119*'Hist. prices'!Q40*Q$7</f>
        <v>0</v>
      </c>
      <c r="R40" s="198">
        <f>Qty!V119*'Hist. prices'!R40*R$7</f>
        <v>0</v>
      </c>
      <c r="S40" s="198">
        <f>Qty!W119*'Hist. prices'!S40*S$7</f>
        <v>0</v>
      </c>
      <c r="T40" s="198">
        <f>Qty!X119*'Hist. prices'!T40*T$7</f>
        <v>0</v>
      </c>
      <c r="U40" s="198">
        <f>Qty!Y119*'Hist. prices'!U40*U$7</f>
        <v>0</v>
      </c>
      <c r="V40" s="198">
        <f>Qty!Z119*'Hist. prices'!V40*V$7</f>
        <v>0</v>
      </c>
      <c r="W40" s="198">
        <f>Qty!AA119*'Hist. prices'!W40*W$7</f>
        <v>0</v>
      </c>
      <c r="X40" s="198">
        <f>Qty!AB119*'Hist. prices'!X40*X$7</f>
        <v>0</v>
      </c>
      <c r="Y40" s="198">
        <f>Qty!AC119*'Hist. prices'!Y40*Y$7</f>
        <v>0</v>
      </c>
      <c r="Z40" s="198">
        <f>Qty!AD119*'Hist. prices'!Z40*Z$7</f>
        <v>0</v>
      </c>
      <c r="AA40" s="198">
        <f>Qty!AE119*'Hist. prices'!AA40*AA$7</f>
        <v>0</v>
      </c>
      <c r="AB40" s="198">
        <f>Qty!AF119*'Hist. prices'!AB40*AB$7</f>
        <v>0</v>
      </c>
      <c r="AC40" s="206">
        <f t="shared" ref="AC40:AC71" si="1">SUM(I40:AB40)</f>
        <v>0</v>
      </c>
      <c r="AD40" s="68"/>
      <c r="AE40" s="19"/>
      <c r="AF40" s="19"/>
      <c r="AG40" s="19"/>
      <c r="AH40" s="19"/>
    </row>
    <row r="41" spans="1:34" hidden="1" outlineLevel="3" x14ac:dyDescent="0.2">
      <c r="A41" s="19"/>
      <c r="B41" s="19"/>
      <c r="C41" s="506">
        <f>Qty!C120</f>
        <v>0</v>
      </c>
      <c r="D41" s="505">
        <f>Qty!D120</f>
        <v>0</v>
      </c>
      <c r="E41" s="505">
        <f>Qty!E120</f>
        <v>0</v>
      </c>
      <c r="F41" s="505">
        <f>Qty!F120</f>
        <v>0</v>
      </c>
      <c r="G41" s="505">
        <f>Qty!G120</f>
        <v>0</v>
      </c>
      <c r="H41" s="58"/>
      <c r="I41" s="198">
        <f>Qty!M120*'Hist. prices'!I41*I$7</f>
        <v>0</v>
      </c>
      <c r="J41" s="198">
        <f>Qty!N120*'Hist. prices'!J41*J$7</f>
        <v>0</v>
      </c>
      <c r="K41" s="198">
        <f>Qty!O120*'Hist. prices'!K41*K$7</f>
        <v>0</v>
      </c>
      <c r="L41" s="198">
        <f>Qty!P120*'Hist. prices'!L41*L$7</f>
        <v>0</v>
      </c>
      <c r="M41" s="198">
        <f>Qty!Q120*'Hist. prices'!M41*M$7</f>
        <v>0</v>
      </c>
      <c r="N41" s="198">
        <f>Qty!R120*'Hist. prices'!N41*N$7</f>
        <v>0</v>
      </c>
      <c r="O41" s="198">
        <f>Qty!S120*'Hist. prices'!O41*O$7</f>
        <v>0</v>
      </c>
      <c r="P41" s="198">
        <f>Qty!T120*'Hist. prices'!P41*P$7</f>
        <v>0</v>
      </c>
      <c r="Q41" s="198">
        <f>Qty!U120*'Hist. prices'!Q41*Q$7</f>
        <v>0</v>
      </c>
      <c r="R41" s="198">
        <f>Qty!V120*'Hist. prices'!R41*R$7</f>
        <v>0</v>
      </c>
      <c r="S41" s="198">
        <f>Qty!W120*'Hist. prices'!S41*S$7</f>
        <v>0</v>
      </c>
      <c r="T41" s="198">
        <f>Qty!X120*'Hist. prices'!T41*T$7</f>
        <v>0</v>
      </c>
      <c r="U41" s="198">
        <f>Qty!Y120*'Hist. prices'!U41*U$7</f>
        <v>0</v>
      </c>
      <c r="V41" s="198">
        <f>Qty!Z120*'Hist. prices'!V41*V$7</f>
        <v>0</v>
      </c>
      <c r="W41" s="198">
        <f>Qty!AA120*'Hist. prices'!W41*W$7</f>
        <v>0</v>
      </c>
      <c r="X41" s="198">
        <f>Qty!AB120*'Hist. prices'!X41*X$7</f>
        <v>0</v>
      </c>
      <c r="Y41" s="198">
        <f>Qty!AC120*'Hist. prices'!Y41*Y$7</f>
        <v>0</v>
      </c>
      <c r="Z41" s="198">
        <f>Qty!AD120*'Hist. prices'!Z41*Z$7</f>
        <v>0</v>
      </c>
      <c r="AA41" s="198">
        <f>Qty!AE120*'Hist. prices'!AA41*AA$7</f>
        <v>0</v>
      </c>
      <c r="AB41" s="198">
        <f>Qty!AF120*'Hist. prices'!AB41*AB$7</f>
        <v>0</v>
      </c>
      <c r="AC41" s="206">
        <f t="shared" si="1"/>
        <v>0</v>
      </c>
      <c r="AD41" s="68"/>
      <c r="AE41" s="19"/>
      <c r="AF41" s="19"/>
      <c r="AG41" s="19"/>
      <c r="AH41" s="19"/>
    </row>
    <row r="42" spans="1:34" hidden="1" outlineLevel="3" x14ac:dyDescent="0.2">
      <c r="A42" s="19"/>
      <c r="B42" s="19"/>
      <c r="C42" s="506">
        <f>Qty!C121</f>
        <v>0</v>
      </c>
      <c r="D42" s="505">
        <f>Qty!D121</f>
        <v>0</v>
      </c>
      <c r="E42" s="505">
        <f>Qty!E121</f>
        <v>0</v>
      </c>
      <c r="F42" s="505">
        <f>Qty!F121</f>
        <v>0</v>
      </c>
      <c r="G42" s="505">
        <f>Qty!G121</f>
        <v>0</v>
      </c>
      <c r="H42" s="58"/>
      <c r="I42" s="198">
        <f>Qty!M121*'Hist. prices'!I42*I$7</f>
        <v>0</v>
      </c>
      <c r="J42" s="198">
        <f>Qty!N121*'Hist. prices'!J42*J$7</f>
        <v>0</v>
      </c>
      <c r="K42" s="198">
        <f>Qty!O121*'Hist. prices'!K42*K$7</f>
        <v>0</v>
      </c>
      <c r="L42" s="198">
        <f>Qty!P121*'Hist. prices'!L42*L$7</f>
        <v>0</v>
      </c>
      <c r="M42" s="198">
        <f>Qty!Q121*'Hist. prices'!M42*M$7</f>
        <v>0</v>
      </c>
      <c r="N42" s="198">
        <f>Qty!R121*'Hist. prices'!N42*N$7</f>
        <v>0</v>
      </c>
      <c r="O42" s="198">
        <f>Qty!S121*'Hist. prices'!O42*O$7</f>
        <v>0</v>
      </c>
      <c r="P42" s="198">
        <f>Qty!T121*'Hist. prices'!P42*P$7</f>
        <v>0</v>
      </c>
      <c r="Q42" s="198">
        <f>Qty!U121*'Hist. prices'!Q42*Q$7</f>
        <v>0</v>
      </c>
      <c r="R42" s="198">
        <f>Qty!V121*'Hist. prices'!R42*R$7</f>
        <v>0</v>
      </c>
      <c r="S42" s="198">
        <f>Qty!W121*'Hist. prices'!S42*S$7</f>
        <v>0</v>
      </c>
      <c r="T42" s="198">
        <f>Qty!X121*'Hist. prices'!T42*T$7</f>
        <v>0</v>
      </c>
      <c r="U42" s="198">
        <f>Qty!Y121*'Hist. prices'!U42*U$7</f>
        <v>0</v>
      </c>
      <c r="V42" s="198">
        <f>Qty!Z121*'Hist. prices'!V42*V$7</f>
        <v>0</v>
      </c>
      <c r="W42" s="198">
        <f>Qty!AA121*'Hist. prices'!W42*W$7</f>
        <v>0</v>
      </c>
      <c r="X42" s="198">
        <f>Qty!AB121*'Hist. prices'!X42*X$7</f>
        <v>0</v>
      </c>
      <c r="Y42" s="198">
        <f>Qty!AC121*'Hist. prices'!Y42*Y$7</f>
        <v>0</v>
      </c>
      <c r="Z42" s="198">
        <f>Qty!AD121*'Hist. prices'!Z42*Z$7</f>
        <v>0</v>
      </c>
      <c r="AA42" s="198">
        <f>Qty!AE121*'Hist. prices'!AA42*AA$7</f>
        <v>0</v>
      </c>
      <c r="AB42" s="198">
        <f>Qty!AF121*'Hist. prices'!AB42*AB$7</f>
        <v>0</v>
      </c>
      <c r="AC42" s="206">
        <f t="shared" si="1"/>
        <v>0</v>
      </c>
      <c r="AD42" s="68"/>
      <c r="AE42" s="19"/>
      <c r="AF42" s="19"/>
      <c r="AG42" s="19"/>
      <c r="AH42" s="19"/>
    </row>
    <row r="43" spans="1:34" hidden="1" outlineLevel="3" x14ac:dyDescent="0.2">
      <c r="A43" s="19"/>
      <c r="B43" s="19"/>
      <c r="C43" s="506">
        <f>Qty!C122</f>
        <v>0</v>
      </c>
      <c r="D43" s="505">
        <f>Qty!D122</f>
        <v>0</v>
      </c>
      <c r="E43" s="505">
        <f>Qty!E122</f>
        <v>0</v>
      </c>
      <c r="F43" s="505">
        <f>Qty!F122</f>
        <v>0</v>
      </c>
      <c r="G43" s="505">
        <f>Qty!G122</f>
        <v>0</v>
      </c>
      <c r="H43" s="58"/>
      <c r="I43" s="198">
        <f>Qty!M122*'Hist. prices'!I43*I$7</f>
        <v>0</v>
      </c>
      <c r="J43" s="198">
        <f>Qty!N122*'Hist. prices'!J43*J$7</f>
        <v>0</v>
      </c>
      <c r="K43" s="198">
        <f>Qty!O122*'Hist. prices'!K43*K$7</f>
        <v>0</v>
      </c>
      <c r="L43" s="198">
        <f>Qty!P122*'Hist. prices'!L43*L$7</f>
        <v>0</v>
      </c>
      <c r="M43" s="198">
        <f>Qty!Q122*'Hist. prices'!M43*M$7</f>
        <v>0</v>
      </c>
      <c r="N43" s="198">
        <f>Qty!R122*'Hist. prices'!N43*N$7</f>
        <v>0</v>
      </c>
      <c r="O43" s="198">
        <f>Qty!S122*'Hist. prices'!O43*O$7</f>
        <v>0</v>
      </c>
      <c r="P43" s="198">
        <f>Qty!T122*'Hist. prices'!P43*P$7</f>
        <v>0</v>
      </c>
      <c r="Q43" s="198">
        <f>Qty!U122*'Hist. prices'!Q43*Q$7</f>
        <v>0</v>
      </c>
      <c r="R43" s="198">
        <f>Qty!V122*'Hist. prices'!R43*R$7</f>
        <v>0</v>
      </c>
      <c r="S43" s="198">
        <f>Qty!W122*'Hist. prices'!S43*S$7</f>
        <v>0</v>
      </c>
      <c r="T43" s="198">
        <f>Qty!X122*'Hist. prices'!T43*T$7</f>
        <v>0</v>
      </c>
      <c r="U43" s="198">
        <f>Qty!Y122*'Hist. prices'!U43*U$7</f>
        <v>0</v>
      </c>
      <c r="V43" s="198">
        <f>Qty!Z122*'Hist. prices'!V43*V$7</f>
        <v>0</v>
      </c>
      <c r="W43" s="198">
        <f>Qty!AA122*'Hist. prices'!W43*W$7</f>
        <v>0</v>
      </c>
      <c r="X43" s="198">
        <f>Qty!AB122*'Hist. prices'!X43*X$7</f>
        <v>0</v>
      </c>
      <c r="Y43" s="198">
        <f>Qty!AC122*'Hist. prices'!Y43*Y$7</f>
        <v>0</v>
      </c>
      <c r="Z43" s="198">
        <f>Qty!AD122*'Hist. prices'!Z43*Z$7</f>
        <v>0</v>
      </c>
      <c r="AA43" s="198">
        <f>Qty!AE122*'Hist. prices'!AA43*AA$7</f>
        <v>0</v>
      </c>
      <c r="AB43" s="198">
        <f>Qty!AF122*'Hist. prices'!AB43*AB$7</f>
        <v>0</v>
      </c>
      <c r="AC43" s="206">
        <f t="shared" si="1"/>
        <v>0</v>
      </c>
      <c r="AD43" s="68"/>
      <c r="AE43" s="19"/>
      <c r="AF43" s="19"/>
      <c r="AG43" s="19"/>
      <c r="AH43" s="19"/>
    </row>
    <row r="44" spans="1:34" hidden="1" outlineLevel="3" x14ac:dyDescent="0.2">
      <c r="A44" s="19"/>
      <c r="B44" s="19"/>
      <c r="C44" s="506">
        <f>Qty!C123</f>
        <v>0</v>
      </c>
      <c r="D44" s="505">
        <f>Qty!D123</f>
        <v>0</v>
      </c>
      <c r="E44" s="505">
        <f>Qty!E123</f>
        <v>0</v>
      </c>
      <c r="F44" s="505">
        <f>Qty!F123</f>
        <v>0</v>
      </c>
      <c r="G44" s="505">
        <f>Qty!G123</f>
        <v>0</v>
      </c>
      <c r="H44" s="58"/>
      <c r="I44" s="198">
        <f>Qty!M123*'Hist. prices'!I44*I$7</f>
        <v>0</v>
      </c>
      <c r="J44" s="198">
        <f>Qty!N123*'Hist. prices'!J44*J$7</f>
        <v>0</v>
      </c>
      <c r="K44" s="198">
        <f>Qty!O123*'Hist. prices'!K44*K$7</f>
        <v>0</v>
      </c>
      <c r="L44" s="198">
        <f>Qty!P123*'Hist. prices'!L44*L$7</f>
        <v>0</v>
      </c>
      <c r="M44" s="198">
        <f>Qty!Q123*'Hist. prices'!M44*M$7</f>
        <v>0</v>
      </c>
      <c r="N44" s="198">
        <f>Qty!R123*'Hist. prices'!N44*N$7</f>
        <v>0</v>
      </c>
      <c r="O44" s="198">
        <f>Qty!S123*'Hist. prices'!O44*O$7</f>
        <v>0</v>
      </c>
      <c r="P44" s="198">
        <f>Qty!T123*'Hist. prices'!P44*P$7</f>
        <v>0</v>
      </c>
      <c r="Q44" s="198">
        <f>Qty!U123*'Hist. prices'!Q44*Q$7</f>
        <v>0</v>
      </c>
      <c r="R44" s="198">
        <f>Qty!V123*'Hist. prices'!R44*R$7</f>
        <v>0</v>
      </c>
      <c r="S44" s="198">
        <f>Qty!W123*'Hist. prices'!S44*S$7</f>
        <v>0</v>
      </c>
      <c r="T44" s="198">
        <f>Qty!X123*'Hist. prices'!T44*T$7</f>
        <v>0</v>
      </c>
      <c r="U44" s="198">
        <f>Qty!Y123*'Hist. prices'!U44*U$7</f>
        <v>0</v>
      </c>
      <c r="V44" s="198">
        <f>Qty!Z123*'Hist. prices'!V44*V$7</f>
        <v>0</v>
      </c>
      <c r="W44" s="198">
        <f>Qty!AA123*'Hist. prices'!W44*W$7</f>
        <v>0</v>
      </c>
      <c r="X44" s="198">
        <f>Qty!AB123*'Hist. prices'!X44*X$7</f>
        <v>0</v>
      </c>
      <c r="Y44" s="198">
        <f>Qty!AC123*'Hist. prices'!Y44*Y$7</f>
        <v>0</v>
      </c>
      <c r="Z44" s="198">
        <f>Qty!AD123*'Hist. prices'!Z44*Z$7</f>
        <v>0</v>
      </c>
      <c r="AA44" s="198">
        <f>Qty!AE123*'Hist. prices'!AA44*AA$7</f>
        <v>0</v>
      </c>
      <c r="AB44" s="198">
        <f>Qty!AF123*'Hist. prices'!AB44*AB$7</f>
        <v>0</v>
      </c>
      <c r="AC44" s="206">
        <f t="shared" si="1"/>
        <v>0</v>
      </c>
      <c r="AD44" s="68"/>
      <c r="AE44" s="19"/>
      <c r="AF44" s="19"/>
      <c r="AG44" s="19"/>
      <c r="AH44" s="19"/>
    </row>
    <row r="45" spans="1:34" hidden="1" outlineLevel="3" x14ac:dyDescent="0.2">
      <c r="A45" s="19"/>
      <c r="B45" s="19"/>
      <c r="C45" s="506">
        <f>Qty!C124</f>
        <v>0</v>
      </c>
      <c r="D45" s="505">
        <f>Qty!D124</f>
        <v>0</v>
      </c>
      <c r="E45" s="505">
        <f>Qty!E124</f>
        <v>0</v>
      </c>
      <c r="F45" s="505">
        <f>Qty!F124</f>
        <v>0</v>
      </c>
      <c r="G45" s="505">
        <f>Qty!G124</f>
        <v>0</v>
      </c>
      <c r="H45" s="58"/>
      <c r="I45" s="198">
        <f>Qty!M124*'Hist. prices'!I45*I$7</f>
        <v>0</v>
      </c>
      <c r="J45" s="198">
        <f>Qty!N124*'Hist. prices'!J45*J$7</f>
        <v>0</v>
      </c>
      <c r="K45" s="198">
        <f>Qty!O124*'Hist. prices'!K45*K$7</f>
        <v>0</v>
      </c>
      <c r="L45" s="198">
        <f>Qty!P124*'Hist. prices'!L45*L$7</f>
        <v>0</v>
      </c>
      <c r="M45" s="198">
        <f>Qty!Q124*'Hist. prices'!M45*M$7</f>
        <v>0</v>
      </c>
      <c r="N45" s="198">
        <f>Qty!R124*'Hist. prices'!N45*N$7</f>
        <v>0</v>
      </c>
      <c r="O45" s="198">
        <f>Qty!S124*'Hist. prices'!O45*O$7</f>
        <v>0</v>
      </c>
      <c r="P45" s="198">
        <f>Qty!T124*'Hist. prices'!P45*P$7</f>
        <v>0</v>
      </c>
      <c r="Q45" s="198">
        <f>Qty!U124*'Hist. prices'!Q45*Q$7</f>
        <v>0</v>
      </c>
      <c r="R45" s="198">
        <f>Qty!V124*'Hist. prices'!R45*R$7</f>
        <v>0</v>
      </c>
      <c r="S45" s="198">
        <f>Qty!W124*'Hist. prices'!S45*S$7</f>
        <v>0</v>
      </c>
      <c r="T45" s="198">
        <f>Qty!X124*'Hist. prices'!T45*T$7</f>
        <v>0</v>
      </c>
      <c r="U45" s="198">
        <f>Qty!Y124*'Hist. prices'!U45*U$7</f>
        <v>0</v>
      </c>
      <c r="V45" s="198">
        <f>Qty!Z124*'Hist. prices'!V45*V$7</f>
        <v>0</v>
      </c>
      <c r="W45" s="198">
        <f>Qty!AA124*'Hist. prices'!W45*W$7</f>
        <v>0</v>
      </c>
      <c r="X45" s="198">
        <f>Qty!AB124*'Hist. prices'!X45*X$7</f>
        <v>0</v>
      </c>
      <c r="Y45" s="198">
        <f>Qty!AC124*'Hist. prices'!Y45*Y$7</f>
        <v>0</v>
      </c>
      <c r="Z45" s="198">
        <f>Qty!AD124*'Hist. prices'!Z45*Z$7</f>
        <v>0</v>
      </c>
      <c r="AA45" s="198">
        <f>Qty!AE124*'Hist. prices'!AA45*AA$7</f>
        <v>0</v>
      </c>
      <c r="AB45" s="198">
        <f>Qty!AF124*'Hist. prices'!AB45*AB$7</f>
        <v>0</v>
      </c>
      <c r="AC45" s="206">
        <f t="shared" si="1"/>
        <v>0</v>
      </c>
      <c r="AD45" s="68"/>
      <c r="AE45" s="19"/>
      <c r="AF45" s="19"/>
      <c r="AG45" s="19"/>
      <c r="AH45" s="19"/>
    </row>
    <row r="46" spans="1:34" hidden="1" outlineLevel="3" x14ac:dyDescent="0.2">
      <c r="A46" s="19"/>
      <c r="B46" s="19"/>
      <c r="C46" s="506">
        <f>Qty!C125</f>
        <v>0</v>
      </c>
      <c r="D46" s="505">
        <f>Qty!D125</f>
        <v>0</v>
      </c>
      <c r="E46" s="505">
        <f>Qty!E125</f>
        <v>0</v>
      </c>
      <c r="F46" s="505">
        <f>Qty!F125</f>
        <v>0</v>
      </c>
      <c r="G46" s="505">
        <f>Qty!G125</f>
        <v>0</v>
      </c>
      <c r="H46" s="58"/>
      <c r="I46" s="198">
        <f>Qty!M125*'Hist. prices'!I46*I$7</f>
        <v>0</v>
      </c>
      <c r="J46" s="198">
        <f>Qty!N125*'Hist. prices'!J46*J$7</f>
        <v>0</v>
      </c>
      <c r="K46" s="198">
        <f>Qty!O125*'Hist. prices'!K46*K$7</f>
        <v>0</v>
      </c>
      <c r="L46" s="198">
        <f>Qty!P125*'Hist. prices'!L46*L$7</f>
        <v>0</v>
      </c>
      <c r="M46" s="198">
        <f>Qty!Q125*'Hist. prices'!M46*M$7</f>
        <v>0</v>
      </c>
      <c r="N46" s="198">
        <f>Qty!R125*'Hist. prices'!N46*N$7</f>
        <v>0</v>
      </c>
      <c r="O46" s="198">
        <f>Qty!S125*'Hist. prices'!O46*O$7</f>
        <v>0</v>
      </c>
      <c r="P46" s="198">
        <f>Qty!T125*'Hist. prices'!P46*P$7</f>
        <v>0</v>
      </c>
      <c r="Q46" s="198">
        <f>Qty!U125*'Hist. prices'!Q46*Q$7</f>
        <v>0</v>
      </c>
      <c r="R46" s="198">
        <f>Qty!V125*'Hist. prices'!R46*R$7</f>
        <v>0</v>
      </c>
      <c r="S46" s="198">
        <f>Qty!W125*'Hist. prices'!S46*S$7</f>
        <v>0</v>
      </c>
      <c r="T46" s="198">
        <f>Qty!X125*'Hist. prices'!T46*T$7</f>
        <v>0</v>
      </c>
      <c r="U46" s="198">
        <f>Qty!Y125*'Hist. prices'!U46*U$7</f>
        <v>0</v>
      </c>
      <c r="V46" s="198">
        <f>Qty!Z125*'Hist. prices'!V46*V$7</f>
        <v>0</v>
      </c>
      <c r="W46" s="198">
        <f>Qty!AA125*'Hist. prices'!W46*W$7</f>
        <v>0</v>
      </c>
      <c r="X46" s="198">
        <f>Qty!AB125*'Hist. prices'!X46*X$7</f>
        <v>0</v>
      </c>
      <c r="Y46" s="198">
        <f>Qty!AC125*'Hist. prices'!Y46*Y$7</f>
        <v>0</v>
      </c>
      <c r="Z46" s="198">
        <f>Qty!AD125*'Hist. prices'!Z46*Z$7</f>
        <v>0</v>
      </c>
      <c r="AA46" s="198">
        <f>Qty!AE125*'Hist. prices'!AA46*AA$7</f>
        <v>0</v>
      </c>
      <c r="AB46" s="198">
        <f>Qty!AF125*'Hist. prices'!AB46*AB$7</f>
        <v>0</v>
      </c>
      <c r="AC46" s="206">
        <f t="shared" si="1"/>
        <v>0</v>
      </c>
      <c r="AD46" s="68"/>
      <c r="AE46" s="19"/>
      <c r="AF46" s="19"/>
      <c r="AG46" s="19"/>
      <c r="AH46" s="19"/>
    </row>
    <row r="47" spans="1:34" hidden="1" outlineLevel="3" x14ac:dyDescent="0.2">
      <c r="A47" s="19"/>
      <c r="B47" s="19"/>
      <c r="C47" s="506">
        <f>Qty!C126</f>
        <v>0</v>
      </c>
      <c r="D47" s="505">
        <f>Qty!D126</f>
        <v>0</v>
      </c>
      <c r="E47" s="505">
        <f>Qty!E126</f>
        <v>0</v>
      </c>
      <c r="F47" s="505">
        <f>Qty!F126</f>
        <v>0</v>
      </c>
      <c r="G47" s="505">
        <f>Qty!G126</f>
        <v>0</v>
      </c>
      <c r="H47" s="58"/>
      <c r="I47" s="198">
        <f>Qty!M126*'Hist. prices'!I47*I$7</f>
        <v>0</v>
      </c>
      <c r="J47" s="198">
        <f>Qty!N126*'Hist. prices'!J47*J$7</f>
        <v>0</v>
      </c>
      <c r="K47" s="198">
        <f>Qty!O126*'Hist. prices'!K47*K$7</f>
        <v>0</v>
      </c>
      <c r="L47" s="198">
        <f>Qty!P126*'Hist. prices'!L47*L$7</f>
        <v>0</v>
      </c>
      <c r="M47" s="198">
        <f>Qty!Q126*'Hist. prices'!M47*M$7</f>
        <v>0</v>
      </c>
      <c r="N47" s="198">
        <f>Qty!R126*'Hist. prices'!N47*N$7</f>
        <v>0</v>
      </c>
      <c r="O47" s="198">
        <f>Qty!S126*'Hist. prices'!O47*O$7</f>
        <v>0</v>
      </c>
      <c r="P47" s="198">
        <f>Qty!T126*'Hist. prices'!P47*P$7</f>
        <v>0</v>
      </c>
      <c r="Q47" s="198">
        <f>Qty!U126*'Hist. prices'!Q47*Q$7</f>
        <v>0</v>
      </c>
      <c r="R47" s="198">
        <f>Qty!V126*'Hist. prices'!R47*R$7</f>
        <v>0</v>
      </c>
      <c r="S47" s="198">
        <f>Qty!W126*'Hist. prices'!S47*S$7</f>
        <v>0</v>
      </c>
      <c r="T47" s="198">
        <f>Qty!X126*'Hist. prices'!T47*T$7</f>
        <v>0</v>
      </c>
      <c r="U47" s="198">
        <f>Qty!Y126*'Hist. prices'!U47*U$7</f>
        <v>0</v>
      </c>
      <c r="V47" s="198">
        <f>Qty!Z126*'Hist. prices'!V47*V$7</f>
        <v>0</v>
      </c>
      <c r="W47" s="198">
        <f>Qty!AA126*'Hist. prices'!W47*W$7</f>
        <v>0</v>
      </c>
      <c r="X47" s="198">
        <f>Qty!AB126*'Hist. prices'!X47*X$7</f>
        <v>0</v>
      </c>
      <c r="Y47" s="198">
        <f>Qty!AC126*'Hist. prices'!Y47*Y$7</f>
        <v>0</v>
      </c>
      <c r="Z47" s="198">
        <f>Qty!AD126*'Hist. prices'!Z47*Z$7</f>
        <v>0</v>
      </c>
      <c r="AA47" s="198">
        <f>Qty!AE126*'Hist. prices'!AA47*AA$7</f>
        <v>0</v>
      </c>
      <c r="AB47" s="198">
        <f>Qty!AF126*'Hist. prices'!AB47*AB$7</f>
        <v>0</v>
      </c>
      <c r="AC47" s="206">
        <f t="shared" si="1"/>
        <v>0</v>
      </c>
      <c r="AD47" s="68"/>
      <c r="AE47" s="19"/>
      <c r="AF47" s="19"/>
      <c r="AG47" s="19"/>
      <c r="AH47" s="19"/>
    </row>
    <row r="48" spans="1:34" hidden="1" outlineLevel="3" x14ac:dyDescent="0.2">
      <c r="A48" s="19"/>
      <c r="B48" s="19"/>
      <c r="C48" s="506">
        <f>Qty!C127</f>
        <v>0</v>
      </c>
      <c r="D48" s="505">
        <f>Qty!D127</f>
        <v>0</v>
      </c>
      <c r="E48" s="505">
        <f>Qty!E127</f>
        <v>0</v>
      </c>
      <c r="F48" s="505">
        <f>Qty!F127</f>
        <v>0</v>
      </c>
      <c r="G48" s="505">
        <f>Qty!G127</f>
        <v>0</v>
      </c>
      <c r="H48" s="58"/>
      <c r="I48" s="198">
        <f>Qty!M127*'Hist. prices'!I48*I$7</f>
        <v>0</v>
      </c>
      <c r="J48" s="198">
        <f>Qty!N127*'Hist. prices'!J48*J$7</f>
        <v>0</v>
      </c>
      <c r="K48" s="198">
        <f>Qty!O127*'Hist. prices'!K48*K$7</f>
        <v>0</v>
      </c>
      <c r="L48" s="198">
        <f>Qty!P127*'Hist. prices'!L48*L$7</f>
        <v>0</v>
      </c>
      <c r="M48" s="198">
        <f>Qty!Q127*'Hist. prices'!M48*M$7</f>
        <v>0</v>
      </c>
      <c r="N48" s="198">
        <f>Qty!R127*'Hist. prices'!N48*N$7</f>
        <v>0</v>
      </c>
      <c r="O48" s="198">
        <f>Qty!S127*'Hist. prices'!O48*O$7</f>
        <v>0</v>
      </c>
      <c r="P48" s="198">
        <f>Qty!T127*'Hist. prices'!P48*P$7</f>
        <v>0</v>
      </c>
      <c r="Q48" s="198">
        <f>Qty!U127*'Hist. prices'!Q48*Q$7</f>
        <v>0</v>
      </c>
      <c r="R48" s="198">
        <f>Qty!V127*'Hist. prices'!R48*R$7</f>
        <v>0</v>
      </c>
      <c r="S48" s="198">
        <f>Qty!W127*'Hist. prices'!S48*S$7</f>
        <v>0</v>
      </c>
      <c r="T48" s="198">
        <f>Qty!X127*'Hist. prices'!T48*T$7</f>
        <v>0</v>
      </c>
      <c r="U48" s="198">
        <f>Qty!Y127*'Hist. prices'!U48*U$7</f>
        <v>0</v>
      </c>
      <c r="V48" s="198">
        <f>Qty!Z127*'Hist. prices'!V48*V$7</f>
        <v>0</v>
      </c>
      <c r="W48" s="198">
        <f>Qty!AA127*'Hist. prices'!W48*W$7</f>
        <v>0</v>
      </c>
      <c r="X48" s="198">
        <f>Qty!AB127*'Hist. prices'!X48*X$7</f>
        <v>0</v>
      </c>
      <c r="Y48" s="198">
        <f>Qty!AC127*'Hist. prices'!Y48*Y$7</f>
        <v>0</v>
      </c>
      <c r="Z48" s="198">
        <f>Qty!AD127*'Hist. prices'!Z48*Z$7</f>
        <v>0</v>
      </c>
      <c r="AA48" s="198">
        <f>Qty!AE127*'Hist. prices'!AA48*AA$7</f>
        <v>0</v>
      </c>
      <c r="AB48" s="198">
        <f>Qty!AF127*'Hist. prices'!AB48*AB$7</f>
        <v>0</v>
      </c>
      <c r="AC48" s="206">
        <f t="shared" si="1"/>
        <v>0</v>
      </c>
      <c r="AD48" s="68"/>
      <c r="AE48" s="19"/>
      <c r="AF48" s="19"/>
      <c r="AG48" s="19"/>
      <c r="AH48" s="19"/>
    </row>
    <row r="49" spans="1:34" hidden="1" outlineLevel="3" x14ac:dyDescent="0.2">
      <c r="A49" s="19"/>
      <c r="B49" s="19"/>
      <c r="C49" s="506">
        <f>Qty!C128</f>
        <v>0</v>
      </c>
      <c r="D49" s="505">
        <f>Qty!D128</f>
        <v>0</v>
      </c>
      <c r="E49" s="505">
        <f>Qty!E128</f>
        <v>0</v>
      </c>
      <c r="F49" s="505">
        <f>Qty!F128</f>
        <v>0</v>
      </c>
      <c r="G49" s="505">
        <f>Qty!G128</f>
        <v>0</v>
      </c>
      <c r="H49" s="58"/>
      <c r="I49" s="198">
        <f>Qty!M128*'Hist. prices'!I49*I$7</f>
        <v>0</v>
      </c>
      <c r="J49" s="198">
        <f>Qty!N128*'Hist. prices'!J49*J$7</f>
        <v>0</v>
      </c>
      <c r="K49" s="198">
        <f>Qty!O128*'Hist. prices'!K49*K$7</f>
        <v>0</v>
      </c>
      <c r="L49" s="198">
        <f>Qty!P128*'Hist. prices'!L49*L$7</f>
        <v>0</v>
      </c>
      <c r="M49" s="198">
        <f>Qty!Q128*'Hist. prices'!M49*M$7</f>
        <v>0</v>
      </c>
      <c r="N49" s="198">
        <f>Qty!R128*'Hist. prices'!N49*N$7</f>
        <v>0</v>
      </c>
      <c r="O49" s="198">
        <f>Qty!S128*'Hist. prices'!O49*O$7</f>
        <v>0</v>
      </c>
      <c r="P49" s="198">
        <f>Qty!T128*'Hist. prices'!P49*P$7</f>
        <v>0</v>
      </c>
      <c r="Q49" s="198">
        <f>Qty!U128*'Hist. prices'!Q49*Q$7</f>
        <v>0</v>
      </c>
      <c r="R49" s="198">
        <f>Qty!V128*'Hist. prices'!R49*R$7</f>
        <v>0</v>
      </c>
      <c r="S49" s="198">
        <f>Qty!W128*'Hist. prices'!S49*S$7</f>
        <v>0</v>
      </c>
      <c r="T49" s="198">
        <f>Qty!X128*'Hist. prices'!T49*T$7</f>
        <v>0</v>
      </c>
      <c r="U49" s="198">
        <f>Qty!Y128*'Hist. prices'!U49*U$7</f>
        <v>0</v>
      </c>
      <c r="V49" s="198">
        <f>Qty!Z128*'Hist. prices'!V49*V$7</f>
        <v>0</v>
      </c>
      <c r="W49" s="198">
        <f>Qty!AA128*'Hist. prices'!W49*W$7</f>
        <v>0</v>
      </c>
      <c r="X49" s="198">
        <f>Qty!AB128*'Hist. prices'!X49*X$7</f>
        <v>0</v>
      </c>
      <c r="Y49" s="198">
        <f>Qty!AC128*'Hist. prices'!Y49*Y$7</f>
        <v>0</v>
      </c>
      <c r="Z49" s="198">
        <f>Qty!AD128*'Hist. prices'!Z49*Z$7</f>
        <v>0</v>
      </c>
      <c r="AA49" s="198">
        <f>Qty!AE128*'Hist. prices'!AA49*AA$7</f>
        <v>0</v>
      </c>
      <c r="AB49" s="198">
        <f>Qty!AF128*'Hist. prices'!AB49*AB$7</f>
        <v>0</v>
      </c>
      <c r="AC49" s="206">
        <f t="shared" si="1"/>
        <v>0</v>
      </c>
      <c r="AD49" s="68"/>
      <c r="AE49" s="19"/>
      <c r="AF49" s="19"/>
      <c r="AG49" s="19"/>
      <c r="AH49" s="19"/>
    </row>
    <row r="50" spans="1:34" hidden="1" outlineLevel="3" x14ac:dyDescent="0.2">
      <c r="A50" s="19"/>
      <c r="B50" s="19"/>
      <c r="C50" s="506">
        <f>Qty!C129</f>
        <v>0</v>
      </c>
      <c r="D50" s="505">
        <f>Qty!D129</f>
        <v>0</v>
      </c>
      <c r="E50" s="505">
        <f>Qty!E129</f>
        <v>0</v>
      </c>
      <c r="F50" s="505">
        <f>Qty!F129</f>
        <v>0</v>
      </c>
      <c r="G50" s="505">
        <f>Qty!G129</f>
        <v>0</v>
      </c>
      <c r="H50" s="58"/>
      <c r="I50" s="198">
        <f>Qty!M129*'Hist. prices'!I50*I$7</f>
        <v>0</v>
      </c>
      <c r="J50" s="198">
        <f>Qty!N129*'Hist. prices'!J50*J$7</f>
        <v>0</v>
      </c>
      <c r="K50" s="198">
        <f>Qty!O129*'Hist. prices'!K50*K$7</f>
        <v>0</v>
      </c>
      <c r="L50" s="198">
        <f>Qty!P129*'Hist. prices'!L50*L$7</f>
        <v>0</v>
      </c>
      <c r="M50" s="198">
        <f>Qty!Q129*'Hist. prices'!M50*M$7</f>
        <v>0</v>
      </c>
      <c r="N50" s="198">
        <f>Qty!R129*'Hist. prices'!N50*N$7</f>
        <v>0</v>
      </c>
      <c r="O50" s="198">
        <f>Qty!S129*'Hist. prices'!O50*O$7</f>
        <v>0</v>
      </c>
      <c r="P50" s="198">
        <f>Qty!T129*'Hist. prices'!P50*P$7</f>
        <v>0</v>
      </c>
      <c r="Q50" s="198">
        <f>Qty!U129*'Hist. prices'!Q50*Q$7</f>
        <v>0</v>
      </c>
      <c r="R50" s="198">
        <f>Qty!V129*'Hist. prices'!R50*R$7</f>
        <v>0</v>
      </c>
      <c r="S50" s="198">
        <f>Qty!W129*'Hist. prices'!S50*S$7</f>
        <v>0</v>
      </c>
      <c r="T50" s="198">
        <f>Qty!X129*'Hist. prices'!T50*T$7</f>
        <v>0</v>
      </c>
      <c r="U50" s="198">
        <f>Qty!Y129*'Hist. prices'!U50*U$7</f>
        <v>0</v>
      </c>
      <c r="V50" s="198">
        <f>Qty!Z129*'Hist. prices'!V50*V$7</f>
        <v>0</v>
      </c>
      <c r="W50" s="198">
        <f>Qty!AA129*'Hist. prices'!W50*W$7</f>
        <v>0</v>
      </c>
      <c r="X50" s="198">
        <f>Qty!AB129*'Hist. prices'!X50*X$7</f>
        <v>0</v>
      </c>
      <c r="Y50" s="198">
        <f>Qty!AC129*'Hist. prices'!Y50*Y$7</f>
        <v>0</v>
      </c>
      <c r="Z50" s="198">
        <f>Qty!AD129*'Hist. prices'!Z50*Z$7</f>
        <v>0</v>
      </c>
      <c r="AA50" s="198">
        <f>Qty!AE129*'Hist. prices'!AA50*AA$7</f>
        <v>0</v>
      </c>
      <c r="AB50" s="198">
        <f>Qty!AF129*'Hist. prices'!AB50*AB$7</f>
        <v>0</v>
      </c>
      <c r="AC50" s="206">
        <f t="shared" si="1"/>
        <v>0</v>
      </c>
      <c r="AD50" s="68"/>
      <c r="AE50" s="19"/>
      <c r="AF50" s="19"/>
      <c r="AG50" s="19"/>
      <c r="AH50" s="19"/>
    </row>
    <row r="51" spans="1:34" hidden="1" outlineLevel="3" x14ac:dyDescent="0.2">
      <c r="A51" s="19"/>
      <c r="B51" s="19"/>
      <c r="C51" s="506">
        <f>Qty!C130</f>
        <v>0</v>
      </c>
      <c r="D51" s="505">
        <f>Qty!D130</f>
        <v>0</v>
      </c>
      <c r="E51" s="505">
        <f>Qty!E130</f>
        <v>0</v>
      </c>
      <c r="F51" s="505">
        <f>Qty!F130</f>
        <v>0</v>
      </c>
      <c r="G51" s="505">
        <f>Qty!G130</f>
        <v>0</v>
      </c>
      <c r="H51" s="58"/>
      <c r="I51" s="198">
        <f>Qty!M130*'Hist. prices'!I51*I$7</f>
        <v>0</v>
      </c>
      <c r="J51" s="198">
        <f>Qty!N130*'Hist. prices'!J51*J$7</f>
        <v>0</v>
      </c>
      <c r="K51" s="198">
        <f>Qty!O130*'Hist. prices'!K51*K$7</f>
        <v>0</v>
      </c>
      <c r="L51" s="198">
        <f>Qty!P130*'Hist. prices'!L51*L$7</f>
        <v>0</v>
      </c>
      <c r="M51" s="198">
        <f>Qty!Q130*'Hist. prices'!M51*M$7</f>
        <v>0</v>
      </c>
      <c r="N51" s="198">
        <f>Qty!R130*'Hist. prices'!N51*N$7</f>
        <v>0</v>
      </c>
      <c r="O51" s="198">
        <f>Qty!S130*'Hist. prices'!O51*O$7</f>
        <v>0</v>
      </c>
      <c r="P51" s="198">
        <f>Qty!T130*'Hist. prices'!P51*P$7</f>
        <v>0</v>
      </c>
      <c r="Q51" s="198">
        <f>Qty!U130*'Hist. prices'!Q51*Q$7</f>
        <v>0</v>
      </c>
      <c r="R51" s="198">
        <f>Qty!V130*'Hist. prices'!R51*R$7</f>
        <v>0</v>
      </c>
      <c r="S51" s="198">
        <f>Qty!W130*'Hist. prices'!S51*S$7</f>
        <v>0</v>
      </c>
      <c r="T51" s="198">
        <f>Qty!X130*'Hist. prices'!T51*T$7</f>
        <v>0</v>
      </c>
      <c r="U51" s="198">
        <f>Qty!Y130*'Hist. prices'!U51*U$7</f>
        <v>0</v>
      </c>
      <c r="V51" s="198">
        <f>Qty!Z130*'Hist. prices'!V51*V$7</f>
        <v>0</v>
      </c>
      <c r="W51" s="198">
        <f>Qty!AA130*'Hist. prices'!W51*W$7</f>
        <v>0</v>
      </c>
      <c r="X51" s="198">
        <f>Qty!AB130*'Hist. prices'!X51*X$7</f>
        <v>0</v>
      </c>
      <c r="Y51" s="198">
        <f>Qty!AC130*'Hist. prices'!Y51*Y$7</f>
        <v>0</v>
      </c>
      <c r="Z51" s="198">
        <f>Qty!AD130*'Hist. prices'!Z51*Z$7</f>
        <v>0</v>
      </c>
      <c r="AA51" s="198">
        <f>Qty!AE130*'Hist. prices'!AA51*AA$7</f>
        <v>0</v>
      </c>
      <c r="AB51" s="198">
        <f>Qty!AF130*'Hist. prices'!AB51*AB$7</f>
        <v>0</v>
      </c>
      <c r="AC51" s="206">
        <f t="shared" si="1"/>
        <v>0</v>
      </c>
      <c r="AD51" s="68"/>
      <c r="AE51" s="19"/>
      <c r="AF51" s="19"/>
      <c r="AG51" s="19"/>
      <c r="AH51" s="19"/>
    </row>
    <row r="52" spans="1:34" hidden="1" outlineLevel="3" x14ac:dyDescent="0.2">
      <c r="A52" s="19"/>
      <c r="B52" s="19"/>
      <c r="C52" s="506">
        <f>Qty!C131</f>
        <v>0</v>
      </c>
      <c r="D52" s="505">
        <f>Qty!D131</f>
        <v>0</v>
      </c>
      <c r="E52" s="505">
        <f>Qty!E131</f>
        <v>0</v>
      </c>
      <c r="F52" s="505">
        <f>Qty!F131</f>
        <v>0</v>
      </c>
      <c r="G52" s="505">
        <f>Qty!G131</f>
        <v>0</v>
      </c>
      <c r="H52" s="58"/>
      <c r="I52" s="198">
        <f>Qty!M131*'Hist. prices'!I52*I$7</f>
        <v>0</v>
      </c>
      <c r="J52" s="198">
        <f>Qty!N131*'Hist. prices'!J52*J$7</f>
        <v>0</v>
      </c>
      <c r="K52" s="198">
        <f>Qty!O131*'Hist. prices'!K52*K$7</f>
        <v>0</v>
      </c>
      <c r="L52" s="198">
        <f>Qty!P131*'Hist. prices'!L52*L$7</f>
        <v>0</v>
      </c>
      <c r="M52" s="198">
        <f>Qty!Q131*'Hist. prices'!M52*M$7</f>
        <v>0</v>
      </c>
      <c r="N52" s="198">
        <f>Qty!R131*'Hist. prices'!N52*N$7</f>
        <v>0</v>
      </c>
      <c r="O52" s="198">
        <f>Qty!S131*'Hist. prices'!O52*O$7</f>
        <v>0</v>
      </c>
      <c r="P52" s="198">
        <f>Qty!T131*'Hist. prices'!P52*P$7</f>
        <v>0</v>
      </c>
      <c r="Q52" s="198">
        <f>Qty!U131*'Hist. prices'!Q52*Q$7</f>
        <v>0</v>
      </c>
      <c r="R52" s="198">
        <f>Qty!V131*'Hist. prices'!R52*R$7</f>
        <v>0</v>
      </c>
      <c r="S52" s="198">
        <f>Qty!W131*'Hist. prices'!S52*S$7</f>
        <v>0</v>
      </c>
      <c r="T52" s="198">
        <f>Qty!X131*'Hist. prices'!T52*T$7</f>
        <v>0</v>
      </c>
      <c r="U52" s="198">
        <f>Qty!Y131*'Hist. prices'!U52*U$7</f>
        <v>0</v>
      </c>
      <c r="V52" s="198">
        <f>Qty!Z131*'Hist. prices'!V52*V$7</f>
        <v>0</v>
      </c>
      <c r="W52" s="198">
        <f>Qty!AA131*'Hist. prices'!W52*W$7</f>
        <v>0</v>
      </c>
      <c r="X52" s="198">
        <f>Qty!AB131*'Hist. prices'!X52*X$7</f>
        <v>0</v>
      </c>
      <c r="Y52" s="198">
        <f>Qty!AC131*'Hist. prices'!Y52*Y$7</f>
        <v>0</v>
      </c>
      <c r="Z52" s="198">
        <f>Qty!AD131*'Hist. prices'!Z52*Z$7</f>
        <v>0</v>
      </c>
      <c r="AA52" s="198">
        <f>Qty!AE131*'Hist. prices'!AA52*AA$7</f>
        <v>0</v>
      </c>
      <c r="AB52" s="198">
        <f>Qty!AF131*'Hist. prices'!AB52*AB$7</f>
        <v>0</v>
      </c>
      <c r="AC52" s="206">
        <f t="shared" si="1"/>
        <v>0</v>
      </c>
      <c r="AD52" s="68"/>
      <c r="AE52" s="19"/>
      <c r="AF52" s="19"/>
      <c r="AG52" s="19"/>
      <c r="AH52" s="19"/>
    </row>
    <row r="53" spans="1:34" hidden="1" outlineLevel="3" x14ac:dyDescent="0.2">
      <c r="A53" s="19"/>
      <c r="B53" s="19"/>
      <c r="C53" s="506">
        <f>Qty!C132</f>
        <v>0</v>
      </c>
      <c r="D53" s="505">
        <f>Qty!D132</f>
        <v>0</v>
      </c>
      <c r="E53" s="505">
        <f>Qty!E132</f>
        <v>0</v>
      </c>
      <c r="F53" s="505">
        <f>Qty!F132</f>
        <v>0</v>
      </c>
      <c r="G53" s="505">
        <f>Qty!G132</f>
        <v>0</v>
      </c>
      <c r="H53" s="58"/>
      <c r="I53" s="198">
        <f>Qty!M132*'Hist. prices'!I53*I$7</f>
        <v>0</v>
      </c>
      <c r="J53" s="198">
        <f>Qty!N132*'Hist. prices'!J53*J$7</f>
        <v>0</v>
      </c>
      <c r="K53" s="198">
        <f>Qty!O132*'Hist. prices'!K53*K$7</f>
        <v>0</v>
      </c>
      <c r="L53" s="198">
        <f>Qty!P132*'Hist. prices'!L53*L$7</f>
        <v>0</v>
      </c>
      <c r="M53" s="198">
        <f>Qty!Q132*'Hist. prices'!M53*M$7</f>
        <v>0</v>
      </c>
      <c r="N53" s="198">
        <f>Qty!R132*'Hist. prices'!N53*N$7</f>
        <v>0</v>
      </c>
      <c r="O53" s="198">
        <f>Qty!S132*'Hist. prices'!O53*O$7</f>
        <v>0</v>
      </c>
      <c r="P53" s="198">
        <f>Qty!T132*'Hist. prices'!P53*P$7</f>
        <v>0</v>
      </c>
      <c r="Q53" s="198">
        <f>Qty!U132*'Hist. prices'!Q53*Q$7</f>
        <v>0</v>
      </c>
      <c r="R53" s="198">
        <f>Qty!V132*'Hist. prices'!R53*R$7</f>
        <v>0</v>
      </c>
      <c r="S53" s="198">
        <f>Qty!W132*'Hist. prices'!S53*S$7</f>
        <v>0</v>
      </c>
      <c r="T53" s="198">
        <f>Qty!X132*'Hist. prices'!T53*T$7</f>
        <v>0</v>
      </c>
      <c r="U53" s="198">
        <f>Qty!Y132*'Hist. prices'!U53*U$7</f>
        <v>0</v>
      </c>
      <c r="V53" s="198">
        <f>Qty!Z132*'Hist. prices'!V53*V$7</f>
        <v>0</v>
      </c>
      <c r="W53" s="198">
        <f>Qty!AA132*'Hist. prices'!W53*W$7</f>
        <v>0</v>
      </c>
      <c r="X53" s="198">
        <f>Qty!AB132*'Hist. prices'!X53*X$7</f>
        <v>0</v>
      </c>
      <c r="Y53" s="198">
        <f>Qty!AC132*'Hist. prices'!Y53*Y$7</f>
        <v>0</v>
      </c>
      <c r="Z53" s="198">
        <f>Qty!AD132*'Hist. prices'!Z53*Z$7</f>
        <v>0</v>
      </c>
      <c r="AA53" s="198">
        <f>Qty!AE132*'Hist. prices'!AA53*AA$7</f>
        <v>0</v>
      </c>
      <c r="AB53" s="198">
        <f>Qty!AF132*'Hist. prices'!AB53*AB$7</f>
        <v>0</v>
      </c>
      <c r="AC53" s="206">
        <f t="shared" si="1"/>
        <v>0</v>
      </c>
      <c r="AD53" s="68"/>
      <c r="AE53" s="19"/>
      <c r="AF53" s="19"/>
      <c r="AG53" s="19"/>
      <c r="AH53" s="19"/>
    </row>
    <row r="54" spans="1:34" hidden="1" outlineLevel="3" x14ac:dyDescent="0.2">
      <c r="A54" s="19"/>
      <c r="B54" s="19"/>
      <c r="C54" s="506">
        <f>Qty!C133</f>
        <v>0</v>
      </c>
      <c r="D54" s="505">
        <f>Qty!D133</f>
        <v>0</v>
      </c>
      <c r="E54" s="505">
        <f>Qty!E133</f>
        <v>0</v>
      </c>
      <c r="F54" s="505">
        <f>Qty!F133</f>
        <v>0</v>
      </c>
      <c r="G54" s="505">
        <f>Qty!G133</f>
        <v>0</v>
      </c>
      <c r="H54" s="58"/>
      <c r="I54" s="198">
        <f>Qty!M133*'Hist. prices'!I54*I$7</f>
        <v>0</v>
      </c>
      <c r="J54" s="198">
        <f>Qty!N133*'Hist. prices'!J54*J$7</f>
        <v>0</v>
      </c>
      <c r="K54" s="198">
        <f>Qty!O133*'Hist. prices'!K54*K$7</f>
        <v>0</v>
      </c>
      <c r="L54" s="198">
        <f>Qty!P133*'Hist. prices'!L54*L$7</f>
        <v>0</v>
      </c>
      <c r="M54" s="198">
        <f>Qty!Q133*'Hist. prices'!M54*M$7</f>
        <v>0</v>
      </c>
      <c r="N54" s="198">
        <f>Qty!R133*'Hist. prices'!N54*N$7</f>
        <v>0</v>
      </c>
      <c r="O54" s="198">
        <f>Qty!S133*'Hist. prices'!O54*O$7</f>
        <v>0</v>
      </c>
      <c r="P54" s="198">
        <f>Qty!T133*'Hist. prices'!P54*P$7</f>
        <v>0</v>
      </c>
      <c r="Q54" s="198">
        <f>Qty!U133*'Hist. prices'!Q54*Q$7</f>
        <v>0</v>
      </c>
      <c r="R54" s="198">
        <f>Qty!V133*'Hist. prices'!R54*R$7</f>
        <v>0</v>
      </c>
      <c r="S54" s="198">
        <f>Qty!W133*'Hist. prices'!S54*S$7</f>
        <v>0</v>
      </c>
      <c r="T54" s="198">
        <f>Qty!X133*'Hist. prices'!T54*T$7</f>
        <v>0</v>
      </c>
      <c r="U54" s="198">
        <f>Qty!Y133*'Hist. prices'!U54*U$7</f>
        <v>0</v>
      </c>
      <c r="V54" s="198">
        <f>Qty!Z133*'Hist. prices'!V54*V$7</f>
        <v>0</v>
      </c>
      <c r="W54" s="198">
        <f>Qty!AA133*'Hist. prices'!W54*W$7</f>
        <v>0</v>
      </c>
      <c r="X54" s="198">
        <f>Qty!AB133*'Hist. prices'!X54*X$7</f>
        <v>0</v>
      </c>
      <c r="Y54" s="198">
        <f>Qty!AC133*'Hist. prices'!Y54*Y$7</f>
        <v>0</v>
      </c>
      <c r="Z54" s="198">
        <f>Qty!AD133*'Hist. prices'!Z54*Z$7</f>
        <v>0</v>
      </c>
      <c r="AA54" s="198">
        <f>Qty!AE133*'Hist. prices'!AA54*AA$7</f>
        <v>0</v>
      </c>
      <c r="AB54" s="198">
        <f>Qty!AF133*'Hist. prices'!AB54*AB$7</f>
        <v>0</v>
      </c>
      <c r="AC54" s="206">
        <f t="shared" si="1"/>
        <v>0</v>
      </c>
      <c r="AD54" s="68"/>
      <c r="AE54" s="19"/>
      <c r="AF54" s="19"/>
      <c r="AG54" s="19"/>
      <c r="AH54" s="19"/>
    </row>
    <row r="55" spans="1:34" hidden="1" outlineLevel="3" x14ac:dyDescent="0.2">
      <c r="A55" s="19"/>
      <c r="B55" s="19"/>
      <c r="C55" s="506">
        <f>Qty!C134</f>
        <v>0</v>
      </c>
      <c r="D55" s="505">
        <f>Qty!D134</f>
        <v>0</v>
      </c>
      <c r="E55" s="505">
        <f>Qty!E134</f>
        <v>0</v>
      </c>
      <c r="F55" s="505">
        <f>Qty!F134</f>
        <v>0</v>
      </c>
      <c r="G55" s="505">
        <f>Qty!G134</f>
        <v>0</v>
      </c>
      <c r="H55" s="58"/>
      <c r="I55" s="198">
        <f>Qty!M134*'Hist. prices'!I55*I$7</f>
        <v>0</v>
      </c>
      <c r="J55" s="198">
        <f>Qty!N134*'Hist. prices'!J55*J$7</f>
        <v>0</v>
      </c>
      <c r="K55" s="198">
        <f>Qty!O134*'Hist. prices'!K55*K$7</f>
        <v>0</v>
      </c>
      <c r="L55" s="198">
        <f>Qty!P134*'Hist. prices'!L55*L$7</f>
        <v>0</v>
      </c>
      <c r="M55" s="198">
        <f>Qty!Q134*'Hist. prices'!M55*M$7</f>
        <v>0</v>
      </c>
      <c r="N55" s="198">
        <f>Qty!R134*'Hist. prices'!N55*N$7</f>
        <v>0</v>
      </c>
      <c r="O55" s="198">
        <f>Qty!S134*'Hist. prices'!O55*O$7</f>
        <v>0</v>
      </c>
      <c r="P55" s="198">
        <f>Qty!T134*'Hist. prices'!P55*P$7</f>
        <v>0</v>
      </c>
      <c r="Q55" s="198">
        <f>Qty!U134*'Hist. prices'!Q55*Q$7</f>
        <v>0</v>
      </c>
      <c r="R55" s="198">
        <f>Qty!V134*'Hist. prices'!R55*R$7</f>
        <v>0</v>
      </c>
      <c r="S55" s="198">
        <f>Qty!W134*'Hist. prices'!S55*S$7</f>
        <v>0</v>
      </c>
      <c r="T55" s="198">
        <f>Qty!X134*'Hist. prices'!T55*T$7</f>
        <v>0</v>
      </c>
      <c r="U55" s="198">
        <f>Qty!Y134*'Hist. prices'!U55*U$7</f>
        <v>0</v>
      </c>
      <c r="V55" s="198">
        <f>Qty!Z134*'Hist. prices'!V55*V$7</f>
        <v>0</v>
      </c>
      <c r="W55" s="198">
        <f>Qty!AA134*'Hist. prices'!W55*W$7</f>
        <v>0</v>
      </c>
      <c r="X55" s="198">
        <f>Qty!AB134*'Hist. prices'!X55*X$7</f>
        <v>0</v>
      </c>
      <c r="Y55" s="198">
        <f>Qty!AC134*'Hist. prices'!Y55*Y$7</f>
        <v>0</v>
      </c>
      <c r="Z55" s="198">
        <f>Qty!AD134*'Hist. prices'!Z55*Z$7</f>
        <v>0</v>
      </c>
      <c r="AA55" s="198">
        <f>Qty!AE134*'Hist. prices'!AA55*AA$7</f>
        <v>0</v>
      </c>
      <c r="AB55" s="198">
        <f>Qty!AF134*'Hist. prices'!AB55*AB$7</f>
        <v>0</v>
      </c>
      <c r="AC55" s="206">
        <f t="shared" si="1"/>
        <v>0</v>
      </c>
      <c r="AD55" s="68"/>
      <c r="AE55" s="19"/>
      <c r="AF55" s="19"/>
      <c r="AG55" s="19"/>
      <c r="AH55" s="19"/>
    </row>
    <row r="56" spans="1:34" hidden="1" outlineLevel="3" x14ac:dyDescent="0.2">
      <c r="A56" s="19"/>
      <c r="B56" s="19"/>
      <c r="C56" s="506">
        <f>Qty!C135</f>
        <v>0</v>
      </c>
      <c r="D56" s="505">
        <f>Qty!D135</f>
        <v>0</v>
      </c>
      <c r="E56" s="505">
        <f>Qty!E135</f>
        <v>0</v>
      </c>
      <c r="F56" s="505">
        <f>Qty!F135</f>
        <v>0</v>
      </c>
      <c r="G56" s="505">
        <f>Qty!G135</f>
        <v>0</v>
      </c>
      <c r="H56" s="58"/>
      <c r="I56" s="198">
        <f>Qty!M135*'Hist. prices'!I56*I$7</f>
        <v>0</v>
      </c>
      <c r="J56" s="198">
        <f>Qty!N135*'Hist. prices'!J56*J$7</f>
        <v>0</v>
      </c>
      <c r="K56" s="198">
        <f>Qty!O135*'Hist. prices'!K56*K$7</f>
        <v>0</v>
      </c>
      <c r="L56" s="198">
        <f>Qty!P135*'Hist. prices'!L56*L$7</f>
        <v>0</v>
      </c>
      <c r="M56" s="198">
        <f>Qty!Q135*'Hist. prices'!M56*M$7</f>
        <v>0</v>
      </c>
      <c r="N56" s="198">
        <f>Qty!R135*'Hist. prices'!N56*N$7</f>
        <v>0</v>
      </c>
      <c r="O56" s="198">
        <f>Qty!S135*'Hist. prices'!O56*O$7</f>
        <v>0</v>
      </c>
      <c r="P56" s="198">
        <f>Qty!T135*'Hist. prices'!P56*P$7</f>
        <v>0</v>
      </c>
      <c r="Q56" s="198">
        <f>Qty!U135*'Hist. prices'!Q56*Q$7</f>
        <v>0</v>
      </c>
      <c r="R56" s="198">
        <f>Qty!V135*'Hist. prices'!R56*R$7</f>
        <v>0</v>
      </c>
      <c r="S56" s="198">
        <f>Qty!W135*'Hist. prices'!S56*S$7</f>
        <v>0</v>
      </c>
      <c r="T56" s="198">
        <f>Qty!X135*'Hist. prices'!T56*T$7</f>
        <v>0</v>
      </c>
      <c r="U56" s="198">
        <f>Qty!Y135*'Hist. prices'!U56*U$7</f>
        <v>0</v>
      </c>
      <c r="V56" s="198">
        <f>Qty!Z135*'Hist. prices'!V56*V$7</f>
        <v>0</v>
      </c>
      <c r="W56" s="198">
        <f>Qty!AA135*'Hist. prices'!W56*W$7</f>
        <v>0</v>
      </c>
      <c r="X56" s="198">
        <f>Qty!AB135*'Hist. prices'!X56*X$7</f>
        <v>0</v>
      </c>
      <c r="Y56" s="198">
        <f>Qty!AC135*'Hist. prices'!Y56*Y$7</f>
        <v>0</v>
      </c>
      <c r="Z56" s="198">
        <f>Qty!AD135*'Hist. prices'!Z56*Z$7</f>
        <v>0</v>
      </c>
      <c r="AA56" s="198">
        <f>Qty!AE135*'Hist. prices'!AA56*AA$7</f>
        <v>0</v>
      </c>
      <c r="AB56" s="198">
        <f>Qty!AF135*'Hist. prices'!AB56*AB$7</f>
        <v>0</v>
      </c>
      <c r="AC56" s="206">
        <f t="shared" si="1"/>
        <v>0</v>
      </c>
      <c r="AD56" s="68"/>
      <c r="AE56" s="19"/>
      <c r="AF56" s="19"/>
      <c r="AG56" s="19"/>
      <c r="AH56" s="19"/>
    </row>
    <row r="57" spans="1:34" hidden="1" outlineLevel="3" x14ac:dyDescent="0.2">
      <c r="A57" s="19"/>
      <c r="B57" s="19"/>
      <c r="C57" s="506">
        <f>Qty!C136</f>
        <v>0</v>
      </c>
      <c r="D57" s="505">
        <f>Qty!D136</f>
        <v>0</v>
      </c>
      <c r="E57" s="505">
        <f>Qty!E136</f>
        <v>0</v>
      </c>
      <c r="F57" s="505">
        <f>Qty!F136</f>
        <v>0</v>
      </c>
      <c r="G57" s="505">
        <f>Qty!G136</f>
        <v>0</v>
      </c>
      <c r="H57" s="58"/>
      <c r="I57" s="198">
        <f>Qty!M136*'Hist. prices'!I57*I$7</f>
        <v>0</v>
      </c>
      <c r="J57" s="198">
        <f>Qty!N136*'Hist. prices'!J57*J$7</f>
        <v>0</v>
      </c>
      <c r="K57" s="198">
        <f>Qty!O136*'Hist. prices'!K57*K$7</f>
        <v>0</v>
      </c>
      <c r="L57" s="198">
        <f>Qty!P136*'Hist. prices'!L57*L$7</f>
        <v>0</v>
      </c>
      <c r="M57" s="198">
        <f>Qty!Q136*'Hist. prices'!M57*M$7</f>
        <v>0</v>
      </c>
      <c r="N57" s="198">
        <f>Qty!R136*'Hist. prices'!N57*N$7</f>
        <v>0</v>
      </c>
      <c r="O57" s="198">
        <f>Qty!S136*'Hist. prices'!O57*O$7</f>
        <v>0</v>
      </c>
      <c r="P57" s="198">
        <f>Qty!T136*'Hist. prices'!P57*P$7</f>
        <v>0</v>
      </c>
      <c r="Q57" s="198">
        <f>Qty!U136*'Hist. prices'!Q57*Q$7</f>
        <v>0</v>
      </c>
      <c r="R57" s="198">
        <f>Qty!V136*'Hist. prices'!R57*R$7</f>
        <v>0</v>
      </c>
      <c r="S57" s="198">
        <f>Qty!W136*'Hist. prices'!S57*S$7</f>
        <v>0</v>
      </c>
      <c r="T57" s="198">
        <f>Qty!X136*'Hist. prices'!T57*T$7</f>
        <v>0</v>
      </c>
      <c r="U57" s="198">
        <f>Qty!Y136*'Hist. prices'!U57*U$7</f>
        <v>0</v>
      </c>
      <c r="V57" s="198">
        <f>Qty!Z136*'Hist. prices'!V57*V$7</f>
        <v>0</v>
      </c>
      <c r="W57" s="198">
        <f>Qty!AA136*'Hist. prices'!W57*W$7</f>
        <v>0</v>
      </c>
      <c r="X57" s="198">
        <f>Qty!AB136*'Hist. prices'!X57*X$7</f>
        <v>0</v>
      </c>
      <c r="Y57" s="198">
        <f>Qty!AC136*'Hist. prices'!Y57*Y$7</f>
        <v>0</v>
      </c>
      <c r="Z57" s="198">
        <f>Qty!AD136*'Hist. prices'!Z57*Z$7</f>
        <v>0</v>
      </c>
      <c r="AA57" s="198">
        <f>Qty!AE136*'Hist. prices'!AA57*AA$7</f>
        <v>0</v>
      </c>
      <c r="AB57" s="198">
        <f>Qty!AF136*'Hist. prices'!AB57*AB$7</f>
        <v>0</v>
      </c>
      <c r="AC57" s="206">
        <f t="shared" si="1"/>
        <v>0</v>
      </c>
      <c r="AD57" s="68"/>
      <c r="AE57" s="19"/>
      <c r="AF57" s="19"/>
      <c r="AG57" s="19"/>
      <c r="AH57" s="19"/>
    </row>
    <row r="58" spans="1:34" hidden="1" outlineLevel="3" x14ac:dyDescent="0.2">
      <c r="A58" s="19"/>
      <c r="B58" s="19"/>
      <c r="C58" s="506">
        <f>Qty!C137</f>
        <v>0</v>
      </c>
      <c r="D58" s="505">
        <f>Qty!D137</f>
        <v>0</v>
      </c>
      <c r="E58" s="505">
        <f>Qty!E137</f>
        <v>0</v>
      </c>
      <c r="F58" s="505">
        <f>Qty!F137</f>
        <v>0</v>
      </c>
      <c r="G58" s="505">
        <f>Qty!G137</f>
        <v>0</v>
      </c>
      <c r="H58" s="58"/>
      <c r="I58" s="198">
        <f>Qty!M137*'Hist. prices'!I58*I$7</f>
        <v>0</v>
      </c>
      <c r="J58" s="198">
        <f>Qty!N137*'Hist. prices'!J58*J$7</f>
        <v>0</v>
      </c>
      <c r="K58" s="198">
        <f>Qty!O137*'Hist. prices'!K58*K$7</f>
        <v>0</v>
      </c>
      <c r="L58" s="198">
        <f>Qty!P137*'Hist. prices'!L58*L$7</f>
        <v>0</v>
      </c>
      <c r="M58" s="198">
        <f>Qty!Q137*'Hist. prices'!M58*M$7</f>
        <v>0</v>
      </c>
      <c r="N58" s="198">
        <f>Qty!R137*'Hist. prices'!N58*N$7</f>
        <v>0</v>
      </c>
      <c r="O58" s="198">
        <f>Qty!S137*'Hist. prices'!O58*O$7</f>
        <v>0</v>
      </c>
      <c r="P58" s="198">
        <f>Qty!T137*'Hist. prices'!P58*P$7</f>
        <v>0</v>
      </c>
      <c r="Q58" s="198">
        <f>Qty!U137*'Hist. prices'!Q58*Q$7</f>
        <v>0</v>
      </c>
      <c r="R58" s="198">
        <f>Qty!V137*'Hist. prices'!R58*R$7</f>
        <v>0</v>
      </c>
      <c r="S58" s="198">
        <f>Qty!W137*'Hist. prices'!S58*S$7</f>
        <v>0</v>
      </c>
      <c r="T58" s="198">
        <f>Qty!X137*'Hist. prices'!T58*T$7</f>
        <v>0</v>
      </c>
      <c r="U58" s="198">
        <f>Qty!Y137*'Hist. prices'!U58*U$7</f>
        <v>0</v>
      </c>
      <c r="V58" s="198">
        <f>Qty!Z137*'Hist. prices'!V58*V$7</f>
        <v>0</v>
      </c>
      <c r="W58" s="198">
        <f>Qty!AA137*'Hist. prices'!W58*W$7</f>
        <v>0</v>
      </c>
      <c r="X58" s="198">
        <f>Qty!AB137*'Hist. prices'!X58*X$7</f>
        <v>0</v>
      </c>
      <c r="Y58" s="198">
        <f>Qty!AC137*'Hist. prices'!Y58*Y$7</f>
        <v>0</v>
      </c>
      <c r="Z58" s="198">
        <f>Qty!AD137*'Hist. prices'!Z58*Z$7</f>
        <v>0</v>
      </c>
      <c r="AA58" s="198">
        <f>Qty!AE137*'Hist. prices'!AA58*AA$7</f>
        <v>0</v>
      </c>
      <c r="AB58" s="198">
        <f>Qty!AF137*'Hist. prices'!AB58*AB$7</f>
        <v>0</v>
      </c>
      <c r="AC58" s="206">
        <f t="shared" si="1"/>
        <v>0</v>
      </c>
      <c r="AD58" s="68"/>
      <c r="AE58" s="19"/>
      <c r="AF58" s="19"/>
      <c r="AG58" s="19"/>
      <c r="AH58" s="19"/>
    </row>
    <row r="59" spans="1:34" hidden="1" outlineLevel="3" x14ac:dyDescent="0.2">
      <c r="A59" s="19"/>
      <c r="B59" s="19"/>
      <c r="C59" s="506">
        <f>Qty!C138</f>
        <v>0</v>
      </c>
      <c r="D59" s="505">
        <f>Qty!D138</f>
        <v>0</v>
      </c>
      <c r="E59" s="505">
        <f>Qty!E138</f>
        <v>0</v>
      </c>
      <c r="F59" s="505">
        <f>Qty!F138</f>
        <v>0</v>
      </c>
      <c r="G59" s="505">
        <f>Qty!G138</f>
        <v>0</v>
      </c>
      <c r="H59" s="58"/>
      <c r="I59" s="198">
        <f>Qty!M138*'Hist. prices'!I59*I$7</f>
        <v>0</v>
      </c>
      <c r="J59" s="198">
        <f>Qty!N138*'Hist. prices'!J59*J$7</f>
        <v>0</v>
      </c>
      <c r="K59" s="198">
        <f>Qty!O138*'Hist. prices'!K59*K$7</f>
        <v>0</v>
      </c>
      <c r="L59" s="198">
        <f>Qty!P138*'Hist. prices'!L59*L$7</f>
        <v>0</v>
      </c>
      <c r="M59" s="198">
        <f>Qty!Q138*'Hist. prices'!M59*M$7</f>
        <v>0</v>
      </c>
      <c r="N59" s="198">
        <f>Qty!R138*'Hist. prices'!N59*N$7</f>
        <v>0</v>
      </c>
      <c r="O59" s="198">
        <f>Qty!S138*'Hist. prices'!O59*O$7</f>
        <v>0</v>
      </c>
      <c r="P59" s="198">
        <f>Qty!T138*'Hist. prices'!P59*P$7</f>
        <v>0</v>
      </c>
      <c r="Q59" s="198">
        <f>Qty!U138*'Hist. prices'!Q59*Q$7</f>
        <v>0</v>
      </c>
      <c r="R59" s="198">
        <f>Qty!V138*'Hist. prices'!R59*R$7</f>
        <v>0</v>
      </c>
      <c r="S59" s="198">
        <f>Qty!W138*'Hist. prices'!S59*S$7</f>
        <v>0</v>
      </c>
      <c r="T59" s="198">
        <f>Qty!X138*'Hist. prices'!T59*T$7</f>
        <v>0</v>
      </c>
      <c r="U59" s="198">
        <f>Qty!Y138*'Hist. prices'!U59*U$7</f>
        <v>0</v>
      </c>
      <c r="V59" s="198">
        <f>Qty!Z138*'Hist. prices'!V59*V$7</f>
        <v>0</v>
      </c>
      <c r="W59" s="198">
        <f>Qty!AA138*'Hist. prices'!W59*W$7</f>
        <v>0</v>
      </c>
      <c r="X59" s="198">
        <f>Qty!AB138*'Hist. prices'!X59*X$7</f>
        <v>0</v>
      </c>
      <c r="Y59" s="198">
        <f>Qty!AC138*'Hist. prices'!Y59*Y$7</f>
        <v>0</v>
      </c>
      <c r="Z59" s="198">
        <f>Qty!AD138*'Hist. prices'!Z59*Z$7</f>
        <v>0</v>
      </c>
      <c r="AA59" s="198">
        <f>Qty!AE138*'Hist. prices'!AA59*AA$7</f>
        <v>0</v>
      </c>
      <c r="AB59" s="198">
        <f>Qty!AF138*'Hist. prices'!AB59*AB$7</f>
        <v>0</v>
      </c>
      <c r="AC59" s="206">
        <f t="shared" si="1"/>
        <v>0</v>
      </c>
      <c r="AD59" s="68"/>
      <c r="AE59" s="19"/>
      <c r="AF59" s="19"/>
      <c r="AG59" s="19"/>
      <c r="AH59" s="19"/>
    </row>
    <row r="60" spans="1:34" hidden="1" outlineLevel="3" x14ac:dyDescent="0.2">
      <c r="A60" s="19"/>
      <c r="B60" s="19"/>
      <c r="C60" s="506">
        <f>Qty!C139</f>
        <v>0</v>
      </c>
      <c r="D60" s="505">
        <f>Qty!D139</f>
        <v>0</v>
      </c>
      <c r="E60" s="505">
        <f>Qty!E139</f>
        <v>0</v>
      </c>
      <c r="F60" s="505">
        <f>Qty!F139</f>
        <v>0</v>
      </c>
      <c r="G60" s="505">
        <f>Qty!G139</f>
        <v>0</v>
      </c>
      <c r="H60" s="58"/>
      <c r="I60" s="198">
        <f>Qty!M139*'Hist. prices'!I60*I$7</f>
        <v>0</v>
      </c>
      <c r="J60" s="198">
        <f>Qty!N139*'Hist. prices'!J60*J$7</f>
        <v>0</v>
      </c>
      <c r="K60" s="198">
        <f>Qty!O139*'Hist. prices'!K60*K$7</f>
        <v>0</v>
      </c>
      <c r="L60" s="198">
        <f>Qty!P139*'Hist. prices'!L60*L$7</f>
        <v>0</v>
      </c>
      <c r="M60" s="198">
        <f>Qty!Q139*'Hist. prices'!M60*M$7</f>
        <v>0</v>
      </c>
      <c r="N60" s="198">
        <f>Qty!R139*'Hist. prices'!N60*N$7</f>
        <v>0</v>
      </c>
      <c r="O60" s="198">
        <f>Qty!S139*'Hist. prices'!O60*O$7</f>
        <v>0</v>
      </c>
      <c r="P60" s="198">
        <f>Qty!T139*'Hist. prices'!P60*P$7</f>
        <v>0</v>
      </c>
      <c r="Q60" s="198">
        <f>Qty!U139*'Hist. prices'!Q60*Q$7</f>
        <v>0</v>
      </c>
      <c r="R60" s="198">
        <f>Qty!V139*'Hist. prices'!R60*R$7</f>
        <v>0</v>
      </c>
      <c r="S60" s="198">
        <f>Qty!W139*'Hist. prices'!S60*S$7</f>
        <v>0</v>
      </c>
      <c r="T60" s="198">
        <f>Qty!X139*'Hist. prices'!T60*T$7</f>
        <v>0</v>
      </c>
      <c r="U60" s="198">
        <f>Qty!Y139*'Hist. prices'!U60*U$7</f>
        <v>0</v>
      </c>
      <c r="V60" s="198">
        <f>Qty!Z139*'Hist. prices'!V60*V$7</f>
        <v>0</v>
      </c>
      <c r="W60" s="198">
        <f>Qty!AA139*'Hist. prices'!W60*W$7</f>
        <v>0</v>
      </c>
      <c r="X60" s="198">
        <f>Qty!AB139*'Hist. prices'!X60*X$7</f>
        <v>0</v>
      </c>
      <c r="Y60" s="198">
        <f>Qty!AC139*'Hist. prices'!Y60*Y$7</f>
        <v>0</v>
      </c>
      <c r="Z60" s="198">
        <f>Qty!AD139*'Hist. prices'!Z60*Z$7</f>
        <v>0</v>
      </c>
      <c r="AA60" s="198">
        <f>Qty!AE139*'Hist. prices'!AA60*AA$7</f>
        <v>0</v>
      </c>
      <c r="AB60" s="198">
        <f>Qty!AF139*'Hist. prices'!AB60*AB$7</f>
        <v>0</v>
      </c>
      <c r="AC60" s="206">
        <f t="shared" si="1"/>
        <v>0</v>
      </c>
      <c r="AD60" s="68"/>
      <c r="AE60" s="19"/>
      <c r="AF60" s="19"/>
      <c r="AG60" s="19"/>
      <c r="AH60" s="19"/>
    </row>
    <row r="61" spans="1:34" hidden="1" outlineLevel="3" x14ac:dyDescent="0.2">
      <c r="A61" s="19"/>
      <c r="B61" s="19"/>
      <c r="C61" s="506">
        <f>Qty!C140</f>
        <v>0</v>
      </c>
      <c r="D61" s="505">
        <f>Qty!D140</f>
        <v>0</v>
      </c>
      <c r="E61" s="505">
        <f>Qty!E140</f>
        <v>0</v>
      </c>
      <c r="F61" s="505">
        <f>Qty!F140</f>
        <v>0</v>
      </c>
      <c r="G61" s="505">
        <f>Qty!G140</f>
        <v>0</v>
      </c>
      <c r="H61" s="58"/>
      <c r="I61" s="198">
        <f>Qty!M140*'Hist. prices'!I61*I$7</f>
        <v>0</v>
      </c>
      <c r="J61" s="198">
        <f>Qty!N140*'Hist. prices'!J61*J$7</f>
        <v>0</v>
      </c>
      <c r="K61" s="198">
        <f>Qty!O140*'Hist. prices'!K61*K$7</f>
        <v>0</v>
      </c>
      <c r="L61" s="198">
        <f>Qty!P140*'Hist. prices'!L61*L$7</f>
        <v>0</v>
      </c>
      <c r="M61" s="198">
        <f>Qty!Q140*'Hist. prices'!M61*M$7</f>
        <v>0</v>
      </c>
      <c r="N61" s="198">
        <f>Qty!R140*'Hist. prices'!N61*N$7</f>
        <v>0</v>
      </c>
      <c r="O61" s="198">
        <f>Qty!S140*'Hist. prices'!O61*O$7</f>
        <v>0</v>
      </c>
      <c r="P61" s="198">
        <f>Qty!T140*'Hist. prices'!P61*P$7</f>
        <v>0</v>
      </c>
      <c r="Q61" s="198">
        <f>Qty!U140*'Hist. prices'!Q61*Q$7</f>
        <v>0</v>
      </c>
      <c r="R61" s="198">
        <f>Qty!V140*'Hist. prices'!R61*R$7</f>
        <v>0</v>
      </c>
      <c r="S61" s="198">
        <f>Qty!W140*'Hist. prices'!S61*S$7</f>
        <v>0</v>
      </c>
      <c r="T61" s="198">
        <f>Qty!X140*'Hist. prices'!T61*T$7</f>
        <v>0</v>
      </c>
      <c r="U61" s="198">
        <f>Qty!Y140*'Hist. prices'!U61*U$7</f>
        <v>0</v>
      </c>
      <c r="V61" s="198">
        <f>Qty!Z140*'Hist. prices'!V61*V$7</f>
        <v>0</v>
      </c>
      <c r="W61" s="198">
        <f>Qty!AA140*'Hist. prices'!W61*W$7</f>
        <v>0</v>
      </c>
      <c r="X61" s="198">
        <f>Qty!AB140*'Hist. prices'!X61*X$7</f>
        <v>0</v>
      </c>
      <c r="Y61" s="198">
        <f>Qty!AC140*'Hist. prices'!Y61*Y$7</f>
        <v>0</v>
      </c>
      <c r="Z61" s="198">
        <f>Qty!AD140*'Hist. prices'!Z61*Z$7</f>
        <v>0</v>
      </c>
      <c r="AA61" s="198">
        <f>Qty!AE140*'Hist. prices'!AA61*AA$7</f>
        <v>0</v>
      </c>
      <c r="AB61" s="198">
        <f>Qty!AF140*'Hist. prices'!AB61*AB$7</f>
        <v>0</v>
      </c>
      <c r="AC61" s="206">
        <f t="shared" si="1"/>
        <v>0</v>
      </c>
      <c r="AD61" s="68"/>
      <c r="AE61" s="19"/>
      <c r="AF61" s="19"/>
      <c r="AG61" s="19"/>
      <c r="AH61" s="19"/>
    </row>
    <row r="62" spans="1:34" hidden="1" outlineLevel="3" x14ac:dyDescent="0.2">
      <c r="A62" s="19"/>
      <c r="B62" s="19"/>
      <c r="C62" s="506">
        <f>Qty!C141</f>
        <v>0</v>
      </c>
      <c r="D62" s="505">
        <f>Qty!D141</f>
        <v>0</v>
      </c>
      <c r="E62" s="505">
        <f>Qty!E141</f>
        <v>0</v>
      </c>
      <c r="F62" s="505">
        <f>Qty!F141</f>
        <v>0</v>
      </c>
      <c r="G62" s="505">
        <f>Qty!G141</f>
        <v>0</v>
      </c>
      <c r="H62" s="58"/>
      <c r="I62" s="198">
        <f>Qty!M141*'Hist. prices'!I62*I$7</f>
        <v>0</v>
      </c>
      <c r="J62" s="198">
        <f>Qty!N141*'Hist. prices'!J62*J$7</f>
        <v>0</v>
      </c>
      <c r="K62" s="198">
        <f>Qty!O141*'Hist. prices'!K62*K$7</f>
        <v>0</v>
      </c>
      <c r="L62" s="198">
        <f>Qty!P141*'Hist. prices'!L62*L$7</f>
        <v>0</v>
      </c>
      <c r="M62" s="198">
        <f>Qty!Q141*'Hist. prices'!M62*M$7</f>
        <v>0</v>
      </c>
      <c r="N62" s="198">
        <f>Qty!R141*'Hist. prices'!N62*N$7</f>
        <v>0</v>
      </c>
      <c r="O62" s="198">
        <f>Qty!S141*'Hist. prices'!O62*O$7</f>
        <v>0</v>
      </c>
      <c r="P62" s="198">
        <f>Qty!T141*'Hist. prices'!P62*P$7</f>
        <v>0</v>
      </c>
      <c r="Q62" s="198">
        <f>Qty!U141*'Hist. prices'!Q62*Q$7</f>
        <v>0</v>
      </c>
      <c r="R62" s="198">
        <f>Qty!V141*'Hist. prices'!R62*R$7</f>
        <v>0</v>
      </c>
      <c r="S62" s="198">
        <f>Qty!W141*'Hist. prices'!S62*S$7</f>
        <v>0</v>
      </c>
      <c r="T62" s="198">
        <f>Qty!X141*'Hist. prices'!T62*T$7</f>
        <v>0</v>
      </c>
      <c r="U62" s="198">
        <f>Qty!Y141*'Hist. prices'!U62*U$7</f>
        <v>0</v>
      </c>
      <c r="V62" s="198">
        <f>Qty!Z141*'Hist. prices'!V62*V$7</f>
        <v>0</v>
      </c>
      <c r="W62" s="198">
        <f>Qty!AA141*'Hist. prices'!W62*W$7</f>
        <v>0</v>
      </c>
      <c r="X62" s="198">
        <f>Qty!AB141*'Hist. prices'!X62*X$7</f>
        <v>0</v>
      </c>
      <c r="Y62" s="198">
        <f>Qty!AC141*'Hist. prices'!Y62*Y$7</f>
        <v>0</v>
      </c>
      <c r="Z62" s="198">
        <f>Qty!AD141*'Hist. prices'!Z62*Z$7</f>
        <v>0</v>
      </c>
      <c r="AA62" s="198">
        <f>Qty!AE141*'Hist. prices'!AA62*AA$7</f>
        <v>0</v>
      </c>
      <c r="AB62" s="198">
        <f>Qty!AF141*'Hist. prices'!AB62*AB$7</f>
        <v>0</v>
      </c>
      <c r="AC62" s="206">
        <f t="shared" si="1"/>
        <v>0</v>
      </c>
      <c r="AD62" s="68"/>
      <c r="AE62" s="19"/>
      <c r="AF62" s="19"/>
      <c r="AG62" s="19"/>
      <c r="AH62" s="19"/>
    </row>
    <row r="63" spans="1:34" hidden="1" outlineLevel="3" x14ac:dyDescent="0.2">
      <c r="A63" s="19"/>
      <c r="B63" s="19"/>
      <c r="C63" s="506">
        <f>Qty!C142</f>
        <v>0</v>
      </c>
      <c r="D63" s="505">
        <f>Qty!D142</f>
        <v>0</v>
      </c>
      <c r="E63" s="505">
        <f>Qty!E142</f>
        <v>0</v>
      </c>
      <c r="F63" s="505">
        <f>Qty!F142</f>
        <v>0</v>
      </c>
      <c r="G63" s="505">
        <f>Qty!G142</f>
        <v>0</v>
      </c>
      <c r="H63" s="58"/>
      <c r="I63" s="198">
        <f>Qty!M142*'Hist. prices'!I63*I$7</f>
        <v>0</v>
      </c>
      <c r="J63" s="198">
        <f>Qty!N142*'Hist. prices'!J63*J$7</f>
        <v>0</v>
      </c>
      <c r="K63" s="198">
        <f>Qty!O142*'Hist. prices'!K63*K$7</f>
        <v>0</v>
      </c>
      <c r="L63" s="198">
        <f>Qty!P142*'Hist. prices'!L63*L$7</f>
        <v>0</v>
      </c>
      <c r="M63" s="198">
        <f>Qty!Q142*'Hist. prices'!M63*M$7</f>
        <v>0</v>
      </c>
      <c r="N63" s="198">
        <f>Qty!R142*'Hist. prices'!N63*N$7</f>
        <v>0</v>
      </c>
      <c r="O63" s="198">
        <f>Qty!S142*'Hist. prices'!O63*O$7</f>
        <v>0</v>
      </c>
      <c r="P63" s="198">
        <f>Qty!T142*'Hist. prices'!P63*P$7</f>
        <v>0</v>
      </c>
      <c r="Q63" s="198">
        <f>Qty!U142*'Hist. prices'!Q63*Q$7</f>
        <v>0</v>
      </c>
      <c r="R63" s="198">
        <f>Qty!V142*'Hist. prices'!R63*R$7</f>
        <v>0</v>
      </c>
      <c r="S63" s="198">
        <f>Qty!W142*'Hist. prices'!S63*S$7</f>
        <v>0</v>
      </c>
      <c r="T63" s="198">
        <f>Qty!X142*'Hist. prices'!T63*T$7</f>
        <v>0</v>
      </c>
      <c r="U63" s="198">
        <f>Qty!Y142*'Hist. prices'!U63*U$7</f>
        <v>0</v>
      </c>
      <c r="V63" s="198">
        <f>Qty!Z142*'Hist. prices'!V63*V$7</f>
        <v>0</v>
      </c>
      <c r="W63" s="198">
        <f>Qty!AA142*'Hist. prices'!W63*W$7</f>
        <v>0</v>
      </c>
      <c r="X63" s="198">
        <f>Qty!AB142*'Hist. prices'!X63*X$7</f>
        <v>0</v>
      </c>
      <c r="Y63" s="198">
        <f>Qty!AC142*'Hist. prices'!Y63*Y$7</f>
        <v>0</v>
      </c>
      <c r="Z63" s="198">
        <f>Qty!AD142*'Hist. prices'!Z63*Z$7</f>
        <v>0</v>
      </c>
      <c r="AA63" s="198">
        <f>Qty!AE142*'Hist. prices'!AA63*AA$7</f>
        <v>0</v>
      </c>
      <c r="AB63" s="198">
        <f>Qty!AF142*'Hist. prices'!AB63*AB$7</f>
        <v>0</v>
      </c>
      <c r="AC63" s="206">
        <f t="shared" si="1"/>
        <v>0</v>
      </c>
      <c r="AD63" s="68"/>
      <c r="AE63" s="19"/>
      <c r="AF63" s="19"/>
      <c r="AG63" s="19"/>
      <c r="AH63" s="19"/>
    </row>
    <row r="64" spans="1:34" hidden="1" outlineLevel="3" x14ac:dyDescent="0.2">
      <c r="A64" s="19"/>
      <c r="B64" s="19"/>
      <c r="C64" s="506">
        <f>Qty!C143</f>
        <v>0</v>
      </c>
      <c r="D64" s="505">
        <f>Qty!D143</f>
        <v>0</v>
      </c>
      <c r="E64" s="505">
        <f>Qty!E143</f>
        <v>0</v>
      </c>
      <c r="F64" s="505">
        <f>Qty!F143</f>
        <v>0</v>
      </c>
      <c r="G64" s="505">
        <f>Qty!G143</f>
        <v>0</v>
      </c>
      <c r="H64" s="58"/>
      <c r="I64" s="198">
        <f>Qty!M143*'Hist. prices'!I64*I$7</f>
        <v>0</v>
      </c>
      <c r="J64" s="198">
        <f>Qty!N143*'Hist. prices'!J64*J$7</f>
        <v>0</v>
      </c>
      <c r="K64" s="198">
        <f>Qty!O143*'Hist. prices'!K64*K$7</f>
        <v>0</v>
      </c>
      <c r="L64" s="198">
        <f>Qty!P143*'Hist. prices'!L64*L$7</f>
        <v>0</v>
      </c>
      <c r="M64" s="198">
        <f>Qty!Q143*'Hist. prices'!M64*M$7</f>
        <v>0</v>
      </c>
      <c r="N64" s="198">
        <f>Qty!R143*'Hist. prices'!N64*N$7</f>
        <v>0</v>
      </c>
      <c r="O64" s="198">
        <f>Qty!S143*'Hist. prices'!O64*O$7</f>
        <v>0</v>
      </c>
      <c r="P64" s="198">
        <f>Qty!T143*'Hist. prices'!P64*P$7</f>
        <v>0</v>
      </c>
      <c r="Q64" s="198">
        <f>Qty!U143*'Hist. prices'!Q64*Q$7</f>
        <v>0</v>
      </c>
      <c r="R64" s="198">
        <f>Qty!V143*'Hist. prices'!R64*R$7</f>
        <v>0</v>
      </c>
      <c r="S64" s="198">
        <f>Qty!W143*'Hist. prices'!S64*S$7</f>
        <v>0</v>
      </c>
      <c r="T64" s="198">
        <f>Qty!X143*'Hist. prices'!T64*T$7</f>
        <v>0</v>
      </c>
      <c r="U64" s="198">
        <f>Qty!Y143*'Hist. prices'!U64*U$7</f>
        <v>0</v>
      </c>
      <c r="V64" s="198">
        <f>Qty!Z143*'Hist. prices'!V64*V$7</f>
        <v>0</v>
      </c>
      <c r="W64" s="198">
        <f>Qty!AA143*'Hist. prices'!W64*W$7</f>
        <v>0</v>
      </c>
      <c r="X64" s="198">
        <f>Qty!AB143*'Hist. prices'!X64*X$7</f>
        <v>0</v>
      </c>
      <c r="Y64" s="198">
        <f>Qty!AC143*'Hist. prices'!Y64*Y$7</f>
        <v>0</v>
      </c>
      <c r="Z64" s="198">
        <f>Qty!AD143*'Hist. prices'!Z64*Z$7</f>
        <v>0</v>
      </c>
      <c r="AA64" s="198">
        <f>Qty!AE143*'Hist. prices'!AA64*AA$7</f>
        <v>0</v>
      </c>
      <c r="AB64" s="198">
        <f>Qty!AF143*'Hist. prices'!AB64*AB$7</f>
        <v>0</v>
      </c>
      <c r="AC64" s="206">
        <f t="shared" si="1"/>
        <v>0</v>
      </c>
      <c r="AD64" s="68"/>
      <c r="AE64" s="19"/>
      <c r="AF64" s="19"/>
      <c r="AG64" s="19"/>
      <c r="AH64" s="19"/>
    </row>
    <row r="65" spans="1:34" hidden="1" outlineLevel="3" x14ac:dyDescent="0.2">
      <c r="A65" s="19"/>
      <c r="B65" s="19"/>
      <c r="C65" s="506">
        <f>Qty!C144</f>
        <v>0</v>
      </c>
      <c r="D65" s="505">
        <f>Qty!D144</f>
        <v>0</v>
      </c>
      <c r="E65" s="505">
        <f>Qty!E144</f>
        <v>0</v>
      </c>
      <c r="F65" s="505">
        <f>Qty!F144</f>
        <v>0</v>
      </c>
      <c r="G65" s="505">
        <f>Qty!G144</f>
        <v>0</v>
      </c>
      <c r="H65" s="58"/>
      <c r="I65" s="198">
        <f>Qty!M144*'Hist. prices'!I65*I$7</f>
        <v>0</v>
      </c>
      <c r="J65" s="198">
        <f>Qty!N144*'Hist. prices'!J65*J$7</f>
        <v>0</v>
      </c>
      <c r="K65" s="198">
        <f>Qty!O144*'Hist. prices'!K65*K$7</f>
        <v>0</v>
      </c>
      <c r="L65" s="198">
        <f>Qty!P144*'Hist. prices'!L65*L$7</f>
        <v>0</v>
      </c>
      <c r="M65" s="198">
        <f>Qty!Q144*'Hist. prices'!M65*M$7</f>
        <v>0</v>
      </c>
      <c r="N65" s="198">
        <f>Qty!R144*'Hist. prices'!N65*N$7</f>
        <v>0</v>
      </c>
      <c r="O65" s="198">
        <f>Qty!S144*'Hist. prices'!O65*O$7</f>
        <v>0</v>
      </c>
      <c r="P65" s="198">
        <f>Qty!T144*'Hist. prices'!P65*P$7</f>
        <v>0</v>
      </c>
      <c r="Q65" s="198">
        <f>Qty!U144*'Hist. prices'!Q65*Q$7</f>
        <v>0</v>
      </c>
      <c r="R65" s="198">
        <f>Qty!V144*'Hist. prices'!R65*R$7</f>
        <v>0</v>
      </c>
      <c r="S65" s="198">
        <f>Qty!W144*'Hist. prices'!S65*S$7</f>
        <v>0</v>
      </c>
      <c r="T65" s="198">
        <f>Qty!X144*'Hist. prices'!T65*T$7</f>
        <v>0</v>
      </c>
      <c r="U65" s="198">
        <f>Qty!Y144*'Hist. prices'!U65*U$7</f>
        <v>0</v>
      </c>
      <c r="V65" s="198">
        <f>Qty!Z144*'Hist. prices'!V65*V$7</f>
        <v>0</v>
      </c>
      <c r="W65" s="198">
        <f>Qty!AA144*'Hist. prices'!W65*W$7</f>
        <v>0</v>
      </c>
      <c r="X65" s="198">
        <f>Qty!AB144*'Hist. prices'!X65*X$7</f>
        <v>0</v>
      </c>
      <c r="Y65" s="198">
        <f>Qty!AC144*'Hist. prices'!Y65*Y$7</f>
        <v>0</v>
      </c>
      <c r="Z65" s="198">
        <f>Qty!AD144*'Hist. prices'!Z65*Z$7</f>
        <v>0</v>
      </c>
      <c r="AA65" s="198">
        <f>Qty!AE144*'Hist. prices'!AA65*AA$7</f>
        <v>0</v>
      </c>
      <c r="AB65" s="198">
        <f>Qty!AF144*'Hist. prices'!AB65*AB$7</f>
        <v>0</v>
      </c>
      <c r="AC65" s="206">
        <f t="shared" si="1"/>
        <v>0</v>
      </c>
      <c r="AD65" s="68"/>
      <c r="AE65" s="19"/>
      <c r="AF65" s="19"/>
      <c r="AG65" s="19"/>
      <c r="AH65" s="19"/>
    </row>
    <row r="66" spans="1:34" hidden="1" outlineLevel="3" x14ac:dyDescent="0.2">
      <c r="A66" s="19"/>
      <c r="B66" s="19"/>
      <c r="C66" s="506">
        <f>Qty!C145</f>
        <v>0</v>
      </c>
      <c r="D66" s="505">
        <f>Qty!D145</f>
        <v>0</v>
      </c>
      <c r="E66" s="505">
        <f>Qty!E145</f>
        <v>0</v>
      </c>
      <c r="F66" s="505">
        <f>Qty!F145</f>
        <v>0</v>
      </c>
      <c r="G66" s="505">
        <f>Qty!G145</f>
        <v>0</v>
      </c>
      <c r="H66" s="58"/>
      <c r="I66" s="198">
        <f>Qty!M145*'Hist. prices'!I66*I$7</f>
        <v>0</v>
      </c>
      <c r="J66" s="198">
        <f>Qty!N145*'Hist. prices'!J66*J$7</f>
        <v>0</v>
      </c>
      <c r="K66" s="198">
        <f>Qty!O145*'Hist. prices'!K66*K$7</f>
        <v>0</v>
      </c>
      <c r="L66" s="198">
        <f>Qty!P145*'Hist. prices'!L66*L$7</f>
        <v>0</v>
      </c>
      <c r="M66" s="198">
        <f>Qty!Q145*'Hist. prices'!M66*M$7</f>
        <v>0</v>
      </c>
      <c r="N66" s="198">
        <f>Qty!R145*'Hist. prices'!N66*N$7</f>
        <v>0</v>
      </c>
      <c r="O66" s="198">
        <f>Qty!S145*'Hist. prices'!O66*O$7</f>
        <v>0</v>
      </c>
      <c r="P66" s="198">
        <f>Qty!T145*'Hist. prices'!P66*P$7</f>
        <v>0</v>
      </c>
      <c r="Q66" s="198">
        <f>Qty!U145*'Hist. prices'!Q66*Q$7</f>
        <v>0</v>
      </c>
      <c r="R66" s="198">
        <f>Qty!V145*'Hist. prices'!R66*R$7</f>
        <v>0</v>
      </c>
      <c r="S66" s="198">
        <f>Qty!W145*'Hist. prices'!S66*S$7</f>
        <v>0</v>
      </c>
      <c r="T66" s="198">
        <f>Qty!X145*'Hist. prices'!T66*T$7</f>
        <v>0</v>
      </c>
      <c r="U66" s="198">
        <f>Qty!Y145*'Hist. prices'!U66*U$7</f>
        <v>0</v>
      </c>
      <c r="V66" s="198">
        <f>Qty!Z145*'Hist. prices'!V66*V$7</f>
        <v>0</v>
      </c>
      <c r="W66" s="198">
        <f>Qty!AA145*'Hist. prices'!W66*W$7</f>
        <v>0</v>
      </c>
      <c r="X66" s="198">
        <f>Qty!AB145*'Hist. prices'!X66*X$7</f>
        <v>0</v>
      </c>
      <c r="Y66" s="198">
        <f>Qty!AC145*'Hist. prices'!Y66*Y$7</f>
        <v>0</v>
      </c>
      <c r="Z66" s="198">
        <f>Qty!AD145*'Hist. prices'!Z66*Z$7</f>
        <v>0</v>
      </c>
      <c r="AA66" s="198">
        <f>Qty!AE145*'Hist. prices'!AA66*AA$7</f>
        <v>0</v>
      </c>
      <c r="AB66" s="198">
        <f>Qty!AF145*'Hist. prices'!AB66*AB$7</f>
        <v>0</v>
      </c>
      <c r="AC66" s="206">
        <f t="shared" si="1"/>
        <v>0</v>
      </c>
      <c r="AD66" s="68"/>
      <c r="AE66" s="19"/>
      <c r="AF66" s="19"/>
      <c r="AG66" s="19"/>
      <c r="AH66" s="19"/>
    </row>
    <row r="67" spans="1:34" hidden="1" outlineLevel="3" x14ac:dyDescent="0.2">
      <c r="A67" s="19"/>
      <c r="B67" s="19"/>
      <c r="C67" s="506">
        <f>Qty!C146</f>
        <v>0</v>
      </c>
      <c r="D67" s="505">
        <f>Qty!D146</f>
        <v>0</v>
      </c>
      <c r="E67" s="505">
        <f>Qty!E146</f>
        <v>0</v>
      </c>
      <c r="F67" s="505">
        <f>Qty!F146</f>
        <v>0</v>
      </c>
      <c r="G67" s="505">
        <f>Qty!G146</f>
        <v>0</v>
      </c>
      <c r="H67" s="58"/>
      <c r="I67" s="198">
        <f>Qty!M146*'Hist. prices'!I67*I$7</f>
        <v>0</v>
      </c>
      <c r="J67" s="198">
        <f>Qty!N146*'Hist. prices'!J67*J$7</f>
        <v>0</v>
      </c>
      <c r="K67" s="198">
        <f>Qty!O146*'Hist. prices'!K67*K$7</f>
        <v>0</v>
      </c>
      <c r="L67" s="198">
        <f>Qty!P146*'Hist. prices'!L67*L$7</f>
        <v>0</v>
      </c>
      <c r="M67" s="198">
        <f>Qty!Q146*'Hist. prices'!M67*M$7</f>
        <v>0</v>
      </c>
      <c r="N67" s="198">
        <f>Qty!R146*'Hist. prices'!N67*N$7</f>
        <v>0</v>
      </c>
      <c r="O67" s="198">
        <f>Qty!S146*'Hist. prices'!O67*O$7</f>
        <v>0</v>
      </c>
      <c r="P67" s="198">
        <f>Qty!T146*'Hist. prices'!P67*P$7</f>
        <v>0</v>
      </c>
      <c r="Q67" s="198">
        <f>Qty!U146*'Hist. prices'!Q67*Q$7</f>
        <v>0</v>
      </c>
      <c r="R67" s="198">
        <f>Qty!V146*'Hist. prices'!R67*R$7</f>
        <v>0</v>
      </c>
      <c r="S67" s="198">
        <f>Qty!W146*'Hist. prices'!S67*S$7</f>
        <v>0</v>
      </c>
      <c r="T67" s="198">
        <f>Qty!X146*'Hist. prices'!T67*T$7</f>
        <v>0</v>
      </c>
      <c r="U67" s="198">
        <f>Qty!Y146*'Hist. prices'!U67*U$7</f>
        <v>0</v>
      </c>
      <c r="V67" s="198">
        <f>Qty!Z146*'Hist. prices'!V67*V$7</f>
        <v>0</v>
      </c>
      <c r="W67" s="198">
        <f>Qty!AA146*'Hist. prices'!W67*W$7</f>
        <v>0</v>
      </c>
      <c r="X67" s="198">
        <f>Qty!AB146*'Hist. prices'!X67*X$7</f>
        <v>0</v>
      </c>
      <c r="Y67" s="198">
        <f>Qty!AC146*'Hist. prices'!Y67*Y$7</f>
        <v>0</v>
      </c>
      <c r="Z67" s="198">
        <f>Qty!AD146*'Hist. prices'!Z67*Z$7</f>
        <v>0</v>
      </c>
      <c r="AA67" s="198">
        <f>Qty!AE146*'Hist. prices'!AA67*AA$7</f>
        <v>0</v>
      </c>
      <c r="AB67" s="198">
        <f>Qty!AF146*'Hist. prices'!AB67*AB$7</f>
        <v>0</v>
      </c>
      <c r="AC67" s="206">
        <f t="shared" si="1"/>
        <v>0</v>
      </c>
      <c r="AD67" s="68"/>
      <c r="AE67" s="19"/>
      <c r="AF67" s="19"/>
      <c r="AG67" s="19"/>
      <c r="AH67" s="19"/>
    </row>
    <row r="68" spans="1:34" hidden="1" outlineLevel="3" x14ac:dyDescent="0.2">
      <c r="A68" s="19"/>
      <c r="B68" s="19"/>
      <c r="C68" s="506">
        <f>Qty!C147</f>
        <v>0</v>
      </c>
      <c r="D68" s="505">
        <f>Qty!D147</f>
        <v>0</v>
      </c>
      <c r="E68" s="505">
        <f>Qty!E147</f>
        <v>0</v>
      </c>
      <c r="F68" s="505">
        <f>Qty!F147</f>
        <v>0</v>
      </c>
      <c r="G68" s="505">
        <f>Qty!G147</f>
        <v>0</v>
      </c>
      <c r="H68" s="58"/>
      <c r="I68" s="198">
        <f>Qty!M147*'Hist. prices'!I68*I$7</f>
        <v>0</v>
      </c>
      <c r="J68" s="198">
        <f>Qty!N147*'Hist. prices'!J68*J$7</f>
        <v>0</v>
      </c>
      <c r="K68" s="198">
        <f>Qty!O147*'Hist. prices'!K68*K$7</f>
        <v>0</v>
      </c>
      <c r="L68" s="198">
        <f>Qty!P147*'Hist. prices'!L68*L$7</f>
        <v>0</v>
      </c>
      <c r="M68" s="198">
        <f>Qty!Q147*'Hist. prices'!M68*M$7</f>
        <v>0</v>
      </c>
      <c r="N68" s="198">
        <f>Qty!R147*'Hist. prices'!N68*N$7</f>
        <v>0</v>
      </c>
      <c r="O68" s="198">
        <f>Qty!S147*'Hist. prices'!O68*O$7</f>
        <v>0</v>
      </c>
      <c r="P68" s="198">
        <f>Qty!T147*'Hist. prices'!P68*P$7</f>
        <v>0</v>
      </c>
      <c r="Q68" s="198">
        <f>Qty!U147*'Hist. prices'!Q68*Q$7</f>
        <v>0</v>
      </c>
      <c r="R68" s="198">
        <f>Qty!V147*'Hist. prices'!R68*R$7</f>
        <v>0</v>
      </c>
      <c r="S68" s="198">
        <f>Qty!W147*'Hist. prices'!S68*S$7</f>
        <v>0</v>
      </c>
      <c r="T68" s="198">
        <f>Qty!X147*'Hist. prices'!T68*T$7</f>
        <v>0</v>
      </c>
      <c r="U68" s="198">
        <f>Qty!Y147*'Hist. prices'!U68*U$7</f>
        <v>0</v>
      </c>
      <c r="V68" s="198">
        <f>Qty!Z147*'Hist. prices'!V68*V$7</f>
        <v>0</v>
      </c>
      <c r="W68" s="198">
        <f>Qty!AA147*'Hist. prices'!W68*W$7</f>
        <v>0</v>
      </c>
      <c r="X68" s="198">
        <f>Qty!AB147*'Hist. prices'!X68*X$7</f>
        <v>0</v>
      </c>
      <c r="Y68" s="198">
        <f>Qty!AC147*'Hist. prices'!Y68*Y$7</f>
        <v>0</v>
      </c>
      <c r="Z68" s="198">
        <f>Qty!AD147*'Hist. prices'!Z68*Z$7</f>
        <v>0</v>
      </c>
      <c r="AA68" s="198">
        <f>Qty!AE147*'Hist. prices'!AA68*AA$7</f>
        <v>0</v>
      </c>
      <c r="AB68" s="198">
        <f>Qty!AF147*'Hist. prices'!AB68*AB$7</f>
        <v>0</v>
      </c>
      <c r="AC68" s="206">
        <f t="shared" si="1"/>
        <v>0</v>
      </c>
      <c r="AD68" s="68"/>
      <c r="AE68" s="19"/>
      <c r="AF68" s="19"/>
      <c r="AG68" s="19"/>
      <c r="AH68" s="19"/>
    </row>
    <row r="69" spans="1:34" hidden="1" outlineLevel="3" x14ac:dyDescent="0.2">
      <c r="A69" s="19"/>
      <c r="B69" s="19"/>
      <c r="C69" s="506">
        <f>Qty!C148</f>
        <v>0</v>
      </c>
      <c r="D69" s="505">
        <f>Qty!D148</f>
        <v>0</v>
      </c>
      <c r="E69" s="505">
        <f>Qty!E148</f>
        <v>0</v>
      </c>
      <c r="F69" s="505">
        <f>Qty!F148</f>
        <v>0</v>
      </c>
      <c r="G69" s="505">
        <f>Qty!G148</f>
        <v>0</v>
      </c>
      <c r="H69" s="58"/>
      <c r="I69" s="198">
        <f>Qty!M148*'Hist. prices'!I69*I$7</f>
        <v>0</v>
      </c>
      <c r="J69" s="198">
        <f>Qty!N148*'Hist. prices'!J69*J$7</f>
        <v>0</v>
      </c>
      <c r="K69" s="198">
        <f>Qty!O148*'Hist. prices'!K69*K$7</f>
        <v>0</v>
      </c>
      <c r="L69" s="198">
        <f>Qty!P148*'Hist. prices'!L69*L$7</f>
        <v>0</v>
      </c>
      <c r="M69" s="198">
        <f>Qty!Q148*'Hist. prices'!M69*M$7</f>
        <v>0</v>
      </c>
      <c r="N69" s="198">
        <f>Qty!R148*'Hist. prices'!N69*N$7</f>
        <v>0</v>
      </c>
      <c r="O69" s="198">
        <f>Qty!S148*'Hist. prices'!O69*O$7</f>
        <v>0</v>
      </c>
      <c r="P69" s="198">
        <f>Qty!T148*'Hist. prices'!P69*P$7</f>
        <v>0</v>
      </c>
      <c r="Q69" s="198">
        <f>Qty!U148*'Hist. prices'!Q69*Q$7</f>
        <v>0</v>
      </c>
      <c r="R69" s="198">
        <f>Qty!V148*'Hist. prices'!R69*R$7</f>
        <v>0</v>
      </c>
      <c r="S69" s="198">
        <f>Qty!W148*'Hist. prices'!S69*S$7</f>
        <v>0</v>
      </c>
      <c r="T69" s="198">
        <f>Qty!X148*'Hist. prices'!T69*T$7</f>
        <v>0</v>
      </c>
      <c r="U69" s="198">
        <f>Qty!Y148*'Hist. prices'!U69*U$7</f>
        <v>0</v>
      </c>
      <c r="V69" s="198">
        <f>Qty!Z148*'Hist. prices'!V69*V$7</f>
        <v>0</v>
      </c>
      <c r="W69" s="198">
        <f>Qty!AA148*'Hist. prices'!W69*W$7</f>
        <v>0</v>
      </c>
      <c r="X69" s="198">
        <f>Qty!AB148*'Hist. prices'!X69*X$7</f>
        <v>0</v>
      </c>
      <c r="Y69" s="198">
        <f>Qty!AC148*'Hist. prices'!Y69*Y$7</f>
        <v>0</v>
      </c>
      <c r="Z69" s="198">
        <f>Qty!AD148*'Hist. prices'!Z69*Z$7</f>
        <v>0</v>
      </c>
      <c r="AA69" s="198">
        <f>Qty!AE148*'Hist. prices'!AA69*AA$7</f>
        <v>0</v>
      </c>
      <c r="AB69" s="198">
        <f>Qty!AF148*'Hist. prices'!AB69*AB$7</f>
        <v>0</v>
      </c>
      <c r="AC69" s="206">
        <f t="shared" si="1"/>
        <v>0</v>
      </c>
      <c r="AD69" s="68"/>
      <c r="AE69" s="19"/>
      <c r="AF69" s="19"/>
      <c r="AG69" s="19"/>
      <c r="AH69" s="19"/>
    </row>
    <row r="70" spans="1:34" hidden="1" outlineLevel="3" x14ac:dyDescent="0.2">
      <c r="A70" s="19"/>
      <c r="B70" s="19"/>
      <c r="C70" s="506">
        <f>Qty!C149</f>
        <v>0</v>
      </c>
      <c r="D70" s="505">
        <f>Qty!D149</f>
        <v>0</v>
      </c>
      <c r="E70" s="505">
        <f>Qty!E149</f>
        <v>0</v>
      </c>
      <c r="F70" s="505">
        <f>Qty!F149</f>
        <v>0</v>
      </c>
      <c r="G70" s="505">
        <f>Qty!G149</f>
        <v>0</v>
      </c>
      <c r="H70" s="58"/>
      <c r="I70" s="198">
        <f>Qty!M149*'Hist. prices'!I70*I$7</f>
        <v>0</v>
      </c>
      <c r="J70" s="198">
        <f>Qty!N149*'Hist. prices'!J70*J$7</f>
        <v>0</v>
      </c>
      <c r="K70" s="198">
        <f>Qty!O149*'Hist. prices'!K70*K$7</f>
        <v>0</v>
      </c>
      <c r="L70" s="198">
        <f>Qty!P149*'Hist. prices'!L70*L$7</f>
        <v>0</v>
      </c>
      <c r="M70" s="198">
        <f>Qty!Q149*'Hist. prices'!M70*M$7</f>
        <v>0</v>
      </c>
      <c r="N70" s="198">
        <f>Qty!R149*'Hist. prices'!N70*N$7</f>
        <v>0</v>
      </c>
      <c r="O70" s="198">
        <f>Qty!S149*'Hist. prices'!O70*O$7</f>
        <v>0</v>
      </c>
      <c r="P70" s="198">
        <f>Qty!T149*'Hist. prices'!P70*P$7</f>
        <v>0</v>
      </c>
      <c r="Q70" s="198">
        <f>Qty!U149*'Hist. prices'!Q70*Q$7</f>
        <v>0</v>
      </c>
      <c r="R70" s="198">
        <f>Qty!V149*'Hist. prices'!R70*R$7</f>
        <v>0</v>
      </c>
      <c r="S70" s="198">
        <f>Qty!W149*'Hist. prices'!S70*S$7</f>
        <v>0</v>
      </c>
      <c r="T70" s="198">
        <f>Qty!X149*'Hist. prices'!T70*T$7</f>
        <v>0</v>
      </c>
      <c r="U70" s="198">
        <f>Qty!Y149*'Hist. prices'!U70*U$7</f>
        <v>0</v>
      </c>
      <c r="V70" s="198">
        <f>Qty!Z149*'Hist. prices'!V70*V$7</f>
        <v>0</v>
      </c>
      <c r="W70" s="198">
        <f>Qty!AA149*'Hist. prices'!W70*W$7</f>
        <v>0</v>
      </c>
      <c r="X70" s="198">
        <f>Qty!AB149*'Hist. prices'!X70*X$7</f>
        <v>0</v>
      </c>
      <c r="Y70" s="198">
        <f>Qty!AC149*'Hist. prices'!Y70*Y$7</f>
        <v>0</v>
      </c>
      <c r="Z70" s="198">
        <f>Qty!AD149*'Hist. prices'!Z70*Z$7</f>
        <v>0</v>
      </c>
      <c r="AA70" s="198">
        <f>Qty!AE149*'Hist. prices'!AA70*AA$7</f>
        <v>0</v>
      </c>
      <c r="AB70" s="198">
        <f>Qty!AF149*'Hist. prices'!AB70*AB$7</f>
        <v>0</v>
      </c>
      <c r="AC70" s="206">
        <f t="shared" si="1"/>
        <v>0</v>
      </c>
      <c r="AD70" s="68"/>
      <c r="AE70" s="19"/>
      <c r="AF70" s="19"/>
      <c r="AG70" s="19"/>
      <c r="AH70" s="19"/>
    </row>
    <row r="71" spans="1:34" hidden="1" outlineLevel="3" x14ac:dyDescent="0.2">
      <c r="A71" s="19"/>
      <c r="B71" s="19"/>
      <c r="C71" s="506">
        <f>Qty!C150</f>
        <v>0</v>
      </c>
      <c r="D71" s="505">
        <f>Qty!D150</f>
        <v>0</v>
      </c>
      <c r="E71" s="505">
        <f>Qty!E150</f>
        <v>0</v>
      </c>
      <c r="F71" s="505">
        <f>Qty!F150</f>
        <v>0</v>
      </c>
      <c r="G71" s="505">
        <f>Qty!G150</f>
        <v>0</v>
      </c>
      <c r="H71" s="58"/>
      <c r="I71" s="198">
        <f>Qty!M150*'Hist. prices'!I71*I$7</f>
        <v>0</v>
      </c>
      <c r="J71" s="198">
        <f>Qty!N150*'Hist. prices'!J71*J$7</f>
        <v>0</v>
      </c>
      <c r="K71" s="198">
        <f>Qty!O150*'Hist. prices'!K71*K$7</f>
        <v>0</v>
      </c>
      <c r="L71" s="198">
        <f>Qty!P150*'Hist. prices'!L71*L$7</f>
        <v>0</v>
      </c>
      <c r="M71" s="198">
        <f>Qty!Q150*'Hist. prices'!M71*M$7</f>
        <v>0</v>
      </c>
      <c r="N71" s="198">
        <f>Qty!R150*'Hist. prices'!N71*N$7</f>
        <v>0</v>
      </c>
      <c r="O71" s="198">
        <f>Qty!S150*'Hist. prices'!O71*O$7</f>
        <v>0</v>
      </c>
      <c r="P71" s="198">
        <f>Qty!T150*'Hist. prices'!P71*P$7</f>
        <v>0</v>
      </c>
      <c r="Q71" s="198">
        <f>Qty!U150*'Hist. prices'!Q71*Q$7</f>
        <v>0</v>
      </c>
      <c r="R71" s="198">
        <f>Qty!V150*'Hist. prices'!R71*R$7</f>
        <v>0</v>
      </c>
      <c r="S71" s="198">
        <f>Qty!W150*'Hist. prices'!S71*S$7</f>
        <v>0</v>
      </c>
      <c r="T71" s="198">
        <f>Qty!X150*'Hist. prices'!T71*T$7</f>
        <v>0</v>
      </c>
      <c r="U71" s="198">
        <f>Qty!Y150*'Hist. prices'!U71*U$7</f>
        <v>0</v>
      </c>
      <c r="V71" s="198">
        <f>Qty!Z150*'Hist. prices'!V71*V$7</f>
        <v>0</v>
      </c>
      <c r="W71" s="198">
        <f>Qty!AA150*'Hist. prices'!W71*W$7</f>
        <v>0</v>
      </c>
      <c r="X71" s="198">
        <f>Qty!AB150*'Hist. prices'!X71*X$7</f>
        <v>0</v>
      </c>
      <c r="Y71" s="198">
        <f>Qty!AC150*'Hist. prices'!Y71*Y$7</f>
        <v>0</v>
      </c>
      <c r="Z71" s="198">
        <f>Qty!AD150*'Hist. prices'!Z71*Z$7</f>
        <v>0</v>
      </c>
      <c r="AA71" s="198">
        <f>Qty!AE150*'Hist. prices'!AA71*AA$7</f>
        <v>0</v>
      </c>
      <c r="AB71" s="198">
        <f>Qty!AF150*'Hist. prices'!AB71*AB$7</f>
        <v>0</v>
      </c>
      <c r="AC71" s="206">
        <f t="shared" si="1"/>
        <v>0</v>
      </c>
      <c r="AD71" s="68"/>
      <c r="AE71" s="19"/>
      <c r="AF71" s="19"/>
      <c r="AG71" s="19"/>
      <c r="AH71" s="19"/>
    </row>
    <row r="72" spans="1:34" hidden="1" outlineLevel="3" x14ac:dyDescent="0.2">
      <c r="A72" s="19"/>
      <c r="B72" s="19"/>
      <c r="C72" s="506">
        <f>Qty!C151</f>
        <v>0</v>
      </c>
      <c r="D72" s="505">
        <f>Qty!D151</f>
        <v>0</v>
      </c>
      <c r="E72" s="505">
        <f>Qty!E151</f>
        <v>0</v>
      </c>
      <c r="F72" s="505">
        <f>Qty!F151</f>
        <v>0</v>
      </c>
      <c r="G72" s="505">
        <f>Qty!G151</f>
        <v>0</v>
      </c>
      <c r="H72" s="58"/>
      <c r="I72" s="198">
        <f>Qty!M151*'Hist. prices'!I72*I$7</f>
        <v>0</v>
      </c>
      <c r="J72" s="198">
        <f>Qty!N151*'Hist. prices'!J72*J$7</f>
        <v>0</v>
      </c>
      <c r="K72" s="198">
        <f>Qty!O151*'Hist. prices'!K72*K$7</f>
        <v>0</v>
      </c>
      <c r="L72" s="198">
        <f>Qty!P151*'Hist. prices'!L72*L$7</f>
        <v>0</v>
      </c>
      <c r="M72" s="198">
        <f>Qty!Q151*'Hist. prices'!M72*M$7</f>
        <v>0</v>
      </c>
      <c r="N72" s="198">
        <f>Qty!R151*'Hist. prices'!N72*N$7</f>
        <v>0</v>
      </c>
      <c r="O72" s="198">
        <f>Qty!S151*'Hist. prices'!O72*O$7</f>
        <v>0</v>
      </c>
      <c r="P72" s="198">
        <f>Qty!T151*'Hist. prices'!P72*P$7</f>
        <v>0</v>
      </c>
      <c r="Q72" s="198">
        <f>Qty!U151*'Hist. prices'!Q72*Q$7</f>
        <v>0</v>
      </c>
      <c r="R72" s="198">
        <f>Qty!V151*'Hist. prices'!R72*R$7</f>
        <v>0</v>
      </c>
      <c r="S72" s="198">
        <f>Qty!W151*'Hist. prices'!S72*S$7</f>
        <v>0</v>
      </c>
      <c r="T72" s="198">
        <f>Qty!X151*'Hist. prices'!T72*T$7</f>
        <v>0</v>
      </c>
      <c r="U72" s="198">
        <f>Qty!Y151*'Hist. prices'!U72*U$7</f>
        <v>0</v>
      </c>
      <c r="V72" s="198">
        <f>Qty!Z151*'Hist. prices'!V72*V$7</f>
        <v>0</v>
      </c>
      <c r="W72" s="198">
        <f>Qty!AA151*'Hist. prices'!W72*W$7</f>
        <v>0</v>
      </c>
      <c r="X72" s="198">
        <f>Qty!AB151*'Hist. prices'!X72*X$7</f>
        <v>0</v>
      </c>
      <c r="Y72" s="198">
        <f>Qty!AC151*'Hist. prices'!Y72*Y$7</f>
        <v>0</v>
      </c>
      <c r="Z72" s="198">
        <f>Qty!AD151*'Hist. prices'!Z72*Z$7</f>
        <v>0</v>
      </c>
      <c r="AA72" s="198">
        <f>Qty!AE151*'Hist. prices'!AA72*AA$7</f>
        <v>0</v>
      </c>
      <c r="AB72" s="198">
        <f>Qty!AF151*'Hist. prices'!AB72*AB$7</f>
        <v>0</v>
      </c>
      <c r="AC72" s="206">
        <f t="shared" ref="AC72:AC82" si="2">SUM(I72:AB72)</f>
        <v>0</v>
      </c>
      <c r="AD72" s="68"/>
      <c r="AE72" s="19"/>
      <c r="AF72" s="19"/>
      <c r="AG72" s="19"/>
      <c r="AH72" s="19"/>
    </row>
    <row r="73" spans="1:34" hidden="1" outlineLevel="3" x14ac:dyDescent="0.2">
      <c r="A73" s="19"/>
      <c r="B73" s="19"/>
      <c r="C73" s="506">
        <f>Qty!C152</f>
        <v>0</v>
      </c>
      <c r="D73" s="505">
        <f>Qty!D152</f>
        <v>0</v>
      </c>
      <c r="E73" s="505">
        <f>Qty!E152</f>
        <v>0</v>
      </c>
      <c r="F73" s="505">
        <f>Qty!F152</f>
        <v>0</v>
      </c>
      <c r="G73" s="505">
        <f>Qty!G152</f>
        <v>0</v>
      </c>
      <c r="H73" s="58"/>
      <c r="I73" s="198">
        <f>Qty!M152*'Hist. prices'!I73*I$7</f>
        <v>0</v>
      </c>
      <c r="J73" s="198">
        <f>Qty!N152*'Hist. prices'!J73*J$7</f>
        <v>0</v>
      </c>
      <c r="K73" s="198">
        <f>Qty!O152*'Hist. prices'!K73*K$7</f>
        <v>0</v>
      </c>
      <c r="L73" s="198">
        <f>Qty!P152*'Hist. prices'!L73*L$7</f>
        <v>0</v>
      </c>
      <c r="M73" s="198">
        <f>Qty!Q152*'Hist. prices'!M73*M$7</f>
        <v>0</v>
      </c>
      <c r="N73" s="198">
        <f>Qty!R152*'Hist. prices'!N73*N$7</f>
        <v>0</v>
      </c>
      <c r="O73" s="198">
        <f>Qty!S152*'Hist. prices'!O73*O$7</f>
        <v>0</v>
      </c>
      <c r="P73" s="198">
        <f>Qty!T152*'Hist. prices'!P73*P$7</f>
        <v>0</v>
      </c>
      <c r="Q73" s="198">
        <f>Qty!U152*'Hist. prices'!Q73*Q$7</f>
        <v>0</v>
      </c>
      <c r="R73" s="198">
        <f>Qty!V152*'Hist. prices'!R73*R$7</f>
        <v>0</v>
      </c>
      <c r="S73" s="198">
        <f>Qty!W152*'Hist. prices'!S73*S$7</f>
        <v>0</v>
      </c>
      <c r="T73" s="198">
        <f>Qty!X152*'Hist. prices'!T73*T$7</f>
        <v>0</v>
      </c>
      <c r="U73" s="198">
        <f>Qty!Y152*'Hist. prices'!U73*U$7</f>
        <v>0</v>
      </c>
      <c r="V73" s="198">
        <f>Qty!Z152*'Hist. prices'!V73*V$7</f>
        <v>0</v>
      </c>
      <c r="W73" s="198">
        <f>Qty!AA152*'Hist. prices'!W73*W$7</f>
        <v>0</v>
      </c>
      <c r="X73" s="198">
        <f>Qty!AB152*'Hist. prices'!X73*X$7</f>
        <v>0</v>
      </c>
      <c r="Y73" s="198">
        <f>Qty!AC152*'Hist. prices'!Y73*Y$7</f>
        <v>0</v>
      </c>
      <c r="Z73" s="198">
        <f>Qty!AD152*'Hist. prices'!Z73*Z$7</f>
        <v>0</v>
      </c>
      <c r="AA73" s="198">
        <f>Qty!AE152*'Hist. prices'!AA73*AA$7</f>
        <v>0</v>
      </c>
      <c r="AB73" s="198">
        <f>Qty!AF152*'Hist. prices'!AB73*AB$7</f>
        <v>0</v>
      </c>
      <c r="AC73" s="206">
        <f t="shared" si="2"/>
        <v>0</v>
      </c>
      <c r="AD73" s="68"/>
      <c r="AE73" s="19"/>
      <c r="AF73" s="19"/>
      <c r="AG73" s="19"/>
      <c r="AH73" s="19"/>
    </row>
    <row r="74" spans="1:34" hidden="1" outlineLevel="3" x14ac:dyDescent="0.2">
      <c r="A74" s="19"/>
      <c r="B74" s="19"/>
      <c r="C74" s="506">
        <f>Qty!C153</f>
        <v>0</v>
      </c>
      <c r="D74" s="505">
        <f>Qty!D153</f>
        <v>0</v>
      </c>
      <c r="E74" s="505">
        <f>Qty!E153</f>
        <v>0</v>
      </c>
      <c r="F74" s="505">
        <f>Qty!F153</f>
        <v>0</v>
      </c>
      <c r="G74" s="505">
        <f>Qty!G153</f>
        <v>0</v>
      </c>
      <c r="H74" s="58"/>
      <c r="I74" s="198">
        <f>Qty!M153*'Hist. prices'!I74*I$7</f>
        <v>0</v>
      </c>
      <c r="J74" s="198">
        <f>Qty!N153*'Hist. prices'!J74*J$7</f>
        <v>0</v>
      </c>
      <c r="K74" s="198">
        <f>Qty!O153*'Hist. prices'!K74*K$7</f>
        <v>0</v>
      </c>
      <c r="L74" s="198">
        <f>Qty!P153*'Hist. prices'!L74*L$7</f>
        <v>0</v>
      </c>
      <c r="M74" s="198">
        <f>Qty!Q153*'Hist. prices'!M74*M$7</f>
        <v>0</v>
      </c>
      <c r="N74" s="198">
        <f>Qty!R153*'Hist. prices'!N74*N$7</f>
        <v>0</v>
      </c>
      <c r="O74" s="198">
        <f>Qty!S153*'Hist. prices'!O74*O$7</f>
        <v>0</v>
      </c>
      <c r="P74" s="198">
        <f>Qty!T153*'Hist. prices'!P74*P$7</f>
        <v>0</v>
      </c>
      <c r="Q74" s="198">
        <f>Qty!U153*'Hist. prices'!Q74*Q$7</f>
        <v>0</v>
      </c>
      <c r="R74" s="198">
        <f>Qty!V153*'Hist. prices'!R74*R$7</f>
        <v>0</v>
      </c>
      <c r="S74" s="198">
        <f>Qty!W153*'Hist. prices'!S74*S$7</f>
        <v>0</v>
      </c>
      <c r="T74" s="198">
        <f>Qty!X153*'Hist. prices'!T74*T$7</f>
        <v>0</v>
      </c>
      <c r="U74" s="198">
        <f>Qty!Y153*'Hist. prices'!U74*U$7</f>
        <v>0</v>
      </c>
      <c r="V74" s="198">
        <f>Qty!Z153*'Hist. prices'!V74*V$7</f>
        <v>0</v>
      </c>
      <c r="W74" s="198">
        <f>Qty!AA153*'Hist. prices'!W74*W$7</f>
        <v>0</v>
      </c>
      <c r="X74" s="198">
        <f>Qty!AB153*'Hist. prices'!X74*X$7</f>
        <v>0</v>
      </c>
      <c r="Y74" s="198">
        <f>Qty!AC153*'Hist. prices'!Y74*Y$7</f>
        <v>0</v>
      </c>
      <c r="Z74" s="198">
        <f>Qty!AD153*'Hist. prices'!Z74*Z$7</f>
        <v>0</v>
      </c>
      <c r="AA74" s="198">
        <f>Qty!AE153*'Hist. prices'!AA74*AA$7</f>
        <v>0</v>
      </c>
      <c r="AB74" s="198">
        <f>Qty!AF153*'Hist. prices'!AB74*AB$7</f>
        <v>0</v>
      </c>
      <c r="AC74" s="206">
        <f t="shared" si="2"/>
        <v>0</v>
      </c>
      <c r="AD74" s="68"/>
      <c r="AE74" s="19"/>
      <c r="AF74" s="19"/>
      <c r="AG74" s="19"/>
      <c r="AH74" s="19"/>
    </row>
    <row r="75" spans="1:34" hidden="1" outlineLevel="3" x14ac:dyDescent="0.2">
      <c r="A75" s="19"/>
      <c r="B75" s="19"/>
      <c r="C75" s="506">
        <f>Qty!C154</f>
        <v>0</v>
      </c>
      <c r="D75" s="505">
        <f>Qty!D154</f>
        <v>0</v>
      </c>
      <c r="E75" s="505">
        <f>Qty!E154</f>
        <v>0</v>
      </c>
      <c r="F75" s="505">
        <f>Qty!F154</f>
        <v>0</v>
      </c>
      <c r="G75" s="505">
        <f>Qty!G154</f>
        <v>0</v>
      </c>
      <c r="H75" s="58"/>
      <c r="I75" s="198">
        <f>Qty!M154*'Hist. prices'!I75*I$7</f>
        <v>0</v>
      </c>
      <c r="J75" s="198">
        <f>Qty!N154*'Hist. prices'!J75*J$7</f>
        <v>0</v>
      </c>
      <c r="K75" s="198">
        <f>Qty!O154*'Hist. prices'!K75*K$7</f>
        <v>0</v>
      </c>
      <c r="L75" s="198">
        <f>Qty!P154*'Hist. prices'!L75*L$7</f>
        <v>0</v>
      </c>
      <c r="M75" s="198">
        <f>Qty!Q154*'Hist. prices'!M75*M$7</f>
        <v>0</v>
      </c>
      <c r="N75" s="198">
        <f>Qty!R154*'Hist. prices'!N75*N$7</f>
        <v>0</v>
      </c>
      <c r="O75" s="198">
        <f>Qty!S154*'Hist. prices'!O75*O$7</f>
        <v>0</v>
      </c>
      <c r="P75" s="198">
        <f>Qty!T154*'Hist. prices'!P75*P$7</f>
        <v>0</v>
      </c>
      <c r="Q75" s="198">
        <f>Qty!U154*'Hist. prices'!Q75*Q$7</f>
        <v>0</v>
      </c>
      <c r="R75" s="198">
        <f>Qty!V154*'Hist. prices'!R75*R$7</f>
        <v>0</v>
      </c>
      <c r="S75" s="198">
        <f>Qty!W154*'Hist. prices'!S75*S$7</f>
        <v>0</v>
      </c>
      <c r="T75" s="198">
        <f>Qty!X154*'Hist. prices'!T75*T$7</f>
        <v>0</v>
      </c>
      <c r="U75" s="198">
        <f>Qty!Y154*'Hist. prices'!U75*U$7</f>
        <v>0</v>
      </c>
      <c r="V75" s="198">
        <f>Qty!Z154*'Hist. prices'!V75*V$7</f>
        <v>0</v>
      </c>
      <c r="W75" s="198">
        <f>Qty!AA154*'Hist. prices'!W75*W$7</f>
        <v>0</v>
      </c>
      <c r="X75" s="198">
        <f>Qty!AB154*'Hist. prices'!X75*X$7</f>
        <v>0</v>
      </c>
      <c r="Y75" s="198">
        <f>Qty!AC154*'Hist. prices'!Y75*Y$7</f>
        <v>0</v>
      </c>
      <c r="Z75" s="198">
        <f>Qty!AD154*'Hist. prices'!Z75*Z$7</f>
        <v>0</v>
      </c>
      <c r="AA75" s="198">
        <f>Qty!AE154*'Hist. prices'!AA75*AA$7</f>
        <v>0</v>
      </c>
      <c r="AB75" s="198">
        <f>Qty!AF154*'Hist. prices'!AB75*AB$7</f>
        <v>0</v>
      </c>
      <c r="AC75" s="206">
        <f t="shared" si="2"/>
        <v>0</v>
      </c>
      <c r="AD75" s="68"/>
      <c r="AE75" s="19"/>
      <c r="AF75" s="19"/>
      <c r="AG75" s="19"/>
      <c r="AH75" s="19"/>
    </row>
    <row r="76" spans="1:34" hidden="1" outlineLevel="3" x14ac:dyDescent="0.2">
      <c r="A76" s="19"/>
      <c r="B76" s="19"/>
      <c r="C76" s="506">
        <f>Qty!C155</f>
        <v>0</v>
      </c>
      <c r="D76" s="505">
        <f>Qty!D155</f>
        <v>0</v>
      </c>
      <c r="E76" s="505">
        <f>Qty!E155</f>
        <v>0</v>
      </c>
      <c r="F76" s="505">
        <f>Qty!F155</f>
        <v>0</v>
      </c>
      <c r="G76" s="505">
        <f>Qty!G155</f>
        <v>0</v>
      </c>
      <c r="H76" s="58"/>
      <c r="I76" s="198">
        <f>Qty!M155*'Hist. prices'!I76*I$7</f>
        <v>0</v>
      </c>
      <c r="J76" s="198">
        <f>Qty!N155*'Hist. prices'!J76*J$7</f>
        <v>0</v>
      </c>
      <c r="K76" s="198">
        <f>Qty!O155*'Hist. prices'!K76*K$7</f>
        <v>0</v>
      </c>
      <c r="L76" s="198">
        <f>Qty!P155*'Hist. prices'!L76*L$7</f>
        <v>0</v>
      </c>
      <c r="M76" s="198">
        <f>Qty!Q155*'Hist. prices'!M76*M$7</f>
        <v>0</v>
      </c>
      <c r="N76" s="198">
        <f>Qty!R155*'Hist. prices'!N76*N$7</f>
        <v>0</v>
      </c>
      <c r="O76" s="198">
        <f>Qty!S155*'Hist. prices'!O76*O$7</f>
        <v>0</v>
      </c>
      <c r="P76" s="198">
        <f>Qty!T155*'Hist. prices'!P76*P$7</f>
        <v>0</v>
      </c>
      <c r="Q76" s="198">
        <f>Qty!U155*'Hist. prices'!Q76*Q$7</f>
        <v>0</v>
      </c>
      <c r="R76" s="198">
        <f>Qty!V155*'Hist. prices'!R76*R$7</f>
        <v>0</v>
      </c>
      <c r="S76" s="198">
        <f>Qty!W155*'Hist. prices'!S76*S$7</f>
        <v>0</v>
      </c>
      <c r="T76" s="198">
        <f>Qty!X155*'Hist. prices'!T76*T$7</f>
        <v>0</v>
      </c>
      <c r="U76" s="198">
        <f>Qty!Y155*'Hist. prices'!U76*U$7</f>
        <v>0</v>
      </c>
      <c r="V76" s="198">
        <f>Qty!Z155*'Hist. prices'!V76*V$7</f>
        <v>0</v>
      </c>
      <c r="W76" s="198">
        <f>Qty!AA155*'Hist. prices'!W76*W$7</f>
        <v>0</v>
      </c>
      <c r="X76" s="198">
        <f>Qty!AB155*'Hist. prices'!X76*X$7</f>
        <v>0</v>
      </c>
      <c r="Y76" s="198">
        <f>Qty!AC155*'Hist. prices'!Y76*Y$7</f>
        <v>0</v>
      </c>
      <c r="Z76" s="198">
        <f>Qty!AD155*'Hist. prices'!Z76*Z$7</f>
        <v>0</v>
      </c>
      <c r="AA76" s="198">
        <f>Qty!AE155*'Hist. prices'!AA76*AA$7</f>
        <v>0</v>
      </c>
      <c r="AB76" s="198">
        <f>Qty!AF155*'Hist. prices'!AB76*AB$7</f>
        <v>0</v>
      </c>
      <c r="AC76" s="206">
        <f t="shared" si="2"/>
        <v>0</v>
      </c>
      <c r="AD76" s="68"/>
      <c r="AE76" s="19"/>
      <c r="AF76" s="19"/>
      <c r="AG76" s="19"/>
      <c r="AH76" s="19"/>
    </row>
    <row r="77" spans="1:34" hidden="1" outlineLevel="3" x14ac:dyDescent="0.2">
      <c r="A77" s="19"/>
      <c r="B77" s="19"/>
      <c r="C77" s="506">
        <f>Qty!C156</f>
        <v>0</v>
      </c>
      <c r="D77" s="505">
        <f>Qty!D156</f>
        <v>0</v>
      </c>
      <c r="E77" s="505">
        <f>Qty!E156</f>
        <v>0</v>
      </c>
      <c r="F77" s="505">
        <f>Qty!F156</f>
        <v>0</v>
      </c>
      <c r="G77" s="505">
        <f>Qty!G156</f>
        <v>0</v>
      </c>
      <c r="H77" s="58"/>
      <c r="I77" s="198">
        <f>Qty!M156*'Hist. prices'!I77*I$7</f>
        <v>0</v>
      </c>
      <c r="J77" s="198">
        <f>Qty!N156*'Hist. prices'!J77*J$7</f>
        <v>0</v>
      </c>
      <c r="K77" s="198">
        <f>Qty!O156*'Hist. prices'!K77*K$7</f>
        <v>0</v>
      </c>
      <c r="L77" s="198">
        <f>Qty!P156*'Hist. prices'!L77*L$7</f>
        <v>0</v>
      </c>
      <c r="M77" s="198">
        <f>Qty!Q156*'Hist. prices'!M77*M$7</f>
        <v>0</v>
      </c>
      <c r="N77" s="198">
        <f>Qty!R156*'Hist. prices'!N77*N$7</f>
        <v>0</v>
      </c>
      <c r="O77" s="198">
        <f>Qty!S156*'Hist. prices'!O77*O$7</f>
        <v>0</v>
      </c>
      <c r="P77" s="198">
        <f>Qty!T156*'Hist. prices'!P77*P$7</f>
        <v>0</v>
      </c>
      <c r="Q77" s="198">
        <f>Qty!U156*'Hist. prices'!Q77*Q$7</f>
        <v>0</v>
      </c>
      <c r="R77" s="198">
        <f>Qty!V156*'Hist. prices'!R77*R$7</f>
        <v>0</v>
      </c>
      <c r="S77" s="198">
        <f>Qty!W156*'Hist. prices'!S77*S$7</f>
        <v>0</v>
      </c>
      <c r="T77" s="198">
        <f>Qty!X156*'Hist. prices'!T77*T$7</f>
        <v>0</v>
      </c>
      <c r="U77" s="198">
        <f>Qty!Y156*'Hist. prices'!U77*U$7</f>
        <v>0</v>
      </c>
      <c r="V77" s="198">
        <f>Qty!Z156*'Hist. prices'!V77*V$7</f>
        <v>0</v>
      </c>
      <c r="W77" s="198">
        <f>Qty!AA156*'Hist. prices'!W77*W$7</f>
        <v>0</v>
      </c>
      <c r="X77" s="198">
        <f>Qty!AB156*'Hist. prices'!X77*X$7</f>
        <v>0</v>
      </c>
      <c r="Y77" s="198">
        <f>Qty!AC156*'Hist. prices'!Y77*Y$7</f>
        <v>0</v>
      </c>
      <c r="Z77" s="198">
        <f>Qty!AD156*'Hist. prices'!Z77*Z$7</f>
        <v>0</v>
      </c>
      <c r="AA77" s="198">
        <f>Qty!AE156*'Hist. prices'!AA77*AA$7</f>
        <v>0</v>
      </c>
      <c r="AB77" s="198">
        <f>Qty!AF156*'Hist. prices'!AB77*AB$7</f>
        <v>0</v>
      </c>
      <c r="AC77" s="206">
        <f t="shared" si="2"/>
        <v>0</v>
      </c>
      <c r="AD77" s="68"/>
      <c r="AE77" s="19"/>
      <c r="AF77" s="19"/>
      <c r="AG77" s="19"/>
      <c r="AH77" s="19"/>
    </row>
    <row r="78" spans="1:34" hidden="1" outlineLevel="3" x14ac:dyDescent="0.2">
      <c r="A78" s="19"/>
      <c r="B78" s="19"/>
      <c r="C78" s="506">
        <f>Qty!C157</f>
        <v>0</v>
      </c>
      <c r="D78" s="505">
        <f>Qty!D157</f>
        <v>0</v>
      </c>
      <c r="E78" s="505">
        <f>Qty!E157</f>
        <v>0</v>
      </c>
      <c r="F78" s="505">
        <f>Qty!F157</f>
        <v>0</v>
      </c>
      <c r="G78" s="505">
        <f>Qty!G157</f>
        <v>0</v>
      </c>
      <c r="H78" s="58"/>
      <c r="I78" s="198">
        <f>Qty!M157*'Hist. prices'!I78*I$7</f>
        <v>0</v>
      </c>
      <c r="J78" s="198">
        <f>Qty!N157*'Hist. prices'!J78*J$7</f>
        <v>0</v>
      </c>
      <c r="K78" s="198">
        <f>Qty!O157*'Hist. prices'!K78*K$7</f>
        <v>0</v>
      </c>
      <c r="L78" s="198">
        <f>Qty!P157*'Hist. prices'!L78*L$7</f>
        <v>0</v>
      </c>
      <c r="M78" s="198">
        <f>Qty!Q157*'Hist. prices'!M78*M$7</f>
        <v>0</v>
      </c>
      <c r="N78" s="198">
        <f>Qty!R157*'Hist. prices'!N78*N$7</f>
        <v>0</v>
      </c>
      <c r="O78" s="198">
        <f>Qty!S157*'Hist. prices'!O78*O$7</f>
        <v>0</v>
      </c>
      <c r="P78" s="198">
        <f>Qty!T157*'Hist. prices'!P78*P$7</f>
        <v>0</v>
      </c>
      <c r="Q78" s="198">
        <f>Qty!U157*'Hist. prices'!Q78*Q$7</f>
        <v>0</v>
      </c>
      <c r="R78" s="198">
        <f>Qty!V157*'Hist. prices'!R78*R$7</f>
        <v>0</v>
      </c>
      <c r="S78" s="198">
        <f>Qty!W157*'Hist. prices'!S78*S$7</f>
        <v>0</v>
      </c>
      <c r="T78" s="198">
        <f>Qty!X157*'Hist. prices'!T78*T$7</f>
        <v>0</v>
      </c>
      <c r="U78" s="198">
        <f>Qty!Y157*'Hist. prices'!U78*U$7</f>
        <v>0</v>
      </c>
      <c r="V78" s="198">
        <f>Qty!Z157*'Hist. prices'!V78*V$7</f>
        <v>0</v>
      </c>
      <c r="W78" s="198">
        <f>Qty!AA157*'Hist. prices'!W78*W$7</f>
        <v>0</v>
      </c>
      <c r="X78" s="198">
        <f>Qty!AB157*'Hist. prices'!X78*X$7</f>
        <v>0</v>
      </c>
      <c r="Y78" s="198">
        <f>Qty!AC157*'Hist. prices'!Y78*Y$7</f>
        <v>0</v>
      </c>
      <c r="Z78" s="198">
        <f>Qty!AD157*'Hist. prices'!Z78*Z$7</f>
        <v>0</v>
      </c>
      <c r="AA78" s="198">
        <f>Qty!AE157*'Hist. prices'!AA78*AA$7</f>
        <v>0</v>
      </c>
      <c r="AB78" s="198">
        <f>Qty!AF157*'Hist. prices'!AB78*AB$7</f>
        <v>0</v>
      </c>
      <c r="AC78" s="206">
        <f t="shared" si="2"/>
        <v>0</v>
      </c>
      <c r="AD78" s="68"/>
      <c r="AE78" s="19"/>
      <c r="AF78" s="19"/>
      <c r="AG78" s="19"/>
      <c r="AH78" s="19"/>
    </row>
    <row r="79" spans="1:34" hidden="1" outlineLevel="3" x14ac:dyDescent="0.2">
      <c r="A79" s="19"/>
      <c r="B79" s="19"/>
      <c r="C79" s="506">
        <f>Qty!C158</f>
        <v>0</v>
      </c>
      <c r="D79" s="505">
        <f>Qty!D158</f>
        <v>0</v>
      </c>
      <c r="E79" s="505">
        <f>Qty!E158</f>
        <v>0</v>
      </c>
      <c r="F79" s="505">
        <f>Qty!F158</f>
        <v>0</v>
      </c>
      <c r="G79" s="505">
        <f>Qty!G158</f>
        <v>0</v>
      </c>
      <c r="H79" s="58"/>
      <c r="I79" s="198">
        <f>Qty!M158*'Hist. prices'!I79*I$7</f>
        <v>0</v>
      </c>
      <c r="J79" s="198">
        <f>Qty!N158*'Hist. prices'!J79*J$7</f>
        <v>0</v>
      </c>
      <c r="K79" s="198">
        <f>Qty!O158*'Hist. prices'!K79*K$7</f>
        <v>0</v>
      </c>
      <c r="L79" s="198">
        <f>Qty!P158*'Hist. prices'!L79*L$7</f>
        <v>0</v>
      </c>
      <c r="M79" s="198">
        <f>Qty!Q158*'Hist. prices'!M79*M$7</f>
        <v>0</v>
      </c>
      <c r="N79" s="198">
        <f>Qty!R158*'Hist. prices'!N79*N$7</f>
        <v>0</v>
      </c>
      <c r="O79" s="198">
        <f>Qty!S158*'Hist. prices'!O79*O$7</f>
        <v>0</v>
      </c>
      <c r="P79" s="198">
        <f>Qty!T158*'Hist. prices'!P79*P$7</f>
        <v>0</v>
      </c>
      <c r="Q79" s="198">
        <f>Qty!U158*'Hist. prices'!Q79*Q$7</f>
        <v>0</v>
      </c>
      <c r="R79" s="198">
        <f>Qty!V158*'Hist. prices'!R79*R$7</f>
        <v>0</v>
      </c>
      <c r="S79" s="198">
        <f>Qty!W158*'Hist. prices'!S79*S$7</f>
        <v>0</v>
      </c>
      <c r="T79" s="198">
        <f>Qty!X158*'Hist. prices'!T79*T$7</f>
        <v>0</v>
      </c>
      <c r="U79" s="198">
        <f>Qty!Y158*'Hist. prices'!U79*U$7</f>
        <v>0</v>
      </c>
      <c r="V79" s="198">
        <f>Qty!Z158*'Hist. prices'!V79*V$7</f>
        <v>0</v>
      </c>
      <c r="W79" s="198">
        <f>Qty!AA158*'Hist. prices'!W79*W$7</f>
        <v>0</v>
      </c>
      <c r="X79" s="198">
        <f>Qty!AB158*'Hist. prices'!X79*X$7</f>
        <v>0</v>
      </c>
      <c r="Y79" s="198">
        <f>Qty!AC158*'Hist. prices'!Y79*Y$7</f>
        <v>0</v>
      </c>
      <c r="Z79" s="198">
        <f>Qty!AD158*'Hist. prices'!Z79*Z$7</f>
        <v>0</v>
      </c>
      <c r="AA79" s="198">
        <f>Qty!AE158*'Hist. prices'!AA79*AA$7</f>
        <v>0</v>
      </c>
      <c r="AB79" s="198">
        <f>Qty!AF158*'Hist. prices'!AB79*AB$7</f>
        <v>0</v>
      </c>
      <c r="AC79" s="206">
        <f t="shared" si="2"/>
        <v>0</v>
      </c>
      <c r="AD79" s="68"/>
      <c r="AE79" s="19"/>
      <c r="AF79" s="19"/>
      <c r="AG79" s="19"/>
      <c r="AH79" s="19"/>
    </row>
    <row r="80" spans="1:34" hidden="1" outlineLevel="3" x14ac:dyDescent="0.2">
      <c r="A80" s="19"/>
      <c r="B80" s="19"/>
      <c r="C80" s="506">
        <f>Qty!C159</f>
        <v>0</v>
      </c>
      <c r="D80" s="505">
        <f>Qty!D159</f>
        <v>0</v>
      </c>
      <c r="E80" s="505">
        <f>Qty!E159</f>
        <v>0</v>
      </c>
      <c r="F80" s="505">
        <f>Qty!F159</f>
        <v>0</v>
      </c>
      <c r="G80" s="505">
        <f>Qty!G159</f>
        <v>0</v>
      </c>
      <c r="H80" s="58"/>
      <c r="I80" s="198">
        <f>Qty!M159*'Hist. prices'!I80*I$7</f>
        <v>0</v>
      </c>
      <c r="J80" s="198">
        <f>Qty!N159*'Hist. prices'!J80*J$7</f>
        <v>0</v>
      </c>
      <c r="K80" s="198">
        <f>Qty!O159*'Hist. prices'!K80*K$7</f>
        <v>0</v>
      </c>
      <c r="L80" s="198">
        <f>Qty!P159*'Hist. prices'!L80*L$7</f>
        <v>0</v>
      </c>
      <c r="M80" s="198">
        <f>Qty!Q159*'Hist. prices'!M80*M$7</f>
        <v>0</v>
      </c>
      <c r="N80" s="198">
        <f>Qty!R159*'Hist. prices'!N80*N$7</f>
        <v>0</v>
      </c>
      <c r="O80" s="198">
        <f>Qty!S159*'Hist. prices'!O80*O$7</f>
        <v>0</v>
      </c>
      <c r="P80" s="198">
        <f>Qty!T159*'Hist. prices'!P80*P$7</f>
        <v>0</v>
      </c>
      <c r="Q80" s="198">
        <f>Qty!U159*'Hist. prices'!Q80*Q$7</f>
        <v>0</v>
      </c>
      <c r="R80" s="198">
        <f>Qty!V159*'Hist. prices'!R80*R$7</f>
        <v>0</v>
      </c>
      <c r="S80" s="198">
        <f>Qty!W159*'Hist. prices'!S80*S$7</f>
        <v>0</v>
      </c>
      <c r="T80" s="198">
        <f>Qty!X159*'Hist. prices'!T80*T$7</f>
        <v>0</v>
      </c>
      <c r="U80" s="198">
        <f>Qty!Y159*'Hist. prices'!U80*U$7</f>
        <v>0</v>
      </c>
      <c r="V80" s="198">
        <f>Qty!Z159*'Hist. prices'!V80*V$7</f>
        <v>0</v>
      </c>
      <c r="W80" s="198">
        <f>Qty!AA159*'Hist. prices'!W80*W$7</f>
        <v>0</v>
      </c>
      <c r="X80" s="198">
        <f>Qty!AB159*'Hist. prices'!X80*X$7</f>
        <v>0</v>
      </c>
      <c r="Y80" s="198">
        <f>Qty!AC159*'Hist. prices'!Y80*Y$7</f>
        <v>0</v>
      </c>
      <c r="Z80" s="198">
        <f>Qty!AD159*'Hist. prices'!Z80*Z$7</f>
        <v>0</v>
      </c>
      <c r="AA80" s="198">
        <f>Qty!AE159*'Hist. prices'!AA80*AA$7</f>
        <v>0</v>
      </c>
      <c r="AB80" s="198">
        <f>Qty!AF159*'Hist. prices'!AB80*AB$7</f>
        <v>0</v>
      </c>
      <c r="AC80" s="206">
        <f t="shared" si="2"/>
        <v>0</v>
      </c>
      <c r="AD80" s="68"/>
      <c r="AE80" s="19"/>
      <c r="AF80" s="19"/>
      <c r="AG80" s="19"/>
      <c r="AH80" s="19"/>
    </row>
    <row r="81" spans="1:34" hidden="1" outlineLevel="3" x14ac:dyDescent="0.2">
      <c r="A81" s="19"/>
      <c r="B81" s="19"/>
      <c r="C81" s="506">
        <f>Qty!C160</f>
        <v>0</v>
      </c>
      <c r="D81" s="505">
        <f>Qty!D160</f>
        <v>0</v>
      </c>
      <c r="E81" s="505">
        <f>Qty!E160</f>
        <v>0</v>
      </c>
      <c r="F81" s="505">
        <f>Qty!F160</f>
        <v>0</v>
      </c>
      <c r="G81" s="505">
        <f>Qty!G160</f>
        <v>0</v>
      </c>
      <c r="H81" s="58"/>
      <c r="I81" s="198">
        <f>Qty!M160*'Hist. prices'!I81*I$7</f>
        <v>0</v>
      </c>
      <c r="J81" s="198">
        <f>Qty!N160*'Hist. prices'!J81*J$7</f>
        <v>0</v>
      </c>
      <c r="K81" s="198">
        <f>Qty!O160*'Hist. prices'!K81*K$7</f>
        <v>0</v>
      </c>
      <c r="L81" s="198">
        <f>Qty!P160*'Hist. prices'!L81*L$7</f>
        <v>0</v>
      </c>
      <c r="M81" s="198">
        <f>Qty!Q160*'Hist. prices'!M81*M$7</f>
        <v>0</v>
      </c>
      <c r="N81" s="198">
        <f>Qty!R160*'Hist. prices'!N81*N$7</f>
        <v>0</v>
      </c>
      <c r="O81" s="198">
        <f>Qty!S160*'Hist. prices'!O81*O$7</f>
        <v>0</v>
      </c>
      <c r="P81" s="198">
        <f>Qty!T160*'Hist. prices'!P81*P$7</f>
        <v>0</v>
      </c>
      <c r="Q81" s="198">
        <f>Qty!U160*'Hist. prices'!Q81*Q$7</f>
        <v>0</v>
      </c>
      <c r="R81" s="198">
        <f>Qty!V160*'Hist. prices'!R81*R$7</f>
        <v>0</v>
      </c>
      <c r="S81" s="198">
        <f>Qty!W160*'Hist. prices'!S81*S$7</f>
        <v>0</v>
      </c>
      <c r="T81" s="198">
        <f>Qty!X160*'Hist. prices'!T81*T$7</f>
        <v>0</v>
      </c>
      <c r="U81" s="198">
        <f>Qty!Y160*'Hist. prices'!U81*U$7</f>
        <v>0</v>
      </c>
      <c r="V81" s="198">
        <f>Qty!Z160*'Hist. prices'!V81*V$7</f>
        <v>0</v>
      </c>
      <c r="W81" s="198">
        <f>Qty!AA160*'Hist. prices'!W81*W$7</f>
        <v>0</v>
      </c>
      <c r="X81" s="198">
        <f>Qty!AB160*'Hist. prices'!X81*X$7</f>
        <v>0</v>
      </c>
      <c r="Y81" s="198">
        <f>Qty!AC160*'Hist. prices'!Y81*Y$7</f>
        <v>0</v>
      </c>
      <c r="Z81" s="198">
        <f>Qty!AD160*'Hist. prices'!Z81*Z$7</f>
        <v>0</v>
      </c>
      <c r="AA81" s="198">
        <f>Qty!AE160*'Hist. prices'!AA81*AA$7</f>
        <v>0</v>
      </c>
      <c r="AB81" s="198">
        <f>Qty!AF160*'Hist. prices'!AB81*AB$7</f>
        <v>0</v>
      </c>
      <c r="AC81" s="206">
        <f t="shared" si="2"/>
        <v>0</v>
      </c>
      <c r="AD81" s="68"/>
      <c r="AE81" s="19"/>
      <c r="AF81" s="19"/>
      <c r="AG81" s="19"/>
      <c r="AH81" s="19"/>
    </row>
    <row r="82" spans="1:34" hidden="1" outlineLevel="3" x14ac:dyDescent="0.2">
      <c r="A82" s="19"/>
      <c r="B82" s="19"/>
      <c r="C82" s="506">
        <f>Qty!C161</f>
        <v>0</v>
      </c>
      <c r="D82" s="505">
        <f>Qty!D161</f>
        <v>0</v>
      </c>
      <c r="E82" s="505">
        <f>Qty!E161</f>
        <v>0</v>
      </c>
      <c r="F82" s="505">
        <f>Qty!F161</f>
        <v>0</v>
      </c>
      <c r="G82" s="505">
        <f>Qty!G161</f>
        <v>0</v>
      </c>
      <c r="H82" s="58"/>
      <c r="I82" s="198">
        <f>Qty!M161*'Hist. prices'!I82*I$7</f>
        <v>0</v>
      </c>
      <c r="J82" s="198">
        <f>Qty!N161*'Hist. prices'!J82*J$7</f>
        <v>0</v>
      </c>
      <c r="K82" s="198">
        <f>Qty!O161*'Hist. prices'!K82*K$7</f>
        <v>0</v>
      </c>
      <c r="L82" s="198">
        <f>Qty!P161*'Hist. prices'!L82*L$7</f>
        <v>0</v>
      </c>
      <c r="M82" s="198">
        <f>Qty!Q161*'Hist. prices'!M82*M$7</f>
        <v>0</v>
      </c>
      <c r="N82" s="198">
        <f>Qty!R161*'Hist. prices'!N82*N$7</f>
        <v>0</v>
      </c>
      <c r="O82" s="198">
        <f>Qty!S161*'Hist. prices'!O82*O$7</f>
        <v>0</v>
      </c>
      <c r="P82" s="198">
        <f>Qty!T161*'Hist. prices'!P82*P$7</f>
        <v>0</v>
      </c>
      <c r="Q82" s="198">
        <f>Qty!U161*'Hist. prices'!Q82*Q$7</f>
        <v>0</v>
      </c>
      <c r="R82" s="198">
        <f>Qty!V161*'Hist. prices'!R82*R$7</f>
        <v>0</v>
      </c>
      <c r="S82" s="198">
        <f>Qty!W161*'Hist. prices'!S82*S$7</f>
        <v>0</v>
      </c>
      <c r="T82" s="198">
        <f>Qty!X161*'Hist. prices'!T82*T$7</f>
        <v>0</v>
      </c>
      <c r="U82" s="198">
        <f>Qty!Y161*'Hist. prices'!U82*U$7</f>
        <v>0</v>
      </c>
      <c r="V82" s="198">
        <f>Qty!Z161*'Hist. prices'!V82*V$7</f>
        <v>0</v>
      </c>
      <c r="W82" s="198">
        <f>Qty!AA161*'Hist. prices'!W82*W$7</f>
        <v>0</v>
      </c>
      <c r="X82" s="198">
        <f>Qty!AB161*'Hist. prices'!X82*X$7</f>
        <v>0</v>
      </c>
      <c r="Y82" s="198">
        <f>Qty!AC161*'Hist. prices'!Y82*Y$7</f>
        <v>0</v>
      </c>
      <c r="Z82" s="198">
        <f>Qty!AD161*'Hist. prices'!Z82*Z$7</f>
        <v>0</v>
      </c>
      <c r="AA82" s="198">
        <f>Qty!AE161*'Hist. prices'!AA82*AA$7</f>
        <v>0</v>
      </c>
      <c r="AB82" s="198">
        <f>Qty!AF161*'Hist. prices'!AB82*AB$7</f>
        <v>0</v>
      </c>
      <c r="AC82" s="206">
        <f t="shared" si="2"/>
        <v>0</v>
      </c>
      <c r="AD82" s="68"/>
      <c r="AE82" s="19"/>
      <c r="AF82" s="19"/>
      <c r="AG82" s="19"/>
      <c r="AH82" s="19"/>
    </row>
    <row r="83" spans="1:34" outlineLevel="2" collapsed="1" x14ac:dyDescent="0.2">
      <c r="A83" s="19"/>
      <c r="B83" s="19"/>
      <c r="C83" s="539" t="s">
        <v>240</v>
      </c>
      <c r="D83" s="505"/>
      <c r="E83" s="505"/>
      <c r="F83" s="505"/>
      <c r="G83" s="505"/>
      <c r="H83" s="58"/>
      <c r="I83" s="205">
        <f t="shared" ref="I83:AC83" si="3">SUM(I8:I82)</f>
        <v>70180983.395316273</v>
      </c>
      <c r="J83" s="205">
        <f t="shared" si="3"/>
        <v>105141099.30035706</v>
      </c>
      <c r="K83" s="205">
        <f t="shared" si="3"/>
        <v>36830736.135536931</v>
      </c>
      <c r="L83" s="205">
        <f t="shared" si="3"/>
        <v>5593562.6319042118</v>
      </c>
      <c r="M83" s="205">
        <f t="shared" si="3"/>
        <v>8716070.2464043871</v>
      </c>
      <c r="N83" s="205">
        <f t="shared" si="3"/>
        <v>4827650.7105381945</v>
      </c>
      <c r="O83" s="205">
        <f t="shared" si="3"/>
        <v>10176737.60812692</v>
      </c>
      <c r="P83" s="205">
        <f t="shared" si="3"/>
        <v>2879134.3367643934</v>
      </c>
      <c r="Q83" s="205">
        <f t="shared" si="3"/>
        <v>4042045.0218271818</v>
      </c>
      <c r="R83" s="205">
        <f t="shared" si="3"/>
        <v>255143.52854515717</v>
      </c>
      <c r="S83" s="205">
        <f t="shared" si="3"/>
        <v>0</v>
      </c>
      <c r="T83" s="205">
        <f t="shared" si="3"/>
        <v>0</v>
      </c>
      <c r="U83" s="205">
        <f t="shared" si="3"/>
        <v>1135461.7091592061</v>
      </c>
      <c r="V83" s="205">
        <f t="shared" si="3"/>
        <v>0</v>
      </c>
      <c r="W83" s="205">
        <f t="shared" si="3"/>
        <v>0</v>
      </c>
      <c r="X83" s="205">
        <f t="shared" si="3"/>
        <v>0</v>
      </c>
      <c r="Y83" s="205">
        <f t="shared" si="3"/>
        <v>0</v>
      </c>
      <c r="Z83" s="205">
        <f t="shared" si="3"/>
        <v>0</v>
      </c>
      <c r="AA83" s="205">
        <f t="shared" si="3"/>
        <v>0</v>
      </c>
      <c r="AB83" s="205">
        <f t="shared" si="3"/>
        <v>0</v>
      </c>
      <c r="AC83" s="205">
        <f t="shared" si="3"/>
        <v>249778624.62447995</v>
      </c>
      <c r="AD83" s="19"/>
      <c r="AE83" s="19"/>
      <c r="AF83" s="19"/>
      <c r="AG83" s="19"/>
    </row>
    <row r="84" spans="1:34" outlineLevel="1" x14ac:dyDescent="0.2">
      <c r="A84" s="19"/>
      <c r="B84" s="19"/>
      <c r="C84" s="66"/>
      <c r="D84" s="58"/>
      <c r="E84" s="58"/>
      <c r="F84" s="58"/>
      <c r="G84" s="58"/>
      <c r="H84" s="58"/>
      <c r="I84" s="67"/>
      <c r="J84" s="67"/>
      <c r="K84" s="68"/>
      <c r="L84" s="68"/>
      <c r="M84" s="68"/>
      <c r="N84" s="69"/>
      <c r="O84" s="69"/>
      <c r="P84" s="69"/>
      <c r="Q84" s="69"/>
      <c r="R84" s="69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19"/>
      <c r="AF84" s="19"/>
      <c r="AG84" s="19"/>
      <c r="AH84" s="19"/>
    </row>
    <row r="85" spans="1:34" outlineLevel="1" x14ac:dyDescent="0.2">
      <c r="A85" s="19"/>
      <c r="B85" s="19"/>
      <c r="C85" s="167" t="s">
        <v>219</v>
      </c>
      <c r="D85" s="20"/>
      <c r="E85" s="20"/>
      <c r="F85" s="20"/>
      <c r="G85" s="22"/>
      <c r="H85" s="22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19"/>
      <c r="AF85" s="19"/>
      <c r="AG85" s="19"/>
      <c r="AH85" s="19"/>
    </row>
    <row r="86" spans="1:34" outlineLevel="2" x14ac:dyDescent="0.2">
      <c r="A86" s="19"/>
      <c r="B86" s="19"/>
      <c r="C86" s="506" t="str">
        <f t="shared" ref="C86:G95" si="4">C8</f>
        <v>Residential time of use consumption</v>
      </c>
      <c r="D86" s="505" t="str">
        <f t="shared" si="4"/>
        <v>Residential</v>
      </c>
      <c r="E86" s="505" t="str">
        <f t="shared" si="4"/>
        <v>TAS93</v>
      </c>
      <c r="F86" s="505">
        <f t="shared" si="4"/>
        <v>0</v>
      </c>
      <c r="G86" s="505">
        <f t="shared" si="4"/>
        <v>0</v>
      </c>
      <c r="H86" s="22"/>
      <c r="I86" s="198">
        <f>IF(Qty!$J87=0,Qty!M87,Qty!M87*Qty!$J87)*'Hist. prices'!I86*I$7</f>
        <v>0</v>
      </c>
      <c r="J86" s="198">
        <f>IF(Qty!$J87=0,Qty!N87,Qty!N87*Qty!$J87)*'Hist. prices'!J86*J$7</f>
        <v>0</v>
      </c>
      <c r="K86" s="198">
        <f>IF(Qty!$J87=0,Qty!O87,Qty!O87*Qty!$J87)*'Hist. prices'!K86*K$7</f>
        <v>4407868.6975833755</v>
      </c>
      <c r="L86" s="198">
        <f>IF(Qty!$J87=0,Qty!P87,Qty!P87*Qty!$J87)*'Hist. prices'!L86*L$7</f>
        <v>0</v>
      </c>
      <c r="M86" s="198">
        <f>IF(Qty!$J87=0,Qty!Q87,Qty!Q87*Qty!$J87)*'Hist. prices'!M86*M$7</f>
        <v>1943602.1300342763</v>
      </c>
      <c r="N86" s="198">
        <f>IF(Qty!$J87=0,Qty!R87,Qty!R87*Qty!$J87)*'Hist. prices'!N86*N$7</f>
        <v>0</v>
      </c>
      <c r="O86" s="198">
        <f>IF(Qty!$J87=0,Qty!S87,Qty!S87*Qty!$J87)*'Hist. prices'!O86*O$7</f>
        <v>0</v>
      </c>
      <c r="P86" s="198">
        <f>IF(Qty!$J87=0,Qty!T87,Qty!T87*Qty!$J87)*'Hist. prices'!P86*P$7</f>
        <v>0</v>
      </c>
      <c r="Q86" s="198">
        <f>IF(Qty!$J87=0,Qty!U87,Qty!U87*Qty!$J87)*'Hist. prices'!Q86*Q$7</f>
        <v>0</v>
      </c>
      <c r="R86" s="198">
        <f>IF(Qty!$J87=0,Qty!V87,Qty!V87*Qty!$J87)*'Hist. prices'!R86*R$7</f>
        <v>0</v>
      </c>
      <c r="S86" s="198">
        <f>IF(Qty!$J87=0,Qty!W87,Qty!W87*Qty!$J87)*'Hist. prices'!S86*S$7</f>
        <v>0</v>
      </c>
      <c r="T86" s="198">
        <f>IF(Qty!$J87=0,Qty!X87,Qty!X87*Qty!$J87)*'Hist. prices'!T86*T$7</f>
        <v>0</v>
      </c>
      <c r="U86" s="198">
        <f>IF(Qty!$J87=0,Qty!Y87,Qty!Y87*Qty!$J87)*'Hist. prices'!U86*U$7</f>
        <v>0</v>
      </c>
      <c r="V86" s="198">
        <f>IF(Qty!$J87=0,Qty!Z87,Qty!Z87*Qty!$J87)*'Hist. prices'!V86*V$7</f>
        <v>0</v>
      </c>
      <c r="W86" s="198">
        <f>IF(Qty!$J87=0,Qty!AA87,Qty!AA87*Qty!$J87)*'Hist. prices'!W86*W$7</f>
        <v>0</v>
      </c>
      <c r="X86" s="198">
        <f>IF(Qty!$J87=0,Qty!AB87,Qty!AB87*Qty!$J87)*'Hist. prices'!X86*X$7</f>
        <v>0</v>
      </c>
      <c r="Y86" s="198">
        <f>IF(Qty!$J87=0,Qty!AC87,Qty!AC87*Qty!$J87)*'Hist. prices'!Y86*Y$7</f>
        <v>0</v>
      </c>
      <c r="Z86" s="198">
        <f>IF(Qty!$J87=0,Qty!AD87,Qty!AD87*Qty!$J87)*'Hist. prices'!Z86*Z$7</f>
        <v>0</v>
      </c>
      <c r="AA86" s="198">
        <f>IF(Qty!$J87=0,Qty!AE87,Qty!AE87*Qty!$J87)*'Hist. prices'!AA86*AA$7</f>
        <v>0</v>
      </c>
      <c r="AB86" s="198">
        <f>IF(Qty!$J87=0,Qty!AF87,Qty!AF87*Qty!$J87)*'Hist. prices'!AB86*AB$7</f>
        <v>0</v>
      </c>
      <c r="AC86" s="206">
        <f t="shared" ref="AC86:AC117" si="5">SUM(I86:AB86)</f>
        <v>6351470.8276176518</v>
      </c>
      <c r="AD86" s="68"/>
      <c r="AE86" s="19"/>
      <c r="AF86" s="19"/>
      <c r="AG86" s="19"/>
      <c r="AH86" s="19"/>
    </row>
    <row r="87" spans="1:34" s="59" customFormat="1" outlineLevel="2" x14ac:dyDescent="0.2">
      <c r="A87" s="57"/>
      <c r="B87" s="57"/>
      <c r="C87" s="506" t="str">
        <f t="shared" si="4"/>
        <v>Residential general light and power</v>
      </c>
      <c r="D87" s="505" t="str">
        <f t="shared" si="4"/>
        <v>Residential</v>
      </c>
      <c r="E87" s="505" t="str">
        <f t="shared" si="4"/>
        <v>TAS31</v>
      </c>
      <c r="F87" s="505">
        <f t="shared" si="4"/>
        <v>0</v>
      </c>
      <c r="G87" s="505">
        <f t="shared" si="4"/>
        <v>0</v>
      </c>
      <c r="H87" s="58"/>
      <c r="I87" s="198">
        <f>IF(Qty!$J88=0,Qty!M88,Qty!M88*Qty!$J88)*'Hist. prices'!I87*I$7</f>
        <v>0</v>
      </c>
      <c r="J87" s="198">
        <f>IF(Qty!$J88=0,Qty!N88,Qty!N88*Qty!$J88)*'Hist. prices'!J87*J$7</f>
        <v>14094021.448765529</v>
      </c>
      <c r="K87" s="198">
        <f>IF(Qty!$J88=0,Qty!O88,Qty!O88*Qty!$J88)*'Hist. prices'!K87*K$7</f>
        <v>0</v>
      </c>
      <c r="L87" s="198">
        <f>IF(Qty!$J88=0,Qty!P88,Qty!P88*Qty!$J88)*'Hist. prices'!L87*L$7</f>
        <v>0</v>
      </c>
      <c r="M87" s="198">
        <f>IF(Qty!$J88=0,Qty!Q88,Qty!Q88*Qty!$J88)*'Hist. prices'!M87*M$7</f>
        <v>0</v>
      </c>
      <c r="N87" s="198">
        <f>IF(Qty!$J88=0,Qty!R88,Qty!R88*Qty!$J88)*'Hist. prices'!N87*N$7</f>
        <v>0</v>
      </c>
      <c r="O87" s="198">
        <f>IF(Qty!$J88=0,Qty!S88,Qty!S88*Qty!$J88)*'Hist. prices'!O87*O$7</f>
        <v>0</v>
      </c>
      <c r="P87" s="198">
        <f>IF(Qty!$J88=0,Qty!T88,Qty!T88*Qty!$J88)*'Hist. prices'!P87*P$7</f>
        <v>0</v>
      </c>
      <c r="Q87" s="198">
        <f>IF(Qty!$J88=0,Qty!U88,Qty!U88*Qty!$J88)*'Hist. prices'!Q87*Q$7</f>
        <v>0</v>
      </c>
      <c r="R87" s="198">
        <f>IF(Qty!$J88=0,Qty!V88,Qty!V88*Qty!$J88)*'Hist. prices'!R87*R$7</f>
        <v>0</v>
      </c>
      <c r="S87" s="198">
        <f>IF(Qty!$J88=0,Qty!W88,Qty!W88*Qty!$J88)*'Hist. prices'!S87*S$7</f>
        <v>0</v>
      </c>
      <c r="T87" s="198">
        <f>IF(Qty!$J88=0,Qty!X88,Qty!X88*Qty!$J88)*'Hist. prices'!T87*T$7</f>
        <v>0</v>
      </c>
      <c r="U87" s="198">
        <f>IF(Qty!$J88=0,Qty!Y88,Qty!Y88*Qty!$J88)*'Hist. prices'!U87*U$7</f>
        <v>0</v>
      </c>
      <c r="V87" s="198">
        <f>IF(Qty!$J88=0,Qty!Z88,Qty!Z88*Qty!$J88)*'Hist. prices'!V87*V$7</f>
        <v>0</v>
      </c>
      <c r="W87" s="198">
        <f>IF(Qty!$J88=0,Qty!AA88,Qty!AA88*Qty!$J88)*'Hist. prices'!W87*W$7</f>
        <v>0</v>
      </c>
      <c r="X87" s="198">
        <f>IF(Qty!$J88=0,Qty!AB88,Qty!AB88*Qty!$J88)*'Hist. prices'!X87*X$7</f>
        <v>0</v>
      </c>
      <c r="Y87" s="198">
        <f>IF(Qty!$J88=0,Qty!AC88,Qty!AC88*Qty!$J88)*'Hist. prices'!Y87*Y$7</f>
        <v>0</v>
      </c>
      <c r="Z87" s="198">
        <f>IF(Qty!$J88=0,Qty!AD88,Qty!AD88*Qty!$J88)*'Hist. prices'!Z87*Z$7</f>
        <v>0</v>
      </c>
      <c r="AA87" s="198">
        <f>IF(Qty!$J88=0,Qty!AE88,Qty!AE88*Qty!$J88)*'Hist. prices'!AA87*AA$7</f>
        <v>0</v>
      </c>
      <c r="AB87" s="198">
        <f>IF(Qty!$J88=0,Qty!AF88,Qty!AF88*Qty!$J88)*'Hist. prices'!AB87*AB$7</f>
        <v>0</v>
      </c>
      <c r="AC87" s="206">
        <f t="shared" si="5"/>
        <v>14094021.448765529</v>
      </c>
      <c r="AD87" s="68"/>
      <c r="AE87" s="57"/>
      <c r="AF87" s="57"/>
      <c r="AG87" s="57"/>
      <c r="AH87" s="57"/>
    </row>
    <row r="88" spans="1:34" outlineLevel="2" x14ac:dyDescent="0.2">
      <c r="A88" s="19"/>
      <c r="B88" s="19"/>
      <c r="C88" s="506" t="str">
        <f t="shared" si="4"/>
        <v>Residential time of use demand</v>
      </c>
      <c r="D88" s="505" t="str">
        <f t="shared" si="4"/>
        <v>Residential</v>
      </c>
      <c r="E88" s="505" t="str">
        <f t="shared" si="4"/>
        <v>TAS87</v>
      </c>
      <c r="F88" s="505">
        <f t="shared" si="4"/>
        <v>0</v>
      </c>
      <c r="G88" s="505">
        <f t="shared" si="4"/>
        <v>0</v>
      </c>
      <c r="H88" s="58"/>
      <c r="I88" s="198">
        <f>IF(Qty!$J89=0,Qty!M89,Qty!M89*Qty!$J89)*'Hist. prices'!I88*I$7</f>
        <v>0</v>
      </c>
      <c r="J88" s="198">
        <f>IF(Qty!$J89=0,Qty!N89,Qty!N89*Qty!$J89)*'Hist. prices'!J88*J$7</f>
        <v>0</v>
      </c>
      <c r="K88" s="198">
        <f>IF(Qty!$J89=0,Qty!O89,Qty!O89*Qty!$J89)*'Hist. prices'!K88*K$7</f>
        <v>0</v>
      </c>
      <c r="L88" s="198">
        <f>IF(Qty!$J89=0,Qty!P89,Qty!P89*Qty!$J89)*'Hist. prices'!L88*L$7</f>
        <v>0</v>
      </c>
      <c r="M88" s="198">
        <f>IF(Qty!$J89=0,Qty!Q89,Qty!Q89*Qty!$J89)*'Hist. prices'!M88*M$7</f>
        <v>0</v>
      </c>
      <c r="N88" s="198">
        <f>IF(Qty!$J89=0,Qty!R89,Qty!R89*Qty!$J89)*'Hist. prices'!N88*N$7</f>
        <v>0</v>
      </c>
      <c r="O88" s="198">
        <f>IF(Qty!$J89=0,Qty!S89,Qty!S89*Qty!$J89)*'Hist. prices'!O88*O$7</f>
        <v>692.02589280937377</v>
      </c>
      <c r="P88" s="198">
        <f>IF(Qty!$J89=0,Qty!T89,Qty!T89*Qty!$J89)*'Hist. prices'!P88*P$7</f>
        <v>161.17463392607729</v>
      </c>
      <c r="Q88" s="198">
        <f>IF(Qty!$J89=0,Qty!U89,Qty!U89*Qty!$J89)*'Hist. prices'!Q88*Q$7</f>
        <v>0</v>
      </c>
      <c r="R88" s="198">
        <f>IF(Qty!$J89=0,Qty!V89,Qty!V89*Qty!$J89)*'Hist. prices'!R88*R$7</f>
        <v>0</v>
      </c>
      <c r="S88" s="198">
        <f>IF(Qty!$J89=0,Qty!W89,Qty!W89*Qty!$J89)*'Hist. prices'!S88*S$7</f>
        <v>0</v>
      </c>
      <c r="T88" s="198">
        <f>IF(Qty!$J89=0,Qty!X89,Qty!X89*Qty!$J89)*'Hist. prices'!T88*T$7</f>
        <v>0</v>
      </c>
      <c r="U88" s="198">
        <f>IF(Qty!$J89=0,Qty!Y89,Qty!Y89*Qty!$J89)*'Hist. prices'!U88*U$7</f>
        <v>0</v>
      </c>
      <c r="V88" s="198">
        <f>IF(Qty!$J89=0,Qty!Z89,Qty!Z89*Qty!$J89)*'Hist. prices'!V88*V$7</f>
        <v>0</v>
      </c>
      <c r="W88" s="198">
        <f>IF(Qty!$J89=0,Qty!AA89,Qty!AA89*Qty!$J89)*'Hist. prices'!W88*W$7</f>
        <v>0</v>
      </c>
      <c r="X88" s="198">
        <f>IF(Qty!$J89=0,Qty!AB89,Qty!AB89*Qty!$J89)*'Hist. prices'!X88*X$7</f>
        <v>0</v>
      </c>
      <c r="Y88" s="198">
        <f>IF(Qty!$J89=0,Qty!AC89,Qty!AC89*Qty!$J89)*'Hist. prices'!Y88*Y$7</f>
        <v>0</v>
      </c>
      <c r="Z88" s="198">
        <f>IF(Qty!$J89=0,Qty!AD89,Qty!AD89*Qty!$J89)*'Hist. prices'!Z88*Z$7</f>
        <v>0</v>
      </c>
      <c r="AA88" s="198">
        <f>IF(Qty!$J89=0,Qty!AE89,Qty!AE89*Qty!$J89)*'Hist. prices'!AA88*AA$7</f>
        <v>0</v>
      </c>
      <c r="AB88" s="198">
        <f>IF(Qty!$J89=0,Qty!AF89,Qty!AF89*Qty!$J89)*'Hist. prices'!AB88*AB$7</f>
        <v>0</v>
      </c>
      <c r="AC88" s="206">
        <f t="shared" si="5"/>
        <v>853.20052673545104</v>
      </c>
      <c r="AD88" s="68"/>
      <c r="AE88" s="19"/>
      <c r="AF88" s="19"/>
      <c r="AG88" s="19"/>
      <c r="AH88" s="19"/>
    </row>
    <row r="89" spans="1:34" outlineLevel="2" x14ac:dyDescent="0.2">
      <c r="A89" s="19"/>
      <c r="B89" s="19"/>
      <c r="C89" s="506" t="str">
        <f t="shared" si="4"/>
        <v>Residential time of use demand DER</v>
      </c>
      <c r="D89" s="505" t="str">
        <f t="shared" si="4"/>
        <v>Residential</v>
      </c>
      <c r="E89" s="505" t="str">
        <f t="shared" si="4"/>
        <v>TAS97</v>
      </c>
      <c r="F89" s="505">
        <f t="shared" si="4"/>
        <v>0</v>
      </c>
      <c r="G89" s="505">
        <f t="shared" si="4"/>
        <v>0</v>
      </c>
      <c r="H89" s="58"/>
      <c r="I89" s="198">
        <f>IF(Qty!$J90=0,Qty!M90,Qty!M90*Qty!$J90)*'Hist. prices'!I89*I$7</f>
        <v>0</v>
      </c>
      <c r="J89" s="198">
        <f>IF(Qty!$J90=0,Qty!N90,Qty!N90*Qty!$J90)*'Hist. prices'!J89*J$7</f>
        <v>0</v>
      </c>
      <c r="K89" s="198">
        <f>IF(Qty!$J90=0,Qty!O90,Qty!O90*Qty!$J90)*'Hist. prices'!K89*K$7</f>
        <v>0</v>
      </c>
      <c r="L89" s="198">
        <f>IF(Qty!$J90=0,Qty!P90,Qty!P90*Qty!$J90)*'Hist. prices'!L89*L$7</f>
        <v>0</v>
      </c>
      <c r="M89" s="198">
        <f>IF(Qty!$J90=0,Qty!Q90,Qty!Q90*Qty!$J90)*'Hist. prices'!M89*M$7</f>
        <v>0</v>
      </c>
      <c r="N89" s="198">
        <f>IF(Qty!$J90=0,Qty!R90,Qty!R90*Qty!$J90)*'Hist. prices'!N89*N$7</f>
        <v>0</v>
      </c>
      <c r="O89" s="198">
        <f>IF(Qty!$J90=0,Qty!S90,Qty!S90*Qty!$J90)*'Hist. prices'!O89*O$7</f>
        <v>0</v>
      </c>
      <c r="P89" s="198">
        <f>IF(Qty!$J90=0,Qty!T90,Qty!T90*Qty!$J90)*'Hist. prices'!P89*P$7</f>
        <v>0</v>
      </c>
      <c r="Q89" s="198">
        <f>IF(Qty!$J90=0,Qty!U90,Qty!U90*Qty!$J90)*'Hist. prices'!Q89*Q$7</f>
        <v>0</v>
      </c>
      <c r="R89" s="198">
        <f>IF(Qty!$J90=0,Qty!V90,Qty!V90*Qty!$J90)*'Hist. prices'!R89*R$7</f>
        <v>0</v>
      </c>
      <c r="S89" s="198">
        <f>IF(Qty!$J90=0,Qty!W90,Qty!W90*Qty!$J90)*'Hist. prices'!S89*S$7</f>
        <v>0</v>
      </c>
      <c r="T89" s="198">
        <f>IF(Qty!$J90=0,Qty!X90,Qty!X90*Qty!$J90)*'Hist. prices'!T89*T$7</f>
        <v>0</v>
      </c>
      <c r="U89" s="198">
        <f>IF(Qty!$J90=0,Qty!Y90,Qty!Y90*Qty!$J90)*'Hist. prices'!U89*U$7</f>
        <v>0</v>
      </c>
      <c r="V89" s="198">
        <f>IF(Qty!$J90=0,Qty!Z90,Qty!Z90*Qty!$J90)*'Hist. prices'!V89*V$7</f>
        <v>0</v>
      </c>
      <c r="W89" s="198">
        <f>IF(Qty!$J90=0,Qty!AA90,Qty!AA90*Qty!$J90)*'Hist. prices'!W89*W$7</f>
        <v>0</v>
      </c>
      <c r="X89" s="198">
        <f>IF(Qty!$J90=0,Qty!AB90,Qty!AB90*Qty!$J90)*'Hist. prices'!X89*X$7</f>
        <v>0</v>
      </c>
      <c r="Y89" s="198">
        <f>IF(Qty!$J90=0,Qty!AC90,Qty!AC90*Qty!$J90)*'Hist. prices'!Y89*Y$7</f>
        <v>0</v>
      </c>
      <c r="Z89" s="198">
        <f>IF(Qty!$J90=0,Qty!AD90,Qty!AD90*Qty!$J90)*'Hist. prices'!Z89*Z$7</f>
        <v>0</v>
      </c>
      <c r="AA89" s="198">
        <f>IF(Qty!$J90=0,Qty!AE90,Qty!AE90*Qty!$J90)*'Hist. prices'!AA89*AA$7</f>
        <v>0</v>
      </c>
      <c r="AB89" s="198">
        <f>IF(Qty!$J90=0,Qty!AF90,Qty!AF90*Qty!$J90)*'Hist. prices'!AB89*AB$7</f>
        <v>0</v>
      </c>
      <c r="AC89" s="206">
        <f t="shared" si="5"/>
        <v>0</v>
      </c>
      <c r="AD89" s="68"/>
      <c r="AE89" s="19"/>
      <c r="AF89" s="19"/>
      <c r="AG89" s="19"/>
      <c r="AH89" s="19"/>
    </row>
    <row r="90" spans="1:34" outlineLevel="2" x14ac:dyDescent="0.2">
      <c r="A90" s="19"/>
      <c r="B90" s="19"/>
      <c r="C90" s="506" t="str">
        <f t="shared" si="4"/>
        <v>Residential pay as you go</v>
      </c>
      <c r="D90" s="505" t="str">
        <f t="shared" si="4"/>
        <v>Residential</v>
      </c>
      <c r="E90" s="505" t="str">
        <f t="shared" si="4"/>
        <v>TAS101</v>
      </c>
      <c r="F90" s="505">
        <f t="shared" si="4"/>
        <v>0</v>
      </c>
      <c r="G90" s="505">
        <f t="shared" si="4"/>
        <v>0</v>
      </c>
      <c r="H90" s="58"/>
      <c r="I90" s="198">
        <f>IF(Qty!$J91=0,Qty!M91,Qty!M91*Qty!$J91)*'Hist. prices'!I90*I$7</f>
        <v>0</v>
      </c>
      <c r="J90" s="198">
        <f>IF(Qty!$J91=0,Qty!N91,Qty!N91*Qty!$J91)*'Hist. prices'!J90*J$7</f>
        <v>1039.2562578591358</v>
      </c>
      <c r="K90" s="198">
        <f>IF(Qty!$J91=0,Qty!O91,Qty!O91*Qty!$J91)*'Hist. prices'!K90*K$7</f>
        <v>0</v>
      </c>
      <c r="L90" s="198">
        <f>IF(Qty!$J91=0,Qty!P91,Qty!P91*Qty!$J91)*'Hist. prices'!L90*L$7</f>
        <v>0</v>
      </c>
      <c r="M90" s="198">
        <f>IF(Qty!$J91=0,Qty!Q91,Qty!Q91*Qty!$J91)*'Hist. prices'!M90*M$7</f>
        <v>0</v>
      </c>
      <c r="N90" s="198">
        <f>IF(Qty!$J91=0,Qty!R91,Qty!R91*Qty!$J91)*'Hist. prices'!N90*N$7</f>
        <v>0</v>
      </c>
      <c r="O90" s="198">
        <f>IF(Qty!$J91=0,Qty!S91,Qty!S91*Qty!$J91)*'Hist. prices'!O90*O$7</f>
        <v>0</v>
      </c>
      <c r="P90" s="198">
        <f>IF(Qty!$J91=0,Qty!T91,Qty!T91*Qty!$J91)*'Hist. prices'!P90*P$7</f>
        <v>0</v>
      </c>
      <c r="Q90" s="198">
        <f>IF(Qty!$J91=0,Qty!U91,Qty!U91*Qty!$J91)*'Hist. prices'!Q90*Q$7</f>
        <v>0</v>
      </c>
      <c r="R90" s="198">
        <f>IF(Qty!$J91=0,Qty!V91,Qty!V91*Qty!$J91)*'Hist. prices'!R90*R$7</f>
        <v>0</v>
      </c>
      <c r="S90" s="198">
        <f>IF(Qty!$J91=0,Qty!W91,Qty!W91*Qty!$J91)*'Hist. prices'!S90*S$7</f>
        <v>0</v>
      </c>
      <c r="T90" s="198">
        <f>IF(Qty!$J91=0,Qty!X91,Qty!X91*Qty!$J91)*'Hist. prices'!T90*T$7</f>
        <v>0</v>
      </c>
      <c r="U90" s="198">
        <f>IF(Qty!$J91=0,Qty!Y91,Qty!Y91*Qty!$J91)*'Hist. prices'!U90*U$7</f>
        <v>0</v>
      </c>
      <c r="V90" s="198">
        <f>IF(Qty!$J91=0,Qty!Z91,Qty!Z91*Qty!$J91)*'Hist. prices'!V90*V$7</f>
        <v>0</v>
      </c>
      <c r="W90" s="198">
        <f>IF(Qty!$J91=0,Qty!AA91,Qty!AA91*Qty!$J91)*'Hist. prices'!W90*W$7</f>
        <v>0</v>
      </c>
      <c r="X90" s="198">
        <f>IF(Qty!$J91=0,Qty!AB91,Qty!AB91*Qty!$J91)*'Hist. prices'!X90*X$7</f>
        <v>0</v>
      </c>
      <c r="Y90" s="198">
        <f>IF(Qty!$J91=0,Qty!AC91,Qty!AC91*Qty!$J91)*'Hist. prices'!Y90*Y$7</f>
        <v>0</v>
      </c>
      <c r="Z90" s="198">
        <f>IF(Qty!$J91=0,Qty!AD91,Qty!AD91*Qty!$J91)*'Hist. prices'!Z90*Z$7</f>
        <v>0</v>
      </c>
      <c r="AA90" s="198">
        <f>IF(Qty!$J91=0,Qty!AE91,Qty!AE91*Qty!$J91)*'Hist. prices'!AA90*AA$7</f>
        <v>0</v>
      </c>
      <c r="AB90" s="198">
        <f>IF(Qty!$J91=0,Qty!AF91,Qty!AF91*Qty!$J91)*'Hist. prices'!AB90*AB$7</f>
        <v>0</v>
      </c>
      <c r="AC90" s="206">
        <f t="shared" si="5"/>
        <v>1039.2562578591358</v>
      </c>
      <c r="AD90" s="68"/>
      <c r="AE90" s="19"/>
      <c r="AF90" s="19"/>
      <c r="AG90" s="19"/>
      <c r="AH90" s="19"/>
    </row>
    <row r="91" spans="1:34" outlineLevel="2" x14ac:dyDescent="0.2">
      <c r="A91" s="19"/>
      <c r="B91" s="19"/>
      <c r="C91" s="506" t="str">
        <f t="shared" si="4"/>
        <v>Residential pay as you go time of use</v>
      </c>
      <c r="D91" s="505" t="str">
        <f t="shared" si="4"/>
        <v>Residential</v>
      </c>
      <c r="E91" s="505" t="str">
        <f t="shared" si="4"/>
        <v>TAS92</v>
      </c>
      <c r="F91" s="505">
        <f t="shared" si="4"/>
        <v>0</v>
      </c>
      <c r="G91" s="505">
        <f t="shared" si="4"/>
        <v>0</v>
      </c>
      <c r="H91" s="58"/>
      <c r="I91" s="198">
        <f>IF(Qty!$J92=0,Qty!M92,Qty!M92*Qty!$J92)*'Hist. prices'!I91*I$7</f>
        <v>0</v>
      </c>
      <c r="J91" s="198">
        <f>IF(Qty!$J92=0,Qty!N92,Qty!N92*Qty!$J92)*'Hist. prices'!J91*J$7</f>
        <v>0</v>
      </c>
      <c r="K91" s="198">
        <f>IF(Qty!$J92=0,Qty!O92,Qty!O92*Qty!$J92)*'Hist. prices'!K91*K$7</f>
        <v>0</v>
      </c>
      <c r="L91" s="198">
        <f>IF(Qty!$J92=0,Qty!P92,Qty!P92*Qty!$J92)*'Hist. prices'!L91*L$7</f>
        <v>0</v>
      </c>
      <c r="M91" s="198">
        <f>IF(Qty!$J92=0,Qty!Q92,Qty!Q92*Qty!$J92)*'Hist. prices'!M91*M$7</f>
        <v>0</v>
      </c>
      <c r="N91" s="198">
        <f>IF(Qty!$J92=0,Qty!R92,Qty!R92*Qty!$J92)*'Hist. prices'!N91*N$7</f>
        <v>0</v>
      </c>
      <c r="O91" s="198">
        <f>IF(Qty!$J92=0,Qty!S92,Qty!S92*Qty!$J92)*'Hist. prices'!O91*O$7</f>
        <v>0</v>
      </c>
      <c r="P91" s="198">
        <f>IF(Qty!$J92=0,Qty!T92,Qty!T92*Qty!$J92)*'Hist. prices'!P91*P$7</f>
        <v>0</v>
      </c>
      <c r="Q91" s="198">
        <f>IF(Qty!$J92=0,Qty!U92,Qty!U92*Qty!$J92)*'Hist. prices'!Q91*Q$7</f>
        <v>0</v>
      </c>
      <c r="R91" s="198">
        <f>IF(Qty!$J92=0,Qty!V92,Qty!V92*Qty!$J92)*'Hist. prices'!R91*R$7</f>
        <v>0</v>
      </c>
      <c r="S91" s="198">
        <f>IF(Qty!$J92=0,Qty!W92,Qty!W92*Qty!$J92)*'Hist. prices'!S91*S$7</f>
        <v>0</v>
      </c>
      <c r="T91" s="198">
        <f>IF(Qty!$J92=0,Qty!X92,Qty!X92*Qty!$J92)*'Hist. prices'!T91*T$7</f>
        <v>0</v>
      </c>
      <c r="U91" s="198">
        <f>IF(Qty!$J92=0,Qty!Y92,Qty!Y92*Qty!$J92)*'Hist. prices'!U91*U$7</f>
        <v>0</v>
      </c>
      <c r="V91" s="198">
        <f>IF(Qty!$J92=0,Qty!Z92,Qty!Z92*Qty!$J92)*'Hist. prices'!V91*V$7</f>
        <v>0</v>
      </c>
      <c r="W91" s="198">
        <f>IF(Qty!$J92=0,Qty!AA92,Qty!AA92*Qty!$J92)*'Hist. prices'!W91*W$7</f>
        <v>0</v>
      </c>
      <c r="X91" s="198">
        <f>IF(Qty!$J92=0,Qty!AB92,Qty!AB92*Qty!$J92)*'Hist. prices'!X91*X$7</f>
        <v>0</v>
      </c>
      <c r="Y91" s="198">
        <f>IF(Qty!$J92=0,Qty!AC92,Qty!AC92*Qty!$J92)*'Hist. prices'!Y91*Y$7</f>
        <v>0</v>
      </c>
      <c r="Z91" s="198">
        <f>IF(Qty!$J92=0,Qty!AD92,Qty!AD92*Qty!$J92)*'Hist. prices'!Z91*Z$7</f>
        <v>0</v>
      </c>
      <c r="AA91" s="198">
        <f>IF(Qty!$J92=0,Qty!AE92,Qty!AE92*Qty!$J92)*'Hist. prices'!AA91*AA$7</f>
        <v>0</v>
      </c>
      <c r="AB91" s="198">
        <f>IF(Qty!$J92=0,Qty!AF92,Qty!AF92*Qty!$J92)*'Hist. prices'!AB91*AB$7</f>
        <v>0</v>
      </c>
      <c r="AC91" s="206">
        <f t="shared" si="5"/>
        <v>0</v>
      </c>
      <c r="AD91" s="68"/>
      <c r="AE91" s="19"/>
      <c r="AF91" s="19"/>
      <c r="AG91" s="19"/>
      <c r="AH91" s="19"/>
    </row>
    <row r="92" spans="1:34" outlineLevel="2" x14ac:dyDescent="0.2">
      <c r="A92" s="19"/>
      <c r="B92" s="19"/>
      <c r="C92" s="506" t="str">
        <f t="shared" si="4"/>
        <v>Small business time of use consumption</v>
      </c>
      <c r="D92" s="505" t="str">
        <f t="shared" si="4"/>
        <v>Small Business LV</v>
      </c>
      <c r="E92" s="505" t="str">
        <f t="shared" si="4"/>
        <v>TAS94</v>
      </c>
      <c r="F92" s="505">
        <f t="shared" si="4"/>
        <v>0</v>
      </c>
      <c r="G92" s="505">
        <f t="shared" si="4"/>
        <v>0</v>
      </c>
      <c r="H92" s="58"/>
      <c r="I92" s="198">
        <f>IF(Qty!$J93=0,Qty!M93,Qty!M93*Qty!$J93)*'Hist. prices'!I92*I$7</f>
        <v>0</v>
      </c>
      <c r="J92" s="198">
        <f>IF(Qty!$J93=0,Qty!N93,Qty!N93*Qty!$J93)*'Hist. prices'!J92*J$7</f>
        <v>0</v>
      </c>
      <c r="K92" s="198">
        <f>IF(Qty!$J93=0,Qty!O93,Qty!O93*Qty!$J93)*'Hist. prices'!K92*K$7</f>
        <v>6093930.0056471135</v>
      </c>
      <c r="L92" s="198">
        <f>IF(Qty!$J93=0,Qty!P93,Qty!P93*Qty!$J93)*'Hist. prices'!L92*L$7</f>
        <v>917801.38658361509</v>
      </c>
      <c r="M92" s="198">
        <f>IF(Qty!$J93=0,Qty!Q93,Qty!Q93*Qty!$J93)*'Hist. prices'!M92*M$7</f>
        <v>451690.61850705574</v>
      </c>
      <c r="N92" s="198">
        <f>IF(Qty!$J93=0,Qty!R93,Qty!R93*Qty!$J93)*'Hist. prices'!N92*N$7</f>
        <v>0</v>
      </c>
      <c r="O92" s="198">
        <f>IF(Qty!$J93=0,Qty!S93,Qty!S93*Qty!$J93)*'Hist. prices'!O92*O$7</f>
        <v>0</v>
      </c>
      <c r="P92" s="198">
        <f>IF(Qty!$J93=0,Qty!T93,Qty!T93*Qty!$J93)*'Hist. prices'!P92*P$7</f>
        <v>0</v>
      </c>
      <c r="Q92" s="198">
        <f>IF(Qty!$J93=0,Qty!U93,Qty!U93*Qty!$J93)*'Hist. prices'!Q92*Q$7</f>
        <v>0</v>
      </c>
      <c r="R92" s="198">
        <f>IF(Qty!$J93=0,Qty!V93,Qty!V93*Qty!$J93)*'Hist. prices'!R92*R$7</f>
        <v>0</v>
      </c>
      <c r="S92" s="198">
        <f>IF(Qty!$J93=0,Qty!W93,Qty!W93*Qty!$J93)*'Hist. prices'!S92*S$7</f>
        <v>0</v>
      </c>
      <c r="T92" s="198">
        <f>IF(Qty!$J93=0,Qty!X93,Qty!X93*Qty!$J93)*'Hist. prices'!T92*T$7</f>
        <v>0</v>
      </c>
      <c r="U92" s="198">
        <f>IF(Qty!$J93=0,Qty!Y93,Qty!Y93*Qty!$J93)*'Hist. prices'!U92*U$7</f>
        <v>0</v>
      </c>
      <c r="V92" s="198">
        <f>IF(Qty!$J93=0,Qty!Z93,Qty!Z93*Qty!$J93)*'Hist. prices'!V92*V$7</f>
        <v>0</v>
      </c>
      <c r="W92" s="198">
        <f>IF(Qty!$J93=0,Qty!AA93,Qty!AA93*Qty!$J93)*'Hist. prices'!W92*W$7</f>
        <v>0</v>
      </c>
      <c r="X92" s="198">
        <f>IF(Qty!$J93=0,Qty!AB93,Qty!AB93*Qty!$J93)*'Hist. prices'!X92*X$7</f>
        <v>0</v>
      </c>
      <c r="Y92" s="198">
        <f>IF(Qty!$J93=0,Qty!AC93,Qty!AC93*Qty!$J93)*'Hist. prices'!Y92*Y$7</f>
        <v>0</v>
      </c>
      <c r="Z92" s="198">
        <f>IF(Qty!$J93=0,Qty!AD93,Qty!AD93*Qty!$J93)*'Hist. prices'!Z92*Z$7</f>
        <v>0</v>
      </c>
      <c r="AA92" s="198">
        <f>IF(Qty!$J93=0,Qty!AE93,Qty!AE93*Qty!$J93)*'Hist. prices'!AA92*AA$7</f>
        <v>0</v>
      </c>
      <c r="AB92" s="198">
        <f>IF(Qty!$J93=0,Qty!AF93,Qty!AF93*Qty!$J93)*'Hist. prices'!AB92*AB$7</f>
        <v>0</v>
      </c>
      <c r="AC92" s="206">
        <f t="shared" si="5"/>
        <v>7463422.0107377842</v>
      </c>
      <c r="AD92" s="68"/>
      <c r="AE92" s="19"/>
      <c r="AF92" s="19"/>
      <c r="AG92" s="19"/>
      <c r="AH92" s="19"/>
    </row>
    <row r="93" spans="1:34" outlineLevel="2" x14ac:dyDescent="0.2">
      <c r="A93" s="19"/>
      <c r="B93" s="19"/>
      <c r="C93" s="506" t="str">
        <f t="shared" si="4"/>
        <v>Small business general light and power</v>
      </c>
      <c r="D93" s="505" t="str">
        <f t="shared" si="4"/>
        <v>Small Business LV</v>
      </c>
      <c r="E93" s="505" t="str">
        <f t="shared" si="4"/>
        <v>TAS22</v>
      </c>
      <c r="F93" s="505">
        <f t="shared" si="4"/>
        <v>0</v>
      </c>
      <c r="G93" s="505">
        <f t="shared" si="4"/>
        <v>0</v>
      </c>
      <c r="H93" s="58"/>
      <c r="I93" s="198">
        <f>IF(Qty!$J94=0,Qty!M94,Qty!M94*Qty!$J94)*'Hist. prices'!I93*I$7</f>
        <v>0</v>
      </c>
      <c r="J93" s="198">
        <f>IF(Qty!$J94=0,Qty!N94,Qty!N94*Qty!$J94)*'Hist. prices'!J93*J$7</f>
        <v>4644053.1364732925</v>
      </c>
      <c r="K93" s="198">
        <f>IF(Qty!$J94=0,Qty!O94,Qty!O94*Qty!$J94)*'Hist. prices'!K93*K$7</f>
        <v>0</v>
      </c>
      <c r="L93" s="198">
        <f>IF(Qty!$J94=0,Qty!P94,Qty!P94*Qty!$J94)*'Hist. prices'!L93*L$7</f>
        <v>0</v>
      </c>
      <c r="M93" s="198">
        <f>IF(Qty!$J94=0,Qty!Q94,Qty!Q94*Qty!$J94)*'Hist. prices'!M93*M$7</f>
        <v>0</v>
      </c>
      <c r="N93" s="198">
        <f>IF(Qty!$J94=0,Qty!R94,Qty!R94*Qty!$J94)*'Hist. prices'!N93*N$7</f>
        <v>0</v>
      </c>
      <c r="O93" s="198">
        <f>IF(Qty!$J94=0,Qty!S94,Qty!S94*Qty!$J94)*'Hist. prices'!O93*O$7</f>
        <v>0</v>
      </c>
      <c r="P93" s="198">
        <f>IF(Qty!$J94=0,Qty!T94,Qty!T94*Qty!$J94)*'Hist. prices'!P93*P$7</f>
        <v>0</v>
      </c>
      <c r="Q93" s="198">
        <f>IF(Qty!$J94=0,Qty!U94,Qty!U94*Qty!$J94)*'Hist. prices'!Q93*Q$7</f>
        <v>0</v>
      </c>
      <c r="R93" s="198">
        <f>IF(Qty!$J94=0,Qty!V94,Qty!V94*Qty!$J94)*'Hist. prices'!R93*R$7</f>
        <v>0</v>
      </c>
      <c r="S93" s="198">
        <f>IF(Qty!$J94=0,Qty!W94,Qty!W94*Qty!$J94)*'Hist. prices'!S93*S$7</f>
        <v>0</v>
      </c>
      <c r="T93" s="198">
        <f>IF(Qty!$J94=0,Qty!X94,Qty!X94*Qty!$J94)*'Hist. prices'!T93*T$7</f>
        <v>0</v>
      </c>
      <c r="U93" s="198">
        <f>IF(Qty!$J94=0,Qty!Y94,Qty!Y94*Qty!$J94)*'Hist. prices'!U93*U$7</f>
        <v>0</v>
      </c>
      <c r="V93" s="198">
        <f>IF(Qty!$J94=0,Qty!Z94,Qty!Z94*Qty!$J94)*'Hist. prices'!V93*V$7</f>
        <v>0</v>
      </c>
      <c r="W93" s="198">
        <f>IF(Qty!$J94=0,Qty!AA94,Qty!AA94*Qty!$J94)*'Hist. prices'!W93*W$7</f>
        <v>0</v>
      </c>
      <c r="X93" s="198">
        <f>IF(Qty!$J94=0,Qty!AB94,Qty!AB94*Qty!$J94)*'Hist. prices'!X93*X$7</f>
        <v>0</v>
      </c>
      <c r="Y93" s="198">
        <f>IF(Qty!$J94=0,Qty!AC94,Qty!AC94*Qty!$J94)*'Hist. prices'!Y93*Y$7</f>
        <v>0</v>
      </c>
      <c r="Z93" s="198">
        <f>IF(Qty!$J94=0,Qty!AD94,Qty!AD94*Qty!$J94)*'Hist. prices'!Z93*Z$7</f>
        <v>0</v>
      </c>
      <c r="AA93" s="198">
        <f>IF(Qty!$J94=0,Qty!AE94,Qty!AE94*Qty!$J94)*'Hist. prices'!AA93*AA$7</f>
        <v>0</v>
      </c>
      <c r="AB93" s="198">
        <f>IF(Qty!$J94=0,Qty!AF94,Qty!AF94*Qty!$J94)*'Hist. prices'!AB93*AB$7</f>
        <v>0</v>
      </c>
      <c r="AC93" s="206">
        <f t="shared" si="5"/>
        <v>4644053.1364732925</v>
      </c>
      <c r="AD93" s="68"/>
      <c r="AE93" s="19"/>
      <c r="AF93" s="19"/>
      <c r="AG93" s="19"/>
      <c r="AH93" s="19"/>
    </row>
    <row r="94" spans="1:34" outlineLevel="2" x14ac:dyDescent="0.2">
      <c r="A94" s="19"/>
      <c r="B94" s="19"/>
      <c r="C94" s="506" t="str">
        <f t="shared" si="4"/>
        <v>Small business time of use demand</v>
      </c>
      <c r="D94" s="505" t="str">
        <f t="shared" si="4"/>
        <v>Small Business LV</v>
      </c>
      <c r="E94" s="505" t="str">
        <f t="shared" si="4"/>
        <v>TAS88</v>
      </c>
      <c r="F94" s="505">
        <f t="shared" si="4"/>
        <v>0</v>
      </c>
      <c r="G94" s="505">
        <f t="shared" si="4"/>
        <v>0</v>
      </c>
      <c r="H94" s="58"/>
      <c r="I94" s="198">
        <f>IF(Qty!$J95=0,Qty!M95,Qty!M95*Qty!$J95)*'Hist. prices'!I94*I$7</f>
        <v>0</v>
      </c>
      <c r="J94" s="198">
        <f>IF(Qty!$J95=0,Qty!N95,Qty!N95*Qty!$J95)*'Hist. prices'!J94*J$7</f>
        <v>0</v>
      </c>
      <c r="K94" s="198">
        <f>IF(Qty!$J95=0,Qty!O95,Qty!O95*Qty!$J95)*'Hist. prices'!K94*K$7</f>
        <v>0</v>
      </c>
      <c r="L94" s="198">
        <f>IF(Qty!$J95=0,Qty!P95,Qty!P95*Qty!$J95)*'Hist. prices'!L94*L$7</f>
        <v>0</v>
      </c>
      <c r="M94" s="198">
        <f>IF(Qty!$J95=0,Qty!Q95,Qty!Q95*Qty!$J95)*'Hist. prices'!M94*M$7</f>
        <v>0</v>
      </c>
      <c r="N94" s="198">
        <f>IF(Qty!$J95=0,Qty!R95,Qty!R95*Qty!$J95)*'Hist. prices'!N94*N$7</f>
        <v>0</v>
      </c>
      <c r="O94" s="198">
        <f>IF(Qty!$J95=0,Qty!S95,Qty!S95*Qty!$J95)*'Hist. prices'!O94*O$7</f>
        <v>1213155.0989165786</v>
      </c>
      <c r="P94" s="198">
        <f>IF(Qty!$J95=0,Qty!T95,Qty!T95*Qty!$J95)*'Hist. prices'!P94*P$7</f>
        <v>293008.85297059536</v>
      </c>
      <c r="Q94" s="198">
        <f>IF(Qty!$J95=0,Qty!U95,Qty!U95*Qty!$J95)*'Hist. prices'!Q94*Q$7</f>
        <v>0</v>
      </c>
      <c r="R94" s="198">
        <f>IF(Qty!$J95=0,Qty!V95,Qty!V95*Qty!$J95)*'Hist. prices'!R94*R$7</f>
        <v>0</v>
      </c>
      <c r="S94" s="198">
        <f>IF(Qty!$J95=0,Qty!W95,Qty!W95*Qty!$J95)*'Hist. prices'!S94*S$7</f>
        <v>0</v>
      </c>
      <c r="T94" s="198">
        <f>IF(Qty!$J95=0,Qty!X95,Qty!X95*Qty!$J95)*'Hist. prices'!T94*T$7</f>
        <v>0</v>
      </c>
      <c r="U94" s="198">
        <f>IF(Qty!$J95=0,Qty!Y95,Qty!Y95*Qty!$J95)*'Hist. prices'!U94*U$7</f>
        <v>0</v>
      </c>
      <c r="V94" s="198">
        <f>IF(Qty!$J95=0,Qty!Z95,Qty!Z95*Qty!$J95)*'Hist. prices'!V94*V$7</f>
        <v>0</v>
      </c>
      <c r="W94" s="198">
        <f>IF(Qty!$J95=0,Qty!AA95,Qty!AA95*Qty!$J95)*'Hist. prices'!W94*W$7</f>
        <v>0</v>
      </c>
      <c r="X94" s="198">
        <f>IF(Qty!$J95=0,Qty!AB95,Qty!AB95*Qty!$J95)*'Hist. prices'!X94*X$7</f>
        <v>0</v>
      </c>
      <c r="Y94" s="198">
        <f>IF(Qty!$J95=0,Qty!AC95,Qty!AC95*Qty!$J95)*'Hist. prices'!Y94*Y$7</f>
        <v>0</v>
      </c>
      <c r="Z94" s="198">
        <f>IF(Qty!$J95=0,Qty!AD95,Qty!AD95*Qty!$J95)*'Hist. prices'!Z94*Z$7</f>
        <v>0</v>
      </c>
      <c r="AA94" s="198">
        <f>IF(Qty!$J95=0,Qty!AE95,Qty!AE95*Qty!$J95)*'Hist. prices'!AA94*AA$7</f>
        <v>0</v>
      </c>
      <c r="AB94" s="198">
        <f>IF(Qty!$J95=0,Qty!AF95,Qty!AF95*Qty!$J95)*'Hist. prices'!AB94*AB$7</f>
        <v>0</v>
      </c>
      <c r="AC94" s="206">
        <f t="shared" si="5"/>
        <v>1506163.951887174</v>
      </c>
      <c r="AD94" s="68"/>
      <c r="AE94" s="19"/>
      <c r="AF94" s="19"/>
      <c r="AG94" s="19"/>
      <c r="AH94" s="19"/>
    </row>
    <row r="95" spans="1:34" outlineLevel="2" x14ac:dyDescent="0.2">
      <c r="A95" s="19"/>
      <c r="B95" s="19"/>
      <c r="C95" s="506" t="str">
        <f t="shared" si="4"/>
        <v>Small business time of use demand DER</v>
      </c>
      <c r="D95" s="505" t="str">
        <f t="shared" si="4"/>
        <v>Small Business LV</v>
      </c>
      <c r="E95" s="505" t="str">
        <f t="shared" si="4"/>
        <v>TAS98</v>
      </c>
      <c r="F95" s="505">
        <f t="shared" si="4"/>
        <v>0</v>
      </c>
      <c r="G95" s="505">
        <f t="shared" si="4"/>
        <v>0</v>
      </c>
      <c r="H95" s="58"/>
      <c r="I95" s="198">
        <f>IF(Qty!$J96=0,Qty!M96,Qty!M96*Qty!$J96)*'Hist. prices'!I95*I$7</f>
        <v>0</v>
      </c>
      <c r="J95" s="198">
        <f>IF(Qty!$J96=0,Qty!N96,Qty!N96*Qty!$J96)*'Hist. prices'!J95*J$7</f>
        <v>0</v>
      </c>
      <c r="K95" s="198">
        <f>IF(Qty!$J96=0,Qty!O96,Qty!O96*Qty!$J96)*'Hist. prices'!K95*K$7</f>
        <v>0</v>
      </c>
      <c r="L95" s="198">
        <f>IF(Qty!$J96=0,Qty!P96,Qty!P96*Qty!$J96)*'Hist. prices'!L95*L$7</f>
        <v>0</v>
      </c>
      <c r="M95" s="198">
        <f>IF(Qty!$J96=0,Qty!Q96,Qty!Q96*Qty!$J96)*'Hist. prices'!M95*M$7</f>
        <v>0</v>
      </c>
      <c r="N95" s="198">
        <f>IF(Qty!$J96=0,Qty!R96,Qty!R96*Qty!$J96)*'Hist. prices'!N95*N$7</f>
        <v>0</v>
      </c>
      <c r="O95" s="198">
        <f>IF(Qty!$J96=0,Qty!S96,Qty!S96*Qty!$J96)*'Hist. prices'!O95*O$7</f>
        <v>204887.14025220604</v>
      </c>
      <c r="P95" s="198">
        <f>IF(Qty!$J96=0,Qty!T96,Qty!T96*Qty!$J96)*'Hist. prices'!P95*P$7</f>
        <v>50667.145038564813</v>
      </c>
      <c r="Q95" s="198">
        <f>IF(Qty!$J96=0,Qty!U96,Qty!U96*Qty!$J96)*'Hist. prices'!Q95*Q$7</f>
        <v>0</v>
      </c>
      <c r="R95" s="198">
        <f>IF(Qty!$J96=0,Qty!V96,Qty!V96*Qty!$J96)*'Hist. prices'!R95*R$7</f>
        <v>0</v>
      </c>
      <c r="S95" s="198">
        <f>IF(Qty!$J96=0,Qty!W96,Qty!W96*Qty!$J96)*'Hist. prices'!S95*S$7</f>
        <v>0</v>
      </c>
      <c r="T95" s="198">
        <f>IF(Qty!$J96=0,Qty!X96,Qty!X96*Qty!$J96)*'Hist. prices'!T95*T$7</f>
        <v>0</v>
      </c>
      <c r="U95" s="198">
        <f>IF(Qty!$J96=0,Qty!Y96,Qty!Y96*Qty!$J96)*'Hist. prices'!U95*U$7</f>
        <v>0</v>
      </c>
      <c r="V95" s="198">
        <f>IF(Qty!$J96=0,Qty!Z96,Qty!Z96*Qty!$J96)*'Hist. prices'!V95*V$7</f>
        <v>0</v>
      </c>
      <c r="W95" s="198">
        <f>IF(Qty!$J96=0,Qty!AA96,Qty!AA96*Qty!$J96)*'Hist. prices'!W95*W$7</f>
        <v>0</v>
      </c>
      <c r="X95" s="198">
        <f>IF(Qty!$J96=0,Qty!AB96,Qty!AB96*Qty!$J96)*'Hist. prices'!X95*X$7</f>
        <v>0</v>
      </c>
      <c r="Y95" s="198">
        <f>IF(Qty!$J96=0,Qty!AC96,Qty!AC96*Qty!$J96)*'Hist. prices'!Y95*Y$7</f>
        <v>0</v>
      </c>
      <c r="Z95" s="198">
        <f>IF(Qty!$J96=0,Qty!AD96,Qty!AD96*Qty!$J96)*'Hist. prices'!Z95*Z$7</f>
        <v>0</v>
      </c>
      <c r="AA95" s="198">
        <f>IF(Qty!$J96=0,Qty!AE96,Qty!AE96*Qty!$J96)*'Hist. prices'!AA95*AA$7</f>
        <v>0</v>
      </c>
      <c r="AB95" s="198">
        <f>IF(Qty!$J96=0,Qty!AF96,Qty!AF96*Qty!$J96)*'Hist. prices'!AB95*AB$7</f>
        <v>0</v>
      </c>
      <c r="AC95" s="206">
        <f t="shared" si="5"/>
        <v>255554.28529077084</v>
      </c>
      <c r="AD95" s="68"/>
      <c r="AE95" s="19"/>
      <c r="AF95" s="19"/>
      <c r="AG95" s="19"/>
      <c r="AH95" s="19"/>
    </row>
    <row r="96" spans="1:34" outlineLevel="2" x14ac:dyDescent="0.2">
      <c r="A96" s="19"/>
      <c r="B96" s="19"/>
      <c r="C96" s="506" t="str">
        <f t="shared" ref="C96:G105" si="6">C18</f>
        <v>Large business kVA demand</v>
      </c>
      <c r="D96" s="505" t="str">
        <f t="shared" si="6"/>
        <v>Large Business LV</v>
      </c>
      <c r="E96" s="505" t="str">
        <f t="shared" si="6"/>
        <v>TAS82</v>
      </c>
      <c r="F96" s="505">
        <f t="shared" si="6"/>
        <v>0</v>
      </c>
      <c r="G96" s="505">
        <f t="shared" si="6"/>
        <v>0</v>
      </c>
      <c r="H96" s="58"/>
      <c r="I96" s="198">
        <f>IF(Qty!$J97=0,Qty!M97,Qty!M97*Qty!$J97)*'Hist. prices'!I96*I$7</f>
        <v>0</v>
      </c>
      <c r="J96" s="198">
        <f>IF(Qty!$J97=0,Qty!N97,Qty!N97*Qty!$J97)*'Hist. prices'!J96*J$7</f>
        <v>1169430.203280837</v>
      </c>
      <c r="K96" s="198">
        <f>IF(Qty!$J97=0,Qty!O97,Qty!O97*Qty!$J97)*'Hist. prices'!K96*K$7</f>
        <v>0</v>
      </c>
      <c r="L96" s="198">
        <f>IF(Qty!$J97=0,Qty!P97,Qty!P97*Qty!$J97)*'Hist. prices'!L96*L$7</f>
        <v>0</v>
      </c>
      <c r="M96" s="198">
        <f>IF(Qty!$J97=0,Qty!Q97,Qty!Q97*Qty!$J97)*'Hist. prices'!M96*M$7</f>
        <v>0</v>
      </c>
      <c r="N96" s="198">
        <f>IF(Qty!$J97=0,Qty!R97,Qty!R97*Qty!$J97)*'Hist. prices'!N96*N$7</f>
        <v>2662475.0495305588</v>
      </c>
      <c r="O96" s="198">
        <f>IF(Qty!$J97=0,Qty!S97,Qty!S97*Qty!$J97)*'Hist. prices'!O96*O$7</f>
        <v>0</v>
      </c>
      <c r="P96" s="198">
        <f>IF(Qty!$J97=0,Qty!T97,Qty!T97*Qty!$J97)*'Hist. prices'!P96*P$7</f>
        <v>0</v>
      </c>
      <c r="Q96" s="198">
        <f>IF(Qty!$J97=0,Qty!U97,Qty!U97*Qty!$J97)*'Hist. prices'!Q96*Q$7</f>
        <v>0</v>
      </c>
      <c r="R96" s="198">
        <f>IF(Qty!$J97=0,Qty!V97,Qty!V97*Qty!$J97)*'Hist. prices'!R96*R$7</f>
        <v>0</v>
      </c>
      <c r="S96" s="198">
        <f>IF(Qty!$J97=0,Qty!W97,Qty!W97*Qty!$J97)*'Hist. prices'!S96*S$7</f>
        <v>0</v>
      </c>
      <c r="T96" s="198">
        <f>IF(Qty!$J97=0,Qty!X97,Qty!X97*Qty!$J97)*'Hist. prices'!T96*T$7</f>
        <v>0</v>
      </c>
      <c r="U96" s="198">
        <f>IF(Qty!$J97=0,Qty!Y97,Qty!Y97*Qty!$J97)*'Hist. prices'!U96*U$7</f>
        <v>0</v>
      </c>
      <c r="V96" s="198">
        <f>IF(Qty!$J97=0,Qty!Z97,Qty!Z97*Qty!$J97)*'Hist. prices'!V96*V$7</f>
        <v>0</v>
      </c>
      <c r="W96" s="198">
        <f>IF(Qty!$J97=0,Qty!AA97,Qty!AA97*Qty!$J97)*'Hist. prices'!W96*W$7</f>
        <v>0</v>
      </c>
      <c r="X96" s="198">
        <f>IF(Qty!$J97=0,Qty!AB97,Qty!AB97*Qty!$J97)*'Hist. prices'!X96*X$7</f>
        <v>0</v>
      </c>
      <c r="Y96" s="198">
        <f>IF(Qty!$J97=0,Qty!AC97,Qty!AC97*Qty!$J97)*'Hist. prices'!Y96*Y$7</f>
        <v>0</v>
      </c>
      <c r="Z96" s="198">
        <f>IF(Qty!$J97=0,Qty!AD97,Qty!AD97*Qty!$J97)*'Hist. prices'!Z96*Z$7</f>
        <v>0</v>
      </c>
      <c r="AA96" s="198">
        <f>IF(Qty!$J97=0,Qty!AE97,Qty!AE97*Qty!$J97)*'Hist. prices'!AA96*AA$7</f>
        <v>0</v>
      </c>
      <c r="AB96" s="198">
        <f>IF(Qty!$J97=0,Qty!AF97,Qty!AF97*Qty!$J97)*'Hist. prices'!AB96*AB$7</f>
        <v>0</v>
      </c>
      <c r="AC96" s="206">
        <f t="shared" si="5"/>
        <v>3831905.2528113956</v>
      </c>
      <c r="AD96" s="68"/>
      <c r="AE96" s="19"/>
      <c r="AF96" s="19"/>
      <c r="AG96" s="19"/>
      <c r="AH96" s="19"/>
    </row>
    <row r="97" spans="1:34" outlineLevel="2" x14ac:dyDescent="0.2">
      <c r="A97" s="19"/>
      <c r="B97" s="19"/>
      <c r="C97" s="506" t="str">
        <f t="shared" si="6"/>
        <v>Large business time of use demand</v>
      </c>
      <c r="D97" s="505" t="str">
        <f t="shared" si="6"/>
        <v>Large Business LV</v>
      </c>
      <c r="E97" s="505" t="str">
        <f t="shared" si="6"/>
        <v>TAS89</v>
      </c>
      <c r="F97" s="505">
        <f t="shared" si="6"/>
        <v>0</v>
      </c>
      <c r="G97" s="505">
        <f t="shared" si="6"/>
        <v>0</v>
      </c>
      <c r="H97" s="58"/>
      <c r="I97" s="198">
        <f>IF(Qty!$J98=0,Qty!M98,Qty!M98*Qty!$J98)*'Hist. prices'!I97*I$7</f>
        <v>0</v>
      </c>
      <c r="J97" s="198">
        <f>IF(Qty!$J98=0,Qty!N98,Qty!N98*Qty!$J98)*'Hist. prices'!J97*J$7</f>
        <v>0</v>
      </c>
      <c r="K97" s="198">
        <f>IF(Qty!$J98=0,Qty!O98,Qty!O98*Qty!$J98)*'Hist. prices'!K97*K$7</f>
        <v>0</v>
      </c>
      <c r="L97" s="198">
        <f>IF(Qty!$J98=0,Qty!P98,Qty!P98*Qty!$J98)*'Hist. prices'!L97*L$7</f>
        <v>0</v>
      </c>
      <c r="M97" s="198">
        <f>IF(Qty!$J98=0,Qty!Q98,Qty!Q98*Qty!$J98)*'Hist. prices'!M97*M$7</f>
        <v>0</v>
      </c>
      <c r="N97" s="198">
        <f>IF(Qty!$J98=0,Qty!R98,Qty!R98*Qty!$J98)*'Hist. prices'!N97*N$7</f>
        <v>0</v>
      </c>
      <c r="O97" s="198">
        <f>IF(Qty!$J98=0,Qty!S98,Qty!S98*Qty!$J98)*'Hist. prices'!O97*O$7</f>
        <v>2652557.2438856219</v>
      </c>
      <c r="P97" s="198">
        <f>IF(Qty!$J98=0,Qty!T98,Qty!T98*Qty!$J98)*'Hist. prices'!P97*P$7</f>
        <v>900063.46170063596</v>
      </c>
      <c r="Q97" s="198">
        <f>IF(Qty!$J98=0,Qty!U98,Qty!U98*Qty!$J98)*'Hist. prices'!Q97*Q$7</f>
        <v>0</v>
      </c>
      <c r="R97" s="198">
        <f>IF(Qty!$J98=0,Qty!V98,Qty!V98*Qty!$J98)*'Hist. prices'!R97*R$7</f>
        <v>0</v>
      </c>
      <c r="S97" s="198">
        <f>IF(Qty!$J98=0,Qty!W98,Qty!W98*Qty!$J98)*'Hist. prices'!S97*S$7</f>
        <v>0</v>
      </c>
      <c r="T97" s="198">
        <f>IF(Qty!$J98=0,Qty!X98,Qty!X98*Qty!$J98)*'Hist. prices'!T97*T$7</f>
        <v>0</v>
      </c>
      <c r="U97" s="198">
        <f>IF(Qty!$J98=0,Qty!Y98,Qty!Y98*Qty!$J98)*'Hist. prices'!U97*U$7</f>
        <v>0</v>
      </c>
      <c r="V97" s="198">
        <f>IF(Qty!$J98=0,Qty!Z98,Qty!Z98*Qty!$J98)*'Hist. prices'!V97*V$7</f>
        <v>0</v>
      </c>
      <c r="W97" s="198">
        <f>IF(Qty!$J98=0,Qty!AA98,Qty!AA98*Qty!$J98)*'Hist. prices'!W97*W$7</f>
        <v>0</v>
      </c>
      <c r="X97" s="198">
        <f>IF(Qty!$J98=0,Qty!AB98,Qty!AB98*Qty!$J98)*'Hist. prices'!X97*X$7</f>
        <v>0</v>
      </c>
      <c r="Y97" s="198">
        <f>IF(Qty!$J98=0,Qty!AC98,Qty!AC98*Qty!$J98)*'Hist. prices'!Y97*Y$7</f>
        <v>0</v>
      </c>
      <c r="Z97" s="198">
        <f>IF(Qty!$J98=0,Qty!AD98,Qty!AD98*Qty!$J98)*'Hist. prices'!Z97*Z$7</f>
        <v>0</v>
      </c>
      <c r="AA97" s="198">
        <f>IF(Qty!$J98=0,Qty!AE98,Qty!AE98*Qty!$J98)*'Hist. prices'!AA97*AA$7</f>
        <v>0</v>
      </c>
      <c r="AB97" s="198">
        <f>IF(Qty!$J98=0,Qty!AF98,Qty!AF98*Qty!$J98)*'Hist. prices'!AB97*AB$7</f>
        <v>0</v>
      </c>
      <c r="AC97" s="206">
        <f t="shared" si="5"/>
        <v>3552620.7055862579</v>
      </c>
      <c r="AD97" s="68"/>
      <c r="AE97" s="19"/>
      <c r="AF97" s="19"/>
      <c r="AG97" s="19"/>
      <c r="AH97" s="19"/>
    </row>
    <row r="98" spans="1:34" outlineLevel="2" x14ac:dyDescent="0.2">
      <c r="A98" s="19"/>
      <c r="B98" s="19"/>
      <c r="C98" s="506" t="str">
        <f t="shared" si="6"/>
        <v>Irrigation time of use consumption</v>
      </c>
      <c r="D98" s="505" t="str">
        <f t="shared" si="6"/>
        <v>Irrigation</v>
      </c>
      <c r="E98" s="505" t="str">
        <f t="shared" si="6"/>
        <v>TAS75</v>
      </c>
      <c r="F98" s="505">
        <f t="shared" si="6"/>
        <v>0</v>
      </c>
      <c r="G98" s="505">
        <f t="shared" si="6"/>
        <v>0</v>
      </c>
      <c r="H98" s="58"/>
      <c r="I98" s="198">
        <f>IF(Qty!$J99=0,Qty!M99,Qty!M99*Qty!$J99)*'Hist. prices'!I98*I$7</f>
        <v>0</v>
      </c>
      <c r="J98" s="198">
        <f>IF(Qty!$J99=0,Qty!N99,Qty!N99*Qty!$J99)*'Hist. prices'!J98*J$7</f>
        <v>0</v>
      </c>
      <c r="K98" s="198">
        <f>IF(Qty!$J99=0,Qty!O99,Qty!O99*Qty!$J99)*'Hist. prices'!K98*K$7</f>
        <v>287077.72172754043</v>
      </c>
      <c r="L98" s="198">
        <f>IF(Qty!$J99=0,Qty!P99,Qty!P99*Qty!$J99)*'Hist. prices'!L98*L$7</f>
        <v>768524.82130520372</v>
      </c>
      <c r="M98" s="198">
        <f>IF(Qty!$J99=0,Qty!Q99,Qty!Q99*Qty!$J99)*'Hist. prices'!M98*M$7</f>
        <v>288957.12666218303</v>
      </c>
      <c r="N98" s="198">
        <f>IF(Qty!$J99=0,Qty!R99,Qty!R99*Qty!$J99)*'Hist. prices'!N98*N$7</f>
        <v>0</v>
      </c>
      <c r="O98" s="198">
        <f>IF(Qty!$J99=0,Qty!S99,Qty!S99*Qty!$J99)*'Hist. prices'!O98*O$7</f>
        <v>0</v>
      </c>
      <c r="P98" s="198">
        <f>IF(Qty!$J99=0,Qty!T99,Qty!T99*Qty!$J99)*'Hist. prices'!P98*P$7</f>
        <v>0</v>
      </c>
      <c r="Q98" s="198">
        <f>IF(Qty!$J99=0,Qty!U99,Qty!U99*Qty!$J99)*'Hist. prices'!Q98*Q$7</f>
        <v>0</v>
      </c>
      <c r="R98" s="198">
        <f>IF(Qty!$J99=0,Qty!V99,Qty!V99*Qty!$J99)*'Hist. prices'!R98*R$7</f>
        <v>0</v>
      </c>
      <c r="S98" s="198">
        <f>IF(Qty!$J99=0,Qty!W99,Qty!W99*Qty!$J99)*'Hist. prices'!S98*S$7</f>
        <v>0</v>
      </c>
      <c r="T98" s="198">
        <f>IF(Qty!$J99=0,Qty!X99,Qty!X99*Qty!$J99)*'Hist. prices'!T98*T$7</f>
        <v>0</v>
      </c>
      <c r="U98" s="198">
        <f>IF(Qty!$J99=0,Qty!Y99,Qty!Y99*Qty!$J99)*'Hist. prices'!U98*U$7</f>
        <v>0</v>
      </c>
      <c r="V98" s="198">
        <f>IF(Qty!$J99=0,Qty!Z99,Qty!Z99*Qty!$J99)*'Hist. prices'!V98*V$7</f>
        <v>0</v>
      </c>
      <c r="W98" s="198">
        <f>IF(Qty!$J99=0,Qty!AA99,Qty!AA99*Qty!$J99)*'Hist. prices'!W98*W$7</f>
        <v>0</v>
      </c>
      <c r="X98" s="198">
        <f>IF(Qty!$J99=0,Qty!AB99,Qty!AB99*Qty!$J99)*'Hist. prices'!X98*X$7</f>
        <v>0</v>
      </c>
      <c r="Y98" s="198">
        <f>IF(Qty!$J99=0,Qty!AC99,Qty!AC99*Qty!$J99)*'Hist. prices'!Y98*Y$7</f>
        <v>0</v>
      </c>
      <c r="Z98" s="198">
        <f>IF(Qty!$J99=0,Qty!AD99,Qty!AD99*Qty!$J99)*'Hist. prices'!Z98*Z$7</f>
        <v>0</v>
      </c>
      <c r="AA98" s="198">
        <f>IF(Qty!$J99=0,Qty!AE99,Qty!AE99*Qty!$J99)*'Hist. prices'!AA98*AA$7</f>
        <v>0</v>
      </c>
      <c r="AB98" s="198">
        <f>IF(Qty!$J99=0,Qty!AF99,Qty!AF99*Qty!$J99)*'Hist. prices'!AB98*AB$7</f>
        <v>0</v>
      </c>
      <c r="AC98" s="206">
        <f t="shared" si="5"/>
        <v>1344559.6696949273</v>
      </c>
      <c r="AD98" s="68"/>
      <c r="AE98" s="19"/>
      <c r="AF98" s="19"/>
      <c r="AG98" s="19"/>
      <c r="AH98" s="19"/>
    </row>
    <row r="99" spans="1:34" outlineLevel="2" x14ac:dyDescent="0.2">
      <c r="A99" s="19"/>
      <c r="B99" s="19"/>
      <c r="C99" s="506" t="str">
        <f t="shared" si="6"/>
        <v>Business HV kVA specified demand &lt;2MVA</v>
      </c>
      <c r="D99" s="505" t="str">
        <f t="shared" si="6"/>
        <v>Large Business HV</v>
      </c>
      <c r="E99" s="505" t="str">
        <f t="shared" si="6"/>
        <v>TASSDM</v>
      </c>
      <c r="F99" s="505">
        <f t="shared" si="6"/>
        <v>0</v>
      </c>
      <c r="G99" s="505">
        <f t="shared" si="6"/>
        <v>0</v>
      </c>
      <c r="H99" s="58"/>
      <c r="I99" s="198">
        <f>IF(Qty!$J100=0,Qty!M100,Qty!M100*Qty!$J100)*'Hist. prices'!I99*I$7</f>
        <v>0</v>
      </c>
      <c r="J99" s="198">
        <f>IF(Qty!$J100=0,Qty!N100,Qty!N100*Qty!$J100)*'Hist. prices'!J99*J$7</f>
        <v>0</v>
      </c>
      <c r="K99" s="198">
        <f>IF(Qty!$J100=0,Qty!O100,Qty!O100*Qty!$J100)*'Hist. prices'!K99*K$7</f>
        <v>690537.84353070718</v>
      </c>
      <c r="L99" s="198">
        <f>IF(Qty!$J100=0,Qty!P100,Qty!P100*Qty!$J100)*'Hist. prices'!L99*L$7</f>
        <v>504035.36920645001</v>
      </c>
      <c r="M99" s="198">
        <f>IF(Qty!$J100=0,Qty!Q100,Qty!Q100*Qty!$J100)*'Hist. prices'!M99*M$7</f>
        <v>155386.90956501279</v>
      </c>
      <c r="N99" s="198">
        <f>IF(Qty!$J100=0,Qty!R100,Qty!R100*Qty!$J100)*'Hist. prices'!N99*N$7</f>
        <v>0</v>
      </c>
      <c r="O99" s="198">
        <f>IF(Qty!$J100=0,Qty!S100,Qty!S100*Qty!$J100)*'Hist. prices'!O99*O$7</f>
        <v>0</v>
      </c>
      <c r="P99" s="198">
        <f>IF(Qty!$J100=0,Qty!T100,Qty!T100*Qty!$J100)*'Hist. prices'!P99*P$7</f>
        <v>0</v>
      </c>
      <c r="Q99" s="198">
        <f>IF(Qty!$J100=0,Qty!U100,Qty!U100*Qty!$J100)*'Hist. prices'!Q99*Q$7</f>
        <v>780124.10055653926</v>
      </c>
      <c r="R99" s="198">
        <f>IF(Qty!$J100=0,Qty!V100,Qty!V100*Qty!$J100)*'Hist. prices'!R99*R$7</f>
        <v>49239.886613348586</v>
      </c>
      <c r="S99" s="198">
        <f>IF(Qty!$J100=0,Qty!W100,Qty!W100*Qty!$J100)*'Hist. prices'!S99*S$7</f>
        <v>0</v>
      </c>
      <c r="T99" s="198">
        <f>IF(Qty!$J100=0,Qty!X100,Qty!X100*Qty!$J100)*'Hist. prices'!T99*T$7</f>
        <v>0</v>
      </c>
      <c r="U99" s="198">
        <f>IF(Qty!$J100=0,Qty!Y100,Qty!Y100*Qty!$J100)*'Hist. prices'!U99*U$7</f>
        <v>0</v>
      </c>
      <c r="V99" s="198">
        <f>IF(Qty!$J100=0,Qty!Z100,Qty!Z100*Qty!$J100)*'Hist. prices'!V99*V$7</f>
        <v>0</v>
      </c>
      <c r="W99" s="198">
        <f>IF(Qty!$J100=0,Qty!AA100,Qty!AA100*Qty!$J100)*'Hist. prices'!W99*W$7</f>
        <v>0</v>
      </c>
      <c r="X99" s="198">
        <f>IF(Qty!$J100=0,Qty!AB100,Qty!AB100*Qty!$J100)*'Hist. prices'!X99*X$7</f>
        <v>0</v>
      </c>
      <c r="Y99" s="198">
        <f>IF(Qty!$J100=0,Qty!AC100,Qty!AC100*Qty!$J100)*'Hist. prices'!Y99*Y$7</f>
        <v>0</v>
      </c>
      <c r="Z99" s="198">
        <f>IF(Qty!$J100=0,Qty!AD100,Qty!AD100*Qty!$J100)*'Hist. prices'!Z99*Z$7</f>
        <v>0</v>
      </c>
      <c r="AA99" s="198">
        <f>IF(Qty!$J100=0,Qty!AE100,Qty!AE100*Qty!$J100)*'Hist. prices'!AA99*AA$7</f>
        <v>0</v>
      </c>
      <c r="AB99" s="198">
        <f>IF(Qty!$J100=0,Qty!AF100,Qty!AF100*Qty!$J100)*'Hist. prices'!AB99*AB$7</f>
        <v>0</v>
      </c>
      <c r="AC99" s="206">
        <f t="shared" si="5"/>
        <v>2179324.1094720578</v>
      </c>
      <c r="AD99" s="68"/>
      <c r="AE99" s="19"/>
      <c r="AF99" s="19"/>
      <c r="AG99" s="19"/>
      <c r="AH99" s="19"/>
    </row>
    <row r="100" spans="1:34" outlineLevel="2" x14ac:dyDescent="0.2">
      <c r="A100" s="19"/>
      <c r="B100" s="19"/>
      <c r="C100" s="506" t="str">
        <f t="shared" si="6"/>
        <v>Business HV kVA specified demand &gt;2MVA</v>
      </c>
      <c r="D100" s="505" t="str">
        <f t="shared" si="6"/>
        <v>Large Business HV</v>
      </c>
      <c r="E100" s="505" t="str">
        <f t="shared" si="6"/>
        <v>TAS15*</v>
      </c>
      <c r="F100" s="505">
        <f t="shared" si="6"/>
        <v>0</v>
      </c>
      <c r="G100" s="505">
        <f t="shared" si="6"/>
        <v>0</v>
      </c>
      <c r="H100" s="58"/>
      <c r="I100" s="198">
        <f>IF(Qty!$J101=0,Qty!M101,Qty!M101*Qty!$J101)*'Hist. prices'!I100*I$7</f>
        <v>0</v>
      </c>
      <c r="J100" s="198">
        <f>IF(Qty!$J101=0,Qty!N101,Qty!N101*Qty!$J101)*'Hist. prices'!J100*J$7</f>
        <v>0</v>
      </c>
      <c r="K100" s="198">
        <f>IF(Qty!$J101=0,Qty!O101,Qty!O101*Qty!$J101)*'Hist. prices'!K100*K$7</f>
        <v>0</v>
      </c>
      <c r="L100" s="198">
        <f>IF(Qty!$J101=0,Qty!P101,Qty!P101*Qty!$J101)*'Hist. prices'!L100*L$7</f>
        <v>0</v>
      </c>
      <c r="M100" s="198">
        <f>IF(Qty!$J101=0,Qty!Q101,Qty!Q101*Qty!$J101)*'Hist. prices'!M100*M$7</f>
        <v>0</v>
      </c>
      <c r="N100" s="198">
        <f>IF(Qty!$J101=0,Qty!R101,Qty!R101*Qty!$J101)*'Hist. prices'!N100*N$7</f>
        <v>0</v>
      </c>
      <c r="O100" s="198">
        <f>IF(Qty!$J101=0,Qty!S101,Qty!S101*Qty!$J101)*'Hist. prices'!O100*O$7</f>
        <v>0</v>
      </c>
      <c r="P100" s="198">
        <f>IF(Qty!$J101=0,Qty!T101,Qty!T101*Qty!$J101)*'Hist. prices'!P100*P$7</f>
        <v>0</v>
      </c>
      <c r="Q100" s="198">
        <f>IF(Qty!$J101=0,Qty!U101,Qty!U101*Qty!$J101)*'Hist. prices'!Q100*Q$7</f>
        <v>0</v>
      </c>
      <c r="R100" s="198">
        <f>IF(Qty!$J101=0,Qty!V101,Qty!V101*Qty!$J101)*'Hist. prices'!R100*R$7</f>
        <v>0</v>
      </c>
      <c r="S100" s="198">
        <f>IF(Qty!$J101=0,Qty!W101,Qty!W101*Qty!$J101)*'Hist. prices'!S100*S$7</f>
        <v>0</v>
      </c>
      <c r="T100" s="198">
        <f>IF(Qty!$J101=0,Qty!X101,Qty!X101*Qty!$J101)*'Hist. prices'!T100*T$7</f>
        <v>0</v>
      </c>
      <c r="U100" s="198">
        <f>IF(Qty!$J101=0,Qty!Y101,Qty!Y101*Qty!$J101)*'Hist. prices'!U100*U$7</f>
        <v>0</v>
      </c>
      <c r="V100" s="198">
        <f>IF(Qty!$J101=0,Qty!Z101,Qty!Z101*Qty!$J101)*'Hist. prices'!V100*V$7</f>
        <v>0</v>
      </c>
      <c r="W100" s="198">
        <f>IF(Qty!$J101=0,Qty!AA101,Qty!AA101*Qty!$J101)*'Hist. prices'!W100*W$7</f>
        <v>0</v>
      </c>
      <c r="X100" s="198">
        <f>IF(Qty!$J101=0,Qty!AB101,Qty!AB101*Qty!$J101)*'Hist. prices'!X100*X$7</f>
        <v>0</v>
      </c>
      <c r="Y100" s="198">
        <f>IF(Qty!$J101=0,Qty!AC101,Qty!AC101*Qty!$J101)*'Hist. prices'!Y100*Y$7</f>
        <v>0</v>
      </c>
      <c r="Z100" s="198">
        <f>IF(Qty!$J101=0,Qty!AD101,Qty!AD101*Qty!$J101)*'Hist. prices'!Z100*Z$7</f>
        <v>0</v>
      </c>
      <c r="AA100" s="198">
        <f>IF(Qty!$J101=0,Qty!AE101,Qty!AE101*Qty!$J101)*'Hist. prices'!AA100*AA$7</f>
        <v>0</v>
      </c>
      <c r="AB100" s="198">
        <f>IF(Qty!$J101=0,Qty!AF101,Qty!AF101*Qty!$J101)*'Hist. prices'!AB100*AB$7</f>
        <v>0</v>
      </c>
      <c r="AC100" s="206">
        <f t="shared" si="5"/>
        <v>0</v>
      </c>
      <c r="AD100" s="68"/>
      <c r="AE100" s="19"/>
      <c r="AF100" s="19"/>
      <c r="AG100" s="19"/>
      <c r="AH100" s="19"/>
    </row>
    <row r="101" spans="1:34" outlineLevel="2" x14ac:dyDescent="0.2">
      <c r="A101" s="19"/>
      <c r="B101" s="19"/>
      <c r="C101" s="506" t="str">
        <f t="shared" si="6"/>
        <v>Uncontrolled low voltage heating and hot water</v>
      </c>
      <c r="D101" s="505" t="str">
        <f t="shared" si="6"/>
        <v>Uncontrolled energy</v>
      </c>
      <c r="E101" s="505" t="str">
        <f t="shared" si="6"/>
        <v>TAS41</v>
      </c>
      <c r="F101" s="505">
        <f t="shared" si="6"/>
        <v>0</v>
      </c>
      <c r="G101" s="505">
        <f t="shared" si="6"/>
        <v>0</v>
      </c>
      <c r="H101" s="58"/>
      <c r="I101" s="198">
        <f>IF(Qty!$J102=0,Qty!M102,Qty!M102*Qty!$J102)*'Hist. prices'!I101*I$7</f>
        <v>0</v>
      </c>
      <c r="J101" s="198">
        <f>IF(Qty!$J102=0,Qty!N102,Qty!N102*Qty!$J102)*'Hist. prices'!J101*J$7</f>
        <v>16681843.015502466</v>
      </c>
      <c r="K101" s="198">
        <f>IF(Qty!$J102=0,Qty!O102,Qty!O102*Qty!$J102)*'Hist. prices'!K101*K$7</f>
        <v>0</v>
      </c>
      <c r="L101" s="198">
        <f>IF(Qty!$J102=0,Qty!P102,Qty!P102*Qty!$J102)*'Hist. prices'!L101*L$7</f>
        <v>0</v>
      </c>
      <c r="M101" s="198">
        <f>IF(Qty!$J102=0,Qty!Q102,Qty!Q102*Qty!$J102)*'Hist. prices'!M101*M$7</f>
        <v>0</v>
      </c>
      <c r="N101" s="198">
        <f>IF(Qty!$J102=0,Qty!R102,Qty!R102*Qty!$J102)*'Hist. prices'!N101*N$7</f>
        <v>0</v>
      </c>
      <c r="O101" s="198">
        <f>IF(Qty!$J102=0,Qty!S102,Qty!S102*Qty!$J102)*'Hist. prices'!O101*O$7</f>
        <v>0</v>
      </c>
      <c r="P101" s="198">
        <f>IF(Qty!$J102=0,Qty!T102,Qty!T102*Qty!$J102)*'Hist. prices'!P101*P$7</f>
        <v>0</v>
      </c>
      <c r="Q101" s="198">
        <f>IF(Qty!$J102=0,Qty!U102,Qty!U102*Qty!$J102)*'Hist. prices'!Q101*Q$7</f>
        <v>0</v>
      </c>
      <c r="R101" s="198">
        <f>IF(Qty!$J102=0,Qty!V102,Qty!V102*Qty!$J102)*'Hist. prices'!R101*R$7</f>
        <v>0</v>
      </c>
      <c r="S101" s="198">
        <f>IF(Qty!$J102=0,Qty!W102,Qty!W102*Qty!$J102)*'Hist. prices'!S101*S$7</f>
        <v>0</v>
      </c>
      <c r="T101" s="198">
        <f>IF(Qty!$J102=0,Qty!X102,Qty!X102*Qty!$J102)*'Hist. prices'!T101*T$7</f>
        <v>0</v>
      </c>
      <c r="U101" s="198">
        <f>IF(Qty!$J102=0,Qty!Y102,Qty!Y102*Qty!$J102)*'Hist. prices'!U101*U$7</f>
        <v>0</v>
      </c>
      <c r="V101" s="198">
        <f>IF(Qty!$J102=0,Qty!Z102,Qty!Z102*Qty!$J102)*'Hist. prices'!V101*V$7</f>
        <v>0</v>
      </c>
      <c r="W101" s="198">
        <f>IF(Qty!$J102=0,Qty!AA102,Qty!AA102*Qty!$J102)*'Hist. prices'!W101*W$7</f>
        <v>0</v>
      </c>
      <c r="X101" s="198">
        <f>IF(Qty!$J102=0,Qty!AB102,Qty!AB102*Qty!$J102)*'Hist. prices'!X101*X$7</f>
        <v>0</v>
      </c>
      <c r="Y101" s="198">
        <f>IF(Qty!$J102=0,Qty!AC102,Qty!AC102*Qty!$J102)*'Hist. prices'!Y101*Y$7</f>
        <v>0</v>
      </c>
      <c r="Z101" s="198">
        <f>IF(Qty!$J102=0,Qty!AD102,Qty!AD102*Qty!$J102)*'Hist. prices'!Z101*Z$7</f>
        <v>0</v>
      </c>
      <c r="AA101" s="198">
        <f>IF(Qty!$J102=0,Qty!AE102,Qty!AE102*Qty!$J102)*'Hist. prices'!AA101*AA$7</f>
        <v>0</v>
      </c>
      <c r="AB101" s="198">
        <f>IF(Qty!$J102=0,Qty!AF102,Qty!AF102*Qty!$J102)*'Hist. prices'!AB101*AB$7</f>
        <v>0</v>
      </c>
      <c r="AC101" s="206">
        <f t="shared" si="5"/>
        <v>16681843.015502466</v>
      </c>
      <c r="AD101" s="68"/>
      <c r="AE101" s="19"/>
      <c r="AF101" s="19"/>
      <c r="AG101" s="19"/>
      <c r="AH101" s="19"/>
    </row>
    <row r="102" spans="1:34" outlineLevel="2" x14ac:dyDescent="0.2">
      <c r="A102" s="19"/>
      <c r="B102" s="19"/>
      <c r="C102" s="506" t="str">
        <f t="shared" si="6"/>
        <v>Controlled low voltage night period only</v>
      </c>
      <c r="D102" s="505" t="str">
        <f t="shared" si="6"/>
        <v>Controlled energy</v>
      </c>
      <c r="E102" s="505" t="str">
        <f t="shared" si="6"/>
        <v>TAS63</v>
      </c>
      <c r="F102" s="505">
        <f t="shared" si="6"/>
        <v>0</v>
      </c>
      <c r="G102" s="505">
        <f t="shared" si="6"/>
        <v>0</v>
      </c>
      <c r="H102" s="58"/>
      <c r="I102" s="198">
        <f>IF(Qty!$J103=0,Qty!M103,Qty!M103*Qty!$J103)*'Hist. prices'!I102*I$7</f>
        <v>0</v>
      </c>
      <c r="J102" s="198">
        <f>IF(Qty!$J103=0,Qty!N103,Qty!N103*Qty!$J103)*'Hist. prices'!J102*J$7</f>
        <v>5863.8345047930106</v>
      </c>
      <c r="K102" s="198">
        <f>IF(Qty!$J103=0,Qty!O103,Qty!O103*Qty!$J103)*'Hist. prices'!K102*K$7</f>
        <v>0</v>
      </c>
      <c r="L102" s="198">
        <f>IF(Qty!$J103=0,Qty!P103,Qty!P103*Qty!$J103)*'Hist. prices'!L102*L$7</f>
        <v>0</v>
      </c>
      <c r="M102" s="198">
        <f>IF(Qty!$J103=0,Qty!Q103,Qty!Q103*Qty!$J103)*'Hist. prices'!M102*M$7</f>
        <v>0</v>
      </c>
      <c r="N102" s="198">
        <f>IF(Qty!$J103=0,Qty!R103,Qty!R103*Qty!$J103)*'Hist. prices'!N102*N$7</f>
        <v>0</v>
      </c>
      <c r="O102" s="198">
        <f>IF(Qty!$J103=0,Qty!S103,Qty!S103*Qty!$J103)*'Hist. prices'!O102*O$7</f>
        <v>0</v>
      </c>
      <c r="P102" s="198">
        <f>IF(Qty!$J103=0,Qty!T103,Qty!T103*Qty!$J103)*'Hist. prices'!P102*P$7</f>
        <v>0</v>
      </c>
      <c r="Q102" s="198">
        <f>IF(Qty!$J103=0,Qty!U103,Qty!U103*Qty!$J103)*'Hist. prices'!Q102*Q$7</f>
        <v>0</v>
      </c>
      <c r="R102" s="198">
        <f>IF(Qty!$J103=0,Qty!V103,Qty!V103*Qty!$J103)*'Hist. prices'!R102*R$7</f>
        <v>0</v>
      </c>
      <c r="S102" s="198">
        <f>IF(Qty!$J103=0,Qty!W103,Qty!W103*Qty!$J103)*'Hist. prices'!S102*S$7</f>
        <v>0</v>
      </c>
      <c r="T102" s="198">
        <f>IF(Qty!$J103=0,Qty!X103,Qty!X103*Qty!$J103)*'Hist. prices'!T102*T$7</f>
        <v>0</v>
      </c>
      <c r="U102" s="198">
        <f>IF(Qty!$J103=0,Qty!Y103,Qty!Y103*Qty!$J103)*'Hist. prices'!U102*U$7</f>
        <v>0</v>
      </c>
      <c r="V102" s="198">
        <f>IF(Qty!$J103=0,Qty!Z103,Qty!Z103*Qty!$J103)*'Hist. prices'!V102*V$7</f>
        <v>0</v>
      </c>
      <c r="W102" s="198">
        <f>IF(Qty!$J103=0,Qty!AA103,Qty!AA103*Qty!$J103)*'Hist. prices'!W102*W$7</f>
        <v>0</v>
      </c>
      <c r="X102" s="198">
        <f>IF(Qty!$J103=0,Qty!AB103,Qty!AB103*Qty!$J103)*'Hist. prices'!X102*X$7</f>
        <v>0</v>
      </c>
      <c r="Y102" s="198">
        <f>IF(Qty!$J103=0,Qty!AC103,Qty!AC103*Qty!$J103)*'Hist. prices'!Y102*Y$7</f>
        <v>0</v>
      </c>
      <c r="Z102" s="198">
        <f>IF(Qty!$J103=0,Qty!AD103,Qty!AD103*Qty!$J103)*'Hist. prices'!Z102*Z$7</f>
        <v>0</v>
      </c>
      <c r="AA102" s="198">
        <f>IF(Qty!$J103=0,Qty!AE103,Qty!AE103*Qty!$J103)*'Hist. prices'!AA102*AA$7</f>
        <v>0</v>
      </c>
      <c r="AB102" s="198">
        <f>IF(Qty!$J103=0,Qty!AF103,Qty!AF103*Qty!$J103)*'Hist. prices'!AB102*AB$7</f>
        <v>0</v>
      </c>
      <c r="AC102" s="206">
        <f t="shared" si="5"/>
        <v>5863.8345047930106</v>
      </c>
      <c r="AD102" s="68"/>
      <c r="AE102" s="19"/>
      <c r="AF102" s="19"/>
      <c r="AG102" s="19"/>
      <c r="AH102" s="19"/>
    </row>
    <row r="103" spans="1:34" ht="22.5" outlineLevel="2" x14ac:dyDescent="0.2">
      <c r="A103" s="19"/>
      <c r="B103" s="19"/>
      <c r="C103" s="506" t="str">
        <f t="shared" si="6"/>
        <v>Controlled low voltage off peak with afternoon boost</v>
      </c>
      <c r="D103" s="505" t="str">
        <f t="shared" si="6"/>
        <v>Controlled energy</v>
      </c>
      <c r="E103" s="505" t="str">
        <f t="shared" si="6"/>
        <v>TAS61</v>
      </c>
      <c r="F103" s="505">
        <f t="shared" si="6"/>
        <v>0</v>
      </c>
      <c r="G103" s="505">
        <f t="shared" si="6"/>
        <v>0</v>
      </c>
      <c r="H103" s="58"/>
      <c r="I103" s="198">
        <f>IF(Qty!$J104=0,Qty!M104,Qty!M104*Qty!$J104)*'Hist. prices'!I103*I$7</f>
        <v>0</v>
      </c>
      <c r="J103" s="198">
        <f>IF(Qty!$J104=0,Qty!N104,Qty!N104*Qty!$J104)*'Hist. prices'!J103*J$7</f>
        <v>178349.71496033046</v>
      </c>
      <c r="K103" s="198">
        <f>IF(Qty!$J104=0,Qty!O104,Qty!O104*Qty!$J104)*'Hist. prices'!K103*K$7</f>
        <v>0</v>
      </c>
      <c r="L103" s="198">
        <f>IF(Qty!$J104=0,Qty!P104,Qty!P104*Qty!$J104)*'Hist. prices'!L103*L$7</f>
        <v>0</v>
      </c>
      <c r="M103" s="198">
        <f>IF(Qty!$J104=0,Qty!Q104,Qty!Q104*Qty!$J104)*'Hist. prices'!M103*M$7</f>
        <v>0</v>
      </c>
      <c r="N103" s="198">
        <f>IF(Qty!$J104=0,Qty!R104,Qty!R104*Qty!$J104)*'Hist. prices'!N103*N$7</f>
        <v>0</v>
      </c>
      <c r="O103" s="198">
        <f>IF(Qty!$J104=0,Qty!S104,Qty!S104*Qty!$J104)*'Hist. prices'!O103*O$7</f>
        <v>0</v>
      </c>
      <c r="P103" s="198">
        <f>IF(Qty!$J104=0,Qty!T104,Qty!T104*Qty!$J104)*'Hist. prices'!P103*P$7</f>
        <v>0</v>
      </c>
      <c r="Q103" s="198">
        <f>IF(Qty!$J104=0,Qty!U104,Qty!U104*Qty!$J104)*'Hist. prices'!Q103*Q$7</f>
        <v>0</v>
      </c>
      <c r="R103" s="198">
        <f>IF(Qty!$J104=0,Qty!V104,Qty!V104*Qty!$J104)*'Hist. prices'!R103*R$7</f>
        <v>0</v>
      </c>
      <c r="S103" s="198">
        <f>IF(Qty!$J104=0,Qty!W104,Qty!W104*Qty!$J104)*'Hist. prices'!S103*S$7</f>
        <v>0</v>
      </c>
      <c r="T103" s="198">
        <f>IF(Qty!$J104=0,Qty!X104,Qty!X104*Qty!$J104)*'Hist. prices'!T103*T$7</f>
        <v>0</v>
      </c>
      <c r="U103" s="198">
        <f>IF(Qty!$J104=0,Qty!Y104,Qty!Y104*Qty!$J104)*'Hist. prices'!U103*U$7</f>
        <v>0</v>
      </c>
      <c r="V103" s="198">
        <f>IF(Qty!$J104=0,Qty!Z104,Qty!Z104*Qty!$J104)*'Hist. prices'!V103*V$7</f>
        <v>0</v>
      </c>
      <c r="W103" s="198">
        <f>IF(Qty!$J104=0,Qty!AA104,Qty!AA104*Qty!$J104)*'Hist. prices'!W103*W$7</f>
        <v>0</v>
      </c>
      <c r="X103" s="198">
        <f>IF(Qty!$J104=0,Qty!AB104,Qty!AB104*Qty!$J104)*'Hist. prices'!X103*X$7</f>
        <v>0</v>
      </c>
      <c r="Y103" s="198">
        <f>IF(Qty!$J104=0,Qty!AC104,Qty!AC104*Qty!$J104)*'Hist. prices'!Y103*Y$7</f>
        <v>0</v>
      </c>
      <c r="Z103" s="198">
        <f>IF(Qty!$J104=0,Qty!AD104,Qty!AD104*Qty!$J104)*'Hist. prices'!Z103*Z$7</f>
        <v>0</v>
      </c>
      <c r="AA103" s="198">
        <f>IF(Qty!$J104=0,Qty!AE104,Qty!AE104*Qty!$J104)*'Hist. prices'!AA103*AA$7</f>
        <v>0</v>
      </c>
      <c r="AB103" s="198">
        <f>IF(Qty!$J104=0,Qty!AF104,Qty!AF104*Qty!$J104)*'Hist. prices'!AB103*AB$7</f>
        <v>0</v>
      </c>
      <c r="AC103" s="206">
        <f t="shared" si="5"/>
        <v>178349.71496033046</v>
      </c>
      <c r="AD103" s="68"/>
      <c r="AE103" s="19"/>
      <c r="AF103" s="19"/>
      <c r="AG103" s="19"/>
      <c r="AH103" s="19"/>
    </row>
    <row r="104" spans="1:34" outlineLevel="2" x14ac:dyDescent="0.2">
      <c r="A104" s="19"/>
      <c r="B104" s="19"/>
      <c r="C104" s="506" t="str">
        <f t="shared" si="6"/>
        <v>Unmetered supply general</v>
      </c>
      <c r="D104" s="505" t="str">
        <f t="shared" si="6"/>
        <v>Unmetered supplies</v>
      </c>
      <c r="E104" s="505" t="str">
        <f t="shared" si="6"/>
        <v>TASUMS</v>
      </c>
      <c r="F104" s="505">
        <f t="shared" si="6"/>
        <v>0</v>
      </c>
      <c r="G104" s="505">
        <f t="shared" si="6"/>
        <v>0</v>
      </c>
      <c r="H104" s="58"/>
      <c r="I104" s="198">
        <f>IF(Qty!$J105=0,Qty!M105,Qty!M105*Qty!$J105)*'Hist. prices'!I104*I$7</f>
        <v>0</v>
      </c>
      <c r="J104" s="198">
        <f>IF(Qty!$J105=0,Qty!N105,Qty!N105*Qty!$J105)*'Hist. prices'!J104*J$7</f>
        <v>184902.51079810859</v>
      </c>
      <c r="K104" s="198">
        <f>IF(Qty!$J105=0,Qty!O105,Qty!O105*Qty!$J105)*'Hist. prices'!K104*K$7</f>
        <v>0</v>
      </c>
      <c r="L104" s="198">
        <f>IF(Qty!$J105=0,Qty!P105,Qty!P105*Qty!$J105)*'Hist. prices'!L104*L$7</f>
        <v>0</v>
      </c>
      <c r="M104" s="198">
        <f>IF(Qty!$J105=0,Qty!Q105,Qty!Q105*Qty!$J105)*'Hist. prices'!M104*M$7</f>
        <v>0</v>
      </c>
      <c r="N104" s="198">
        <f>IF(Qty!$J105=0,Qty!R105,Qty!R105*Qty!$J105)*'Hist. prices'!N104*N$7</f>
        <v>0</v>
      </c>
      <c r="O104" s="198">
        <f>IF(Qty!$J105=0,Qty!S105,Qty!S105*Qty!$J105)*'Hist. prices'!O104*O$7</f>
        <v>0</v>
      </c>
      <c r="P104" s="198">
        <f>IF(Qty!$J105=0,Qty!T105,Qty!T105*Qty!$J105)*'Hist. prices'!P104*P$7</f>
        <v>0</v>
      </c>
      <c r="Q104" s="198">
        <f>IF(Qty!$J105=0,Qty!U105,Qty!U105*Qty!$J105)*'Hist. prices'!Q104*Q$7</f>
        <v>0</v>
      </c>
      <c r="R104" s="198">
        <f>IF(Qty!$J105=0,Qty!V105,Qty!V105*Qty!$J105)*'Hist. prices'!R104*R$7</f>
        <v>0</v>
      </c>
      <c r="S104" s="198">
        <f>IF(Qty!$J105=0,Qty!W105,Qty!W105*Qty!$J105)*'Hist. prices'!S104*S$7</f>
        <v>0</v>
      </c>
      <c r="T104" s="198">
        <f>IF(Qty!$J105=0,Qty!X105,Qty!X105*Qty!$J105)*'Hist. prices'!T104*T$7</f>
        <v>0</v>
      </c>
      <c r="U104" s="198">
        <f>IF(Qty!$J105=0,Qty!Y105,Qty!Y105*Qty!$J105)*'Hist. prices'!U104*U$7</f>
        <v>0</v>
      </c>
      <c r="V104" s="198">
        <f>IF(Qty!$J105=0,Qty!Z105,Qty!Z105*Qty!$J105)*'Hist. prices'!V104*V$7</f>
        <v>0</v>
      </c>
      <c r="W104" s="198">
        <f>IF(Qty!$J105=0,Qty!AA105,Qty!AA105*Qty!$J105)*'Hist. prices'!W104*W$7</f>
        <v>0</v>
      </c>
      <c r="X104" s="198">
        <f>IF(Qty!$J105=0,Qty!AB105,Qty!AB105*Qty!$J105)*'Hist. prices'!X104*X$7</f>
        <v>0</v>
      </c>
      <c r="Y104" s="198">
        <f>IF(Qty!$J105=0,Qty!AC105,Qty!AC105*Qty!$J105)*'Hist. prices'!Y104*Y$7</f>
        <v>0</v>
      </c>
      <c r="Z104" s="198">
        <f>IF(Qty!$J105=0,Qty!AD105,Qty!AD105*Qty!$J105)*'Hist. prices'!Z104*Z$7</f>
        <v>0</v>
      </c>
      <c r="AA104" s="198">
        <f>IF(Qty!$J105=0,Qty!AE105,Qty!AE105*Qty!$J105)*'Hist. prices'!AA104*AA$7</f>
        <v>0</v>
      </c>
      <c r="AB104" s="198">
        <f>IF(Qty!$J105=0,Qty!AF105,Qty!AF105*Qty!$J105)*'Hist. prices'!AB104*AB$7</f>
        <v>0</v>
      </c>
      <c r="AC104" s="206">
        <f t="shared" si="5"/>
        <v>184902.51079810859</v>
      </c>
      <c r="AD104" s="68"/>
      <c r="AE104" s="19"/>
      <c r="AF104" s="19"/>
      <c r="AG104" s="19"/>
      <c r="AH104" s="19"/>
    </row>
    <row r="105" spans="1:34" outlineLevel="2" x14ac:dyDescent="0.2">
      <c r="A105" s="19"/>
      <c r="B105" s="19"/>
      <c r="C105" s="506" t="str">
        <f t="shared" si="6"/>
        <v>Street lighting</v>
      </c>
      <c r="D105" s="505" t="str">
        <f t="shared" si="6"/>
        <v>Street lighting</v>
      </c>
      <c r="E105" s="505" t="str">
        <f t="shared" si="6"/>
        <v>TASUMSSL</v>
      </c>
      <c r="F105" s="505">
        <f t="shared" si="6"/>
        <v>0</v>
      </c>
      <c r="G105" s="505">
        <f t="shared" si="6"/>
        <v>0</v>
      </c>
      <c r="H105" s="58"/>
      <c r="I105" s="198">
        <f>IF(Qty!$J106=0,Qty!M106,Qty!M106*Qty!$J106)*'Hist. prices'!I105*I$7</f>
        <v>0</v>
      </c>
      <c r="J105" s="198">
        <f>IF(Qty!$J106=0,Qty!N106,Qty!N106*Qty!$J106)*'Hist. prices'!J105*J$7</f>
        <v>0</v>
      </c>
      <c r="K105" s="198">
        <f>IF(Qty!$J106=0,Qty!O106,Qty!O106*Qty!$J106)*'Hist. prices'!K105*K$7</f>
        <v>0</v>
      </c>
      <c r="L105" s="198">
        <f>IF(Qty!$J106=0,Qty!P106,Qty!P106*Qty!$J106)*'Hist. prices'!L105*L$7</f>
        <v>0</v>
      </c>
      <c r="M105" s="198">
        <f>IF(Qty!$J106=0,Qty!Q106,Qty!Q106*Qty!$J106)*'Hist. prices'!M105*M$7</f>
        <v>0</v>
      </c>
      <c r="N105" s="198">
        <f>IF(Qty!$J106=0,Qty!R106,Qty!R106*Qty!$J106)*'Hist. prices'!N105*N$7</f>
        <v>0</v>
      </c>
      <c r="O105" s="198">
        <f>IF(Qty!$J106=0,Qty!S106,Qty!S106*Qty!$J106)*'Hist. prices'!O105*O$7</f>
        <v>0</v>
      </c>
      <c r="P105" s="198">
        <f>IF(Qty!$J106=0,Qty!T106,Qty!T106*Qty!$J106)*'Hist. prices'!P105*P$7</f>
        <v>0</v>
      </c>
      <c r="Q105" s="198">
        <f>IF(Qty!$J106=0,Qty!U106,Qty!U106*Qty!$J106)*'Hist. prices'!Q105*Q$7</f>
        <v>0</v>
      </c>
      <c r="R105" s="198">
        <f>IF(Qty!$J106=0,Qty!V106,Qty!V106*Qty!$J106)*'Hist. prices'!R105*R$7</f>
        <v>0</v>
      </c>
      <c r="S105" s="198">
        <f>IF(Qty!$J106=0,Qty!W106,Qty!W106*Qty!$J106)*'Hist. prices'!S105*S$7</f>
        <v>0</v>
      </c>
      <c r="T105" s="198">
        <f>IF(Qty!$J106=0,Qty!X106,Qty!X106*Qty!$J106)*'Hist. prices'!T105*T$7</f>
        <v>0</v>
      </c>
      <c r="U105" s="198">
        <f>IF(Qty!$J106=0,Qty!Y106,Qty!Y106*Qty!$J106)*'Hist. prices'!U105*U$7</f>
        <v>328326.27734724036</v>
      </c>
      <c r="V105" s="198">
        <f>IF(Qty!$J106=0,Qty!Z106,Qty!Z106*Qty!$J106)*'Hist. prices'!V105*V$7</f>
        <v>0</v>
      </c>
      <c r="W105" s="198">
        <f>IF(Qty!$J106=0,Qty!AA106,Qty!AA106*Qty!$J106)*'Hist. prices'!W105*W$7</f>
        <v>0</v>
      </c>
      <c r="X105" s="198">
        <f>IF(Qty!$J106=0,Qty!AB106,Qty!AB106*Qty!$J106)*'Hist. prices'!X105*X$7</f>
        <v>0</v>
      </c>
      <c r="Y105" s="198">
        <f>IF(Qty!$J106=0,Qty!AC106,Qty!AC106*Qty!$J106)*'Hist. prices'!Y105*Y$7</f>
        <v>0</v>
      </c>
      <c r="Z105" s="198">
        <f>IF(Qty!$J106=0,Qty!AD106,Qty!AD106*Qty!$J106)*'Hist. prices'!Z105*Z$7</f>
        <v>0</v>
      </c>
      <c r="AA105" s="198">
        <f>IF(Qty!$J106=0,Qty!AE106,Qty!AE106*Qty!$J106)*'Hist. prices'!AA105*AA$7</f>
        <v>0</v>
      </c>
      <c r="AB105" s="198">
        <f>IF(Qty!$J106=0,Qty!AF106,Qty!AF106*Qty!$J106)*'Hist. prices'!AB105*AB$7</f>
        <v>0</v>
      </c>
      <c r="AC105" s="206">
        <f t="shared" si="5"/>
        <v>328326.27734724036</v>
      </c>
      <c r="AD105" s="68"/>
      <c r="AE105" s="19"/>
      <c r="AF105" s="19"/>
      <c r="AG105" s="19"/>
      <c r="AH105" s="19"/>
    </row>
    <row r="106" spans="1:34" outlineLevel="2" x14ac:dyDescent="0.2">
      <c r="A106" s="19"/>
      <c r="B106" s="19"/>
      <c r="C106" s="506">
        <f t="shared" ref="C106:G115" si="7">C28</f>
        <v>0</v>
      </c>
      <c r="D106" s="505">
        <f t="shared" si="7"/>
        <v>0</v>
      </c>
      <c r="E106" s="505">
        <f t="shared" si="7"/>
        <v>0</v>
      </c>
      <c r="F106" s="505">
        <f t="shared" si="7"/>
        <v>0</v>
      </c>
      <c r="G106" s="505">
        <f t="shared" si="7"/>
        <v>0</v>
      </c>
      <c r="H106" s="58"/>
      <c r="I106" s="198">
        <f>IF(Qty!$J107=0,Qty!M107,Qty!M107*Qty!$J107)*'Hist. prices'!I106*I$7</f>
        <v>0</v>
      </c>
      <c r="J106" s="198">
        <f>IF(Qty!$J107=0,Qty!N107,Qty!N107*Qty!$J107)*'Hist. prices'!J106*J$7</f>
        <v>0</v>
      </c>
      <c r="K106" s="198">
        <f>IF(Qty!$J107=0,Qty!O107,Qty!O107*Qty!$J107)*'Hist. prices'!K106*K$7</f>
        <v>0</v>
      </c>
      <c r="L106" s="198">
        <f>IF(Qty!$J107=0,Qty!P107,Qty!P107*Qty!$J107)*'Hist. prices'!L106*L$7</f>
        <v>0</v>
      </c>
      <c r="M106" s="198">
        <f>IF(Qty!$J107=0,Qty!Q107,Qty!Q107*Qty!$J107)*'Hist. prices'!M106*M$7</f>
        <v>0</v>
      </c>
      <c r="N106" s="198">
        <f>IF(Qty!$J107=0,Qty!R107,Qty!R107*Qty!$J107)*'Hist. prices'!N106*N$7</f>
        <v>0</v>
      </c>
      <c r="O106" s="198">
        <f>IF(Qty!$J107=0,Qty!S107,Qty!S107*Qty!$J107)*'Hist. prices'!O106*O$7</f>
        <v>0</v>
      </c>
      <c r="P106" s="198">
        <f>IF(Qty!$J107=0,Qty!T107,Qty!T107*Qty!$J107)*'Hist. prices'!P106*P$7</f>
        <v>0</v>
      </c>
      <c r="Q106" s="198">
        <f>IF(Qty!$J107=0,Qty!U107,Qty!U107*Qty!$J107)*'Hist. prices'!Q106*Q$7</f>
        <v>0</v>
      </c>
      <c r="R106" s="198">
        <f>IF(Qty!$J107=0,Qty!V107,Qty!V107*Qty!$J107)*'Hist. prices'!R106*R$7</f>
        <v>0</v>
      </c>
      <c r="S106" s="198">
        <f>IF(Qty!$J107=0,Qty!W107,Qty!W107*Qty!$J107)*'Hist. prices'!S106*S$7</f>
        <v>0</v>
      </c>
      <c r="T106" s="198">
        <f>IF(Qty!$J107=0,Qty!X107,Qty!X107*Qty!$J107)*'Hist. prices'!T106*T$7</f>
        <v>0</v>
      </c>
      <c r="U106" s="198">
        <f>IF(Qty!$J107=0,Qty!Y107,Qty!Y107*Qty!$J107)*'Hist. prices'!U106*U$7</f>
        <v>0</v>
      </c>
      <c r="V106" s="198">
        <f>IF(Qty!$J107=0,Qty!Z107,Qty!Z107*Qty!$J107)*'Hist. prices'!V106*V$7</f>
        <v>0</v>
      </c>
      <c r="W106" s="198">
        <f>IF(Qty!$J107=0,Qty!AA107,Qty!AA107*Qty!$J107)*'Hist. prices'!W106*W$7</f>
        <v>0</v>
      </c>
      <c r="X106" s="198">
        <f>IF(Qty!$J107=0,Qty!AB107,Qty!AB107*Qty!$J107)*'Hist. prices'!X106*X$7</f>
        <v>0</v>
      </c>
      <c r="Y106" s="198">
        <f>IF(Qty!$J107=0,Qty!AC107,Qty!AC107*Qty!$J107)*'Hist. prices'!Y106*Y$7</f>
        <v>0</v>
      </c>
      <c r="Z106" s="198">
        <f>IF(Qty!$J107=0,Qty!AD107,Qty!AD107*Qty!$J107)*'Hist. prices'!Z106*Z$7</f>
        <v>0</v>
      </c>
      <c r="AA106" s="198">
        <f>IF(Qty!$J107=0,Qty!AE107,Qty!AE107*Qty!$J107)*'Hist. prices'!AA106*AA$7</f>
        <v>0</v>
      </c>
      <c r="AB106" s="198">
        <f>IF(Qty!$J107=0,Qty!AF107,Qty!AF107*Qty!$J107)*'Hist. prices'!AB106*AB$7</f>
        <v>0</v>
      </c>
      <c r="AC106" s="206">
        <f t="shared" si="5"/>
        <v>0</v>
      </c>
      <c r="AD106" s="68"/>
      <c r="AE106" s="19"/>
      <c r="AF106" s="19"/>
      <c r="AG106" s="19"/>
      <c r="AH106" s="19"/>
    </row>
    <row r="107" spans="1:34" hidden="1" outlineLevel="3" x14ac:dyDescent="0.2">
      <c r="A107" s="19"/>
      <c r="B107" s="19"/>
      <c r="C107" s="506">
        <f t="shared" si="7"/>
        <v>0</v>
      </c>
      <c r="D107" s="505">
        <f t="shared" si="7"/>
        <v>0</v>
      </c>
      <c r="E107" s="505">
        <f t="shared" si="7"/>
        <v>0</v>
      </c>
      <c r="F107" s="505">
        <f t="shared" si="7"/>
        <v>0</v>
      </c>
      <c r="G107" s="505">
        <f t="shared" si="7"/>
        <v>0</v>
      </c>
      <c r="H107" s="58"/>
      <c r="I107" s="198">
        <f>IF(Qty!$J108=0,Qty!M108,Qty!M108*Qty!$J108)*'Hist. prices'!I107*I$7</f>
        <v>0</v>
      </c>
      <c r="J107" s="198">
        <f>IF(Qty!$J108=0,Qty!N108,Qty!N108*Qty!$J108)*'Hist. prices'!J107*J$7</f>
        <v>0</v>
      </c>
      <c r="K107" s="198">
        <f>IF(Qty!$J108=0,Qty!O108,Qty!O108*Qty!$J108)*'Hist. prices'!K107*K$7</f>
        <v>0</v>
      </c>
      <c r="L107" s="198">
        <f>IF(Qty!$J108=0,Qty!P108,Qty!P108*Qty!$J108)*'Hist. prices'!L107*L$7</f>
        <v>0</v>
      </c>
      <c r="M107" s="198">
        <f>IF(Qty!$J108=0,Qty!Q108,Qty!Q108*Qty!$J108)*'Hist. prices'!M107*M$7</f>
        <v>0</v>
      </c>
      <c r="N107" s="198">
        <f>IF(Qty!$J108=0,Qty!R108,Qty!R108*Qty!$J108)*'Hist. prices'!N107*N$7</f>
        <v>0</v>
      </c>
      <c r="O107" s="198">
        <f>IF(Qty!$J108=0,Qty!S108,Qty!S108*Qty!$J108)*'Hist. prices'!O107*O$7</f>
        <v>0</v>
      </c>
      <c r="P107" s="198">
        <f>IF(Qty!$J108=0,Qty!T108,Qty!T108*Qty!$J108)*'Hist. prices'!P107*P$7</f>
        <v>0</v>
      </c>
      <c r="Q107" s="198">
        <f>IF(Qty!$J108=0,Qty!U108,Qty!U108*Qty!$J108)*'Hist. prices'!Q107*Q$7</f>
        <v>0</v>
      </c>
      <c r="R107" s="198">
        <f>IF(Qty!$J108=0,Qty!V108,Qty!V108*Qty!$J108)*'Hist. prices'!R107*R$7</f>
        <v>0</v>
      </c>
      <c r="S107" s="198">
        <f>IF(Qty!$J108=0,Qty!W108,Qty!W108*Qty!$J108)*'Hist. prices'!S107*S$7</f>
        <v>0</v>
      </c>
      <c r="T107" s="198">
        <f>IF(Qty!$J108=0,Qty!X108,Qty!X108*Qty!$J108)*'Hist. prices'!T107*T$7</f>
        <v>0</v>
      </c>
      <c r="U107" s="198">
        <f>IF(Qty!$J108=0,Qty!Y108,Qty!Y108*Qty!$J108)*'Hist. prices'!U107*U$7</f>
        <v>0</v>
      </c>
      <c r="V107" s="198">
        <f>IF(Qty!$J108=0,Qty!Z108,Qty!Z108*Qty!$J108)*'Hist. prices'!V107*V$7</f>
        <v>0</v>
      </c>
      <c r="W107" s="198">
        <f>IF(Qty!$J108=0,Qty!AA108,Qty!AA108*Qty!$J108)*'Hist. prices'!W107*W$7</f>
        <v>0</v>
      </c>
      <c r="X107" s="198">
        <f>IF(Qty!$J108=0,Qty!AB108,Qty!AB108*Qty!$J108)*'Hist. prices'!X107*X$7</f>
        <v>0</v>
      </c>
      <c r="Y107" s="198">
        <f>IF(Qty!$J108=0,Qty!AC108,Qty!AC108*Qty!$J108)*'Hist. prices'!Y107*Y$7</f>
        <v>0</v>
      </c>
      <c r="Z107" s="198">
        <f>IF(Qty!$J108=0,Qty!AD108,Qty!AD108*Qty!$J108)*'Hist. prices'!Z107*Z$7</f>
        <v>0</v>
      </c>
      <c r="AA107" s="198">
        <f>IF(Qty!$J108=0,Qty!AE108,Qty!AE108*Qty!$J108)*'Hist. prices'!AA107*AA$7</f>
        <v>0</v>
      </c>
      <c r="AB107" s="198">
        <f>IF(Qty!$J108=0,Qty!AF108,Qty!AF108*Qty!$J108)*'Hist. prices'!AB107*AB$7</f>
        <v>0</v>
      </c>
      <c r="AC107" s="206">
        <f t="shared" si="5"/>
        <v>0</v>
      </c>
      <c r="AD107" s="68"/>
      <c r="AE107" s="19"/>
      <c r="AF107" s="19"/>
      <c r="AG107" s="19"/>
      <c r="AH107" s="19"/>
    </row>
    <row r="108" spans="1:34" hidden="1" outlineLevel="3" x14ac:dyDescent="0.2">
      <c r="A108" s="19"/>
      <c r="B108" s="19"/>
      <c r="C108" s="506">
        <f t="shared" si="7"/>
        <v>0</v>
      </c>
      <c r="D108" s="505">
        <f t="shared" si="7"/>
        <v>0</v>
      </c>
      <c r="E108" s="505">
        <f t="shared" si="7"/>
        <v>0</v>
      </c>
      <c r="F108" s="505">
        <f t="shared" si="7"/>
        <v>0</v>
      </c>
      <c r="G108" s="505">
        <f t="shared" si="7"/>
        <v>0</v>
      </c>
      <c r="H108" s="58"/>
      <c r="I108" s="198">
        <f>IF(Qty!$J109=0,Qty!M109,Qty!M109*Qty!$J109)*'Hist. prices'!I108*I$7</f>
        <v>0</v>
      </c>
      <c r="J108" s="198">
        <f>IF(Qty!$J109=0,Qty!N109,Qty!N109*Qty!$J109)*'Hist. prices'!J108*J$7</f>
        <v>0</v>
      </c>
      <c r="K108" s="198">
        <f>IF(Qty!$J109=0,Qty!O109,Qty!O109*Qty!$J109)*'Hist. prices'!K108*K$7</f>
        <v>0</v>
      </c>
      <c r="L108" s="198">
        <f>IF(Qty!$J109=0,Qty!P109,Qty!P109*Qty!$J109)*'Hist. prices'!L108*L$7</f>
        <v>0</v>
      </c>
      <c r="M108" s="198">
        <f>IF(Qty!$J109=0,Qty!Q109,Qty!Q109*Qty!$J109)*'Hist. prices'!M108*M$7</f>
        <v>0</v>
      </c>
      <c r="N108" s="198">
        <f>IF(Qty!$J109=0,Qty!R109,Qty!R109*Qty!$J109)*'Hist. prices'!N108*N$7</f>
        <v>0</v>
      </c>
      <c r="O108" s="198">
        <f>IF(Qty!$J109=0,Qty!S109,Qty!S109*Qty!$J109)*'Hist. prices'!O108*O$7</f>
        <v>0</v>
      </c>
      <c r="P108" s="198">
        <f>IF(Qty!$J109=0,Qty!T109,Qty!T109*Qty!$J109)*'Hist. prices'!P108*P$7</f>
        <v>0</v>
      </c>
      <c r="Q108" s="198">
        <f>IF(Qty!$J109=0,Qty!U109,Qty!U109*Qty!$J109)*'Hist. prices'!Q108*Q$7</f>
        <v>0</v>
      </c>
      <c r="R108" s="198">
        <f>IF(Qty!$J109=0,Qty!V109,Qty!V109*Qty!$J109)*'Hist. prices'!R108*R$7</f>
        <v>0</v>
      </c>
      <c r="S108" s="198">
        <f>IF(Qty!$J109=0,Qty!W109,Qty!W109*Qty!$J109)*'Hist. prices'!S108*S$7</f>
        <v>0</v>
      </c>
      <c r="T108" s="198">
        <f>IF(Qty!$J109=0,Qty!X109,Qty!X109*Qty!$J109)*'Hist. prices'!T108*T$7</f>
        <v>0</v>
      </c>
      <c r="U108" s="198">
        <f>IF(Qty!$J109=0,Qty!Y109,Qty!Y109*Qty!$J109)*'Hist. prices'!U108*U$7</f>
        <v>0</v>
      </c>
      <c r="V108" s="198">
        <f>IF(Qty!$J109=0,Qty!Z109,Qty!Z109*Qty!$J109)*'Hist. prices'!V108*V$7</f>
        <v>0</v>
      </c>
      <c r="W108" s="198">
        <f>IF(Qty!$J109=0,Qty!AA109,Qty!AA109*Qty!$J109)*'Hist. prices'!W108*W$7</f>
        <v>0</v>
      </c>
      <c r="X108" s="198">
        <f>IF(Qty!$J109=0,Qty!AB109,Qty!AB109*Qty!$J109)*'Hist. prices'!X108*X$7</f>
        <v>0</v>
      </c>
      <c r="Y108" s="198">
        <f>IF(Qty!$J109=0,Qty!AC109,Qty!AC109*Qty!$J109)*'Hist. prices'!Y108*Y$7</f>
        <v>0</v>
      </c>
      <c r="Z108" s="198">
        <f>IF(Qty!$J109=0,Qty!AD109,Qty!AD109*Qty!$J109)*'Hist. prices'!Z108*Z$7</f>
        <v>0</v>
      </c>
      <c r="AA108" s="198">
        <f>IF(Qty!$J109=0,Qty!AE109,Qty!AE109*Qty!$J109)*'Hist. prices'!AA108*AA$7</f>
        <v>0</v>
      </c>
      <c r="AB108" s="198">
        <f>IF(Qty!$J109=0,Qty!AF109,Qty!AF109*Qty!$J109)*'Hist. prices'!AB108*AB$7</f>
        <v>0</v>
      </c>
      <c r="AC108" s="206">
        <f t="shared" si="5"/>
        <v>0</v>
      </c>
      <c r="AD108" s="68"/>
      <c r="AE108" s="19"/>
      <c r="AF108" s="19"/>
      <c r="AG108" s="19"/>
      <c r="AH108" s="19"/>
    </row>
    <row r="109" spans="1:34" hidden="1" outlineLevel="3" x14ac:dyDescent="0.2">
      <c r="A109" s="19"/>
      <c r="B109" s="19"/>
      <c r="C109" s="506">
        <f t="shared" si="7"/>
        <v>0</v>
      </c>
      <c r="D109" s="505">
        <f t="shared" si="7"/>
        <v>0</v>
      </c>
      <c r="E109" s="505">
        <f t="shared" si="7"/>
        <v>0</v>
      </c>
      <c r="F109" s="505">
        <f t="shared" si="7"/>
        <v>0</v>
      </c>
      <c r="G109" s="505">
        <f t="shared" si="7"/>
        <v>0</v>
      </c>
      <c r="H109" s="58"/>
      <c r="I109" s="198">
        <f>IF(Qty!$J110=0,Qty!M110,Qty!M110*Qty!$J110)*'Hist. prices'!I109*I$7</f>
        <v>0</v>
      </c>
      <c r="J109" s="198">
        <f>IF(Qty!$J110=0,Qty!N110,Qty!N110*Qty!$J110)*'Hist. prices'!J109*J$7</f>
        <v>0</v>
      </c>
      <c r="K109" s="198">
        <f>IF(Qty!$J110=0,Qty!O110,Qty!O110*Qty!$J110)*'Hist. prices'!K109*K$7</f>
        <v>0</v>
      </c>
      <c r="L109" s="198">
        <f>IF(Qty!$J110=0,Qty!P110,Qty!P110*Qty!$J110)*'Hist. prices'!L109*L$7</f>
        <v>0</v>
      </c>
      <c r="M109" s="198">
        <f>IF(Qty!$J110=0,Qty!Q110,Qty!Q110*Qty!$J110)*'Hist. prices'!M109*M$7</f>
        <v>0</v>
      </c>
      <c r="N109" s="198">
        <f>IF(Qty!$J110=0,Qty!R110,Qty!R110*Qty!$J110)*'Hist. prices'!N109*N$7</f>
        <v>0</v>
      </c>
      <c r="O109" s="198">
        <f>IF(Qty!$J110=0,Qty!S110,Qty!S110*Qty!$J110)*'Hist. prices'!O109*O$7</f>
        <v>0</v>
      </c>
      <c r="P109" s="198">
        <f>IF(Qty!$J110=0,Qty!T110,Qty!T110*Qty!$J110)*'Hist. prices'!P109*P$7</f>
        <v>0</v>
      </c>
      <c r="Q109" s="198">
        <f>IF(Qty!$J110=0,Qty!U110,Qty!U110*Qty!$J110)*'Hist. prices'!Q109*Q$7</f>
        <v>0</v>
      </c>
      <c r="R109" s="198">
        <f>IF(Qty!$J110=0,Qty!V110,Qty!V110*Qty!$J110)*'Hist. prices'!R109*R$7</f>
        <v>0</v>
      </c>
      <c r="S109" s="198">
        <f>IF(Qty!$J110=0,Qty!W110,Qty!W110*Qty!$J110)*'Hist. prices'!S109*S$7</f>
        <v>0</v>
      </c>
      <c r="T109" s="198">
        <f>IF(Qty!$J110=0,Qty!X110,Qty!X110*Qty!$J110)*'Hist. prices'!T109*T$7</f>
        <v>0</v>
      </c>
      <c r="U109" s="198">
        <f>IF(Qty!$J110=0,Qty!Y110,Qty!Y110*Qty!$J110)*'Hist. prices'!U109*U$7</f>
        <v>0</v>
      </c>
      <c r="V109" s="198">
        <f>IF(Qty!$J110=0,Qty!Z110,Qty!Z110*Qty!$J110)*'Hist. prices'!V109*V$7</f>
        <v>0</v>
      </c>
      <c r="W109" s="198">
        <f>IF(Qty!$J110=0,Qty!AA110,Qty!AA110*Qty!$J110)*'Hist. prices'!W109*W$7</f>
        <v>0</v>
      </c>
      <c r="X109" s="198">
        <f>IF(Qty!$J110=0,Qty!AB110,Qty!AB110*Qty!$J110)*'Hist. prices'!X109*X$7</f>
        <v>0</v>
      </c>
      <c r="Y109" s="198">
        <f>IF(Qty!$J110=0,Qty!AC110,Qty!AC110*Qty!$J110)*'Hist. prices'!Y109*Y$7</f>
        <v>0</v>
      </c>
      <c r="Z109" s="198">
        <f>IF(Qty!$J110=0,Qty!AD110,Qty!AD110*Qty!$J110)*'Hist. prices'!Z109*Z$7</f>
        <v>0</v>
      </c>
      <c r="AA109" s="198">
        <f>IF(Qty!$J110=0,Qty!AE110,Qty!AE110*Qty!$J110)*'Hist. prices'!AA109*AA$7</f>
        <v>0</v>
      </c>
      <c r="AB109" s="198">
        <f>IF(Qty!$J110=0,Qty!AF110,Qty!AF110*Qty!$J110)*'Hist. prices'!AB109*AB$7</f>
        <v>0</v>
      </c>
      <c r="AC109" s="206">
        <f t="shared" si="5"/>
        <v>0</v>
      </c>
      <c r="AD109" s="68"/>
      <c r="AE109" s="19"/>
      <c r="AF109" s="19"/>
      <c r="AG109" s="19"/>
      <c r="AH109" s="19"/>
    </row>
    <row r="110" spans="1:34" hidden="1" outlineLevel="3" x14ac:dyDescent="0.2">
      <c r="A110" s="19"/>
      <c r="B110" s="19"/>
      <c r="C110" s="506">
        <f t="shared" si="7"/>
        <v>0</v>
      </c>
      <c r="D110" s="505">
        <f t="shared" si="7"/>
        <v>0</v>
      </c>
      <c r="E110" s="505">
        <f t="shared" si="7"/>
        <v>0</v>
      </c>
      <c r="F110" s="505">
        <f t="shared" si="7"/>
        <v>0</v>
      </c>
      <c r="G110" s="505">
        <f t="shared" si="7"/>
        <v>0</v>
      </c>
      <c r="H110" s="58"/>
      <c r="I110" s="198">
        <f>IF(Qty!$J111=0,Qty!M111,Qty!M111*Qty!$J111)*'Hist. prices'!I110*I$7</f>
        <v>0</v>
      </c>
      <c r="J110" s="198">
        <f>IF(Qty!$J111=0,Qty!N111,Qty!N111*Qty!$J111)*'Hist. prices'!J110*J$7</f>
        <v>0</v>
      </c>
      <c r="K110" s="198">
        <f>IF(Qty!$J111=0,Qty!O111,Qty!O111*Qty!$J111)*'Hist. prices'!K110*K$7</f>
        <v>0</v>
      </c>
      <c r="L110" s="198">
        <f>IF(Qty!$J111=0,Qty!P111,Qty!P111*Qty!$J111)*'Hist. prices'!L110*L$7</f>
        <v>0</v>
      </c>
      <c r="M110" s="198">
        <f>IF(Qty!$J111=0,Qty!Q111,Qty!Q111*Qty!$J111)*'Hist. prices'!M110*M$7</f>
        <v>0</v>
      </c>
      <c r="N110" s="198">
        <f>IF(Qty!$J111=0,Qty!R111,Qty!R111*Qty!$J111)*'Hist. prices'!N110*N$7</f>
        <v>0</v>
      </c>
      <c r="O110" s="198">
        <f>IF(Qty!$J111=0,Qty!S111,Qty!S111*Qty!$J111)*'Hist. prices'!O110*O$7</f>
        <v>0</v>
      </c>
      <c r="P110" s="198">
        <f>IF(Qty!$J111=0,Qty!T111,Qty!T111*Qty!$J111)*'Hist. prices'!P110*P$7</f>
        <v>0</v>
      </c>
      <c r="Q110" s="198">
        <f>IF(Qty!$J111=0,Qty!U111,Qty!U111*Qty!$J111)*'Hist. prices'!Q110*Q$7</f>
        <v>0</v>
      </c>
      <c r="R110" s="198">
        <f>IF(Qty!$J111=0,Qty!V111,Qty!V111*Qty!$J111)*'Hist. prices'!R110*R$7</f>
        <v>0</v>
      </c>
      <c r="S110" s="198">
        <f>IF(Qty!$J111=0,Qty!W111,Qty!W111*Qty!$J111)*'Hist. prices'!S110*S$7</f>
        <v>0</v>
      </c>
      <c r="T110" s="198">
        <f>IF(Qty!$J111=0,Qty!X111,Qty!X111*Qty!$J111)*'Hist. prices'!T110*T$7</f>
        <v>0</v>
      </c>
      <c r="U110" s="198">
        <f>IF(Qty!$J111=0,Qty!Y111,Qty!Y111*Qty!$J111)*'Hist. prices'!U110*U$7</f>
        <v>0</v>
      </c>
      <c r="V110" s="198">
        <f>IF(Qty!$J111=0,Qty!Z111,Qty!Z111*Qty!$J111)*'Hist. prices'!V110*V$7</f>
        <v>0</v>
      </c>
      <c r="W110" s="198">
        <f>IF(Qty!$J111=0,Qty!AA111,Qty!AA111*Qty!$J111)*'Hist. prices'!W110*W$7</f>
        <v>0</v>
      </c>
      <c r="X110" s="198">
        <f>IF(Qty!$J111=0,Qty!AB111,Qty!AB111*Qty!$J111)*'Hist. prices'!X110*X$7</f>
        <v>0</v>
      </c>
      <c r="Y110" s="198">
        <f>IF(Qty!$J111=0,Qty!AC111,Qty!AC111*Qty!$J111)*'Hist. prices'!Y110*Y$7</f>
        <v>0</v>
      </c>
      <c r="Z110" s="198">
        <f>IF(Qty!$J111=0,Qty!AD111,Qty!AD111*Qty!$J111)*'Hist. prices'!Z110*Z$7</f>
        <v>0</v>
      </c>
      <c r="AA110" s="198">
        <f>IF(Qty!$J111=0,Qty!AE111,Qty!AE111*Qty!$J111)*'Hist. prices'!AA110*AA$7</f>
        <v>0</v>
      </c>
      <c r="AB110" s="198">
        <f>IF(Qty!$J111=0,Qty!AF111,Qty!AF111*Qty!$J111)*'Hist. prices'!AB110*AB$7</f>
        <v>0</v>
      </c>
      <c r="AC110" s="206">
        <f t="shared" si="5"/>
        <v>0</v>
      </c>
      <c r="AD110" s="68"/>
      <c r="AE110" s="19"/>
      <c r="AF110" s="19"/>
      <c r="AG110" s="19"/>
      <c r="AH110" s="19"/>
    </row>
    <row r="111" spans="1:34" hidden="1" outlineLevel="3" x14ac:dyDescent="0.2">
      <c r="A111" s="19"/>
      <c r="B111" s="19"/>
      <c r="C111" s="506">
        <f t="shared" si="7"/>
        <v>0</v>
      </c>
      <c r="D111" s="505">
        <f t="shared" si="7"/>
        <v>0</v>
      </c>
      <c r="E111" s="505">
        <f t="shared" si="7"/>
        <v>0</v>
      </c>
      <c r="F111" s="505">
        <f t="shared" si="7"/>
        <v>0</v>
      </c>
      <c r="G111" s="505">
        <f t="shared" si="7"/>
        <v>0</v>
      </c>
      <c r="H111" s="58"/>
      <c r="I111" s="198">
        <f>IF(Qty!$J112=0,Qty!M112,Qty!M112*Qty!$J112)*'Hist. prices'!I111*I$7</f>
        <v>0</v>
      </c>
      <c r="J111" s="198">
        <f>IF(Qty!$J112=0,Qty!N112,Qty!N112*Qty!$J112)*'Hist. prices'!J111*J$7</f>
        <v>0</v>
      </c>
      <c r="K111" s="198">
        <f>IF(Qty!$J112=0,Qty!O112,Qty!O112*Qty!$J112)*'Hist. prices'!K111*K$7</f>
        <v>0</v>
      </c>
      <c r="L111" s="198">
        <f>IF(Qty!$J112=0,Qty!P112,Qty!P112*Qty!$J112)*'Hist. prices'!L111*L$7</f>
        <v>0</v>
      </c>
      <c r="M111" s="198">
        <f>IF(Qty!$J112=0,Qty!Q112,Qty!Q112*Qty!$J112)*'Hist. prices'!M111*M$7</f>
        <v>0</v>
      </c>
      <c r="N111" s="198">
        <f>IF(Qty!$J112=0,Qty!R112,Qty!R112*Qty!$J112)*'Hist. prices'!N111*N$7</f>
        <v>0</v>
      </c>
      <c r="O111" s="198">
        <f>IF(Qty!$J112=0,Qty!S112,Qty!S112*Qty!$J112)*'Hist. prices'!O111*O$7</f>
        <v>0</v>
      </c>
      <c r="P111" s="198">
        <f>IF(Qty!$J112=0,Qty!T112,Qty!T112*Qty!$J112)*'Hist. prices'!P111*P$7</f>
        <v>0</v>
      </c>
      <c r="Q111" s="198">
        <f>IF(Qty!$J112=0,Qty!U112,Qty!U112*Qty!$J112)*'Hist. prices'!Q111*Q$7</f>
        <v>0</v>
      </c>
      <c r="R111" s="198">
        <f>IF(Qty!$J112=0,Qty!V112,Qty!V112*Qty!$J112)*'Hist. prices'!R111*R$7</f>
        <v>0</v>
      </c>
      <c r="S111" s="198">
        <f>IF(Qty!$J112=0,Qty!W112,Qty!W112*Qty!$J112)*'Hist. prices'!S111*S$7</f>
        <v>0</v>
      </c>
      <c r="T111" s="198">
        <f>IF(Qty!$J112=0,Qty!X112,Qty!X112*Qty!$J112)*'Hist. prices'!T111*T$7</f>
        <v>0</v>
      </c>
      <c r="U111" s="198">
        <f>IF(Qty!$J112=0,Qty!Y112,Qty!Y112*Qty!$J112)*'Hist. prices'!U111*U$7</f>
        <v>0</v>
      </c>
      <c r="V111" s="198">
        <f>IF(Qty!$J112=0,Qty!Z112,Qty!Z112*Qty!$J112)*'Hist. prices'!V111*V$7</f>
        <v>0</v>
      </c>
      <c r="W111" s="198">
        <f>IF(Qty!$J112=0,Qty!AA112,Qty!AA112*Qty!$J112)*'Hist. prices'!W111*W$7</f>
        <v>0</v>
      </c>
      <c r="X111" s="198">
        <f>IF(Qty!$J112=0,Qty!AB112,Qty!AB112*Qty!$J112)*'Hist. prices'!X111*X$7</f>
        <v>0</v>
      </c>
      <c r="Y111" s="198">
        <f>IF(Qty!$J112=0,Qty!AC112,Qty!AC112*Qty!$J112)*'Hist. prices'!Y111*Y$7</f>
        <v>0</v>
      </c>
      <c r="Z111" s="198">
        <f>IF(Qty!$J112=0,Qty!AD112,Qty!AD112*Qty!$J112)*'Hist. prices'!Z111*Z$7</f>
        <v>0</v>
      </c>
      <c r="AA111" s="198">
        <f>IF(Qty!$J112=0,Qty!AE112,Qty!AE112*Qty!$J112)*'Hist. prices'!AA111*AA$7</f>
        <v>0</v>
      </c>
      <c r="AB111" s="198">
        <f>IF(Qty!$J112=0,Qty!AF112,Qty!AF112*Qty!$J112)*'Hist. prices'!AB111*AB$7</f>
        <v>0</v>
      </c>
      <c r="AC111" s="206">
        <f t="shared" si="5"/>
        <v>0</v>
      </c>
      <c r="AD111" s="68"/>
      <c r="AE111" s="19"/>
      <c r="AF111" s="19"/>
      <c r="AG111" s="19"/>
      <c r="AH111" s="19"/>
    </row>
    <row r="112" spans="1:34" hidden="1" outlineLevel="3" x14ac:dyDescent="0.2">
      <c r="A112" s="19"/>
      <c r="B112" s="19"/>
      <c r="C112" s="506">
        <f t="shared" si="7"/>
        <v>0</v>
      </c>
      <c r="D112" s="505">
        <f t="shared" si="7"/>
        <v>0</v>
      </c>
      <c r="E112" s="505">
        <f t="shared" si="7"/>
        <v>0</v>
      </c>
      <c r="F112" s="505">
        <f t="shared" si="7"/>
        <v>0</v>
      </c>
      <c r="G112" s="505">
        <f t="shared" si="7"/>
        <v>0</v>
      </c>
      <c r="H112" s="58"/>
      <c r="I112" s="198">
        <f>IF(Qty!$J113=0,Qty!M113,Qty!M113*Qty!$J113)*'Hist. prices'!I112*I$7</f>
        <v>0</v>
      </c>
      <c r="J112" s="198">
        <f>IF(Qty!$J113=0,Qty!N113,Qty!N113*Qty!$J113)*'Hist. prices'!J112*J$7</f>
        <v>0</v>
      </c>
      <c r="K112" s="198">
        <f>IF(Qty!$J113=0,Qty!O113,Qty!O113*Qty!$J113)*'Hist. prices'!K112*K$7</f>
        <v>0</v>
      </c>
      <c r="L112" s="198">
        <f>IF(Qty!$J113=0,Qty!P113,Qty!P113*Qty!$J113)*'Hist. prices'!L112*L$7</f>
        <v>0</v>
      </c>
      <c r="M112" s="198">
        <f>IF(Qty!$J113=0,Qty!Q113,Qty!Q113*Qty!$J113)*'Hist. prices'!M112*M$7</f>
        <v>0</v>
      </c>
      <c r="N112" s="198">
        <f>IF(Qty!$J113=0,Qty!R113,Qty!R113*Qty!$J113)*'Hist. prices'!N112*N$7</f>
        <v>0</v>
      </c>
      <c r="O112" s="198">
        <f>IF(Qty!$J113=0,Qty!S113,Qty!S113*Qty!$J113)*'Hist. prices'!O112*O$7</f>
        <v>0</v>
      </c>
      <c r="P112" s="198">
        <f>IF(Qty!$J113=0,Qty!T113,Qty!T113*Qty!$J113)*'Hist. prices'!P112*P$7</f>
        <v>0</v>
      </c>
      <c r="Q112" s="198">
        <f>IF(Qty!$J113=0,Qty!U113,Qty!U113*Qty!$J113)*'Hist. prices'!Q112*Q$7</f>
        <v>0</v>
      </c>
      <c r="R112" s="198">
        <f>IF(Qty!$J113=0,Qty!V113,Qty!V113*Qty!$J113)*'Hist. prices'!R112*R$7</f>
        <v>0</v>
      </c>
      <c r="S112" s="198">
        <f>IF(Qty!$J113=0,Qty!W113,Qty!W113*Qty!$J113)*'Hist. prices'!S112*S$7</f>
        <v>0</v>
      </c>
      <c r="T112" s="198">
        <f>IF(Qty!$J113=0,Qty!X113,Qty!X113*Qty!$J113)*'Hist. prices'!T112*T$7</f>
        <v>0</v>
      </c>
      <c r="U112" s="198">
        <f>IF(Qty!$J113=0,Qty!Y113,Qty!Y113*Qty!$J113)*'Hist. prices'!U112*U$7</f>
        <v>0</v>
      </c>
      <c r="V112" s="198">
        <f>IF(Qty!$J113=0,Qty!Z113,Qty!Z113*Qty!$J113)*'Hist. prices'!V112*V$7</f>
        <v>0</v>
      </c>
      <c r="W112" s="198">
        <f>IF(Qty!$J113=0,Qty!AA113,Qty!AA113*Qty!$J113)*'Hist. prices'!W112*W$7</f>
        <v>0</v>
      </c>
      <c r="X112" s="198">
        <f>IF(Qty!$J113=0,Qty!AB113,Qty!AB113*Qty!$J113)*'Hist. prices'!X112*X$7</f>
        <v>0</v>
      </c>
      <c r="Y112" s="198">
        <f>IF(Qty!$J113=0,Qty!AC113,Qty!AC113*Qty!$J113)*'Hist. prices'!Y112*Y$7</f>
        <v>0</v>
      </c>
      <c r="Z112" s="198">
        <f>IF(Qty!$J113=0,Qty!AD113,Qty!AD113*Qty!$J113)*'Hist. prices'!Z112*Z$7</f>
        <v>0</v>
      </c>
      <c r="AA112" s="198">
        <f>IF(Qty!$J113=0,Qty!AE113,Qty!AE113*Qty!$J113)*'Hist. prices'!AA112*AA$7</f>
        <v>0</v>
      </c>
      <c r="AB112" s="198">
        <f>IF(Qty!$J113=0,Qty!AF113,Qty!AF113*Qty!$J113)*'Hist. prices'!AB112*AB$7</f>
        <v>0</v>
      </c>
      <c r="AC112" s="206">
        <f t="shared" si="5"/>
        <v>0</v>
      </c>
      <c r="AD112" s="68"/>
      <c r="AE112" s="19"/>
      <c r="AF112" s="19"/>
      <c r="AG112" s="19"/>
      <c r="AH112" s="19"/>
    </row>
    <row r="113" spans="1:34" hidden="1" outlineLevel="3" x14ac:dyDescent="0.2">
      <c r="A113" s="19"/>
      <c r="B113" s="19"/>
      <c r="C113" s="506">
        <f t="shared" si="7"/>
        <v>0</v>
      </c>
      <c r="D113" s="505">
        <f t="shared" si="7"/>
        <v>0</v>
      </c>
      <c r="E113" s="505">
        <f t="shared" si="7"/>
        <v>0</v>
      </c>
      <c r="F113" s="505">
        <f t="shared" si="7"/>
        <v>0</v>
      </c>
      <c r="G113" s="505">
        <f t="shared" si="7"/>
        <v>0</v>
      </c>
      <c r="H113" s="58"/>
      <c r="I113" s="198">
        <f>IF(Qty!$J114=0,Qty!M114,Qty!M114*Qty!$J114)*'Hist. prices'!I113*I$7</f>
        <v>0</v>
      </c>
      <c r="J113" s="198">
        <f>IF(Qty!$J114=0,Qty!N114,Qty!N114*Qty!$J114)*'Hist. prices'!J113*J$7</f>
        <v>0</v>
      </c>
      <c r="K113" s="198">
        <f>IF(Qty!$J114=0,Qty!O114,Qty!O114*Qty!$J114)*'Hist. prices'!K113*K$7</f>
        <v>0</v>
      </c>
      <c r="L113" s="198">
        <f>IF(Qty!$J114=0,Qty!P114,Qty!P114*Qty!$J114)*'Hist. prices'!L113*L$7</f>
        <v>0</v>
      </c>
      <c r="M113" s="198">
        <f>IF(Qty!$J114=0,Qty!Q114,Qty!Q114*Qty!$J114)*'Hist. prices'!M113*M$7</f>
        <v>0</v>
      </c>
      <c r="N113" s="198">
        <f>IF(Qty!$J114=0,Qty!R114,Qty!R114*Qty!$J114)*'Hist. prices'!N113*N$7</f>
        <v>0</v>
      </c>
      <c r="O113" s="198">
        <f>IF(Qty!$J114=0,Qty!S114,Qty!S114*Qty!$J114)*'Hist. prices'!O113*O$7</f>
        <v>0</v>
      </c>
      <c r="P113" s="198">
        <f>IF(Qty!$J114=0,Qty!T114,Qty!T114*Qty!$J114)*'Hist. prices'!P113*P$7</f>
        <v>0</v>
      </c>
      <c r="Q113" s="198">
        <f>IF(Qty!$J114=0,Qty!U114,Qty!U114*Qty!$J114)*'Hist. prices'!Q113*Q$7</f>
        <v>0</v>
      </c>
      <c r="R113" s="198">
        <f>IF(Qty!$J114=0,Qty!V114,Qty!V114*Qty!$J114)*'Hist. prices'!R113*R$7</f>
        <v>0</v>
      </c>
      <c r="S113" s="198">
        <f>IF(Qty!$J114=0,Qty!W114,Qty!W114*Qty!$J114)*'Hist. prices'!S113*S$7</f>
        <v>0</v>
      </c>
      <c r="T113" s="198">
        <f>IF(Qty!$J114=0,Qty!X114,Qty!X114*Qty!$J114)*'Hist. prices'!T113*T$7</f>
        <v>0</v>
      </c>
      <c r="U113" s="198">
        <f>IF(Qty!$J114=0,Qty!Y114,Qty!Y114*Qty!$J114)*'Hist. prices'!U113*U$7</f>
        <v>0</v>
      </c>
      <c r="V113" s="198">
        <f>IF(Qty!$J114=0,Qty!Z114,Qty!Z114*Qty!$J114)*'Hist. prices'!V113*V$7</f>
        <v>0</v>
      </c>
      <c r="W113" s="198">
        <f>IF(Qty!$J114=0,Qty!AA114,Qty!AA114*Qty!$J114)*'Hist. prices'!W113*W$7</f>
        <v>0</v>
      </c>
      <c r="X113" s="198">
        <f>IF(Qty!$J114=0,Qty!AB114,Qty!AB114*Qty!$J114)*'Hist. prices'!X113*X$7</f>
        <v>0</v>
      </c>
      <c r="Y113" s="198">
        <f>IF(Qty!$J114=0,Qty!AC114,Qty!AC114*Qty!$J114)*'Hist. prices'!Y113*Y$7</f>
        <v>0</v>
      </c>
      <c r="Z113" s="198">
        <f>IF(Qty!$J114=0,Qty!AD114,Qty!AD114*Qty!$J114)*'Hist. prices'!Z113*Z$7</f>
        <v>0</v>
      </c>
      <c r="AA113" s="198">
        <f>IF(Qty!$J114=0,Qty!AE114,Qty!AE114*Qty!$J114)*'Hist. prices'!AA113*AA$7</f>
        <v>0</v>
      </c>
      <c r="AB113" s="198">
        <f>IF(Qty!$J114=0,Qty!AF114,Qty!AF114*Qty!$J114)*'Hist. prices'!AB113*AB$7</f>
        <v>0</v>
      </c>
      <c r="AC113" s="206">
        <f t="shared" si="5"/>
        <v>0</v>
      </c>
      <c r="AD113" s="68"/>
      <c r="AE113" s="19"/>
      <c r="AF113" s="19"/>
      <c r="AG113" s="19"/>
      <c r="AH113" s="19"/>
    </row>
    <row r="114" spans="1:34" hidden="1" outlineLevel="3" x14ac:dyDescent="0.2">
      <c r="A114" s="19"/>
      <c r="B114" s="19"/>
      <c r="C114" s="506">
        <f t="shared" si="7"/>
        <v>0</v>
      </c>
      <c r="D114" s="505">
        <f t="shared" si="7"/>
        <v>0</v>
      </c>
      <c r="E114" s="505">
        <f t="shared" si="7"/>
        <v>0</v>
      </c>
      <c r="F114" s="505">
        <f t="shared" si="7"/>
        <v>0</v>
      </c>
      <c r="G114" s="505">
        <f t="shared" si="7"/>
        <v>0</v>
      </c>
      <c r="H114" s="58"/>
      <c r="I114" s="198">
        <f>IF(Qty!$J115=0,Qty!M115,Qty!M115*Qty!$J115)*'Hist. prices'!I114*I$7</f>
        <v>0</v>
      </c>
      <c r="J114" s="198">
        <f>IF(Qty!$J115=0,Qty!N115,Qty!N115*Qty!$J115)*'Hist. prices'!J114*J$7</f>
        <v>0</v>
      </c>
      <c r="K114" s="198">
        <f>IF(Qty!$J115=0,Qty!O115,Qty!O115*Qty!$J115)*'Hist. prices'!K114*K$7</f>
        <v>0</v>
      </c>
      <c r="L114" s="198">
        <f>IF(Qty!$J115=0,Qty!P115,Qty!P115*Qty!$J115)*'Hist. prices'!L114*L$7</f>
        <v>0</v>
      </c>
      <c r="M114" s="198">
        <f>IF(Qty!$J115=0,Qty!Q115,Qty!Q115*Qty!$J115)*'Hist. prices'!M114*M$7</f>
        <v>0</v>
      </c>
      <c r="N114" s="198">
        <f>IF(Qty!$J115=0,Qty!R115,Qty!R115*Qty!$J115)*'Hist. prices'!N114*N$7</f>
        <v>0</v>
      </c>
      <c r="O114" s="198">
        <f>IF(Qty!$J115=0,Qty!S115,Qty!S115*Qty!$J115)*'Hist. prices'!O114*O$7</f>
        <v>0</v>
      </c>
      <c r="P114" s="198">
        <f>IF(Qty!$J115=0,Qty!T115,Qty!T115*Qty!$J115)*'Hist. prices'!P114*P$7</f>
        <v>0</v>
      </c>
      <c r="Q114" s="198">
        <f>IF(Qty!$J115=0,Qty!U115,Qty!U115*Qty!$J115)*'Hist. prices'!Q114*Q$7</f>
        <v>0</v>
      </c>
      <c r="R114" s="198">
        <f>IF(Qty!$J115=0,Qty!V115,Qty!V115*Qty!$J115)*'Hist. prices'!R114*R$7</f>
        <v>0</v>
      </c>
      <c r="S114" s="198">
        <f>IF(Qty!$J115=0,Qty!W115,Qty!W115*Qty!$J115)*'Hist. prices'!S114*S$7</f>
        <v>0</v>
      </c>
      <c r="T114" s="198">
        <f>IF(Qty!$J115=0,Qty!X115,Qty!X115*Qty!$J115)*'Hist. prices'!T114*T$7</f>
        <v>0</v>
      </c>
      <c r="U114" s="198">
        <f>IF(Qty!$J115=0,Qty!Y115,Qty!Y115*Qty!$J115)*'Hist. prices'!U114*U$7</f>
        <v>0</v>
      </c>
      <c r="V114" s="198">
        <f>IF(Qty!$J115=0,Qty!Z115,Qty!Z115*Qty!$J115)*'Hist. prices'!V114*V$7</f>
        <v>0</v>
      </c>
      <c r="W114" s="198">
        <f>IF(Qty!$J115=0,Qty!AA115,Qty!AA115*Qty!$J115)*'Hist. prices'!W114*W$7</f>
        <v>0</v>
      </c>
      <c r="X114" s="198">
        <f>IF(Qty!$J115=0,Qty!AB115,Qty!AB115*Qty!$J115)*'Hist. prices'!X114*X$7</f>
        <v>0</v>
      </c>
      <c r="Y114" s="198">
        <f>IF(Qty!$J115=0,Qty!AC115,Qty!AC115*Qty!$J115)*'Hist. prices'!Y114*Y$7</f>
        <v>0</v>
      </c>
      <c r="Z114" s="198">
        <f>IF(Qty!$J115=0,Qty!AD115,Qty!AD115*Qty!$J115)*'Hist. prices'!Z114*Z$7</f>
        <v>0</v>
      </c>
      <c r="AA114" s="198">
        <f>IF(Qty!$J115=0,Qty!AE115,Qty!AE115*Qty!$J115)*'Hist. prices'!AA114*AA$7</f>
        <v>0</v>
      </c>
      <c r="AB114" s="198">
        <f>IF(Qty!$J115=0,Qty!AF115,Qty!AF115*Qty!$J115)*'Hist. prices'!AB114*AB$7</f>
        <v>0</v>
      </c>
      <c r="AC114" s="206">
        <f t="shared" si="5"/>
        <v>0</v>
      </c>
      <c r="AD114" s="68"/>
      <c r="AE114" s="19"/>
      <c r="AF114" s="19"/>
      <c r="AG114" s="19"/>
      <c r="AH114" s="19"/>
    </row>
    <row r="115" spans="1:34" hidden="1" outlineLevel="3" x14ac:dyDescent="0.2">
      <c r="A115" s="19"/>
      <c r="B115" s="19"/>
      <c r="C115" s="506">
        <f t="shared" si="7"/>
        <v>0</v>
      </c>
      <c r="D115" s="505">
        <f t="shared" si="7"/>
        <v>0</v>
      </c>
      <c r="E115" s="505">
        <f t="shared" si="7"/>
        <v>0</v>
      </c>
      <c r="F115" s="505">
        <f t="shared" si="7"/>
        <v>0</v>
      </c>
      <c r="G115" s="505">
        <f t="shared" si="7"/>
        <v>0</v>
      </c>
      <c r="H115" s="58"/>
      <c r="I115" s="198">
        <f>IF(Qty!$J116=0,Qty!M116,Qty!M116*Qty!$J116)*'Hist. prices'!I115*I$7</f>
        <v>0</v>
      </c>
      <c r="J115" s="198">
        <f>IF(Qty!$J116=0,Qty!N116,Qty!N116*Qty!$J116)*'Hist. prices'!J115*J$7</f>
        <v>0</v>
      </c>
      <c r="K115" s="198">
        <f>IF(Qty!$J116=0,Qty!O116,Qty!O116*Qty!$J116)*'Hist. prices'!K115*K$7</f>
        <v>0</v>
      </c>
      <c r="L115" s="198">
        <f>IF(Qty!$J116=0,Qty!P116,Qty!P116*Qty!$J116)*'Hist. prices'!L115*L$7</f>
        <v>0</v>
      </c>
      <c r="M115" s="198">
        <f>IF(Qty!$J116=0,Qty!Q116,Qty!Q116*Qty!$J116)*'Hist. prices'!M115*M$7</f>
        <v>0</v>
      </c>
      <c r="N115" s="198">
        <f>IF(Qty!$J116=0,Qty!R116,Qty!R116*Qty!$J116)*'Hist. prices'!N115*N$7</f>
        <v>0</v>
      </c>
      <c r="O115" s="198">
        <f>IF(Qty!$J116=0,Qty!S116,Qty!S116*Qty!$J116)*'Hist. prices'!O115*O$7</f>
        <v>0</v>
      </c>
      <c r="P115" s="198">
        <f>IF(Qty!$J116=0,Qty!T116,Qty!T116*Qty!$J116)*'Hist. prices'!P115*P$7</f>
        <v>0</v>
      </c>
      <c r="Q115" s="198">
        <f>IF(Qty!$J116=0,Qty!U116,Qty!U116*Qty!$J116)*'Hist. prices'!Q115*Q$7</f>
        <v>0</v>
      </c>
      <c r="R115" s="198">
        <f>IF(Qty!$J116=0,Qty!V116,Qty!V116*Qty!$J116)*'Hist. prices'!R115*R$7</f>
        <v>0</v>
      </c>
      <c r="S115" s="198">
        <f>IF(Qty!$J116=0,Qty!W116,Qty!W116*Qty!$J116)*'Hist. prices'!S115*S$7</f>
        <v>0</v>
      </c>
      <c r="T115" s="198">
        <f>IF(Qty!$J116=0,Qty!X116,Qty!X116*Qty!$J116)*'Hist. prices'!T115*T$7</f>
        <v>0</v>
      </c>
      <c r="U115" s="198">
        <f>IF(Qty!$J116=0,Qty!Y116,Qty!Y116*Qty!$J116)*'Hist. prices'!U115*U$7</f>
        <v>0</v>
      </c>
      <c r="V115" s="198">
        <f>IF(Qty!$J116=0,Qty!Z116,Qty!Z116*Qty!$J116)*'Hist. prices'!V115*V$7</f>
        <v>0</v>
      </c>
      <c r="W115" s="198">
        <f>IF(Qty!$J116=0,Qty!AA116,Qty!AA116*Qty!$J116)*'Hist. prices'!W115*W$7</f>
        <v>0</v>
      </c>
      <c r="X115" s="198">
        <f>IF(Qty!$J116=0,Qty!AB116,Qty!AB116*Qty!$J116)*'Hist. prices'!X115*X$7</f>
        <v>0</v>
      </c>
      <c r="Y115" s="198">
        <f>IF(Qty!$J116=0,Qty!AC116,Qty!AC116*Qty!$J116)*'Hist. prices'!Y115*Y$7</f>
        <v>0</v>
      </c>
      <c r="Z115" s="198">
        <f>IF(Qty!$J116=0,Qty!AD116,Qty!AD116*Qty!$J116)*'Hist. prices'!Z115*Z$7</f>
        <v>0</v>
      </c>
      <c r="AA115" s="198">
        <f>IF(Qty!$J116=0,Qty!AE116,Qty!AE116*Qty!$J116)*'Hist. prices'!AA115*AA$7</f>
        <v>0</v>
      </c>
      <c r="AB115" s="198">
        <f>IF(Qty!$J116=0,Qty!AF116,Qty!AF116*Qty!$J116)*'Hist. prices'!AB115*AB$7</f>
        <v>0</v>
      </c>
      <c r="AC115" s="206">
        <f t="shared" si="5"/>
        <v>0</v>
      </c>
      <c r="AD115" s="68"/>
      <c r="AE115" s="19"/>
      <c r="AF115" s="19"/>
      <c r="AG115" s="19"/>
      <c r="AH115" s="19"/>
    </row>
    <row r="116" spans="1:34" hidden="1" outlineLevel="3" x14ac:dyDescent="0.2">
      <c r="A116" s="19"/>
      <c r="B116" s="19"/>
      <c r="C116" s="506">
        <f t="shared" ref="C116:G125" si="8">C38</f>
        <v>0</v>
      </c>
      <c r="D116" s="505">
        <f t="shared" si="8"/>
        <v>0</v>
      </c>
      <c r="E116" s="505">
        <f t="shared" si="8"/>
        <v>0</v>
      </c>
      <c r="F116" s="505">
        <f t="shared" si="8"/>
        <v>0</v>
      </c>
      <c r="G116" s="505">
        <f t="shared" si="8"/>
        <v>0</v>
      </c>
      <c r="H116" s="58"/>
      <c r="I116" s="198">
        <f>IF(Qty!$J117=0,Qty!M117,Qty!M117*Qty!$J117)*'Hist. prices'!I116*I$7</f>
        <v>0</v>
      </c>
      <c r="J116" s="198">
        <f>IF(Qty!$J117=0,Qty!N117,Qty!N117*Qty!$J117)*'Hist. prices'!J116*J$7</f>
        <v>0</v>
      </c>
      <c r="K116" s="198">
        <f>IF(Qty!$J117=0,Qty!O117,Qty!O117*Qty!$J117)*'Hist. prices'!K116*K$7</f>
        <v>0</v>
      </c>
      <c r="L116" s="198">
        <f>IF(Qty!$J117=0,Qty!P117,Qty!P117*Qty!$J117)*'Hist. prices'!L116*L$7</f>
        <v>0</v>
      </c>
      <c r="M116" s="198">
        <f>IF(Qty!$J117=0,Qty!Q117,Qty!Q117*Qty!$J117)*'Hist. prices'!M116*M$7</f>
        <v>0</v>
      </c>
      <c r="N116" s="198">
        <f>IF(Qty!$J117=0,Qty!R117,Qty!R117*Qty!$J117)*'Hist. prices'!N116*N$7</f>
        <v>0</v>
      </c>
      <c r="O116" s="198">
        <f>IF(Qty!$J117=0,Qty!S117,Qty!S117*Qty!$J117)*'Hist. prices'!O116*O$7</f>
        <v>0</v>
      </c>
      <c r="P116" s="198">
        <f>IF(Qty!$J117=0,Qty!T117,Qty!T117*Qty!$J117)*'Hist. prices'!P116*P$7</f>
        <v>0</v>
      </c>
      <c r="Q116" s="198">
        <f>IF(Qty!$J117=0,Qty!U117,Qty!U117*Qty!$J117)*'Hist. prices'!Q116*Q$7</f>
        <v>0</v>
      </c>
      <c r="R116" s="198">
        <f>IF(Qty!$J117=0,Qty!V117,Qty!V117*Qty!$J117)*'Hist. prices'!R116*R$7</f>
        <v>0</v>
      </c>
      <c r="S116" s="198">
        <f>IF(Qty!$J117=0,Qty!W117,Qty!W117*Qty!$J117)*'Hist. prices'!S116*S$7</f>
        <v>0</v>
      </c>
      <c r="T116" s="198">
        <f>IF(Qty!$J117=0,Qty!X117,Qty!X117*Qty!$J117)*'Hist. prices'!T116*T$7</f>
        <v>0</v>
      </c>
      <c r="U116" s="198">
        <f>IF(Qty!$J117=0,Qty!Y117,Qty!Y117*Qty!$J117)*'Hist. prices'!U116*U$7</f>
        <v>0</v>
      </c>
      <c r="V116" s="198">
        <f>IF(Qty!$J117=0,Qty!Z117,Qty!Z117*Qty!$J117)*'Hist. prices'!V116*V$7</f>
        <v>0</v>
      </c>
      <c r="W116" s="198">
        <f>IF(Qty!$J117=0,Qty!AA117,Qty!AA117*Qty!$J117)*'Hist. prices'!W116*W$7</f>
        <v>0</v>
      </c>
      <c r="X116" s="198">
        <f>IF(Qty!$J117=0,Qty!AB117,Qty!AB117*Qty!$J117)*'Hist. prices'!X116*X$7</f>
        <v>0</v>
      </c>
      <c r="Y116" s="198">
        <f>IF(Qty!$J117=0,Qty!AC117,Qty!AC117*Qty!$J117)*'Hist. prices'!Y116*Y$7</f>
        <v>0</v>
      </c>
      <c r="Z116" s="198">
        <f>IF(Qty!$J117=0,Qty!AD117,Qty!AD117*Qty!$J117)*'Hist. prices'!Z116*Z$7</f>
        <v>0</v>
      </c>
      <c r="AA116" s="198">
        <f>IF(Qty!$J117=0,Qty!AE117,Qty!AE117*Qty!$J117)*'Hist. prices'!AA116*AA$7</f>
        <v>0</v>
      </c>
      <c r="AB116" s="198">
        <f>IF(Qty!$J117=0,Qty!AF117,Qty!AF117*Qty!$J117)*'Hist. prices'!AB116*AB$7</f>
        <v>0</v>
      </c>
      <c r="AC116" s="206">
        <f t="shared" si="5"/>
        <v>0</v>
      </c>
      <c r="AD116" s="68"/>
      <c r="AE116" s="19"/>
      <c r="AF116" s="19"/>
      <c r="AG116" s="19"/>
      <c r="AH116" s="19"/>
    </row>
    <row r="117" spans="1:34" hidden="1" outlineLevel="3" x14ac:dyDescent="0.2">
      <c r="A117" s="19"/>
      <c r="B117" s="19"/>
      <c r="C117" s="506">
        <f t="shared" si="8"/>
        <v>0</v>
      </c>
      <c r="D117" s="505">
        <f t="shared" si="8"/>
        <v>0</v>
      </c>
      <c r="E117" s="505">
        <f t="shared" si="8"/>
        <v>0</v>
      </c>
      <c r="F117" s="505">
        <f t="shared" si="8"/>
        <v>0</v>
      </c>
      <c r="G117" s="505">
        <f t="shared" si="8"/>
        <v>0</v>
      </c>
      <c r="H117" s="58"/>
      <c r="I117" s="198">
        <f>IF(Qty!$J118=0,Qty!M118,Qty!M118*Qty!$J118)*'Hist. prices'!I117*I$7</f>
        <v>0</v>
      </c>
      <c r="J117" s="198">
        <f>IF(Qty!$J118=0,Qty!N118,Qty!N118*Qty!$J118)*'Hist. prices'!J117*J$7</f>
        <v>0</v>
      </c>
      <c r="K117" s="198">
        <f>IF(Qty!$J118=0,Qty!O118,Qty!O118*Qty!$J118)*'Hist. prices'!K117*K$7</f>
        <v>0</v>
      </c>
      <c r="L117" s="198">
        <f>IF(Qty!$J118=0,Qty!P118,Qty!P118*Qty!$J118)*'Hist. prices'!L117*L$7</f>
        <v>0</v>
      </c>
      <c r="M117" s="198">
        <f>IF(Qty!$J118=0,Qty!Q118,Qty!Q118*Qty!$J118)*'Hist. prices'!M117*M$7</f>
        <v>0</v>
      </c>
      <c r="N117" s="198">
        <f>IF(Qty!$J118=0,Qty!R118,Qty!R118*Qty!$J118)*'Hist. prices'!N117*N$7</f>
        <v>0</v>
      </c>
      <c r="O117" s="198">
        <f>IF(Qty!$J118=0,Qty!S118,Qty!S118*Qty!$J118)*'Hist. prices'!O117*O$7</f>
        <v>0</v>
      </c>
      <c r="P117" s="198">
        <f>IF(Qty!$J118=0,Qty!T118,Qty!T118*Qty!$J118)*'Hist. prices'!P117*P$7</f>
        <v>0</v>
      </c>
      <c r="Q117" s="198">
        <f>IF(Qty!$J118=0,Qty!U118,Qty!U118*Qty!$J118)*'Hist. prices'!Q117*Q$7</f>
        <v>0</v>
      </c>
      <c r="R117" s="198">
        <f>IF(Qty!$J118=0,Qty!V118,Qty!V118*Qty!$J118)*'Hist. prices'!R117*R$7</f>
        <v>0</v>
      </c>
      <c r="S117" s="198">
        <f>IF(Qty!$J118=0,Qty!W118,Qty!W118*Qty!$J118)*'Hist. prices'!S117*S$7</f>
        <v>0</v>
      </c>
      <c r="T117" s="198">
        <f>IF(Qty!$J118=0,Qty!X118,Qty!X118*Qty!$J118)*'Hist. prices'!T117*T$7</f>
        <v>0</v>
      </c>
      <c r="U117" s="198">
        <f>IF(Qty!$J118=0,Qty!Y118,Qty!Y118*Qty!$J118)*'Hist. prices'!U117*U$7</f>
        <v>0</v>
      </c>
      <c r="V117" s="198">
        <f>IF(Qty!$J118=0,Qty!Z118,Qty!Z118*Qty!$J118)*'Hist. prices'!V117*V$7</f>
        <v>0</v>
      </c>
      <c r="W117" s="198">
        <f>IF(Qty!$J118=0,Qty!AA118,Qty!AA118*Qty!$J118)*'Hist. prices'!W117*W$7</f>
        <v>0</v>
      </c>
      <c r="X117" s="198">
        <f>IF(Qty!$J118=0,Qty!AB118,Qty!AB118*Qty!$J118)*'Hist. prices'!X117*X$7</f>
        <v>0</v>
      </c>
      <c r="Y117" s="198">
        <f>IF(Qty!$J118=0,Qty!AC118,Qty!AC118*Qty!$J118)*'Hist. prices'!Y117*Y$7</f>
        <v>0</v>
      </c>
      <c r="Z117" s="198">
        <f>IF(Qty!$J118=0,Qty!AD118,Qty!AD118*Qty!$J118)*'Hist. prices'!Z117*Z$7</f>
        <v>0</v>
      </c>
      <c r="AA117" s="198">
        <f>IF(Qty!$J118=0,Qty!AE118,Qty!AE118*Qty!$J118)*'Hist. prices'!AA117*AA$7</f>
        <v>0</v>
      </c>
      <c r="AB117" s="198">
        <f>IF(Qty!$J118=0,Qty!AF118,Qty!AF118*Qty!$J118)*'Hist. prices'!AB117*AB$7</f>
        <v>0</v>
      </c>
      <c r="AC117" s="206">
        <f t="shared" si="5"/>
        <v>0</v>
      </c>
      <c r="AD117" s="68"/>
      <c r="AE117" s="19"/>
      <c r="AF117" s="19"/>
      <c r="AG117" s="19"/>
      <c r="AH117" s="19"/>
    </row>
    <row r="118" spans="1:34" hidden="1" outlineLevel="3" x14ac:dyDescent="0.2">
      <c r="A118" s="19"/>
      <c r="B118" s="19"/>
      <c r="C118" s="506">
        <f t="shared" si="8"/>
        <v>0</v>
      </c>
      <c r="D118" s="505">
        <f t="shared" si="8"/>
        <v>0</v>
      </c>
      <c r="E118" s="505">
        <f t="shared" si="8"/>
        <v>0</v>
      </c>
      <c r="F118" s="505">
        <f t="shared" si="8"/>
        <v>0</v>
      </c>
      <c r="G118" s="505">
        <f t="shared" si="8"/>
        <v>0</v>
      </c>
      <c r="H118" s="58"/>
      <c r="I118" s="198">
        <f>IF(Qty!$J119=0,Qty!M119,Qty!M119*Qty!$J119)*'Hist. prices'!I118*I$7</f>
        <v>0</v>
      </c>
      <c r="J118" s="198">
        <f>IF(Qty!$J119=0,Qty!N119,Qty!N119*Qty!$J119)*'Hist. prices'!J118*J$7</f>
        <v>0</v>
      </c>
      <c r="K118" s="198">
        <f>IF(Qty!$J119=0,Qty!O119,Qty!O119*Qty!$J119)*'Hist. prices'!K118*K$7</f>
        <v>0</v>
      </c>
      <c r="L118" s="198">
        <f>IF(Qty!$J119=0,Qty!P119,Qty!P119*Qty!$J119)*'Hist. prices'!L118*L$7</f>
        <v>0</v>
      </c>
      <c r="M118" s="198">
        <f>IF(Qty!$J119=0,Qty!Q119,Qty!Q119*Qty!$J119)*'Hist. prices'!M118*M$7</f>
        <v>0</v>
      </c>
      <c r="N118" s="198">
        <f>IF(Qty!$J119=0,Qty!R119,Qty!R119*Qty!$J119)*'Hist. prices'!N118*N$7</f>
        <v>0</v>
      </c>
      <c r="O118" s="198">
        <f>IF(Qty!$J119=0,Qty!S119,Qty!S119*Qty!$J119)*'Hist. prices'!O118*O$7</f>
        <v>0</v>
      </c>
      <c r="P118" s="198">
        <f>IF(Qty!$J119=0,Qty!T119,Qty!T119*Qty!$J119)*'Hist. prices'!P118*P$7</f>
        <v>0</v>
      </c>
      <c r="Q118" s="198">
        <f>IF(Qty!$J119=0,Qty!U119,Qty!U119*Qty!$J119)*'Hist. prices'!Q118*Q$7</f>
        <v>0</v>
      </c>
      <c r="R118" s="198">
        <f>IF(Qty!$J119=0,Qty!V119,Qty!V119*Qty!$J119)*'Hist. prices'!R118*R$7</f>
        <v>0</v>
      </c>
      <c r="S118" s="198">
        <f>IF(Qty!$J119=0,Qty!W119,Qty!W119*Qty!$J119)*'Hist. prices'!S118*S$7</f>
        <v>0</v>
      </c>
      <c r="T118" s="198">
        <f>IF(Qty!$J119=0,Qty!X119,Qty!X119*Qty!$J119)*'Hist. prices'!T118*T$7</f>
        <v>0</v>
      </c>
      <c r="U118" s="198">
        <f>IF(Qty!$J119=0,Qty!Y119,Qty!Y119*Qty!$J119)*'Hist. prices'!U118*U$7</f>
        <v>0</v>
      </c>
      <c r="V118" s="198">
        <f>IF(Qty!$J119=0,Qty!Z119,Qty!Z119*Qty!$J119)*'Hist. prices'!V118*V$7</f>
        <v>0</v>
      </c>
      <c r="W118" s="198">
        <f>IF(Qty!$J119=0,Qty!AA119,Qty!AA119*Qty!$J119)*'Hist. prices'!W118*W$7</f>
        <v>0</v>
      </c>
      <c r="X118" s="198">
        <f>IF(Qty!$J119=0,Qty!AB119,Qty!AB119*Qty!$J119)*'Hist. prices'!X118*X$7</f>
        <v>0</v>
      </c>
      <c r="Y118" s="198">
        <f>IF(Qty!$J119=0,Qty!AC119,Qty!AC119*Qty!$J119)*'Hist. prices'!Y118*Y$7</f>
        <v>0</v>
      </c>
      <c r="Z118" s="198">
        <f>IF(Qty!$J119=0,Qty!AD119,Qty!AD119*Qty!$J119)*'Hist. prices'!Z118*Z$7</f>
        <v>0</v>
      </c>
      <c r="AA118" s="198">
        <f>IF(Qty!$J119=0,Qty!AE119,Qty!AE119*Qty!$J119)*'Hist. prices'!AA118*AA$7</f>
        <v>0</v>
      </c>
      <c r="AB118" s="198">
        <f>IF(Qty!$J119=0,Qty!AF119,Qty!AF119*Qty!$J119)*'Hist. prices'!AB118*AB$7</f>
        <v>0</v>
      </c>
      <c r="AC118" s="206">
        <f t="shared" ref="AC118:AC149" si="9">SUM(I118:AB118)</f>
        <v>0</v>
      </c>
      <c r="AD118" s="68"/>
      <c r="AE118" s="19"/>
      <c r="AF118" s="19"/>
      <c r="AG118" s="19"/>
      <c r="AH118" s="19"/>
    </row>
    <row r="119" spans="1:34" hidden="1" outlineLevel="3" x14ac:dyDescent="0.2">
      <c r="A119" s="19"/>
      <c r="B119" s="19"/>
      <c r="C119" s="506">
        <f t="shared" si="8"/>
        <v>0</v>
      </c>
      <c r="D119" s="505">
        <f t="shared" si="8"/>
        <v>0</v>
      </c>
      <c r="E119" s="505">
        <f t="shared" si="8"/>
        <v>0</v>
      </c>
      <c r="F119" s="505">
        <f t="shared" si="8"/>
        <v>0</v>
      </c>
      <c r="G119" s="505">
        <f t="shared" si="8"/>
        <v>0</v>
      </c>
      <c r="H119" s="58"/>
      <c r="I119" s="198">
        <f>IF(Qty!$J120=0,Qty!M120,Qty!M120*Qty!$J120)*'Hist. prices'!I119*I$7</f>
        <v>0</v>
      </c>
      <c r="J119" s="198">
        <f>IF(Qty!$J120=0,Qty!N120,Qty!N120*Qty!$J120)*'Hist. prices'!J119*J$7</f>
        <v>0</v>
      </c>
      <c r="K119" s="198">
        <f>IF(Qty!$J120=0,Qty!O120,Qty!O120*Qty!$J120)*'Hist. prices'!K119*K$7</f>
        <v>0</v>
      </c>
      <c r="L119" s="198">
        <f>IF(Qty!$J120=0,Qty!P120,Qty!P120*Qty!$J120)*'Hist. prices'!L119*L$7</f>
        <v>0</v>
      </c>
      <c r="M119" s="198">
        <f>IF(Qty!$J120=0,Qty!Q120,Qty!Q120*Qty!$J120)*'Hist. prices'!M119*M$7</f>
        <v>0</v>
      </c>
      <c r="N119" s="198">
        <f>IF(Qty!$J120=0,Qty!R120,Qty!R120*Qty!$J120)*'Hist. prices'!N119*N$7</f>
        <v>0</v>
      </c>
      <c r="O119" s="198">
        <f>IF(Qty!$J120=0,Qty!S120,Qty!S120*Qty!$J120)*'Hist. prices'!O119*O$7</f>
        <v>0</v>
      </c>
      <c r="P119" s="198">
        <f>IF(Qty!$J120=0,Qty!T120,Qty!T120*Qty!$J120)*'Hist. prices'!P119*P$7</f>
        <v>0</v>
      </c>
      <c r="Q119" s="198">
        <f>IF(Qty!$J120=0,Qty!U120,Qty!U120*Qty!$J120)*'Hist. prices'!Q119*Q$7</f>
        <v>0</v>
      </c>
      <c r="R119" s="198">
        <f>IF(Qty!$J120=0,Qty!V120,Qty!V120*Qty!$J120)*'Hist. prices'!R119*R$7</f>
        <v>0</v>
      </c>
      <c r="S119" s="198">
        <f>IF(Qty!$J120=0,Qty!W120,Qty!W120*Qty!$J120)*'Hist. prices'!S119*S$7</f>
        <v>0</v>
      </c>
      <c r="T119" s="198">
        <f>IF(Qty!$J120=0,Qty!X120,Qty!X120*Qty!$J120)*'Hist. prices'!T119*T$7</f>
        <v>0</v>
      </c>
      <c r="U119" s="198">
        <f>IF(Qty!$J120=0,Qty!Y120,Qty!Y120*Qty!$J120)*'Hist. prices'!U119*U$7</f>
        <v>0</v>
      </c>
      <c r="V119" s="198">
        <f>IF(Qty!$J120=0,Qty!Z120,Qty!Z120*Qty!$J120)*'Hist. prices'!V119*V$7</f>
        <v>0</v>
      </c>
      <c r="W119" s="198">
        <f>IF(Qty!$J120=0,Qty!AA120,Qty!AA120*Qty!$J120)*'Hist. prices'!W119*W$7</f>
        <v>0</v>
      </c>
      <c r="X119" s="198">
        <f>IF(Qty!$J120=0,Qty!AB120,Qty!AB120*Qty!$J120)*'Hist. prices'!X119*X$7</f>
        <v>0</v>
      </c>
      <c r="Y119" s="198">
        <f>IF(Qty!$J120=0,Qty!AC120,Qty!AC120*Qty!$J120)*'Hist. prices'!Y119*Y$7</f>
        <v>0</v>
      </c>
      <c r="Z119" s="198">
        <f>IF(Qty!$J120=0,Qty!AD120,Qty!AD120*Qty!$J120)*'Hist. prices'!Z119*Z$7</f>
        <v>0</v>
      </c>
      <c r="AA119" s="198">
        <f>IF(Qty!$J120=0,Qty!AE120,Qty!AE120*Qty!$J120)*'Hist. prices'!AA119*AA$7</f>
        <v>0</v>
      </c>
      <c r="AB119" s="198">
        <f>IF(Qty!$J120=0,Qty!AF120,Qty!AF120*Qty!$J120)*'Hist. prices'!AB119*AB$7</f>
        <v>0</v>
      </c>
      <c r="AC119" s="206">
        <f t="shared" si="9"/>
        <v>0</v>
      </c>
      <c r="AD119" s="68"/>
      <c r="AE119" s="19"/>
      <c r="AF119" s="19"/>
      <c r="AG119" s="19"/>
      <c r="AH119" s="19"/>
    </row>
    <row r="120" spans="1:34" hidden="1" outlineLevel="3" x14ac:dyDescent="0.2">
      <c r="A120" s="19"/>
      <c r="B120" s="19"/>
      <c r="C120" s="506">
        <f t="shared" si="8"/>
        <v>0</v>
      </c>
      <c r="D120" s="505">
        <f t="shared" si="8"/>
        <v>0</v>
      </c>
      <c r="E120" s="505">
        <f t="shared" si="8"/>
        <v>0</v>
      </c>
      <c r="F120" s="505">
        <f t="shared" si="8"/>
        <v>0</v>
      </c>
      <c r="G120" s="505">
        <f t="shared" si="8"/>
        <v>0</v>
      </c>
      <c r="H120" s="58"/>
      <c r="I120" s="198">
        <f>IF(Qty!$J121=0,Qty!M121,Qty!M121*Qty!$J121)*'Hist. prices'!I120*I$7</f>
        <v>0</v>
      </c>
      <c r="J120" s="198">
        <f>IF(Qty!$J121=0,Qty!N121,Qty!N121*Qty!$J121)*'Hist. prices'!J120*J$7</f>
        <v>0</v>
      </c>
      <c r="K120" s="198">
        <f>IF(Qty!$J121=0,Qty!O121,Qty!O121*Qty!$J121)*'Hist. prices'!K120*K$7</f>
        <v>0</v>
      </c>
      <c r="L120" s="198">
        <f>IF(Qty!$J121=0,Qty!P121,Qty!P121*Qty!$J121)*'Hist. prices'!L120*L$7</f>
        <v>0</v>
      </c>
      <c r="M120" s="198">
        <f>IF(Qty!$J121=0,Qty!Q121,Qty!Q121*Qty!$J121)*'Hist. prices'!M120*M$7</f>
        <v>0</v>
      </c>
      <c r="N120" s="198">
        <f>IF(Qty!$J121=0,Qty!R121,Qty!R121*Qty!$J121)*'Hist. prices'!N120*N$7</f>
        <v>0</v>
      </c>
      <c r="O120" s="198">
        <f>IF(Qty!$J121=0,Qty!S121,Qty!S121*Qty!$J121)*'Hist. prices'!O120*O$7</f>
        <v>0</v>
      </c>
      <c r="P120" s="198">
        <f>IF(Qty!$J121=0,Qty!T121,Qty!T121*Qty!$J121)*'Hist. prices'!P120*P$7</f>
        <v>0</v>
      </c>
      <c r="Q120" s="198">
        <f>IF(Qty!$J121=0,Qty!U121,Qty!U121*Qty!$J121)*'Hist. prices'!Q120*Q$7</f>
        <v>0</v>
      </c>
      <c r="R120" s="198">
        <f>IF(Qty!$J121=0,Qty!V121,Qty!V121*Qty!$J121)*'Hist. prices'!R120*R$7</f>
        <v>0</v>
      </c>
      <c r="S120" s="198">
        <f>IF(Qty!$J121=0,Qty!W121,Qty!W121*Qty!$J121)*'Hist. prices'!S120*S$7</f>
        <v>0</v>
      </c>
      <c r="T120" s="198">
        <f>IF(Qty!$J121=0,Qty!X121,Qty!X121*Qty!$J121)*'Hist. prices'!T120*T$7</f>
        <v>0</v>
      </c>
      <c r="U120" s="198">
        <f>IF(Qty!$J121=0,Qty!Y121,Qty!Y121*Qty!$J121)*'Hist. prices'!U120*U$7</f>
        <v>0</v>
      </c>
      <c r="V120" s="198">
        <f>IF(Qty!$J121=0,Qty!Z121,Qty!Z121*Qty!$J121)*'Hist. prices'!V120*V$7</f>
        <v>0</v>
      </c>
      <c r="W120" s="198">
        <f>IF(Qty!$J121=0,Qty!AA121,Qty!AA121*Qty!$J121)*'Hist. prices'!W120*W$7</f>
        <v>0</v>
      </c>
      <c r="X120" s="198">
        <f>IF(Qty!$J121=0,Qty!AB121,Qty!AB121*Qty!$J121)*'Hist. prices'!X120*X$7</f>
        <v>0</v>
      </c>
      <c r="Y120" s="198">
        <f>IF(Qty!$J121=0,Qty!AC121,Qty!AC121*Qty!$J121)*'Hist. prices'!Y120*Y$7</f>
        <v>0</v>
      </c>
      <c r="Z120" s="198">
        <f>IF(Qty!$J121=0,Qty!AD121,Qty!AD121*Qty!$J121)*'Hist. prices'!Z120*Z$7</f>
        <v>0</v>
      </c>
      <c r="AA120" s="198">
        <f>IF(Qty!$J121=0,Qty!AE121,Qty!AE121*Qty!$J121)*'Hist. prices'!AA120*AA$7</f>
        <v>0</v>
      </c>
      <c r="AB120" s="198">
        <f>IF(Qty!$J121=0,Qty!AF121,Qty!AF121*Qty!$J121)*'Hist. prices'!AB120*AB$7</f>
        <v>0</v>
      </c>
      <c r="AC120" s="206">
        <f t="shared" si="9"/>
        <v>0</v>
      </c>
      <c r="AD120" s="68"/>
      <c r="AE120" s="19"/>
      <c r="AF120" s="19"/>
      <c r="AG120" s="19"/>
      <c r="AH120" s="19"/>
    </row>
    <row r="121" spans="1:34" hidden="1" outlineLevel="3" x14ac:dyDescent="0.2">
      <c r="A121" s="19"/>
      <c r="B121" s="19"/>
      <c r="C121" s="506">
        <f t="shared" si="8"/>
        <v>0</v>
      </c>
      <c r="D121" s="505">
        <f t="shared" si="8"/>
        <v>0</v>
      </c>
      <c r="E121" s="505">
        <f t="shared" si="8"/>
        <v>0</v>
      </c>
      <c r="F121" s="505">
        <f t="shared" si="8"/>
        <v>0</v>
      </c>
      <c r="G121" s="505">
        <f t="shared" si="8"/>
        <v>0</v>
      </c>
      <c r="H121" s="58"/>
      <c r="I121" s="198">
        <f>IF(Qty!$J122=0,Qty!M122,Qty!M122*Qty!$J122)*'Hist. prices'!I121*I$7</f>
        <v>0</v>
      </c>
      <c r="J121" s="198">
        <f>IF(Qty!$J122=0,Qty!N122,Qty!N122*Qty!$J122)*'Hist. prices'!J121*J$7</f>
        <v>0</v>
      </c>
      <c r="K121" s="198">
        <f>IF(Qty!$J122=0,Qty!O122,Qty!O122*Qty!$J122)*'Hist. prices'!K121*K$7</f>
        <v>0</v>
      </c>
      <c r="L121" s="198">
        <f>IF(Qty!$J122=0,Qty!P122,Qty!P122*Qty!$J122)*'Hist. prices'!L121*L$7</f>
        <v>0</v>
      </c>
      <c r="M121" s="198">
        <f>IF(Qty!$J122=0,Qty!Q122,Qty!Q122*Qty!$J122)*'Hist. prices'!M121*M$7</f>
        <v>0</v>
      </c>
      <c r="N121" s="198">
        <f>IF(Qty!$J122=0,Qty!R122,Qty!R122*Qty!$J122)*'Hist. prices'!N121*N$7</f>
        <v>0</v>
      </c>
      <c r="O121" s="198">
        <f>IF(Qty!$J122=0,Qty!S122,Qty!S122*Qty!$J122)*'Hist. prices'!O121*O$7</f>
        <v>0</v>
      </c>
      <c r="P121" s="198">
        <f>IF(Qty!$J122=0,Qty!T122,Qty!T122*Qty!$J122)*'Hist. prices'!P121*P$7</f>
        <v>0</v>
      </c>
      <c r="Q121" s="198">
        <f>IF(Qty!$J122=0,Qty!U122,Qty!U122*Qty!$J122)*'Hist. prices'!Q121*Q$7</f>
        <v>0</v>
      </c>
      <c r="R121" s="198">
        <f>IF(Qty!$J122=0,Qty!V122,Qty!V122*Qty!$J122)*'Hist. prices'!R121*R$7</f>
        <v>0</v>
      </c>
      <c r="S121" s="198">
        <f>IF(Qty!$J122=0,Qty!W122,Qty!W122*Qty!$J122)*'Hist. prices'!S121*S$7</f>
        <v>0</v>
      </c>
      <c r="T121" s="198">
        <f>IF(Qty!$J122=0,Qty!X122,Qty!X122*Qty!$J122)*'Hist. prices'!T121*T$7</f>
        <v>0</v>
      </c>
      <c r="U121" s="198">
        <f>IF(Qty!$J122=0,Qty!Y122,Qty!Y122*Qty!$J122)*'Hist. prices'!U121*U$7</f>
        <v>0</v>
      </c>
      <c r="V121" s="198">
        <f>IF(Qty!$J122=0,Qty!Z122,Qty!Z122*Qty!$J122)*'Hist. prices'!V121*V$7</f>
        <v>0</v>
      </c>
      <c r="W121" s="198">
        <f>IF(Qty!$J122=0,Qty!AA122,Qty!AA122*Qty!$J122)*'Hist. prices'!W121*W$7</f>
        <v>0</v>
      </c>
      <c r="X121" s="198">
        <f>IF(Qty!$J122=0,Qty!AB122,Qty!AB122*Qty!$J122)*'Hist. prices'!X121*X$7</f>
        <v>0</v>
      </c>
      <c r="Y121" s="198">
        <f>IF(Qty!$J122=0,Qty!AC122,Qty!AC122*Qty!$J122)*'Hist. prices'!Y121*Y$7</f>
        <v>0</v>
      </c>
      <c r="Z121" s="198">
        <f>IF(Qty!$J122=0,Qty!AD122,Qty!AD122*Qty!$J122)*'Hist. prices'!Z121*Z$7</f>
        <v>0</v>
      </c>
      <c r="AA121" s="198">
        <f>IF(Qty!$J122=0,Qty!AE122,Qty!AE122*Qty!$J122)*'Hist. prices'!AA121*AA$7</f>
        <v>0</v>
      </c>
      <c r="AB121" s="198">
        <f>IF(Qty!$J122=0,Qty!AF122,Qty!AF122*Qty!$J122)*'Hist. prices'!AB121*AB$7</f>
        <v>0</v>
      </c>
      <c r="AC121" s="206">
        <f t="shared" si="9"/>
        <v>0</v>
      </c>
      <c r="AD121" s="68"/>
      <c r="AE121" s="19"/>
      <c r="AF121" s="19"/>
      <c r="AG121" s="19"/>
      <c r="AH121" s="19"/>
    </row>
    <row r="122" spans="1:34" hidden="1" outlineLevel="3" x14ac:dyDescent="0.2">
      <c r="A122" s="19"/>
      <c r="B122" s="19"/>
      <c r="C122" s="506">
        <f t="shared" si="8"/>
        <v>0</v>
      </c>
      <c r="D122" s="505">
        <f t="shared" si="8"/>
        <v>0</v>
      </c>
      <c r="E122" s="505">
        <f t="shared" si="8"/>
        <v>0</v>
      </c>
      <c r="F122" s="505">
        <f t="shared" si="8"/>
        <v>0</v>
      </c>
      <c r="G122" s="505">
        <f t="shared" si="8"/>
        <v>0</v>
      </c>
      <c r="H122" s="58"/>
      <c r="I122" s="198">
        <f>IF(Qty!$J123=0,Qty!M123,Qty!M123*Qty!$J123)*'Hist. prices'!I122*I$7</f>
        <v>0</v>
      </c>
      <c r="J122" s="198">
        <f>IF(Qty!$J123=0,Qty!N123,Qty!N123*Qty!$J123)*'Hist. prices'!J122*J$7</f>
        <v>0</v>
      </c>
      <c r="K122" s="198">
        <f>IF(Qty!$J123=0,Qty!O123,Qty!O123*Qty!$J123)*'Hist. prices'!K122*K$7</f>
        <v>0</v>
      </c>
      <c r="L122" s="198">
        <f>IF(Qty!$J123=0,Qty!P123,Qty!P123*Qty!$J123)*'Hist. prices'!L122*L$7</f>
        <v>0</v>
      </c>
      <c r="M122" s="198">
        <f>IF(Qty!$J123=0,Qty!Q123,Qty!Q123*Qty!$J123)*'Hist. prices'!M122*M$7</f>
        <v>0</v>
      </c>
      <c r="N122" s="198">
        <f>IF(Qty!$J123=0,Qty!R123,Qty!R123*Qty!$J123)*'Hist. prices'!N122*N$7</f>
        <v>0</v>
      </c>
      <c r="O122" s="198">
        <f>IF(Qty!$J123=0,Qty!S123,Qty!S123*Qty!$J123)*'Hist. prices'!O122*O$7</f>
        <v>0</v>
      </c>
      <c r="P122" s="198">
        <f>IF(Qty!$J123=0,Qty!T123,Qty!T123*Qty!$J123)*'Hist. prices'!P122*P$7</f>
        <v>0</v>
      </c>
      <c r="Q122" s="198">
        <f>IF(Qty!$J123=0,Qty!U123,Qty!U123*Qty!$J123)*'Hist. prices'!Q122*Q$7</f>
        <v>0</v>
      </c>
      <c r="R122" s="198">
        <f>IF(Qty!$J123=0,Qty!V123,Qty!V123*Qty!$J123)*'Hist. prices'!R122*R$7</f>
        <v>0</v>
      </c>
      <c r="S122" s="198">
        <f>IF(Qty!$J123=0,Qty!W123,Qty!W123*Qty!$J123)*'Hist. prices'!S122*S$7</f>
        <v>0</v>
      </c>
      <c r="T122" s="198">
        <f>IF(Qty!$J123=0,Qty!X123,Qty!X123*Qty!$J123)*'Hist. prices'!T122*T$7</f>
        <v>0</v>
      </c>
      <c r="U122" s="198">
        <f>IF(Qty!$J123=0,Qty!Y123,Qty!Y123*Qty!$J123)*'Hist. prices'!U122*U$7</f>
        <v>0</v>
      </c>
      <c r="V122" s="198">
        <f>IF(Qty!$J123=0,Qty!Z123,Qty!Z123*Qty!$J123)*'Hist. prices'!V122*V$7</f>
        <v>0</v>
      </c>
      <c r="W122" s="198">
        <f>IF(Qty!$J123=0,Qty!AA123,Qty!AA123*Qty!$J123)*'Hist. prices'!W122*W$7</f>
        <v>0</v>
      </c>
      <c r="X122" s="198">
        <f>IF(Qty!$J123=0,Qty!AB123,Qty!AB123*Qty!$J123)*'Hist. prices'!X122*X$7</f>
        <v>0</v>
      </c>
      <c r="Y122" s="198">
        <f>IF(Qty!$J123=0,Qty!AC123,Qty!AC123*Qty!$J123)*'Hist. prices'!Y122*Y$7</f>
        <v>0</v>
      </c>
      <c r="Z122" s="198">
        <f>IF(Qty!$J123=0,Qty!AD123,Qty!AD123*Qty!$J123)*'Hist. prices'!Z122*Z$7</f>
        <v>0</v>
      </c>
      <c r="AA122" s="198">
        <f>IF(Qty!$J123=0,Qty!AE123,Qty!AE123*Qty!$J123)*'Hist. prices'!AA122*AA$7</f>
        <v>0</v>
      </c>
      <c r="AB122" s="198">
        <f>IF(Qty!$J123=0,Qty!AF123,Qty!AF123*Qty!$J123)*'Hist. prices'!AB122*AB$7</f>
        <v>0</v>
      </c>
      <c r="AC122" s="206">
        <f t="shared" si="9"/>
        <v>0</v>
      </c>
      <c r="AD122" s="68"/>
      <c r="AE122" s="19"/>
      <c r="AF122" s="19"/>
      <c r="AG122" s="19"/>
      <c r="AH122" s="19"/>
    </row>
    <row r="123" spans="1:34" hidden="1" outlineLevel="3" x14ac:dyDescent="0.2">
      <c r="A123" s="19"/>
      <c r="B123" s="19"/>
      <c r="C123" s="506">
        <f t="shared" si="8"/>
        <v>0</v>
      </c>
      <c r="D123" s="505">
        <f t="shared" si="8"/>
        <v>0</v>
      </c>
      <c r="E123" s="505">
        <f t="shared" si="8"/>
        <v>0</v>
      </c>
      <c r="F123" s="505">
        <f t="shared" si="8"/>
        <v>0</v>
      </c>
      <c r="G123" s="505">
        <f t="shared" si="8"/>
        <v>0</v>
      </c>
      <c r="H123" s="58"/>
      <c r="I123" s="198">
        <f>IF(Qty!$J124=0,Qty!M124,Qty!M124*Qty!$J124)*'Hist. prices'!I123*I$7</f>
        <v>0</v>
      </c>
      <c r="J123" s="198">
        <f>IF(Qty!$J124=0,Qty!N124,Qty!N124*Qty!$J124)*'Hist. prices'!J123*J$7</f>
        <v>0</v>
      </c>
      <c r="K123" s="198">
        <f>IF(Qty!$J124=0,Qty!O124,Qty!O124*Qty!$J124)*'Hist. prices'!K123*K$7</f>
        <v>0</v>
      </c>
      <c r="L123" s="198">
        <f>IF(Qty!$J124=0,Qty!P124,Qty!P124*Qty!$J124)*'Hist. prices'!L123*L$7</f>
        <v>0</v>
      </c>
      <c r="M123" s="198">
        <f>IF(Qty!$J124=0,Qty!Q124,Qty!Q124*Qty!$J124)*'Hist. prices'!M123*M$7</f>
        <v>0</v>
      </c>
      <c r="N123" s="198">
        <f>IF(Qty!$J124=0,Qty!R124,Qty!R124*Qty!$J124)*'Hist. prices'!N123*N$7</f>
        <v>0</v>
      </c>
      <c r="O123" s="198">
        <f>IF(Qty!$J124=0,Qty!S124,Qty!S124*Qty!$J124)*'Hist. prices'!O123*O$7</f>
        <v>0</v>
      </c>
      <c r="P123" s="198">
        <f>IF(Qty!$J124=0,Qty!T124,Qty!T124*Qty!$J124)*'Hist. prices'!P123*P$7</f>
        <v>0</v>
      </c>
      <c r="Q123" s="198">
        <f>IF(Qty!$J124=0,Qty!U124,Qty!U124*Qty!$J124)*'Hist. prices'!Q123*Q$7</f>
        <v>0</v>
      </c>
      <c r="R123" s="198">
        <f>IF(Qty!$J124=0,Qty!V124,Qty!V124*Qty!$J124)*'Hist. prices'!R123*R$7</f>
        <v>0</v>
      </c>
      <c r="S123" s="198">
        <f>IF(Qty!$J124=0,Qty!W124,Qty!W124*Qty!$J124)*'Hist. prices'!S123*S$7</f>
        <v>0</v>
      </c>
      <c r="T123" s="198">
        <f>IF(Qty!$J124=0,Qty!X124,Qty!X124*Qty!$J124)*'Hist. prices'!T123*T$7</f>
        <v>0</v>
      </c>
      <c r="U123" s="198">
        <f>IF(Qty!$J124=0,Qty!Y124,Qty!Y124*Qty!$J124)*'Hist. prices'!U123*U$7</f>
        <v>0</v>
      </c>
      <c r="V123" s="198">
        <f>IF(Qty!$J124=0,Qty!Z124,Qty!Z124*Qty!$J124)*'Hist. prices'!V123*V$7</f>
        <v>0</v>
      </c>
      <c r="W123" s="198">
        <f>IF(Qty!$J124=0,Qty!AA124,Qty!AA124*Qty!$J124)*'Hist. prices'!W123*W$7</f>
        <v>0</v>
      </c>
      <c r="X123" s="198">
        <f>IF(Qty!$J124=0,Qty!AB124,Qty!AB124*Qty!$J124)*'Hist. prices'!X123*X$7</f>
        <v>0</v>
      </c>
      <c r="Y123" s="198">
        <f>IF(Qty!$J124=0,Qty!AC124,Qty!AC124*Qty!$J124)*'Hist. prices'!Y123*Y$7</f>
        <v>0</v>
      </c>
      <c r="Z123" s="198">
        <f>IF(Qty!$J124=0,Qty!AD124,Qty!AD124*Qty!$J124)*'Hist. prices'!Z123*Z$7</f>
        <v>0</v>
      </c>
      <c r="AA123" s="198">
        <f>IF(Qty!$J124=0,Qty!AE124,Qty!AE124*Qty!$J124)*'Hist. prices'!AA123*AA$7</f>
        <v>0</v>
      </c>
      <c r="AB123" s="198">
        <f>IF(Qty!$J124=0,Qty!AF124,Qty!AF124*Qty!$J124)*'Hist. prices'!AB123*AB$7</f>
        <v>0</v>
      </c>
      <c r="AC123" s="206">
        <f t="shared" si="9"/>
        <v>0</v>
      </c>
      <c r="AD123" s="68"/>
      <c r="AE123" s="19"/>
      <c r="AF123" s="19"/>
      <c r="AG123" s="19"/>
      <c r="AH123" s="19"/>
    </row>
    <row r="124" spans="1:34" hidden="1" outlineLevel="3" x14ac:dyDescent="0.2">
      <c r="A124" s="19"/>
      <c r="B124" s="19"/>
      <c r="C124" s="506">
        <f t="shared" si="8"/>
        <v>0</v>
      </c>
      <c r="D124" s="505">
        <f t="shared" si="8"/>
        <v>0</v>
      </c>
      <c r="E124" s="505">
        <f t="shared" si="8"/>
        <v>0</v>
      </c>
      <c r="F124" s="505">
        <f t="shared" si="8"/>
        <v>0</v>
      </c>
      <c r="G124" s="505">
        <f t="shared" si="8"/>
        <v>0</v>
      </c>
      <c r="H124" s="58"/>
      <c r="I124" s="198">
        <f>IF(Qty!$J125=0,Qty!M125,Qty!M125*Qty!$J125)*'Hist. prices'!I124*I$7</f>
        <v>0</v>
      </c>
      <c r="J124" s="198">
        <f>IF(Qty!$J125=0,Qty!N125,Qty!N125*Qty!$J125)*'Hist. prices'!J124*J$7</f>
        <v>0</v>
      </c>
      <c r="K124" s="198">
        <f>IF(Qty!$J125=0,Qty!O125,Qty!O125*Qty!$J125)*'Hist. prices'!K124*K$7</f>
        <v>0</v>
      </c>
      <c r="L124" s="198">
        <f>IF(Qty!$J125=0,Qty!P125,Qty!P125*Qty!$J125)*'Hist. prices'!L124*L$7</f>
        <v>0</v>
      </c>
      <c r="M124" s="198">
        <f>IF(Qty!$J125=0,Qty!Q125,Qty!Q125*Qty!$J125)*'Hist. prices'!M124*M$7</f>
        <v>0</v>
      </c>
      <c r="N124" s="198">
        <f>IF(Qty!$J125=0,Qty!R125,Qty!R125*Qty!$J125)*'Hist. prices'!N124*N$7</f>
        <v>0</v>
      </c>
      <c r="O124" s="198">
        <f>IF(Qty!$J125=0,Qty!S125,Qty!S125*Qty!$J125)*'Hist. prices'!O124*O$7</f>
        <v>0</v>
      </c>
      <c r="P124" s="198">
        <f>IF(Qty!$J125=0,Qty!T125,Qty!T125*Qty!$J125)*'Hist. prices'!P124*P$7</f>
        <v>0</v>
      </c>
      <c r="Q124" s="198">
        <f>IF(Qty!$J125=0,Qty!U125,Qty!U125*Qty!$J125)*'Hist. prices'!Q124*Q$7</f>
        <v>0</v>
      </c>
      <c r="R124" s="198">
        <f>IF(Qty!$J125=0,Qty!V125,Qty!V125*Qty!$J125)*'Hist. prices'!R124*R$7</f>
        <v>0</v>
      </c>
      <c r="S124" s="198">
        <f>IF(Qty!$J125=0,Qty!W125,Qty!W125*Qty!$J125)*'Hist. prices'!S124*S$7</f>
        <v>0</v>
      </c>
      <c r="T124" s="198">
        <f>IF(Qty!$J125=0,Qty!X125,Qty!X125*Qty!$J125)*'Hist. prices'!T124*T$7</f>
        <v>0</v>
      </c>
      <c r="U124" s="198">
        <f>IF(Qty!$J125=0,Qty!Y125,Qty!Y125*Qty!$J125)*'Hist. prices'!U124*U$7</f>
        <v>0</v>
      </c>
      <c r="V124" s="198">
        <f>IF(Qty!$J125=0,Qty!Z125,Qty!Z125*Qty!$J125)*'Hist. prices'!V124*V$7</f>
        <v>0</v>
      </c>
      <c r="W124" s="198">
        <f>IF(Qty!$J125=0,Qty!AA125,Qty!AA125*Qty!$J125)*'Hist. prices'!W124*W$7</f>
        <v>0</v>
      </c>
      <c r="X124" s="198">
        <f>IF(Qty!$J125=0,Qty!AB125,Qty!AB125*Qty!$J125)*'Hist. prices'!X124*X$7</f>
        <v>0</v>
      </c>
      <c r="Y124" s="198">
        <f>IF(Qty!$J125=0,Qty!AC125,Qty!AC125*Qty!$J125)*'Hist. prices'!Y124*Y$7</f>
        <v>0</v>
      </c>
      <c r="Z124" s="198">
        <f>IF(Qty!$J125=0,Qty!AD125,Qty!AD125*Qty!$J125)*'Hist. prices'!Z124*Z$7</f>
        <v>0</v>
      </c>
      <c r="AA124" s="198">
        <f>IF(Qty!$J125=0,Qty!AE125,Qty!AE125*Qty!$J125)*'Hist. prices'!AA124*AA$7</f>
        <v>0</v>
      </c>
      <c r="AB124" s="198">
        <f>IF(Qty!$J125=0,Qty!AF125,Qty!AF125*Qty!$J125)*'Hist. prices'!AB124*AB$7</f>
        <v>0</v>
      </c>
      <c r="AC124" s="206">
        <f t="shared" si="9"/>
        <v>0</v>
      </c>
      <c r="AD124" s="68"/>
      <c r="AE124" s="19"/>
      <c r="AF124" s="19"/>
      <c r="AG124" s="19"/>
      <c r="AH124" s="19"/>
    </row>
    <row r="125" spans="1:34" hidden="1" outlineLevel="3" x14ac:dyDescent="0.2">
      <c r="A125" s="19"/>
      <c r="B125" s="19"/>
      <c r="C125" s="506">
        <f t="shared" si="8"/>
        <v>0</v>
      </c>
      <c r="D125" s="505">
        <f t="shared" si="8"/>
        <v>0</v>
      </c>
      <c r="E125" s="505">
        <f t="shared" si="8"/>
        <v>0</v>
      </c>
      <c r="F125" s="505">
        <f t="shared" si="8"/>
        <v>0</v>
      </c>
      <c r="G125" s="505">
        <f t="shared" si="8"/>
        <v>0</v>
      </c>
      <c r="H125" s="58"/>
      <c r="I125" s="198">
        <f>IF(Qty!$J126=0,Qty!M126,Qty!M126*Qty!$J126)*'Hist. prices'!I125*I$7</f>
        <v>0</v>
      </c>
      <c r="J125" s="198">
        <f>IF(Qty!$J126=0,Qty!N126,Qty!N126*Qty!$J126)*'Hist. prices'!J125*J$7</f>
        <v>0</v>
      </c>
      <c r="K125" s="198">
        <f>IF(Qty!$J126=0,Qty!O126,Qty!O126*Qty!$J126)*'Hist. prices'!K125*K$7</f>
        <v>0</v>
      </c>
      <c r="L125" s="198">
        <f>IF(Qty!$J126=0,Qty!P126,Qty!P126*Qty!$J126)*'Hist. prices'!L125*L$7</f>
        <v>0</v>
      </c>
      <c r="M125" s="198">
        <f>IF(Qty!$J126=0,Qty!Q126,Qty!Q126*Qty!$J126)*'Hist. prices'!M125*M$7</f>
        <v>0</v>
      </c>
      <c r="N125" s="198">
        <f>IF(Qty!$J126=0,Qty!R126,Qty!R126*Qty!$J126)*'Hist. prices'!N125*N$7</f>
        <v>0</v>
      </c>
      <c r="O125" s="198">
        <f>IF(Qty!$J126=0,Qty!S126,Qty!S126*Qty!$J126)*'Hist. prices'!O125*O$7</f>
        <v>0</v>
      </c>
      <c r="P125" s="198">
        <f>IF(Qty!$J126=0,Qty!T126,Qty!T126*Qty!$J126)*'Hist. prices'!P125*P$7</f>
        <v>0</v>
      </c>
      <c r="Q125" s="198">
        <f>IF(Qty!$J126=0,Qty!U126,Qty!U126*Qty!$J126)*'Hist. prices'!Q125*Q$7</f>
        <v>0</v>
      </c>
      <c r="R125" s="198">
        <f>IF(Qty!$J126=0,Qty!V126,Qty!V126*Qty!$J126)*'Hist. prices'!R125*R$7</f>
        <v>0</v>
      </c>
      <c r="S125" s="198">
        <f>IF(Qty!$J126=0,Qty!W126,Qty!W126*Qty!$J126)*'Hist. prices'!S125*S$7</f>
        <v>0</v>
      </c>
      <c r="T125" s="198">
        <f>IF(Qty!$J126=0,Qty!X126,Qty!X126*Qty!$J126)*'Hist. prices'!T125*T$7</f>
        <v>0</v>
      </c>
      <c r="U125" s="198">
        <f>IF(Qty!$J126=0,Qty!Y126,Qty!Y126*Qty!$J126)*'Hist. prices'!U125*U$7</f>
        <v>0</v>
      </c>
      <c r="V125" s="198">
        <f>IF(Qty!$J126=0,Qty!Z126,Qty!Z126*Qty!$J126)*'Hist. prices'!V125*V$7</f>
        <v>0</v>
      </c>
      <c r="W125" s="198">
        <f>IF(Qty!$J126=0,Qty!AA126,Qty!AA126*Qty!$J126)*'Hist. prices'!W125*W$7</f>
        <v>0</v>
      </c>
      <c r="X125" s="198">
        <f>IF(Qty!$J126=0,Qty!AB126,Qty!AB126*Qty!$J126)*'Hist. prices'!X125*X$7</f>
        <v>0</v>
      </c>
      <c r="Y125" s="198">
        <f>IF(Qty!$J126=0,Qty!AC126,Qty!AC126*Qty!$J126)*'Hist. prices'!Y125*Y$7</f>
        <v>0</v>
      </c>
      <c r="Z125" s="198">
        <f>IF(Qty!$J126=0,Qty!AD126,Qty!AD126*Qty!$J126)*'Hist. prices'!Z125*Z$7</f>
        <v>0</v>
      </c>
      <c r="AA125" s="198">
        <f>IF(Qty!$J126=0,Qty!AE126,Qty!AE126*Qty!$J126)*'Hist. prices'!AA125*AA$7</f>
        <v>0</v>
      </c>
      <c r="AB125" s="198">
        <f>IF(Qty!$J126=0,Qty!AF126,Qty!AF126*Qty!$J126)*'Hist. prices'!AB125*AB$7</f>
        <v>0</v>
      </c>
      <c r="AC125" s="206">
        <f t="shared" si="9"/>
        <v>0</v>
      </c>
      <c r="AD125" s="68"/>
      <c r="AE125" s="19"/>
      <c r="AF125" s="19"/>
      <c r="AG125" s="19"/>
      <c r="AH125" s="19"/>
    </row>
    <row r="126" spans="1:34" hidden="1" outlineLevel="3" x14ac:dyDescent="0.2">
      <c r="A126" s="19"/>
      <c r="B126" s="19"/>
      <c r="C126" s="506">
        <f t="shared" ref="C126:G135" si="10">C48</f>
        <v>0</v>
      </c>
      <c r="D126" s="505">
        <f t="shared" si="10"/>
        <v>0</v>
      </c>
      <c r="E126" s="505">
        <f t="shared" si="10"/>
        <v>0</v>
      </c>
      <c r="F126" s="505">
        <f t="shared" si="10"/>
        <v>0</v>
      </c>
      <c r="G126" s="505">
        <f t="shared" si="10"/>
        <v>0</v>
      </c>
      <c r="H126" s="58"/>
      <c r="I126" s="198">
        <f>IF(Qty!$J127=0,Qty!M127,Qty!M127*Qty!$J127)*'Hist. prices'!I126*I$7</f>
        <v>0</v>
      </c>
      <c r="J126" s="198">
        <f>IF(Qty!$J127=0,Qty!N127,Qty!N127*Qty!$J127)*'Hist. prices'!J126*J$7</f>
        <v>0</v>
      </c>
      <c r="K126" s="198">
        <f>IF(Qty!$J127=0,Qty!O127,Qty!O127*Qty!$J127)*'Hist. prices'!K126*K$7</f>
        <v>0</v>
      </c>
      <c r="L126" s="198">
        <f>IF(Qty!$J127=0,Qty!P127,Qty!P127*Qty!$J127)*'Hist. prices'!L126*L$7</f>
        <v>0</v>
      </c>
      <c r="M126" s="198">
        <f>IF(Qty!$J127=0,Qty!Q127,Qty!Q127*Qty!$J127)*'Hist. prices'!M126*M$7</f>
        <v>0</v>
      </c>
      <c r="N126" s="198">
        <f>IF(Qty!$J127=0,Qty!R127,Qty!R127*Qty!$J127)*'Hist. prices'!N126*N$7</f>
        <v>0</v>
      </c>
      <c r="O126" s="198">
        <f>IF(Qty!$J127=0,Qty!S127,Qty!S127*Qty!$J127)*'Hist. prices'!O126*O$7</f>
        <v>0</v>
      </c>
      <c r="P126" s="198">
        <f>IF(Qty!$J127=0,Qty!T127,Qty!T127*Qty!$J127)*'Hist. prices'!P126*P$7</f>
        <v>0</v>
      </c>
      <c r="Q126" s="198">
        <f>IF(Qty!$J127=0,Qty!U127,Qty!U127*Qty!$J127)*'Hist. prices'!Q126*Q$7</f>
        <v>0</v>
      </c>
      <c r="R126" s="198">
        <f>IF(Qty!$J127=0,Qty!V127,Qty!V127*Qty!$J127)*'Hist. prices'!R126*R$7</f>
        <v>0</v>
      </c>
      <c r="S126" s="198">
        <f>IF(Qty!$J127=0,Qty!W127,Qty!W127*Qty!$J127)*'Hist. prices'!S126*S$7</f>
        <v>0</v>
      </c>
      <c r="T126" s="198">
        <f>IF(Qty!$J127=0,Qty!X127,Qty!X127*Qty!$J127)*'Hist. prices'!T126*T$7</f>
        <v>0</v>
      </c>
      <c r="U126" s="198">
        <f>IF(Qty!$J127=0,Qty!Y127,Qty!Y127*Qty!$J127)*'Hist. prices'!U126*U$7</f>
        <v>0</v>
      </c>
      <c r="V126" s="198">
        <f>IF(Qty!$J127=0,Qty!Z127,Qty!Z127*Qty!$J127)*'Hist. prices'!V126*V$7</f>
        <v>0</v>
      </c>
      <c r="W126" s="198">
        <f>IF(Qty!$J127=0,Qty!AA127,Qty!AA127*Qty!$J127)*'Hist. prices'!W126*W$7</f>
        <v>0</v>
      </c>
      <c r="X126" s="198">
        <f>IF(Qty!$J127=0,Qty!AB127,Qty!AB127*Qty!$J127)*'Hist. prices'!X126*X$7</f>
        <v>0</v>
      </c>
      <c r="Y126" s="198">
        <f>IF(Qty!$J127=0,Qty!AC127,Qty!AC127*Qty!$J127)*'Hist. prices'!Y126*Y$7</f>
        <v>0</v>
      </c>
      <c r="Z126" s="198">
        <f>IF(Qty!$J127=0,Qty!AD127,Qty!AD127*Qty!$J127)*'Hist. prices'!Z126*Z$7</f>
        <v>0</v>
      </c>
      <c r="AA126" s="198">
        <f>IF(Qty!$J127=0,Qty!AE127,Qty!AE127*Qty!$J127)*'Hist. prices'!AA126*AA$7</f>
        <v>0</v>
      </c>
      <c r="AB126" s="198">
        <f>IF(Qty!$J127=0,Qty!AF127,Qty!AF127*Qty!$J127)*'Hist. prices'!AB126*AB$7</f>
        <v>0</v>
      </c>
      <c r="AC126" s="206">
        <f t="shared" si="9"/>
        <v>0</v>
      </c>
      <c r="AD126" s="68"/>
      <c r="AE126" s="19"/>
      <c r="AF126" s="19"/>
      <c r="AG126" s="19"/>
      <c r="AH126" s="19"/>
    </row>
    <row r="127" spans="1:34" hidden="1" outlineLevel="3" x14ac:dyDescent="0.2">
      <c r="A127" s="19"/>
      <c r="B127" s="19"/>
      <c r="C127" s="506">
        <f t="shared" si="10"/>
        <v>0</v>
      </c>
      <c r="D127" s="505">
        <f t="shared" si="10"/>
        <v>0</v>
      </c>
      <c r="E127" s="505">
        <f t="shared" si="10"/>
        <v>0</v>
      </c>
      <c r="F127" s="505">
        <f t="shared" si="10"/>
        <v>0</v>
      </c>
      <c r="G127" s="505">
        <f t="shared" si="10"/>
        <v>0</v>
      </c>
      <c r="H127" s="58"/>
      <c r="I127" s="198">
        <f>IF(Qty!$J128=0,Qty!M128,Qty!M128*Qty!$J128)*'Hist. prices'!I127*I$7</f>
        <v>0</v>
      </c>
      <c r="J127" s="198">
        <f>IF(Qty!$J128=0,Qty!N128,Qty!N128*Qty!$J128)*'Hist. prices'!J127*J$7</f>
        <v>0</v>
      </c>
      <c r="K127" s="198">
        <f>IF(Qty!$J128=0,Qty!O128,Qty!O128*Qty!$J128)*'Hist. prices'!K127*K$7</f>
        <v>0</v>
      </c>
      <c r="L127" s="198">
        <f>IF(Qty!$J128=0,Qty!P128,Qty!P128*Qty!$J128)*'Hist. prices'!L127*L$7</f>
        <v>0</v>
      </c>
      <c r="M127" s="198">
        <f>IF(Qty!$J128=0,Qty!Q128,Qty!Q128*Qty!$J128)*'Hist. prices'!M127*M$7</f>
        <v>0</v>
      </c>
      <c r="N127" s="198">
        <f>IF(Qty!$J128=0,Qty!R128,Qty!R128*Qty!$J128)*'Hist. prices'!N127*N$7</f>
        <v>0</v>
      </c>
      <c r="O127" s="198">
        <f>IF(Qty!$J128=0,Qty!S128,Qty!S128*Qty!$J128)*'Hist. prices'!O127*O$7</f>
        <v>0</v>
      </c>
      <c r="P127" s="198">
        <f>IF(Qty!$J128=0,Qty!T128,Qty!T128*Qty!$J128)*'Hist. prices'!P127*P$7</f>
        <v>0</v>
      </c>
      <c r="Q127" s="198">
        <f>IF(Qty!$J128=0,Qty!U128,Qty!U128*Qty!$J128)*'Hist. prices'!Q127*Q$7</f>
        <v>0</v>
      </c>
      <c r="R127" s="198">
        <f>IF(Qty!$J128=0,Qty!V128,Qty!V128*Qty!$J128)*'Hist. prices'!R127*R$7</f>
        <v>0</v>
      </c>
      <c r="S127" s="198">
        <f>IF(Qty!$J128=0,Qty!W128,Qty!W128*Qty!$J128)*'Hist. prices'!S127*S$7</f>
        <v>0</v>
      </c>
      <c r="T127" s="198">
        <f>IF(Qty!$J128=0,Qty!X128,Qty!X128*Qty!$J128)*'Hist. prices'!T127*T$7</f>
        <v>0</v>
      </c>
      <c r="U127" s="198">
        <f>IF(Qty!$J128=0,Qty!Y128,Qty!Y128*Qty!$J128)*'Hist. prices'!U127*U$7</f>
        <v>0</v>
      </c>
      <c r="V127" s="198">
        <f>IF(Qty!$J128=0,Qty!Z128,Qty!Z128*Qty!$J128)*'Hist. prices'!V127*V$7</f>
        <v>0</v>
      </c>
      <c r="W127" s="198">
        <f>IF(Qty!$J128=0,Qty!AA128,Qty!AA128*Qty!$J128)*'Hist. prices'!W127*W$7</f>
        <v>0</v>
      </c>
      <c r="X127" s="198">
        <f>IF(Qty!$J128=0,Qty!AB128,Qty!AB128*Qty!$J128)*'Hist. prices'!X127*X$7</f>
        <v>0</v>
      </c>
      <c r="Y127" s="198">
        <f>IF(Qty!$J128=0,Qty!AC128,Qty!AC128*Qty!$J128)*'Hist. prices'!Y127*Y$7</f>
        <v>0</v>
      </c>
      <c r="Z127" s="198">
        <f>IF(Qty!$J128=0,Qty!AD128,Qty!AD128*Qty!$J128)*'Hist. prices'!Z127*Z$7</f>
        <v>0</v>
      </c>
      <c r="AA127" s="198">
        <f>IF(Qty!$J128=0,Qty!AE128,Qty!AE128*Qty!$J128)*'Hist. prices'!AA127*AA$7</f>
        <v>0</v>
      </c>
      <c r="AB127" s="198">
        <f>IF(Qty!$J128=0,Qty!AF128,Qty!AF128*Qty!$J128)*'Hist. prices'!AB127*AB$7</f>
        <v>0</v>
      </c>
      <c r="AC127" s="206">
        <f t="shared" si="9"/>
        <v>0</v>
      </c>
      <c r="AD127" s="68"/>
      <c r="AE127" s="19"/>
      <c r="AF127" s="19"/>
      <c r="AG127" s="19"/>
      <c r="AH127" s="19"/>
    </row>
    <row r="128" spans="1:34" hidden="1" outlineLevel="3" x14ac:dyDescent="0.2">
      <c r="A128" s="19"/>
      <c r="B128" s="19"/>
      <c r="C128" s="506">
        <f t="shared" si="10"/>
        <v>0</v>
      </c>
      <c r="D128" s="505">
        <f t="shared" si="10"/>
        <v>0</v>
      </c>
      <c r="E128" s="505">
        <f t="shared" si="10"/>
        <v>0</v>
      </c>
      <c r="F128" s="505">
        <f t="shared" si="10"/>
        <v>0</v>
      </c>
      <c r="G128" s="505">
        <f t="shared" si="10"/>
        <v>0</v>
      </c>
      <c r="H128" s="58"/>
      <c r="I128" s="198">
        <f>IF(Qty!$J129=0,Qty!M129,Qty!M129*Qty!$J129)*'Hist. prices'!I128*I$7</f>
        <v>0</v>
      </c>
      <c r="J128" s="198">
        <f>IF(Qty!$J129=0,Qty!N129,Qty!N129*Qty!$J129)*'Hist. prices'!J128*J$7</f>
        <v>0</v>
      </c>
      <c r="K128" s="198">
        <f>IF(Qty!$J129=0,Qty!O129,Qty!O129*Qty!$J129)*'Hist. prices'!K128*K$7</f>
        <v>0</v>
      </c>
      <c r="L128" s="198">
        <f>IF(Qty!$J129=0,Qty!P129,Qty!P129*Qty!$J129)*'Hist. prices'!L128*L$7</f>
        <v>0</v>
      </c>
      <c r="M128" s="198">
        <f>IF(Qty!$J129=0,Qty!Q129,Qty!Q129*Qty!$J129)*'Hist. prices'!M128*M$7</f>
        <v>0</v>
      </c>
      <c r="N128" s="198">
        <f>IF(Qty!$J129=0,Qty!R129,Qty!R129*Qty!$J129)*'Hist. prices'!N128*N$7</f>
        <v>0</v>
      </c>
      <c r="O128" s="198">
        <f>IF(Qty!$J129=0,Qty!S129,Qty!S129*Qty!$J129)*'Hist. prices'!O128*O$7</f>
        <v>0</v>
      </c>
      <c r="P128" s="198">
        <f>IF(Qty!$J129=0,Qty!T129,Qty!T129*Qty!$J129)*'Hist. prices'!P128*P$7</f>
        <v>0</v>
      </c>
      <c r="Q128" s="198">
        <f>IF(Qty!$J129=0,Qty!U129,Qty!U129*Qty!$J129)*'Hist. prices'!Q128*Q$7</f>
        <v>0</v>
      </c>
      <c r="R128" s="198">
        <f>IF(Qty!$J129=0,Qty!V129,Qty!V129*Qty!$J129)*'Hist. prices'!R128*R$7</f>
        <v>0</v>
      </c>
      <c r="S128" s="198">
        <f>IF(Qty!$J129=0,Qty!W129,Qty!W129*Qty!$J129)*'Hist. prices'!S128*S$7</f>
        <v>0</v>
      </c>
      <c r="T128" s="198">
        <f>IF(Qty!$J129=0,Qty!X129,Qty!X129*Qty!$J129)*'Hist. prices'!T128*T$7</f>
        <v>0</v>
      </c>
      <c r="U128" s="198">
        <f>IF(Qty!$J129=0,Qty!Y129,Qty!Y129*Qty!$J129)*'Hist. prices'!U128*U$7</f>
        <v>0</v>
      </c>
      <c r="V128" s="198">
        <f>IF(Qty!$J129=0,Qty!Z129,Qty!Z129*Qty!$J129)*'Hist. prices'!V128*V$7</f>
        <v>0</v>
      </c>
      <c r="W128" s="198">
        <f>IF(Qty!$J129=0,Qty!AA129,Qty!AA129*Qty!$J129)*'Hist. prices'!W128*W$7</f>
        <v>0</v>
      </c>
      <c r="X128" s="198">
        <f>IF(Qty!$J129=0,Qty!AB129,Qty!AB129*Qty!$J129)*'Hist. prices'!X128*X$7</f>
        <v>0</v>
      </c>
      <c r="Y128" s="198">
        <f>IF(Qty!$J129=0,Qty!AC129,Qty!AC129*Qty!$J129)*'Hist. prices'!Y128*Y$7</f>
        <v>0</v>
      </c>
      <c r="Z128" s="198">
        <f>IF(Qty!$J129=0,Qty!AD129,Qty!AD129*Qty!$J129)*'Hist. prices'!Z128*Z$7</f>
        <v>0</v>
      </c>
      <c r="AA128" s="198">
        <f>IF(Qty!$J129=0,Qty!AE129,Qty!AE129*Qty!$J129)*'Hist. prices'!AA128*AA$7</f>
        <v>0</v>
      </c>
      <c r="AB128" s="198">
        <f>IF(Qty!$J129=0,Qty!AF129,Qty!AF129*Qty!$J129)*'Hist. prices'!AB128*AB$7</f>
        <v>0</v>
      </c>
      <c r="AC128" s="206">
        <f t="shared" si="9"/>
        <v>0</v>
      </c>
      <c r="AD128" s="68"/>
      <c r="AE128" s="19"/>
      <c r="AF128" s="19"/>
      <c r="AG128" s="19"/>
      <c r="AH128" s="19"/>
    </row>
    <row r="129" spans="1:34" hidden="1" outlineLevel="3" x14ac:dyDescent="0.2">
      <c r="A129" s="19"/>
      <c r="B129" s="19"/>
      <c r="C129" s="506">
        <f t="shared" si="10"/>
        <v>0</v>
      </c>
      <c r="D129" s="505">
        <f t="shared" si="10"/>
        <v>0</v>
      </c>
      <c r="E129" s="505">
        <f t="shared" si="10"/>
        <v>0</v>
      </c>
      <c r="F129" s="505">
        <f t="shared" si="10"/>
        <v>0</v>
      </c>
      <c r="G129" s="505">
        <f t="shared" si="10"/>
        <v>0</v>
      </c>
      <c r="H129" s="58"/>
      <c r="I129" s="198">
        <f>IF(Qty!$J130=0,Qty!M130,Qty!M130*Qty!$J130)*'Hist. prices'!I129*I$7</f>
        <v>0</v>
      </c>
      <c r="J129" s="198">
        <f>IF(Qty!$J130=0,Qty!N130,Qty!N130*Qty!$J130)*'Hist. prices'!J129*J$7</f>
        <v>0</v>
      </c>
      <c r="K129" s="198">
        <f>IF(Qty!$J130=0,Qty!O130,Qty!O130*Qty!$J130)*'Hist. prices'!K129*K$7</f>
        <v>0</v>
      </c>
      <c r="L129" s="198">
        <f>IF(Qty!$J130=0,Qty!P130,Qty!P130*Qty!$J130)*'Hist. prices'!L129*L$7</f>
        <v>0</v>
      </c>
      <c r="M129" s="198">
        <f>IF(Qty!$J130=0,Qty!Q130,Qty!Q130*Qty!$J130)*'Hist. prices'!M129*M$7</f>
        <v>0</v>
      </c>
      <c r="N129" s="198">
        <f>IF(Qty!$J130=0,Qty!R130,Qty!R130*Qty!$J130)*'Hist. prices'!N129*N$7</f>
        <v>0</v>
      </c>
      <c r="O129" s="198">
        <f>IF(Qty!$J130=0,Qty!S130,Qty!S130*Qty!$J130)*'Hist. prices'!O129*O$7</f>
        <v>0</v>
      </c>
      <c r="P129" s="198">
        <f>IF(Qty!$J130=0,Qty!T130,Qty!T130*Qty!$J130)*'Hist. prices'!P129*P$7</f>
        <v>0</v>
      </c>
      <c r="Q129" s="198">
        <f>IF(Qty!$J130=0,Qty!U130,Qty!U130*Qty!$J130)*'Hist. prices'!Q129*Q$7</f>
        <v>0</v>
      </c>
      <c r="R129" s="198">
        <f>IF(Qty!$J130=0,Qty!V130,Qty!V130*Qty!$J130)*'Hist. prices'!R129*R$7</f>
        <v>0</v>
      </c>
      <c r="S129" s="198">
        <f>IF(Qty!$J130=0,Qty!W130,Qty!W130*Qty!$J130)*'Hist. prices'!S129*S$7</f>
        <v>0</v>
      </c>
      <c r="T129" s="198">
        <f>IF(Qty!$J130=0,Qty!X130,Qty!X130*Qty!$J130)*'Hist. prices'!T129*T$7</f>
        <v>0</v>
      </c>
      <c r="U129" s="198">
        <f>IF(Qty!$J130=0,Qty!Y130,Qty!Y130*Qty!$J130)*'Hist. prices'!U129*U$7</f>
        <v>0</v>
      </c>
      <c r="V129" s="198">
        <f>IF(Qty!$J130=0,Qty!Z130,Qty!Z130*Qty!$J130)*'Hist. prices'!V129*V$7</f>
        <v>0</v>
      </c>
      <c r="W129" s="198">
        <f>IF(Qty!$J130=0,Qty!AA130,Qty!AA130*Qty!$J130)*'Hist. prices'!W129*W$7</f>
        <v>0</v>
      </c>
      <c r="X129" s="198">
        <f>IF(Qty!$J130=0,Qty!AB130,Qty!AB130*Qty!$J130)*'Hist. prices'!X129*X$7</f>
        <v>0</v>
      </c>
      <c r="Y129" s="198">
        <f>IF(Qty!$J130=0,Qty!AC130,Qty!AC130*Qty!$J130)*'Hist. prices'!Y129*Y$7</f>
        <v>0</v>
      </c>
      <c r="Z129" s="198">
        <f>IF(Qty!$J130=0,Qty!AD130,Qty!AD130*Qty!$J130)*'Hist. prices'!Z129*Z$7</f>
        <v>0</v>
      </c>
      <c r="AA129" s="198">
        <f>IF(Qty!$J130=0,Qty!AE130,Qty!AE130*Qty!$J130)*'Hist. prices'!AA129*AA$7</f>
        <v>0</v>
      </c>
      <c r="AB129" s="198">
        <f>IF(Qty!$J130=0,Qty!AF130,Qty!AF130*Qty!$J130)*'Hist. prices'!AB129*AB$7</f>
        <v>0</v>
      </c>
      <c r="AC129" s="206">
        <f t="shared" si="9"/>
        <v>0</v>
      </c>
      <c r="AD129" s="68"/>
      <c r="AE129" s="19"/>
      <c r="AF129" s="19"/>
      <c r="AG129" s="19"/>
      <c r="AH129" s="19"/>
    </row>
    <row r="130" spans="1:34" hidden="1" outlineLevel="3" x14ac:dyDescent="0.2">
      <c r="A130" s="19"/>
      <c r="B130" s="19"/>
      <c r="C130" s="506">
        <f t="shared" si="10"/>
        <v>0</v>
      </c>
      <c r="D130" s="505">
        <f t="shared" si="10"/>
        <v>0</v>
      </c>
      <c r="E130" s="505">
        <f t="shared" si="10"/>
        <v>0</v>
      </c>
      <c r="F130" s="505">
        <f t="shared" si="10"/>
        <v>0</v>
      </c>
      <c r="G130" s="505">
        <f t="shared" si="10"/>
        <v>0</v>
      </c>
      <c r="H130" s="58"/>
      <c r="I130" s="198">
        <f>IF(Qty!$J131=0,Qty!M131,Qty!M131*Qty!$J131)*'Hist. prices'!I130*I$7</f>
        <v>0</v>
      </c>
      <c r="J130" s="198">
        <f>IF(Qty!$J131=0,Qty!N131,Qty!N131*Qty!$J131)*'Hist. prices'!J130*J$7</f>
        <v>0</v>
      </c>
      <c r="K130" s="198">
        <f>IF(Qty!$J131=0,Qty!O131,Qty!O131*Qty!$J131)*'Hist. prices'!K130*K$7</f>
        <v>0</v>
      </c>
      <c r="L130" s="198">
        <f>IF(Qty!$J131=0,Qty!P131,Qty!P131*Qty!$J131)*'Hist. prices'!L130*L$7</f>
        <v>0</v>
      </c>
      <c r="M130" s="198">
        <f>IF(Qty!$J131=0,Qty!Q131,Qty!Q131*Qty!$J131)*'Hist. prices'!M130*M$7</f>
        <v>0</v>
      </c>
      <c r="N130" s="198">
        <f>IF(Qty!$J131=0,Qty!R131,Qty!R131*Qty!$J131)*'Hist. prices'!N130*N$7</f>
        <v>0</v>
      </c>
      <c r="O130" s="198">
        <f>IF(Qty!$J131=0,Qty!S131,Qty!S131*Qty!$J131)*'Hist. prices'!O130*O$7</f>
        <v>0</v>
      </c>
      <c r="P130" s="198">
        <f>IF(Qty!$J131=0,Qty!T131,Qty!T131*Qty!$J131)*'Hist. prices'!P130*P$7</f>
        <v>0</v>
      </c>
      <c r="Q130" s="198">
        <f>IF(Qty!$J131=0,Qty!U131,Qty!U131*Qty!$J131)*'Hist. prices'!Q130*Q$7</f>
        <v>0</v>
      </c>
      <c r="R130" s="198">
        <f>IF(Qty!$J131=0,Qty!V131,Qty!V131*Qty!$J131)*'Hist. prices'!R130*R$7</f>
        <v>0</v>
      </c>
      <c r="S130" s="198">
        <f>IF(Qty!$J131=0,Qty!W131,Qty!W131*Qty!$J131)*'Hist. prices'!S130*S$7</f>
        <v>0</v>
      </c>
      <c r="T130" s="198">
        <f>IF(Qty!$J131=0,Qty!X131,Qty!X131*Qty!$J131)*'Hist. prices'!T130*T$7</f>
        <v>0</v>
      </c>
      <c r="U130" s="198">
        <f>IF(Qty!$J131=0,Qty!Y131,Qty!Y131*Qty!$J131)*'Hist. prices'!U130*U$7</f>
        <v>0</v>
      </c>
      <c r="V130" s="198">
        <f>IF(Qty!$J131=0,Qty!Z131,Qty!Z131*Qty!$J131)*'Hist. prices'!V130*V$7</f>
        <v>0</v>
      </c>
      <c r="W130" s="198">
        <f>IF(Qty!$J131=0,Qty!AA131,Qty!AA131*Qty!$J131)*'Hist. prices'!W130*W$7</f>
        <v>0</v>
      </c>
      <c r="X130" s="198">
        <f>IF(Qty!$J131=0,Qty!AB131,Qty!AB131*Qty!$J131)*'Hist. prices'!X130*X$7</f>
        <v>0</v>
      </c>
      <c r="Y130" s="198">
        <f>IF(Qty!$J131=0,Qty!AC131,Qty!AC131*Qty!$J131)*'Hist. prices'!Y130*Y$7</f>
        <v>0</v>
      </c>
      <c r="Z130" s="198">
        <f>IF(Qty!$J131=0,Qty!AD131,Qty!AD131*Qty!$J131)*'Hist. prices'!Z130*Z$7</f>
        <v>0</v>
      </c>
      <c r="AA130" s="198">
        <f>IF(Qty!$J131=0,Qty!AE131,Qty!AE131*Qty!$J131)*'Hist. prices'!AA130*AA$7</f>
        <v>0</v>
      </c>
      <c r="AB130" s="198">
        <f>IF(Qty!$J131=0,Qty!AF131,Qty!AF131*Qty!$J131)*'Hist. prices'!AB130*AB$7</f>
        <v>0</v>
      </c>
      <c r="AC130" s="206">
        <f t="shared" si="9"/>
        <v>0</v>
      </c>
      <c r="AD130" s="68"/>
      <c r="AE130" s="19"/>
      <c r="AF130" s="19"/>
      <c r="AG130" s="19"/>
      <c r="AH130" s="19"/>
    </row>
    <row r="131" spans="1:34" hidden="1" outlineLevel="3" x14ac:dyDescent="0.2">
      <c r="A131" s="19"/>
      <c r="B131" s="19"/>
      <c r="C131" s="506">
        <f t="shared" si="10"/>
        <v>0</v>
      </c>
      <c r="D131" s="505">
        <f t="shared" si="10"/>
        <v>0</v>
      </c>
      <c r="E131" s="505">
        <f t="shared" si="10"/>
        <v>0</v>
      </c>
      <c r="F131" s="505">
        <f t="shared" si="10"/>
        <v>0</v>
      </c>
      <c r="G131" s="505">
        <f t="shared" si="10"/>
        <v>0</v>
      </c>
      <c r="H131" s="58"/>
      <c r="I131" s="198">
        <f>IF(Qty!$J132=0,Qty!M132,Qty!M132*Qty!$J132)*'Hist. prices'!I131*I$7</f>
        <v>0</v>
      </c>
      <c r="J131" s="198">
        <f>IF(Qty!$J132=0,Qty!N132,Qty!N132*Qty!$J132)*'Hist. prices'!J131*J$7</f>
        <v>0</v>
      </c>
      <c r="K131" s="198">
        <f>IF(Qty!$J132=0,Qty!O132,Qty!O132*Qty!$J132)*'Hist. prices'!K131*K$7</f>
        <v>0</v>
      </c>
      <c r="L131" s="198">
        <f>IF(Qty!$J132=0,Qty!P132,Qty!P132*Qty!$J132)*'Hist. prices'!L131*L$7</f>
        <v>0</v>
      </c>
      <c r="M131" s="198">
        <f>IF(Qty!$J132=0,Qty!Q132,Qty!Q132*Qty!$J132)*'Hist. prices'!M131*M$7</f>
        <v>0</v>
      </c>
      <c r="N131" s="198">
        <f>IF(Qty!$J132=0,Qty!R132,Qty!R132*Qty!$J132)*'Hist. prices'!N131*N$7</f>
        <v>0</v>
      </c>
      <c r="O131" s="198">
        <f>IF(Qty!$J132=0,Qty!S132,Qty!S132*Qty!$J132)*'Hist. prices'!O131*O$7</f>
        <v>0</v>
      </c>
      <c r="P131" s="198">
        <f>IF(Qty!$J132=0,Qty!T132,Qty!T132*Qty!$J132)*'Hist. prices'!P131*P$7</f>
        <v>0</v>
      </c>
      <c r="Q131" s="198">
        <f>IF(Qty!$J132=0,Qty!U132,Qty!U132*Qty!$J132)*'Hist. prices'!Q131*Q$7</f>
        <v>0</v>
      </c>
      <c r="R131" s="198">
        <f>IF(Qty!$J132=0,Qty!V132,Qty!V132*Qty!$J132)*'Hist. prices'!R131*R$7</f>
        <v>0</v>
      </c>
      <c r="S131" s="198">
        <f>IF(Qty!$J132=0,Qty!W132,Qty!W132*Qty!$J132)*'Hist. prices'!S131*S$7</f>
        <v>0</v>
      </c>
      <c r="T131" s="198">
        <f>IF(Qty!$J132=0,Qty!X132,Qty!X132*Qty!$J132)*'Hist. prices'!T131*T$7</f>
        <v>0</v>
      </c>
      <c r="U131" s="198">
        <f>IF(Qty!$J132=0,Qty!Y132,Qty!Y132*Qty!$J132)*'Hist. prices'!U131*U$7</f>
        <v>0</v>
      </c>
      <c r="V131" s="198">
        <f>IF(Qty!$J132=0,Qty!Z132,Qty!Z132*Qty!$J132)*'Hist. prices'!V131*V$7</f>
        <v>0</v>
      </c>
      <c r="W131" s="198">
        <f>IF(Qty!$J132=0,Qty!AA132,Qty!AA132*Qty!$J132)*'Hist. prices'!W131*W$7</f>
        <v>0</v>
      </c>
      <c r="X131" s="198">
        <f>IF(Qty!$J132=0,Qty!AB132,Qty!AB132*Qty!$J132)*'Hist. prices'!X131*X$7</f>
        <v>0</v>
      </c>
      <c r="Y131" s="198">
        <f>IF(Qty!$J132=0,Qty!AC132,Qty!AC132*Qty!$J132)*'Hist. prices'!Y131*Y$7</f>
        <v>0</v>
      </c>
      <c r="Z131" s="198">
        <f>IF(Qty!$J132=0,Qty!AD132,Qty!AD132*Qty!$J132)*'Hist. prices'!Z131*Z$7</f>
        <v>0</v>
      </c>
      <c r="AA131" s="198">
        <f>IF(Qty!$J132=0,Qty!AE132,Qty!AE132*Qty!$J132)*'Hist. prices'!AA131*AA$7</f>
        <v>0</v>
      </c>
      <c r="AB131" s="198">
        <f>IF(Qty!$J132=0,Qty!AF132,Qty!AF132*Qty!$J132)*'Hist. prices'!AB131*AB$7</f>
        <v>0</v>
      </c>
      <c r="AC131" s="206">
        <f t="shared" si="9"/>
        <v>0</v>
      </c>
      <c r="AD131" s="68"/>
      <c r="AE131" s="19"/>
      <c r="AF131" s="19"/>
      <c r="AG131" s="19"/>
      <c r="AH131" s="19"/>
    </row>
    <row r="132" spans="1:34" hidden="1" outlineLevel="3" x14ac:dyDescent="0.2">
      <c r="A132" s="19"/>
      <c r="B132" s="19"/>
      <c r="C132" s="506">
        <f t="shared" si="10"/>
        <v>0</v>
      </c>
      <c r="D132" s="505">
        <f t="shared" si="10"/>
        <v>0</v>
      </c>
      <c r="E132" s="505">
        <f t="shared" si="10"/>
        <v>0</v>
      </c>
      <c r="F132" s="505">
        <f t="shared" si="10"/>
        <v>0</v>
      </c>
      <c r="G132" s="505">
        <f t="shared" si="10"/>
        <v>0</v>
      </c>
      <c r="H132" s="58"/>
      <c r="I132" s="198">
        <f>IF(Qty!$J133=0,Qty!M133,Qty!M133*Qty!$J133)*'Hist. prices'!I132*I$7</f>
        <v>0</v>
      </c>
      <c r="J132" s="198">
        <f>IF(Qty!$J133=0,Qty!N133,Qty!N133*Qty!$J133)*'Hist. prices'!J132*J$7</f>
        <v>0</v>
      </c>
      <c r="K132" s="198">
        <f>IF(Qty!$J133=0,Qty!O133,Qty!O133*Qty!$J133)*'Hist. prices'!K132*K$7</f>
        <v>0</v>
      </c>
      <c r="L132" s="198">
        <f>IF(Qty!$J133=0,Qty!P133,Qty!P133*Qty!$J133)*'Hist. prices'!L132*L$7</f>
        <v>0</v>
      </c>
      <c r="M132" s="198">
        <f>IF(Qty!$J133=0,Qty!Q133,Qty!Q133*Qty!$J133)*'Hist. prices'!M132*M$7</f>
        <v>0</v>
      </c>
      <c r="N132" s="198">
        <f>IF(Qty!$J133=0,Qty!R133,Qty!R133*Qty!$J133)*'Hist. prices'!N132*N$7</f>
        <v>0</v>
      </c>
      <c r="O132" s="198">
        <f>IF(Qty!$J133=0,Qty!S133,Qty!S133*Qty!$J133)*'Hist. prices'!O132*O$7</f>
        <v>0</v>
      </c>
      <c r="P132" s="198">
        <f>IF(Qty!$J133=0,Qty!T133,Qty!T133*Qty!$J133)*'Hist. prices'!P132*P$7</f>
        <v>0</v>
      </c>
      <c r="Q132" s="198">
        <f>IF(Qty!$J133=0,Qty!U133,Qty!U133*Qty!$J133)*'Hist. prices'!Q132*Q$7</f>
        <v>0</v>
      </c>
      <c r="R132" s="198">
        <f>IF(Qty!$J133=0,Qty!V133,Qty!V133*Qty!$J133)*'Hist. prices'!R132*R$7</f>
        <v>0</v>
      </c>
      <c r="S132" s="198">
        <f>IF(Qty!$J133=0,Qty!W133,Qty!W133*Qty!$J133)*'Hist. prices'!S132*S$7</f>
        <v>0</v>
      </c>
      <c r="T132" s="198">
        <f>IF(Qty!$J133=0,Qty!X133,Qty!X133*Qty!$J133)*'Hist. prices'!T132*T$7</f>
        <v>0</v>
      </c>
      <c r="U132" s="198">
        <f>IF(Qty!$J133=0,Qty!Y133,Qty!Y133*Qty!$J133)*'Hist. prices'!U132*U$7</f>
        <v>0</v>
      </c>
      <c r="V132" s="198">
        <f>IF(Qty!$J133=0,Qty!Z133,Qty!Z133*Qty!$J133)*'Hist. prices'!V132*V$7</f>
        <v>0</v>
      </c>
      <c r="W132" s="198">
        <f>IF(Qty!$J133=0,Qty!AA133,Qty!AA133*Qty!$J133)*'Hist. prices'!W132*W$7</f>
        <v>0</v>
      </c>
      <c r="X132" s="198">
        <f>IF(Qty!$J133=0,Qty!AB133,Qty!AB133*Qty!$J133)*'Hist. prices'!X132*X$7</f>
        <v>0</v>
      </c>
      <c r="Y132" s="198">
        <f>IF(Qty!$J133=0,Qty!AC133,Qty!AC133*Qty!$J133)*'Hist. prices'!Y132*Y$7</f>
        <v>0</v>
      </c>
      <c r="Z132" s="198">
        <f>IF(Qty!$J133=0,Qty!AD133,Qty!AD133*Qty!$J133)*'Hist. prices'!Z132*Z$7</f>
        <v>0</v>
      </c>
      <c r="AA132" s="198">
        <f>IF(Qty!$J133=0,Qty!AE133,Qty!AE133*Qty!$J133)*'Hist. prices'!AA132*AA$7</f>
        <v>0</v>
      </c>
      <c r="AB132" s="198">
        <f>IF(Qty!$J133=0,Qty!AF133,Qty!AF133*Qty!$J133)*'Hist. prices'!AB132*AB$7</f>
        <v>0</v>
      </c>
      <c r="AC132" s="206">
        <f t="shared" si="9"/>
        <v>0</v>
      </c>
      <c r="AD132" s="68"/>
      <c r="AE132" s="19"/>
      <c r="AF132" s="19"/>
      <c r="AG132" s="19"/>
      <c r="AH132" s="19"/>
    </row>
    <row r="133" spans="1:34" hidden="1" outlineLevel="3" x14ac:dyDescent="0.2">
      <c r="A133" s="19"/>
      <c r="B133" s="19"/>
      <c r="C133" s="506">
        <f t="shared" si="10"/>
        <v>0</v>
      </c>
      <c r="D133" s="505">
        <f t="shared" si="10"/>
        <v>0</v>
      </c>
      <c r="E133" s="505">
        <f t="shared" si="10"/>
        <v>0</v>
      </c>
      <c r="F133" s="505">
        <f t="shared" si="10"/>
        <v>0</v>
      </c>
      <c r="G133" s="505">
        <f t="shared" si="10"/>
        <v>0</v>
      </c>
      <c r="H133" s="58"/>
      <c r="I133" s="198">
        <f>IF(Qty!$J134=0,Qty!M134,Qty!M134*Qty!$J134)*'Hist. prices'!I133*I$7</f>
        <v>0</v>
      </c>
      <c r="J133" s="198">
        <f>IF(Qty!$J134=0,Qty!N134,Qty!N134*Qty!$J134)*'Hist. prices'!J133*J$7</f>
        <v>0</v>
      </c>
      <c r="K133" s="198">
        <f>IF(Qty!$J134=0,Qty!O134,Qty!O134*Qty!$J134)*'Hist. prices'!K133*K$7</f>
        <v>0</v>
      </c>
      <c r="L133" s="198">
        <f>IF(Qty!$J134=0,Qty!P134,Qty!P134*Qty!$J134)*'Hist. prices'!L133*L$7</f>
        <v>0</v>
      </c>
      <c r="M133" s="198">
        <f>IF(Qty!$J134=0,Qty!Q134,Qty!Q134*Qty!$J134)*'Hist. prices'!M133*M$7</f>
        <v>0</v>
      </c>
      <c r="N133" s="198">
        <f>IF(Qty!$J134=0,Qty!R134,Qty!R134*Qty!$J134)*'Hist. prices'!N133*N$7</f>
        <v>0</v>
      </c>
      <c r="O133" s="198">
        <f>IF(Qty!$J134=0,Qty!S134,Qty!S134*Qty!$J134)*'Hist. prices'!O133*O$7</f>
        <v>0</v>
      </c>
      <c r="P133" s="198">
        <f>IF(Qty!$J134=0,Qty!T134,Qty!T134*Qty!$J134)*'Hist. prices'!P133*P$7</f>
        <v>0</v>
      </c>
      <c r="Q133" s="198">
        <f>IF(Qty!$J134=0,Qty!U134,Qty!U134*Qty!$J134)*'Hist. prices'!Q133*Q$7</f>
        <v>0</v>
      </c>
      <c r="R133" s="198">
        <f>IF(Qty!$J134=0,Qty!V134,Qty!V134*Qty!$J134)*'Hist. prices'!R133*R$7</f>
        <v>0</v>
      </c>
      <c r="S133" s="198">
        <f>IF(Qty!$J134=0,Qty!W134,Qty!W134*Qty!$J134)*'Hist. prices'!S133*S$7</f>
        <v>0</v>
      </c>
      <c r="T133" s="198">
        <f>IF(Qty!$J134=0,Qty!X134,Qty!X134*Qty!$J134)*'Hist. prices'!T133*T$7</f>
        <v>0</v>
      </c>
      <c r="U133" s="198">
        <f>IF(Qty!$J134=0,Qty!Y134,Qty!Y134*Qty!$J134)*'Hist. prices'!U133*U$7</f>
        <v>0</v>
      </c>
      <c r="V133" s="198">
        <f>IF(Qty!$J134=0,Qty!Z134,Qty!Z134*Qty!$J134)*'Hist. prices'!V133*V$7</f>
        <v>0</v>
      </c>
      <c r="W133" s="198">
        <f>IF(Qty!$J134=0,Qty!AA134,Qty!AA134*Qty!$J134)*'Hist. prices'!W133*W$7</f>
        <v>0</v>
      </c>
      <c r="X133" s="198">
        <f>IF(Qty!$J134=0,Qty!AB134,Qty!AB134*Qty!$J134)*'Hist. prices'!X133*X$7</f>
        <v>0</v>
      </c>
      <c r="Y133" s="198">
        <f>IF(Qty!$J134=0,Qty!AC134,Qty!AC134*Qty!$J134)*'Hist. prices'!Y133*Y$7</f>
        <v>0</v>
      </c>
      <c r="Z133" s="198">
        <f>IF(Qty!$J134=0,Qty!AD134,Qty!AD134*Qty!$J134)*'Hist. prices'!Z133*Z$7</f>
        <v>0</v>
      </c>
      <c r="AA133" s="198">
        <f>IF(Qty!$J134=0,Qty!AE134,Qty!AE134*Qty!$J134)*'Hist. prices'!AA133*AA$7</f>
        <v>0</v>
      </c>
      <c r="AB133" s="198">
        <f>IF(Qty!$J134=0,Qty!AF134,Qty!AF134*Qty!$J134)*'Hist. prices'!AB133*AB$7</f>
        <v>0</v>
      </c>
      <c r="AC133" s="206">
        <f t="shared" si="9"/>
        <v>0</v>
      </c>
      <c r="AD133" s="68"/>
      <c r="AE133" s="19"/>
      <c r="AF133" s="19"/>
      <c r="AG133" s="19"/>
      <c r="AH133" s="19"/>
    </row>
    <row r="134" spans="1:34" hidden="1" outlineLevel="3" x14ac:dyDescent="0.2">
      <c r="A134" s="19"/>
      <c r="B134" s="19"/>
      <c r="C134" s="506">
        <f t="shared" si="10"/>
        <v>0</v>
      </c>
      <c r="D134" s="505">
        <f t="shared" si="10"/>
        <v>0</v>
      </c>
      <c r="E134" s="505">
        <f t="shared" si="10"/>
        <v>0</v>
      </c>
      <c r="F134" s="505">
        <f t="shared" si="10"/>
        <v>0</v>
      </c>
      <c r="G134" s="505">
        <f t="shared" si="10"/>
        <v>0</v>
      </c>
      <c r="H134" s="58"/>
      <c r="I134" s="198">
        <f>IF(Qty!$J135=0,Qty!M135,Qty!M135*Qty!$J135)*'Hist. prices'!I134*I$7</f>
        <v>0</v>
      </c>
      <c r="J134" s="198">
        <f>IF(Qty!$J135=0,Qty!N135,Qty!N135*Qty!$J135)*'Hist. prices'!J134*J$7</f>
        <v>0</v>
      </c>
      <c r="K134" s="198">
        <f>IF(Qty!$J135=0,Qty!O135,Qty!O135*Qty!$J135)*'Hist. prices'!K134*K$7</f>
        <v>0</v>
      </c>
      <c r="L134" s="198">
        <f>IF(Qty!$J135=0,Qty!P135,Qty!P135*Qty!$J135)*'Hist. prices'!L134*L$7</f>
        <v>0</v>
      </c>
      <c r="M134" s="198">
        <f>IF(Qty!$J135=0,Qty!Q135,Qty!Q135*Qty!$J135)*'Hist. prices'!M134*M$7</f>
        <v>0</v>
      </c>
      <c r="N134" s="198">
        <f>IF(Qty!$J135=0,Qty!R135,Qty!R135*Qty!$J135)*'Hist. prices'!N134*N$7</f>
        <v>0</v>
      </c>
      <c r="O134" s="198">
        <f>IF(Qty!$J135=0,Qty!S135,Qty!S135*Qty!$J135)*'Hist. prices'!O134*O$7</f>
        <v>0</v>
      </c>
      <c r="P134" s="198">
        <f>IF(Qty!$J135=0,Qty!T135,Qty!T135*Qty!$J135)*'Hist. prices'!P134*P$7</f>
        <v>0</v>
      </c>
      <c r="Q134" s="198">
        <f>IF(Qty!$J135=0,Qty!U135,Qty!U135*Qty!$J135)*'Hist. prices'!Q134*Q$7</f>
        <v>0</v>
      </c>
      <c r="R134" s="198">
        <f>IF(Qty!$J135=0,Qty!V135,Qty!V135*Qty!$J135)*'Hist. prices'!R134*R$7</f>
        <v>0</v>
      </c>
      <c r="S134" s="198">
        <f>IF(Qty!$J135=0,Qty!W135,Qty!W135*Qty!$J135)*'Hist. prices'!S134*S$7</f>
        <v>0</v>
      </c>
      <c r="T134" s="198">
        <f>IF(Qty!$J135=0,Qty!X135,Qty!X135*Qty!$J135)*'Hist. prices'!T134*T$7</f>
        <v>0</v>
      </c>
      <c r="U134" s="198">
        <f>IF(Qty!$J135=0,Qty!Y135,Qty!Y135*Qty!$J135)*'Hist. prices'!U134*U$7</f>
        <v>0</v>
      </c>
      <c r="V134" s="198">
        <f>IF(Qty!$J135=0,Qty!Z135,Qty!Z135*Qty!$J135)*'Hist. prices'!V134*V$7</f>
        <v>0</v>
      </c>
      <c r="W134" s="198">
        <f>IF(Qty!$J135=0,Qty!AA135,Qty!AA135*Qty!$J135)*'Hist. prices'!W134*W$7</f>
        <v>0</v>
      </c>
      <c r="X134" s="198">
        <f>IF(Qty!$J135=0,Qty!AB135,Qty!AB135*Qty!$J135)*'Hist. prices'!X134*X$7</f>
        <v>0</v>
      </c>
      <c r="Y134" s="198">
        <f>IF(Qty!$J135=0,Qty!AC135,Qty!AC135*Qty!$J135)*'Hist. prices'!Y134*Y$7</f>
        <v>0</v>
      </c>
      <c r="Z134" s="198">
        <f>IF(Qty!$J135=0,Qty!AD135,Qty!AD135*Qty!$J135)*'Hist. prices'!Z134*Z$7</f>
        <v>0</v>
      </c>
      <c r="AA134" s="198">
        <f>IF(Qty!$J135=0,Qty!AE135,Qty!AE135*Qty!$J135)*'Hist. prices'!AA134*AA$7</f>
        <v>0</v>
      </c>
      <c r="AB134" s="198">
        <f>IF(Qty!$J135=0,Qty!AF135,Qty!AF135*Qty!$J135)*'Hist. prices'!AB134*AB$7</f>
        <v>0</v>
      </c>
      <c r="AC134" s="206">
        <f t="shared" si="9"/>
        <v>0</v>
      </c>
      <c r="AD134" s="68"/>
      <c r="AE134" s="19"/>
      <c r="AF134" s="19"/>
      <c r="AG134" s="19"/>
      <c r="AH134" s="19"/>
    </row>
    <row r="135" spans="1:34" hidden="1" outlineLevel="3" x14ac:dyDescent="0.2">
      <c r="A135" s="19"/>
      <c r="B135" s="19"/>
      <c r="C135" s="506">
        <f t="shared" si="10"/>
        <v>0</v>
      </c>
      <c r="D135" s="505">
        <f t="shared" si="10"/>
        <v>0</v>
      </c>
      <c r="E135" s="505">
        <f t="shared" si="10"/>
        <v>0</v>
      </c>
      <c r="F135" s="505">
        <f t="shared" si="10"/>
        <v>0</v>
      </c>
      <c r="G135" s="505">
        <f t="shared" si="10"/>
        <v>0</v>
      </c>
      <c r="H135" s="58"/>
      <c r="I135" s="198">
        <f>IF(Qty!$J136=0,Qty!M136,Qty!M136*Qty!$J136)*'Hist. prices'!I135*I$7</f>
        <v>0</v>
      </c>
      <c r="J135" s="198">
        <f>IF(Qty!$J136=0,Qty!N136,Qty!N136*Qty!$J136)*'Hist. prices'!J135*J$7</f>
        <v>0</v>
      </c>
      <c r="K135" s="198">
        <f>IF(Qty!$J136=0,Qty!O136,Qty!O136*Qty!$J136)*'Hist. prices'!K135*K$7</f>
        <v>0</v>
      </c>
      <c r="L135" s="198">
        <f>IF(Qty!$J136=0,Qty!P136,Qty!P136*Qty!$J136)*'Hist. prices'!L135*L$7</f>
        <v>0</v>
      </c>
      <c r="M135" s="198">
        <f>IF(Qty!$J136=0,Qty!Q136,Qty!Q136*Qty!$J136)*'Hist. prices'!M135*M$7</f>
        <v>0</v>
      </c>
      <c r="N135" s="198">
        <f>IF(Qty!$J136=0,Qty!R136,Qty!R136*Qty!$J136)*'Hist. prices'!N135*N$7</f>
        <v>0</v>
      </c>
      <c r="O135" s="198">
        <f>IF(Qty!$J136=0,Qty!S136,Qty!S136*Qty!$J136)*'Hist. prices'!O135*O$7</f>
        <v>0</v>
      </c>
      <c r="P135" s="198">
        <f>IF(Qty!$J136=0,Qty!T136,Qty!T136*Qty!$J136)*'Hist. prices'!P135*P$7</f>
        <v>0</v>
      </c>
      <c r="Q135" s="198">
        <f>IF(Qty!$J136=0,Qty!U136,Qty!U136*Qty!$J136)*'Hist. prices'!Q135*Q$7</f>
        <v>0</v>
      </c>
      <c r="R135" s="198">
        <f>IF(Qty!$J136=0,Qty!V136,Qty!V136*Qty!$J136)*'Hist. prices'!R135*R$7</f>
        <v>0</v>
      </c>
      <c r="S135" s="198">
        <f>IF(Qty!$J136=0,Qty!W136,Qty!W136*Qty!$J136)*'Hist. prices'!S135*S$7</f>
        <v>0</v>
      </c>
      <c r="T135" s="198">
        <f>IF(Qty!$J136=0,Qty!X136,Qty!X136*Qty!$J136)*'Hist. prices'!T135*T$7</f>
        <v>0</v>
      </c>
      <c r="U135" s="198">
        <f>IF(Qty!$J136=0,Qty!Y136,Qty!Y136*Qty!$J136)*'Hist. prices'!U135*U$7</f>
        <v>0</v>
      </c>
      <c r="V135" s="198">
        <f>IF(Qty!$J136=0,Qty!Z136,Qty!Z136*Qty!$J136)*'Hist. prices'!V135*V$7</f>
        <v>0</v>
      </c>
      <c r="W135" s="198">
        <f>IF(Qty!$J136=0,Qty!AA136,Qty!AA136*Qty!$J136)*'Hist. prices'!W135*W$7</f>
        <v>0</v>
      </c>
      <c r="X135" s="198">
        <f>IF(Qty!$J136=0,Qty!AB136,Qty!AB136*Qty!$J136)*'Hist. prices'!X135*X$7</f>
        <v>0</v>
      </c>
      <c r="Y135" s="198">
        <f>IF(Qty!$J136=0,Qty!AC136,Qty!AC136*Qty!$J136)*'Hist. prices'!Y135*Y$7</f>
        <v>0</v>
      </c>
      <c r="Z135" s="198">
        <f>IF(Qty!$J136=0,Qty!AD136,Qty!AD136*Qty!$J136)*'Hist. prices'!Z135*Z$7</f>
        <v>0</v>
      </c>
      <c r="AA135" s="198">
        <f>IF(Qty!$J136=0,Qty!AE136,Qty!AE136*Qty!$J136)*'Hist. prices'!AA135*AA$7</f>
        <v>0</v>
      </c>
      <c r="AB135" s="198">
        <f>IF(Qty!$J136=0,Qty!AF136,Qty!AF136*Qty!$J136)*'Hist. prices'!AB135*AB$7</f>
        <v>0</v>
      </c>
      <c r="AC135" s="206">
        <f t="shared" si="9"/>
        <v>0</v>
      </c>
      <c r="AD135" s="68"/>
      <c r="AE135" s="19"/>
      <c r="AF135" s="19"/>
      <c r="AG135" s="19"/>
      <c r="AH135" s="19"/>
    </row>
    <row r="136" spans="1:34" hidden="1" outlineLevel="3" x14ac:dyDescent="0.2">
      <c r="A136" s="19"/>
      <c r="B136" s="19"/>
      <c r="C136" s="506">
        <f t="shared" ref="C136:G145" si="11">C58</f>
        <v>0</v>
      </c>
      <c r="D136" s="505">
        <f t="shared" si="11"/>
        <v>0</v>
      </c>
      <c r="E136" s="505">
        <f t="shared" si="11"/>
        <v>0</v>
      </c>
      <c r="F136" s="505">
        <f t="shared" si="11"/>
        <v>0</v>
      </c>
      <c r="G136" s="505">
        <f t="shared" si="11"/>
        <v>0</v>
      </c>
      <c r="H136" s="58"/>
      <c r="I136" s="198">
        <f>IF(Qty!$J137=0,Qty!M137,Qty!M137*Qty!$J137)*'Hist. prices'!I136*I$7</f>
        <v>0</v>
      </c>
      <c r="J136" s="198">
        <f>IF(Qty!$J137=0,Qty!N137,Qty!N137*Qty!$J137)*'Hist. prices'!J136*J$7</f>
        <v>0</v>
      </c>
      <c r="K136" s="198">
        <f>IF(Qty!$J137=0,Qty!O137,Qty!O137*Qty!$J137)*'Hist. prices'!K136*K$7</f>
        <v>0</v>
      </c>
      <c r="L136" s="198">
        <f>IF(Qty!$J137=0,Qty!P137,Qty!P137*Qty!$J137)*'Hist. prices'!L136*L$7</f>
        <v>0</v>
      </c>
      <c r="M136" s="198">
        <f>IF(Qty!$J137=0,Qty!Q137,Qty!Q137*Qty!$J137)*'Hist. prices'!M136*M$7</f>
        <v>0</v>
      </c>
      <c r="N136" s="198">
        <f>IF(Qty!$J137=0,Qty!R137,Qty!R137*Qty!$J137)*'Hist. prices'!N136*N$7</f>
        <v>0</v>
      </c>
      <c r="O136" s="198">
        <f>IF(Qty!$J137=0,Qty!S137,Qty!S137*Qty!$J137)*'Hist. prices'!O136*O$7</f>
        <v>0</v>
      </c>
      <c r="P136" s="198">
        <f>IF(Qty!$J137=0,Qty!T137,Qty!T137*Qty!$J137)*'Hist. prices'!P136*P$7</f>
        <v>0</v>
      </c>
      <c r="Q136" s="198">
        <f>IF(Qty!$J137=0,Qty!U137,Qty!U137*Qty!$J137)*'Hist. prices'!Q136*Q$7</f>
        <v>0</v>
      </c>
      <c r="R136" s="198">
        <f>IF(Qty!$J137=0,Qty!V137,Qty!V137*Qty!$J137)*'Hist. prices'!R136*R$7</f>
        <v>0</v>
      </c>
      <c r="S136" s="198">
        <f>IF(Qty!$J137=0,Qty!W137,Qty!W137*Qty!$J137)*'Hist. prices'!S136*S$7</f>
        <v>0</v>
      </c>
      <c r="T136" s="198">
        <f>IF(Qty!$J137=0,Qty!X137,Qty!X137*Qty!$J137)*'Hist. prices'!T136*T$7</f>
        <v>0</v>
      </c>
      <c r="U136" s="198">
        <f>IF(Qty!$J137=0,Qty!Y137,Qty!Y137*Qty!$J137)*'Hist. prices'!U136*U$7</f>
        <v>0</v>
      </c>
      <c r="V136" s="198">
        <f>IF(Qty!$J137=0,Qty!Z137,Qty!Z137*Qty!$J137)*'Hist. prices'!V136*V$7</f>
        <v>0</v>
      </c>
      <c r="W136" s="198">
        <f>IF(Qty!$J137=0,Qty!AA137,Qty!AA137*Qty!$J137)*'Hist. prices'!W136*W$7</f>
        <v>0</v>
      </c>
      <c r="X136" s="198">
        <f>IF(Qty!$J137=0,Qty!AB137,Qty!AB137*Qty!$J137)*'Hist. prices'!X136*X$7</f>
        <v>0</v>
      </c>
      <c r="Y136" s="198">
        <f>IF(Qty!$J137=0,Qty!AC137,Qty!AC137*Qty!$J137)*'Hist. prices'!Y136*Y$7</f>
        <v>0</v>
      </c>
      <c r="Z136" s="198">
        <f>IF(Qty!$J137=0,Qty!AD137,Qty!AD137*Qty!$J137)*'Hist. prices'!Z136*Z$7</f>
        <v>0</v>
      </c>
      <c r="AA136" s="198">
        <f>IF(Qty!$J137=0,Qty!AE137,Qty!AE137*Qty!$J137)*'Hist. prices'!AA136*AA$7</f>
        <v>0</v>
      </c>
      <c r="AB136" s="198">
        <f>IF(Qty!$J137=0,Qty!AF137,Qty!AF137*Qty!$J137)*'Hist. prices'!AB136*AB$7</f>
        <v>0</v>
      </c>
      <c r="AC136" s="206">
        <f t="shared" si="9"/>
        <v>0</v>
      </c>
      <c r="AD136" s="68"/>
      <c r="AE136" s="19"/>
      <c r="AF136" s="19"/>
      <c r="AG136" s="19"/>
      <c r="AH136" s="19"/>
    </row>
    <row r="137" spans="1:34" hidden="1" outlineLevel="3" x14ac:dyDescent="0.2">
      <c r="A137" s="19"/>
      <c r="B137" s="19"/>
      <c r="C137" s="506">
        <f t="shared" si="11"/>
        <v>0</v>
      </c>
      <c r="D137" s="505">
        <f t="shared" si="11"/>
        <v>0</v>
      </c>
      <c r="E137" s="505">
        <f t="shared" si="11"/>
        <v>0</v>
      </c>
      <c r="F137" s="505">
        <f t="shared" si="11"/>
        <v>0</v>
      </c>
      <c r="G137" s="505">
        <f t="shared" si="11"/>
        <v>0</v>
      </c>
      <c r="H137" s="58"/>
      <c r="I137" s="198">
        <f>IF(Qty!$J138=0,Qty!M138,Qty!M138*Qty!$J138)*'Hist. prices'!I137*I$7</f>
        <v>0</v>
      </c>
      <c r="J137" s="198">
        <f>IF(Qty!$J138=0,Qty!N138,Qty!N138*Qty!$J138)*'Hist. prices'!J137*J$7</f>
        <v>0</v>
      </c>
      <c r="K137" s="198">
        <f>IF(Qty!$J138=0,Qty!O138,Qty!O138*Qty!$J138)*'Hist. prices'!K137*K$7</f>
        <v>0</v>
      </c>
      <c r="L137" s="198">
        <f>IF(Qty!$J138=0,Qty!P138,Qty!P138*Qty!$J138)*'Hist. prices'!L137*L$7</f>
        <v>0</v>
      </c>
      <c r="M137" s="198">
        <f>IF(Qty!$J138=0,Qty!Q138,Qty!Q138*Qty!$J138)*'Hist. prices'!M137*M$7</f>
        <v>0</v>
      </c>
      <c r="N137" s="198">
        <f>IF(Qty!$J138=0,Qty!R138,Qty!R138*Qty!$J138)*'Hist. prices'!N137*N$7</f>
        <v>0</v>
      </c>
      <c r="O137" s="198">
        <f>IF(Qty!$J138=0,Qty!S138,Qty!S138*Qty!$J138)*'Hist. prices'!O137*O$7</f>
        <v>0</v>
      </c>
      <c r="P137" s="198">
        <f>IF(Qty!$J138=0,Qty!T138,Qty!T138*Qty!$J138)*'Hist. prices'!P137*P$7</f>
        <v>0</v>
      </c>
      <c r="Q137" s="198">
        <f>IF(Qty!$J138=0,Qty!U138,Qty!U138*Qty!$J138)*'Hist. prices'!Q137*Q$7</f>
        <v>0</v>
      </c>
      <c r="R137" s="198">
        <f>IF(Qty!$J138=0,Qty!V138,Qty!V138*Qty!$J138)*'Hist. prices'!R137*R$7</f>
        <v>0</v>
      </c>
      <c r="S137" s="198">
        <f>IF(Qty!$J138=0,Qty!W138,Qty!W138*Qty!$J138)*'Hist. prices'!S137*S$7</f>
        <v>0</v>
      </c>
      <c r="T137" s="198">
        <f>IF(Qty!$J138=0,Qty!X138,Qty!X138*Qty!$J138)*'Hist. prices'!T137*T$7</f>
        <v>0</v>
      </c>
      <c r="U137" s="198">
        <f>IF(Qty!$J138=0,Qty!Y138,Qty!Y138*Qty!$J138)*'Hist. prices'!U137*U$7</f>
        <v>0</v>
      </c>
      <c r="V137" s="198">
        <f>IF(Qty!$J138=0,Qty!Z138,Qty!Z138*Qty!$J138)*'Hist. prices'!V137*V$7</f>
        <v>0</v>
      </c>
      <c r="W137" s="198">
        <f>IF(Qty!$J138=0,Qty!AA138,Qty!AA138*Qty!$J138)*'Hist. prices'!W137*W$7</f>
        <v>0</v>
      </c>
      <c r="X137" s="198">
        <f>IF(Qty!$J138=0,Qty!AB138,Qty!AB138*Qty!$J138)*'Hist. prices'!X137*X$7</f>
        <v>0</v>
      </c>
      <c r="Y137" s="198">
        <f>IF(Qty!$J138=0,Qty!AC138,Qty!AC138*Qty!$J138)*'Hist. prices'!Y137*Y$7</f>
        <v>0</v>
      </c>
      <c r="Z137" s="198">
        <f>IF(Qty!$J138=0,Qty!AD138,Qty!AD138*Qty!$J138)*'Hist. prices'!Z137*Z$7</f>
        <v>0</v>
      </c>
      <c r="AA137" s="198">
        <f>IF(Qty!$J138=0,Qty!AE138,Qty!AE138*Qty!$J138)*'Hist. prices'!AA137*AA$7</f>
        <v>0</v>
      </c>
      <c r="AB137" s="198">
        <f>IF(Qty!$J138=0,Qty!AF138,Qty!AF138*Qty!$J138)*'Hist. prices'!AB137*AB$7</f>
        <v>0</v>
      </c>
      <c r="AC137" s="206">
        <f t="shared" si="9"/>
        <v>0</v>
      </c>
      <c r="AD137" s="68"/>
      <c r="AE137" s="19"/>
      <c r="AF137" s="19"/>
      <c r="AG137" s="19"/>
      <c r="AH137" s="19"/>
    </row>
    <row r="138" spans="1:34" hidden="1" outlineLevel="3" x14ac:dyDescent="0.2">
      <c r="A138" s="19"/>
      <c r="B138" s="19"/>
      <c r="C138" s="506">
        <f t="shared" si="11"/>
        <v>0</v>
      </c>
      <c r="D138" s="505">
        <f t="shared" si="11"/>
        <v>0</v>
      </c>
      <c r="E138" s="505">
        <f t="shared" si="11"/>
        <v>0</v>
      </c>
      <c r="F138" s="505">
        <f t="shared" si="11"/>
        <v>0</v>
      </c>
      <c r="G138" s="505">
        <f t="shared" si="11"/>
        <v>0</v>
      </c>
      <c r="H138" s="58"/>
      <c r="I138" s="198">
        <f>IF(Qty!$J139=0,Qty!M139,Qty!M139*Qty!$J139)*'Hist. prices'!I138*I$7</f>
        <v>0</v>
      </c>
      <c r="J138" s="198">
        <f>IF(Qty!$J139=0,Qty!N139,Qty!N139*Qty!$J139)*'Hist. prices'!J138*J$7</f>
        <v>0</v>
      </c>
      <c r="K138" s="198">
        <f>IF(Qty!$J139=0,Qty!O139,Qty!O139*Qty!$J139)*'Hist. prices'!K138*K$7</f>
        <v>0</v>
      </c>
      <c r="L138" s="198">
        <f>IF(Qty!$J139=0,Qty!P139,Qty!P139*Qty!$J139)*'Hist. prices'!L138*L$7</f>
        <v>0</v>
      </c>
      <c r="M138" s="198">
        <f>IF(Qty!$J139=0,Qty!Q139,Qty!Q139*Qty!$J139)*'Hist. prices'!M138*M$7</f>
        <v>0</v>
      </c>
      <c r="N138" s="198">
        <f>IF(Qty!$J139=0,Qty!R139,Qty!R139*Qty!$J139)*'Hist. prices'!N138*N$7</f>
        <v>0</v>
      </c>
      <c r="O138" s="198">
        <f>IF(Qty!$J139=0,Qty!S139,Qty!S139*Qty!$J139)*'Hist. prices'!O138*O$7</f>
        <v>0</v>
      </c>
      <c r="P138" s="198">
        <f>IF(Qty!$J139=0,Qty!T139,Qty!T139*Qty!$J139)*'Hist. prices'!P138*P$7</f>
        <v>0</v>
      </c>
      <c r="Q138" s="198">
        <f>IF(Qty!$J139=0,Qty!U139,Qty!U139*Qty!$J139)*'Hist. prices'!Q138*Q$7</f>
        <v>0</v>
      </c>
      <c r="R138" s="198">
        <f>IF(Qty!$J139=0,Qty!V139,Qty!V139*Qty!$J139)*'Hist. prices'!R138*R$7</f>
        <v>0</v>
      </c>
      <c r="S138" s="198">
        <f>IF(Qty!$J139=0,Qty!W139,Qty!W139*Qty!$J139)*'Hist. prices'!S138*S$7</f>
        <v>0</v>
      </c>
      <c r="T138" s="198">
        <f>IF(Qty!$J139=0,Qty!X139,Qty!X139*Qty!$J139)*'Hist. prices'!T138*T$7</f>
        <v>0</v>
      </c>
      <c r="U138" s="198">
        <f>IF(Qty!$J139=0,Qty!Y139,Qty!Y139*Qty!$J139)*'Hist. prices'!U138*U$7</f>
        <v>0</v>
      </c>
      <c r="V138" s="198">
        <f>IF(Qty!$J139=0,Qty!Z139,Qty!Z139*Qty!$J139)*'Hist. prices'!V138*V$7</f>
        <v>0</v>
      </c>
      <c r="W138" s="198">
        <f>IF(Qty!$J139=0,Qty!AA139,Qty!AA139*Qty!$J139)*'Hist. prices'!W138*W$7</f>
        <v>0</v>
      </c>
      <c r="X138" s="198">
        <f>IF(Qty!$J139=0,Qty!AB139,Qty!AB139*Qty!$J139)*'Hist. prices'!X138*X$7</f>
        <v>0</v>
      </c>
      <c r="Y138" s="198">
        <f>IF(Qty!$J139=0,Qty!AC139,Qty!AC139*Qty!$J139)*'Hist. prices'!Y138*Y$7</f>
        <v>0</v>
      </c>
      <c r="Z138" s="198">
        <f>IF(Qty!$J139=0,Qty!AD139,Qty!AD139*Qty!$J139)*'Hist. prices'!Z138*Z$7</f>
        <v>0</v>
      </c>
      <c r="AA138" s="198">
        <f>IF(Qty!$J139=0,Qty!AE139,Qty!AE139*Qty!$J139)*'Hist. prices'!AA138*AA$7</f>
        <v>0</v>
      </c>
      <c r="AB138" s="198">
        <f>IF(Qty!$J139=0,Qty!AF139,Qty!AF139*Qty!$J139)*'Hist. prices'!AB138*AB$7</f>
        <v>0</v>
      </c>
      <c r="AC138" s="206">
        <f t="shared" si="9"/>
        <v>0</v>
      </c>
      <c r="AD138" s="68"/>
      <c r="AE138" s="19"/>
      <c r="AF138" s="19"/>
      <c r="AG138" s="19"/>
      <c r="AH138" s="19"/>
    </row>
    <row r="139" spans="1:34" hidden="1" outlineLevel="3" x14ac:dyDescent="0.2">
      <c r="A139" s="19"/>
      <c r="B139" s="19"/>
      <c r="C139" s="506">
        <f t="shared" si="11"/>
        <v>0</v>
      </c>
      <c r="D139" s="505">
        <f t="shared" si="11"/>
        <v>0</v>
      </c>
      <c r="E139" s="505">
        <f t="shared" si="11"/>
        <v>0</v>
      </c>
      <c r="F139" s="505">
        <f t="shared" si="11"/>
        <v>0</v>
      </c>
      <c r="G139" s="505">
        <f t="shared" si="11"/>
        <v>0</v>
      </c>
      <c r="H139" s="58"/>
      <c r="I139" s="198">
        <f>IF(Qty!$J140=0,Qty!M140,Qty!M140*Qty!$J140)*'Hist. prices'!I139*I$7</f>
        <v>0</v>
      </c>
      <c r="J139" s="198">
        <f>IF(Qty!$J140=0,Qty!N140,Qty!N140*Qty!$J140)*'Hist. prices'!J139*J$7</f>
        <v>0</v>
      </c>
      <c r="K139" s="198">
        <f>IF(Qty!$J140=0,Qty!O140,Qty!O140*Qty!$J140)*'Hist. prices'!K139*K$7</f>
        <v>0</v>
      </c>
      <c r="L139" s="198">
        <f>IF(Qty!$J140=0,Qty!P140,Qty!P140*Qty!$J140)*'Hist. prices'!L139*L$7</f>
        <v>0</v>
      </c>
      <c r="M139" s="198">
        <f>IF(Qty!$J140=0,Qty!Q140,Qty!Q140*Qty!$J140)*'Hist. prices'!M139*M$7</f>
        <v>0</v>
      </c>
      <c r="N139" s="198">
        <f>IF(Qty!$J140=0,Qty!R140,Qty!R140*Qty!$J140)*'Hist. prices'!N139*N$7</f>
        <v>0</v>
      </c>
      <c r="O139" s="198">
        <f>IF(Qty!$J140=0,Qty!S140,Qty!S140*Qty!$J140)*'Hist. prices'!O139*O$7</f>
        <v>0</v>
      </c>
      <c r="P139" s="198">
        <f>IF(Qty!$J140=0,Qty!T140,Qty!T140*Qty!$J140)*'Hist. prices'!P139*P$7</f>
        <v>0</v>
      </c>
      <c r="Q139" s="198">
        <f>IF(Qty!$J140=0,Qty!U140,Qty!U140*Qty!$J140)*'Hist. prices'!Q139*Q$7</f>
        <v>0</v>
      </c>
      <c r="R139" s="198">
        <f>IF(Qty!$J140=0,Qty!V140,Qty!V140*Qty!$J140)*'Hist. prices'!R139*R$7</f>
        <v>0</v>
      </c>
      <c r="S139" s="198">
        <f>IF(Qty!$J140=0,Qty!W140,Qty!W140*Qty!$J140)*'Hist. prices'!S139*S$7</f>
        <v>0</v>
      </c>
      <c r="T139" s="198">
        <f>IF(Qty!$J140=0,Qty!X140,Qty!X140*Qty!$J140)*'Hist. prices'!T139*T$7</f>
        <v>0</v>
      </c>
      <c r="U139" s="198">
        <f>IF(Qty!$J140=0,Qty!Y140,Qty!Y140*Qty!$J140)*'Hist. prices'!U139*U$7</f>
        <v>0</v>
      </c>
      <c r="V139" s="198">
        <f>IF(Qty!$J140=0,Qty!Z140,Qty!Z140*Qty!$J140)*'Hist. prices'!V139*V$7</f>
        <v>0</v>
      </c>
      <c r="W139" s="198">
        <f>IF(Qty!$J140=0,Qty!AA140,Qty!AA140*Qty!$J140)*'Hist. prices'!W139*W$7</f>
        <v>0</v>
      </c>
      <c r="X139" s="198">
        <f>IF(Qty!$J140=0,Qty!AB140,Qty!AB140*Qty!$J140)*'Hist. prices'!X139*X$7</f>
        <v>0</v>
      </c>
      <c r="Y139" s="198">
        <f>IF(Qty!$J140=0,Qty!AC140,Qty!AC140*Qty!$J140)*'Hist. prices'!Y139*Y$7</f>
        <v>0</v>
      </c>
      <c r="Z139" s="198">
        <f>IF(Qty!$J140=0,Qty!AD140,Qty!AD140*Qty!$J140)*'Hist. prices'!Z139*Z$7</f>
        <v>0</v>
      </c>
      <c r="AA139" s="198">
        <f>IF(Qty!$J140=0,Qty!AE140,Qty!AE140*Qty!$J140)*'Hist. prices'!AA139*AA$7</f>
        <v>0</v>
      </c>
      <c r="AB139" s="198">
        <f>IF(Qty!$J140=0,Qty!AF140,Qty!AF140*Qty!$J140)*'Hist. prices'!AB139*AB$7</f>
        <v>0</v>
      </c>
      <c r="AC139" s="206">
        <f t="shared" si="9"/>
        <v>0</v>
      </c>
      <c r="AD139" s="68"/>
      <c r="AE139" s="19"/>
      <c r="AF139" s="19"/>
      <c r="AG139" s="19"/>
      <c r="AH139" s="19"/>
    </row>
    <row r="140" spans="1:34" hidden="1" outlineLevel="3" x14ac:dyDescent="0.2">
      <c r="A140" s="19"/>
      <c r="B140" s="19"/>
      <c r="C140" s="506">
        <f t="shared" si="11"/>
        <v>0</v>
      </c>
      <c r="D140" s="505">
        <f t="shared" si="11"/>
        <v>0</v>
      </c>
      <c r="E140" s="505">
        <f t="shared" si="11"/>
        <v>0</v>
      </c>
      <c r="F140" s="505">
        <f t="shared" si="11"/>
        <v>0</v>
      </c>
      <c r="G140" s="505">
        <f t="shared" si="11"/>
        <v>0</v>
      </c>
      <c r="H140" s="58"/>
      <c r="I140" s="198">
        <f>IF(Qty!$J141=0,Qty!M141,Qty!M141*Qty!$J141)*'Hist. prices'!I140*I$7</f>
        <v>0</v>
      </c>
      <c r="J140" s="198">
        <f>IF(Qty!$J141=0,Qty!N141,Qty!N141*Qty!$J141)*'Hist. prices'!J140*J$7</f>
        <v>0</v>
      </c>
      <c r="K140" s="198">
        <f>IF(Qty!$J141=0,Qty!O141,Qty!O141*Qty!$J141)*'Hist. prices'!K140*K$7</f>
        <v>0</v>
      </c>
      <c r="L140" s="198">
        <f>IF(Qty!$J141=0,Qty!P141,Qty!P141*Qty!$J141)*'Hist. prices'!L140*L$7</f>
        <v>0</v>
      </c>
      <c r="M140" s="198">
        <f>IF(Qty!$J141=0,Qty!Q141,Qty!Q141*Qty!$J141)*'Hist. prices'!M140*M$7</f>
        <v>0</v>
      </c>
      <c r="N140" s="198">
        <f>IF(Qty!$J141=0,Qty!R141,Qty!R141*Qty!$J141)*'Hist. prices'!N140*N$7</f>
        <v>0</v>
      </c>
      <c r="O140" s="198">
        <f>IF(Qty!$J141=0,Qty!S141,Qty!S141*Qty!$J141)*'Hist. prices'!O140*O$7</f>
        <v>0</v>
      </c>
      <c r="P140" s="198">
        <f>IF(Qty!$J141=0,Qty!T141,Qty!T141*Qty!$J141)*'Hist. prices'!P140*P$7</f>
        <v>0</v>
      </c>
      <c r="Q140" s="198">
        <f>IF(Qty!$J141=0,Qty!U141,Qty!U141*Qty!$J141)*'Hist. prices'!Q140*Q$7</f>
        <v>0</v>
      </c>
      <c r="R140" s="198">
        <f>IF(Qty!$J141=0,Qty!V141,Qty!V141*Qty!$J141)*'Hist. prices'!R140*R$7</f>
        <v>0</v>
      </c>
      <c r="S140" s="198">
        <f>IF(Qty!$J141=0,Qty!W141,Qty!W141*Qty!$J141)*'Hist. prices'!S140*S$7</f>
        <v>0</v>
      </c>
      <c r="T140" s="198">
        <f>IF(Qty!$J141=0,Qty!X141,Qty!X141*Qty!$J141)*'Hist. prices'!T140*T$7</f>
        <v>0</v>
      </c>
      <c r="U140" s="198">
        <f>IF(Qty!$J141=0,Qty!Y141,Qty!Y141*Qty!$J141)*'Hist. prices'!U140*U$7</f>
        <v>0</v>
      </c>
      <c r="V140" s="198">
        <f>IF(Qty!$J141=0,Qty!Z141,Qty!Z141*Qty!$J141)*'Hist. prices'!V140*V$7</f>
        <v>0</v>
      </c>
      <c r="W140" s="198">
        <f>IF(Qty!$J141=0,Qty!AA141,Qty!AA141*Qty!$J141)*'Hist. prices'!W140*W$7</f>
        <v>0</v>
      </c>
      <c r="X140" s="198">
        <f>IF(Qty!$J141=0,Qty!AB141,Qty!AB141*Qty!$J141)*'Hist. prices'!X140*X$7</f>
        <v>0</v>
      </c>
      <c r="Y140" s="198">
        <f>IF(Qty!$J141=0,Qty!AC141,Qty!AC141*Qty!$J141)*'Hist. prices'!Y140*Y$7</f>
        <v>0</v>
      </c>
      <c r="Z140" s="198">
        <f>IF(Qty!$J141=0,Qty!AD141,Qty!AD141*Qty!$J141)*'Hist. prices'!Z140*Z$7</f>
        <v>0</v>
      </c>
      <c r="AA140" s="198">
        <f>IF(Qty!$J141=0,Qty!AE141,Qty!AE141*Qty!$J141)*'Hist. prices'!AA140*AA$7</f>
        <v>0</v>
      </c>
      <c r="AB140" s="198">
        <f>IF(Qty!$J141=0,Qty!AF141,Qty!AF141*Qty!$J141)*'Hist. prices'!AB140*AB$7</f>
        <v>0</v>
      </c>
      <c r="AC140" s="206">
        <f t="shared" si="9"/>
        <v>0</v>
      </c>
      <c r="AD140" s="68"/>
      <c r="AE140" s="19"/>
      <c r="AF140" s="19"/>
      <c r="AG140" s="19"/>
      <c r="AH140" s="19"/>
    </row>
    <row r="141" spans="1:34" hidden="1" outlineLevel="3" x14ac:dyDescent="0.2">
      <c r="A141" s="19"/>
      <c r="B141" s="19"/>
      <c r="C141" s="506">
        <f t="shared" si="11"/>
        <v>0</v>
      </c>
      <c r="D141" s="505">
        <f t="shared" si="11"/>
        <v>0</v>
      </c>
      <c r="E141" s="505">
        <f t="shared" si="11"/>
        <v>0</v>
      </c>
      <c r="F141" s="505">
        <f t="shared" si="11"/>
        <v>0</v>
      </c>
      <c r="G141" s="505">
        <f t="shared" si="11"/>
        <v>0</v>
      </c>
      <c r="H141" s="58"/>
      <c r="I141" s="198">
        <f>IF(Qty!$J142=0,Qty!M142,Qty!M142*Qty!$J142)*'Hist. prices'!I141*I$7</f>
        <v>0</v>
      </c>
      <c r="J141" s="198">
        <f>IF(Qty!$J142=0,Qty!N142,Qty!N142*Qty!$J142)*'Hist. prices'!J141*J$7</f>
        <v>0</v>
      </c>
      <c r="K141" s="198">
        <f>IF(Qty!$J142=0,Qty!O142,Qty!O142*Qty!$J142)*'Hist. prices'!K141*K$7</f>
        <v>0</v>
      </c>
      <c r="L141" s="198">
        <f>IF(Qty!$J142=0,Qty!P142,Qty!P142*Qty!$J142)*'Hist. prices'!L141*L$7</f>
        <v>0</v>
      </c>
      <c r="M141" s="198">
        <f>IF(Qty!$J142=0,Qty!Q142,Qty!Q142*Qty!$J142)*'Hist. prices'!M141*M$7</f>
        <v>0</v>
      </c>
      <c r="N141" s="198">
        <f>IF(Qty!$J142=0,Qty!R142,Qty!R142*Qty!$J142)*'Hist. prices'!N141*N$7</f>
        <v>0</v>
      </c>
      <c r="O141" s="198">
        <f>IF(Qty!$J142=0,Qty!S142,Qty!S142*Qty!$J142)*'Hist. prices'!O141*O$7</f>
        <v>0</v>
      </c>
      <c r="P141" s="198">
        <f>IF(Qty!$J142=0,Qty!T142,Qty!T142*Qty!$J142)*'Hist. prices'!P141*P$7</f>
        <v>0</v>
      </c>
      <c r="Q141" s="198">
        <f>IF(Qty!$J142=0,Qty!U142,Qty!U142*Qty!$J142)*'Hist. prices'!Q141*Q$7</f>
        <v>0</v>
      </c>
      <c r="R141" s="198">
        <f>IF(Qty!$J142=0,Qty!V142,Qty!V142*Qty!$J142)*'Hist. prices'!R141*R$7</f>
        <v>0</v>
      </c>
      <c r="S141" s="198">
        <f>IF(Qty!$J142=0,Qty!W142,Qty!W142*Qty!$J142)*'Hist. prices'!S141*S$7</f>
        <v>0</v>
      </c>
      <c r="T141" s="198">
        <f>IF(Qty!$J142=0,Qty!X142,Qty!X142*Qty!$J142)*'Hist. prices'!T141*T$7</f>
        <v>0</v>
      </c>
      <c r="U141" s="198">
        <f>IF(Qty!$J142=0,Qty!Y142,Qty!Y142*Qty!$J142)*'Hist. prices'!U141*U$7</f>
        <v>0</v>
      </c>
      <c r="V141" s="198">
        <f>IF(Qty!$J142=0,Qty!Z142,Qty!Z142*Qty!$J142)*'Hist. prices'!V141*V$7</f>
        <v>0</v>
      </c>
      <c r="W141" s="198">
        <f>IF(Qty!$J142=0,Qty!AA142,Qty!AA142*Qty!$J142)*'Hist. prices'!W141*W$7</f>
        <v>0</v>
      </c>
      <c r="X141" s="198">
        <f>IF(Qty!$J142=0,Qty!AB142,Qty!AB142*Qty!$J142)*'Hist. prices'!X141*X$7</f>
        <v>0</v>
      </c>
      <c r="Y141" s="198">
        <f>IF(Qty!$J142=0,Qty!AC142,Qty!AC142*Qty!$J142)*'Hist. prices'!Y141*Y$7</f>
        <v>0</v>
      </c>
      <c r="Z141" s="198">
        <f>IF(Qty!$J142=0,Qty!AD142,Qty!AD142*Qty!$J142)*'Hist. prices'!Z141*Z$7</f>
        <v>0</v>
      </c>
      <c r="AA141" s="198">
        <f>IF(Qty!$J142=0,Qty!AE142,Qty!AE142*Qty!$J142)*'Hist. prices'!AA141*AA$7</f>
        <v>0</v>
      </c>
      <c r="AB141" s="198">
        <f>IF(Qty!$J142=0,Qty!AF142,Qty!AF142*Qty!$J142)*'Hist. prices'!AB141*AB$7</f>
        <v>0</v>
      </c>
      <c r="AC141" s="206">
        <f t="shared" si="9"/>
        <v>0</v>
      </c>
      <c r="AD141" s="68"/>
      <c r="AE141" s="19"/>
      <c r="AF141" s="19"/>
      <c r="AG141" s="19"/>
      <c r="AH141" s="19"/>
    </row>
    <row r="142" spans="1:34" hidden="1" outlineLevel="3" x14ac:dyDescent="0.2">
      <c r="A142" s="19"/>
      <c r="B142" s="19"/>
      <c r="C142" s="506">
        <f t="shared" si="11"/>
        <v>0</v>
      </c>
      <c r="D142" s="505">
        <f t="shared" si="11"/>
        <v>0</v>
      </c>
      <c r="E142" s="505">
        <f t="shared" si="11"/>
        <v>0</v>
      </c>
      <c r="F142" s="505">
        <f t="shared" si="11"/>
        <v>0</v>
      </c>
      <c r="G142" s="505">
        <f t="shared" si="11"/>
        <v>0</v>
      </c>
      <c r="H142" s="58"/>
      <c r="I142" s="198">
        <f>IF(Qty!$J143=0,Qty!M143,Qty!M143*Qty!$J143)*'Hist. prices'!I142*I$7</f>
        <v>0</v>
      </c>
      <c r="J142" s="198">
        <f>IF(Qty!$J143=0,Qty!N143,Qty!N143*Qty!$J143)*'Hist. prices'!J142*J$7</f>
        <v>0</v>
      </c>
      <c r="K142" s="198">
        <f>IF(Qty!$J143=0,Qty!O143,Qty!O143*Qty!$J143)*'Hist. prices'!K142*K$7</f>
        <v>0</v>
      </c>
      <c r="L142" s="198">
        <f>IF(Qty!$J143=0,Qty!P143,Qty!P143*Qty!$J143)*'Hist. prices'!L142*L$7</f>
        <v>0</v>
      </c>
      <c r="M142" s="198">
        <f>IF(Qty!$J143=0,Qty!Q143,Qty!Q143*Qty!$J143)*'Hist. prices'!M142*M$7</f>
        <v>0</v>
      </c>
      <c r="N142" s="198">
        <f>IF(Qty!$J143=0,Qty!R143,Qty!R143*Qty!$J143)*'Hist. prices'!N142*N$7</f>
        <v>0</v>
      </c>
      <c r="O142" s="198">
        <f>IF(Qty!$J143=0,Qty!S143,Qty!S143*Qty!$J143)*'Hist. prices'!O142*O$7</f>
        <v>0</v>
      </c>
      <c r="P142" s="198">
        <f>IF(Qty!$J143=0,Qty!T143,Qty!T143*Qty!$J143)*'Hist. prices'!P142*P$7</f>
        <v>0</v>
      </c>
      <c r="Q142" s="198">
        <f>IF(Qty!$J143=0,Qty!U143,Qty!U143*Qty!$J143)*'Hist. prices'!Q142*Q$7</f>
        <v>0</v>
      </c>
      <c r="R142" s="198">
        <f>IF(Qty!$J143=0,Qty!V143,Qty!V143*Qty!$J143)*'Hist. prices'!R142*R$7</f>
        <v>0</v>
      </c>
      <c r="S142" s="198">
        <f>IF(Qty!$J143=0,Qty!W143,Qty!W143*Qty!$J143)*'Hist. prices'!S142*S$7</f>
        <v>0</v>
      </c>
      <c r="T142" s="198">
        <f>IF(Qty!$J143=0,Qty!X143,Qty!X143*Qty!$J143)*'Hist. prices'!T142*T$7</f>
        <v>0</v>
      </c>
      <c r="U142" s="198">
        <f>IF(Qty!$J143=0,Qty!Y143,Qty!Y143*Qty!$J143)*'Hist. prices'!U142*U$7</f>
        <v>0</v>
      </c>
      <c r="V142" s="198">
        <f>IF(Qty!$J143=0,Qty!Z143,Qty!Z143*Qty!$J143)*'Hist. prices'!V142*V$7</f>
        <v>0</v>
      </c>
      <c r="W142" s="198">
        <f>IF(Qty!$J143=0,Qty!AA143,Qty!AA143*Qty!$J143)*'Hist. prices'!W142*W$7</f>
        <v>0</v>
      </c>
      <c r="X142" s="198">
        <f>IF(Qty!$J143=0,Qty!AB143,Qty!AB143*Qty!$J143)*'Hist. prices'!X142*X$7</f>
        <v>0</v>
      </c>
      <c r="Y142" s="198">
        <f>IF(Qty!$J143=0,Qty!AC143,Qty!AC143*Qty!$J143)*'Hist. prices'!Y142*Y$7</f>
        <v>0</v>
      </c>
      <c r="Z142" s="198">
        <f>IF(Qty!$J143=0,Qty!AD143,Qty!AD143*Qty!$J143)*'Hist. prices'!Z142*Z$7</f>
        <v>0</v>
      </c>
      <c r="AA142" s="198">
        <f>IF(Qty!$J143=0,Qty!AE143,Qty!AE143*Qty!$J143)*'Hist. prices'!AA142*AA$7</f>
        <v>0</v>
      </c>
      <c r="AB142" s="198">
        <f>IF(Qty!$J143=0,Qty!AF143,Qty!AF143*Qty!$J143)*'Hist. prices'!AB142*AB$7</f>
        <v>0</v>
      </c>
      <c r="AC142" s="206">
        <f t="shared" si="9"/>
        <v>0</v>
      </c>
      <c r="AD142" s="68"/>
      <c r="AE142" s="19"/>
      <c r="AF142" s="19"/>
      <c r="AG142" s="19"/>
      <c r="AH142" s="19"/>
    </row>
    <row r="143" spans="1:34" hidden="1" outlineLevel="3" x14ac:dyDescent="0.2">
      <c r="A143" s="19"/>
      <c r="B143" s="19"/>
      <c r="C143" s="506">
        <f t="shared" si="11"/>
        <v>0</v>
      </c>
      <c r="D143" s="505">
        <f t="shared" si="11"/>
        <v>0</v>
      </c>
      <c r="E143" s="505">
        <f t="shared" si="11"/>
        <v>0</v>
      </c>
      <c r="F143" s="505">
        <f t="shared" si="11"/>
        <v>0</v>
      </c>
      <c r="G143" s="505">
        <f t="shared" si="11"/>
        <v>0</v>
      </c>
      <c r="H143" s="58"/>
      <c r="I143" s="198">
        <f>IF(Qty!$J144=0,Qty!M144,Qty!M144*Qty!$J144)*'Hist. prices'!I143*I$7</f>
        <v>0</v>
      </c>
      <c r="J143" s="198">
        <f>IF(Qty!$J144=0,Qty!N144,Qty!N144*Qty!$J144)*'Hist. prices'!J143*J$7</f>
        <v>0</v>
      </c>
      <c r="K143" s="198">
        <f>IF(Qty!$J144=0,Qty!O144,Qty!O144*Qty!$J144)*'Hist. prices'!K143*K$7</f>
        <v>0</v>
      </c>
      <c r="L143" s="198">
        <f>IF(Qty!$J144=0,Qty!P144,Qty!P144*Qty!$J144)*'Hist. prices'!L143*L$7</f>
        <v>0</v>
      </c>
      <c r="M143" s="198">
        <f>IF(Qty!$J144=0,Qty!Q144,Qty!Q144*Qty!$J144)*'Hist. prices'!M143*M$7</f>
        <v>0</v>
      </c>
      <c r="N143" s="198">
        <f>IF(Qty!$J144=0,Qty!R144,Qty!R144*Qty!$J144)*'Hist. prices'!N143*N$7</f>
        <v>0</v>
      </c>
      <c r="O143" s="198">
        <f>IF(Qty!$J144=0,Qty!S144,Qty!S144*Qty!$J144)*'Hist. prices'!O143*O$7</f>
        <v>0</v>
      </c>
      <c r="P143" s="198">
        <f>IF(Qty!$J144=0,Qty!T144,Qty!T144*Qty!$J144)*'Hist. prices'!P143*P$7</f>
        <v>0</v>
      </c>
      <c r="Q143" s="198">
        <f>IF(Qty!$J144=0,Qty!U144,Qty!U144*Qty!$J144)*'Hist. prices'!Q143*Q$7</f>
        <v>0</v>
      </c>
      <c r="R143" s="198">
        <f>IF(Qty!$J144=0,Qty!V144,Qty!V144*Qty!$J144)*'Hist. prices'!R143*R$7</f>
        <v>0</v>
      </c>
      <c r="S143" s="198">
        <f>IF(Qty!$J144=0,Qty!W144,Qty!W144*Qty!$J144)*'Hist. prices'!S143*S$7</f>
        <v>0</v>
      </c>
      <c r="T143" s="198">
        <f>IF(Qty!$J144=0,Qty!X144,Qty!X144*Qty!$J144)*'Hist. prices'!T143*T$7</f>
        <v>0</v>
      </c>
      <c r="U143" s="198">
        <f>IF(Qty!$J144=0,Qty!Y144,Qty!Y144*Qty!$J144)*'Hist. prices'!U143*U$7</f>
        <v>0</v>
      </c>
      <c r="V143" s="198">
        <f>IF(Qty!$J144=0,Qty!Z144,Qty!Z144*Qty!$J144)*'Hist. prices'!V143*V$7</f>
        <v>0</v>
      </c>
      <c r="W143" s="198">
        <f>IF(Qty!$J144=0,Qty!AA144,Qty!AA144*Qty!$J144)*'Hist. prices'!W143*W$7</f>
        <v>0</v>
      </c>
      <c r="X143" s="198">
        <f>IF(Qty!$J144=0,Qty!AB144,Qty!AB144*Qty!$J144)*'Hist. prices'!X143*X$7</f>
        <v>0</v>
      </c>
      <c r="Y143" s="198">
        <f>IF(Qty!$J144=0,Qty!AC144,Qty!AC144*Qty!$J144)*'Hist. prices'!Y143*Y$7</f>
        <v>0</v>
      </c>
      <c r="Z143" s="198">
        <f>IF(Qty!$J144=0,Qty!AD144,Qty!AD144*Qty!$J144)*'Hist. prices'!Z143*Z$7</f>
        <v>0</v>
      </c>
      <c r="AA143" s="198">
        <f>IF(Qty!$J144=0,Qty!AE144,Qty!AE144*Qty!$J144)*'Hist. prices'!AA143*AA$7</f>
        <v>0</v>
      </c>
      <c r="AB143" s="198">
        <f>IF(Qty!$J144=0,Qty!AF144,Qty!AF144*Qty!$J144)*'Hist. prices'!AB143*AB$7</f>
        <v>0</v>
      </c>
      <c r="AC143" s="206">
        <f t="shared" si="9"/>
        <v>0</v>
      </c>
      <c r="AD143" s="68"/>
      <c r="AE143" s="19"/>
      <c r="AF143" s="19"/>
      <c r="AG143" s="19"/>
      <c r="AH143" s="19"/>
    </row>
    <row r="144" spans="1:34" hidden="1" outlineLevel="3" x14ac:dyDescent="0.2">
      <c r="A144" s="19"/>
      <c r="B144" s="19"/>
      <c r="C144" s="506">
        <f t="shared" si="11"/>
        <v>0</v>
      </c>
      <c r="D144" s="505">
        <f t="shared" si="11"/>
        <v>0</v>
      </c>
      <c r="E144" s="505">
        <f t="shared" si="11"/>
        <v>0</v>
      </c>
      <c r="F144" s="505">
        <f t="shared" si="11"/>
        <v>0</v>
      </c>
      <c r="G144" s="505">
        <f t="shared" si="11"/>
        <v>0</v>
      </c>
      <c r="H144" s="58"/>
      <c r="I144" s="198">
        <f>IF(Qty!$J145=0,Qty!M145,Qty!M145*Qty!$J145)*'Hist. prices'!I144*I$7</f>
        <v>0</v>
      </c>
      <c r="J144" s="198">
        <f>IF(Qty!$J145=0,Qty!N145,Qty!N145*Qty!$J145)*'Hist. prices'!J144*J$7</f>
        <v>0</v>
      </c>
      <c r="K144" s="198">
        <f>IF(Qty!$J145=0,Qty!O145,Qty!O145*Qty!$J145)*'Hist. prices'!K144*K$7</f>
        <v>0</v>
      </c>
      <c r="L144" s="198">
        <f>IF(Qty!$J145=0,Qty!P145,Qty!P145*Qty!$J145)*'Hist. prices'!L144*L$7</f>
        <v>0</v>
      </c>
      <c r="M144" s="198">
        <f>IF(Qty!$J145=0,Qty!Q145,Qty!Q145*Qty!$J145)*'Hist. prices'!M144*M$7</f>
        <v>0</v>
      </c>
      <c r="N144" s="198">
        <f>IF(Qty!$J145=0,Qty!R145,Qty!R145*Qty!$J145)*'Hist. prices'!N144*N$7</f>
        <v>0</v>
      </c>
      <c r="O144" s="198">
        <f>IF(Qty!$J145=0,Qty!S145,Qty!S145*Qty!$J145)*'Hist. prices'!O144*O$7</f>
        <v>0</v>
      </c>
      <c r="P144" s="198">
        <f>IF(Qty!$J145=0,Qty!T145,Qty!T145*Qty!$J145)*'Hist. prices'!P144*P$7</f>
        <v>0</v>
      </c>
      <c r="Q144" s="198">
        <f>IF(Qty!$J145=0,Qty!U145,Qty!U145*Qty!$J145)*'Hist. prices'!Q144*Q$7</f>
        <v>0</v>
      </c>
      <c r="R144" s="198">
        <f>IF(Qty!$J145=0,Qty!V145,Qty!V145*Qty!$J145)*'Hist. prices'!R144*R$7</f>
        <v>0</v>
      </c>
      <c r="S144" s="198">
        <f>IF(Qty!$J145=0,Qty!W145,Qty!W145*Qty!$J145)*'Hist. prices'!S144*S$7</f>
        <v>0</v>
      </c>
      <c r="T144" s="198">
        <f>IF(Qty!$J145=0,Qty!X145,Qty!X145*Qty!$J145)*'Hist. prices'!T144*T$7</f>
        <v>0</v>
      </c>
      <c r="U144" s="198">
        <f>IF(Qty!$J145=0,Qty!Y145,Qty!Y145*Qty!$J145)*'Hist. prices'!U144*U$7</f>
        <v>0</v>
      </c>
      <c r="V144" s="198">
        <f>IF(Qty!$J145=0,Qty!Z145,Qty!Z145*Qty!$J145)*'Hist. prices'!V144*V$7</f>
        <v>0</v>
      </c>
      <c r="W144" s="198">
        <f>IF(Qty!$J145=0,Qty!AA145,Qty!AA145*Qty!$J145)*'Hist. prices'!W144*W$7</f>
        <v>0</v>
      </c>
      <c r="X144" s="198">
        <f>IF(Qty!$J145=0,Qty!AB145,Qty!AB145*Qty!$J145)*'Hist. prices'!X144*X$7</f>
        <v>0</v>
      </c>
      <c r="Y144" s="198">
        <f>IF(Qty!$J145=0,Qty!AC145,Qty!AC145*Qty!$J145)*'Hist. prices'!Y144*Y$7</f>
        <v>0</v>
      </c>
      <c r="Z144" s="198">
        <f>IF(Qty!$J145=0,Qty!AD145,Qty!AD145*Qty!$J145)*'Hist. prices'!Z144*Z$7</f>
        <v>0</v>
      </c>
      <c r="AA144" s="198">
        <f>IF(Qty!$J145=0,Qty!AE145,Qty!AE145*Qty!$J145)*'Hist. prices'!AA144*AA$7</f>
        <v>0</v>
      </c>
      <c r="AB144" s="198">
        <f>IF(Qty!$J145=0,Qty!AF145,Qty!AF145*Qty!$J145)*'Hist. prices'!AB144*AB$7</f>
        <v>0</v>
      </c>
      <c r="AC144" s="206">
        <f t="shared" si="9"/>
        <v>0</v>
      </c>
      <c r="AD144" s="68"/>
      <c r="AE144" s="19"/>
      <c r="AF144" s="19"/>
      <c r="AG144" s="19"/>
      <c r="AH144" s="19"/>
    </row>
    <row r="145" spans="1:34" hidden="1" outlineLevel="3" x14ac:dyDescent="0.2">
      <c r="A145" s="19"/>
      <c r="B145" s="19"/>
      <c r="C145" s="506">
        <f t="shared" si="11"/>
        <v>0</v>
      </c>
      <c r="D145" s="505">
        <f t="shared" si="11"/>
        <v>0</v>
      </c>
      <c r="E145" s="505">
        <f t="shared" si="11"/>
        <v>0</v>
      </c>
      <c r="F145" s="505">
        <f t="shared" si="11"/>
        <v>0</v>
      </c>
      <c r="G145" s="505">
        <f t="shared" si="11"/>
        <v>0</v>
      </c>
      <c r="H145" s="58"/>
      <c r="I145" s="198">
        <f>IF(Qty!$J146=0,Qty!M146,Qty!M146*Qty!$J146)*'Hist. prices'!I145*I$7</f>
        <v>0</v>
      </c>
      <c r="J145" s="198">
        <f>IF(Qty!$J146=0,Qty!N146,Qty!N146*Qty!$J146)*'Hist. prices'!J145*J$7</f>
        <v>0</v>
      </c>
      <c r="K145" s="198">
        <f>IF(Qty!$J146=0,Qty!O146,Qty!O146*Qty!$J146)*'Hist. prices'!K145*K$7</f>
        <v>0</v>
      </c>
      <c r="L145" s="198">
        <f>IF(Qty!$J146=0,Qty!P146,Qty!P146*Qty!$J146)*'Hist. prices'!L145*L$7</f>
        <v>0</v>
      </c>
      <c r="M145" s="198">
        <f>IF(Qty!$J146=0,Qty!Q146,Qty!Q146*Qty!$J146)*'Hist. prices'!M145*M$7</f>
        <v>0</v>
      </c>
      <c r="N145" s="198">
        <f>IF(Qty!$J146=0,Qty!R146,Qty!R146*Qty!$J146)*'Hist. prices'!N145*N$7</f>
        <v>0</v>
      </c>
      <c r="O145" s="198">
        <f>IF(Qty!$J146=0,Qty!S146,Qty!S146*Qty!$J146)*'Hist. prices'!O145*O$7</f>
        <v>0</v>
      </c>
      <c r="P145" s="198">
        <f>IF(Qty!$J146=0,Qty!T146,Qty!T146*Qty!$J146)*'Hist. prices'!P145*P$7</f>
        <v>0</v>
      </c>
      <c r="Q145" s="198">
        <f>IF(Qty!$J146=0,Qty!U146,Qty!U146*Qty!$J146)*'Hist. prices'!Q145*Q$7</f>
        <v>0</v>
      </c>
      <c r="R145" s="198">
        <f>IF(Qty!$J146=0,Qty!V146,Qty!V146*Qty!$J146)*'Hist. prices'!R145*R$7</f>
        <v>0</v>
      </c>
      <c r="S145" s="198">
        <f>IF(Qty!$J146=0,Qty!W146,Qty!W146*Qty!$J146)*'Hist. prices'!S145*S$7</f>
        <v>0</v>
      </c>
      <c r="T145" s="198">
        <f>IF(Qty!$J146=0,Qty!X146,Qty!X146*Qty!$J146)*'Hist. prices'!T145*T$7</f>
        <v>0</v>
      </c>
      <c r="U145" s="198">
        <f>IF(Qty!$J146=0,Qty!Y146,Qty!Y146*Qty!$J146)*'Hist. prices'!U145*U$7</f>
        <v>0</v>
      </c>
      <c r="V145" s="198">
        <f>IF(Qty!$J146=0,Qty!Z146,Qty!Z146*Qty!$J146)*'Hist. prices'!V145*V$7</f>
        <v>0</v>
      </c>
      <c r="W145" s="198">
        <f>IF(Qty!$J146=0,Qty!AA146,Qty!AA146*Qty!$J146)*'Hist. prices'!W145*W$7</f>
        <v>0</v>
      </c>
      <c r="X145" s="198">
        <f>IF(Qty!$J146=0,Qty!AB146,Qty!AB146*Qty!$J146)*'Hist. prices'!X145*X$7</f>
        <v>0</v>
      </c>
      <c r="Y145" s="198">
        <f>IF(Qty!$J146=0,Qty!AC146,Qty!AC146*Qty!$J146)*'Hist. prices'!Y145*Y$7</f>
        <v>0</v>
      </c>
      <c r="Z145" s="198">
        <f>IF(Qty!$J146=0,Qty!AD146,Qty!AD146*Qty!$J146)*'Hist. prices'!Z145*Z$7</f>
        <v>0</v>
      </c>
      <c r="AA145" s="198">
        <f>IF(Qty!$J146=0,Qty!AE146,Qty!AE146*Qty!$J146)*'Hist. prices'!AA145*AA$7</f>
        <v>0</v>
      </c>
      <c r="AB145" s="198">
        <f>IF(Qty!$J146=0,Qty!AF146,Qty!AF146*Qty!$J146)*'Hist. prices'!AB145*AB$7</f>
        <v>0</v>
      </c>
      <c r="AC145" s="206">
        <f t="shared" si="9"/>
        <v>0</v>
      </c>
      <c r="AD145" s="68"/>
      <c r="AE145" s="19"/>
      <c r="AF145" s="19"/>
      <c r="AG145" s="19"/>
      <c r="AH145" s="19"/>
    </row>
    <row r="146" spans="1:34" hidden="1" outlineLevel="3" x14ac:dyDescent="0.2">
      <c r="A146" s="19"/>
      <c r="B146" s="19"/>
      <c r="C146" s="506">
        <f t="shared" ref="C146:G155" si="12">C68</f>
        <v>0</v>
      </c>
      <c r="D146" s="505">
        <f t="shared" si="12"/>
        <v>0</v>
      </c>
      <c r="E146" s="505">
        <f t="shared" si="12"/>
        <v>0</v>
      </c>
      <c r="F146" s="505">
        <f t="shared" si="12"/>
        <v>0</v>
      </c>
      <c r="G146" s="505">
        <f t="shared" si="12"/>
        <v>0</v>
      </c>
      <c r="H146" s="58"/>
      <c r="I146" s="198">
        <f>IF(Qty!$J147=0,Qty!M147,Qty!M147*Qty!$J147)*'Hist. prices'!I146*I$7</f>
        <v>0</v>
      </c>
      <c r="J146" s="198">
        <f>IF(Qty!$J147=0,Qty!N147,Qty!N147*Qty!$J147)*'Hist. prices'!J146*J$7</f>
        <v>0</v>
      </c>
      <c r="K146" s="198">
        <f>IF(Qty!$J147=0,Qty!O147,Qty!O147*Qty!$J147)*'Hist. prices'!K146*K$7</f>
        <v>0</v>
      </c>
      <c r="L146" s="198">
        <f>IF(Qty!$J147=0,Qty!P147,Qty!P147*Qty!$J147)*'Hist. prices'!L146*L$7</f>
        <v>0</v>
      </c>
      <c r="M146" s="198">
        <f>IF(Qty!$J147=0,Qty!Q147,Qty!Q147*Qty!$J147)*'Hist. prices'!M146*M$7</f>
        <v>0</v>
      </c>
      <c r="N146" s="198">
        <f>IF(Qty!$J147=0,Qty!R147,Qty!R147*Qty!$J147)*'Hist. prices'!N146*N$7</f>
        <v>0</v>
      </c>
      <c r="O146" s="198">
        <f>IF(Qty!$J147=0,Qty!S147,Qty!S147*Qty!$J147)*'Hist. prices'!O146*O$7</f>
        <v>0</v>
      </c>
      <c r="P146" s="198">
        <f>IF(Qty!$J147=0,Qty!T147,Qty!T147*Qty!$J147)*'Hist. prices'!P146*P$7</f>
        <v>0</v>
      </c>
      <c r="Q146" s="198">
        <f>IF(Qty!$J147=0,Qty!U147,Qty!U147*Qty!$J147)*'Hist. prices'!Q146*Q$7</f>
        <v>0</v>
      </c>
      <c r="R146" s="198">
        <f>IF(Qty!$J147=0,Qty!V147,Qty!V147*Qty!$J147)*'Hist. prices'!R146*R$7</f>
        <v>0</v>
      </c>
      <c r="S146" s="198">
        <f>IF(Qty!$J147=0,Qty!W147,Qty!W147*Qty!$J147)*'Hist. prices'!S146*S$7</f>
        <v>0</v>
      </c>
      <c r="T146" s="198">
        <f>IF(Qty!$J147=0,Qty!X147,Qty!X147*Qty!$J147)*'Hist. prices'!T146*T$7</f>
        <v>0</v>
      </c>
      <c r="U146" s="198">
        <f>IF(Qty!$J147=0,Qty!Y147,Qty!Y147*Qty!$J147)*'Hist. prices'!U146*U$7</f>
        <v>0</v>
      </c>
      <c r="V146" s="198">
        <f>IF(Qty!$J147=0,Qty!Z147,Qty!Z147*Qty!$J147)*'Hist. prices'!V146*V$7</f>
        <v>0</v>
      </c>
      <c r="W146" s="198">
        <f>IF(Qty!$J147=0,Qty!AA147,Qty!AA147*Qty!$J147)*'Hist. prices'!W146*W$7</f>
        <v>0</v>
      </c>
      <c r="X146" s="198">
        <f>IF(Qty!$J147=0,Qty!AB147,Qty!AB147*Qty!$J147)*'Hist. prices'!X146*X$7</f>
        <v>0</v>
      </c>
      <c r="Y146" s="198">
        <f>IF(Qty!$J147=0,Qty!AC147,Qty!AC147*Qty!$J147)*'Hist. prices'!Y146*Y$7</f>
        <v>0</v>
      </c>
      <c r="Z146" s="198">
        <f>IF(Qty!$J147=0,Qty!AD147,Qty!AD147*Qty!$J147)*'Hist. prices'!Z146*Z$7</f>
        <v>0</v>
      </c>
      <c r="AA146" s="198">
        <f>IF(Qty!$J147=0,Qty!AE147,Qty!AE147*Qty!$J147)*'Hist. prices'!AA146*AA$7</f>
        <v>0</v>
      </c>
      <c r="AB146" s="198">
        <f>IF(Qty!$J147=0,Qty!AF147,Qty!AF147*Qty!$J147)*'Hist. prices'!AB146*AB$7</f>
        <v>0</v>
      </c>
      <c r="AC146" s="206">
        <f t="shared" si="9"/>
        <v>0</v>
      </c>
      <c r="AD146" s="68"/>
      <c r="AE146" s="19"/>
      <c r="AF146" s="19"/>
      <c r="AG146" s="19"/>
      <c r="AH146" s="19"/>
    </row>
    <row r="147" spans="1:34" hidden="1" outlineLevel="3" x14ac:dyDescent="0.2">
      <c r="A147" s="19"/>
      <c r="B147" s="19"/>
      <c r="C147" s="506">
        <f t="shared" si="12"/>
        <v>0</v>
      </c>
      <c r="D147" s="505">
        <f t="shared" si="12"/>
        <v>0</v>
      </c>
      <c r="E147" s="505">
        <f t="shared" si="12"/>
        <v>0</v>
      </c>
      <c r="F147" s="505">
        <f t="shared" si="12"/>
        <v>0</v>
      </c>
      <c r="G147" s="505">
        <f t="shared" si="12"/>
        <v>0</v>
      </c>
      <c r="H147" s="58"/>
      <c r="I147" s="198">
        <f>IF(Qty!$J148=0,Qty!M148,Qty!M148*Qty!$J148)*'Hist. prices'!I147*I$7</f>
        <v>0</v>
      </c>
      <c r="J147" s="198">
        <f>IF(Qty!$J148=0,Qty!N148,Qty!N148*Qty!$J148)*'Hist. prices'!J147*J$7</f>
        <v>0</v>
      </c>
      <c r="K147" s="198">
        <f>IF(Qty!$J148=0,Qty!O148,Qty!O148*Qty!$J148)*'Hist. prices'!K147*K$7</f>
        <v>0</v>
      </c>
      <c r="L147" s="198">
        <f>IF(Qty!$J148=0,Qty!P148,Qty!P148*Qty!$J148)*'Hist. prices'!L147*L$7</f>
        <v>0</v>
      </c>
      <c r="M147" s="198">
        <f>IF(Qty!$J148=0,Qty!Q148,Qty!Q148*Qty!$J148)*'Hist. prices'!M147*M$7</f>
        <v>0</v>
      </c>
      <c r="N147" s="198">
        <f>IF(Qty!$J148=0,Qty!R148,Qty!R148*Qty!$J148)*'Hist. prices'!N147*N$7</f>
        <v>0</v>
      </c>
      <c r="O147" s="198">
        <f>IF(Qty!$J148=0,Qty!S148,Qty!S148*Qty!$J148)*'Hist. prices'!O147*O$7</f>
        <v>0</v>
      </c>
      <c r="P147" s="198">
        <f>IF(Qty!$J148=0,Qty!T148,Qty!T148*Qty!$J148)*'Hist. prices'!P147*P$7</f>
        <v>0</v>
      </c>
      <c r="Q147" s="198">
        <f>IF(Qty!$J148=0,Qty!U148,Qty!U148*Qty!$J148)*'Hist. prices'!Q147*Q$7</f>
        <v>0</v>
      </c>
      <c r="R147" s="198">
        <f>IF(Qty!$J148=0,Qty!V148,Qty!V148*Qty!$J148)*'Hist. prices'!R147*R$7</f>
        <v>0</v>
      </c>
      <c r="S147" s="198">
        <f>IF(Qty!$J148=0,Qty!W148,Qty!W148*Qty!$J148)*'Hist. prices'!S147*S$7</f>
        <v>0</v>
      </c>
      <c r="T147" s="198">
        <f>IF(Qty!$J148=0,Qty!X148,Qty!X148*Qty!$J148)*'Hist. prices'!T147*T$7</f>
        <v>0</v>
      </c>
      <c r="U147" s="198">
        <f>IF(Qty!$J148=0,Qty!Y148,Qty!Y148*Qty!$J148)*'Hist. prices'!U147*U$7</f>
        <v>0</v>
      </c>
      <c r="V147" s="198">
        <f>IF(Qty!$J148=0,Qty!Z148,Qty!Z148*Qty!$J148)*'Hist. prices'!V147*V$7</f>
        <v>0</v>
      </c>
      <c r="W147" s="198">
        <f>IF(Qty!$J148=0,Qty!AA148,Qty!AA148*Qty!$J148)*'Hist. prices'!W147*W$7</f>
        <v>0</v>
      </c>
      <c r="X147" s="198">
        <f>IF(Qty!$J148=0,Qty!AB148,Qty!AB148*Qty!$J148)*'Hist. prices'!X147*X$7</f>
        <v>0</v>
      </c>
      <c r="Y147" s="198">
        <f>IF(Qty!$J148=0,Qty!AC148,Qty!AC148*Qty!$J148)*'Hist. prices'!Y147*Y$7</f>
        <v>0</v>
      </c>
      <c r="Z147" s="198">
        <f>IF(Qty!$J148=0,Qty!AD148,Qty!AD148*Qty!$J148)*'Hist. prices'!Z147*Z$7</f>
        <v>0</v>
      </c>
      <c r="AA147" s="198">
        <f>IF(Qty!$J148=0,Qty!AE148,Qty!AE148*Qty!$J148)*'Hist. prices'!AA147*AA$7</f>
        <v>0</v>
      </c>
      <c r="AB147" s="198">
        <f>IF(Qty!$J148=0,Qty!AF148,Qty!AF148*Qty!$J148)*'Hist. prices'!AB147*AB$7</f>
        <v>0</v>
      </c>
      <c r="AC147" s="206">
        <f t="shared" si="9"/>
        <v>0</v>
      </c>
      <c r="AD147" s="68"/>
      <c r="AE147" s="19"/>
      <c r="AF147" s="19"/>
      <c r="AG147" s="19"/>
      <c r="AH147" s="19"/>
    </row>
    <row r="148" spans="1:34" hidden="1" outlineLevel="3" x14ac:dyDescent="0.2">
      <c r="A148" s="19"/>
      <c r="B148" s="19"/>
      <c r="C148" s="506">
        <f t="shared" si="12"/>
        <v>0</v>
      </c>
      <c r="D148" s="505">
        <f t="shared" si="12"/>
        <v>0</v>
      </c>
      <c r="E148" s="505">
        <f t="shared" si="12"/>
        <v>0</v>
      </c>
      <c r="F148" s="505">
        <f t="shared" si="12"/>
        <v>0</v>
      </c>
      <c r="G148" s="505">
        <f t="shared" si="12"/>
        <v>0</v>
      </c>
      <c r="H148" s="58"/>
      <c r="I148" s="198">
        <f>IF(Qty!$J149=0,Qty!M149,Qty!M149*Qty!$J149)*'Hist. prices'!I148*I$7</f>
        <v>0</v>
      </c>
      <c r="J148" s="198">
        <f>IF(Qty!$J149=0,Qty!N149,Qty!N149*Qty!$J149)*'Hist. prices'!J148*J$7</f>
        <v>0</v>
      </c>
      <c r="K148" s="198">
        <f>IF(Qty!$J149=0,Qty!O149,Qty!O149*Qty!$J149)*'Hist. prices'!K148*K$7</f>
        <v>0</v>
      </c>
      <c r="L148" s="198">
        <f>IF(Qty!$J149=0,Qty!P149,Qty!P149*Qty!$J149)*'Hist. prices'!L148*L$7</f>
        <v>0</v>
      </c>
      <c r="M148" s="198">
        <f>IF(Qty!$J149=0,Qty!Q149,Qty!Q149*Qty!$J149)*'Hist. prices'!M148*M$7</f>
        <v>0</v>
      </c>
      <c r="N148" s="198">
        <f>IF(Qty!$J149=0,Qty!R149,Qty!R149*Qty!$J149)*'Hist. prices'!N148*N$7</f>
        <v>0</v>
      </c>
      <c r="O148" s="198">
        <f>IF(Qty!$J149=0,Qty!S149,Qty!S149*Qty!$J149)*'Hist. prices'!O148*O$7</f>
        <v>0</v>
      </c>
      <c r="P148" s="198">
        <f>IF(Qty!$J149=0,Qty!T149,Qty!T149*Qty!$J149)*'Hist. prices'!P148*P$7</f>
        <v>0</v>
      </c>
      <c r="Q148" s="198">
        <f>IF(Qty!$J149=0,Qty!U149,Qty!U149*Qty!$J149)*'Hist. prices'!Q148*Q$7</f>
        <v>0</v>
      </c>
      <c r="R148" s="198">
        <f>IF(Qty!$J149=0,Qty!V149,Qty!V149*Qty!$J149)*'Hist. prices'!R148*R$7</f>
        <v>0</v>
      </c>
      <c r="S148" s="198">
        <f>IF(Qty!$J149=0,Qty!W149,Qty!W149*Qty!$J149)*'Hist. prices'!S148*S$7</f>
        <v>0</v>
      </c>
      <c r="T148" s="198">
        <f>IF(Qty!$J149=0,Qty!X149,Qty!X149*Qty!$J149)*'Hist. prices'!T148*T$7</f>
        <v>0</v>
      </c>
      <c r="U148" s="198">
        <f>IF(Qty!$J149=0,Qty!Y149,Qty!Y149*Qty!$J149)*'Hist. prices'!U148*U$7</f>
        <v>0</v>
      </c>
      <c r="V148" s="198">
        <f>IF(Qty!$J149=0,Qty!Z149,Qty!Z149*Qty!$J149)*'Hist. prices'!V148*V$7</f>
        <v>0</v>
      </c>
      <c r="W148" s="198">
        <f>IF(Qty!$J149=0,Qty!AA149,Qty!AA149*Qty!$J149)*'Hist. prices'!W148*W$7</f>
        <v>0</v>
      </c>
      <c r="X148" s="198">
        <f>IF(Qty!$J149=0,Qty!AB149,Qty!AB149*Qty!$J149)*'Hist. prices'!X148*X$7</f>
        <v>0</v>
      </c>
      <c r="Y148" s="198">
        <f>IF(Qty!$J149=0,Qty!AC149,Qty!AC149*Qty!$J149)*'Hist. prices'!Y148*Y$7</f>
        <v>0</v>
      </c>
      <c r="Z148" s="198">
        <f>IF(Qty!$J149=0,Qty!AD149,Qty!AD149*Qty!$J149)*'Hist. prices'!Z148*Z$7</f>
        <v>0</v>
      </c>
      <c r="AA148" s="198">
        <f>IF(Qty!$J149=0,Qty!AE149,Qty!AE149*Qty!$J149)*'Hist. prices'!AA148*AA$7</f>
        <v>0</v>
      </c>
      <c r="AB148" s="198">
        <f>IF(Qty!$J149=0,Qty!AF149,Qty!AF149*Qty!$J149)*'Hist. prices'!AB148*AB$7</f>
        <v>0</v>
      </c>
      <c r="AC148" s="206">
        <f t="shared" si="9"/>
        <v>0</v>
      </c>
      <c r="AD148" s="68"/>
      <c r="AE148" s="19"/>
      <c r="AF148" s="19"/>
      <c r="AG148" s="19"/>
      <c r="AH148" s="19"/>
    </row>
    <row r="149" spans="1:34" hidden="1" outlineLevel="3" x14ac:dyDescent="0.2">
      <c r="A149" s="19"/>
      <c r="B149" s="19"/>
      <c r="C149" s="506">
        <f t="shared" si="12"/>
        <v>0</v>
      </c>
      <c r="D149" s="505">
        <f t="shared" si="12"/>
        <v>0</v>
      </c>
      <c r="E149" s="505">
        <f t="shared" si="12"/>
        <v>0</v>
      </c>
      <c r="F149" s="505">
        <f t="shared" si="12"/>
        <v>0</v>
      </c>
      <c r="G149" s="505">
        <f t="shared" si="12"/>
        <v>0</v>
      </c>
      <c r="H149" s="58"/>
      <c r="I149" s="198">
        <f>IF(Qty!$J150=0,Qty!M150,Qty!M150*Qty!$J150)*'Hist. prices'!I149*I$7</f>
        <v>0</v>
      </c>
      <c r="J149" s="198">
        <f>IF(Qty!$J150=0,Qty!N150,Qty!N150*Qty!$J150)*'Hist. prices'!J149*J$7</f>
        <v>0</v>
      </c>
      <c r="K149" s="198">
        <f>IF(Qty!$J150=0,Qty!O150,Qty!O150*Qty!$J150)*'Hist. prices'!K149*K$7</f>
        <v>0</v>
      </c>
      <c r="L149" s="198">
        <f>IF(Qty!$J150=0,Qty!P150,Qty!P150*Qty!$J150)*'Hist. prices'!L149*L$7</f>
        <v>0</v>
      </c>
      <c r="M149" s="198">
        <f>IF(Qty!$J150=0,Qty!Q150,Qty!Q150*Qty!$J150)*'Hist. prices'!M149*M$7</f>
        <v>0</v>
      </c>
      <c r="N149" s="198">
        <f>IF(Qty!$J150=0,Qty!R150,Qty!R150*Qty!$J150)*'Hist. prices'!N149*N$7</f>
        <v>0</v>
      </c>
      <c r="O149" s="198">
        <f>IF(Qty!$J150=0,Qty!S150,Qty!S150*Qty!$J150)*'Hist. prices'!O149*O$7</f>
        <v>0</v>
      </c>
      <c r="P149" s="198">
        <f>IF(Qty!$J150=0,Qty!T150,Qty!T150*Qty!$J150)*'Hist. prices'!P149*P$7</f>
        <v>0</v>
      </c>
      <c r="Q149" s="198">
        <f>IF(Qty!$J150=0,Qty!U150,Qty!U150*Qty!$J150)*'Hist. prices'!Q149*Q$7</f>
        <v>0</v>
      </c>
      <c r="R149" s="198">
        <f>IF(Qty!$J150=0,Qty!V150,Qty!V150*Qty!$J150)*'Hist. prices'!R149*R$7</f>
        <v>0</v>
      </c>
      <c r="S149" s="198">
        <f>IF(Qty!$J150=0,Qty!W150,Qty!W150*Qty!$J150)*'Hist. prices'!S149*S$7</f>
        <v>0</v>
      </c>
      <c r="T149" s="198">
        <f>IF(Qty!$J150=0,Qty!X150,Qty!X150*Qty!$J150)*'Hist. prices'!T149*T$7</f>
        <v>0</v>
      </c>
      <c r="U149" s="198">
        <f>IF(Qty!$J150=0,Qty!Y150,Qty!Y150*Qty!$J150)*'Hist. prices'!U149*U$7</f>
        <v>0</v>
      </c>
      <c r="V149" s="198">
        <f>IF(Qty!$J150=0,Qty!Z150,Qty!Z150*Qty!$J150)*'Hist. prices'!V149*V$7</f>
        <v>0</v>
      </c>
      <c r="W149" s="198">
        <f>IF(Qty!$J150=0,Qty!AA150,Qty!AA150*Qty!$J150)*'Hist. prices'!W149*W$7</f>
        <v>0</v>
      </c>
      <c r="X149" s="198">
        <f>IF(Qty!$J150=0,Qty!AB150,Qty!AB150*Qty!$J150)*'Hist. prices'!X149*X$7</f>
        <v>0</v>
      </c>
      <c r="Y149" s="198">
        <f>IF(Qty!$J150=0,Qty!AC150,Qty!AC150*Qty!$J150)*'Hist. prices'!Y149*Y$7</f>
        <v>0</v>
      </c>
      <c r="Z149" s="198">
        <f>IF(Qty!$J150=0,Qty!AD150,Qty!AD150*Qty!$J150)*'Hist. prices'!Z149*Z$7</f>
        <v>0</v>
      </c>
      <c r="AA149" s="198">
        <f>IF(Qty!$J150=0,Qty!AE150,Qty!AE150*Qty!$J150)*'Hist. prices'!AA149*AA$7</f>
        <v>0</v>
      </c>
      <c r="AB149" s="198">
        <f>IF(Qty!$J150=0,Qty!AF150,Qty!AF150*Qty!$J150)*'Hist. prices'!AB149*AB$7</f>
        <v>0</v>
      </c>
      <c r="AC149" s="206">
        <f t="shared" si="9"/>
        <v>0</v>
      </c>
      <c r="AD149" s="68"/>
      <c r="AE149" s="19"/>
      <c r="AF149" s="19"/>
      <c r="AG149" s="19"/>
      <c r="AH149" s="19"/>
    </row>
    <row r="150" spans="1:34" hidden="1" outlineLevel="3" x14ac:dyDescent="0.2">
      <c r="A150" s="19"/>
      <c r="B150" s="19"/>
      <c r="C150" s="506">
        <f t="shared" si="12"/>
        <v>0</v>
      </c>
      <c r="D150" s="505">
        <f t="shared" si="12"/>
        <v>0</v>
      </c>
      <c r="E150" s="505">
        <f t="shared" si="12"/>
        <v>0</v>
      </c>
      <c r="F150" s="505">
        <f t="shared" si="12"/>
        <v>0</v>
      </c>
      <c r="G150" s="505">
        <f t="shared" si="12"/>
        <v>0</v>
      </c>
      <c r="H150" s="58"/>
      <c r="I150" s="198">
        <f>IF(Qty!$J151=0,Qty!M151,Qty!M151*Qty!$J151)*'Hist. prices'!I150*I$7</f>
        <v>0</v>
      </c>
      <c r="J150" s="198">
        <f>IF(Qty!$J151=0,Qty!N151,Qty!N151*Qty!$J151)*'Hist. prices'!J150*J$7</f>
        <v>0</v>
      </c>
      <c r="K150" s="198">
        <f>IF(Qty!$J151=0,Qty!O151,Qty!O151*Qty!$J151)*'Hist. prices'!K150*K$7</f>
        <v>0</v>
      </c>
      <c r="L150" s="198">
        <f>IF(Qty!$J151=0,Qty!P151,Qty!P151*Qty!$J151)*'Hist. prices'!L150*L$7</f>
        <v>0</v>
      </c>
      <c r="M150" s="198">
        <f>IF(Qty!$J151=0,Qty!Q151,Qty!Q151*Qty!$J151)*'Hist. prices'!M150*M$7</f>
        <v>0</v>
      </c>
      <c r="N150" s="198">
        <f>IF(Qty!$J151=0,Qty!R151,Qty!R151*Qty!$J151)*'Hist. prices'!N150*N$7</f>
        <v>0</v>
      </c>
      <c r="O150" s="198">
        <f>IF(Qty!$J151=0,Qty!S151,Qty!S151*Qty!$J151)*'Hist. prices'!O150*O$7</f>
        <v>0</v>
      </c>
      <c r="P150" s="198">
        <f>IF(Qty!$J151=0,Qty!T151,Qty!T151*Qty!$J151)*'Hist. prices'!P150*P$7</f>
        <v>0</v>
      </c>
      <c r="Q150" s="198">
        <f>IF(Qty!$J151=0,Qty!U151,Qty!U151*Qty!$J151)*'Hist. prices'!Q150*Q$7</f>
        <v>0</v>
      </c>
      <c r="R150" s="198">
        <f>IF(Qty!$J151=0,Qty!V151,Qty!V151*Qty!$J151)*'Hist. prices'!R150*R$7</f>
        <v>0</v>
      </c>
      <c r="S150" s="198">
        <f>IF(Qty!$J151=0,Qty!W151,Qty!W151*Qty!$J151)*'Hist. prices'!S150*S$7</f>
        <v>0</v>
      </c>
      <c r="T150" s="198">
        <f>IF(Qty!$J151=0,Qty!X151,Qty!X151*Qty!$J151)*'Hist. prices'!T150*T$7</f>
        <v>0</v>
      </c>
      <c r="U150" s="198">
        <f>IF(Qty!$J151=0,Qty!Y151,Qty!Y151*Qty!$J151)*'Hist. prices'!U150*U$7</f>
        <v>0</v>
      </c>
      <c r="V150" s="198">
        <f>IF(Qty!$J151=0,Qty!Z151,Qty!Z151*Qty!$J151)*'Hist. prices'!V150*V$7</f>
        <v>0</v>
      </c>
      <c r="W150" s="198">
        <f>IF(Qty!$J151=0,Qty!AA151,Qty!AA151*Qty!$J151)*'Hist. prices'!W150*W$7</f>
        <v>0</v>
      </c>
      <c r="X150" s="198">
        <f>IF(Qty!$J151=0,Qty!AB151,Qty!AB151*Qty!$J151)*'Hist. prices'!X150*X$7</f>
        <v>0</v>
      </c>
      <c r="Y150" s="198">
        <f>IF(Qty!$J151=0,Qty!AC151,Qty!AC151*Qty!$J151)*'Hist. prices'!Y150*Y$7</f>
        <v>0</v>
      </c>
      <c r="Z150" s="198">
        <f>IF(Qty!$J151=0,Qty!AD151,Qty!AD151*Qty!$J151)*'Hist. prices'!Z150*Z$7</f>
        <v>0</v>
      </c>
      <c r="AA150" s="198">
        <f>IF(Qty!$J151=0,Qty!AE151,Qty!AE151*Qty!$J151)*'Hist. prices'!AA150*AA$7</f>
        <v>0</v>
      </c>
      <c r="AB150" s="198">
        <f>IF(Qty!$J151=0,Qty!AF151,Qty!AF151*Qty!$J151)*'Hist. prices'!AB150*AB$7</f>
        <v>0</v>
      </c>
      <c r="AC150" s="206">
        <f t="shared" ref="AC150:AC160" si="13">SUM(I150:AB150)</f>
        <v>0</v>
      </c>
      <c r="AD150" s="68"/>
      <c r="AE150" s="19"/>
      <c r="AF150" s="19"/>
      <c r="AG150" s="19"/>
      <c r="AH150" s="19"/>
    </row>
    <row r="151" spans="1:34" hidden="1" outlineLevel="3" x14ac:dyDescent="0.2">
      <c r="A151" s="19"/>
      <c r="B151" s="19"/>
      <c r="C151" s="506">
        <f t="shared" si="12"/>
        <v>0</v>
      </c>
      <c r="D151" s="505">
        <f t="shared" si="12"/>
        <v>0</v>
      </c>
      <c r="E151" s="505">
        <f t="shared" si="12"/>
        <v>0</v>
      </c>
      <c r="F151" s="505">
        <f t="shared" si="12"/>
        <v>0</v>
      </c>
      <c r="G151" s="505">
        <f t="shared" si="12"/>
        <v>0</v>
      </c>
      <c r="H151" s="58"/>
      <c r="I151" s="198">
        <f>IF(Qty!$J152=0,Qty!M152,Qty!M152*Qty!$J152)*'Hist. prices'!I151*I$7</f>
        <v>0</v>
      </c>
      <c r="J151" s="198">
        <f>IF(Qty!$J152=0,Qty!N152,Qty!N152*Qty!$J152)*'Hist. prices'!J151*J$7</f>
        <v>0</v>
      </c>
      <c r="K151" s="198">
        <f>IF(Qty!$J152=0,Qty!O152,Qty!O152*Qty!$J152)*'Hist. prices'!K151*K$7</f>
        <v>0</v>
      </c>
      <c r="L151" s="198">
        <f>IF(Qty!$J152=0,Qty!P152,Qty!P152*Qty!$J152)*'Hist. prices'!L151*L$7</f>
        <v>0</v>
      </c>
      <c r="M151" s="198">
        <f>IF(Qty!$J152=0,Qty!Q152,Qty!Q152*Qty!$J152)*'Hist. prices'!M151*M$7</f>
        <v>0</v>
      </c>
      <c r="N151" s="198">
        <f>IF(Qty!$J152=0,Qty!R152,Qty!R152*Qty!$J152)*'Hist. prices'!N151*N$7</f>
        <v>0</v>
      </c>
      <c r="O151" s="198">
        <f>IF(Qty!$J152=0,Qty!S152,Qty!S152*Qty!$J152)*'Hist. prices'!O151*O$7</f>
        <v>0</v>
      </c>
      <c r="P151" s="198">
        <f>IF(Qty!$J152=0,Qty!T152,Qty!T152*Qty!$J152)*'Hist. prices'!P151*P$7</f>
        <v>0</v>
      </c>
      <c r="Q151" s="198">
        <f>IF(Qty!$J152=0,Qty!U152,Qty!U152*Qty!$J152)*'Hist. prices'!Q151*Q$7</f>
        <v>0</v>
      </c>
      <c r="R151" s="198">
        <f>IF(Qty!$J152=0,Qty!V152,Qty!V152*Qty!$J152)*'Hist. prices'!R151*R$7</f>
        <v>0</v>
      </c>
      <c r="S151" s="198">
        <f>IF(Qty!$J152=0,Qty!W152,Qty!W152*Qty!$J152)*'Hist. prices'!S151*S$7</f>
        <v>0</v>
      </c>
      <c r="T151" s="198">
        <f>IF(Qty!$J152=0,Qty!X152,Qty!X152*Qty!$J152)*'Hist. prices'!T151*T$7</f>
        <v>0</v>
      </c>
      <c r="U151" s="198">
        <f>IF(Qty!$J152=0,Qty!Y152,Qty!Y152*Qty!$J152)*'Hist. prices'!U151*U$7</f>
        <v>0</v>
      </c>
      <c r="V151" s="198">
        <f>IF(Qty!$J152=0,Qty!Z152,Qty!Z152*Qty!$J152)*'Hist. prices'!V151*V$7</f>
        <v>0</v>
      </c>
      <c r="W151" s="198">
        <f>IF(Qty!$J152=0,Qty!AA152,Qty!AA152*Qty!$J152)*'Hist. prices'!W151*W$7</f>
        <v>0</v>
      </c>
      <c r="X151" s="198">
        <f>IF(Qty!$J152=0,Qty!AB152,Qty!AB152*Qty!$J152)*'Hist. prices'!X151*X$7</f>
        <v>0</v>
      </c>
      <c r="Y151" s="198">
        <f>IF(Qty!$J152=0,Qty!AC152,Qty!AC152*Qty!$J152)*'Hist. prices'!Y151*Y$7</f>
        <v>0</v>
      </c>
      <c r="Z151" s="198">
        <f>IF(Qty!$J152=0,Qty!AD152,Qty!AD152*Qty!$J152)*'Hist. prices'!Z151*Z$7</f>
        <v>0</v>
      </c>
      <c r="AA151" s="198">
        <f>IF(Qty!$J152=0,Qty!AE152,Qty!AE152*Qty!$J152)*'Hist. prices'!AA151*AA$7</f>
        <v>0</v>
      </c>
      <c r="AB151" s="198">
        <f>IF(Qty!$J152=0,Qty!AF152,Qty!AF152*Qty!$J152)*'Hist. prices'!AB151*AB$7</f>
        <v>0</v>
      </c>
      <c r="AC151" s="206">
        <f t="shared" si="13"/>
        <v>0</v>
      </c>
      <c r="AD151" s="68"/>
      <c r="AE151" s="19"/>
      <c r="AF151" s="19"/>
      <c r="AG151" s="19"/>
      <c r="AH151" s="19"/>
    </row>
    <row r="152" spans="1:34" hidden="1" outlineLevel="3" x14ac:dyDescent="0.2">
      <c r="A152" s="19"/>
      <c r="B152" s="19"/>
      <c r="C152" s="506">
        <f t="shared" si="12"/>
        <v>0</v>
      </c>
      <c r="D152" s="505">
        <f t="shared" si="12"/>
        <v>0</v>
      </c>
      <c r="E152" s="505">
        <f t="shared" si="12"/>
        <v>0</v>
      </c>
      <c r="F152" s="505">
        <f t="shared" si="12"/>
        <v>0</v>
      </c>
      <c r="G152" s="505">
        <f t="shared" si="12"/>
        <v>0</v>
      </c>
      <c r="H152" s="58"/>
      <c r="I152" s="198">
        <f>IF(Qty!$J153=0,Qty!M153,Qty!M153*Qty!$J153)*'Hist. prices'!I152*I$7</f>
        <v>0</v>
      </c>
      <c r="J152" s="198">
        <f>IF(Qty!$J153=0,Qty!N153,Qty!N153*Qty!$J153)*'Hist. prices'!J152*J$7</f>
        <v>0</v>
      </c>
      <c r="K152" s="198">
        <f>IF(Qty!$J153=0,Qty!O153,Qty!O153*Qty!$J153)*'Hist. prices'!K152*K$7</f>
        <v>0</v>
      </c>
      <c r="L152" s="198">
        <f>IF(Qty!$J153=0,Qty!P153,Qty!P153*Qty!$J153)*'Hist. prices'!L152*L$7</f>
        <v>0</v>
      </c>
      <c r="M152" s="198">
        <f>IF(Qty!$J153=0,Qty!Q153,Qty!Q153*Qty!$J153)*'Hist. prices'!M152*M$7</f>
        <v>0</v>
      </c>
      <c r="N152" s="198">
        <f>IF(Qty!$J153=0,Qty!R153,Qty!R153*Qty!$J153)*'Hist. prices'!N152*N$7</f>
        <v>0</v>
      </c>
      <c r="O152" s="198">
        <f>IF(Qty!$J153=0,Qty!S153,Qty!S153*Qty!$J153)*'Hist. prices'!O152*O$7</f>
        <v>0</v>
      </c>
      <c r="P152" s="198">
        <f>IF(Qty!$J153=0,Qty!T153,Qty!T153*Qty!$J153)*'Hist. prices'!P152*P$7</f>
        <v>0</v>
      </c>
      <c r="Q152" s="198">
        <f>IF(Qty!$J153=0,Qty!U153,Qty!U153*Qty!$J153)*'Hist. prices'!Q152*Q$7</f>
        <v>0</v>
      </c>
      <c r="R152" s="198">
        <f>IF(Qty!$J153=0,Qty!V153,Qty!V153*Qty!$J153)*'Hist. prices'!R152*R$7</f>
        <v>0</v>
      </c>
      <c r="S152" s="198">
        <f>IF(Qty!$J153=0,Qty!W153,Qty!W153*Qty!$J153)*'Hist. prices'!S152*S$7</f>
        <v>0</v>
      </c>
      <c r="T152" s="198">
        <f>IF(Qty!$J153=0,Qty!X153,Qty!X153*Qty!$J153)*'Hist. prices'!T152*T$7</f>
        <v>0</v>
      </c>
      <c r="U152" s="198">
        <f>IF(Qty!$J153=0,Qty!Y153,Qty!Y153*Qty!$J153)*'Hist. prices'!U152*U$7</f>
        <v>0</v>
      </c>
      <c r="V152" s="198">
        <f>IF(Qty!$J153=0,Qty!Z153,Qty!Z153*Qty!$J153)*'Hist. prices'!V152*V$7</f>
        <v>0</v>
      </c>
      <c r="W152" s="198">
        <f>IF(Qty!$J153=0,Qty!AA153,Qty!AA153*Qty!$J153)*'Hist. prices'!W152*W$7</f>
        <v>0</v>
      </c>
      <c r="X152" s="198">
        <f>IF(Qty!$J153=0,Qty!AB153,Qty!AB153*Qty!$J153)*'Hist. prices'!X152*X$7</f>
        <v>0</v>
      </c>
      <c r="Y152" s="198">
        <f>IF(Qty!$J153=0,Qty!AC153,Qty!AC153*Qty!$J153)*'Hist. prices'!Y152*Y$7</f>
        <v>0</v>
      </c>
      <c r="Z152" s="198">
        <f>IF(Qty!$J153=0,Qty!AD153,Qty!AD153*Qty!$J153)*'Hist. prices'!Z152*Z$7</f>
        <v>0</v>
      </c>
      <c r="AA152" s="198">
        <f>IF(Qty!$J153=0,Qty!AE153,Qty!AE153*Qty!$J153)*'Hist. prices'!AA152*AA$7</f>
        <v>0</v>
      </c>
      <c r="AB152" s="198">
        <f>IF(Qty!$J153=0,Qty!AF153,Qty!AF153*Qty!$J153)*'Hist. prices'!AB152*AB$7</f>
        <v>0</v>
      </c>
      <c r="AC152" s="206">
        <f t="shared" si="13"/>
        <v>0</v>
      </c>
      <c r="AD152" s="68"/>
      <c r="AE152" s="19"/>
      <c r="AF152" s="19"/>
      <c r="AG152" s="19"/>
      <c r="AH152" s="19"/>
    </row>
    <row r="153" spans="1:34" hidden="1" outlineLevel="3" x14ac:dyDescent="0.2">
      <c r="A153" s="19"/>
      <c r="B153" s="19"/>
      <c r="C153" s="506">
        <f t="shared" si="12"/>
        <v>0</v>
      </c>
      <c r="D153" s="505">
        <f t="shared" si="12"/>
        <v>0</v>
      </c>
      <c r="E153" s="505">
        <f t="shared" si="12"/>
        <v>0</v>
      </c>
      <c r="F153" s="505">
        <f t="shared" si="12"/>
        <v>0</v>
      </c>
      <c r="G153" s="505">
        <f t="shared" si="12"/>
        <v>0</v>
      </c>
      <c r="H153" s="58"/>
      <c r="I153" s="198">
        <f>IF(Qty!$J154=0,Qty!M154,Qty!M154*Qty!$J154)*'Hist. prices'!I153*I$7</f>
        <v>0</v>
      </c>
      <c r="J153" s="198">
        <f>IF(Qty!$J154=0,Qty!N154,Qty!N154*Qty!$J154)*'Hist. prices'!J153*J$7</f>
        <v>0</v>
      </c>
      <c r="K153" s="198">
        <f>IF(Qty!$J154=0,Qty!O154,Qty!O154*Qty!$J154)*'Hist. prices'!K153*K$7</f>
        <v>0</v>
      </c>
      <c r="L153" s="198">
        <f>IF(Qty!$J154=0,Qty!P154,Qty!P154*Qty!$J154)*'Hist. prices'!L153*L$7</f>
        <v>0</v>
      </c>
      <c r="M153" s="198">
        <f>IF(Qty!$J154=0,Qty!Q154,Qty!Q154*Qty!$J154)*'Hist. prices'!M153*M$7</f>
        <v>0</v>
      </c>
      <c r="N153" s="198">
        <f>IF(Qty!$J154=0,Qty!R154,Qty!R154*Qty!$J154)*'Hist. prices'!N153*N$7</f>
        <v>0</v>
      </c>
      <c r="O153" s="198">
        <f>IF(Qty!$J154=0,Qty!S154,Qty!S154*Qty!$J154)*'Hist. prices'!O153*O$7</f>
        <v>0</v>
      </c>
      <c r="P153" s="198">
        <f>IF(Qty!$J154=0,Qty!T154,Qty!T154*Qty!$J154)*'Hist. prices'!P153*P$7</f>
        <v>0</v>
      </c>
      <c r="Q153" s="198">
        <f>IF(Qty!$J154=0,Qty!U154,Qty!U154*Qty!$J154)*'Hist. prices'!Q153*Q$7</f>
        <v>0</v>
      </c>
      <c r="R153" s="198">
        <f>IF(Qty!$J154=0,Qty!V154,Qty!V154*Qty!$J154)*'Hist. prices'!R153*R$7</f>
        <v>0</v>
      </c>
      <c r="S153" s="198">
        <f>IF(Qty!$J154=0,Qty!W154,Qty!W154*Qty!$J154)*'Hist. prices'!S153*S$7</f>
        <v>0</v>
      </c>
      <c r="T153" s="198">
        <f>IF(Qty!$J154=0,Qty!X154,Qty!X154*Qty!$J154)*'Hist. prices'!T153*T$7</f>
        <v>0</v>
      </c>
      <c r="U153" s="198">
        <f>IF(Qty!$J154=0,Qty!Y154,Qty!Y154*Qty!$J154)*'Hist. prices'!U153*U$7</f>
        <v>0</v>
      </c>
      <c r="V153" s="198">
        <f>IF(Qty!$J154=0,Qty!Z154,Qty!Z154*Qty!$J154)*'Hist. prices'!V153*V$7</f>
        <v>0</v>
      </c>
      <c r="W153" s="198">
        <f>IF(Qty!$J154=0,Qty!AA154,Qty!AA154*Qty!$J154)*'Hist. prices'!W153*W$7</f>
        <v>0</v>
      </c>
      <c r="X153" s="198">
        <f>IF(Qty!$J154=0,Qty!AB154,Qty!AB154*Qty!$J154)*'Hist. prices'!X153*X$7</f>
        <v>0</v>
      </c>
      <c r="Y153" s="198">
        <f>IF(Qty!$J154=0,Qty!AC154,Qty!AC154*Qty!$J154)*'Hist. prices'!Y153*Y$7</f>
        <v>0</v>
      </c>
      <c r="Z153" s="198">
        <f>IF(Qty!$J154=0,Qty!AD154,Qty!AD154*Qty!$J154)*'Hist. prices'!Z153*Z$7</f>
        <v>0</v>
      </c>
      <c r="AA153" s="198">
        <f>IF(Qty!$J154=0,Qty!AE154,Qty!AE154*Qty!$J154)*'Hist. prices'!AA153*AA$7</f>
        <v>0</v>
      </c>
      <c r="AB153" s="198">
        <f>IF(Qty!$J154=0,Qty!AF154,Qty!AF154*Qty!$J154)*'Hist. prices'!AB153*AB$7</f>
        <v>0</v>
      </c>
      <c r="AC153" s="206">
        <f t="shared" si="13"/>
        <v>0</v>
      </c>
      <c r="AD153" s="68"/>
      <c r="AE153" s="19"/>
      <c r="AF153" s="19"/>
      <c r="AG153" s="19"/>
      <c r="AH153" s="19"/>
    </row>
    <row r="154" spans="1:34" hidden="1" outlineLevel="3" x14ac:dyDescent="0.2">
      <c r="A154" s="19"/>
      <c r="B154" s="19"/>
      <c r="C154" s="506">
        <f t="shared" si="12"/>
        <v>0</v>
      </c>
      <c r="D154" s="505">
        <f t="shared" si="12"/>
        <v>0</v>
      </c>
      <c r="E154" s="505">
        <f t="shared" si="12"/>
        <v>0</v>
      </c>
      <c r="F154" s="505">
        <f t="shared" si="12"/>
        <v>0</v>
      </c>
      <c r="G154" s="505">
        <f t="shared" si="12"/>
        <v>0</v>
      </c>
      <c r="H154" s="58"/>
      <c r="I154" s="198">
        <f>IF(Qty!$J155=0,Qty!M155,Qty!M155*Qty!$J155)*'Hist. prices'!I154*I$7</f>
        <v>0</v>
      </c>
      <c r="J154" s="198">
        <f>IF(Qty!$J155=0,Qty!N155,Qty!N155*Qty!$J155)*'Hist. prices'!J154*J$7</f>
        <v>0</v>
      </c>
      <c r="K154" s="198">
        <f>IF(Qty!$J155=0,Qty!O155,Qty!O155*Qty!$J155)*'Hist. prices'!K154*K$7</f>
        <v>0</v>
      </c>
      <c r="L154" s="198">
        <f>IF(Qty!$J155=0,Qty!P155,Qty!P155*Qty!$J155)*'Hist. prices'!L154*L$7</f>
        <v>0</v>
      </c>
      <c r="M154" s="198">
        <f>IF(Qty!$J155=0,Qty!Q155,Qty!Q155*Qty!$J155)*'Hist. prices'!M154*M$7</f>
        <v>0</v>
      </c>
      <c r="N154" s="198">
        <f>IF(Qty!$J155=0,Qty!R155,Qty!R155*Qty!$J155)*'Hist. prices'!N154*N$7</f>
        <v>0</v>
      </c>
      <c r="O154" s="198">
        <f>IF(Qty!$J155=0,Qty!S155,Qty!S155*Qty!$J155)*'Hist. prices'!O154*O$7</f>
        <v>0</v>
      </c>
      <c r="P154" s="198">
        <f>IF(Qty!$J155=0,Qty!T155,Qty!T155*Qty!$J155)*'Hist. prices'!P154*P$7</f>
        <v>0</v>
      </c>
      <c r="Q154" s="198">
        <f>IF(Qty!$J155=0,Qty!U155,Qty!U155*Qty!$J155)*'Hist. prices'!Q154*Q$7</f>
        <v>0</v>
      </c>
      <c r="R154" s="198">
        <f>IF(Qty!$J155=0,Qty!V155,Qty!V155*Qty!$J155)*'Hist. prices'!R154*R$7</f>
        <v>0</v>
      </c>
      <c r="S154" s="198">
        <f>IF(Qty!$J155=0,Qty!W155,Qty!W155*Qty!$J155)*'Hist. prices'!S154*S$7</f>
        <v>0</v>
      </c>
      <c r="T154" s="198">
        <f>IF(Qty!$J155=0,Qty!X155,Qty!X155*Qty!$J155)*'Hist. prices'!T154*T$7</f>
        <v>0</v>
      </c>
      <c r="U154" s="198">
        <f>IF(Qty!$J155=0,Qty!Y155,Qty!Y155*Qty!$J155)*'Hist. prices'!U154*U$7</f>
        <v>0</v>
      </c>
      <c r="V154" s="198">
        <f>IF(Qty!$J155=0,Qty!Z155,Qty!Z155*Qty!$J155)*'Hist. prices'!V154*V$7</f>
        <v>0</v>
      </c>
      <c r="W154" s="198">
        <f>IF(Qty!$J155=0,Qty!AA155,Qty!AA155*Qty!$J155)*'Hist. prices'!W154*W$7</f>
        <v>0</v>
      </c>
      <c r="X154" s="198">
        <f>IF(Qty!$J155=0,Qty!AB155,Qty!AB155*Qty!$J155)*'Hist. prices'!X154*X$7</f>
        <v>0</v>
      </c>
      <c r="Y154" s="198">
        <f>IF(Qty!$J155=0,Qty!AC155,Qty!AC155*Qty!$J155)*'Hist. prices'!Y154*Y$7</f>
        <v>0</v>
      </c>
      <c r="Z154" s="198">
        <f>IF(Qty!$J155=0,Qty!AD155,Qty!AD155*Qty!$J155)*'Hist. prices'!Z154*Z$7</f>
        <v>0</v>
      </c>
      <c r="AA154" s="198">
        <f>IF(Qty!$J155=0,Qty!AE155,Qty!AE155*Qty!$J155)*'Hist. prices'!AA154*AA$7</f>
        <v>0</v>
      </c>
      <c r="AB154" s="198">
        <f>IF(Qty!$J155=0,Qty!AF155,Qty!AF155*Qty!$J155)*'Hist. prices'!AB154*AB$7</f>
        <v>0</v>
      </c>
      <c r="AC154" s="206">
        <f t="shared" si="13"/>
        <v>0</v>
      </c>
      <c r="AD154" s="68"/>
      <c r="AE154" s="19"/>
      <c r="AF154" s="19"/>
      <c r="AG154" s="19"/>
      <c r="AH154" s="19"/>
    </row>
    <row r="155" spans="1:34" hidden="1" outlineLevel="3" x14ac:dyDescent="0.2">
      <c r="A155" s="19"/>
      <c r="B155" s="19"/>
      <c r="C155" s="506">
        <f t="shared" si="12"/>
        <v>0</v>
      </c>
      <c r="D155" s="505">
        <f t="shared" si="12"/>
        <v>0</v>
      </c>
      <c r="E155" s="505">
        <f t="shared" si="12"/>
        <v>0</v>
      </c>
      <c r="F155" s="505">
        <f t="shared" si="12"/>
        <v>0</v>
      </c>
      <c r="G155" s="505">
        <f t="shared" si="12"/>
        <v>0</v>
      </c>
      <c r="H155" s="58"/>
      <c r="I155" s="198">
        <f>IF(Qty!$J156=0,Qty!M156,Qty!M156*Qty!$J156)*'Hist. prices'!I155*I$7</f>
        <v>0</v>
      </c>
      <c r="J155" s="198">
        <f>IF(Qty!$J156=0,Qty!N156,Qty!N156*Qty!$J156)*'Hist. prices'!J155*J$7</f>
        <v>0</v>
      </c>
      <c r="K155" s="198">
        <f>IF(Qty!$J156=0,Qty!O156,Qty!O156*Qty!$J156)*'Hist. prices'!K155*K$7</f>
        <v>0</v>
      </c>
      <c r="L155" s="198">
        <f>IF(Qty!$J156=0,Qty!P156,Qty!P156*Qty!$J156)*'Hist. prices'!L155*L$7</f>
        <v>0</v>
      </c>
      <c r="M155" s="198">
        <f>IF(Qty!$J156=0,Qty!Q156,Qty!Q156*Qty!$J156)*'Hist. prices'!M155*M$7</f>
        <v>0</v>
      </c>
      <c r="N155" s="198">
        <f>IF(Qty!$J156=0,Qty!R156,Qty!R156*Qty!$J156)*'Hist. prices'!N155*N$7</f>
        <v>0</v>
      </c>
      <c r="O155" s="198">
        <f>IF(Qty!$J156=0,Qty!S156,Qty!S156*Qty!$J156)*'Hist. prices'!O155*O$7</f>
        <v>0</v>
      </c>
      <c r="P155" s="198">
        <f>IF(Qty!$J156=0,Qty!T156,Qty!T156*Qty!$J156)*'Hist. prices'!P155*P$7</f>
        <v>0</v>
      </c>
      <c r="Q155" s="198">
        <f>IF(Qty!$J156=0,Qty!U156,Qty!U156*Qty!$J156)*'Hist. prices'!Q155*Q$7</f>
        <v>0</v>
      </c>
      <c r="R155" s="198">
        <f>IF(Qty!$J156=0,Qty!V156,Qty!V156*Qty!$J156)*'Hist. prices'!R155*R$7</f>
        <v>0</v>
      </c>
      <c r="S155" s="198">
        <f>IF(Qty!$J156=0,Qty!W156,Qty!W156*Qty!$J156)*'Hist. prices'!S155*S$7</f>
        <v>0</v>
      </c>
      <c r="T155" s="198">
        <f>IF(Qty!$J156=0,Qty!X156,Qty!X156*Qty!$J156)*'Hist. prices'!T155*T$7</f>
        <v>0</v>
      </c>
      <c r="U155" s="198">
        <f>IF(Qty!$J156=0,Qty!Y156,Qty!Y156*Qty!$J156)*'Hist. prices'!U155*U$7</f>
        <v>0</v>
      </c>
      <c r="V155" s="198">
        <f>IF(Qty!$J156=0,Qty!Z156,Qty!Z156*Qty!$J156)*'Hist. prices'!V155*V$7</f>
        <v>0</v>
      </c>
      <c r="W155" s="198">
        <f>IF(Qty!$J156=0,Qty!AA156,Qty!AA156*Qty!$J156)*'Hist. prices'!W155*W$7</f>
        <v>0</v>
      </c>
      <c r="X155" s="198">
        <f>IF(Qty!$J156=0,Qty!AB156,Qty!AB156*Qty!$J156)*'Hist. prices'!X155*X$7</f>
        <v>0</v>
      </c>
      <c r="Y155" s="198">
        <f>IF(Qty!$J156=0,Qty!AC156,Qty!AC156*Qty!$J156)*'Hist. prices'!Y155*Y$7</f>
        <v>0</v>
      </c>
      <c r="Z155" s="198">
        <f>IF(Qty!$J156=0,Qty!AD156,Qty!AD156*Qty!$J156)*'Hist. prices'!Z155*Z$7</f>
        <v>0</v>
      </c>
      <c r="AA155" s="198">
        <f>IF(Qty!$J156=0,Qty!AE156,Qty!AE156*Qty!$J156)*'Hist. prices'!AA155*AA$7</f>
        <v>0</v>
      </c>
      <c r="AB155" s="198">
        <f>IF(Qty!$J156=0,Qty!AF156,Qty!AF156*Qty!$J156)*'Hist. prices'!AB155*AB$7</f>
        <v>0</v>
      </c>
      <c r="AC155" s="206">
        <f t="shared" si="13"/>
        <v>0</v>
      </c>
      <c r="AD155" s="68"/>
      <c r="AE155" s="19"/>
      <c r="AF155" s="19"/>
      <c r="AG155" s="19"/>
      <c r="AH155" s="19"/>
    </row>
    <row r="156" spans="1:34" hidden="1" outlineLevel="3" x14ac:dyDescent="0.2">
      <c r="A156" s="19"/>
      <c r="B156" s="19"/>
      <c r="C156" s="506">
        <f t="shared" ref="C156:G160" si="14">C78</f>
        <v>0</v>
      </c>
      <c r="D156" s="505">
        <f t="shared" si="14"/>
        <v>0</v>
      </c>
      <c r="E156" s="505">
        <f t="shared" si="14"/>
        <v>0</v>
      </c>
      <c r="F156" s="505">
        <f t="shared" si="14"/>
        <v>0</v>
      </c>
      <c r="G156" s="505">
        <f t="shared" si="14"/>
        <v>0</v>
      </c>
      <c r="H156" s="58"/>
      <c r="I156" s="198">
        <f>IF(Qty!$J157=0,Qty!M157,Qty!M157*Qty!$J157)*'Hist. prices'!I156*I$7</f>
        <v>0</v>
      </c>
      <c r="J156" s="198">
        <f>IF(Qty!$J157=0,Qty!N157,Qty!N157*Qty!$J157)*'Hist. prices'!J156*J$7</f>
        <v>0</v>
      </c>
      <c r="K156" s="198">
        <f>IF(Qty!$J157=0,Qty!O157,Qty!O157*Qty!$J157)*'Hist. prices'!K156*K$7</f>
        <v>0</v>
      </c>
      <c r="L156" s="198">
        <f>IF(Qty!$J157=0,Qty!P157,Qty!P157*Qty!$J157)*'Hist. prices'!L156*L$7</f>
        <v>0</v>
      </c>
      <c r="M156" s="198">
        <f>IF(Qty!$J157=0,Qty!Q157,Qty!Q157*Qty!$J157)*'Hist. prices'!M156*M$7</f>
        <v>0</v>
      </c>
      <c r="N156" s="198">
        <f>IF(Qty!$J157=0,Qty!R157,Qty!R157*Qty!$J157)*'Hist. prices'!N156*N$7</f>
        <v>0</v>
      </c>
      <c r="O156" s="198">
        <f>IF(Qty!$J157=0,Qty!S157,Qty!S157*Qty!$J157)*'Hist. prices'!O156*O$7</f>
        <v>0</v>
      </c>
      <c r="P156" s="198">
        <f>IF(Qty!$J157=0,Qty!T157,Qty!T157*Qty!$J157)*'Hist. prices'!P156*P$7</f>
        <v>0</v>
      </c>
      <c r="Q156" s="198">
        <f>IF(Qty!$J157=0,Qty!U157,Qty!U157*Qty!$J157)*'Hist. prices'!Q156*Q$7</f>
        <v>0</v>
      </c>
      <c r="R156" s="198">
        <f>IF(Qty!$J157=0,Qty!V157,Qty!V157*Qty!$J157)*'Hist. prices'!R156*R$7</f>
        <v>0</v>
      </c>
      <c r="S156" s="198">
        <f>IF(Qty!$J157=0,Qty!W157,Qty!W157*Qty!$J157)*'Hist. prices'!S156*S$7</f>
        <v>0</v>
      </c>
      <c r="T156" s="198">
        <f>IF(Qty!$J157=0,Qty!X157,Qty!X157*Qty!$J157)*'Hist. prices'!T156*T$7</f>
        <v>0</v>
      </c>
      <c r="U156" s="198">
        <f>IF(Qty!$J157=0,Qty!Y157,Qty!Y157*Qty!$J157)*'Hist. prices'!U156*U$7</f>
        <v>0</v>
      </c>
      <c r="V156" s="198">
        <f>IF(Qty!$J157=0,Qty!Z157,Qty!Z157*Qty!$J157)*'Hist. prices'!V156*V$7</f>
        <v>0</v>
      </c>
      <c r="W156" s="198">
        <f>IF(Qty!$J157=0,Qty!AA157,Qty!AA157*Qty!$J157)*'Hist. prices'!W156*W$7</f>
        <v>0</v>
      </c>
      <c r="X156" s="198">
        <f>IF(Qty!$J157=0,Qty!AB157,Qty!AB157*Qty!$J157)*'Hist. prices'!X156*X$7</f>
        <v>0</v>
      </c>
      <c r="Y156" s="198">
        <f>IF(Qty!$J157=0,Qty!AC157,Qty!AC157*Qty!$J157)*'Hist. prices'!Y156*Y$7</f>
        <v>0</v>
      </c>
      <c r="Z156" s="198">
        <f>IF(Qty!$J157=0,Qty!AD157,Qty!AD157*Qty!$J157)*'Hist. prices'!Z156*Z$7</f>
        <v>0</v>
      </c>
      <c r="AA156" s="198">
        <f>IF(Qty!$J157=0,Qty!AE157,Qty!AE157*Qty!$J157)*'Hist. prices'!AA156*AA$7</f>
        <v>0</v>
      </c>
      <c r="AB156" s="198">
        <f>IF(Qty!$J157=0,Qty!AF157,Qty!AF157*Qty!$J157)*'Hist. prices'!AB156*AB$7</f>
        <v>0</v>
      </c>
      <c r="AC156" s="206">
        <f t="shared" si="13"/>
        <v>0</v>
      </c>
      <c r="AD156" s="68"/>
      <c r="AE156" s="19"/>
      <c r="AF156" s="19"/>
      <c r="AG156" s="19"/>
      <c r="AH156" s="19"/>
    </row>
    <row r="157" spans="1:34" hidden="1" outlineLevel="3" x14ac:dyDescent="0.2">
      <c r="A157" s="19"/>
      <c r="B157" s="19"/>
      <c r="C157" s="506">
        <f t="shared" si="14"/>
        <v>0</v>
      </c>
      <c r="D157" s="505">
        <f t="shared" si="14"/>
        <v>0</v>
      </c>
      <c r="E157" s="505">
        <f t="shared" si="14"/>
        <v>0</v>
      </c>
      <c r="F157" s="505">
        <f t="shared" si="14"/>
        <v>0</v>
      </c>
      <c r="G157" s="505">
        <f t="shared" si="14"/>
        <v>0</v>
      </c>
      <c r="H157" s="58"/>
      <c r="I157" s="198">
        <f>IF(Qty!$J158=0,Qty!M158,Qty!M158*Qty!$J158)*'Hist. prices'!I157*I$7</f>
        <v>0</v>
      </c>
      <c r="J157" s="198">
        <f>IF(Qty!$J158=0,Qty!N158,Qty!N158*Qty!$J158)*'Hist. prices'!J157*J$7</f>
        <v>0</v>
      </c>
      <c r="K157" s="198">
        <f>IF(Qty!$J158=0,Qty!O158,Qty!O158*Qty!$J158)*'Hist. prices'!K157*K$7</f>
        <v>0</v>
      </c>
      <c r="L157" s="198">
        <f>IF(Qty!$J158=0,Qty!P158,Qty!P158*Qty!$J158)*'Hist. prices'!L157*L$7</f>
        <v>0</v>
      </c>
      <c r="M157" s="198">
        <f>IF(Qty!$J158=0,Qty!Q158,Qty!Q158*Qty!$J158)*'Hist. prices'!M157*M$7</f>
        <v>0</v>
      </c>
      <c r="N157" s="198">
        <f>IF(Qty!$J158=0,Qty!R158,Qty!R158*Qty!$J158)*'Hist. prices'!N157*N$7</f>
        <v>0</v>
      </c>
      <c r="O157" s="198">
        <f>IF(Qty!$J158=0,Qty!S158,Qty!S158*Qty!$J158)*'Hist. prices'!O157*O$7</f>
        <v>0</v>
      </c>
      <c r="P157" s="198">
        <f>IF(Qty!$J158=0,Qty!T158,Qty!T158*Qty!$J158)*'Hist. prices'!P157*P$7</f>
        <v>0</v>
      </c>
      <c r="Q157" s="198">
        <f>IF(Qty!$J158=0,Qty!U158,Qty!U158*Qty!$J158)*'Hist. prices'!Q157*Q$7</f>
        <v>0</v>
      </c>
      <c r="R157" s="198">
        <f>IF(Qty!$J158=0,Qty!V158,Qty!V158*Qty!$J158)*'Hist. prices'!R157*R$7</f>
        <v>0</v>
      </c>
      <c r="S157" s="198">
        <f>IF(Qty!$J158=0,Qty!W158,Qty!W158*Qty!$J158)*'Hist. prices'!S157*S$7</f>
        <v>0</v>
      </c>
      <c r="T157" s="198">
        <f>IF(Qty!$J158=0,Qty!X158,Qty!X158*Qty!$J158)*'Hist. prices'!T157*T$7</f>
        <v>0</v>
      </c>
      <c r="U157" s="198">
        <f>IF(Qty!$J158=0,Qty!Y158,Qty!Y158*Qty!$J158)*'Hist. prices'!U157*U$7</f>
        <v>0</v>
      </c>
      <c r="V157" s="198">
        <f>IF(Qty!$J158=0,Qty!Z158,Qty!Z158*Qty!$J158)*'Hist. prices'!V157*V$7</f>
        <v>0</v>
      </c>
      <c r="W157" s="198">
        <f>IF(Qty!$J158=0,Qty!AA158,Qty!AA158*Qty!$J158)*'Hist. prices'!W157*W$7</f>
        <v>0</v>
      </c>
      <c r="X157" s="198">
        <f>IF(Qty!$J158=0,Qty!AB158,Qty!AB158*Qty!$J158)*'Hist. prices'!X157*X$7</f>
        <v>0</v>
      </c>
      <c r="Y157" s="198">
        <f>IF(Qty!$J158=0,Qty!AC158,Qty!AC158*Qty!$J158)*'Hist. prices'!Y157*Y$7</f>
        <v>0</v>
      </c>
      <c r="Z157" s="198">
        <f>IF(Qty!$J158=0,Qty!AD158,Qty!AD158*Qty!$J158)*'Hist. prices'!Z157*Z$7</f>
        <v>0</v>
      </c>
      <c r="AA157" s="198">
        <f>IF(Qty!$J158=0,Qty!AE158,Qty!AE158*Qty!$J158)*'Hist. prices'!AA157*AA$7</f>
        <v>0</v>
      </c>
      <c r="AB157" s="198">
        <f>IF(Qty!$J158=0,Qty!AF158,Qty!AF158*Qty!$J158)*'Hist. prices'!AB157*AB$7</f>
        <v>0</v>
      </c>
      <c r="AC157" s="206">
        <f t="shared" si="13"/>
        <v>0</v>
      </c>
      <c r="AD157" s="68"/>
      <c r="AE157" s="19"/>
      <c r="AF157" s="19"/>
      <c r="AG157" s="19"/>
      <c r="AH157" s="19"/>
    </row>
    <row r="158" spans="1:34" hidden="1" outlineLevel="3" x14ac:dyDescent="0.2">
      <c r="A158" s="19"/>
      <c r="B158" s="19"/>
      <c r="C158" s="506">
        <f t="shared" si="14"/>
        <v>0</v>
      </c>
      <c r="D158" s="505">
        <f t="shared" si="14"/>
        <v>0</v>
      </c>
      <c r="E158" s="505">
        <f t="shared" si="14"/>
        <v>0</v>
      </c>
      <c r="F158" s="505">
        <f t="shared" si="14"/>
        <v>0</v>
      </c>
      <c r="G158" s="505">
        <f t="shared" si="14"/>
        <v>0</v>
      </c>
      <c r="H158" s="58"/>
      <c r="I158" s="198">
        <f>IF(Qty!$J159=0,Qty!M159,Qty!M159*Qty!$J159)*'Hist. prices'!I158*I$7</f>
        <v>0</v>
      </c>
      <c r="J158" s="198">
        <f>IF(Qty!$J159=0,Qty!N159,Qty!N159*Qty!$J159)*'Hist. prices'!J158*J$7</f>
        <v>0</v>
      </c>
      <c r="K158" s="198">
        <f>IF(Qty!$J159=0,Qty!O159,Qty!O159*Qty!$J159)*'Hist. prices'!K158*K$7</f>
        <v>0</v>
      </c>
      <c r="L158" s="198">
        <f>IF(Qty!$J159=0,Qty!P159,Qty!P159*Qty!$J159)*'Hist. prices'!L158*L$7</f>
        <v>0</v>
      </c>
      <c r="M158" s="198">
        <f>IF(Qty!$J159=0,Qty!Q159,Qty!Q159*Qty!$J159)*'Hist. prices'!M158*M$7</f>
        <v>0</v>
      </c>
      <c r="N158" s="198">
        <f>IF(Qty!$J159=0,Qty!R159,Qty!R159*Qty!$J159)*'Hist. prices'!N158*N$7</f>
        <v>0</v>
      </c>
      <c r="O158" s="198">
        <f>IF(Qty!$J159=0,Qty!S159,Qty!S159*Qty!$J159)*'Hist. prices'!O158*O$7</f>
        <v>0</v>
      </c>
      <c r="P158" s="198">
        <f>IF(Qty!$J159=0,Qty!T159,Qty!T159*Qty!$J159)*'Hist. prices'!P158*P$7</f>
        <v>0</v>
      </c>
      <c r="Q158" s="198">
        <f>IF(Qty!$J159=0,Qty!U159,Qty!U159*Qty!$J159)*'Hist. prices'!Q158*Q$7</f>
        <v>0</v>
      </c>
      <c r="R158" s="198">
        <f>IF(Qty!$J159=0,Qty!V159,Qty!V159*Qty!$J159)*'Hist. prices'!R158*R$7</f>
        <v>0</v>
      </c>
      <c r="S158" s="198">
        <f>IF(Qty!$J159=0,Qty!W159,Qty!W159*Qty!$J159)*'Hist. prices'!S158*S$7</f>
        <v>0</v>
      </c>
      <c r="T158" s="198">
        <f>IF(Qty!$J159=0,Qty!X159,Qty!X159*Qty!$J159)*'Hist. prices'!T158*T$7</f>
        <v>0</v>
      </c>
      <c r="U158" s="198">
        <f>IF(Qty!$J159=0,Qty!Y159,Qty!Y159*Qty!$J159)*'Hist. prices'!U158*U$7</f>
        <v>0</v>
      </c>
      <c r="V158" s="198">
        <f>IF(Qty!$J159=0,Qty!Z159,Qty!Z159*Qty!$J159)*'Hist. prices'!V158*V$7</f>
        <v>0</v>
      </c>
      <c r="W158" s="198">
        <f>IF(Qty!$J159=0,Qty!AA159,Qty!AA159*Qty!$J159)*'Hist. prices'!W158*W$7</f>
        <v>0</v>
      </c>
      <c r="X158" s="198">
        <f>IF(Qty!$J159=0,Qty!AB159,Qty!AB159*Qty!$J159)*'Hist. prices'!X158*X$7</f>
        <v>0</v>
      </c>
      <c r="Y158" s="198">
        <f>IF(Qty!$J159=0,Qty!AC159,Qty!AC159*Qty!$J159)*'Hist. prices'!Y158*Y$7</f>
        <v>0</v>
      </c>
      <c r="Z158" s="198">
        <f>IF(Qty!$J159=0,Qty!AD159,Qty!AD159*Qty!$J159)*'Hist. prices'!Z158*Z$7</f>
        <v>0</v>
      </c>
      <c r="AA158" s="198">
        <f>IF(Qty!$J159=0,Qty!AE159,Qty!AE159*Qty!$J159)*'Hist. prices'!AA158*AA$7</f>
        <v>0</v>
      </c>
      <c r="AB158" s="198">
        <f>IF(Qty!$J159=0,Qty!AF159,Qty!AF159*Qty!$J159)*'Hist. prices'!AB158*AB$7</f>
        <v>0</v>
      </c>
      <c r="AC158" s="206">
        <f t="shared" si="13"/>
        <v>0</v>
      </c>
      <c r="AD158" s="68"/>
      <c r="AE158" s="19"/>
      <c r="AF158" s="19"/>
      <c r="AG158" s="19"/>
      <c r="AH158" s="19"/>
    </row>
    <row r="159" spans="1:34" hidden="1" outlineLevel="3" x14ac:dyDescent="0.2">
      <c r="A159" s="19"/>
      <c r="B159" s="19"/>
      <c r="C159" s="506">
        <f t="shared" si="14"/>
        <v>0</v>
      </c>
      <c r="D159" s="505">
        <f t="shared" si="14"/>
        <v>0</v>
      </c>
      <c r="E159" s="505">
        <f t="shared" si="14"/>
        <v>0</v>
      </c>
      <c r="F159" s="505">
        <f t="shared" si="14"/>
        <v>0</v>
      </c>
      <c r="G159" s="505">
        <f t="shared" si="14"/>
        <v>0</v>
      </c>
      <c r="H159" s="58"/>
      <c r="I159" s="198">
        <f>IF(Qty!$J160=0,Qty!M160,Qty!M160*Qty!$J160)*'Hist. prices'!I159*I$7</f>
        <v>0</v>
      </c>
      <c r="J159" s="198">
        <f>IF(Qty!$J160=0,Qty!N160,Qty!N160*Qty!$J160)*'Hist. prices'!J159*J$7</f>
        <v>0</v>
      </c>
      <c r="K159" s="198">
        <f>IF(Qty!$J160=0,Qty!O160,Qty!O160*Qty!$J160)*'Hist. prices'!K159*K$7</f>
        <v>0</v>
      </c>
      <c r="L159" s="198">
        <f>IF(Qty!$J160=0,Qty!P160,Qty!P160*Qty!$J160)*'Hist. prices'!L159*L$7</f>
        <v>0</v>
      </c>
      <c r="M159" s="198">
        <f>IF(Qty!$J160=0,Qty!Q160,Qty!Q160*Qty!$J160)*'Hist. prices'!M159*M$7</f>
        <v>0</v>
      </c>
      <c r="N159" s="198">
        <f>IF(Qty!$J160=0,Qty!R160,Qty!R160*Qty!$J160)*'Hist. prices'!N159*N$7</f>
        <v>0</v>
      </c>
      <c r="O159" s="198">
        <f>IF(Qty!$J160=0,Qty!S160,Qty!S160*Qty!$J160)*'Hist. prices'!O159*O$7</f>
        <v>0</v>
      </c>
      <c r="P159" s="198">
        <f>IF(Qty!$J160=0,Qty!T160,Qty!T160*Qty!$J160)*'Hist. prices'!P159*P$7</f>
        <v>0</v>
      </c>
      <c r="Q159" s="198">
        <f>IF(Qty!$J160=0,Qty!U160,Qty!U160*Qty!$J160)*'Hist. prices'!Q159*Q$7</f>
        <v>0</v>
      </c>
      <c r="R159" s="198">
        <f>IF(Qty!$J160=0,Qty!V160,Qty!V160*Qty!$J160)*'Hist. prices'!R159*R$7</f>
        <v>0</v>
      </c>
      <c r="S159" s="198">
        <f>IF(Qty!$J160=0,Qty!W160,Qty!W160*Qty!$J160)*'Hist. prices'!S159*S$7</f>
        <v>0</v>
      </c>
      <c r="T159" s="198">
        <f>IF(Qty!$J160=0,Qty!X160,Qty!X160*Qty!$J160)*'Hist. prices'!T159*T$7</f>
        <v>0</v>
      </c>
      <c r="U159" s="198">
        <f>IF(Qty!$J160=0,Qty!Y160,Qty!Y160*Qty!$J160)*'Hist. prices'!U159*U$7</f>
        <v>0</v>
      </c>
      <c r="V159" s="198">
        <f>IF(Qty!$J160=0,Qty!Z160,Qty!Z160*Qty!$J160)*'Hist. prices'!V159*V$7</f>
        <v>0</v>
      </c>
      <c r="W159" s="198">
        <f>IF(Qty!$J160=0,Qty!AA160,Qty!AA160*Qty!$J160)*'Hist. prices'!W159*W$7</f>
        <v>0</v>
      </c>
      <c r="X159" s="198">
        <f>IF(Qty!$J160=0,Qty!AB160,Qty!AB160*Qty!$J160)*'Hist. prices'!X159*X$7</f>
        <v>0</v>
      </c>
      <c r="Y159" s="198">
        <f>IF(Qty!$J160=0,Qty!AC160,Qty!AC160*Qty!$J160)*'Hist. prices'!Y159*Y$7</f>
        <v>0</v>
      </c>
      <c r="Z159" s="198">
        <f>IF(Qty!$J160=0,Qty!AD160,Qty!AD160*Qty!$J160)*'Hist. prices'!Z159*Z$7</f>
        <v>0</v>
      </c>
      <c r="AA159" s="198">
        <f>IF(Qty!$J160=0,Qty!AE160,Qty!AE160*Qty!$J160)*'Hist. prices'!AA159*AA$7</f>
        <v>0</v>
      </c>
      <c r="AB159" s="198">
        <f>IF(Qty!$J160=0,Qty!AF160,Qty!AF160*Qty!$J160)*'Hist. prices'!AB159*AB$7</f>
        <v>0</v>
      </c>
      <c r="AC159" s="206">
        <f t="shared" si="13"/>
        <v>0</v>
      </c>
      <c r="AD159" s="68"/>
      <c r="AE159" s="19"/>
      <c r="AF159" s="19"/>
      <c r="AG159" s="19"/>
      <c r="AH159" s="19"/>
    </row>
    <row r="160" spans="1:34" hidden="1" outlineLevel="3" x14ac:dyDescent="0.2">
      <c r="A160" s="19"/>
      <c r="B160" s="19"/>
      <c r="C160" s="506">
        <f t="shared" si="14"/>
        <v>0</v>
      </c>
      <c r="D160" s="505">
        <f t="shared" si="14"/>
        <v>0</v>
      </c>
      <c r="E160" s="505">
        <f t="shared" si="14"/>
        <v>0</v>
      </c>
      <c r="F160" s="505">
        <f t="shared" si="14"/>
        <v>0</v>
      </c>
      <c r="G160" s="505">
        <f t="shared" si="14"/>
        <v>0</v>
      </c>
      <c r="H160" s="58"/>
      <c r="I160" s="198">
        <f>IF(Qty!$J161=0,Qty!M161,Qty!M161*Qty!$J161)*'Hist. prices'!I160*I$7</f>
        <v>0</v>
      </c>
      <c r="J160" s="198">
        <f>IF(Qty!$J161=0,Qty!N161,Qty!N161*Qty!$J161)*'Hist. prices'!J160*J$7</f>
        <v>0</v>
      </c>
      <c r="K160" s="198">
        <f>IF(Qty!$J161=0,Qty!O161,Qty!O161*Qty!$J161)*'Hist. prices'!K160*K$7</f>
        <v>0</v>
      </c>
      <c r="L160" s="198">
        <f>IF(Qty!$J161=0,Qty!P161,Qty!P161*Qty!$J161)*'Hist. prices'!L160*L$7</f>
        <v>0</v>
      </c>
      <c r="M160" s="198">
        <f>IF(Qty!$J161=0,Qty!Q161,Qty!Q161*Qty!$J161)*'Hist. prices'!M160*M$7</f>
        <v>0</v>
      </c>
      <c r="N160" s="198">
        <f>IF(Qty!$J161=0,Qty!R161,Qty!R161*Qty!$J161)*'Hist. prices'!N160*N$7</f>
        <v>0</v>
      </c>
      <c r="O160" s="198">
        <f>IF(Qty!$J161=0,Qty!S161,Qty!S161*Qty!$J161)*'Hist. prices'!O160*O$7</f>
        <v>0</v>
      </c>
      <c r="P160" s="198">
        <f>IF(Qty!$J161=0,Qty!T161,Qty!T161*Qty!$J161)*'Hist. prices'!P160*P$7</f>
        <v>0</v>
      </c>
      <c r="Q160" s="198">
        <f>IF(Qty!$J161=0,Qty!U161,Qty!U161*Qty!$J161)*'Hist. prices'!Q160*Q$7</f>
        <v>0</v>
      </c>
      <c r="R160" s="198">
        <f>IF(Qty!$J161=0,Qty!V161,Qty!V161*Qty!$J161)*'Hist. prices'!R160*R$7</f>
        <v>0</v>
      </c>
      <c r="S160" s="198">
        <f>IF(Qty!$J161=0,Qty!W161,Qty!W161*Qty!$J161)*'Hist. prices'!S160*S$7</f>
        <v>0</v>
      </c>
      <c r="T160" s="198">
        <f>IF(Qty!$J161=0,Qty!X161,Qty!X161*Qty!$J161)*'Hist. prices'!T160*T$7</f>
        <v>0</v>
      </c>
      <c r="U160" s="198">
        <f>IF(Qty!$J161=0,Qty!Y161,Qty!Y161*Qty!$J161)*'Hist. prices'!U160*U$7</f>
        <v>0</v>
      </c>
      <c r="V160" s="198">
        <f>IF(Qty!$J161=0,Qty!Z161,Qty!Z161*Qty!$J161)*'Hist. prices'!V160*V$7</f>
        <v>0</v>
      </c>
      <c r="W160" s="198">
        <f>IF(Qty!$J161=0,Qty!AA161,Qty!AA161*Qty!$J161)*'Hist. prices'!W160*W$7</f>
        <v>0</v>
      </c>
      <c r="X160" s="198">
        <f>IF(Qty!$J161=0,Qty!AB161,Qty!AB161*Qty!$J161)*'Hist. prices'!X160*X$7</f>
        <v>0</v>
      </c>
      <c r="Y160" s="198">
        <f>IF(Qty!$J161=0,Qty!AC161,Qty!AC161*Qty!$J161)*'Hist. prices'!Y160*Y$7</f>
        <v>0</v>
      </c>
      <c r="Z160" s="198">
        <f>IF(Qty!$J161=0,Qty!AD161,Qty!AD161*Qty!$J161)*'Hist. prices'!Z160*Z$7</f>
        <v>0</v>
      </c>
      <c r="AA160" s="198">
        <f>IF(Qty!$J161=0,Qty!AE161,Qty!AE161*Qty!$J161)*'Hist. prices'!AA160*AA$7</f>
        <v>0</v>
      </c>
      <c r="AB160" s="198">
        <f>IF(Qty!$J161=0,Qty!AF161,Qty!AF161*Qty!$J161)*'Hist. prices'!AB160*AB$7</f>
        <v>0</v>
      </c>
      <c r="AC160" s="206">
        <f t="shared" si="13"/>
        <v>0</v>
      </c>
      <c r="AD160" s="68"/>
      <c r="AE160" s="19"/>
      <c r="AF160" s="19"/>
      <c r="AG160" s="19"/>
      <c r="AH160" s="19"/>
    </row>
    <row r="161" spans="1:34" outlineLevel="2" collapsed="1" x14ac:dyDescent="0.2">
      <c r="A161" s="19"/>
      <c r="B161" s="19"/>
      <c r="C161" s="539" t="s">
        <v>240</v>
      </c>
      <c r="D161" s="505"/>
      <c r="E161" s="505"/>
      <c r="F161" s="505"/>
      <c r="G161" s="505"/>
      <c r="H161" s="58"/>
      <c r="I161" s="205">
        <f t="shared" ref="I161:AC161" si="15">SUM(I86:I160)</f>
        <v>0</v>
      </c>
      <c r="J161" s="205">
        <f t="shared" si="15"/>
        <v>36959503.120543219</v>
      </c>
      <c r="K161" s="205">
        <f t="shared" si="15"/>
        <v>11479414.268488737</v>
      </c>
      <c r="L161" s="205">
        <f t="shared" si="15"/>
        <v>2190361.5770952688</v>
      </c>
      <c r="M161" s="205">
        <f t="shared" si="15"/>
        <v>2839636.7847685278</v>
      </c>
      <c r="N161" s="205">
        <f t="shared" si="15"/>
        <v>2662475.0495305588</v>
      </c>
      <c r="O161" s="205">
        <f t="shared" si="15"/>
        <v>4071291.508947216</v>
      </c>
      <c r="P161" s="205">
        <f t="shared" si="15"/>
        <v>1243900.6343437221</v>
      </c>
      <c r="Q161" s="205">
        <f t="shared" si="15"/>
        <v>780124.10055653926</v>
      </c>
      <c r="R161" s="205">
        <f t="shared" si="15"/>
        <v>49239.886613348586</v>
      </c>
      <c r="S161" s="205">
        <f t="shared" si="15"/>
        <v>0</v>
      </c>
      <c r="T161" s="205">
        <f t="shared" si="15"/>
        <v>0</v>
      </c>
      <c r="U161" s="205">
        <f t="shared" si="15"/>
        <v>328326.27734724036</v>
      </c>
      <c r="V161" s="205">
        <f t="shared" si="15"/>
        <v>0</v>
      </c>
      <c r="W161" s="205">
        <f t="shared" si="15"/>
        <v>0</v>
      </c>
      <c r="X161" s="205">
        <f t="shared" si="15"/>
        <v>0</v>
      </c>
      <c r="Y161" s="205">
        <f t="shared" si="15"/>
        <v>0</v>
      </c>
      <c r="Z161" s="205">
        <f t="shared" si="15"/>
        <v>0</v>
      </c>
      <c r="AA161" s="205">
        <f t="shared" si="15"/>
        <v>0</v>
      </c>
      <c r="AB161" s="205">
        <f t="shared" si="15"/>
        <v>0</v>
      </c>
      <c r="AC161" s="205">
        <f t="shared" si="15"/>
        <v>62604273.20823437</v>
      </c>
      <c r="AD161" s="19"/>
      <c r="AE161" s="19"/>
      <c r="AF161" s="19"/>
      <c r="AG161" s="19"/>
    </row>
    <row r="162" spans="1:34" outlineLevel="1" x14ac:dyDescent="0.2">
      <c r="A162" s="19"/>
      <c r="B162" s="19"/>
      <c r="C162" s="66"/>
      <c r="D162" s="58"/>
      <c r="E162" s="58"/>
      <c r="F162" s="58"/>
      <c r="G162" s="58"/>
      <c r="H162" s="58"/>
      <c r="I162" s="67"/>
      <c r="J162" s="67"/>
      <c r="K162" s="68"/>
      <c r="L162" s="68"/>
      <c r="M162" s="68"/>
      <c r="N162" s="69"/>
      <c r="O162" s="69"/>
      <c r="P162" s="69"/>
      <c r="Q162" s="69"/>
      <c r="R162" s="69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19"/>
      <c r="AF162" s="19"/>
      <c r="AG162" s="19"/>
      <c r="AH162" s="19"/>
    </row>
    <row r="163" spans="1:34" outlineLevel="1" x14ac:dyDescent="0.2">
      <c r="A163" s="19"/>
      <c r="B163" s="19"/>
      <c r="C163" s="167" t="s">
        <v>220</v>
      </c>
      <c r="D163" s="20"/>
      <c r="E163" s="20"/>
      <c r="F163" s="20"/>
      <c r="G163" s="22"/>
      <c r="H163" s="22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19"/>
      <c r="AF163" s="19"/>
      <c r="AG163" s="19"/>
      <c r="AH163" s="19"/>
    </row>
    <row r="164" spans="1:34" hidden="1" outlineLevel="2" x14ac:dyDescent="0.2">
      <c r="A164" s="19"/>
      <c r="B164" s="19"/>
      <c r="C164" s="506" t="str">
        <f t="shared" ref="C164:G173" si="16">C8</f>
        <v>Residential time of use consumption</v>
      </c>
      <c r="D164" s="505" t="str">
        <f t="shared" si="16"/>
        <v>Residential</v>
      </c>
      <c r="E164" s="505" t="str">
        <f t="shared" si="16"/>
        <v>TAS93</v>
      </c>
      <c r="F164" s="505">
        <f t="shared" si="16"/>
        <v>0</v>
      </c>
      <c r="G164" s="505">
        <f t="shared" si="16"/>
        <v>0</v>
      </c>
      <c r="H164" s="22"/>
      <c r="I164" s="198">
        <f>Qty!M87*'Hist. prices'!I164*I$7</f>
        <v>0</v>
      </c>
      <c r="J164" s="198">
        <f>Qty!N87*'Hist. prices'!J164*J$7</f>
        <v>0</v>
      </c>
      <c r="K164" s="198">
        <f>Qty!O87*'Hist. prices'!K164*K$7</f>
        <v>0</v>
      </c>
      <c r="L164" s="198">
        <f>Qty!P87*'Hist. prices'!L164*L$7</f>
        <v>0</v>
      </c>
      <c r="M164" s="198">
        <f>Qty!Q87*'Hist. prices'!M164*M$7</f>
        <v>0</v>
      </c>
      <c r="N164" s="198">
        <f>Qty!R87*'Hist. prices'!N164*N$7</f>
        <v>0</v>
      </c>
      <c r="O164" s="198">
        <f>Qty!S87*'Hist. prices'!O164*O$7</f>
        <v>0</v>
      </c>
      <c r="P164" s="198">
        <f>Qty!T87*'Hist. prices'!P164*P$7</f>
        <v>0</v>
      </c>
      <c r="Q164" s="198">
        <f>Qty!U87*'Hist. prices'!Q164*Q$7</f>
        <v>0</v>
      </c>
      <c r="R164" s="198">
        <f>Qty!V87*'Hist. prices'!R164*R$7</f>
        <v>0</v>
      </c>
      <c r="S164" s="198">
        <f>Qty!W87*'Hist. prices'!S164*S$7</f>
        <v>0</v>
      </c>
      <c r="T164" s="198">
        <f>Qty!X87*'Hist. prices'!T164*T$7</f>
        <v>0</v>
      </c>
      <c r="U164" s="198">
        <f>Qty!Y87*'Hist. prices'!U164*U$7</f>
        <v>0</v>
      </c>
      <c r="V164" s="198">
        <f>Qty!Z87*'Hist. prices'!V164*V$7</f>
        <v>0</v>
      </c>
      <c r="W164" s="198">
        <f>Qty!AA87*'Hist. prices'!W164*W$7</f>
        <v>0</v>
      </c>
      <c r="X164" s="198">
        <f>Qty!AB87*'Hist. prices'!X164*X$7</f>
        <v>0</v>
      </c>
      <c r="Y164" s="198">
        <f>Qty!AC87*'Hist. prices'!Y164*Y$7</f>
        <v>0</v>
      </c>
      <c r="Z164" s="198">
        <f>Qty!AD87*'Hist. prices'!Z164*Z$7</f>
        <v>0</v>
      </c>
      <c r="AA164" s="198">
        <f>Qty!AE87*'Hist. prices'!AA164*AA$7</f>
        <v>0</v>
      </c>
      <c r="AB164" s="198">
        <f>Qty!AF87*'Hist. prices'!AB164*AB$7</f>
        <v>0</v>
      </c>
      <c r="AC164" s="206">
        <f t="shared" ref="AC164:AC195" si="17">SUM(I164:AB164)</f>
        <v>0</v>
      </c>
      <c r="AD164" s="68"/>
      <c r="AE164" s="19"/>
      <c r="AF164" s="19"/>
      <c r="AG164" s="19"/>
      <c r="AH164" s="19"/>
    </row>
    <row r="165" spans="1:34" s="59" customFormat="1" hidden="1" outlineLevel="2" x14ac:dyDescent="0.2">
      <c r="A165" s="57"/>
      <c r="B165" s="57"/>
      <c r="C165" s="506" t="str">
        <f t="shared" si="16"/>
        <v>Residential general light and power</v>
      </c>
      <c r="D165" s="505" t="str">
        <f t="shared" si="16"/>
        <v>Residential</v>
      </c>
      <c r="E165" s="505" t="str">
        <f t="shared" si="16"/>
        <v>TAS31</v>
      </c>
      <c r="F165" s="505">
        <f t="shared" si="16"/>
        <v>0</v>
      </c>
      <c r="G165" s="505">
        <f t="shared" si="16"/>
        <v>0</v>
      </c>
      <c r="H165" s="58"/>
      <c r="I165" s="198">
        <f>Qty!M88*'Hist. prices'!I165*I$7</f>
        <v>0</v>
      </c>
      <c r="J165" s="198">
        <f>Qty!N88*'Hist. prices'!J165*J$7</f>
        <v>0</v>
      </c>
      <c r="K165" s="198">
        <f>Qty!O88*'Hist. prices'!K165*K$7</f>
        <v>0</v>
      </c>
      <c r="L165" s="198">
        <f>Qty!P88*'Hist. prices'!L165*L$7</f>
        <v>0</v>
      </c>
      <c r="M165" s="198">
        <f>Qty!Q88*'Hist. prices'!M165*M$7</f>
        <v>0</v>
      </c>
      <c r="N165" s="198">
        <f>Qty!R88*'Hist. prices'!N165*N$7</f>
        <v>0</v>
      </c>
      <c r="O165" s="198">
        <f>Qty!S88*'Hist. prices'!O165*O$7</f>
        <v>0</v>
      </c>
      <c r="P165" s="198">
        <f>Qty!T88*'Hist. prices'!P165*P$7</f>
        <v>0</v>
      </c>
      <c r="Q165" s="198">
        <f>Qty!U88*'Hist. prices'!Q165*Q$7</f>
        <v>0</v>
      </c>
      <c r="R165" s="198">
        <f>Qty!V88*'Hist. prices'!R165*R$7</f>
        <v>0</v>
      </c>
      <c r="S165" s="198">
        <f>Qty!W88*'Hist. prices'!S165*S$7</f>
        <v>0</v>
      </c>
      <c r="T165" s="198">
        <f>Qty!X88*'Hist. prices'!T165*T$7</f>
        <v>0</v>
      </c>
      <c r="U165" s="198">
        <f>Qty!Y88*'Hist. prices'!U165*U$7</f>
        <v>0</v>
      </c>
      <c r="V165" s="198">
        <f>Qty!Z88*'Hist. prices'!V165*V$7</f>
        <v>0</v>
      </c>
      <c r="W165" s="198">
        <f>Qty!AA88*'Hist. prices'!W165*W$7</f>
        <v>0</v>
      </c>
      <c r="X165" s="198">
        <f>Qty!AB88*'Hist. prices'!X165*X$7</f>
        <v>0</v>
      </c>
      <c r="Y165" s="198">
        <f>Qty!AC88*'Hist. prices'!Y165*Y$7</f>
        <v>0</v>
      </c>
      <c r="Z165" s="198">
        <f>Qty!AD88*'Hist. prices'!Z165*Z$7</f>
        <v>0</v>
      </c>
      <c r="AA165" s="198">
        <f>Qty!AE88*'Hist. prices'!AA165*AA$7</f>
        <v>0</v>
      </c>
      <c r="AB165" s="198">
        <f>Qty!AF88*'Hist. prices'!AB165*AB$7</f>
        <v>0</v>
      </c>
      <c r="AC165" s="206">
        <f t="shared" si="17"/>
        <v>0</v>
      </c>
      <c r="AD165" s="68"/>
      <c r="AE165" s="57"/>
      <c r="AF165" s="57"/>
      <c r="AG165" s="57"/>
      <c r="AH165" s="57"/>
    </row>
    <row r="166" spans="1:34" hidden="1" outlineLevel="2" x14ac:dyDescent="0.2">
      <c r="A166" s="19"/>
      <c r="B166" s="19"/>
      <c r="C166" s="506" t="str">
        <f t="shared" si="16"/>
        <v>Residential time of use demand</v>
      </c>
      <c r="D166" s="505" t="str">
        <f t="shared" si="16"/>
        <v>Residential</v>
      </c>
      <c r="E166" s="505" t="str">
        <f t="shared" si="16"/>
        <v>TAS87</v>
      </c>
      <c r="F166" s="505">
        <f t="shared" si="16"/>
        <v>0</v>
      </c>
      <c r="G166" s="505">
        <f t="shared" si="16"/>
        <v>0</v>
      </c>
      <c r="H166" s="58"/>
      <c r="I166" s="198">
        <f>Qty!M89*'Hist. prices'!I166*I$7</f>
        <v>0</v>
      </c>
      <c r="J166" s="198">
        <f>Qty!N89*'Hist. prices'!J166*J$7</f>
        <v>0</v>
      </c>
      <c r="K166" s="198">
        <f>Qty!O89*'Hist. prices'!K166*K$7</f>
        <v>0</v>
      </c>
      <c r="L166" s="198">
        <f>Qty!P89*'Hist. prices'!L166*L$7</f>
        <v>0</v>
      </c>
      <c r="M166" s="198">
        <f>Qty!Q89*'Hist. prices'!M166*M$7</f>
        <v>0</v>
      </c>
      <c r="N166" s="198">
        <f>Qty!R89*'Hist. prices'!N166*N$7</f>
        <v>0</v>
      </c>
      <c r="O166" s="198">
        <f>Qty!S89*'Hist. prices'!O166*O$7</f>
        <v>0</v>
      </c>
      <c r="P166" s="198">
        <f>Qty!T89*'Hist. prices'!P166*P$7</f>
        <v>0</v>
      </c>
      <c r="Q166" s="198">
        <f>Qty!U89*'Hist. prices'!Q166*Q$7</f>
        <v>0</v>
      </c>
      <c r="R166" s="198">
        <f>Qty!V89*'Hist. prices'!R166*R$7</f>
        <v>0</v>
      </c>
      <c r="S166" s="198">
        <f>Qty!W89*'Hist. prices'!S166*S$7</f>
        <v>0</v>
      </c>
      <c r="T166" s="198">
        <f>Qty!X89*'Hist. prices'!T166*T$7</f>
        <v>0</v>
      </c>
      <c r="U166" s="198">
        <f>Qty!Y89*'Hist. prices'!U166*U$7</f>
        <v>0</v>
      </c>
      <c r="V166" s="198">
        <f>Qty!Z89*'Hist. prices'!V166*V$7</f>
        <v>0</v>
      </c>
      <c r="W166" s="198">
        <f>Qty!AA89*'Hist. prices'!W166*W$7</f>
        <v>0</v>
      </c>
      <c r="X166" s="198">
        <f>Qty!AB89*'Hist. prices'!X166*X$7</f>
        <v>0</v>
      </c>
      <c r="Y166" s="198">
        <f>Qty!AC89*'Hist. prices'!Y166*Y$7</f>
        <v>0</v>
      </c>
      <c r="Z166" s="198">
        <f>Qty!AD89*'Hist. prices'!Z166*Z$7</f>
        <v>0</v>
      </c>
      <c r="AA166" s="198">
        <f>Qty!AE89*'Hist. prices'!AA166*AA$7</f>
        <v>0</v>
      </c>
      <c r="AB166" s="198">
        <f>Qty!AF89*'Hist. prices'!AB166*AB$7</f>
        <v>0</v>
      </c>
      <c r="AC166" s="206">
        <f t="shared" si="17"/>
        <v>0</v>
      </c>
      <c r="AD166" s="68"/>
      <c r="AE166" s="19"/>
      <c r="AF166" s="19"/>
      <c r="AG166" s="19"/>
      <c r="AH166" s="19"/>
    </row>
    <row r="167" spans="1:34" hidden="1" outlineLevel="2" x14ac:dyDescent="0.2">
      <c r="A167" s="19"/>
      <c r="B167" s="19"/>
      <c r="C167" s="506" t="str">
        <f t="shared" si="16"/>
        <v>Residential time of use demand DER</v>
      </c>
      <c r="D167" s="505" t="str">
        <f t="shared" si="16"/>
        <v>Residential</v>
      </c>
      <c r="E167" s="505" t="str">
        <f t="shared" si="16"/>
        <v>TAS97</v>
      </c>
      <c r="F167" s="505">
        <f t="shared" si="16"/>
        <v>0</v>
      </c>
      <c r="G167" s="505">
        <f t="shared" si="16"/>
        <v>0</v>
      </c>
      <c r="H167" s="58"/>
      <c r="I167" s="198">
        <f>Qty!M90*'Hist. prices'!I167*I$7</f>
        <v>0</v>
      </c>
      <c r="J167" s="198">
        <f>Qty!N90*'Hist. prices'!J167*J$7</f>
        <v>0</v>
      </c>
      <c r="K167" s="198">
        <f>Qty!O90*'Hist. prices'!K167*K$7</f>
        <v>0</v>
      </c>
      <c r="L167" s="198">
        <f>Qty!P90*'Hist. prices'!L167*L$7</f>
        <v>0</v>
      </c>
      <c r="M167" s="198">
        <f>Qty!Q90*'Hist. prices'!M167*M$7</f>
        <v>0</v>
      </c>
      <c r="N167" s="198">
        <f>Qty!R90*'Hist. prices'!N167*N$7</f>
        <v>0</v>
      </c>
      <c r="O167" s="198">
        <f>Qty!S90*'Hist. prices'!O167*O$7</f>
        <v>0</v>
      </c>
      <c r="P167" s="198">
        <f>Qty!T90*'Hist. prices'!P167*P$7</f>
        <v>0</v>
      </c>
      <c r="Q167" s="198">
        <f>Qty!U90*'Hist. prices'!Q167*Q$7</f>
        <v>0</v>
      </c>
      <c r="R167" s="198">
        <f>Qty!V90*'Hist. prices'!R167*R$7</f>
        <v>0</v>
      </c>
      <c r="S167" s="198">
        <f>Qty!W90*'Hist. prices'!S167*S$7</f>
        <v>0</v>
      </c>
      <c r="T167" s="198">
        <f>Qty!X90*'Hist. prices'!T167*T$7</f>
        <v>0</v>
      </c>
      <c r="U167" s="198">
        <f>Qty!Y90*'Hist. prices'!U167*U$7</f>
        <v>0</v>
      </c>
      <c r="V167" s="198">
        <f>Qty!Z90*'Hist. prices'!V167*V$7</f>
        <v>0</v>
      </c>
      <c r="W167" s="198">
        <f>Qty!AA90*'Hist. prices'!W167*W$7</f>
        <v>0</v>
      </c>
      <c r="X167" s="198">
        <f>Qty!AB90*'Hist. prices'!X167*X$7</f>
        <v>0</v>
      </c>
      <c r="Y167" s="198">
        <f>Qty!AC90*'Hist. prices'!Y167*Y$7</f>
        <v>0</v>
      </c>
      <c r="Z167" s="198">
        <f>Qty!AD90*'Hist. prices'!Z167*Z$7</f>
        <v>0</v>
      </c>
      <c r="AA167" s="198">
        <f>Qty!AE90*'Hist. prices'!AA167*AA$7</f>
        <v>0</v>
      </c>
      <c r="AB167" s="198">
        <f>Qty!AF90*'Hist. prices'!AB167*AB$7</f>
        <v>0</v>
      </c>
      <c r="AC167" s="206">
        <f t="shared" si="17"/>
        <v>0</v>
      </c>
      <c r="AD167" s="68"/>
      <c r="AE167" s="19"/>
      <c r="AF167" s="19"/>
      <c r="AG167" s="19"/>
      <c r="AH167" s="19"/>
    </row>
    <row r="168" spans="1:34" hidden="1" outlineLevel="2" x14ac:dyDescent="0.2">
      <c r="A168" s="19"/>
      <c r="B168" s="19"/>
      <c r="C168" s="506" t="str">
        <f t="shared" si="16"/>
        <v>Residential pay as you go</v>
      </c>
      <c r="D168" s="505" t="str">
        <f t="shared" si="16"/>
        <v>Residential</v>
      </c>
      <c r="E168" s="505" t="str">
        <f t="shared" si="16"/>
        <v>TAS101</v>
      </c>
      <c r="F168" s="505">
        <f t="shared" si="16"/>
        <v>0</v>
      </c>
      <c r="G168" s="505">
        <f t="shared" si="16"/>
        <v>0</v>
      </c>
      <c r="H168" s="58"/>
      <c r="I168" s="198">
        <f>Qty!M91*'Hist. prices'!I168*I$7</f>
        <v>0</v>
      </c>
      <c r="J168" s="198">
        <f>Qty!N91*'Hist. prices'!J168*J$7</f>
        <v>0</v>
      </c>
      <c r="K168" s="198">
        <f>Qty!O91*'Hist. prices'!K168*K$7</f>
        <v>0</v>
      </c>
      <c r="L168" s="198">
        <f>Qty!P91*'Hist. prices'!L168*L$7</f>
        <v>0</v>
      </c>
      <c r="M168" s="198">
        <f>Qty!Q91*'Hist. prices'!M168*M$7</f>
        <v>0</v>
      </c>
      <c r="N168" s="198">
        <f>Qty!R91*'Hist. prices'!N168*N$7</f>
        <v>0</v>
      </c>
      <c r="O168" s="198">
        <f>Qty!S91*'Hist. prices'!O168*O$7</f>
        <v>0</v>
      </c>
      <c r="P168" s="198">
        <f>Qty!T91*'Hist. prices'!P168*P$7</f>
        <v>0</v>
      </c>
      <c r="Q168" s="198">
        <f>Qty!U91*'Hist. prices'!Q168*Q$7</f>
        <v>0</v>
      </c>
      <c r="R168" s="198">
        <f>Qty!V91*'Hist. prices'!R168*R$7</f>
        <v>0</v>
      </c>
      <c r="S168" s="198">
        <f>Qty!W91*'Hist. prices'!S168*S$7</f>
        <v>0</v>
      </c>
      <c r="T168" s="198">
        <f>Qty!X91*'Hist. prices'!T168*T$7</f>
        <v>0</v>
      </c>
      <c r="U168" s="198">
        <f>Qty!Y91*'Hist. prices'!U168*U$7</f>
        <v>0</v>
      </c>
      <c r="V168" s="198">
        <f>Qty!Z91*'Hist. prices'!V168*V$7</f>
        <v>0</v>
      </c>
      <c r="W168" s="198">
        <f>Qty!AA91*'Hist. prices'!W168*W$7</f>
        <v>0</v>
      </c>
      <c r="X168" s="198">
        <f>Qty!AB91*'Hist. prices'!X168*X$7</f>
        <v>0</v>
      </c>
      <c r="Y168" s="198">
        <f>Qty!AC91*'Hist. prices'!Y168*Y$7</f>
        <v>0</v>
      </c>
      <c r="Z168" s="198">
        <f>Qty!AD91*'Hist. prices'!Z168*Z$7</f>
        <v>0</v>
      </c>
      <c r="AA168" s="198">
        <f>Qty!AE91*'Hist. prices'!AA168*AA$7</f>
        <v>0</v>
      </c>
      <c r="AB168" s="198">
        <f>Qty!AF91*'Hist. prices'!AB168*AB$7</f>
        <v>0</v>
      </c>
      <c r="AC168" s="206">
        <f t="shared" si="17"/>
        <v>0</v>
      </c>
      <c r="AD168" s="68"/>
      <c r="AE168" s="19"/>
      <c r="AF168" s="19"/>
      <c r="AG168" s="19"/>
      <c r="AH168" s="19"/>
    </row>
    <row r="169" spans="1:34" hidden="1" outlineLevel="2" x14ac:dyDescent="0.2">
      <c r="A169" s="19"/>
      <c r="B169" s="19"/>
      <c r="C169" s="506" t="str">
        <f t="shared" si="16"/>
        <v>Residential pay as you go time of use</v>
      </c>
      <c r="D169" s="505" t="str">
        <f t="shared" si="16"/>
        <v>Residential</v>
      </c>
      <c r="E169" s="505" t="str">
        <f t="shared" si="16"/>
        <v>TAS92</v>
      </c>
      <c r="F169" s="505">
        <f t="shared" si="16"/>
        <v>0</v>
      </c>
      <c r="G169" s="505">
        <f t="shared" si="16"/>
        <v>0</v>
      </c>
      <c r="H169" s="58"/>
      <c r="I169" s="198">
        <f>Qty!M92*'Hist. prices'!I169*I$7</f>
        <v>0</v>
      </c>
      <c r="J169" s="198">
        <f>Qty!N92*'Hist. prices'!J169*J$7</f>
        <v>0</v>
      </c>
      <c r="K169" s="198">
        <f>Qty!O92*'Hist. prices'!K169*K$7</f>
        <v>0</v>
      </c>
      <c r="L169" s="198">
        <f>Qty!P92*'Hist. prices'!L169*L$7</f>
        <v>0</v>
      </c>
      <c r="M169" s="198">
        <f>Qty!Q92*'Hist. prices'!M169*M$7</f>
        <v>0</v>
      </c>
      <c r="N169" s="198">
        <f>Qty!R92*'Hist. prices'!N169*N$7</f>
        <v>0</v>
      </c>
      <c r="O169" s="198">
        <f>Qty!S92*'Hist. prices'!O169*O$7</f>
        <v>0</v>
      </c>
      <c r="P169" s="198">
        <f>Qty!T92*'Hist. prices'!P169*P$7</f>
        <v>0</v>
      </c>
      <c r="Q169" s="198">
        <f>Qty!U92*'Hist. prices'!Q169*Q$7</f>
        <v>0</v>
      </c>
      <c r="R169" s="198">
        <f>Qty!V92*'Hist. prices'!R169*R$7</f>
        <v>0</v>
      </c>
      <c r="S169" s="198">
        <f>Qty!W92*'Hist. prices'!S169*S$7</f>
        <v>0</v>
      </c>
      <c r="T169" s="198">
        <f>Qty!X92*'Hist. prices'!T169*T$7</f>
        <v>0</v>
      </c>
      <c r="U169" s="198">
        <f>Qty!Y92*'Hist. prices'!U169*U$7</f>
        <v>0</v>
      </c>
      <c r="V169" s="198">
        <f>Qty!Z92*'Hist. prices'!V169*V$7</f>
        <v>0</v>
      </c>
      <c r="W169" s="198">
        <f>Qty!AA92*'Hist. prices'!W169*W$7</f>
        <v>0</v>
      </c>
      <c r="X169" s="198">
        <f>Qty!AB92*'Hist. prices'!X169*X$7</f>
        <v>0</v>
      </c>
      <c r="Y169" s="198">
        <f>Qty!AC92*'Hist. prices'!Y169*Y$7</f>
        <v>0</v>
      </c>
      <c r="Z169" s="198">
        <f>Qty!AD92*'Hist. prices'!Z169*Z$7</f>
        <v>0</v>
      </c>
      <c r="AA169" s="198">
        <f>Qty!AE92*'Hist. prices'!AA169*AA$7</f>
        <v>0</v>
      </c>
      <c r="AB169" s="198">
        <f>Qty!AF92*'Hist. prices'!AB169*AB$7</f>
        <v>0</v>
      </c>
      <c r="AC169" s="206">
        <f t="shared" si="17"/>
        <v>0</v>
      </c>
      <c r="AD169" s="68"/>
      <c r="AE169" s="19"/>
      <c r="AF169" s="19"/>
      <c r="AG169" s="19"/>
      <c r="AH169" s="19"/>
    </row>
    <row r="170" spans="1:34" hidden="1" outlineLevel="2" x14ac:dyDescent="0.2">
      <c r="A170" s="19"/>
      <c r="B170" s="19"/>
      <c r="C170" s="506" t="str">
        <f t="shared" si="16"/>
        <v>Small business time of use consumption</v>
      </c>
      <c r="D170" s="505" t="str">
        <f t="shared" si="16"/>
        <v>Small Business LV</v>
      </c>
      <c r="E170" s="505" t="str">
        <f t="shared" si="16"/>
        <v>TAS94</v>
      </c>
      <c r="F170" s="505">
        <f t="shared" si="16"/>
        <v>0</v>
      </c>
      <c r="G170" s="505">
        <f t="shared" si="16"/>
        <v>0</v>
      </c>
      <c r="H170" s="58"/>
      <c r="I170" s="198">
        <f>Qty!M93*'Hist. prices'!I170*I$7</f>
        <v>0</v>
      </c>
      <c r="J170" s="198">
        <f>Qty!N93*'Hist. prices'!J170*J$7</f>
        <v>0</v>
      </c>
      <c r="K170" s="198">
        <f>Qty!O93*'Hist. prices'!K170*K$7</f>
        <v>0</v>
      </c>
      <c r="L170" s="198">
        <f>Qty!P93*'Hist. prices'!L170*L$7</f>
        <v>0</v>
      </c>
      <c r="M170" s="198">
        <f>Qty!Q93*'Hist. prices'!M170*M$7</f>
        <v>0</v>
      </c>
      <c r="N170" s="198">
        <f>Qty!R93*'Hist. prices'!N170*N$7</f>
        <v>0</v>
      </c>
      <c r="O170" s="198">
        <f>Qty!S93*'Hist. prices'!O170*O$7</f>
        <v>0</v>
      </c>
      <c r="P170" s="198">
        <f>Qty!T93*'Hist. prices'!P170*P$7</f>
        <v>0</v>
      </c>
      <c r="Q170" s="198">
        <f>Qty!U93*'Hist. prices'!Q170*Q$7</f>
        <v>0</v>
      </c>
      <c r="R170" s="198">
        <f>Qty!V93*'Hist. prices'!R170*R$7</f>
        <v>0</v>
      </c>
      <c r="S170" s="198">
        <f>Qty!W93*'Hist. prices'!S170*S$7</f>
        <v>0</v>
      </c>
      <c r="T170" s="198">
        <f>Qty!X93*'Hist. prices'!T170*T$7</f>
        <v>0</v>
      </c>
      <c r="U170" s="198">
        <f>Qty!Y93*'Hist. prices'!U170*U$7</f>
        <v>0</v>
      </c>
      <c r="V170" s="198">
        <f>Qty!Z93*'Hist. prices'!V170*V$7</f>
        <v>0</v>
      </c>
      <c r="W170" s="198">
        <f>Qty!AA93*'Hist. prices'!W170*W$7</f>
        <v>0</v>
      </c>
      <c r="X170" s="198">
        <f>Qty!AB93*'Hist. prices'!X170*X$7</f>
        <v>0</v>
      </c>
      <c r="Y170" s="198">
        <f>Qty!AC93*'Hist. prices'!Y170*Y$7</f>
        <v>0</v>
      </c>
      <c r="Z170" s="198">
        <f>Qty!AD93*'Hist. prices'!Z170*Z$7</f>
        <v>0</v>
      </c>
      <c r="AA170" s="198">
        <f>Qty!AE93*'Hist. prices'!AA170*AA$7</f>
        <v>0</v>
      </c>
      <c r="AB170" s="198">
        <f>Qty!AF93*'Hist. prices'!AB170*AB$7</f>
        <v>0</v>
      </c>
      <c r="AC170" s="206">
        <f t="shared" si="17"/>
        <v>0</v>
      </c>
      <c r="AD170" s="68"/>
      <c r="AE170" s="19"/>
      <c r="AF170" s="19"/>
      <c r="AG170" s="19"/>
      <c r="AH170" s="19"/>
    </row>
    <row r="171" spans="1:34" hidden="1" outlineLevel="2" x14ac:dyDescent="0.2">
      <c r="A171" s="19"/>
      <c r="B171" s="19"/>
      <c r="C171" s="506" t="str">
        <f t="shared" si="16"/>
        <v>Small business general light and power</v>
      </c>
      <c r="D171" s="505" t="str">
        <f t="shared" si="16"/>
        <v>Small Business LV</v>
      </c>
      <c r="E171" s="505" t="str">
        <f t="shared" si="16"/>
        <v>TAS22</v>
      </c>
      <c r="F171" s="505">
        <f t="shared" si="16"/>
        <v>0</v>
      </c>
      <c r="G171" s="505">
        <f t="shared" si="16"/>
        <v>0</v>
      </c>
      <c r="H171" s="58"/>
      <c r="I171" s="198">
        <f>Qty!M94*'Hist. prices'!I171*I$7</f>
        <v>0</v>
      </c>
      <c r="J171" s="198">
        <f>Qty!N94*'Hist. prices'!J171*J$7</f>
        <v>0</v>
      </c>
      <c r="K171" s="198">
        <f>Qty!O94*'Hist. prices'!K171*K$7</f>
        <v>0</v>
      </c>
      <c r="L171" s="198">
        <f>Qty!P94*'Hist. prices'!L171*L$7</f>
        <v>0</v>
      </c>
      <c r="M171" s="198">
        <f>Qty!Q94*'Hist. prices'!M171*M$7</f>
        <v>0</v>
      </c>
      <c r="N171" s="198">
        <f>Qty!R94*'Hist. prices'!N171*N$7</f>
        <v>0</v>
      </c>
      <c r="O171" s="198">
        <f>Qty!S94*'Hist. prices'!O171*O$7</f>
        <v>0</v>
      </c>
      <c r="P171" s="198">
        <f>Qty!T94*'Hist. prices'!P171*P$7</f>
        <v>0</v>
      </c>
      <c r="Q171" s="198">
        <f>Qty!U94*'Hist. prices'!Q171*Q$7</f>
        <v>0</v>
      </c>
      <c r="R171" s="198">
        <f>Qty!V94*'Hist. prices'!R171*R$7</f>
        <v>0</v>
      </c>
      <c r="S171" s="198">
        <f>Qty!W94*'Hist. prices'!S171*S$7</f>
        <v>0</v>
      </c>
      <c r="T171" s="198">
        <f>Qty!X94*'Hist. prices'!T171*T$7</f>
        <v>0</v>
      </c>
      <c r="U171" s="198">
        <f>Qty!Y94*'Hist. prices'!U171*U$7</f>
        <v>0</v>
      </c>
      <c r="V171" s="198">
        <f>Qty!Z94*'Hist. prices'!V171*V$7</f>
        <v>0</v>
      </c>
      <c r="W171" s="198">
        <f>Qty!AA94*'Hist. prices'!W171*W$7</f>
        <v>0</v>
      </c>
      <c r="X171" s="198">
        <f>Qty!AB94*'Hist. prices'!X171*X$7</f>
        <v>0</v>
      </c>
      <c r="Y171" s="198">
        <f>Qty!AC94*'Hist. prices'!Y171*Y$7</f>
        <v>0</v>
      </c>
      <c r="Z171" s="198">
        <f>Qty!AD94*'Hist. prices'!Z171*Z$7</f>
        <v>0</v>
      </c>
      <c r="AA171" s="198">
        <f>Qty!AE94*'Hist. prices'!AA171*AA$7</f>
        <v>0</v>
      </c>
      <c r="AB171" s="198">
        <f>Qty!AF94*'Hist. prices'!AB171*AB$7</f>
        <v>0</v>
      </c>
      <c r="AC171" s="206">
        <f t="shared" si="17"/>
        <v>0</v>
      </c>
      <c r="AD171" s="68"/>
      <c r="AE171" s="19"/>
      <c r="AF171" s="19"/>
      <c r="AG171" s="19"/>
      <c r="AH171" s="19"/>
    </row>
    <row r="172" spans="1:34" hidden="1" outlineLevel="2" x14ac:dyDescent="0.2">
      <c r="A172" s="19"/>
      <c r="B172" s="19"/>
      <c r="C172" s="506" t="str">
        <f t="shared" si="16"/>
        <v>Small business time of use demand</v>
      </c>
      <c r="D172" s="505" t="str">
        <f t="shared" si="16"/>
        <v>Small Business LV</v>
      </c>
      <c r="E172" s="505" t="str">
        <f t="shared" si="16"/>
        <v>TAS88</v>
      </c>
      <c r="F172" s="505">
        <f t="shared" si="16"/>
        <v>0</v>
      </c>
      <c r="G172" s="505">
        <f t="shared" si="16"/>
        <v>0</v>
      </c>
      <c r="H172" s="58"/>
      <c r="I172" s="198">
        <f>Qty!M95*'Hist. prices'!I172*I$7</f>
        <v>0</v>
      </c>
      <c r="J172" s="198">
        <f>Qty!N95*'Hist. prices'!J172*J$7</f>
        <v>0</v>
      </c>
      <c r="K172" s="198">
        <f>Qty!O95*'Hist. prices'!K172*K$7</f>
        <v>0</v>
      </c>
      <c r="L172" s="198">
        <f>Qty!P95*'Hist. prices'!L172*L$7</f>
        <v>0</v>
      </c>
      <c r="M172" s="198">
        <f>Qty!Q95*'Hist. prices'!M172*M$7</f>
        <v>0</v>
      </c>
      <c r="N172" s="198">
        <f>Qty!R95*'Hist. prices'!N172*N$7</f>
        <v>0</v>
      </c>
      <c r="O172" s="198">
        <f>Qty!S95*'Hist. prices'!O172*O$7</f>
        <v>0</v>
      </c>
      <c r="P172" s="198">
        <f>Qty!T95*'Hist. prices'!P172*P$7</f>
        <v>0</v>
      </c>
      <c r="Q172" s="198">
        <f>Qty!U95*'Hist. prices'!Q172*Q$7</f>
        <v>0</v>
      </c>
      <c r="R172" s="198">
        <f>Qty!V95*'Hist. prices'!R172*R$7</f>
        <v>0</v>
      </c>
      <c r="S172" s="198">
        <f>Qty!W95*'Hist. prices'!S172*S$7</f>
        <v>0</v>
      </c>
      <c r="T172" s="198">
        <f>Qty!X95*'Hist. prices'!T172*T$7</f>
        <v>0</v>
      </c>
      <c r="U172" s="198">
        <f>Qty!Y95*'Hist. prices'!U172*U$7</f>
        <v>0</v>
      </c>
      <c r="V172" s="198">
        <f>Qty!Z95*'Hist. prices'!V172*V$7</f>
        <v>0</v>
      </c>
      <c r="W172" s="198">
        <f>Qty!AA95*'Hist. prices'!W172*W$7</f>
        <v>0</v>
      </c>
      <c r="X172" s="198">
        <f>Qty!AB95*'Hist. prices'!X172*X$7</f>
        <v>0</v>
      </c>
      <c r="Y172" s="198">
        <f>Qty!AC95*'Hist. prices'!Y172*Y$7</f>
        <v>0</v>
      </c>
      <c r="Z172" s="198">
        <f>Qty!AD95*'Hist. prices'!Z172*Z$7</f>
        <v>0</v>
      </c>
      <c r="AA172" s="198">
        <f>Qty!AE95*'Hist. prices'!AA172*AA$7</f>
        <v>0</v>
      </c>
      <c r="AB172" s="198">
        <f>Qty!AF95*'Hist. prices'!AB172*AB$7</f>
        <v>0</v>
      </c>
      <c r="AC172" s="206">
        <f t="shared" si="17"/>
        <v>0</v>
      </c>
      <c r="AD172" s="68"/>
      <c r="AE172" s="19"/>
      <c r="AF172" s="19"/>
      <c r="AG172" s="19"/>
      <c r="AH172" s="19"/>
    </row>
    <row r="173" spans="1:34" hidden="1" outlineLevel="2" x14ac:dyDescent="0.2">
      <c r="A173" s="19"/>
      <c r="B173" s="19"/>
      <c r="C173" s="506" t="str">
        <f t="shared" si="16"/>
        <v>Small business time of use demand DER</v>
      </c>
      <c r="D173" s="505" t="str">
        <f t="shared" si="16"/>
        <v>Small Business LV</v>
      </c>
      <c r="E173" s="505" t="str">
        <f t="shared" si="16"/>
        <v>TAS98</v>
      </c>
      <c r="F173" s="505">
        <f t="shared" si="16"/>
        <v>0</v>
      </c>
      <c r="G173" s="505">
        <f t="shared" si="16"/>
        <v>0</v>
      </c>
      <c r="H173" s="58"/>
      <c r="I173" s="198">
        <f>Qty!M96*'Hist. prices'!I173*I$7</f>
        <v>0</v>
      </c>
      <c r="J173" s="198">
        <f>Qty!N96*'Hist. prices'!J173*J$7</f>
        <v>0</v>
      </c>
      <c r="K173" s="198">
        <f>Qty!O96*'Hist. prices'!K173*K$7</f>
        <v>0</v>
      </c>
      <c r="L173" s="198">
        <f>Qty!P96*'Hist. prices'!L173*L$7</f>
        <v>0</v>
      </c>
      <c r="M173" s="198">
        <f>Qty!Q96*'Hist. prices'!M173*M$7</f>
        <v>0</v>
      </c>
      <c r="N173" s="198">
        <f>Qty!R96*'Hist. prices'!N173*N$7</f>
        <v>0</v>
      </c>
      <c r="O173" s="198">
        <f>Qty!S96*'Hist. prices'!O173*O$7</f>
        <v>0</v>
      </c>
      <c r="P173" s="198">
        <f>Qty!T96*'Hist. prices'!P173*P$7</f>
        <v>0</v>
      </c>
      <c r="Q173" s="198">
        <f>Qty!U96*'Hist. prices'!Q173*Q$7</f>
        <v>0</v>
      </c>
      <c r="R173" s="198">
        <f>Qty!V96*'Hist. prices'!R173*R$7</f>
        <v>0</v>
      </c>
      <c r="S173" s="198">
        <f>Qty!W96*'Hist. prices'!S173*S$7</f>
        <v>0</v>
      </c>
      <c r="T173" s="198">
        <f>Qty!X96*'Hist. prices'!T173*T$7</f>
        <v>0</v>
      </c>
      <c r="U173" s="198">
        <f>Qty!Y96*'Hist. prices'!U173*U$7</f>
        <v>0</v>
      </c>
      <c r="V173" s="198">
        <f>Qty!Z96*'Hist. prices'!V173*V$7</f>
        <v>0</v>
      </c>
      <c r="W173" s="198">
        <f>Qty!AA96*'Hist. prices'!W173*W$7</f>
        <v>0</v>
      </c>
      <c r="X173" s="198">
        <f>Qty!AB96*'Hist. prices'!X173*X$7</f>
        <v>0</v>
      </c>
      <c r="Y173" s="198">
        <f>Qty!AC96*'Hist. prices'!Y173*Y$7</f>
        <v>0</v>
      </c>
      <c r="Z173" s="198">
        <f>Qty!AD96*'Hist. prices'!Z173*Z$7</f>
        <v>0</v>
      </c>
      <c r="AA173" s="198">
        <f>Qty!AE96*'Hist. prices'!AA173*AA$7</f>
        <v>0</v>
      </c>
      <c r="AB173" s="198">
        <f>Qty!AF96*'Hist. prices'!AB173*AB$7</f>
        <v>0</v>
      </c>
      <c r="AC173" s="206">
        <f t="shared" si="17"/>
        <v>0</v>
      </c>
      <c r="AD173" s="68"/>
      <c r="AE173" s="19"/>
      <c r="AF173" s="19"/>
      <c r="AG173" s="19"/>
      <c r="AH173" s="19"/>
    </row>
    <row r="174" spans="1:34" hidden="1" outlineLevel="2" x14ac:dyDescent="0.2">
      <c r="A174" s="19"/>
      <c r="B174" s="19"/>
      <c r="C174" s="506" t="str">
        <f t="shared" ref="C174:G183" si="18">C18</f>
        <v>Large business kVA demand</v>
      </c>
      <c r="D174" s="505" t="str">
        <f t="shared" si="18"/>
        <v>Large Business LV</v>
      </c>
      <c r="E174" s="505" t="str">
        <f t="shared" si="18"/>
        <v>TAS82</v>
      </c>
      <c r="F174" s="505">
        <f t="shared" si="18"/>
        <v>0</v>
      </c>
      <c r="G174" s="505">
        <f t="shared" si="18"/>
        <v>0</v>
      </c>
      <c r="H174" s="58"/>
      <c r="I174" s="198">
        <f>Qty!M97*'Hist. prices'!I174*I$7</f>
        <v>0</v>
      </c>
      <c r="J174" s="198">
        <f>Qty!N97*'Hist. prices'!J174*J$7</f>
        <v>0</v>
      </c>
      <c r="K174" s="198">
        <f>Qty!O97*'Hist. prices'!K174*K$7</f>
        <v>0</v>
      </c>
      <c r="L174" s="198">
        <f>Qty!P97*'Hist. prices'!L174*L$7</f>
        <v>0</v>
      </c>
      <c r="M174" s="198">
        <f>Qty!Q97*'Hist. prices'!M174*M$7</f>
        <v>0</v>
      </c>
      <c r="N174" s="198">
        <f>Qty!R97*'Hist. prices'!N174*N$7</f>
        <v>0</v>
      </c>
      <c r="O174" s="198">
        <f>Qty!S97*'Hist. prices'!O174*O$7</f>
        <v>0</v>
      </c>
      <c r="P174" s="198">
        <f>Qty!T97*'Hist. prices'!P174*P$7</f>
        <v>0</v>
      </c>
      <c r="Q174" s="198">
        <f>Qty!U97*'Hist. prices'!Q174*Q$7</f>
        <v>0</v>
      </c>
      <c r="R174" s="198">
        <f>Qty!V97*'Hist. prices'!R174*R$7</f>
        <v>0</v>
      </c>
      <c r="S174" s="198">
        <f>Qty!W97*'Hist. prices'!S174*S$7</f>
        <v>0</v>
      </c>
      <c r="T174" s="198">
        <f>Qty!X97*'Hist. prices'!T174*T$7</f>
        <v>0</v>
      </c>
      <c r="U174" s="198">
        <f>Qty!Y97*'Hist. prices'!U174*U$7</f>
        <v>0</v>
      </c>
      <c r="V174" s="198">
        <f>Qty!Z97*'Hist. prices'!V174*V$7</f>
        <v>0</v>
      </c>
      <c r="W174" s="198">
        <f>Qty!AA97*'Hist. prices'!W174*W$7</f>
        <v>0</v>
      </c>
      <c r="X174" s="198">
        <f>Qty!AB97*'Hist. prices'!X174*X$7</f>
        <v>0</v>
      </c>
      <c r="Y174" s="198">
        <f>Qty!AC97*'Hist. prices'!Y174*Y$7</f>
        <v>0</v>
      </c>
      <c r="Z174" s="198">
        <f>Qty!AD97*'Hist. prices'!Z174*Z$7</f>
        <v>0</v>
      </c>
      <c r="AA174" s="198">
        <f>Qty!AE97*'Hist. prices'!AA174*AA$7</f>
        <v>0</v>
      </c>
      <c r="AB174" s="198">
        <f>Qty!AF97*'Hist. prices'!AB174*AB$7</f>
        <v>0</v>
      </c>
      <c r="AC174" s="206">
        <f t="shared" si="17"/>
        <v>0</v>
      </c>
      <c r="AD174" s="68"/>
      <c r="AE174" s="19"/>
      <c r="AF174" s="19"/>
      <c r="AG174" s="19"/>
      <c r="AH174" s="19"/>
    </row>
    <row r="175" spans="1:34" hidden="1" outlineLevel="2" x14ac:dyDescent="0.2">
      <c r="A175" s="19"/>
      <c r="B175" s="19"/>
      <c r="C175" s="506" t="str">
        <f t="shared" si="18"/>
        <v>Large business time of use demand</v>
      </c>
      <c r="D175" s="505" t="str">
        <f t="shared" si="18"/>
        <v>Large Business LV</v>
      </c>
      <c r="E175" s="505" t="str">
        <f t="shared" si="18"/>
        <v>TAS89</v>
      </c>
      <c r="F175" s="505">
        <f t="shared" si="18"/>
        <v>0</v>
      </c>
      <c r="G175" s="505">
        <f t="shared" si="18"/>
        <v>0</v>
      </c>
      <c r="H175" s="58"/>
      <c r="I175" s="198">
        <f>Qty!M98*'Hist. prices'!I175*I$7</f>
        <v>0</v>
      </c>
      <c r="J175" s="198">
        <f>Qty!N98*'Hist. prices'!J175*J$7</f>
        <v>0</v>
      </c>
      <c r="K175" s="198">
        <f>Qty!O98*'Hist. prices'!K175*K$7</f>
        <v>0</v>
      </c>
      <c r="L175" s="198">
        <f>Qty!P98*'Hist. prices'!L175*L$7</f>
        <v>0</v>
      </c>
      <c r="M175" s="198">
        <f>Qty!Q98*'Hist. prices'!M175*M$7</f>
        <v>0</v>
      </c>
      <c r="N175" s="198">
        <f>Qty!R98*'Hist. prices'!N175*N$7</f>
        <v>0</v>
      </c>
      <c r="O175" s="198">
        <f>Qty!S98*'Hist. prices'!O175*O$7</f>
        <v>0</v>
      </c>
      <c r="P175" s="198">
        <f>Qty!T98*'Hist. prices'!P175*P$7</f>
        <v>0</v>
      </c>
      <c r="Q175" s="198">
        <f>Qty!U98*'Hist. prices'!Q175*Q$7</f>
        <v>0</v>
      </c>
      <c r="R175" s="198">
        <f>Qty!V98*'Hist. prices'!R175*R$7</f>
        <v>0</v>
      </c>
      <c r="S175" s="198">
        <f>Qty!W98*'Hist. prices'!S175*S$7</f>
        <v>0</v>
      </c>
      <c r="T175" s="198">
        <f>Qty!X98*'Hist. prices'!T175*T$7</f>
        <v>0</v>
      </c>
      <c r="U175" s="198">
        <f>Qty!Y98*'Hist. prices'!U175*U$7</f>
        <v>0</v>
      </c>
      <c r="V175" s="198">
        <f>Qty!Z98*'Hist. prices'!V175*V$7</f>
        <v>0</v>
      </c>
      <c r="W175" s="198">
        <f>Qty!AA98*'Hist. prices'!W175*W$7</f>
        <v>0</v>
      </c>
      <c r="X175" s="198">
        <f>Qty!AB98*'Hist. prices'!X175*X$7</f>
        <v>0</v>
      </c>
      <c r="Y175" s="198">
        <f>Qty!AC98*'Hist. prices'!Y175*Y$7</f>
        <v>0</v>
      </c>
      <c r="Z175" s="198">
        <f>Qty!AD98*'Hist. prices'!Z175*Z$7</f>
        <v>0</v>
      </c>
      <c r="AA175" s="198">
        <f>Qty!AE98*'Hist. prices'!AA175*AA$7</f>
        <v>0</v>
      </c>
      <c r="AB175" s="198">
        <f>Qty!AF98*'Hist. prices'!AB175*AB$7</f>
        <v>0</v>
      </c>
      <c r="AC175" s="206">
        <f t="shared" si="17"/>
        <v>0</v>
      </c>
      <c r="AD175" s="68"/>
      <c r="AE175" s="19"/>
      <c r="AF175" s="19"/>
      <c r="AG175" s="19"/>
      <c r="AH175" s="19"/>
    </row>
    <row r="176" spans="1:34" hidden="1" outlineLevel="2" x14ac:dyDescent="0.2">
      <c r="A176" s="19"/>
      <c r="B176" s="19"/>
      <c r="C176" s="506" t="str">
        <f t="shared" si="18"/>
        <v>Irrigation time of use consumption</v>
      </c>
      <c r="D176" s="505" t="str">
        <f t="shared" si="18"/>
        <v>Irrigation</v>
      </c>
      <c r="E176" s="505" t="str">
        <f t="shared" si="18"/>
        <v>TAS75</v>
      </c>
      <c r="F176" s="505">
        <f t="shared" si="18"/>
        <v>0</v>
      </c>
      <c r="G176" s="505">
        <f t="shared" si="18"/>
        <v>0</v>
      </c>
      <c r="H176" s="58"/>
      <c r="I176" s="198">
        <f>Qty!M99*'Hist. prices'!I176*I$7</f>
        <v>0</v>
      </c>
      <c r="J176" s="198">
        <f>Qty!N99*'Hist. prices'!J176*J$7</f>
        <v>0</v>
      </c>
      <c r="K176" s="198">
        <f>Qty!O99*'Hist. prices'!K176*K$7</f>
        <v>0</v>
      </c>
      <c r="L176" s="198">
        <f>Qty!P99*'Hist. prices'!L176*L$7</f>
        <v>0</v>
      </c>
      <c r="M176" s="198">
        <f>Qty!Q99*'Hist. prices'!M176*M$7</f>
        <v>0</v>
      </c>
      <c r="N176" s="198">
        <f>Qty!R99*'Hist. prices'!N176*N$7</f>
        <v>0</v>
      </c>
      <c r="O176" s="198">
        <f>Qty!S99*'Hist. prices'!O176*O$7</f>
        <v>0</v>
      </c>
      <c r="P176" s="198">
        <f>Qty!T99*'Hist. prices'!P176*P$7</f>
        <v>0</v>
      </c>
      <c r="Q176" s="198">
        <f>Qty!U99*'Hist. prices'!Q176*Q$7</f>
        <v>0</v>
      </c>
      <c r="R176" s="198">
        <f>Qty!V99*'Hist. prices'!R176*R$7</f>
        <v>0</v>
      </c>
      <c r="S176" s="198">
        <f>Qty!W99*'Hist. prices'!S176*S$7</f>
        <v>0</v>
      </c>
      <c r="T176" s="198">
        <f>Qty!X99*'Hist. prices'!T176*T$7</f>
        <v>0</v>
      </c>
      <c r="U176" s="198">
        <f>Qty!Y99*'Hist. prices'!U176*U$7</f>
        <v>0</v>
      </c>
      <c r="V176" s="198">
        <f>Qty!Z99*'Hist. prices'!V176*V$7</f>
        <v>0</v>
      </c>
      <c r="W176" s="198">
        <f>Qty!AA99*'Hist. prices'!W176*W$7</f>
        <v>0</v>
      </c>
      <c r="X176" s="198">
        <f>Qty!AB99*'Hist. prices'!X176*X$7</f>
        <v>0</v>
      </c>
      <c r="Y176" s="198">
        <f>Qty!AC99*'Hist. prices'!Y176*Y$7</f>
        <v>0</v>
      </c>
      <c r="Z176" s="198">
        <f>Qty!AD99*'Hist. prices'!Z176*Z$7</f>
        <v>0</v>
      </c>
      <c r="AA176" s="198">
        <f>Qty!AE99*'Hist. prices'!AA176*AA$7</f>
        <v>0</v>
      </c>
      <c r="AB176" s="198">
        <f>Qty!AF99*'Hist. prices'!AB176*AB$7</f>
        <v>0</v>
      </c>
      <c r="AC176" s="206">
        <f t="shared" si="17"/>
        <v>0</v>
      </c>
      <c r="AD176" s="68"/>
      <c r="AE176" s="19"/>
      <c r="AF176" s="19"/>
      <c r="AG176" s="19"/>
      <c r="AH176" s="19"/>
    </row>
    <row r="177" spans="1:34" hidden="1" outlineLevel="2" x14ac:dyDescent="0.2">
      <c r="A177" s="19"/>
      <c r="B177" s="19"/>
      <c r="C177" s="506" t="str">
        <f t="shared" si="18"/>
        <v>Business HV kVA specified demand &lt;2MVA</v>
      </c>
      <c r="D177" s="505" t="str">
        <f t="shared" si="18"/>
        <v>Large Business HV</v>
      </c>
      <c r="E177" s="505" t="str">
        <f t="shared" si="18"/>
        <v>TASSDM</v>
      </c>
      <c r="F177" s="505">
        <f t="shared" si="18"/>
        <v>0</v>
      </c>
      <c r="G177" s="505">
        <f t="shared" si="18"/>
        <v>0</v>
      </c>
      <c r="H177" s="58"/>
      <c r="I177" s="198">
        <f>Qty!M100*'Hist. prices'!I177*I$7</f>
        <v>0</v>
      </c>
      <c r="J177" s="198">
        <f>Qty!N100*'Hist. prices'!J177*J$7</f>
        <v>0</v>
      </c>
      <c r="K177" s="198">
        <f>Qty!O100*'Hist. prices'!K177*K$7</f>
        <v>0</v>
      </c>
      <c r="L177" s="198">
        <f>Qty!P100*'Hist. prices'!L177*L$7</f>
        <v>0</v>
      </c>
      <c r="M177" s="198">
        <f>Qty!Q100*'Hist. prices'!M177*M$7</f>
        <v>0</v>
      </c>
      <c r="N177" s="198">
        <f>Qty!R100*'Hist. prices'!N177*N$7</f>
        <v>0</v>
      </c>
      <c r="O177" s="198">
        <f>Qty!S100*'Hist. prices'!O177*O$7</f>
        <v>0</v>
      </c>
      <c r="P177" s="198">
        <f>Qty!T100*'Hist. prices'!P177*P$7</f>
        <v>0</v>
      </c>
      <c r="Q177" s="198">
        <f>Qty!U100*'Hist. prices'!Q177*Q$7</f>
        <v>0</v>
      </c>
      <c r="R177" s="198">
        <f>Qty!V100*'Hist. prices'!R177*R$7</f>
        <v>0</v>
      </c>
      <c r="S177" s="198">
        <f>Qty!W100*'Hist. prices'!S177*S$7</f>
        <v>0</v>
      </c>
      <c r="T177" s="198">
        <f>Qty!X100*'Hist. prices'!T177*T$7</f>
        <v>0</v>
      </c>
      <c r="U177" s="198">
        <f>Qty!Y100*'Hist. prices'!U177*U$7</f>
        <v>0</v>
      </c>
      <c r="V177" s="198">
        <f>Qty!Z100*'Hist. prices'!V177*V$7</f>
        <v>0</v>
      </c>
      <c r="W177" s="198">
        <f>Qty!AA100*'Hist. prices'!W177*W$7</f>
        <v>0</v>
      </c>
      <c r="X177" s="198">
        <f>Qty!AB100*'Hist. prices'!X177*X$7</f>
        <v>0</v>
      </c>
      <c r="Y177" s="198">
        <f>Qty!AC100*'Hist. prices'!Y177*Y$7</f>
        <v>0</v>
      </c>
      <c r="Z177" s="198">
        <f>Qty!AD100*'Hist. prices'!Z177*Z$7</f>
        <v>0</v>
      </c>
      <c r="AA177" s="198">
        <f>Qty!AE100*'Hist. prices'!AA177*AA$7</f>
        <v>0</v>
      </c>
      <c r="AB177" s="198">
        <f>Qty!AF100*'Hist. prices'!AB177*AB$7</f>
        <v>0</v>
      </c>
      <c r="AC177" s="206">
        <f t="shared" si="17"/>
        <v>0</v>
      </c>
      <c r="AD177" s="68"/>
      <c r="AE177" s="19"/>
      <c r="AF177" s="19"/>
      <c r="AG177" s="19"/>
      <c r="AH177" s="19"/>
    </row>
    <row r="178" spans="1:34" hidden="1" outlineLevel="2" x14ac:dyDescent="0.2">
      <c r="A178" s="19"/>
      <c r="B178" s="19"/>
      <c r="C178" s="506" t="str">
        <f t="shared" si="18"/>
        <v>Business HV kVA specified demand &gt;2MVA</v>
      </c>
      <c r="D178" s="505" t="str">
        <f t="shared" si="18"/>
        <v>Large Business HV</v>
      </c>
      <c r="E178" s="505" t="str">
        <f t="shared" si="18"/>
        <v>TAS15*</v>
      </c>
      <c r="F178" s="505">
        <f t="shared" si="18"/>
        <v>0</v>
      </c>
      <c r="G178" s="505">
        <f t="shared" si="18"/>
        <v>0</v>
      </c>
      <c r="H178" s="58"/>
      <c r="I178" s="198">
        <f>Qty!M101*'Hist. prices'!I178*I$7</f>
        <v>0</v>
      </c>
      <c r="J178" s="198">
        <f>Qty!N101*'Hist. prices'!J178*J$7</f>
        <v>0</v>
      </c>
      <c r="K178" s="198">
        <f>Qty!O101*'Hist. prices'!K178*K$7</f>
        <v>0</v>
      </c>
      <c r="L178" s="198">
        <f>Qty!P101*'Hist. prices'!L178*L$7</f>
        <v>0</v>
      </c>
      <c r="M178" s="198">
        <f>Qty!Q101*'Hist. prices'!M178*M$7</f>
        <v>0</v>
      </c>
      <c r="N178" s="198">
        <f>Qty!R101*'Hist. prices'!N178*N$7</f>
        <v>0</v>
      </c>
      <c r="O178" s="198">
        <f>Qty!S101*'Hist. prices'!O178*O$7</f>
        <v>0</v>
      </c>
      <c r="P178" s="198">
        <f>Qty!T101*'Hist. prices'!P178*P$7</f>
        <v>0</v>
      </c>
      <c r="Q178" s="198">
        <f>Qty!U101*'Hist. prices'!Q178*Q$7</f>
        <v>0</v>
      </c>
      <c r="R178" s="198">
        <f>Qty!V101*'Hist. prices'!R178*R$7</f>
        <v>0</v>
      </c>
      <c r="S178" s="198">
        <f>Qty!W101*'Hist. prices'!S178*S$7</f>
        <v>0</v>
      </c>
      <c r="T178" s="198">
        <f>Qty!X101*'Hist. prices'!T178*T$7</f>
        <v>0</v>
      </c>
      <c r="U178" s="198">
        <f>Qty!Y101*'Hist. prices'!U178*U$7</f>
        <v>0</v>
      </c>
      <c r="V178" s="198">
        <f>Qty!Z101*'Hist. prices'!V178*V$7</f>
        <v>0</v>
      </c>
      <c r="W178" s="198">
        <f>Qty!AA101*'Hist. prices'!W178*W$7</f>
        <v>0</v>
      </c>
      <c r="X178" s="198">
        <f>Qty!AB101*'Hist. prices'!X178*X$7</f>
        <v>0</v>
      </c>
      <c r="Y178" s="198">
        <f>Qty!AC101*'Hist. prices'!Y178*Y$7</f>
        <v>0</v>
      </c>
      <c r="Z178" s="198">
        <f>Qty!AD101*'Hist. prices'!Z178*Z$7</f>
        <v>0</v>
      </c>
      <c r="AA178" s="198">
        <f>Qty!AE101*'Hist. prices'!AA178*AA$7</f>
        <v>0</v>
      </c>
      <c r="AB178" s="198">
        <f>Qty!AF101*'Hist. prices'!AB178*AB$7</f>
        <v>0</v>
      </c>
      <c r="AC178" s="206">
        <f t="shared" si="17"/>
        <v>0</v>
      </c>
      <c r="AD178" s="68"/>
      <c r="AE178" s="19"/>
      <c r="AF178" s="19"/>
      <c r="AG178" s="19"/>
      <c r="AH178" s="19"/>
    </row>
    <row r="179" spans="1:34" hidden="1" outlineLevel="2" x14ac:dyDescent="0.2">
      <c r="A179" s="19"/>
      <c r="B179" s="19"/>
      <c r="C179" s="506" t="str">
        <f t="shared" si="18"/>
        <v>Uncontrolled low voltage heating and hot water</v>
      </c>
      <c r="D179" s="505" t="str">
        <f t="shared" si="18"/>
        <v>Uncontrolled energy</v>
      </c>
      <c r="E179" s="505" t="str">
        <f t="shared" si="18"/>
        <v>TAS41</v>
      </c>
      <c r="F179" s="505">
        <f t="shared" si="18"/>
        <v>0</v>
      </c>
      <c r="G179" s="505">
        <f t="shared" si="18"/>
        <v>0</v>
      </c>
      <c r="H179" s="58"/>
      <c r="I179" s="198">
        <f>Qty!M102*'Hist. prices'!I179*I$7</f>
        <v>0</v>
      </c>
      <c r="J179" s="198">
        <f>Qty!N102*'Hist. prices'!J179*J$7</f>
        <v>0</v>
      </c>
      <c r="K179" s="198">
        <f>Qty!O102*'Hist. prices'!K179*K$7</f>
        <v>0</v>
      </c>
      <c r="L179" s="198">
        <f>Qty!P102*'Hist. prices'!L179*L$7</f>
        <v>0</v>
      </c>
      <c r="M179" s="198">
        <f>Qty!Q102*'Hist. prices'!M179*M$7</f>
        <v>0</v>
      </c>
      <c r="N179" s="198">
        <f>Qty!R102*'Hist. prices'!N179*N$7</f>
        <v>0</v>
      </c>
      <c r="O179" s="198">
        <f>Qty!S102*'Hist. prices'!O179*O$7</f>
        <v>0</v>
      </c>
      <c r="P179" s="198">
        <f>Qty!T102*'Hist. prices'!P179*P$7</f>
        <v>0</v>
      </c>
      <c r="Q179" s="198">
        <f>Qty!U102*'Hist. prices'!Q179*Q$7</f>
        <v>0</v>
      </c>
      <c r="R179" s="198">
        <f>Qty!V102*'Hist. prices'!R179*R$7</f>
        <v>0</v>
      </c>
      <c r="S179" s="198">
        <f>Qty!W102*'Hist. prices'!S179*S$7</f>
        <v>0</v>
      </c>
      <c r="T179" s="198">
        <f>Qty!X102*'Hist. prices'!T179*T$7</f>
        <v>0</v>
      </c>
      <c r="U179" s="198">
        <f>Qty!Y102*'Hist. prices'!U179*U$7</f>
        <v>0</v>
      </c>
      <c r="V179" s="198">
        <f>Qty!Z102*'Hist. prices'!V179*V$7</f>
        <v>0</v>
      </c>
      <c r="W179" s="198">
        <f>Qty!AA102*'Hist. prices'!W179*W$7</f>
        <v>0</v>
      </c>
      <c r="X179" s="198">
        <f>Qty!AB102*'Hist. prices'!X179*X$7</f>
        <v>0</v>
      </c>
      <c r="Y179" s="198">
        <f>Qty!AC102*'Hist. prices'!Y179*Y$7</f>
        <v>0</v>
      </c>
      <c r="Z179" s="198">
        <f>Qty!AD102*'Hist. prices'!Z179*Z$7</f>
        <v>0</v>
      </c>
      <c r="AA179" s="198">
        <f>Qty!AE102*'Hist. prices'!AA179*AA$7</f>
        <v>0</v>
      </c>
      <c r="AB179" s="198">
        <f>Qty!AF102*'Hist. prices'!AB179*AB$7</f>
        <v>0</v>
      </c>
      <c r="AC179" s="206">
        <f t="shared" si="17"/>
        <v>0</v>
      </c>
      <c r="AD179" s="68"/>
      <c r="AE179" s="19"/>
      <c r="AF179" s="19"/>
      <c r="AG179" s="19"/>
      <c r="AH179" s="19"/>
    </row>
    <row r="180" spans="1:34" hidden="1" outlineLevel="2" x14ac:dyDescent="0.2">
      <c r="A180" s="19"/>
      <c r="B180" s="19"/>
      <c r="C180" s="506" t="str">
        <f t="shared" si="18"/>
        <v>Controlled low voltage night period only</v>
      </c>
      <c r="D180" s="505" t="str">
        <f t="shared" si="18"/>
        <v>Controlled energy</v>
      </c>
      <c r="E180" s="505" t="str">
        <f t="shared" si="18"/>
        <v>TAS63</v>
      </c>
      <c r="F180" s="505">
        <f t="shared" si="18"/>
        <v>0</v>
      </c>
      <c r="G180" s="505">
        <f t="shared" si="18"/>
        <v>0</v>
      </c>
      <c r="H180" s="58"/>
      <c r="I180" s="198">
        <f>Qty!M103*'Hist. prices'!I180*I$7</f>
        <v>0</v>
      </c>
      <c r="J180" s="198">
        <f>Qty!N103*'Hist. prices'!J180*J$7</f>
        <v>0</v>
      </c>
      <c r="K180" s="198">
        <f>Qty!O103*'Hist. prices'!K180*K$7</f>
        <v>0</v>
      </c>
      <c r="L180" s="198">
        <f>Qty!P103*'Hist. prices'!L180*L$7</f>
        <v>0</v>
      </c>
      <c r="M180" s="198">
        <f>Qty!Q103*'Hist. prices'!M180*M$7</f>
        <v>0</v>
      </c>
      <c r="N180" s="198">
        <f>Qty!R103*'Hist. prices'!N180*N$7</f>
        <v>0</v>
      </c>
      <c r="O180" s="198">
        <f>Qty!S103*'Hist. prices'!O180*O$7</f>
        <v>0</v>
      </c>
      <c r="P180" s="198">
        <f>Qty!T103*'Hist. prices'!P180*P$7</f>
        <v>0</v>
      </c>
      <c r="Q180" s="198">
        <f>Qty!U103*'Hist. prices'!Q180*Q$7</f>
        <v>0</v>
      </c>
      <c r="R180" s="198">
        <f>Qty!V103*'Hist. prices'!R180*R$7</f>
        <v>0</v>
      </c>
      <c r="S180" s="198">
        <f>Qty!W103*'Hist. prices'!S180*S$7</f>
        <v>0</v>
      </c>
      <c r="T180" s="198">
        <f>Qty!X103*'Hist. prices'!T180*T$7</f>
        <v>0</v>
      </c>
      <c r="U180" s="198">
        <f>Qty!Y103*'Hist. prices'!U180*U$7</f>
        <v>0</v>
      </c>
      <c r="V180" s="198">
        <f>Qty!Z103*'Hist. prices'!V180*V$7</f>
        <v>0</v>
      </c>
      <c r="W180" s="198">
        <f>Qty!AA103*'Hist. prices'!W180*W$7</f>
        <v>0</v>
      </c>
      <c r="X180" s="198">
        <f>Qty!AB103*'Hist. prices'!X180*X$7</f>
        <v>0</v>
      </c>
      <c r="Y180" s="198">
        <f>Qty!AC103*'Hist. prices'!Y180*Y$7</f>
        <v>0</v>
      </c>
      <c r="Z180" s="198">
        <f>Qty!AD103*'Hist. prices'!Z180*Z$7</f>
        <v>0</v>
      </c>
      <c r="AA180" s="198">
        <f>Qty!AE103*'Hist. prices'!AA180*AA$7</f>
        <v>0</v>
      </c>
      <c r="AB180" s="198">
        <f>Qty!AF103*'Hist. prices'!AB180*AB$7</f>
        <v>0</v>
      </c>
      <c r="AC180" s="206">
        <f t="shared" si="17"/>
        <v>0</v>
      </c>
      <c r="AD180" s="68"/>
      <c r="AE180" s="19"/>
      <c r="AF180" s="19"/>
      <c r="AG180" s="19"/>
      <c r="AH180" s="19"/>
    </row>
    <row r="181" spans="1:34" ht="22.5" hidden="1" outlineLevel="2" x14ac:dyDescent="0.2">
      <c r="A181" s="19"/>
      <c r="B181" s="19"/>
      <c r="C181" s="506" t="str">
        <f t="shared" si="18"/>
        <v>Controlled low voltage off peak with afternoon boost</v>
      </c>
      <c r="D181" s="505" t="str">
        <f t="shared" si="18"/>
        <v>Controlled energy</v>
      </c>
      <c r="E181" s="505" t="str">
        <f t="shared" si="18"/>
        <v>TAS61</v>
      </c>
      <c r="F181" s="505">
        <f t="shared" si="18"/>
        <v>0</v>
      </c>
      <c r="G181" s="505">
        <f t="shared" si="18"/>
        <v>0</v>
      </c>
      <c r="H181" s="58"/>
      <c r="I181" s="198">
        <f>Qty!M104*'Hist. prices'!I181*I$7</f>
        <v>0</v>
      </c>
      <c r="J181" s="198">
        <f>Qty!N104*'Hist. prices'!J181*J$7</f>
        <v>0</v>
      </c>
      <c r="K181" s="198">
        <f>Qty!O104*'Hist. prices'!K181*K$7</f>
        <v>0</v>
      </c>
      <c r="L181" s="198">
        <f>Qty!P104*'Hist. prices'!L181*L$7</f>
        <v>0</v>
      </c>
      <c r="M181" s="198">
        <f>Qty!Q104*'Hist. prices'!M181*M$7</f>
        <v>0</v>
      </c>
      <c r="N181" s="198">
        <f>Qty!R104*'Hist. prices'!N181*N$7</f>
        <v>0</v>
      </c>
      <c r="O181" s="198">
        <f>Qty!S104*'Hist. prices'!O181*O$7</f>
        <v>0</v>
      </c>
      <c r="P181" s="198">
        <f>Qty!T104*'Hist. prices'!P181*P$7</f>
        <v>0</v>
      </c>
      <c r="Q181" s="198">
        <f>Qty!U104*'Hist. prices'!Q181*Q$7</f>
        <v>0</v>
      </c>
      <c r="R181" s="198">
        <f>Qty!V104*'Hist. prices'!R181*R$7</f>
        <v>0</v>
      </c>
      <c r="S181" s="198">
        <f>Qty!W104*'Hist. prices'!S181*S$7</f>
        <v>0</v>
      </c>
      <c r="T181" s="198">
        <f>Qty!X104*'Hist. prices'!T181*T$7</f>
        <v>0</v>
      </c>
      <c r="U181" s="198">
        <f>Qty!Y104*'Hist. prices'!U181*U$7</f>
        <v>0</v>
      </c>
      <c r="V181" s="198">
        <f>Qty!Z104*'Hist. prices'!V181*V$7</f>
        <v>0</v>
      </c>
      <c r="W181" s="198">
        <f>Qty!AA104*'Hist. prices'!W181*W$7</f>
        <v>0</v>
      </c>
      <c r="X181" s="198">
        <f>Qty!AB104*'Hist. prices'!X181*X$7</f>
        <v>0</v>
      </c>
      <c r="Y181" s="198">
        <f>Qty!AC104*'Hist. prices'!Y181*Y$7</f>
        <v>0</v>
      </c>
      <c r="Z181" s="198">
        <f>Qty!AD104*'Hist. prices'!Z181*Z$7</f>
        <v>0</v>
      </c>
      <c r="AA181" s="198">
        <f>Qty!AE104*'Hist. prices'!AA181*AA$7</f>
        <v>0</v>
      </c>
      <c r="AB181" s="198">
        <f>Qty!AF104*'Hist. prices'!AB181*AB$7</f>
        <v>0</v>
      </c>
      <c r="AC181" s="206">
        <f t="shared" si="17"/>
        <v>0</v>
      </c>
      <c r="AD181" s="68"/>
      <c r="AE181" s="19"/>
      <c r="AF181" s="19"/>
      <c r="AG181" s="19"/>
      <c r="AH181" s="19"/>
    </row>
    <row r="182" spans="1:34" hidden="1" outlineLevel="2" x14ac:dyDescent="0.2">
      <c r="A182" s="19"/>
      <c r="B182" s="19"/>
      <c r="C182" s="506" t="str">
        <f t="shared" si="18"/>
        <v>Unmetered supply general</v>
      </c>
      <c r="D182" s="505" t="str">
        <f t="shared" si="18"/>
        <v>Unmetered supplies</v>
      </c>
      <c r="E182" s="505" t="str">
        <f t="shared" si="18"/>
        <v>TASUMS</v>
      </c>
      <c r="F182" s="505">
        <f t="shared" si="18"/>
        <v>0</v>
      </c>
      <c r="G182" s="505">
        <f t="shared" si="18"/>
        <v>0</v>
      </c>
      <c r="H182" s="58"/>
      <c r="I182" s="198">
        <f>Qty!M105*'Hist. prices'!I182*I$7</f>
        <v>0</v>
      </c>
      <c r="J182" s="198">
        <f>Qty!N105*'Hist. prices'!J182*J$7</f>
        <v>0</v>
      </c>
      <c r="K182" s="198">
        <f>Qty!O105*'Hist. prices'!K182*K$7</f>
        <v>0</v>
      </c>
      <c r="L182" s="198">
        <f>Qty!P105*'Hist. prices'!L182*L$7</f>
        <v>0</v>
      </c>
      <c r="M182" s="198">
        <f>Qty!Q105*'Hist. prices'!M182*M$7</f>
        <v>0</v>
      </c>
      <c r="N182" s="198">
        <f>Qty!R105*'Hist. prices'!N182*N$7</f>
        <v>0</v>
      </c>
      <c r="O182" s="198">
        <f>Qty!S105*'Hist. prices'!O182*O$7</f>
        <v>0</v>
      </c>
      <c r="P182" s="198">
        <f>Qty!T105*'Hist. prices'!P182*P$7</f>
        <v>0</v>
      </c>
      <c r="Q182" s="198">
        <f>Qty!U105*'Hist. prices'!Q182*Q$7</f>
        <v>0</v>
      </c>
      <c r="R182" s="198">
        <f>Qty!V105*'Hist. prices'!R182*R$7</f>
        <v>0</v>
      </c>
      <c r="S182" s="198">
        <f>Qty!W105*'Hist. prices'!S182*S$7</f>
        <v>0</v>
      </c>
      <c r="T182" s="198">
        <f>Qty!X105*'Hist. prices'!T182*T$7</f>
        <v>0</v>
      </c>
      <c r="U182" s="198">
        <f>Qty!Y105*'Hist. prices'!U182*U$7</f>
        <v>0</v>
      </c>
      <c r="V182" s="198">
        <f>Qty!Z105*'Hist. prices'!V182*V$7</f>
        <v>0</v>
      </c>
      <c r="W182" s="198">
        <f>Qty!AA105*'Hist. prices'!W182*W$7</f>
        <v>0</v>
      </c>
      <c r="X182" s="198">
        <f>Qty!AB105*'Hist. prices'!X182*X$7</f>
        <v>0</v>
      </c>
      <c r="Y182" s="198">
        <f>Qty!AC105*'Hist. prices'!Y182*Y$7</f>
        <v>0</v>
      </c>
      <c r="Z182" s="198">
        <f>Qty!AD105*'Hist. prices'!Z182*Z$7</f>
        <v>0</v>
      </c>
      <c r="AA182" s="198">
        <f>Qty!AE105*'Hist. prices'!AA182*AA$7</f>
        <v>0</v>
      </c>
      <c r="AB182" s="198">
        <f>Qty!AF105*'Hist. prices'!AB182*AB$7</f>
        <v>0</v>
      </c>
      <c r="AC182" s="206">
        <f t="shared" si="17"/>
        <v>0</v>
      </c>
      <c r="AD182" s="68"/>
      <c r="AE182" s="19"/>
      <c r="AF182" s="19"/>
      <c r="AG182" s="19"/>
      <c r="AH182" s="19"/>
    </row>
    <row r="183" spans="1:34" hidden="1" outlineLevel="2" x14ac:dyDescent="0.2">
      <c r="A183" s="19"/>
      <c r="B183" s="19"/>
      <c r="C183" s="506" t="str">
        <f t="shared" si="18"/>
        <v>Street lighting</v>
      </c>
      <c r="D183" s="505" t="str">
        <f t="shared" si="18"/>
        <v>Street lighting</v>
      </c>
      <c r="E183" s="505" t="str">
        <f t="shared" si="18"/>
        <v>TASUMSSL</v>
      </c>
      <c r="F183" s="505">
        <f t="shared" si="18"/>
        <v>0</v>
      </c>
      <c r="G183" s="505">
        <f t="shared" si="18"/>
        <v>0</v>
      </c>
      <c r="H183" s="58"/>
      <c r="I183" s="198">
        <f>Qty!M106*'Hist. prices'!I183*I$7</f>
        <v>0</v>
      </c>
      <c r="J183" s="198">
        <f>Qty!N106*'Hist. prices'!J183*J$7</f>
        <v>0</v>
      </c>
      <c r="K183" s="198">
        <f>Qty!O106*'Hist. prices'!K183*K$7</f>
        <v>0</v>
      </c>
      <c r="L183" s="198">
        <f>Qty!P106*'Hist. prices'!L183*L$7</f>
        <v>0</v>
      </c>
      <c r="M183" s="198">
        <f>Qty!Q106*'Hist. prices'!M183*M$7</f>
        <v>0</v>
      </c>
      <c r="N183" s="198">
        <f>Qty!R106*'Hist. prices'!N183*N$7</f>
        <v>0</v>
      </c>
      <c r="O183" s="198">
        <f>Qty!S106*'Hist. prices'!O183*O$7</f>
        <v>0</v>
      </c>
      <c r="P183" s="198">
        <f>Qty!T106*'Hist. prices'!P183*P$7</f>
        <v>0</v>
      </c>
      <c r="Q183" s="198">
        <f>Qty!U106*'Hist. prices'!Q183*Q$7</f>
        <v>0</v>
      </c>
      <c r="R183" s="198">
        <f>Qty!V106*'Hist. prices'!R183*R$7</f>
        <v>0</v>
      </c>
      <c r="S183" s="198">
        <f>Qty!W106*'Hist. prices'!S183*S$7</f>
        <v>0</v>
      </c>
      <c r="T183" s="198">
        <f>Qty!X106*'Hist. prices'!T183*T$7</f>
        <v>0</v>
      </c>
      <c r="U183" s="198">
        <f>Qty!Y106*'Hist. prices'!U183*U$7</f>
        <v>0</v>
      </c>
      <c r="V183" s="198">
        <f>Qty!Z106*'Hist. prices'!V183*V$7</f>
        <v>0</v>
      </c>
      <c r="W183" s="198">
        <f>Qty!AA106*'Hist. prices'!W183*W$7</f>
        <v>0</v>
      </c>
      <c r="X183" s="198">
        <f>Qty!AB106*'Hist. prices'!X183*X$7</f>
        <v>0</v>
      </c>
      <c r="Y183" s="198">
        <f>Qty!AC106*'Hist. prices'!Y183*Y$7</f>
        <v>0</v>
      </c>
      <c r="Z183" s="198">
        <f>Qty!AD106*'Hist. prices'!Z183*Z$7</f>
        <v>0</v>
      </c>
      <c r="AA183" s="198">
        <f>Qty!AE106*'Hist. prices'!AA183*AA$7</f>
        <v>0</v>
      </c>
      <c r="AB183" s="198">
        <f>Qty!AF106*'Hist. prices'!AB183*AB$7</f>
        <v>0</v>
      </c>
      <c r="AC183" s="206">
        <f t="shared" si="17"/>
        <v>0</v>
      </c>
      <c r="AD183" s="68"/>
      <c r="AE183" s="19"/>
      <c r="AF183" s="19"/>
      <c r="AG183" s="19"/>
      <c r="AH183" s="19"/>
    </row>
    <row r="184" spans="1:34" hidden="1" outlineLevel="2" x14ac:dyDescent="0.2">
      <c r="A184" s="19"/>
      <c r="B184" s="19"/>
      <c r="C184" s="506">
        <f t="shared" ref="C184:G193" si="19">C28</f>
        <v>0</v>
      </c>
      <c r="D184" s="505">
        <f t="shared" si="19"/>
        <v>0</v>
      </c>
      <c r="E184" s="505">
        <f t="shared" si="19"/>
        <v>0</v>
      </c>
      <c r="F184" s="505">
        <f t="shared" si="19"/>
        <v>0</v>
      </c>
      <c r="G184" s="505">
        <f t="shared" si="19"/>
        <v>0</v>
      </c>
      <c r="H184" s="58"/>
      <c r="I184" s="198">
        <f>Qty!M107*'Hist. prices'!I184*I$7</f>
        <v>0</v>
      </c>
      <c r="J184" s="198">
        <f>Qty!N107*'Hist. prices'!J184*J$7</f>
        <v>0</v>
      </c>
      <c r="K184" s="198">
        <f>Qty!O107*'Hist. prices'!K184*K$7</f>
        <v>0</v>
      </c>
      <c r="L184" s="198">
        <f>Qty!P107*'Hist. prices'!L184*L$7</f>
        <v>0</v>
      </c>
      <c r="M184" s="198">
        <f>Qty!Q107*'Hist. prices'!M184*M$7</f>
        <v>0</v>
      </c>
      <c r="N184" s="198">
        <f>Qty!R107*'Hist. prices'!N184*N$7</f>
        <v>0</v>
      </c>
      <c r="O184" s="198">
        <f>Qty!S107*'Hist. prices'!O184*O$7</f>
        <v>0</v>
      </c>
      <c r="P184" s="198">
        <f>Qty!T107*'Hist. prices'!P184*P$7</f>
        <v>0</v>
      </c>
      <c r="Q184" s="198">
        <f>Qty!U107*'Hist. prices'!Q184*Q$7</f>
        <v>0</v>
      </c>
      <c r="R184" s="198">
        <f>Qty!V107*'Hist. prices'!R184*R$7</f>
        <v>0</v>
      </c>
      <c r="S184" s="198">
        <f>Qty!W107*'Hist. prices'!S184*S$7</f>
        <v>0</v>
      </c>
      <c r="T184" s="198">
        <f>Qty!X107*'Hist. prices'!T184*T$7</f>
        <v>0</v>
      </c>
      <c r="U184" s="198">
        <f>Qty!Y107*'Hist. prices'!U184*U$7</f>
        <v>0</v>
      </c>
      <c r="V184" s="198">
        <f>Qty!Z107*'Hist. prices'!V184*V$7</f>
        <v>0</v>
      </c>
      <c r="W184" s="198">
        <f>Qty!AA107*'Hist. prices'!W184*W$7</f>
        <v>0</v>
      </c>
      <c r="X184" s="198">
        <f>Qty!AB107*'Hist. prices'!X184*X$7</f>
        <v>0</v>
      </c>
      <c r="Y184" s="198">
        <f>Qty!AC107*'Hist. prices'!Y184*Y$7</f>
        <v>0</v>
      </c>
      <c r="Z184" s="198">
        <f>Qty!AD107*'Hist. prices'!Z184*Z$7</f>
        <v>0</v>
      </c>
      <c r="AA184" s="198">
        <f>Qty!AE107*'Hist. prices'!AA184*AA$7</f>
        <v>0</v>
      </c>
      <c r="AB184" s="198">
        <f>Qty!AF107*'Hist. prices'!AB184*AB$7</f>
        <v>0</v>
      </c>
      <c r="AC184" s="206">
        <f t="shared" si="17"/>
        <v>0</v>
      </c>
      <c r="AD184" s="68"/>
      <c r="AE184" s="19"/>
      <c r="AF184" s="19"/>
      <c r="AG184" s="19"/>
      <c r="AH184" s="19"/>
    </row>
    <row r="185" spans="1:34" hidden="1" outlineLevel="2" x14ac:dyDescent="0.2">
      <c r="A185" s="19"/>
      <c r="B185" s="19"/>
      <c r="C185" s="506">
        <f t="shared" si="19"/>
        <v>0</v>
      </c>
      <c r="D185" s="505">
        <f t="shared" si="19"/>
        <v>0</v>
      </c>
      <c r="E185" s="505">
        <f t="shared" si="19"/>
        <v>0</v>
      </c>
      <c r="F185" s="505">
        <f t="shared" si="19"/>
        <v>0</v>
      </c>
      <c r="G185" s="505">
        <f t="shared" si="19"/>
        <v>0</v>
      </c>
      <c r="H185" s="58"/>
      <c r="I185" s="198">
        <f>Qty!M108*'Hist. prices'!I185*I$7</f>
        <v>0</v>
      </c>
      <c r="J185" s="198">
        <f>Qty!N108*'Hist. prices'!J185*J$7</f>
        <v>0</v>
      </c>
      <c r="K185" s="198">
        <f>Qty!O108*'Hist. prices'!K185*K$7</f>
        <v>0</v>
      </c>
      <c r="L185" s="198">
        <f>Qty!P108*'Hist. prices'!L185*L$7</f>
        <v>0</v>
      </c>
      <c r="M185" s="198">
        <f>Qty!Q108*'Hist. prices'!M185*M$7</f>
        <v>0</v>
      </c>
      <c r="N185" s="198">
        <f>Qty!R108*'Hist. prices'!N185*N$7</f>
        <v>0</v>
      </c>
      <c r="O185" s="198">
        <f>Qty!S108*'Hist. prices'!O185*O$7</f>
        <v>0</v>
      </c>
      <c r="P185" s="198">
        <f>Qty!T108*'Hist. prices'!P185*P$7</f>
        <v>0</v>
      </c>
      <c r="Q185" s="198">
        <f>Qty!U108*'Hist. prices'!Q185*Q$7</f>
        <v>0</v>
      </c>
      <c r="R185" s="198">
        <f>Qty!V108*'Hist. prices'!R185*R$7</f>
        <v>0</v>
      </c>
      <c r="S185" s="198">
        <f>Qty!W108*'Hist. prices'!S185*S$7</f>
        <v>0</v>
      </c>
      <c r="T185" s="198">
        <f>Qty!X108*'Hist. prices'!T185*T$7</f>
        <v>0</v>
      </c>
      <c r="U185" s="198">
        <f>Qty!Y108*'Hist. prices'!U185*U$7</f>
        <v>0</v>
      </c>
      <c r="V185" s="198">
        <f>Qty!Z108*'Hist. prices'!V185*V$7</f>
        <v>0</v>
      </c>
      <c r="W185" s="198">
        <f>Qty!AA108*'Hist. prices'!W185*W$7</f>
        <v>0</v>
      </c>
      <c r="X185" s="198">
        <f>Qty!AB108*'Hist. prices'!X185*X$7</f>
        <v>0</v>
      </c>
      <c r="Y185" s="198">
        <f>Qty!AC108*'Hist. prices'!Y185*Y$7</f>
        <v>0</v>
      </c>
      <c r="Z185" s="198">
        <f>Qty!AD108*'Hist. prices'!Z185*Z$7</f>
        <v>0</v>
      </c>
      <c r="AA185" s="198">
        <f>Qty!AE108*'Hist. prices'!AA185*AA$7</f>
        <v>0</v>
      </c>
      <c r="AB185" s="198">
        <f>Qty!AF108*'Hist. prices'!AB185*AB$7</f>
        <v>0</v>
      </c>
      <c r="AC185" s="206">
        <f t="shared" si="17"/>
        <v>0</v>
      </c>
      <c r="AD185" s="68"/>
      <c r="AE185" s="19"/>
      <c r="AF185" s="19"/>
      <c r="AG185" s="19"/>
      <c r="AH185" s="19"/>
    </row>
    <row r="186" spans="1:34" hidden="1" outlineLevel="2" x14ac:dyDescent="0.2">
      <c r="A186" s="19"/>
      <c r="B186" s="19"/>
      <c r="C186" s="506">
        <f t="shared" si="19"/>
        <v>0</v>
      </c>
      <c r="D186" s="505">
        <f t="shared" si="19"/>
        <v>0</v>
      </c>
      <c r="E186" s="505">
        <f t="shared" si="19"/>
        <v>0</v>
      </c>
      <c r="F186" s="505">
        <f t="shared" si="19"/>
        <v>0</v>
      </c>
      <c r="G186" s="505">
        <f t="shared" si="19"/>
        <v>0</v>
      </c>
      <c r="H186" s="58"/>
      <c r="I186" s="198">
        <f>Qty!M109*'Hist. prices'!I186*I$7</f>
        <v>0</v>
      </c>
      <c r="J186" s="198">
        <f>Qty!N109*'Hist. prices'!J186*J$7</f>
        <v>0</v>
      </c>
      <c r="K186" s="198">
        <f>Qty!O109*'Hist. prices'!K186*K$7</f>
        <v>0</v>
      </c>
      <c r="L186" s="198">
        <f>Qty!P109*'Hist. prices'!L186*L$7</f>
        <v>0</v>
      </c>
      <c r="M186" s="198">
        <f>Qty!Q109*'Hist. prices'!M186*M$7</f>
        <v>0</v>
      </c>
      <c r="N186" s="198">
        <f>Qty!R109*'Hist. prices'!N186*N$7</f>
        <v>0</v>
      </c>
      <c r="O186" s="198">
        <f>Qty!S109*'Hist. prices'!O186*O$7</f>
        <v>0</v>
      </c>
      <c r="P186" s="198">
        <f>Qty!T109*'Hist. prices'!P186*P$7</f>
        <v>0</v>
      </c>
      <c r="Q186" s="198">
        <f>Qty!U109*'Hist. prices'!Q186*Q$7</f>
        <v>0</v>
      </c>
      <c r="R186" s="198">
        <f>Qty!V109*'Hist. prices'!R186*R$7</f>
        <v>0</v>
      </c>
      <c r="S186" s="198">
        <f>Qty!W109*'Hist. prices'!S186*S$7</f>
        <v>0</v>
      </c>
      <c r="T186" s="198">
        <f>Qty!X109*'Hist. prices'!T186*T$7</f>
        <v>0</v>
      </c>
      <c r="U186" s="198">
        <f>Qty!Y109*'Hist. prices'!U186*U$7</f>
        <v>0</v>
      </c>
      <c r="V186" s="198">
        <f>Qty!Z109*'Hist. prices'!V186*V$7</f>
        <v>0</v>
      </c>
      <c r="W186" s="198">
        <f>Qty!AA109*'Hist. prices'!W186*W$7</f>
        <v>0</v>
      </c>
      <c r="X186" s="198">
        <f>Qty!AB109*'Hist. prices'!X186*X$7</f>
        <v>0</v>
      </c>
      <c r="Y186" s="198">
        <f>Qty!AC109*'Hist. prices'!Y186*Y$7</f>
        <v>0</v>
      </c>
      <c r="Z186" s="198">
        <f>Qty!AD109*'Hist. prices'!Z186*Z$7</f>
        <v>0</v>
      </c>
      <c r="AA186" s="198">
        <f>Qty!AE109*'Hist. prices'!AA186*AA$7</f>
        <v>0</v>
      </c>
      <c r="AB186" s="198">
        <f>Qty!AF109*'Hist. prices'!AB186*AB$7</f>
        <v>0</v>
      </c>
      <c r="AC186" s="206">
        <f t="shared" si="17"/>
        <v>0</v>
      </c>
      <c r="AD186" s="68"/>
      <c r="AE186" s="19"/>
      <c r="AF186" s="19"/>
      <c r="AG186" s="19"/>
      <c r="AH186" s="19"/>
    </row>
    <row r="187" spans="1:34" hidden="1" outlineLevel="2" x14ac:dyDescent="0.2">
      <c r="A187" s="19"/>
      <c r="B187" s="19"/>
      <c r="C187" s="506">
        <f t="shared" si="19"/>
        <v>0</v>
      </c>
      <c r="D187" s="505">
        <f t="shared" si="19"/>
        <v>0</v>
      </c>
      <c r="E187" s="505">
        <f t="shared" si="19"/>
        <v>0</v>
      </c>
      <c r="F187" s="505">
        <f t="shared" si="19"/>
        <v>0</v>
      </c>
      <c r="G187" s="505">
        <f t="shared" si="19"/>
        <v>0</v>
      </c>
      <c r="H187" s="58"/>
      <c r="I187" s="198">
        <f>Qty!M110*'Hist. prices'!I187*I$7</f>
        <v>0</v>
      </c>
      <c r="J187" s="198">
        <f>Qty!N110*'Hist. prices'!J187*J$7</f>
        <v>0</v>
      </c>
      <c r="K187" s="198">
        <f>Qty!O110*'Hist. prices'!K187*K$7</f>
        <v>0</v>
      </c>
      <c r="L187" s="198">
        <f>Qty!P110*'Hist. prices'!L187*L$7</f>
        <v>0</v>
      </c>
      <c r="M187" s="198">
        <f>Qty!Q110*'Hist. prices'!M187*M$7</f>
        <v>0</v>
      </c>
      <c r="N187" s="198">
        <f>Qty!R110*'Hist. prices'!N187*N$7</f>
        <v>0</v>
      </c>
      <c r="O187" s="198">
        <f>Qty!S110*'Hist. prices'!O187*O$7</f>
        <v>0</v>
      </c>
      <c r="P187" s="198">
        <f>Qty!T110*'Hist. prices'!P187*P$7</f>
        <v>0</v>
      </c>
      <c r="Q187" s="198">
        <f>Qty!U110*'Hist. prices'!Q187*Q$7</f>
        <v>0</v>
      </c>
      <c r="R187" s="198">
        <f>Qty!V110*'Hist. prices'!R187*R$7</f>
        <v>0</v>
      </c>
      <c r="S187" s="198">
        <f>Qty!W110*'Hist. prices'!S187*S$7</f>
        <v>0</v>
      </c>
      <c r="T187" s="198">
        <f>Qty!X110*'Hist. prices'!T187*T$7</f>
        <v>0</v>
      </c>
      <c r="U187" s="198">
        <f>Qty!Y110*'Hist. prices'!U187*U$7</f>
        <v>0</v>
      </c>
      <c r="V187" s="198">
        <f>Qty!Z110*'Hist. prices'!V187*V$7</f>
        <v>0</v>
      </c>
      <c r="W187" s="198">
        <f>Qty!AA110*'Hist. prices'!W187*W$7</f>
        <v>0</v>
      </c>
      <c r="X187" s="198">
        <f>Qty!AB110*'Hist. prices'!X187*X$7</f>
        <v>0</v>
      </c>
      <c r="Y187" s="198">
        <f>Qty!AC110*'Hist. prices'!Y187*Y$7</f>
        <v>0</v>
      </c>
      <c r="Z187" s="198">
        <f>Qty!AD110*'Hist. prices'!Z187*Z$7</f>
        <v>0</v>
      </c>
      <c r="AA187" s="198">
        <f>Qty!AE110*'Hist. prices'!AA187*AA$7</f>
        <v>0</v>
      </c>
      <c r="AB187" s="198">
        <f>Qty!AF110*'Hist. prices'!AB187*AB$7</f>
        <v>0</v>
      </c>
      <c r="AC187" s="206">
        <f t="shared" si="17"/>
        <v>0</v>
      </c>
      <c r="AD187" s="68"/>
      <c r="AE187" s="19"/>
      <c r="AF187" s="19"/>
      <c r="AG187" s="19"/>
      <c r="AH187" s="19"/>
    </row>
    <row r="188" spans="1:34" hidden="1" outlineLevel="2" x14ac:dyDescent="0.2">
      <c r="A188" s="19"/>
      <c r="B188" s="19"/>
      <c r="C188" s="506">
        <f t="shared" si="19"/>
        <v>0</v>
      </c>
      <c r="D188" s="505">
        <f t="shared" si="19"/>
        <v>0</v>
      </c>
      <c r="E188" s="505">
        <f t="shared" si="19"/>
        <v>0</v>
      </c>
      <c r="F188" s="505">
        <f t="shared" si="19"/>
        <v>0</v>
      </c>
      <c r="G188" s="505">
        <f t="shared" si="19"/>
        <v>0</v>
      </c>
      <c r="H188" s="58"/>
      <c r="I188" s="198">
        <f>Qty!M111*'Hist. prices'!I188*I$7</f>
        <v>0</v>
      </c>
      <c r="J188" s="198">
        <f>Qty!N111*'Hist. prices'!J188*J$7</f>
        <v>0</v>
      </c>
      <c r="K188" s="198">
        <f>Qty!O111*'Hist. prices'!K188*K$7</f>
        <v>0</v>
      </c>
      <c r="L188" s="198">
        <f>Qty!P111*'Hist. prices'!L188*L$7</f>
        <v>0</v>
      </c>
      <c r="M188" s="198">
        <f>Qty!Q111*'Hist. prices'!M188*M$7</f>
        <v>0</v>
      </c>
      <c r="N188" s="198">
        <f>Qty!R111*'Hist. prices'!N188*N$7</f>
        <v>0</v>
      </c>
      <c r="O188" s="198">
        <f>Qty!S111*'Hist. prices'!O188*O$7</f>
        <v>0</v>
      </c>
      <c r="P188" s="198">
        <f>Qty!T111*'Hist. prices'!P188*P$7</f>
        <v>0</v>
      </c>
      <c r="Q188" s="198">
        <f>Qty!U111*'Hist. prices'!Q188*Q$7</f>
        <v>0</v>
      </c>
      <c r="R188" s="198">
        <f>Qty!V111*'Hist. prices'!R188*R$7</f>
        <v>0</v>
      </c>
      <c r="S188" s="198">
        <f>Qty!W111*'Hist. prices'!S188*S$7</f>
        <v>0</v>
      </c>
      <c r="T188" s="198">
        <f>Qty!X111*'Hist. prices'!T188*T$7</f>
        <v>0</v>
      </c>
      <c r="U188" s="198">
        <f>Qty!Y111*'Hist. prices'!U188*U$7</f>
        <v>0</v>
      </c>
      <c r="V188" s="198">
        <f>Qty!Z111*'Hist. prices'!V188*V$7</f>
        <v>0</v>
      </c>
      <c r="W188" s="198">
        <f>Qty!AA111*'Hist. prices'!W188*W$7</f>
        <v>0</v>
      </c>
      <c r="X188" s="198">
        <f>Qty!AB111*'Hist. prices'!X188*X$7</f>
        <v>0</v>
      </c>
      <c r="Y188" s="198">
        <f>Qty!AC111*'Hist. prices'!Y188*Y$7</f>
        <v>0</v>
      </c>
      <c r="Z188" s="198">
        <f>Qty!AD111*'Hist. prices'!Z188*Z$7</f>
        <v>0</v>
      </c>
      <c r="AA188" s="198">
        <f>Qty!AE111*'Hist. prices'!AA188*AA$7</f>
        <v>0</v>
      </c>
      <c r="AB188" s="198">
        <f>Qty!AF111*'Hist. prices'!AB188*AB$7</f>
        <v>0</v>
      </c>
      <c r="AC188" s="206">
        <f t="shared" si="17"/>
        <v>0</v>
      </c>
      <c r="AD188" s="68"/>
      <c r="AE188" s="19"/>
      <c r="AF188" s="19"/>
      <c r="AG188" s="19"/>
      <c r="AH188" s="19"/>
    </row>
    <row r="189" spans="1:34" hidden="1" outlineLevel="2" x14ac:dyDescent="0.2">
      <c r="A189" s="19"/>
      <c r="B189" s="19"/>
      <c r="C189" s="506">
        <f t="shared" si="19"/>
        <v>0</v>
      </c>
      <c r="D189" s="505">
        <f t="shared" si="19"/>
        <v>0</v>
      </c>
      <c r="E189" s="505">
        <f t="shared" si="19"/>
        <v>0</v>
      </c>
      <c r="F189" s="505">
        <f t="shared" si="19"/>
        <v>0</v>
      </c>
      <c r="G189" s="505">
        <f t="shared" si="19"/>
        <v>0</v>
      </c>
      <c r="H189" s="58"/>
      <c r="I189" s="198">
        <f>Qty!M112*'Hist. prices'!I189*I$7</f>
        <v>0</v>
      </c>
      <c r="J189" s="198">
        <f>Qty!N112*'Hist. prices'!J189*J$7</f>
        <v>0</v>
      </c>
      <c r="K189" s="198">
        <f>Qty!O112*'Hist. prices'!K189*K$7</f>
        <v>0</v>
      </c>
      <c r="L189" s="198">
        <f>Qty!P112*'Hist. prices'!L189*L$7</f>
        <v>0</v>
      </c>
      <c r="M189" s="198">
        <f>Qty!Q112*'Hist. prices'!M189*M$7</f>
        <v>0</v>
      </c>
      <c r="N189" s="198">
        <f>Qty!R112*'Hist. prices'!N189*N$7</f>
        <v>0</v>
      </c>
      <c r="O189" s="198">
        <f>Qty!S112*'Hist. prices'!O189*O$7</f>
        <v>0</v>
      </c>
      <c r="P189" s="198">
        <f>Qty!T112*'Hist. prices'!P189*P$7</f>
        <v>0</v>
      </c>
      <c r="Q189" s="198">
        <f>Qty!U112*'Hist. prices'!Q189*Q$7</f>
        <v>0</v>
      </c>
      <c r="R189" s="198">
        <f>Qty!V112*'Hist. prices'!R189*R$7</f>
        <v>0</v>
      </c>
      <c r="S189" s="198">
        <f>Qty!W112*'Hist. prices'!S189*S$7</f>
        <v>0</v>
      </c>
      <c r="T189" s="198">
        <f>Qty!X112*'Hist. prices'!T189*T$7</f>
        <v>0</v>
      </c>
      <c r="U189" s="198">
        <f>Qty!Y112*'Hist. prices'!U189*U$7</f>
        <v>0</v>
      </c>
      <c r="V189" s="198">
        <f>Qty!Z112*'Hist. prices'!V189*V$7</f>
        <v>0</v>
      </c>
      <c r="W189" s="198">
        <f>Qty!AA112*'Hist. prices'!W189*W$7</f>
        <v>0</v>
      </c>
      <c r="X189" s="198">
        <f>Qty!AB112*'Hist. prices'!X189*X$7</f>
        <v>0</v>
      </c>
      <c r="Y189" s="198">
        <f>Qty!AC112*'Hist. prices'!Y189*Y$7</f>
        <v>0</v>
      </c>
      <c r="Z189" s="198">
        <f>Qty!AD112*'Hist. prices'!Z189*Z$7</f>
        <v>0</v>
      </c>
      <c r="AA189" s="198">
        <f>Qty!AE112*'Hist. prices'!AA189*AA$7</f>
        <v>0</v>
      </c>
      <c r="AB189" s="198">
        <f>Qty!AF112*'Hist. prices'!AB189*AB$7</f>
        <v>0</v>
      </c>
      <c r="AC189" s="206">
        <f t="shared" si="17"/>
        <v>0</v>
      </c>
      <c r="AD189" s="68"/>
      <c r="AE189" s="19"/>
      <c r="AF189" s="19"/>
      <c r="AG189" s="19"/>
      <c r="AH189" s="19"/>
    </row>
    <row r="190" spans="1:34" hidden="1" outlineLevel="2" x14ac:dyDescent="0.2">
      <c r="A190" s="19"/>
      <c r="B190" s="19"/>
      <c r="C190" s="506">
        <f t="shared" si="19"/>
        <v>0</v>
      </c>
      <c r="D190" s="505">
        <f t="shared" si="19"/>
        <v>0</v>
      </c>
      <c r="E190" s="505">
        <f t="shared" si="19"/>
        <v>0</v>
      </c>
      <c r="F190" s="505">
        <f t="shared" si="19"/>
        <v>0</v>
      </c>
      <c r="G190" s="505">
        <f t="shared" si="19"/>
        <v>0</v>
      </c>
      <c r="H190" s="58"/>
      <c r="I190" s="198">
        <f>Qty!M113*'Hist. prices'!I190*I$7</f>
        <v>0</v>
      </c>
      <c r="J190" s="198">
        <f>Qty!N113*'Hist. prices'!J190*J$7</f>
        <v>0</v>
      </c>
      <c r="K190" s="198">
        <f>Qty!O113*'Hist. prices'!K190*K$7</f>
        <v>0</v>
      </c>
      <c r="L190" s="198">
        <f>Qty!P113*'Hist. prices'!L190*L$7</f>
        <v>0</v>
      </c>
      <c r="M190" s="198">
        <f>Qty!Q113*'Hist. prices'!M190*M$7</f>
        <v>0</v>
      </c>
      <c r="N190" s="198">
        <f>Qty!R113*'Hist. prices'!N190*N$7</f>
        <v>0</v>
      </c>
      <c r="O190" s="198">
        <f>Qty!S113*'Hist. prices'!O190*O$7</f>
        <v>0</v>
      </c>
      <c r="P190" s="198">
        <f>Qty!T113*'Hist. prices'!P190*P$7</f>
        <v>0</v>
      </c>
      <c r="Q190" s="198">
        <f>Qty!U113*'Hist. prices'!Q190*Q$7</f>
        <v>0</v>
      </c>
      <c r="R190" s="198">
        <f>Qty!V113*'Hist. prices'!R190*R$7</f>
        <v>0</v>
      </c>
      <c r="S190" s="198">
        <f>Qty!W113*'Hist. prices'!S190*S$7</f>
        <v>0</v>
      </c>
      <c r="T190" s="198">
        <f>Qty!X113*'Hist. prices'!T190*T$7</f>
        <v>0</v>
      </c>
      <c r="U190" s="198">
        <f>Qty!Y113*'Hist. prices'!U190*U$7</f>
        <v>0</v>
      </c>
      <c r="V190" s="198">
        <f>Qty!Z113*'Hist. prices'!V190*V$7</f>
        <v>0</v>
      </c>
      <c r="W190" s="198">
        <f>Qty!AA113*'Hist. prices'!W190*W$7</f>
        <v>0</v>
      </c>
      <c r="X190" s="198">
        <f>Qty!AB113*'Hist. prices'!X190*X$7</f>
        <v>0</v>
      </c>
      <c r="Y190" s="198">
        <f>Qty!AC113*'Hist. prices'!Y190*Y$7</f>
        <v>0</v>
      </c>
      <c r="Z190" s="198">
        <f>Qty!AD113*'Hist. prices'!Z190*Z$7</f>
        <v>0</v>
      </c>
      <c r="AA190" s="198">
        <f>Qty!AE113*'Hist. prices'!AA190*AA$7</f>
        <v>0</v>
      </c>
      <c r="AB190" s="198">
        <f>Qty!AF113*'Hist. prices'!AB190*AB$7</f>
        <v>0</v>
      </c>
      <c r="AC190" s="206">
        <f t="shared" si="17"/>
        <v>0</v>
      </c>
      <c r="AD190" s="68"/>
      <c r="AE190" s="19"/>
      <c r="AF190" s="19"/>
      <c r="AG190" s="19"/>
      <c r="AH190" s="19"/>
    </row>
    <row r="191" spans="1:34" hidden="1" outlineLevel="2" x14ac:dyDescent="0.2">
      <c r="A191" s="19"/>
      <c r="B191" s="19"/>
      <c r="C191" s="506">
        <f t="shared" si="19"/>
        <v>0</v>
      </c>
      <c r="D191" s="505">
        <f t="shared" si="19"/>
        <v>0</v>
      </c>
      <c r="E191" s="505">
        <f t="shared" si="19"/>
        <v>0</v>
      </c>
      <c r="F191" s="505">
        <f t="shared" si="19"/>
        <v>0</v>
      </c>
      <c r="G191" s="505">
        <f t="shared" si="19"/>
        <v>0</v>
      </c>
      <c r="H191" s="58"/>
      <c r="I191" s="198">
        <f>Qty!M114*'Hist. prices'!I191*I$7</f>
        <v>0</v>
      </c>
      <c r="J191" s="198">
        <f>Qty!N114*'Hist. prices'!J191*J$7</f>
        <v>0</v>
      </c>
      <c r="K191" s="198">
        <f>Qty!O114*'Hist. prices'!K191*K$7</f>
        <v>0</v>
      </c>
      <c r="L191" s="198">
        <f>Qty!P114*'Hist. prices'!L191*L$7</f>
        <v>0</v>
      </c>
      <c r="M191" s="198">
        <f>Qty!Q114*'Hist. prices'!M191*M$7</f>
        <v>0</v>
      </c>
      <c r="N191" s="198">
        <f>Qty!R114*'Hist. prices'!N191*N$7</f>
        <v>0</v>
      </c>
      <c r="O191" s="198">
        <f>Qty!S114*'Hist. prices'!O191*O$7</f>
        <v>0</v>
      </c>
      <c r="P191" s="198">
        <f>Qty!T114*'Hist. prices'!P191*P$7</f>
        <v>0</v>
      </c>
      <c r="Q191" s="198">
        <f>Qty!U114*'Hist. prices'!Q191*Q$7</f>
        <v>0</v>
      </c>
      <c r="R191" s="198">
        <f>Qty!V114*'Hist. prices'!R191*R$7</f>
        <v>0</v>
      </c>
      <c r="S191" s="198">
        <f>Qty!W114*'Hist. prices'!S191*S$7</f>
        <v>0</v>
      </c>
      <c r="T191" s="198">
        <f>Qty!X114*'Hist. prices'!T191*T$7</f>
        <v>0</v>
      </c>
      <c r="U191" s="198">
        <f>Qty!Y114*'Hist. prices'!U191*U$7</f>
        <v>0</v>
      </c>
      <c r="V191" s="198">
        <f>Qty!Z114*'Hist. prices'!V191*V$7</f>
        <v>0</v>
      </c>
      <c r="W191" s="198">
        <f>Qty!AA114*'Hist. prices'!W191*W$7</f>
        <v>0</v>
      </c>
      <c r="X191" s="198">
        <f>Qty!AB114*'Hist. prices'!X191*X$7</f>
        <v>0</v>
      </c>
      <c r="Y191" s="198">
        <f>Qty!AC114*'Hist. prices'!Y191*Y$7</f>
        <v>0</v>
      </c>
      <c r="Z191" s="198">
        <f>Qty!AD114*'Hist. prices'!Z191*Z$7</f>
        <v>0</v>
      </c>
      <c r="AA191" s="198">
        <f>Qty!AE114*'Hist. prices'!AA191*AA$7</f>
        <v>0</v>
      </c>
      <c r="AB191" s="198">
        <f>Qty!AF114*'Hist. prices'!AB191*AB$7</f>
        <v>0</v>
      </c>
      <c r="AC191" s="206">
        <f t="shared" si="17"/>
        <v>0</v>
      </c>
      <c r="AD191" s="68"/>
      <c r="AE191" s="19"/>
      <c r="AF191" s="19"/>
      <c r="AG191" s="19"/>
      <c r="AH191" s="19"/>
    </row>
    <row r="192" spans="1:34" hidden="1" outlineLevel="2" x14ac:dyDescent="0.2">
      <c r="A192" s="19"/>
      <c r="B192" s="19"/>
      <c r="C192" s="506">
        <f t="shared" si="19"/>
        <v>0</v>
      </c>
      <c r="D192" s="505">
        <f t="shared" si="19"/>
        <v>0</v>
      </c>
      <c r="E192" s="505">
        <f t="shared" si="19"/>
        <v>0</v>
      </c>
      <c r="F192" s="505">
        <f t="shared" si="19"/>
        <v>0</v>
      </c>
      <c r="G192" s="505">
        <f t="shared" si="19"/>
        <v>0</v>
      </c>
      <c r="H192" s="58"/>
      <c r="I192" s="198">
        <f>Qty!M115*'Hist. prices'!I192*I$7</f>
        <v>0</v>
      </c>
      <c r="J192" s="198">
        <f>Qty!N115*'Hist. prices'!J192*J$7</f>
        <v>0</v>
      </c>
      <c r="K192" s="198">
        <f>Qty!O115*'Hist. prices'!K192*K$7</f>
        <v>0</v>
      </c>
      <c r="L192" s="198">
        <f>Qty!P115*'Hist. prices'!L192*L$7</f>
        <v>0</v>
      </c>
      <c r="M192" s="198">
        <f>Qty!Q115*'Hist. prices'!M192*M$7</f>
        <v>0</v>
      </c>
      <c r="N192" s="198">
        <f>Qty!R115*'Hist. prices'!N192*N$7</f>
        <v>0</v>
      </c>
      <c r="O192" s="198">
        <f>Qty!S115*'Hist. prices'!O192*O$7</f>
        <v>0</v>
      </c>
      <c r="P192" s="198">
        <f>Qty!T115*'Hist. prices'!P192*P$7</f>
        <v>0</v>
      </c>
      <c r="Q192" s="198">
        <f>Qty!U115*'Hist. prices'!Q192*Q$7</f>
        <v>0</v>
      </c>
      <c r="R192" s="198">
        <f>Qty!V115*'Hist. prices'!R192*R$7</f>
        <v>0</v>
      </c>
      <c r="S192" s="198">
        <f>Qty!W115*'Hist. prices'!S192*S$7</f>
        <v>0</v>
      </c>
      <c r="T192" s="198">
        <f>Qty!X115*'Hist. prices'!T192*T$7</f>
        <v>0</v>
      </c>
      <c r="U192" s="198">
        <f>Qty!Y115*'Hist. prices'!U192*U$7</f>
        <v>0</v>
      </c>
      <c r="V192" s="198">
        <f>Qty!Z115*'Hist. prices'!V192*V$7</f>
        <v>0</v>
      </c>
      <c r="W192" s="198">
        <f>Qty!AA115*'Hist. prices'!W192*W$7</f>
        <v>0</v>
      </c>
      <c r="X192" s="198">
        <f>Qty!AB115*'Hist. prices'!X192*X$7</f>
        <v>0</v>
      </c>
      <c r="Y192" s="198">
        <f>Qty!AC115*'Hist. prices'!Y192*Y$7</f>
        <v>0</v>
      </c>
      <c r="Z192" s="198">
        <f>Qty!AD115*'Hist. prices'!Z192*Z$7</f>
        <v>0</v>
      </c>
      <c r="AA192" s="198">
        <f>Qty!AE115*'Hist. prices'!AA192*AA$7</f>
        <v>0</v>
      </c>
      <c r="AB192" s="198">
        <f>Qty!AF115*'Hist. prices'!AB192*AB$7</f>
        <v>0</v>
      </c>
      <c r="AC192" s="206">
        <f t="shared" si="17"/>
        <v>0</v>
      </c>
      <c r="AD192" s="68"/>
      <c r="AE192" s="19"/>
      <c r="AF192" s="19"/>
      <c r="AG192" s="19"/>
      <c r="AH192" s="19"/>
    </row>
    <row r="193" spans="1:34" hidden="1" outlineLevel="2" x14ac:dyDescent="0.2">
      <c r="A193" s="19"/>
      <c r="B193" s="19"/>
      <c r="C193" s="506">
        <f t="shared" si="19"/>
        <v>0</v>
      </c>
      <c r="D193" s="505">
        <f t="shared" si="19"/>
        <v>0</v>
      </c>
      <c r="E193" s="505">
        <f t="shared" si="19"/>
        <v>0</v>
      </c>
      <c r="F193" s="505">
        <f t="shared" si="19"/>
        <v>0</v>
      </c>
      <c r="G193" s="505">
        <f t="shared" si="19"/>
        <v>0</v>
      </c>
      <c r="H193" s="58"/>
      <c r="I193" s="198">
        <f>Qty!M116*'Hist. prices'!I193*I$7</f>
        <v>0</v>
      </c>
      <c r="J193" s="198">
        <f>Qty!N116*'Hist. prices'!J193*J$7</f>
        <v>0</v>
      </c>
      <c r="K193" s="198">
        <f>Qty!O116*'Hist. prices'!K193*K$7</f>
        <v>0</v>
      </c>
      <c r="L193" s="198">
        <f>Qty!P116*'Hist. prices'!L193*L$7</f>
        <v>0</v>
      </c>
      <c r="M193" s="198">
        <f>Qty!Q116*'Hist. prices'!M193*M$7</f>
        <v>0</v>
      </c>
      <c r="N193" s="198">
        <f>Qty!R116*'Hist. prices'!N193*N$7</f>
        <v>0</v>
      </c>
      <c r="O193" s="198">
        <f>Qty!S116*'Hist. prices'!O193*O$7</f>
        <v>0</v>
      </c>
      <c r="P193" s="198">
        <f>Qty!T116*'Hist. prices'!P193*P$7</f>
        <v>0</v>
      </c>
      <c r="Q193" s="198">
        <f>Qty!U116*'Hist. prices'!Q193*Q$7</f>
        <v>0</v>
      </c>
      <c r="R193" s="198">
        <f>Qty!V116*'Hist. prices'!R193*R$7</f>
        <v>0</v>
      </c>
      <c r="S193" s="198">
        <f>Qty!W116*'Hist. prices'!S193*S$7</f>
        <v>0</v>
      </c>
      <c r="T193" s="198">
        <f>Qty!X116*'Hist. prices'!T193*T$7</f>
        <v>0</v>
      </c>
      <c r="U193" s="198">
        <f>Qty!Y116*'Hist. prices'!U193*U$7</f>
        <v>0</v>
      </c>
      <c r="V193" s="198">
        <f>Qty!Z116*'Hist. prices'!V193*V$7</f>
        <v>0</v>
      </c>
      <c r="W193" s="198">
        <f>Qty!AA116*'Hist. prices'!W193*W$7</f>
        <v>0</v>
      </c>
      <c r="X193" s="198">
        <f>Qty!AB116*'Hist. prices'!X193*X$7</f>
        <v>0</v>
      </c>
      <c r="Y193" s="198">
        <f>Qty!AC116*'Hist. prices'!Y193*Y$7</f>
        <v>0</v>
      </c>
      <c r="Z193" s="198">
        <f>Qty!AD116*'Hist. prices'!Z193*Z$7</f>
        <v>0</v>
      </c>
      <c r="AA193" s="198">
        <f>Qty!AE116*'Hist. prices'!AA193*AA$7</f>
        <v>0</v>
      </c>
      <c r="AB193" s="198">
        <f>Qty!AF116*'Hist. prices'!AB193*AB$7</f>
        <v>0</v>
      </c>
      <c r="AC193" s="206">
        <f t="shared" si="17"/>
        <v>0</v>
      </c>
      <c r="AD193" s="68"/>
      <c r="AE193" s="19"/>
      <c r="AF193" s="19"/>
      <c r="AG193" s="19"/>
      <c r="AH193" s="19"/>
    </row>
    <row r="194" spans="1:34" hidden="1" outlineLevel="2" x14ac:dyDescent="0.2">
      <c r="A194" s="19"/>
      <c r="B194" s="19"/>
      <c r="C194" s="506">
        <f t="shared" ref="C194:G203" si="20">C38</f>
        <v>0</v>
      </c>
      <c r="D194" s="505">
        <f t="shared" si="20"/>
        <v>0</v>
      </c>
      <c r="E194" s="505">
        <f t="shared" si="20"/>
        <v>0</v>
      </c>
      <c r="F194" s="505">
        <f t="shared" si="20"/>
        <v>0</v>
      </c>
      <c r="G194" s="505">
        <f t="shared" si="20"/>
        <v>0</v>
      </c>
      <c r="H194" s="58"/>
      <c r="I194" s="198">
        <f>Qty!M117*'Hist. prices'!I194*I$7</f>
        <v>0</v>
      </c>
      <c r="J194" s="198">
        <f>Qty!N117*'Hist. prices'!J194*J$7</f>
        <v>0</v>
      </c>
      <c r="K194" s="198">
        <f>Qty!O117*'Hist. prices'!K194*K$7</f>
        <v>0</v>
      </c>
      <c r="L194" s="198">
        <f>Qty!P117*'Hist. prices'!L194*L$7</f>
        <v>0</v>
      </c>
      <c r="M194" s="198">
        <f>Qty!Q117*'Hist. prices'!M194*M$7</f>
        <v>0</v>
      </c>
      <c r="N194" s="198">
        <f>Qty!R117*'Hist. prices'!N194*N$7</f>
        <v>0</v>
      </c>
      <c r="O194" s="198">
        <f>Qty!S117*'Hist. prices'!O194*O$7</f>
        <v>0</v>
      </c>
      <c r="P194" s="198">
        <f>Qty!T117*'Hist. prices'!P194*P$7</f>
        <v>0</v>
      </c>
      <c r="Q194" s="198">
        <f>Qty!U117*'Hist. prices'!Q194*Q$7</f>
        <v>0</v>
      </c>
      <c r="R194" s="198">
        <f>Qty!V117*'Hist. prices'!R194*R$7</f>
        <v>0</v>
      </c>
      <c r="S194" s="198">
        <f>Qty!W117*'Hist. prices'!S194*S$7</f>
        <v>0</v>
      </c>
      <c r="T194" s="198">
        <f>Qty!X117*'Hist. prices'!T194*T$7</f>
        <v>0</v>
      </c>
      <c r="U194" s="198">
        <f>Qty!Y117*'Hist. prices'!U194*U$7</f>
        <v>0</v>
      </c>
      <c r="V194" s="198">
        <f>Qty!Z117*'Hist. prices'!V194*V$7</f>
        <v>0</v>
      </c>
      <c r="W194" s="198">
        <f>Qty!AA117*'Hist. prices'!W194*W$7</f>
        <v>0</v>
      </c>
      <c r="X194" s="198">
        <f>Qty!AB117*'Hist. prices'!X194*X$7</f>
        <v>0</v>
      </c>
      <c r="Y194" s="198">
        <f>Qty!AC117*'Hist. prices'!Y194*Y$7</f>
        <v>0</v>
      </c>
      <c r="Z194" s="198">
        <f>Qty!AD117*'Hist. prices'!Z194*Z$7</f>
        <v>0</v>
      </c>
      <c r="AA194" s="198">
        <f>Qty!AE117*'Hist. prices'!AA194*AA$7</f>
        <v>0</v>
      </c>
      <c r="AB194" s="198">
        <f>Qty!AF117*'Hist. prices'!AB194*AB$7</f>
        <v>0</v>
      </c>
      <c r="AC194" s="206">
        <f t="shared" si="17"/>
        <v>0</v>
      </c>
      <c r="AD194" s="68"/>
      <c r="AE194" s="19"/>
      <c r="AF194" s="19"/>
      <c r="AG194" s="19"/>
      <c r="AH194" s="19"/>
    </row>
    <row r="195" spans="1:34" hidden="1" outlineLevel="2" x14ac:dyDescent="0.2">
      <c r="A195" s="19"/>
      <c r="B195" s="19"/>
      <c r="C195" s="506">
        <f t="shared" si="20"/>
        <v>0</v>
      </c>
      <c r="D195" s="505">
        <f t="shared" si="20"/>
        <v>0</v>
      </c>
      <c r="E195" s="505">
        <f t="shared" si="20"/>
        <v>0</v>
      </c>
      <c r="F195" s="505">
        <f t="shared" si="20"/>
        <v>0</v>
      </c>
      <c r="G195" s="505">
        <f t="shared" si="20"/>
        <v>0</v>
      </c>
      <c r="H195" s="58"/>
      <c r="I195" s="198">
        <f>Qty!M118*'Hist. prices'!I195*I$7</f>
        <v>0</v>
      </c>
      <c r="J195" s="198">
        <f>Qty!N118*'Hist. prices'!J195*J$7</f>
        <v>0</v>
      </c>
      <c r="K195" s="198">
        <f>Qty!O118*'Hist. prices'!K195*K$7</f>
        <v>0</v>
      </c>
      <c r="L195" s="198">
        <f>Qty!P118*'Hist. prices'!L195*L$7</f>
        <v>0</v>
      </c>
      <c r="M195" s="198">
        <f>Qty!Q118*'Hist. prices'!M195*M$7</f>
        <v>0</v>
      </c>
      <c r="N195" s="198">
        <f>Qty!R118*'Hist. prices'!N195*N$7</f>
        <v>0</v>
      </c>
      <c r="O195" s="198">
        <f>Qty!S118*'Hist. prices'!O195*O$7</f>
        <v>0</v>
      </c>
      <c r="P195" s="198">
        <f>Qty!T118*'Hist. prices'!P195*P$7</f>
        <v>0</v>
      </c>
      <c r="Q195" s="198">
        <f>Qty!U118*'Hist. prices'!Q195*Q$7</f>
        <v>0</v>
      </c>
      <c r="R195" s="198">
        <f>Qty!V118*'Hist. prices'!R195*R$7</f>
        <v>0</v>
      </c>
      <c r="S195" s="198">
        <f>Qty!W118*'Hist. prices'!S195*S$7</f>
        <v>0</v>
      </c>
      <c r="T195" s="198">
        <f>Qty!X118*'Hist. prices'!T195*T$7</f>
        <v>0</v>
      </c>
      <c r="U195" s="198">
        <f>Qty!Y118*'Hist. prices'!U195*U$7</f>
        <v>0</v>
      </c>
      <c r="V195" s="198">
        <f>Qty!Z118*'Hist. prices'!V195*V$7</f>
        <v>0</v>
      </c>
      <c r="W195" s="198">
        <f>Qty!AA118*'Hist. prices'!W195*W$7</f>
        <v>0</v>
      </c>
      <c r="X195" s="198">
        <f>Qty!AB118*'Hist. prices'!X195*X$7</f>
        <v>0</v>
      </c>
      <c r="Y195" s="198">
        <f>Qty!AC118*'Hist. prices'!Y195*Y$7</f>
        <v>0</v>
      </c>
      <c r="Z195" s="198">
        <f>Qty!AD118*'Hist. prices'!Z195*Z$7</f>
        <v>0</v>
      </c>
      <c r="AA195" s="198">
        <f>Qty!AE118*'Hist. prices'!AA195*AA$7</f>
        <v>0</v>
      </c>
      <c r="AB195" s="198">
        <f>Qty!AF118*'Hist. prices'!AB195*AB$7</f>
        <v>0</v>
      </c>
      <c r="AC195" s="206">
        <f t="shared" si="17"/>
        <v>0</v>
      </c>
      <c r="AD195" s="68"/>
      <c r="AE195" s="19"/>
      <c r="AF195" s="19"/>
      <c r="AG195" s="19"/>
      <c r="AH195" s="19"/>
    </row>
    <row r="196" spans="1:34" hidden="1" outlineLevel="2" x14ac:dyDescent="0.2">
      <c r="A196" s="19"/>
      <c r="B196" s="19"/>
      <c r="C196" s="506">
        <f t="shared" si="20"/>
        <v>0</v>
      </c>
      <c r="D196" s="505">
        <f t="shared" si="20"/>
        <v>0</v>
      </c>
      <c r="E196" s="505">
        <f t="shared" si="20"/>
        <v>0</v>
      </c>
      <c r="F196" s="505">
        <f t="shared" si="20"/>
        <v>0</v>
      </c>
      <c r="G196" s="505">
        <f t="shared" si="20"/>
        <v>0</v>
      </c>
      <c r="H196" s="58"/>
      <c r="I196" s="198">
        <f>Qty!M119*'Hist. prices'!I196*I$7</f>
        <v>0</v>
      </c>
      <c r="J196" s="198">
        <f>Qty!N119*'Hist. prices'!J196*J$7</f>
        <v>0</v>
      </c>
      <c r="K196" s="198">
        <f>Qty!O119*'Hist. prices'!K196*K$7</f>
        <v>0</v>
      </c>
      <c r="L196" s="198">
        <f>Qty!P119*'Hist. prices'!L196*L$7</f>
        <v>0</v>
      </c>
      <c r="M196" s="198">
        <f>Qty!Q119*'Hist. prices'!M196*M$7</f>
        <v>0</v>
      </c>
      <c r="N196" s="198">
        <f>Qty!R119*'Hist. prices'!N196*N$7</f>
        <v>0</v>
      </c>
      <c r="O196" s="198">
        <f>Qty!S119*'Hist. prices'!O196*O$7</f>
        <v>0</v>
      </c>
      <c r="P196" s="198">
        <f>Qty!T119*'Hist. prices'!P196*P$7</f>
        <v>0</v>
      </c>
      <c r="Q196" s="198">
        <f>Qty!U119*'Hist. prices'!Q196*Q$7</f>
        <v>0</v>
      </c>
      <c r="R196" s="198">
        <f>Qty!V119*'Hist. prices'!R196*R$7</f>
        <v>0</v>
      </c>
      <c r="S196" s="198">
        <f>Qty!W119*'Hist. prices'!S196*S$7</f>
        <v>0</v>
      </c>
      <c r="T196" s="198">
        <f>Qty!X119*'Hist. prices'!T196*T$7</f>
        <v>0</v>
      </c>
      <c r="U196" s="198">
        <f>Qty!Y119*'Hist. prices'!U196*U$7</f>
        <v>0</v>
      </c>
      <c r="V196" s="198">
        <f>Qty!Z119*'Hist. prices'!V196*V$7</f>
        <v>0</v>
      </c>
      <c r="W196" s="198">
        <f>Qty!AA119*'Hist. prices'!W196*W$7</f>
        <v>0</v>
      </c>
      <c r="X196" s="198">
        <f>Qty!AB119*'Hist. prices'!X196*X$7</f>
        <v>0</v>
      </c>
      <c r="Y196" s="198">
        <f>Qty!AC119*'Hist. prices'!Y196*Y$7</f>
        <v>0</v>
      </c>
      <c r="Z196" s="198">
        <f>Qty!AD119*'Hist. prices'!Z196*Z$7</f>
        <v>0</v>
      </c>
      <c r="AA196" s="198">
        <f>Qty!AE119*'Hist. prices'!AA196*AA$7</f>
        <v>0</v>
      </c>
      <c r="AB196" s="198">
        <f>Qty!AF119*'Hist. prices'!AB196*AB$7</f>
        <v>0</v>
      </c>
      <c r="AC196" s="206">
        <f t="shared" ref="AC196:AC227" si="21">SUM(I196:AB196)</f>
        <v>0</v>
      </c>
      <c r="AD196" s="68"/>
      <c r="AE196" s="19"/>
      <c r="AF196" s="19"/>
      <c r="AG196" s="19"/>
      <c r="AH196" s="19"/>
    </row>
    <row r="197" spans="1:34" hidden="1" outlineLevel="2" x14ac:dyDescent="0.2">
      <c r="A197" s="19"/>
      <c r="B197" s="19"/>
      <c r="C197" s="506">
        <f t="shared" si="20"/>
        <v>0</v>
      </c>
      <c r="D197" s="505">
        <f t="shared" si="20"/>
        <v>0</v>
      </c>
      <c r="E197" s="505">
        <f t="shared" si="20"/>
        <v>0</v>
      </c>
      <c r="F197" s="505">
        <f t="shared" si="20"/>
        <v>0</v>
      </c>
      <c r="G197" s="505">
        <f t="shared" si="20"/>
        <v>0</v>
      </c>
      <c r="H197" s="58"/>
      <c r="I197" s="198">
        <f>Qty!M120*'Hist. prices'!I197*I$7</f>
        <v>0</v>
      </c>
      <c r="J197" s="198">
        <f>Qty!N120*'Hist. prices'!J197*J$7</f>
        <v>0</v>
      </c>
      <c r="K197" s="198">
        <f>Qty!O120*'Hist. prices'!K197*K$7</f>
        <v>0</v>
      </c>
      <c r="L197" s="198">
        <f>Qty!P120*'Hist. prices'!L197*L$7</f>
        <v>0</v>
      </c>
      <c r="M197" s="198">
        <f>Qty!Q120*'Hist. prices'!M197*M$7</f>
        <v>0</v>
      </c>
      <c r="N197" s="198">
        <f>Qty!R120*'Hist. prices'!N197*N$7</f>
        <v>0</v>
      </c>
      <c r="O197" s="198">
        <f>Qty!S120*'Hist. prices'!O197*O$7</f>
        <v>0</v>
      </c>
      <c r="P197" s="198">
        <f>Qty!T120*'Hist. prices'!P197*P$7</f>
        <v>0</v>
      </c>
      <c r="Q197" s="198">
        <f>Qty!U120*'Hist. prices'!Q197*Q$7</f>
        <v>0</v>
      </c>
      <c r="R197" s="198">
        <f>Qty!V120*'Hist. prices'!R197*R$7</f>
        <v>0</v>
      </c>
      <c r="S197" s="198">
        <f>Qty!W120*'Hist. prices'!S197*S$7</f>
        <v>0</v>
      </c>
      <c r="T197" s="198">
        <f>Qty!X120*'Hist. prices'!T197*T$7</f>
        <v>0</v>
      </c>
      <c r="U197" s="198">
        <f>Qty!Y120*'Hist. prices'!U197*U$7</f>
        <v>0</v>
      </c>
      <c r="V197" s="198">
        <f>Qty!Z120*'Hist. prices'!V197*V$7</f>
        <v>0</v>
      </c>
      <c r="W197" s="198">
        <f>Qty!AA120*'Hist. prices'!W197*W$7</f>
        <v>0</v>
      </c>
      <c r="X197" s="198">
        <f>Qty!AB120*'Hist. prices'!X197*X$7</f>
        <v>0</v>
      </c>
      <c r="Y197" s="198">
        <f>Qty!AC120*'Hist. prices'!Y197*Y$7</f>
        <v>0</v>
      </c>
      <c r="Z197" s="198">
        <f>Qty!AD120*'Hist. prices'!Z197*Z$7</f>
        <v>0</v>
      </c>
      <c r="AA197" s="198">
        <f>Qty!AE120*'Hist. prices'!AA197*AA$7</f>
        <v>0</v>
      </c>
      <c r="AB197" s="198">
        <f>Qty!AF120*'Hist. prices'!AB197*AB$7</f>
        <v>0</v>
      </c>
      <c r="AC197" s="206">
        <f t="shared" si="21"/>
        <v>0</v>
      </c>
      <c r="AD197" s="68"/>
      <c r="AE197" s="19"/>
      <c r="AF197" s="19"/>
      <c r="AG197" s="19"/>
      <c r="AH197" s="19"/>
    </row>
    <row r="198" spans="1:34" hidden="1" outlineLevel="2" x14ac:dyDescent="0.2">
      <c r="A198" s="19"/>
      <c r="B198" s="19"/>
      <c r="C198" s="506">
        <f t="shared" si="20"/>
        <v>0</v>
      </c>
      <c r="D198" s="505">
        <f t="shared" si="20"/>
        <v>0</v>
      </c>
      <c r="E198" s="505">
        <f t="shared" si="20"/>
        <v>0</v>
      </c>
      <c r="F198" s="505">
        <f t="shared" si="20"/>
        <v>0</v>
      </c>
      <c r="G198" s="505">
        <f t="shared" si="20"/>
        <v>0</v>
      </c>
      <c r="H198" s="58"/>
      <c r="I198" s="198">
        <f>Qty!M121*'Hist. prices'!I198*I$7</f>
        <v>0</v>
      </c>
      <c r="J198" s="198">
        <f>Qty!N121*'Hist. prices'!J198*J$7</f>
        <v>0</v>
      </c>
      <c r="K198" s="198">
        <f>Qty!O121*'Hist. prices'!K198*K$7</f>
        <v>0</v>
      </c>
      <c r="L198" s="198">
        <f>Qty!P121*'Hist. prices'!L198*L$7</f>
        <v>0</v>
      </c>
      <c r="M198" s="198">
        <f>Qty!Q121*'Hist. prices'!M198*M$7</f>
        <v>0</v>
      </c>
      <c r="N198" s="198">
        <f>Qty!R121*'Hist. prices'!N198*N$7</f>
        <v>0</v>
      </c>
      <c r="O198" s="198">
        <f>Qty!S121*'Hist. prices'!O198*O$7</f>
        <v>0</v>
      </c>
      <c r="P198" s="198">
        <f>Qty!T121*'Hist. prices'!P198*P$7</f>
        <v>0</v>
      </c>
      <c r="Q198" s="198">
        <f>Qty!U121*'Hist. prices'!Q198*Q$7</f>
        <v>0</v>
      </c>
      <c r="R198" s="198">
        <f>Qty!V121*'Hist. prices'!R198*R$7</f>
        <v>0</v>
      </c>
      <c r="S198" s="198">
        <f>Qty!W121*'Hist. prices'!S198*S$7</f>
        <v>0</v>
      </c>
      <c r="T198" s="198">
        <f>Qty!X121*'Hist. prices'!T198*T$7</f>
        <v>0</v>
      </c>
      <c r="U198" s="198">
        <f>Qty!Y121*'Hist. prices'!U198*U$7</f>
        <v>0</v>
      </c>
      <c r="V198" s="198">
        <f>Qty!Z121*'Hist. prices'!V198*V$7</f>
        <v>0</v>
      </c>
      <c r="W198" s="198">
        <f>Qty!AA121*'Hist. prices'!W198*W$7</f>
        <v>0</v>
      </c>
      <c r="X198" s="198">
        <f>Qty!AB121*'Hist. prices'!X198*X$7</f>
        <v>0</v>
      </c>
      <c r="Y198" s="198">
        <f>Qty!AC121*'Hist. prices'!Y198*Y$7</f>
        <v>0</v>
      </c>
      <c r="Z198" s="198">
        <f>Qty!AD121*'Hist. prices'!Z198*Z$7</f>
        <v>0</v>
      </c>
      <c r="AA198" s="198">
        <f>Qty!AE121*'Hist. prices'!AA198*AA$7</f>
        <v>0</v>
      </c>
      <c r="AB198" s="198">
        <f>Qty!AF121*'Hist. prices'!AB198*AB$7</f>
        <v>0</v>
      </c>
      <c r="AC198" s="206">
        <f t="shared" si="21"/>
        <v>0</v>
      </c>
      <c r="AD198" s="68"/>
      <c r="AE198" s="19"/>
      <c r="AF198" s="19"/>
      <c r="AG198" s="19"/>
      <c r="AH198" s="19"/>
    </row>
    <row r="199" spans="1:34" hidden="1" outlineLevel="2" x14ac:dyDescent="0.2">
      <c r="A199" s="19"/>
      <c r="B199" s="19"/>
      <c r="C199" s="506">
        <f t="shared" si="20"/>
        <v>0</v>
      </c>
      <c r="D199" s="505">
        <f t="shared" si="20"/>
        <v>0</v>
      </c>
      <c r="E199" s="505">
        <f t="shared" si="20"/>
        <v>0</v>
      </c>
      <c r="F199" s="505">
        <f t="shared" si="20"/>
        <v>0</v>
      </c>
      <c r="G199" s="505">
        <f t="shared" si="20"/>
        <v>0</v>
      </c>
      <c r="H199" s="58"/>
      <c r="I199" s="198">
        <f>Qty!M122*'Hist. prices'!I199*I$7</f>
        <v>0</v>
      </c>
      <c r="J199" s="198">
        <f>Qty!N122*'Hist. prices'!J199*J$7</f>
        <v>0</v>
      </c>
      <c r="K199" s="198">
        <f>Qty!O122*'Hist. prices'!K199*K$7</f>
        <v>0</v>
      </c>
      <c r="L199" s="198">
        <f>Qty!P122*'Hist. prices'!L199*L$7</f>
        <v>0</v>
      </c>
      <c r="M199" s="198">
        <f>Qty!Q122*'Hist. prices'!M199*M$7</f>
        <v>0</v>
      </c>
      <c r="N199" s="198">
        <f>Qty!R122*'Hist. prices'!N199*N$7</f>
        <v>0</v>
      </c>
      <c r="O199" s="198">
        <f>Qty!S122*'Hist. prices'!O199*O$7</f>
        <v>0</v>
      </c>
      <c r="P199" s="198">
        <f>Qty!T122*'Hist. prices'!P199*P$7</f>
        <v>0</v>
      </c>
      <c r="Q199" s="198">
        <f>Qty!U122*'Hist. prices'!Q199*Q$7</f>
        <v>0</v>
      </c>
      <c r="R199" s="198">
        <f>Qty!V122*'Hist. prices'!R199*R$7</f>
        <v>0</v>
      </c>
      <c r="S199" s="198">
        <f>Qty!W122*'Hist. prices'!S199*S$7</f>
        <v>0</v>
      </c>
      <c r="T199" s="198">
        <f>Qty!X122*'Hist. prices'!T199*T$7</f>
        <v>0</v>
      </c>
      <c r="U199" s="198">
        <f>Qty!Y122*'Hist. prices'!U199*U$7</f>
        <v>0</v>
      </c>
      <c r="V199" s="198">
        <f>Qty!Z122*'Hist. prices'!V199*V$7</f>
        <v>0</v>
      </c>
      <c r="W199" s="198">
        <f>Qty!AA122*'Hist. prices'!W199*W$7</f>
        <v>0</v>
      </c>
      <c r="X199" s="198">
        <f>Qty!AB122*'Hist. prices'!X199*X$7</f>
        <v>0</v>
      </c>
      <c r="Y199" s="198">
        <f>Qty!AC122*'Hist. prices'!Y199*Y$7</f>
        <v>0</v>
      </c>
      <c r="Z199" s="198">
        <f>Qty!AD122*'Hist. prices'!Z199*Z$7</f>
        <v>0</v>
      </c>
      <c r="AA199" s="198">
        <f>Qty!AE122*'Hist. prices'!AA199*AA$7</f>
        <v>0</v>
      </c>
      <c r="AB199" s="198">
        <f>Qty!AF122*'Hist. prices'!AB199*AB$7</f>
        <v>0</v>
      </c>
      <c r="AC199" s="206">
        <f t="shared" si="21"/>
        <v>0</v>
      </c>
      <c r="AD199" s="68"/>
      <c r="AE199" s="19"/>
      <c r="AF199" s="19"/>
      <c r="AG199" s="19"/>
      <c r="AH199" s="19"/>
    </row>
    <row r="200" spans="1:34" hidden="1" outlineLevel="2" x14ac:dyDescent="0.2">
      <c r="A200" s="19"/>
      <c r="B200" s="19"/>
      <c r="C200" s="506">
        <f t="shared" si="20"/>
        <v>0</v>
      </c>
      <c r="D200" s="505">
        <f t="shared" si="20"/>
        <v>0</v>
      </c>
      <c r="E200" s="505">
        <f t="shared" si="20"/>
        <v>0</v>
      </c>
      <c r="F200" s="505">
        <f t="shared" si="20"/>
        <v>0</v>
      </c>
      <c r="G200" s="505">
        <f t="shared" si="20"/>
        <v>0</v>
      </c>
      <c r="H200" s="58"/>
      <c r="I200" s="198">
        <f>Qty!M123*'Hist. prices'!I200*I$7</f>
        <v>0</v>
      </c>
      <c r="J200" s="198">
        <f>Qty!N123*'Hist. prices'!J200*J$7</f>
        <v>0</v>
      </c>
      <c r="K200" s="198">
        <f>Qty!O123*'Hist. prices'!K200*K$7</f>
        <v>0</v>
      </c>
      <c r="L200" s="198">
        <f>Qty!P123*'Hist. prices'!L200*L$7</f>
        <v>0</v>
      </c>
      <c r="M200" s="198">
        <f>Qty!Q123*'Hist. prices'!M200*M$7</f>
        <v>0</v>
      </c>
      <c r="N200" s="198">
        <f>Qty!R123*'Hist. prices'!N200*N$7</f>
        <v>0</v>
      </c>
      <c r="O200" s="198">
        <f>Qty!S123*'Hist. prices'!O200*O$7</f>
        <v>0</v>
      </c>
      <c r="P200" s="198">
        <f>Qty!T123*'Hist. prices'!P200*P$7</f>
        <v>0</v>
      </c>
      <c r="Q200" s="198">
        <f>Qty!U123*'Hist. prices'!Q200*Q$7</f>
        <v>0</v>
      </c>
      <c r="R200" s="198">
        <f>Qty!V123*'Hist. prices'!R200*R$7</f>
        <v>0</v>
      </c>
      <c r="S200" s="198">
        <f>Qty!W123*'Hist. prices'!S200*S$7</f>
        <v>0</v>
      </c>
      <c r="T200" s="198">
        <f>Qty!X123*'Hist. prices'!T200*T$7</f>
        <v>0</v>
      </c>
      <c r="U200" s="198">
        <f>Qty!Y123*'Hist. prices'!U200*U$7</f>
        <v>0</v>
      </c>
      <c r="V200" s="198">
        <f>Qty!Z123*'Hist. prices'!V200*V$7</f>
        <v>0</v>
      </c>
      <c r="W200" s="198">
        <f>Qty!AA123*'Hist. prices'!W200*W$7</f>
        <v>0</v>
      </c>
      <c r="X200" s="198">
        <f>Qty!AB123*'Hist. prices'!X200*X$7</f>
        <v>0</v>
      </c>
      <c r="Y200" s="198">
        <f>Qty!AC123*'Hist. prices'!Y200*Y$7</f>
        <v>0</v>
      </c>
      <c r="Z200" s="198">
        <f>Qty!AD123*'Hist. prices'!Z200*Z$7</f>
        <v>0</v>
      </c>
      <c r="AA200" s="198">
        <f>Qty!AE123*'Hist. prices'!AA200*AA$7</f>
        <v>0</v>
      </c>
      <c r="AB200" s="198">
        <f>Qty!AF123*'Hist. prices'!AB200*AB$7</f>
        <v>0</v>
      </c>
      <c r="AC200" s="206">
        <f t="shared" si="21"/>
        <v>0</v>
      </c>
      <c r="AD200" s="68"/>
      <c r="AE200" s="19"/>
      <c r="AF200" s="19"/>
      <c r="AG200" s="19"/>
      <c r="AH200" s="19"/>
    </row>
    <row r="201" spans="1:34" hidden="1" outlineLevel="2" x14ac:dyDescent="0.2">
      <c r="A201" s="19"/>
      <c r="B201" s="19"/>
      <c r="C201" s="506">
        <f t="shared" si="20"/>
        <v>0</v>
      </c>
      <c r="D201" s="505">
        <f t="shared" si="20"/>
        <v>0</v>
      </c>
      <c r="E201" s="505">
        <f t="shared" si="20"/>
        <v>0</v>
      </c>
      <c r="F201" s="505">
        <f t="shared" si="20"/>
        <v>0</v>
      </c>
      <c r="G201" s="505">
        <f t="shared" si="20"/>
        <v>0</v>
      </c>
      <c r="H201" s="58"/>
      <c r="I201" s="198">
        <f>Qty!M124*'Hist. prices'!I201*I$7</f>
        <v>0</v>
      </c>
      <c r="J201" s="198">
        <f>Qty!N124*'Hist. prices'!J201*J$7</f>
        <v>0</v>
      </c>
      <c r="K201" s="198">
        <f>Qty!O124*'Hist. prices'!K201*K$7</f>
        <v>0</v>
      </c>
      <c r="L201" s="198">
        <f>Qty!P124*'Hist. prices'!L201*L$7</f>
        <v>0</v>
      </c>
      <c r="M201" s="198">
        <f>Qty!Q124*'Hist. prices'!M201*M$7</f>
        <v>0</v>
      </c>
      <c r="N201" s="198">
        <f>Qty!R124*'Hist. prices'!N201*N$7</f>
        <v>0</v>
      </c>
      <c r="O201" s="198">
        <f>Qty!S124*'Hist. prices'!O201*O$7</f>
        <v>0</v>
      </c>
      <c r="P201" s="198">
        <f>Qty!T124*'Hist. prices'!P201*P$7</f>
        <v>0</v>
      </c>
      <c r="Q201" s="198">
        <f>Qty!U124*'Hist. prices'!Q201*Q$7</f>
        <v>0</v>
      </c>
      <c r="R201" s="198">
        <f>Qty!V124*'Hist. prices'!R201*R$7</f>
        <v>0</v>
      </c>
      <c r="S201" s="198">
        <f>Qty!W124*'Hist. prices'!S201*S$7</f>
        <v>0</v>
      </c>
      <c r="T201" s="198">
        <f>Qty!X124*'Hist. prices'!T201*T$7</f>
        <v>0</v>
      </c>
      <c r="U201" s="198">
        <f>Qty!Y124*'Hist. prices'!U201*U$7</f>
        <v>0</v>
      </c>
      <c r="V201" s="198">
        <f>Qty!Z124*'Hist. prices'!V201*V$7</f>
        <v>0</v>
      </c>
      <c r="W201" s="198">
        <f>Qty!AA124*'Hist. prices'!W201*W$7</f>
        <v>0</v>
      </c>
      <c r="X201" s="198">
        <f>Qty!AB124*'Hist. prices'!X201*X$7</f>
        <v>0</v>
      </c>
      <c r="Y201" s="198">
        <f>Qty!AC124*'Hist. prices'!Y201*Y$7</f>
        <v>0</v>
      </c>
      <c r="Z201" s="198">
        <f>Qty!AD124*'Hist. prices'!Z201*Z$7</f>
        <v>0</v>
      </c>
      <c r="AA201" s="198">
        <f>Qty!AE124*'Hist. prices'!AA201*AA$7</f>
        <v>0</v>
      </c>
      <c r="AB201" s="198">
        <f>Qty!AF124*'Hist. prices'!AB201*AB$7</f>
        <v>0</v>
      </c>
      <c r="AC201" s="206">
        <f t="shared" si="21"/>
        <v>0</v>
      </c>
      <c r="AD201" s="68"/>
      <c r="AE201" s="19"/>
      <c r="AF201" s="19"/>
      <c r="AG201" s="19"/>
      <c r="AH201" s="19"/>
    </row>
    <row r="202" spans="1:34" hidden="1" outlineLevel="2" x14ac:dyDescent="0.2">
      <c r="A202" s="19"/>
      <c r="B202" s="19"/>
      <c r="C202" s="506">
        <f t="shared" si="20"/>
        <v>0</v>
      </c>
      <c r="D202" s="505">
        <f t="shared" si="20"/>
        <v>0</v>
      </c>
      <c r="E202" s="505">
        <f t="shared" si="20"/>
        <v>0</v>
      </c>
      <c r="F202" s="505">
        <f t="shared" si="20"/>
        <v>0</v>
      </c>
      <c r="G202" s="505">
        <f t="shared" si="20"/>
        <v>0</v>
      </c>
      <c r="H202" s="58"/>
      <c r="I202" s="198">
        <f>Qty!M125*'Hist. prices'!I202*I$7</f>
        <v>0</v>
      </c>
      <c r="J202" s="198">
        <f>Qty!N125*'Hist. prices'!J202*J$7</f>
        <v>0</v>
      </c>
      <c r="K202" s="198">
        <f>Qty!O125*'Hist. prices'!K202*K$7</f>
        <v>0</v>
      </c>
      <c r="L202" s="198">
        <f>Qty!P125*'Hist. prices'!L202*L$7</f>
        <v>0</v>
      </c>
      <c r="M202" s="198">
        <f>Qty!Q125*'Hist. prices'!M202*M$7</f>
        <v>0</v>
      </c>
      <c r="N202" s="198">
        <f>Qty!R125*'Hist. prices'!N202*N$7</f>
        <v>0</v>
      </c>
      <c r="O202" s="198">
        <f>Qty!S125*'Hist. prices'!O202*O$7</f>
        <v>0</v>
      </c>
      <c r="P202" s="198">
        <f>Qty!T125*'Hist. prices'!P202*P$7</f>
        <v>0</v>
      </c>
      <c r="Q202" s="198">
        <f>Qty!U125*'Hist. prices'!Q202*Q$7</f>
        <v>0</v>
      </c>
      <c r="R202" s="198">
        <f>Qty!V125*'Hist. prices'!R202*R$7</f>
        <v>0</v>
      </c>
      <c r="S202" s="198">
        <f>Qty!W125*'Hist. prices'!S202*S$7</f>
        <v>0</v>
      </c>
      <c r="T202" s="198">
        <f>Qty!X125*'Hist. prices'!T202*T$7</f>
        <v>0</v>
      </c>
      <c r="U202" s="198">
        <f>Qty!Y125*'Hist. prices'!U202*U$7</f>
        <v>0</v>
      </c>
      <c r="V202" s="198">
        <f>Qty!Z125*'Hist. prices'!V202*V$7</f>
        <v>0</v>
      </c>
      <c r="W202" s="198">
        <f>Qty!AA125*'Hist. prices'!W202*W$7</f>
        <v>0</v>
      </c>
      <c r="X202" s="198">
        <f>Qty!AB125*'Hist. prices'!X202*X$7</f>
        <v>0</v>
      </c>
      <c r="Y202" s="198">
        <f>Qty!AC125*'Hist. prices'!Y202*Y$7</f>
        <v>0</v>
      </c>
      <c r="Z202" s="198">
        <f>Qty!AD125*'Hist. prices'!Z202*Z$7</f>
        <v>0</v>
      </c>
      <c r="AA202" s="198">
        <f>Qty!AE125*'Hist. prices'!AA202*AA$7</f>
        <v>0</v>
      </c>
      <c r="AB202" s="198">
        <f>Qty!AF125*'Hist. prices'!AB202*AB$7</f>
        <v>0</v>
      </c>
      <c r="AC202" s="206">
        <f t="shared" si="21"/>
        <v>0</v>
      </c>
      <c r="AD202" s="68"/>
      <c r="AE202" s="19"/>
      <c r="AF202" s="19"/>
      <c r="AG202" s="19"/>
      <c r="AH202" s="19"/>
    </row>
    <row r="203" spans="1:34" hidden="1" outlineLevel="2" x14ac:dyDescent="0.2">
      <c r="A203" s="19"/>
      <c r="B203" s="19"/>
      <c r="C203" s="506">
        <f t="shared" si="20"/>
        <v>0</v>
      </c>
      <c r="D203" s="505">
        <f t="shared" si="20"/>
        <v>0</v>
      </c>
      <c r="E203" s="505">
        <f t="shared" si="20"/>
        <v>0</v>
      </c>
      <c r="F203" s="505">
        <f t="shared" si="20"/>
        <v>0</v>
      </c>
      <c r="G203" s="505">
        <f t="shared" si="20"/>
        <v>0</v>
      </c>
      <c r="H203" s="58"/>
      <c r="I203" s="198">
        <f>Qty!M126*'Hist. prices'!I203*I$7</f>
        <v>0</v>
      </c>
      <c r="J203" s="198">
        <f>Qty!N126*'Hist. prices'!J203*J$7</f>
        <v>0</v>
      </c>
      <c r="K203" s="198">
        <f>Qty!O126*'Hist. prices'!K203*K$7</f>
        <v>0</v>
      </c>
      <c r="L203" s="198">
        <f>Qty!P126*'Hist. prices'!L203*L$7</f>
        <v>0</v>
      </c>
      <c r="M203" s="198">
        <f>Qty!Q126*'Hist. prices'!M203*M$7</f>
        <v>0</v>
      </c>
      <c r="N203" s="198">
        <f>Qty!R126*'Hist. prices'!N203*N$7</f>
        <v>0</v>
      </c>
      <c r="O203" s="198">
        <f>Qty!S126*'Hist. prices'!O203*O$7</f>
        <v>0</v>
      </c>
      <c r="P203" s="198">
        <f>Qty!T126*'Hist. prices'!P203*P$7</f>
        <v>0</v>
      </c>
      <c r="Q203" s="198">
        <f>Qty!U126*'Hist. prices'!Q203*Q$7</f>
        <v>0</v>
      </c>
      <c r="R203" s="198">
        <f>Qty!V126*'Hist. prices'!R203*R$7</f>
        <v>0</v>
      </c>
      <c r="S203" s="198">
        <f>Qty!W126*'Hist. prices'!S203*S$7</f>
        <v>0</v>
      </c>
      <c r="T203" s="198">
        <f>Qty!X126*'Hist. prices'!T203*T$7</f>
        <v>0</v>
      </c>
      <c r="U203" s="198">
        <f>Qty!Y126*'Hist. prices'!U203*U$7</f>
        <v>0</v>
      </c>
      <c r="V203" s="198">
        <f>Qty!Z126*'Hist. prices'!V203*V$7</f>
        <v>0</v>
      </c>
      <c r="W203" s="198">
        <f>Qty!AA126*'Hist. prices'!W203*W$7</f>
        <v>0</v>
      </c>
      <c r="X203" s="198">
        <f>Qty!AB126*'Hist. prices'!X203*X$7</f>
        <v>0</v>
      </c>
      <c r="Y203" s="198">
        <f>Qty!AC126*'Hist. prices'!Y203*Y$7</f>
        <v>0</v>
      </c>
      <c r="Z203" s="198">
        <f>Qty!AD126*'Hist. prices'!Z203*Z$7</f>
        <v>0</v>
      </c>
      <c r="AA203" s="198">
        <f>Qty!AE126*'Hist. prices'!AA203*AA$7</f>
        <v>0</v>
      </c>
      <c r="AB203" s="198">
        <f>Qty!AF126*'Hist. prices'!AB203*AB$7</f>
        <v>0</v>
      </c>
      <c r="AC203" s="206">
        <f t="shared" si="21"/>
        <v>0</v>
      </c>
      <c r="AD203" s="68"/>
      <c r="AE203" s="19"/>
      <c r="AF203" s="19"/>
      <c r="AG203" s="19"/>
      <c r="AH203" s="19"/>
    </row>
    <row r="204" spans="1:34" hidden="1" outlineLevel="2" x14ac:dyDescent="0.2">
      <c r="A204" s="19"/>
      <c r="B204" s="19"/>
      <c r="C204" s="506">
        <f t="shared" ref="C204:G213" si="22">C48</f>
        <v>0</v>
      </c>
      <c r="D204" s="505">
        <f t="shared" si="22"/>
        <v>0</v>
      </c>
      <c r="E204" s="505">
        <f t="shared" si="22"/>
        <v>0</v>
      </c>
      <c r="F204" s="505">
        <f t="shared" si="22"/>
        <v>0</v>
      </c>
      <c r="G204" s="505">
        <f t="shared" si="22"/>
        <v>0</v>
      </c>
      <c r="H204" s="58"/>
      <c r="I204" s="198">
        <f>Qty!M127*'Hist. prices'!I204*I$7</f>
        <v>0</v>
      </c>
      <c r="J204" s="198">
        <f>Qty!N127*'Hist. prices'!J204*J$7</f>
        <v>0</v>
      </c>
      <c r="K204" s="198">
        <f>Qty!O127*'Hist. prices'!K204*K$7</f>
        <v>0</v>
      </c>
      <c r="L204" s="198">
        <f>Qty!P127*'Hist. prices'!L204*L$7</f>
        <v>0</v>
      </c>
      <c r="M204" s="198">
        <f>Qty!Q127*'Hist. prices'!M204*M$7</f>
        <v>0</v>
      </c>
      <c r="N204" s="198">
        <f>Qty!R127*'Hist. prices'!N204*N$7</f>
        <v>0</v>
      </c>
      <c r="O204" s="198">
        <f>Qty!S127*'Hist. prices'!O204*O$7</f>
        <v>0</v>
      </c>
      <c r="P204" s="198">
        <f>Qty!T127*'Hist. prices'!P204*P$7</f>
        <v>0</v>
      </c>
      <c r="Q204" s="198">
        <f>Qty!U127*'Hist. prices'!Q204*Q$7</f>
        <v>0</v>
      </c>
      <c r="R204" s="198">
        <f>Qty!V127*'Hist. prices'!R204*R$7</f>
        <v>0</v>
      </c>
      <c r="S204" s="198">
        <f>Qty!W127*'Hist. prices'!S204*S$7</f>
        <v>0</v>
      </c>
      <c r="T204" s="198">
        <f>Qty!X127*'Hist. prices'!T204*T$7</f>
        <v>0</v>
      </c>
      <c r="U204" s="198">
        <f>Qty!Y127*'Hist. prices'!U204*U$7</f>
        <v>0</v>
      </c>
      <c r="V204" s="198">
        <f>Qty!Z127*'Hist. prices'!V204*V$7</f>
        <v>0</v>
      </c>
      <c r="W204" s="198">
        <f>Qty!AA127*'Hist. prices'!W204*W$7</f>
        <v>0</v>
      </c>
      <c r="X204" s="198">
        <f>Qty!AB127*'Hist. prices'!X204*X$7</f>
        <v>0</v>
      </c>
      <c r="Y204" s="198">
        <f>Qty!AC127*'Hist. prices'!Y204*Y$7</f>
        <v>0</v>
      </c>
      <c r="Z204" s="198">
        <f>Qty!AD127*'Hist. prices'!Z204*Z$7</f>
        <v>0</v>
      </c>
      <c r="AA204" s="198">
        <f>Qty!AE127*'Hist. prices'!AA204*AA$7</f>
        <v>0</v>
      </c>
      <c r="AB204" s="198">
        <f>Qty!AF127*'Hist. prices'!AB204*AB$7</f>
        <v>0</v>
      </c>
      <c r="AC204" s="206">
        <f t="shared" si="21"/>
        <v>0</v>
      </c>
      <c r="AD204" s="68"/>
      <c r="AE204" s="19"/>
      <c r="AF204" s="19"/>
      <c r="AG204" s="19"/>
      <c r="AH204" s="19"/>
    </row>
    <row r="205" spans="1:34" hidden="1" outlineLevel="2" x14ac:dyDescent="0.2">
      <c r="A205" s="19"/>
      <c r="B205" s="19"/>
      <c r="C205" s="506">
        <f t="shared" si="22"/>
        <v>0</v>
      </c>
      <c r="D205" s="505">
        <f t="shared" si="22"/>
        <v>0</v>
      </c>
      <c r="E205" s="505">
        <f t="shared" si="22"/>
        <v>0</v>
      </c>
      <c r="F205" s="505">
        <f t="shared" si="22"/>
        <v>0</v>
      </c>
      <c r="G205" s="505">
        <f t="shared" si="22"/>
        <v>0</v>
      </c>
      <c r="H205" s="58"/>
      <c r="I205" s="198">
        <f>Qty!M128*'Hist. prices'!I205*I$7</f>
        <v>0</v>
      </c>
      <c r="J205" s="198">
        <f>Qty!N128*'Hist. prices'!J205*J$7</f>
        <v>0</v>
      </c>
      <c r="K205" s="198">
        <f>Qty!O128*'Hist. prices'!K205*K$7</f>
        <v>0</v>
      </c>
      <c r="L205" s="198">
        <f>Qty!P128*'Hist. prices'!L205*L$7</f>
        <v>0</v>
      </c>
      <c r="M205" s="198">
        <f>Qty!Q128*'Hist. prices'!M205*M$7</f>
        <v>0</v>
      </c>
      <c r="N205" s="198">
        <f>Qty!R128*'Hist. prices'!N205*N$7</f>
        <v>0</v>
      </c>
      <c r="O205" s="198">
        <f>Qty!S128*'Hist. prices'!O205*O$7</f>
        <v>0</v>
      </c>
      <c r="P205" s="198">
        <f>Qty!T128*'Hist. prices'!P205*P$7</f>
        <v>0</v>
      </c>
      <c r="Q205" s="198">
        <f>Qty!U128*'Hist. prices'!Q205*Q$7</f>
        <v>0</v>
      </c>
      <c r="R205" s="198">
        <f>Qty!V128*'Hist. prices'!R205*R$7</f>
        <v>0</v>
      </c>
      <c r="S205" s="198">
        <f>Qty!W128*'Hist. prices'!S205*S$7</f>
        <v>0</v>
      </c>
      <c r="T205" s="198">
        <f>Qty!X128*'Hist. prices'!T205*T$7</f>
        <v>0</v>
      </c>
      <c r="U205" s="198">
        <f>Qty!Y128*'Hist. prices'!U205*U$7</f>
        <v>0</v>
      </c>
      <c r="V205" s="198">
        <f>Qty!Z128*'Hist. prices'!V205*V$7</f>
        <v>0</v>
      </c>
      <c r="W205" s="198">
        <f>Qty!AA128*'Hist. prices'!W205*W$7</f>
        <v>0</v>
      </c>
      <c r="X205" s="198">
        <f>Qty!AB128*'Hist. prices'!X205*X$7</f>
        <v>0</v>
      </c>
      <c r="Y205" s="198">
        <f>Qty!AC128*'Hist. prices'!Y205*Y$7</f>
        <v>0</v>
      </c>
      <c r="Z205" s="198">
        <f>Qty!AD128*'Hist. prices'!Z205*Z$7</f>
        <v>0</v>
      </c>
      <c r="AA205" s="198">
        <f>Qty!AE128*'Hist. prices'!AA205*AA$7</f>
        <v>0</v>
      </c>
      <c r="AB205" s="198">
        <f>Qty!AF128*'Hist. prices'!AB205*AB$7</f>
        <v>0</v>
      </c>
      <c r="AC205" s="206">
        <f t="shared" si="21"/>
        <v>0</v>
      </c>
      <c r="AD205" s="68"/>
      <c r="AE205" s="19"/>
      <c r="AF205" s="19"/>
      <c r="AG205" s="19"/>
      <c r="AH205" s="19"/>
    </row>
    <row r="206" spans="1:34" hidden="1" outlineLevel="2" x14ac:dyDescent="0.2">
      <c r="A206" s="19"/>
      <c r="B206" s="19"/>
      <c r="C206" s="506">
        <f t="shared" si="22"/>
        <v>0</v>
      </c>
      <c r="D206" s="505">
        <f t="shared" si="22"/>
        <v>0</v>
      </c>
      <c r="E206" s="505">
        <f t="shared" si="22"/>
        <v>0</v>
      </c>
      <c r="F206" s="505">
        <f t="shared" si="22"/>
        <v>0</v>
      </c>
      <c r="G206" s="505">
        <f t="shared" si="22"/>
        <v>0</v>
      </c>
      <c r="H206" s="58"/>
      <c r="I206" s="198">
        <f>Qty!M129*'Hist. prices'!I206*I$7</f>
        <v>0</v>
      </c>
      <c r="J206" s="198">
        <f>Qty!N129*'Hist. prices'!J206*J$7</f>
        <v>0</v>
      </c>
      <c r="K206" s="198">
        <f>Qty!O129*'Hist. prices'!K206*K$7</f>
        <v>0</v>
      </c>
      <c r="L206" s="198">
        <f>Qty!P129*'Hist. prices'!L206*L$7</f>
        <v>0</v>
      </c>
      <c r="M206" s="198">
        <f>Qty!Q129*'Hist. prices'!M206*M$7</f>
        <v>0</v>
      </c>
      <c r="N206" s="198">
        <f>Qty!R129*'Hist. prices'!N206*N$7</f>
        <v>0</v>
      </c>
      <c r="O206" s="198">
        <f>Qty!S129*'Hist. prices'!O206*O$7</f>
        <v>0</v>
      </c>
      <c r="P206" s="198">
        <f>Qty!T129*'Hist. prices'!P206*P$7</f>
        <v>0</v>
      </c>
      <c r="Q206" s="198">
        <f>Qty!U129*'Hist. prices'!Q206*Q$7</f>
        <v>0</v>
      </c>
      <c r="R206" s="198">
        <f>Qty!V129*'Hist. prices'!R206*R$7</f>
        <v>0</v>
      </c>
      <c r="S206" s="198">
        <f>Qty!W129*'Hist. prices'!S206*S$7</f>
        <v>0</v>
      </c>
      <c r="T206" s="198">
        <f>Qty!X129*'Hist. prices'!T206*T$7</f>
        <v>0</v>
      </c>
      <c r="U206" s="198">
        <f>Qty!Y129*'Hist. prices'!U206*U$7</f>
        <v>0</v>
      </c>
      <c r="V206" s="198">
        <f>Qty!Z129*'Hist. prices'!V206*V$7</f>
        <v>0</v>
      </c>
      <c r="W206" s="198">
        <f>Qty!AA129*'Hist. prices'!W206*W$7</f>
        <v>0</v>
      </c>
      <c r="X206" s="198">
        <f>Qty!AB129*'Hist. prices'!X206*X$7</f>
        <v>0</v>
      </c>
      <c r="Y206" s="198">
        <f>Qty!AC129*'Hist. prices'!Y206*Y$7</f>
        <v>0</v>
      </c>
      <c r="Z206" s="198">
        <f>Qty!AD129*'Hist. prices'!Z206*Z$7</f>
        <v>0</v>
      </c>
      <c r="AA206" s="198">
        <f>Qty!AE129*'Hist. prices'!AA206*AA$7</f>
        <v>0</v>
      </c>
      <c r="AB206" s="198">
        <f>Qty!AF129*'Hist. prices'!AB206*AB$7</f>
        <v>0</v>
      </c>
      <c r="AC206" s="206">
        <f t="shared" si="21"/>
        <v>0</v>
      </c>
      <c r="AD206" s="68"/>
      <c r="AE206" s="19"/>
      <c r="AF206" s="19"/>
      <c r="AG206" s="19"/>
      <c r="AH206" s="19"/>
    </row>
    <row r="207" spans="1:34" hidden="1" outlineLevel="2" x14ac:dyDescent="0.2">
      <c r="A207" s="19"/>
      <c r="B207" s="19"/>
      <c r="C207" s="506">
        <f t="shared" si="22"/>
        <v>0</v>
      </c>
      <c r="D207" s="505">
        <f t="shared" si="22"/>
        <v>0</v>
      </c>
      <c r="E207" s="505">
        <f t="shared" si="22"/>
        <v>0</v>
      </c>
      <c r="F207" s="505">
        <f t="shared" si="22"/>
        <v>0</v>
      </c>
      <c r="G207" s="505">
        <f t="shared" si="22"/>
        <v>0</v>
      </c>
      <c r="H207" s="58"/>
      <c r="I207" s="198">
        <f>Qty!M130*'Hist. prices'!I207*I$7</f>
        <v>0</v>
      </c>
      <c r="J207" s="198">
        <f>Qty!N130*'Hist. prices'!J207*J$7</f>
        <v>0</v>
      </c>
      <c r="K207" s="198">
        <f>Qty!O130*'Hist. prices'!K207*K$7</f>
        <v>0</v>
      </c>
      <c r="L207" s="198">
        <f>Qty!P130*'Hist. prices'!L207*L$7</f>
        <v>0</v>
      </c>
      <c r="M207" s="198">
        <f>Qty!Q130*'Hist. prices'!M207*M$7</f>
        <v>0</v>
      </c>
      <c r="N207" s="198">
        <f>Qty!R130*'Hist. prices'!N207*N$7</f>
        <v>0</v>
      </c>
      <c r="O207" s="198">
        <f>Qty!S130*'Hist. prices'!O207*O$7</f>
        <v>0</v>
      </c>
      <c r="P207" s="198">
        <f>Qty!T130*'Hist. prices'!P207*P$7</f>
        <v>0</v>
      </c>
      <c r="Q207" s="198">
        <f>Qty!U130*'Hist. prices'!Q207*Q$7</f>
        <v>0</v>
      </c>
      <c r="R207" s="198">
        <f>Qty!V130*'Hist. prices'!R207*R$7</f>
        <v>0</v>
      </c>
      <c r="S207" s="198">
        <f>Qty!W130*'Hist. prices'!S207*S$7</f>
        <v>0</v>
      </c>
      <c r="T207" s="198">
        <f>Qty!X130*'Hist. prices'!T207*T$7</f>
        <v>0</v>
      </c>
      <c r="U207" s="198">
        <f>Qty!Y130*'Hist. prices'!U207*U$7</f>
        <v>0</v>
      </c>
      <c r="V207" s="198">
        <f>Qty!Z130*'Hist. prices'!V207*V$7</f>
        <v>0</v>
      </c>
      <c r="W207" s="198">
        <f>Qty!AA130*'Hist. prices'!W207*W$7</f>
        <v>0</v>
      </c>
      <c r="X207" s="198">
        <f>Qty!AB130*'Hist. prices'!X207*X$7</f>
        <v>0</v>
      </c>
      <c r="Y207" s="198">
        <f>Qty!AC130*'Hist. prices'!Y207*Y$7</f>
        <v>0</v>
      </c>
      <c r="Z207" s="198">
        <f>Qty!AD130*'Hist. prices'!Z207*Z$7</f>
        <v>0</v>
      </c>
      <c r="AA207" s="198">
        <f>Qty!AE130*'Hist. prices'!AA207*AA$7</f>
        <v>0</v>
      </c>
      <c r="AB207" s="198">
        <f>Qty!AF130*'Hist. prices'!AB207*AB$7</f>
        <v>0</v>
      </c>
      <c r="AC207" s="206">
        <f t="shared" si="21"/>
        <v>0</v>
      </c>
      <c r="AD207" s="68"/>
      <c r="AE207" s="19"/>
      <c r="AF207" s="19"/>
      <c r="AG207" s="19"/>
      <c r="AH207" s="19"/>
    </row>
    <row r="208" spans="1:34" hidden="1" outlineLevel="2" x14ac:dyDescent="0.2">
      <c r="A208" s="19"/>
      <c r="B208" s="19"/>
      <c r="C208" s="506">
        <f t="shared" si="22"/>
        <v>0</v>
      </c>
      <c r="D208" s="505">
        <f t="shared" si="22"/>
        <v>0</v>
      </c>
      <c r="E208" s="505">
        <f t="shared" si="22"/>
        <v>0</v>
      </c>
      <c r="F208" s="505">
        <f t="shared" si="22"/>
        <v>0</v>
      </c>
      <c r="G208" s="505">
        <f t="shared" si="22"/>
        <v>0</v>
      </c>
      <c r="H208" s="58"/>
      <c r="I208" s="198">
        <f>Qty!M131*'Hist. prices'!I208*I$7</f>
        <v>0</v>
      </c>
      <c r="J208" s="198">
        <f>Qty!N131*'Hist. prices'!J208*J$7</f>
        <v>0</v>
      </c>
      <c r="K208" s="198">
        <f>Qty!O131*'Hist. prices'!K208*K$7</f>
        <v>0</v>
      </c>
      <c r="L208" s="198">
        <f>Qty!P131*'Hist. prices'!L208*L$7</f>
        <v>0</v>
      </c>
      <c r="M208" s="198">
        <f>Qty!Q131*'Hist. prices'!M208*M$7</f>
        <v>0</v>
      </c>
      <c r="N208" s="198">
        <f>Qty!R131*'Hist. prices'!N208*N$7</f>
        <v>0</v>
      </c>
      <c r="O208" s="198">
        <f>Qty!S131*'Hist. prices'!O208*O$7</f>
        <v>0</v>
      </c>
      <c r="P208" s="198">
        <f>Qty!T131*'Hist. prices'!P208*P$7</f>
        <v>0</v>
      </c>
      <c r="Q208" s="198">
        <f>Qty!U131*'Hist. prices'!Q208*Q$7</f>
        <v>0</v>
      </c>
      <c r="R208" s="198">
        <f>Qty!V131*'Hist. prices'!R208*R$7</f>
        <v>0</v>
      </c>
      <c r="S208" s="198">
        <f>Qty!W131*'Hist. prices'!S208*S$7</f>
        <v>0</v>
      </c>
      <c r="T208" s="198">
        <f>Qty!X131*'Hist. prices'!T208*T$7</f>
        <v>0</v>
      </c>
      <c r="U208" s="198">
        <f>Qty!Y131*'Hist. prices'!U208*U$7</f>
        <v>0</v>
      </c>
      <c r="V208" s="198">
        <f>Qty!Z131*'Hist. prices'!V208*V$7</f>
        <v>0</v>
      </c>
      <c r="W208" s="198">
        <f>Qty!AA131*'Hist. prices'!W208*W$7</f>
        <v>0</v>
      </c>
      <c r="X208" s="198">
        <f>Qty!AB131*'Hist. prices'!X208*X$7</f>
        <v>0</v>
      </c>
      <c r="Y208" s="198">
        <f>Qty!AC131*'Hist. prices'!Y208*Y$7</f>
        <v>0</v>
      </c>
      <c r="Z208" s="198">
        <f>Qty!AD131*'Hist. prices'!Z208*Z$7</f>
        <v>0</v>
      </c>
      <c r="AA208" s="198">
        <f>Qty!AE131*'Hist. prices'!AA208*AA$7</f>
        <v>0</v>
      </c>
      <c r="AB208" s="198">
        <f>Qty!AF131*'Hist. prices'!AB208*AB$7</f>
        <v>0</v>
      </c>
      <c r="AC208" s="206">
        <f t="shared" si="21"/>
        <v>0</v>
      </c>
      <c r="AD208" s="68"/>
      <c r="AE208" s="19"/>
      <c r="AF208" s="19"/>
      <c r="AG208" s="19"/>
      <c r="AH208" s="19"/>
    </row>
    <row r="209" spans="1:34" hidden="1" outlineLevel="2" x14ac:dyDescent="0.2">
      <c r="A209" s="19"/>
      <c r="B209" s="19"/>
      <c r="C209" s="506">
        <f t="shared" si="22"/>
        <v>0</v>
      </c>
      <c r="D209" s="505">
        <f t="shared" si="22"/>
        <v>0</v>
      </c>
      <c r="E209" s="505">
        <f t="shared" si="22"/>
        <v>0</v>
      </c>
      <c r="F209" s="505">
        <f t="shared" si="22"/>
        <v>0</v>
      </c>
      <c r="G209" s="505">
        <f t="shared" si="22"/>
        <v>0</v>
      </c>
      <c r="H209" s="58"/>
      <c r="I209" s="198">
        <f>Qty!M132*'Hist. prices'!I209*I$7</f>
        <v>0</v>
      </c>
      <c r="J209" s="198">
        <f>Qty!N132*'Hist. prices'!J209*J$7</f>
        <v>0</v>
      </c>
      <c r="K209" s="198">
        <f>Qty!O132*'Hist. prices'!K209*K$7</f>
        <v>0</v>
      </c>
      <c r="L209" s="198">
        <f>Qty!P132*'Hist. prices'!L209*L$7</f>
        <v>0</v>
      </c>
      <c r="M209" s="198">
        <f>Qty!Q132*'Hist. prices'!M209*M$7</f>
        <v>0</v>
      </c>
      <c r="N209" s="198">
        <f>Qty!R132*'Hist. prices'!N209*N$7</f>
        <v>0</v>
      </c>
      <c r="O209" s="198">
        <f>Qty!S132*'Hist. prices'!O209*O$7</f>
        <v>0</v>
      </c>
      <c r="P209" s="198">
        <f>Qty!T132*'Hist. prices'!P209*P$7</f>
        <v>0</v>
      </c>
      <c r="Q209" s="198">
        <f>Qty!U132*'Hist. prices'!Q209*Q$7</f>
        <v>0</v>
      </c>
      <c r="R209" s="198">
        <f>Qty!V132*'Hist. prices'!R209*R$7</f>
        <v>0</v>
      </c>
      <c r="S209" s="198">
        <f>Qty!W132*'Hist. prices'!S209*S$7</f>
        <v>0</v>
      </c>
      <c r="T209" s="198">
        <f>Qty!X132*'Hist. prices'!T209*T$7</f>
        <v>0</v>
      </c>
      <c r="U209" s="198">
        <f>Qty!Y132*'Hist. prices'!U209*U$7</f>
        <v>0</v>
      </c>
      <c r="V209" s="198">
        <f>Qty!Z132*'Hist. prices'!V209*V$7</f>
        <v>0</v>
      </c>
      <c r="W209" s="198">
        <f>Qty!AA132*'Hist. prices'!W209*W$7</f>
        <v>0</v>
      </c>
      <c r="X209" s="198">
        <f>Qty!AB132*'Hist. prices'!X209*X$7</f>
        <v>0</v>
      </c>
      <c r="Y209" s="198">
        <f>Qty!AC132*'Hist. prices'!Y209*Y$7</f>
        <v>0</v>
      </c>
      <c r="Z209" s="198">
        <f>Qty!AD132*'Hist. prices'!Z209*Z$7</f>
        <v>0</v>
      </c>
      <c r="AA209" s="198">
        <f>Qty!AE132*'Hist. prices'!AA209*AA$7</f>
        <v>0</v>
      </c>
      <c r="AB209" s="198">
        <f>Qty!AF132*'Hist. prices'!AB209*AB$7</f>
        <v>0</v>
      </c>
      <c r="AC209" s="206">
        <f t="shared" si="21"/>
        <v>0</v>
      </c>
      <c r="AD209" s="68"/>
      <c r="AE209" s="19"/>
      <c r="AF209" s="19"/>
      <c r="AG209" s="19"/>
      <c r="AH209" s="19"/>
    </row>
    <row r="210" spans="1:34" hidden="1" outlineLevel="2" x14ac:dyDescent="0.2">
      <c r="A210" s="19"/>
      <c r="B210" s="19"/>
      <c r="C210" s="506">
        <f t="shared" si="22"/>
        <v>0</v>
      </c>
      <c r="D210" s="505">
        <f t="shared" si="22"/>
        <v>0</v>
      </c>
      <c r="E210" s="505">
        <f t="shared" si="22"/>
        <v>0</v>
      </c>
      <c r="F210" s="505">
        <f t="shared" si="22"/>
        <v>0</v>
      </c>
      <c r="G210" s="505">
        <f t="shared" si="22"/>
        <v>0</v>
      </c>
      <c r="H210" s="58"/>
      <c r="I210" s="198">
        <f>Qty!M133*'Hist. prices'!I210*I$7</f>
        <v>0</v>
      </c>
      <c r="J210" s="198">
        <f>Qty!N133*'Hist. prices'!J210*J$7</f>
        <v>0</v>
      </c>
      <c r="K210" s="198">
        <f>Qty!O133*'Hist. prices'!K210*K$7</f>
        <v>0</v>
      </c>
      <c r="L210" s="198">
        <f>Qty!P133*'Hist. prices'!L210*L$7</f>
        <v>0</v>
      </c>
      <c r="M210" s="198">
        <f>Qty!Q133*'Hist. prices'!M210*M$7</f>
        <v>0</v>
      </c>
      <c r="N210" s="198">
        <f>Qty!R133*'Hist. prices'!N210*N$7</f>
        <v>0</v>
      </c>
      <c r="O210" s="198">
        <f>Qty!S133*'Hist. prices'!O210*O$7</f>
        <v>0</v>
      </c>
      <c r="P210" s="198">
        <f>Qty!T133*'Hist. prices'!P210*P$7</f>
        <v>0</v>
      </c>
      <c r="Q210" s="198">
        <f>Qty!U133*'Hist. prices'!Q210*Q$7</f>
        <v>0</v>
      </c>
      <c r="R210" s="198">
        <f>Qty!V133*'Hist. prices'!R210*R$7</f>
        <v>0</v>
      </c>
      <c r="S210" s="198">
        <f>Qty!W133*'Hist. prices'!S210*S$7</f>
        <v>0</v>
      </c>
      <c r="T210" s="198">
        <f>Qty!X133*'Hist. prices'!T210*T$7</f>
        <v>0</v>
      </c>
      <c r="U210" s="198">
        <f>Qty!Y133*'Hist. prices'!U210*U$7</f>
        <v>0</v>
      </c>
      <c r="V210" s="198">
        <f>Qty!Z133*'Hist. prices'!V210*V$7</f>
        <v>0</v>
      </c>
      <c r="W210" s="198">
        <f>Qty!AA133*'Hist. prices'!W210*W$7</f>
        <v>0</v>
      </c>
      <c r="X210" s="198">
        <f>Qty!AB133*'Hist. prices'!X210*X$7</f>
        <v>0</v>
      </c>
      <c r="Y210" s="198">
        <f>Qty!AC133*'Hist. prices'!Y210*Y$7</f>
        <v>0</v>
      </c>
      <c r="Z210" s="198">
        <f>Qty!AD133*'Hist. prices'!Z210*Z$7</f>
        <v>0</v>
      </c>
      <c r="AA210" s="198">
        <f>Qty!AE133*'Hist. prices'!AA210*AA$7</f>
        <v>0</v>
      </c>
      <c r="AB210" s="198">
        <f>Qty!AF133*'Hist. prices'!AB210*AB$7</f>
        <v>0</v>
      </c>
      <c r="AC210" s="206">
        <f t="shared" si="21"/>
        <v>0</v>
      </c>
      <c r="AD210" s="68"/>
      <c r="AE210" s="19"/>
      <c r="AF210" s="19"/>
      <c r="AG210" s="19"/>
      <c r="AH210" s="19"/>
    </row>
    <row r="211" spans="1:34" hidden="1" outlineLevel="3" x14ac:dyDescent="0.2">
      <c r="A211" s="19"/>
      <c r="B211" s="19"/>
      <c r="C211" s="506">
        <f t="shared" si="22"/>
        <v>0</v>
      </c>
      <c r="D211" s="505">
        <f t="shared" si="22"/>
        <v>0</v>
      </c>
      <c r="E211" s="505">
        <f t="shared" si="22"/>
        <v>0</v>
      </c>
      <c r="F211" s="505">
        <f t="shared" si="22"/>
        <v>0</v>
      </c>
      <c r="G211" s="505">
        <f t="shared" si="22"/>
        <v>0</v>
      </c>
      <c r="H211" s="58"/>
      <c r="I211" s="198">
        <f>Qty!M134*'Hist. prices'!I211*I$7</f>
        <v>0</v>
      </c>
      <c r="J211" s="198">
        <f>Qty!N134*'Hist. prices'!J211*J$7</f>
        <v>0</v>
      </c>
      <c r="K211" s="198">
        <f>Qty!O134*'Hist. prices'!K211*K$7</f>
        <v>0</v>
      </c>
      <c r="L211" s="198">
        <f>Qty!P134*'Hist. prices'!L211*L$7</f>
        <v>0</v>
      </c>
      <c r="M211" s="198">
        <f>Qty!Q134*'Hist. prices'!M211*M$7</f>
        <v>0</v>
      </c>
      <c r="N211" s="198">
        <f>Qty!R134*'Hist. prices'!N211*N$7</f>
        <v>0</v>
      </c>
      <c r="O211" s="198">
        <f>Qty!S134*'Hist. prices'!O211*O$7</f>
        <v>0</v>
      </c>
      <c r="P211" s="198">
        <f>Qty!T134*'Hist. prices'!P211*P$7</f>
        <v>0</v>
      </c>
      <c r="Q211" s="198">
        <f>Qty!U134*'Hist. prices'!Q211*Q$7</f>
        <v>0</v>
      </c>
      <c r="R211" s="198">
        <f>Qty!V134*'Hist. prices'!R211*R$7</f>
        <v>0</v>
      </c>
      <c r="S211" s="198">
        <f>Qty!W134*'Hist. prices'!S211*S$7</f>
        <v>0</v>
      </c>
      <c r="T211" s="198">
        <f>Qty!X134*'Hist. prices'!T211*T$7</f>
        <v>0</v>
      </c>
      <c r="U211" s="198">
        <f>Qty!Y134*'Hist. prices'!U211*U$7</f>
        <v>0</v>
      </c>
      <c r="V211" s="198">
        <f>Qty!Z134*'Hist. prices'!V211*V$7</f>
        <v>0</v>
      </c>
      <c r="W211" s="198">
        <f>Qty!AA134*'Hist. prices'!W211*W$7</f>
        <v>0</v>
      </c>
      <c r="X211" s="198">
        <f>Qty!AB134*'Hist. prices'!X211*X$7</f>
        <v>0</v>
      </c>
      <c r="Y211" s="198">
        <f>Qty!AC134*'Hist. prices'!Y211*Y$7</f>
        <v>0</v>
      </c>
      <c r="Z211" s="198">
        <f>Qty!AD134*'Hist. prices'!Z211*Z$7</f>
        <v>0</v>
      </c>
      <c r="AA211" s="198">
        <f>Qty!AE134*'Hist. prices'!AA211*AA$7</f>
        <v>0</v>
      </c>
      <c r="AB211" s="198">
        <f>Qty!AF134*'Hist. prices'!AB211*AB$7</f>
        <v>0</v>
      </c>
      <c r="AC211" s="206">
        <f t="shared" si="21"/>
        <v>0</v>
      </c>
      <c r="AD211" s="68"/>
      <c r="AE211" s="19"/>
      <c r="AF211" s="19"/>
      <c r="AG211" s="19"/>
      <c r="AH211" s="19"/>
    </row>
    <row r="212" spans="1:34" hidden="1" outlineLevel="3" x14ac:dyDescent="0.2">
      <c r="A212" s="19"/>
      <c r="B212" s="19"/>
      <c r="C212" s="506">
        <f t="shared" si="22"/>
        <v>0</v>
      </c>
      <c r="D212" s="505">
        <f t="shared" si="22"/>
        <v>0</v>
      </c>
      <c r="E212" s="505">
        <f t="shared" si="22"/>
        <v>0</v>
      </c>
      <c r="F212" s="505">
        <f t="shared" si="22"/>
        <v>0</v>
      </c>
      <c r="G212" s="505">
        <f t="shared" si="22"/>
        <v>0</v>
      </c>
      <c r="H212" s="58"/>
      <c r="I212" s="198">
        <f>Qty!M135*'Hist. prices'!I212*I$7</f>
        <v>0</v>
      </c>
      <c r="J212" s="198">
        <f>Qty!N135*'Hist. prices'!J212*J$7</f>
        <v>0</v>
      </c>
      <c r="K212" s="198">
        <f>Qty!O135*'Hist. prices'!K212*K$7</f>
        <v>0</v>
      </c>
      <c r="L212" s="198">
        <f>Qty!P135*'Hist. prices'!L212*L$7</f>
        <v>0</v>
      </c>
      <c r="M212" s="198">
        <f>Qty!Q135*'Hist. prices'!M212*M$7</f>
        <v>0</v>
      </c>
      <c r="N212" s="198">
        <f>Qty!R135*'Hist. prices'!N212*N$7</f>
        <v>0</v>
      </c>
      <c r="O212" s="198">
        <f>Qty!S135*'Hist. prices'!O212*O$7</f>
        <v>0</v>
      </c>
      <c r="P212" s="198">
        <f>Qty!T135*'Hist. prices'!P212*P$7</f>
        <v>0</v>
      </c>
      <c r="Q212" s="198">
        <f>Qty!U135*'Hist. prices'!Q212*Q$7</f>
        <v>0</v>
      </c>
      <c r="R212" s="198">
        <f>Qty!V135*'Hist. prices'!R212*R$7</f>
        <v>0</v>
      </c>
      <c r="S212" s="198">
        <f>Qty!W135*'Hist. prices'!S212*S$7</f>
        <v>0</v>
      </c>
      <c r="T212" s="198">
        <f>Qty!X135*'Hist. prices'!T212*T$7</f>
        <v>0</v>
      </c>
      <c r="U212" s="198">
        <f>Qty!Y135*'Hist. prices'!U212*U$7</f>
        <v>0</v>
      </c>
      <c r="V212" s="198">
        <f>Qty!Z135*'Hist. prices'!V212*V$7</f>
        <v>0</v>
      </c>
      <c r="W212" s="198">
        <f>Qty!AA135*'Hist. prices'!W212*W$7</f>
        <v>0</v>
      </c>
      <c r="X212" s="198">
        <f>Qty!AB135*'Hist. prices'!X212*X$7</f>
        <v>0</v>
      </c>
      <c r="Y212" s="198">
        <f>Qty!AC135*'Hist. prices'!Y212*Y$7</f>
        <v>0</v>
      </c>
      <c r="Z212" s="198">
        <f>Qty!AD135*'Hist. prices'!Z212*Z$7</f>
        <v>0</v>
      </c>
      <c r="AA212" s="198">
        <f>Qty!AE135*'Hist. prices'!AA212*AA$7</f>
        <v>0</v>
      </c>
      <c r="AB212" s="198">
        <f>Qty!AF135*'Hist. prices'!AB212*AB$7</f>
        <v>0</v>
      </c>
      <c r="AC212" s="206">
        <f t="shared" si="21"/>
        <v>0</v>
      </c>
      <c r="AD212" s="68"/>
      <c r="AE212" s="19"/>
      <c r="AF212" s="19"/>
      <c r="AG212" s="19"/>
      <c r="AH212" s="19"/>
    </row>
    <row r="213" spans="1:34" hidden="1" outlineLevel="3" x14ac:dyDescent="0.2">
      <c r="A213" s="19"/>
      <c r="B213" s="19"/>
      <c r="C213" s="506">
        <f t="shared" si="22"/>
        <v>0</v>
      </c>
      <c r="D213" s="505">
        <f t="shared" si="22"/>
        <v>0</v>
      </c>
      <c r="E213" s="505">
        <f t="shared" si="22"/>
        <v>0</v>
      </c>
      <c r="F213" s="505">
        <f t="shared" si="22"/>
        <v>0</v>
      </c>
      <c r="G213" s="505">
        <f t="shared" si="22"/>
        <v>0</v>
      </c>
      <c r="H213" s="58"/>
      <c r="I213" s="198">
        <f>Qty!M136*'Hist. prices'!I213*I$7</f>
        <v>0</v>
      </c>
      <c r="J213" s="198">
        <f>Qty!N136*'Hist. prices'!J213*J$7</f>
        <v>0</v>
      </c>
      <c r="K213" s="198">
        <f>Qty!O136*'Hist. prices'!K213*K$7</f>
        <v>0</v>
      </c>
      <c r="L213" s="198">
        <f>Qty!P136*'Hist. prices'!L213*L$7</f>
        <v>0</v>
      </c>
      <c r="M213" s="198">
        <f>Qty!Q136*'Hist. prices'!M213*M$7</f>
        <v>0</v>
      </c>
      <c r="N213" s="198">
        <f>Qty!R136*'Hist. prices'!N213*N$7</f>
        <v>0</v>
      </c>
      <c r="O213" s="198">
        <f>Qty!S136*'Hist. prices'!O213*O$7</f>
        <v>0</v>
      </c>
      <c r="P213" s="198">
        <f>Qty!T136*'Hist. prices'!P213*P$7</f>
        <v>0</v>
      </c>
      <c r="Q213" s="198">
        <f>Qty!U136*'Hist. prices'!Q213*Q$7</f>
        <v>0</v>
      </c>
      <c r="R213" s="198">
        <f>Qty!V136*'Hist. prices'!R213*R$7</f>
        <v>0</v>
      </c>
      <c r="S213" s="198">
        <f>Qty!W136*'Hist. prices'!S213*S$7</f>
        <v>0</v>
      </c>
      <c r="T213" s="198">
        <f>Qty!X136*'Hist. prices'!T213*T$7</f>
        <v>0</v>
      </c>
      <c r="U213" s="198">
        <f>Qty!Y136*'Hist. prices'!U213*U$7</f>
        <v>0</v>
      </c>
      <c r="V213" s="198">
        <f>Qty!Z136*'Hist. prices'!V213*V$7</f>
        <v>0</v>
      </c>
      <c r="W213" s="198">
        <f>Qty!AA136*'Hist. prices'!W213*W$7</f>
        <v>0</v>
      </c>
      <c r="X213" s="198">
        <f>Qty!AB136*'Hist. prices'!X213*X$7</f>
        <v>0</v>
      </c>
      <c r="Y213" s="198">
        <f>Qty!AC136*'Hist. prices'!Y213*Y$7</f>
        <v>0</v>
      </c>
      <c r="Z213" s="198">
        <f>Qty!AD136*'Hist. prices'!Z213*Z$7</f>
        <v>0</v>
      </c>
      <c r="AA213" s="198">
        <f>Qty!AE136*'Hist. prices'!AA213*AA$7</f>
        <v>0</v>
      </c>
      <c r="AB213" s="198">
        <f>Qty!AF136*'Hist. prices'!AB213*AB$7</f>
        <v>0</v>
      </c>
      <c r="AC213" s="206">
        <f t="shared" si="21"/>
        <v>0</v>
      </c>
      <c r="AD213" s="68"/>
      <c r="AE213" s="19"/>
      <c r="AF213" s="19"/>
      <c r="AG213" s="19"/>
      <c r="AH213" s="19"/>
    </row>
    <row r="214" spans="1:34" hidden="1" outlineLevel="3" x14ac:dyDescent="0.2">
      <c r="A214" s="19"/>
      <c r="B214" s="19"/>
      <c r="C214" s="506">
        <f t="shared" ref="C214:G223" si="23">C58</f>
        <v>0</v>
      </c>
      <c r="D214" s="505">
        <f t="shared" si="23"/>
        <v>0</v>
      </c>
      <c r="E214" s="505">
        <f t="shared" si="23"/>
        <v>0</v>
      </c>
      <c r="F214" s="505">
        <f t="shared" si="23"/>
        <v>0</v>
      </c>
      <c r="G214" s="505">
        <f t="shared" si="23"/>
        <v>0</v>
      </c>
      <c r="H214" s="58"/>
      <c r="I214" s="198">
        <f>Qty!M137*'Hist. prices'!I214*I$7</f>
        <v>0</v>
      </c>
      <c r="J214" s="198">
        <f>Qty!N137*'Hist. prices'!J214*J$7</f>
        <v>0</v>
      </c>
      <c r="K214" s="198">
        <f>Qty!O137*'Hist. prices'!K214*K$7</f>
        <v>0</v>
      </c>
      <c r="L214" s="198">
        <f>Qty!P137*'Hist. prices'!L214*L$7</f>
        <v>0</v>
      </c>
      <c r="M214" s="198">
        <f>Qty!Q137*'Hist. prices'!M214*M$7</f>
        <v>0</v>
      </c>
      <c r="N214" s="198">
        <f>Qty!R137*'Hist. prices'!N214*N$7</f>
        <v>0</v>
      </c>
      <c r="O214" s="198">
        <f>Qty!S137*'Hist. prices'!O214*O$7</f>
        <v>0</v>
      </c>
      <c r="P214" s="198">
        <f>Qty!T137*'Hist. prices'!P214*P$7</f>
        <v>0</v>
      </c>
      <c r="Q214" s="198">
        <f>Qty!U137*'Hist. prices'!Q214*Q$7</f>
        <v>0</v>
      </c>
      <c r="R214" s="198">
        <f>Qty!V137*'Hist. prices'!R214*R$7</f>
        <v>0</v>
      </c>
      <c r="S214" s="198">
        <f>Qty!W137*'Hist. prices'!S214*S$7</f>
        <v>0</v>
      </c>
      <c r="T214" s="198">
        <f>Qty!X137*'Hist. prices'!T214*T$7</f>
        <v>0</v>
      </c>
      <c r="U214" s="198">
        <f>Qty!Y137*'Hist. prices'!U214*U$7</f>
        <v>0</v>
      </c>
      <c r="V214" s="198">
        <f>Qty!Z137*'Hist. prices'!V214*V$7</f>
        <v>0</v>
      </c>
      <c r="W214" s="198">
        <f>Qty!AA137*'Hist. prices'!W214*W$7</f>
        <v>0</v>
      </c>
      <c r="X214" s="198">
        <f>Qty!AB137*'Hist. prices'!X214*X$7</f>
        <v>0</v>
      </c>
      <c r="Y214" s="198">
        <f>Qty!AC137*'Hist. prices'!Y214*Y$7</f>
        <v>0</v>
      </c>
      <c r="Z214" s="198">
        <f>Qty!AD137*'Hist. prices'!Z214*Z$7</f>
        <v>0</v>
      </c>
      <c r="AA214" s="198">
        <f>Qty!AE137*'Hist. prices'!AA214*AA$7</f>
        <v>0</v>
      </c>
      <c r="AB214" s="198">
        <f>Qty!AF137*'Hist. prices'!AB214*AB$7</f>
        <v>0</v>
      </c>
      <c r="AC214" s="206">
        <f t="shared" si="21"/>
        <v>0</v>
      </c>
      <c r="AD214" s="68"/>
      <c r="AE214" s="19"/>
      <c r="AF214" s="19"/>
      <c r="AG214" s="19"/>
      <c r="AH214" s="19"/>
    </row>
    <row r="215" spans="1:34" hidden="1" outlineLevel="3" x14ac:dyDescent="0.2">
      <c r="A215" s="19"/>
      <c r="B215" s="19"/>
      <c r="C215" s="506">
        <f t="shared" si="23"/>
        <v>0</v>
      </c>
      <c r="D215" s="505">
        <f t="shared" si="23"/>
        <v>0</v>
      </c>
      <c r="E215" s="505">
        <f t="shared" si="23"/>
        <v>0</v>
      </c>
      <c r="F215" s="505">
        <f t="shared" si="23"/>
        <v>0</v>
      </c>
      <c r="G215" s="505">
        <f t="shared" si="23"/>
        <v>0</v>
      </c>
      <c r="H215" s="58"/>
      <c r="I215" s="198">
        <f>Qty!M138*'Hist. prices'!I215*I$7</f>
        <v>0</v>
      </c>
      <c r="J215" s="198">
        <f>Qty!N138*'Hist. prices'!J215*J$7</f>
        <v>0</v>
      </c>
      <c r="K215" s="198">
        <f>Qty!O138*'Hist. prices'!K215*K$7</f>
        <v>0</v>
      </c>
      <c r="L215" s="198">
        <f>Qty!P138*'Hist. prices'!L215*L$7</f>
        <v>0</v>
      </c>
      <c r="M215" s="198">
        <f>Qty!Q138*'Hist. prices'!M215*M$7</f>
        <v>0</v>
      </c>
      <c r="N215" s="198">
        <f>Qty!R138*'Hist. prices'!N215*N$7</f>
        <v>0</v>
      </c>
      <c r="O215" s="198">
        <f>Qty!S138*'Hist. prices'!O215*O$7</f>
        <v>0</v>
      </c>
      <c r="P215" s="198">
        <f>Qty!T138*'Hist. prices'!P215*P$7</f>
        <v>0</v>
      </c>
      <c r="Q215" s="198">
        <f>Qty!U138*'Hist. prices'!Q215*Q$7</f>
        <v>0</v>
      </c>
      <c r="R215" s="198">
        <f>Qty!V138*'Hist. prices'!R215*R$7</f>
        <v>0</v>
      </c>
      <c r="S215" s="198">
        <f>Qty!W138*'Hist. prices'!S215*S$7</f>
        <v>0</v>
      </c>
      <c r="T215" s="198">
        <f>Qty!X138*'Hist. prices'!T215*T$7</f>
        <v>0</v>
      </c>
      <c r="U215" s="198">
        <f>Qty!Y138*'Hist. prices'!U215*U$7</f>
        <v>0</v>
      </c>
      <c r="V215" s="198">
        <f>Qty!Z138*'Hist. prices'!V215*V$7</f>
        <v>0</v>
      </c>
      <c r="W215" s="198">
        <f>Qty!AA138*'Hist. prices'!W215*W$7</f>
        <v>0</v>
      </c>
      <c r="X215" s="198">
        <f>Qty!AB138*'Hist. prices'!X215*X$7</f>
        <v>0</v>
      </c>
      <c r="Y215" s="198">
        <f>Qty!AC138*'Hist. prices'!Y215*Y$7</f>
        <v>0</v>
      </c>
      <c r="Z215" s="198">
        <f>Qty!AD138*'Hist. prices'!Z215*Z$7</f>
        <v>0</v>
      </c>
      <c r="AA215" s="198">
        <f>Qty!AE138*'Hist. prices'!AA215*AA$7</f>
        <v>0</v>
      </c>
      <c r="AB215" s="198">
        <f>Qty!AF138*'Hist. prices'!AB215*AB$7</f>
        <v>0</v>
      </c>
      <c r="AC215" s="206">
        <f t="shared" si="21"/>
        <v>0</v>
      </c>
      <c r="AD215" s="68"/>
      <c r="AE215" s="19"/>
      <c r="AF215" s="19"/>
      <c r="AG215" s="19"/>
      <c r="AH215" s="19"/>
    </row>
    <row r="216" spans="1:34" hidden="1" outlineLevel="3" x14ac:dyDescent="0.2">
      <c r="A216" s="19"/>
      <c r="B216" s="19"/>
      <c r="C216" s="506">
        <f t="shared" si="23"/>
        <v>0</v>
      </c>
      <c r="D216" s="505">
        <f t="shared" si="23"/>
        <v>0</v>
      </c>
      <c r="E216" s="505">
        <f t="shared" si="23"/>
        <v>0</v>
      </c>
      <c r="F216" s="505">
        <f t="shared" si="23"/>
        <v>0</v>
      </c>
      <c r="G216" s="505">
        <f t="shared" si="23"/>
        <v>0</v>
      </c>
      <c r="H216" s="58"/>
      <c r="I216" s="198">
        <f>Qty!M139*'Hist. prices'!I216*I$7</f>
        <v>0</v>
      </c>
      <c r="J216" s="198">
        <f>Qty!N139*'Hist. prices'!J216*J$7</f>
        <v>0</v>
      </c>
      <c r="K216" s="198">
        <f>Qty!O139*'Hist. prices'!K216*K$7</f>
        <v>0</v>
      </c>
      <c r="L216" s="198">
        <f>Qty!P139*'Hist. prices'!L216*L$7</f>
        <v>0</v>
      </c>
      <c r="M216" s="198">
        <f>Qty!Q139*'Hist. prices'!M216*M$7</f>
        <v>0</v>
      </c>
      <c r="N216" s="198">
        <f>Qty!R139*'Hist. prices'!N216*N$7</f>
        <v>0</v>
      </c>
      <c r="O216" s="198">
        <f>Qty!S139*'Hist. prices'!O216*O$7</f>
        <v>0</v>
      </c>
      <c r="P216" s="198">
        <f>Qty!T139*'Hist. prices'!P216*P$7</f>
        <v>0</v>
      </c>
      <c r="Q216" s="198">
        <f>Qty!U139*'Hist. prices'!Q216*Q$7</f>
        <v>0</v>
      </c>
      <c r="R216" s="198">
        <f>Qty!V139*'Hist. prices'!R216*R$7</f>
        <v>0</v>
      </c>
      <c r="S216" s="198">
        <f>Qty!W139*'Hist. prices'!S216*S$7</f>
        <v>0</v>
      </c>
      <c r="T216" s="198">
        <f>Qty!X139*'Hist. prices'!T216*T$7</f>
        <v>0</v>
      </c>
      <c r="U216" s="198">
        <f>Qty!Y139*'Hist. prices'!U216*U$7</f>
        <v>0</v>
      </c>
      <c r="V216" s="198">
        <f>Qty!Z139*'Hist. prices'!V216*V$7</f>
        <v>0</v>
      </c>
      <c r="W216" s="198">
        <f>Qty!AA139*'Hist. prices'!W216*W$7</f>
        <v>0</v>
      </c>
      <c r="X216" s="198">
        <f>Qty!AB139*'Hist. prices'!X216*X$7</f>
        <v>0</v>
      </c>
      <c r="Y216" s="198">
        <f>Qty!AC139*'Hist. prices'!Y216*Y$7</f>
        <v>0</v>
      </c>
      <c r="Z216" s="198">
        <f>Qty!AD139*'Hist. prices'!Z216*Z$7</f>
        <v>0</v>
      </c>
      <c r="AA216" s="198">
        <f>Qty!AE139*'Hist. prices'!AA216*AA$7</f>
        <v>0</v>
      </c>
      <c r="AB216" s="198">
        <f>Qty!AF139*'Hist. prices'!AB216*AB$7</f>
        <v>0</v>
      </c>
      <c r="AC216" s="206">
        <f t="shared" si="21"/>
        <v>0</v>
      </c>
      <c r="AD216" s="68"/>
      <c r="AE216" s="19"/>
      <c r="AF216" s="19"/>
      <c r="AG216" s="19"/>
      <c r="AH216" s="19"/>
    </row>
    <row r="217" spans="1:34" hidden="1" outlineLevel="3" x14ac:dyDescent="0.2">
      <c r="A217" s="19"/>
      <c r="B217" s="19"/>
      <c r="C217" s="506">
        <f t="shared" si="23"/>
        <v>0</v>
      </c>
      <c r="D217" s="505">
        <f t="shared" si="23"/>
        <v>0</v>
      </c>
      <c r="E217" s="505">
        <f t="shared" si="23"/>
        <v>0</v>
      </c>
      <c r="F217" s="505">
        <f t="shared" si="23"/>
        <v>0</v>
      </c>
      <c r="G217" s="505">
        <f t="shared" si="23"/>
        <v>0</v>
      </c>
      <c r="H217" s="58"/>
      <c r="I217" s="198">
        <f>Qty!M140*'Hist. prices'!I217*I$7</f>
        <v>0</v>
      </c>
      <c r="J217" s="198">
        <f>Qty!N140*'Hist. prices'!J217*J$7</f>
        <v>0</v>
      </c>
      <c r="K217" s="198">
        <f>Qty!O140*'Hist. prices'!K217*K$7</f>
        <v>0</v>
      </c>
      <c r="L217" s="198">
        <f>Qty!P140*'Hist. prices'!L217*L$7</f>
        <v>0</v>
      </c>
      <c r="M217" s="198">
        <f>Qty!Q140*'Hist. prices'!M217*M$7</f>
        <v>0</v>
      </c>
      <c r="N217" s="198">
        <f>Qty!R140*'Hist. prices'!N217*N$7</f>
        <v>0</v>
      </c>
      <c r="O217" s="198">
        <f>Qty!S140*'Hist. prices'!O217*O$7</f>
        <v>0</v>
      </c>
      <c r="P217" s="198">
        <f>Qty!T140*'Hist. prices'!P217*P$7</f>
        <v>0</v>
      </c>
      <c r="Q217" s="198">
        <f>Qty!U140*'Hist. prices'!Q217*Q$7</f>
        <v>0</v>
      </c>
      <c r="R217" s="198">
        <f>Qty!V140*'Hist. prices'!R217*R$7</f>
        <v>0</v>
      </c>
      <c r="S217" s="198">
        <f>Qty!W140*'Hist. prices'!S217*S$7</f>
        <v>0</v>
      </c>
      <c r="T217" s="198">
        <f>Qty!X140*'Hist. prices'!T217*T$7</f>
        <v>0</v>
      </c>
      <c r="U217" s="198">
        <f>Qty!Y140*'Hist. prices'!U217*U$7</f>
        <v>0</v>
      </c>
      <c r="V217" s="198">
        <f>Qty!Z140*'Hist. prices'!V217*V$7</f>
        <v>0</v>
      </c>
      <c r="W217" s="198">
        <f>Qty!AA140*'Hist. prices'!W217*W$7</f>
        <v>0</v>
      </c>
      <c r="X217" s="198">
        <f>Qty!AB140*'Hist. prices'!X217*X$7</f>
        <v>0</v>
      </c>
      <c r="Y217" s="198">
        <f>Qty!AC140*'Hist. prices'!Y217*Y$7</f>
        <v>0</v>
      </c>
      <c r="Z217" s="198">
        <f>Qty!AD140*'Hist. prices'!Z217*Z$7</f>
        <v>0</v>
      </c>
      <c r="AA217" s="198">
        <f>Qty!AE140*'Hist. prices'!AA217*AA$7</f>
        <v>0</v>
      </c>
      <c r="AB217" s="198">
        <f>Qty!AF140*'Hist. prices'!AB217*AB$7</f>
        <v>0</v>
      </c>
      <c r="AC217" s="206">
        <f t="shared" si="21"/>
        <v>0</v>
      </c>
      <c r="AD217" s="68"/>
      <c r="AE217" s="19"/>
      <c r="AF217" s="19"/>
      <c r="AG217" s="19"/>
      <c r="AH217" s="19"/>
    </row>
    <row r="218" spans="1:34" hidden="1" outlineLevel="3" x14ac:dyDescent="0.2">
      <c r="A218" s="19"/>
      <c r="B218" s="19"/>
      <c r="C218" s="506">
        <f t="shared" si="23"/>
        <v>0</v>
      </c>
      <c r="D218" s="505">
        <f t="shared" si="23"/>
        <v>0</v>
      </c>
      <c r="E218" s="505">
        <f t="shared" si="23"/>
        <v>0</v>
      </c>
      <c r="F218" s="505">
        <f t="shared" si="23"/>
        <v>0</v>
      </c>
      <c r="G218" s="505">
        <f t="shared" si="23"/>
        <v>0</v>
      </c>
      <c r="H218" s="58"/>
      <c r="I218" s="198">
        <f>Qty!M141*'Hist. prices'!I218*I$7</f>
        <v>0</v>
      </c>
      <c r="J218" s="198">
        <f>Qty!N141*'Hist. prices'!J218*J$7</f>
        <v>0</v>
      </c>
      <c r="K218" s="198">
        <f>Qty!O141*'Hist. prices'!K218*K$7</f>
        <v>0</v>
      </c>
      <c r="L218" s="198">
        <f>Qty!P141*'Hist. prices'!L218*L$7</f>
        <v>0</v>
      </c>
      <c r="M218" s="198">
        <f>Qty!Q141*'Hist. prices'!M218*M$7</f>
        <v>0</v>
      </c>
      <c r="N218" s="198">
        <f>Qty!R141*'Hist. prices'!N218*N$7</f>
        <v>0</v>
      </c>
      <c r="O218" s="198">
        <f>Qty!S141*'Hist. prices'!O218*O$7</f>
        <v>0</v>
      </c>
      <c r="P218" s="198">
        <f>Qty!T141*'Hist. prices'!P218*P$7</f>
        <v>0</v>
      </c>
      <c r="Q218" s="198">
        <f>Qty!U141*'Hist. prices'!Q218*Q$7</f>
        <v>0</v>
      </c>
      <c r="R218" s="198">
        <f>Qty!V141*'Hist. prices'!R218*R$7</f>
        <v>0</v>
      </c>
      <c r="S218" s="198">
        <f>Qty!W141*'Hist. prices'!S218*S$7</f>
        <v>0</v>
      </c>
      <c r="T218" s="198">
        <f>Qty!X141*'Hist. prices'!T218*T$7</f>
        <v>0</v>
      </c>
      <c r="U218" s="198">
        <f>Qty!Y141*'Hist. prices'!U218*U$7</f>
        <v>0</v>
      </c>
      <c r="V218" s="198">
        <f>Qty!Z141*'Hist. prices'!V218*V$7</f>
        <v>0</v>
      </c>
      <c r="W218" s="198">
        <f>Qty!AA141*'Hist. prices'!W218*W$7</f>
        <v>0</v>
      </c>
      <c r="X218" s="198">
        <f>Qty!AB141*'Hist. prices'!X218*X$7</f>
        <v>0</v>
      </c>
      <c r="Y218" s="198">
        <f>Qty!AC141*'Hist. prices'!Y218*Y$7</f>
        <v>0</v>
      </c>
      <c r="Z218" s="198">
        <f>Qty!AD141*'Hist. prices'!Z218*Z$7</f>
        <v>0</v>
      </c>
      <c r="AA218" s="198">
        <f>Qty!AE141*'Hist. prices'!AA218*AA$7</f>
        <v>0</v>
      </c>
      <c r="AB218" s="198">
        <f>Qty!AF141*'Hist. prices'!AB218*AB$7</f>
        <v>0</v>
      </c>
      <c r="AC218" s="206">
        <f t="shared" si="21"/>
        <v>0</v>
      </c>
      <c r="AD218" s="68"/>
      <c r="AE218" s="19"/>
      <c r="AF218" s="19"/>
      <c r="AG218" s="19"/>
      <c r="AH218" s="19"/>
    </row>
    <row r="219" spans="1:34" hidden="1" outlineLevel="3" x14ac:dyDescent="0.2">
      <c r="A219" s="19"/>
      <c r="B219" s="19"/>
      <c r="C219" s="506">
        <f t="shared" si="23"/>
        <v>0</v>
      </c>
      <c r="D219" s="505">
        <f t="shared" si="23"/>
        <v>0</v>
      </c>
      <c r="E219" s="505">
        <f t="shared" si="23"/>
        <v>0</v>
      </c>
      <c r="F219" s="505">
        <f t="shared" si="23"/>
        <v>0</v>
      </c>
      <c r="G219" s="505">
        <f t="shared" si="23"/>
        <v>0</v>
      </c>
      <c r="H219" s="58"/>
      <c r="I219" s="198">
        <f>Qty!M142*'Hist. prices'!I219*I$7</f>
        <v>0</v>
      </c>
      <c r="J219" s="198">
        <f>Qty!N142*'Hist. prices'!J219*J$7</f>
        <v>0</v>
      </c>
      <c r="K219" s="198">
        <f>Qty!O142*'Hist. prices'!K219*K$7</f>
        <v>0</v>
      </c>
      <c r="L219" s="198">
        <f>Qty!P142*'Hist. prices'!L219*L$7</f>
        <v>0</v>
      </c>
      <c r="M219" s="198">
        <f>Qty!Q142*'Hist. prices'!M219*M$7</f>
        <v>0</v>
      </c>
      <c r="N219" s="198">
        <f>Qty!R142*'Hist. prices'!N219*N$7</f>
        <v>0</v>
      </c>
      <c r="O219" s="198">
        <f>Qty!S142*'Hist. prices'!O219*O$7</f>
        <v>0</v>
      </c>
      <c r="P219" s="198">
        <f>Qty!T142*'Hist. prices'!P219*P$7</f>
        <v>0</v>
      </c>
      <c r="Q219" s="198">
        <f>Qty!U142*'Hist. prices'!Q219*Q$7</f>
        <v>0</v>
      </c>
      <c r="R219" s="198">
        <f>Qty!V142*'Hist. prices'!R219*R$7</f>
        <v>0</v>
      </c>
      <c r="S219" s="198">
        <f>Qty!W142*'Hist. prices'!S219*S$7</f>
        <v>0</v>
      </c>
      <c r="T219" s="198">
        <f>Qty!X142*'Hist. prices'!T219*T$7</f>
        <v>0</v>
      </c>
      <c r="U219" s="198">
        <f>Qty!Y142*'Hist. prices'!U219*U$7</f>
        <v>0</v>
      </c>
      <c r="V219" s="198">
        <f>Qty!Z142*'Hist. prices'!V219*V$7</f>
        <v>0</v>
      </c>
      <c r="W219" s="198">
        <f>Qty!AA142*'Hist. prices'!W219*W$7</f>
        <v>0</v>
      </c>
      <c r="X219" s="198">
        <f>Qty!AB142*'Hist. prices'!X219*X$7</f>
        <v>0</v>
      </c>
      <c r="Y219" s="198">
        <f>Qty!AC142*'Hist. prices'!Y219*Y$7</f>
        <v>0</v>
      </c>
      <c r="Z219" s="198">
        <f>Qty!AD142*'Hist. prices'!Z219*Z$7</f>
        <v>0</v>
      </c>
      <c r="AA219" s="198">
        <f>Qty!AE142*'Hist. prices'!AA219*AA$7</f>
        <v>0</v>
      </c>
      <c r="AB219" s="198">
        <f>Qty!AF142*'Hist. prices'!AB219*AB$7</f>
        <v>0</v>
      </c>
      <c r="AC219" s="206">
        <f t="shared" si="21"/>
        <v>0</v>
      </c>
      <c r="AD219" s="68"/>
      <c r="AE219" s="19"/>
      <c r="AF219" s="19"/>
      <c r="AG219" s="19"/>
      <c r="AH219" s="19"/>
    </row>
    <row r="220" spans="1:34" hidden="1" outlineLevel="3" x14ac:dyDescent="0.2">
      <c r="A220" s="19"/>
      <c r="B220" s="19"/>
      <c r="C220" s="506">
        <f t="shared" si="23"/>
        <v>0</v>
      </c>
      <c r="D220" s="505">
        <f t="shared" si="23"/>
        <v>0</v>
      </c>
      <c r="E220" s="505">
        <f t="shared" si="23"/>
        <v>0</v>
      </c>
      <c r="F220" s="505">
        <f t="shared" si="23"/>
        <v>0</v>
      </c>
      <c r="G220" s="505">
        <f t="shared" si="23"/>
        <v>0</v>
      </c>
      <c r="H220" s="58"/>
      <c r="I220" s="198">
        <f>Qty!M143*'Hist. prices'!I220*I$7</f>
        <v>0</v>
      </c>
      <c r="J220" s="198">
        <f>Qty!N143*'Hist. prices'!J220*J$7</f>
        <v>0</v>
      </c>
      <c r="K220" s="198">
        <f>Qty!O143*'Hist. prices'!K220*K$7</f>
        <v>0</v>
      </c>
      <c r="L220" s="198">
        <f>Qty!P143*'Hist. prices'!L220*L$7</f>
        <v>0</v>
      </c>
      <c r="M220" s="198">
        <f>Qty!Q143*'Hist. prices'!M220*M$7</f>
        <v>0</v>
      </c>
      <c r="N220" s="198">
        <f>Qty!R143*'Hist. prices'!N220*N$7</f>
        <v>0</v>
      </c>
      <c r="O220" s="198">
        <f>Qty!S143*'Hist. prices'!O220*O$7</f>
        <v>0</v>
      </c>
      <c r="P220" s="198">
        <f>Qty!T143*'Hist. prices'!P220*P$7</f>
        <v>0</v>
      </c>
      <c r="Q220" s="198">
        <f>Qty!U143*'Hist. prices'!Q220*Q$7</f>
        <v>0</v>
      </c>
      <c r="R220" s="198">
        <f>Qty!V143*'Hist. prices'!R220*R$7</f>
        <v>0</v>
      </c>
      <c r="S220" s="198">
        <f>Qty!W143*'Hist. prices'!S220*S$7</f>
        <v>0</v>
      </c>
      <c r="T220" s="198">
        <f>Qty!X143*'Hist. prices'!T220*T$7</f>
        <v>0</v>
      </c>
      <c r="U220" s="198">
        <f>Qty!Y143*'Hist. prices'!U220*U$7</f>
        <v>0</v>
      </c>
      <c r="V220" s="198">
        <f>Qty!Z143*'Hist. prices'!V220*V$7</f>
        <v>0</v>
      </c>
      <c r="W220" s="198">
        <f>Qty!AA143*'Hist. prices'!W220*W$7</f>
        <v>0</v>
      </c>
      <c r="X220" s="198">
        <f>Qty!AB143*'Hist. prices'!X220*X$7</f>
        <v>0</v>
      </c>
      <c r="Y220" s="198">
        <f>Qty!AC143*'Hist. prices'!Y220*Y$7</f>
        <v>0</v>
      </c>
      <c r="Z220" s="198">
        <f>Qty!AD143*'Hist. prices'!Z220*Z$7</f>
        <v>0</v>
      </c>
      <c r="AA220" s="198">
        <f>Qty!AE143*'Hist. prices'!AA220*AA$7</f>
        <v>0</v>
      </c>
      <c r="AB220" s="198">
        <f>Qty!AF143*'Hist. prices'!AB220*AB$7</f>
        <v>0</v>
      </c>
      <c r="AC220" s="206">
        <f t="shared" si="21"/>
        <v>0</v>
      </c>
      <c r="AD220" s="68"/>
      <c r="AE220" s="19"/>
      <c r="AF220" s="19"/>
      <c r="AG220" s="19"/>
      <c r="AH220" s="19"/>
    </row>
    <row r="221" spans="1:34" hidden="1" outlineLevel="3" x14ac:dyDescent="0.2">
      <c r="A221" s="19"/>
      <c r="B221" s="19"/>
      <c r="C221" s="506">
        <f t="shared" si="23"/>
        <v>0</v>
      </c>
      <c r="D221" s="505">
        <f t="shared" si="23"/>
        <v>0</v>
      </c>
      <c r="E221" s="505">
        <f t="shared" si="23"/>
        <v>0</v>
      </c>
      <c r="F221" s="505">
        <f t="shared" si="23"/>
        <v>0</v>
      </c>
      <c r="G221" s="505">
        <f t="shared" si="23"/>
        <v>0</v>
      </c>
      <c r="H221" s="58"/>
      <c r="I221" s="198">
        <f>Qty!M144*'Hist. prices'!I221*I$7</f>
        <v>0</v>
      </c>
      <c r="J221" s="198">
        <f>Qty!N144*'Hist. prices'!J221*J$7</f>
        <v>0</v>
      </c>
      <c r="K221" s="198">
        <f>Qty!O144*'Hist. prices'!K221*K$7</f>
        <v>0</v>
      </c>
      <c r="L221" s="198">
        <f>Qty!P144*'Hist. prices'!L221*L$7</f>
        <v>0</v>
      </c>
      <c r="M221" s="198">
        <f>Qty!Q144*'Hist. prices'!M221*M$7</f>
        <v>0</v>
      </c>
      <c r="N221" s="198">
        <f>Qty!R144*'Hist. prices'!N221*N$7</f>
        <v>0</v>
      </c>
      <c r="O221" s="198">
        <f>Qty!S144*'Hist. prices'!O221*O$7</f>
        <v>0</v>
      </c>
      <c r="P221" s="198">
        <f>Qty!T144*'Hist. prices'!P221*P$7</f>
        <v>0</v>
      </c>
      <c r="Q221" s="198">
        <f>Qty!U144*'Hist. prices'!Q221*Q$7</f>
        <v>0</v>
      </c>
      <c r="R221" s="198">
        <f>Qty!V144*'Hist. prices'!R221*R$7</f>
        <v>0</v>
      </c>
      <c r="S221" s="198">
        <f>Qty!W144*'Hist. prices'!S221*S$7</f>
        <v>0</v>
      </c>
      <c r="T221" s="198">
        <f>Qty!X144*'Hist. prices'!T221*T$7</f>
        <v>0</v>
      </c>
      <c r="U221" s="198">
        <f>Qty!Y144*'Hist. prices'!U221*U$7</f>
        <v>0</v>
      </c>
      <c r="V221" s="198">
        <f>Qty!Z144*'Hist. prices'!V221*V$7</f>
        <v>0</v>
      </c>
      <c r="W221" s="198">
        <f>Qty!AA144*'Hist. prices'!W221*W$7</f>
        <v>0</v>
      </c>
      <c r="X221" s="198">
        <f>Qty!AB144*'Hist. prices'!X221*X$7</f>
        <v>0</v>
      </c>
      <c r="Y221" s="198">
        <f>Qty!AC144*'Hist. prices'!Y221*Y$7</f>
        <v>0</v>
      </c>
      <c r="Z221" s="198">
        <f>Qty!AD144*'Hist. prices'!Z221*Z$7</f>
        <v>0</v>
      </c>
      <c r="AA221" s="198">
        <f>Qty!AE144*'Hist. prices'!AA221*AA$7</f>
        <v>0</v>
      </c>
      <c r="AB221" s="198">
        <f>Qty!AF144*'Hist. prices'!AB221*AB$7</f>
        <v>0</v>
      </c>
      <c r="AC221" s="206">
        <f t="shared" si="21"/>
        <v>0</v>
      </c>
      <c r="AD221" s="68"/>
      <c r="AE221" s="19"/>
      <c r="AF221" s="19"/>
      <c r="AG221" s="19"/>
      <c r="AH221" s="19"/>
    </row>
    <row r="222" spans="1:34" hidden="1" outlineLevel="3" x14ac:dyDescent="0.2">
      <c r="A222" s="19"/>
      <c r="B222" s="19"/>
      <c r="C222" s="506">
        <f t="shared" si="23"/>
        <v>0</v>
      </c>
      <c r="D222" s="505">
        <f t="shared" si="23"/>
        <v>0</v>
      </c>
      <c r="E222" s="505">
        <f t="shared" si="23"/>
        <v>0</v>
      </c>
      <c r="F222" s="505">
        <f t="shared" si="23"/>
        <v>0</v>
      </c>
      <c r="G222" s="505">
        <f t="shared" si="23"/>
        <v>0</v>
      </c>
      <c r="H222" s="58"/>
      <c r="I222" s="198">
        <f>Qty!M145*'Hist. prices'!I222*I$7</f>
        <v>0</v>
      </c>
      <c r="J222" s="198">
        <f>Qty!N145*'Hist. prices'!J222*J$7</f>
        <v>0</v>
      </c>
      <c r="K222" s="198">
        <f>Qty!O145*'Hist. prices'!K222*K$7</f>
        <v>0</v>
      </c>
      <c r="L222" s="198">
        <f>Qty!P145*'Hist. prices'!L222*L$7</f>
        <v>0</v>
      </c>
      <c r="M222" s="198">
        <f>Qty!Q145*'Hist. prices'!M222*M$7</f>
        <v>0</v>
      </c>
      <c r="N222" s="198">
        <f>Qty!R145*'Hist. prices'!N222*N$7</f>
        <v>0</v>
      </c>
      <c r="O222" s="198">
        <f>Qty!S145*'Hist. prices'!O222*O$7</f>
        <v>0</v>
      </c>
      <c r="P222" s="198">
        <f>Qty!T145*'Hist. prices'!P222*P$7</f>
        <v>0</v>
      </c>
      <c r="Q222" s="198">
        <f>Qty!U145*'Hist. prices'!Q222*Q$7</f>
        <v>0</v>
      </c>
      <c r="R222" s="198">
        <f>Qty!V145*'Hist. prices'!R222*R$7</f>
        <v>0</v>
      </c>
      <c r="S222" s="198">
        <f>Qty!W145*'Hist. prices'!S222*S$7</f>
        <v>0</v>
      </c>
      <c r="T222" s="198">
        <f>Qty!X145*'Hist. prices'!T222*T$7</f>
        <v>0</v>
      </c>
      <c r="U222" s="198">
        <f>Qty!Y145*'Hist. prices'!U222*U$7</f>
        <v>0</v>
      </c>
      <c r="V222" s="198">
        <f>Qty!Z145*'Hist. prices'!V222*V$7</f>
        <v>0</v>
      </c>
      <c r="W222" s="198">
        <f>Qty!AA145*'Hist. prices'!W222*W$7</f>
        <v>0</v>
      </c>
      <c r="X222" s="198">
        <f>Qty!AB145*'Hist. prices'!X222*X$7</f>
        <v>0</v>
      </c>
      <c r="Y222" s="198">
        <f>Qty!AC145*'Hist. prices'!Y222*Y$7</f>
        <v>0</v>
      </c>
      <c r="Z222" s="198">
        <f>Qty!AD145*'Hist. prices'!Z222*Z$7</f>
        <v>0</v>
      </c>
      <c r="AA222" s="198">
        <f>Qty!AE145*'Hist. prices'!AA222*AA$7</f>
        <v>0</v>
      </c>
      <c r="AB222" s="198">
        <f>Qty!AF145*'Hist. prices'!AB222*AB$7</f>
        <v>0</v>
      </c>
      <c r="AC222" s="206">
        <f t="shared" si="21"/>
        <v>0</v>
      </c>
      <c r="AD222" s="68"/>
      <c r="AE222" s="19"/>
      <c r="AF222" s="19"/>
      <c r="AG222" s="19"/>
      <c r="AH222" s="19"/>
    </row>
    <row r="223" spans="1:34" hidden="1" outlineLevel="3" x14ac:dyDescent="0.2">
      <c r="A223" s="19"/>
      <c r="B223" s="19"/>
      <c r="C223" s="506">
        <f t="shared" si="23"/>
        <v>0</v>
      </c>
      <c r="D223" s="505">
        <f t="shared" si="23"/>
        <v>0</v>
      </c>
      <c r="E223" s="505">
        <f t="shared" si="23"/>
        <v>0</v>
      </c>
      <c r="F223" s="505">
        <f t="shared" si="23"/>
        <v>0</v>
      </c>
      <c r="G223" s="505">
        <f t="shared" si="23"/>
        <v>0</v>
      </c>
      <c r="H223" s="58"/>
      <c r="I223" s="198">
        <f>Qty!M146*'Hist. prices'!I223*I$7</f>
        <v>0</v>
      </c>
      <c r="J223" s="198">
        <f>Qty!N146*'Hist. prices'!J223*J$7</f>
        <v>0</v>
      </c>
      <c r="K223" s="198">
        <f>Qty!O146*'Hist. prices'!K223*K$7</f>
        <v>0</v>
      </c>
      <c r="L223" s="198">
        <f>Qty!P146*'Hist. prices'!L223*L$7</f>
        <v>0</v>
      </c>
      <c r="M223" s="198">
        <f>Qty!Q146*'Hist. prices'!M223*M$7</f>
        <v>0</v>
      </c>
      <c r="N223" s="198">
        <f>Qty!R146*'Hist. prices'!N223*N$7</f>
        <v>0</v>
      </c>
      <c r="O223" s="198">
        <f>Qty!S146*'Hist. prices'!O223*O$7</f>
        <v>0</v>
      </c>
      <c r="P223" s="198">
        <f>Qty!T146*'Hist. prices'!P223*P$7</f>
        <v>0</v>
      </c>
      <c r="Q223" s="198">
        <f>Qty!U146*'Hist. prices'!Q223*Q$7</f>
        <v>0</v>
      </c>
      <c r="R223" s="198">
        <f>Qty!V146*'Hist. prices'!R223*R$7</f>
        <v>0</v>
      </c>
      <c r="S223" s="198">
        <f>Qty!W146*'Hist. prices'!S223*S$7</f>
        <v>0</v>
      </c>
      <c r="T223" s="198">
        <f>Qty!X146*'Hist. prices'!T223*T$7</f>
        <v>0</v>
      </c>
      <c r="U223" s="198">
        <f>Qty!Y146*'Hist. prices'!U223*U$7</f>
        <v>0</v>
      </c>
      <c r="V223" s="198">
        <f>Qty!Z146*'Hist. prices'!V223*V$7</f>
        <v>0</v>
      </c>
      <c r="W223" s="198">
        <f>Qty!AA146*'Hist. prices'!W223*W$7</f>
        <v>0</v>
      </c>
      <c r="X223" s="198">
        <f>Qty!AB146*'Hist. prices'!X223*X$7</f>
        <v>0</v>
      </c>
      <c r="Y223" s="198">
        <f>Qty!AC146*'Hist. prices'!Y223*Y$7</f>
        <v>0</v>
      </c>
      <c r="Z223" s="198">
        <f>Qty!AD146*'Hist. prices'!Z223*Z$7</f>
        <v>0</v>
      </c>
      <c r="AA223" s="198">
        <f>Qty!AE146*'Hist. prices'!AA223*AA$7</f>
        <v>0</v>
      </c>
      <c r="AB223" s="198">
        <f>Qty!AF146*'Hist. prices'!AB223*AB$7</f>
        <v>0</v>
      </c>
      <c r="AC223" s="206">
        <f t="shared" si="21"/>
        <v>0</v>
      </c>
      <c r="AD223" s="68"/>
      <c r="AE223" s="19"/>
      <c r="AF223" s="19"/>
      <c r="AG223" s="19"/>
      <c r="AH223" s="19"/>
    </row>
    <row r="224" spans="1:34" hidden="1" outlineLevel="3" x14ac:dyDescent="0.2">
      <c r="A224" s="19"/>
      <c r="B224" s="19"/>
      <c r="C224" s="506">
        <f t="shared" ref="C224:G233" si="24">C68</f>
        <v>0</v>
      </c>
      <c r="D224" s="505">
        <f t="shared" si="24"/>
        <v>0</v>
      </c>
      <c r="E224" s="505">
        <f t="shared" si="24"/>
        <v>0</v>
      </c>
      <c r="F224" s="505">
        <f t="shared" si="24"/>
        <v>0</v>
      </c>
      <c r="G224" s="505">
        <f t="shared" si="24"/>
        <v>0</v>
      </c>
      <c r="H224" s="58"/>
      <c r="I224" s="198">
        <f>Qty!M147*'Hist. prices'!I224*I$7</f>
        <v>0</v>
      </c>
      <c r="J224" s="198">
        <f>Qty!N147*'Hist. prices'!J224*J$7</f>
        <v>0</v>
      </c>
      <c r="K224" s="198">
        <f>Qty!O147*'Hist. prices'!K224*K$7</f>
        <v>0</v>
      </c>
      <c r="L224" s="198">
        <f>Qty!P147*'Hist. prices'!L224*L$7</f>
        <v>0</v>
      </c>
      <c r="M224" s="198">
        <f>Qty!Q147*'Hist. prices'!M224*M$7</f>
        <v>0</v>
      </c>
      <c r="N224" s="198">
        <f>Qty!R147*'Hist. prices'!N224*N$7</f>
        <v>0</v>
      </c>
      <c r="O224" s="198">
        <f>Qty!S147*'Hist. prices'!O224*O$7</f>
        <v>0</v>
      </c>
      <c r="P224" s="198">
        <f>Qty!T147*'Hist. prices'!P224*P$7</f>
        <v>0</v>
      </c>
      <c r="Q224" s="198">
        <f>Qty!U147*'Hist. prices'!Q224*Q$7</f>
        <v>0</v>
      </c>
      <c r="R224" s="198">
        <f>Qty!V147*'Hist. prices'!R224*R$7</f>
        <v>0</v>
      </c>
      <c r="S224" s="198">
        <f>Qty!W147*'Hist. prices'!S224*S$7</f>
        <v>0</v>
      </c>
      <c r="T224" s="198">
        <f>Qty!X147*'Hist. prices'!T224*T$7</f>
        <v>0</v>
      </c>
      <c r="U224" s="198">
        <f>Qty!Y147*'Hist. prices'!U224*U$7</f>
        <v>0</v>
      </c>
      <c r="V224" s="198">
        <f>Qty!Z147*'Hist. prices'!V224*V$7</f>
        <v>0</v>
      </c>
      <c r="W224" s="198">
        <f>Qty!AA147*'Hist. prices'!W224*W$7</f>
        <v>0</v>
      </c>
      <c r="X224" s="198">
        <f>Qty!AB147*'Hist. prices'!X224*X$7</f>
        <v>0</v>
      </c>
      <c r="Y224" s="198">
        <f>Qty!AC147*'Hist. prices'!Y224*Y$7</f>
        <v>0</v>
      </c>
      <c r="Z224" s="198">
        <f>Qty!AD147*'Hist. prices'!Z224*Z$7</f>
        <v>0</v>
      </c>
      <c r="AA224" s="198">
        <f>Qty!AE147*'Hist. prices'!AA224*AA$7</f>
        <v>0</v>
      </c>
      <c r="AB224" s="198">
        <f>Qty!AF147*'Hist. prices'!AB224*AB$7</f>
        <v>0</v>
      </c>
      <c r="AC224" s="206">
        <f t="shared" si="21"/>
        <v>0</v>
      </c>
      <c r="AD224" s="68"/>
      <c r="AE224" s="19"/>
      <c r="AF224" s="19"/>
      <c r="AG224" s="19"/>
      <c r="AH224" s="19"/>
    </row>
    <row r="225" spans="1:34" hidden="1" outlineLevel="3" x14ac:dyDescent="0.2">
      <c r="A225" s="19"/>
      <c r="B225" s="19"/>
      <c r="C225" s="506">
        <f t="shared" si="24"/>
        <v>0</v>
      </c>
      <c r="D225" s="505">
        <f t="shared" si="24"/>
        <v>0</v>
      </c>
      <c r="E225" s="505">
        <f t="shared" si="24"/>
        <v>0</v>
      </c>
      <c r="F225" s="505">
        <f t="shared" si="24"/>
        <v>0</v>
      </c>
      <c r="G225" s="505">
        <f t="shared" si="24"/>
        <v>0</v>
      </c>
      <c r="H225" s="58"/>
      <c r="I225" s="198">
        <f>Qty!M148*'Hist. prices'!I225*I$7</f>
        <v>0</v>
      </c>
      <c r="J225" s="198">
        <f>Qty!N148*'Hist. prices'!J225*J$7</f>
        <v>0</v>
      </c>
      <c r="K225" s="198">
        <f>Qty!O148*'Hist. prices'!K225*K$7</f>
        <v>0</v>
      </c>
      <c r="L225" s="198">
        <f>Qty!P148*'Hist. prices'!L225*L$7</f>
        <v>0</v>
      </c>
      <c r="M225" s="198">
        <f>Qty!Q148*'Hist. prices'!M225*M$7</f>
        <v>0</v>
      </c>
      <c r="N225" s="198">
        <f>Qty!R148*'Hist. prices'!N225*N$7</f>
        <v>0</v>
      </c>
      <c r="O225" s="198">
        <f>Qty!S148*'Hist. prices'!O225*O$7</f>
        <v>0</v>
      </c>
      <c r="P225" s="198">
        <f>Qty!T148*'Hist. prices'!P225*P$7</f>
        <v>0</v>
      </c>
      <c r="Q225" s="198">
        <f>Qty!U148*'Hist. prices'!Q225*Q$7</f>
        <v>0</v>
      </c>
      <c r="R225" s="198">
        <f>Qty!V148*'Hist. prices'!R225*R$7</f>
        <v>0</v>
      </c>
      <c r="S225" s="198">
        <f>Qty!W148*'Hist. prices'!S225*S$7</f>
        <v>0</v>
      </c>
      <c r="T225" s="198">
        <f>Qty!X148*'Hist. prices'!T225*T$7</f>
        <v>0</v>
      </c>
      <c r="U225" s="198">
        <f>Qty!Y148*'Hist. prices'!U225*U$7</f>
        <v>0</v>
      </c>
      <c r="V225" s="198">
        <f>Qty!Z148*'Hist. prices'!V225*V$7</f>
        <v>0</v>
      </c>
      <c r="W225" s="198">
        <f>Qty!AA148*'Hist. prices'!W225*W$7</f>
        <v>0</v>
      </c>
      <c r="X225" s="198">
        <f>Qty!AB148*'Hist. prices'!X225*X$7</f>
        <v>0</v>
      </c>
      <c r="Y225" s="198">
        <f>Qty!AC148*'Hist. prices'!Y225*Y$7</f>
        <v>0</v>
      </c>
      <c r="Z225" s="198">
        <f>Qty!AD148*'Hist. prices'!Z225*Z$7</f>
        <v>0</v>
      </c>
      <c r="AA225" s="198">
        <f>Qty!AE148*'Hist. prices'!AA225*AA$7</f>
        <v>0</v>
      </c>
      <c r="AB225" s="198">
        <f>Qty!AF148*'Hist. prices'!AB225*AB$7</f>
        <v>0</v>
      </c>
      <c r="AC225" s="206">
        <f t="shared" si="21"/>
        <v>0</v>
      </c>
      <c r="AD225" s="68"/>
      <c r="AE225" s="19"/>
      <c r="AF225" s="19"/>
      <c r="AG225" s="19"/>
      <c r="AH225" s="19"/>
    </row>
    <row r="226" spans="1:34" hidden="1" outlineLevel="3" x14ac:dyDescent="0.2">
      <c r="A226" s="19"/>
      <c r="B226" s="19"/>
      <c r="C226" s="506">
        <f t="shared" si="24"/>
        <v>0</v>
      </c>
      <c r="D226" s="505">
        <f t="shared" si="24"/>
        <v>0</v>
      </c>
      <c r="E226" s="505">
        <f t="shared" si="24"/>
        <v>0</v>
      </c>
      <c r="F226" s="505">
        <f t="shared" si="24"/>
        <v>0</v>
      </c>
      <c r="G226" s="505">
        <f t="shared" si="24"/>
        <v>0</v>
      </c>
      <c r="H226" s="58"/>
      <c r="I226" s="198">
        <f>Qty!M149*'Hist. prices'!I226*I$7</f>
        <v>0</v>
      </c>
      <c r="J226" s="198">
        <f>Qty!N149*'Hist. prices'!J226*J$7</f>
        <v>0</v>
      </c>
      <c r="K226" s="198">
        <f>Qty!O149*'Hist. prices'!K226*K$7</f>
        <v>0</v>
      </c>
      <c r="L226" s="198">
        <f>Qty!P149*'Hist. prices'!L226*L$7</f>
        <v>0</v>
      </c>
      <c r="M226" s="198">
        <f>Qty!Q149*'Hist. prices'!M226*M$7</f>
        <v>0</v>
      </c>
      <c r="N226" s="198">
        <f>Qty!R149*'Hist. prices'!N226*N$7</f>
        <v>0</v>
      </c>
      <c r="O226" s="198">
        <f>Qty!S149*'Hist. prices'!O226*O$7</f>
        <v>0</v>
      </c>
      <c r="P226" s="198">
        <f>Qty!T149*'Hist. prices'!P226*P$7</f>
        <v>0</v>
      </c>
      <c r="Q226" s="198">
        <f>Qty!U149*'Hist. prices'!Q226*Q$7</f>
        <v>0</v>
      </c>
      <c r="R226" s="198">
        <f>Qty!V149*'Hist. prices'!R226*R$7</f>
        <v>0</v>
      </c>
      <c r="S226" s="198">
        <f>Qty!W149*'Hist. prices'!S226*S$7</f>
        <v>0</v>
      </c>
      <c r="T226" s="198">
        <f>Qty!X149*'Hist. prices'!T226*T$7</f>
        <v>0</v>
      </c>
      <c r="U226" s="198">
        <f>Qty!Y149*'Hist. prices'!U226*U$7</f>
        <v>0</v>
      </c>
      <c r="V226" s="198">
        <f>Qty!Z149*'Hist. prices'!V226*V$7</f>
        <v>0</v>
      </c>
      <c r="W226" s="198">
        <f>Qty!AA149*'Hist. prices'!W226*W$7</f>
        <v>0</v>
      </c>
      <c r="X226" s="198">
        <f>Qty!AB149*'Hist. prices'!X226*X$7</f>
        <v>0</v>
      </c>
      <c r="Y226" s="198">
        <f>Qty!AC149*'Hist. prices'!Y226*Y$7</f>
        <v>0</v>
      </c>
      <c r="Z226" s="198">
        <f>Qty!AD149*'Hist. prices'!Z226*Z$7</f>
        <v>0</v>
      </c>
      <c r="AA226" s="198">
        <f>Qty!AE149*'Hist. prices'!AA226*AA$7</f>
        <v>0</v>
      </c>
      <c r="AB226" s="198">
        <f>Qty!AF149*'Hist. prices'!AB226*AB$7</f>
        <v>0</v>
      </c>
      <c r="AC226" s="206">
        <f t="shared" si="21"/>
        <v>0</v>
      </c>
      <c r="AD226" s="68"/>
      <c r="AE226" s="19"/>
      <c r="AF226" s="19"/>
      <c r="AG226" s="19"/>
      <c r="AH226" s="19"/>
    </row>
    <row r="227" spans="1:34" hidden="1" outlineLevel="3" x14ac:dyDescent="0.2">
      <c r="A227" s="19"/>
      <c r="B227" s="19"/>
      <c r="C227" s="506">
        <f t="shared" si="24"/>
        <v>0</v>
      </c>
      <c r="D227" s="505">
        <f t="shared" si="24"/>
        <v>0</v>
      </c>
      <c r="E227" s="505">
        <f t="shared" si="24"/>
        <v>0</v>
      </c>
      <c r="F227" s="505">
        <f t="shared" si="24"/>
        <v>0</v>
      </c>
      <c r="G227" s="505">
        <f t="shared" si="24"/>
        <v>0</v>
      </c>
      <c r="H227" s="58"/>
      <c r="I227" s="198">
        <f>Qty!M150*'Hist. prices'!I227*I$7</f>
        <v>0</v>
      </c>
      <c r="J227" s="198">
        <f>Qty!N150*'Hist. prices'!J227*J$7</f>
        <v>0</v>
      </c>
      <c r="K227" s="198">
        <f>Qty!O150*'Hist. prices'!K227*K$7</f>
        <v>0</v>
      </c>
      <c r="L227" s="198">
        <f>Qty!P150*'Hist. prices'!L227*L$7</f>
        <v>0</v>
      </c>
      <c r="M227" s="198">
        <f>Qty!Q150*'Hist. prices'!M227*M$7</f>
        <v>0</v>
      </c>
      <c r="N227" s="198">
        <f>Qty!R150*'Hist. prices'!N227*N$7</f>
        <v>0</v>
      </c>
      <c r="O227" s="198">
        <f>Qty!S150*'Hist. prices'!O227*O$7</f>
        <v>0</v>
      </c>
      <c r="P227" s="198">
        <f>Qty!T150*'Hist. prices'!P227*P$7</f>
        <v>0</v>
      </c>
      <c r="Q227" s="198">
        <f>Qty!U150*'Hist. prices'!Q227*Q$7</f>
        <v>0</v>
      </c>
      <c r="R227" s="198">
        <f>Qty!V150*'Hist. prices'!R227*R$7</f>
        <v>0</v>
      </c>
      <c r="S227" s="198">
        <f>Qty!W150*'Hist. prices'!S227*S$7</f>
        <v>0</v>
      </c>
      <c r="T227" s="198">
        <f>Qty!X150*'Hist. prices'!T227*T$7</f>
        <v>0</v>
      </c>
      <c r="U227" s="198">
        <f>Qty!Y150*'Hist. prices'!U227*U$7</f>
        <v>0</v>
      </c>
      <c r="V227" s="198">
        <f>Qty!Z150*'Hist. prices'!V227*V$7</f>
        <v>0</v>
      </c>
      <c r="W227" s="198">
        <f>Qty!AA150*'Hist. prices'!W227*W$7</f>
        <v>0</v>
      </c>
      <c r="X227" s="198">
        <f>Qty!AB150*'Hist. prices'!X227*X$7</f>
        <v>0</v>
      </c>
      <c r="Y227" s="198">
        <f>Qty!AC150*'Hist. prices'!Y227*Y$7</f>
        <v>0</v>
      </c>
      <c r="Z227" s="198">
        <f>Qty!AD150*'Hist. prices'!Z227*Z$7</f>
        <v>0</v>
      </c>
      <c r="AA227" s="198">
        <f>Qty!AE150*'Hist. prices'!AA227*AA$7</f>
        <v>0</v>
      </c>
      <c r="AB227" s="198">
        <f>Qty!AF150*'Hist. prices'!AB227*AB$7</f>
        <v>0</v>
      </c>
      <c r="AC227" s="206">
        <f t="shared" si="21"/>
        <v>0</v>
      </c>
      <c r="AD227" s="68"/>
      <c r="AE227" s="19"/>
      <c r="AF227" s="19"/>
      <c r="AG227" s="19"/>
      <c r="AH227" s="19"/>
    </row>
    <row r="228" spans="1:34" hidden="1" outlineLevel="3" x14ac:dyDescent="0.2">
      <c r="A228" s="19"/>
      <c r="B228" s="19"/>
      <c r="C228" s="506">
        <f t="shared" si="24"/>
        <v>0</v>
      </c>
      <c r="D228" s="505">
        <f t="shared" si="24"/>
        <v>0</v>
      </c>
      <c r="E228" s="505">
        <f t="shared" si="24"/>
        <v>0</v>
      </c>
      <c r="F228" s="505">
        <f t="shared" si="24"/>
        <v>0</v>
      </c>
      <c r="G228" s="505">
        <f t="shared" si="24"/>
        <v>0</v>
      </c>
      <c r="H228" s="58"/>
      <c r="I228" s="198">
        <f>Qty!M151*'Hist. prices'!I228*I$7</f>
        <v>0</v>
      </c>
      <c r="J228" s="198">
        <f>Qty!N151*'Hist. prices'!J228*J$7</f>
        <v>0</v>
      </c>
      <c r="K228" s="198">
        <f>Qty!O151*'Hist. prices'!K228*K$7</f>
        <v>0</v>
      </c>
      <c r="L228" s="198">
        <f>Qty!P151*'Hist. prices'!L228*L$7</f>
        <v>0</v>
      </c>
      <c r="M228" s="198">
        <f>Qty!Q151*'Hist. prices'!M228*M$7</f>
        <v>0</v>
      </c>
      <c r="N228" s="198">
        <f>Qty!R151*'Hist. prices'!N228*N$7</f>
        <v>0</v>
      </c>
      <c r="O228" s="198">
        <f>Qty!S151*'Hist. prices'!O228*O$7</f>
        <v>0</v>
      </c>
      <c r="P228" s="198">
        <f>Qty!T151*'Hist. prices'!P228*P$7</f>
        <v>0</v>
      </c>
      <c r="Q228" s="198">
        <f>Qty!U151*'Hist. prices'!Q228*Q$7</f>
        <v>0</v>
      </c>
      <c r="R228" s="198">
        <f>Qty!V151*'Hist. prices'!R228*R$7</f>
        <v>0</v>
      </c>
      <c r="S228" s="198">
        <f>Qty!W151*'Hist. prices'!S228*S$7</f>
        <v>0</v>
      </c>
      <c r="T228" s="198">
        <f>Qty!X151*'Hist. prices'!T228*T$7</f>
        <v>0</v>
      </c>
      <c r="U228" s="198">
        <f>Qty!Y151*'Hist. prices'!U228*U$7</f>
        <v>0</v>
      </c>
      <c r="V228" s="198">
        <f>Qty!Z151*'Hist. prices'!V228*V$7</f>
        <v>0</v>
      </c>
      <c r="W228" s="198">
        <f>Qty!AA151*'Hist. prices'!W228*W$7</f>
        <v>0</v>
      </c>
      <c r="X228" s="198">
        <f>Qty!AB151*'Hist. prices'!X228*X$7</f>
        <v>0</v>
      </c>
      <c r="Y228" s="198">
        <f>Qty!AC151*'Hist. prices'!Y228*Y$7</f>
        <v>0</v>
      </c>
      <c r="Z228" s="198">
        <f>Qty!AD151*'Hist. prices'!Z228*Z$7</f>
        <v>0</v>
      </c>
      <c r="AA228" s="198">
        <f>Qty!AE151*'Hist. prices'!AA228*AA$7</f>
        <v>0</v>
      </c>
      <c r="AB228" s="198">
        <f>Qty!AF151*'Hist. prices'!AB228*AB$7</f>
        <v>0</v>
      </c>
      <c r="AC228" s="206">
        <f t="shared" ref="AC228:AC238" si="25">SUM(I228:AB228)</f>
        <v>0</v>
      </c>
      <c r="AD228" s="68"/>
      <c r="AE228" s="19"/>
      <c r="AF228" s="19"/>
      <c r="AG228" s="19"/>
      <c r="AH228" s="19"/>
    </row>
    <row r="229" spans="1:34" hidden="1" outlineLevel="3" x14ac:dyDescent="0.2">
      <c r="A229" s="19"/>
      <c r="B229" s="19"/>
      <c r="C229" s="506">
        <f t="shared" si="24"/>
        <v>0</v>
      </c>
      <c r="D229" s="505">
        <f t="shared" si="24"/>
        <v>0</v>
      </c>
      <c r="E229" s="505">
        <f t="shared" si="24"/>
        <v>0</v>
      </c>
      <c r="F229" s="505">
        <f t="shared" si="24"/>
        <v>0</v>
      </c>
      <c r="G229" s="505">
        <f t="shared" si="24"/>
        <v>0</v>
      </c>
      <c r="H229" s="58"/>
      <c r="I229" s="198">
        <f>Qty!M152*'Hist. prices'!I229*I$7</f>
        <v>0</v>
      </c>
      <c r="J229" s="198">
        <f>Qty!N152*'Hist. prices'!J229*J$7</f>
        <v>0</v>
      </c>
      <c r="K229" s="198">
        <f>Qty!O152*'Hist. prices'!K229*K$7</f>
        <v>0</v>
      </c>
      <c r="L229" s="198">
        <f>Qty!P152*'Hist. prices'!L229*L$7</f>
        <v>0</v>
      </c>
      <c r="M229" s="198">
        <f>Qty!Q152*'Hist. prices'!M229*M$7</f>
        <v>0</v>
      </c>
      <c r="N229" s="198">
        <f>Qty!R152*'Hist. prices'!N229*N$7</f>
        <v>0</v>
      </c>
      <c r="O229" s="198">
        <f>Qty!S152*'Hist. prices'!O229*O$7</f>
        <v>0</v>
      </c>
      <c r="P229" s="198">
        <f>Qty!T152*'Hist. prices'!P229*P$7</f>
        <v>0</v>
      </c>
      <c r="Q229" s="198">
        <f>Qty!U152*'Hist. prices'!Q229*Q$7</f>
        <v>0</v>
      </c>
      <c r="R229" s="198">
        <f>Qty!V152*'Hist. prices'!R229*R$7</f>
        <v>0</v>
      </c>
      <c r="S229" s="198">
        <f>Qty!W152*'Hist. prices'!S229*S$7</f>
        <v>0</v>
      </c>
      <c r="T229" s="198">
        <f>Qty!X152*'Hist. prices'!T229*T$7</f>
        <v>0</v>
      </c>
      <c r="U229" s="198">
        <f>Qty!Y152*'Hist. prices'!U229*U$7</f>
        <v>0</v>
      </c>
      <c r="V229" s="198">
        <f>Qty!Z152*'Hist. prices'!V229*V$7</f>
        <v>0</v>
      </c>
      <c r="W229" s="198">
        <f>Qty!AA152*'Hist. prices'!W229*W$7</f>
        <v>0</v>
      </c>
      <c r="X229" s="198">
        <f>Qty!AB152*'Hist. prices'!X229*X$7</f>
        <v>0</v>
      </c>
      <c r="Y229" s="198">
        <f>Qty!AC152*'Hist. prices'!Y229*Y$7</f>
        <v>0</v>
      </c>
      <c r="Z229" s="198">
        <f>Qty!AD152*'Hist. prices'!Z229*Z$7</f>
        <v>0</v>
      </c>
      <c r="AA229" s="198">
        <f>Qty!AE152*'Hist. prices'!AA229*AA$7</f>
        <v>0</v>
      </c>
      <c r="AB229" s="198">
        <f>Qty!AF152*'Hist. prices'!AB229*AB$7</f>
        <v>0</v>
      </c>
      <c r="AC229" s="206">
        <f t="shared" si="25"/>
        <v>0</v>
      </c>
      <c r="AD229" s="68"/>
      <c r="AE229" s="19"/>
      <c r="AF229" s="19"/>
      <c r="AG229" s="19"/>
      <c r="AH229" s="19"/>
    </row>
    <row r="230" spans="1:34" hidden="1" outlineLevel="3" x14ac:dyDescent="0.2">
      <c r="A230" s="19"/>
      <c r="B230" s="19"/>
      <c r="C230" s="506">
        <f t="shared" si="24"/>
        <v>0</v>
      </c>
      <c r="D230" s="505">
        <f t="shared" si="24"/>
        <v>0</v>
      </c>
      <c r="E230" s="505">
        <f t="shared" si="24"/>
        <v>0</v>
      </c>
      <c r="F230" s="505">
        <f t="shared" si="24"/>
        <v>0</v>
      </c>
      <c r="G230" s="505">
        <f t="shared" si="24"/>
        <v>0</v>
      </c>
      <c r="H230" s="58"/>
      <c r="I230" s="198">
        <f>Qty!M153*'Hist. prices'!I230*I$7</f>
        <v>0</v>
      </c>
      <c r="J230" s="198">
        <f>Qty!N153*'Hist. prices'!J230*J$7</f>
        <v>0</v>
      </c>
      <c r="K230" s="198">
        <f>Qty!O153*'Hist. prices'!K230*K$7</f>
        <v>0</v>
      </c>
      <c r="L230" s="198">
        <f>Qty!P153*'Hist. prices'!L230*L$7</f>
        <v>0</v>
      </c>
      <c r="M230" s="198">
        <f>Qty!Q153*'Hist. prices'!M230*M$7</f>
        <v>0</v>
      </c>
      <c r="N230" s="198">
        <f>Qty!R153*'Hist. prices'!N230*N$7</f>
        <v>0</v>
      </c>
      <c r="O230" s="198">
        <f>Qty!S153*'Hist. prices'!O230*O$7</f>
        <v>0</v>
      </c>
      <c r="P230" s="198">
        <f>Qty!T153*'Hist. prices'!P230*P$7</f>
        <v>0</v>
      </c>
      <c r="Q230" s="198">
        <f>Qty!U153*'Hist. prices'!Q230*Q$7</f>
        <v>0</v>
      </c>
      <c r="R230" s="198">
        <f>Qty!V153*'Hist. prices'!R230*R$7</f>
        <v>0</v>
      </c>
      <c r="S230" s="198">
        <f>Qty!W153*'Hist. prices'!S230*S$7</f>
        <v>0</v>
      </c>
      <c r="T230" s="198">
        <f>Qty!X153*'Hist. prices'!T230*T$7</f>
        <v>0</v>
      </c>
      <c r="U230" s="198">
        <f>Qty!Y153*'Hist. prices'!U230*U$7</f>
        <v>0</v>
      </c>
      <c r="V230" s="198">
        <f>Qty!Z153*'Hist. prices'!V230*V$7</f>
        <v>0</v>
      </c>
      <c r="W230" s="198">
        <f>Qty!AA153*'Hist. prices'!W230*W$7</f>
        <v>0</v>
      </c>
      <c r="X230" s="198">
        <f>Qty!AB153*'Hist. prices'!X230*X$7</f>
        <v>0</v>
      </c>
      <c r="Y230" s="198">
        <f>Qty!AC153*'Hist. prices'!Y230*Y$7</f>
        <v>0</v>
      </c>
      <c r="Z230" s="198">
        <f>Qty!AD153*'Hist. prices'!Z230*Z$7</f>
        <v>0</v>
      </c>
      <c r="AA230" s="198">
        <f>Qty!AE153*'Hist. prices'!AA230*AA$7</f>
        <v>0</v>
      </c>
      <c r="AB230" s="198">
        <f>Qty!AF153*'Hist. prices'!AB230*AB$7</f>
        <v>0</v>
      </c>
      <c r="AC230" s="206">
        <f t="shared" si="25"/>
        <v>0</v>
      </c>
      <c r="AD230" s="68"/>
      <c r="AE230" s="19"/>
      <c r="AF230" s="19"/>
      <c r="AG230" s="19"/>
      <c r="AH230" s="19"/>
    </row>
    <row r="231" spans="1:34" hidden="1" outlineLevel="3" x14ac:dyDescent="0.2">
      <c r="A231" s="19"/>
      <c r="B231" s="19"/>
      <c r="C231" s="506">
        <f t="shared" si="24"/>
        <v>0</v>
      </c>
      <c r="D231" s="505">
        <f t="shared" si="24"/>
        <v>0</v>
      </c>
      <c r="E231" s="505">
        <f t="shared" si="24"/>
        <v>0</v>
      </c>
      <c r="F231" s="505">
        <f t="shared" si="24"/>
        <v>0</v>
      </c>
      <c r="G231" s="505">
        <f t="shared" si="24"/>
        <v>0</v>
      </c>
      <c r="H231" s="58"/>
      <c r="I231" s="198">
        <f>Qty!M154*'Hist. prices'!I231*I$7</f>
        <v>0</v>
      </c>
      <c r="J231" s="198">
        <f>Qty!N154*'Hist. prices'!J231*J$7</f>
        <v>0</v>
      </c>
      <c r="K231" s="198">
        <f>Qty!O154*'Hist. prices'!K231*K$7</f>
        <v>0</v>
      </c>
      <c r="L231" s="198">
        <f>Qty!P154*'Hist. prices'!L231*L$7</f>
        <v>0</v>
      </c>
      <c r="M231" s="198">
        <f>Qty!Q154*'Hist. prices'!M231*M$7</f>
        <v>0</v>
      </c>
      <c r="N231" s="198">
        <f>Qty!R154*'Hist. prices'!N231*N$7</f>
        <v>0</v>
      </c>
      <c r="O231" s="198">
        <f>Qty!S154*'Hist. prices'!O231*O$7</f>
        <v>0</v>
      </c>
      <c r="P231" s="198">
        <f>Qty!T154*'Hist. prices'!P231*P$7</f>
        <v>0</v>
      </c>
      <c r="Q231" s="198">
        <f>Qty!U154*'Hist. prices'!Q231*Q$7</f>
        <v>0</v>
      </c>
      <c r="R231" s="198">
        <f>Qty!V154*'Hist. prices'!R231*R$7</f>
        <v>0</v>
      </c>
      <c r="S231" s="198">
        <f>Qty!W154*'Hist. prices'!S231*S$7</f>
        <v>0</v>
      </c>
      <c r="T231" s="198">
        <f>Qty!X154*'Hist. prices'!T231*T$7</f>
        <v>0</v>
      </c>
      <c r="U231" s="198">
        <f>Qty!Y154*'Hist. prices'!U231*U$7</f>
        <v>0</v>
      </c>
      <c r="V231" s="198">
        <f>Qty!Z154*'Hist. prices'!V231*V$7</f>
        <v>0</v>
      </c>
      <c r="W231" s="198">
        <f>Qty!AA154*'Hist. prices'!W231*W$7</f>
        <v>0</v>
      </c>
      <c r="X231" s="198">
        <f>Qty!AB154*'Hist. prices'!X231*X$7</f>
        <v>0</v>
      </c>
      <c r="Y231" s="198">
        <f>Qty!AC154*'Hist. prices'!Y231*Y$7</f>
        <v>0</v>
      </c>
      <c r="Z231" s="198">
        <f>Qty!AD154*'Hist. prices'!Z231*Z$7</f>
        <v>0</v>
      </c>
      <c r="AA231" s="198">
        <f>Qty!AE154*'Hist. prices'!AA231*AA$7</f>
        <v>0</v>
      </c>
      <c r="AB231" s="198">
        <f>Qty!AF154*'Hist. prices'!AB231*AB$7</f>
        <v>0</v>
      </c>
      <c r="AC231" s="206">
        <f t="shared" si="25"/>
        <v>0</v>
      </c>
      <c r="AD231" s="68"/>
      <c r="AE231" s="19"/>
      <c r="AF231" s="19"/>
      <c r="AG231" s="19"/>
      <c r="AH231" s="19"/>
    </row>
    <row r="232" spans="1:34" hidden="1" outlineLevel="3" x14ac:dyDescent="0.2">
      <c r="A232" s="19"/>
      <c r="B232" s="19"/>
      <c r="C232" s="506">
        <f t="shared" si="24"/>
        <v>0</v>
      </c>
      <c r="D232" s="505">
        <f t="shared" si="24"/>
        <v>0</v>
      </c>
      <c r="E232" s="505">
        <f t="shared" si="24"/>
        <v>0</v>
      </c>
      <c r="F232" s="505">
        <f t="shared" si="24"/>
        <v>0</v>
      </c>
      <c r="G232" s="505">
        <f t="shared" si="24"/>
        <v>0</v>
      </c>
      <c r="H232" s="58"/>
      <c r="I232" s="198">
        <f>Qty!M155*'Hist. prices'!I232*I$7</f>
        <v>0</v>
      </c>
      <c r="J232" s="198">
        <f>Qty!N155*'Hist. prices'!J232*J$7</f>
        <v>0</v>
      </c>
      <c r="K232" s="198">
        <f>Qty!O155*'Hist. prices'!K232*K$7</f>
        <v>0</v>
      </c>
      <c r="L232" s="198">
        <f>Qty!P155*'Hist. prices'!L232*L$7</f>
        <v>0</v>
      </c>
      <c r="M232" s="198">
        <f>Qty!Q155*'Hist. prices'!M232*M$7</f>
        <v>0</v>
      </c>
      <c r="N232" s="198">
        <f>Qty!R155*'Hist. prices'!N232*N$7</f>
        <v>0</v>
      </c>
      <c r="O232" s="198">
        <f>Qty!S155*'Hist. prices'!O232*O$7</f>
        <v>0</v>
      </c>
      <c r="P232" s="198">
        <f>Qty!T155*'Hist. prices'!P232*P$7</f>
        <v>0</v>
      </c>
      <c r="Q232" s="198">
        <f>Qty!U155*'Hist. prices'!Q232*Q$7</f>
        <v>0</v>
      </c>
      <c r="R232" s="198">
        <f>Qty!V155*'Hist. prices'!R232*R$7</f>
        <v>0</v>
      </c>
      <c r="S232" s="198">
        <f>Qty!W155*'Hist. prices'!S232*S$7</f>
        <v>0</v>
      </c>
      <c r="T232" s="198">
        <f>Qty!X155*'Hist. prices'!T232*T$7</f>
        <v>0</v>
      </c>
      <c r="U232" s="198">
        <f>Qty!Y155*'Hist. prices'!U232*U$7</f>
        <v>0</v>
      </c>
      <c r="V232" s="198">
        <f>Qty!Z155*'Hist. prices'!V232*V$7</f>
        <v>0</v>
      </c>
      <c r="W232" s="198">
        <f>Qty!AA155*'Hist. prices'!W232*W$7</f>
        <v>0</v>
      </c>
      <c r="X232" s="198">
        <f>Qty!AB155*'Hist. prices'!X232*X$7</f>
        <v>0</v>
      </c>
      <c r="Y232" s="198">
        <f>Qty!AC155*'Hist. prices'!Y232*Y$7</f>
        <v>0</v>
      </c>
      <c r="Z232" s="198">
        <f>Qty!AD155*'Hist. prices'!Z232*Z$7</f>
        <v>0</v>
      </c>
      <c r="AA232" s="198">
        <f>Qty!AE155*'Hist. prices'!AA232*AA$7</f>
        <v>0</v>
      </c>
      <c r="AB232" s="198">
        <f>Qty!AF155*'Hist. prices'!AB232*AB$7</f>
        <v>0</v>
      </c>
      <c r="AC232" s="206">
        <f t="shared" si="25"/>
        <v>0</v>
      </c>
      <c r="AD232" s="68"/>
      <c r="AE232" s="19"/>
      <c r="AF232" s="19"/>
      <c r="AG232" s="19"/>
      <c r="AH232" s="19"/>
    </row>
    <row r="233" spans="1:34" hidden="1" outlineLevel="3" x14ac:dyDescent="0.2">
      <c r="A233" s="19"/>
      <c r="B233" s="19"/>
      <c r="C233" s="506">
        <f t="shared" si="24"/>
        <v>0</v>
      </c>
      <c r="D233" s="505">
        <f t="shared" si="24"/>
        <v>0</v>
      </c>
      <c r="E233" s="505">
        <f t="shared" si="24"/>
        <v>0</v>
      </c>
      <c r="F233" s="505">
        <f t="shared" si="24"/>
        <v>0</v>
      </c>
      <c r="G233" s="505">
        <f t="shared" si="24"/>
        <v>0</v>
      </c>
      <c r="H233" s="58"/>
      <c r="I233" s="198">
        <f>Qty!M156*'Hist. prices'!I233*I$7</f>
        <v>0</v>
      </c>
      <c r="J233" s="198">
        <f>Qty!N156*'Hist. prices'!J233*J$7</f>
        <v>0</v>
      </c>
      <c r="K233" s="198">
        <f>Qty!O156*'Hist. prices'!K233*K$7</f>
        <v>0</v>
      </c>
      <c r="L233" s="198">
        <f>Qty!P156*'Hist. prices'!L233*L$7</f>
        <v>0</v>
      </c>
      <c r="M233" s="198">
        <f>Qty!Q156*'Hist. prices'!M233*M$7</f>
        <v>0</v>
      </c>
      <c r="N233" s="198">
        <f>Qty!R156*'Hist. prices'!N233*N$7</f>
        <v>0</v>
      </c>
      <c r="O233" s="198">
        <f>Qty!S156*'Hist. prices'!O233*O$7</f>
        <v>0</v>
      </c>
      <c r="P233" s="198">
        <f>Qty!T156*'Hist. prices'!P233*P$7</f>
        <v>0</v>
      </c>
      <c r="Q233" s="198">
        <f>Qty!U156*'Hist. prices'!Q233*Q$7</f>
        <v>0</v>
      </c>
      <c r="R233" s="198">
        <f>Qty!V156*'Hist. prices'!R233*R$7</f>
        <v>0</v>
      </c>
      <c r="S233" s="198">
        <f>Qty!W156*'Hist. prices'!S233*S$7</f>
        <v>0</v>
      </c>
      <c r="T233" s="198">
        <f>Qty!X156*'Hist. prices'!T233*T$7</f>
        <v>0</v>
      </c>
      <c r="U233" s="198">
        <f>Qty!Y156*'Hist. prices'!U233*U$7</f>
        <v>0</v>
      </c>
      <c r="V233" s="198">
        <f>Qty!Z156*'Hist. prices'!V233*V$7</f>
        <v>0</v>
      </c>
      <c r="W233" s="198">
        <f>Qty!AA156*'Hist. prices'!W233*W$7</f>
        <v>0</v>
      </c>
      <c r="X233" s="198">
        <f>Qty!AB156*'Hist. prices'!X233*X$7</f>
        <v>0</v>
      </c>
      <c r="Y233" s="198">
        <f>Qty!AC156*'Hist. prices'!Y233*Y$7</f>
        <v>0</v>
      </c>
      <c r="Z233" s="198">
        <f>Qty!AD156*'Hist. prices'!Z233*Z$7</f>
        <v>0</v>
      </c>
      <c r="AA233" s="198">
        <f>Qty!AE156*'Hist. prices'!AA233*AA$7</f>
        <v>0</v>
      </c>
      <c r="AB233" s="198">
        <f>Qty!AF156*'Hist. prices'!AB233*AB$7</f>
        <v>0</v>
      </c>
      <c r="AC233" s="206">
        <f t="shared" si="25"/>
        <v>0</v>
      </c>
      <c r="AD233" s="68"/>
      <c r="AE233" s="19"/>
      <c r="AF233" s="19"/>
      <c r="AG233" s="19"/>
      <c r="AH233" s="19"/>
    </row>
    <row r="234" spans="1:34" hidden="1" outlineLevel="3" x14ac:dyDescent="0.2">
      <c r="A234" s="19"/>
      <c r="B234" s="19"/>
      <c r="C234" s="506">
        <f t="shared" ref="C234:G238" si="26">C78</f>
        <v>0</v>
      </c>
      <c r="D234" s="505">
        <f t="shared" si="26"/>
        <v>0</v>
      </c>
      <c r="E234" s="505">
        <f t="shared" si="26"/>
        <v>0</v>
      </c>
      <c r="F234" s="505">
        <f t="shared" si="26"/>
        <v>0</v>
      </c>
      <c r="G234" s="505">
        <f t="shared" si="26"/>
        <v>0</v>
      </c>
      <c r="H234" s="58"/>
      <c r="I234" s="198">
        <f>Qty!M157*'Hist. prices'!I234*I$7</f>
        <v>0</v>
      </c>
      <c r="J234" s="198">
        <f>Qty!N157*'Hist. prices'!J234*J$7</f>
        <v>0</v>
      </c>
      <c r="K234" s="198">
        <f>Qty!O157*'Hist. prices'!K234*K$7</f>
        <v>0</v>
      </c>
      <c r="L234" s="198">
        <f>Qty!P157*'Hist. prices'!L234*L$7</f>
        <v>0</v>
      </c>
      <c r="M234" s="198">
        <f>Qty!Q157*'Hist. prices'!M234*M$7</f>
        <v>0</v>
      </c>
      <c r="N234" s="198">
        <f>Qty!R157*'Hist. prices'!N234*N$7</f>
        <v>0</v>
      </c>
      <c r="O234" s="198">
        <f>Qty!S157*'Hist. prices'!O234*O$7</f>
        <v>0</v>
      </c>
      <c r="P234" s="198">
        <f>Qty!T157*'Hist. prices'!P234*P$7</f>
        <v>0</v>
      </c>
      <c r="Q234" s="198">
        <f>Qty!U157*'Hist. prices'!Q234*Q$7</f>
        <v>0</v>
      </c>
      <c r="R234" s="198">
        <f>Qty!V157*'Hist. prices'!R234*R$7</f>
        <v>0</v>
      </c>
      <c r="S234" s="198">
        <f>Qty!W157*'Hist. prices'!S234*S$7</f>
        <v>0</v>
      </c>
      <c r="T234" s="198">
        <f>Qty!X157*'Hist. prices'!T234*T$7</f>
        <v>0</v>
      </c>
      <c r="U234" s="198">
        <f>Qty!Y157*'Hist. prices'!U234*U$7</f>
        <v>0</v>
      </c>
      <c r="V234" s="198">
        <f>Qty!Z157*'Hist. prices'!V234*V$7</f>
        <v>0</v>
      </c>
      <c r="W234" s="198">
        <f>Qty!AA157*'Hist. prices'!W234*W$7</f>
        <v>0</v>
      </c>
      <c r="X234" s="198">
        <f>Qty!AB157*'Hist. prices'!X234*X$7</f>
        <v>0</v>
      </c>
      <c r="Y234" s="198">
        <f>Qty!AC157*'Hist. prices'!Y234*Y$7</f>
        <v>0</v>
      </c>
      <c r="Z234" s="198">
        <f>Qty!AD157*'Hist. prices'!Z234*Z$7</f>
        <v>0</v>
      </c>
      <c r="AA234" s="198">
        <f>Qty!AE157*'Hist. prices'!AA234*AA$7</f>
        <v>0</v>
      </c>
      <c r="AB234" s="198">
        <f>Qty!AF157*'Hist. prices'!AB234*AB$7</f>
        <v>0</v>
      </c>
      <c r="AC234" s="206">
        <f t="shared" si="25"/>
        <v>0</v>
      </c>
      <c r="AD234" s="68"/>
      <c r="AE234" s="19"/>
      <c r="AF234" s="19"/>
      <c r="AG234" s="19"/>
      <c r="AH234" s="19"/>
    </row>
    <row r="235" spans="1:34" hidden="1" outlineLevel="3" x14ac:dyDescent="0.2">
      <c r="A235" s="19"/>
      <c r="B235" s="19"/>
      <c r="C235" s="506">
        <f t="shared" si="26"/>
        <v>0</v>
      </c>
      <c r="D235" s="505">
        <f t="shared" si="26"/>
        <v>0</v>
      </c>
      <c r="E235" s="505">
        <f t="shared" si="26"/>
        <v>0</v>
      </c>
      <c r="F235" s="505">
        <f t="shared" si="26"/>
        <v>0</v>
      </c>
      <c r="G235" s="505">
        <f t="shared" si="26"/>
        <v>0</v>
      </c>
      <c r="H235" s="58"/>
      <c r="I235" s="198">
        <f>Qty!M158*'Hist. prices'!I235*I$7</f>
        <v>0</v>
      </c>
      <c r="J235" s="198">
        <f>Qty!N158*'Hist. prices'!J235*J$7</f>
        <v>0</v>
      </c>
      <c r="K235" s="198">
        <f>Qty!O158*'Hist. prices'!K235*K$7</f>
        <v>0</v>
      </c>
      <c r="L235" s="198">
        <f>Qty!P158*'Hist. prices'!L235*L$7</f>
        <v>0</v>
      </c>
      <c r="M235" s="198">
        <f>Qty!Q158*'Hist. prices'!M235*M$7</f>
        <v>0</v>
      </c>
      <c r="N235" s="198">
        <f>Qty!R158*'Hist. prices'!N235*N$7</f>
        <v>0</v>
      </c>
      <c r="O235" s="198">
        <f>Qty!S158*'Hist. prices'!O235*O$7</f>
        <v>0</v>
      </c>
      <c r="P235" s="198">
        <f>Qty!T158*'Hist. prices'!P235*P$7</f>
        <v>0</v>
      </c>
      <c r="Q235" s="198">
        <f>Qty!U158*'Hist. prices'!Q235*Q$7</f>
        <v>0</v>
      </c>
      <c r="R235" s="198">
        <f>Qty!V158*'Hist. prices'!R235*R$7</f>
        <v>0</v>
      </c>
      <c r="S235" s="198">
        <f>Qty!W158*'Hist. prices'!S235*S$7</f>
        <v>0</v>
      </c>
      <c r="T235" s="198">
        <f>Qty!X158*'Hist. prices'!T235*T$7</f>
        <v>0</v>
      </c>
      <c r="U235" s="198">
        <f>Qty!Y158*'Hist. prices'!U235*U$7</f>
        <v>0</v>
      </c>
      <c r="V235" s="198">
        <f>Qty!Z158*'Hist. prices'!V235*V$7</f>
        <v>0</v>
      </c>
      <c r="W235" s="198">
        <f>Qty!AA158*'Hist. prices'!W235*W$7</f>
        <v>0</v>
      </c>
      <c r="X235" s="198">
        <f>Qty!AB158*'Hist. prices'!X235*X$7</f>
        <v>0</v>
      </c>
      <c r="Y235" s="198">
        <f>Qty!AC158*'Hist. prices'!Y235*Y$7</f>
        <v>0</v>
      </c>
      <c r="Z235" s="198">
        <f>Qty!AD158*'Hist. prices'!Z235*Z$7</f>
        <v>0</v>
      </c>
      <c r="AA235" s="198">
        <f>Qty!AE158*'Hist. prices'!AA235*AA$7</f>
        <v>0</v>
      </c>
      <c r="AB235" s="198">
        <f>Qty!AF158*'Hist. prices'!AB235*AB$7</f>
        <v>0</v>
      </c>
      <c r="AC235" s="206">
        <f t="shared" si="25"/>
        <v>0</v>
      </c>
      <c r="AD235" s="68"/>
      <c r="AE235" s="19"/>
      <c r="AF235" s="19"/>
      <c r="AG235" s="19"/>
      <c r="AH235" s="19"/>
    </row>
    <row r="236" spans="1:34" hidden="1" outlineLevel="3" x14ac:dyDescent="0.2">
      <c r="A236" s="19"/>
      <c r="B236" s="19"/>
      <c r="C236" s="506">
        <f t="shared" si="26"/>
        <v>0</v>
      </c>
      <c r="D236" s="505">
        <f t="shared" si="26"/>
        <v>0</v>
      </c>
      <c r="E236" s="505">
        <f t="shared" si="26"/>
        <v>0</v>
      </c>
      <c r="F236" s="505">
        <f t="shared" si="26"/>
        <v>0</v>
      </c>
      <c r="G236" s="505">
        <f t="shared" si="26"/>
        <v>0</v>
      </c>
      <c r="H236" s="58"/>
      <c r="I236" s="198">
        <f>Qty!M159*'Hist. prices'!I236*I$7</f>
        <v>0</v>
      </c>
      <c r="J236" s="198">
        <f>Qty!N159*'Hist. prices'!J236*J$7</f>
        <v>0</v>
      </c>
      <c r="K236" s="198">
        <f>Qty!O159*'Hist. prices'!K236*K$7</f>
        <v>0</v>
      </c>
      <c r="L236" s="198">
        <f>Qty!P159*'Hist. prices'!L236*L$7</f>
        <v>0</v>
      </c>
      <c r="M236" s="198">
        <f>Qty!Q159*'Hist. prices'!M236*M$7</f>
        <v>0</v>
      </c>
      <c r="N236" s="198">
        <f>Qty!R159*'Hist. prices'!N236*N$7</f>
        <v>0</v>
      </c>
      <c r="O236" s="198">
        <f>Qty!S159*'Hist. prices'!O236*O$7</f>
        <v>0</v>
      </c>
      <c r="P236" s="198">
        <f>Qty!T159*'Hist. prices'!P236*P$7</f>
        <v>0</v>
      </c>
      <c r="Q236" s="198">
        <f>Qty!U159*'Hist. prices'!Q236*Q$7</f>
        <v>0</v>
      </c>
      <c r="R236" s="198">
        <f>Qty!V159*'Hist. prices'!R236*R$7</f>
        <v>0</v>
      </c>
      <c r="S236" s="198">
        <f>Qty!W159*'Hist. prices'!S236*S$7</f>
        <v>0</v>
      </c>
      <c r="T236" s="198">
        <f>Qty!X159*'Hist. prices'!T236*T$7</f>
        <v>0</v>
      </c>
      <c r="U236" s="198">
        <f>Qty!Y159*'Hist. prices'!U236*U$7</f>
        <v>0</v>
      </c>
      <c r="V236" s="198">
        <f>Qty!Z159*'Hist. prices'!V236*V$7</f>
        <v>0</v>
      </c>
      <c r="W236" s="198">
        <f>Qty!AA159*'Hist. prices'!W236*W$7</f>
        <v>0</v>
      </c>
      <c r="X236" s="198">
        <f>Qty!AB159*'Hist. prices'!X236*X$7</f>
        <v>0</v>
      </c>
      <c r="Y236" s="198">
        <f>Qty!AC159*'Hist. prices'!Y236*Y$7</f>
        <v>0</v>
      </c>
      <c r="Z236" s="198">
        <f>Qty!AD159*'Hist. prices'!Z236*Z$7</f>
        <v>0</v>
      </c>
      <c r="AA236" s="198">
        <f>Qty!AE159*'Hist. prices'!AA236*AA$7</f>
        <v>0</v>
      </c>
      <c r="AB236" s="198">
        <f>Qty!AF159*'Hist. prices'!AB236*AB$7</f>
        <v>0</v>
      </c>
      <c r="AC236" s="206">
        <f t="shared" si="25"/>
        <v>0</v>
      </c>
      <c r="AD236" s="68"/>
      <c r="AE236" s="19"/>
      <c r="AF236" s="19"/>
      <c r="AG236" s="19"/>
      <c r="AH236" s="19"/>
    </row>
    <row r="237" spans="1:34" hidden="1" outlineLevel="3" x14ac:dyDescent="0.2">
      <c r="A237" s="19"/>
      <c r="B237" s="19"/>
      <c r="C237" s="506">
        <f t="shared" si="26"/>
        <v>0</v>
      </c>
      <c r="D237" s="505">
        <f t="shared" si="26"/>
        <v>0</v>
      </c>
      <c r="E237" s="505">
        <f t="shared" si="26"/>
        <v>0</v>
      </c>
      <c r="F237" s="505">
        <f t="shared" si="26"/>
        <v>0</v>
      </c>
      <c r="G237" s="505">
        <f t="shared" si="26"/>
        <v>0</v>
      </c>
      <c r="H237" s="58"/>
      <c r="I237" s="198">
        <f>Qty!M160*'Hist. prices'!I237*I$7</f>
        <v>0</v>
      </c>
      <c r="J237" s="198">
        <f>Qty!N160*'Hist. prices'!J237*J$7</f>
        <v>0</v>
      </c>
      <c r="K237" s="198">
        <f>Qty!O160*'Hist. prices'!K237*K$7</f>
        <v>0</v>
      </c>
      <c r="L237" s="198">
        <f>Qty!P160*'Hist. prices'!L237*L$7</f>
        <v>0</v>
      </c>
      <c r="M237" s="198">
        <f>Qty!Q160*'Hist. prices'!M237*M$7</f>
        <v>0</v>
      </c>
      <c r="N237" s="198">
        <f>Qty!R160*'Hist. prices'!N237*N$7</f>
        <v>0</v>
      </c>
      <c r="O237" s="198">
        <f>Qty!S160*'Hist. prices'!O237*O$7</f>
        <v>0</v>
      </c>
      <c r="P237" s="198">
        <f>Qty!T160*'Hist. prices'!P237*P$7</f>
        <v>0</v>
      </c>
      <c r="Q237" s="198">
        <f>Qty!U160*'Hist. prices'!Q237*Q$7</f>
        <v>0</v>
      </c>
      <c r="R237" s="198">
        <f>Qty!V160*'Hist. prices'!R237*R$7</f>
        <v>0</v>
      </c>
      <c r="S237" s="198">
        <f>Qty!W160*'Hist. prices'!S237*S$7</f>
        <v>0</v>
      </c>
      <c r="T237" s="198">
        <f>Qty!X160*'Hist. prices'!T237*T$7</f>
        <v>0</v>
      </c>
      <c r="U237" s="198">
        <f>Qty!Y160*'Hist. prices'!U237*U$7</f>
        <v>0</v>
      </c>
      <c r="V237" s="198">
        <f>Qty!Z160*'Hist. prices'!V237*V$7</f>
        <v>0</v>
      </c>
      <c r="W237" s="198">
        <f>Qty!AA160*'Hist. prices'!W237*W$7</f>
        <v>0</v>
      </c>
      <c r="X237" s="198">
        <f>Qty!AB160*'Hist. prices'!X237*X$7</f>
        <v>0</v>
      </c>
      <c r="Y237" s="198">
        <f>Qty!AC160*'Hist. prices'!Y237*Y$7</f>
        <v>0</v>
      </c>
      <c r="Z237" s="198">
        <f>Qty!AD160*'Hist. prices'!Z237*Z$7</f>
        <v>0</v>
      </c>
      <c r="AA237" s="198">
        <f>Qty!AE160*'Hist. prices'!AA237*AA$7</f>
        <v>0</v>
      </c>
      <c r="AB237" s="198">
        <f>Qty!AF160*'Hist. prices'!AB237*AB$7</f>
        <v>0</v>
      </c>
      <c r="AC237" s="206">
        <f t="shared" si="25"/>
        <v>0</v>
      </c>
      <c r="AD237" s="68"/>
      <c r="AE237" s="19"/>
      <c r="AF237" s="19"/>
      <c r="AG237" s="19"/>
      <c r="AH237" s="19"/>
    </row>
    <row r="238" spans="1:34" hidden="1" outlineLevel="3" x14ac:dyDescent="0.2">
      <c r="A238" s="19"/>
      <c r="B238" s="19"/>
      <c r="C238" s="506">
        <f t="shared" si="26"/>
        <v>0</v>
      </c>
      <c r="D238" s="505">
        <f t="shared" si="26"/>
        <v>0</v>
      </c>
      <c r="E238" s="505">
        <f t="shared" si="26"/>
        <v>0</v>
      </c>
      <c r="F238" s="505">
        <f t="shared" si="26"/>
        <v>0</v>
      </c>
      <c r="G238" s="505">
        <f t="shared" si="26"/>
        <v>0</v>
      </c>
      <c r="H238" s="58"/>
      <c r="I238" s="198">
        <f>Qty!M161*'Hist. prices'!I238*I$7</f>
        <v>0</v>
      </c>
      <c r="J238" s="198">
        <f>Qty!N161*'Hist. prices'!J238*J$7</f>
        <v>0</v>
      </c>
      <c r="K238" s="198">
        <f>Qty!O161*'Hist. prices'!K238*K$7</f>
        <v>0</v>
      </c>
      <c r="L238" s="198">
        <f>Qty!P161*'Hist. prices'!L238*L$7</f>
        <v>0</v>
      </c>
      <c r="M238" s="198">
        <f>Qty!Q161*'Hist. prices'!M238*M$7</f>
        <v>0</v>
      </c>
      <c r="N238" s="198">
        <f>Qty!R161*'Hist. prices'!N238*N$7</f>
        <v>0</v>
      </c>
      <c r="O238" s="198">
        <f>Qty!S161*'Hist. prices'!O238*O$7</f>
        <v>0</v>
      </c>
      <c r="P238" s="198">
        <f>Qty!T161*'Hist. prices'!P238*P$7</f>
        <v>0</v>
      </c>
      <c r="Q238" s="198">
        <f>Qty!U161*'Hist. prices'!Q238*Q$7</f>
        <v>0</v>
      </c>
      <c r="R238" s="198">
        <f>Qty!V161*'Hist. prices'!R238*R$7</f>
        <v>0</v>
      </c>
      <c r="S238" s="198">
        <f>Qty!W161*'Hist. prices'!S238*S$7</f>
        <v>0</v>
      </c>
      <c r="T238" s="198">
        <f>Qty!X161*'Hist. prices'!T238*T$7</f>
        <v>0</v>
      </c>
      <c r="U238" s="198">
        <f>Qty!Y161*'Hist. prices'!U238*U$7</f>
        <v>0</v>
      </c>
      <c r="V238" s="198">
        <f>Qty!Z161*'Hist. prices'!V238*V$7</f>
        <v>0</v>
      </c>
      <c r="W238" s="198">
        <f>Qty!AA161*'Hist. prices'!W238*W$7</f>
        <v>0</v>
      </c>
      <c r="X238" s="198">
        <f>Qty!AB161*'Hist. prices'!X238*X$7</f>
        <v>0</v>
      </c>
      <c r="Y238" s="198">
        <f>Qty!AC161*'Hist. prices'!Y238*Y$7</f>
        <v>0</v>
      </c>
      <c r="Z238" s="198">
        <f>Qty!AD161*'Hist. prices'!Z238*Z$7</f>
        <v>0</v>
      </c>
      <c r="AA238" s="198">
        <f>Qty!AE161*'Hist. prices'!AA238*AA$7</f>
        <v>0</v>
      </c>
      <c r="AB238" s="198">
        <f>Qty!AF161*'Hist. prices'!AB238*AB$7</f>
        <v>0</v>
      </c>
      <c r="AC238" s="206">
        <f t="shared" si="25"/>
        <v>0</v>
      </c>
      <c r="AD238" s="68"/>
      <c r="AE238" s="19"/>
      <c r="AF238" s="19"/>
      <c r="AG238" s="19"/>
      <c r="AH238" s="19"/>
    </row>
    <row r="239" spans="1:34" hidden="1" outlineLevel="2" collapsed="1" x14ac:dyDescent="0.2">
      <c r="A239" s="19"/>
      <c r="B239" s="19"/>
      <c r="C239" s="539" t="s">
        <v>240</v>
      </c>
      <c r="D239" s="505"/>
      <c r="E239" s="505"/>
      <c r="F239" s="505"/>
      <c r="G239" s="505"/>
      <c r="H239" s="58"/>
      <c r="I239" s="205">
        <f t="shared" ref="I239:AC239" si="27">SUM(I164:I238)</f>
        <v>0</v>
      </c>
      <c r="J239" s="205">
        <f t="shared" si="27"/>
        <v>0</v>
      </c>
      <c r="K239" s="205">
        <f t="shared" si="27"/>
        <v>0</v>
      </c>
      <c r="L239" s="205">
        <f t="shared" si="27"/>
        <v>0</v>
      </c>
      <c r="M239" s="205">
        <f t="shared" si="27"/>
        <v>0</v>
      </c>
      <c r="N239" s="205">
        <f t="shared" si="27"/>
        <v>0</v>
      </c>
      <c r="O239" s="205">
        <f t="shared" si="27"/>
        <v>0</v>
      </c>
      <c r="P239" s="205">
        <f t="shared" si="27"/>
        <v>0</v>
      </c>
      <c r="Q239" s="205">
        <f t="shared" si="27"/>
        <v>0</v>
      </c>
      <c r="R239" s="205">
        <f t="shared" si="27"/>
        <v>0</v>
      </c>
      <c r="S239" s="205">
        <f t="shared" si="27"/>
        <v>0</v>
      </c>
      <c r="T239" s="205">
        <f t="shared" si="27"/>
        <v>0</v>
      </c>
      <c r="U239" s="205">
        <f t="shared" si="27"/>
        <v>0</v>
      </c>
      <c r="V239" s="205">
        <f t="shared" si="27"/>
        <v>0</v>
      </c>
      <c r="W239" s="205">
        <f t="shared" si="27"/>
        <v>0</v>
      </c>
      <c r="X239" s="205">
        <f t="shared" si="27"/>
        <v>0</v>
      </c>
      <c r="Y239" s="205">
        <f t="shared" si="27"/>
        <v>0</v>
      </c>
      <c r="Z239" s="205">
        <f t="shared" si="27"/>
        <v>0</v>
      </c>
      <c r="AA239" s="205">
        <f t="shared" si="27"/>
        <v>0</v>
      </c>
      <c r="AB239" s="205">
        <f t="shared" si="27"/>
        <v>0</v>
      </c>
      <c r="AC239" s="205">
        <f t="shared" si="27"/>
        <v>0</v>
      </c>
      <c r="AD239" s="19"/>
      <c r="AE239" s="19"/>
      <c r="AF239" s="19"/>
      <c r="AG239" s="19"/>
    </row>
    <row r="240" spans="1:34" outlineLevel="1" collapsed="1" x14ac:dyDescent="0.2">
      <c r="A240" s="19"/>
      <c r="B240" s="19"/>
      <c r="C240" s="66"/>
      <c r="D240" s="58"/>
      <c r="E240" s="58"/>
      <c r="F240" s="58"/>
      <c r="G240" s="58"/>
      <c r="H240" s="58"/>
      <c r="I240" s="83"/>
      <c r="J240" s="83"/>
      <c r="K240" s="84"/>
      <c r="L240" s="84"/>
      <c r="M240" s="84"/>
      <c r="N240" s="85"/>
      <c r="O240" s="85"/>
      <c r="P240" s="85"/>
      <c r="Q240" s="85"/>
      <c r="R240" s="85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19"/>
      <c r="AF240" s="19"/>
      <c r="AG240" s="19"/>
      <c r="AH240" s="19"/>
    </row>
    <row r="241" spans="1:34" x14ac:dyDescent="0.2">
      <c r="A241" s="19"/>
      <c r="B241" s="19"/>
      <c r="C241" s="36"/>
      <c r="D241" s="20"/>
      <c r="E241" s="20"/>
      <c r="F241" s="20"/>
      <c r="G241" s="22"/>
      <c r="H241" s="22"/>
      <c r="I241" s="22"/>
      <c r="J241" s="20"/>
      <c r="K241" s="20"/>
      <c r="L241" s="20"/>
      <c r="M241" s="20"/>
      <c r="N241" s="37"/>
      <c r="O241" s="37"/>
      <c r="P241" s="37"/>
      <c r="Q241" s="37"/>
      <c r="R241" s="37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</row>
    <row r="242" spans="1:34" ht="12.75" x14ac:dyDescent="0.2">
      <c r="A242" s="11"/>
      <c r="B242" s="12" t="str">
        <f>"Calculation table 19 | "&amp;previousyear&amp;" revenue - Tariffs"</f>
        <v>Calculation table 19 | 2020–21 revenue - Tariffs</v>
      </c>
      <c r="C242" s="11"/>
      <c r="D242" s="32" t="str">
        <f>D5</f>
        <v>Tariff class</v>
      </c>
      <c r="E242" s="32" t="str">
        <f>tariffid1</f>
        <v>Code</v>
      </c>
      <c r="F242" s="32" t="str">
        <f>tariffid2</f>
        <v>Trans. Node</v>
      </c>
      <c r="G242" s="33" t="str">
        <f>tariffid3</f>
        <v>Other identifier</v>
      </c>
      <c r="H242" s="33"/>
      <c r="I242" s="169" t="str">
        <f t="shared" ref="I242:AB242" si="28">I5</f>
        <v>Service</v>
      </c>
      <c r="J242" s="169" t="str">
        <f t="shared" si="28"/>
        <v>All energy</v>
      </c>
      <c r="K242" s="169" t="str">
        <f t="shared" si="28"/>
        <v>Peak energy</v>
      </c>
      <c r="L242" s="169" t="str">
        <f t="shared" si="28"/>
        <v>Shoulder energy</v>
      </c>
      <c r="M242" s="169" t="str">
        <f t="shared" si="28"/>
        <v>Off-peak energy</v>
      </c>
      <c r="N242" s="169" t="str">
        <f t="shared" si="28"/>
        <v>All demand</v>
      </c>
      <c r="O242" s="169" t="str">
        <f t="shared" si="28"/>
        <v>Peak demand</v>
      </c>
      <c r="P242" s="169" t="str">
        <f t="shared" si="28"/>
        <v>Off-peak demand</v>
      </c>
      <c r="Q242" s="169" t="str">
        <f t="shared" si="28"/>
        <v>Specified demand</v>
      </c>
      <c r="R242" s="169" t="str">
        <f t="shared" si="28"/>
        <v>Excess daily demand</v>
      </c>
      <c r="S242" s="169" t="str">
        <f t="shared" si="28"/>
        <v>Daily demand connection</v>
      </c>
      <c r="T242" s="169" t="str">
        <f t="shared" si="28"/>
        <v>Excess daily demand connection</v>
      </c>
      <c r="U242" s="169" t="str">
        <f t="shared" si="28"/>
        <v>All demand (lamps)</v>
      </c>
      <c r="V242" s="169">
        <f t="shared" si="28"/>
        <v>0</v>
      </c>
      <c r="W242" s="169">
        <f t="shared" si="28"/>
        <v>0</v>
      </c>
      <c r="X242" s="169">
        <f t="shared" si="28"/>
        <v>0</v>
      </c>
      <c r="Y242" s="169">
        <f t="shared" si="28"/>
        <v>0</v>
      </c>
      <c r="Z242" s="169">
        <f t="shared" si="28"/>
        <v>0</v>
      </c>
      <c r="AA242" s="169">
        <f t="shared" si="28"/>
        <v>0</v>
      </c>
      <c r="AB242" s="169">
        <f t="shared" si="28"/>
        <v>0</v>
      </c>
      <c r="AC242" s="204" t="s">
        <v>240</v>
      </c>
      <c r="AD242" s="64"/>
      <c r="AE242" s="15"/>
      <c r="AF242" s="15"/>
      <c r="AG242" s="15"/>
      <c r="AH242" s="15"/>
    </row>
    <row r="243" spans="1:34" outlineLevel="1" x14ac:dyDescent="0.2">
      <c r="A243" s="19"/>
      <c r="B243" s="19"/>
      <c r="C243" s="36"/>
      <c r="D243" s="20"/>
      <c r="E243" s="20"/>
      <c r="F243" s="20"/>
      <c r="G243" s="22"/>
      <c r="H243" s="22"/>
      <c r="I243" s="170" t="str">
        <f t="shared" ref="I243:AB243" si="29">I6</f>
        <v>$dollars</v>
      </c>
      <c r="J243" s="170" t="str">
        <f t="shared" si="29"/>
        <v>$dollars</v>
      </c>
      <c r="K243" s="170" t="str">
        <f t="shared" si="29"/>
        <v>$dollars</v>
      </c>
      <c r="L243" s="170" t="str">
        <f t="shared" si="29"/>
        <v>$dollars</v>
      </c>
      <c r="M243" s="170" t="str">
        <f t="shared" si="29"/>
        <v>$dollars</v>
      </c>
      <c r="N243" s="170" t="str">
        <f t="shared" si="29"/>
        <v>$dollars</v>
      </c>
      <c r="O243" s="170" t="str">
        <f t="shared" si="29"/>
        <v>$dollars</v>
      </c>
      <c r="P243" s="170" t="str">
        <f t="shared" si="29"/>
        <v>$dollars</v>
      </c>
      <c r="Q243" s="170" t="str">
        <f t="shared" si="29"/>
        <v>$dollars</v>
      </c>
      <c r="R243" s="170" t="str">
        <f t="shared" si="29"/>
        <v>$dollars</v>
      </c>
      <c r="S243" s="170" t="str">
        <f t="shared" si="29"/>
        <v>$dollars</v>
      </c>
      <c r="T243" s="170" t="str">
        <f t="shared" si="29"/>
        <v>$dollars</v>
      </c>
      <c r="U243" s="170" t="str">
        <f t="shared" si="29"/>
        <v>$dollars</v>
      </c>
      <c r="V243" s="170">
        <f t="shared" si="29"/>
        <v>0</v>
      </c>
      <c r="W243" s="170">
        <f t="shared" si="29"/>
        <v>0</v>
      </c>
      <c r="X243" s="170">
        <f t="shared" si="29"/>
        <v>0</v>
      </c>
      <c r="Y243" s="170">
        <f t="shared" si="29"/>
        <v>0</v>
      </c>
      <c r="Z243" s="170">
        <f t="shared" si="29"/>
        <v>0</v>
      </c>
      <c r="AA243" s="170">
        <f t="shared" si="29"/>
        <v>0</v>
      </c>
      <c r="AB243" s="170">
        <f t="shared" si="29"/>
        <v>0</v>
      </c>
      <c r="AC243" s="170" t="str">
        <f>IF(AC242=0,0,dollars)</f>
        <v>$dollars</v>
      </c>
      <c r="AD243" s="19"/>
      <c r="AE243" s="19"/>
      <c r="AF243" s="19"/>
      <c r="AG243" s="19"/>
      <c r="AH243" s="19"/>
    </row>
    <row r="244" spans="1:34" outlineLevel="1" x14ac:dyDescent="0.2">
      <c r="A244" s="19"/>
      <c r="B244" s="19"/>
      <c r="C244" s="167" t="str">
        <f>C7</f>
        <v>Distribution</v>
      </c>
      <c r="D244" s="20"/>
      <c r="E244" s="20"/>
      <c r="F244" s="20"/>
      <c r="G244" s="22"/>
      <c r="H244" s="22"/>
      <c r="I244" s="196">
        <f>Tariffs!$R22</f>
        <v>3.65</v>
      </c>
      <c r="J244" s="196">
        <f>Tariffs!$R23</f>
        <v>0.01</v>
      </c>
      <c r="K244" s="196">
        <f>Tariffs!$R24</f>
        <v>0.01</v>
      </c>
      <c r="L244" s="196">
        <f>Tariffs!$R25</f>
        <v>0.01</v>
      </c>
      <c r="M244" s="196">
        <f>Tariffs!$R26</f>
        <v>0.01</v>
      </c>
      <c r="N244" s="196">
        <f>Tariffs!$R27</f>
        <v>0.01</v>
      </c>
      <c r="O244" s="196">
        <f>Tariffs!$R28</f>
        <v>0.01</v>
      </c>
      <c r="P244" s="196">
        <f>Tariffs!$R29</f>
        <v>0.01</v>
      </c>
      <c r="Q244" s="196">
        <f>Tariffs!$R30</f>
        <v>0.01</v>
      </c>
      <c r="R244" s="196">
        <f>Tariffs!$R31</f>
        <v>0.01</v>
      </c>
      <c r="S244" s="196">
        <f>Tariffs!$R32</f>
        <v>0.01</v>
      </c>
      <c r="T244" s="196">
        <f>Tariffs!$R33</f>
        <v>0.01</v>
      </c>
      <c r="U244" s="196">
        <f>Tariffs!$R34</f>
        <v>3.65</v>
      </c>
      <c r="V244" s="196">
        <f>Tariffs!$R35</f>
        <v>0</v>
      </c>
      <c r="W244" s="196">
        <f>Tariffs!$R36</f>
        <v>0</v>
      </c>
      <c r="X244" s="196">
        <f>Tariffs!$R37</f>
        <v>0</v>
      </c>
      <c r="Y244" s="196">
        <f>Tariffs!$R38</f>
        <v>0</v>
      </c>
      <c r="Z244" s="196">
        <f>Tariffs!$R39</f>
        <v>0</v>
      </c>
      <c r="AA244" s="196">
        <f>Tariffs!$R40</f>
        <v>0</v>
      </c>
      <c r="AB244" s="196">
        <f>Tariffs!$R41</f>
        <v>0</v>
      </c>
      <c r="AC244" s="19"/>
      <c r="AD244" s="19"/>
      <c r="AE244" s="19"/>
      <c r="AF244" s="19"/>
      <c r="AG244" s="19"/>
      <c r="AH244" s="19"/>
    </row>
    <row r="245" spans="1:34" outlineLevel="2" x14ac:dyDescent="0.2">
      <c r="A245" s="19"/>
      <c r="B245" s="19"/>
      <c r="C245" s="506" t="str">
        <f>Qty!C166</f>
        <v>Residential time of use consumption</v>
      </c>
      <c r="D245" s="505" t="str">
        <f>Qty!D166</f>
        <v>Residential</v>
      </c>
      <c r="E245" s="505" t="str">
        <f>Qty!E166</f>
        <v>TAS93</v>
      </c>
      <c r="F245" s="505">
        <f>Qty!F166</f>
        <v>0</v>
      </c>
      <c r="G245" s="505">
        <f>Qty!G166</f>
        <v>0</v>
      </c>
      <c r="H245" s="22"/>
      <c r="I245" s="198">
        <f>Qty!M166*'Hist. prices'!I245*I$244</f>
        <v>6953938.9285800001</v>
      </c>
      <c r="J245" s="198">
        <f>Qty!N166*'Hist. prices'!J245*J$244</f>
        <v>0</v>
      </c>
      <c r="K245" s="198">
        <f>Qty!O166*'Hist. prices'!K245*K$244</f>
        <v>9079886.7024916541</v>
      </c>
      <c r="L245" s="198">
        <f>Qty!P166*'Hist. prices'!L245*L$244</f>
        <v>0</v>
      </c>
      <c r="M245" s="198">
        <f>Qty!Q166*'Hist. prices'!M245*M$244</f>
        <v>3987594.5032127881</v>
      </c>
      <c r="N245" s="198">
        <f>Qty!R166*'Hist. prices'!N245*N$244</f>
        <v>0</v>
      </c>
      <c r="O245" s="198">
        <f>Qty!S166*'Hist. prices'!O245*O$244</f>
        <v>0</v>
      </c>
      <c r="P245" s="198">
        <f>Qty!T166*'Hist. prices'!P245*P$244</f>
        <v>0</v>
      </c>
      <c r="Q245" s="198">
        <f>Qty!U166*'Hist. prices'!Q245*Q$244</f>
        <v>0</v>
      </c>
      <c r="R245" s="198">
        <f>Qty!V166*'Hist. prices'!R245*R$244</f>
        <v>0</v>
      </c>
      <c r="S245" s="198">
        <f>Qty!W166*'Hist. prices'!S245*S$244</f>
        <v>0</v>
      </c>
      <c r="T245" s="198">
        <f>Qty!X166*'Hist. prices'!T245*T$244</f>
        <v>0</v>
      </c>
      <c r="U245" s="198">
        <f>Qty!Y166*'Hist. prices'!U245*U$244</f>
        <v>0</v>
      </c>
      <c r="V245" s="198">
        <f>Qty!Z166*'Hist. prices'!V245*V$244</f>
        <v>0</v>
      </c>
      <c r="W245" s="198">
        <f>Qty!AA166*'Hist. prices'!W245*W$244</f>
        <v>0</v>
      </c>
      <c r="X245" s="198">
        <f>Qty!AB166*'Hist. prices'!X245*X$244</f>
        <v>0</v>
      </c>
      <c r="Y245" s="198">
        <f>Qty!AC166*'Hist. prices'!Y245*Y$244</f>
        <v>0</v>
      </c>
      <c r="Z245" s="198">
        <f>Qty!AD166*'Hist. prices'!Z245*Z$244</f>
        <v>0</v>
      </c>
      <c r="AA245" s="198">
        <f>Qty!AE166*'Hist. prices'!AA245*AA$244</f>
        <v>0</v>
      </c>
      <c r="AB245" s="198">
        <f>Qty!AF166*'Hist. prices'!AB245*AB$244</f>
        <v>0</v>
      </c>
      <c r="AC245" s="206">
        <f t="shared" ref="AC245:AC276" si="30">SUM(I245:AB245)</f>
        <v>20021420.13428444</v>
      </c>
      <c r="AD245" s="68"/>
      <c r="AE245" s="19"/>
      <c r="AF245" s="19"/>
      <c r="AG245" s="19"/>
      <c r="AH245" s="19"/>
    </row>
    <row r="246" spans="1:34" s="59" customFormat="1" outlineLevel="2" x14ac:dyDescent="0.2">
      <c r="A246" s="57"/>
      <c r="B246" s="57"/>
      <c r="C246" s="506" t="str">
        <f>Qty!C167</f>
        <v>Residential general light and power</v>
      </c>
      <c r="D246" s="505" t="str">
        <f>Qty!D167</f>
        <v>Residential</v>
      </c>
      <c r="E246" s="505" t="str">
        <f>Qty!E167</f>
        <v>TAS31</v>
      </c>
      <c r="F246" s="505">
        <f>Qty!F167</f>
        <v>0</v>
      </c>
      <c r="G246" s="505">
        <f>Qty!G167</f>
        <v>0</v>
      </c>
      <c r="H246" s="58"/>
      <c r="I246" s="198">
        <f>Qty!M167*'Hist. prices'!I246*I$244</f>
        <v>43177581.79947</v>
      </c>
      <c r="J246" s="198">
        <f>Qty!N167*'Hist. prices'!J246*J$244</f>
        <v>52162191.536260873</v>
      </c>
      <c r="K246" s="198">
        <f>Qty!O167*'Hist. prices'!K246*K$244</f>
        <v>0</v>
      </c>
      <c r="L246" s="198">
        <f>Qty!P167*'Hist. prices'!L246*L$244</f>
        <v>0</v>
      </c>
      <c r="M246" s="198">
        <f>Qty!Q167*'Hist. prices'!M246*M$244</f>
        <v>0</v>
      </c>
      <c r="N246" s="198">
        <f>Qty!R167*'Hist. prices'!N246*N$244</f>
        <v>0</v>
      </c>
      <c r="O246" s="198">
        <f>Qty!S167*'Hist. prices'!O246*O$244</f>
        <v>0</v>
      </c>
      <c r="P246" s="198">
        <f>Qty!T167*'Hist. prices'!P246*P$244</f>
        <v>0</v>
      </c>
      <c r="Q246" s="198">
        <f>Qty!U167*'Hist. prices'!Q246*Q$244</f>
        <v>0</v>
      </c>
      <c r="R246" s="198">
        <f>Qty!V167*'Hist. prices'!R246*R$244</f>
        <v>0</v>
      </c>
      <c r="S246" s="198">
        <f>Qty!W167*'Hist. prices'!S246*S$244</f>
        <v>0</v>
      </c>
      <c r="T246" s="198">
        <f>Qty!X167*'Hist. prices'!T246*T$244</f>
        <v>0</v>
      </c>
      <c r="U246" s="198">
        <f>Qty!Y167*'Hist. prices'!U246*U$244</f>
        <v>0</v>
      </c>
      <c r="V246" s="198">
        <f>Qty!Z167*'Hist. prices'!V246*V$244</f>
        <v>0</v>
      </c>
      <c r="W246" s="198">
        <f>Qty!AA167*'Hist. prices'!W246*W$244</f>
        <v>0</v>
      </c>
      <c r="X246" s="198">
        <f>Qty!AB167*'Hist. prices'!X246*X$244</f>
        <v>0</v>
      </c>
      <c r="Y246" s="198">
        <f>Qty!AC167*'Hist. prices'!Y246*Y$244</f>
        <v>0</v>
      </c>
      <c r="Z246" s="198">
        <f>Qty!AD167*'Hist. prices'!Z246*Z$244</f>
        <v>0</v>
      </c>
      <c r="AA246" s="198">
        <f>Qty!AE167*'Hist. prices'!AA246*AA$244</f>
        <v>0</v>
      </c>
      <c r="AB246" s="198">
        <f>Qty!AF167*'Hist. prices'!AB246*AB$244</f>
        <v>0</v>
      </c>
      <c r="AC246" s="206">
        <f t="shared" si="30"/>
        <v>95339773.33573088</v>
      </c>
      <c r="AD246" s="68"/>
      <c r="AE246" s="57"/>
      <c r="AF246" s="57"/>
      <c r="AG246" s="57"/>
      <c r="AH246" s="57"/>
    </row>
    <row r="247" spans="1:34" outlineLevel="2" x14ac:dyDescent="0.2">
      <c r="A247" s="19"/>
      <c r="B247" s="19"/>
      <c r="C247" s="506" t="str">
        <f>Qty!C168</f>
        <v>Residential time of use demand</v>
      </c>
      <c r="D247" s="505" t="str">
        <f>Qty!D168</f>
        <v>Residential</v>
      </c>
      <c r="E247" s="505" t="str">
        <f>Qty!E168</f>
        <v>TAS87</v>
      </c>
      <c r="F247" s="505">
        <f>Qty!F168</f>
        <v>0</v>
      </c>
      <c r="G247" s="505">
        <f>Qty!G168</f>
        <v>0</v>
      </c>
      <c r="H247" s="58"/>
      <c r="I247" s="198">
        <f>Qty!M168*'Hist. prices'!I247*I$244</f>
        <v>211.67544000000001</v>
      </c>
      <c r="J247" s="198">
        <f>Qty!N168*'Hist. prices'!J247*J$244</f>
        <v>0</v>
      </c>
      <c r="K247" s="198">
        <f>Qty!O168*'Hist. prices'!K247*K$244</f>
        <v>0</v>
      </c>
      <c r="L247" s="198">
        <f>Qty!P168*'Hist. prices'!L247*L$244</f>
        <v>0</v>
      </c>
      <c r="M247" s="198">
        <f>Qty!Q168*'Hist. prices'!M247*M$244</f>
        <v>0</v>
      </c>
      <c r="N247" s="198">
        <f>Qty!R168*'Hist. prices'!N247*N$244</f>
        <v>0</v>
      </c>
      <c r="O247" s="198">
        <f>Qty!S168*'Hist. prices'!O247*O$244</f>
        <v>0</v>
      </c>
      <c r="P247" s="198">
        <f>Qty!T168*'Hist. prices'!P247*P$244</f>
        <v>0</v>
      </c>
      <c r="Q247" s="198">
        <f>Qty!U168*'Hist. prices'!Q247*Q$244</f>
        <v>0</v>
      </c>
      <c r="R247" s="198">
        <f>Qty!V168*'Hist. prices'!R247*R$244</f>
        <v>0</v>
      </c>
      <c r="S247" s="198">
        <f>Qty!W168*'Hist. prices'!S247*S$244</f>
        <v>0</v>
      </c>
      <c r="T247" s="198">
        <f>Qty!X168*'Hist. prices'!T247*T$244</f>
        <v>0</v>
      </c>
      <c r="U247" s="198">
        <f>Qty!Y168*'Hist. prices'!U247*U$244</f>
        <v>0</v>
      </c>
      <c r="V247" s="198">
        <f>Qty!Z168*'Hist. prices'!V247*V$244</f>
        <v>0</v>
      </c>
      <c r="W247" s="198">
        <f>Qty!AA168*'Hist. prices'!W247*W$244</f>
        <v>0</v>
      </c>
      <c r="X247" s="198">
        <f>Qty!AB168*'Hist. prices'!X247*X$244</f>
        <v>0</v>
      </c>
      <c r="Y247" s="198">
        <f>Qty!AC168*'Hist. prices'!Y247*Y$244</f>
        <v>0</v>
      </c>
      <c r="Z247" s="198">
        <f>Qty!AD168*'Hist. prices'!Z247*Z$244</f>
        <v>0</v>
      </c>
      <c r="AA247" s="198">
        <f>Qty!AE168*'Hist. prices'!AA247*AA$244</f>
        <v>0</v>
      </c>
      <c r="AB247" s="198">
        <f>Qty!AF168*'Hist. prices'!AB247*AB$244</f>
        <v>0</v>
      </c>
      <c r="AC247" s="206">
        <f t="shared" si="30"/>
        <v>211.67544000000001</v>
      </c>
      <c r="AD247" s="68"/>
      <c r="AE247" s="19"/>
      <c r="AF247" s="19"/>
      <c r="AG247" s="19"/>
      <c r="AH247" s="19"/>
    </row>
    <row r="248" spans="1:34" outlineLevel="2" x14ac:dyDescent="0.2">
      <c r="A248" s="19"/>
      <c r="B248" s="19"/>
      <c r="C248" s="506" t="str">
        <f>Qty!C169</f>
        <v>Residential time of use demand DER</v>
      </c>
      <c r="D248" s="505" t="str">
        <f>Qty!D169</f>
        <v>Residential</v>
      </c>
      <c r="E248" s="505" t="str">
        <f>Qty!E169</f>
        <v>TAS97</v>
      </c>
      <c r="F248" s="505">
        <f>Qty!F169</f>
        <v>0</v>
      </c>
      <c r="G248" s="505">
        <f>Qty!G169</f>
        <v>0</v>
      </c>
      <c r="H248" s="58"/>
      <c r="I248" s="198">
        <f>Qty!M169*'Hist. prices'!I248*I$244</f>
        <v>0</v>
      </c>
      <c r="J248" s="198">
        <f>Qty!N169*'Hist. prices'!J248*J$244</f>
        <v>0</v>
      </c>
      <c r="K248" s="198">
        <f>Qty!O169*'Hist. prices'!K248*K$244</f>
        <v>0</v>
      </c>
      <c r="L248" s="198">
        <f>Qty!P169*'Hist. prices'!L248*L$244</f>
        <v>0</v>
      </c>
      <c r="M248" s="198">
        <f>Qty!Q169*'Hist. prices'!M248*M$244</f>
        <v>0</v>
      </c>
      <c r="N248" s="198">
        <f>Qty!R169*'Hist. prices'!N248*N$244</f>
        <v>0</v>
      </c>
      <c r="O248" s="198">
        <f>Qty!S169*'Hist. prices'!O248*O$244</f>
        <v>0</v>
      </c>
      <c r="P248" s="198">
        <f>Qty!T169*'Hist. prices'!P248*P$244</f>
        <v>0</v>
      </c>
      <c r="Q248" s="198">
        <f>Qty!U169*'Hist. prices'!Q248*Q$244</f>
        <v>0</v>
      </c>
      <c r="R248" s="198">
        <f>Qty!V169*'Hist. prices'!R248*R$244</f>
        <v>0</v>
      </c>
      <c r="S248" s="198">
        <f>Qty!W169*'Hist. prices'!S248*S$244</f>
        <v>0</v>
      </c>
      <c r="T248" s="198">
        <f>Qty!X169*'Hist. prices'!T248*T$244</f>
        <v>0</v>
      </c>
      <c r="U248" s="198">
        <f>Qty!Y169*'Hist. prices'!U248*U$244</f>
        <v>0</v>
      </c>
      <c r="V248" s="198">
        <f>Qty!Z169*'Hist. prices'!V248*V$244</f>
        <v>0</v>
      </c>
      <c r="W248" s="198">
        <f>Qty!AA169*'Hist. prices'!W248*W$244</f>
        <v>0</v>
      </c>
      <c r="X248" s="198">
        <f>Qty!AB169*'Hist. prices'!X248*X$244</f>
        <v>0</v>
      </c>
      <c r="Y248" s="198">
        <f>Qty!AC169*'Hist. prices'!Y248*Y$244</f>
        <v>0</v>
      </c>
      <c r="Z248" s="198">
        <f>Qty!AD169*'Hist. prices'!Z248*Z$244</f>
        <v>0</v>
      </c>
      <c r="AA248" s="198">
        <f>Qty!AE169*'Hist. prices'!AA248*AA$244</f>
        <v>0</v>
      </c>
      <c r="AB248" s="198">
        <f>Qty!AF169*'Hist. prices'!AB248*AB$244</f>
        <v>0</v>
      </c>
      <c r="AC248" s="206">
        <f t="shared" si="30"/>
        <v>0</v>
      </c>
      <c r="AD248" s="68"/>
      <c r="AE248" s="19"/>
      <c r="AF248" s="19"/>
      <c r="AG248" s="19"/>
      <c r="AH248" s="19"/>
    </row>
    <row r="249" spans="1:34" outlineLevel="2" x14ac:dyDescent="0.2">
      <c r="A249" s="19"/>
      <c r="B249" s="19"/>
      <c r="C249" s="506" t="str">
        <f>Qty!C170</f>
        <v>Residential pay as you go</v>
      </c>
      <c r="D249" s="505" t="str">
        <f>Qty!D170</f>
        <v>Residential</v>
      </c>
      <c r="E249" s="505" t="str">
        <f>Qty!E170</f>
        <v>TAS101</v>
      </c>
      <c r="F249" s="505">
        <f>Qty!F170</f>
        <v>0</v>
      </c>
      <c r="G249" s="505">
        <f>Qty!G170</f>
        <v>0</v>
      </c>
      <c r="H249" s="58"/>
      <c r="I249" s="198">
        <f>Qty!M170*'Hist. prices'!I249*I$244</f>
        <v>9623.1485999999986</v>
      </c>
      <c r="J249" s="198">
        <f>Qty!N170*'Hist. prices'!J249*J$244</f>
        <v>6453.2644200000004</v>
      </c>
      <c r="K249" s="198">
        <f>Qty!O170*'Hist. prices'!K249*K$244</f>
        <v>0</v>
      </c>
      <c r="L249" s="198">
        <f>Qty!P170*'Hist. prices'!L249*L$244</f>
        <v>0</v>
      </c>
      <c r="M249" s="198">
        <f>Qty!Q170*'Hist. prices'!M249*M$244</f>
        <v>0</v>
      </c>
      <c r="N249" s="198">
        <f>Qty!R170*'Hist. prices'!N249*N$244</f>
        <v>0</v>
      </c>
      <c r="O249" s="198">
        <f>Qty!S170*'Hist. prices'!O249*O$244</f>
        <v>0</v>
      </c>
      <c r="P249" s="198">
        <f>Qty!T170*'Hist. prices'!P249*P$244</f>
        <v>0</v>
      </c>
      <c r="Q249" s="198">
        <f>Qty!U170*'Hist. prices'!Q249*Q$244</f>
        <v>0</v>
      </c>
      <c r="R249" s="198">
        <f>Qty!V170*'Hist. prices'!R249*R$244</f>
        <v>0</v>
      </c>
      <c r="S249" s="198">
        <f>Qty!W170*'Hist. prices'!S249*S$244</f>
        <v>0</v>
      </c>
      <c r="T249" s="198">
        <f>Qty!X170*'Hist. prices'!T249*T$244</f>
        <v>0</v>
      </c>
      <c r="U249" s="198">
        <f>Qty!Y170*'Hist. prices'!U249*U$244</f>
        <v>0</v>
      </c>
      <c r="V249" s="198">
        <f>Qty!Z170*'Hist. prices'!V249*V$244</f>
        <v>0</v>
      </c>
      <c r="W249" s="198">
        <f>Qty!AA170*'Hist. prices'!W249*W$244</f>
        <v>0</v>
      </c>
      <c r="X249" s="198">
        <f>Qty!AB170*'Hist. prices'!X249*X$244</f>
        <v>0</v>
      </c>
      <c r="Y249" s="198">
        <f>Qty!AC170*'Hist. prices'!Y249*Y$244</f>
        <v>0</v>
      </c>
      <c r="Z249" s="198">
        <f>Qty!AD170*'Hist. prices'!Z249*Z$244</f>
        <v>0</v>
      </c>
      <c r="AA249" s="198">
        <f>Qty!AE170*'Hist. prices'!AA249*AA$244</f>
        <v>0</v>
      </c>
      <c r="AB249" s="198">
        <f>Qty!AF170*'Hist. prices'!AB249*AB$244</f>
        <v>0</v>
      </c>
      <c r="AC249" s="206">
        <f t="shared" si="30"/>
        <v>16076.41302</v>
      </c>
      <c r="AD249" s="68"/>
      <c r="AE249" s="19"/>
      <c r="AF249" s="19"/>
      <c r="AG249" s="19"/>
      <c r="AH249" s="19"/>
    </row>
    <row r="250" spans="1:34" outlineLevel="2" x14ac:dyDescent="0.2">
      <c r="A250" s="19"/>
      <c r="B250" s="19"/>
      <c r="C250" s="506" t="str">
        <f>Qty!C171</f>
        <v>Residential pay as you go time of use</v>
      </c>
      <c r="D250" s="505" t="str">
        <f>Qty!D171</f>
        <v>Residential</v>
      </c>
      <c r="E250" s="505" t="str">
        <f>Qty!E171</f>
        <v>TAS92</v>
      </c>
      <c r="F250" s="505">
        <f>Qty!F171</f>
        <v>0</v>
      </c>
      <c r="G250" s="505">
        <f>Qty!G171</f>
        <v>0</v>
      </c>
      <c r="H250" s="58"/>
      <c r="I250" s="198">
        <f>Qty!M171*'Hist. prices'!I250*I$244</f>
        <v>0</v>
      </c>
      <c r="J250" s="198">
        <f>Qty!N171*'Hist. prices'!J250*J$244</f>
        <v>0</v>
      </c>
      <c r="K250" s="198">
        <f>Qty!O171*'Hist. prices'!K250*K$244</f>
        <v>0</v>
      </c>
      <c r="L250" s="198">
        <f>Qty!P171*'Hist. prices'!L250*L$244</f>
        <v>0</v>
      </c>
      <c r="M250" s="198">
        <f>Qty!Q171*'Hist. prices'!M250*M$244</f>
        <v>0</v>
      </c>
      <c r="N250" s="198">
        <f>Qty!R171*'Hist. prices'!N250*N$244</f>
        <v>0</v>
      </c>
      <c r="O250" s="198">
        <f>Qty!S171*'Hist. prices'!O250*O$244</f>
        <v>0</v>
      </c>
      <c r="P250" s="198">
        <f>Qty!T171*'Hist. prices'!P250*P$244</f>
        <v>0</v>
      </c>
      <c r="Q250" s="198">
        <f>Qty!U171*'Hist. prices'!Q250*Q$244</f>
        <v>0</v>
      </c>
      <c r="R250" s="198">
        <f>Qty!V171*'Hist. prices'!R250*R$244</f>
        <v>0</v>
      </c>
      <c r="S250" s="198">
        <f>Qty!W171*'Hist. prices'!S250*S$244</f>
        <v>0</v>
      </c>
      <c r="T250" s="198">
        <f>Qty!X171*'Hist. prices'!T250*T$244</f>
        <v>0</v>
      </c>
      <c r="U250" s="198">
        <f>Qty!Y171*'Hist. prices'!U250*U$244</f>
        <v>0</v>
      </c>
      <c r="V250" s="198">
        <f>Qty!Z171*'Hist. prices'!V250*V$244</f>
        <v>0</v>
      </c>
      <c r="W250" s="198">
        <f>Qty!AA171*'Hist. prices'!W250*W$244</f>
        <v>0</v>
      </c>
      <c r="X250" s="198">
        <f>Qty!AB171*'Hist. prices'!X250*X$244</f>
        <v>0</v>
      </c>
      <c r="Y250" s="198">
        <f>Qty!AC171*'Hist. prices'!Y250*Y$244</f>
        <v>0</v>
      </c>
      <c r="Z250" s="198">
        <f>Qty!AD171*'Hist. prices'!Z250*Z$244</f>
        <v>0</v>
      </c>
      <c r="AA250" s="198">
        <f>Qty!AE171*'Hist. prices'!AA250*AA$244</f>
        <v>0</v>
      </c>
      <c r="AB250" s="198">
        <f>Qty!AF171*'Hist. prices'!AB250*AB$244</f>
        <v>0</v>
      </c>
      <c r="AC250" s="206">
        <f t="shared" si="30"/>
        <v>0</v>
      </c>
      <c r="AD250" s="68"/>
      <c r="AE250" s="19"/>
      <c r="AF250" s="19"/>
      <c r="AG250" s="19"/>
      <c r="AH250" s="19"/>
    </row>
    <row r="251" spans="1:34" outlineLevel="2" x14ac:dyDescent="0.2">
      <c r="A251" s="19"/>
      <c r="B251" s="19"/>
      <c r="C251" s="506" t="str">
        <f>Qty!C172</f>
        <v>Small business time of use consumption</v>
      </c>
      <c r="D251" s="505" t="str">
        <f>Qty!D172</f>
        <v>Small Business LV</v>
      </c>
      <c r="E251" s="505" t="str">
        <f>Qty!E172</f>
        <v>TAS94</v>
      </c>
      <c r="F251" s="505">
        <f>Qty!F172</f>
        <v>0</v>
      </c>
      <c r="G251" s="505">
        <f>Qty!G172</f>
        <v>0</v>
      </c>
      <c r="H251" s="58"/>
      <c r="I251" s="198">
        <f>Qty!M172*'Hist. prices'!I251*I$244</f>
        <v>1734412.9413599998</v>
      </c>
      <c r="J251" s="198">
        <f>Qty!N172*'Hist. prices'!J251*J$244</f>
        <v>0</v>
      </c>
      <c r="K251" s="198">
        <f>Qty!O172*'Hist. prices'!K251*K$244</f>
        <v>18682516.720888473</v>
      </c>
      <c r="L251" s="198">
        <f>Qty!P172*'Hist. prices'!L251*L$244</f>
        <v>2811607.2136005005</v>
      </c>
      <c r="M251" s="198">
        <f>Qty!Q172*'Hist. prices'!M251*M$244</f>
        <v>1392613.0824927601</v>
      </c>
      <c r="N251" s="198">
        <f>Qty!R172*'Hist. prices'!N251*N$244</f>
        <v>0</v>
      </c>
      <c r="O251" s="198">
        <f>Qty!S172*'Hist. prices'!O251*O$244</f>
        <v>0</v>
      </c>
      <c r="P251" s="198">
        <f>Qty!T172*'Hist. prices'!P251*P$244</f>
        <v>0</v>
      </c>
      <c r="Q251" s="198">
        <f>Qty!U172*'Hist. prices'!Q251*Q$244</f>
        <v>0</v>
      </c>
      <c r="R251" s="198">
        <f>Qty!V172*'Hist. prices'!R251*R$244</f>
        <v>0</v>
      </c>
      <c r="S251" s="198">
        <f>Qty!W172*'Hist. prices'!S251*S$244</f>
        <v>0</v>
      </c>
      <c r="T251" s="198">
        <f>Qty!X172*'Hist. prices'!T251*T$244</f>
        <v>0</v>
      </c>
      <c r="U251" s="198">
        <f>Qty!Y172*'Hist. prices'!U251*U$244</f>
        <v>0</v>
      </c>
      <c r="V251" s="198">
        <f>Qty!Z172*'Hist. prices'!V251*V$244</f>
        <v>0</v>
      </c>
      <c r="W251" s="198">
        <f>Qty!AA172*'Hist. prices'!W251*W$244</f>
        <v>0</v>
      </c>
      <c r="X251" s="198">
        <f>Qty!AB172*'Hist. prices'!X251*X$244</f>
        <v>0</v>
      </c>
      <c r="Y251" s="198">
        <f>Qty!AC172*'Hist. prices'!Y251*Y$244</f>
        <v>0</v>
      </c>
      <c r="Z251" s="198">
        <f>Qty!AD172*'Hist. prices'!Z251*Z$244</f>
        <v>0</v>
      </c>
      <c r="AA251" s="198">
        <f>Qty!AE172*'Hist. prices'!AA251*AA$244</f>
        <v>0</v>
      </c>
      <c r="AB251" s="198">
        <f>Qty!AF172*'Hist. prices'!AB251*AB$244</f>
        <v>0</v>
      </c>
      <c r="AC251" s="206">
        <f t="shared" si="30"/>
        <v>24621149.958341736</v>
      </c>
      <c r="AD251" s="68"/>
      <c r="AE251" s="19"/>
      <c r="AF251" s="19"/>
      <c r="AG251" s="19"/>
      <c r="AH251" s="19"/>
    </row>
    <row r="252" spans="1:34" outlineLevel="2" x14ac:dyDescent="0.2">
      <c r="A252" s="19"/>
      <c r="B252" s="19"/>
      <c r="C252" s="506" t="str">
        <f>Qty!C173</f>
        <v>Small business general light and power</v>
      </c>
      <c r="D252" s="505" t="str">
        <f>Qty!D173</f>
        <v>Small Business LV</v>
      </c>
      <c r="E252" s="505" t="str">
        <f>Qty!E173</f>
        <v>TAS22</v>
      </c>
      <c r="F252" s="505">
        <f>Qty!F173</f>
        <v>0</v>
      </c>
      <c r="G252" s="505">
        <f>Qty!G173</f>
        <v>0</v>
      </c>
      <c r="H252" s="58"/>
      <c r="I252" s="198">
        <f>Qty!M173*'Hist. prices'!I252*I$244</f>
        <v>5150748.4555800008</v>
      </c>
      <c r="J252" s="198">
        <f>Qty!N173*'Hist. prices'!J252*J$244</f>
        <v>17152512.819637358</v>
      </c>
      <c r="K252" s="198">
        <f>Qty!O173*'Hist. prices'!K252*K$244</f>
        <v>0</v>
      </c>
      <c r="L252" s="198">
        <f>Qty!P173*'Hist. prices'!L252*L$244</f>
        <v>0</v>
      </c>
      <c r="M252" s="198">
        <f>Qty!Q173*'Hist. prices'!M252*M$244</f>
        <v>0</v>
      </c>
      <c r="N252" s="198">
        <f>Qty!R173*'Hist. prices'!N252*N$244</f>
        <v>0</v>
      </c>
      <c r="O252" s="198">
        <f>Qty!S173*'Hist. prices'!O252*O$244</f>
        <v>0</v>
      </c>
      <c r="P252" s="198">
        <f>Qty!T173*'Hist. prices'!P252*P$244</f>
        <v>0</v>
      </c>
      <c r="Q252" s="198">
        <f>Qty!U173*'Hist. prices'!Q252*Q$244</f>
        <v>0</v>
      </c>
      <c r="R252" s="198">
        <f>Qty!V173*'Hist. prices'!R252*R$244</f>
        <v>0</v>
      </c>
      <c r="S252" s="198">
        <f>Qty!W173*'Hist. prices'!S252*S$244</f>
        <v>0</v>
      </c>
      <c r="T252" s="198">
        <f>Qty!X173*'Hist. prices'!T252*T$244</f>
        <v>0</v>
      </c>
      <c r="U252" s="198">
        <f>Qty!Y173*'Hist. prices'!U252*U$244</f>
        <v>0</v>
      </c>
      <c r="V252" s="198">
        <f>Qty!Z173*'Hist. prices'!V252*V$244</f>
        <v>0</v>
      </c>
      <c r="W252" s="198">
        <f>Qty!AA173*'Hist. prices'!W252*W$244</f>
        <v>0</v>
      </c>
      <c r="X252" s="198">
        <f>Qty!AB173*'Hist. prices'!X252*X$244</f>
        <v>0</v>
      </c>
      <c r="Y252" s="198">
        <f>Qty!AC173*'Hist. prices'!Y252*Y$244</f>
        <v>0</v>
      </c>
      <c r="Z252" s="198">
        <f>Qty!AD173*'Hist. prices'!Z252*Z$244</f>
        <v>0</v>
      </c>
      <c r="AA252" s="198">
        <f>Qty!AE173*'Hist. prices'!AA252*AA$244</f>
        <v>0</v>
      </c>
      <c r="AB252" s="198">
        <f>Qty!AF173*'Hist. prices'!AB252*AB$244</f>
        <v>0</v>
      </c>
      <c r="AC252" s="206">
        <f t="shared" si="30"/>
        <v>22303261.275217358</v>
      </c>
      <c r="AD252" s="68"/>
      <c r="AE252" s="19"/>
      <c r="AF252" s="19"/>
      <c r="AG252" s="19"/>
      <c r="AH252" s="19"/>
    </row>
    <row r="253" spans="1:34" outlineLevel="2" x14ac:dyDescent="0.2">
      <c r="A253" s="19"/>
      <c r="B253" s="19"/>
      <c r="C253" s="506" t="str">
        <f>Qty!C174</f>
        <v>Small business time of use demand</v>
      </c>
      <c r="D253" s="505" t="str">
        <f>Qty!D174</f>
        <v>Small Business LV</v>
      </c>
      <c r="E253" s="505" t="str">
        <f>Qty!E174</f>
        <v>TAS88</v>
      </c>
      <c r="F253" s="505">
        <f>Qty!F174</f>
        <v>0</v>
      </c>
      <c r="G253" s="505">
        <f>Qty!G174</f>
        <v>0</v>
      </c>
      <c r="H253" s="58"/>
      <c r="I253" s="198">
        <f>Qty!M174*'Hist. prices'!I253*I$244</f>
        <v>218492.44295999999</v>
      </c>
      <c r="J253" s="198">
        <f>Qty!N174*'Hist. prices'!J253*J$244</f>
        <v>0</v>
      </c>
      <c r="K253" s="198">
        <f>Qty!O174*'Hist. prices'!K253*K$244</f>
        <v>0</v>
      </c>
      <c r="L253" s="198">
        <f>Qty!P174*'Hist. prices'!L253*L$244</f>
        <v>0</v>
      </c>
      <c r="M253" s="198">
        <f>Qty!Q174*'Hist. prices'!M253*M$244</f>
        <v>0</v>
      </c>
      <c r="N253" s="198">
        <f>Qty!R174*'Hist. prices'!N253*N$244</f>
        <v>0</v>
      </c>
      <c r="O253" s="198">
        <f>Qty!S174*'Hist. prices'!O253*O$244</f>
        <v>4150467.3537599999</v>
      </c>
      <c r="P253" s="198">
        <f>Qty!T174*'Hist. prices'!P253*P$244</f>
        <v>859248.81345999998</v>
      </c>
      <c r="Q253" s="198">
        <f>Qty!U174*'Hist. prices'!Q253*Q$244</f>
        <v>0</v>
      </c>
      <c r="R253" s="198">
        <f>Qty!V174*'Hist. prices'!R253*R$244</f>
        <v>0</v>
      </c>
      <c r="S253" s="198">
        <f>Qty!W174*'Hist. prices'!S253*S$244</f>
        <v>0</v>
      </c>
      <c r="T253" s="198">
        <f>Qty!X174*'Hist. prices'!T253*T$244</f>
        <v>0</v>
      </c>
      <c r="U253" s="198">
        <f>Qty!Y174*'Hist. prices'!U253*U$244</f>
        <v>0</v>
      </c>
      <c r="V253" s="198">
        <f>Qty!Z174*'Hist. prices'!V253*V$244</f>
        <v>0</v>
      </c>
      <c r="W253" s="198">
        <f>Qty!AA174*'Hist. prices'!W253*W$244</f>
        <v>0</v>
      </c>
      <c r="X253" s="198">
        <f>Qty!AB174*'Hist. prices'!X253*X$244</f>
        <v>0</v>
      </c>
      <c r="Y253" s="198">
        <f>Qty!AC174*'Hist. prices'!Y253*Y$244</f>
        <v>0</v>
      </c>
      <c r="Z253" s="198">
        <f>Qty!AD174*'Hist. prices'!Z253*Z$244</f>
        <v>0</v>
      </c>
      <c r="AA253" s="198">
        <f>Qty!AE174*'Hist. prices'!AA253*AA$244</f>
        <v>0</v>
      </c>
      <c r="AB253" s="198">
        <f>Qty!AF174*'Hist. prices'!AB253*AB$244</f>
        <v>0</v>
      </c>
      <c r="AC253" s="206">
        <f t="shared" si="30"/>
        <v>5228208.6101799998</v>
      </c>
      <c r="AD253" s="68"/>
      <c r="AE253" s="19"/>
      <c r="AF253" s="19"/>
      <c r="AG253" s="19"/>
      <c r="AH253" s="19"/>
    </row>
    <row r="254" spans="1:34" outlineLevel="2" x14ac:dyDescent="0.2">
      <c r="A254" s="19"/>
      <c r="B254" s="19"/>
      <c r="C254" s="506" t="str">
        <f>Qty!C175</f>
        <v>Small business time of use demand DER</v>
      </c>
      <c r="D254" s="505" t="str">
        <f>Qty!D175</f>
        <v>Small Business LV</v>
      </c>
      <c r="E254" s="505" t="str">
        <f>Qty!E175</f>
        <v>TAS98</v>
      </c>
      <c r="F254" s="505">
        <f>Qty!F175</f>
        <v>0</v>
      </c>
      <c r="G254" s="505">
        <f>Qty!G175</f>
        <v>0</v>
      </c>
      <c r="H254" s="58"/>
      <c r="I254" s="198">
        <f>Qty!M175*'Hist. prices'!I254*I$244</f>
        <v>20825.611299999997</v>
      </c>
      <c r="J254" s="198">
        <f>Qty!N175*'Hist. prices'!J254*J$244</f>
        <v>0</v>
      </c>
      <c r="K254" s="198">
        <f>Qty!O175*'Hist. prices'!K254*K$244</f>
        <v>0</v>
      </c>
      <c r="L254" s="198">
        <f>Qty!P175*'Hist. prices'!L254*L$244</f>
        <v>0</v>
      </c>
      <c r="M254" s="198">
        <f>Qty!Q175*'Hist. prices'!M254*M$244</f>
        <v>0</v>
      </c>
      <c r="N254" s="198">
        <f>Qty!R175*'Hist. prices'!N254*N$244</f>
        <v>0</v>
      </c>
      <c r="O254" s="198">
        <f>Qty!S175*'Hist. prices'!O254*O$244</f>
        <v>694537.62923999992</v>
      </c>
      <c r="P254" s="198">
        <f>Qty!T175*'Hist. prices'!P254*P$244</f>
        <v>147219.39803999997</v>
      </c>
      <c r="Q254" s="198">
        <f>Qty!U175*'Hist. prices'!Q254*Q$244</f>
        <v>0</v>
      </c>
      <c r="R254" s="198">
        <f>Qty!V175*'Hist. prices'!R254*R$244</f>
        <v>0</v>
      </c>
      <c r="S254" s="198">
        <f>Qty!W175*'Hist. prices'!S254*S$244</f>
        <v>0</v>
      </c>
      <c r="T254" s="198">
        <f>Qty!X175*'Hist. prices'!T254*T$244</f>
        <v>0</v>
      </c>
      <c r="U254" s="198">
        <f>Qty!Y175*'Hist. prices'!U254*U$244</f>
        <v>0</v>
      </c>
      <c r="V254" s="198">
        <f>Qty!Z175*'Hist. prices'!V254*V$244</f>
        <v>0</v>
      </c>
      <c r="W254" s="198">
        <f>Qty!AA175*'Hist. prices'!W254*W$244</f>
        <v>0</v>
      </c>
      <c r="X254" s="198">
        <f>Qty!AB175*'Hist. prices'!X254*X$244</f>
        <v>0</v>
      </c>
      <c r="Y254" s="198">
        <f>Qty!AC175*'Hist. prices'!Y254*Y$244</f>
        <v>0</v>
      </c>
      <c r="Z254" s="198">
        <f>Qty!AD175*'Hist. prices'!Z254*Z$244</f>
        <v>0</v>
      </c>
      <c r="AA254" s="198">
        <f>Qty!AE175*'Hist. prices'!AA254*AA$244</f>
        <v>0</v>
      </c>
      <c r="AB254" s="198">
        <f>Qty!AF175*'Hist. prices'!AB254*AB$244</f>
        <v>0</v>
      </c>
      <c r="AC254" s="206">
        <f t="shared" si="30"/>
        <v>862582.63857999991</v>
      </c>
      <c r="AD254" s="68"/>
      <c r="AE254" s="19"/>
      <c r="AF254" s="19"/>
      <c r="AG254" s="19"/>
      <c r="AH254" s="19"/>
    </row>
    <row r="255" spans="1:34" outlineLevel="2" x14ac:dyDescent="0.2">
      <c r="A255" s="19"/>
      <c r="B255" s="19"/>
      <c r="C255" s="506" t="str">
        <f>Qty!C176</f>
        <v>Large business kVA demand</v>
      </c>
      <c r="D255" s="505" t="str">
        <f>Qty!D176</f>
        <v>Large Business LV</v>
      </c>
      <c r="E255" s="505" t="str">
        <f>Qty!E176</f>
        <v>TAS82</v>
      </c>
      <c r="F255" s="505">
        <f>Qty!F176</f>
        <v>0</v>
      </c>
      <c r="G255" s="505">
        <f>Qty!G176</f>
        <v>0</v>
      </c>
      <c r="H255" s="58"/>
      <c r="I255" s="198">
        <f>Qty!M176*'Hist. prices'!I255*I$244</f>
        <v>703444.50032999995</v>
      </c>
      <c r="J255" s="198">
        <f>Qty!N176*'Hist. prices'!J255*J$244</f>
        <v>0</v>
      </c>
      <c r="K255" s="198">
        <f>Qty!O176*'Hist. prices'!K255*K$244</f>
        <v>0</v>
      </c>
      <c r="L255" s="198">
        <f>Qty!P176*'Hist. prices'!L255*L$244</f>
        <v>0</v>
      </c>
      <c r="M255" s="198">
        <f>Qty!Q176*'Hist. prices'!M255*M$244</f>
        <v>0</v>
      </c>
      <c r="N255" s="198">
        <f>Qty!R176*'Hist. prices'!N255*N$244</f>
        <v>4290174.9715500008</v>
      </c>
      <c r="O255" s="198">
        <f>Qty!S176*'Hist. prices'!O255*O$244</f>
        <v>0</v>
      </c>
      <c r="P255" s="198">
        <f>Qty!T176*'Hist. prices'!P255*P$244</f>
        <v>0</v>
      </c>
      <c r="Q255" s="198">
        <f>Qty!U176*'Hist. prices'!Q255*Q$244</f>
        <v>0</v>
      </c>
      <c r="R255" s="198">
        <f>Qty!V176*'Hist. prices'!R255*R$244</f>
        <v>0</v>
      </c>
      <c r="S255" s="198">
        <f>Qty!W176*'Hist. prices'!S255*S$244</f>
        <v>0</v>
      </c>
      <c r="T255" s="198">
        <f>Qty!X176*'Hist. prices'!T255*T$244</f>
        <v>0</v>
      </c>
      <c r="U255" s="198">
        <f>Qty!Y176*'Hist. prices'!U255*U$244</f>
        <v>0</v>
      </c>
      <c r="V255" s="198">
        <f>Qty!Z176*'Hist. prices'!V255*V$244</f>
        <v>0</v>
      </c>
      <c r="W255" s="198">
        <f>Qty!AA176*'Hist. prices'!W255*W$244</f>
        <v>0</v>
      </c>
      <c r="X255" s="198">
        <f>Qty!AB176*'Hist. prices'!X255*X$244</f>
        <v>0</v>
      </c>
      <c r="Y255" s="198">
        <f>Qty!AC176*'Hist. prices'!Y255*Y$244</f>
        <v>0</v>
      </c>
      <c r="Z255" s="198">
        <f>Qty!AD176*'Hist. prices'!Z255*Z$244</f>
        <v>0</v>
      </c>
      <c r="AA255" s="198">
        <f>Qty!AE176*'Hist. prices'!AA255*AA$244</f>
        <v>0</v>
      </c>
      <c r="AB255" s="198">
        <f>Qty!AF176*'Hist. prices'!AB255*AB$244</f>
        <v>0</v>
      </c>
      <c r="AC255" s="206">
        <f t="shared" si="30"/>
        <v>4993619.471880001</v>
      </c>
      <c r="AD255" s="68"/>
      <c r="AE255" s="19"/>
      <c r="AF255" s="19"/>
      <c r="AG255" s="19"/>
      <c r="AH255" s="19"/>
    </row>
    <row r="256" spans="1:34" outlineLevel="2" x14ac:dyDescent="0.2">
      <c r="A256" s="19"/>
      <c r="B256" s="19"/>
      <c r="C256" s="506" t="str">
        <f>Qty!C177</f>
        <v>Large business time of use demand</v>
      </c>
      <c r="D256" s="505" t="str">
        <f>Qty!D177</f>
        <v>Large Business LV</v>
      </c>
      <c r="E256" s="505" t="str">
        <f>Qty!E177</f>
        <v>TAS89</v>
      </c>
      <c r="F256" s="505">
        <f>Qty!F177</f>
        <v>0</v>
      </c>
      <c r="G256" s="505">
        <f>Qty!G177</f>
        <v>0</v>
      </c>
      <c r="H256" s="58"/>
      <c r="I256" s="198">
        <f>Qty!M177*'Hist. prices'!I256*I$244</f>
        <v>357747.31328</v>
      </c>
      <c r="J256" s="198">
        <f>Qty!N177*'Hist. prices'!J256*J$244</f>
        <v>0</v>
      </c>
      <c r="K256" s="198">
        <f>Qty!O177*'Hist. prices'!K256*K$244</f>
        <v>0</v>
      </c>
      <c r="L256" s="198">
        <f>Qty!P177*'Hist. prices'!L256*L$244</f>
        <v>0</v>
      </c>
      <c r="M256" s="198">
        <f>Qty!Q177*'Hist. prices'!M256*M$244</f>
        <v>0</v>
      </c>
      <c r="N256" s="198">
        <f>Qty!R177*'Hist. prices'!N256*N$244</f>
        <v>0</v>
      </c>
      <c r="O256" s="198">
        <f>Qty!S177*'Hist. prices'!O256*O$244</f>
        <v>3715563.8667600006</v>
      </c>
      <c r="P256" s="198">
        <f>Qty!T177*'Hist. prices'!P256*P$244</f>
        <v>1260714.2499199999</v>
      </c>
      <c r="Q256" s="198">
        <f>Qty!U177*'Hist. prices'!Q256*Q$244</f>
        <v>0</v>
      </c>
      <c r="R256" s="198">
        <f>Qty!V177*'Hist. prices'!R256*R$244</f>
        <v>0</v>
      </c>
      <c r="S256" s="198">
        <f>Qty!W177*'Hist. prices'!S256*S$244</f>
        <v>0</v>
      </c>
      <c r="T256" s="198">
        <f>Qty!X177*'Hist. prices'!T256*T$244</f>
        <v>0</v>
      </c>
      <c r="U256" s="198">
        <f>Qty!Y177*'Hist. prices'!U256*U$244</f>
        <v>0</v>
      </c>
      <c r="V256" s="198">
        <f>Qty!Z177*'Hist. prices'!V256*V$244</f>
        <v>0</v>
      </c>
      <c r="W256" s="198">
        <f>Qty!AA177*'Hist. prices'!W256*W$244</f>
        <v>0</v>
      </c>
      <c r="X256" s="198">
        <f>Qty!AB177*'Hist. prices'!X256*X$244</f>
        <v>0</v>
      </c>
      <c r="Y256" s="198">
        <f>Qty!AC177*'Hist. prices'!Y256*Y$244</f>
        <v>0</v>
      </c>
      <c r="Z256" s="198">
        <f>Qty!AD177*'Hist. prices'!Z256*Z$244</f>
        <v>0</v>
      </c>
      <c r="AA256" s="198">
        <f>Qty!AE177*'Hist. prices'!AA256*AA$244</f>
        <v>0</v>
      </c>
      <c r="AB256" s="198">
        <f>Qty!AF177*'Hist. prices'!AB256*AB$244</f>
        <v>0</v>
      </c>
      <c r="AC256" s="206">
        <f t="shared" si="30"/>
        <v>5334025.4299600003</v>
      </c>
      <c r="AD256" s="68"/>
      <c r="AE256" s="19"/>
      <c r="AF256" s="19"/>
      <c r="AG256" s="19"/>
      <c r="AH256" s="19"/>
    </row>
    <row r="257" spans="1:34" outlineLevel="2" x14ac:dyDescent="0.2">
      <c r="A257" s="19"/>
      <c r="B257" s="19"/>
      <c r="C257" s="506" t="str">
        <f>Qty!C178</f>
        <v>Irrigation time of use consumption</v>
      </c>
      <c r="D257" s="505" t="str">
        <f>Qty!D178</f>
        <v>Irrigation</v>
      </c>
      <c r="E257" s="505" t="str">
        <f>Qty!E178</f>
        <v>TAS75</v>
      </c>
      <c r="F257" s="505">
        <f>Qty!F178</f>
        <v>0</v>
      </c>
      <c r="G257" s="505">
        <f>Qty!G178</f>
        <v>0</v>
      </c>
      <c r="H257" s="58"/>
      <c r="I257" s="198">
        <f>Qty!M178*'Hist. prices'!I257*I$244</f>
        <v>3525877.19202</v>
      </c>
      <c r="J257" s="198">
        <f>Qty!N178*'Hist. prices'!J257*J$244</f>
        <v>0</v>
      </c>
      <c r="K257" s="198">
        <f>Qty!O178*'Hist. prices'!K257*K$244</f>
        <v>669186.96294995991</v>
      </c>
      <c r="L257" s="198">
        <f>Qty!P178*'Hist. prices'!L257*L$244</f>
        <v>1789805.3093349996</v>
      </c>
      <c r="M257" s="198">
        <f>Qty!Q178*'Hist. prices'!M257*M$244</f>
        <v>675018.29340221989</v>
      </c>
      <c r="N257" s="198">
        <f>Qty!R178*'Hist. prices'!N257*N$244</f>
        <v>0</v>
      </c>
      <c r="O257" s="198">
        <f>Qty!S178*'Hist. prices'!O257*O$244</f>
        <v>0</v>
      </c>
      <c r="P257" s="198">
        <f>Qty!T178*'Hist. prices'!P257*P$244</f>
        <v>0</v>
      </c>
      <c r="Q257" s="198">
        <f>Qty!U178*'Hist. prices'!Q257*Q$244</f>
        <v>0</v>
      </c>
      <c r="R257" s="198">
        <f>Qty!V178*'Hist. prices'!R257*R$244</f>
        <v>0</v>
      </c>
      <c r="S257" s="198">
        <f>Qty!W178*'Hist. prices'!S257*S$244</f>
        <v>0</v>
      </c>
      <c r="T257" s="198">
        <f>Qty!X178*'Hist. prices'!T257*T$244</f>
        <v>0</v>
      </c>
      <c r="U257" s="198">
        <f>Qty!Y178*'Hist. prices'!U257*U$244</f>
        <v>0</v>
      </c>
      <c r="V257" s="198">
        <f>Qty!Z178*'Hist. prices'!V257*V$244</f>
        <v>0</v>
      </c>
      <c r="W257" s="198">
        <f>Qty!AA178*'Hist. prices'!W257*W$244</f>
        <v>0</v>
      </c>
      <c r="X257" s="198">
        <f>Qty!AB178*'Hist. prices'!X257*X$244</f>
        <v>0</v>
      </c>
      <c r="Y257" s="198">
        <f>Qty!AC178*'Hist. prices'!Y257*Y$244</f>
        <v>0</v>
      </c>
      <c r="Z257" s="198">
        <f>Qty!AD178*'Hist. prices'!Z257*Z$244</f>
        <v>0</v>
      </c>
      <c r="AA257" s="198">
        <f>Qty!AE178*'Hist. prices'!AA257*AA$244</f>
        <v>0</v>
      </c>
      <c r="AB257" s="198">
        <f>Qty!AF178*'Hist. prices'!AB257*AB$244</f>
        <v>0</v>
      </c>
      <c r="AC257" s="206">
        <f t="shared" si="30"/>
        <v>6659887.7577071795</v>
      </c>
      <c r="AD257" s="68"/>
      <c r="AE257" s="19"/>
      <c r="AF257" s="19"/>
      <c r="AG257" s="19"/>
      <c r="AH257" s="19"/>
    </row>
    <row r="258" spans="1:34" outlineLevel="2" x14ac:dyDescent="0.2">
      <c r="A258" s="19"/>
      <c r="B258" s="19"/>
      <c r="C258" s="506" t="str">
        <f>Qty!C179</f>
        <v>Business HV kVA specified demand &lt;2MVA</v>
      </c>
      <c r="D258" s="505" t="str">
        <f>Qty!D179</f>
        <v>Large Business HV</v>
      </c>
      <c r="E258" s="505" t="str">
        <f>Qty!E179</f>
        <v>TASSDM</v>
      </c>
      <c r="F258" s="505">
        <f>Qty!F179</f>
        <v>0</v>
      </c>
      <c r="G258" s="505">
        <f>Qty!G179</f>
        <v>0</v>
      </c>
      <c r="H258" s="58"/>
      <c r="I258" s="198">
        <f>Qty!M179*'Hist. prices'!I258*I$244</f>
        <v>130478.63276000001</v>
      </c>
      <c r="J258" s="198">
        <f>Qty!N179*'Hist. prices'!J258*J$244</f>
        <v>0</v>
      </c>
      <c r="K258" s="198">
        <f>Qty!O179*'Hist. prices'!K258*K$244</f>
        <v>222497.15290434685</v>
      </c>
      <c r="L258" s="198">
        <f>Qty!P179*'Hist. prices'!L258*L$244</f>
        <v>157998.26920282954</v>
      </c>
      <c r="M258" s="198">
        <f>Qty!Q179*'Hist. prices'!M258*M$244</f>
        <v>50625.508096245234</v>
      </c>
      <c r="N258" s="198">
        <f>Qty!R179*'Hist. prices'!N258*N$244</f>
        <v>0</v>
      </c>
      <c r="O258" s="198">
        <f>Qty!S179*'Hist. prices'!O258*O$244</f>
        <v>0</v>
      </c>
      <c r="P258" s="198">
        <f>Qty!T179*'Hist. prices'!P258*P$244</f>
        <v>0</v>
      </c>
      <c r="Q258" s="198">
        <f>Qty!U179*'Hist. prices'!Q258*Q$244</f>
        <v>3650957.8081600005</v>
      </c>
      <c r="R258" s="198">
        <f>Qty!V179*'Hist. prices'!R258*R$244</f>
        <v>480164.97739000001</v>
      </c>
      <c r="S258" s="198">
        <f>Qty!W179*'Hist. prices'!S258*S$244</f>
        <v>0</v>
      </c>
      <c r="T258" s="198">
        <f>Qty!X179*'Hist. prices'!T258*T$244</f>
        <v>0</v>
      </c>
      <c r="U258" s="198">
        <f>Qty!Y179*'Hist. prices'!U258*U$244</f>
        <v>0</v>
      </c>
      <c r="V258" s="198">
        <f>Qty!Z179*'Hist. prices'!V258*V$244</f>
        <v>0</v>
      </c>
      <c r="W258" s="198">
        <f>Qty!AA179*'Hist. prices'!W258*W$244</f>
        <v>0</v>
      </c>
      <c r="X258" s="198">
        <f>Qty!AB179*'Hist. prices'!X258*X$244</f>
        <v>0</v>
      </c>
      <c r="Y258" s="198">
        <f>Qty!AC179*'Hist. prices'!Y258*Y$244</f>
        <v>0</v>
      </c>
      <c r="Z258" s="198">
        <f>Qty!AD179*'Hist. prices'!Z258*Z$244</f>
        <v>0</v>
      </c>
      <c r="AA258" s="198">
        <f>Qty!AE179*'Hist. prices'!AA258*AA$244</f>
        <v>0</v>
      </c>
      <c r="AB258" s="198">
        <f>Qty!AF179*'Hist. prices'!AB258*AB$244</f>
        <v>0</v>
      </c>
      <c r="AC258" s="206">
        <f t="shared" si="30"/>
        <v>4692722.3485134216</v>
      </c>
      <c r="AD258" s="68"/>
      <c r="AE258" s="19"/>
      <c r="AF258" s="19"/>
      <c r="AG258" s="19"/>
      <c r="AH258" s="19"/>
    </row>
    <row r="259" spans="1:34" outlineLevel="2" x14ac:dyDescent="0.2">
      <c r="A259" s="19"/>
      <c r="B259" s="19"/>
      <c r="C259" s="506" t="str">
        <f>Qty!C180</f>
        <v>Business HV kVA specified demand &gt;2MVA</v>
      </c>
      <c r="D259" s="505" t="str">
        <f>Qty!D180</f>
        <v>Large Business HV</v>
      </c>
      <c r="E259" s="505" t="str">
        <f>Qty!E180</f>
        <v>TAS15*</v>
      </c>
      <c r="F259" s="505">
        <f>Qty!F180</f>
        <v>0</v>
      </c>
      <c r="G259" s="505">
        <f>Qty!G180</f>
        <v>0</v>
      </c>
      <c r="H259" s="58"/>
      <c r="I259" s="198">
        <f>Qty!M180*'Hist. prices'!I259*I$244</f>
        <v>0</v>
      </c>
      <c r="J259" s="198">
        <f>Qty!N180*'Hist. prices'!J259*J$244</f>
        <v>0</v>
      </c>
      <c r="K259" s="198">
        <f>Qty!O180*'Hist. prices'!K259*K$244</f>
        <v>0</v>
      </c>
      <c r="L259" s="198">
        <f>Qty!P180*'Hist. prices'!L259*L$244</f>
        <v>0</v>
      </c>
      <c r="M259" s="198">
        <f>Qty!Q180*'Hist. prices'!M259*M$244</f>
        <v>0</v>
      </c>
      <c r="N259" s="198">
        <f>Qty!R180*'Hist. prices'!N259*N$244</f>
        <v>0</v>
      </c>
      <c r="O259" s="198">
        <f>Qty!S180*'Hist. prices'!O259*O$244</f>
        <v>0</v>
      </c>
      <c r="P259" s="198">
        <f>Qty!T180*'Hist. prices'!P259*P$244</f>
        <v>0</v>
      </c>
      <c r="Q259" s="198">
        <f>Qty!U180*'Hist. prices'!Q259*Q$244</f>
        <v>0</v>
      </c>
      <c r="R259" s="198">
        <f>Qty!V180*'Hist. prices'!R259*R$244</f>
        <v>0</v>
      </c>
      <c r="S259" s="198">
        <f>Qty!W180*'Hist. prices'!S259*S$244</f>
        <v>0</v>
      </c>
      <c r="T259" s="198">
        <f>Qty!X180*'Hist. prices'!T259*T$244</f>
        <v>0</v>
      </c>
      <c r="U259" s="198">
        <f>Qty!Y180*'Hist. prices'!U259*U$244</f>
        <v>0</v>
      </c>
      <c r="V259" s="198">
        <f>Qty!Z180*'Hist. prices'!V259*V$244</f>
        <v>0</v>
      </c>
      <c r="W259" s="198">
        <f>Qty!AA180*'Hist. prices'!W259*W$244</f>
        <v>0</v>
      </c>
      <c r="X259" s="198">
        <f>Qty!AB180*'Hist. prices'!X259*X$244</f>
        <v>0</v>
      </c>
      <c r="Y259" s="198">
        <f>Qty!AC180*'Hist. prices'!Y259*Y$244</f>
        <v>0</v>
      </c>
      <c r="Z259" s="198">
        <f>Qty!AD180*'Hist. prices'!Z259*Z$244</f>
        <v>0</v>
      </c>
      <c r="AA259" s="198">
        <f>Qty!AE180*'Hist. prices'!AA259*AA$244</f>
        <v>0</v>
      </c>
      <c r="AB259" s="198">
        <f>Qty!AF180*'Hist. prices'!AB259*AB$244</f>
        <v>0</v>
      </c>
      <c r="AC259" s="206">
        <f t="shared" si="30"/>
        <v>0</v>
      </c>
      <c r="AD259" s="68"/>
      <c r="AE259" s="19"/>
      <c r="AF259" s="19"/>
      <c r="AG259" s="19"/>
      <c r="AH259" s="19"/>
    </row>
    <row r="260" spans="1:34" outlineLevel="2" x14ac:dyDescent="0.2">
      <c r="A260" s="19"/>
      <c r="B260" s="19"/>
      <c r="C260" s="506" t="str">
        <f>Qty!C181</f>
        <v>Uncontrolled low voltage heating and hot water</v>
      </c>
      <c r="D260" s="505" t="str">
        <f>Qty!D181</f>
        <v>Uncontrolled energy</v>
      </c>
      <c r="E260" s="505" t="str">
        <f>Qty!E181</f>
        <v>TAS41</v>
      </c>
      <c r="F260" s="505">
        <f>Qty!F181</f>
        <v>0</v>
      </c>
      <c r="G260" s="505">
        <f>Qty!G181</f>
        <v>0</v>
      </c>
      <c r="H260" s="58"/>
      <c r="I260" s="198">
        <f>Qty!M181*'Hist. prices'!I260*I$244</f>
        <v>5025120.5386199988</v>
      </c>
      <c r="J260" s="198">
        <f>Qty!N181*'Hist. prices'!J260*J$244</f>
        <v>33550389.621743046</v>
      </c>
      <c r="K260" s="198">
        <f>Qty!O181*'Hist. prices'!K260*K$244</f>
        <v>0</v>
      </c>
      <c r="L260" s="198">
        <f>Qty!P181*'Hist. prices'!L260*L$244</f>
        <v>0</v>
      </c>
      <c r="M260" s="198">
        <f>Qty!Q181*'Hist. prices'!M260*M$244</f>
        <v>0</v>
      </c>
      <c r="N260" s="198">
        <f>Qty!R181*'Hist. prices'!N260*N$244</f>
        <v>0</v>
      </c>
      <c r="O260" s="198">
        <f>Qty!S181*'Hist. prices'!O260*O$244</f>
        <v>0</v>
      </c>
      <c r="P260" s="198">
        <f>Qty!T181*'Hist. prices'!P260*P$244</f>
        <v>0</v>
      </c>
      <c r="Q260" s="198">
        <f>Qty!U181*'Hist. prices'!Q260*Q$244</f>
        <v>0</v>
      </c>
      <c r="R260" s="198">
        <f>Qty!V181*'Hist. prices'!R260*R$244</f>
        <v>0</v>
      </c>
      <c r="S260" s="198">
        <f>Qty!W181*'Hist. prices'!S260*S$244</f>
        <v>0</v>
      </c>
      <c r="T260" s="198">
        <f>Qty!X181*'Hist. prices'!T260*T$244</f>
        <v>0</v>
      </c>
      <c r="U260" s="198">
        <f>Qty!Y181*'Hist. prices'!U260*U$244</f>
        <v>0</v>
      </c>
      <c r="V260" s="198">
        <f>Qty!Z181*'Hist. prices'!V260*V$244</f>
        <v>0</v>
      </c>
      <c r="W260" s="198">
        <f>Qty!AA181*'Hist. prices'!W260*W$244</f>
        <v>0</v>
      </c>
      <c r="X260" s="198">
        <f>Qty!AB181*'Hist. prices'!X260*X$244</f>
        <v>0</v>
      </c>
      <c r="Y260" s="198">
        <f>Qty!AC181*'Hist. prices'!Y260*Y$244</f>
        <v>0</v>
      </c>
      <c r="Z260" s="198">
        <f>Qty!AD181*'Hist. prices'!Z260*Z$244</f>
        <v>0</v>
      </c>
      <c r="AA260" s="198">
        <f>Qty!AE181*'Hist. prices'!AA260*AA$244</f>
        <v>0</v>
      </c>
      <c r="AB260" s="198">
        <f>Qty!AF181*'Hist. prices'!AB260*AB$244</f>
        <v>0</v>
      </c>
      <c r="AC260" s="206">
        <f t="shared" si="30"/>
        <v>38575510.160363048</v>
      </c>
      <c r="AD260" s="68"/>
      <c r="AE260" s="19"/>
      <c r="AF260" s="19"/>
      <c r="AG260" s="19"/>
      <c r="AH260" s="19"/>
    </row>
    <row r="261" spans="1:34" outlineLevel="2" x14ac:dyDescent="0.2">
      <c r="A261" s="19"/>
      <c r="B261" s="19"/>
      <c r="C261" s="506" t="str">
        <f>Qty!C182</f>
        <v>Controlled low voltage night period only</v>
      </c>
      <c r="D261" s="505" t="str">
        <f>Qty!D182</f>
        <v>Controlled energy</v>
      </c>
      <c r="E261" s="505" t="str">
        <f>Qty!E182</f>
        <v>TAS63</v>
      </c>
      <c r="F261" s="505">
        <f>Qty!F182</f>
        <v>0</v>
      </c>
      <c r="G261" s="505">
        <f>Qty!G182</f>
        <v>0</v>
      </c>
      <c r="H261" s="58"/>
      <c r="I261" s="198">
        <f>Qty!M182*'Hist. prices'!I261*I$244</f>
        <v>20506.596160000001</v>
      </c>
      <c r="J261" s="198">
        <f>Qty!N182*'Hist. prices'!J261*J$244</f>
        <v>11292.091134760001</v>
      </c>
      <c r="K261" s="198">
        <f>Qty!O182*'Hist. prices'!K261*K$244</f>
        <v>0</v>
      </c>
      <c r="L261" s="198">
        <f>Qty!P182*'Hist. prices'!L261*L$244</f>
        <v>0</v>
      </c>
      <c r="M261" s="198">
        <f>Qty!Q182*'Hist. prices'!M261*M$244</f>
        <v>0</v>
      </c>
      <c r="N261" s="198">
        <f>Qty!R182*'Hist. prices'!N261*N$244</f>
        <v>0</v>
      </c>
      <c r="O261" s="198">
        <f>Qty!S182*'Hist. prices'!O261*O$244</f>
        <v>0</v>
      </c>
      <c r="P261" s="198">
        <f>Qty!T182*'Hist. prices'!P261*P$244</f>
        <v>0</v>
      </c>
      <c r="Q261" s="198">
        <f>Qty!U182*'Hist. prices'!Q261*Q$244</f>
        <v>0</v>
      </c>
      <c r="R261" s="198">
        <f>Qty!V182*'Hist. prices'!R261*R$244</f>
        <v>0</v>
      </c>
      <c r="S261" s="198">
        <f>Qty!W182*'Hist. prices'!S261*S$244</f>
        <v>0</v>
      </c>
      <c r="T261" s="198">
        <f>Qty!X182*'Hist. prices'!T261*T$244</f>
        <v>0</v>
      </c>
      <c r="U261" s="198">
        <f>Qty!Y182*'Hist. prices'!U261*U$244</f>
        <v>0</v>
      </c>
      <c r="V261" s="198">
        <f>Qty!Z182*'Hist. prices'!V261*V$244</f>
        <v>0</v>
      </c>
      <c r="W261" s="198">
        <f>Qty!AA182*'Hist. prices'!W261*W$244</f>
        <v>0</v>
      </c>
      <c r="X261" s="198">
        <f>Qty!AB182*'Hist. prices'!X261*X$244</f>
        <v>0</v>
      </c>
      <c r="Y261" s="198">
        <f>Qty!AC182*'Hist. prices'!Y261*Y$244</f>
        <v>0</v>
      </c>
      <c r="Z261" s="198">
        <f>Qty!AD182*'Hist. prices'!Z261*Z$244</f>
        <v>0</v>
      </c>
      <c r="AA261" s="198">
        <f>Qty!AE182*'Hist. prices'!AA261*AA$244</f>
        <v>0</v>
      </c>
      <c r="AB261" s="198">
        <f>Qty!AF182*'Hist. prices'!AB261*AB$244</f>
        <v>0</v>
      </c>
      <c r="AC261" s="206">
        <f t="shared" si="30"/>
        <v>31798.687294760002</v>
      </c>
      <c r="AD261" s="68"/>
      <c r="AE261" s="19"/>
      <c r="AF261" s="19"/>
      <c r="AG261" s="19"/>
      <c r="AH261" s="19"/>
    </row>
    <row r="262" spans="1:34" ht="22.5" outlineLevel="2" x14ac:dyDescent="0.2">
      <c r="A262" s="19"/>
      <c r="B262" s="19"/>
      <c r="C262" s="506" t="str">
        <f>Qty!C183</f>
        <v>Controlled low voltage off peak with afternoon boost</v>
      </c>
      <c r="D262" s="505" t="str">
        <f>Qty!D183</f>
        <v>Controlled energy</v>
      </c>
      <c r="E262" s="505" t="str">
        <f>Qty!E183</f>
        <v>TAS61</v>
      </c>
      <c r="F262" s="505">
        <f>Qty!F183</f>
        <v>0</v>
      </c>
      <c r="G262" s="505">
        <f>Qty!G183</f>
        <v>0</v>
      </c>
      <c r="H262" s="58"/>
      <c r="I262" s="198">
        <f>Qty!M183*'Hist. prices'!I262*I$244</f>
        <v>915635.82611999998</v>
      </c>
      <c r="J262" s="198">
        <f>Qty!N183*'Hist. prices'!J262*J$244</f>
        <v>367151.35051095003</v>
      </c>
      <c r="K262" s="198">
        <f>Qty!O183*'Hist. prices'!K262*K$244</f>
        <v>0</v>
      </c>
      <c r="L262" s="198">
        <f>Qty!P183*'Hist. prices'!L262*L$244</f>
        <v>0</v>
      </c>
      <c r="M262" s="198">
        <f>Qty!Q183*'Hist. prices'!M262*M$244</f>
        <v>0</v>
      </c>
      <c r="N262" s="198">
        <f>Qty!R183*'Hist. prices'!N262*N$244</f>
        <v>0</v>
      </c>
      <c r="O262" s="198">
        <f>Qty!S183*'Hist. prices'!O262*O$244</f>
        <v>0</v>
      </c>
      <c r="P262" s="198">
        <f>Qty!T183*'Hist. prices'!P262*P$244</f>
        <v>0</v>
      </c>
      <c r="Q262" s="198">
        <f>Qty!U183*'Hist. prices'!Q262*Q$244</f>
        <v>0</v>
      </c>
      <c r="R262" s="198">
        <f>Qty!V183*'Hist. prices'!R262*R$244</f>
        <v>0</v>
      </c>
      <c r="S262" s="198">
        <f>Qty!W183*'Hist. prices'!S262*S$244</f>
        <v>0</v>
      </c>
      <c r="T262" s="198">
        <f>Qty!X183*'Hist. prices'!T262*T$244</f>
        <v>0</v>
      </c>
      <c r="U262" s="198">
        <f>Qty!Y183*'Hist. prices'!U262*U$244</f>
        <v>0</v>
      </c>
      <c r="V262" s="198">
        <f>Qty!Z183*'Hist. prices'!V262*V$244</f>
        <v>0</v>
      </c>
      <c r="W262" s="198">
        <f>Qty!AA183*'Hist. prices'!W262*W$244</f>
        <v>0</v>
      </c>
      <c r="X262" s="198">
        <f>Qty!AB183*'Hist. prices'!X262*X$244</f>
        <v>0</v>
      </c>
      <c r="Y262" s="198">
        <f>Qty!AC183*'Hist. prices'!Y262*Y$244</f>
        <v>0</v>
      </c>
      <c r="Z262" s="198">
        <f>Qty!AD183*'Hist. prices'!Z262*Z$244</f>
        <v>0</v>
      </c>
      <c r="AA262" s="198">
        <f>Qty!AE183*'Hist. prices'!AA262*AA$244</f>
        <v>0</v>
      </c>
      <c r="AB262" s="198">
        <f>Qty!AF183*'Hist. prices'!AB262*AB$244</f>
        <v>0</v>
      </c>
      <c r="AC262" s="206">
        <f t="shared" si="30"/>
        <v>1282787.1766309501</v>
      </c>
      <c r="AD262" s="68"/>
      <c r="AE262" s="19"/>
      <c r="AF262" s="19"/>
      <c r="AG262" s="19"/>
      <c r="AH262" s="19"/>
    </row>
    <row r="263" spans="1:34" outlineLevel="2" x14ac:dyDescent="0.2">
      <c r="A263" s="19"/>
      <c r="B263" s="19"/>
      <c r="C263" s="506" t="str">
        <f>Qty!C184</f>
        <v>Unmetered supply general</v>
      </c>
      <c r="D263" s="505" t="str">
        <f>Qty!D184</f>
        <v>Unmetered supplies</v>
      </c>
      <c r="E263" s="505" t="str">
        <f>Qty!E184</f>
        <v>TASUMS</v>
      </c>
      <c r="F263" s="505">
        <f>Qty!F184</f>
        <v>0</v>
      </c>
      <c r="G263" s="505">
        <f>Qty!G184</f>
        <v>0</v>
      </c>
      <c r="H263" s="58"/>
      <c r="I263" s="198">
        <f>Qty!M184*'Hist. prices'!I263*I$244</f>
        <v>348648.83759999997</v>
      </c>
      <c r="J263" s="198">
        <f>Qty!N184*'Hist. prices'!J263*J$244</f>
        <v>537812.10703895986</v>
      </c>
      <c r="K263" s="198">
        <f>Qty!O184*'Hist. prices'!K263*K$244</f>
        <v>0</v>
      </c>
      <c r="L263" s="198">
        <f>Qty!P184*'Hist. prices'!L263*L$244</f>
        <v>0</v>
      </c>
      <c r="M263" s="198">
        <f>Qty!Q184*'Hist. prices'!M263*M$244</f>
        <v>0</v>
      </c>
      <c r="N263" s="198">
        <f>Qty!R184*'Hist. prices'!N263*N$244</f>
        <v>0</v>
      </c>
      <c r="O263" s="198">
        <f>Qty!S184*'Hist. prices'!O263*O$244</f>
        <v>0</v>
      </c>
      <c r="P263" s="198">
        <f>Qty!T184*'Hist. prices'!P263*P$244</f>
        <v>0</v>
      </c>
      <c r="Q263" s="198">
        <f>Qty!U184*'Hist. prices'!Q263*Q$244</f>
        <v>0</v>
      </c>
      <c r="R263" s="198">
        <f>Qty!V184*'Hist. prices'!R263*R$244</f>
        <v>0</v>
      </c>
      <c r="S263" s="198">
        <f>Qty!W184*'Hist. prices'!S263*S$244</f>
        <v>0</v>
      </c>
      <c r="T263" s="198">
        <f>Qty!X184*'Hist. prices'!T263*T$244</f>
        <v>0</v>
      </c>
      <c r="U263" s="198">
        <f>Qty!Y184*'Hist. prices'!U263*U$244</f>
        <v>0</v>
      </c>
      <c r="V263" s="198">
        <f>Qty!Z184*'Hist. prices'!V263*V$244</f>
        <v>0</v>
      </c>
      <c r="W263" s="198">
        <f>Qty!AA184*'Hist. prices'!W263*W$244</f>
        <v>0</v>
      </c>
      <c r="X263" s="198">
        <f>Qty!AB184*'Hist. prices'!X263*X$244</f>
        <v>0</v>
      </c>
      <c r="Y263" s="198">
        <f>Qty!AC184*'Hist. prices'!Y263*Y$244</f>
        <v>0</v>
      </c>
      <c r="Z263" s="198">
        <f>Qty!AD184*'Hist. prices'!Z263*Z$244</f>
        <v>0</v>
      </c>
      <c r="AA263" s="198">
        <f>Qty!AE184*'Hist. prices'!AA263*AA$244</f>
        <v>0</v>
      </c>
      <c r="AB263" s="198">
        <f>Qty!AF184*'Hist. prices'!AB263*AB$244</f>
        <v>0</v>
      </c>
      <c r="AC263" s="206">
        <f t="shared" si="30"/>
        <v>886460.94463895983</v>
      </c>
      <c r="AD263" s="68"/>
      <c r="AE263" s="19"/>
      <c r="AF263" s="19"/>
      <c r="AG263" s="19"/>
      <c r="AH263" s="19"/>
    </row>
    <row r="264" spans="1:34" outlineLevel="2" x14ac:dyDescent="0.2">
      <c r="A264" s="19"/>
      <c r="B264" s="19"/>
      <c r="C264" s="506" t="str">
        <f>Qty!C185</f>
        <v>Street lighting</v>
      </c>
      <c r="D264" s="505" t="str">
        <f>Qty!D185</f>
        <v>Street lighting</v>
      </c>
      <c r="E264" s="505" t="str">
        <f>Qty!E185</f>
        <v>TASUMSSL</v>
      </c>
      <c r="F264" s="505">
        <f>Qty!F185</f>
        <v>0</v>
      </c>
      <c r="G264" s="505">
        <f>Qty!G185</f>
        <v>0</v>
      </c>
      <c r="H264" s="58"/>
      <c r="I264" s="198">
        <f>Qty!M185*'Hist. prices'!I264*I$244</f>
        <v>0</v>
      </c>
      <c r="J264" s="198">
        <f>Qty!N185*'Hist. prices'!J264*J$244</f>
        <v>0</v>
      </c>
      <c r="K264" s="198">
        <f>Qty!O185*'Hist. prices'!K264*K$244</f>
        <v>0</v>
      </c>
      <c r="L264" s="198">
        <f>Qty!P185*'Hist. prices'!L264*L$244</f>
        <v>0</v>
      </c>
      <c r="M264" s="198">
        <f>Qty!Q185*'Hist. prices'!M264*M$244</f>
        <v>0</v>
      </c>
      <c r="N264" s="198">
        <f>Qty!R185*'Hist. prices'!N264*N$244</f>
        <v>0</v>
      </c>
      <c r="O264" s="198">
        <f>Qty!S185*'Hist. prices'!O264*O$244</f>
        <v>0</v>
      </c>
      <c r="P264" s="198">
        <f>Qty!T185*'Hist. prices'!P264*P$244</f>
        <v>0</v>
      </c>
      <c r="Q264" s="198">
        <f>Qty!U185*'Hist. prices'!Q264*Q$244</f>
        <v>0</v>
      </c>
      <c r="R264" s="198">
        <f>Qty!V185*'Hist. prices'!R264*R$244</f>
        <v>0</v>
      </c>
      <c r="S264" s="198">
        <f>Qty!W185*'Hist. prices'!S264*S$244</f>
        <v>0</v>
      </c>
      <c r="T264" s="198">
        <f>Qty!X185*'Hist. prices'!T264*T$244</f>
        <v>0</v>
      </c>
      <c r="U264" s="198">
        <f>Qty!Y185*'Hist. prices'!U264*U$244</f>
        <v>1073406.1787064001</v>
      </c>
      <c r="V264" s="198">
        <f>Qty!Z185*'Hist. prices'!V264*V$244</f>
        <v>0</v>
      </c>
      <c r="W264" s="198">
        <f>Qty!AA185*'Hist. prices'!W264*W$244</f>
        <v>0</v>
      </c>
      <c r="X264" s="198">
        <f>Qty!AB185*'Hist. prices'!X264*X$244</f>
        <v>0</v>
      </c>
      <c r="Y264" s="198">
        <f>Qty!AC185*'Hist. prices'!Y264*Y$244</f>
        <v>0</v>
      </c>
      <c r="Z264" s="198">
        <f>Qty!AD185*'Hist. prices'!Z264*Z$244</f>
        <v>0</v>
      </c>
      <c r="AA264" s="198">
        <f>Qty!AE185*'Hist. prices'!AA264*AA$244</f>
        <v>0</v>
      </c>
      <c r="AB264" s="198">
        <f>Qty!AF185*'Hist. prices'!AB264*AB$244</f>
        <v>0</v>
      </c>
      <c r="AC264" s="206">
        <f t="shared" si="30"/>
        <v>1073406.1787064001</v>
      </c>
      <c r="AD264" s="68"/>
      <c r="AE264" s="19"/>
      <c r="AF264" s="19"/>
      <c r="AG264" s="19"/>
      <c r="AH264" s="19"/>
    </row>
    <row r="265" spans="1:34" outlineLevel="2" x14ac:dyDescent="0.2">
      <c r="A265" s="19"/>
      <c r="B265" s="19"/>
      <c r="C265" s="506">
        <f>Qty!C186</f>
        <v>0</v>
      </c>
      <c r="D265" s="505">
        <f>Qty!D186</f>
        <v>0</v>
      </c>
      <c r="E265" s="505">
        <f>Qty!E186</f>
        <v>0</v>
      </c>
      <c r="F265" s="505">
        <f>Qty!F186</f>
        <v>0</v>
      </c>
      <c r="G265" s="505">
        <f>Qty!G186</f>
        <v>0</v>
      </c>
      <c r="H265" s="58"/>
      <c r="I265" s="198">
        <f>Qty!M186*'Hist. prices'!I265*I$244</f>
        <v>0</v>
      </c>
      <c r="J265" s="198">
        <f>Qty!N186*'Hist. prices'!J265*J$244</f>
        <v>0</v>
      </c>
      <c r="K265" s="198">
        <f>Qty!O186*'Hist. prices'!K265*K$244</f>
        <v>0</v>
      </c>
      <c r="L265" s="198">
        <f>Qty!P186*'Hist. prices'!L265*L$244</f>
        <v>0</v>
      </c>
      <c r="M265" s="198">
        <f>Qty!Q186*'Hist. prices'!M265*M$244</f>
        <v>0</v>
      </c>
      <c r="N265" s="198">
        <f>Qty!R186*'Hist. prices'!N265*N$244</f>
        <v>0</v>
      </c>
      <c r="O265" s="198">
        <f>Qty!S186*'Hist. prices'!O265*O$244</f>
        <v>0</v>
      </c>
      <c r="P265" s="198">
        <f>Qty!T186*'Hist. prices'!P265*P$244</f>
        <v>0</v>
      </c>
      <c r="Q265" s="198">
        <f>Qty!U186*'Hist. prices'!Q265*Q$244</f>
        <v>0</v>
      </c>
      <c r="R265" s="198">
        <f>Qty!V186*'Hist. prices'!R265*R$244</f>
        <v>0</v>
      </c>
      <c r="S265" s="198">
        <f>Qty!W186*'Hist. prices'!S265*S$244</f>
        <v>0</v>
      </c>
      <c r="T265" s="198">
        <f>Qty!X186*'Hist. prices'!T265*T$244</f>
        <v>0</v>
      </c>
      <c r="U265" s="198">
        <f>Qty!Y186*'Hist. prices'!U265*U$244</f>
        <v>0</v>
      </c>
      <c r="V265" s="198">
        <f>Qty!Z186*'Hist. prices'!V265*V$244</f>
        <v>0</v>
      </c>
      <c r="W265" s="198">
        <f>Qty!AA186*'Hist. prices'!W265*W$244</f>
        <v>0</v>
      </c>
      <c r="X265" s="198">
        <f>Qty!AB186*'Hist. prices'!X265*X$244</f>
        <v>0</v>
      </c>
      <c r="Y265" s="198">
        <f>Qty!AC186*'Hist. prices'!Y265*Y$244</f>
        <v>0</v>
      </c>
      <c r="Z265" s="198">
        <f>Qty!AD186*'Hist. prices'!Z265*Z$244</f>
        <v>0</v>
      </c>
      <c r="AA265" s="198">
        <f>Qty!AE186*'Hist. prices'!AA265*AA$244</f>
        <v>0</v>
      </c>
      <c r="AB265" s="198">
        <f>Qty!AF186*'Hist. prices'!AB265*AB$244</f>
        <v>0</v>
      </c>
      <c r="AC265" s="206">
        <f t="shared" si="30"/>
        <v>0</v>
      </c>
      <c r="AD265" s="68"/>
      <c r="AE265" s="19"/>
      <c r="AF265" s="19"/>
      <c r="AG265" s="19"/>
      <c r="AH265" s="19"/>
    </row>
    <row r="266" spans="1:34" hidden="1" outlineLevel="3" x14ac:dyDescent="0.2">
      <c r="A266" s="19"/>
      <c r="B266" s="19"/>
      <c r="C266" s="506">
        <f>Qty!C187</f>
        <v>0</v>
      </c>
      <c r="D266" s="505">
        <f>Qty!D187</f>
        <v>0</v>
      </c>
      <c r="E266" s="505">
        <f>Qty!E187</f>
        <v>0</v>
      </c>
      <c r="F266" s="505">
        <f>Qty!F187</f>
        <v>0</v>
      </c>
      <c r="G266" s="505">
        <f>Qty!G187</f>
        <v>0</v>
      </c>
      <c r="H266" s="58"/>
      <c r="I266" s="198">
        <f>Qty!M187*'Hist. prices'!I266*I$244</f>
        <v>0</v>
      </c>
      <c r="J266" s="198">
        <f>Qty!N187*'Hist. prices'!J266*J$244</f>
        <v>0</v>
      </c>
      <c r="K266" s="198">
        <f>Qty!O187*'Hist. prices'!K266*K$244</f>
        <v>0</v>
      </c>
      <c r="L266" s="198">
        <f>Qty!P187*'Hist. prices'!L266*L$244</f>
        <v>0</v>
      </c>
      <c r="M266" s="198">
        <f>Qty!Q187*'Hist. prices'!M266*M$244</f>
        <v>0</v>
      </c>
      <c r="N266" s="198">
        <f>Qty!R187*'Hist. prices'!N266*N$244</f>
        <v>0</v>
      </c>
      <c r="O266" s="198">
        <f>Qty!S187*'Hist. prices'!O266*O$244</f>
        <v>0</v>
      </c>
      <c r="P266" s="198">
        <f>Qty!T187*'Hist. prices'!P266*P$244</f>
        <v>0</v>
      </c>
      <c r="Q266" s="198">
        <f>Qty!U187*'Hist. prices'!Q266*Q$244</f>
        <v>0</v>
      </c>
      <c r="R266" s="198">
        <f>Qty!V187*'Hist. prices'!R266*R$244</f>
        <v>0</v>
      </c>
      <c r="S266" s="198">
        <f>Qty!W187*'Hist. prices'!S266*S$244</f>
        <v>0</v>
      </c>
      <c r="T266" s="198">
        <f>Qty!X187*'Hist. prices'!T266*T$244</f>
        <v>0</v>
      </c>
      <c r="U266" s="198">
        <f>Qty!Y187*'Hist. prices'!U266*U$244</f>
        <v>0</v>
      </c>
      <c r="V266" s="198">
        <f>Qty!Z187*'Hist. prices'!V266*V$244</f>
        <v>0</v>
      </c>
      <c r="W266" s="198">
        <f>Qty!AA187*'Hist. prices'!W266*W$244</f>
        <v>0</v>
      </c>
      <c r="X266" s="198">
        <f>Qty!AB187*'Hist. prices'!X266*X$244</f>
        <v>0</v>
      </c>
      <c r="Y266" s="198">
        <f>Qty!AC187*'Hist. prices'!Y266*Y$244</f>
        <v>0</v>
      </c>
      <c r="Z266" s="198">
        <f>Qty!AD187*'Hist. prices'!Z266*Z$244</f>
        <v>0</v>
      </c>
      <c r="AA266" s="198">
        <f>Qty!AE187*'Hist. prices'!AA266*AA$244</f>
        <v>0</v>
      </c>
      <c r="AB266" s="198">
        <f>Qty!AF187*'Hist. prices'!AB266*AB$244</f>
        <v>0</v>
      </c>
      <c r="AC266" s="206">
        <f t="shared" si="30"/>
        <v>0</v>
      </c>
      <c r="AD266" s="68"/>
      <c r="AE266" s="19"/>
      <c r="AF266" s="19"/>
      <c r="AG266" s="19"/>
      <c r="AH266" s="19"/>
    </row>
    <row r="267" spans="1:34" hidden="1" outlineLevel="3" x14ac:dyDescent="0.2">
      <c r="A267" s="19"/>
      <c r="B267" s="19"/>
      <c r="C267" s="506">
        <f>Qty!C188</f>
        <v>0</v>
      </c>
      <c r="D267" s="505">
        <f>Qty!D188</f>
        <v>0</v>
      </c>
      <c r="E267" s="505">
        <f>Qty!E188</f>
        <v>0</v>
      </c>
      <c r="F267" s="505">
        <f>Qty!F188</f>
        <v>0</v>
      </c>
      <c r="G267" s="505">
        <f>Qty!G188</f>
        <v>0</v>
      </c>
      <c r="H267" s="58"/>
      <c r="I267" s="198">
        <f>Qty!M188*'Hist. prices'!I267*I$244</f>
        <v>0</v>
      </c>
      <c r="J267" s="198">
        <f>Qty!N188*'Hist. prices'!J267*J$244</f>
        <v>0</v>
      </c>
      <c r="K267" s="198">
        <f>Qty!O188*'Hist. prices'!K267*K$244</f>
        <v>0</v>
      </c>
      <c r="L267" s="198">
        <f>Qty!P188*'Hist. prices'!L267*L$244</f>
        <v>0</v>
      </c>
      <c r="M267" s="198">
        <f>Qty!Q188*'Hist. prices'!M267*M$244</f>
        <v>0</v>
      </c>
      <c r="N267" s="198">
        <f>Qty!R188*'Hist. prices'!N267*N$244</f>
        <v>0</v>
      </c>
      <c r="O267" s="198">
        <f>Qty!S188*'Hist. prices'!O267*O$244</f>
        <v>0</v>
      </c>
      <c r="P267" s="198">
        <f>Qty!T188*'Hist. prices'!P267*P$244</f>
        <v>0</v>
      </c>
      <c r="Q267" s="198">
        <f>Qty!U188*'Hist. prices'!Q267*Q$244</f>
        <v>0</v>
      </c>
      <c r="R267" s="198">
        <f>Qty!V188*'Hist. prices'!R267*R$244</f>
        <v>0</v>
      </c>
      <c r="S267" s="198">
        <f>Qty!W188*'Hist. prices'!S267*S$244</f>
        <v>0</v>
      </c>
      <c r="T267" s="198">
        <f>Qty!X188*'Hist. prices'!T267*T$244</f>
        <v>0</v>
      </c>
      <c r="U267" s="198">
        <f>Qty!Y188*'Hist. prices'!U267*U$244</f>
        <v>0</v>
      </c>
      <c r="V267" s="198">
        <f>Qty!Z188*'Hist. prices'!V267*V$244</f>
        <v>0</v>
      </c>
      <c r="W267" s="198">
        <f>Qty!AA188*'Hist. prices'!W267*W$244</f>
        <v>0</v>
      </c>
      <c r="X267" s="198">
        <f>Qty!AB188*'Hist. prices'!X267*X$244</f>
        <v>0</v>
      </c>
      <c r="Y267" s="198">
        <f>Qty!AC188*'Hist. prices'!Y267*Y$244</f>
        <v>0</v>
      </c>
      <c r="Z267" s="198">
        <f>Qty!AD188*'Hist. prices'!Z267*Z$244</f>
        <v>0</v>
      </c>
      <c r="AA267" s="198">
        <f>Qty!AE188*'Hist. prices'!AA267*AA$244</f>
        <v>0</v>
      </c>
      <c r="AB267" s="198">
        <f>Qty!AF188*'Hist. prices'!AB267*AB$244</f>
        <v>0</v>
      </c>
      <c r="AC267" s="206">
        <f t="shared" si="30"/>
        <v>0</v>
      </c>
      <c r="AD267" s="68"/>
      <c r="AE267" s="19"/>
      <c r="AF267" s="19"/>
      <c r="AG267" s="19"/>
      <c r="AH267" s="19"/>
    </row>
    <row r="268" spans="1:34" hidden="1" outlineLevel="3" x14ac:dyDescent="0.2">
      <c r="A268" s="19"/>
      <c r="B268" s="19"/>
      <c r="C268" s="506">
        <f>Qty!C189</f>
        <v>0</v>
      </c>
      <c r="D268" s="505">
        <f>Qty!D189</f>
        <v>0</v>
      </c>
      <c r="E268" s="505">
        <f>Qty!E189</f>
        <v>0</v>
      </c>
      <c r="F268" s="505">
        <f>Qty!F189</f>
        <v>0</v>
      </c>
      <c r="G268" s="505">
        <f>Qty!G189</f>
        <v>0</v>
      </c>
      <c r="H268" s="58"/>
      <c r="I268" s="198">
        <f>Qty!M189*'Hist. prices'!I268*I$244</f>
        <v>0</v>
      </c>
      <c r="J268" s="198">
        <f>Qty!N189*'Hist. prices'!J268*J$244</f>
        <v>0</v>
      </c>
      <c r="K268" s="198">
        <f>Qty!O189*'Hist. prices'!K268*K$244</f>
        <v>0</v>
      </c>
      <c r="L268" s="198">
        <f>Qty!P189*'Hist. prices'!L268*L$244</f>
        <v>0</v>
      </c>
      <c r="M268" s="198">
        <f>Qty!Q189*'Hist. prices'!M268*M$244</f>
        <v>0</v>
      </c>
      <c r="N268" s="198">
        <f>Qty!R189*'Hist. prices'!N268*N$244</f>
        <v>0</v>
      </c>
      <c r="O268" s="198">
        <f>Qty!S189*'Hist. prices'!O268*O$244</f>
        <v>0</v>
      </c>
      <c r="P268" s="198">
        <f>Qty!T189*'Hist. prices'!P268*P$244</f>
        <v>0</v>
      </c>
      <c r="Q268" s="198">
        <f>Qty!U189*'Hist. prices'!Q268*Q$244</f>
        <v>0</v>
      </c>
      <c r="R268" s="198">
        <f>Qty!V189*'Hist. prices'!R268*R$244</f>
        <v>0</v>
      </c>
      <c r="S268" s="198">
        <f>Qty!W189*'Hist. prices'!S268*S$244</f>
        <v>0</v>
      </c>
      <c r="T268" s="198">
        <f>Qty!X189*'Hist. prices'!T268*T$244</f>
        <v>0</v>
      </c>
      <c r="U268" s="198">
        <f>Qty!Y189*'Hist. prices'!U268*U$244</f>
        <v>0</v>
      </c>
      <c r="V268" s="198">
        <f>Qty!Z189*'Hist. prices'!V268*V$244</f>
        <v>0</v>
      </c>
      <c r="W268" s="198">
        <f>Qty!AA189*'Hist. prices'!W268*W$244</f>
        <v>0</v>
      </c>
      <c r="X268" s="198">
        <f>Qty!AB189*'Hist. prices'!X268*X$244</f>
        <v>0</v>
      </c>
      <c r="Y268" s="198">
        <f>Qty!AC189*'Hist. prices'!Y268*Y$244</f>
        <v>0</v>
      </c>
      <c r="Z268" s="198">
        <f>Qty!AD189*'Hist. prices'!Z268*Z$244</f>
        <v>0</v>
      </c>
      <c r="AA268" s="198">
        <f>Qty!AE189*'Hist. prices'!AA268*AA$244</f>
        <v>0</v>
      </c>
      <c r="AB268" s="198">
        <f>Qty!AF189*'Hist. prices'!AB268*AB$244</f>
        <v>0</v>
      </c>
      <c r="AC268" s="206">
        <f t="shared" si="30"/>
        <v>0</v>
      </c>
      <c r="AD268" s="68"/>
      <c r="AE268" s="19"/>
      <c r="AF268" s="19"/>
      <c r="AG268" s="19"/>
      <c r="AH268" s="19"/>
    </row>
    <row r="269" spans="1:34" hidden="1" outlineLevel="3" x14ac:dyDescent="0.2">
      <c r="A269" s="19"/>
      <c r="B269" s="19"/>
      <c r="C269" s="506">
        <f>Qty!C190</f>
        <v>0</v>
      </c>
      <c r="D269" s="505">
        <f>Qty!D190</f>
        <v>0</v>
      </c>
      <c r="E269" s="505">
        <f>Qty!E190</f>
        <v>0</v>
      </c>
      <c r="F269" s="505">
        <f>Qty!F190</f>
        <v>0</v>
      </c>
      <c r="G269" s="505">
        <f>Qty!G190</f>
        <v>0</v>
      </c>
      <c r="H269" s="58"/>
      <c r="I269" s="198">
        <f>Qty!M190*'Hist. prices'!I269*I$244</f>
        <v>0</v>
      </c>
      <c r="J269" s="198">
        <f>Qty!N190*'Hist. prices'!J269*J$244</f>
        <v>0</v>
      </c>
      <c r="K269" s="198">
        <f>Qty!O190*'Hist. prices'!K269*K$244</f>
        <v>0</v>
      </c>
      <c r="L269" s="198">
        <f>Qty!P190*'Hist. prices'!L269*L$244</f>
        <v>0</v>
      </c>
      <c r="M269" s="198">
        <f>Qty!Q190*'Hist. prices'!M269*M$244</f>
        <v>0</v>
      </c>
      <c r="N269" s="198">
        <f>Qty!R190*'Hist. prices'!N269*N$244</f>
        <v>0</v>
      </c>
      <c r="O269" s="198">
        <f>Qty!S190*'Hist. prices'!O269*O$244</f>
        <v>0</v>
      </c>
      <c r="P269" s="198">
        <f>Qty!T190*'Hist. prices'!P269*P$244</f>
        <v>0</v>
      </c>
      <c r="Q269" s="198">
        <f>Qty!U190*'Hist. prices'!Q269*Q$244</f>
        <v>0</v>
      </c>
      <c r="R269" s="198">
        <f>Qty!V190*'Hist. prices'!R269*R$244</f>
        <v>0</v>
      </c>
      <c r="S269" s="198">
        <f>Qty!W190*'Hist. prices'!S269*S$244</f>
        <v>0</v>
      </c>
      <c r="T269" s="198">
        <f>Qty!X190*'Hist. prices'!T269*T$244</f>
        <v>0</v>
      </c>
      <c r="U269" s="198">
        <f>Qty!Y190*'Hist. prices'!U269*U$244</f>
        <v>0</v>
      </c>
      <c r="V269" s="198">
        <f>Qty!Z190*'Hist. prices'!V269*V$244</f>
        <v>0</v>
      </c>
      <c r="W269" s="198">
        <f>Qty!AA190*'Hist. prices'!W269*W$244</f>
        <v>0</v>
      </c>
      <c r="X269" s="198">
        <f>Qty!AB190*'Hist. prices'!X269*X$244</f>
        <v>0</v>
      </c>
      <c r="Y269" s="198">
        <f>Qty!AC190*'Hist. prices'!Y269*Y$244</f>
        <v>0</v>
      </c>
      <c r="Z269" s="198">
        <f>Qty!AD190*'Hist. prices'!Z269*Z$244</f>
        <v>0</v>
      </c>
      <c r="AA269" s="198">
        <f>Qty!AE190*'Hist. prices'!AA269*AA$244</f>
        <v>0</v>
      </c>
      <c r="AB269" s="198">
        <f>Qty!AF190*'Hist. prices'!AB269*AB$244</f>
        <v>0</v>
      </c>
      <c r="AC269" s="206">
        <f t="shared" si="30"/>
        <v>0</v>
      </c>
      <c r="AD269" s="68"/>
      <c r="AE269" s="19"/>
      <c r="AF269" s="19"/>
      <c r="AG269" s="19"/>
      <c r="AH269" s="19"/>
    </row>
    <row r="270" spans="1:34" hidden="1" outlineLevel="3" x14ac:dyDescent="0.2">
      <c r="A270" s="19"/>
      <c r="B270" s="19"/>
      <c r="C270" s="506">
        <f>Qty!C191</f>
        <v>0</v>
      </c>
      <c r="D270" s="505">
        <f>Qty!D191</f>
        <v>0</v>
      </c>
      <c r="E270" s="505">
        <f>Qty!E191</f>
        <v>0</v>
      </c>
      <c r="F270" s="505">
        <f>Qty!F191</f>
        <v>0</v>
      </c>
      <c r="G270" s="505">
        <f>Qty!G191</f>
        <v>0</v>
      </c>
      <c r="H270" s="58"/>
      <c r="I270" s="198">
        <f>Qty!M191*'Hist. prices'!I270*I$244</f>
        <v>0</v>
      </c>
      <c r="J270" s="198">
        <f>Qty!N191*'Hist. prices'!J270*J$244</f>
        <v>0</v>
      </c>
      <c r="K270" s="198">
        <f>Qty!O191*'Hist. prices'!K270*K$244</f>
        <v>0</v>
      </c>
      <c r="L270" s="198">
        <f>Qty!P191*'Hist. prices'!L270*L$244</f>
        <v>0</v>
      </c>
      <c r="M270" s="198">
        <f>Qty!Q191*'Hist. prices'!M270*M$244</f>
        <v>0</v>
      </c>
      <c r="N270" s="198">
        <f>Qty!R191*'Hist. prices'!N270*N$244</f>
        <v>0</v>
      </c>
      <c r="O270" s="198">
        <f>Qty!S191*'Hist. prices'!O270*O$244</f>
        <v>0</v>
      </c>
      <c r="P270" s="198">
        <f>Qty!T191*'Hist. prices'!P270*P$244</f>
        <v>0</v>
      </c>
      <c r="Q270" s="198">
        <f>Qty!U191*'Hist. prices'!Q270*Q$244</f>
        <v>0</v>
      </c>
      <c r="R270" s="198">
        <f>Qty!V191*'Hist. prices'!R270*R$244</f>
        <v>0</v>
      </c>
      <c r="S270" s="198">
        <f>Qty!W191*'Hist. prices'!S270*S$244</f>
        <v>0</v>
      </c>
      <c r="T270" s="198">
        <f>Qty!X191*'Hist. prices'!T270*T$244</f>
        <v>0</v>
      </c>
      <c r="U270" s="198">
        <f>Qty!Y191*'Hist. prices'!U270*U$244</f>
        <v>0</v>
      </c>
      <c r="V270" s="198">
        <f>Qty!Z191*'Hist. prices'!V270*V$244</f>
        <v>0</v>
      </c>
      <c r="W270" s="198">
        <f>Qty!AA191*'Hist. prices'!W270*W$244</f>
        <v>0</v>
      </c>
      <c r="X270" s="198">
        <f>Qty!AB191*'Hist. prices'!X270*X$244</f>
        <v>0</v>
      </c>
      <c r="Y270" s="198">
        <f>Qty!AC191*'Hist. prices'!Y270*Y$244</f>
        <v>0</v>
      </c>
      <c r="Z270" s="198">
        <f>Qty!AD191*'Hist. prices'!Z270*Z$244</f>
        <v>0</v>
      </c>
      <c r="AA270" s="198">
        <f>Qty!AE191*'Hist. prices'!AA270*AA$244</f>
        <v>0</v>
      </c>
      <c r="AB270" s="198">
        <f>Qty!AF191*'Hist. prices'!AB270*AB$244</f>
        <v>0</v>
      </c>
      <c r="AC270" s="206">
        <f t="shared" si="30"/>
        <v>0</v>
      </c>
      <c r="AD270" s="68"/>
      <c r="AE270" s="19"/>
      <c r="AF270" s="19"/>
      <c r="AG270" s="19"/>
      <c r="AH270" s="19"/>
    </row>
    <row r="271" spans="1:34" hidden="1" outlineLevel="3" x14ac:dyDescent="0.2">
      <c r="A271" s="19"/>
      <c r="B271" s="19"/>
      <c r="C271" s="506">
        <f>Qty!C192</f>
        <v>0</v>
      </c>
      <c r="D271" s="505">
        <f>Qty!D192</f>
        <v>0</v>
      </c>
      <c r="E271" s="505">
        <f>Qty!E192</f>
        <v>0</v>
      </c>
      <c r="F271" s="505">
        <f>Qty!F192</f>
        <v>0</v>
      </c>
      <c r="G271" s="505">
        <f>Qty!G192</f>
        <v>0</v>
      </c>
      <c r="H271" s="58"/>
      <c r="I271" s="198">
        <f>Qty!M192*'Hist. prices'!I271*I$244</f>
        <v>0</v>
      </c>
      <c r="J271" s="198">
        <f>Qty!N192*'Hist. prices'!J271*J$244</f>
        <v>0</v>
      </c>
      <c r="K271" s="198">
        <f>Qty!O192*'Hist. prices'!K271*K$244</f>
        <v>0</v>
      </c>
      <c r="L271" s="198">
        <f>Qty!P192*'Hist. prices'!L271*L$244</f>
        <v>0</v>
      </c>
      <c r="M271" s="198">
        <f>Qty!Q192*'Hist. prices'!M271*M$244</f>
        <v>0</v>
      </c>
      <c r="N271" s="198">
        <f>Qty!R192*'Hist. prices'!N271*N$244</f>
        <v>0</v>
      </c>
      <c r="O271" s="198">
        <f>Qty!S192*'Hist. prices'!O271*O$244</f>
        <v>0</v>
      </c>
      <c r="P271" s="198">
        <f>Qty!T192*'Hist. prices'!P271*P$244</f>
        <v>0</v>
      </c>
      <c r="Q271" s="198">
        <f>Qty!U192*'Hist. prices'!Q271*Q$244</f>
        <v>0</v>
      </c>
      <c r="R271" s="198">
        <f>Qty!V192*'Hist. prices'!R271*R$244</f>
        <v>0</v>
      </c>
      <c r="S271" s="198">
        <f>Qty!W192*'Hist. prices'!S271*S$244</f>
        <v>0</v>
      </c>
      <c r="T271" s="198">
        <f>Qty!X192*'Hist. prices'!T271*T$244</f>
        <v>0</v>
      </c>
      <c r="U271" s="198">
        <f>Qty!Y192*'Hist. prices'!U271*U$244</f>
        <v>0</v>
      </c>
      <c r="V271" s="198">
        <f>Qty!Z192*'Hist. prices'!V271*V$244</f>
        <v>0</v>
      </c>
      <c r="W271" s="198">
        <f>Qty!AA192*'Hist. prices'!W271*W$244</f>
        <v>0</v>
      </c>
      <c r="X271" s="198">
        <f>Qty!AB192*'Hist. prices'!X271*X$244</f>
        <v>0</v>
      </c>
      <c r="Y271" s="198">
        <f>Qty!AC192*'Hist. prices'!Y271*Y$244</f>
        <v>0</v>
      </c>
      <c r="Z271" s="198">
        <f>Qty!AD192*'Hist. prices'!Z271*Z$244</f>
        <v>0</v>
      </c>
      <c r="AA271" s="198">
        <f>Qty!AE192*'Hist. prices'!AA271*AA$244</f>
        <v>0</v>
      </c>
      <c r="AB271" s="198">
        <f>Qty!AF192*'Hist. prices'!AB271*AB$244</f>
        <v>0</v>
      </c>
      <c r="AC271" s="206">
        <f t="shared" si="30"/>
        <v>0</v>
      </c>
      <c r="AD271" s="68"/>
      <c r="AE271" s="19"/>
      <c r="AF271" s="19"/>
      <c r="AG271" s="19"/>
      <c r="AH271" s="19"/>
    </row>
    <row r="272" spans="1:34" hidden="1" outlineLevel="3" x14ac:dyDescent="0.2">
      <c r="A272" s="19"/>
      <c r="B272" s="19"/>
      <c r="C272" s="506">
        <f>Qty!C193</f>
        <v>0</v>
      </c>
      <c r="D272" s="505">
        <f>Qty!D193</f>
        <v>0</v>
      </c>
      <c r="E272" s="505">
        <f>Qty!E193</f>
        <v>0</v>
      </c>
      <c r="F272" s="505">
        <f>Qty!F193</f>
        <v>0</v>
      </c>
      <c r="G272" s="505">
        <f>Qty!G193</f>
        <v>0</v>
      </c>
      <c r="H272" s="58"/>
      <c r="I272" s="198">
        <f>Qty!M193*'Hist. prices'!I272*I$244</f>
        <v>0</v>
      </c>
      <c r="J272" s="198">
        <f>Qty!N193*'Hist. prices'!J272*J$244</f>
        <v>0</v>
      </c>
      <c r="K272" s="198">
        <f>Qty!O193*'Hist. prices'!K272*K$244</f>
        <v>0</v>
      </c>
      <c r="L272" s="198">
        <f>Qty!P193*'Hist. prices'!L272*L$244</f>
        <v>0</v>
      </c>
      <c r="M272" s="198">
        <f>Qty!Q193*'Hist. prices'!M272*M$244</f>
        <v>0</v>
      </c>
      <c r="N272" s="198">
        <f>Qty!R193*'Hist. prices'!N272*N$244</f>
        <v>0</v>
      </c>
      <c r="O272" s="198">
        <f>Qty!S193*'Hist. prices'!O272*O$244</f>
        <v>0</v>
      </c>
      <c r="P272" s="198">
        <f>Qty!T193*'Hist. prices'!P272*P$244</f>
        <v>0</v>
      </c>
      <c r="Q272" s="198">
        <f>Qty!U193*'Hist. prices'!Q272*Q$244</f>
        <v>0</v>
      </c>
      <c r="R272" s="198">
        <f>Qty!V193*'Hist. prices'!R272*R$244</f>
        <v>0</v>
      </c>
      <c r="S272" s="198">
        <f>Qty!W193*'Hist. prices'!S272*S$244</f>
        <v>0</v>
      </c>
      <c r="T272" s="198">
        <f>Qty!X193*'Hist. prices'!T272*T$244</f>
        <v>0</v>
      </c>
      <c r="U272" s="198">
        <f>Qty!Y193*'Hist. prices'!U272*U$244</f>
        <v>0</v>
      </c>
      <c r="V272" s="198">
        <f>Qty!Z193*'Hist. prices'!V272*V$244</f>
        <v>0</v>
      </c>
      <c r="W272" s="198">
        <f>Qty!AA193*'Hist. prices'!W272*W$244</f>
        <v>0</v>
      </c>
      <c r="X272" s="198">
        <f>Qty!AB193*'Hist. prices'!X272*X$244</f>
        <v>0</v>
      </c>
      <c r="Y272" s="198">
        <f>Qty!AC193*'Hist. prices'!Y272*Y$244</f>
        <v>0</v>
      </c>
      <c r="Z272" s="198">
        <f>Qty!AD193*'Hist. prices'!Z272*Z$244</f>
        <v>0</v>
      </c>
      <c r="AA272" s="198">
        <f>Qty!AE193*'Hist. prices'!AA272*AA$244</f>
        <v>0</v>
      </c>
      <c r="AB272" s="198">
        <f>Qty!AF193*'Hist. prices'!AB272*AB$244</f>
        <v>0</v>
      </c>
      <c r="AC272" s="206">
        <f t="shared" si="30"/>
        <v>0</v>
      </c>
      <c r="AD272" s="68"/>
      <c r="AE272" s="19"/>
      <c r="AF272" s="19"/>
      <c r="AG272" s="19"/>
      <c r="AH272" s="19"/>
    </row>
    <row r="273" spans="1:34" hidden="1" outlineLevel="3" x14ac:dyDescent="0.2">
      <c r="A273" s="19"/>
      <c r="B273" s="19"/>
      <c r="C273" s="506">
        <f>Qty!C194</f>
        <v>0</v>
      </c>
      <c r="D273" s="505">
        <f>Qty!D194</f>
        <v>0</v>
      </c>
      <c r="E273" s="505">
        <f>Qty!E194</f>
        <v>0</v>
      </c>
      <c r="F273" s="505">
        <f>Qty!F194</f>
        <v>0</v>
      </c>
      <c r="G273" s="505">
        <f>Qty!G194</f>
        <v>0</v>
      </c>
      <c r="H273" s="58"/>
      <c r="I273" s="198">
        <f>Qty!M194*'Hist. prices'!I273*I$244</f>
        <v>0</v>
      </c>
      <c r="J273" s="198">
        <f>Qty!N194*'Hist. prices'!J273*J$244</f>
        <v>0</v>
      </c>
      <c r="K273" s="198">
        <f>Qty!O194*'Hist. prices'!K273*K$244</f>
        <v>0</v>
      </c>
      <c r="L273" s="198">
        <f>Qty!P194*'Hist. prices'!L273*L$244</f>
        <v>0</v>
      </c>
      <c r="M273" s="198">
        <f>Qty!Q194*'Hist. prices'!M273*M$244</f>
        <v>0</v>
      </c>
      <c r="N273" s="198">
        <f>Qty!R194*'Hist. prices'!N273*N$244</f>
        <v>0</v>
      </c>
      <c r="O273" s="198">
        <f>Qty!S194*'Hist. prices'!O273*O$244</f>
        <v>0</v>
      </c>
      <c r="P273" s="198">
        <f>Qty!T194*'Hist. prices'!P273*P$244</f>
        <v>0</v>
      </c>
      <c r="Q273" s="198">
        <f>Qty!U194*'Hist. prices'!Q273*Q$244</f>
        <v>0</v>
      </c>
      <c r="R273" s="198">
        <f>Qty!V194*'Hist. prices'!R273*R$244</f>
        <v>0</v>
      </c>
      <c r="S273" s="198">
        <f>Qty!W194*'Hist. prices'!S273*S$244</f>
        <v>0</v>
      </c>
      <c r="T273" s="198">
        <f>Qty!X194*'Hist. prices'!T273*T$244</f>
        <v>0</v>
      </c>
      <c r="U273" s="198">
        <f>Qty!Y194*'Hist. prices'!U273*U$244</f>
        <v>0</v>
      </c>
      <c r="V273" s="198">
        <f>Qty!Z194*'Hist. prices'!V273*V$244</f>
        <v>0</v>
      </c>
      <c r="W273" s="198">
        <f>Qty!AA194*'Hist. prices'!W273*W$244</f>
        <v>0</v>
      </c>
      <c r="X273" s="198">
        <f>Qty!AB194*'Hist. prices'!X273*X$244</f>
        <v>0</v>
      </c>
      <c r="Y273" s="198">
        <f>Qty!AC194*'Hist. prices'!Y273*Y$244</f>
        <v>0</v>
      </c>
      <c r="Z273" s="198">
        <f>Qty!AD194*'Hist. prices'!Z273*Z$244</f>
        <v>0</v>
      </c>
      <c r="AA273" s="198">
        <f>Qty!AE194*'Hist. prices'!AA273*AA$244</f>
        <v>0</v>
      </c>
      <c r="AB273" s="198">
        <f>Qty!AF194*'Hist. prices'!AB273*AB$244</f>
        <v>0</v>
      </c>
      <c r="AC273" s="206">
        <f t="shared" si="30"/>
        <v>0</v>
      </c>
      <c r="AD273" s="68"/>
      <c r="AE273" s="19"/>
      <c r="AF273" s="19"/>
      <c r="AG273" s="19"/>
      <c r="AH273" s="19"/>
    </row>
    <row r="274" spans="1:34" hidden="1" outlineLevel="3" x14ac:dyDescent="0.2">
      <c r="A274" s="19"/>
      <c r="B274" s="19"/>
      <c r="C274" s="506">
        <f>Qty!C195</f>
        <v>0</v>
      </c>
      <c r="D274" s="505">
        <f>Qty!D195</f>
        <v>0</v>
      </c>
      <c r="E274" s="505">
        <f>Qty!E195</f>
        <v>0</v>
      </c>
      <c r="F274" s="505">
        <f>Qty!F195</f>
        <v>0</v>
      </c>
      <c r="G274" s="505">
        <f>Qty!G195</f>
        <v>0</v>
      </c>
      <c r="H274" s="58"/>
      <c r="I274" s="198">
        <f>Qty!M195*'Hist. prices'!I274*I$244</f>
        <v>0</v>
      </c>
      <c r="J274" s="198">
        <f>Qty!N195*'Hist. prices'!J274*J$244</f>
        <v>0</v>
      </c>
      <c r="K274" s="198">
        <f>Qty!O195*'Hist. prices'!K274*K$244</f>
        <v>0</v>
      </c>
      <c r="L274" s="198">
        <f>Qty!P195*'Hist. prices'!L274*L$244</f>
        <v>0</v>
      </c>
      <c r="M274" s="198">
        <f>Qty!Q195*'Hist. prices'!M274*M$244</f>
        <v>0</v>
      </c>
      <c r="N274" s="198">
        <f>Qty!R195*'Hist. prices'!N274*N$244</f>
        <v>0</v>
      </c>
      <c r="O274" s="198">
        <f>Qty!S195*'Hist. prices'!O274*O$244</f>
        <v>0</v>
      </c>
      <c r="P274" s="198">
        <f>Qty!T195*'Hist. prices'!P274*P$244</f>
        <v>0</v>
      </c>
      <c r="Q274" s="198">
        <f>Qty!U195*'Hist. prices'!Q274*Q$244</f>
        <v>0</v>
      </c>
      <c r="R274" s="198">
        <f>Qty!V195*'Hist. prices'!R274*R$244</f>
        <v>0</v>
      </c>
      <c r="S274" s="198">
        <f>Qty!W195*'Hist. prices'!S274*S$244</f>
        <v>0</v>
      </c>
      <c r="T274" s="198">
        <f>Qty!X195*'Hist. prices'!T274*T$244</f>
        <v>0</v>
      </c>
      <c r="U274" s="198">
        <f>Qty!Y195*'Hist. prices'!U274*U$244</f>
        <v>0</v>
      </c>
      <c r="V274" s="198">
        <f>Qty!Z195*'Hist. prices'!V274*V$244</f>
        <v>0</v>
      </c>
      <c r="W274" s="198">
        <f>Qty!AA195*'Hist. prices'!W274*W$244</f>
        <v>0</v>
      </c>
      <c r="X274" s="198">
        <f>Qty!AB195*'Hist. prices'!X274*X$244</f>
        <v>0</v>
      </c>
      <c r="Y274" s="198">
        <f>Qty!AC195*'Hist. prices'!Y274*Y$244</f>
        <v>0</v>
      </c>
      <c r="Z274" s="198">
        <f>Qty!AD195*'Hist. prices'!Z274*Z$244</f>
        <v>0</v>
      </c>
      <c r="AA274" s="198">
        <f>Qty!AE195*'Hist. prices'!AA274*AA$244</f>
        <v>0</v>
      </c>
      <c r="AB274" s="198">
        <f>Qty!AF195*'Hist. prices'!AB274*AB$244</f>
        <v>0</v>
      </c>
      <c r="AC274" s="206">
        <f t="shared" si="30"/>
        <v>0</v>
      </c>
      <c r="AD274" s="68"/>
      <c r="AE274" s="19"/>
      <c r="AF274" s="19"/>
      <c r="AG274" s="19"/>
      <c r="AH274" s="19"/>
    </row>
    <row r="275" spans="1:34" hidden="1" outlineLevel="3" x14ac:dyDescent="0.2">
      <c r="A275" s="19"/>
      <c r="B275" s="19"/>
      <c r="C275" s="506">
        <f>Qty!C196</f>
        <v>0</v>
      </c>
      <c r="D275" s="505">
        <f>Qty!D196</f>
        <v>0</v>
      </c>
      <c r="E275" s="505">
        <f>Qty!E196</f>
        <v>0</v>
      </c>
      <c r="F275" s="505">
        <f>Qty!F196</f>
        <v>0</v>
      </c>
      <c r="G275" s="505">
        <f>Qty!G196</f>
        <v>0</v>
      </c>
      <c r="H275" s="58"/>
      <c r="I275" s="198">
        <f>Qty!M196*'Hist. prices'!I275*I$244</f>
        <v>0</v>
      </c>
      <c r="J275" s="198">
        <f>Qty!N196*'Hist. prices'!J275*J$244</f>
        <v>0</v>
      </c>
      <c r="K275" s="198">
        <f>Qty!O196*'Hist. prices'!K275*K$244</f>
        <v>0</v>
      </c>
      <c r="L275" s="198">
        <f>Qty!P196*'Hist. prices'!L275*L$244</f>
        <v>0</v>
      </c>
      <c r="M275" s="198">
        <f>Qty!Q196*'Hist. prices'!M275*M$244</f>
        <v>0</v>
      </c>
      <c r="N275" s="198">
        <f>Qty!R196*'Hist. prices'!N275*N$244</f>
        <v>0</v>
      </c>
      <c r="O275" s="198">
        <f>Qty!S196*'Hist. prices'!O275*O$244</f>
        <v>0</v>
      </c>
      <c r="P275" s="198">
        <f>Qty!T196*'Hist. prices'!P275*P$244</f>
        <v>0</v>
      </c>
      <c r="Q275" s="198">
        <f>Qty!U196*'Hist. prices'!Q275*Q$244</f>
        <v>0</v>
      </c>
      <c r="R275" s="198">
        <f>Qty!V196*'Hist. prices'!R275*R$244</f>
        <v>0</v>
      </c>
      <c r="S275" s="198">
        <f>Qty!W196*'Hist. prices'!S275*S$244</f>
        <v>0</v>
      </c>
      <c r="T275" s="198">
        <f>Qty!X196*'Hist. prices'!T275*T$244</f>
        <v>0</v>
      </c>
      <c r="U275" s="198">
        <f>Qty!Y196*'Hist. prices'!U275*U$244</f>
        <v>0</v>
      </c>
      <c r="V275" s="198">
        <f>Qty!Z196*'Hist. prices'!V275*V$244</f>
        <v>0</v>
      </c>
      <c r="W275" s="198">
        <f>Qty!AA196*'Hist. prices'!W275*W$244</f>
        <v>0</v>
      </c>
      <c r="X275" s="198">
        <f>Qty!AB196*'Hist. prices'!X275*X$244</f>
        <v>0</v>
      </c>
      <c r="Y275" s="198">
        <f>Qty!AC196*'Hist. prices'!Y275*Y$244</f>
        <v>0</v>
      </c>
      <c r="Z275" s="198">
        <f>Qty!AD196*'Hist. prices'!Z275*Z$244</f>
        <v>0</v>
      </c>
      <c r="AA275" s="198">
        <f>Qty!AE196*'Hist. prices'!AA275*AA$244</f>
        <v>0</v>
      </c>
      <c r="AB275" s="198">
        <f>Qty!AF196*'Hist. prices'!AB275*AB$244</f>
        <v>0</v>
      </c>
      <c r="AC275" s="206">
        <f t="shared" si="30"/>
        <v>0</v>
      </c>
      <c r="AD275" s="68"/>
      <c r="AE275" s="19"/>
      <c r="AF275" s="19"/>
      <c r="AG275" s="19"/>
      <c r="AH275" s="19"/>
    </row>
    <row r="276" spans="1:34" hidden="1" outlineLevel="3" x14ac:dyDescent="0.2">
      <c r="A276" s="19"/>
      <c r="B276" s="19"/>
      <c r="C276" s="506">
        <f>Qty!C197</f>
        <v>0</v>
      </c>
      <c r="D276" s="505">
        <f>Qty!D197</f>
        <v>0</v>
      </c>
      <c r="E276" s="505">
        <f>Qty!E197</f>
        <v>0</v>
      </c>
      <c r="F276" s="505">
        <f>Qty!F197</f>
        <v>0</v>
      </c>
      <c r="G276" s="505">
        <f>Qty!G197</f>
        <v>0</v>
      </c>
      <c r="H276" s="58"/>
      <c r="I276" s="198">
        <f>Qty!M197*'Hist. prices'!I276*I$244</f>
        <v>0</v>
      </c>
      <c r="J276" s="198">
        <f>Qty!N197*'Hist. prices'!J276*J$244</f>
        <v>0</v>
      </c>
      <c r="K276" s="198">
        <f>Qty!O197*'Hist. prices'!K276*K$244</f>
        <v>0</v>
      </c>
      <c r="L276" s="198">
        <f>Qty!P197*'Hist. prices'!L276*L$244</f>
        <v>0</v>
      </c>
      <c r="M276" s="198">
        <f>Qty!Q197*'Hist. prices'!M276*M$244</f>
        <v>0</v>
      </c>
      <c r="N276" s="198">
        <f>Qty!R197*'Hist. prices'!N276*N$244</f>
        <v>0</v>
      </c>
      <c r="O276" s="198">
        <f>Qty!S197*'Hist. prices'!O276*O$244</f>
        <v>0</v>
      </c>
      <c r="P276" s="198">
        <f>Qty!T197*'Hist. prices'!P276*P$244</f>
        <v>0</v>
      </c>
      <c r="Q276" s="198">
        <f>Qty!U197*'Hist. prices'!Q276*Q$244</f>
        <v>0</v>
      </c>
      <c r="R276" s="198">
        <f>Qty!V197*'Hist. prices'!R276*R$244</f>
        <v>0</v>
      </c>
      <c r="S276" s="198">
        <f>Qty!W197*'Hist. prices'!S276*S$244</f>
        <v>0</v>
      </c>
      <c r="T276" s="198">
        <f>Qty!X197*'Hist. prices'!T276*T$244</f>
        <v>0</v>
      </c>
      <c r="U276" s="198">
        <f>Qty!Y197*'Hist. prices'!U276*U$244</f>
        <v>0</v>
      </c>
      <c r="V276" s="198">
        <f>Qty!Z197*'Hist. prices'!V276*V$244</f>
        <v>0</v>
      </c>
      <c r="W276" s="198">
        <f>Qty!AA197*'Hist. prices'!W276*W$244</f>
        <v>0</v>
      </c>
      <c r="X276" s="198">
        <f>Qty!AB197*'Hist. prices'!X276*X$244</f>
        <v>0</v>
      </c>
      <c r="Y276" s="198">
        <f>Qty!AC197*'Hist. prices'!Y276*Y$244</f>
        <v>0</v>
      </c>
      <c r="Z276" s="198">
        <f>Qty!AD197*'Hist. prices'!Z276*Z$244</f>
        <v>0</v>
      </c>
      <c r="AA276" s="198">
        <f>Qty!AE197*'Hist. prices'!AA276*AA$244</f>
        <v>0</v>
      </c>
      <c r="AB276" s="198">
        <f>Qty!AF197*'Hist. prices'!AB276*AB$244</f>
        <v>0</v>
      </c>
      <c r="AC276" s="206">
        <f t="shared" si="30"/>
        <v>0</v>
      </c>
      <c r="AD276" s="68"/>
      <c r="AE276" s="19"/>
      <c r="AF276" s="19"/>
      <c r="AG276" s="19"/>
      <c r="AH276" s="19"/>
    </row>
    <row r="277" spans="1:34" hidden="1" outlineLevel="3" x14ac:dyDescent="0.2">
      <c r="A277" s="19"/>
      <c r="B277" s="19"/>
      <c r="C277" s="506">
        <f>Qty!C198</f>
        <v>0</v>
      </c>
      <c r="D277" s="505">
        <f>Qty!D198</f>
        <v>0</v>
      </c>
      <c r="E277" s="505">
        <f>Qty!E198</f>
        <v>0</v>
      </c>
      <c r="F277" s="505">
        <f>Qty!F198</f>
        <v>0</v>
      </c>
      <c r="G277" s="505">
        <f>Qty!G198</f>
        <v>0</v>
      </c>
      <c r="H277" s="58"/>
      <c r="I277" s="198">
        <f>Qty!M198*'Hist. prices'!I277*I$244</f>
        <v>0</v>
      </c>
      <c r="J277" s="198">
        <f>Qty!N198*'Hist. prices'!J277*J$244</f>
        <v>0</v>
      </c>
      <c r="K277" s="198">
        <f>Qty!O198*'Hist. prices'!K277*K$244</f>
        <v>0</v>
      </c>
      <c r="L277" s="198">
        <f>Qty!P198*'Hist. prices'!L277*L$244</f>
        <v>0</v>
      </c>
      <c r="M277" s="198">
        <f>Qty!Q198*'Hist. prices'!M277*M$244</f>
        <v>0</v>
      </c>
      <c r="N277" s="198">
        <f>Qty!R198*'Hist. prices'!N277*N$244</f>
        <v>0</v>
      </c>
      <c r="O277" s="198">
        <f>Qty!S198*'Hist. prices'!O277*O$244</f>
        <v>0</v>
      </c>
      <c r="P277" s="198">
        <f>Qty!T198*'Hist. prices'!P277*P$244</f>
        <v>0</v>
      </c>
      <c r="Q277" s="198">
        <f>Qty!U198*'Hist. prices'!Q277*Q$244</f>
        <v>0</v>
      </c>
      <c r="R277" s="198">
        <f>Qty!V198*'Hist. prices'!R277*R$244</f>
        <v>0</v>
      </c>
      <c r="S277" s="198">
        <f>Qty!W198*'Hist. prices'!S277*S$244</f>
        <v>0</v>
      </c>
      <c r="T277" s="198">
        <f>Qty!X198*'Hist. prices'!T277*T$244</f>
        <v>0</v>
      </c>
      <c r="U277" s="198">
        <f>Qty!Y198*'Hist. prices'!U277*U$244</f>
        <v>0</v>
      </c>
      <c r="V277" s="198">
        <f>Qty!Z198*'Hist. prices'!V277*V$244</f>
        <v>0</v>
      </c>
      <c r="W277" s="198">
        <f>Qty!AA198*'Hist. prices'!W277*W$244</f>
        <v>0</v>
      </c>
      <c r="X277" s="198">
        <f>Qty!AB198*'Hist. prices'!X277*X$244</f>
        <v>0</v>
      </c>
      <c r="Y277" s="198">
        <f>Qty!AC198*'Hist. prices'!Y277*Y$244</f>
        <v>0</v>
      </c>
      <c r="Z277" s="198">
        <f>Qty!AD198*'Hist. prices'!Z277*Z$244</f>
        <v>0</v>
      </c>
      <c r="AA277" s="198">
        <f>Qty!AE198*'Hist. prices'!AA277*AA$244</f>
        <v>0</v>
      </c>
      <c r="AB277" s="198">
        <f>Qty!AF198*'Hist. prices'!AB277*AB$244</f>
        <v>0</v>
      </c>
      <c r="AC277" s="206">
        <f t="shared" ref="AC277:AC308" si="31">SUM(I277:AB277)</f>
        <v>0</v>
      </c>
      <c r="AD277" s="68"/>
      <c r="AE277" s="19"/>
      <c r="AF277" s="19"/>
      <c r="AG277" s="19"/>
      <c r="AH277" s="19"/>
    </row>
    <row r="278" spans="1:34" hidden="1" outlineLevel="3" x14ac:dyDescent="0.2">
      <c r="A278" s="19"/>
      <c r="B278" s="19"/>
      <c r="C278" s="506">
        <f>Qty!C199</f>
        <v>0</v>
      </c>
      <c r="D278" s="505">
        <f>Qty!D199</f>
        <v>0</v>
      </c>
      <c r="E278" s="505">
        <f>Qty!E199</f>
        <v>0</v>
      </c>
      <c r="F278" s="505">
        <f>Qty!F199</f>
        <v>0</v>
      </c>
      <c r="G278" s="505">
        <f>Qty!G199</f>
        <v>0</v>
      </c>
      <c r="H278" s="58"/>
      <c r="I278" s="198">
        <f>Qty!M199*'Hist. prices'!I278*I$244</f>
        <v>0</v>
      </c>
      <c r="J278" s="198">
        <f>Qty!N199*'Hist. prices'!J278*J$244</f>
        <v>0</v>
      </c>
      <c r="K278" s="198">
        <f>Qty!O199*'Hist. prices'!K278*K$244</f>
        <v>0</v>
      </c>
      <c r="L278" s="198">
        <f>Qty!P199*'Hist. prices'!L278*L$244</f>
        <v>0</v>
      </c>
      <c r="M278" s="198">
        <f>Qty!Q199*'Hist. prices'!M278*M$244</f>
        <v>0</v>
      </c>
      <c r="N278" s="198">
        <f>Qty!R199*'Hist. prices'!N278*N$244</f>
        <v>0</v>
      </c>
      <c r="O278" s="198">
        <f>Qty!S199*'Hist. prices'!O278*O$244</f>
        <v>0</v>
      </c>
      <c r="P278" s="198">
        <f>Qty!T199*'Hist. prices'!P278*P$244</f>
        <v>0</v>
      </c>
      <c r="Q278" s="198">
        <f>Qty!U199*'Hist. prices'!Q278*Q$244</f>
        <v>0</v>
      </c>
      <c r="R278" s="198">
        <f>Qty!V199*'Hist. prices'!R278*R$244</f>
        <v>0</v>
      </c>
      <c r="S278" s="198">
        <f>Qty!W199*'Hist. prices'!S278*S$244</f>
        <v>0</v>
      </c>
      <c r="T278" s="198">
        <f>Qty!X199*'Hist. prices'!T278*T$244</f>
        <v>0</v>
      </c>
      <c r="U278" s="198">
        <f>Qty!Y199*'Hist. prices'!U278*U$244</f>
        <v>0</v>
      </c>
      <c r="V278" s="198">
        <f>Qty!Z199*'Hist. prices'!V278*V$244</f>
        <v>0</v>
      </c>
      <c r="W278" s="198">
        <f>Qty!AA199*'Hist. prices'!W278*W$244</f>
        <v>0</v>
      </c>
      <c r="X278" s="198">
        <f>Qty!AB199*'Hist. prices'!X278*X$244</f>
        <v>0</v>
      </c>
      <c r="Y278" s="198">
        <f>Qty!AC199*'Hist. prices'!Y278*Y$244</f>
        <v>0</v>
      </c>
      <c r="Z278" s="198">
        <f>Qty!AD199*'Hist. prices'!Z278*Z$244</f>
        <v>0</v>
      </c>
      <c r="AA278" s="198">
        <f>Qty!AE199*'Hist. prices'!AA278*AA$244</f>
        <v>0</v>
      </c>
      <c r="AB278" s="198">
        <f>Qty!AF199*'Hist. prices'!AB278*AB$244</f>
        <v>0</v>
      </c>
      <c r="AC278" s="206">
        <f t="shared" si="31"/>
        <v>0</v>
      </c>
      <c r="AD278" s="68"/>
      <c r="AE278" s="19"/>
      <c r="AF278" s="19"/>
      <c r="AG278" s="19"/>
      <c r="AH278" s="19"/>
    </row>
    <row r="279" spans="1:34" hidden="1" outlineLevel="3" x14ac:dyDescent="0.2">
      <c r="A279" s="19"/>
      <c r="B279" s="19"/>
      <c r="C279" s="506">
        <f>Qty!C200</f>
        <v>0</v>
      </c>
      <c r="D279" s="505">
        <f>Qty!D200</f>
        <v>0</v>
      </c>
      <c r="E279" s="505">
        <f>Qty!E200</f>
        <v>0</v>
      </c>
      <c r="F279" s="505">
        <f>Qty!F200</f>
        <v>0</v>
      </c>
      <c r="G279" s="505">
        <f>Qty!G200</f>
        <v>0</v>
      </c>
      <c r="H279" s="58"/>
      <c r="I279" s="198">
        <f>Qty!M200*'Hist. prices'!I279*I$244</f>
        <v>0</v>
      </c>
      <c r="J279" s="198">
        <f>Qty!N200*'Hist. prices'!J279*J$244</f>
        <v>0</v>
      </c>
      <c r="K279" s="198">
        <f>Qty!O200*'Hist. prices'!K279*K$244</f>
        <v>0</v>
      </c>
      <c r="L279" s="198">
        <f>Qty!P200*'Hist. prices'!L279*L$244</f>
        <v>0</v>
      </c>
      <c r="M279" s="198">
        <f>Qty!Q200*'Hist. prices'!M279*M$244</f>
        <v>0</v>
      </c>
      <c r="N279" s="198">
        <f>Qty!R200*'Hist. prices'!N279*N$244</f>
        <v>0</v>
      </c>
      <c r="O279" s="198">
        <f>Qty!S200*'Hist. prices'!O279*O$244</f>
        <v>0</v>
      </c>
      <c r="P279" s="198">
        <f>Qty!T200*'Hist. prices'!P279*P$244</f>
        <v>0</v>
      </c>
      <c r="Q279" s="198">
        <f>Qty!U200*'Hist. prices'!Q279*Q$244</f>
        <v>0</v>
      </c>
      <c r="R279" s="198">
        <f>Qty!V200*'Hist. prices'!R279*R$244</f>
        <v>0</v>
      </c>
      <c r="S279" s="198">
        <f>Qty!W200*'Hist. prices'!S279*S$244</f>
        <v>0</v>
      </c>
      <c r="T279" s="198">
        <f>Qty!X200*'Hist. prices'!T279*T$244</f>
        <v>0</v>
      </c>
      <c r="U279" s="198">
        <f>Qty!Y200*'Hist. prices'!U279*U$244</f>
        <v>0</v>
      </c>
      <c r="V279" s="198">
        <f>Qty!Z200*'Hist. prices'!V279*V$244</f>
        <v>0</v>
      </c>
      <c r="W279" s="198">
        <f>Qty!AA200*'Hist. prices'!W279*W$244</f>
        <v>0</v>
      </c>
      <c r="X279" s="198">
        <f>Qty!AB200*'Hist. prices'!X279*X$244</f>
        <v>0</v>
      </c>
      <c r="Y279" s="198">
        <f>Qty!AC200*'Hist. prices'!Y279*Y$244</f>
        <v>0</v>
      </c>
      <c r="Z279" s="198">
        <f>Qty!AD200*'Hist. prices'!Z279*Z$244</f>
        <v>0</v>
      </c>
      <c r="AA279" s="198">
        <f>Qty!AE200*'Hist. prices'!AA279*AA$244</f>
        <v>0</v>
      </c>
      <c r="AB279" s="198">
        <f>Qty!AF200*'Hist. prices'!AB279*AB$244</f>
        <v>0</v>
      </c>
      <c r="AC279" s="206">
        <f t="shared" si="31"/>
        <v>0</v>
      </c>
      <c r="AD279" s="68"/>
      <c r="AE279" s="19"/>
      <c r="AF279" s="19"/>
      <c r="AG279" s="19"/>
      <c r="AH279" s="19"/>
    </row>
    <row r="280" spans="1:34" hidden="1" outlineLevel="3" x14ac:dyDescent="0.2">
      <c r="A280" s="19"/>
      <c r="B280" s="19"/>
      <c r="C280" s="506">
        <f>Qty!C201</f>
        <v>0</v>
      </c>
      <c r="D280" s="505">
        <f>Qty!D201</f>
        <v>0</v>
      </c>
      <c r="E280" s="505">
        <f>Qty!E201</f>
        <v>0</v>
      </c>
      <c r="F280" s="505">
        <f>Qty!F201</f>
        <v>0</v>
      </c>
      <c r="G280" s="505">
        <f>Qty!G201</f>
        <v>0</v>
      </c>
      <c r="H280" s="58"/>
      <c r="I280" s="198">
        <f>Qty!M201*'Hist. prices'!I280*I$244</f>
        <v>0</v>
      </c>
      <c r="J280" s="198">
        <f>Qty!N201*'Hist. prices'!J280*J$244</f>
        <v>0</v>
      </c>
      <c r="K280" s="198">
        <f>Qty!O201*'Hist. prices'!K280*K$244</f>
        <v>0</v>
      </c>
      <c r="L280" s="198">
        <f>Qty!P201*'Hist. prices'!L280*L$244</f>
        <v>0</v>
      </c>
      <c r="M280" s="198">
        <f>Qty!Q201*'Hist. prices'!M280*M$244</f>
        <v>0</v>
      </c>
      <c r="N280" s="198">
        <f>Qty!R201*'Hist. prices'!N280*N$244</f>
        <v>0</v>
      </c>
      <c r="O280" s="198">
        <f>Qty!S201*'Hist. prices'!O280*O$244</f>
        <v>0</v>
      </c>
      <c r="P280" s="198">
        <f>Qty!T201*'Hist. prices'!P280*P$244</f>
        <v>0</v>
      </c>
      <c r="Q280" s="198">
        <f>Qty!U201*'Hist. prices'!Q280*Q$244</f>
        <v>0</v>
      </c>
      <c r="R280" s="198">
        <f>Qty!V201*'Hist. prices'!R280*R$244</f>
        <v>0</v>
      </c>
      <c r="S280" s="198">
        <f>Qty!W201*'Hist. prices'!S280*S$244</f>
        <v>0</v>
      </c>
      <c r="T280" s="198">
        <f>Qty!X201*'Hist. prices'!T280*T$244</f>
        <v>0</v>
      </c>
      <c r="U280" s="198">
        <f>Qty!Y201*'Hist. prices'!U280*U$244</f>
        <v>0</v>
      </c>
      <c r="V280" s="198">
        <f>Qty!Z201*'Hist. prices'!V280*V$244</f>
        <v>0</v>
      </c>
      <c r="W280" s="198">
        <f>Qty!AA201*'Hist. prices'!W280*W$244</f>
        <v>0</v>
      </c>
      <c r="X280" s="198">
        <f>Qty!AB201*'Hist. prices'!X280*X$244</f>
        <v>0</v>
      </c>
      <c r="Y280" s="198">
        <f>Qty!AC201*'Hist. prices'!Y280*Y$244</f>
        <v>0</v>
      </c>
      <c r="Z280" s="198">
        <f>Qty!AD201*'Hist. prices'!Z280*Z$244</f>
        <v>0</v>
      </c>
      <c r="AA280" s="198">
        <f>Qty!AE201*'Hist. prices'!AA280*AA$244</f>
        <v>0</v>
      </c>
      <c r="AB280" s="198">
        <f>Qty!AF201*'Hist. prices'!AB280*AB$244</f>
        <v>0</v>
      </c>
      <c r="AC280" s="206">
        <f t="shared" si="31"/>
        <v>0</v>
      </c>
      <c r="AD280" s="68"/>
      <c r="AE280" s="19"/>
      <c r="AF280" s="19"/>
      <c r="AG280" s="19"/>
      <c r="AH280" s="19"/>
    </row>
    <row r="281" spans="1:34" hidden="1" outlineLevel="3" x14ac:dyDescent="0.2">
      <c r="A281" s="19"/>
      <c r="B281" s="19"/>
      <c r="C281" s="506">
        <f>Qty!C202</f>
        <v>0</v>
      </c>
      <c r="D281" s="505">
        <f>Qty!D202</f>
        <v>0</v>
      </c>
      <c r="E281" s="505">
        <f>Qty!E202</f>
        <v>0</v>
      </c>
      <c r="F281" s="505">
        <f>Qty!F202</f>
        <v>0</v>
      </c>
      <c r="G281" s="505">
        <f>Qty!G202</f>
        <v>0</v>
      </c>
      <c r="H281" s="58"/>
      <c r="I281" s="198">
        <f>Qty!M202*'Hist. prices'!I281*I$244</f>
        <v>0</v>
      </c>
      <c r="J281" s="198">
        <f>Qty!N202*'Hist. prices'!J281*J$244</f>
        <v>0</v>
      </c>
      <c r="K281" s="198">
        <f>Qty!O202*'Hist. prices'!K281*K$244</f>
        <v>0</v>
      </c>
      <c r="L281" s="198">
        <f>Qty!P202*'Hist. prices'!L281*L$244</f>
        <v>0</v>
      </c>
      <c r="M281" s="198">
        <f>Qty!Q202*'Hist. prices'!M281*M$244</f>
        <v>0</v>
      </c>
      <c r="N281" s="198">
        <f>Qty!R202*'Hist. prices'!N281*N$244</f>
        <v>0</v>
      </c>
      <c r="O281" s="198">
        <f>Qty!S202*'Hist. prices'!O281*O$244</f>
        <v>0</v>
      </c>
      <c r="P281" s="198">
        <f>Qty!T202*'Hist. prices'!P281*P$244</f>
        <v>0</v>
      </c>
      <c r="Q281" s="198">
        <f>Qty!U202*'Hist. prices'!Q281*Q$244</f>
        <v>0</v>
      </c>
      <c r="R281" s="198">
        <f>Qty!V202*'Hist. prices'!R281*R$244</f>
        <v>0</v>
      </c>
      <c r="S281" s="198">
        <f>Qty!W202*'Hist. prices'!S281*S$244</f>
        <v>0</v>
      </c>
      <c r="T281" s="198">
        <f>Qty!X202*'Hist. prices'!T281*T$244</f>
        <v>0</v>
      </c>
      <c r="U281" s="198">
        <f>Qty!Y202*'Hist. prices'!U281*U$244</f>
        <v>0</v>
      </c>
      <c r="V281" s="198">
        <f>Qty!Z202*'Hist. prices'!V281*V$244</f>
        <v>0</v>
      </c>
      <c r="W281" s="198">
        <f>Qty!AA202*'Hist. prices'!W281*W$244</f>
        <v>0</v>
      </c>
      <c r="X281" s="198">
        <f>Qty!AB202*'Hist. prices'!X281*X$244</f>
        <v>0</v>
      </c>
      <c r="Y281" s="198">
        <f>Qty!AC202*'Hist. prices'!Y281*Y$244</f>
        <v>0</v>
      </c>
      <c r="Z281" s="198">
        <f>Qty!AD202*'Hist. prices'!Z281*Z$244</f>
        <v>0</v>
      </c>
      <c r="AA281" s="198">
        <f>Qty!AE202*'Hist. prices'!AA281*AA$244</f>
        <v>0</v>
      </c>
      <c r="AB281" s="198">
        <f>Qty!AF202*'Hist. prices'!AB281*AB$244</f>
        <v>0</v>
      </c>
      <c r="AC281" s="206">
        <f t="shared" si="31"/>
        <v>0</v>
      </c>
      <c r="AD281" s="68"/>
      <c r="AE281" s="19"/>
      <c r="AF281" s="19"/>
      <c r="AG281" s="19"/>
      <c r="AH281" s="19"/>
    </row>
    <row r="282" spans="1:34" hidden="1" outlineLevel="3" x14ac:dyDescent="0.2">
      <c r="A282" s="19"/>
      <c r="B282" s="19"/>
      <c r="C282" s="506">
        <f>Qty!C203</f>
        <v>0</v>
      </c>
      <c r="D282" s="505">
        <f>Qty!D203</f>
        <v>0</v>
      </c>
      <c r="E282" s="505">
        <f>Qty!E203</f>
        <v>0</v>
      </c>
      <c r="F282" s="505">
        <f>Qty!F203</f>
        <v>0</v>
      </c>
      <c r="G282" s="505">
        <f>Qty!G203</f>
        <v>0</v>
      </c>
      <c r="H282" s="58"/>
      <c r="I282" s="198">
        <f>Qty!M203*'Hist. prices'!I282*I$244</f>
        <v>0</v>
      </c>
      <c r="J282" s="198">
        <f>Qty!N203*'Hist. prices'!J282*J$244</f>
        <v>0</v>
      </c>
      <c r="K282" s="198">
        <f>Qty!O203*'Hist. prices'!K282*K$244</f>
        <v>0</v>
      </c>
      <c r="L282" s="198">
        <f>Qty!P203*'Hist. prices'!L282*L$244</f>
        <v>0</v>
      </c>
      <c r="M282" s="198">
        <f>Qty!Q203*'Hist. prices'!M282*M$244</f>
        <v>0</v>
      </c>
      <c r="N282" s="198">
        <f>Qty!R203*'Hist. prices'!N282*N$244</f>
        <v>0</v>
      </c>
      <c r="O282" s="198">
        <f>Qty!S203*'Hist. prices'!O282*O$244</f>
        <v>0</v>
      </c>
      <c r="P282" s="198">
        <f>Qty!T203*'Hist. prices'!P282*P$244</f>
        <v>0</v>
      </c>
      <c r="Q282" s="198">
        <f>Qty!U203*'Hist. prices'!Q282*Q$244</f>
        <v>0</v>
      </c>
      <c r="R282" s="198">
        <f>Qty!V203*'Hist. prices'!R282*R$244</f>
        <v>0</v>
      </c>
      <c r="S282" s="198">
        <f>Qty!W203*'Hist. prices'!S282*S$244</f>
        <v>0</v>
      </c>
      <c r="T282" s="198">
        <f>Qty!X203*'Hist. prices'!T282*T$244</f>
        <v>0</v>
      </c>
      <c r="U282" s="198">
        <f>Qty!Y203*'Hist. prices'!U282*U$244</f>
        <v>0</v>
      </c>
      <c r="V282" s="198">
        <f>Qty!Z203*'Hist. prices'!V282*V$244</f>
        <v>0</v>
      </c>
      <c r="W282" s="198">
        <f>Qty!AA203*'Hist. prices'!W282*W$244</f>
        <v>0</v>
      </c>
      <c r="X282" s="198">
        <f>Qty!AB203*'Hist. prices'!X282*X$244</f>
        <v>0</v>
      </c>
      <c r="Y282" s="198">
        <f>Qty!AC203*'Hist. prices'!Y282*Y$244</f>
        <v>0</v>
      </c>
      <c r="Z282" s="198">
        <f>Qty!AD203*'Hist. prices'!Z282*Z$244</f>
        <v>0</v>
      </c>
      <c r="AA282" s="198">
        <f>Qty!AE203*'Hist. prices'!AA282*AA$244</f>
        <v>0</v>
      </c>
      <c r="AB282" s="198">
        <f>Qty!AF203*'Hist. prices'!AB282*AB$244</f>
        <v>0</v>
      </c>
      <c r="AC282" s="206">
        <f t="shared" si="31"/>
        <v>0</v>
      </c>
      <c r="AD282" s="68"/>
      <c r="AE282" s="19"/>
      <c r="AF282" s="19"/>
      <c r="AG282" s="19"/>
      <c r="AH282" s="19"/>
    </row>
    <row r="283" spans="1:34" hidden="1" outlineLevel="3" x14ac:dyDescent="0.2">
      <c r="A283" s="19"/>
      <c r="B283" s="19"/>
      <c r="C283" s="506">
        <f>Qty!C204</f>
        <v>0</v>
      </c>
      <c r="D283" s="505">
        <f>Qty!D204</f>
        <v>0</v>
      </c>
      <c r="E283" s="505">
        <f>Qty!E204</f>
        <v>0</v>
      </c>
      <c r="F283" s="505">
        <f>Qty!F204</f>
        <v>0</v>
      </c>
      <c r="G283" s="505">
        <f>Qty!G204</f>
        <v>0</v>
      </c>
      <c r="H283" s="58"/>
      <c r="I283" s="198">
        <f>Qty!M204*'Hist. prices'!I283*I$244</f>
        <v>0</v>
      </c>
      <c r="J283" s="198">
        <f>Qty!N204*'Hist. prices'!J283*J$244</f>
        <v>0</v>
      </c>
      <c r="K283" s="198">
        <f>Qty!O204*'Hist. prices'!K283*K$244</f>
        <v>0</v>
      </c>
      <c r="L283" s="198">
        <f>Qty!P204*'Hist. prices'!L283*L$244</f>
        <v>0</v>
      </c>
      <c r="M283" s="198">
        <f>Qty!Q204*'Hist. prices'!M283*M$244</f>
        <v>0</v>
      </c>
      <c r="N283" s="198">
        <f>Qty!R204*'Hist. prices'!N283*N$244</f>
        <v>0</v>
      </c>
      <c r="O283" s="198">
        <f>Qty!S204*'Hist. prices'!O283*O$244</f>
        <v>0</v>
      </c>
      <c r="P283" s="198">
        <f>Qty!T204*'Hist. prices'!P283*P$244</f>
        <v>0</v>
      </c>
      <c r="Q283" s="198">
        <f>Qty!U204*'Hist. prices'!Q283*Q$244</f>
        <v>0</v>
      </c>
      <c r="R283" s="198">
        <f>Qty!V204*'Hist. prices'!R283*R$244</f>
        <v>0</v>
      </c>
      <c r="S283" s="198">
        <f>Qty!W204*'Hist. prices'!S283*S$244</f>
        <v>0</v>
      </c>
      <c r="T283" s="198">
        <f>Qty!X204*'Hist. prices'!T283*T$244</f>
        <v>0</v>
      </c>
      <c r="U283" s="198">
        <f>Qty!Y204*'Hist. prices'!U283*U$244</f>
        <v>0</v>
      </c>
      <c r="V283" s="198">
        <f>Qty!Z204*'Hist. prices'!V283*V$244</f>
        <v>0</v>
      </c>
      <c r="W283" s="198">
        <f>Qty!AA204*'Hist. prices'!W283*W$244</f>
        <v>0</v>
      </c>
      <c r="X283" s="198">
        <f>Qty!AB204*'Hist. prices'!X283*X$244</f>
        <v>0</v>
      </c>
      <c r="Y283" s="198">
        <f>Qty!AC204*'Hist. prices'!Y283*Y$244</f>
        <v>0</v>
      </c>
      <c r="Z283" s="198">
        <f>Qty!AD204*'Hist. prices'!Z283*Z$244</f>
        <v>0</v>
      </c>
      <c r="AA283" s="198">
        <f>Qty!AE204*'Hist. prices'!AA283*AA$244</f>
        <v>0</v>
      </c>
      <c r="AB283" s="198">
        <f>Qty!AF204*'Hist. prices'!AB283*AB$244</f>
        <v>0</v>
      </c>
      <c r="AC283" s="206">
        <f t="shared" si="31"/>
        <v>0</v>
      </c>
      <c r="AD283" s="68"/>
      <c r="AE283" s="19"/>
      <c r="AF283" s="19"/>
      <c r="AG283" s="19"/>
      <c r="AH283" s="19"/>
    </row>
    <row r="284" spans="1:34" hidden="1" outlineLevel="3" x14ac:dyDescent="0.2">
      <c r="A284" s="19"/>
      <c r="B284" s="19"/>
      <c r="C284" s="506">
        <f>Qty!C205</f>
        <v>0</v>
      </c>
      <c r="D284" s="505">
        <f>Qty!D205</f>
        <v>0</v>
      </c>
      <c r="E284" s="505">
        <f>Qty!E205</f>
        <v>0</v>
      </c>
      <c r="F284" s="505">
        <f>Qty!F205</f>
        <v>0</v>
      </c>
      <c r="G284" s="505">
        <f>Qty!G205</f>
        <v>0</v>
      </c>
      <c r="H284" s="58"/>
      <c r="I284" s="198">
        <f>Qty!M205*'Hist. prices'!I284*I$244</f>
        <v>0</v>
      </c>
      <c r="J284" s="198">
        <f>Qty!N205*'Hist. prices'!J284*J$244</f>
        <v>0</v>
      </c>
      <c r="K284" s="198">
        <f>Qty!O205*'Hist. prices'!K284*K$244</f>
        <v>0</v>
      </c>
      <c r="L284" s="198">
        <f>Qty!P205*'Hist. prices'!L284*L$244</f>
        <v>0</v>
      </c>
      <c r="M284" s="198">
        <f>Qty!Q205*'Hist. prices'!M284*M$244</f>
        <v>0</v>
      </c>
      <c r="N284" s="198">
        <f>Qty!R205*'Hist. prices'!N284*N$244</f>
        <v>0</v>
      </c>
      <c r="O284" s="198">
        <f>Qty!S205*'Hist. prices'!O284*O$244</f>
        <v>0</v>
      </c>
      <c r="P284" s="198">
        <f>Qty!T205*'Hist. prices'!P284*P$244</f>
        <v>0</v>
      </c>
      <c r="Q284" s="198">
        <f>Qty!U205*'Hist. prices'!Q284*Q$244</f>
        <v>0</v>
      </c>
      <c r="R284" s="198">
        <f>Qty!V205*'Hist. prices'!R284*R$244</f>
        <v>0</v>
      </c>
      <c r="S284" s="198">
        <f>Qty!W205*'Hist. prices'!S284*S$244</f>
        <v>0</v>
      </c>
      <c r="T284" s="198">
        <f>Qty!X205*'Hist. prices'!T284*T$244</f>
        <v>0</v>
      </c>
      <c r="U284" s="198">
        <f>Qty!Y205*'Hist. prices'!U284*U$244</f>
        <v>0</v>
      </c>
      <c r="V284" s="198">
        <f>Qty!Z205*'Hist. prices'!V284*V$244</f>
        <v>0</v>
      </c>
      <c r="W284" s="198">
        <f>Qty!AA205*'Hist. prices'!W284*W$244</f>
        <v>0</v>
      </c>
      <c r="X284" s="198">
        <f>Qty!AB205*'Hist. prices'!X284*X$244</f>
        <v>0</v>
      </c>
      <c r="Y284" s="198">
        <f>Qty!AC205*'Hist. prices'!Y284*Y$244</f>
        <v>0</v>
      </c>
      <c r="Z284" s="198">
        <f>Qty!AD205*'Hist. prices'!Z284*Z$244</f>
        <v>0</v>
      </c>
      <c r="AA284" s="198">
        <f>Qty!AE205*'Hist. prices'!AA284*AA$244</f>
        <v>0</v>
      </c>
      <c r="AB284" s="198">
        <f>Qty!AF205*'Hist. prices'!AB284*AB$244</f>
        <v>0</v>
      </c>
      <c r="AC284" s="206">
        <f t="shared" si="31"/>
        <v>0</v>
      </c>
      <c r="AD284" s="68"/>
      <c r="AE284" s="19"/>
      <c r="AF284" s="19"/>
      <c r="AG284" s="19"/>
      <c r="AH284" s="19"/>
    </row>
    <row r="285" spans="1:34" hidden="1" outlineLevel="3" x14ac:dyDescent="0.2">
      <c r="A285" s="19"/>
      <c r="B285" s="19"/>
      <c r="C285" s="506">
        <f>Qty!C206</f>
        <v>0</v>
      </c>
      <c r="D285" s="505">
        <f>Qty!D206</f>
        <v>0</v>
      </c>
      <c r="E285" s="505">
        <f>Qty!E206</f>
        <v>0</v>
      </c>
      <c r="F285" s="505">
        <f>Qty!F206</f>
        <v>0</v>
      </c>
      <c r="G285" s="505">
        <f>Qty!G206</f>
        <v>0</v>
      </c>
      <c r="H285" s="58"/>
      <c r="I285" s="198">
        <f>Qty!M206*'Hist. prices'!I285*I$244</f>
        <v>0</v>
      </c>
      <c r="J285" s="198">
        <f>Qty!N206*'Hist. prices'!J285*J$244</f>
        <v>0</v>
      </c>
      <c r="K285" s="198">
        <f>Qty!O206*'Hist. prices'!K285*K$244</f>
        <v>0</v>
      </c>
      <c r="L285" s="198">
        <f>Qty!P206*'Hist. prices'!L285*L$244</f>
        <v>0</v>
      </c>
      <c r="M285" s="198">
        <f>Qty!Q206*'Hist. prices'!M285*M$244</f>
        <v>0</v>
      </c>
      <c r="N285" s="198">
        <f>Qty!R206*'Hist. prices'!N285*N$244</f>
        <v>0</v>
      </c>
      <c r="O285" s="198">
        <f>Qty!S206*'Hist. prices'!O285*O$244</f>
        <v>0</v>
      </c>
      <c r="P285" s="198">
        <f>Qty!T206*'Hist. prices'!P285*P$244</f>
        <v>0</v>
      </c>
      <c r="Q285" s="198">
        <f>Qty!U206*'Hist. prices'!Q285*Q$244</f>
        <v>0</v>
      </c>
      <c r="R285" s="198">
        <f>Qty!V206*'Hist. prices'!R285*R$244</f>
        <v>0</v>
      </c>
      <c r="S285" s="198">
        <f>Qty!W206*'Hist. prices'!S285*S$244</f>
        <v>0</v>
      </c>
      <c r="T285" s="198">
        <f>Qty!X206*'Hist. prices'!T285*T$244</f>
        <v>0</v>
      </c>
      <c r="U285" s="198">
        <f>Qty!Y206*'Hist. prices'!U285*U$244</f>
        <v>0</v>
      </c>
      <c r="V285" s="198">
        <f>Qty!Z206*'Hist. prices'!V285*V$244</f>
        <v>0</v>
      </c>
      <c r="W285" s="198">
        <f>Qty!AA206*'Hist. prices'!W285*W$244</f>
        <v>0</v>
      </c>
      <c r="X285" s="198">
        <f>Qty!AB206*'Hist. prices'!X285*X$244</f>
        <v>0</v>
      </c>
      <c r="Y285" s="198">
        <f>Qty!AC206*'Hist. prices'!Y285*Y$244</f>
        <v>0</v>
      </c>
      <c r="Z285" s="198">
        <f>Qty!AD206*'Hist. prices'!Z285*Z$244</f>
        <v>0</v>
      </c>
      <c r="AA285" s="198">
        <f>Qty!AE206*'Hist. prices'!AA285*AA$244</f>
        <v>0</v>
      </c>
      <c r="AB285" s="198">
        <f>Qty!AF206*'Hist. prices'!AB285*AB$244</f>
        <v>0</v>
      </c>
      <c r="AC285" s="206">
        <f t="shared" si="31"/>
        <v>0</v>
      </c>
      <c r="AD285" s="68"/>
      <c r="AE285" s="19"/>
      <c r="AF285" s="19"/>
      <c r="AG285" s="19"/>
      <c r="AH285" s="19"/>
    </row>
    <row r="286" spans="1:34" hidden="1" outlineLevel="3" x14ac:dyDescent="0.2">
      <c r="A286" s="19"/>
      <c r="B286" s="19"/>
      <c r="C286" s="506">
        <f>Qty!C207</f>
        <v>0</v>
      </c>
      <c r="D286" s="505">
        <f>Qty!D207</f>
        <v>0</v>
      </c>
      <c r="E286" s="505">
        <f>Qty!E207</f>
        <v>0</v>
      </c>
      <c r="F286" s="505">
        <f>Qty!F207</f>
        <v>0</v>
      </c>
      <c r="G286" s="505">
        <f>Qty!G207</f>
        <v>0</v>
      </c>
      <c r="H286" s="58"/>
      <c r="I286" s="198">
        <f>Qty!M207*'Hist. prices'!I286*I$244</f>
        <v>0</v>
      </c>
      <c r="J286" s="198">
        <f>Qty!N207*'Hist. prices'!J286*J$244</f>
        <v>0</v>
      </c>
      <c r="K286" s="198">
        <f>Qty!O207*'Hist. prices'!K286*K$244</f>
        <v>0</v>
      </c>
      <c r="L286" s="198">
        <f>Qty!P207*'Hist. prices'!L286*L$244</f>
        <v>0</v>
      </c>
      <c r="M286" s="198">
        <f>Qty!Q207*'Hist. prices'!M286*M$244</f>
        <v>0</v>
      </c>
      <c r="N286" s="198">
        <f>Qty!R207*'Hist. prices'!N286*N$244</f>
        <v>0</v>
      </c>
      <c r="O286" s="198">
        <f>Qty!S207*'Hist. prices'!O286*O$244</f>
        <v>0</v>
      </c>
      <c r="P286" s="198">
        <f>Qty!T207*'Hist. prices'!P286*P$244</f>
        <v>0</v>
      </c>
      <c r="Q286" s="198">
        <f>Qty!U207*'Hist. prices'!Q286*Q$244</f>
        <v>0</v>
      </c>
      <c r="R286" s="198">
        <f>Qty!V207*'Hist. prices'!R286*R$244</f>
        <v>0</v>
      </c>
      <c r="S286" s="198">
        <f>Qty!W207*'Hist. prices'!S286*S$244</f>
        <v>0</v>
      </c>
      <c r="T286" s="198">
        <f>Qty!X207*'Hist. prices'!T286*T$244</f>
        <v>0</v>
      </c>
      <c r="U286" s="198">
        <f>Qty!Y207*'Hist. prices'!U286*U$244</f>
        <v>0</v>
      </c>
      <c r="V286" s="198">
        <f>Qty!Z207*'Hist. prices'!V286*V$244</f>
        <v>0</v>
      </c>
      <c r="W286" s="198">
        <f>Qty!AA207*'Hist. prices'!W286*W$244</f>
        <v>0</v>
      </c>
      <c r="X286" s="198">
        <f>Qty!AB207*'Hist. prices'!X286*X$244</f>
        <v>0</v>
      </c>
      <c r="Y286" s="198">
        <f>Qty!AC207*'Hist. prices'!Y286*Y$244</f>
        <v>0</v>
      </c>
      <c r="Z286" s="198">
        <f>Qty!AD207*'Hist. prices'!Z286*Z$244</f>
        <v>0</v>
      </c>
      <c r="AA286" s="198">
        <f>Qty!AE207*'Hist. prices'!AA286*AA$244</f>
        <v>0</v>
      </c>
      <c r="AB286" s="198">
        <f>Qty!AF207*'Hist. prices'!AB286*AB$244</f>
        <v>0</v>
      </c>
      <c r="AC286" s="206">
        <f t="shared" si="31"/>
        <v>0</v>
      </c>
      <c r="AD286" s="68"/>
      <c r="AE286" s="19"/>
      <c r="AF286" s="19"/>
      <c r="AG286" s="19"/>
      <c r="AH286" s="19"/>
    </row>
    <row r="287" spans="1:34" hidden="1" outlineLevel="3" x14ac:dyDescent="0.2">
      <c r="A287" s="19"/>
      <c r="B287" s="19"/>
      <c r="C287" s="506">
        <f>Qty!C208</f>
        <v>0</v>
      </c>
      <c r="D287" s="505">
        <f>Qty!D208</f>
        <v>0</v>
      </c>
      <c r="E287" s="505">
        <f>Qty!E208</f>
        <v>0</v>
      </c>
      <c r="F287" s="505">
        <f>Qty!F208</f>
        <v>0</v>
      </c>
      <c r="G287" s="505">
        <f>Qty!G208</f>
        <v>0</v>
      </c>
      <c r="H287" s="58"/>
      <c r="I287" s="198">
        <f>Qty!M208*'Hist. prices'!I287*I$244</f>
        <v>0</v>
      </c>
      <c r="J287" s="198">
        <f>Qty!N208*'Hist. prices'!J287*J$244</f>
        <v>0</v>
      </c>
      <c r="K287" s="198">
        <f>Qty!O208*'Hist. prices'!K287*K$244</f>
        <v>0</v>
      </c>
      <c r="L287" s="198">
        <f>Qty!P208*'Hist. prices'!L287*L$244</f>
        <v>0</v>
      </c>
      <c r="M287" s="198">
        <f>Qty!Q208*'Hist. prices'!M287*M$244</f>
        <v>0</v>
      </c>
      <c r="N287" s="198">
        <f>Qty!R208*'Hist. prices'!N287*N$244</f>
        <v>0</v>
      </c>
      <c r="O287" s="198">
        <f>Qty!S208*'Hist. prices'!O287*O$244</f>
        <v>0</v>
      </c>
      <c r="P287" s="198">
        <f>Qty!T208*'Hist. prices'!P287*P$244</f>
        <v>0</v>
      </c>
      <c r="Q287" s="198">
        <f>Qty!U208*'Hist. prices'!Q287*Q$244</f>
        <v>0</v>
      </c>
      <c r="R287" s="198">
        <f>Qty!V208*'Hist. prices'!R287*R$244</f>
        <v>0</v>
      </c>
      <c r="S287" s="198">
        <f>Qty!W208*'Hist. prices'!S287*S$244</f>
        <v>0</v>
      </c>
      <c r="T287" s="198">
        <f>Qty!X208*'Hist. prices'!T287*T$244</f>
        <v>0</v>
      </c>
      <c r="U287" s="198">
        <f>Qty!Y208*'Hist. prices'!U287*U$244</f>
        <v>0</v>
      </c>
      <c r="V287" s="198">
        <f>Qty!Z208*'Hist. prices'!V287*V$244</f>
        <v>0</v>
      </c>
      <c r="W287" s="198">
        <f>Qty!AA208*'Hist. prices'!W287*W$244</f>
        <v>0</v>
      </c>
      <c r="X287" s="198">
        <f>Qty!AB208*'Hist. prices'!X287*X$244</f>
        <v>0</v>
      </c>
      <c r="Y287" s="198">
        <f>Qty!AC208*'Hist. prices'!Y287*Y$244</f>
        <v>0</v>
      </c>
      <c r="Z287" s="198">
        <f>Qty!AD208*'Hist. prices'!Z287*Z$244</f>
        <v>0</v>
      </c>
      <c r="AA287" s="198">
        <f>Qty!AE208*'Hist. prices'!AA287*AA$244</f>
        <v>0</v>
      </c>
      <c r="AB287" s="198">
        <f>Qty!AF208*'Hist. prices'!AB287*AB$244</f>
        <v>0</v>
      </c>
      <c r="AC287" s="206">
        <f t="shared" si="31"/>
        <v>0</v>
      </c>
      <c r="AD287" s="68"/>
      <c r="AE287" s="19"/>
      <c r="AF287" s="19"/>
      <c r="AG287" s="19"/>
      <c r="AH287" s="19"/>
    </row>
    <row r="288" spans="1:34" hidden="1" outlineLevel="3" x14ac:dyDescent="0.2">
      <c r="A288" s="19"/>
      <c r="B288" s="19"/>
      <c r="C288" s="506">
        <f>Qty!C209</f>
        <v>0</v>
      </c>
      <c r="D288" s="505">
        <f>Qty!D209</f>
        <v>0</v>
      </c>
      <c r="E288" s="505">
        <f>Qty!E209</f>
        <v>0</v>
      </c>
      <c r="F288" s="505">
        <f>Qty!F209</f>
        <v>0</v>
      </c>
      <c r="G288" s="505">
        <f>Qty!G209</f>
        <v>0</v>
      </c>
      <c r="H288" s="58"/>
      <c r="I288" s="198">
        <f>Qty!M209*'Hist. prices'!I288*I$244</f>
        <v>0</v>
      </c>
      <c r="J288" s="198">
        <f>Qty!N209*'Hist. prices'!J288*J$244</f>
        <v>0</v>
      </c>
      <c r="K288" s="198">
        <f>Qty!O209*'Hist. prices'!K288*K$244</f>
        <v>0</v>
      </c>
      <c r="L288" s="198">
        <f>Qty!P209*'Hist. prices'!L288*L$244</f>
        <v>0</v>
      </c>
      <c r="M288" s="198">
        <f>Qty!Q209*'Hist. prices'!M288*M$244</f>
        <v>0</v>
      </c>
      <c r="N288" s="198">
        <f>Qty!R209*'Hist. prices'!N288*N$244</f>
        <v>0</v>
      </c>
      <c r="O288" s="198">
        <f>Qty!S209*'Hist. prices'!O288*O$244</f>
        <v>0</v>
      </c>
      <c r="P288" s="198">
        <f>Qty!T209*'Hist. prices'!P288*P$244</f>
        <v>0</v>
      </c>
      <c r="Q288" s="198">
        <f>Qty!U209*'Hist. prices'!Q288*Q$244</f>
        <v>0</v>
      </c>
      <c r="R288" s="198">
        <f>Qty!V209*'Hist. prices'!R288*R$244</f>
        <v>0</v>
      </c>
      <c r="S288" s="198">
        <f>Qty!W209*'Hist. prices'!S288*S$244</f>
        <v>0</v>
      </c>
      <c r="T288" s="198">
        <f>Qty!X209*'Hist. prices'!T288*T$244</f>
        <v>0</v>
      </c>
      <c r="U288" s="198">
        <f>Qty!Y209*'Hist. prices'!U288*U$244</f>
        <v>0</v>
      </c>
      <c r="V288" s="198">
        <f>Qty!Z209*'Hist. prices'!V288*V$244</f>
        <v>0</v>
      </c>
      <c r="W288" s="198">
        <f>Qty!AA209*'Hist. prices'!W288*W$244</f>
        <v>0</v>
      </c>
      <c r="X288" s="198">
        <f>Qty!AB209*'Hist. prices'!X288*X$244</f>
        <v>0</v>
      </c>
      <c r="Y288" s="198">
        <f>Qty!AC209*'Hist. prices'!Y288*Y$244</f>
        <v>0</v>
      </c>
      <c r="Z288" s="198">
        <f>Qty!AD209*'Hist. prices'!Z288*Z$244</f>
        <v>0</v>
      </c>
      <c r="AA288" s="198">
        <f>Qty!AE209*'Hist. prices'!AA288*AA$244</f>
        <v>0</v>
      </c>
      <c r="AB288" s="198">
        <f>Qty!AF209*'Hist. prices'!AB288*AB$244</f>
        <v>0</v>
      </c>
      <c r="AC288" s="206">
        <f t="shared" si="31"/>
        <v>0</v>
      </c>
      <c r="AD288" s="68"/>
      <c r="AE288" s="19"/>
      <c r="AF288" s="19"/>
      <c r="AG288" s="19"/>
      <c r="AH288" s="19"/>
    </row>
    <row r="289" spans="1:34" hidden="1" outlineLevel="3" x14ac:dyDescent="0.2">
      <c r="A289" s="19"/>
      <c r="B289" s="19"/>
      <c r="C289" s="506">
        <f>Qty!C210</f>
        <v>0</v>
      </c>
      <c r="D289" s="505">
        <f>Qty!D210</f>
        <v>0</v>
      </c>
      <c r="E289" s="505">
        <f>Qty!E210</f>
        <v>0</v>
      </c>
      <c r="F289" s="505">
        <f>Qty!F210</f>
        <v>0</v>
      </c>
      <c r="G289" s="505">
        <f>Qty!G210</f>
        <v>0</v>
      </c>
      <c r="H289" s="58"/>
      <c r="I289" s="198">
        <f>Qty!M210*'Hist. prices'!I289*I$244</f>
        <v>0</v>
      </c>
      <c r="J289" s="198">
        <f>Qty!N210*'Hist. prices'!J289*J$244</f>
        <v>0</v>
      </c>
      <c r="K289" s="198">
        <f>Qty!O210*'Hist. prices'!K289*K$244</f>
        <v>0</v>
      </c>
      <c r="L289" s="198">
        <f>Qty!P210*'Hist. prices'!L289*L$244</f>
        <v>0</v>
      </c>
      <c r="M289" s="198">
        <f>Qty!Q210*'Hist. prices'!M289*M$244</f>
        <v>0</v>
      </c>
      <c r="N289" s="198">
        <f>Qty!R210*'Hist. prices'!N289*N$244</f>
        <v>0</v>
      </c>
      <c r="O289" s="198">
        <f>Qty!S210*'Hist. prices'!O289*O$244</f>
        <v>0</v>
      </c>
      <c r="P289" s="198">
        <f>Qty!T210*'Hist. prices'!P289*P$244</f>
        <v>0</v>
      </c>
      <c r="Q289" s="198">
        <f>Qty!U210*'Hist. prices'!Q289*Q$244</f>
        <v>0</v>
      </c>
      <c r="R289" s="198">
        <f>Qty!V210*'Hist. prices'!R289*R$244</f>
        <v>0</v>
      </c>
      <c r="S289" s="198">
        <f>Qty!W210*'Hist. prices'!S289*S$244</f>
        <v>0</v>
      </c>
      <c r="T289" s="198">
        <f>Qty!X210*'Hist. prices'!T289*T$244</f>
        <v>0</v>
      </c>
      <c r="U289" s="198">
        <f>Qty!Y210*'Hist. prices'!U289*U$244</f>
        <v>0</v>
      </c>
      <c r="V289" s="198">
        <f>Qty!Z210*'Hist. prices'!V289*V$244</f>
        <v>0</v>
      </c>
      <c r="W289" s="198">
        <f>Qty!AA210*'Hist. prices'!W289*W$244</f>
        <v>0</v>
      </c>
      <c r="X289" s="198">
        <f>Qty!AB210*'Hist. prices'!X289*X$244</f>
        <v>0</v>
      </c>
      <c r="Y289" s="198">
        <f>Qty!AC210*'Hist. prices'!Y289*Y$244</f>
        <v>0</v>
      </c>
      <c r="Z289" s="198">
        <f>Qty!AD210*'Hist. prices'!Z289*Z$244</f>
        <v>0</v>
      </c>
      <c r="AA289" s="198">
        <f>Qty!AE210*'Hist. prices'!AA289*AA$244</f>
        <v>0</v>
      </c>
      <c r="AB289" s="198">
        <f>Qty!AF210*'Hist. prices'!AB289*AB$244</f>
        <v>0</v>
      </c>
      <c r="AC289" s="206">
        <f t="shared" si="31"/>
        <v>0</v>
      </c>
      <c r="AD289" s="68"/>
      <c r="AE289" s="19"/>
      <c r="AF289" s="19"/>
      <c r="AG289" s="19"/>
      <c r="AH289" s="19"/>
    </row>
    <row r="290" spans="1:34" hidden="1" outlineLevel="3" x14ac:dyDescent="0.2">
      <c r="A290" s="19"/>
      <c r="B290" s="19"/>
      <c r="C290" s="506">
        <f>Qty!C211</f>
        <v>0</v>
      </c>
      <c r="D290" s="505">
        <f>Qty!D211</f>
        <v>0</v>
      </c>
      <c r="E290" s="505">
        <f>Qty!E211</f>
        <v>0</v>
      </c>
      <c r="F290" s="505">
        <f>Qty!F211</f>
        <v>0</v>
      </c>
      <c r="G290" s="505">
        <f>Qty!G211</f>
        <v>0</v>
      </c>
      <c r="H290" s="58"/>
      <c r="I290" s="198">
        <f>Qty!M211*'Hist. prices'!I290*I$244</f>
        <v>0</v>
      </c>
      <c r="J290" s="198">
        <f>Qty!N211*'Hist. prices'!J290*J$244</f>
        <v>0</v>
      </c>
      <c r="K290" s="198">
        <f>Qty!O211*'Hist. prices'!K290*K$244</f>
        <v>0</v>
      </c>
      <c r="L290" s="198">
        <f>Qty!P211*'Hist. prices'!L290*L$244</f>
        <v>0</v>
      </c>
      <c r="M290" s="198">
        <f>Qty!Q211*'Hist. prices'!M290*M$244</f>
        <v>0</v>
      </c>
      <c r="N290" s="198">
        <f>Qty!R211*'Hist. prices'!N290*N$244</f>
        <v>0</v>
      </c>
      <c r="O290" s="198">
        <f>Qty!S211*'Hist. prices'!O290*O$244</f>
        <v>0</v>
      </c>
      <c r="P290" s="198">
        <f>Qty!T211*'Hist. prices'!P290*P$244</f>
        <v>0</v>
      </c>
      <c r="Q290" s="198">
        <f>Qty!U211*'Hist. prices'!Q290*Q$244</f>
        <v>0</v>
      </c>
      <c r="R290" s="198">
        <f>Qty!V211*'Hist. prices'!R290*R$244</f>
        <v>0</v>
      </c>
      <c r="S290" s="198">
        <f>Qty!W211*'Hist. prices'!S290*S$244</f>
        <v>0</v>
      </c>
      <c r="T290" s="198">
        <f>Qty!X211*'Hist. prices'!T290*T$244</f>
        <v>0</v>
      </c>
      <c r="U290" s="198">
        <f>Qty!Y211*'Hist. prices'!U290*U$244</f>
        <v>0</v>
      </c>
      <c r="V290" s="198">
        <f>Qty!Z211*'Hist. prices'!V290*V$244</f>
        <v>0</v>
      </c>
      <c r="W290" s="198">
        <f>Qty!AA211*'Hist. prices'!W290*W$244</f>
        <v>0</v>
      </c>
      <c r="X290" s="198">
        <f>Qty!AB211*'Hist. prices'!X290*X$244</f>
        <v>0</v>
      </c>
      <c r="Y290" s="198">
        <f>Qty!AC211*'Hist. prices'!Y290*Y$244</f>
        <v>0</v>
      </c>
      <c r="Z290" s="198">
        <f>Qty!AD211*'Hist. prices'!Z290*Z$244</f>
        <v>0</v>
      </c>
      <c r="AA290" s="198">
        <f>Qty!AE211*'Hist. prices'!AA290*AA$244</f>
        <v>0</v>
      </c>
      <c r="AB290" s="198">
        <f>Qty!AF211*'Hist. prices'!AB290*AB$244</f>
        <v>0</v>
      </c>
      <c r="AC290" s="206">
        <f t="shared" si="31"/>
        <v>0</v>
      </c>
      <c r="AD290" s="68"/>
      <c r="AE290" s="19"/>
      <c r="AF290" s="19"/>
      <c r="AG290" s="19"/>
      <c r="AH290" s="19"/>
    </row>
    <row r="291" spans="1:34" hidden="1" outlineLevel="3" x14ac:dyDescent="0.2">
      <c r="A291" s="19"/>
      <c r="B291" s="19"/>
      <c r="C291" s="506">
        <f>Qty!C212</f>
        <v>0</v>
      </c>
      <c r="D291" s="505">
        <f>Qty!D212</f>
        <v>0</v>
      </c>
      <c r="E291" s="505">
        <f>Qty!E212</f>
        <v>0</v>
      </c>
      <c r="F291" s="505">
        <f>Qty!F212</f>
        <v>0</v>
      </c>
      <c r="G291" s="505">
        <f>Qty!G212</f>
        <v>0</v>
      </c>
      <c r="H291" s="58"/>
      <c r="I291" s="198">
        <f>Qty!M212*'Hist. prices'!I291*I$244</f>
        <v>0</v>
      </c>
      <c r="J291" s="198">
        <f>Qty!N212*'Hist. prices'!J291*J$244</f>
        <v>0</v>
      </c>
      <c r="K291" s="198">
        <f>Qty!O212*'Hist. prices'!K291*K$244</f>
        <v>0</v>
      </c>
      <c r="L291" s="198">
        <f>Qty!P212*'Hist. prices'!L291*L$244</f>
        <v>0</v>
      </c>
      <c r="M291" s="198">
        <f>Qty!Q212*'Hist. prices'!M291*M$244</f>
        <v>0</v>
      </c>
      <c r="N291" s="198">
        <f>Qty!R212*'Hist. prices'!N291*N$244</f>
        <v>0</v>
      </c>
      <c r="O291" s="198">
        <f>Qty!S212*'Hist. prices'!O291*O$244</f>
        <v>0</v>
      </c>
      <c r="P291" s="198">
        <f>Qty!T212*'Hist. prices'!P291*P$244</f>
        <v>0</v>
      </c>
      <c r="Q291" s="198">
        <f>Qty!U212*'Hist. prices'!Q291*Q$244</f>
        <v>0</v>
      </c>
      <c r="R291" s="198">
        <f>Qty!V212*'Hist. prices'!R291*R$244</f>
        <v>0</v>
      </c>
      <c r="S291" s="198">
        <f>Qty!W212*'Hist. prices'!S291*S$244</f>
        <v>0</v>
      </c>
      <c r="T291" s="198">
        <f>Qty!X212*'Hist. prices'!T291*T$244</f>
        <v>0</v>
      </c>
      <c r="U291" s="198">
        <f>Qty!Y212*'Hist. prices'!U291*U$244</f>
        <v>0</v>
      </c>
      <c r="V291" s="198">
        <f>Qty!Z212*'Hist. prices'!V291*V$244</f>
        <v>0</v>
      </c>
      <c r="W291" s="198">
        <f>Qty!AA212*'Hist. prices'!W291*W$244</f>
        <v>0</v>
      </c>
      <c r="X291" s="198">
        <f>Qty!AB212*'Hist. prices'!X291*X$244</f>
        <v>0</v>
      </c>
      <c r="Y291" s="198">
        <f>Qty!AC212*'Hist. prices'!Y291*Y$244</f>
        <v>0</v>
      </c>
      <c r="Z291" s="198">
        <f>Qty!AD212*'Hist. prices'!Z291*Z$244</f>
        <v>0</v>
      </c>
      <c r="AA291" s="198">
        <f>Qty!AE212*'Hist. prices'!AA291*AA$244</f>
        <v>0</v>
      </c>
      <c r="AB291" s="198">
        <f>Qty!AF212*'Hist. prices'!AB291*AB$244</f>
        <v>0</v>
      </c>
      <c r="AC291" s="206">
        <f t="shared" si="31"/>
        <v>0</v>
      </c>
      <c r="AD291" s="68"/>
      <c r="AE291" s="19"/>
      <c r="AF291" s="19"/>
      <c r="AG291" s="19"/>
      <c r="AH291" s="19"/>
    </row>
    <row r="292" spans="1:34" hidden="1" outlineLevel="3" x14ac:dyDescent="0.2">
      <c r="A292" s="19"/>
      <c r="B292" s="19"/>
      <c r="C292" s="506">
        <f>Qty!C213</f>
        <v>0</v>
      </c>
      <c r="D292" s="505">
        <f>Qty!D213</f>
        <v>0</v>
      </c>
      <c r="E292" s="505">
        <f>Qty!E213</f>
        <v>0</v>
      </c>
      <c r="F292" s="505">
        <f>Qty!F213</f>
        <v>0</v>
      </c>
      <c r="G292" s="505">
        <f>Qty!G213</f>
        <v>0</v>
      </c>
      <c r="H292" s="58"/>
      <c r="I292" s="198">
        <f>Qty!M213*'Hist. prices'!I292*I$244</f>
        <v>0</v>
      </c>
      <c r="J292" s="198">
        <f>Qty!N213*'Hist. prices'!J292*J$244</f>
        <v>0</v>
      </c>
      <c r="K292" s="198">
        <f>Qty!O213*'Hist. prices'!K292*K$244</f>
        <v>0</v>
      </c>
      <c r="L292" s="198">
        <f>Qty!P213*'Hist. prices'!L292*L$244</f>
        <v>0</v>
      </c>
      <c r="M292" s="198">
        <f>Qty!Q213*'Hist. prices'!M292*M$244</f>
        <v>0</v>
      </c>
      <c r="N292" s="198">
        <f>Qty!R213*'Hist. prices'!N292*N$244</f>
        <v>0</v>
      </c>
      <c r="O292" s="198">
        <f>Qty!S213*'Hist. prices'!O292*O$244</f>
        <v>0</v>
      </c>
      <c r="P292" s="198">
        <f>Qty!T213*'Hist. prices'!P292*P$244</f>
        <v>0</v>
      </c>
      <c r="Q292" s="198">
        <f>Qty!U213*'Hist. prices'!Q292*Q$244</f>
        <v>0</v>
      </c>
      <c r="R292" s="198">
        <f>Qty!V213*'Hist. prices'!R292*R$244</f>
        <v>0</v>
      </c>
      <c r="S292" s="198">
        <f>Qty!W213*'Hist. prices'!S292*S$244</f>
        <v>0</v>
      </c>
      <c r="T292" s="198">
        <f>Qty!X213*'Hist. prices'!T292*T$244</f>
        <v>0</v>
      </c>
      <c r="U292" s="198">
        <f>Qty!Y213*'Hist. prices'!U292*U$244</f>
        <v>0</v>
      </c>
      <c r="V292" s="198">
        <f>Qty!Z213*'Hist. prices'!V292*V$244</f>
        <v>0</v>
      </c>
      <c r="W292" s="198">
        <f>Qty!AA213*'Hist. prices'!W292*W$244</f>
        <v>0</v>
      </c>
      <c r="X292" s="198">
        <f>Qty!AB213*'Hist. prices'!X292*X$244</f>
        <v>0</v>
      </c>
      <c r="Y292" s="198">
        <f>Qty!AC213*'Hist. prices'!Y292*Y$244</f>
        <v>0</v>
      </c>
      <c r="Z292" s="198">
        <f>Qty!AD213*'Hist. prices'!Z292*Z$244</f>
        <v>0</v>
      </c>
      <c r="AA292" s="198">
        <f>Qty!AE213*'Hist. prices'!AA292*AA$244</f>
        <v>0</v>
      </c>
      <c r="AB292" s="198">
        <f>Qty!AF213*'Hist. prices'!AB292*AB$244</f>
        <v>0</v>
      </c>
      <c r="AC292" s="206">
        <f t="shared" si="31"/>
        <v>0</v>
      </c>
      <c r="AD292" s="68"/>
      <c r="AE292" s="19"/>
      <c r="AF292" s="19"/>
      <c r="AG292" s="19"/>
      <c r="AH292" s="19"/>
    </row>
    <row r="293" spans="1:34" hidden="1" outlineLevel="3" x14ac:dyDescent="0.2">
      <c r="A293" s="19"/>
      <c r="B293" s="19"/>
      <c r="C293" s="506">
        <f>Qty!C214</f>
        <v>0</v>
      </c>
      <c r="D293" s="505">
        <f>Qty!D214</f>
        <v>0</v>
      </c>
      <c r="E293" s="505">
        <f>Qty!E214</f>
        <v>0</v>
      </c>
      <c r="F293" s="505">
        <f>Qty!F214</f>
        <v>0</v>
      </c>
      <c r="G293" s="505">
        <f>Qty!G214</f>
        <v>0</v>
      </c>
      <c r="H293" s="58"/>
      <c r="I293" s="198">
        <f>Qty!M214*'Hist. prices'!I293*I$244</f>
        <v>0</v>
      </c>
      <c r="J293" s="198">
        <f>Qty!N214*'Hist. prices'!J293*J$244</f>
        <v>0</v>
      </c>
      <c r="K293" s="198">
        <f>Qty!O214*'Hist. prices'!K293*K$244</f>
        <v>0</v>
      </c>
      <c r="L293" s="198">
        <f>Qty!P214*'Hist. prices'!L293*L$244</f>
        <v>0</v>
      </c>
      <c r="M293" s="198">
        <f>Qty!Q214*'Hist. prices'!M293*M$244</f>
        <v>0</v>
      </c>
      <c r="N293" s="198">
        <f>Qty!R214*'Hist. prices'!N293*N$244</f>
        <v>0</v>
      </c>
      <c r="O293" s="198">
        <f>Qty!S214*'Hist. prices'!O293*O$244</f>
        <v>0</v>
      </c>
      <c r="P293" s="198">
        <f>Qty!T214*'Hist. prices'!P293*P$244</f>
        <v>0</v>
      </c>
      <c r="Q293" s="198">
        <f>Qty!U214*'Hist. prices'!Q293*Q$244</f>
        <v>0</v>
      </c>
      <c r="R293" s="198">
        <f>Qty!V214*'Hist. prices'!R293*R$244</f>
        <v>0</v>
      </c>
      <c r="S293" s="198">
        <f>Qty!W214*'Hist. prices'!S293*S$244</f>
        <v>0</v>
      </c>
      <c r="T293" s="198">
        <f>Qty!X214*'Hist. prices'!T293*T$244</f>
        <v>0</v>
      </c>
      <c r="U293" s="198">
        <f>Qty!Y214*'Hist. prices'!U293*U$244</f>
        <v>0</v>
      </c>
      <c r="V293" s="198">
        <f>Qty!Z214*'Hist. prices'!V293*V$244</f>
        <v>0</v>
      </c>
      <c r="W293" s="198">
        <f>Qty!AA214*'Hist. prices'!W293*W$244</f>
        <v>0</v>
      </c>
      <c r="X293" s="198">
        <f>Qty!AB214*'Hist. prices'!X293*X$244</f>
        <v>0</v>
      </c>
      <c r="Y293" s="198">
        <f>Qty!AC214*'Hist. prices'!Y293*Y$244</f>
        <v>0</v>
      </c>
      <c r="Z293" s="198">
        <f>Qty!AD214*'Hist. prices'!Z293*Z$244</f>
        <v>0</v>
      </c>
      <c r="AA293" s="198">
        <f>Qty!AE214*'Hist. prices'!AA293*AA$244</f>
        <v>0</v>
      </c>
      <c r="AB293" s="198">
        <f>Qty!AF214*'Hist. prices'!AB293*AB$244</f>
        <v>0</v>
      </c>
      <c r="AC293" s="206">
        <f t="shared" si="31"/>
        <v>0</v>
      </c>
      <c r="AD293" s="68"/>
      <c r="AE293" s="19"/>
      <c r="AF293" s="19"/>
      <c r="AG293" s="19"/>
      <c r="AH293" s="19"/>
    </row>
    <row r="294" spans="1:34" hidden="1" outlineLevel="3" x14ac:dyDescent="0.2">
      <c r="A294" s="19"/>
      <c r="B294" s="19"/>
      <c r="C294" s="506">
        <f>Qty!C215</f>
        <v>0</v>
      </c>
      <c r="D294" s="505">
        <f>Qty!D215</f>
        <v>0</v>
      </c>
      <c r="E294" s="505">
        <f>Qty!E215</f>
        <v>0</v>
      </c>
      <c r="F294" s="505">
        <f>Qty!F215</f>
        <v>0</v>
      </c>
      <c r="G294" s="505">
        <f>Qty!G215</f>
        <v>0</v>
      </c>
      <c r="H294" s="58"/>
      <c r="I294" s="198">
        <f>Qty!M215*'Hist. prices'!I294*I$244</f>
        <v>0</v>
      </c>
      <c r="J294" s="198">
        <f>Qty!N215*'Hist. prices'!J294*J$244</f>
        <v>0</v>
      </c>
      <c r="K294" s="198">
        <f>Qty!O215*'Hist. prices'!K294*K$244</f>
        <v>0</v>
      </c>
      <c r="L294" s="198">
        <f>Qty!P215*'Hist. prices'!L294*L$244</f>
        <v>0</v>
      </c>
      <c r="M294" s="198">
        <f>Qty!Q215*'Hist. prices'!M294*M$244</f>
        <v>0</v>
      </c>
      <c r="N294" s="198">
        <f>Qty!R215*'Hist. prices'!N294*N$244</f>
        <v>0</v>
      </c>
      <c r="O294" s="198">
        <f>Qty!S215*'Hist. prices'!O294*O$244</f>
        <v>0</v>
      </c>
      <c r="P294" s="198">
        <f>Qty!T215*'Hist. prices'!P294*P$244</f>
        <v>0</v>
      </c>
      <c r="Q294" s="198">
        <f>Qty!U215*'Hist. prices'!Q294*Q$244</f>
        <v>0</v>
      </c>
      <c r="R294" s="198">
        <f>Qty!V215*'Hist. prices'!R294*R$244</f>
        <v>0</v>
      </c>
      <c r="S294" s="198">
        <f>Qty!W215*'Hist. prices'!S294*S$244</f>
        <v>0</v>
      </c>
      <c r="T294" s="198">
        <f>Qty!X215*'Hist. prices'!T294*T$244</f>
        <v>0</v>
      </c>
      <c r="U294" s="198">
        <f>Qty!Y215*'Hist. prices'!U294*U$244</f>
        <v>0</v>
      </c>
      <c r="V294" s="198">
        <f>Qty!Z215*'Hist. prices'!V294*V$244</f>
        <v>0</v>
      </c>
      <c r="W294" s="198">
        <f>Qty!AA215*'Hist. prices'!W294*W$244</f>
        <v>0</v>
      </c>
      <c r="X294" s="198">
        <f>Qty!AB215*'Hist. prices'!X294*X$244</f>
        <v>0</v>
      </c>
      <c r="Y294" s="198">
        <f>Qty!AC215*'Hist. prices'!Y294*Y$244</f>
        <v>0</v>
      </c>
      <c r="Z294" s="198">
        <f>Qty!AD215*'Hist. prices'!Z294*Z$244</f>
        <v>0</v>
      </c>
      <c r="AA294" s="198">
        <f>Qty!AE215*'Hist. prices'!AA294*AA$244</f>
        <v>0</v>
      </c>
      <c r="AB294" s="198">
        <f>Qty!AF215*'Hist. prices'!AB294*AB$244</f>
        <v>0</v>
      </c>
      <c r="AC294" s="206">
        <f t="shared" si="31"/>
        <v>0</v>
      </c>
      <c r="AD294" s="68"/>
      <c r="AE294" s="19"/>
      <c r="AF294" s="19"/>
      <c r="AG294" s="19"/>
      <c r="AH294" s="19"/>
    </row>
    <row r="295" spans="1:34" hidden="1" outlineLevel="3" x14ac:dyDescent="0.2">
      <c r="A295" s="19"/>
      <c r="B295" s="19"/>
      <c r="C295" s="506">
        <f>Qty!C216</f>
        <v>0</v>
      </c>
      <c r="D295" s="505">
        <f>Qty!D216</f>
        <v>0</v>
      </c>
      <c r="E295" s="505">
        <f>Qty!E216</f>
        <v>0</v>
      </c>
      <c r="F295" s="505">
        <f>Qty!F216</f>
        <v>0</v>
      </c>
      <c r="G295" s="505">
        <f>Qty!G216</f>
        <v>0</v>
      </c>
      <c r="H295" s="58"/>
      <c r="I295" s="198">
        <f>Qty!M216*'Hist. prices'!I295*I$244</f>
        <v>0</v>
      </c>
      <c r="J295" s="198">
        <f>Qty!N216*'Hist. prices'!J295*J$244</f>
        <v>0</v>
      </c>
      <c r="K295" s="198">
        <f>Qty!O216*'Hist. prices'!K295*K$244</f>
        <v>0</v>
      </c>
      <c r="L295" s="198">
        <f>Qty!P216*'Hist. prices'!L295*L$244</f>
        <v>0</v>
      </c>
      <c r="M295" s="198">
        <f>Qty!Q216*'Hist. prices'!M295*M$244</f>
        <v>0</v>
      </c>
      <c r="N295" s="198">
        <f>Qty!R216*'Hist. prices'!N295*N$244</f>
        <v>0</v>
      </c>
      <c r="O295" s="198">
        <f>Qty!S216*'Hist. prices'!O295*O$244</f>
        <v>0</v>
      </c>
      <c r="P295" s="198">
        <f>Qty!T216*'Hist. prices'!P295*P$244</f>
        <v>0</v>
      </c>
      <c r="Q295" s="198">
        <f>Qty!U216*'Hist. prices'!Q295*Q$244</f>
        <v>0</v>
      </c>
      <c r="R295" s="198">
        <f>Qty!V216*'Hist. prices'!R295*R$244</f>
        <v>0</v>
      </c>
      <c r="S295" s="198">
        <f>Qty!W216*'Hist. prices'!S295*S$244</f>
        <v>0</v>
      </c>
      <c r="T295" s="198">
        <f>Qty!X216*'Hist. prices'!T295*T$244</f>
        <v>0</v>
      </c>
      <c r="U295" s="198">
        <f>Qty!Y216*'Hist. prices'!U295*U$244</f>
        <v>0</v>
      </c>
      <c r="V295" s="198">
        <f>Qty!Z216*'Hist. prices'!V295*V$244</f>
        <v>0</v>
      </c>
      <c r="W295" s="198">
        <f>Qty!AA216*'Hist. prices'!W295*W$244</f>
        <v>0</v>
      </c>
      <c r="X295" s="198">
        <f>Qty!AB216*'Hist. prices'!X295*X$244</f>
        <v>0</v>
      </c>
      <c r="Y295" s="198">
        <f>Qty!AC216*'Hist. prices'!Y295*Y$244</f>
        <v>0</v>
      </c>
      <c r="Z295" s="198">
        <f>Qty!AD216*'Hist. prices'!Z295*Z$244</f>
        <v>0</v>
      </c>
      <c r="AA295" s="198">
        <f>Qty!AE216*'Hist. prices'!AA295*AA$244</f>
        <v>0</v>
      </c>
      <c r="AB295" s="198">
        <f>Qty!AF216*'Hist. prices'!AB295*AB$244</f>
        <v>0</v>
      </c>
      <c r="AC295" s="206">
        <f t="shared" si="31"/>
        <v>0</v>
      </c>
      <c r="AD295" s="68"/>
      <c r="AE295" s="19"/>
      <c r="AF295" s="19"/>
      <c r="AG295" s="19"/>
      <c r="AH295" s="19"/>
    </row>
    <row r="296" spans="1:34" hidden="1" outlineLevel="3" x14ac:dyDescent="0.2">
      <c r="A296" s="19"/>
      <c r="B296" s="19"/>
      <c r="C296" s="506">
        <f>Qty!C217</f>
        <v>0</v>
      </c>
      <c r="D296" s="505">
        <f>Qty!D217</f>
        <v>0</v>
      </c>
      <c r="E296" s="505">
        <f>Qty!E217</f>
        <v>0</v>
      </c>
      <c r="F296" s="505">
        <f>Qty!F217</f>
        <v>0</v>
      </c>
      <c r="G296" s="505">
        <f>Qty!G217</f>
        <v>0</v>
      </c>
      <c r="H296" s="58"/>
      <c r="I296" s="198">
        <f>Qty!M217*'Hist. prices'!I296*I$244</f>
        <v>0</v>
      </c>
      <c r="J296" s="198">
        <f>Qty!N217*'Hist. prices'!J296*J$244</f>
        <v>0</v>
      </c>
      <c r="K296" s="198">
        <f>Qty!O217*'Hist. prices'!K296*K$244</f>
        <v>0</v>
      </c>
      <c r="L296" s="198">
        <f>Qty!P217*'Hist. prices'!L296*L$244</f>
        <v>0</v>
      </c>
      <c r="M296" s="198">
        <f>Qty!Q217*'Hist. prices'!M296*M$244</f>
        <v>0</v>
      </c>
      <c r="N296" s="198">
        <f>Qty!R217*'Hist. prices'!N296*N$244</f>
        <v>0</v>
      </c>
      <c r="O296" s="198">
        <f>Qty!S217*'Hist. prices'!O296*O$244</f>
        <v>0</v>
      </c>
      <c r="P296" s="198">
        <f>Qty!T217*'Hist. prices'!P296*P$244</f>
        <v>0</v>
      </c>
      <c r="Q296" s="198">
        <f>Qty!U217*'Hist. prices'!Q296*Q$244</f>
        <v>0</v>
      </c>
      <c r="R296" s="198">
        <f>Qty!V217*'Hist. prices'!R296*R$244</f>
        <v>0</v>
      </c>
      <c r="S296" s="198">
        <f>Qty!W217*'Hist. prices'!S296*S$244</f>
        <v>0</v>
      </c>
      <c r="T296" s="198">
        <f>Qty!X217*'Hist. prices'!T296*T$244</f>
        <v>0</v>
      </c>
      <c r="U296" s="198">
        <f>Qty!Y217*'Hist. prices'!U296*U$244</f>
        <v>0</v>
      </c>
      <c r="V296" s="198">
        <f>Qty!Z217*'Hist. prices'!V296*V$244</f>
        <v>0</v>
      </c>
      <c r="W296" s="198">
        <f>Qty!AA217*'Hist. prices'!W296*W$244</f>
        <v>0</v>
      </c>
      <c r="X296" s="198">
        <f>Qty!AB217*'Hist. prices'!X296*X$244</f>
        <v>0</v>
      </c>
      <c r="Y296" s="198">
        <f>Qty!AC217*'Hist. prices'!Y296*Y$244</f>
        <v>0</v>
      </c>
      <c r="Z296" s="198">
        <f>Qty!AD217*'Hist. prices'!Z296*Z$244</f>
        <v>0</v>
      </c>
      <c r="AA296" s="198">
        <f>Qty!AE217*'Hist. prices'!AA296*AA$244</f>
        <v>0</v>
      </c>
      <c r="AB296" s="198">
        <f>Qty!AF217*'Hist. prices'!AB296*AB$244</f>
        <v>0</v>
      </c>
      <c r="AC296" s="206">
        <f t="shared" si="31"/>
        <v>0</v>
      </c>
      <c r="AD296" s="68"/>
      <c r="AE296" s="19"/>
      <c r="AF296" s="19"/>
      <c r="AG296" s="19"/>
      <c r="AH296" s="19"/>
    </row>
    <row r="297" spans="1:34" hidden="1" outlineLevel="3" x14ac:dyDescent="0.2">
      <c r="A297" s="19"/>
      <c r="B297" s="19"/>
      <c r="C297" s="506">
        <f>Qty!C218</f>
        <v>0</v>
      </c>
      <c r="D297" s="505">
        <f>Qty!D218</f>
        <v>0</v>
      </c>
      <c r="E297" s="505">
        <f>Qty!E218</f>
        <v>0</v>
      </c>
      <c r="F297" s="505">
        <f>Qty!F218</f>
        <v>0</v>
      </c>
      <c r="G297" s="505">
        <f>Qty!G218</f>
        <v>0</v>
      </c>
      <c r="H297" s="58"/>
      <c r="I297" s="198">
        <f>Qty!M218*'Hist. prices'!I297*I$244</f>
        <v>0</v>
      </c>
      <c r="J297" s="198">
        <f>Qty!N218*'Hist. prices'!J297*J$244</f>
        <v>0</v>
      </c>
      <c r="K297" s="198">
        <f>Qty!O218*'Hist. prices'!K297*K$244</f>
        <v>0</v>
      </c>
      <c r="L297" s="198">
        <f>Qty!P218*'Hist. prices'!L297*L$244</f>
        <v>0</v>
      </c>
      <c r="M297" s="198">
        <f>Qty!Q218*'Hist. prices'!M297*M$244</f>
        <v>0</v>
      </c>
      <c r="N297" s="198">
        <f>Qty!R218*'Hist. prices'!N297*N$244</f>
        <v>0</v>
      </c>
      <c r="O297" s="198">
        <f>Qty!S218*'Hist. prices'!O297*O$244</f>
        <v>0</v>
      </c>
      <c r="P297" s="198">
        <f>Qty!T218*'Hist. prices'!P297*P$244</f>
        <v>0</v>
      </c>
      <c r="Q297" s="198">
        <f>Qty!U218*'Hist. prices'!Q297*Q$244</f>
        <v>0</v>
      </c>
      <c r="R297" s="198">
        <f>Qty!V218*'Hist. prices'!R297*R$244</f>
        <v>0</v>
      </c>
      <c r="S297" s="198">
        <f>Qty!W218*'Hist. prices'!S297*S$244</f>
        <v>0</v>
      </c>
      <c r="T297" s="198">
        <f>Qty!X218*'Hist. prices'!T297*T$244</f>
        <v>0</v>
      </c>
      <c r="U297" s="198">
        <f>Qty!Y218*'Hist. prices'!U297*U$244</f>
        <v>0</v>
      </c>
      <c r="V297" s="198">
        <f>Qty!Z218*'Hist. prices'!V297*V$244</f>
        <v>0</v>
      </c>
      <c r="W297" s="198">
        <f>Qty!AA218*'Hist. prices'!W297*W$244</f>
        <v>0</v>
      </c>
      <c r="X297" s="198">
        <f>Qty!AB218*'Hist. prices'!X297*X$244</f>
        <v>0</v>
      </c>
      <c r="Y297" s="198">
        <f>Qty!AC218*'Hist. prices'!Y297*Y$244</f>
        <v>0</v>
      </c>
      <c r="Z297" s="198">
        <f>Qty!AD218*'Hist. prices'!Z297*Z$244</f>
        <v>0</v>
      </c>
      <c r="AA297" s="198">
        <f>Qty!AE218*'Hist. prices'!AA297*AA$244</f>
        <v>0</v>
      </c>
      <c r="AB297" s="198">
        <f>Qty!AF218*'Hist. prices'!AB297*AB$244</f>
        <v>0</v>
      </c>
      <c r="AC297" s="206">
        <f t="shared" si="31"/>
        <v>0</v>
      </c>
      <c r="AD297" s="68"/>
      <c r="AE297" s="19"/>
      <c r="AF297" s="19"/>
      <c r="AG297" s="19"/>
      <c r="AH297" s="19"/>
    </row>
    <row r="298" spans="1:34" hidden="1" outlineLevel="3" x14ac:dyDescent="0.2">
      <c r="A298" s="19"/>
      <c r="B298" s="19"/>
      <c r="C298" s="506">
        <f>Qty!C219</f>
        <v>0</v>
      </c>
      <c r="D298" s="505">
        <f>Qty!D219</f>
        <v>0</v>
      </c>
      <c r="E298" s="505">
        <f>Qty!E219</f>
        <v>0</v>
      </c>
      <c r="F298" s="505">
        <f>Qty!F219</f>
        <v>0</v>
      </c>
      <c r="G298" s="505">
        <f>Qty!G219</f>
        <v>0</v>
      </c>
      <c r="H298" s="58"/>
      <c r="I298" s="198">
        <f>Qty!M219*'Hist. prices'!I298*I$244</f>
        <v>0</v>
      </c>
      <c r="J298" s="198">
        <f>Qty!N219*'Hist. prices'!J298*J$244</f>
        <v>0</v>
      </c>
      <c r="K298" s="198">
        <f>Qty!O219*'Hist. prices'!K298*K$244</f>
        <v>0</v>
      </c>
      <c r="L298" s="198">
        <f>Qty!P219*'Hist. prices'!L298*L$244</f>
        <v>0</v>
      </c>
      <c r="M298" s="198">
        <f>Qty!Q219*'Hist. prices'!M298*M$244</f>
        <v>0</v>
      </c>
      <c r="N298" s="198">
        <f>Qty!R219*'Hist. prices'!N298*N$244</f>
        <v>0</v>
      </c>
      <c r="O298" s="198">
        <f>Qty!S219*'Hist. prices'!O298*O$244</f>
        <v>0</v>
      </c>
      <c r="P298" s="198">
        <f>Qty!T219*'Hist. prices'!P298*P$244</f>
        <v>0</v>
      </c>
      <c r="Q298" s="198">
        <f>Qty!U219*'Hist. prices'!Q298*Q$244</f>
        <v>0</v>
      </c>
      <c r="R298" s="198">
        <f>Qty!V219*'Hist. prices'!R298*R$244</f>
        <v>0</v>
      </c>
      <c r="S298" s="198">
        <f>Qty!W219*'Hist. prices'!S298*S$244</f>
        <v>0</v>
      </c>
      <c r="T298" s="198">
        <f>Qty!X219*'Hist. prices'!T298*T$244</f>
        <v>0</v>
      </c>
      <c r="U298" s="198">
        <f>Qty!Y219*'Hist. prices'!U298*U$244</f>
        <v>0</v>
      </c>
      <c r="V298" s="198">
        <f>Qty!Z219*'Hist. prices'!V298*V$244</f>
        <v>0</v>
      </c>
      <c r="W298" s="198">
        <f>Qty!AA219*'Hist. prices'!W298*W$244</f>
        <v>0</v>
      </c>
      <c r="X298" s="198">
        <f>Qty!AB219*'Hist. prices'!X298*X$244</f>
        <v>0</v>
      </c>
      <c r="Y298" s="198">
        <f>Qty!AC219*'Hist. prices'!Y298*Y$244</f>
        <v>0</v>
      </c>
      <c r="Z298" s="198">
        <f>Qty!AD219*'Hist. prices'!Z298*Z$244</f>
        <v>0</v>
      </c>
      <c r="AA298" s="198">
        <f>Qty!AE219*'Hist. prices'!AA298*AA$244</f>
        <v>0</v>
      </c>
      <c r="AB298" s="198">
        <f>Qty!AF219*'Hist. prices'!AB298*AB$244</f>
        <v>0</v>
      </c>
      <c r="AC298" s="206">
        <f t="shared" si="31"/>
        <v>0</v>
      </c>
      <c r="AD298" s="68"/>
      <c r="AE298" s="19"/>
      <c r="AF298" s="19"/>
      <c r="AG298" s="19"/>
      <c r="AH298" s="19"/>
    </row>
    <row r="299" spans="1:34" hidden="1" outlineLevel="3" x14ac:dyDescent="0.2">
      <c r="A299" s="19"/>
      <c r="B299" s="19"/>
      <c r="C299" s="506">
        <f>Qty!C220</f>
        <v>0</v>
      </c>
      <c r="D299" s="505">
        <f>Qty!D220</f>
        <v>0</v>
      </c>
      <c r="E299" s="505">
        <f>Qty!E220</f>
        <v>0</v>
      </c>
      <c r="F299" s="505">
        <f>Qty!F220</f>
        <v>0</v>
      </c>
      <c r="G299" s="505">
        <f>Qty!G220</f>
        <v>0</v>
      </c>
      <c r="H299" s="58"/>
      <c r="I299" s="198">
        <f>Qty!M220*'Hist. prices'!I299*I$244</f>
        <v>0</v>
      </c>
      <c r="J299" s="198">
        <f>Qty!N220*'Hist. prices'!J299*J$244</f>
        <v>0</v>
      </c>
      <c r="K299" s="198">
        <f>Qty!O220*'Hist. prices'!K299*K$244</f>
        <v>0</v>
      </c>
      <c r="L299" s="198">
        <f>Qty!P220*'Hist. prices'!L299*L$244</f>
        <v>0</v>
      </c>
      <c r="M299" s="198">
        <f>Qty!Q220*'Hist. prices'!M299*M$244</f>
        <v>0</v>
      </c>
      <c r="N299" s="198">
        <f>Qty!R220*'Hist. prices'!N299*N$244</f>
        <v>0</v>
      </c>
      <c r="O299" s="198">
        <f>Qty!S220*'Hist. prices'!O299*O$244</f>
        <v>0</v>
      </c>
      <c r="P299" s="198">
        <f>Qty!T220*'Hist. prices'!P299*P$244</f>
        <v>0</v>
      </c>
      <c r="Q299" s="198">
        <f>Qty!U220*'Hist. prices'!Q299*Q$244</f>
        <v>0</v>
      </c>
      <c r="R299" s="198">
        <f>Qty!V220*'Hist. prices'!R299*R$244</f>
        <v>0</v>
      </c>
      <c r="S299" s="198">
        <f>Qty!W220*'Hist. prices'!S299*S$244</f>
        <v>0</v>
      </c>
      <c r="T299" s="198">
        <f>Qty!X220*'Hist. prices'!T299*T$244</f>
        <v>0</v>
      </c>
      <c r="U299" s="198">
        <f>Qty!Y220*'Hist. prices'!U299*U$244</f>
        <v>0</v>
      </c>
      <c r="V299" s="198">
        <f>Qty!Z220*'Hist. prices'!V299*V$244</f>
        <v>0</v>
      </c>
      <c r="W299" s="198">
        <f>Qty!AA220*'Hist. prices'!W299*W$244</f>
        <v>0</v>
      </c>
      <c r="X299" s="198">
        <f>Qty!AB220*'Hist. prices'!X299*X$244</f>
        <v>0</v>
      </c>
      <c r="Y299" s="198">
        <f>Qty!AC220*'Hist. prices'!Y299*Y$244</f>
        <v>0</v>
      </c>
      <c r="Z299" s="198">
        <f>Qty!AD220*'Hist. prices'!Z299*Z$244</f>
        <v>0</v>
      </c>
      <c r="AA299" s="198">
        <f>Qty!AE220*'Hist. prices'!AA299*AA$244</f>
        <v>0</v>
      </c>
      <c r="AB299" s="198">
        <f>Qty!AF220*'Hist. prices'!AB299*AB$244</f>
        <v>0</v>
      </c>
      <c r="AC299" s="206">
        <f t="shared" si="31"/>
        <v>0</v>
      </c>
      <c r="AD299" s="68"/>
      <c r="AE299" s="19"/>
      <c r="AF299" s="19"/>
      <c r="AG299" s="19"/>
      <c r="AH299" s="19"/>
    </row>
    <row r="300" spans="1:34" hidden="1" outlineLevel="3" x14ac:dyDescent="0.2">
      <c r="A300" s="19"/>
      <c r="B300" s="19"/>
      <c r="C300" s="506">
        <f>Qty!C221</f>
        <v>0</v>
      </c>
      <c r="D300" s="505">
        <f>Qty!D221</f>
        <v>0</v>
      </c>
      <c r="E300" s="505">
        <f>Qty!E221</f>
        <v>0</v>
      </c>
      <c r="F300" s="505">
        <f>Qty!F221</f>
        <v>0</v>
      </c>
      <c r="G300" s="505">
        <f>Qty!G221</f>
        <v>0</v>
      </c>
      <c r="H300" s="58"/>
      <c r="I300" s="198">
        <f>Qty!M221*'Hist. prices'!I300*I$244</f>
        <v>0</v>
      </c>
      <c r="J300" s="198">
        <f>Qty!N221*'Hist. prices'!J300*J$244</f>
        <v>0</v>
      </c>
      <c r="K300" s="198">
        <f>Qty!O221*'Hist. prices'!K300*K$244</f>
        <v>0</v>
      </c>
      <c r="L300" s="198">
        <f>Qty!P221*'Hist. prices'!L300*L$244</f>
        <v>0</v>
      </c>
      <c r="M300" s="198">
        <f>Qty!Q221*'Hist. prices'!M300*M$244</f>
        <v>0</v>
      </c>
      <c r="N300" s="198">
        <f>Qty!R221*'Hist. prices'!N300*N$244</f>
        <v>0</v>
      </c>
      <c r="O300" s="198">
        <f>Qty!S221*'Hist. prices'!O300*O$244</f>
        <v>0</v>
      </c>
      <c r="P300" s="198">
        <f>Qty!T221*'Hist. prices'!P300*P$244</f>
        <v>0</v>
      </c>
      <c r="Q300" s="198">
        <f>Qty!U221*'Hist. prices'!Q300*Q$244</f>
        <v>0</v>
      </c>
      <c r="R300" s="198">
        <f>Qty!V221*'Hist. prices'!R300*R$244</f>
        <v>0</v>
      </c>
      <c r="S300" s="198">
        <f>Qty!W221*'Hist. prices'!S300*S$244</f>
        <v>0</v>
      </c>
      <c r="T300" s="198">
        <f>Qty!X221*'Hist. prices'!T300*T$244</f>
        <v>0</v>
      </c>
      <c r="U300" s="198">
        <f>Qty!Y221*'Hist. prices'!U300*U$244</f>
        <v>0</v>
      </c>
      <c r="V300" s="198">
        <f>Qty!Z221*'Hist. prices'!V300*V$244</f>
        <v>0</v>
      </c>
      <c r="W300" s="198">
        <f>Qty!AA221*'Hist. prices'!W300*W$244</f>
        <v>0</v>
      </c>
      <c r="X300" s="198">
        <f>Qty!AB221*'Hist. prices'!X300*X$244</f>
        <v>0</v>
      </c>
      <c r="Y300" s="198">
        <f>Qty!AC221*'Hist. prices'!Y300*Y$244</f>
        <v>0</v>
      </c>
      <c r="Z300" s="198">
        <f>Qty!AD221*'Hist. prices'!Z300*Z$244</f>
        <v>0</v>
      </c>
      <c r="AA300" s="198">
        <f>Qty!AE221*'Hist. prices'!AA300*AA$244</f>
        <v>0</v>
      </c>
      <c r="AB300" s="198">
        <f>Qty!AF221*'Hist. prices'!AB300*AB$244</f>
        <v>0</v>
      </c>
      <c r="AC300" s="206">
        <f t="shared" si="31"/>
        <v>0</v>
      </c>
      <c r="AD300" s="68"/>
      <c r="AE300" s="19"/>
      <c r="AF300" s="19"/>
      <c r="AG300" s="19"/>
      <c r="AH300" s="19"/>
    </row>
    <row r="301" spans="1:34" hidden="1" outlineLevel="3" x14ac:dyDescent="0.2">
      <c r="A301" s="19"/>
      <c r="B301" s="19"/>
      <c r="C301" s="506">
        <f>Qty!C222</f>
        <v>0</v>
      </c>
      <c r="D301" s="505">
        <f>Qty!D222</f>
        <v>0</v>
      </c>
      <c r="E301" s="505">
        <f>Qty!E222</f>
        <v>0</v>
      </c>
      <c r="F301" s="505">
        <f>Qty!F222</f>
        <v>0</v>
      </c>
      <c r="G301" s="505">
        <f>Qty!G222</f>
        <v>0</v>
      </c>
      <c r="H301" s="58"/>
      <c r="I301" s="198">
        <f>Qty!M222*'Hist. prices'!I301*I$244</f>
        <v>0</v>
      </c>
      <c r="J301" s="198">
        <f>Qty!N222*'Hist. prices'!J301*J$244</f>
        <v>0</v>
      </c>
      <c r="K301" s="198">
        <f>Qty!O222*'Hist. prices'!K301*K$244</f>
        <v>0</v>
      </c>
      <c r="L301" s="198">
        <f>Qty!P222*'Hist. prices'!L301*L$244</f>
        <v>0</v>
      </c>
      <c r="M301" s="198">
        <f>Qty!Q222*'Hist. prices'!M301*M$244</f>
        <v>0</v>
      </c>
      <c r="N301" s="198">
        <f>Qty!R222*'Hist. prices'!N301*N$244</f>
        <v>0</v>
      </c>
      <c r="O301" s="198">
        <f>Qty!S222*'Hist. prices'!O301*O$244</f>
        <v>0</v>
      </c>
      <c r="P301" s="198">
        <f>Qty!T222*'Hist. prices'!P301*P$244</f>
        <v>0</v>
      </c>
      <c r="Q301" s="198">
        <f>Qty!U222*'Hist. prices'!Q301*Q$244</f>
        <v>0</v>
      </c>
      <c r="R301" s="198">
        <f>Qty!V222*'Hist. prices'!R301*R$244</f>
        <v>0</v>
      </c>
      <c r="S301" s="198">
        <f>Qty!W222*'Hist. prices'!S301*S$244</f>
        <v>0</v>
      </c>
      <c r="T301" s="198">
        <f>Qty!X222*'Hist. prices'!T301*T$244</f>
        <v>0</v>
      </c>
      <c r="U301" s="198">
        <f>Qty!Y222*'Hist. prices'!U301*U$244</f>
        <v>0</v>
      </c>
      <c r="V301" s="198">
        <f>Qty!Z222*'Hist. prices'!V301*V$244</f>
        <v>0</v>
      </c>
      <c r="W301" s="198">
        <f>Qty!AA222*'Hist. prices'!W301*W$244</f>
        <v>0</v>
      </c>
      <c r="X301" s="198">
        <f>Qty!AB222*'Hist. prices'!X301*X$244</f>
        <v>0</v>
      </c>
      <c r="Y301" s="198">
        <f>Qty!AC222*'Hist. prices'!Y301*Y$244</f>
        <v>0</v>
      </c>
      <c r="Z301" s="198">
        <f>Qty!AD222*'Hist. prices'!Z301*Z$244</f>
        <v>0</v>
      </c>
      <c r="AA301" s="198">
        <f>Qty!AE222*'Hist. prices'!AA301*AA$244</f>
        <v>0</v>
      </c>
      <c r="AB301" s="198">
        <f>Qty!AF222*'Hist. prices'!AB301*AB$244</f>
        <v>0</v>
      </c>
      <c r="AC301" s="206">
        <f t="shared" si="31"/>
        <v>0</v>
      </c>
      <c r="AD301" s="68"/>
      <c r="AE301" s="19"/>
      <c r="AF301" s="19"/>
      <c r="AG301" s="19"/>
      <c r="AH301" s="19"/>
    </row>
    <row r="302" spans="1:34" hidden="1" outlineLevel="3" x14ac:dyDescent="0.2">
      <c r="A302" s="19"/>
      <c r="B302" s="19"/>
      <c r="C302" s="506">
        <f>Qty!C223</f>
        <v>0</v>
      </c>
      <c r="D302" s="505">
        <f>Qty!D223</f>
        <v>0</v>
      </c>
      <c r="E302" s="505">
        <f>Qty!E223</f>
        <v>0</v>
      </c>
      <c r="F302" s="505">
        <f>Qty!F223</f>
        <v>0</v>
      </c>
      <c r="G302" s="505">
        <f>Qty!G223</f>
        <v>0</v>
      </c>
      <c r="H302" s="58"/>
      <c r="I302" s="198">
        <f>Qty!M223*'Hist. prices'!I302*I$244</f>
        <v>0</v>
      </c>
      <c r="J302" s="198">
        <f>Qty!N223*'Hist. prices'!J302*J$244</f>
        <v>0</v>
      </c>
      <c r="K302" s="198">
        <f>Qty!O223*'Hist. prices'!K302*K$244</f>
        <v>0</v>
      </c>
      <c r="L302" s="198">
        <f>Qty!P223*'Hist. prices'!L302*L$244</f>
        <v>0</v>
      </c>
      <c r="M302" s="198">
        <f>Qty!Q223*'Hist. prices'!M302*M$244</f>
        <v>0</v>
      </c>
      <c r="N302" s="198">
        <f>Qty!R223*'Hist. prices'!N302*N$244</f>
        <v>0</v>
      </c>
      <c r="O302" s="198">
        <f>Qty!S223*'Hist. prices'!O302*O$244</f>
        <v>0</v>
      </c>
      <c r="P302" s="198">
        <f>Qty!T223*'Hist. prices'!P302*P$244</f>
        <v>0</v>
      </c>
      <c r="Q302" s="198">
        <f>Qty!U223*'Hist. prices'!Q302*Q$244</f>
        <v>0</v>
      </c>
      <c r="R302" s="198">
        <f>Qty!V223*'Hist. prices'!R302*R$244</f>
        <v>0</v>
      </c>
      <c r="S302" s="198">
        <f>Qty!W223*'Hist. prices'!S302*S$244</f>
        <v>0</v>
      </c>
      <c r="T302" s="198">
        <f>Qty!X223*'Hist. prices'!T302*T$244</f>
        <v>0</v>
      </c>
      <c r="U302" s="198">
        <f>Qty!Y223*'Hist. prices'!U302*U$244</f>
        <v>0</v>
      </c>
      <c r="V302" s="198">
        <f>Qty!Z223*'Hist. prices'!V302*V$244</f>
        <v>0</v>
      </c>
      <c r="W302" s="198">
        <f>Qty!AA223*'Hist. prices'!W302*W$244</f>
        <v>0</v>
      </c>
      <c r="X302" s="198">
        <f>Qty!AB223*'Hist. prices'!X302*X$244</f>
        <v>0</v>
      </c>
      <c r="Y302" s="198">
        <f>Qty!AC223*'Hist. prices'!Y302*Y$244</f>
        <v>0</v>
      </c>
      <c r="Z302" s="198">
        <f>Qty!AD223*'Hist. prices'!Z302*Z$244</f>
        <v>0</v>
      </c>
      <c r="AA302" s="198">
        <f>Qty!AE223*'Hist. prices'!AA302*AA$244</f>
        <v>0</v>
      </c>
      <c r="AB302" s="198">
        <f>Qty!AF223*'Hist. prices'!AB302*AB$244</f>
        <v>0</v>
      </c>
      <c r="AC302" s="206">
        <f t="shared" si="31"/>
        <v>0</v>
      </c>
      <c r="AD302" s="68"/>
      <c r="AE302" s="19"/>
      <c r="AF302" s="19"/>
      <c r="AG302" s="19"/>
      <c r="AH302" s="19"/>
    </row>
    <row r="303" spans="1:34" hidden="1" outlineLevel="3" x14ac:dyDescent="0.2">
      <c r="A303" s="19"/>
      <c r="B303" s="19"/>
      <c r="C303" s="506">
        <f>Qty!C224</f>
        <v>0</v>
      </c>
      <c r="D303" s="505">
        <f>Qty!D224</f>
        <v>0</v>
      </c>
      <c r="E303" s="505">
        <f>Qty!E224</f>
        <v>0</v>
      </c>
      <c r="F303" s="505">
        <f>Qty!F224</f>
        <v>0</v>
      </c>
      <c r="G303" s="505">
        <f>Qty!G224</f>
        <v>0</v>
      </c>
      <c r="H303" s="58"/>
      <c r="I303" s="198">
        <f>Qty!M224*'Hist. prices'!I303*I$244</f>
        <v>0</v>
      </c>
      <c r="J303" s="198">
        <f>Qty!N224*'Hist. prices'!J303*J$244</f>
        <v>0</v>
      </c>
      <c r="K303" s="198">
        <f>Qty!O224*'Hist. prices'!K303*K$244</f>
        <v>0</v>
      </c>
      <c r="L303" s="198">
        <f>Qty!P224*'Hist. prices'!L303*L$244</f>
        <v>0</v>
      </c>
      <c r="M303" s="198">
        <f>Qty!Q224*'Hist. prices'!M303*M$244</f>
        <v>0</v>
      </c>
      <c r="N303" s="198">
        <f>Qty!R224*'Hist. prices'!N303*N$244</f>
        <v>0</v>
      </c>
      <c r="O303" s="198">
        <f>Qty!S224*'Hist. prices'!O303*O$244</f>
        <v>0</v>
      </c>
      <c r="P303" s="198">
        <f>Qty!T224*'Hist. prices'!P303*P$244</f>
        <v>0</v>
      </c>
      <c r="Q303" s="198">
        <f>Qty!U224*'Hist. prices'!Q303*Q$244</f>
        <v>0</v>
      </c>
      <c r="R303" s="198">
        <f>Qty!V224*'Hist. prices'!R303*R$244</f>
        <v>0</v>
      </c>
      <c r="S303" s="198">
        <f>Qty!W224*'Hist. prices'!S303*S$244</f>
        <v>0</v>
      </c>
      <c r="T303" s="198">
        <f>Qty!X224*'Hist. prices'!T303*T$244</f>
        <v>0</v>
      </c>
      <c r="U303" s="198">
        <f>Qty!Y224*'Hist. prices'!U303*U$244</f>
        <v>0</v>
      </c>
      <c r="V303" s="198">
        <f>Qty!Z224*'Hist. prices'!V303*V$244</f>
        <v>0</v>
      </c>
      <c r="W303" s="198">
        <f>Qty!AA224*'Hist. prices'!W303*W$244</f>
        <v>0</v>
      </c>
      <c r="X303" s="198">
        <f>Qty!AB224*'Hist. prices'!X303*X$244</f>
        <v>0</v>
      </c>
      <c r="Y303" s="198">
        <f>Qty!AC224*'Hist. prices'!Y303*Y$244</f>
        <v>0</v>
      </c>
      <c r="Z303" s="198">
        <f>Qty!AD224*'Hist. prices'!Z303*Z$244</f>
        <v>0</v>
      </c>
      <c r="AA303" s="198">
        <f>Qty!AE224*'Hist. prices'!AA303*AA$244</f>
        <v>0</v>
      </c>
      <c r="AB303" s="198">
        <f>Qty!AF224*'Hist. prices'!AB303*AB$244</f>
        <v>0</v>
      </c>
      <c r="AC303" s="206">
        <f t="shared" si="31"/>
        <v>0</v>
      </c>
      <c r="AD303" s="68"/>
      <c r="AE303" s="19"/>
      <c r="AF303" s="19"/>
      <c r="AG303" s="19"/>
      <c r="AH303" s="19"/>
    </row>
    <row r="304" spans="1:34" hidden="1" outlineLevel="3" x14ac:dyDescent="0.2">
      <c r="A304" s="19"/>
      <c r="B304" s="19"/>
      <c r="C304" s="506">
        <f>Qty!C225</f>
        <v>0</v>
      </c>
      <c r="D304" s="505">
        <f>Qty!D225</f>
        <v>0</v>
      </c>
      <c r="E304" s="505">
        <f>Qty!E225</f>
        <v>0</v>
      </c>
      <c r="F304" s="505">
        <f>Qty!F225</f>
        <v>0</v>
      </c>
      <c r="G304" s="505">
        <f>Qty!G225</f>
        <v>0</v>
      </c>
      <c r="H304" s="58"/>
      <c r="I304" s="198">
        <f>Qty!M225*'Hist. prices'!I304*I$244</f>
        <v>0</v>
      </c>
      <c r="J304" s="198">
        <f>Qty!N225*'Hist. prices'!J304*J$244</f>
        <v>0</v>
      </c>
      <c r="K304" s="198">
        <f>Qty!O225*'Hist. prices'!K304*K$244</f>
        <v>0</v>
      </c>
      <c r="L304" s="198">
        <f>Qty!P225*'Hist. prices'!L304*L$244</f>
        <v>0</v>
      </c>
      <c r="M304" s="198">
        <f>Qty!Q225*'Hist. prices'!M304*M$244</f>
        <v>0</v>
      </c>
      <c r="N304" s="198">
        <f>Qty!R225*'Hist. prices'!N304*N$244</f>
        <v>0</v>
      </c>
      <c r="O304" s="198">
        <f>Qty!S225*'Hist. prices'!O304*O$244</f>
        <v>0</v>
      </c>
      <c r="P304" s="198">
        <f>Qty!T225*'Hist. prices'!P304*P$244</f>
        <v>0</v>
      </c>
      <c r="Q304" s="198">
        <f>Qty!U225*'Hist. prices'!Q304*Q$244</f>
        <v>0</v>
      </c>
      <c r="R304" s="198">
        <f>Qty!V225*'Hist. prices'!R304*R$244</f>
        <v>0</v>
      </c>
      <c r="S304" s="198">
        <f>Qty!W225*'Hist. prices'!S304*S$244</f>
        <v>0</v>
      </c>
      <c r="T304" s="198">
        <f>Qty!X225*'Hist. prices'!T304*T$244</f>
        <v>0</v>
      </c>
      <c r="U304" s="198">
        <f>Qty!Y225*'Hist. prices'!U304*U$244</f>
        <v>0</v>
      </c>
      <c r="V304" s="198">
        <f>Qty!Z225*'Hist. prices'!V304*V$244</f>
        <v>0</v>
      </c>
      <c r="W304" s="198">
        <f>Qty!AA225*'Hist. prices'!W304*W$244</f>
        <v>0</v>
      </c>
      <c r="X304" s="198">
        <f>Qty!AB225*'Hist. prices'!X304*X$244</f>
        <v>0</v>
      </c>
      <c r="Y304" s="198">
        <f>Qty!AC225*'Hist. prices'!Y304*Y$244</f>
        <v>0</v>
      </c>
      <c r="Z304" s="198">
        <f>Qty!AD225*'Hist. prices'!Z304*Z$244</f>
        <v>0</v>
      </c>
      <c r="AA304" s="198">
        <f>Qty!AE225*'Hist. prices'!AA304*AA$244</f>
        <v>0</v>
      </c>
      <c r="AB304" s="198">
        <f>Qty!AF225*'Hist. prices'!AB304*AB$244</f>
        <v>0</v>
      </c>
      <c r="AC304" s="206">
        <f t="shared" si="31"/>
        <v>0</v>
      </c>
      <c r="AD304" s="68"/>
      <c r="AE304" s="19"/>
      <c r="AF304" s="19"/>
      <c r="AG304" s="19"/>
      <c r="AH304" s="19"/>
    </row>
    <row r="305" spans="1:34" hidden="1" outlineLevel="3" x14ac:dyDescent="0.2">
      <c r="A305" s="19"/>
      <c r="B305" s="19"/>
      <c r="C305" s="506">
        <f>Qty!C226</f>
        <v>0</v>
      </c>
      <c r="D305" s="505">
        <f>Qty!D226</f>
        <v>0</v>
      </c>
      <c r="E305" s="505">
        <f>Qty!E226</f>
        <v>0</v>
      </c>
      <c r="F305" s="505">
        <f>Qty!F226</f>
        <v>0</v>
      </c>
      <c r="G305" s="505">
        <f>Qty!G226</f>
        <v>0</v>
      </c>
      <c r="H305" s="58"/>
      <c r="I305" s="198">
        <f>Qty!M226*'Hist. prices'!I305*I$244</f>
        <v>0</v>
      </c>
      <c r="J305" s="198">
        <f>Qty!N226*'Hist. prices'!J305*J$244</f>
        <v>0</v>
      </c>
      <c r="K305" s="198">
        <f>Qty!O226*'Hist. prices'!K305*K$244</f>
        <v>0</v>
      </c>
      <c r="L305" s="198">
        <f>Qty!P226*'Hist. prices'!L305*L$244</f>
        <v>0</v>
      </c>
      <c r="M305" s="198">
        <f>Qty!Q226*'Hist. prices'!M305*M$244</f>
        <v>0</v>
      </c>
      <c r="N305" s="198">
        <f>Qty!R226*'Hist. prices'!N305*N$244</f>
        <v>0</v>
      </c>
      <c r="O305" s="198">
        <f>Qty!S226*'Hist. prices'!O305*O$244</f>
        <v>0</v>
      </c>
      <c r="P305" s="198">
        <f>Qty!T226*'Hist. prices'!P305*P$244</f>
        <v>0</v>
      </c>
      <c r="Q305" s="198">
        <f>Qty!U226*'Hist. prices'!Q305*Q$244</f>
        <v>0</v>
      </c>
      <c r="R305" s="198">
        <f>Qty!V226*'Hist. prices'!R305*R$244</f>
        <v>0</v>
      </c>
      <c r="S305" s="198">
        <f>Qty!W226*'Hist. prices'!S305*S$244</f>
        <v>0</v>
      </c>
      <c r="T305" s="198">
        <f>Qty!X226*'Hist. prices'!T305*T$244</f>
        <v>0</v>
      </c>
      <c r="U305" s="198">
        <f>Qty!Y226*'Hist. prices'!U305*U$244</f>
        <v>0</v>
      </c>
      <c r="V305" s="198">
        <f>Qty!Z226*'Hist. prices'!V305*V$244</f>
        <v>0</v>
      </c>
      <c r="W305" s="198">
        <f>Qty!AA226*'Hist. prices'!W305*W$244</f>
        <v>0</v>
      </c>
      <c r="X305" s="198">
        <f>Qty!AB226*'Hist. prices'!X305*X$244</f>
        <v>0</v>
      </c>
      <c r="Y305" s="198">
        <f>Qty!AC226*'Hist. prices'!Y305*Y$244</f>
        <v>0</v>
      </c>
      <c r="Z305" s="198">
        <f>Qty!AD226*'Hist. prices'!Z305*Z$244</f>
        <v>0</v>
      </c>
      <c r="AA305" s="198">
        <f>Qty!AE226*'Hist. prices'!AA305*AA$244</f>
        <v>0</v>
      </c>
      <c r="AB305" s="198">
        <f>Qty!AF226*'Hist. prices'!AB305*AB$244</f>
        <v>0</v>
      </c>
      <c r="AC305" s="206">
        <f t="shared" si="31"/>
        <v>0</v>
      </c>
      <c r="AD305" s="68"/>
      <c r="AE305" s="19"/>
      <c r="AF305" s="19"/>
      <c r="AG305" s="19"/>
      <c r="AH305" s="19"/>
    </row>
    <row r="306" spans="1:34" hidden="1" outlineLevel="3" x14ac:dyDescent="0.2">
      <c r="A306" s="19"/>
      <c r="B306" s="19"/>
      <c r="C306" s="506">
        <f>Qty!C227</f>
        <v>0</v>
      </c>
      <c r="D306" s="505">
        <f>Qty!D227</f>
        <v>0</v>
      </c>
      <c r="E306" s="505">
        <f>Qty!E227</f>
        <v>0</v>
      </c>
      <c r="F306" s="505">
        <f>Qty!F227</f>
        <v>0</v>
      </c>
      <c r="G306" s="505">
        <f>Qty!G227</f>
        <v>0</v>
      </c>
      <c r="H306" s="58"/>
      <c r="I306" s="198">
        <f>Qty!M227*'Hist. prices'!I306*I$244</f>
        <v>0</v>
      </c>
      <c r="J306" s="198">
        <f>Qty!N227*'Hist. prices'!J306*J$244</f>
        <v>0</v>
      </c>
      <c r="K306" s="198">
        <f>Qty!O227*'Hist. prices'!K306*K$244</f>
        <v>0</v>
      </c>
      <c r="L306" s="198">
        <f>Qty!P227*'Hist. prices'!L306*L$244</f>
        <v>0</v>
      </c>
      <c r="M306" s="198">
        <f>Qty!Q227*'Hist. prices'!M306*M$244</f>
        <v>0</v>
      </c>
      <c r="N306" s="198">
        <f>Qty!R227*'Hist. prices'!N306*N$244</f>
        <v>0</v>
      </c>
      <c r="O306" s="198">
        <f>Qty!S227*'Hist. prices'!O306*O$244</f>
        <v>0</v>
      </c>
      <c r="P306" s="198">
        <f>Qty!T227*'Hist. prices'!P306*P$244</f>
        <v>0</v>
      </c>
      <c r="Q306" s="198">
        <f>Qty!U227*'Hist. prices'!Q306*Q$244</f>
        <v>0</v>
      </c>
      <c r="R306" s="198">
        <f>Qty!V227*'Hist. prices'!R306*R$244</f>
        <v>0</v>
      </c>
      <c r="S306" s="198">
        <f>Qty!W227*'Hist. prices'!S306*S$244</f>
        <v>0</v>
      </c>
      <c r="T306" s="198">
        <f>Qty!X227*'Hist. prices'!T306*T$244</f>
        <v>0</v>
      </c>
      <c r="U306" s="198">
        <f>Qty!Y227*'Hist. prices'!U306*U$244</f>
        <v>0</v>
      </c>
      <c r="V306" s="198">
        <f>Qty!Z227*'Hist. prices'!V306*V$244</f>
        <v>0</v>
      </c>
      <c r="W306" s="198">
        <f>Qty!AA227*'Hist. prices'!W306*W$244</f>
        <v>0</v>
      </c>
      <c r="X306" s="198">
        <f>Qty!AB227*'Hist. prices'!X306*X$244</f>
        <v>0</v>
      </c>
      <c r="Y306" s="198">
        <f>Qty!AC227*'Hist. prices'!Y306*Y$244</f>
        <v>0</v>
      </c>
      <c r="Z306" s="198">
        <f>Qty!AD227*'Hist. prices'!Z306*Z$244</f>
        <v>0</v>
      </c>
      <c r="AA306" s="198">
        <f>Qty!AE227*'Hist. prices'!AA306*AA$244</f>
        <v>0</v>
      </c>
      <c r="AB306" s="198">
        <f>Qty!AF227*'Hist. prices'!AB306*AB$244</f>
        <v>0</v>
      </c>
      <c r="AC306" s="206">
        <f t="shared" si="31"/>
        <v>0</v>
      </c>
      <c r="AD306" s="68"/>
      <c r="AE306" s="19"/>
      <c r="AF306" s="19"/>
      <c r="AG306" s="19"/>
      <c r="AH306" s="19"/>
    </row>
    <row r="307" spans="1:34" hidden="1" outlineLevel="3" x14ac:dyDescent="0.2">
      <c r="A307" s="19"/>
      <c r="B307" s="19"/>
      <c r="C307" s="506">
        <f>Qty!C228</f>
        <v>0</v>
      </c>
      <c r="D307" s="505">
        <f>Qty!D228</f>
        <v>0</v>
      </c>
      <c r="E307" s="505">
        <f>Qty!E228</f>
        <v>0</v>
      </c>
      <c r="F307" s="505">
        <f>Qty!F228</f>
        <v>0</v>
      </c>
      <c r="G307" s="505">
        <f>Qty!G228</f>
        <v>0</v>
      </c>
      <c r="H307" s="58"/>
      <c r="I307" s="198">
        <f>Qty!M228*'Hist. prices'!I307*I$244</f>
        <v>0</v>
      </c>
      <c r="J307" s="198">
        <f>Qty!N228*'Hist. prices'!J307*J$244</f>
        <v>0</v>
      </c>
      <c r="K307" s="198">
        <f>Qty!O228*'Hist. prices'!K307*K$244</f>
        <v>0</v>
      </c>
      <c r="L307" s="198">
        <f>Qty!P228*'Hist. prices'!L307*L$244</f>
        <v>0</v>
      </c>
      <c r="M307" s="198">
        <f>Qty!Q228*'Hist. prices'!M307*M$244</f>
        <v>0</v>
      </c>
      <c r="N307" s="198">
        <f>Qty!R228*'Hist. prices'!N307*N$244</f>
        <v>0</v>
      </c>
      <c r="O307" s="198">
        <f>Qty!S228*'Hist. prices'!O307*O$244</f>
        <v>0</v>
      </c>
      <c r="P307" s="198">
        <f>Qty!T228*'Hist. prices'!P307*P$244</f>
        <v>0</v>
      </c>
      <c r="Q307" s="198">
        <f>Qty!U228*'Hist. prices'!Q307*Q$244</f>
        <v>0</v>
      </c>
      <c r="R307" s="198">
        <f>Qty!V228*'Hist. prices'!R307*R$244</f>
        <v>0</v>
      </c>
      <c r="S307" s="198">
        <f>Qty!W228*'Hist. prices'!S307*S$244</f>
        <v>0</v>
      </c>
      <c r="T307" s="198">
        <f>Qty!X228*'Hist. prices'!T307*T$244</f>
        <v>0</v>
      </c>
      <c r="U307" s="198">
        <f>Qty!Y228*'Hist. prices'!U307*U$244</f>
        <v>0</v>
      </c>
      <c r="V307" s="198">
        <f>Qty!Z228*'Hist. prices'!V307*V$244</f>
        <v>0</v>
      </c>
      <c r="W307" s="198">
        <f>Qty!AA228*'Hist. prices'!W307*W$244</f>
        <v>0</v>
      </c>
      <c r="X307" s="198">
        <f>Qty!AB228*'Hist. prices'!X307*X$244</f>
        <v>0</v>
      </c>
      <c r="Y307" s="198">
        <f>Qty!AC228*'Hist. prices'!Y307*Y$244</f>
        <v>0</v>
      </c>
      <c r="Z307" s="198">
        <f>Qty!AD228*'Hist. prices'!Z307*Z$244</f>
        <v>0</v>
      </c>
      <c r="AA307" s="198">
        <f>Qty!AE228*'Hist. prices'!AA307*AA$244</f>
        <v>0</v>
      </c>
      <c r="AB307" s="198">
        <f>Qty!AF228*'Hist. prices'!AB307*AB$244</f>
        <v>0</v>
      </c>
      <c r="AC307" s="206">
        <f t="shared" si="31"/>
        <v>0</v>
      </c>
      <c r="AD307" s="68"/>
      <c r="AE307" s="19"/>
      <c r="AF307" s="19"/>
      <c r="AG307" s="19"/>
      <c r="AH307" s="19"/>
    </row>
    <row r="308" spans="1:34" hidden="1" outlineLevel="3" x14ac:dyDescent="0.2">
      <c r="A308" s="19"/>
      <c r="B308" s="19"/>
      <c r="C308" s="506">
        <f>Qty!C229</f>
        <v>0</v>
      </c>
      <c r="D308" s="505">
        <f>Qty!D229</f>
        <v>0</v>
      </c>
      <c r="E308" s="505">
        <f>Qty!E229</f>
        <v>0</v>
      </c>
      <c r="F308" s="505">
        <f>Qty!F229</f>
        <v>0</v>
      </c>
      <c r="G308" s="505">
        <f>Qty!G229</f>
        <v>0</v>
      </c>
      <c r="H308" s="58"/>
      <c r="I308" s="198">
        <f>Qty!M229*'Hist. prices'!I308*I$244</f>
        <v>0</v>
      </c>
      <c r="J308" s="198">
        <f>Qty!N229*'Hist. prices'!J308*J$244</f>
        <v>0</v>
      </c>
      <c r="K308" s="198">
        <f>Qty!O229*'Hist. prices'!K308*K$244</f>
        <v>0</v>
      </c>
      <c r="L308" s="198">
        <f>Qty!P229*'Hist. prices'!L308*L$244</f>
        <v>0</v>
      </c>
      <c r="M308" s="198">
        <f>Qty!Q229*'Hist. prices'!M308*M$244</f>
        <v>0</v>
      </c>
      <c r="N308" s="198">
        <f>Qty!R229*'Hist. prices'!N308*N$244</f>
        <v>0</v>
      </c>
      <c r="O308" s="198">
        <f>Qty!S229*'Hist. prices'!O308*O$244</f>
        <v>0</v>
      </c>
      <c r="P308" s="198">
        <f>Qty!T229*'Hist. prices'!P308*P$244</f>
        <v>0</v>
      </c>
      <c r="Q308" s="198">
        <f>Qty!U229*'Hist. prices'!Q308*Q$244</f>
        <v>0</v>
      </c>
      <c r="R308" s="198">
        <f>Qty!V229*'Hist. prices'!R308*R$244</f>
        <v>0</v>
      </c>
      <c r="S308" s="198">
        <f>Qty!W229*'Hist. prices'!S308*S$244</f>
        <v>0</v>
      </c>
      <c r="T308" s="198">
        <f>Qty!X229*'Hist. prices'!T308*T$244</f>
        <v>0</v>
      </c>
      <c r="U308" s="198">
        <f>Qty!Y229*'Hist. prices'!U308*U$244</f>
        <v>0</v>
      </c>
      <c r="V308" s="198">
        <f>Qty!Z229*'Hist. prices'!V308*V$244</f>
        <v>0</v>
      </c>
      <c r="W308" s="198">
        <f>Qty!AA229*'Hist. prices'!W308*W$244</f>
        <v>0</v>
      </c>
      <c r="X308" s="198">
        <f>Qty!AB229*'Hist. prices'!X308*X$244</f>
        <v>0</v>
      </c>
      <c r="Y308" s="198">
        <f>Qty!AC229*'Hist. prices'!Y308*Y$244</f>
        <v>0</v>
      </c>
      <c r="Z308" s="198">
        <f>Qty!AD229*'Hist. prices'!Z308*Z$244</f>
        <v>0</v>
      </c>
      <c r="AA308" s="198">
        <f>Qty!AE229*'Hist. prices'!AA308*AA$244</f>
        <v>0</v>
      </c>
      <c r="AB308" s="198">
        <f>Qty!AF229*'Hist. prices'!AB308*AB$244</f>
        <v>0</v>
      </c>
      <c r="AC308" s="206">
        <f t="shared" si="31"/>
        <v>0</v>
      </c>
      <c r="AD308" s="68"/>
      <c r="AE308" s="19"/>
      <c r="AF308" s="19"/>
      <c r="AG308" s="19"/>
      <c r="AH308" s="19"/>
    </row>
    <row r="309" spans="1:34" hidden="1" outlineLevel="3" x14ac:dyDescent="0.2">
      <c r="A309" s="19"/>
      <c r="B309" s="19"/>
      <c r="C309" s="506">
        <f>Qty!C230</f>
        <v>0</v>
      </c>
      <c r="D309" s="505">
        <f>Qty!D230</f>
        <v>0</v>
      </c>
      <c r="E309" s="505">
        <f>Qty!E230</f>
        <v>0</v>
      </c>
      <c r="F309" s="505">
        <f>Qty!F230</f>
        <v>0</v>
      </c>
      <c r="G309" s="505">
        <f>Qty!G230</f>
        <v>0</v>
      </c>
      <c r="H309" s="58"/>
      <c r="I309" s="198">
        <f>Qty!M230*'Hist. prices'!I309*I$244</f>
        <v>0</v>
      </c>
      <c r="J309" s="198">
        <f>Qty!N230*'Hist. prices'!J309*J$244</f>
        <v>0</v>
      </c>
      <c r="K309" s="198">
        <f>Qty!O230*'Hist. prices'!K309*K$244</f>
        <v>0</v>
      </c>
      <c r="L309" s="198">
        <f>Qty!P230*'Hist. prices'!L309*L$244</f>
        <v>0</v>
      </c>
      <c r="M309" s="198">
        <f>Qty!Q230*'Hist. prices'!M309*M$244</f>
        <v>0</v>
      </c>
      <c r="N309" s="198">
        <f>Qty!R230*'Hist. prices'!N309*N$244</f>
        <v>0</v>
      </c>
      <c r="O309" s="198">
        <f>Qty!S230*'Hist. prices'!O309*O$244</f>
        <v>0</v>
      </c>
      <c r="P309" s="198">
        <f>Qty!T230*'Hist. prices'!P309*P$244</f>
        <v>0</v>
      </c>
      <c r="Q309" s="198">
        <f>Qty!U230*'Hist. prices'!Q309*Q$244</f>
        <v>0</v>
      </c>
      <c r="R309" s="198">
        <f>Qty!V230*'Hist. prices'!R309*R$244</f>
        <v>0</v>
      </c>
      <c r="S309" s="198">
        <f>Qty!W230*'Hist. prices'!S309*S$244</f>
        <v>0</v>
      </c>
      <c r="T309" s="198">
        <f>Qty!X230*'Hist. prices'!T309*T$244</f>
        <v>0</v>
      </c>
      <c r="U309" s="198">
        <f>Qty!Y230*'Hist. prices'!U309*U$244</f>
        <v>0</v>
      </c>
      <c r="V309" s="198">
        <f>Qty!Z230*'Hist. prices'!V309*V$244</f>
        <v>0</v>
      </c>
      <c r="W309" s="198">
        <f>Qty!AA230*'Hist. prices'!W309*W$244</f>
        <v>0</v>
      </c>
      <c r="X309" s="198">
        <f>Qty!AB230*'Hist. prices'!X309*X$244</f>
        <v>0</v>
      </c>
      <c r="Y309" s="198">
        <f>Qty!AC230*'Hist. prices'!Y309*Y$244</f>
        <v>0</v>
      </c>
      <c r="Z309" s="198">
        <f>Qty!AD230*'Hist. prices'!Z309*Z$244</f>
        <v>0</v>
      </c>
      <c r="AA309" s="198">
        <f>Qty!AE230*'Hist. prices'!AA309*AA$244</f>
        <v>0</v>
      </c>
      <c r="AB309" s="198">
        <f>Qty!AF230*'Hist. prices'!AB309*AB$244</f>
        <v>0</v>
      </c>
      <c r="AC309" s="206">
        <f t="shared" ref="AC309:AC319" si="32">SUM(I309:AB309)</f>
        <v>0</v>
      </c>
      <c r="AD309" s="68"/>
      <c r="AE309" s="19"/>
      <c r="AF309" s="19"/>
      <c r="AG309" s="19"/>
      <c r="AH309" s="19"/>
    </row>
    <row r="310" spans="1:34" hidden="1" outlineLevel="3" x14ac:dyDescent="0.2">
      <c r="A310" s="19"/>
      <c r="B310" s="19"/>
      <c r="C310" s="506">
        <f>Qty!C231</f>
        <v>0</v>
      </c>
      <c r="D310" s="505">
        <f>Qty!D231</f>
        <v>0</v>
      </c>
      <c r="E310" s="505">
        <f>Qty!E231</f>
        <v>0</v>
      </c>
      <c r="F310" s="505">
        <f>Qty!F231</f>
        <v>0</v>
      </c>
      <c r="G310" s="505">
        <f>Qty!G231</f>
        <v>0</v>
      </c>
      <c r="H310" s="58"/>
      <c r="I310" s="198">
        <f>Qty!M231*'Hist. prices'!I310*I$244</f>
        <v>0</v>
      </c>
      <c r="J310" s="198">
        <f>Qty!N231*'Hist. prices'!J310*J$244</f>
        <v>0</v>
      </c>
      <c r="K310" s="198">
        <f>Qty!O231*'Hist. prices'!K310*K$244</f>
        <v>0</v>
      </c>
      <c r="L310" s="198">
        <f>Qty!P231*'Hist. prices'!L310*L$244</f>
        <v>0</v>
      </c>
      <c r="M310" s="198">
        <f>Qty!Q231*'Hist. prices'!M310*M$244</f>
        <v>0</v>
      </c>
      <c r="N310" s="198">
        <f>Qty!R231*'Hist. prices'!N310*N$244</f>
        <v>0</v>
      </c>
      <c r="O310" s="198">
        <f>Qty!S231*'Hist. prices'!O310*O$244</f>
        <v>0</v>
      </c>
      <c r="P310" s="198">
        <f>Qty!T231*'Hist. prices'!P310*P$244</f>
        <v>0</v>
      </c>
      <c r="Q310" s="198">
        <f>Qty!U231*'Hist. prices'!Q310*Q$244</f>
        <v>0</v>
      </c>
      <c r="R310" s="198">
        <f>Qty!V231*'Hist. prices'!R310*R$244</f>
        <v>0</v>
      </c>
      <c r="S310" s="198">
        <f>Qty!W231*'Hist. prices'!S310*S$244</f>
        <v>0</v>
      </c>
      <c r="T310" s="198">
        <f>Qty!X231*'Hist. prices'!T310*T$244</f>
        <v>0</v>
      </c>
      <c r="U310" s="198">
        <f>Qty!Y231*'Hist. prices'!U310*U$244</f>
        <v>0</v>
      </c>
      <c r="V310" s="198">
        <f>Qty!Z231*'Hist. prices'!V310*V$244</f>
        <v>0</v>
      </c>
      <c r="W310" s="198">
        <f>Qty!AA231*'Hist. prices'!W310*W$244</f>
        <v>0</v>
      </c>
      <c r="X310" s="198">
        <f>Qty!AB231*'Hist. prices'!X310*X$244</f>
        <v>0</v>
      </c>
      <c r="Y310" s="198">
        <f>Qty!AC231*'Hist. prices'!Y310*Y$244</f>
        <v>0</v>
      </c>
      <c r="Z310" s="198">
        <f>Qty!AD231*'Hist. prices'!Z310*Z$244</f>
        <v>0</v>
      </c>
      <c r="AA310" s="198">
        <f>Qty!AE231*'Hist. prices'!AA310*AA$244</f>
        <v>0</v>
      </c>
      <c r="AB310" s="198">
        <f>Qty!AF231*'Hist. prices'!AB310*AB$244</f>
        <v>0</v>
      </c>
      <c r="AC310" s="206">
        <f t="shared" si="32"/>
        <v>0</v>
      </c>
      <c r="AD310" s="68"/>
      <c r="AE310" s="19"/>
      <c r="AF310" s="19"/>
      <c r="AG310" s="19"/>
      <c r="AH310" s="19"/>
    </row>
    <row r="311" spans="1:34" hidden="1" outlineLevel="3" x14ac:dyDescent="0.2">
      <c r="A311" s="19"/>
      <c r="B311" s="19"/>
      <c r="C311" s="506">
        <f>Qty!C232</f>
        <v>0</v>
      </c>
      <c r="D311" s="505">
        <f>Qty!D232</f>
        <v>0</v>
      </c>
      <c r="E311" s="505">
        <f>Qty!E232</f>
        <v>0</v>
      </c>
      <c r="F311" s="505">
        <f>Qty!F232</f>
        <v>0</v>
      </c>
      <c r="G311" s="505">
        <f>Qty!G232</f>
        <v>0</v>
      </c>
      <c r="H311" s="58"/>
      <c r="I311" s="198">
        <f>Qty!M232*'Hist. prices'!I311*I$244</f>
        <v>0</v>
      </c>
      <c r="J311" s="198">
        <f>Qty!N232*'Hist. prices'!J311*J$244</f>
        <v>0</v>
      </c>
      <c r="K311" s="198">
        <f>Qty!O232*'Hist. prices'!K311*K$244</f>
        <v>0</v>
      </c>
      <c r="L311" s="198">
        <f>Qty!P232*'Hist. prices'!L311*L$244</f>
        <v>0</v>
      </c>
      <c r="M311" s="198">
        <f>Qty!Q232*'Hist. prices'!M311*M$244</f>
        <v>0</v>
      </c>
      <c r="N311" s="198">
        <f>Qty!R232*'Hist. prices'!N311*N$244</f>
        <v>0</v>
      </c>
      <c r="O311" s="198">
        <f>Qty!S232*'Hist. prices'!O311*O$244</f>
        <v>0</v>
      </c>
      <c r="P311" s="198">
        <f>Qty!T232*'Hist. prices'!P311*P$244</f>
        <v>0</v>
      </c>
      <c r="Q311" s="198">
        <f>Qty!U232*'Hist. prices'!Q311*Q$244</f>
        <v>0</v>
      </c>
      <c r="R311" s="198">
        <f>Qty!V232*'Hist. prices'!R311*R$244</f>
        <v>0</v>
      </c>
      <c r="S311" s="198">
        <f>Qty!W232*'Hist. prices'!S311*S$244</f>
        <v>0</v>
      </c>
      <c r="T311" s="198">
        <f>Qty!X232*'Hist. prices'!T311*T$244</f>
        <v>0</v>
      </c>
      <c r="U311" s="198">
        <f>Qty!Y232*'Hist. prices'!U311*U$244</f>
        <v>0</v>
      </c>
      <c r="V311" s="198">
        <f>Qty!Z232*'Hist. prices'!V311*V$244</f>
        <v>0</v>
      </c>
      <c r="W311" s="198">
        <f>Qty!AA232*'Hist. prices'!W311*W$244</f>
        <v>0</v>
      </c>
      <c r="X311" s="198">
        <f>Qty!AB232*'Hist. prices'!X311*X$244</f>
        <v>0</v>
      </c>
      <c r="Y311" s="198">
        <f>Qty!AC232*'Hist. prices'!Y311*Y$244</f>
        <v>0</v>
      </c>
      <c r="Z311" s="198">
        <f>Qty!AD232*'Hist. prices'!Z311*Z$244</f>
        <v>0</v>
      </c>
      <c r="AA311" s="198">
        <f>Qty!AE232*'Hist. prices'!AA311*AA$244</f>
        <v>0</v>
      </c>
      <c r="AB311" s="198">
        <f>Qty!AF232*'Hist. prices'!AB311*AB$244</f>
        <v>0</v>
      </c>
      <c r="AC311" s="206">
        <f t="shared" si="32"/>
        <v>0</v>
      </c>
      <c r="AD311" s="68"/>
      <c r="AE311" s="19"/>
      <c r="AF311" s="19"/>
      <c r="AG311" s="19"/>
      <c r="AH311" s="19"/>
    </row>
    <row r="312" spans="1:34" hidden="1" outlineLevel="3" x14ac:dyDescent="0.2">
      <c r="A312" s="19"/>
      <c r="B312" s="19"/>
      <c r="C312" s="506">
        <f>Qty!C233</f>
        <v>0</v>
      </c>
      <c r="D312" s="505">
        <f>Qty!D233</f>
        <v>0</v>
      </c>
      <c r="E312" s="505">
        <f>Qty!E233</f>
        <v>0</v>
      </c>
      <c r="F312" s="505">
        <f>Qty!F233</f>
        <v>0</v>
      </c>
      <c r="G312" s="505">
        <f>Qty!G233</f>
        <v>0</v>
      </c>
      <c r="H312" s="58"/>
      <c r="I312" s="198">
        <f>Qty!M233*'Hist. prices'!I312*I$244</f>
        <v>0</v>
      </c>
      <c r="J312" s="198">
        <f>Qty!N233*'Hist. prices'!J312*J$244</f>
        <v>0</v>
      </c>
      <c r="K312" s="198">
        <f>Qty!O233*'Hist. prices'!K312*K$244</f>
        <v>0</v>
      </c>
      <c r="L312" s="198">
        <f>Qty!P233*'Hist. prices'!L312*L$244</f>
        <v>0</v>
      </c>
      <c r="M312" s="198">
        <f>Qty!Q233*'Hist. prices'!M312*M$244</f>
        <v>0</v>
      </c>
      <c r="N312" s="198">
        <f>Qty!R233*'Hist. prices'!N312*N$244</f>
        <v>0</v>
      </c>
      <c r="O312" s="198">
        <f>Qty!S233*'Hist. prices'!O312*O$244</f>
        <v>0</v>
      </c>
      <c r="P312" s="198">
        <f>Qty!T233*'Hist. prices'!P312*P$244</f>
        <v>0</v>
      </c>
      <c r="Q312" s="198">
        <f>Qty!U233*'Hist. prices'!Q312*Q$244</f>
        <v>0</v>
      </c>
      <c r="R312" s="198">
        <f>Qty!V233*'Hist. prices'!R312*R$244</f>
        <v>0</v>
      </c>
      <c r="S312" s="198">
        <f>Qty!W233*'Hist. prices'!S312*S$244</f>
        <v>0</v>
      </c>
      <c r="T312" s="198">
        <f>Qty!X233*'Hist. prices'!T312*T$244</f>
        <v>0</v>
      </c>
      <c r="U312" s="198">
        <f>Qty!Y233*'Hist. prices'!U312*U$244</f>
        <v>0</v>
      </c>
      <c r="V312" s="198">
        <f>Qty!Z233*'Hist. prices'!V312*V$244</f>
        <v>0</v>
      </c>
      <c r="W312" s="198">
        <f>Qty!AA233*'Hist. prices'!W312*W$244</f>
        <v>0</v>
      </c>
      <c r="X312" s="198">
        <f>Qty!AB233*'Hist. prices'!X312*X$244</f>
        <v>0</v>
      </c>
      <c r="Y312" s="198">
        <f>Qty!AC233*'Hist. prices'!Y312*Y$244</f>
        <v>0</v>
      </c>
      <c r="Z312" s="198">
        <f>Qty!AD233*'Hist. prices'!Z312*Z$244</f>
        <v>0</v>
      </c>
      <c r="AA312" s="198">
        <f>Qty!AE233*'Hist. prices'!AA312*AA$244</f>
        <v>0</v>
      </c>
      <c r="AB312" s="198">
        <f>Qty!AF233*'Hist. prices'!AB312*AB$244</f>
        <v>0</v>
      </c>
      <c r="AC312" s="206">
        <f t="shared" si="32"/>
        <v>0</v>
      </c>
      <c r="AD312" s="68"/>
      <c r="AE312" s="19"/>
      <c r="AF312" s="19"/>
      <c r="AG312" s="19"/>
      <c r="AH312" s="19"/>
    </row>
    <row r="313" spans="1:34" hidden="1" outlineLevel="3" x14ac:dyDescent="0.2">
      <c r="A313" s="19"/>
      <c r="B313" s="19"/>
      <c r="C313" s="506">
        <f>Qty!C234</f>
        <v>0</v>
      </c>
      <c r="D313" s="505">
        <f>Qty!D234</f>
        <v>0</v>
      </c>
      <c r="E313" s="505">
        <f>Qty!E234</f>
        <v>0</v>
      </c>
      <c r="F313" s="505">
        <f>Qty!F234</f>
        <v>0</v>
      </c>
      <c r="G313" s="505">
        <f>Qty!G234</f>
        <v>0</v>
      </c>
      <c r="H313" s="58"/>
      <c r="I313" s="198">
        <f>Qty!M234*'Hist. prices'!I313*I$244</f>
        <v>0</v>
      </c>
      <c r="J313" s="198">
        <f>Qty!N234*'Hist. prices'!J313*J$244</f>
        <v>0</v>
      </c>
      <c r="K313" s="198">
        <f>Qty!O234*'Hist. prices'!K313*K$244</f>
        <v>0</v>
      </c>
      <c r="L313" s="198">
        <f>Qty!P234*'Hist. prices'!L313*L$244</f>
        <v>0</v>
      </c>
      <c r="M313" s="198">
        <f>Qty!Q234*'Hist. prices'!M313*M$244</f>
        <v>0</v>
      </c>
      <c r="N313" s="198">
        <f>Qty!R234*'Hist. prices'!N313*N$244</f>
        <v>0</v>
      </c>
      <c r="O313" s="198">
        <f>Qty!S234*'Hist. prices'!O313*O$244</f>
        <v>0</v>
      </c>
      <c r="P313" s="198">
        <f>Qty!T234*'Hist. prices'!P313*P$244</f>
        <v>0</v>
      </c>
      <c r="Q313" s="198">
        <f>Qty!U234*'Hist. prices'!Q313*Q$244</f>
        <v>0</v>
      </c>
      <c r="R313" s="198">
        <f>Qty!V234*'Hist. prices'!R313*R$244</f>
        <v>0</v>
      </c>
      <c r="S313" s="198">
        <f>Qty!W234*'Hist. prices'!S313*S$244</f>
        <v>0</v>
      </c>
      <c r="T313" s="198">
        <f>Qty!X234*'Hist. prices'!T313*T$244</f>
        <v>0</v>
      </c>
      <c r="U313" s="198">
        <f>Qty!Y234*'Hist. prices'!U313*U$244</f>
        <v>0</v>
      </c>
      <c r="V313" s="198">
        <f>Qty!Z234*'Hist. prices'!V313*V$244</f>
        <v>0</v>
      </c>
      <c r="W313" s="198">
        <f>Qty!AA234*'Hist. prices'!W313*W$244</f>
        <v>0</v>
      </c>
      <c r="X313" s="198">
        <f>Qty!AB234*'Hist. prices'!X313*X$244</f>
        <v>0</v>
      </c>
      <c r="Y313" s="198">
        <f>Qty!AC234*'Hist. prices'!Y313*Y$244</f>
        <v>0</v>
      </c>
      <c r="Z313" s="198">
        <f>Qty!AD234*'Hist. prices'!Z313*Z$244</f>
        <v>0</v>
      </c>
      <c r="AA313" s="198">
        <f>Qty!AE234*'Hist. prices'!AA313*AA$244</f>
        <v>0</v>
      </c>
      <c r="AB313" s="198">
        <f>Qty!AF234*'Hist. prices'!AB313*AB$244</f>
        <v>0</v>
      </c>
      <c r="AC313" s="206">
        <f t="shared" si="32"/>
        <v>0</v>
      </c>
      <c r="AD313" s="68"/>
      <c r="AE313" s="19"/>
      <c r="AF313" s="19"/>
      <c r="AG313" s="19"/>
      <c r="AH313" s="19"/>
    </row>
    <row r="314" spans="1:34" hidden="1" outlineLevel="3" x14ac:dyDescent="0.2">
      <c r="A314" s="19"/>
      <c r="B314" s="19"/>
      <c r="C314" s="506">
        <f>Qty!C235</f>
        <v>0</v>
      </c>
      <c r="D314" s="505">
        <f>Qty!D235</f>
        <v>0</v>
      </c>
      <c r="E314" s="505">
        <f>Qty!E235</f>
        <v>0</v>
      </c>
      <c r="F314" s="505">
        <f>Qty!F235</f>
        <v>0</v>
      </c>
      <c r="G314" s="505">
        <f>Qty!G235</f>
        <v>0</v>
      </c>
      <c r="H314" s="58"/>
      <c r="I314" s="198">
        <f>Qty!M235*'Hist. prices'!I314*I$244</f>
        <v>0</v>
      </c>
      <c r="J314" s="198">
        <f>Qty!N235*'Hist. prices'!J314*J$244</f>
        <v>0</v>
      </c>
      <c r="K314" s="198">
        <f>Qty!O235*'Hist. prices'!K314*K$244</f>
        <v>0</v>
      </c>
      <c r="L314" s="198">
        <f>Qty!P235*'Hist. prices'!L314*L$244</f>
        <v>0</v>
      </c>
      <c r="M314" s="198">
        <f>Qty!Q235*'Hist. prices'!M314*M$244</f>
        <v>0</v>
      </c>
      <c r="N314" s="198">
        <f>Qty!R235*'Hist. prices'!N314*N$244</f>
        <v>0</v>
      </c>
      <c r="O314" s="198">
        <f>Qty!S235*'Hist. prices'!O314*O$244</f>
        <v>0</v>
      </c>
      <c r="P314" s="198">
        <f>Qty!T235*'Hist. prices'!P314*P$244</f>
        <v>0</v>
      </c>
      <c r="Q314" s="198">
        <f>Qty!U235*'Hist. prices'!Q314*Q$244</f>
        <v>0</v>
      </c>
      <c r="R314" s="198">
        <f>Qty!V235*'Hist. prices'!R314*R$244</f>
        <v>0</v>
      </c>
      <c r="S314" s="198">
        <f>Qty!W235*'Hist. prices'!S314*S$244</f>
        <v>0</v>
      </c>
      <c r="T314" s="198">
        <f>Qty!X235*'Hist. prices'!T314*T$244</f>
        <v>0</v>
      </c>
      <c r="U314" s="198">
        <f>Qty!Y235*'Hist. prices'!U314*U$244</f>
        <v>0</v>
      </c>
      <c r="V314" s="198">
        <f>Qty!Z235*'Hist. prices'!V314*V$244</f>
        <v>0</v>
      </c>
      <c r="W314" s="198">
        <f>Qty!AA235*'Hist. prices'!W314*W$244</f>
        <v>0</v>
      </c>
      <c r="X314" s="198">
        <f>Qty!AB235*'Hist. prices'!X314*X$244</f>
        <v>0</v>
      </c>
      <c r="Y314" s="198">
        <f>Qty!AC235*'Hist. prices'!Y314*Y$244</f>
        <v>0</v>
      </c>
      <c r="Z314" s="198">
        <f>Qty!AD235*'Hist. prices'!Z314*Z$244</f>
        <v>0</v>
      </c>
      <c r="AA314" s="198">
        <f>Qty!AE235*'Hist. prices'!AA314*AA$244</f>
        <v>0</v>
      </c>
      <c r="AB314" s="198">
        <f>Qty!AF235*'Hist. prices'!AB314*AB$244</f>
        <v>0</v>
      </c>
      <c r="AC314" s="206">
        <f t="shared" si="32"/>
        <v>0</v>
      </c>
      <c r="AD314" s="68"/>
      <c r="AE314" s="19"/>
      <c r="AF314" s="19"/>
      <c r="AG314" s="19"/>
      <c r="AH314" s="19"/>
    </row>
    <row r="315" spans="1:34" hidden="1" outlineLevel="3" x14ac:dyDescent="0.2">
      <c r="A315" s="19"/>
      <c r="B315" s="19"/>
      <c r="C315" s="506">
        <f>Qty!C236</f>
        <v>0</v>
      </c>
      <c r="D315" s="505">
        <f>Qty!D236</f>
        <v>0</v>
      </c>
      <c r="E315" s="505">
        <f>Qty!E236</f>
        <v>0</v>
      </c>
      <c r="F315" s="505">
        <f>Qty!F236</f>
        <v>0</v>
      </c>
      <c r="G315" s="505">
        <f>Qty!G236</f>
        <v>0</v>
      </c>
      <c r="H315" s="58"/>
      <c r="I315" s="198">
        <f>Qty!M236*'Hist. prices'!I315*I$244</f>
        <v>0</v>
      </c>
      <c r="J315" s="198">
        <f>Qty!N236*'Hist. prices'!J315*J$244</f>
        <v>0</v>
      </c>
      <c r="K315" s="198">
        <f>Qty!O236*'Hist. prices'!K315*K$244</f>
        <v>0</v>
      </c>
      <c r="L315" s="198">
        <f>Qty!P236*'Hist. prices'!L315*L$244</f>
        <v>0</v>
      </c>
      <c r="M315" s="198">
        <f>Qty!Q236*'Hist. prices'!M315*M$244</f>
        <v>0</v>
      </c>
      <c r="N315" s="198">
        <f>Qty!R236*'Hist. prices'!N315*N$244</f>
        <v>0</v>
      </c>
      <c r="O315" s="198">
        <f>Qty!S236*'Hist. prices'!O315*O$244</f>
        <v>0</v>
      </c>
      <c r="P315" s="198">
        <f>Qty!T236*'Hist. prices'!P315*P$244</f>
        <v>0</v>
      </c>
      <c r="Q315" s="198">
        <f>Qty!U236*'Hist. prices'!Q315*Q$244</f>
        <v>0</v>
      </c>
      <c r="R315" s="198">
        <f>Qty!V236*'Hist. prices'!R315*R$244</f>
        <v>0</v>
      </c>
      <c r="S315" s="198">
        <f>Qty!W236*'Hist. prices'!S315*S$244</f>
        <v>0</v>
      </c>
      <c r="T315" s="198">
        <f>Qty!X236*'Hist. prices'!T315*T$244</f>
        <v>0</v>
      </c>
      <c r="U315" s="198">
        <f>Qty!Y236*'Hist. prices'!U315*U$244</f>
        <v>0</v>
      </c>
      <c r="V315" s="198">
        <f>Qty!Z236*'Hist. prices'!V315*V$244</f>
        <v>0</v>
      </c>
      <c r="W315" s="198">
        <f>Qty!AA236*'Hist. prices'!W315*W$244</f>
        <v>0</v>
      </c>
      <c r="X315" s="198">
        <f>Qty!AB236*'Hist. prices'!X315*X$244</f>
        <v>0</v>
      </c>
      <c r="Y315" s="198">
        <f>Qty!AC236*'Hist. prices'!Y315*Y$244</f>
        <v>0</v>
      </c>
      <c r="Z315" s="198">
        <f>Qty!AD236*'Hist. prices'!Z315*Z$244</f>
        <v>0</v>
      </c>
      <c r="AA315" s="198">
        <f>Qty!AE236*'Hist. prices'!AA315*AA$244</f>
        <v>0</v>
      </c>
      <c r="AB315" s="198">
        <f>Qty!AF236*'Hist. prices'!AB315*AB$244</f>
        <v>0</v>
      </c>
      <c r="AC315" s="206">
        <f t="shared" si="32"/>
        <v>0</v>
      </c>
      <c r="AD315" s="68"/>
      <c r="AE315" s="19"/>
      <c r="AF315" s="19"/>
      <c r="AG315" s="19"/>
      <c r="AH315" s="19"/>
    </row>
    <row r="316" spans="1:34" hidden="1" outlineLevel="3" x14ac:dyDescent="0.2">
      <c r="A316" s="19"/>
      <c r="B316" s="19"/>
      <c r="C316" s="506">
        <f>Qty!C237</f>
        <v>0</v>
      </c>
      <c r="D316" s="505">
        <f>Qty!D237</f>
        <v>0</v>
      </c>
      <c r="E316" s="505">
        <f>Qty!E237</f>
        <v>0</v>
      </c>
      <c r="F316" s="505">
        <f>Qty!F237</f>
        <v>0</v>
      </c>
      <c r="G316" s="505">
        <f>Qty!G237</f>
        <v>0</v>
      </c>
      <c r="H316" s="58"/>
      <c r="I316" s="198">
        <f>Qty!M237*'Hist. prices'!I316*I$244</f>
        <v>0</v>
      </c>
      <c r="J316" s="198">
        <f>Qty!N237*'Hist. prices'!J316*J$244</f>
        <v>0</v>
      </c>
      <c r="K316" s="198">
        <f>Qty!O237*'Hist. prices'!K316*K$244</f>
        <v>0</v>
      </c>
      <c r="L316" s="198">
        <f>Qty!P237*'Hist. prices'!L316*L$244</f>
        <v>0</v>
      </c>
      <c r="M316" s="198">
        <f>Qty!Q237*'Hist. prices'!M316*M$244</f>
        <v>0</v>
      </c>
      <c r="N316" s="198">
        <f>Qty!R237*'Hist. prices'!N316*N$244</f>
        <v>0</v>
      </c>
      <c r="O316" s="198">
        <f>Qty!S237*'Hist. prices'!O316*O$244</f>
        <v>0</v>
      </c>
      <c r="P316" s="198">
        <f>Qty!T237*'Hist. prices'!P316*P$244</f>
        <v>0</v>
      </c>
      <c r="Q316" s="198">
        <f>Qty!U237*'Hist. prices'!Q316*Q$244</f>
        <v>0</v>
      </c>
      <c r="R316" s="198">
        <f>Qty!V237*'Hist. prices'!R316*R$244</f>
        <v>0</v>
      </c>
      <c r="S316" s="198">
        <f>Qty!W237*'Hist. prices'!S316*S$244</f>
        <v>0</v>
      </c>
      <c r="T316" s="198">
        <f>Qty!X237*'Hist. prices'!T316*T$244</f>
        <v>0</v>
      </c>
      <c r="U316" s="198">
        <f>Qty!Y237*'Hist. prices'!U316*U$244</f>
        <v>0</v>
      </c>
      <c r="V316" s="198">
        <f>Qty!Z237*'Hist. prices'!V316*V$244</f>
        <v>0</v>
      </c>
      <c r="W316" s="198">
        <f>Qty!AA237*'Hist. prices'!W316*W$244</f>
        <v>0</v>
      </c>
      <c r="X316" s="198">
        <f>Qty!AB237*'Hist. prices'!X316*X$244</f>
        <v>0</v>
      </c>
      <c r="Y316" s="198">
        <f>Qty!AC237*'Hist. prices'!Y316*Y$244</f>
        <v>0</v>
      </c>
      <c r="Z316" s="198">
        <f>Qty!AD237*'Hist. prices'!Z316*Z$244</f>
        <v>0</v>
      </c>
      <c r="AA316" s="198">
        <f>Qty!AE237*'Hist. prices'!AA316*AA$244</f>
        <v>0</v>
      </c>
      <c r="AB316" s="198">
        <f>Qty!AF237*'Hist. prices'!AB316*AB$244</f>
        <v>0</v>
      </c>
      <c r="AC316" s="206">
        <f t="shared" si="32"/>
        <v>0</v>
      </c>
      <c r="AD316" s="68"/>
      <c r="AE316" s="19"/>
      <c r="AF316" s="19"/>
      <c r="AG316" s="19"/>
      <c r="AH316" s="19"/>
    </row>
    <row r="317" spans="1:34" hidden="1" outlineLevel="3" x14ac:dyDescent="0.2">
      <c r="A317" s="19"/>
      <c r="B317" s="19"/>
      <c r="C317" s="506">
        <f>Qty!C238</f>
        <v>0</v>
      </c>
      <c r="D317" s="505">
        <f>Qty!D238</f>
        <v>0</v>
      </c>
      <c r="E317" s="505">
        <f>Qty!E238</f>
        <v>0</v>
      </c>
      <c r="F317" s="505">
        <f>Qty!F238</f>
        <v>0</v>
      </c>
      <c r="G317" s="505">
        <f>Qty!G238</f>
        <v>0</v>
      </c>
      <c r="H317" s="58"/>
      <c r="I317" s="198">
        <f>Qty!M238*'Hist. prices'!I317*I$244</f>
        <v>0</v>
      </c>
      <c r="J317" s="198">
        <f>Qty!N238*'Hist. prices'!J317*J$244</f>
        <v>0</v>
      </c>
      <c r="K317" s="198">
        <f>Qty!O238*'Hist. prices'!K317*K$244</f>
        <v>0</v>
      </c>
      <c r="L317" s="198">
        <f>Qty!P238*'Hist. prices'!L317*L$244</f>
        <v>0</v>
      </c>
      <c r="M317" s="198">
        <f>Qty!Q238*'Hist. prices'!M317*M$244</f>
        <v>0</v>
      </c>
      <c r="N317" s="198">
        <f>Qty!R238*'Hist. prices'!N317*N$244</f>
        <v>0</v>
      </c>
      <c r="O317" s="198">
        <f>Qty!S238*'Hist. prices'!O317*O$244</f>
        <v>0</v>
      </c>
      <c r="P317" s="198">
        <f>Qty!T238*'Hist. prices'!P317*P$244</f>
        <v>0</v>
      </c>
      <c r="Q317" s="198">
        <f>Qty!U238*'Hist. prices'!Q317*Q$244</f>
        <v>0</v>
      </c>
      <c r="R317" s="198">
        <f>Qty!V238*'Hist. prices'!R317*R$244</f>
        <v>0</v>
      </c>
      <c r="S317" s="198">
        <f>Qty!W238*'Hist. prices'!S317*S$244</f>
        <v>0</v>
      </c>
      <c r="T317" s="198">
        <f>Qty!X238*'Hist. prices'!T317*T$244</f>
        <v>0</v>
      </c>
      <c r="U317" s="198">
        <f>Qty!Y238*'Hist. prices'!U317*U$244</f>
        <v>0</v>
      </c>
      <c r="V317" s="198">
        <f>Qty!Z238*'Hist. prices'!V317*V$244</f>
        <v>0</v>
      </c>
      <c r="W317" s="198">
        <f>Qty!AA238*'Hist. prices'!W317*W$244</f>
        <v>0</v>
      </c>
      <c r="X317" s="198">
        <f>Qty!AB238*'Hist. prices'!X317*X$244</f>
        <v>0</v>
      </c>
      <c r="Y317" s="198">
        <f>Qty!AC238*'Hist. prices'!Y317*Y$244</f>
        <v>0</v>
      </c>
      <c r="Z317" s="198">
        <f>Qty!AD238*'Hist. prices'!Z317*Z$244</f>
        <v>0</v>
      </c>
      <c r="AA317" s="198">
        <f>Qty!AE238*'Hist. prices'!AA317*AA$244</f>
        <v>0</v>
      </c>
      <c r="AB317" s="198">
        <f>Qty!AF238*'Hist. prices'!AB317*AB$244</f>
        <v>0</v>
      </c>
      <c r="AC317" s="206">
        <f t="shared" si="32"/>
        <v>0</v>
      </c>
      <c r="AD317" s="68"/>
      <c r="AE317" s="19"/>
      <c r="AF317" s="19"/>
      <c r="AG317" s="19"/>
      <c r="AH317" s="19"/>
    </row>
    <row r="318" spans="1:34" hidden="1" outlineLevel="3" x14ac:dyDescent="0.2">
      <c r="A318" s="19"/>
      <c r="B318" s="19"/>
      <c r="C318" s="506">
        <f>Qty!C239</f>
        <v>0</v>
      </c>
      <c r="D318" s="505">
        <f>Qty!D239</f>
        <v>0</v>
      </c>
      <c r="E318" s="505">
        <f>Qty!E239</f>
        <v>0</v>
      </c>
      <c r="F318" s="505">
        <f>Qty!F239</f>
        <v>0</v>
      </c>
      <c r="G318" s="505">
        <f>Qty!G239</f>
        <v>0</v>
      </c>
      <c r="H318" s="58"/>
      <c r="I318" s="198">
        <f>Qty!M239*'Hist. prices'!I318*I$244</f>
        <v>0</v>
      </c>
      <c r="J318" s="198">
        <f>Qty!N239*'Hist. prices'!J318*J$244</f>
        <v>0</v>
      </c>
      <c r="K318" s="198">
        <f>Qty!O239*'Hist. prices'!K318*K$244</f>
        <v>0</v>
      </c>
      <c r="L318" s="198">
        <f>Qty!P239*'Hist. prices'!L318*L$244</f>
        <v>0</v>
      </c>
      <c r="M318" s="198">
        <f>Qty!Q239*'Hist. prices'!M318*M$244</f>
        <v>0</v>
      </c>
      <c r="N318" s="198">
        <f>Qty!R239*'Hist. prices'!N318*N$244</f>
        <v>0</v>
      </c>
      <c r="O318" s="198">
        <f>Qty!S239*'Hist. prices'!O318*O$244</f>
        <v>0</v>
      </c>
      <c r="P318" s="198">
        <f>Qty!T239*'Hist. prices'!P318*P$244</f>
        <v>0</v>
      </c>
      <c r="Q318" s="198">
        <f>Qty!U239*'Hist. prices'!Q318*Q$244</f>
        <v>0</v>
      </c>
      <c r="R318" s="198">
        <f>Qty!V239*'Hist. prices'!R318*R$244</f>
        <v>0</v>
      </c>
      <c r="S318" s="198">
        <f>Qty!W239*'Hist. prices'!S318*S$244</f>
        <v>0</v>
      </c>
      <c r="T318" s="198">
        <f>Qty!X239*'Hist. prices'!T318*T$244</f>
        <v>0</v>
      </c>
      <c r="U318" s="198">
        <f>Qty!Y239*'Hist. prices'!U318*U$244</f>
        <v>0</v>
      </c>
      <c r="V318" s="198">
        <f>Qty!Z239*'Hist. prices'!V318*V$244</f>
        <v>0</v>
      </c>
      <c r="W318" s="198">
        <f>Qty!AA239*'Hist. prices'!W318*W$244</f>
        <v>0</v>
      </c>
      <c r="X318" s="198">
        <f>Qty!AB239*'Hist. prices'!X318*X$244</f>
        <v>0</v>
      </c>
      <c r="Y318" s="198">
        <f>Qty!AC239*'Hist. prices'!Y318*Y$244</f>
        <v>0</v>
      </c>
      <c r="Z318" s="198">
        <f>Qty!AD239*'Hist. prices'!Z318*Z$244</f>
        <v>0</v>
      </c>
      <c r="AA318" s="198">
        <f>Qty!AE239*'Hist. prices'!AA318*AA$244</f>
        <v>0</v>
      </c>
      <c r="AB318" s="198">
        <f>Qty!AF239*'Hist. prices'!AB318*AB$244</f>
        <v>0</v>
      </c>
      <c r="AC318" s="206">
        <f t="shared" si="32"/>
        <v>0</v>
      </c>
      <c r="AD318" s="68"/>
      <c r="AE318" s="19"/>
      <c r="AF318" s="19"/>
      <c r="AG318" s="19"/>
      <c r="AH318" s="19"/>
    </row>
    <row r="319" spans="1:34" hidden="1" outlineLevel="3" x14ac:dyDescent="0.2">
      <c r="A319" s="19"/>
      <c r="B319" s="19"/>
      <c r="C319" s="506">
        <f>Qty!C240</f>
        <v>0</v>
      </c>
      <c r="D319" s="505">
        <f>Qty!D240</f>
        <v>0</v>
      </c>
      <c r="E319" s="505">
        <f>Qty!E240</f>
        <v>0</v>
      </c>
      <c r="F319" s="505">
        <f>Qty!F240</f>
        <v>0</v>
      </c>
      <c r="G319" s="505">
        <f>Qty!G240</f>
        <v>0</v>
      </c>
      <c r="H319" s="58"/>
      <c r="I319" s="198">
        <f>Qty!M240*'Hist. prices'!I319*I$244</f>
        <v>0</v>
      </c>
      <c r="J319" s="198">
        <f>Qty!N240*'Hist. prices'!J319*J$244</f>
        <v>0</v>
      </c>
      <c r="K319" s="198">
        <f>Qty!O240*'Hist. prices'!K319*K$244</f>
        <v>0</v>
      </c>
      <c r="L319" s="198">
        <f>Qty!P240*'Hist. prices'!L319*L$244</f>
        <v>0</v>
      </c>
      <c r="M319" s="198">
        <f>Qty!Q240*'Hist. prices'!M319*M$244</f>
        <v>0</v>
      </c>
      <c r="N319" s="198">
        <f>Qty!R240*'Hist. prices'!N319*N$244</f>
        <v>0</v>
      </c>
      <c r="O319" s="198">
        <f>Qty!S240*'Hist. prices'!O319*O$244</f>
        <v>0</v>
      </c>
      <c r="P319" s="198">
        <f>Qty!T240*'Hist. prices'!P319*P$244</f>
        <v>0</v>
      </c>
      <c r="Q319" s="198">
        <f>Qty!U240*'Hist. prices'!Q319*Q$244</f>
        <v>0</v>
      </c>
      <c r="R319" s="198">
        <f>Qty!V240*'Hist. prices'!R319*R$244</f>
        <v>0</v>
      </c>
      <c r="S319" s="198">
        <f>Qty!W240*'Hist. prices'!S319*S$244</f>
        <v>0</v>
      </c>
      <c r="T319" s="198">
        <f>Qty!X240*'Hist. prices'!T319*T$244</f>
        <v>0</v>
      </c>
      <c r="U319" s="198">
        <f>Qty!Y240*'Hist. prices'!U319*U$244</f>
        <v>0</v>
      </c>
      <c r="V319" s="198">
        <f>Qty!Z240*'Hist. prices'!V319*V$244</f>
        <v>0</v>
      </c>
      <c r="W319" s="198">
        <f>Qty!AA240*'Hist. prices'!W319*W$244</f>
        <v>0</v>
      </c>
      <c r="X319" s="198">
        <f>Qty!AB240*'Hist. prices'!X319*X$244</f>
        <v>0</v>
      </c>
      <c r="Y319" s="198">
        <f>Qty!AC240*'Hist. prices'!Y319*Y$244</f>
        <v>0</v>
      </c>
      <c r="Z319" s="198">
        <f>Qty!AD240*'Hist. prices'!Z319*Z$244</f>
        <v>0</v>
      </c>
      <c r="AA319" s="198">
        <f>Qty!AE240*'Hist. prices'!AA319*AA$244</f>
        <v>0</v>
      </c>
      <c r="AB319" s="198">
        <f>Qty!AF240*'Hist. prices'!AB319*AB$244</f>
        <v>0</v>
      </c>
      <c r="AC319" s="206">
        <f t="shared" si="32"/>
        <v>0</v>
      </c>
      <c r="AD319" s="68"/>
      <c r="AE319" s="19"/>
      <c r="AF319" s="19"/>
      <c r="AG319" s="19"/>
      <c r="AH319" s="19"/>
    </row>
    <row r="320" spans="1:34" outlineLevel="2" collapsed="1" x14ac:dyDescent="0.2">
      <c r="A320" s="19"/>
      <c r="B320" s="19"/>
      <c r="C320" s="539" t="s">
        <v>240</v>
      </c>
      <c r="D320" s="505"/>
      <c r="E320" s="505"/>
      <c r="F320" s="505"/>
      <c r="G320" s="505"/>
      <c r="H320" s="58"/>
      <c r="I320" s="205">
        <f t="shared" ref="I320:AC320" si="33">SUM(I245:I319)</f>
        <v>68293294.440179989</v>
      </c>
      <c r="J320" s="205">
        <f t="shared" si="33"/>
        <v>103787802.79074596</v>
      </c>
      <c r="K320" s="205">
        <f t="shared" si="33"/>
        <v>28654087.539234437</v>
      </c>
      <c r="L320" s="205">
        <f t="shared" si="33"/>
        <v>4759410.7921383297</v>
      </c>
      <c r="M320" s="205">
        <f t="shared" si="33"/>
        <v>6105851.3872040138</v>
      </c>
      <c r="N320" s="205">
        <f t="shared" si="33"/>
        <v>4290174.9715500008</v>
      </c>
      <c r="O320" s="205">
        <f t="shared" si="33"/>
        <v>8560568.8497599997</v>
      </c>
      <c r="P320" s="205">
        <f t="shared" si="33"/>
        <v>2267182.4614199996</v>
      </c>
      <c r="Q320" s="205">
        <f t="shared" si="33"/>
        <v>3650957.8081600005</v>
      </c>
      <c r="R320" s="205">
        <f t="shared" si="33"/>
        <v>480164.97739000001</v>
      </c>
      <c r="S320" s="205">
        <f t="shared" si="33"/>
        <v>0</v>
      </c>
      <c r="T320" s="205">
        <f t="shared" si="33"/>
        <v>0</v>
      </c>
      <c r="U320" s="205">
        <f t="shared" si="33"/>
        <v>1073406.1787064001</v>
      </c>
      <c r="V320" s="205">
        <f t="shared" si="33"/>
        <v>0</v>
      </c>
      <c r="W320" s="205">
        <f t="shared" si="33"/>
        <v>0</v>
      </c>
      <c r="X320" s="205">
        <f t="shared" si="33"/>
        <v>0</v>
      </c>
      <c r="Y320" s="205">
        <f t="shared" si="33"/>
        <v>0</v>
      </c>
      <c r="Z320" s="205">
        <f t="shared" si="33"/>
        <v>0</v>
      </c>
      <c r="AA320" s="205">
        <f t="shared" si="33"/>
        <v>0</v>
      </c>
      <c r="AB320" s="205">
        <f t="shared" si="33"/>
        <v>0</v>
      </c>
      <c r="AC320" s="205">
        <f t="shared" si="33"/>
        <v>231922902.19648913</v>
      </c>
      <c r="AD320" s="19"/>
      <c r="AE320" s="19"/>
      <c r="AF320" s="19"/>
      <c r="AG320" s="19"/>
    </row>
    <row r="321" spans="1:34" outlineLevel="1" x14ac:dyDescent="0.2">
      <c r="A321" s="19"/>
      <c r="B321" s="19"/>
      <c r="C321" s="66"/>
      <c r="D321" s="58"/>
      <c r="E321" s="58"/>
      <c r="F321" s="58"/>
      <c r="G321" s="58"/>
      <c r="H321" s="58"/>
      <c r="I321" s="67"/>
      <c r="J321" s="67"/>
      <c r="K321" s="68"/>
      <c r="L321" s="68"/>
      <c r="M321" s="68"/>
      <c r="N321" s="69"/>
      <c r="O321" s="69"/>
      <c r="P321" s="69"/>
      <c r="Q321" s="69"/>
      <c r="R321" s="69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19"/>
      <c r="AF321" s="19"/>
      <c r="AG321" s="19"/>
      <c r="AH321" s="19"/>
    </row>
    <row r="322" spans="1:34" outlineLevel="1" x14ac:dyDescent="0.2">
      <c r="A322" s="19"/>
      <c r="B322" s="19"/>
      <c r="C322" s="167" t="str">
        <f>C85</f>
        <v>Designated Pricing Proposal Costs</v>
      </c>
      <c r="D322" s="20"/>
      <c r="E322" s="20"/>
      <c r="F322" s="20"/>
      <c r="G322" s="22"/>
      <c r="H322" s="22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19"/>
      <c r="AF322" s="19"/>
      <c r="AG322" s="19"/>
      <c r="AH322" s="19"/>
    </row>
    <row r="323" spans="1:34" outlineLevel="2" x14ac:dyDescent="0.2">
      <c r="A323" s="19"/>
      <c r="B323" s="19"/>
      <c r="C323" s="506" t="str">
        <f t="shared" ref="C323:G332" si="34">C245</f>
        <v>Residential time of use consumption</v>
      </c>
      <c r="D323" s="505" t="str">
        <f t="shared" si="34"/>
        <v>Residential</v>
      </c>
      <c r="E323" s="505" t="str">
        <f t="shared" si="34"/>
        <v>TAS93</v>
      </c>
      <c r="F323" s="505">
        <f t="shared" si="34"/>
        <v>0</v>
      </c>
      <c r="G323" s="505">
        <f t="shared" si="34"/>
        <v>0</v>
      </c>
      <c r="H323" s="22"/>
      <c r="I323" s="198">
        <f>IF(Qty!$J166=0,Qty!M166,Qty!M166*Qty!$J166)*'Hist. prices'!I323*I$244</f>
        <v>0</v>
      </c>
      <c r="J323" s="198">
        <f>IF(Qty!$J166=0,Qty!N166,Qty!N166*Qty!$J166)*'Hist. prices'!J323*J$244</f>
        <v>0</v>
      </c>
      <c r="K323" s="198">
        <f>IF(Qty!$J166=0,Qty!O166,Qty!O166*Qty!$J166)*'Hist. prices'!K323*K$244</f>
        <v>3218027.3619637024</v>
      </c>
      <c r="L323" s="198">
        <f>IF(Qty!$J166=0,Qty!P166,Qty!P166*Qty!$J166)*'Hist. prices'!L323*L$244</f>
        <v>0</v>
      </c>
      <c r="M323" s="198">
        <f>IF(Qty!$J166=0,Qty!Q166,Qty!Q166*Qty!$J166)*'Hist. prices'!M323*M$244</f>
        <v>1414386.5043196043</v>
      </c>
      <c r="N323" s="198">
        <f>IF(Qty!$J166=0,Qty!R166,Qty!R166*Qty!$J166)*'Hist. prices'!N323*N$244</f>
        <v>0</v>
      </c>
      <c r="O323" s="198">
        <f>IF(Qty!$J166=0,Qty!S166,Qty!S166*Qty!$J166)*'Hist. prices'!O323*O$244</f>
        <v>0</v>
      </c>
      <c r="P323" s="198">
        <f>IF(Qty!$J166=0,Qty!T166,Qty!T166*Qty!$J166)*'Hist. prices'!P323*P$244</f>
        <v>0</v>
      </c>
      <c r="Q323" s="198">
        <f>IF(Qty!$J166=0,Qty!U166,Qty!U166*Qty!$J166)*'Hist. prices'!Q323*Q$244</f>
        <v>0</v>
      </c>
      <c r="R323" s="198">
        <f>IF(Qty!$J166=0,Qty!V166,Qty!V166*Qty!$J166)*'Hist. prices'!R323*R$244</f>
        <v>0</v>
      </c>
      <c r="S323" s="198">
        <f>IF(Qty!$J166=0,Qty!W166,Qty!W166*Qty!$J166)*'Hist. prices'!S323*S$244</f>
        <v>0</v>
      </c>
      <c r="T323" s="198">
        <f>IF(Qty!$J166=0,Qty!X166,Qty!X166*Qty!$J166)*'Hist. prices'!T323*T$244</f>
        <v>0</v>
      </c>
      <c r="U323" s="198">
        <f>IF(Qty!$J166=0,Qty!Y166,Qty!Y166*Qty!$J166)*'Hist. prices'!U323*U$244</f>
        <v>0</v>
      </c>
      <c r="V323" s="198">
        <f>IF(Qty!$J166=0,Qty!Z166,Qty!Z166*Qty!$J166)*'Hist. prices'!V323*V$244</f>
        <v>0</v>
      </c>
      <c r="W323" s="198">
        <f>IF(Qty!$J166=0,Qty!AA166,Qty!AA166*Qty!$J166)*'Hist. prices'!W323*W$244</f>
        <v>0</v>
      </c>
      <c r="X323" s="198">
        <f>IF(Qty!$J166=0,Qty!AB166,Qty!AB166*Qty!$J166)*'Hist. prices'!X323*X$244</f>
        <v>0</v>
      </c>
      <c r="Y323" s="198">
        <f>IF(Qty!$J166=0,Qty!AC166,Qty!AC166*Qty!$J166)*'Hist. prices'!Y323*Y$244</f>
        <v>0</v>
      </c>
      <c r="Z323" s="198">
        <f>IF(Qty!$J166=0,Qty!AD166,Qty!AD166*Qty!$J166)*'Hist. prices'!Z323*Z$244</f>
        <v>0</v>
      </c>
      <c r="AA323" s="198">
        <f>IF(Qty!$J166=0,Qty!AE166,Qty!AE166*Qty!$J166)*'Hist. prices'!AA323*AA$244</f>
        <v>0</v>
      </c>
      <c r="AB323" s="198">
        <f>IF(Qty!$J166=0,Qty!AF166,Qty!AF166*Qty!$J166)*'Hist. prices'!AB323*AB$244</f>
        <v>0</v>
      </c>
      <c r="AC323" s="206">
        <f t="shared" ref="AC323:AC354" si="35">SUM(I323:AB323)</f>
        <v>4632413.8662833069</v>
      </c>
      <c r="AD323" s="68"/>
      <c r="AE323" s="19"/>
      <c r="AF323" s="19"/>
      <c r="AG323" s="19"/>
      <c r="AH323" s="19"/>
    </row>
    <row r="324" spans="1:34" s="59" customFormat="1" outlineLevel="2" x14ac:dyDescent="0.2">
      <c r="A324" s="57"/>
      <c r="B324" s="57"/>
      <c r="C324" s="506" t="str">
        <f t="shared" si="34"/>
        <v>Residential general light and power</v>
      </c>
      <c r="D324" s="505" t="str">
        <f t="shared" si="34"/>
        <v>Residential</v>
      </c>
      <c r="E324" s="505" t="str">
        <f t="shared" si="34"/>
        <v>TAS31</v>
      </c>
      <c r="F324" s="505">
        <f t="shared" si="34"/>
        <v>0</v>
      </c>
      <c r="G324" s="505">
        <f t="shared" si="34"/>
        <v>0</v>
      </c>
      <c r="H324" s="58"/>
      <c r="I324" s="198">
        <f>IF(Qty!$J167=0,Qty!M167,Qty!M167*Qty!$J167)*'Hist. prices'!I324*I$244</f>
        <v>0</v>
      </c>
      <c r="J324" s="198">
        <f>IF(Qty!$J167=0,Qty!N167,Qty!N167*Qty!$J167)*'Hist. prices'!J324*J$244</f>
        <v>17013444.425717685</v>
      </c>
      <c r="K324" s="198">
        <f>IF(Qty!$J167=0,Qty!O167,Qty!O167*Qty!$J167)*'Hist. prices'!K324*K$244</f>
        <v>0</v>
      </c>
      <c r="L324" s="198">
        <f>IF(Qty!$J167=0,Qty!P167,Qty!P167*Qty!$J167)*'Hist. prices'!L324*L$244</f>
        <v>0</v>
      </c>
      <c r="M324" s="198">
        <f>IF(Qty!$J167=0,Qty!Q167,Qty!Q167*Qty!$J167)*'Hist. prices'!M324*M$244</f>
        <v>0</v>
      </c>
      <c r="N324" s="198">
        <f>IF(Qty!$J167=0,Qty!R167,Qty!R167*Qty!$J167)*'Hist. prices'!N324*N$244</f>
        <v>0</v>
      </c>
      <c r="O324" s="198">
        <f>IF(Qty!$J167=0,Qty!S167,Qty!S167*Qty!$J167)*'Hist. prices'!O324*O$244</f>
        <v>0</v>
      </c>
      <c r="P324" s="198">
        <f>IF(Qty!$J167=0,Qty!T167,Qty!T167*Qty!$J167)*'Hist. prices'!P324*P$244</f>
        <v>0</v>
      </c>
      <c r="Q324" s="198">
        <f>IF(Qty!$J167=0,Qty!U167,Qty!U167*Qty!$J167)*'Hist. prices'!Q324*Q$244</f>
        <v>0</v>
      </c>
      <c r="R324" s="198">
        <f>IF(Qty!$J167=0,Qty!V167,Qty!V167*Qty!$J167)*'Hist. prices'!R324*R$244</f>
        <v>0</v>
      </c>
      <c r="S324" s="198">
        <f>IF(Qty!$J167=0,Qty!W167,Qty!W167*Qty!$J167)*'Hist. prices'!S324*S$244</f>
        <v>0</v>
      </c>
      <c r="T324" s="198">
        <f>IF(Qty!$J167=0,Qty!X167,Qty!X167*Qty!$J167)*'Hist. prices'!T324*T$244</f>
        <v>0</v>
      </c>
      <c r="U324" s="198">
        <f>IF(Qty!$J167=0,Qty!Y167,Qty!Y167*Qty!$J167)*'Hist. prices'!U324*U$244</f>
        <v>0</v>
      </c>
      <c r="V324" s="198">
        <f>IF(Qty!$J167=0,Qty!Z167,Qty!Z167*Qty!$J167)*'Hist. prices'!V324*V$244</f>
        <v>0</v>
      </c>
      <c r="W324" s="198">
        <f>IF(Qty!$J167=0,Qty!AA167,Qty!AA167*Qty!$J167)*'Hist. prices'!W324*W$244</f>
        <v>0</v>
      </c>
      <c r="X324" s="198">
        <f>IF(Qty!$J167=0,Qty!AB167,Qty!AB167*Qty!$J167)*'Hist. prices'!X324*X$244</f>
        <v>0</v>
      </c>
      <c r="Y324" s="198">
        <f>IF(Qty!$J167=0,Qty!AC167,Qty!AC167*Qty!$J167)*'Hist. prices'!Y324*Y$244</f>
        <v>0</v>
      </c>
      <c r="Z324" s="198">
        <f>IF(Qty!$J167=0,Qty!AD167,Qty!AD167*Qty!$J167)*'Hist. prices'!Z324*Z$244</f>
        <v>0</v>
      </c>
      <c r="AA324" s="198">
        <f>IF(Qty!$J167=0,Qty!AE167,Qty!AE167*Qty!$J167)*'Hist. prices'!AA324*AA$244</f>
        <v>0</v>
      </c>
      <c r="AB324" s="198">
        <f>IF(Qty!$J167=0,Qty!AF167,Qty!AF167*Qty!$J167)*'Hist. prices'!AB324*AB$244</f>
        <v>0</v>
      </c>
      <c r="AC324" s="206">
        <f t="shared" si="35"/>
        <v>17013444.425717685</v>
      </c>
      <c r="AD324" s="68"/>
      <c r="AE324" s="57"/>
      <c r="AF324" s="57"/>
      <c r="AG324" s="57"/>
      <c r="AH324" s="57"/>
    </row>
    <row r="325" spans="1:34" outlineLevel="2" x14ac:dyDescent="0.2">
      <c r="A325" s="19"/>
      <c r="B325" s="19"/>
      <c r="C325" s="506" t="str">
        <f t="shared" si="34"/>
        <v>Residential time of use demand</v>
      </c>
      <c r="D325" s="505" t="str">
        <f t="shared" si="34"/>
        <v>Residential</v>
      </c>
      <c r="E325" s="505" t="str">
        <f t="shared" si="34"/>
        <v>TAS87</v>
      </c>
      <c r="F325" s="505">
        <f t="shared" si="34"/>
        <v>0</v>
      </c>
      <c r="G325" s="505">
        <f t="shared" si="34"/>
        <v>0</v>
      </c>
      <c r="H325" s="58"/>
      <c r="I325" s="198">
        <f>IF(Qty!$J168=0,Qty!M168,Qty!M168*Qty!$J168)*'Hist. prices'!I325*I$244</f>
        <v>0</v>
      </c>
      <c r="J325" s="198">
        <f>IF(Qty!$J168=0,Qty!N168,Qty!N168*Qty!$J168)*'Hist. prices'!J325*J$244</f>
        <v>0</v>
      </c>
      <c r="K325" s="198">
        <f>IF(Qty!$J168=0,Qty!O168,Qty!O168*Qty!$J168)*'Hist. prices'!K325*K$244</f>
        <v>0</v>
      </c>
      <c r="L325" s="198">
        <f>IF(Qty!$J168=0,Qty!P168,Qty!P168*Qty!$J168)*'Hist. prices'!L325*L$244</f>
        <v>0</v>
      </c>
      <c r="M325" s="198">
        <f>IF(Qty!$J168=0,Qty!Q168,Qty!Q168*Qty!$J168)*'Hist. prices'!M325*M$244</f>
        <v>0</v>
      </c>
      <c r="N325" s="198">
        <f>IF(Qty!$J168=0,Qty!R168,Qty!R168*Qty!$J168)*'Hist. prices'!N325*N$244</f>
        <v>0</v>
      </c>
      <c r="O325" s="198">
        <f>IF(Qty!$J168=0,Qty!S168,Qty!S168*Qty!$J168)*'Hist. prices'!O325*O$244</f>
        <v>0</v>
      </c>
      <c r="P325" s="198">
        <f>IF(Qty!$J168=0,Qty!T168,Qty!T168*Qty!$J168)*'Hist. prices'!P325*P$244</f>
        <v>0</v>
      </c>
      <c r="Q325" s="198">
        <f>IF(Qty!$J168=0,Qty!U168,Qty!U168*Qty!$J168)*'Hist. prices'!Q325*Q$244</f>
        <v>0</v>
      </c>
      <c r="R325" s="198">
        <f>IF(Qty!$J168=0,Qty!V168,Qty!V168*Qty!$J168)*'Hist. prices'!R325*R$244</f>
        <v>0</v>
      </c>
      <c r="S325" s="198">
        <f>IF(Qty!$J168=0,Qty!W168,Qty!W168*Qty!$J168)*'Hist. prices'!S325*S$244</f>
        <v>0</v>
      </c>
      <c r="T325" s="198">
        <f>IF(Qty!$J168=0,Qty!X168,Qty!X168*Qty!$J168)*'Hist. prices'!T325*T$244</f>
        <v>0</v>
      </c>
      <c r="U325" s="198">
        <f>IF(Qty!$J168=0,Qty!Y168,Qty!Y168*Qty!$J168)*'Hist. prices'!U325*U$244</f>
        <v>0</v>
      </c>
      <c r="V325" s="198">
        <f>IF(Qty!$J168=0,Qty!Z168,Qty!Z168*Qty!$J168)*'Hist. prices'!V325*V$244</f>
        <v>0</v>
      </c>
      <c r="W325" s="198">
        <f>IF(Qty!$J168=0,Qty!AA168,Qty!AA168*Qty!$J168)*'Hist. prices'!W325*W$244</f>
        <v>0</v>
      </c>
      <c r="X325" s="198">
        <f>IF(Qty!$J168=0,Qty!AB168,Qty!AB168*Qty!$J168)*'Hist. prices'!X325*X$244</f>
        <v>0</v>
      </c>
      <c r="Y325" s="198">
        <f>IF(Qty!$J168=0,Qty!AC168,Qty!AC168*Qty!$J168)*'Hist. prices'!Y325*Y$244</f>
        <v>0</v>
      </c>
      <c r="Z325" s="198">
        <f>IF(Qty!$J168=0,Qty!AD168,Qty!AD168*Qty!$J168)*'Hist. prices'!Z325*Z$244</f>
        <v>0</v>
      </c>
      <c r="AA325" s="198">
        <f>IF(Qty!$J168=0,Qty!AE168,Qty!AE168*Qty!$J168)*'Hist. prices'!AA325*AA$244</f>
        <v>0</v>
      </c>
      <c r="AB325" s="198">
        <f>IF(Qty!$J168=0,Qty!AF168,Qty!AF168*Qty!$J168)*'Hist. prices'!AB325*AB$244</f>
        <v>0</v>
      </c>
      <c r="AC325" s="206">
        <f t="shared" si="35"/>
        <v>0</v>
      </c>
      <c r="AD325" s="68"/>
      <c r="AE325" s="19"/>
      <c r="AF325" s="19"/>
      <c r="AG325" s="19"/>
      <c r="AH325" s="19"/>
    </row>
    <row r="326" spans="1:34" outlineLevel="2" x14ac:dyDescent="0.2">
      <c r="A326" s="19"/>
      <c r="B326" s="19"/>
      <c r="C326" s="506" t="str">
        <f t="shared" si="34"/>
        <v>Residential time of use demand DER</v>
      </c>
      <c r="D326" s="505" t="str">
        <f t="shared" si="34"/>
        <v>Residential</v>
      </c>
      <c r="E326" s="505" t="str">
        <f t="shared" si="34"/>
        <v>TAS97</v>
      </c>
      <c r="F326" s="505">
        <f t="shared" si="34"/>
        <v>0</v>
      </c>
      <c r="G326" s="505">
        <f t="shared" si="34"/>
        <v>0</v>
      </c>
      <c r="H326" s="58"/>
      <c r="I326" s="198">
        <f>IF(Qty!$J169=0,Qty!M169,Qty!M169*Qty!$J169)*'Hist. prices'!I326*I$244</f>
        <v>0</v>
      </c>
      <c r="J326" s="198">
        <f>IF(Qty!$J169=0,Qty!N169,Qty!N169*Qty!$J169)*'Hist. prices'!J326*J$244</f>
        <v>0</v>
      </c>
      <c r="K326" s="198">
        <f>IF(Qty!$J169=0,Qty!O169,Qty!O169*Qty!$J169)*'Hist. prices'!K326*K$244</f>
        <v>0</v>
      </c>
      <c r="L326" s="198">
        <f>IF(Qty!$J169=0,Qty!P169,Qty!P169*Qty!$J169)*'Hist. prices'!L326*L$244</f>
        <v>0</v>
      </c>
      <c r="M326" s="198">
        <f>IF(Qty!$J169=0,Qty!Q169,Qty!Q169*Qty!$J169)*'Hist. prices'!M326*M$244</f>
        <v>0</v>
      </c>
      <c r="N326" s="198">
        <f>IF(Qty!$J169=0,Qty!R169,Qty!R169*Qty!$J169)*'Hist. prices'!N326*N$244</f>
        <v>0</v>
      </c>
      <c r="O326" s="198">
        <f>IF(Qty!$J169=0,Qty!S169,Qty!S169*Qty!$J169)*'Hist. prices'!O326*O$244</f>
        <v>0</v>
      </c>
      <c r="P326" s="198">
        <f>IF(Qty!$J169=0,Qty!T169,Qty!T169*Qty!$J169)*'Hist. prices'!P326*P$244</f>
        <v>0</v>
      </c>
      <c r="Q326" s="198">
        <f>IF(Qty!$J169=0,Qty!U169,Qty!U169*Qty!$J169)*'Hist. prices'!Q326*Q$244</f>
        <v>0</v>
      </c>
      <c r="R326" s="198">
        <f>IF(Qty!$J169=0,Qty!V169,Qty!V169*Qty!$J169)*'Hist. prices'!R326*R$244</f>
        <v>0</v>
      </c>
      <c r="S326" s="198">
        <f>IF(Qty!$J169=0,Qty!W169,Qty!W169*Qty!$J169)*'Hist. prices'!S326*S$244</f>
        <v>0</v>
      </c>
      <c r="T326" s="198">
        <f>IF(Qty!$J169=0,Qty!X169,Qty!X169*Qty!$J169)*'Hist. prices'!T326*T$244</f>
        <v>0</v>
      </c>
      <c r="U326" s="198">
        <f>IF(Qty!$J169=0,Qty!Y169,Qty!Y169*Qty!$J169)*'Hist. prices'!U326*U$244</f>
        <v>0</v>
      </c>
      <c r="V326" s="198">
        <f>IF(Qty!$J169=0,Qty!Z169,Qty!Z169*Qty!$J169)*'Hist. prices'!V326*V$244</f>
        <v>0</v>
      </c>
      <c r="W326" s="198">
        <f>IF(Qty!$J169=0,Qty!AA169,Qty!AA169*Qty!$J169)*'Hist. prices'!W326*W$244</f>
        <v>0</v>
      </c>
      <c r="X326" s="198">
        <f>IF(Qty!$J169=0,Qty!AB169,Qty!AB169*Qty!$J169)*'Hist. prices'!X326*X$244</f>
        <v>0</v>
      </c>
      <c r="Y326" s="198">
        <f>IF(Qty!$J169=0,Qty!AC169,Qty!AC169*Qty!$J169)*'Hist. prices'!Y326*Y$244</f>
        <v>0</v>
      </c>
      <c r="Z326" s="198">
        <f>IF(Qty!$J169=0,Qty!AD169,Qty!AD169*Qty!$J169)*'Hist. prices'!Z326*Z$244</f>
        <v>0</v>
      </c>
      <c r="AA326" s="198">
        <f>IF(Qty!$J169=0,Qty!AE169,Qty!AE169*Qty!$J169)*'Hist. prices'!AA326*AA$244</f>
        <v>0</v>
      </c>
      <c r="AB326" s="198">
        <f>IF(Qty!$J169=0,Qty!AF169,Qty!AF169*Qty!$J169)*'Hist. prices'!AB326*AB$244</f>
        <v>0</v>
      </c>
      <c r="AC326" s="206">
        <f t="shared" si="35"/>
        <v>0</v>
      </c>
      <c r="AD326" s="68"/>
      <c r="AE326" s="19"/>
      <c r="AF326" s="19"/>
      <c r="AG326" s="19"/>
      <c r="AH326" s="19"/>
    </row>
    <row r="327" spans="1:34" outlineLevel="2" x14ac:dyDescent="0.2">
      <c r="A327" s="19"/>
      <c r="B327" s="19"/>
      <c r="C327" s="506" t="str">
        <f t="shared" si="34"/>
        <v>Residential pay as you go</v>
      </c>
      <c r="D327" s="505" t="str">
        <f t="shared" si="34"/>
        <v>Residential</v>
      </c>
      <c r="E327" s="505" t="str">
        <f t="shared" si="34"/>
        <v>TAS101</v>
      </c>
      <c r="F327" s="505">
        <f t="shared" si="34"/>
        <v>0</v>
      </c>
      <c r="G327" s="505">
        <f t="shared" si="34"/>
        <v>0</v>
      </c>
      <c r="H327" s="58"/>
      <c r="I327" s="198">
        <f>IF(Qty!$J170=0,Qty!M170,Qty!M170*Qty!$J170)*'Hist. prices'!I327*I$244</f>
        <v>0</v>
      </c>
      <c r="J327" s="198">
        <f>IF(Qty!$J170=0,Qty!N170,Qty!N170*Qty!$J170)*'Hist. prices'!J327*J$244</f>
        <v>1632.3699000000001</v>
      </c>
      <c r="K327" s="198">
        <f>IF(Qty!$J170=0,Qty!O170,Qty!O170*Qty!$J170)*'Hist. prices'!K327*K$244</f>
        <v>0</v>
      </c>
      <c r="L327" s="198">
        <f>IF(Qty!$J170=0,Qty!P170,Qty!P170*Qty!$J170)*'Hist. prices'!L327*L$244</f>
        <v>0</v>
      </c>
      <c r="M327" s="198">
        <f>IF(Qty!$J170=0,Qty!Q170,Qty!Q170*Qty!$J170)*'Hist. prices'!M327*M$244</f>
        <v>0</v>
      </c>
      <c r="N327" s="198">
        <f>IF(Qty!$J170=0,Qty!R170,Qty!R170*Qty!$J170)*'Hist. prices'!N327*N$244</f>
        <v>0</v>
      </c>
      <c r="O327" s="198">
        <f>IF(Qty!$J170=0,Qty!S170,Qty!S170*Qty!$J170)*'Hist. prices'!O327*O$244</f>
        <v>0</v>
      </c>
      <c r="P327" s="198">
        <f>IF(Qty!$J170=0,Qty!T170,Qty!T170*Qty!$J170)*'Hist. prices'!P327*P$244</f>
        <v>0</v>
      </c>
      <c r="Q327" s="198">
        <f>IF(Qty!$J170=0,Qty!U170,Qty!U170*Qty!$J170)*'Hist. prices'!Q327*Q$244</f>
        <v>0</v>
      </c>
      <c r="R327" s="198">
        <f>IF(Qty!$J170=0,Qty!V170,Qty!V170*Qty!$J170)*'Hist. prices'!R327*R$244</f>
        <v>0</v>
      </c>
      <c r="S327" s="198">
        <f>IF(Qty!$J170=0,Qty!W170,Qty!W170*Qty!$J170)*'Hist. prices'!S327*S$244</f>
        <v>0</v>
      </c>
      <c r="T327" s="198">
        <f>IF(Qty!$J170=0,Qty!X170,Qty!X170*Qty!$J170)*'Hist. prices'!T327*T$244</f>
        <v>0</v>
      </c>
      <c r="U327" s="198">
        <f>IF(Qty!$J170=0,Qty!Y170,Qty!Y170*Qty!$J170)*'Hist. prices'!U327*U$244</f>
        <v>0</v>
      </c>
      <c r="V327" s="198">
        <f>IF(Qty!$J170=0,Qty!Z170,Qty!Z170*Qty!$J170)*'Hist. prices'!V327*V$244</f>
        <v>0</v>
      </c>
      <c r="W327" s="198">
        <f>IF(Qty!$J170=0,Qty!AA170,Qty!AA170*Qty!$J170)*'Hist. prices'!W327*W$244</f>
        <v>0</v>
      </c>
      <c r="X327" s="198">
        <f>IF(Qty!$J170=0,Qty!AB170,Qty!AB170*Qty!$J170)*'Hist. prices'!X327*X$244</f>
        <v>0</v>
      </c>
      <c r="Y327" s="198">
        <f>IF(Qty!$J170=0,Qty!AC170,Qty!AC170*Qty!$J170)*'Hist. prices'!Y327*Y$244</f>
        <v>0</v>
      </c>
      <c r="Z327" s="198">
        <f>IF(Qty!$J170=0,Qty!AD170,Qty!AD170*Qty!$J170)*'Hist. prices'!Z327*Z$244</f>
        <v>0</v>
      </c>
      <c r="AA327" s="198">
        <f>IF(Qty!$J170=0,Qty!AE170,Qty!AE170*Qty!$J170)*'Hist. prices'!AA327*AA$244</f>
        <v>0</v>
      </c>
      <c r="AB327" s="198">
        <f>IF(Qty!$J170=0,Qty!AF170,Qty!AF170*Qty!$J170)*'Hist. prices'!AB327*AB$244</f>
        <v>0</v>
      </c>
      <c r="AC327" s="206">
        <f t="shared" si="35"/>
        <v>1632.3699000000001</v>
      </c>
      <c r="AD327" s="68"/>
      <c r="AE327" s="19"/>
      <c r="AF327" s="19"/>
      <c r="AG327" s="19"/>
      <c r="AH327" s="19"/>
    </row>
    <row r="328" spans="1:34" outlineLevel="2" x14ac:dyDescent="0.2">
      <c r="A328" s="19"/>
      <c r="B328" s="19"/>
      <c r="C328" s="506" t="str">
        <f t="shared" si="34"/>
        <v>Residential pay as you go time of use</v>
      </c>
      <c r="D328" s="505" t="str">
        <f t="shared" si="34"/>
        <v>Residential</v>
      </c>
      <c r="E328" s="505" t="str">
        <f t="shared" si="34"/>
        <v>TAS92</v>
      </c>
      <c r="F328" s="505">
        <f t="shared" si="34"/>
        <v>0</v>
      </c>
      <c r="G328" s="505">
        <f t="shared" si="34"/>
        <v>0</v>
      </c>
      <c r="H328" s="58"/>
      <c r="I328" s="198">
        <f>IF(Qty!$J171=0,Qty!M171,Qty!M171*Qty!$J171)*'Hist. prices'!I328*I$244</f>
        <v>0</v>
      </c>
      <c r="J328" s="198">
        <f>IF(Qty!$J171=0,Qty!N171,Qty!N171*Qty!$J171)*'Hist. prices'!J328*J$244</f>
        <v>0</v>
      </c>
      <c r="K328" s="198">
        <f>IF(Qty!$J171=0,Qty!O171,Qty!O171*Qty!$J171)*'Hist. prices'!K328*K$244</f>
        <v>0</v>
      </c>
      <c r="L328" s="198">
        <f>IF(Qty!$J171=0,Qty!P171,Qty!P171*Qty!$J171)*'Hist. prices'!L328*L$244</f>
        <v>0</v>
      </c>
      <c r="M328" s="198">
        <f>IF(Qty!$J171=0,Qty!Q171,Qty!Q171*Qty!$J171)*'Hist. prices'!M328*M$244</f>
        <v>0</v>
      </c>
      <c r="N328" s="198">
        <f>IF(Qty!$J171=0,Qty!R171,Qty!R171*Qty!$J171)*'Hist. prices'!N328*N$244</f>
        <v>0</v>
      </c>
      <c r="O328" s="198">
        <f>IF(Qty!$J171=0,Qty!S171,Qty!S171*Qty!$J171)*'Hist. prices'!O328*O$244</f>
        <v>0</v>
      </c>
      <c r="P328" s="198">
        <f>IF(Qty!$J171=0,Qty!T171,Qty!T171*Qty!$J171)*'Hist. prices'!P328*P$244</f>
        <v>0</v>
      </c>
      <c r="Q328" s="198">
        <f>IF(Qty!$J171=0,Qty!U171,Qty!U171*Qty!$J171)*'Hist. prices'!Q328*Q$244</f>
        <v>0</v>
      </c>
      <c r="R328" s="198">
        <f>IF(Qty!$J171=0,Qty!V171,Qty!V171*Qty!$J171)*'Hist. prices'!R328*R$244</f>
        <v>0</v>
      </c>
      <c r="S328" s="198">
        <f>IF(Qty!$J171=0,Qty!W171,Qty!W171*Qty!$J171)*'Hist. prices'!S328*S$244</f>
        <v>0</v>
      </c>
      <c r="T328" s="198">
        <f>IF(Qty!$J171=0,Qty!X171,Qty!X171*Qty!$J171)*'Hist. prices'!T328*T$244</f>
        <v>0</v>
      </c>
      <c r="U328" s="198">
        <f>IF(Qty!$J171=0,Qty!Y171,Qty!Y171*Qty!$J171)*'Hist. prices'!U328*U$244</f>
        <v>0</v>
      </c>
      <c r="V328" s="198">
        <f>IF(Qty!$J171=0,Qty!Z171,Qty!Z171*Qty!$J171)*'Hist. prices'!V328*V$244</f>
        <v>0</v>
      </c>
      <c r="W328" s="198">
        <f>IF(Qty!$J171=0,Qty!AA171,Qty!AA171*Qty!$J171)*'Hist. prices'!W328*W$244</f>
        <v>0</v>
      </c>
      <c r="X328" s="198">
        <f>IF(Qty!$J171=0,Qty!AB171,Qty!AB171*Qty!$J171)*'Hist. prices'!X328*X$244</f>
        <v>0</v>
      </c>
      <c r="Y328" s="198">
        <f>IF(Qty!$J171=0,Qty!AC171,Qty!AC171*Qty!$J171)*'Hist. prices'!Y328*Y$244</f>
        <v>0</v>
      </c>
      <c r="Z328" s="198">
        <f>IF(Qty!$J171=0,Qty!AD171,Qty!AD171*Qty!$J171)*'Hist. prices'!Z328*Z$244</f>
        <v>0</v>
      </c>
      <c r="AA328" s="198">
        <f>IF(Qty!$J171=0,Qty!AE171,Qty!AE171*Qty!$J171)*'Hist. prices'!AA328*AA$244</f>
        <v>0</v>
      </c>
      <c r="AB328" s="198">
        <f>IF(Qty!$J171=0,Qty!AF171,Qty!AF171*Qty!$J171)*'Hist. prices'!AB328*AB$244</f>
        <v>0</v>
      </c>
      <c r="AC328" s="206">
        <f t="shared" si="35"/>
        <v>0</v>
      </c>
      <c r="AD328" s="68"/>
      <c r="AE328" s="19"/>
      <c r="AF328" s="19"/>
      <c r="AG328" s="19"/>
      <c r="AH328" s="19"/>
    </row>
    <row r="329" spans="1:34" outlineLevel="2" x14ac:dyDescent="0.2">
      <c r="A329" s="19"/>
      <c r="B329" s="19"/>
      <c r="C329" s="506" t="str">
        <f t="shared" si="34"/>
        <v>Small business time of use consumption</v>
      </c>
      <c r="D329" s="505" t="str">
        <f t="shared" si="34"/>
        <v>Small Business LV</v>
      </c>
      <c r="E329" s="505" t="str">
        <f t="shared" si="34"/>
        <v>TAS94</v>
      </c>
      <c r="F329" s="505">
        <f t="shared" si="34"/>
        <v>0</v>
      </c>
      <c r="G329" s="505">
        <f t="shared" si="34"/>
        <v>0</v>
      </c>
      <c r="H329" s="58"/>
      <c r="I329" s="198">
        <f>IF(Qty!$J172=0,Qty!M172,Qty!M172*Qty!$J172)*'Hist. prices'!I329*I$244</f>
        <v>0</v>
      </c>
      <c r="J329" s="198">
        <f>IF(Qty!$J172=0,Qty!N172,Qty!N172*Qty!$J172)*'Hist. prices'!J329*J$244</f>
        <v>0</v>
      </c>
      <c r="K329" s="198">
        <f>IF(Qty!$J172=0,Qty!O172,Qty!O172*Qty!$J172)*'Hist. prices'!K329*K$244</f>
        <v>6214547.800900341</v>
      </c>
      <c r="L329" s="198">
        <f>IF(Qty!$J172=0,Qty!P172,Qty!P172*Qty!$J172)*'Hist. prices'!L329*L$244</f>
        <v>936118.93354560004</v>
      </c>
      <c r="M329" s="198">
        <f>IF(Qty!$J172=0,Qty!Q172,Qty!Q172*Qty!$J172)*'Hist. prices'!M329*M$244</f>
        <v>463346.31210479996</v>
      </c>
      <c r="N329" s="198">
        <f>IF(Qty!$J172=0,Qty!R172,Qty!R172*Qty!$J172)*'Hist. prices'!N329*N$244</f>
        <v>0</v>
      </c>
      <c r="O329" s="198">
        <f>IF(Qty!$J172=0,Qty!S172,Qty!S172*Qty!$J172)*'Hist. prices'!O329*O$244</f>
        <v>0</v>
      </c>
      <c r="P329" s="198">
        <f>IF(Qty!$J172=0,Qty!T172,Qty!T172*Qty!$J172)*'Hist. prices'!P329*P$244</f>
        <v>0</v>
      </c>
      <c r="Q329" s="198">
        <f>IF(Qty!$J172=0,Qty!U172,Qty!U172*Qty!$J172)*'Hist. prices'!Q329*Q$244</f>
        <v>0</v>
      </c>
      <c r="R329" s="198">
        <f>IF(Qty!$J172=0,Qty!V172,Qty!V172*Qty!$J172)*'Hist. prices'!R329*R$244</f>
        <v>0</v>
      </c>
      <c r="S329" s="198">
        <f>IF(Qty!$J172=0,Qty!W172,Qty!W172*Qty!$J172)*'Hist. prices'!S329*S$244</f>
        <v>0</v>
      </c>
      <c r="T329" s="198">
        <f>IF(Qty!$J172=0,Qty!X172,Qty!X172*Qty!$J172)*'Hist. prices'!T329*T$244</f>
        <v>0</v>
      </c>
      <c r="U329" s="198">
        <f>IF(Qty!$J172=0,Qty!Y172,Qty!Y172*Qty!$J172)*'Hist. prices'!U329*U$244</f>
        <v>0</v>
      </c>
      <c r="V329" s="198">
        <f>IF(Qty!$J172=0,Qty!Z172,Qty!Z172*Qty!$J172)*'Hist. prices'!V329*V$244</f>
        <v>0</v>
      </c>
      <c r="W329" s="198">
        <f>IF(Qty!$J172=0,Qty!AA172,Qty!AA172*Qty!$J172)*'Hist. prices'!W329*W$244</f>
        <v>0</v>
      </c>
      <c r="X329" s="198">
        <f>IF(Qty!$J172=0,Qty!AB172,Qty!AB172*Qty!$J172)*'Hist. prices'!X329*X$244</f>
        <v>0</v>
      </c>
      <c r="Y329" s="198">
        <f>IF(Qty!$J172=0,Qty!AC172,Qty!AC172*Qty!$J172)*'Hist. prices'!Y329*Y$244</f>
        <v>0</v>
      </c>
      <c r="Z329" s="198">
        <f>IF(Qty!$J172=0,Qty!AD172,Qty!AD172*Qty!$J172)*'Hist. prices'!Z329*Z$244</f>
        <v>0</v>
      </c>
      <c r="AA329" s="198">
        <f>IF(Qty!$J172=0,Qty!AE172,Qty!AE172*Qty!$J172)*'Hist. prices'!AA329*AA$244</f>
        <v>0</v>
      </c>
      <c r="AB329" s="198">
        <f>IF(Qty!$J172=0,Qty!AF172,Qty!AF172*Qty!$J172)*'Hist. prices'!AB329*AB$244</f>
        <v>0</v>
      </c>
      <c r="AC329" s="206">
        <f t="shared" si="35"/>
        <v>7614013.0465507405</v>
      </c>
      <c r="AD329" s="68"/>
      <c r="AE329" s="19"/>
      <c r="AF329" s="19"/>
      <c r="AG329" s="19"/>
      <c r="AH329" s="19"/>
    </row>
    <row r="330" spans="1:34" outlineLevel="2" x14ac:dyDescent="0.2">
      <c r="A330" s="19"/>
      <c r="B330" s="19"/>
      <c r="C330" s="506" t="str">
        <f t="shared" si="34"/>
        <v>Small business general light and power</v>
      </c>
      <c r="D330" s="505" t="str">
        <f t="shared" si="34"/>
        <v>Small Business LV</v>
      </c>
      <c r="E330" s="505" t="str">
        <f t="shared" si="34"/>
        <v>TAS22</v>
      </c>
      <c r="F330" s="505">
        <f t="shared" si="34"/>
        <v>0</v>
      </c>
      <c r="G330" s="505">
        <f t="shared" si="34"/>
        <v>0</v>
      </c>
      <c r="H330" s="58"/>
      <c r="I330" s="198">
        <f>IF(Qty!$J173=0,Qty!M173,Qty!M173*Qty!$J173)*'Hist. prices'!I330*I$244</f>
        <v>0</v>
      </c>
      <c r="J330" s="198">
        <f>IF(Qty!$J173=0,Qty!N173,Qty!N173*Qty!$J173)*'Hist. prices'!J330*J$244</f>
        <v>5055028.9826429784</v>
      </c>
      <c r="K330" s="198">
        <f>IF(Qty!$J173=0,Qty!O173,Qty!O173*Qty!$J173)*'Hist. prices'!K330*K$244</f>
        <v>0</v>
      </c>
      <c r="L330" s="198">
        <f>IF(Qty!$J173=0,Qty!P173,Qty!P173*Qty!$J173)*'Hist. prices'!L330*L$244</f>
        <v>0</v>
      </c>
      <c r="M330" s="198">
        <f>IF(Qty!$J173=0,Qty!Q173,Qty!Q173*Qty!$J173)*'Hist. prices'!M330*M$244</f>
        <v>0</v>
      </c>
      <c r="N330" s="198">
        <f>IF(Qty!$J173=0,Qty!R173,Qty!R173*Qty!$J173)*'Hist. prices'!N330*N$244</f>
        <v>0</v>
      </c>
      <c r="O330" s="198">
        <f>IF(Qty!$J173=0,Qty!S173,Qty!S173*Qty!$J173)*'Hist. prices'!O330*O$244</f>
        <v>0</v>
      </c>
      <c r="P330" s="198">
        <f>IF(Qty!$J173=0,Qty!T173,Qty!T173*Qty!$J173)*'Hist. prices'!P330*P$244</f>
        <v>0</v>
      </c>
      <c r="Q330" s="198">
        <f>IF(Qty!$J173=0,Qty!U173,Qty!U173*Qty!$J173)*'Hist. prices'!Q330*Q$244</f>
        <v>0</v>
      </c>
      <c r="R330" s="198">
        <f>IF(Qty!$J173=0,Qty!V173,Qty!V173*Qty!$J173)*'Hist. prices'!R330*R$244</f>
        <v>0</v>
      </c>
      <c r="S330" s="198">
        <f>IF(Qty!$J173=0,Qty!W173,Qty!W173*Qty!$J173)*'Hist. prices'!S330*S$244</f>
        <v>0</v>
      </c>
      <c r="T330" s="198">
        <f>IF(Qty!$J173=0,Qty!X173,Qty!X173*Qty!$J173)*'Hist. prices'!T330*T$244</f>
        <v>0</v>
      </c>
      <c r="U330" s="198">
        <f>IF(Qty!$J173=0,Qty!Y173,Qty!Y173*Qty!$J173)*'Hist. prices'!U330*U$244</f>
        <v>0</v>
      </c>
      <c r="V330" s="198">
        <f>IF(Qty!$J173=0,Qty!Z173,Qty!Z173*Qty!$J173)*'Hist. prices'!V330*V$244</f>
        <v>0</v>
      </c>
      <c r="W330" s="198">
        <f>IF(Qty!$J173=0,Qty!AA173,Qty!AA173*Qty!$J173)*'Hist. prices'!W330*W$244</f>
        <v>0</v>
      </c>
      <c r="X330" s="198">
        <f>IF(Qty!$J173=0,Qty!AB173,Qty!AB173*Qty!$J173)*'Hist. prices'!X330*X$244</f>
        <v>0</v>
      </c>
      <c r="Y330" s="198">
        <f>IF(Qty!$J173=0,Qty!AC173,Qty!AC173*Qty!$J173)*'Hist. prices'!Y330*Y$244</f>
        <v>0</v>
      </c>
      <c r="Z330" s="198">
        <f>IF(Qty!$J173=0,Qty!AD173,Qty!AD173*Qty!$J173)*'Hist. prices'!Z330*Z$244</f>
        <v>0</v>
      </c>
      <c r="AA330" s="198">
        <f>IF(Qty!$J173=0,Qty!AE173,Qty!AE173*Qty!$J173)*'Hist. prices'!AA330*AA$244</f>
        <v>0</v>
      </c>
      <c r="AB330" s="198">
        <f>IF(Qty!$J173=0,Qty!AF173,Qty!AF173*Qty!$J173)*'Hist. prices'!AB330*AB$244</f>
        <v>0</v>
      </c>
      <c r="AC330" s="206">
        <f t="shared" si="35"/>
        <v>5055028.9826429784</v>
      </c>
      <c r="AD330" s="68"/>
      <c r="AE330" s="19"/>
      <c r="AF330" s="19"/>
      <c r="AG330" s="19"/>
      <c r="AH330" s="19"/>
    </row>
    <row r="331" spans="1:34" outlineLevel="2" x14ac:dyDescent="0.2">
      <c r="A331" s="19"/>
      <c r="B331" s="19"/>
      <c r="C331" s="506" t="str">
        <f t="shared" si="34"/>
        <v>Small business time of use demand</v>
      </c>
      <c r="D331" s="505" t="str">
        <f t="shared" si="34"/>
        <v>Small Business LV</v>
      </c>
      <c r="E331" s="505" t="str">
        <f t="shared" si="34"/>
        <v>TAS88</v>
      </c>
      <c r="F331" s="505">
        <f t="shared" si="34"/>
        <v>0</v>
      </c>
      <c r="G331" s="505">
        <f t="shared" si="34"/>
        <v>0</v>
      </c>
      <c r="H331" s="58"/>
      <c r="I331" s="198">
        <f>IF(Qty!$J174=0,Qty!M174,Qty!M174*Qty!$J174)*'Hist. prices'!I331*I$244</f>
        <v>0</v>
      </c>
      <c r="J331" s="198">
        <f>IF(Qty!$J174=0,Qty!N174,Qty!N174*Qty!$J174)*'Hist. prices'!J331*J$244</f>
        <v>0</v>
      </c>
      <c r="K331" s="198">
        <f>IF(Qty!$J174=0,Qty!O174,Qty!O174*Qty!$J174)*'Hist. prices'!K331*K$244</f>
        <v>0</v>
      </c>
      <c r="L331" s="198">
        <f>IF(Qty!$J174=0,Qty!P174,Qty!P174*Qty!$J174)*'Hist. prices'!L331*L$244</f>
        <v>0</v>
      </c>
      <c r="M331" s="198">
        <f>IF(Qty!$J174=0,Qty!Q174,Qty!Q174*Qty!$J174)*'Hist. prices'!M331*M$244</f>
        <v>0</v>
      </c>
      <c r="N331" s="198">
        <f>IF(Qty!$J174=0,Qty!R174,Qty!R174*Qty!$J174)*'Hist. prices'!N331*N$244</f>
        <v>0</v>
      </c>
      <c r="O331" s="198">
        <f>IF(Qty!$J174=0,Qty!S174,Qty!S174*Qty!$J174)*'Hist. prices'!O331*O$244</f>
        <v>1143028.7405600001</v>
      </c>
      <c r="P331" s="198">
        <f>IF(Qty!$J174=0,Qty!T174,Qty!T174*Qty!$J174)*'Hist. prices'!P331*P$244</f>
        <v>236697.22478000002</v>
      </c>
      <c r="Q331" s="198">
        <f>IF(Qty!$J174=0,Qty!U174,Qty!U174*Qty!$J174)*'Hist. prices'!Q331*Q$244</f>
        <v>0</v>
      </c>
      <c r="R331" s="198">
        <f>IF(Qty!$J174=0,Qty!V174,Qty!V174*Qty!$J174)*'Hist. prices'!R331*R$244</f>
        <v>0</v>
      </c>
      <c r="S331" s="198">
        <f>IF(Qty!$J174=0,Qty!W174,Qty!W174*Qty!$J174)*'Hist. prices'!S331*S$244</f>
        <v>0</v>
      </c>
      <c r="T331" s="198">
        <f>IF(Qty!$J174=0,Qty!X174,Qty!X174*Qty!$J174)*'Hist. prices'!T331*T$244</f>
        <v>0</v>
      </c>
      <c r="U331" s="198">
        <f>IF(Qty!$J174=0,Qty!Y174,Qty!Y174*Qty!$J174)*'Hist. prices'!U331*U$244</f>
        <v>0</v>
      </c>
      <c r="V331" s="198">
        <f>IF(Qty!$J174=0,Qty!Z174,Qty!Z174*Qty!$J174)*'Hist. prices'!V331*V$244</f>
        <v>0</v>
      </c>
      <c r="W331" s="198">
        <f>IF(Qty!$J174=0,Qty!AA174,Qty!AA174*Qty!$J174)*'Hist. prices'!W331*W$244</f>
        <v>0</v>
      </c>
      <c r="X331" s="198">
        <f>IF(Qty!$J174=0,Qty!AB174,Qty!AB174*Qty!$J174)*'Hist. prices'!X331*X$244</f>
        <v>0</v>
      </c>
      <c r="Y331" s="198">
        <f>IF(Qty!$J174=0,Qty!AC174,Qty!AC174*Qty!$J174)*'Hist. prices'!Y331*Y$244</f>
        <v>0</v>
      </c>
      <c r="Z331" s="198">
        <f>IF(Qty!$J174=0,Qty!AD174,Qty!AD174*Qty!$J174)*'Hist. prices'!Z331*Z$244</f>
        <v>0</v>
      </c>
      <c r="AA331" s="198">
        <f>IF(Qty!$J174=0,Qty!AE174,Qty!AE174*Qty!$J174)*'Hist. prices'!AA331*AA$244</f>
        <v>0</v>
      </c>
      <c r="AB331" s="198">
        <f>IF(Qty!$J174=0,Qty!AF174,Qty!AF174*Qty!$J174)*'Hist. prices'!AB331*AB$244</f>
        <v>0</v>
      </c>
      <c r="AC331" s="206">
        <f t="shared" si="35"/>
        <v>1379725.9653400001</v>
      </c>
      <c r="AD331" s="68"/>
      <c r="AE331" s="19"/>
      <c r="AF331" s="19"/>
      <c r="AG331" s="19"/>
      <c r="AH331" s="19"/>
    </row>
    <row r="332" spans="1:34" outlineLevel="2" x14ac:dyDescent="0.2">
      <c r="A332" s="19"/>
      <c r="B332" s="19"/>
      <c r="C332" s="506" t="str">
        <f t="shared" si="34"/>
        <v>Small business time of use demand DER</v>
      </c>
      <c r="D332" s="505" t="str">
        <f t="shared" si="34"/>
        <v>Small Business LV</v>
      </c>
      <c r="E332" s="505" t="str">
        <f t="shared" si="34"/>
        <v>TAS98</v>
      </c>
      <c r="F332" s="505">
        <f t="shared" si="34"/>
        <v>0</v>
      </c>
      <c r="G332" s="505">
        <f t="shared" si="34"/>
        <v>0</v>
      </c>
      <c r="H332" s="58"/>
      <c r="I332" s="198">
        <f>IF(Qty!$J175=0,Qty!M175,Qty!M175*Qty!$J175)*'Hist. prices'!I332*I$244</f>
        <v>0</v>
      </c>
      <c r="J332" s="198">
        <f>IF(Qty!$J175=0,Qty!N175,Qty!N175*Qty!$J175)*'Hist. prices'!J332*J$244</f>
        <v>0</v>
      </c>
      <c r="K332" s="198">
        <f>IF(Qty!$J175=0,Qty!O175,Qty!O175*Qty!$J175)*'Hist. prices'!K332*K$244</f>
        <v>0</v>
      </c>
      <c r="L332" s="198">
        <f>IF(Qty!$J175=0,Qty!P175,Qty!P175*Qty!$J175)*'Hist. prices'!L332*L$244</f>
        <v>0</v>
      </c>
      <c r="M332" s="198">
        <f>IF(Qty!$J175=0,Qty!Q175,Qty!Q175*Qty!$J175)*'Hist. prices'!M332*M$244</f>
        <v>0</v>
      </c>
      <c r="N332" s="198">
        <f>IF(Qty!$J175=0,Qty!R175,Qty!R175*Qty!$J175)*'Hist. prices'!N332*N$244</f>
        <v>0</v>
      </c>
      <c r="O332" s="198">
        <f>IF(Qty!$J175=0,Qty!S175,Qty!S175*Qty!$J175)*'Hist. prices'!O332*O$244</f>
        <v>191273.99493999995</v>
      </c>
      <c r="P332" s="198">
        <f>IF(Qty!$J175=0,Qty!T175,Qty!T175*Qty!$J175)*'Hist. prices'!P332*P$244</f>
        <v>40554.519719999997</v>
      </c>
      <c r="Q332" s="198">
        <f>IF(Qty!$J175=0,Qty!U175,Qty!U175*Qty!$J175)*'Hist. prices'!Q332*Q$244</f>
        <v>0</v>
      </c>
      <c r="R332" s="198">
        <f>IF(Qty!$J175=0,Qty!V175,Qty!V175*Qty!$J175)*'Hist. prices'!R332*R$244</f>
        <v>0</v>
      </c>
      <c r="S332" s="198">
        <f>IF(Qty!$J175=0,Qty!W175,Qty!W175*Qty!$J175)*'Hist. prices'!S332*S$244</f>
        <v>0</v>
      </c>
      <c r="T332" s="198">
        <f>IF(Qty!$J175=0,Qty!X175,Qty!X175*Qty!$J175)*'Hist. prices'!T332*T$244</f>
        <v>0</v>
      </c>
      <c r="U332" s="198">
        <f>IF(Qty!$J175=0,Qty!Y175,Qty!Y175*Qty!$J175)*'Hist. prices'!U332*U$244</f>
        <v>0</v>
      </c>
      <c r="V332" s="198">
        <f>IF(Qty!$J175=0,Qty!Z175,Qty!Z175*Qty!$J175)*'Hist. prices'!V332*V$244</f>
        <v>0</v>
      </c>
      <c r="W332" s="198">
        <f>IF(Qty!$J175=0,Qty!AA175,Qty!AA175*Qty!$J175)*'Hist. prices'!W332*W$244</f>
        <v>0</v>
      </c>
      <c r="X332" s="198">
        <f>IF(Qty!$J175=0,Qty!AB175,Qty!AB175*Qty!$J175)*'Hist. prices'!X332*X$244</f>
        <v>0</v>
      </c>
      <c r="Y332" s="198">
        <f>IF(Qty!$J175=0,Qty!AC175,Qty!AC175*Qty!$J175)*'Hist. prices'!Y332*Y$244</f>
        <v>0</v>
      </c>
      <c r="Z332" s="198">
        <f>IF(Qty!$J175=0,Qty!AD175,Qty!AD175*Qty!$J175)*'Hist. prices'!Z332*Z$244</f>
        <v>0</v>
      </c>
      <c r="AA332" s="198">
        <f>IF(Qty!$J175=0,Qty!AE175,Qty!AE175*Qty!$J175)*'Hist. prices'!AA332*AA$244</f>
        <v>0</v>
      </c>
      <c r="AB332" s="198">
        <f>IF(Qty!$J175=0,Qty!AF175,Qty!AF175*Qty!$J175)*'Hist. prices'!AB332*AB$244</f>
        <v>0</v>
      </c>
      <c r="AC332" s="206">
        <f t="shared" si="35"/>
        <v>231828.51465999993</v>
      </c>
      <c r="AD332" s="68"/>
      <c r="AE332" s="19"/>
      <c r="AF332" s="19"/>
      <c r="AG332" s="19"/>
      <c r="AH332" s="19"/>
    </row>
    <row r="333" spans="1:34" outlineLevel="2" x14ac:dyDescent="0.2">
      <c r="A333" s="19"/>
      <c r="B333" s="19"/>
      <c r="C333" s="506" t="str">
        <f t="shared" ref="C333:G342" si="36">C255</f>
        <v>Large business kVA demand</v>
      </c>
      <c r="D333" s="505" t="str">
        <f t="shared" si="36"/>
        <v>Large Business LV</v>
      </c>
      <c r="E333" s="505" t="str">
        <f t="shared" si="36"/>
        <v>TAS82</v>
      </c>
      <c r="F333" s="505">
        <f t="shared" si="36"/>
        <v>0</v>
      </c>
      <c r="G333" s="505">
        <f t="shared" si="36"/>
        <v>0</v>
      </c>
      <c r="H333" s="58"/>
      <c r="I333" s="198">
        <f>IF(Qty!$J176=0,Qty!M176,Qty!M176*Qty!$J176)*'Hist. prices'!I333*I$244</f>
        <v>0</v>
      </c>
      <c r="J333" s="198">
        <f>IF(Qty!$J176=0,Qty!N176,Qty!N176*Qty!$J176)*'Hist. prices'!J333*J$244</f>
        <v>0</v>
      </c>
      <c r="K333" s="198">
        <f>IF(Qty!$J176=0,Qty!O176,Qty!O176*Qty!$J176)*'Hist. prices'!K333*K$244</f>
        <v>0</v>
      </c>
      <c r="L333" s="198">
        <f>IF(Qty!$J176=0,Qty!P176,Qty!P176*Qty!$J176)*'Hist. prices'!L333*L$244</f>
        <v>0</v>
      </c>
      <c r="M333" s="198">
        <f>IF(Qty!$J176=0,Qty!Q176,Qty!Q176*Qty!$J176)*'Hist. prices'!M333*M$244</f>
        <v>0</v>
      </c>
      <c r="N333" s="198">
        <f>IF(Qty!$J176=0,Qty!R176,Qty!R176*Qty!$J176)*'Hist. prices'!N333*N$244</f>
        <v>2776207.2950499998</v>
      </c>
      <c r="O333" s="198">
        <f>IF(Qty!$J176=0,Qty!S176,Qty!S176*Qty!$J176)*'Hist. prices'!O333*O$244</f>
        <v>0</v>
      </c>
      <c r="P333" s="198">
        <f>IF(Qty!$J176=0,Qty!T176,Qty!T176*Qty!$J176)*'Hist. prices'!P333*P$244</f>
        <v>0</v>
      </c>
      <c r="Q333" s="198">
        <f>IF(Qty!$J176=0,Qty!U176,Qty!U176*Qty!$J176)*'Hist. prices'!Q333*Q$244</f>
        <v>0</v>
      </c>
      <c r="R333" s="198">
        <f>IF(Qty!$J176=0,Qty!V176,Qty!V176*Qty!$J176)*'Hist. prices'!R333*R$244</f>
        <v>0</v>
      </c>
      <c r="S333" s="198">
        <f>IF(Qty!$J176=0,Qty!W176,Qty!W176*Qty!$J176)*'Hist. prices'!S333*S$244</f>
        <v>0</v>
      </c>
      <c r="T333" s="198">
        <f>IF(Qty!$J176=0,Qty!X176,Qty!X176*Qty!$J176)*'Hist. prices'!T333*T$244</f>
        <v>0</v>
      </c>
      <c r="U333" s="198">
        <f>IF(Qty!$J176=0,Qty!Y176,Qty!Y176*Qty!$J176)*'Hist. prices'!U333*U$244</f>
        <v>0</v>
      </c>
      <c r="V333" s="198">
        <f>IF(Qty!$J176=0,Qty!Z176,Qty!Z176*Qty!$J176)*'Hist. prices'!V333*V$244</f>
        <v>0</v>
      </c>
      <c r="W333" s="198">
        <f>IF(Qty!$J176=0,Qty!AA176,Qty!AA176*Qty!$J176)*'Hist. prices'!W333*W$244</f>
        <v>0</v>
      </c>
      <c r="X333" s="198">
        <f>IF(Qty!$J176=0,Qty!AB176,Qty!AB176*Qty!$J176)*'Hist. prices'!X333*X$244</f>
        <v>0</v>
      </c>
      <c r="Y333" s="198">
        <f>IF(Qty!$J176=0,Qty!AC176,Qty!AC176*Qty!$J176)*'Hist. prices'!Y333*Y$244</f>
        <v>0</v>
      </c>
      <c r="Z333" s="198">
        <f>IF(Qty!$J176=0,Qty!AD176,Qty!AD176*Qty!$J176)*'Hist. prices'!Z333*Z$244</f>
        <v>0</v>
      </c>
      <c r="AA333" s="198">
        <f>IF(Qty!$J176=0,Qty!AE176,Qty!AE176*Qty!$J176)*'Hist. prices'!AA333*AA$244</f>
        <v>0</v>
      </c>
      <c r="AB333" s="198">
        <f>IF(Qty!$J176=0,Qty!AF176,Qty!AF176*Qty!$J176)*'Hist. prices'!AB333*AB$244</f>
        <v>0</v>
      </c>
      <c r="AC333" s="206">
        <f t="shared" si="35"/>
        <v>2776207.2950499998</v>
      </c>
      <c r="AD333" s="68"/>
      <c r="AE333" s="19"/>
      <c r="AF333" s="19"/>
      <c r="AG333" s="19"/>
      <c r="AH333" s="19"/>
    </row>
    <row r="334" spans="1:34" outlineLevel="2" x14ac:dyDescent="0.2">
      <c r="A334" s="19"/>
      <c r="B334" s="19"/>
      <c r="C334" s="506" t="str">
        <f t="shared" si="36"/>
        <v>Large business time of use demand</v>
      </c>
      <c r="D334" s="505" t="str">
        <f t="shared" si="36"/>
        <v>Large Business LV</v>
      </c>
      <c r="E334" s="505" t="str">
        <f t="shared" si="36"/>
        <v>TAS89</v>
      </c>
      <c r="F334" s="505">
        <f t="shared" si="36"/>
        <v>0</v>
      </c>
      <c r="G334" s="505">
        <f t="shared" si="36"/>
        <v>0</v>
      </c>
      <c r="H334" s="58"/>
      <c r="I334" s="198">
        <f>IF(Qty!$J177=0,Qty!M177,Qty!M177*Qty!$J177)*'Hist. prices'!I334*I$244</f>
        <v>0</v>
      </c>
      <c r="J334" s="198">
        <f>IF(Qty!$J177=0,Qty!N177,Qty!N177*Qty!$J177)*'Hist. prices'!J334*J$244</f>
        <v>0</v>
      </c>
      <c r="K334" s="198">
        <f>IF(Qty!$J177=0,Qty!O177,Qty!O177*Qty!$J177)*'Hist. prices'!K334*K$244</f>
        <v>0</v>
      </c>
      <c r="L334" s="198">
        <f>IF(Qty!$J177=0,Qty!P177,Qty!P177*Qty!$J177)*'Hist. prices'!L334*L$244</f>
        <v>0</v>
      </c>
      <c r="M334" s="198">
        <f>IF(Qty!$J177=0,Qty!Q177,Qty!Q177*Qty!$J177)*'Hist. prices'!M334*M$244</f>
        <v>0</v>
      </c>
      <c r="N334" s="198">
        <f>IF(Qty!$J177=0,Qty!R177,Qty!R177*Qty!$J177)*'Hist. prices'!N334*N$244</f>
        <v>0</v>
      </c>
      <c r="O334" s="198">
        <f>IF(Qty!$J177=0,Qty!S177,Qty!S177*Qty!$J177)*'Hist. prices'!O334*O$244</f>
        <v>2490960.7814400005</v>
      </c>
      <c r="P334" s="198">
        <f>IF(Qty!$J177=0,Qty!T177,Qty!T177*Qty!$J177)*'Hist. prices'!P334*P$244</f>
        <v>845237.78424000007</v>
      </c>
      <c r="Q334" s="198">
        <f>IF(Qty!$J177=0,Qty!U177,Qty!U177*Qty!$J177)*'Hist. prices'!Q334*Q$244</f>
        <v>0</v>
      </c>
      <c r="R334" s="198">
        <f>IF(Qty!$J177=0,Qty!V177,Qty!V177*Qty!$J177)*'Hist. prices'!R334*R$244</f>
        <v>0</v>
      </c>
      <c r="S334" s="198">
        <f>IF(Qty!$J177=0,Qty!W177,Qty!W177*Qty!$J177)*'Hist. prices'!S334*S$244</f>
        <v>0</v>
      </c>
      <c r="T334" s="198">
        <f>IF(Qty!$J177=0,Qty!X177,Qty!X177*Qty!$J177)*'Hist. prices'!T334*T$244</f>
        <v>0</v>
      </c>
      <c r="U334" s="198">
        <f>IF(Qty!$J177=0,Qty!Y177,Qty!Y177*Qty!$J177)*'Hist. prices'!U334*U$244</f>
        <v>0</v>
      </c>
      <c r="V334" s="198">
        <f>IF(Qty!$J177=0,Qty!Z177,Qty!Z177*Qty!$J177)*'Hist. prices'!V334*V$244</f>
        <v>0</v>
      </c>
      <c r="W334" s="198">
        <f>IF(Qty!$J177=0,Qty!AA177,Qty!AA177*Qty!$J177)*'Hist. prices'!W334*W$244</f>
        <v>0</v>
      </c>
      <c r="X334" s="198">
        <f>IF(Qty!$J177=0,Qty!AB177,Qty!AB177*Qty!$J177)*'Hist. prices'!X334*X$244</f>
        <v>0</v>
      </c>
      <c r="Y334" s="198">
        <f>IF(Qty!$J177=0,Qty!AC177,Qty!AC177*Qty!$J177)*'Hist. prices'!Y334*Y$244</f>
        <v>0</v>
      </c>
      <c r="Z334" s="198">
        <f>IF(Qty!$J177=0,Qty!AD177,Qty!AD177*Qty!$J177)*'Hist. prices'!Z334*Z$244</f>
        <v>0</v>
      </c>
      <c r="AA334" s="198">
        <f>IF(Qty!$J177=0,Qty!AE177,Qty!AE177*Qty!$J177)*'Hist. prices'!AA334*AA$244</f>
        <v>0</v>
      </c>
      <c r="AB334" s="198">
        <f>IF(Qty!$J177=0,Qty!AF177,Qty!AF177*Qty!$J177)*'Hist. prices'!AB334*AB$244</f>
        <v>0</v>
      </c>
      <c r="AC334" s="206">
        <f t="shared" si="35"/>
        <v>3336198.5656800005</v>
      </c>
      <c r="AD334" s="68"/>
      <c r="AE334" s="19"/>
      <c r="AF334" s="19"/>
      <c r="AG334" s="19"/>
      <c r="AH334" s="19"/>
    </row>
    <row r="335" spans="1:34" outlineLevel="2" x14ac:dyDescent="0.2">
      <c r="A335" s="19"/>
      <c r="B335" s="19"/>
      <c r="C335" s="506" t="str">
        <f t="shared" si="36"/>
        <v>Irrigation time of use consumption</v>
      </c>
      <c r="D335" s="505" t="str">
        <f t="shared" si="36"/>
        <v>Irrigation</v>
      </c>
      <c r="E335" s="505" t="str">
        <f t="shared" si="36"/>
        <v>TAS75</v>
      </c>
      <c r="F335" s="505">
        <f t="shared" si="36"/>
        <v>0</v>
      </c>
      <c r="G335" s="505">
        <f t="shared" si="36"/>
        <v>0</v>
      </c>
      <c r="H335" s="58"/>
      <c r="I335" s="198">
        <f>IF(Qty!$J178=0,Qty!M178,Qty!M178*Qty!$J178)*'Hist. prices'!I335*I$244</f>
        <v>0</v>
      </c>
      <c r="J335" s="198">
        <f>IF(Qty!$J178=0,Qty!N178,Qty!N178*Qty!$J178)*'Hist. prices'!J335*J$244</f>
        <v>0</v>
      </c>
      <c r="K335" s="198">
        <f>IF(Qty!$J178=0,Qty!O178,Qty!O178*Qty!$J178)*'Hist. prices'!K335*K$244</f>
        <v>287249.22273957002</v>
      </c>
      <c r="L335" s="198">
        <f>IF(Qty!$J178=0,Qty!P178,Qty!P178*Qty!$J178)*'Hist. prices'!L335*L$244</f>
        <v>768563.45636149985</v>
      </c>
      <c r="M335" s="198">
        <f>IF(Qty!$J178=0,Qty!Q178,Qty!Q178*Qty!$J178)*'Hist. prices'!M335*M$244</f>
        <v>288504.75116781995</v>
      </c>
      <c r="N335" s="198">
        <f>IF(Qty!$J178=0,Qty!R178,Qty!R178*Qty!$J178)*'Hist. prices'!N335*N$244</f>
        <v>0</v>
      </c>
      <c r="O335" s="198">
        <f>IF(Qty!$J178=0,Qty!S178,Qty!S178*Qty!$J178)*'Hist. prices'!O335*O$244</f>
        <v>0</v>
      </c>
      <c r="P335" s="198">
        <f>IF(Qty!$J178=0,Qty!T178,Qty!T178*Qty!$J178)*'Hist. prices'!P335*P$244</f>
        <v>0</v>
      </c>
      <c r="Q335" s="198">
        <f>IF(Qty!$J178=0,Qty!U178,Qty!U178*Qty!$J178)*'Hist. prices'!Q335*Q$244</f>
        <v>0</v>
      </c>
      <c r="R335" s="198">
        <f>IF(Qty!$J178=0,Qty!V178,Qty!V178*Qty!$J178)*'Hist. prices'!R335*R$244</f>
        <v>0</v>
      </c>
      <c r="S335" s="198">
        <f>IF(Qty!$J178=0,Qty!W178,Qty!W178*Qty!$J178)*'Hist. prices'!S335*S$244</f>
        <v>0</v>
      </c>
      <c r="T335" s="198">
        <f>IF(Qty!$J178=0,Qty!X178,Qty!X178*Qty!$J178)*'Hist. prices'!T335*T$244</f>
        <v>0</v>
      </c>
      <c r="U335" s="198">
        <f>IF(Qty!$J178=0,Qty!Y178,Qty!Y178*Qty!$J178)*'Hist. prices'!U335*U$244</f>
        <v>0</v>
      </c>
      <c r="V335" s="198">
        <f>IF(Qty!$J178=0,Qty!Z178,Qty!Z178*Qty!$J178)*'Hist. prices'!V335*V$244</f>
        <v>0</v>
      </c>
      <c r="W335" s="198">
        <f>IF(Qty!$J178=0,Qty!AA178,Qty!AA178*Qty!$J178)*'Hist. prices'!W335*W$244</f>
        <v>0</v>
      </c>
      <c r="X335" s="198">
        <f>IF(Qty!$J178=0,Qty!AB178,Qty!AB178*Qty!$J178)*'Hist. prices'!X335*X$244</f>
        <v>0</v>
      </c>
      <c r="Y335" s="198">
        <f>IF(Qty!$J178=0,Qty!AC178,Qty!AC178*Qty!$J178)*'Hist. prices'!Y335*Y$244</f>
        <v>0</v>
      </c>
      <c r="Z335" s="198">
        <f>IF(Qty!$J178=0,Qty!AD178,Qty!AD178*Qty!$J178)*'Hist. prices'!Z335*Z$244</f>
        <v>0</v>
      </c>
      <c r="AA335" s="198">
        <f>IF(Qty!$J178=0,Qty!AE178,Qty!AE178*Qty!$J178)*'Hist. prices'!AA335*AA$244</f>
        <v>0</v>
      </c>
      <c r="AB335" s="198">
        <f>IF(Qty!$J178=0,Qty!AF178,Qty!AF178*Qty!$J178)*'Hist. prices'!AB335*AB$244</f>
        <v>0</v>
      </c>
      <c r="AC335" s="206">
        <f t="shared" si="35"/>
        <v>1344317.4302688898</v>
      </c>
      <c r="AD335" s="68"/>
      <c r="AE335" s="19"/>
      <c r="AF335" s="19"/>
      <c r="AG335" s="19"/>
      <c r="AH335" s="19"/>
    </row>
    <row r="336" spans="1:34" outlineLevel="2" x14ac:dyDescent="0.2">
      <c r="A336" s="19"/>
      <c r="B336" s="19"/>
      <c r="C336" s="506" t="str">
        <f t="shared" si="36"/>
        <v>Business HV kVA specified demand &lt;2MVA</v>
      </c>
      <c r="D336" s="505" t="str">
        <f t="shared" si="36"/>
        <v>Large Business HV</v>
      </c>
      <c r="E336" s="505" t="str">
        <f t="shared" si="36"/>
        <v>TASSDM</v>
      </c>
      <c r="F336" s="505">
        <f t="shared" si="36"/>
        <v>0</v>
      </c>
      <c r="G336" s="505">
        <f t="shared" si="36"/>
        <v>0</v>
      </c>
      <c r="H336" s="58"/>
      <c r="I336" s="198">
        <f>IF(Qty!$J179=0,Qty!M179,Qty!M179*Qty!$J179)*'Hist. prices'!I336*I$244</f>
        <v>0</v>
      </c>
      <c r="J336" s="198">
        <f>IF(Qty!$J179=0,Qty!N179,Qty!N179*Qty!$J179)*'Hist. prices'!J336*J$244</f>
        <v>0</v>
      </c>
      <c r="K336" s="198">
        <f>IF(Qty!$J179=0,Qty!O179,Qty!O179*Qty!$J179)*'Hist. prices'!K336*K$244</f>
        <v>667491.45871304057</v>
      </c>
      <c r="L336" s="198">
        <f>IF(Qty!$J179=0,Qty!P179,Qty!P179*Qty!$J179)*'Hist. prices'!L336*L$244</f>
        <v>474897.65486107627</v>
      </c>
      <c r="M336" s="198">
        <f>IF(Qty!$J179=0,Qty!Q179,Qty!Q179*Qty!$J179)*'Hist. prices'!M336*M$244</f>
        <v>150725.94455927561</v>
      </c>
      <c r="N336" s="198">
        <f>IF(Qty!$J179=0,Qty!R179,Qty!R179*Qty!$J179)*'Hist. prices'!N336*N$244</f>
        <v>0</v>
      </c>
      <c r="O336" s="198">
        <f>IF(Qty!$J179=0,Qty!S179,Qty!S179*Qty!$J179)*'Hist. prices'!O336*O$244</f>
        <v>0</v>
      </c>
      <c r="P336" s="198">
        <f>IF(Qty!$J179=0,Qty!T179,Qty!T179*Qty!$J179)*'Hist. prices'!P336*P$244</f>
        <v>0</v>
      </c>
      <c r="Q336" s="198">
        <f>IF(Qty!$J179=0,Qty!U179,Qty!U179*Qty!$J179)*'Hist. prices'!Q336*Q$244</f>
        <v>788387.35443000006</v>
      </c>
      <c r="R336" s="198">
        <f>IF(Qty!$J179=0,Qty!V179,Qty!V179*Qty!$J179)*'Hist. prices'!R336*R$244</f>
        <v>103713.47618000001</v>
      </c>
      <c r="S336" s="198">
        <f>IF(Qty!$J179=0,Qty!W179,Qty!W179*Qty!$J179)*'Hist. prices'!S336*S$244</f>
        <v>0</v>
      </c>
      <c r="T336" s="198">
        <f>IF(Qty!$J179=0,Qty!X179,Qty!X179*Qty!$J179)*'Hist. prices'!T336*T$244</f>
        <v>0</v>
      </c>
      <c r="U336" s="198">
        <f>IF(Qty!$J179=0,Qty!Y179,Qty!Y179*Qty!$J179)*'Hist. prices'!U336*U$244</f>
        <v>0</v>
      </c>
      <c r="V336" s="198">
        <f>IF(Qty!$J179=0,Qty!Z179,Qty!Z179*Qty!$J179)*'Hist. prices'!V336*V$244</f>
        <v>0</v>
      </c>
      <c r="W336" s="198">
        <f>IF(Qty!$J179=0,Qty!AA179,Qty!AA179*Qty!$J179)*'Hist. prices'!W336*W$244</f>
        <v>0</v>
      </c>
      <c r="X336" s="198">
        <f>IF(Qty!$J179=0,Qty!AB179,Qty!AB179*Qty!$J179)*'Hist. prices'!X336*X$244</f>
        <v>0</v>
      </c>
      <c r="Y336" s="198">
        <f>IF(Qty!$J179=0,Qty!AC179,Qty!AC179*Qty!$J179)*'Hist. prices'!Y336*Y$244</f>
        <v>0</v>
      </c>
      <c r="Z336" s="198">
        <f>IF(Qty!$J179=0,Qty!AD179,Qty!AD179*Qty!$J179)*'Hist. prices'!Z336*Z$244</f>
        <v>0</v>
      </c>
      <c r="AA336" s="198">
        <f>IF(Qty!$J179=0,Qty!AE179,Qty!AE179*Qty!$J179)*'Hist. prices'!AA336*AA$244</f>
        <v>0</v>
      </c>
      <c r="AB336" s="198">
        <f>IF(Qty!$J179=0,Qty!AF179,Qty!AF179*Qty!$J179)*'Hist. prices'!AB336*AB$244</f>
        <v>0</v>
      </c>
      <c r="AC336" s="206">
        <f t="shared" si="35"/>
        <v>2185215.8887433927</v>
      </c>
      <c r="AD336" s="68"/>
      <c r="AE336" s="19"/>
      <c r="AF336" s="19"/>
      <c r="AG336" s="19"/>
      <c r="AH336" s="19"/>
    </row>
    <row r="337" spans="1:34" outlineLevel="2" x14ac:dyDescent="0.2">
      <c r="A337" s="19"/>
      <c r="B337" s="19"/>
      <c r="C337" s="506" t="str">
        <f t="shared" si="36"/>
        <v>Business HV kVA specified demand &gt;2MVA</v>
      </c>
      <c r="D337" s="505" t="str">
        <f t="shared" si="36"/>
        <v>Large Business HV</v>
      </c>
      <c r="E337" s="505" t="str">
        <f t="shared" si="36"/>
        <v>TAS15*</v>
      </c>
      <c r="F337" s="505">
        <f t="shared" si="36"/>
        <v>0</v>
      </c>
      <c r="G337" s="505">
        <f t="shared" si="36"/>
        <v>0</v>
      </c>
      <c r="H337" s="58"/>
      <c r="I337" s="198">
        <f>IF(Qty!$J180=0,Qty!M180,Qty!M180*Qty!$J180)*'Hist. prices'!I337*I$244</f>
        <v>0</v>
      </c>
      <c r="J337" s="198">
        <f>IF(Qty!$J180=0,Qty!N180,Qty!N180*Qty!$J180)*'Hist. prices'!J337*J$244</f>
        <v>0</v>
      </c>
      <c r="K337" s="198">
        <f>IF(Qty!$J180=0,Qty!O180,Qty!O180*Qty!$J180)*'Hist. prices'!K337*K$244</f>
        <v>0</v>
      </c>
      <c r="L337" s="198">
        <f>IF(Qty!$J180=0,Qty!P180,Qty!P180*Qty!$J180)*'Hist. prices'!L337*L$244</f>
        <v>0</v>
      </c>
      <c r="M337" s="198">
        <f>IF(Qty!$J180=0,Qty!Q180,Qty!Q180*Qty!$J180)*'Hist. prices'!M337*M$244</f>
        <v>0</v>
      </c>
      <c r="N337" s="198">
        <f>IF(Qty!$J180=0,Qty!R180,Qty!R180*Qty!$J180)*'Hist. prices'!N337*N$244</f>
        <v>0</v>
      </c>
      <c r="O337" s="198">
        <f>IF(Qty!$J180=0,Qty!S180,Qty!S180*Qty!$J180)*'Hist. prices'!O337*O$244</f>
        <v>0</v>
      </c>
      <c r="P337" s="198">
        <f>IF(Qty!$J180=0,Qty!T180,Qty!T180*Qty!$J180)*'Hist. prices'!P337*P$244</f>
        <v>0</v>
      </c>
      <c r="Q337" s="198">
        <f>IF(Qty!$J180=0,Qty!U180,Qty!U180*Qty!$J180)*'Hist. prices'!Q337*Q$244</f>
        <v>0</v>
      </c>
      <c r="R337" s="198">
        <f>IF(Qty!$J180=0,Qty!V180,Qty!V180*Qty!$J180)*'Hist. prices'!R337*R$244</f>
        <v>0</v>
      </c>
      <c r="S337" s="198">
        <f>IF(Qty!$J180=0,Qty!W180,Qty!W180*Qty!$J180)*'Hist. prices'!S337*S$244</f>
        <v>0</v>
      </c>
      <c r="T337" s="198">
        <f>IF(Qty!$J180=0,Qty!X180,Qty!X180*Qty!$J180)*'Hist. prices'!T337*T$244</f>
        <v>0</v>
      </c>
      <c r="U337" s="198">
        <f>IF(Qty!$J180=0,Qty!Y180,Qty!Y180*Qty!$J180)*'Hist. prices'!U337*U$244</f>
        <v>0</v>
      </c>
      <c r="V337" s="198">
        <f>IF(Qty!$J180=0,Qty!Z180,Qty!Z180*Qty!$J180)*'Hist. prices'!V337*V$244</f>
        <v>0</v>
      </c>
      <c r="W337" s="198">
        <f>IF(Qty!$J180=0,Qty!AA180,Qty!AA180*Qty!$J180)*'Hist. prices'!W337*W$244</f>
        <v>0</v>
      </c>
      <c r="X337" s="198">
        <f>IF(Qty!$J180=0,Qty!AB180,Qty!AB180*Qty!$J180)*'Hist. prices'!X337*X$244</f>
        <v>0</v>
      </c>
      <c r="Y337" s="198">
        <f>IF(Qty!$J180=0,Qty!AC180,Qty!AC180*Qty!$J180)*'Hist. prices'!Y337*Y$244</f>
        <v>0</v>
      </c>
      <c r="Z337" s="198">
        <f>IF(Qty!$J180=0,Qty!AD180,Qty!AD180*Qty!$J180)*'Hist. prices'!Z337*Z$244</f>
        <v>0</v>
      </c>
      <c r="AA337" s="198">
        <f>IF(Qty!$J180=0,Qty!AE180,Qty!AE180*Qty!$J180)*'Hist. prices'!AA337*AA$244</f>
        <v>0</v>
      </c>
      <c r="AB337" s="198">
        <f>IF(Qty!$J180=0,Qty!AF180,Qty!AF180*Qty!$J180)*'Hist. prices'!AB337*AB$244</f>
        <v>0</v>
      </c>
      <c r="AC337" s="206">
        <f t="shared" si="35"/>
        <v>0</v>
      </c>
      <c r="AD337" s="68"/>
      <c r="AE337" s="19"/>
      <c r="AF337" s="19"/>
      <c r="AG337" s="19"/>
      <c r="AH337" s="19"/>
    </row>
    <row r="338" spans="1:34" outlineLevel="2" x14ac:dyDescent="0.2">
      <c r="A338" s="19"/>
      <c r="B338" s="19"/>
      <c r="C338" s="506" t="str">
        <f t="shared" si="36"/>
        <v>Uncontrolled low voltage heating and hot water</v>
      </c>
      <c r="D338" s="505" t="str">
        <f t="shared" si="36"/>
        <v>Uncontrolled energy</v>
      </c>
      <c r="E338" s="505" t="str">
        <f t="shared" si="36"/>
        <v>TAS41</v>
      </c>
      <c r="F338" s="505">
        <f t="shared" si="36"/>
        <v>0</v>
      </c>
      <c r="G338" s="505">
        <f t="shared" si="36"/>
        <v>0</v>
      </c>
      <c r="H338" s="58"/>
      <c r="I338" s="198">
        <f>IF(Qty!$J181=0,Qty!M181,Qty!M181*Qty!$J181)*'Hist. prices'!I338*I$244</f>
        <v>0</v>
      </c>
      <c r="J338" s="198">
        <f>IF(Qty!$J181=0,Qty!N181,Qty!N181*Qty!$J181)*'Hist. prices'!J338*J$244</f>
        <v>20068545.630799443</v>
      </c>
      <c r="K338" s="198">
        <f>IF(Qty!$J181=0,Qty!O181,Qty!O181*Qty!$J181)*'Hist. prices'!K338*K$244</f>
        <v>0</v>
      </c>
      <c r="L338" s="198">
        <f>IF(Qty!$J181=0,Qty!P181,Qty!P181*Qty!$J181)*'Hist. prices'!L338*L$244</f>
        <v>0</v>
      </c>
      <c r="M338" s="198">
        <f>IF(Qty!$J181=0,Qty!Q181,Qty!Q181*Qty!$J181)*'Hist. prices'!M338*M$244</f>
        <v>0</v>
      </c>
      <c r="N338" s="198">
        <f>IF(Qty!$J181=0,Qty!R181,Qty!R181*Qty!$J181)*'Hist. prices'!N338*N$244</f>
        <v>0</v>
      </c>
      <c r="O338" s="198">
        <f>IF(Qty!$J181=0,Qty!S181,Qty!S181*Qty!$J181)*'Hist. prices'!O338*O$244</f>
        <v>0</v>
      </c>
      <c r="P338" s="198">
        <f>IF(Qty!$J181=0,Qty!T181,Qty!T181*Qty!$J181)*'Hist. prices'!P338*P$244</f>
        <v>0</v>
      </c>
      <c r="Q338" s="198">
        <f>IF(Qty!$J181=0,Qty!U181,Qty!U181*Qty!$J181)*'Hist. prices'!Q338*Q$244</f>
        <v>0</v>
      </c>
      <c r="R338" s="198">
        <f>IF(Qty!$J181=0,Qty!V181,Qty!V181*Qty!$J181)*'Hist. prices'!R338*R$244</f>
        <v>0</v>
      </c>
      <c r="S338" s="198">
        <f>IF(Qty!$J181=0,Qty!W181,Qty!W181*Qty!$J181)*'Hist. prices'!S338*S$244</f>
        <v>0</v>
      </c>
      <c r="T338" s="198">
        <f>IF(Qty!$J181=0,Qty!X181,Qty!X181*Qty!$J181)*'Hist. prices'!T338*T$244</f>
        <v>0</v>
      </c>
      <c r="U338" s="198">
        <f>IF(Qty!$J181=0,Qty!Y181,Qty!Y181*Qty!$J181)*'Hist. prices'!U338*U$244</f>
        <v>0</v>
      </c>
      <c r="V338" s="198">
        <f>IF(Qty!$J181=0,Qty!Z181,Qty!Z181*Qty!$J181)*'Hist. prices'!V338*V$244</f>
        <v>0</v>
      </c>
      <c r="W338" s="198">
        <f>IF(Qty!$J181=0,Qty!AA181,Qty!AA181*Qty!$J181)*'Hist. prices'!W338*W$244</f>
        <v>0</v>
      </c>
      <c r="X338" s="198">
        <f>IF(Qty!$J181=0,Qty!AB181,Qty!AB181*Qty!$J181)*'Hist. prices'!X338*X$244</f>
        <v>0</v>
      </c>
      <c r="Y338" s="198">
        <f>IF(Qty!$J181=0,Qty!AC181,Qty!AC181*Qty!$J181)*'Hist. prices'!Y338*Y$244</f>
        <v>0</v>
      </c>
      <c r="Z338" s="198">
        <f>IF(Qty!$J181=0,Qty!AD181,Qty!AD181*Qty!$J181)*'Hist. prices'!Z338*Z$244</f>
        <v>0</v>
      </c>
      <c r="AA338" s="198">
        <f>IF(Qty!$J181=0,Qty!AE181,Qty!AE181*Qty!$J181)*'Hist. prices'!AA338*AA$244</f>
        <v>0</v>
      </c>
      <c r="AB338" s="198">
        <f>IF(Qty!$J181=0,Qty!AF181,Qty!AF181*Qty!$J181)*'Hist. prices'!AB338*AB$244</f>
        <v>0</v>
      </c>
      <c r="AC338" s="206">
        <f t="shared" si="35"/>
        <v>20068545.630799443</v>
      </c>
      <c r="AD338" s="68"/>
      <c r="AE338" s="19"/>
      <c r="AF338" s="19"/>
      <c r="AG338" s="19"/>
      <c r="AH338" s="19"/>
    </row>
    <row r="339" spans="1:34" outlineLevel="2" x14ac:dyDescent="0.2">
      <c r="A339" s="19"/>
      <c r="B339" s="19"/>
      <c r="C339" s="506" t="str">
        <f t="shared" si="36"/>
        <v>Controlled low voltage night period only</v>
      </c>
      <c r="D339" s="505" t="str">
        <f t="shared" si="36"/>
        <v>Controlled energy</v>
      </c>
      <c r="E339" s="505" t="str">
        <f t="shared" si="36"/>
        <v>TAS63</v>
      </c>
      <c r="F339" s="505">
        <f t="shared" si="36"/>
        <v>0</v>
      </c>
      <c r="G339" s="505">
        <f t="shared" si="36"/>
        <v>0</v>
      </c>
      <c r="H339" s="58"/>
      <c r="I339" s="198">
        <f>IF(Qty!$J182=0,Qty!M182,Qty!M182*Qty!$J182)*'Hist. prices'!I339*I$244</f>
        <v>0</v>
      </c>
      <c r="J339" s="198">
        <f>IF(Qty!$J182=0,Qty!N182,Qty!N182*Qty!$J182)*'Hist. prices'!J339*J$244</f>
        <v>5814.0057330000009</v>
      </c>
      <c r="K339" s="198">
        <f>IF(Qty!$J182=0,Qty!O182,Qty!O182*Qty!$J182)*'Hist. prices'!K339*K$244</f>
        <v>0</v>
      </c>
      <c r="L339" s="198">
        <f>IF(Qty!$J182=0,Qty!P182,Qty!P182*Qty!$J182)*'Hist. prices'!L339*L$244</f>
        <v>0</v>
      </c>
      <c r="M339" s="198">
        <f>IF(Qty!$J182=0,Qty!Q182,Qty!Q182*Qty!$J182)*'Hist. prices'!M339*M$244</f>
        <v>0</v>
      </c>
      <c r="N339" s="198">
        <f>IF(Qty!$J182=0,Qty!R182,Qty!R182*Qty!$J182)*'Hist. prices'!N339*N$244</f>
        <v>0</v>
      </c>
      <c r="O339" s="198">
        <f>IF(Qty!$J182=0,Qty!S182,Qty!S182*Qty!$J182)*'Hist. prices'!O339*O$244</f>
        <v>0</v>
      </c>
      <c r="P339" s="198">
        <f>IF(Qty!$J182=0,Qty!T182,Qty!T182*Qty!$J182)*'Hist. prices'!P339*P$244</f>
        <v>0</v>
      </c>
      <c r="Q339" s="198">
        <f>IF(Qty!$J182=0,Qty!U182,Qty!U182*Qty!$J182)*'Hist. prices'!Q339*Q$244</f>
        <v>0</v>
      </c>
      <c r="R339" s="198">
        <f>IF(Qty!$J182=0,Qty!V182,Qty!V182*Qty!$J182)*'Hist. prices'!R339*R$244</f>
        <v>0</v>
      </c>
      <c r="S339" s="198">
        <f>IF(Qty!$J182=0,Qty!W182,Qty!W182*Qty!$J182)*'Hist. prices'!S339*S$244</f>
        <v>0</v>
      </c>
      <c r="T339" s="198">
        <f>IF(Qty!$J182=0,Qty!X182,Qty!X182*Qty!$J182)*'Hist. prices'!T339*T$244</f>
        <v>0</v>
      </c>
      <c r="U339" s="198">
        <f>IF(Qty!$J182=0,Qty!Y182,Qty!Y182*Qty!$J182)*'Hist. prices'!U339*U$244</f>
        <v>0</v>
      </c>
      <c r="V339" s="198">
        <f>IF(Qty!$J182=0,Qty!Z182,Qty!Z182*Qty!$J182)*'Hist. prices'!V339*V$244</f>
        <v>0</v>
      </c>
      <c r="W339" s="198">
        <f>IF(Qty!$J182=0,Qty!AA182,Qty!AA182*Qty!$J182)*'Hist. prices'!W339*W$244</f>
        <v>0</v>
      </c>
      <c r="X339" s="198">
        <f>IF(Qty!$J182=0,Qty!AB182,Qty!AB182*Qty!$J182)*'Hist. prices'!X339*X$244</f>
        <v>0</v>
      </c>
      <c r="Y339" s="198">
        <f>IF(Qty!$J182=0,Qty!AC182,Qty!AC182*Qty!$J182)*'Hist. prices'!Y339*Y$244</f>
        <v>0</v>
      </c>
      <c r="Z339" s="198">
        <f>IF(Qty!$J182=0,Qty!AD182,Qty!AD182*Qty!$J182)*'Hist. prices'!Z339*Z$244</f>
        <v>0</v>
      </c>
      <c r="AA339" s="198">
        <f>IF(Qty!$J182=0,Qty!AE182,Qty!AE182*Qty!$J182)*'Hist. prices'!AA339*AA$244</f>
        <v>0</v>
      </c>
      <c r="AB339" s="198">
        <f>IF(Qty!$J182=0,Qty!AF182,Qty!AF182*Qty!$J182)*'Hist. prices'!AB339*AB$244</f>
        <v>0</v>
      </c>
      <c r="AC339" s="206">
        <f t="shared" si="35"/>
        <v>5814.0057330000009</v>
      </c>
      <c r="AD339" s="68"/>
      <c r="AE339" s="19"/>
      <c r="AF339" s="19"/>
      <c r="AG339" s="19"/>
      <c r="AH339" s="19"/>
    </row>
    <row r="340" spans="1:34" ht="22.5" outlineLevel="2" x14ac:dyDescent="0.2">
      <c r="A340" s="19"/>
      <c r="B340" s="19"/>
      <c r="C340" s="506" t="str">
        <f t="shared" si="36"/>
        <v>Controlled low voltage off peak with afternoon boost</v>
      </c>
      <c r="D340" s="505" t="str">
        <f t="shared" si="36"/>
        <v>Controlled energy</v>
      </c>
      <c r="E340" s="505" t="str">
        <f t="shared" si="36"/>
        <v>TAS61</v>
      </c>
      <c r="F340" s="505">
        <f t="shared" si="36"/>
        <v>0</v>
      </c>
      <c r="G340" s="505">
        <f t="shared" si="36"/>
        <v>0</v>
      </c>
      <c r="H340" s="58"/>
      <c r="I340" s="198">
        <f>IF(Qty!$J183=0,Qty!M183,Qty!M183*Qty!$J183)*'Hist. prices'!I340*I$244</f>
        <v>0</v>
      </c>
      <c r="J340" s="198">
        <f>IF(Qty!$J183=0,Qty!N183,Qty!N183*Qty!$J183)*'Hist. prices'!J340*J$244</f>
        <v>213319.10251564998</v>
      </c>
      <c r="K340" s="198">
        <f>IF(Qty!$J183=0,Qty!O183,Qty!O183*Qty!$J183)*'Hist. prices'!K340*K$244</f>
        <v>0</v>
      </c>
      <c r="L340" s="198">
        <f>IF(Qty!$J183=0,Qty!P183,Qty!P183*Qty!$J183)*'Hist. prices'!L340*L$244</f>
        <v>0</v>
      </c>
      <c r="M340" s="198">
        <f>IF(Qty!$J183=0,Qty!Q183,Qty!Q183*Qty!$J183)*'Hist. prices'!M340*M$244</f>
        <v>0</v>
      </c>
      <c r="N340" s="198">
        <f>IF(Qty!$J183=0,Qty!R183,Qty!R183*Qty!$J183)*'Hist. prices'!N340*N$244</f>
        <v>0</v>
      </c>
      <c r="O340" s="198">
        <f>IF(Qty!$J183=0,Qty!S183,Qty!S183*Qty!$J183)*'Hist. prices'!O340*O$244</f>
        <v>0</v>
      </c>
      <c r="P340" s="198">
        <f>IF(Qty!$J183=0,Qty!T183,Qty!T183*Qty!$J183)*'Hist. prices'!P340*P$244</f>
        <v>0</v>
      </c>
      <c r="Q340" s="198">
        <f>IF(Qty!$J183=0,Qty!U183,Qty!U183*Qty!$J183)*'Hist. prices'!Q340*Q$244</f>
        <v>0</v>
      </c>
      <c r="R340" s="198">
        <f>IF(Qty!$J183=0,Qty!V183,Qty!V183*Qty!$J183)*'Hist. prices'!R340*R$244</f>
        <v>0</v>
      </c>
      <c r="S340" s="198">
        <f>IF(Qty!$J183=0,Qty!W183,Qty!W183*Qty!$J183)*'Hist. prices'!S340*S$244</f>
        <v>0</v>
      </c>
      <c r="T340" s="198">
        <f>IF(Qty!$J183=0,Qty!X183,Qty!X183*Qty!$J183)*'Hist. prices'!T340*T$244</f>
        <v>0</v>
      </c>
      <c r="U340" s="198">
        <f>IF(Qty!$J183=0,Qty!Y183,Qty!Y183*Qty!$J183)*'Hist. prices'!U340*U$244</f>
        <v>0</v>
      </c>
      <c r="V340" s="198">
        <f>IF(Qty!$J183=0,Qty!Z183,Qty!Z183*Qty!$J183)*'Hist. prices'!V340*V$244</f>
        <v>0</v>
      </c>
      <c r="W340" s="198">
        <f>IF(Qty!$J183=0,Qty!AA183,Qty!AA183*Qty!$J183)*'Hist. prices'!W340*W$244</f>
        <v>0</v>
      </c>
      <c r="X340" s="198">
        <f>IF(Qty!$J183=0,Qty!AB183,Qty!AB183*Qty!$J183)*'Hist. prices'!X340*X$244</f>
        <v>0</v>
      </c>
      <c r="Y340" s="198">
        <f>IF(Qty!$J183=0,Qty!AC183,Qty!AC183*Qty!$J183)*'Hist. prices'!Y340*Y$244</f>
        <v>0</v>
      </c>
      <c r="Z340" s="198">
        <f>IF(Qty!$J183=0,Qty!AD183,Qty!AD183*Qty!$J183)*'Hist. prices'!Z340*Z$244</f>
        <v>0</v>
      </c>
      <c r="AA340" s="198">
        <f>IF(Qty!$J183=0,Qty!AE183,Qty!AE183*Qty!$J183)*'Hist. prices'!AA340*AA$244</f>
        <v>0</v>
      </c>
      <c r="AB340" s="198">
        <f>IF(Qty!$J183=0,Qty!AF183,Qty!AF183*Qty!$J183)*'Hist. prices'!AB340*AB$244</f>
        <v>0</v>
      </c>
      <c r="AC340" s="206">
        <f t="shared" si="35"/>
        <v>213319.10251564998</v>
      </c>
      <c r="AD340" s="68"/>
      <c r="AE340" s="19"/>
      <c r="AF340" s="19"/>
      <c r="AG340" s="19"/>
      <c r="AH340" s="19"/>
    </row>
    <row r="341" spans="1:34" outlineLevel="2" x14ac:dyDescent="0.2">
      <c r="A341" s="19"/>
      <c r="B341" s="19"/>
      <c r="C341" s="506" t="str">
        <f t="shared" si="36"/>
        <v>Unmetered supply general</v>
      </c>
      <c r="D341" s="505" t="str">
        <f t="shared" si="36"/>
        <v>Unmetered supplies</v>
      </c>
      <c r="E341" s="505" t="str">
        <f t="shared" si="36"/>
        <v>TASUMS</v>
      </c>
      <c r="F341" s="505">
        <f t="shared" si="36"/>
        <v>0</v>
      </c>
      <c r="G341" s="505">
        <f t="shared" si="36"/>
        <v>0</v>
      </c>
      <c r="H341" s="58"/>
      <c r="I341" s="198">
        <f>IF(Qty!$J184=0,Qty!M184,Qty!M184*Qty!$J184)*'Hist. prices'!I341*I$244</f>
        <v>0</v>
      </c>
      <c r="J341" s="198">
        <f>IF(Qty!$J184=0,Qty!N184,Qty!N184*Qty!$J184)*'Hist. prices'!J341*J$244</f>
        <v>200262.75376700997</v>
      </c>
      <c r="K341" s="198">
        <f>IF(Qty!$J184=0,Qty!O184,Qty!O184*Qty!$J184)*'Hist. prices'!K341*K$244</f>
        <v>0</v>
      </c>
      <c r="L341" s="198">
        <f>IF(Qty!$J184=0,Qty!P184,Qty!P184*Qty!$J184)*'Hist. prices'!L341*L$244</f>
        <v>0</v>
      </c>
      <c r="M341" s="198">
        <f>IF(Qty!$J184=0,Qty!Q184,Qty!Q184*Qty!$J184)*'Hist. prices'!M341*M$244</f>
        <v>0</v>
      </c>
      <c r="N341" s="198">
        <f>IF(Qty!$J184=0,Qty!R184,Qty!R184*Qty!$J184)*'Hist. prices'!N341*N$244</f>
        <v>0</v>
      </c>
      <c r="O341" s="198">
        <f>IF(Qty!$J184=0,Qty!S184,Qty!S184*Qty!$J184)*'Hist. prices'!O341*O$244</f>
        <v>0</v>
      </c>
      <c r="P341" s="198">
        <f>IF(Qty!$J184=0,Qty!T184,Qty!T184*Qty!$J184)*'Hist. prices'!P341*P$244</f>
        <v>0</v>
      </c>
      <c r="Q341" s="198">
        <f>IF(Qty!$J184=0,Qty!U184,Qty!U184*Qty!$J184)*'Hist. prices'!Q341*Q$244</f>
        <v>0</v>
      </c>
      <c r="R341" s="198">
        <f>IF(Qty!$J184=0,Qty!V184,Qty!V184*Qty!$J184)*'Hist. prices'!R341*R$244</f>
        <v>0</v>
      </c>
      <c r="S341" s="198">
        <f>IF(Qty!$J184=0,Qty!W184,Qty!W184*Qty!$J184)*'Hist. prices'!S341*S$244</f>
        <v>0</v>
      </c>
      <c r="T341" s="198">
        <f>IF(Qty!$J184=0,Qty!X184,Qty!X184*Qty!$J184)*'Hist. prices'!T341*T$244</f>
        <v>0</v>
      </c>
      <c r="U341" s="198">
        <f>IF(Qty!$J184=0,Qty!Y184,Qty!Y184*Qty!$J184)*'Hist. prices'!U341*U$244</f>
        <v>0</v>
      </c>
      <c r="V341" s="198">
        <f>IF(Qty!$J184=0,Qty!Z184,Qty!Z184*Qty!$J184)*'Hist. prices'!V341*V$244</f>
        <v>0</v>
      </c>
      <c r="W341" s="198">
        <f>IF(Qty!$J184=0,Qty!AA184,Qty!AA184*Qty!$J184)*'Hist. prices'!W341*W$244</f>
        <v>0</v>
      </c>
      <c r="X341" s="198">
        <f>IF(Qty!$J184=0,Qty!AB184,Qty!AB184*Qty!$J184)*'Hist. prices'!X341*X$244</f>
        <v>0</v>
      </c>
      <c r="Y341" s="198">
        <f>IF(Qty!$J184=0,Qty!AC184,Qty!AC184*Qty!$J184)*'Hist. prices'!Y341*Y$244</f>
        <v>0</v>
      </c>
      <c r="Z341" s="198">
        <f>IF(Qty!$J184=0,Qty!AD184,Qty!AD184*Qty!$J184)*'Hist. prices'!Z341*Z$244</f>
        <v>0</v>
      </c>
      <c r="AA341" s="198">
        <f>IF(Qty!$J184=0,Qty!AE184,Qty!AE184*Qty!$J184)*'Hist. prices'!AA341*AA$244</f>
        <v>0</v>
      </c>
      <c r="AB341" s="198">
        <f>IF(Qty!$J184=0,Qty!AF184,Qty!AF184*Qty!$J184)*'Hist. prices'!AB341*AB$244</f>
        <v>0</v>
      </c>
      <c r="AC341" s="206">
        <f t="shared" si="35"/>
        <v>200262.75376700997</v>
      </c>
      <c r="AD341" s="68"/>
      <c r="AE341" s="19"/>
      <c r="AF341" s="19"/>
      <c r="AG341" s="19"/>
      <c r="AH341" s="19"/>
    </row>
    <row r="342" spans="1:34" outlineLevel="2" x14ac:dyDescent="0.2">
      <c r="A342" s="19"/>
      <c r="B342" s="19"/>
      <c r="C342" s="506" t="str">
        <f t="shared" si="36"/>
        <v>Street lighting</v>
      </c>
      <c r="D342" s="505" t="str">
        <f t="shared" si="36"/>
        <v>Street lighting</v>
      </c>
      <c r="E342" s="505" t="str">
        <f t="shared" si="36"/>
        <v>TASUMSSL</v>
      </c>
      <c r="F342" s="505">
        <f t="shared" si="36"/>
        <v>0</v>
      </c>
      <c r="G342" s="505">
        <f t="shared" si="36"/>
        <v>0</v>
      </c>
      <c r="H342" s="58"/>
      <c r="I342" s="198">
        <f>IF(Qty!$J185=0,Qty!M185,Qty!M185*Qty!$J185)*'Hist. prices'!I342*I$244</f>
        <v>0</v>
      </c>
      <c r="J342" s="198">
        <f>IF(Qty!$J185=0,Qty!N185,Qty!N185*Qty!$J185)*'Hist. prices'!J342*J$244</f>
        <v>0</v>
      </c>
      <c r="K342" s="198">
        <f>IF(Qty!$J185=0,Qty!O185,Qty!O185*Qty!$J185)*'Hist. prices'!K342*K$244</f>
        <v>0</v>
      </c>
      <c r="L342" s="198">
        <f>IF(Qty!$J185=0,Qty!P185,Qty!P185*Qty!$J185)*'Hist. prices'!L342*L$244</f>
        <v>0</v>
      </c>
      <c r="M342" s="198">
        <f>IF(Qty!$J185=0,Qty!Q185,Qty!Q185*Qty!$J185)*'Hist. prices'!M342*M$244</f>
        <v>0</v>
      </c>
      <c r="N342" s="198">
        <f>IF(Qty!$J185=0,Qty!R185,Qty!R185*Qty!$J185)*'Hist. prices'!N342*N$244</f>
        <v>0</v>
      </c>
      <c r="O342" s="198">
        <f>IF(Qty!$J185=0,Qty!S185,Qty!S185*Qty!$J185)*'Hist. prices'!O342*O$244</f>
        <v>0</v>
      </c>
      <c r="P342" s="198">
        <f>IF(Qty!$J185=0,Qty!T185,Qty!T185*Qty!$J185)*'Hist. prices'!P342*P$244</f>
        <v>0</v>
      </c>
      <c r="Q342" s="198">
        <f>IF(Qty!$J185=0,Qty!U185,Qty!U185*Qty!$J185)*'Hist. prices'!Q342*Q$244</f>
        <v>0</v>
      </c>
      <c r="R342" s="198">
        <f>IF(Qty!$J185=0,Qty!V185,Qty!V185*Qty!$J185)*'Hist. prices'!R342*R$244</f>
        <v>0</v>
      </c>
      <c r="S342" s="198">
        <f>IF(Qty!$J185=0,Qty!W185,Qty!W185*Qty!$J185)*'Hist. prices'!S342*S$244</f>
        <v>0</v>
      </c>
      <c r="T342" s="198">
        <f>IF(Qty!$J185=0,Qty!X185,Qty!X185*Qty!$J185)*'Hist. prices'!T342*T$244</f>
        <v>0</v>
      </c>
      <c r="U342" s="198">
        <f>IF(Qty!$J185=0,Qty!Y185,Qty!Y185*Qty!$J185)*'Hist. prices'!U342*U$244</f>
        <v>362448.83956320008</v>
      </c>
      <c r="V342" s="198">
        <f>IF(Qty!$J185=0,Qty!Z185,Qty!Z185*Qty!$J185)*'Hist. prices'!V342*V$244</f>
        <v>0</v>
      </c>
      <c r="W342" s="198">
        <f>IF(Qty!$J185=0,Qty!AA185,Qty!AA185*Qty!$J185)*'Hist. prices'!W342*W$244</f>
        <v>0</v>
      </c>
      <c r="X342" s="198">
        <f>IF(Qty!$J185=0,Qty!AB185,Qty!AB185*Qty!$J185)*'Hist. prices'!X342*X$244</f>
        <v>0</v>
      </c>
      <c r="Y342" s="198">
        <f>IF(Qty!$J185=0,Qty!AC185,Qty!AC185*Qty!$J185)*'Hist. prices'!Y342*Y$244</f>
        <v>0</v>
      </c>
      <c r="Z342" s="198">
        <f>IF(Qty!$J185=0,Qty!AD185,Qty!AD185*Qty!$J185)*'Hist. prices'!Z342*Z$244</f>
        <v>0</v>
      </c>
      <c r="AA342" s="198">
        <f>IF(Qty!$J185=0,Qty!AE185,Qty!AE185*Qty!$J185)*'Hist. prices'!AA342*AA$244</f>
        <v>0</v>
      </c>
      <c r="AB342" s="198">
        <f>IF(Qty!$J185=0,Qty!AF185,Qty!AF185*Qty!$J185)*'Hist. prices'!AB342*AB$244</f>
        <v>0</v>
      </c>
      <c r="AC342" s="206">
        <f t="shared" si="35"/>
        <v>362448.83956320008</v>
      </c>
      <c r="AD342" s="68"/>
      <c r="AE342" s="19"/>
      <c r="AF342" s="19"/>
      <c r="AG342" s="19"/>
      <c r="AH342" s="19"/>
    </row>
    <row r="343" spans="1:34" outlineLevel="2" x14ac:dyDescent="0.2">
      <c r="A343" s="19"/>
      <c r="B343" s="19"/>
      <c r="C343" s="506">
        <f t="shared" ref="C343:G352" si="37">C265</f>
        <v>0</v>
      </c>
      <c r="D343" s="505">
        <f t="shared" si="37"/>
        <v>0</v>
      </c>
      <c r="E343" s="505">
        <f t="shared" si="37"/>
        <v>0</v>
      </c>
      <c r="F343" s="505">
        <f t="shared" si="37"/>
        <v>0</v>
      </c>
      <c r="G343" s="505">
        <f t="shared" si="37"/>
        <v>0</v>
      </c>
      <c r="H343" s="58"/>
      <c r="I343" s="198">
        <f>IF(Qty!$J186=0,Qty!M186,Qty!M186*Qty!$J186)*'Hist. prices'!I343*I$244</f>
        <v>0</v>
      </c>
      <c r="J343" s="198">
        <f>IF(Qty!$J186=0,Qty!N186,Qty!N186*Qty!$J186)*'Hist. prices'!J343*J$244</f>
        <v>0</v>
      </c>
      <c r="K343" s="198">
        <f>IF(Qty!$J186=0,Qty!O186,Qty!O186*Qty!$J186)*'Hist. prices'!K343*K$244</f>
        <v>0</v>
      </c>
      <c r="L343" s="198">
        <f>IF(Qty!$J186=0,Qty!P186,Qty!P186*Qty!$J186)*'Hist. prices'!L343*L$244</f>
        <v>0</v>
      </c>
      <c r="M343" s="198">
        <f>IF(Qty!$J186=0,Qty!Q186,Qty!Q186*Qty!$J186)*'Hist. prices'!M343*M$244</f>
        <v>0</v>
      </c>
      <c r="N343" s="198">
        <f>IF(Qty!$J186=0,Qty!R186,Qty!R186*Qty!$J186)*'Hist. prices'!N343*N$244</f>
        <v>0</v>
      </c>
      <c r="O343" s="198">
        <f>IF(Qty!$J186=0,Qty!S186,Qty!S186*Qty!$J186)*'Hist. prices'!O343*O$244</f>
        <v>0</v>
      </c>
      <c r="P343" s="198">
        <f>IF(Qty!$J186=0,Qty!T186,Qty!T186*Qty!$J186)*'Hist. prices'!P343*P$244</f>
        <v>0</v>
      </c>
      <c r="Q343" s="198">
        <f>IF(Qty!$J186=0,Qty!U186,Qty!U186*Qty!$J186)*'Hist. prices'!Q343*Q$244</f>
        <v>0</v>
      </c>
      <c r="R343" s="198">
        <f>IF(Qty!$J186=0,Qty!V186,Qty!V186*Qty!$J186)*'Hist. prices'!R343*R$244</f>
        <v>0</v>
      </c>
      <c r="S343" s="198">
        <f>IF(Qty!$J186=0,Qty!W186,Qty!W186*Qty!$J186)*'Hist. prices'!S343*S$244</f>
        <v>0</v>
      </c>
      <c r="T343" s="198">
        <f>IF(Qty!$J186=0,Qty!X186,Qty!X186*Qty!$J186)*'Hist. prices'!T343*T$244</f>
        <v>0</v>
      </c>
      <c r="U343" s="198">
        <f>IF(Qty!$J186=0,Qty!Y186,Qty!Y186*Qty!$J186)*'Hist. prices'!U343*U$244</f>
        <v>0</v>
      </c>
      <c r="V343" s="198">
        <f>IF(Qty!$J186=0,Qty!Z186,Qty!Z186*Qty!$J186)*'Hist. prices'!V343*V$244</f>
        <v>0</v>
      </c>
      <c r="W343" s="198">
        <f>IF(Qty!$J186=0,Qty!AA186,Qty!AA186*Qty!$J186)*'Hist. prices'!W343*W$244</f>
        <v>0</v>
      </c>
      <c r="X343" s="198">
        <f>IF(Qty!$J186=0,Qty!AB186,Qty!AB186*Qty!$J186)*'Hist. prices'!X343*X$244</f>
        <v>0</v>
      </c>
      <c r="Y343" s="198">
        <f>IF(Qty!$J186=0,Qty!AC186,Qty!AC186*Qty!$J186)*'Hist. prices'!Y343*Y$244</f>
        <v>0</v>
      </c>
      <c r="Z343" s="198">
        <f>IF(Qty!$J186=0,Qty!AD186,Qty!AD186*Qty!$J186)*'Hist. prices'!Z343*Z$244</f>
        <v>0</v>
      </c>
      <c r="AA343" s="198">
        <f>IF(Qty!$J186=0,Qty!AE186,Qty!AE186*Qty!$J186)*'Hist. prices'!AA343*AA$244</f>
        <v>0</v>
      </c>
      <c r="AB343" s="198">
        <f>IF(Qty!$J186=0,Qty!AF186,Qty!AF186*Qty!$J186)*'Hist. prices'!AB343*AB$244</f>
        <v>0</v>
      </c>
      <c r="AC343" s="206">
        <f t="shared" si="35"/>
        <v>0</v>
      </c>
      <c r="AD343" s="68"/>
      <c r="AE343" s="19"/>
      <c r="AF343" s="19"/>
      <c r="AG343" s="19"/>
      <c r="AH343" s="19"/>
    </row>
    <row r="344" spans="1:34" hidden="1" outlineLevel="3" x14ac:dyDescent="0.2">
      <c r="A344" s="19"/>
      <c r="B344" s="19"/>
      <c r="C344" s="506">
        <f t="shared" si="37"/>
        <v>0</v>
      </c>
      <c r="D344" s="505">
        <f t="shared" si="37"/>
        <v>0</v>
      </c>
      <c r="E344" s="505">
        <f t="shared" si="37"/>
        <v>0</v>
      </c>
      <c r="F344" s="505">
        <f t="shared" si="37"/>
        <v>0</v>
      </c>
      <c r="G344" s="505">
        <f t="shared" si="37"/>
        <v>0</v>
      </c>
      <c r="H344" s="58"/>
      <c r="I344" s="198">
        <f>IF(Qty!$J187=0,Qty!M187,Qty!M187*Qty!$J187)*'Hist. prices'!I344*I$244</f>
        <v>0</v>
      </c>
      <c r="J344" s="198">
        <f>IF(Qty!$J187=0,Qty!N187,Qty!N187*Qty!$J187)*'Hist. prices'!J344*J$244</f>
        <v>0</v>
      </c>
      <c r="K344" s="198">
        <f>IF(Qty!$J187=0,Qty!O187,Qty!O187*Qty!$J187)*'Hist. prices'!K344*K$244</f>
        <v>0</v>
      </c>
      <c r="L344" s="198">
        <f>IF(Qty!$J187=0,Qty!P187,Qty!P187*Qty!$J187)*'Hist. prices'!L344*L$244</f>
        <v>0</v>
      </c>
      <c r="M344" s="198">
        <f>IF(Qty!$J187=0,Qty!Q187,Qty!Q187*Qty!$J187)*'Hist. prices'!M344*M$244</f>
        <v>0</v>
      </c>
      <c r="N344" s="198">
        <f>IF(Qty!$J187=0,Qty!R187,Qty!R187*Qty!$J187)*'Hist. prices'!N344*N$244</f>
        <v>0</v>
      </c>
      <c r="O344" s="198">
        <f>IF(Qty!$J187=0,Qty!S187,Qty!S187*Qty!$J187)*'Hist. prices'!O344*O$244</f>
        <v>0</v>
      </c>
      <c r="P344" s="198">
        <f>IF(Qty!$J187=0,Qty!T187,Qty!T187*Qty!$J187)*'Hist. prices'!P344*P$244</f>
        <v>0</v>
      </c>
      <c r="Q344" s="198">
        <f>IF(Qty!$J187=0,Qty!U187,Qty!U187*Qty!$J187)*'Hist. prices'!Q344*Q$244</f>
        <v>0</v>
      </c>
      <c r="R344" s="198">
        <f>IF(Qty!$J187=0,Qty!V187,Qty!V187*Qty!$J187)*'Hist. prices'!R344*R$244</f>
        <v>0</v>
      </c>
      <c r="S344" s="198">
        <f>IF(Qty!$J187=0,Qty!W187,Qty!W187*Qty!$J187)*'Hist. prices'!S344*S$244</f>
        <v>0</v>
      </c>
      <c r="T344" s="198">
        <f>IF(Qty!$J187=0,Qty!X187,Qty!X187*Qty!$J187)*'Hist. prices'!T344*T$244</f>
        <v>0</v>
      </c>
      <c r="U344" s="198">
        <f>IF(Qty!$J187=0,Qty!Y187,Qty!Y187*Qty!$J187)*'Hist. prices'!U344*U$244</f>
        <v>0</v>
      </c>
      <c r="V344" s="198">
        <f>IF(Qty!$J187=0,Qty!Z187,Qty!Z187*Qty!$J187)*'Hist. prices'!V344*V$244</f>
        <v>0</v>
      </c>
      <c r="W344" s="198">
        <f>IF(Qty!$J187=0,Qty!AA187,Qty!AA187*Qty!$J187)*'Hist. prices'!W344*W$244</f>
        <v>0</v>
      </c>
      <c r="X344" s="198">
        <f>IF(Qty!$J187=0,Qty!AB187,Qty!AB187*Qty!$J187)*'Hist. prices'!X344*X$244</f>
        <v>0</v>
      </c>
      <c r="Y344" s="198">
        <f>IF(Qty!$J187=0,Qty!AC187,Qty!AC187*Qty!$J187)*'Hist. prices'!Y344*Y$244</f>
        <v>0</v>
      </c>
      <c r="Z344" s="198">
        <f>IF(Qty!$J187=0,Qty!AD187,Qty!AD187*Qty!$J187)*'Hist. prices'!Z344*Z$244</f>
        <v>0</v>
      </c>
      <c r="AA344" s="198">
        <f>IF(Qty!$J187=0,Qty!AE187,Qty!AE187*Qty!$J187)*'Hist. prices'!AA344*AA$244</f>
        <v>0</v>
      </c>
      <c r="AB344" s="198">
        <f>IF(Qty!$J187=0,Qty!AF187,Qty!AF187*Qty!$J187)*'Hist. prices'!AB344*AB$244</f>
        <v>0</v>
      </c>
      <c r="AC344" s="206">
        <f t="shared" si="35"/>
        <v>0</v>
      </c>
      <c r="AD344" s="68"/>
      <c r="AE344" s="19"/>
      <c r="AF344" s="19"/>
      <c r="AG344" s="19"/>
      <c r="AH344" s="19"/>
    </row>
    <row r="345" spans="1:34" hidden="1" outlineLevel="3" x14ac:dyDescent="0.2">
      <c r="A345" s="19"/>
      <c r="B345" s="19"/>
      <c r="C345" s="506">
        <f t="shared" si="37"/>
        <v>0</v>
      </c>
      <c r="D345" s="505">
        <f t="shared" si="37"/>
        <v>0</v>
      </c>
      <c r="E345" s="505">
        <f t="shared" si="37"/>
        <v>0</v>
      </c>
      <c r="F345" s="505">
        <f t="shared" si="37"/>
        <v>0</v>
      </c>
      <c r="G345" s="505">
        <f t="shared" si="37"/>
        <v>0</v>
      </c>
      <c r="H345" s="58"/>
      <c r="I345" s="198">
        <f>IF(Qty!$J188=0,Qty!M188,Qty!M188*Qty!$J188)*'Hist. prices'!I345*I$244</f>
        <v>0</v>
      </c>
      <c r="J345" s="198">
        <f>IF(Qty!$J188=0,Qty!N188,Qty!N188*Qty!$J188)*'Hist. prices'!J345*J$244</f>
        <v>0</v>
      </c>
      <c r="K345" s="198">
        <f>IF(Qty!$J188=0,Qty!O188,Qty!O188*Qty!$J188)*'Hist. prices'!K345*K$244</f>
        <v>0</v>
      </c>
      <c r="L345" s="198">
        <f>IF(Qty!$J188=0,Qty!P188,Qty!P188*Qty!$J188)*'Hist. prices'!L345*L$244</f>
        <v>0</v>
      </c>
      <c r="M345" s="198">
        <f>IF(Qty!$J188=0,Qty!Q188,Qty!Q188*Qty!$J188)*'Hist. prices'!M345*M$244</f>
        <v>0</v>
      </c>
      <c r="N345" s="198">
        <f>IF(Qty!$J188=0,Qty!R188,Qty!R188*Qty!$J188)*'Hist. prices'!N345*N$244</f>
        <v>0</v>
      </c>
      <c r="O345" s="198">
        <f>IF(Qty!$J188=0,Qty!S188,Qty!S188*Qty!$J188)*'Hist. prices'!O345*O$244</f>
        <v>0</v>
      </c>
      <c r="P345" s="198">
        <f>IF(Qty!$J188=0,Qty!T188,Qty!T188*Qty!$J188)*'Hist. prices'!P345*P$244</f>
        <v>0</v>
      </c>
      <c r="Q345" s="198">
        <f>IF(Qty!$J188=0,Qty!U188,Qty!U188*Qty!$J188)*'Hist. prices'!Q345*Q$244</f>
        <v>0</v>
      </c>
      <c r="R345" s="198">
        <f>IF(Qty!$J188=0,Qty!V188,Qty!V188*Qty!$J188)*'Hist. prices'!R345*R$244</f>
        <v>0</v>
      </c>
      <c r="S345" s="198">
        <f>IF(Qty!$J188=0,Qty!W188,Qty!W188*Qty!$J188)*'Hist. prices'!S345*S$244</f>
        <v>0</v>
      </c>
      <c r="T345" s="198">
        <f>IF(Qty!$J188=0,Qty!X188,Qty!X188*Qty!$J188)*'Hist. prices'!T345*T$244</f>
        <v>0</v>
      </c>
      <c r="U345" s="198">
        <f>IF(Qty!$J188=0,Qty!Y188,Qty!Y188*Qty!$J188)*'Hist. prices'!U345*U$244</f>
        <v>0</v>
      </c>
      <c r="V345" s="198">
        <f>IF(Qty!$J188=0,Qty!Z188,Qty!Z188*Qty!$J188)*'Hist. prices'!V345*V$244</f>
        <v>0</v>
      </c>
      <c r="W345" s="198">
        <f>IF(Qty!$J188=0,Qty!AA188,Qty!AA188*Qty!$J188)*'Hist. prices'!W345*W$244</f>
        <v>0</v>
      </c>
      <c r="X345" s="198">
        <f>IF(Qty!$J188=0,Qty!AB188,Qty!AB188*Qty!$J188)*'Hist. prices'!X345*X$244</f>
        <v>0</v>
      </c>
      <c r="Y345" s="198">
        <f>IF(Qty!$J188=0,Qty!AC188,Qty!AC188*Qty!$J188)*'Hist. prices'!Y345*Y$244</f>
        <v>0</v>
      </c>
      <c r="Z345" s="198">
        <f>IF(Qty!$J188=0,Qty!AD188,Qty!AD188*Qty!$J188)*'Hist. prices'!Z345*Z$244</f>
        <v>0</v>
      </c>
      <c r="AA345" s="198">
        <f>IF(Qty!$J188=0,Qty!AE188,Qty!AE188*Qty!$J188)*'Hist. prices'!AA345*AA$244</f>
        <v>0</v>
      </c>
      <c r="AB345" s="198">
        <f>IF(Qty!$J188=0,Qty!AF188,Qty!AF188*Qty!$J188)*'Hist. prices'!AB345*AB$244</f>
        <v>0</v>
      </c>
      <c r="AC345" s="206">
        <f t="shared" si="35"/>
        <v>0</v>
      </c>
      <c r="AD345" s="68"/>
      <c r="AE345" s="19"/>
      <c r="AF345" s="19"/>
      <c r="AG345" s="19"/>
      <c r="AH345" s="19"/>
    </row>
    <row r="346" spans="1:34" hidden="1" outlineLevel="3" x14ac:dyDescent="0.2">
      <c r="A346" s="19"/>
      <c r="B346" s="19"/>
      <c r="C346" s="506">
        <f t="shared" si="37"/>
        <v>0</v>
      </c>
      <c r="D346" s="505">
        <f t="shared" si="37"/>
        <v>0</v>
      </c>
      <c r="E346" s="505">
        <f t="shared" si="37"/>
        <v>0</v>
      </c>
      <c r="F346" s="505">
        <f t="shared" si="37"/>
        <v>0</v>
      </c>
      <c r="G346" s="505">
        <f t="shared" si="37"/>
        <v>0</v>
      </c>
      <c r="H346" s="58"/>
      <c r="I346" s="198">
        <f>IF(Qty!$J189=0,Qty!M189,Qty!M189*Qty!$J189)*'Hist. prices'!I346*I$244</f>
        <v>0</v>
      </c>
      <c r="J346" s="198">
        <f>IF(Qty!$J189=0,Qty!N189,Qty!N189*Qty!$J189)*'Hist. prices'!J346*J$244</f>
        <v>0</v>
      </c>
      <c r="K346" s="198">
        <f>IF(Qty!$J189=0,Qty!O189,Qty!O189*Qty!$J189)*'Hist. prices'!K346*K$244</f>
        <v>0</v>
      </c>
      <c r="L346" s="198">
        <f>IF(Qty!$J189=0,Qty!P189,Qty!P189*Qty!$J189)*'Hist. prices'!L346*L$244</f>
        <v>0</v>
      </c>
      <c r="M346" s="198">
        <f>IF(Qty!$J189=0,Qty!Q189,Qty!Q189*Qty!$J189)*'Hist. prices'!M346*M$244</f>
        <v>0</v>
      </c>
      <c r="N346" s="198">
        <f>IF(Qty!$J189=0,Qty!R189,Qty!R189*Qty!$J189)*'Hist. prices'!N346*N$244</f>
        <v>0</v>
      </c>
      <c r="O346" s="198">
        <f>IF(Qty!$J189=0,Qty!S189,Qty!S189*Qty!$J189)*'Hist. prices'!O346*O$244</f>
        <v>0</v>
      </c>
      <c r="P346" s="198">
        <f>IF(Qty!$J189=0,Qty!T189,Qty!T189*Qty!$J189)*'Hist. prices'!P346*P$244</f>
        <v>0</v>
      </c>
      <c r="Q346" s="198">
        <f>IF(Qty!$J189=0,Qty!U189,Qty!U189*Qty!$J189)*'Hist. prices'!Q346*Q$244</f>
        <v>0</v>
      </c>
      <c r="R346" s="198">
        <f>IF(Qty!$J189=0,Qty!V189,Qty!V189*Qty!$J189)*'Hist. prices'!R346*R$244</f>
        <v>0</v>
      </c>
      <c r="S346" s="198">
        <f>IF(Qty!$J189=0,Qty!W189,Qty!W189*Qty!$J189)*'Hist. prices'!S346*S$244</f>
        <v>0</v>
      </c>
      <c r="T346" s="198">
        <f>IF(Qty!$J189=0,Qty!X189,Qty!X189*Qty!$J189)*'Hist. prices'!T346*T$244</f>
        <v>0</v>
      </c>
      <c r="U346" s="198">
        <f>IF(Qty!$J189=0,Qty!Y189,Qty!Y189*Qty!$J189)*'Hist. prices'!U346*U$244</f>
        <v>0</v>
      </c>
      <c r="V346" s="198">
        <f>IF(Qty!$J189=0,Qty!Z189,Qty!Z189*Qty!$J189)*'Hist. prices'!V346*V$244</f>
        <v>0</v>
      </c>
      <c r="W346" s="198">
        <f>IF(Qty!$J189=0,Qty!AA189,Qty!AA189*Qty!$J189)*'Hist. prices'!W346*W$244</f>
        <v>0</v>
      </c>
      <c r="X346" s="198">
        <f>IF(Qty!$J189=0,Qty!AB189,Qty!AB189*Qty!$J189)*'Hist. prices'!X346*X$244</f>
        <v>0</v>
      </c>
      <c r="Y346" s="198">
        <f>IF(Qty!$J189=0,Qty!AC189,Qty!AC189*Qty!$J189)*'Hist. prices'!Y346*Y$244</f>
        <v>0</v>
      </c>
      <c r="Z346" s="198">
        <f>IF(Qty!$J189=0,Qty!AD189,Qty!AD189*Qty!$J189)*'Hist. prices'!Z346*Z$244</f>
        <v>0</v>
      </c>
      <c r="AA346" s="198">
        <f>IF(Qty!$J189=0,Qty!AE189,Qty!AE189*Qty!$J189)*'Hist. prices'!AA346*AA$244</f>
        <v>0</v>
      </c>
      <c r="AB346" s="198">
        <f>IF(Qty!$J189=0,Qty!AF189,Qty!AF189*Qty!$J189)*'Hist. prices'!AB346*AB$244</f>
        <v>0</v>
      </c>
      <c r="AC346" s="206">
        <f t="shared" si="35"/>
        <v>0</v>
      </c>
      <c r="AD346" s="68"/>
      <c r="AE346" s="19"/>
      <c r="AF346" s="19"/>
      <c r="AG346" s="19"/>
      <c r="AH346" s="19"/>
    </row>
    <row r="347" spans="1:34" hidden="1" outlineLevel="3" x14ac:dyDescent="0.2">
      <c r="A347" s="19"/>
      <c r="B347" s="19"/>
      <c r="C347" s="506">
        <f t="shared" si="37"/>
        <v>0</v>
      </c>
      <c r="D347" s="505">
        <f t="shared" si="37"/>
        <v>0</v>
      </c>
      <c r="E347" s="505">
        <f t="shared" si="37"/>
        <v>0</v>
      </c>
      <c r="F347" s="505">
        <f t="shared" si="37"/>
        <v>0</v>
      </c>
      <c r="G347" s="505">
        <f t="shared" si="37"/>
        <v>0</v>
      </c>
      <c r="H347" s="58"/>
      <c r="I347" s="198">
        <f>IF(Qty!$J190=0,Qty!M190,Qty!M190*Qty!$J190)*'Hist. prices'!I347*I$244</f>
        <v>0</v>
      </c>
      <c r="J347" s="198">
        <f>IF(Qty!$J190=0,Qty!N190,Qty!N190*Qty!$J190)*'Hist. prices'!J347*J$244</f>
        <v>0</v>
      </c>
      <c r="K347" s="198">
        <f>IF(Qty!$J190=0,Qty!O190,Qty!O190*Qty!$J190)*'Hist. prices'!K347*K$244</f>
        <v>0</v>
      </c>
      <c r="L347" s="198">
        <f>IF(Qty!$J190=0,Qty!P190,Qty!P190*Qty!$J190)*'Hist. prices'!L347*L$244</f>
        <v>0</v>
      </c>
      <c r="M347" s="198">
        <f>IF(Qty!$J190=0,Qty!Q190,Qty!Q190*Qty!$J190)*'Hist. prices'!M347*M$244</f>
        <v>0</v>
      </c>
      <c r="N347" s="198">
        <f>IF(Qty!$J190=0,Qty!R190,Qty!R190*Qty!$J190)*'Hist. prices'!N347*N$244</f>
        <v>0</v>
      </c>
      <c r="O347" s="198">
        <f>IF(Qty!$J190=0,Qty!S190,Qty!S190*Qty!$J190)*'Hist. prices'!O347*O$244</f>
        <v>0</v>
      </c>
      <c r="P347" s="198">
        <f>IF(Qty!$J190=0,Qty!T190,Qty!T190*Qty!$J190)*'Hist. prices'!P347*P$244</f>
        <v>0</v>
      </c>
      <c r="Q347" s="198">
        <f>IF(Qty!$J190=0,Qty!U190,Qty!U190*Qty!$J190)*'Hist. prices'!Q347*Q$244</f>
        <v>0</v>
      </c>
      <c r="R347" s="198">
        <f>IF(Qty!$J190=0,Qty!V190,Qty!V190*Qty!$J190)*'Hist. prices'!R347*R$244</f>
        <v>0</v>
      </c>
      <c r="S347" s="198">
        <f>IF(Qty!$J190=0,Qty!W190,Qty!W190*Qty!$J190)*'Hist. prices'!S347*S$244</f>
        <v>0</v>
      </c>
      <c r="T347" s="198">
        <f>IF(Qty!$J190=0,Qty!X190,Qty!X190*Qty!$J190)*'Hist. prices'!T347*T$244</f>
        <v>0</v>
      </c>
      <c r="U347" s="198">
        <f>IF(Qty!$J190=0,Qty!Y190,Qty!Y190*Qty!$J190)*'Hist. prices'!U347*U$244</f>
        <v>0</v>
      </c>
      <c r="V347" s="198">
        <f>IF(Qty!$J190=0,Qty!Z190,Qty!Z190*Qty!$J190)*'Hist. prices'!V347*V$244</f>
        <v>0</v>
      </c>
      <c r="W347" s="198">
        <f>IF(Qty!$J190=0,Qty!AA190,Qty!AA190*Qty!$J190)*'Hist. prices'!W347*W$244</f>
        <v>0</v>
      </c>
      <c r="X347" s="198">
        <f>IF(Qty!$J190=0,Qty!AB190,Qty!AB190*Qty!$J190)*'Hist. prices'!X347*X$244</f>
        <v>0</v>
      </c>
      <c r="Y347" s="198">
        <f>IF(Qty!$J190=0,Qty!AC190,Qty!AC190*Qty!$J190)*'Hist. prices'!Y347*Y$244</f>
        <v>0</v>
      </c>
      <c r="Z347" s="198">
        <f>IF(Qty!$J190=0,Qty!AD190,Qty!AD190*Qty!$J190)*'Hist. prices'!Z347*Z$244</f>
        <v>0</v>
      </c>
      <c r="AA347" s="198">
        <f>IF(Qty!$J190=0,Qty!AE190,Qty!AE190*Qty!$J190)*'Hist. prices'!AA347*AA$244</f>
        <v>0</v>
      </c>
      <c r="AB347" s="198">
        <f>IF(Qty!$J190=0,Qty!AF190,Qty!AF190*Qty!$J190)*'Hist. prices'!AB347*AB$244</f>
        <v>0</v>
      </c>
      <c r="AC347" s="206">
        <f t="shared" si="35"/>
        <v>0</v>
      </c>
      <c r="AD347" s="68"/>
      <c r="AE347" s="19"/>
      <c r="AF347" s="19"/>
      <c r="AG347" s="19"/>
      <c r="AH347" s="19"/>
    </row>
    <row r="348" spans="1:34" hidden="1" outlineLevel="3" x14ac:dyDescent="0.2">
      <c r="A348" s="19"/>
      <c r="B348" s="19"/>
      <c r="C348" s="506">
        <f t="shared" si="37"/>
        <v>0</v>
      </c>
      <c r="D348" s="505">
        <f t="shared" si="37"/>
        <v>0</v>
      </c>
      <c r="E348" s="505">
        <f t="shared" si="37"/>
        <v>0</v>
      </c>
      <c r="F348" s="505">
        <f t="shared" si="37"/>
        <v>0</v>
      </c>
      <c r="G348" s="505">
        <f t="shared" si="37"/>
        <v>0</v>
      </c>
      <c r="H348" s="58"/>
      <c r="I348" s="198">
        <f>IF(Qty!$J191=0,Qty!M191,Qty!M191*Qty!$J191)*'Hist. prices'!I348*I$244</f>
        <v>0</v>
      </c>
      <c r="J348" s="198">
        <f>IF(Qty!$J191=0,Qty!N191,Qty!N191*Qty!$J191)*'Hist. prices'!J348*J$244</f>
        <v>0</v>
      </c>
      <c r="K348" s="198">
        <f>IF(Qty!$J191=0,Qty!O191,Qty!O191*Qty!$J191)*'Hist. prices'!K348*K$244</f>
        <v>0</v>
      </c>
      <c r="L348" s="198">
        <f>IF(Qty!$J191=0,Qty!P191,Qty!P191*Qty!$J191)*'Hist. prices'!L348*L$244</f>
        <v>0</v>
      </c>
      <c r="M348" s="198">
        <f>IF(Qty!$J191=0,Qty!Q191,Qty!Q191*Qty!$J191)*'Hist. prices'!M348*M$244</f>
        <v>0</v>
      </c>
      <c r="N348" s="198">
        <f>IF(Qty!$J191=0,Qty!R191,Qty!R191*Qty!$J191)*'Hist. prices'!N348*N$244</f>
        <v>0</v>
      </c>
      <c r="O348" s="198">
        <f>IF(Qty!$J191=0,Qty!S191,Qty!S191*Qty!$J191)*'Hist. prices'!O348*O$244</f>
        <v>0</v>
      </c>
      <c r="P348" s="198">
        <f>IF(Qty!$J191=0,Qty!T191,Qty!T191*Qty!$J191)*'Hist. prices'!P348*P$244</f>
        <v>0</v>
      </c>
      <c r="Q348" s="198">
        <f>IF(Qty!$J191=0,Qty!U191,Qty!U191*Qty!$J191)*'Hist. prices'!Q348*Q$244</f>
        <v>0</v>
      </c>
      <c r="R348" s="198">
        <f>IF(Qty!$J191=0,Qty!V191,Qty!V191*Qty!$J191)*'Hist. prices'!R348*R$244</f>
        <v>0</v>
      </c>
      <c r="S348" s="198">
        <f>IF(Qty!$J191=0,Qty!W191,Qty!W191*Qty!$J191)*'Hist. prices'!S348*S$244</f>
        <v>0</v>
      </c>
      <c r="T348" s="198">
        <f>IF(Qty!$J191=0,Qty!X191,Qty!X191*Qty!$J191)*'Hist. prices'!T348*T$244</f>
        <v>0</v>
      </c>
      <c r="U348" s="198">
        <f>IF(Qty!$J191=0,Qty!Y191,Qty!Y191*Qty!$J191)*'Hist. prices'!U348*U$244</f>
        <v>0</v>
      </c>
      <c r="V348" s="198">
        <f>IF(Qty!$J191=0,Qty!Z191,Qty!Z191*Qty!$J191)*'Hist. prices'!V348*V$244</f>
        <v>0</v>
      </c>
      <c r="W348" s="198">
        <f>IF(Qty!$J191=0,Qty!AA191,Qty!AA191*Qty!$J191)*'Hist. prices'!W348*W$244</f>
        <v>0</v>
      </c>
      <c r="X348" s="198">
        <f>IF(Qty!$J191=0,Qty!AB191,Qty!AB191*Qty!$J191)*'Hist. prices'!X348*X$244</f>
        <v>0</v>
      </c>
      <c r="Y348" s="198">
        <f>IF(Qty!$J191=0,Qty!AC191,Qty!AC191*Qty!$J191)*'Hist. prices'!Y348*Y$244</f>
        <v>0</v>
      </c>
      <c r="Z348" s="198">
        <f>IF(Qty!$J191=0,Qty!AD191,Qty!AD191*Qty!$J191)*'Hist. prices'!Z348*Z$244</f>
        <v>0</v>
      </c>
      <c r="AA348" s="198">
        <f>IF(Qty!$J191=0,Qty!AE191,Qty!AE191*Qty!$J191)*'Hist. prices'!AA348*AA$244</f>
        <v>0</v>
      </c>
      <c r="AB348" s="198">
        <f>IF(Qty!$J191=0,Qty!AF191,Qty!AF191*Qty!$J191)*'Hist. prices'!AB348*AB$244</f>
        <v>0</v>
      </c>
      <c r="AC348" s="206">
        <f t="shared" si="35"/>
        <v>0</v>
      </c>
      <c r="AD348" s="68"/>
      <c r="AE348" s="19"/>
      <c r="AF348" s="19"/>
      <c r="AG348" s="19"/>
      <c r="AH348" s="19"/>
    </row>
    <row r="349" spans="1:34" hidden="1" outlineLevel="3" x14ac:dyDescent="0.2">
      <c r="A349" s="19"/>
      <c r="B349" s="19"/>
      <c r="C349" s="506">
        <f t="shared" si="37"/>
        <v>0</v>
      </c>
      <c r="D349" s="505">
        <f t="shared" si="37"/>
        <v>0</v>
      </c>
      <c r="E349" s="505">
        <f t="shared" si="37"/>
        <v>0</v>
      </c>
      <c r="F349" s="505">
        <f t="shared" si="37"/>
        <v>0</v>
      </c>
      <c r="G349" s="505">
        <f t="shared" si="37"/>
        <v>0</v>
      </c>
      <c r="H349" s="58"/>
      <c r="I349" s="198">
        <f>IF(Qty!$J192=0,Qty!M192,Qty!M192*Qty!$J192)*'Hist. prices'!I349*I$244</f>
        <v>0</v>
      </c>
      <c r="J349" s="198">
        <f>IF(Qty!$J192=0,Qty!N192,Qty!N192*Qty!$J192)*'Hist. prices'!J349*J$244</f>
        <v>0</v>
      </c>
      <c r="K349" s="198">
        <f>IF(Qty!$J192=0,Qty!O192,Qty!O192*Qty!$J192)*'Hist. prices'!K349*K$244</f>
        <v>0</v>
      </c>
      <c r="L349" s="198">
        <f>IF(Qty!$J192=0,Qty!P192,Qty!P192*Qty!$J192)*'Hist. prices'!L349*L$244</f>
        <v>0</v>
      </c>
      <c r="M349" s="198">
        <f>IF(Qty!$J192=0,Qty!Q192,Qty!Q192*Qty!$J192)*'Hist. prices'!M349*M$244</f>
        <v>0</v>
      </c>
      <c r="N349" s="198">
        <f>IF(Qty!$J192=0,Qty!R192,Qty!R192*Qty!$J192)*'Hist. prices'!N349*N$244</f>
        <v>0</v>
      </c>
      <c r="O349" s="198">
        <f>IF(Qty!$J192=0,Qty!S192,Qty!S192*Qty!$J192)*'Hist. prices'!O349*O$244</f>
        <v>0</v>
      </c>
      <c r="P349" s="198">
        <f>IF(Qty!$J192=0,Qty!T192,Qty!T192*Qty!$J192)*'Hist. prices'!P349*P$244</f>
        <v>0</v>
      </c>
      <c r="Q349" s="198">
        <f>IF(Qty!$J192=0,Qty!U192,Qty!U192*Qty!$J192)*'Hist. prices'!Q349*Q$244</f>
        <v>0</v>
      </c>
      <c r="R349" s="198">
        <f>IF(Qty!$J192=0,Qty!V192,Qty!V192*Qty!$J192)*'Hist. prices'!R349*R$244</f>
        <v>0</v>
      </c>
      <c r="S349" s="198">
        <f>IF(Qty!$J192=0,Qty!W192,Qty!W192*Qty!$J192)*'Hist. prices'!S349*S$244</f>
        <v>0</v>
      </c>
      <c r="T349" s="198">
        <f>IF(Qty!$J192=0,Qty!X192,Qty!X192*Qty!$J192)*'Hist. prices'!T349*T$244</f>
        <v>0</v>
      </c>
      <c r="U349" s="198">
        <f>IF(Qty!$J192=0,Qty!Y192,Qty!Y192*Qty!$J192)*'Hist. prices'!U349*U$244</f>
        <v>0</v>
      </c>
      <c r="V349" s="198">
        <f>IF(Qty!$J192=0,Qty!Z192,Qty!Z192*Qty!$J192)*'Hist. prices'!V349*V$244</f>
        <v>0</v>
      </c>
      <c r="W349" s="198">
        <f>IF(Qty!$J192=0,Qty!AA192,Qty!AA192*Qty!$J192)*'Hist. prices'!W349*W$244</f>
        <v>0</v>
      </c>
      <c r="X349" s="198">
        <f>IF(Qty!$J192=0,Qty!AB192,Qty!AB192*Qty!$J192)*'Hist. prices'!X349*X$244</f>
        <v>0</v>
      </c>
      <c r="Y349" s="198">
        <f>IF(Qty!$J192=0,Qty!AC192,Qty!AC192*Qty!$J192)*'Hist. prices'!Y349*Y$244</f>
        <v>0</v>
      </c>
      <c r="Z349" s="198">
        <f>IF(Qty!$J192=0,Qty!AD192,Qty!AD192*Qty!$J192)*'Hist. prices'!Z349*Z$244</f>
        <v>0</v>
      </c>
      <c r="AA349" s="198">
        <f>IF(Qty!$J192=0,Qty!AE192,Qty!AE192*Qty!$J192)*'Hist. prices'!AA349*AA$244</f>
        <v>0</v>
      </c>
      <c r="AB349" s="198">
        <f>IF(Qty!$J192=0,Qty!AF192,Qty!AF192*Qty!$J192)*'Hist. prices'!AB349*AB$244</f>
        <v>0</v>
      </c>
      <c r="AC349" s="206">
        <f t="shared" si="35"/>
        <v>0</v>
      </c>
      <c r="AD349" s="68"/>
      <c r="AE349" s="19"/>
      <c r="AF349" s="19"/>
      <c r="AG349" s="19"/>
      <c r="AH349" s="19"/>
    </row>
    <row r="350" spans="1:34" hidden="1" outlineLevel="3" x14ac:dyDescent="0.2">
      <c r="A350" s="19"/>
      <c r="B350" s="19"/>
      <c r="C350" s="506">
        <f t="shared" si="37"/>
        <v>0</v>
      </c>
      <c r="D350" s="505">
        <f t="shared" si="37"/>
        <v>0</v>
      </c>
      <c r="E350" s="505">
        <f t="shared" si="37"/>
        <v>0</v>
      </c>
      <c r="F350" s="505">
        <f t="shared" si="37"/>
        <v>0</v>
      </c>
      <c r="G350" s="505">
        <f t="shared" si="37"/>
        <v>0</v>
      </c>
      <c r="H350" s="58"/>
      <c r="I350" s="198">
        <f>IF(Qty!$J193=0,Qty!M193,Qty!M193*Qty!$J193)*'Hist. prices'!I350*I$244</f>
        <v>0</v>
      </c>
      <c r="J350" s="198">
        <f>IF(Qty!$J193=0,Qty!N193,Qty!N193*Qty!$J193)*'Hist. prices'!J350*J$244</f>
        <v>0</v>
      </c>
      <c r="K350" s="198">
        <f>IF(Qty!$J193=0,Qty!O193,Qty!O193*Qty!$J193)*'Hist. prices'!K350*K$244</f>
        <v>0</v>
      </c>
      <c r="L350" s="198">
        <f>IF(Qty!$J193=0,Qty!P193,Qty!P193*Qty!$J193)*'Hist. prices'!L350*L$244</f>
        <v>0</v>
      </c>
      <c r="M350" s="198">
        <f>IF(Qty!$J193=0,Qty!Q193,Qty!Q193*Qty!$J193)*'Hist. prices'!M350*M$244</f>
        <v>0</v>
      </c>
      <c r="N350" s="198">
        <f>IF(Qty!$J193=0,Qty!R193,Qty!R193*Qty!$J193)*'Hist. prices'!N350*N$244</f>
        <v>0</v>
      </c>
      <c r="O350" s="198">
        <f>IF(Qty!$J193=0,Qty!S193,Qty!S193*Qty!$J193)*'Hist. prices'!O350*O$244</f>
        <v>0</v>
      </c>
      <c r="P350" s="198">
        <f>IF(Qty!$J193=0,Qty!T193,Qty!T193*Qty!$J193)*'Hist. prices'!P350*P$244</f>
        <v>0</v>
      </c>
      <c r="Q350" s="198">
        <f>IF(Qty!$J193=0,Qty!U193,Qty!U193*Qty!$J193)*'Hist. prices'!Q350*Q$244</f>
        <v>0</v>
      </c>
      <c r="R350" s="198">
        <f>IF(Qty!$J193=0,Qty!V193,Qty!V193*Qty!$J193)*'Hist. prices'!R350*R$244</f>
        <v>0</v>
      </c>
      <c r="S350" s="198">
        <f>IF(Qty!$J193=0,Qty!W193,Qty!W193*Qty!$J193)*'Hist. prices'!S350*S$244</f>
        <v>0</v>
      </c>
      <c r="T350" s="198">
        <f>IF(Qty!$J193=0,Qty!X193,Qty!X193*Qty!$J193)*'Hist. prices'!T350*T$244</f>
        <v>0</v>
      </c>
      <c r="U350" s="198">
        <f>IF(Qty!$J193=0,Qty!Y193,Qty!Y193*Qty!$J193)*'Hist. prices'!U350*U$244</f>
        <v>0</v>
      </c>
      <c r="V350" s="198">
        <f>IF(Qty!$J193=0,Qty!Z193,Qty!Z193*Qty!$J193)*'Hist. prices'!V350*V$244</f>
        <v>0</v>
      </c>
      <c r="W350" s="198">
        <f>IF(Qty!$J193=0,Qty!AA193,Qty!AA193*Qty!$J193)*'Hist. prices'!W350*W$244</f>
        <v>0</v>
      </c>
      <c r="X350" s="198">
        <f>IF(Qty!$J193=0,Qty!AB193,Qty!AB193*Qty!$J193)*'Hist. prices'!X350*X$244</f>
        <v>0</v>
      </c>
      <c r="Y350" s="198">
        <f>IF(Qty!$J193=0,Qty!AC193,Qty!AC193*Qty!$J193)*'Hist. prices'!Y350*Y$244</f>
        <v>0</v>
      </c>
      <c r="Z350" s="198">
        <f>IF(Qty!$J193=0,Qty!AD193,Qty!AD193*Qty!$J193)*'Hist. prices'!Z350*Z$244</f>
        <v>0</v>
      </c>
      <c r="AA350" s="198">
        <f>IF(Qty!$J193=0,Qty!AE193,Qty!AE193*Qty!$J193)*'Hist. prices'!AA350*AA$244</f>
        <v>0</v>
      </c>
      <c r="AB350" s="198">
        <f>IF(Qty!$J193=0,Qty!AF193,Qty!AF193*Qty!$J193)*'Hist. prices'!AB350*AB$244</f>
        <v>0</v>
      </c>
      <c r="AC350" s="206">
        <f t="shared" si="35"/>
        <v>0</v>
      </c>
      <c r="AD350" s="68"/>
      <c r="AE350" s="19"/>
      <c r="AF350" s="19"/>
      <c r="AG350" s="19"/>
      <c r="AH350" s="19"/>
    </row>
    <row r="351" spans="1:34" hidden="1" outlineLevel="3" x14ac:dyDescent="0.2">
      <c r="A351" s="19"/>
      <c r="B351" s="19"/>
      <c r="C351" s="506">
        <f t="shared" si="37"/>
        <v>0</v>
      </c>
      <c r="D351" s="505">
        <f t="shared" si="37"/>
        <v>0</v>
      </c>
      <c r="E351" s="505">
        <f t="shared" si="37"/>
        <v>0</v>
      </c>
      <c r="F351" s="505">
        <f t="shared" si="37"/>
        <v>0</v>
      </c>
      <c r="G351" s="505">
        <f t="shared" si="37"/>
        <v>0</v>
      </c>
      <c r="H351" s="58"/>
      <c r="I351" s="198">
        <f>IF(Qty!$J194=0,Qty!M194,Qty!M194*Qty!$J194)*'Hist. prices'!I351*I$244</f>
        <v>0</v>
      </c>
      <c r="J351" s="198">
        <f>IF(Qty!$J194=0,Qty!N194,Qty!N194*Qty!$J194)*'Hist. prices'!J351*J$244</f>
        <v>0</v>
      </c>
      <c r="K351" s="198">
        <f>IF(Qty!$J194=0,Qty!O194,Qty!O194*Qty!$J194)*'Hist. prices'!K351*K$244</f>
        <v>0</v>
      </c>
      <c r="L351" s="198">
        <f>IF(Qty!$J194=0,Qty!P194,Qty!P194*Qty!$J194)*'Hist. prices'!L351*L$244</f>
        <v>0</v>
      </c>
      <c r="M351" s="198">
        <f>IF(Qty!$J194=0,Qty!Q194,Qty!Q194*Qty!$J194)*'Hist. prices'!M351*M$244</f>
        <v>0</v>
      </c>
      <c r="N351" s="198">
        <f>IF(Qty!$J194=0,Qty!R194,Qty!R194*Qty!$J194)*'Hist. prices'!N351*N$244</f>
        <v>0</v>
      </c>
      <c r="O351" s="198">
        <f>IF(Qty!$J194=0,Qty!S194,Qty!S194*Qty!$J194)*'Hist. prices'!O351*O$244</f>
        <v>0</v>
      </c>
      <c r="P351" s="198">
        <f>IF(Qty!$J194=0,Qty!T194,Qty!T194*Qty!$J194)*'Hist. prices'!P351*P$244</f>
        <v>0</v>
      </c>
      <c r="Q351" s="198">
        <f>IF(Qty!$J194=0,Qty!U194,Qty!U194*Qty!$J194)*'Hist. prices'!Q351*Q$244</f>
        <v>0</v>
      </c>
      <c r="R351" s="198">
        <f>IF(Qty!$J194=0,Qty!V194,Qty!V194*Qty!$J194)*'Hist. prices'!R351*R$244</f>
        <v>0</v>
      </c>
      <c r="S351" s="198">
        <f>IF(Qty!$J194=0,Qty!W194,Qty!W194*Qty!$J194)*'Hist. prices'!S351*S$244</f>
        <v>0</v>
      </c>
      <c r="T351" s="198">
        <f>IF(Qty!$J194=0,Qty!X194,Qty!X194*Qty!$J194)*'Hist. prices'!T351*T$244</f>
        <v>0</v>
      </c>
      <c r="U351" s="198">
        <f>IF(Qty!$J194=0,Qty!Y194,Qty!Y194*Qty!$J194)*'Hist. prices'!U351*U$244</f>
        <v>0</v>
      </c>
      <c r="V351" s="198">
        <f>IF(Qty!$J194=0,Qty!Z194,Qty!Z194*Qty!$J194)*'Hist. prices'!V351*V$244</f>
        <v>0</v>
      </c>
      <c r="W351" s="198">
        <f>IF(Qty!$J194=0,Qty!AA194,Qty!AA194*Qty!$J194)*'Hist. prices'!W351*W$244</f>
        <v>0</v>
      </c>
      <c r="X351" s="198">
        <f>IF(Qty!$J194=0,Qty!AB194,Qty!AB194*Qty!$J194)*'Hist. prices'!X351*X$244</f>
        <v>0</v>
      </c>
      <c r="Y351" s="198">
        <f>IF(Qty!$J194=0,Qty!AC194,Qty!AC194*Qty!$J194)*'Hist. prices'!Y351*Y$244</f>
        <v>0</v>
      </c>
      <c r="Z351" s="198">
        <f>IF(Qty!$J194=0,Qty!AD194,Qty!AD194*Qty!$J194)*'Hist. prices'!Z351*Z$244</f>
        <v>0</v>
      </c>
      <c r="AA351" s="198">
        <f>IF(Qty!$J194=0,Qty!AE194,Qty!AE194*Qty!$J194)*'Hist. prices'!AA351*AA$244</f>
        <v>0</v>
      </c>
      <c r="AB351" s="198">
        <f>IF(Qty!$J194=0,Qty!AF194,Qty!AF194*Qty!$J194)*'Hist. prices'!AB351*AB$244</f>
        <v>0</v>
      </c>
      <c r="AC351" s="206">
        <f t="shared" si="35"/>
        <v>0</v>
      </c>
      <c r="AD351" s="68"/>
      <c r="AE351" s="19"/>
      <c r="AF351" s="19"/>
      <c r="AG351" s="19"/>
      <c r="AH351" s="19"/>
    </row>
    <row r="352" spans="1:34" hidden="1" outlineLevel="3" x14ac:dyDescent="0.2">
      <c r="A352" s="19"/>
      <c r="B352" s="19"/>
      <c r="C352" s="506">
        <f t="shared" si="37"/>
        <v>0</v>
      </c>
      <c r="D352" s="505">
        <f t="shared" si="37"/>
        <v>0</v>
      </c>
      <c r="E352" s="505">
        <f t="shared" si="37"/>
        <v>0</v>
      </c>
      <c r="F352" s="505">
        <f t="shared" si="37"/>
        <v>0</v>
      </c>
      <c r="G352" s="505">
        <f t="shared" si="37"/>
        <v>0</v>
      </c>
      <c r="H352" s="58"/>
      <c r="I352" s="198">
        <f>IF(Qty!$J195=0,Qty!M195,Qty!M195*Qty!$J195)*'Hist. prices'!I352*I$244</f>
        <v>0</v>
      </c>
      <c r="J352" s="198">
        <f>IF(Qty!$J195=0,Qty!N195,Qty!N195*Qty!$J195)*'Hist. prices'!J352*J$244</f>
        <v>0</v>
      </c>
      <c r="K352" s="198">
        <f>IF(Qty!$J195=0,Qty!O195,Qty!O195*Qty!$J195)*'Hist. prices'!K352*K$244</f>
        <v>0</v>
      </c>
      <c r="L352" s="198">
        <f>IF(Qty!$J195=0,Qty!P195,Qty!P195*Qty!$J195)*'Hist. prices'!L352*L$244</f>
        <v>0</v>
      </c>
      <c r="M352" s="198">
        <f>IF(Qty!$J195=0,Qty!Q195,Qty!Q195*Qty!$J195)*'Hist. prices'!M352*M$244</f>
        <v>0</v>
      </c>
      <c r="N352" s="198">
        <f>IF(Qty!$J195=0,Qty!R195,Qty!R195*Qty!$J195)*'Hist. prices'!N352*N$244</f>
        <v>0</v>
      </c>
      <c r="O352" s="198">
        <f>IF(Qty!$J195=0,Qty!S195,Qty!S195*Qty!$J195)*'Hist. prices'!O352*O$244</f>
        <v>0</v>
      </c>
      <c r="P352" s="198">
        <f>IF(Qty!$J195=0,Qty!T195,Qty!T195*Qty!$J195)*'Hist. prices'!P352*P$244</f>
        <v>0</v>
      </c>
      <c r="Q352" s="198">
        <f>IF(Qty!$J195=0,Qty!U195,Qty!U195*Qty!$J195)*'Hist. prices'!Q352*Q$244</f>
        <v>0</v>
      </c>
      <c r="R352" s="198">
        <f>IF(Qty!$J195=0,Qty!V195,Qty!V195*Qty!$J195)*'Hist. prices'!R352*R$244</f>
        <v>0</v>
      </c>
      <c r="S352" s="198">
        <f>IF(Qty!$J195=0,Qty!W195,Qty!W195*Qty!$J195)*'Hist. prices'!S352*S$244</f>
        <v>0</v>
      </c>
      <c r="T352" s="198">
        <f>IF(Qty!$J195=0,Qty!X195,Qty!X195*Qty!$J195)*'Hist. prices'!T352*T$244</f>
        <v>0</v>
      </c>
      <c r="U352" s="198">
        <f>IF(Qty!$J195=0,Qty!Y195,Qty!Y195*Qty!$J195)*'Hist. prices'!U352*U$244</f>
        <v>0</v>
      </c>
      <c r="V352" s="198">
        <f>IF(Qty!$J195=0,Qty!Z195,Qty!Z195*Qty!$J195)*'Hist. prices'!V352*V$244</f>
        <v>0</v>
      </c>
      <c r="W352" s="198">
        <f>IF(Qty!$J195=0,Qty!AA195,Qty!AA195*Qty!$J195)*'Hist. prices'!W352*W$244</f>
        <v>0</v>
      </c>
      <c r="X352" s="198">
        <f>IF(Qty!$J195=0,Qty!AB195,Qty!AB195*Qty!$J195)*'Hist. prices'!X352*X$244</f>
        <v>0</v>
      </c>
      <c r="Y352" s="198">
        <f>IF(Qty!$J195=0,Qty!AC195,Qty!AC195*Qty!$J195)*'Hist. prices'!Y352*Y$244</f>
        <v>0</v>
      </c>
      <c r="Z352" s="198">
        <f>IF(Qty!$J195=0,Qty!AD195,Qty!AD195*Qty!$J195)*'Hist. prices'!Z352*Z$244</f>
        <v>0</v>
      </c>
      <c r="AA352" s="198">
        <f>IF(Qty!$J195=0,Qty!AE195,Qty!AE195*Qty!$J195)*'Hist. prices'!AA352*AA$244</f>
        <v>0</v>
      </c>
      <c r="AB352" s="198">
        <f>IF(Qty!$J195=0,Qty!AF195,Qty!AF195*Qty!$J195)*'Hist. prices'!AB352*AB$244</f>
        <v>0</v>
      </c>
      <c r="AC352" s="206">
        <f t="shared" si="35"/>
        <v>0</v>
      </c>
      <c r="AD352" s="68"/>
      <c r="AE352" s="19"/>
      <c r="AF352" s="19"/>
      <c r="AG352" s="19"/>
      <c r="AH352" s="19"/>
    </row>
    <row r="353" spans="1:34" hidden="1" outlineLevel="3" x14ac:dyDescent="0.2">
      <c r="A353" s="19"/>
      <c r="B353" s="19"/>
      <c r="C353" s="506">
        <f t="shared" ref="C353:G362" si="38">C275</f>
        <v>0</v>
      </c>
      <c r="D353" s="505">
        <f t="shared" si="38"/>
        <v>0</v>
      </c>
      <c r="E353" s="505">
        <f t="shared" si="38"/>
        <v>0</v>
      </c>
      <c r="F353" s="505">
        <f t="shared" si="38"/>
        <v>0</v>
      </c>
      <c r="G353" s="505">
        <f t="shared" si="38"/>
        <v>0</v>
      </c>
      <c r="H353" s="58"/>
      <c r="I353" s="198">
        <f>IF(Qty!$J196=0,Qty!M196,Qty!M196*Qty!$J196)*'Hist. prices'!I353*I$244</f>
        <v>0</v>
      </c>
      <c r="J353" s="198">
        <f>IF(Qty!$J196=0,Qty!N196,Qty!N196*Qty!$J196)*'Hist. prices'!J353*J$244</f>
        <v>0</v>
      </c>
      <c r="K353" s="198">
        <f>IF(Qty!$J196=0,Qty!O196,Qty!O196*Qty!$J196)*'Hist. prices'!K353*K$244</f>
        <v>0</v>
      </c>
      <c r="L353" s="198">
        <f>IF(Qty!$J196=0,Qty!P196,Qty!P196*Qty!$J196)*'Hist. prices'!L353*L$244</f>
        <v>0</v>
      </c>
      <c r="M353" s="198">
        <f>IF(Qty!$J196=0,Qty!Q196,Qty!Q196*Qty!$J196)*'Hist. prices'!M353*M$244</f>
        <v>0</v>
      </c>
      <c r="N353" s="198">
        <f>IF(Qty!$J196=0,Qty!R196,Qty!R196*Qty!$J196)*'Hist. prices'!N353*N$244</f>
        <v>0</v>
      </c>
      <c r="O353" s="198">
        <f>IF(Qty!$J196=0,Qty!S196,Qty!S196*Qty!$J196)*'Hist. prices'!O353*O$244</f>
        <v>0</v>
      </c>
      <c r="P353" s="198">
        <f>IF(Qty!$J196=0,Qty!T196,Qty!T196*Qty!$J196)*'Hist. prices'!P353*P$244</f>
        <v>0</v>
      </c>
      <c r="Q353" s="198">
        <f>IF(Qty!$J196=0,Qty!U196,Qty!U196*Qty!$J196)*'Hist. prices'!Q353*Q$244</f>
        <v>0</v>
      </c>
      <c r="R353" s="198">
        <f>IF(Qty!$J196=0,Qty!V196,Qty!V196*Qty!$J196)*'Hist. prices'!R353*R$244</f>
        <v>0</v>
      </c>
      <c r="S353" s="198">
        <f>IF(Qty!$J196=0,Qty!W196,Qty!W196*Qty!$J196)*'Hist. prices'!S353*S$244</f>
        <v>0</v>
      </c>
      <c r="T353" s="198">
        <f>IF(Qty!$J196=0,Qty!X196,Qty!X196*Qty!$J196)*'Hist. prices'!T353*T$244</f>
        <v>0</v>
      </c>
      <c r="U353" s="198">
        <f>IF(Qty!$J196=0,Qty!Y196,Qty!Y196*Qty!$J196)*'Hist. prices'!U353*U$244</f>
        <v>0</v>
      </c>
      <c r="V353" s="198">
        <f>IF(Qty!$J196=0,Qty!Z196,Qty!Z196*Qty!$J196)*'Hist. prices'!V353*V$244</f>
        <v>0</v>
      </c>
      <c r="W353" s="198">
        <f>IF(Qty!$J196=0,Qty!AA196,Qty!AA196*Qty!$J196)*'Hist. prices'!W353*W$244</f>
        <v>0</v>
      </c>
      <c r="X353" s="198">
        <f>IF(Qty!$J196=0,Qty!AB196,Qty!AB196*Qty!$J196)*'Hist. prices'!X353*X$244</f>
        <v>0</v>
      </c>
      <c r="Y353" s="198">
        <f>IF(Qty!$J196=0,Qty!AC196,Qty!AC196*Qty!$J196)*'Hist. prices'!Y353*Y$244</f>
        <v>0</v>
      </c>
      <c r="Z353" s="198">
        <f>IF(Qty!$J196=0,Qty!AD196,Qty!AD196*Qty!$J196)*'Hist. prices'!Z353*Z$244</f>
        <v>0</v>
      </c>
      <c r="AA353" s="198">
        <f>IF(Qty!$J196=0,Qty!AE196,Qty!AE196*Qty!$J196)*'Hist. prices'!AA353*AA$244</f>
        <v>0</v>
      </c>
      <c r="AB353" s="198">
        <f>IF(Qty!$J196=0,Qty!AF196,Qty!AF196*Qty!$J196)*'Hist. prices'!AB353*AB$244</f>
        <v>0</v>
      </c>
      <c r="AC353" s="206">
        <f t="shared" si="35"/>
        <v>0</v>
      </c>
      <c r="AD353" s="68"/>
      <c r="AE353" s="19"/>
      <c r="AF353" s="19"/>
      <c r="AG353" s="19"/>
      <c r="AH353" s="19"/>
    </row>
    <row r="354" spans="1:34" hidden="1" outlineLevel="3" x14ac:dyDescent="0.2">
      <c r="A354" s="19"/>
      <c r="B354" s="19"/>
      <c r="C354" s="506">
        <f t="shared" si="38"/>
        <v>0</v>
      </c>
      <c r="D354" s="505">
        <f t="shared" si="38"/>
        <v>0</v>
      </c>
      <c r="E354" s="505">
        <f t="shared" si="38"/>
        <v>0</v>
      </c>
      <c r="F354" s="505">
        <f t="shared" si="38"/>
        <v>0</v>
      </c>
      <c r="G354" s="505">
        <f t="shared" si="38"/>
        <v>0</v>
      </c>
      <c r="H354" s="58"/>
      <c r="I354" s="198">
        <f>IF(Qty!$J197=0,Qty!M197,Qty!M197*Qty!$J197)*'Hist. prices'!I354*I$244</f>
        <v>0</v>
      </c>
      <c r="J354" s="198">
        <f>IF(Qty!$J197=0,Qty!N197,Qty!N197*Qty!$J197)*'Hist. prices'!J354*J$244</f>
        <v>0</v>
      </c>
      <c r="K354" s="198">
        <f>IF(Qty!$J197=0,Qty!O197,Qty!O197*Qty!$J197)*'Hist. prices'!K354*K$244</f>
        <v>0</v>
      </c>
      <c r="L354" s="198">
        <f>IF(Qty!$J197=0,Qty!P197,Qty!P197*Qty!$J197)*'Hist. prices'!L354*L$244</f>
        <v>0</v>
      </c>
      <c r="M354" s="198">
        <f>IF(Qty!$J197=0,Qty!Q197,Qty!Q197*Qty!$J197)*'Hist. prices'!M354*M$244</f>
        <v>0</v>
      </c>
      <c r="N354" s="198">
        <f>IF(Qty!$J197=0,Qty!R197,Qty!R197*Qty!$J197)*'Hist. prices'!N354*N$244</f>
        <v>0</v>
      </c>
      <c r="O354" s="198">
        <f>IF(Qty!$J197=0,Qty!S197,Qty!S197*Qty!$J197)*'Hist. prices'!O354*O$244</f>
        <v>0</v>
      </c>
      <c r="P354" s="198">
        <f>IF(Qty!$J197=0,Qty!T197,Qty!T197*Qty!$J197)*'Hist. prices'!P354*P$244</f>
        <v>0</v>
      </c>
      <c r="Q354" s="198">
        <f>IF(Qty!$J197=0,Qty!U197,Qty!U197*Qty!$J197)*'Hist. prices'!Q354*Q$244</f>
        <v>0</v>
      </c>
      <c r="R354" s="198">
        <f>IF(Qty!$J197=0,Qty!V197,Qty!V197*Qty!$J197)*'Hist. prices'!R354*R$244</f>
        <v>0</v>
      </c>
      <c r="S354" s="198">
        <f>IF(Qty!$J197=0,Qty!W197,Qty!W197*Qty!$J197)*'Hist. prices'!S354*S$244</f>
        <v>0</v>
      </c>
      <c r="T354" s="198">
        <f>IF(Qty!$J197=0,Qty!X197,Qty!X197*Qty!$J197)*'Hist. prices'!T354*T$244</f>
        <v>0</v>
      </c>
      <c r="U354" s="198">
        <f>IF(Qty!$J197=0,Qty!Y197,Qty!Y197*Qty!$J197)*'Hist. prices'!U354*U$244</f>
        <v>0</v>
      </c>
      <c r="V354" s="198">
        <f>IF(Qty!$J197=0,Qty!Z197,Qty!Z197*Qty!$J197)*'Hist. prices'!V354*V$244</f>
        <v>0</v>
      </c>
      <c r="W354" s="198">
        <f>IF(Qty!$J197=0,Qty!AA197,Qty!AA197*Qty!$J197)*'Hist. prices'!W354*W$244</f>
        <v>0</v>
      </c>
      <c r="X354" s="198">
        <f>IF(Qty!$J197=0,Qty!AB197,Qty!AB197*Qty!$J197)*'Hist. prices'!X354*X$244</f>
        <v>0</v>
      </c>
      <c r="Y354" s="198">
        <f>IF(Qty!$J197=0,Qty!AC197,Qty!AC197*Qty!$J197)*'Hist. prices'!Y354*Y$244</f>
        <v>0</v>
      </c>
      <c r="Z354" s="198">
        <f>IF(Qty!$J197=0,Qty!AD197,Qty!AD197*Qty!$J197)*'Hist. prices'!Z354*Z$244</f>
        <v>0</v>
      </c>
      <c r="AA354" s="198">
        <f>IF(Qty!$J197=0,Qty!AE197,Qty!AE197*Qty!$J197)*'Hist. prices'!AA354*AA$244</f>
        <v>0</v>
      </c>
      <c r="AB354" s="198">
        <f>IF(Qty!$J197=0,Qty!AF197,Qty!AF197*Qty!$J197)*'Hist. prices'!AB354*AB$244</f>
        <v>0</v>
      </c>
      <c r="AC354" s="206">
        <f t="shared" si="35"/>
        <v>0</v>
      </c>
      <c r="AD354" s="68"/>
      <c r="AE354" s="19"/>
      <c r="AF354" s="19"/>
      <c r="AG354" s="19"/>
      <c r="AH354" s="19"/>
    </row>
    <row r="355" spans="1:34" hidden="1" outlineLevel="3" x14ac:dyDescent="0.2">
      <c r="A355" s="19"/>
      <c r="B355" s="19"/>
      <c r="C355" s="506">
        <f t="shared" si="38"/>
        <v>0</v>
      </c>
      <c r="D355" s="505">
        <f t="shared" si="38"/>
        <v>0</v>
      </c>
      <c r="E355" s="505">
        <f t="shared" si="38"/>
        <v>0</v>
      </c>
      <c r="F355" s="505">
        <f t="shared" si="38"/>
        <v>0</v>
      </c>
      <c r="G355" s="505">
        <f t="shared" si="38"/>
        <v>0</v>
      </c>
      <c r="H355" s="58"/>
      <c r="I355" s="198">
        <f>IF(Qty!$J198=0,Qty!M198,Qty!M198*Qty!$J198)*'Hist. prices'!I355*I$244</f>
        <v>0</v>
      </c>
      <c r="J355" s="198">
        <f>IF(Qty!$J198=0,Qty!N198,Qty!N198*Qty!$J198)*'Hist. prices'!J355*J$244</f>
        <v>0</v>
      </c>
      <c r="K355" s="198">
        <f>IF(Qty!$J198=0,Qty!O198,Qty!O198*Qty!$J198)*'Hist. prices'!K355*K$244</f>
        <v>0</v>
      </c>
      <c r="L355" s="198">
        <f>IF(Qty!$J198=0,Qty!P198,Qty!P198*Qty!$J198)*'Hist. prices'!L355*L$244</f>
        <v>0</v>
      </c>
      <c r="M355" s="198">
        <f>IF(Qty!$J198=0,Qty!Q198,Qty!Q198*Qty!$J198)*'Hist. prices'!M355*M$244</f>
        <v>0</v>
      </c>
      <c r="N355" s="198">
        <f>IF(Qty!$J198=0,Qty!R198,Qty!R198*Qty!$J198)*'Hist. prices'!N355*N$244</f>
        <v>0</v>
      </c>
      <c r="O355" s="198">
        <f>IF(Qty!$J198=0,Qty!S198,Qty!S198*Qty!$J198)*'Hist. prices'!O355*O$244</f>
        <v>0</v>
      </c>
      <c r="P355" s="198">
        <f>IF(Qty!$J198=0,Qty!T198,Qty!T198*Qty!$J198)*'Hist. prices'!P355*P$244</f>
        <v>0</v>
      </c>
      <c r="Q355" s="198">
        <f>IF(Qty!$J198=0,Qty!U198,Qty!U198*Qty!$J198)*'Hist. prices'!Q355*Q$244</f>
        <v>0</v>
      </c>
      <c r="R355" s="198">
        <f>IF(Qty!$J198=0,Qty!V198,Qty!V198*Qty!$J198)*'Hist. prices'!R355*R$244</f>
        <v>0</v>
      </c>
      <c r="S355" s="198">
        <f>IF(Qty!$J198=0,Qty!W198,Qty!W198*Qty!$J198)*'Hist. prices'!S355*S$244</f>
        <v>0</v>
      </c>
      <c r="T355" s="198">
        <f>IF(Qty!$J198=0,Qty!X198,Qty!X198*Qty!$J198)*'Hist. prices'!T355*T$244</f>
        <v>0</v>
      </c>
      <c r="U355" s="198">
        <f>IF(Qty!$J198=0,Qty!Y198,Qty!Y198*Qty!$J198)*'Hist. prices'!U355*U$244</f>
        <v>0</v>
      </c>
      <c r="V355" s="198">
        <f>IF(Qty!$J198=0,Qty!Z198,Qty!Z198*Qty!$J198)*'Hist. prices'!V355*V$244</f>
        <v>0</v>
      </c>
      <c r="W355" s="198">
        <f>IF(Qty!$J198=0,Qty!AA198,Qty!AA198*Qty!$J198)*'Hist. prices'!W355*W$244</f>
        <v>0</v>
      </c>
      <c r="X355" s="198">
        <f>IF(Qty!$J198=0,Qty!AB198,Qty!AB198*Qty!$J198)*'Hist. prices'!X355*X$244</f>
        <v>0</v>
      </c>
      <c r="Y355" s="198">
        <f>IF(Qty!$J198=0,Qty!AC198,Qty!AC198*Qty!$J198)*'Hist. prices'!Y355*Y$244</f>
        <v>0</v>
      </c>
      <c r="Z355" s="198">
        <f>IF(Qty!$J198=0,Qty!AD198,Qty!AD198*Qty!$J198)*'Hist. prices'!Z355*Z$244</f>
        <v>0</v>
      </c>
      <c r="AA355" s="198">
        <f>IF(Qty!$J198=0,Qty!AE198,Qty!AE198*Qty!$J198)*'Hist. prices'!AA355*AA$244</f>
        <v>0</v>
      </c>
      <c r="AB355" s="198">
        <f>IF(Qty!$J198=0,Qty!AF198,Qty!AF198*Qty!$J198)*'Hist. prices'!AB355*AB$244</f>
        <v>0</v>
      </c>
      <c r="AC355" s="206">
        <f t="shared" ref="AC355:AC386" si="39">SUM(I355:AB355)</f>
        <v>0</v>
      </c>
      <c r="AD355" s="68"/>
      <c r="AE355" s="19"/>
      <c r="AF355" s="19"/>
      <c r="AG355" s="19"/>
      <c r="AH355" s="19"/>
    </row>
    <row r="356" spans="1:34" hidden="1" outlineLevel="3" x14ac:dyDescent="0.2">
      <c r="A356" s="19"/>
      <c r="B356" s="19"/>
      <c r="C356" s="506">
        <f t="shared" si="38"/>
        <v>0</v>
      </c>
      <c r="D356" s="505">
        <f t="shared" si="38"/>
        <v>0</v>
      </c>
      <c r="E356" s="505">
        <f t="shared" si="38"/>
        <v>0</v>
      </c>
      <c r="F356" s="505">
        <f t="shared" si="38"/>
        <v>0</v>
      </c>
      <c r="G356" s="505">
        <f t="shared" si="38"/>
        <v>0</v>
      </c>
      <c r="H356" s="58"/>
      <c r="I356" s="198">
        <f>IF(Qty!$J199=0,Qty!M199,Qty!M199*Qty!$J199)*'Hist. prices'!I356*I$244</f>
        <v>0</v>
      </c>
      <c r="J356" s="198">
        <f>IF(Qty!$J199=0,Qty!N199,Qty!N199*Qty!$J199)*'Hist. prices'!J356*J$244</f>
        <v>0</v>
      </c>
      <c r="K356" s="198">
        <f>IF(Qty!$J199=0,Qty!O199,Qty!O199*Qty!$J199)*'Hist. prices'!K356*K$244</f>
        <v>0</v>
      </c>
      <c r="L356" s="198">
        <f>IF(Qty!$J199=0,Qty!P199,Qty!P199*Qty!$J199)*'Hist. prices'!L356*L$244</f>
        <v>0</v>
      </c>
      <c r="M356" s="198">
        <f>IF(Qty!$J199=0,Qty!Q199,Qty!Q199*Qty!$J199)*'Hist. prices'!M356*M$244</f>
        <v>0</v>
      </c>
      <c r="N356" s="198">
        <f>IF(Qty!$J199=0,Qty!R199,Qty!R199*Qty!$J199)*'Hist. prices'!N356*N$244</f>
        <v>0</v>
      </c>
      <c r="O356" s="198">
        <f>IF(Qty!$J199=0,Qty!S199,Qty!S199*Qty!$J199)*'Hist. prices'!O356*O$244</f>
        <v>0</v>
      </c>
      <c r="P356" s="198">
        <f>IF(Qty!$J199=0,Qty!T199,Qty!T199*Qty!$J199)*'Hist. prices'!P356*P$244</f>
        <v>0</v>
      </c>
      <c r="Q356" s="198">
        <f>IF(Qty!$J199=0,Qty!U199,Qty!U199*Qty!$J199)*'Hist. prices'!Q356*Q$244</f>
        <v>0</v>
      </c>
      <c r="R356" s="198">
        <f>IF(Qty!$J199=0,Qty!V199,Qty!V199*Qty!$J199)*'Hist. prices'!R356*R$244</f>
        <v>0</v>
      </c>
      <c r="S356" s="198">
        <f>IF(Qty!$J199=0,Qty!W199,Qty!W199*Qty!$J199)*'Hist. prices'!S356*S$244</f>
        <v>0</v>
      </c>
      <c r="T356" s="198">
        <f>IF(Qty!$J199=0,Qty!X199,Qty!X199*Qty!$J199)*'Hist. prices'!T356*T$244</f>
        <v>0</v>
      </c>
      <c r="U356" s="198">
        <f>IF(Qty!$J199=0,Qty!Y199,Qty!Y199*Qty!$J199)*'Hist. prices'!U356*U$244</f>
        <v>0</v>
      </c>
      <c r="V356" s="198">
        <f>IF(Qty!$J199=0,Qty!Z199,Qty!Z199*Qty!$J199)*'Hist. prices'!V356*V$244</f>
        <v>0</v>
      </c>
      <c r="W356" s="198">
        <f>IF(Qty!$J199=0,Qty!AA199,Qty!AA199*Qty!$J199)*'Hist. prices'!W356*W$244</f>
        <v>0</v>
      </c>
      <c r="X356" s="198">
        <f>IF(Qty!$J199=0,Qty!AB199,Qty!AB199*Qty!$J199)*'Hist. prices'!X356*X$244</f>
        <v>0</v>
      </c>
      <c r="Y356" s="198">
        <f>IF(Qty!$J199=0,Qty!AC199,Qty!AC199*Qty!$J199)*'Hist. prices'!Y356*Y$244</f>
        <v>0</v>
      </c>
      <c r="Z356" s="198">
        <f>IF(Qty!$J199=0,Qty!AD199,Qty!AD199*Qty!$J199)*'Hist. prices'!Z356*Z$244</f>
        <v>0</v>
      </c>
      <c r="AA356" s="198">
        <f>IF(Qty!$J199=0,Qty!AE199,Qty!AE199*Qty!$J199)*'Hist. prices'!AA356*AA$244</f>
        <v>0</v>
      </c>
      <c r="AB356" s="198">
        <f>IF(Qty!$J199=0,Qty!AF199,Qty!AF199*Qty!$J199)*'Hist. prices'!AB356*AB$244</f>
        <v>0</v>
      </c>
      <c r="AC356" s="206">
        <f t="shared" si="39"/>
        <v>0</v>
      </c>
      <c r="AD356" s="68"/>
      <c r="AE356" s="19"/>
      <c r="AF356" s="19"/>
      <c r="AG356" s="19"/>
      <c r="AH356" s="19"/>
    </row>
    <row r="357" spans="1:34" hidden="1" outlineLevel="3" x14ac:dyDescent="0.2">
      <c r="A357" s="19"/>
      <c r="B357" s="19"/>
      <c r="C357" s="506">
        <f t="shared" si="38"/>
        <v>0</v>
      </c>
      <c r="D357" s="505">
        <f t="shared" si="38"/>
        <v>0</v>
      </c>
      <c r="E357" s="505">
        <f t="shared" si="38"/>
        <v>0</v>
      </c>
      <c r="F357" s="505">
        <f t="shared" si="38"/>
        <v>0</v>
      </c>
      <c r="G357" s="505">
        <f t="shared" si="38"/>
        <v>0</v>
      </c>
      <c r="H357" s="58"/>
      <c r="I357" s="198">
        <f>IF(Qty!$J200=0,Qty!M200,Qty!M200*Qty!$J200)*'Hist. prices'!I357*I$244</f>
        <v>0</v>
      </c>
      <c r="J357" s="198">
        <f>IF(Qty!$J200=0,Qty!N200,Qty!N200*Qty!$J200)*'Hist. prices'!J357*J$244</f>
        <v>0</v>
      </c>
      <c r="K357" s="198">
        <f>IF(Qty!$J200=0,Qty!O200,Qty!O200*Qty!$J200)*'Hist. prices'!K357*K$244</f>
        <v>0</v>
      </c>
      <c r="L357" s="198">
        <f>IF(Qty!$J200=0,Qty!P200,Qty!P200*Qty!$J200)*'Hist. prices'!L357*L$244</f>
        <v>0</v>
      </c>
      <c r="M357" s="198">
        <f>IF(Qty!$J200=0,Qty!Q200,Qty!Q200*Qty!$J200)*'Hist. prices'!M357*M$244</f>
        <v>0</v>
      </c>
      <c r="N357" s="198">
        <f>IF(Qty!$J200=0,Qty!R200,Qty!R200*Qty!$J200)*'Hist. prices'!N357*N$244</f>
        <v>0</v>
      </c>
      <c r="O357" s="198">
        <f>IF(Qty!$J200=0,Qty!S200,Qty!S200*Qty!$J200)*'Hist. prices'!O357*O$244</f>
        <v>0</v>
      </c>
      <c r="P357" s="198">
        <f>IF(Qty!$J200=0,Qty!T200,Qty!T200*Qty!$J200)*'Hist. prices'!P357*P$244</f>
        <v>0</v>
      </c>
      <c r="Q357" s="198">
        <f>IF(Qty!$J200=0,Qty!U200,Qty!U200*Qty!$J200)*'Hist. prices'!Q357*Q$244</f>
        <v>0</v>
      </c>
      <c r="R357" s="198">
        <f>IF(Qty!$J200=0,Qty!V200,Qty!V200*Qty!$J200)*'Hist. prices'!R357*R$244</f>
        <v>0</v>
      </c>
      <c r="S357" s="198">
        <f>IF(Qty!$J200=0,Qty!W200,Qty!W200*Qty!$J200)*'Hist. prices'!S357*S$244</f>
        <v>0</v>
      </c>
      <c r="T357" s="198">
        <f>IF(Qty!$J200=0,Qty!X200,Qty!X200*Qty!$J200)*'Hist. prices'!T357*T$244</f>
        <v>0</v>
      </c>
      <c r="U357" s="198">
        <f>IF(Qty!$J200=0,Qty!Y200,Qty!Y200*Qty!$J200)*'Hist. prices'!U357*U$244</f>
        <v>0</v>
      </c>
      <c r="V357" s="198">
        <f>IF(Qty!$J200=0,Qty!Z200,Qty!Z200*Qty!$J200)*'Hist. prices'!V357*V$244</f>
        <v>0</v>
      </c>
      <c r="W357" s="198">
        <f>IF(Qty!$J200=0,Qty!AA200,Qty!AA200*Qty!$J200)*'Hist. prices'!W357*W$244</f>
        <v>0</v>
      </c>
      <c r="X357" s="198">
        <f>IF(Qty!$J200=0,Qty!AB200,Qty!AB200*Qty!$J200)*'Hist. prices'!X357*X$244</f>
        <v>0</v>
      </c>
      <c r="Y357" s="198">
        <f>IF(Qty!$J200=0,Qty!AC200,Qty!AC200*Qty!$J200)*'Hist. prices'!Y357*Y$244</f>
        <v>0</v>
      </c>
      <c r="Z357" s="198">
        <f>IF(Qty!$J200=0,Qty!AD200,Qty!AD200*Qty!$J200)*'Hist. prices'!Z357*Z$244</f>
        <v>0</v>
      </c>
      <c r="AA357" s="198">
        <f>IF(Qty!$J200=0,Qty!AE200,Qty!AE200*Qty!$J200)*'Hist. prices'!AA357*AA$244</f>
        <v>0</v>
      </c>
      <c r="AB357" s="198">
        <f>IF(Qty!$J200=0,Qty!AF200,Qty!AF200*Qty!$J200)*'Hist. prices'!AB357*AB$244</f>
        <v>0</v>
      </c>
      <c r="AC357" s="206">
        <f t="shared" si="39"/>
        <v>0</v>
      </c>
      <c r="AD357" s="68"/>
      <c r="AE357" s="19"/>
      <c r="AF357" s="19"/>
      <c r="AG357" s="19"/>
      <c r="AH357" s="19"/>
    </row>
    <row r="358" spans="1:34" hidden="1" outlineLevel="3" x14ac:dyDescent="0.2">
      <c r="A358" s="19"/>
      <c r="B358" s="19"/>
      <c r="C358" s="506">
        <f t="shared" si="38"/>
        <v>0</v>
      </c>
      <c r="D358" s="505">
        <f t="shared" si="38"/>
        <v>0</v>
      </c>
      <c r="E358" s="505">
        <f t="shared" si="38"/>
        <v>0</v>
      </c>
      <c r="F358" s="505">
        <f t="shared" si="38"/>
        <v>0</v>
      </c>
      <c r="G358" s="505">
        <f t="shared" si="38"/>
        <v>0</v>
      </c>
      <c r="H358" s="58"/>
      <c r="I358" s="198">
        <f>IF(Qty!$J201=0,Qty!M201,Qty!M201*Qty!$J201)*'Hist. prices'!I358*I$244</f>
        <v>0</v>
      </c>
      <c r="J358" s="198">
        <f>IF(Qty!$J201=0,Qty!N201,Qty!N201*Qty!$J201)*'Hist. prices'!J358*J$244</f>
        <v>0</v>
      </c>
      <c r="K358" s="198">
        <f>IF(Qty!$J201=0,Qty!O201,Qty!O201*Qty!$J201)*'Hist. prices'!K358*K$244</f>
        <v>0</v>
      </c>
      <c r="L358" s="198">
        <f>IF(Qty!$J201=0,Qty!P201,Qty!P201*Qty!$J201)*'Hist. prices'!L358*L$244</f>
        <v>0</v>
      </c>
      <c r="M358" s="198">
        <f>IF(Qty!$J201=0,Qty!Q201,Qty!Q201*Qty!$J201)*'Hist. prices'!M358*M$244</f>
        <v>0</v>
      </c>
      <c r="N358" s="198">
        <f>IF(Qty!$J201=0,Qty!R201,Qty!R201*Qty!$J201)*'Hist. prices'!N358*N$244</f>
        <v>0</v>
      </c>
      <c r="O358" s="198">
        <f>IF(Qty!$J201=0,Qty!S201,Qty!S201*Qty!$J201)*'Hist. prices'!O358*O$244</f>
        <v>0</v>
      </c>
      <c r="P358" s="198">
        <f>IF(Qty!$J201=0,Qty!T201,Qty!T201*Qty!$J201)*'Hist. prices'!P358*P$244</f>
        <v>0</v>
      </c>
      <c r="Q358" s="198">
        <f>IF(Qty!$J201=0,Qty!U201,Qty!U201*Qty!$J201)*'Hist. prices'!Q358*Q$244</f>
        <v>0</v>
      </c>
      <c r="R358" s="198">
        <f>IF(Qty!$J201=0,Qty!V201,Qty!V201*Qty!$J201)*'Hist. prices'!R358*R$244</f>
        <v>0</v>
      </c>
      <c r="S358" s="198">
        <f>IF(Qty!$J201=0,Qty!W201,Qty!W201*Qty!$J201)*'Hist. prices'!S358*S$244</f>
        <v>0</v>
      </c>
      <c r="T358" s="198">
        <f>IF(Qty!$J201=0,Qty!X201,Qty!X201*Qty!$J201)*'Hist. prices'!T358*T$244</f>
        <v>0</v>
      </c>
      <c r="U358" s="198">
        <f>IF(Qty!$J201=0,Qty!Y201,Qty!Y201*Qty!$J201)*'Hist. prices'!U358*U$244</f>
        <v>0</v>
      </c>
      <c r="V358" s="198">
        <f>IF(Qty!$J201=0,Qty!Z201,Qty!Z201*Qty!$J201)*'Hist. prices'!V358*V$244</f>
        <v>0</v>
      </c>
      <c r="W358" s="198">
        <f>IF(Qty!$J201=0,Qty!AA201,Qty!AA201*Qty!$J201)*'Hist. prices'!W358*W$244</f>
        <v>0</v>
      </c>
      <c r="X358" s="198">
        <f>IF(Qty!$J201=0,Qty!AB201,Qty!AB201*Qty!$J201)*'Hist. prices'!X358*X$244</f>
        <v>0</v>
      </c>
      <c r="Y358" s="198">
        <f>IF(Qty!$J201=0,Qty!AC201,Qty!AC201*Qty!$J201)*'Hist. prices'!Y358*Y$244</f>
        <v>0</v>
      </c>
      <c r="Z358" s="198">
        <f>IF(Qty!$J201=0,Qty!AD201,Qty!AD201*Qty!$J201)*'Hist. prices'!Z358*Z$244</f>
        <v>0</v>
      </c>
      <c r="AA358" s="198">
        <f>IF(Qty!$J201=0,Qty!AE201,Qty!AE201*Qty!$J201)*'Hist. prices'!AA358*AA$244</f>
        <v>0</v>
      </c>
      <c r="AB358" s="198">
        <f>IF(Qty!$J201=0,Qty!AF201,Qty!AF201*Qty!$J201)*'Hist. prices'!AB358*AB$244</f>
        <v>0</v>
      </c>
      <c r="AC358" s="206">
        <f t="shared" si="39"/>
        <v>0</v>
      </c>
      <c r="AD358" s="68"/>
      <c r="AE358" s="19"/>
      <c r="AF358" s="19"/>
      <c r="AG358" s="19"/>
      <c r="AH358" s="19"/>
    </row>
    <row r="359" spans="1:34" hidden="1" outlineLevel="3" x14ac:dyDescent="0.2">
      <c r="A359" s="19"/>
      <c r="B359" s="19"/>
      <c r="C359" s="506">
        <f t="shared" si="38"/>
        <v>0</v>
      </c>
      <c r="D359" s="505">
        <f t="shared" si="38"/>
        <v>0</v>
      </c>
      <c r="E359" s="505">
        <f t="shared" si="38"/>
        <v>0</v>
      </c>
      <c r="F359" s="505">
        <f t="shared" si="38"/>
        <v>0</v>
      </c>
      <c r="G359" s="505">
        <f t="shared" si="38"/>
        <v>0</v>
      </c>
      <c r="H359" s="58"/>
      <c r="I359" s="198">
        <f>IF(Qty!$J202=0,Qty!M202,Qty!M202*Qty!$J202)*'Hist. prices'!I359*I$244</f>
        <v>0</v>
      </c>
      <c r="J359" s="198">
        <f>IF(Qty!$J202=0,Qty!N202,Qty!N202*Qty!$J202)*'Hist. prices'!J359*J$244</f>
        <v>0</v>
      </c>
      <c r="K359" s="198">
        <f>IF(Qty!$J202=0,Qty!O202,Qty!O202*Qty!$J202)*'Hist. prices'!K359*K$244</f>
        <v>0</v>
      </c>
      <c r="L359" s="198">
        <f>IF(Qty!$J202=0,Qty!P202,Qty!P202*Qty!$J202)*'Hist. prices'!L359*L$244</f>
        <v>0</v>
      </c>
      <c r="M359" s="198">
        <f>IF(Qty!$J202=0,Qty!Q202,Qty!Q202*Qty!$J202)*'Hist. prices'!M359*M$244</f>
        <v>0</v>
      </c>
      <c r="N359" s="198">
        <f>IF(Qty!$J202=0,Qty!R202,Qty!R202*Qty!$J202)*'Hist. prices'!N359*N$244</f>
        <v>0</v>
      </c>
      <c r="O359" s="198">
        <f>IF(Qty!$J202=0,Qty!S202,Qty!S202*Qty!$J202)*'Hist. prices'!O359*O$244</f>
        <v>0</v>
      </c>
      <c r="P359" s="198">
        <f>IF(Qty!$J202=0,Qty!T202,Qty!T202*Qty!$J202)*'Hist. prices'!P359*P$244</f>
        <v>0</v>
      </c>
      <c r="Q359" s="198">
        <f>IF(Qty!$J202=0,Qty!U202,Qty!U202*Qty!$J202)*'Hist. prices'!Q359*Q$244</f>
        <v>0</v>
      </c>
      <c r="R359" s="198">
        <f>IF(Qty!$J202=0,Qty!V202,Qty!V202*Qty!$J202)*'Hist. prices'!R359*R$244</f>
        <v>0</v>
      </c>
      <c r="S359" s="198">
        <f>IF(Qty!$J202=0,Qty!W202,Qty!W202*Qty!$J202)*'Hist. prices'!S359*S$244</f>
        <v>0</v>
      </c>
      <c r="T359" s="198">
        <f>IF(Qty!$J202=0,Qty!X202,Qty!X202*Qty!$J202)*'Hist. prices'!T359*T$244</f>
        <v>0</v>
      </c>
      <c r="U359" s="198">
        <f>IF(Qty!$J202=0,Qty!Y202,Qty!Y202*Qty!$J202)*'Hist. prices'!U359*U$244</f>
        <v>0</v>
      </c>
      <c r="V359" s="198">
        <f>IF(Qty!$J202=0,Qty!Z202,Qty!Z202*Qty!$J202)*'Hist. prices'!V359*V$244</f>
        <v>0</v>
      </c>
      <c r="W359" s="198">
        <f>IF(Qty!$J202=0,Qty!AA202,Qty!AA202*Qty!$J202)*'Hist. prices'!W359*W$244</f>
        <v>0</v>
      </c>
      <c r="X359" s="198">
        <f>IF(Qty!$J202=0,Qty!AB202,Qty!AB202*Qty!$J202)*'Hist. prices'!X359*X$244</f>
        <v>0</v>
      </c>
      <c r="Y359" s="198">
        <f>IF(Qty!$J202=0,Qty!AC202,Qty!AC202*Qty!$J202)*'Hist. prices'!Y359*Y$244</f>
        <v>0</v>
      </c>
      <c r="Z359" s="198">
        <f>IF(Qty!$J202=0,Qty!AD202,Qty!AD202*Qty!$J202)*'Hist. prices'!Z359*Z$244</f>
        <v>0</v>
      </c>
      <c r="AA359" s="198">
        <f>IF(Qty!$J202=0,Qty!AE202,Qty!AE202*Qty!$J202)*'Hist. prices'!AA359*AA$244</f>
        <v>0</v>
      </c>
      <c r="AB359" s="198">
        <f>IF(Qty!$J202=0,Qty!AF202,Qty!AF202*Qty!$J202)*'Hist. prices'!AB359*AB$244</f>
        <v>0</v>
      </c>
      <c r="AC359" s="206">
        <f t="shared" si="39"/>
        <v>0</v>
      </c>
      <c r="AD359" s="68"/>
      <c r="AE359" s="19"/>
      <c r="AF359" s="19"/>
      <c r="AG359" s="19"/>
      <c r="AH359" s="19"/>
    </row>
    <row r="360" spans="1:34" hidden="1" outlineLevel="3" x14ac:dyDescent="0.2">
      <c r="A360" s="19"/>
      <c r="B360" s="19"/>
      <c r="C360" s="506">
        <f t="shared" si="38"/>
        <v>0</v>
      </c>
      <c r="D360" s="505">
        <f t="shared" si="38"/>
        <v>0</v>
      </c>
      <c r="E360" s="505">
        <f t="shared" si="38"/>
        <v>0</v>
      </c>
      <c r="F360" s="505">
        <f t="shared" si="38"/>
        <v>0</v>
      </c>
      <c r="G360" s="505">
        <f t="shared" si="38"/>
        <v>0</v>
      </c>
      <c r="H360" s="58"/>
      <c r="I360" s="198">
        <f>IF(Qty!$J203=0,Qty!M203,Qty!M203*Qty!$J203)*'Hist. prices'!I360*I$244</f>
        <v>0</v>
      </c>
      <c r="J360" s="198">
        <f>IF(Qty!$J203=0,Qty!N203,Qty!N203*Qty!$J203)*'Hist. prices'!J360*J$244</f>
        <v>0</v>
      </c>
      <c r="K360" s="198">
        <f>IF(Qty!$J203=0,Qty!O203,Qty!O203*Qty!$J203)*'Hist. prices'!K360*K$244</f>
        <v>0</v>
      </c>
      <c r="L360" s="198">
        <f>IF(Qty!$J203=0,Qty!P203,Qty!P203*Qty!$J203)*'Hist. prices'!L360*L$244</f>
        <v>0</v>
      </c>
      <c r="M360" s="198">
        <f>IF(Qty!$J203=0,Qty!Q203,Qty!Q203*Qty!$J203)*'Hist. prices'!M360*M$244</f>
        <v>0</v>
      </c>
      <c r="N360" s="198">
        <f>IF(Qty!$J203=0,Qty!R203,Qty!R203*Qty!$J203)*'Hist. prices'!N360*N$244</f>
        <v>0</v>
      </c>
      <c r="O360" s="198">
        <f>IF(Qty!$J203=0,Qty!S203,Qty!S203*Qty!$J203)*'Hist. prices'!O360*O$244</f>
        <v>0</v>
      </c>
      <c r="P360" s="198">
        <f>IF(Qty!$J203=0,Qty!T203,Qty!T203*Qty!$J203)*'Hist. prices'!P360*P$244</f>
        <v>0</v>
      </c>
      <c r="Q360" s="198">
        <f>IF(Qty!$J203=0,Qty!U203,Qty!U203*Qty!$J203)*'Hist. prices'!Q360*Q$244</f>
        <v>0</v>
      </c>
      <c r="R360" s="198">
        <f>IF(Qty!$J203=0,Qty!V203,Qty!V203*Qty!$J203)*'Hist. prices'!R360*R$244</f>
        <v>0</v>
      </c>
      <c r="S360" s="198">
        <f>IF(Qty!$J203=0,Qty!W203,Qty!W203*Qty!$J203)*'Hist. prices'!S360*S$244</f>
        <v>0</v>
      </c>
      <c r="T360" s="198">
        <f>IF(Qty!$J203=0,Qty!X203,Qty!X203*Qty!$J203)*'Hist. prices'!T360*T$244</f>
        <v>0</v>
      </c>
      <c r="U360" s="198">
        <f>IF(Qty!$J203=0,Qty!Y203,Qty!Y203*Qty!$J203)*'Hist. prices'!U360*U$244</f>
        <v>0</v>
      </c>
      <c r="V360" s="198">
        <f>IF(Qty!$J203=0,Qty!Z203,Qty!Z203*Qty!$J203)*'Hist. prices'!V360*V$244</f>
        <v>0</v>
      </c>
      <c r="W360" s="198">
        <f>IF(Qty!$J203=0,Qty!AA203,Qty!AA203*Qty!$J203)*'Hist. prices'!W360*W$244</f>
        <v>0</v>
      </c>
      <c r="X360" s="198">
        <f>IF(Qty!$J203=0,Qty!AB203,Qty!AB203*Qty!$J203)*'Hist. prices'!X360*X$244</f>
        <v>0</v>
      </c>
      <c r="Y360" s="198">
        <f>IF(Qty!$J203=0,Qty!AC203,Qty!AC203*Qty!$J203)*'Hist. prices'!Y360*Y$244</f>
        <v>0</v>
      </c>
      <c r="Z360" s="198">
        <f>IF(Qty!$J203=0,Qty!AD203,Qty!AD203*Qty!$J203)*'Hist. prices'!Z360*Z$244</f>
        <v>0</v>
      </c>
      <c r="AA360" s="198">
        <f>IF(Qty!$J203=0,Qty!AE203,Qty!AE203*Qty!$J203)*'Hist. prices'!AA360*AA$244</f>
        <v>0</v>
      </c>
      <c r="AB360" s="198">
        <f>IF(Qty!$J203=0,Qty!AF203,Qty!AF203*Qty!$J203)*'Hist. prices'!AB360*AB$244</f>
        <v>0</v>
      </c>
      <c r="AC360" s="206">
        <f t="shared" si="39"/>
        <v>0</v>
      </c>
      <c r="AD360" s="68"/>
      <c r="AE360" s="19"/>
      <c r="AF360" s="19"/>
      <c r="AG360" s="19"/>
      <c r="AH360" s="19"/>
    </row>
    <row r="361" spans="1:34" hidden="1" outlineLevel="3" x14ac:dyDescent="0.2">
      <c r="A361" s="19"/>
      <c r="B361" s="19"/>
      <c r="C361" s="506">
        <f t="shared" si="38"/>
        <v>0</v>
      </c>
      <c r="D361" s="505">
        <f t="shared" si="38"/>
        <v>0</v>
      </c>
      <c r="E361" s="505">
        <f t="shared" si="38"/>
        <v>0</v>
      </c>
      <c r="F361" s="505">
        <f t="shared" si="38"/>
        <v>0</v>
      </c>
      <c r="G361" s="505">
        <f t="shared" si="38"/>
        <v>0</v>
      </c>
      <c r="H361" s="58"/>
      <c r="I361" s="198">
        <f>IF(Qty!$J204=0,Qty!M204,Qty!M204*Qty!$J204)*'Hist. prices'!I361*I$244</f>
        <v>0</v>
      </c>
      <c r="J361" s="198">
        <f>IF(Qty!$J204=0,Qty!N204,Qty!N204*Qty!$J204)*'Hist. prices'!J361*J$244</f>
        <v>0</v>
      </c>
      <c r="K361" s="198">
        <f>IF(Qty!$J204=0,Qty!O204,Qty!O204*Qty!$J204)*'Hist. prices'!K361*K$244</f>
        <v>0</v>
      </c>
      <c r="L361" s="198">
        <f>IF(Qty!$J204=0,Qty!P204,Qty!P204*Qty!$J204)*'Hist. prices'!L361*L$244</f>
        <v>0</v>
      </c>
      <c r="M361" s="198">
        <f>IF(Qty!$J204=0,Qty!Q204,Qty!Q204*Qty!$J204)*'Hist. prices'!M361*M$244</f>
        <v>0</v>
      </c>
      <c r="N361" s="198">
        <f>IF(Qty!$J204=0,Qty!R204,Qty!R204*Qty!$J204)*'Hist. prices'!N361*N$244</f>
        <v>0</v>
      </c>
      <c r="O361" s="198">
        <f>IF(Qty!$J204=0,Qty!S204,Qty!S204*Qty!$J204)*'Hist. prices'!O361*O$244</f>
        <v>0</v>
      </c>
      <c r="P361" s="198">
        <f>IF(Qty!$J204=0,Qty!T204,Qty!T204*Qty!$J204)*'Hist. prices'!P361*P$244</f>
        <v>0</v>
      </c>
      <c r="Q361" s="198">
        <f>IF(Qty!$J204=0,Qty!U204,Qty!U204*Qty!$J204)*'Hist. prices'!Q361*Q$244</f>
        <v>0</v>
      </c>
      <c r="R361" s="198">
        <f>IF(Qty!$J204=0,Qty!V204,Qty!V204*Qty!$J204)*'Hist. prices'!R361*R$244</f>
        <v>0</v>
      </c>
      <c r="S361" s="198">
        <f>IF(Qty!$J204=0,Qty!W204,Qty!W204*Qty!$J204)*'Hist. prices'!S361*S$244</f>
        <v>0</v>
      </c>
      <c r="T361" s="198">
        <f>IF(Qty!$J204=0,Qty!X204,Qty!X204*Qty!$J204)*'Hist. prices'!T361*T$244</f>
        <v>0</v>
      </c>
      <c r="U361" s="198">
        <f>IF(Qty!$J204=0,Qty!Y204,Qty!Y204*Qty!$J204)*'Hist. prices'!U361*U$244</f>
        <v>0</v>
      </c>
      <c r="V361" s="198">
        <f>IF(Qty!$J204=0,Qty!Z204,Qty!Z204*Qty!$J204)*'Hist. prices'!V361*V$244</f>
        <v>0</v>
      </c>
      <c r="W361" s="198">
        <f>IF(Qty!$J204=0,Qty!AA204,Qty!AA204*Qty!$J204)*'Hist. prices'!W361*W$244</f>
        <v>0</v>
      </c>
      <c r="X361" s="198">
        <f>IF(Qty!$J204=0,Qty!AB204,Qty!AB204*Qty!$J204)*'Hist. prices'!X361*X$244</f>
        <v>0</v>
      </c>
      <c r="Y361" s="198">
        <f>IF(Qty!$J204=0,Qty!AC204,Qty!AC204*Qty!$J204)*'Hist. prices'!Y361*Y$244</f>
        <v>0</v>
      </c>
      <c r="Z361" s="198">
        <f>IF(Qty!$J204=0,Qty!AD204,Qty!AD204*Qty!$J204)*'Hist. prices'!Z361*Z$244</f>
        <v>0</v>
      </c>
      <c r="AA361" s="198">
        <f>IF(Qty!$J204=0,Qty!AE204,Qty!AE204*Qty!$J204)*'Hist. prices'!AA361*AA$244</f>
        <v>0</v>
      </c>
      <c r="AB361" s="198">
        <f>IF(Qty!$J204=0,Qty!AF204,Qty!AF204*Qty!$J204)*'Hist. prices'!AB361*AB$244</f>
        <v>0</v>
      </c>
      <c r="AC361" s="206">
        <f t="shared" si="39"/>
        <v>0</v>
      </c>
      <c r="AD361" s="68"/>
      <c r="AE361" s="19"/>
      <c r="AF361" s="19"/>
      <c r="AG361" s="19"/>
      <c r="AH361" s="19"/>
    </row>
    <row r="362" spans="1:34" hidden="1" outlineLevel="3" x14ac:dyDescent="0.2">
      <c r="A362" s="19"/>
      <c r="B362" s="19"/>
      <c r="C362" s="506">
        <f t="shared" si="38"/>
        <v>0</v>
      </c>
      <c r="D362" s="505">
        <f t="shared" si="38"/>
        <v>0</v>
      </c>
      <c r="E362" s="505">
        <f t="shared" si="38"/>
        <v>0</v>
      </c>
      <c r="F362" s="505">
        <f t="shared" si="38"/>
        <v>0</v>
      </c>
      <c r="G362" s="505">
        <f t="shared" si="38"/>
        <v>0</v>
      </c>
      <c r="H362" s="58"/>
      <c r="I362" s="198">
        <f>IF(Qty!$J205=0,Qty!M205,Qty!M205*Qty!$J205)*'Hist. prices'!I362*I$244</f>
        <v>0</v>
      </c>
      <c r="J362" s="198">
        <f>IF(Qty!$J205=0,Qty!N205,Qty!N205*Qty!$J205)*'Hist. prices'!J362*J$244</f>
        <v>0</v>
      </c>
      <c r="K362" s="198">
        <f>IF(Qty!$J205=0,Qty!O205,Qty!O205*Qty!$J205)*'Hist. prices'!K362*K$244</f>
        <v>0</v>
      </c>
      <c r="L362" s="198">
        <f>IF(Qty!$J205=0,Qty!P205,Qty!P205*Qty!$J205)*'Hist. prices'!L362*L$244</f>
        <v>0</v>
      </c>
      <c r="M362" s="198">
        <f>IF(Qty!$J205=0,Qty!Q205,Qty!Q205*Qty!$J205)*'Hist. prices'!M362*M$244</f>
        <v>0</v>
      </c>
      <c r="N362" s="198">
        <f>IF(Qty!$J205=0,Qty!R205,Qty!R205*Qty!$J205)*'Hist. prices'!N362*N$244</f>
        <v>0</v>
      </c>
      <c r="O362" s="198">
        <f>IF(Qty!$J205=0,Qty!S205,Qty!S205*Qty!$J205)*'Hist. prices'!O362*O$244</f>
        <v>0</v>
      </c>
      <c r="P362" s="198">
        <f>IF(Qty!$J205=0,Qty!T205,Qty!T205*Qty!$J205)*'Hist. prices'!P362*P$244</f>
        <v>0</v>
      </c>
      <c r="Q362" s="198">
        <f>IF(Qty!$J205=0,Qty!U205,Qty!U205*Qty!$J205)*'Hist. prices'!Q362*Q$244</f>
        <v>0</v>
      </c>
      <c r="R362" s="198">
        <f>IF(Qty!$J205=0,Qty!V205,Qty!V205*Qty!$J205)*'Hist. prices'!R362*R$244</f>
        <v>0</v>
      </c>
      <c r="S362" s="198">
        <f>IF(Qty!$J205=0,Qty!W205,Qty!W205*Qty!$J205)*'Hist. prices'!S362*S$244</f>
        <v>0</v>
      </c>
      <c r="T362" s="198">
        <f>IF(Qty!$J205=0,Qty!X205,Qty!X205*Qty!$J205)*'Hist. prices'!T362*T$244</f>
        <v>0</v>
      </c>
      <c r="U362" s="198">
        <f>IF(Qty!$J205=0,Qty!Y205,Qty!Y205*Qty!$J205)*'Hist. prices'!U362*U$244</f>
        <v>0</v>
      </c>
      <c r="V362" s="198">
        <f>IF(Qty!$J205=0,Qty!Z205,Qty!Z205*Qty!$J205)*'Hist. prices'!V362*V$244</f>
        <v>0</v>
      </c>
      <c r="W362" s="198">
        <f>IF(Qty!$J205=0,Qty!AA205,Qty!AA205*Qty!$J205)*'Hist. prices'!W362*W$244</f>
        <v>0</v>
      </c>
      <c r="X362" s="198">
        <f>IF(Qty!$J205=0,Qty!AB205,Qty!AB205*Qty!$J205)*'Hist. prices'!X362*X$244</f>
        <v>0</v>
      </c>
      <c r="Y362" s="198">
        <f>IF(Qty!$J205=0,Qty!AC205,Qty!AC205*Qty!$J205)*'Hist. prices'!Y362*Y$244</f>
        <v>0</v>
      </c>
      <c r="Z362" s="198">
        <f>IF(Qty!$J205=0,Qty!AD205,Qty!AD205*Qty!$J205)*'Hist. prices'!Z362*Z$244</f>
        <v>0</v>
      </c>
      <c r="AA362" s="198">
        <f>IF(Qty!$J205=0,Qty!AE205,Qty!AE205*Qty!$J205)*'Hist. prices'!AA362*AA$244</f>
        <v>0</v>
      </c>
      <c r="AB362" s="198">
        <f>IF(Qty!$J205=0,Qty!AF205,Qty!AF205*Qty!$J205)*'Hist. prices'!AB362*AB$244</f>
        <v>0</v>
      </c>
      <c r="AC362" s="206">
        <f t="shared" si="39"/>
        <v>0</v>
      </c>
      <c r="AD362" s="68"/>
      <c r="AE362" s="19"/>
      <c r="AF362" s="19"/>
      <c r="AG362" s="19"/>
      <c r="AH362" s="19"/>
    </row>
    <row r="363" spans="1:34" hidden="1" outlineLevel="3" x14ac:dyDescent="0.2">
      <c r="A363" s="19"/>
      <c r="B363" s="19"/>
      <c r="C363" s="506">
        <f t="shared" ref="C363:G372" si="40">C285</f>
        <v>0</v>
      </c>
      <c r="D363" s="505">
        <f t="shared" si="40"/>
        <v>0</v>
      </c>
      <c r="E363" s="505">
        <f t="shared" si="40"/>
        <v>0</v>
      </c>
      <c r="F363" s="505">
        <f t="shared" si="40"/>
        <v>0</v>
      </c>
      <c r="G363" s="505">
        <f t="shared" si="40"/>
        <v>0</v>
      </c>
      <c r="H363" s="58"/>
      <c r="I363" s="198">
        <f>IF(Qty!$J206=0,Qty!M206,Qty!M206*Qty!$J206)*'Hist. prices'!I363*I$244</f>
        <v>0</v>
      </c>
      <c r="J363" s="198">
        <f>IF(Qty!$J206=0,Qty!N206,Qty!N206*Qty!$J206)*'Hist. prices'!J363*J$244</f>
        <v>0</v>
      </c>
      <c r="K363" s="198">
        <f>IF(Qty!$J206=0,Qty!O206,Qty!O206*Qty!$J206)*'Hist. prices'!K363*K$244</f>
        <v>0</v>
      </c>
      <c r="L363" s="198">
        <f>IF(Qty!$J206=0,Qty!P206,Qty!P206*Qty!$J206)*'Hist. prices'!L363*L$244</f>
        <v>0</v>
      </c>
      <c r="M363" s="198">
        <f>IF(Qty!$J206=0,Qty!Q206,Qty!Q206*Qty!$J206)*'Hist. prices'!M363*M$244</f>
        <v>0</v>
      </c>
      <c r="N363" s="198">
        <f>IF(Qty!$J206=0,Qty!R206,Qty!R206*Qty!$J206)*'Hist. prices'!N363*N$244</f>
        <v>0</v>
      </c>
      <c r="O363" s="198">
        <f>IF(Qty!$J206=0,Qty!S206,Qty!S206*Qty!$J206)*'Hist. prices'!O363*O$244</f>
        <v>0</v>
      </c>
      <c r="P363" s="198">
        <f>IF(Qty!$J206=0,Qty!T206,Qty!T206*Qty!$J206)*'Hist. prices'!P363*P$244</f>
        <v>0</v>
      </c>
      <c r="Q363" s="198">
        <f>IF(Qty!$J206=0,Qty!U206,Qty!U206*Qty!$J206)*'Hist. prices'!Q363*Q$244</f>
        <v>0</v>
      </c>
      <c r="R363" s="198">
        <f>IF(Qty!$J206=0,Qty!V206,Qty!V206*Qty!$J206)*'Hist. prices'!R363*R$244</f>
        <v>0</v>
      </c>
      <c r="S363" s="198">
        <f>IF(Qty!$J206=0,Qty!W206,Qty!W206*Qty!$J206)*'Hist. prices'!S363*S$244</f>
        <v>0</v>
      </c>
      <c r="T363" s="198">
        <f>IF(Qty!$J206=0,Qty!X206,Qty!X206*Qty!$J206)*'Hist. prices'!T363*T$244</f>
        <v>0</v>
      </c>
      <c r="U363" s="198">
        <f>IF(Qty!$J206=0,Qty!Y206,Qty!Y206*Qty!$J206)*'Hist. prices'!U363*U$244</f>
        <v>0</v>
      </c>
      <c r="V363" s="198">
        <f>IF(Qty!$J206=0,Qty!Z206,Qty!Z206*Qty!$J206)*'Hist. prices'!V363*V$244</f>
        <v>0</v>
      </c>
      <c r="W363" s="198">
        <f>IF(Qty!$J206=0,Qty!AA206,Qty!AA206*Qty!$J206)*'Hist. prices'!W363*W$244</f>
        <v>0</v>
      </c>
      <c r="X363" s="198">
        <f>IF(Qty!$J206=0,Qty!AB206,Qty!AB206*Qty!$J206)*'Hist. prices'!X363*X$244</f>
        <v>0</v>
      </c>
      <c r="Y363" s="198">
        <f>IF(Qty!$J206=0,Qty!AC206,Qty!AC206*Qty!$J206)*'Hist. prices'!Y363*Y$244</f>
        <v>0</v>
      </c>
      <c r="Z363" s="198">
        <f>IF(Qty!$J206=0,Qty!AD206,Qty!AD206*Qty!$J206)*'Hist. prices'!Z363*Z$244</f>
        <v>0</v>
      </c>
      <c r="AA363" s="198">
        <f>IF(Qty!$J206=0,Qty!AE206,Qty!AE206*Qty!$J206)*'Hist. prices'!AA363*AA$244</f>
        <v>0</v>
      </c>
      <c r="AB363" s="198">
        <f>IF(Qty!$J206=0,Qty!AF206,Qty!AF206*Qty!$J206)*'Hist. prices'!AB363*AB$244</f>
        <v>0</v>
      </c>
      <c r="AC363" s="206">
        <f t="shared" si="39"/>
        <v>0</v>
      </c>
      <c r="AD363" s="68"/>
      <c r="AE363" s="19"/>
      <c r="AF363" s="19"/>
      <c r="AG363" s="19"/>
      <c r="AH363" s="19"/>
    </row>
    <row r="364" spans="1:34" hidden="1" outlineLevel="3" x14ac:dyDescent="0.2">
      <c r="A364" s="19"/>
      <c r="B364" s="19"/>
      <c r="C364" s="506">
        <f t="shared" si="40"/>
        <v>0</v>
      </c>
      <c r="D364" s="505">
        <f t="shared" si="40"/>
        <v>0</v>
      </c>
      <c r="E364" s="505">
        <f t="shared" si="40"/>
        <v>0</v>
      </c>
      <c r="F364" s="505">
        <f t="shared" si="40"/>
        <v>0</v>
      </c>
      <c r="G364" s="505">
        <f t="shared" si="40"/>
        <v>0</v>
      </c>
      <c r="H364" s="58"/>
      <c r="I364" s="198">
        <f>IF(Qty!$J207=0,Qty!M207,Qty!M207*Qty!$J207)*'Hist. prices'!I364*I$244</f>
        <v>0</v>
      </c>
      <c r="J364" s="198">
        <f>IF(Qty!$J207=0,Qty!N207,Qty!N207*Qty!$J207)*'Hist. prices'!J364*J$244</f>
        <v>0</v>
      </c>
      <c r="K364" s="198">
        <f>IF(Qty!$J207=0,Qty!O207,Qty!O207*Qty!$J207)*'Hist. prices'!K364*K$244</f>
        <v>0</v>
      </c>
      <c r="L364" s="198">
        <f>IF(Qty!$J207=0,Qty!P207,Qty!P207*Qty!$J207)*'Hist. prices'!L364*L$244</f>
        <v>0</v>
      </c>
      <c r="M364" s="198">
        <f>IF(Qty!$J207=0,Qty!Q207,Qty!Q207*Qty!$J207)*'Hist. prices'!M364*M$244</f>
        <v>0</v>
      </c>
      <c r="N364" s="198">
        <f>IF(Qty!$J207=0,Qty!R207,Qty!R207*Qty!$J207)*'Hist. prices'!N364*N$244</f>
        <v>0</v>
      </c>
      <c r="O364" s="198">
        <f>IF(Qty!$J207=0,Qty!S207,Qty!S207*Qty!$J207)*'Hist. prices'!O364*O$244</f>
        <v>0</v>
      </c>
      <c r="P364" s="198">
        <f>IF(Qty!$J207=0,Qty!T207,Qty!T207*Qty!$J207)*'Hist. prices'!P364*P$244</f>
        <v>0</v>
      </c>
      <c r="Q364" s="198">
        <f>IF(Qty!$J207=0,Qty!U207,Qty!U207*Qty!$J207)*'Hist. prices'!Q364*Q$244</f>
        <v>0</v>
      </c>
      <c r="R364" s="198">
        <f>IF(Qty!$J207=0,Qty!V207,Qty!V207*Qty!$J207)*'Hist. prices'!R364*R$244</f>
        <v>0</v>
      </c>
      <c r="S364" s="198">
        <f>IF(Qty!$J207=0,Qty!W207,Qty!W207*Qty!$J207)*'Hist. prices'!S364*S$244</f>
        <v>0</v>
      </c>
      <c r="T364" s="198">
        <f>IF(Qty!$J207=0,Qty!X207,Qty!X207*Qty!$J207)*'Hist. prices'!T364*T$244</f>
        <v>0</v>
      </c>
      <c r="U364" s="198">
        <f>IF(Qty!$J207=0,Qty!Y207,Qty!Y207*Qty!$J207)*'Hist. prices'!U364*U$244</f>
        <v>0</v>
      </c>
      <c r="V364" s="198">
        <f>IF(Qty!$J207=0,Qty!Z207,Qty!Z207*Qty!$J207)*'Hist. prices'!V364*V$244</f>
        <v>0</v>
      </c>
      <c r="W364" s="198">
        <f>IF(Qty!$J207=0,Qty!AA207,Qty!AA207*Qty!$J207)*'Hist. prices'!W364*W$244</f>
        <v>0</v>
      </c>
      <c r="X364" s="198">
        <f>IF(Qty!$J207=0,Qty!AB207,Qty!AB207*Qty!$J207)*'Hist. prices'!X364*X$244</f>
        <v>0</v>
      </c>
      <c r="Y364" s="198">
        <f>IF(Qty!$J207=0,Qty!AC207,Qty!AC207*Qty!$J207)*'Hist. prices'!Y364*Y$244</f>
        <v>0</v>
      </c>
      <c r="Z364" s="198">
        <f>IF(Qty!$J207=0,Qty!AD207,Qty!AD207*Qty!$J207)*'Hist. prices'!Z364*Z$244</f>
        <v>0</v>
      </c>
      <c r="AA364" s="198">
        <f>IF(Qty!$J207=0,Qty!AE207,Qty!AE207*Qty!$J207)*'Hist. prices'!AA364*AA$244</f>
        <v>0</v>
      </c>
      <c r="AB364" s="198">
        <f>IF(Qty!$J207=0,Qty!AF207,Qty!AF207*Qty!$J207)*'Hist. prices'!AB364*AB$244</f>
        <v>0</v>
      </c>
      <c r="AC364" s="206">
        <f t="shared" si="39"/>
        <v>0</v>
      </c>
      <c r="AD364" s="68"/>
      <c r="AE364" s="19"/>
      <c r="AF364" s="19"/>
      <c r="AG364" s="19"/>
      <c r="AH364" s="19"/>
    </row>
    <row r="365" spans="1:34" hidden="1" outlineLevel="3" x14ac:dyDescent="0.2">
      <c r="A365" s="19"/>
      <c r="B365" s="19"/>
      <c r="C365" s="506">
        <f t="shared" si="40"/>
        <v>0</v>
      </c>
      <c r="D365" s="505">
        <f t="shared" si="40"/>
        <v>0</v>
      </c>
      <c r="E365" s="505">
        <f t="shared" si="40"/>
        <v>0</v>
      </c>
      <c r="F365" s="505">
        <f t="shared" si="40"/>
        <v>0</v>
      </c>
      <c r="G365" s="505">
        <f t="shared" si="40"/>
        <v>0</v>
      </c>
      <c r="H365" s="58"/>
      <c r="I365" s="198">
        <f>IF(Qty!$J208=0,Qty!M208,Qty!M208*Qty!$J208)*'Hist. prices'!I365*I$244</f>
        <v>0</v>
      </c>
      <c r="J365" s="198">
        <f>IF(Qty!$J208=0,Qty!N208,Qty!N208*Qty!$J208)*'Hist. prices'!J365*J$244</f>
        <v>0</v>
      </c>
      <c r="K365" s="198">
        <f>IF(Qty!$J208=0,Qty!O208,Qty!O208*Qty!$J208)*'Hist. prices'!K365*K$244</f>
        <v>0</v>
      </c>
      <c r="L365" s="198">
        <f>IF(Qty!$J208=0,Qty!P208,Qty!P208*Qty!$J208)*'Hist. prices'!L365*L$244</f>
        <v>0</v>
      </c>
      <c r="M365" s="198">
        <f>IF(Qty!$J208=0,Qty!Q208,Qty!Q208*Qty!$J208)*'Hist. prices'!M365*M$244</f>
        <v>0</v>
      </c>
      <c r="N365" s="198">
        <f>IF(Qty!$J208=0,Qty!R208,Qty!R208*Qty!$J208)*'Hist. prices'!N365*N$244</f>
        <v>0</v>
      </c>
      <c r="O365" s="198">
        <f>IF(Qty!$J208=0,Qty!S208,Qty!S208*Qty!$J208)*'Hist. prices'!O365*O$244</f>
        <v>0</v>
      </c>
      <c r="P365" s="198">
        <f>IF(Qty!$J208=0,Qty!T208,Qty!T208*Qty!$J208)*'Hist. prices'!P365*P$244</f>
        <v>0</v>
      </c>
      <c r="Q365" s="198">
        <f>IF(Qty!$J208=0,Qty!U208,Qty!U208*Qty!$J208)*'Hist. prices'!Q365*Q$244</f>
        <v>0</v>
      </c>
      <c r="R365" s="198">
        <f>IF(Qty!$J208=0,Qty!V208,Qty!V208*Qty!$J208)*'Hist. prices'!R365*R$244</f>
        <v>0</v>
      </c>
      <c r="S365" s="198">
        <f>IF(Qty!$J208=0,Qty!W208,Qty!W208*Qty!$J208)*'Hist. prices'!S365*S$244</f>
        <v>0</v>
      </c>
      <c r="T365" s="198">
        <f>IF(Qty!$J208=0,Qty!X208,Qty!X208*Qty!$J208)*'Hist. prices'!T365*T$244</f>
        <v>0</v>
      </c>
      <c r="U365" s="198">
        <f>IF(Qty!$J208=0,Qty!Y208,Qty!Y208*Qty!$J208)*'Hist. prices'!U365*U$244</f>
        <v>0</v>
      </c>
      <c r="V365" s="198">
        <f>IF(Qty!$J208=0,Qty!Z208,Qty!Z208*Qty!$J208)*'Hist. prices'!V365*V$244</f>
        <v>0</v>
      </c>
      <c r="W365" s="198">
        <f>IF(Qty!$J208=0,Qty!AA208,Qty!AA208*Qty!$J208)*'Hist. prices'!W365*W$244</f>
        <v>0</v>
      </c>
      <c r="X365" s="198">
        <f>IF(Qty!$J208=0,Qty!AB208,Qty!AB208*Qty!$J208)*'Hist. prices'!X365*X$244</f>
        <v>0</v>
      </c>
      <c r="Y365" s="198">
        <f>IF(Qty!$J208=0,Qty!AC208,Qty!AC208*Qty!$J208)*'Hist. prices'!Y365*Y$244</f>
        <v>0</v>
      </c>
      <c r="Z365" s="198">
        <f>IF(Qty!$J208=0,Qty!AD208,Qty!AD208*Qty!$J208)*'Hist. prices'!Z365*Z$244</f>
        <v>0</v>
      </c>
      <c r="AA365" s="198">
        <f>IF(Qty!$J208=0,Qty!AE208,Qty!AE208*Qty!$J208)*'Hist. prices'!AA365*AA$244</f>
        <v>0</v>
      </c>
      <c r="AB365" s="198">
        <f>IF(Qty!$J208=0,Qty!AF208,Qty!AF208*Qty!$J208)*'Hist. prices'!AB365*AB$244</f>
        <v>0</v>
      </c>
      <c r="AC365" s="206">
        <f t="shared" si="39"/>
        <v>0</v>
      </c>
      <c r="AD365" s="68"/>
      <c r="AE365" s="19"/>
      <c r="AF365" s="19"/>
      <c r="AG365" s="19"/>
      <c r="AH365" s="19"/>
    </row>
    <row r="366" spans="1:34" hidden="1" outlineLevel="3" x14ac:dyDescent="0.2">
      <c r="A366" s="19"/>
      <c r="B366" s="19"/>
      <c r="C366" s="506">
        <f t="shared" si="40"/>
        <v>0</v>
      </c>
      <c r="D366" s="505">
        <f t="shared" si="40"/>
        <v>0</v>
      </c>
      <c r="E366" s="505">
        <f t="shared" si="40"/>
        <v>0</v>
      </c>
      <c r="F366" s="505">
        <f t="shared" si="40"/>
        <v>0</v>
      </c>
      <c r="G366" s="505">
        <f t="shared" si="40"/>
        <v>0</v>
      </c>
      <c r="H366" s="58"/>
      <c r="I366" s="198">
        <f>IF(Qty!$J209=0,Qty!M209,Qty!M209*Qty!$J209)*'Hist. prices'!I366*I$244</f>
        <v>0</v>
      </c>
      <c r="J366" s="198">
        <f>IF(Qty!$J209=0,Qty!N209,Qty!N209*Qty!$J209)*'Hist. prices'!J366*J$244</f>
        <v>0</v>
      </c>
      <c r="K366" s="198">
        <f>IF(Qty!$J209=0,Qty!O209,Qty!O209*Qty!$J209)*'Hist. prices'!K366*K$244</f>
        <v>0</v>
      </c>
      <c r="L366" s="198">
        <f>IF(Qty!$J209=0,Qty!P209,Qty!P209*Qty!$J209)*'Hist. prices'!L366*L$244</f>
        <v>0</v>
      </c>
      <c r="M366" s="198">
        <f>IF(Qty!$J209=0,Qty!Q209,Qty!Q209*Qty!$J209)*'Hist. prices'!M366*M$244</f>
        <v>0</v>
      </c>
      <c r="N366" s="198">
        <f>IF(Qty!$J209=0,Qty!R209,Qty!R209*Qty!$J209)*'Hist. prices'!N366*N$244</f>
        <v>0</v>
      </c>
      <c r="O366" s="198">
        <f>IF(Qty!$J209=0,Qty!S209,Qty!S209*Qty!$J209)*'Hist. prices'!O366*O$244</f>
        <v>0</v>
      </c>
      <c r="P366" s="198">
        <f>IF(Qty!$J209=0,Qty!T209,Qty!T209*Qty!$J209)*'Hist. prices'!P366*P$244</f>
        <v>0</v>
      </c>
      <c r="Q366" s="198">
        <f>IF(Qty!$J209=0,Qty!U209,Qty!U209*Qty!$J209)*'Hist. prices'!Q366*Q$244</f>
        <v>0</v>
      </c>
      <c r="R366" s="198">
        <f>IF(Qty!$J209=0,Qty!V209,Qty!V209*Qty!$J209)*'Hist. prices'!R366*R$244</f>
        <v>0</v>
      </c>
      <c r="S366" s="198">
        <f>IF(Qty!$J209=0,Qty!W209,Qty!W209*Qty!$J209)*'Hist. prices'!S366*S$244</f>
        <v>0</v>
      </c>
      <c r="T366" s="198">
        <f>IF(Qty!$J209=0,Qty!X209,Qty!X209*Qty!$J209)*'Hist. prices'!T366*T$244</f>
        <v>0</v>
      </c>
      <c r="U366" s="198">
        <f>IF(Qty!$J209=0,Qty!Y209,Qty!Y209*Qty!$J209)*'Hist. prices'!U366*U$244</f>
        <v>0</v>
      </c>
      <c r="V366" s="198">
        <f>IF(Qty!$J209=0,Qty!Z209,Qty!Z209*Qty!$J209)*'Hist. prices'!V366*V$244</f>
        <v>0</v>
      </c>
      <c r="W366" s="198">
        <f>IF(Qty!$J209=0,Qty!AA209,Qty!AA209*Qty!$J209)*'Hist. prices'!W366*W$244</f>
        <v>0</v>
      </c>
      <c r="X366" s="198">
        <f>IF(Qty!$J209=0,Qty!AB209,Qty!AB209*Qty!$J209)*'Hist. prices'!X366*X$244</f>
        <v>0</v>
      </c>
      <c r="Y366" s="198">
        <f>IF(Qty!$J209=0,Qty!AC209,Qty!AC209*Qty!$J209)*'Hist. prices'!Y366*Y$244</f>
        <v>0</v>
      </c>
      <c r="Z366" s="198">
        <f>IF(Qty!$J209=0,Qty!AD209,Qty!AD209*Qty!$J209)*'Hist. prices'!Z366*Z$244</f>
        <v>0</v>
      </c>
      <c r="AA366" s="198">
        <f>IF(Qty!$J209=0,Qty!AE209,Qty!AE209*Qty!$J209)*'Hist. prices'!AA366*AA$244</f>
        <v>0</v>
      </c>
      <c r="AB366" s="198">
        <f>IF(Qty!$J209=0,Qty!AF209,Qty!AF209*Qty!$J209)*'Hist. prices'!AB366*AB$244</f>
        <v>0</v>
      </c>
      <c r="AC366" s="206">
        <f t="shared" si="39"/>
        <v>0</v>
      </c>
      <c r="AD366" s="68"/>
      <c r="AE366" s="19"/>
      <c r="AF366" s="19"/>
      <c r="AG366" s="19"/>
      <c r="AH366" s="19"/>
    </row>
    <row r="367" spans="1:34" hidden="1" outlineLevel="3" x14ac:dyDescent="0.2">
      <c r="A367" s="19"/>
      <c r="B367" s="19"/>
      <c r="C367" s="506">
        <f t="shared" si="40"/>
        <v>0</v>
      </c>
      <c r="D367" s="505">
        <f t="shared" si="40"/>
        <v>0</v>
      </c>
      <c r="E367" s="505">
        <f t="shared" si="40"/>
        <v>0</v>
      </c>
      <c r="F367" s="505">
        <f t="shared" si="40"/>
        <v>0</v>
      </c>
      <c r="G367" s="505">
        <f t="shared" si="40"/>
        <v>0</v>
      </c>
      <c r="H367" s="58"/>
      <c r="I367" s="198">
        <f>IF(Qty!$J210=0,Qty!M210,Qty!M210*Qty!$J210)*'Hist. prices'!I367*I$244</f>
        <v>0</v>
      </c>
      <c r="J367" s="198">
        <f>IF(Qty!$J210=0,Qty!N210,Qty!N210*Qty!$J210)*'Hist. prices'!J367*J$244</f>
        <v>0</v>
      </c>
      <c r="K367" s="198">
        <f>IF(Qty!$J210=0,Qty!O210,Qty!O210*Qty!$J210)*'Hist. prices'!K367*K$244</f>
        <v>0</v>
      </c>
      <c r="L367" s="198">
        <f>IF(Qty!$J210=0,Qty!P210,Qty!P210*Qty!$J210)*'Hist. prices'!L367*L$244</f>
        <v>0</v>
      </c>
      <c r="M367" s="198">
        <f>IF(Qty!$J210=0,Qty!Q210,Qty!Q210*Qty!$J210)*'Hist. prices'!M367*M$244</f>
        <v>0</v>
      </c>
      <c r="N367" s="198">
        <f>IF(Qty!$J210=0,Qty!R210,Qty!R210*Qty!$J210)*'Hist. prices'!N367*N$244</f>
        <v>0</v>
      </c>
      <c r="O367" s="198">
        <f>IF(Qty!$J210=0,Qty!S210,Qty!S210*Qty!$J210)*'Hist. prices'!O367*O$244</f>
        <v>0</v>
      </c>
      <c r="P367" s="198">
        <f>IF(Qty!$J210=0,Qty!T210,Qty!T210*Qty!$J210)*'Hist. prices'!P367*P$244</f>
        <v>0</v>
      </c>
      <c r="Q367" s="198">
        <f>IF(Qty!$J210=0,Qty!U210,Qty!U210*Qty!$J210)*'Hist. prices'!Q367*Q$244</f>
        <v>0</v>
      </c>
      <c r="R367" s="198">
        <f>IF(Qty!$J210=0,Qty!V210,Qty!V210*Qty!$J210)*'Hist. prices'!R367*R$244</f>
        <v>0</v>
      </c>
      <c r="S367" s="198">
        <f>IF(Qty!$J210=0,Qty!W210,Qty!W210*Qty!$J210)*'Hist. prices'!S367*S$244</f>
        <v>0</v>
      </c>
      <c r="T367" s="198">
        <f>IF(Qty!$J210=0,Qty!X210,Qty!X210*Qty!$J210)*'Hist. prices'!T367*T$244</f>
        <v>0</v>
      </c>
      <c r="U367" s="198">
        <f>IF(Qty!$J210=0,Qty!Y210,Qty!Y210*Qty!$J210)*'Hist. prices'!U367*U$244</f>
        <v>0</v>
      </c>
      <c r="V367" s="198">
        <f>IF(Qty!$J210=0,Qty!Z210,Qty!Z210*Qty!$J210)*'Hist. prices'!V367*V$244</f>
        <v>0</v>
      </c>
      <c r="W367" s="198">
        <f>IF(Qty!$J210=0,Qty!AA210,Qty!AA210*Qty!$J210)*'Hist. prices'!W367*W$244</f>
        <v>0</v>
      </c>
      <c r="X367" s="198">
        <f>IF(Qty!$J210=0,Qty!AB210,Qty!AB210*Qty!$J210)*'Hist. prices'!X367*X$244</f>
        <v>0</v>
      </c>
      <c r="Y367" s="198">
        <f>IF(Qty!$J210=0,Qty!AC210,Qty!AC210*Qty!$J210)*'Hist. prices'!Y367*Y$244</f>
        <v>0</v>
      </c>
      <c r="Z367" s="198">
        <f>IF(Qty!$J210=0,Qty!AD210,Qty!AD210*Qty!$J210)*'Hist. prices'!Z367*Z$244</f>
        <v>0</v>
      </c>
      <c r="AA367" s="198">
        <f>IF(Qty!$J210=0,Qty!AE210,Qty!AE210*Qty!$J210)*'Hist. prices'!AA367*AA$244</f>
        <v>0</v>
      </c>
      <c r="AB367" s="198">
        <f>IF(Qty!$J210=0,Qty!AF210,Qty!AF210*Qty!$J210)*'Hist. prices'!AB367*AB$244</f>
        <v>0</v>
      </c>
      <c r="AC367" s="206">
        <f t="shared" si="39"/>
        <v>0</v>
      </c>
      <c r="AD367" s="68"/>
      <c r="AE367" s="19"/>
      <c r="AF367" s="19"/>
      <c r="AG367" s="19"/>
      <c r="AH367" s="19"/>
    </row>
    <row r="368" spans="1:34" hidden="1" outlineLevel="3" x14ac:dyDescent="0.2">
      <c r="A368" s="19"/>
      <c r="B368" s="19"/>
      <c r="C368" s="506">
        <f t="shared" si="40"/>
        <v>0</v>
      </c>
      <c r="D368" s="505">
        <f t="shared" si="40"/>
        <v>0</v>
      </c>
      <c r="E368" s="505">
        <f t="shared" si="40"/>
        <v>0</v>
      </c>
      <c r="F368" s="505">
        <f t="shared" si="40"/>
        <v>0</v>
      </c>
      <c r="G368" s="505">
        <f t="shared" si="40"/>
        <v>0</v>
      </c>
      <c r="H368" s="58"/>
      <c r="I368" s="198">
        <f>IF(Qty!$J211=0,Qty!M211,Qty!M211*Qty!$J211)*'Hist. prices'!I368*I$244</f>
        <v>0</v>
      </c>
      <c r="J368" s="198">
        <f>IF(Qty!$J211=0,Qty!N211,Qty!N211*Qty!$J211)*'Hist. prices'!J368*J$244</f>
        <v>0</v>
      </c>
      <c r="K368" s="198">
        <f>IF(Qty!$J211=0,Qty!O211,Qty!O211*Qty!$J211)*'Hist. prices'!K368*K$244</f>
        <v>0</v>
      </c>
      <c r="L368" s="198">
        <f>IF(Qty!$J211=0,Qty!P211,Qty!P211*Qty!$J211)*'Hist. prices'!L368*L$244</f>
        <v>0</v>
      </c>
      <c r="M368" s="198">
        <f>IF(Qty!$J211=0,Qty!Q211,Qty!Q211*Qty!$J211)*'Hist. prices'!M368*M$244</f>
        <v>0</v>
      </c>
      <c r="N368" s="198">
        <f>IF(Qty!$J211=0,Qty!R211,Qty!R211*Qty!$J211)*'Hist. prices'!N368*N$244</f>
        <v>0</v>
      </c>
      <c r="O368" s="198">
        <f>IF(Qty!$J211=0,Qty!S211,Qty!S211*Qty!$J211)*'Hist. prices'!O368*O$244</f>
        <v>0</v>
      </c>
      <c r="P368" s="198">
        <f>IF(Qty!$J211=0,Qty!T211,Qty!T211*Qty!$J211)*'Hist. prices'!P368*P$244</f>
        <v>0</v>
      </c>
      <c r="Q368" s="198">
        <f>IF(Qty!$J211=0,Qty!U211,Qty!U211*Qty!$J211)*'Hist. prices'!Q368*Q$244</f>
        <v>0</v>
      </c>
      <c r="R368" s="198">
        <f>IF(Qty!$J211=0,Qty!V211,Qty!V211*Qty!$J211)*'Hist. prices'!R368*R$244</f>
        <v>0</v>
      </c>
      <c r="S368" s="198">
        <f>IF(Qty!$J211=0,Qty!W211,Qty!W211*Qty!$J211)*'Hist. prices'!S368*S$244</f>
        <v>0</v>
      </c>
      <c r="T368" s="198">
        <f>IF(Qty!$J211=0,Qty!X211,Qty!X211*Qty!$J211)*'Hist. prices'!T368*T$244</f>
        <v>0</v>
      </c>
      <c r="U368" s="198">
        <f>IF(Qty!$J211=0,Qty!Y211,Qty!Y211*Qty!$J211)*'Hist. prices'!U368*U$244</f>
        <v>0</v>
      </c>
      <c r="V368" s="198">
        <f>IF(Qty!$J211=0,Qty!Z211,Qty!Z211*Qty!$J211)*'Hist. prices'!V368*V$244</f>
        <v>0</v>
      </c>
      <c r="W368" s="198">
        <f>IF(Qty!$J211=0,Qty!AA211,Qty!AA211*Qty!$J211)*'Hist. prices'!W368*W$244</f>
        <v>0</v>
      </c>
      <c r="X368" s="198">
        <f>IF(Qty!$J211=0,Qty!AB211,Qty!AB211*Qty!$J211)*'Hist. prices'!X368*X$244</f>
        <v>0</v>
      </c>
      <c r="Y368" s="198">
        <f>IF(Qty!$J211=0,Qty!AC211,Qty!AC211*Qty!$J211)*'Hist. prices'!Y368*Y$244</f>
        <v>0</v>
      </c>
      <c r="Z368" s="198">
        <f>IF(Qty!$J211=0,Qty!AD211,Qty!AD211*Qty!$J211)*'Hist. prices'!Z368*Z$244</f>
        <v>0</v>
      </c>
      <c r="AA368" s="198">
        <f>IF(Qty!$J211=0,Qty!AE211,Qty!AE211*Qty!$J211)*'Hist. prices'!AA368*AA$244</f>
        <v>0</v>
      </c>
      <c r="AB368" s="198">
        <f>IF(Qty!$J211=0,Qty!AF211,Qty!AF211*Qty!$J211)*'Hist. prices'!AB368*AB$244</f>
        <v>0</v>
      </c>
      <c r="AC368" s="206">
        <f t="shared" si="39"/>
        <v>0</v>
      </c>
      <c r="AD368" s="68"/>
      <c r="AE368" s="19"/>
      <c r="AF368" s="19"/>
      <c r="AG368" s="19"/>
      <c r="AH368" s="19"/>
    </row>
    <row r="369" spans="1:34" hidden="1" outlineLevel="3" x14ac:dyDescent="0.2">
      <c r="A369" s="19"/>
      <c r="B369" s="19"/>
      <c r="C369" s="506">
        <f t="shared" si="40"/>
        <v>0</v>
      </c>
      <c r="D369" s="505">
        <f t="shared" si="40"/>
        <v>0</v>
      </c>
      <c r="E369" s="505">
        <f t="shared" si="40"/>
        <v>0</v>
      </c>
      <c r="F369" s="505">
        <f t="shared" si="40"/>
        <v>0</v>
      </c>
      <c r="G369" s="505">
        <f t="shared" si="40"/>
        <v>0</v>
      </c>
      <c r="H369" s="58"/>
      <c r="I369" s="198">
        <f>IF(Qty!$J212=0,Qty!M212,Qty!M212*Qty!$J212)*'Hist. prices'!I369*I$244</f>
        <v>0</v>
      </c>
      <c r="J369" s="198">
        <f>IF(Qty!$J212=0,Qty!N212,Qty!N212*Qty!$J212)*'Hist. prices'!J369*J$244</f>
        <v>0</v>
      </c>
      <c r="K369" s="198">
        <f>IF(Qty!$J212=0,Qty!O212,Qty!O212*Qty!$J212)*'Hist. prices'!K369*K$244</f>
        <v>0</v>
      </c>
      <c r="L369" s="198">
        <f>IF(Qty!$J212=0,Qty!P212,Qty!P212*Qty!$J212)*'Hist. prices'!L369*L$244</f>
        <v>0</v>
      </c>
      <c r="M369" s="198">
        <f>IF(Qty!$J212=0,Qty!Q212,Qty!Q212*Qty!$J212)*'Hist. prices'!M369*M$244</f>
        <v>0</v>
      </c>
      <c r="N369" s="198">
        <f>IF(Qty!$J212=0,Qty!R212,Qty!R212*Qty!$J212)*'Hist. prices'!N369*N$244</f>
        <v>0</v>
      </c>
      <c r="O369" s="198">
        <f>IF(Qty!$J212=0,Qty!S212,Qty!S212*Qty!$J212)*'Hist. prices'!O369*O$244</f>
        <v>0</v>
      </c>
      <c r="P369" s="198">
        <f>IF(Qty!$J212=0,Qty!T212,Qty!T212*Qty!$J212)*'Hist. prices'!P369*P$244</f>
        <v>0</v>
      </c>
      <c r="Q369" s="198">
        <f>IF(Qty!$J212=0,Qty!U212,Qty!U212*Qty!$J212)*'Hist. prices'!Q369*Q$244</f>
        <v>0</v>
      </c>
      <c r="R369" s="198">
        <f>IF(Qty!$J212=0,Qty!V212,Qty!V212*Qty!$J212)*'Hist. prices'!R369*R$244</f>
        <v>0</v>
      </c>
      <c r="S369" s="198">
        <f>IF(Qty!$J212=0,Qty!W212,Qty!W212*Qty!$J212)*'Hist. prices'!S369*S$244</f>
        <v>0</v>
      </c>
      <c r="T369" s="198">
        <f>IF(Qty!$J212=0,Qty!X212,Qty!X212*Qty!$J212)*'Hist. prices'!T369*T$244</f>
        <v>0</v>
      </c>
      <c r="U369" s="198">
        <f>IF(Qty!$J212=0,Qty!Y212,Qty!Y212*Qty!$J212)*'Hist. prices'!U369*U$244</f>
        <v>0</v>
      </c>
      <c r="V369" s="198">
        <f>IF(Qty!$J212=0,Qty!Z212,Qty!Z212*Qty!$J212)*'Hist. prices'!V369*V$244</f>
        <v>0</v>
      </c>
      <c r="W369" s="198">
        <f>IF(Qty!$J212=0,Qty!AA212,Qty!AA212*Qty!$J212)*'Hist. prices'!W369*W$244</f>
        <v>0</v>
      </c>
      <c r="X369" s="198">
        <f>IF(Qty!$J212=0,Qty!AB212,Qty!AB212*Qty!$J212)*'Hist. prices'!X369*X$244</f>
        <v>0</v>
      </c>
      <c r="Y369" s="198">
        <f>IF(Qty!$J212=0,Qty!AC212,Qty!AC212*Qty!$J212)*'Hist. prices'!Y369*Y$244</f>
        <v>0</v>
      </c>
      <c r="Z369" s="198">
        <f>IF(Qty!$J212=0,Qty!AD212,Qty!AD212*Qty!$J212)*'Hist. prices'!Z369*Z$244</f>
        <v>0</v>
      </c>
      <c r="AA369" s="198">
        <f>IF(Qty!$J212=0,Qty!AE212,Qty!AE212*Qty!$J212)*'Hist. prices'!AA369*AA$244</f>
        <v>0</v>
      </c>
      <c r="AB369" s="198">
        <f>IF(Qty!$J212=0,Qty!AF212,Qty!AF212*Qty!$J212)*'Hist. prices'!AB369*AB$244</f>
        <v>0</v>
      </c>
      <c r="AC369" s="206">
        <f t="shared" si="39"/>
        <v>0</v>
      </c>
      <c r="AD369" s="68"/>
      <c r="AE369" s="19"/>
      <c r="AF369" s="19"/>
      <c r="AG369" s="19"/>
      <c r="AH369" s="19"/>
    </row>
    <row r="370" spans="1:34" hidden="1" outlineLevel="3" x14ac:dyDescent="0.2">
      <c r="A370" s="19"/>
      <c r="B370" s="19"/>
      <c r="C370" s="506">
        <f t="shared" si="40"/>
        <v>0</v>
      </c>
      <c r="D370" s="505">
        <f t="shared" si="40"/>
        <v>0</v>
      </c>
      <c r="E370" s="505">
        <f t="shared" si="40"/>
        <v>0</v>
      </c>
      <c r="F370" s="505">
        <f t="shared" si="40"/>
        <v>0</v>
      </c>
      <c r="G370" s="505">
        <f t="shared" si="40"/>
        <v>0</v>
      </c>
      <c r="H370" s="58"/>
      <c r="I370" s="198">
        <f>IF(Qty!$J213=0,Qty!M213,Qty!M213*Qty!$J213)*'Hist. prices'!I370*I$244</f>
        <v>0</v>
      </c>
      <c r="J370" s="198">
        <f>IF(Qty!$J213=0,Qty!N213,Qty!N213*Qty!$J213)*'Hist. prices'!J370*J$244</f>
        <v>0</v>
      </c>
      <c r="K370" s="198">
        <f>IF(Qty!$J213=0,Qty!O213,Qty!O213*Qty!$J213)*'Hist. prices'!K370*K$244</f>
        <v>0</v>
      </c>
      <c r="L370" s="198">
        <f>IF(Qty!$J213=0,Qty!P213,Qty!P213*Qty!$J213)*'Hist. prices'!L370*L$244</f>
        <v>0</v>
      </c>
      <c r="M370" s="198">
        <f>IF(Qty!$J213=0,Qty!Q213,Qty!Q213*Qty!$J213)*'Hist. prices'!M370*M$244</f>
        <v>0</v>
      </c>
      <c r="N370" s="198">
        <f>IF(Qty!$J213=0,Qty!R213,Qty!R213*Qty!$J213)*'Hist. prices'!N370*N$244</f>
        <v>0</v>
      </c>
      <c r="O370" s="198">
        <f>IF(Qty!$J213=0,Qty!S213,Qty!S213*Qty!$J213)*'Hist. prices'!O370*O$244</f>
        <v>0</v>
      </c>
      <c r="P370" s="198">
        <f>IF(Qty!$J213=0,Qty!T213,Qty!T213*Qty!$J213)*'Hist. prices'!P370*P$244</f>
        <v>0</v>
      </c>
      <c r="Q370" s="198">
        <f>IF(Qty!$J213=0,Qty!U213,Qty!U213*Qty!$J213)*'Hist. prices'!Q370*Q$244</f>
        <v>0</v>
      </c>
      <c r="R370" s="198">
        <f>IF(Qty!$J213=0,Qty!V213,Qty!V213*Qty!$J213)*'Hist. prices'!R370*R$244</f>
        <v>0</v>
      </c>
      <c r="S370" s="198">
        <f>IF(Qty!$J213=0,Qty!W213,Qty!W213*Qty!$J213)*'Hist. prices'!S370*S$244</f>
        <v>0</v>
      </c>
      <c r="T370" s="198">
        <f>IF(Qty!$J213=0,Qty!X213,Qty!X213*Qty!$J213)*'Hist. prices'!T370*T$244</f>
        <v>0</v>
      </c>
      <c r="U370" s="198">
        <f>IF(Qty!$J213=0,Qty!Y213,Qty!Y213*Qty!$J213)*'Hist. prices'!U370*U$244</f>
        <v>0</v>
      </c>
      <c r="V370" s="198">
        <f>IF(Qty!$J213=0,Qty!Z213,Qty!Z213*Qty!$J213)*'Hist. prices'!V370*V$244</f>
        <v>0</v>
      </c>
      <c r="W370" s="198">
        <f>IF(Qty!$J213=0,Qty!AA213,Qty!AA213*Qty!$J213)*'Hist. prices'!W370*W$244</f>
        <v>0</v>
      </c>
      <c r="X370" s="198">
        <f>IF(Qty!$J213=0,Qty!AB213,Qty!AB213*Qty!$J213)*'Hist. prices'!X370*X$244</f>
        <v>0</v>
      </c>
      <c r="Y370" s="198">
        <f>IF(Qty!$J213=0,Qty!AC213,Qty!AC213*Qty!$J213)*'Hist. prices'!Y370*Y$244</f>
        <v>0</v>
      </c>
      <c r="Z370" s="198">
        <f>IF(Qty!$J213=0,Qty!AD213,Qty!AD213*Qty!$J213)*'Hist. prices'!Z370*Z$244</f>
        <v>0</v>
      </c>
      <c r="AA370" s="198">
        <f>IF(Qty!$J213=0,Qty!AE213,Qty!AE213*Qty!$J213)*'Hist. prices'!AA370*AA$244</f>
        <v>0</v>
      </c>
      <c r="AB370" s="198">
        <f>IF(Qty!$J213=0,Qty!AF213,Qty!AF213*Qty!$J213)*'Hist. prices'!AB370*AB$244</f>
        <v>0</v>
      </c>
      <c r="AC370" s="206">
        <f t="shared" si="39"/>
        <v>0</v>
      </c>
      <c r="AD370" s="68"/>
      <c r="AE370" s="19"/>
      <c r="AF370" s="19"/>
      <c r="AG370" s="19"/>
      <c r="AH370" s="19"/>
    </row>
    <row r="371" spans="1:34" hidden="1" outlineLevel="3" x14ac:dyDescent="0.2">
      <c r="A371" s="19"/>
      <c r="B371" s="19"/>
      <c r="C371" s="506">
        <f t="shared" si="40"/>
        <v>0</v>
      </c>
      <c r="D371" s="505">
        <f t="shared" si="40"/>
        <v>0</v>
      </c>
      <c r="E371" s="505">
        <f t="shared" si="40"/>
        <v>0</v>
      </c>
      <c r="F371" s="505">
        <f t="shared" si="40"/>
        <v>0</v>
      </c>
      <c r="G371" s="505">
        <f t="shared" si="40"/>
        <v>0</v>
      </c>
      <c r="H371" s="58"/>
      <c r="I371" s="198">
        <f>IF(Qty!$J214=0,Qty!M214,Qty!M214*Qty!$J214)*'Hist. prices'!I371*I$244</f>
        <v>0</v>
      </c>
      <c r="J371" s="198">
        <f>IF(Qty!$J214=0,Qty!N214,Qty!N214*Qty!$J214)*'Hist. prices'!J371*J$244</f>
        <v>0</v>
      </c>
      <c r="K371" s="198">
        <f>IF(Qty!$J214=0,Qty!O214,Qty!O214*Qty!$J214)*'Hist. prices'!K371*K$244</f>
        <v>0</v>
      </c>
      <c r="L371" s="198">
        <f>IF(Qty!$J214=0,Qty!P214,Qty!P214*Qty!$J214)*'Hist. prices'!L371*L$244</f>
        <v>0</v>
      </c>
      <c r="M371" s="198">
        <f>IF(Qty!$J214=0,Qty!Q214,Qty!Q214*Qty!$J214)*'Hist. prices'!M371*M$244</f>
        <v>0</v>
      </c>
      <c r="N371" s="198">
        <f>IF(Qty!$J214=0,Qty!R214,Qty!R214*Qty!$J214)*'Hist. prices'!N371*N$244</f>
        <v>0</v>
      </c>
      <c r="O371" s="198">
        <f>IF(Qty!$J214=0,Qty!S214,Qty!S214*Qty!$J214)*'Hist. prices'!O371*O$244</f>
        <v>0</v>
      </c>
      <c r="P371" s="198">
        <f>IF(Qty!$J214=0,Qty!T214,Qty!T214*Qty!$J214)*'Hist. prices'!P371*P$244</f>
        <v>0</v>
      </c>
      <c r="Q371" s="198">
        <f>IF(Qty!$J214=0,Qty!U214,Qty!U214*Qty!$J214)*'Hist. prices'!Q371*Q$244</f>
        <v>0</v>
      </c>
      <c r="R371" s="198">
        <f>IF(Qty!$J214=0,Qty!V214,Qty!V214*Qty!$J214)*'Hist. prices'!R371*R$244</f>
        <v>0</v>
      </c>
      <c r="S371" s="198">
        <f>IF(Qty!$J214=0,Qty!W214,Qty!W214*Qty!$J214)*'Hist. prices'!S371*S$244</f>
        <v>0</v>
      </c>
      <c r="T371" s="198">
        <f>IF(Qty!$J214=0,Qty!X214,Qty!X214*Qty!$J214)*'Hist. prices'!T371*T$244</f>
        <v>0</v>
      </c>
      <c r="U371" s="198">
        <f>IF(Qty!$J214=0,Qty!Y214,Qty!Y214*Qty!$J214)*'Hist. prices'!U371*U$244</f>
        <v>0</v>
      </c>
      <c r="V371" s="198">
        <f>IF(Qty!$J214=0,Qty!Z214,Qty!Z214*Qty!$J214)*'Hist. prices'!V371*V$244</f>
        <v>0</v>
      </c>
      <c r="W371" s="198">
        <f>IF(Qty!$J214=0,Qty!AA214,Qty!AA214*Qty!$J214)*'Hist. prices'!W371*W$244</f>
        <v>0</v>
      </c>
      <c r="X371" s="198">
        <f>IF(Qty!$J214=0,Qty!AB214,Qty!AB214*Qty!$J214)*'Hist. prices'!X371*X$244</f>
        <v>0</v>
      </c>
      <c r="Y371" s="198">
        <f>IF(Qty!$J214=0,Qty!AC214,Qty!AC214*Qty!$J214)*'Hist. prices'!Y371*Y$244</f>
        <v>0</v>
      </c>
      <c r="Z371" s="198">
        <f>IF(Qty!$J214=0,Qty!AD214,Qty!AD214*Qty!$J214)*'Hist. prices'!Z371*Z$244</f>
        <v>0</v>
      </c>
      <c r="AA371" s="198">
        <f>IF(Qty!$J214=0,Qty!AE214,Qty!AE214*Qty!$J214)*'Hist. prices'!AA371*AA$244</f>
        <v>0</v>
      </c>
      <c r="AB371" s="198">
        <f>IF(Qty!$J214=0,Qty!AF214,Qty!AF214*Qty!$J214)*'Hist. prices'!AB371*AB$244</f>
        <v>0</v>
      </c>
      <c r="AC371" s="206">
        <f t="shared" si="39"/>
        <v>0</v>
      </c>
      <c r="AD371" s="68"/>
      <c r="AE371" s="19"/>
      <c r="AF371" s="19"/>
      <c r="AG371" s="19"/>
      <c r="AH371" s="19"/>
    </row>
    <row r="372" spans="1:34" hidden="1" outlineLevel="3" x14ac:dyDescent="0.2">
      <c r="A372" s="19"/>
      <c r="B372" s="19"/>
      <c r="C372" s="506">
        <f t="shared" si="40"/>
        <v>0</v>
      </c>
      <c r="D372" s="505">
        <f t="shared" si="40"/>
        <v>0</v>
      </c>
      <c r="E372" s="505">
        <f t="shared" si="40"/>
        <v>0</v>
      </c>
      <c r="F372" s="505">
        <f t="shared" si="40"/>
        <v>0</v>
      </c>
      <c r="G372" s="505">
        <f t="shared" si="40"/>
        <v>0</v>
      </c>
      <c r="H372" s="58"/>
      <c r="I372" s="198">
        <f>IF(Qty!$J215=0,Qty!M215,Qty!M215*Qty!$J215)*'Hist. prices'!I372*I$244</f>
        <v>0</v>
      </c>
      <c r="J372" s="198">
        <f>IF(Qty!$J215=0,Qty!N215,Qty!N215*Qty!$J215)*'Hist. prices'!J372*J$244</f>
        <v>0</v>
      </c>
      <c r="K372" s="198">
        <f>IF(Qty!$J215=0,Qty!O215,Qty!O215*Qty!$J215)*'Hist. prices'!K372*K$244</f>
        <v>0</v>
      </c>
      <c r="L372" s="198">
        <f>IF(Qty!$J215=0,Qty!P215,Qty!P215*Qty!$J215)*'Hist. prices'!L372*L$244</f>
        <v>0</v>
      </c>
      <c r="M372" s="198">
        <f>IF(Qty!$J215=0,Qty!Q215,Qty!Q215*Qty!$J215)*'Hist. prices'!M372*M$244</f>
        <v>0</v>
      </c>
      <c r="N372" s="198">
        <f>IF(Qty!$J215=0,Qty!R215,Qty!R215*Qty!$J215)*'Hist. prices'!N372*N$244</f>
        <v>0</v>
      </c>
      <c r="O372" s="198">
        <f>IF(Qty!$J215=0,Qty!S215,Qty!S215*Qty!$J215)*'Hist. prices'!O372*O$244</f>
        <v>0</v>
      </c>
      <c r="P372" s="198">
        <f>IF(Qty!$J215=0,Qty!T215,Qty!T215*Qty!$J215)*'Hist. prices'!P372*P$244</f>
        <v>0</v>
      </c>
      <c r="Q372" s="198">
        <f>IF(Qty!$J215=0,Qty!U215,Qty!U215*Qty!$J215)*'Hist. prices'!Q372*Q$244</f>
        <v>0</v>
      </c>
      <c r="R372" s="198">
        <f>IF(Qty!$J215=0,Qty!V215,Qty!V215*Qty!$J215)*'Hist. prices'!R372*R$244</f>
        <v>0</v>
      </c>
      <c r="S372" s="198">
        <f>IF(Qty!$J215=0,Qty!W215,Qty!W215*Qty!$J215)*'Hist. prices'!S372*S$244</f>
        <v>0</v>
      </c>
      <c r="T372" s="198">
        <f>IF(Qty!$J215=0,Qty!X215,Qty!X215*Qty!$J215)*'Hist. prices'!T372*T$244</f>
        <v>0</v>
      </c>
      <c r="U372" s="198">
        <f>IF(Qty!$J215=0,Qty!Y215,Qty!Y215*Qty!$J215)*'Hist. prices'!U372*U$244</f>
        <v>0</v>
      </c>
      <c r="V372" s="198">
        <f>IF(Qty!$J215=0,Qty!Z215,Qty!Z215*Qty!$J215)*'Hist. prices'!V372*V$244</f>
        <v>0</v>
      </c>
      <c r="W372" s="198">
        <f>IF(Qty!$J215=0,Qty!AA215,Qty!AA215*Qty!$J215)*'Hist. prices'!W372*W$244</f>
        <v>0</v>
      </c>
      <c r="X372" s="198">
        <f>IF(Qty!$J215=0,Qty!AB215,Qty!AB215*Qty!$J215)*'Hist. prices'!X372*X$244</f>
        <v>0</v>
      </c>
      <c r="Y372" s="198">
        <f>IF(Qty!$J215=0,Qty!AC215,Qty!AC215*Qty!$J215)*'Hist. prices'!Y372*Y$244</f>
        <v>0</v>
      </c>
      <c r="Z372" s="198">
        <f>IF(Qty!$J215=0,Qty!AD215,Qty!AD215*Qty!$J215)*'Hist. prices'!Z372*Z$244</f>
        <v>0</v>
      </c>
      <c r="AA372" s="198">
        <f>IF(Qty!$J215=0,Qty!AE215,Qty!AE215*Qty!$J215)*'Hist. prices'!AA372*AA$244</f>
        <v>0</v>
      </c>
      <c r="AB372" s="198">
        <f>IF(Qty!$J215=0,Qty!AF215,Qty!AF215*Qty!$J215)*'Hist. prices'!AB372*AB$244</f>
        <v>0</v>
      </c>
      <c r="AC372" s="206">
        <f t="shared" si="39"/>
        <v>0</v>
      </c>
      <c r="AD372" s="68"/>
      <c r="AE372" s="19"/>
      <c r="AF372" s="19"/>
      <c r="AG372" s="19"/>
      <c r="AH372" s="19"/>
    </row>
    <row r="373" spans="1:34" hidden="1" outlineLevel="3" x14ac:dyDescent="0.2">
      <c r="A373" s="19"/>
      <c r="B373" s="19"/>
      <c r="C373" s="506">
        <f t="shared" ref="C373:G382" si="41">C295</f>
        <v>0</v>
      </c>
      <c r="D373" s="505">
        <f t="shared" si="41"/>
        <v>0</v>
      </c>
      <c r="E373" s="505">
        <f t="shared" si="41"/>
        <v>0</v>
      </c>
      <c r="F373" s="505">
        <f t="shared" si="41"/>
        <v>0</v>
      </c>
      <c r="G373" s="505">
        <f t="shared" si="41"/>
        <v>0</v>
      </c>
      <c r="H373" s="58"/>
      <c r="I373" s="198">
        <f>IF(Qty!$J216=0,Qty!M216,Qty!M216*Qty!$J216)*'Hist. prices'!I373*I$244</f>
        <v>0</v>
      </c>
      <c r="J373" s="198">
        <f>IF(Qty!$J216=0,Qty!N216,Qty!N216*Qty!$J216)*'Hist. prices'!J373*J$244</f>
        <v>0</v>
      </c>
      <c r="K373" s="198">
        <f>IF(Qty!$J216=0,Qty!O216,Qty!O216*Qty!$J216)*'Hist. prices'!K373*K$244</f>
        <v>0</v>
      </c>
      <c r="L373" s="198">
        <f>IF(Qty!$J216=0,Qty!P216,Qty!P216*Qty!$J216)*'Hist. prices'!L373*L$244</f>
        <v>0</v>
      </c>
      <c r="M373" s="198">
        <f>IF(Qty!$J216=0,Qty!Q216,Qty!Q216*Qty!$J216)*'Hist. prices'!M373*M$244</f>
        <v>0</v>
      </c>
      <c r="N373" s="198">
        <f>IF(Qty!$J216=0,Qty!R216,Qty!R216*Qty!$J216)*'Hist. prices'!N373*N$244</f>
        <v>0</v>
      </c>
      <c r="O373" s="198">
        <f>IF(Qty!$J216=0,Qty!S216,Qty!S216*Qty!$J216)*'Hist. prices'!O373*O$244</f>
        <v>0</v>
      </c>
      <c r="P373" s="198">
        <f>IF(Qty!$J216=0,Qty!T216,Qty!T216*Qty!$J216)*'Hist. prices'!P373*P$244</f>
        <v>0</v>
      </c>
      <c r="Q373" s="198">
        <f>IF(Qty!$J216=0,Qty!U216,Qty!U216*Qty!$J216)*'Hist. prices'!Q373*Q$244</f>
        <v>0</v>
      </c>
      <c r="R373" s="198">
        <f>IF(Qty!$J216=0,Qty!V216,Qty!V216*Qty!$J216)*'Hist. prices'!R373*R$244</f>
        <v>0</v>
      </c>
      <c r="S373" s="198">
        <f>IF(Qty!$J216=0,Qty!W216,Qty!W216*Qty!$J216)*'Hist. prices'!S373*S$244</f>
        <v>0</v>
      </c>
      <c r="T373" s="198">
        <f>IF(Qty!$J216=0,Qty!X216,Qty!X216*Qty!$J216)*'Hist. prices'!T373*T$244</f>
        <v>0</v>
      </c>
      <c r="U373" s="198">
        <f>IF(Qty!$J216=0,Qty!Y216,Qty!Y216*Qty!$J216)*'Hist. prices'!U373*U$244</f>
        <v>0</v>
      </c>
      <c r="V373" s="198">
        <f>IF(Qty!$J216=0,Qty!Z216,Qty!Z216*Qty!$J216)*'Hist. prices'!V373*V$244</f>
        <v>0</v>
      </c>
      <c r="W373" s="198">
        <f>IF(Qty!$J216=0,Qty!AA216,Qty!AA216*Qty!$J216)*'Hist. prices'!W373*W$244</f>
        <v>0</v>
      </c>
      <c r="X373" s="198">
        <f>IF(Qty!$J216=0,Qty!AB216,Qty!AB216*Qty!$J216)*'Hist. prices'!X373*X$244</f>
        <v>0</v>
      </c>
      <c r="Y373" s="198">
        <f>IF(Qty!$J216=0,Qty!AC216,Qty!AC216*Qty!$J216)*'Hist. prices'!Y373*Y$244</f>
        <v>0</v>
      </c>
      <c r="Z373" s="198">
        <f>IF(Qty!$J216=0,Qty!AD216,Qty!AD216*Qty!$J216)*'Hist. prices'!Z373*Z$244</f>
        <v>0</v>
      </c>
      <c r="AA373" s="198">
        <f>IF(Qty!$J216=0,Qty!AE216,Qty!AE216*Qty!$J216)*'Hist. prices'!AA373*AA$244</f>
        <v>0</v>
      </c>
      <c r="AB373" s="198">
        <f>IF(Qty!$J216=0,Qty!AF216,Qty!AF216*Qty!$J216)*'Hist. prices'!AB373*AB$244</f>
        <v>0</v>
      </c>
      <c r="AC373" s="206">
        <f t="shared" si="39"/>
        <v>0</v>
      </c>
      <c r="AD373" s="68"/>
      <c r="AE373" s="19"/>
      <c r="AF373" s="19"/>
      <c r="AG373" s="19"/>
      <c r="AH373" s="19"/>
    </row>
    <row r="374" spans="1:34" hidden="1" outlineLevel="3" x14ac:dyDescent="0.2">
      <c r="A374" s="19"/>
      <c r="B374" s="19"/>
      <c r="C374" s="506">
        <f t="shared" si="41"/>
        <v>0</v>
      </c>
      <c r="D374" s="505">
        <f t="shared" si="41"/>
        <v>0</v>
      </c>
      <c r="E374" s="505">
        <f t="shared" si="41"/>
        <v>0</v>
      </c>
      <c r="F374" s="505">
        <f t="shared" si="41"/>
        <v>0</v>
      </c>
      <c r="G374" s="505">
        <f t="shared" si="41"/>
        <v>0</v>
      </c>
      <c r="H374" s="58"/>
      <c r="I374" s="198">
        <f>IF(Qty!$J217=0,Qty!M217,Qty!M217*Qty!$J217)*'Hist. prices'!I374*I$244</f>
        <v>0</v>
      </c>
      <c r="J374" s="198">
        <f>IF(Qty!$J217=0,Qty!N217,Qty!N217*Qty!$J217)*'Hist. prices'!J374*J$244</f>
        <v>0</v>
      </c>
      <c r="K374" s="198">
        <f>IF(Qty!$J217=0,Qty!O217,Qty!O217*Qty!$J217)*'Hist. prices'!K374*K$244</f>
        <v>0</v>
      </c>
      <c r="L374" s="198">
        <f>IF(Qty!$J217=0,Qty!P217,Qty!P217*Qty!$J217)*'Hist. prices'!L374*L$244</f>
        <v>0</v>
      </c>
      <c r="M374" s="198">
        <f>IF(Qty!$J217=0,Qty!Q217,Qty!Q217*Qty!$J217)*'Hist. prices'!M374*M$244</f>
        <v>0</v>
      </c>
      <c r="N374" s="198">
        <f>IF(Qty!$J217=0,Qty!R217,Qty!R217*Qty!$J217)*'Hist. prices'!N374*N$244</f>
        <v>0</v>
      </c>
      <c r="O374" s="198">
        <f>IF(Qty!$J217=0,Qty!S217,Qty!S217*Qty!$J217)*'Hist. prices'!O374*O$244</f>
        <v>0</v>
      </c>
      <c r="P374" s="198">
        <f>IF(Qty!$J217=0,Qty!T217,Qty!T217*Qty!$J217)*'Hist. prices'!P374*P$244</f>
        <v>0</v>
      </c>
      <c r="Q374" s="198">
        <f>IF(Qty!$J217=0,Qty!U217,Qty!U217*Qty!$J217)*'Hist. prices'!Q374*Q$244</f>
        <v>0</v>
      </c>
      <c r="R374" s="198">
        <f>IF(Qty!$J217=0,Qty!V217,Qty!V217*Qty!$J217)*'Hist. prices'!R374*R$244</f>
        <v>0</v>
      </c>
      <c r="S374" s="198">
        <f>IF(Qty!$J217=0,Qty!W217,Qty!W217*Qty!$J217)*'Hist. prices'!S374*S$244</f>
        <v>0</v>
      </c>
      <c r="T374" s="198">
        <f>IF(Qty!$J217=0,Qty!X217,Qty!X217*Qty!$J217)*'Hist. prices'!T374*T$244</f>
        <v>0</v>
      </c>
      <c r="U374" s="198">
        <f>IF(Qty!$J217=0,Qty!Y217,Qty!Y217*Qty!$J217)*'Hist. prices'!U374*U$244</f>
        <v>0</v>
      </c>
      <c r="V374" s="198">
        <f>IF(Qty!$J217=0,Qty!Z217,Qty!Z217*Qty!$J217)*'Hist. prices'!V374*V$244</f>
        <v>0</v>
      </c>
      <c r="W374" s="198">
        <f>IF(Qty!$J217=0,Qty!AA217,Qty!AA217*Qty!$J217)*'Hist. prices'!W374*W$244</f>
        <v>0</v>
      </c>
      <c r="X374" s="198">
        <f>IF(Qty!$J217=0,Qty!AB217,Qty!AB217*Qty!$J217)*'Hist. prices'!X374*X$244</f>
        <v>0</v>
      </c>
      <c r="Y374" s="198">
        <f>IF(Qty!$J217=0,Qty!AC217,Qty!AC217*Qty!$J217)*'Hist. prices'!Y374*Y$244</f>
        <v>0</v>
      </c>
      <c r="Z374" s="198">
        <f>IF(Qty!$J217=0,Qty!AD217,Qty!AD217*Qty!$J217)*'Hist. prices'!Z374*Z$244</f>
        <v>0</v>
      </c>
      <c r="AA374" s="198">
        <f>IF(Qty!$J217=0,Qty!AE217,Qty!AE217*Qty!$J217)*'Hist. prices'!AA374*AA$244</f>
        <v>0</v>
      </c>
      <c r="AB374" s="198">
        <f>IF(Qty!$J217=0,Qty!AF217,Qty!AF217*Qty!$J217)*'Hist. prices'!AB374*AB$244</f>
        <v>0</v>
      </c>
      <c r="AC374" s="206">
        <f t="shared" si="39"/>
        <v>0</v>
      </c>
      <c r="AD374" s="68"/>
      <c r="AE374" s="19"/>
      <c r="AF374" s="19"/>
      <c r="AG374" s="19"/>
      <c r="AH374" s="19"/>
    </row>
    <row r="375" spans="1:34" hidden="1" outlineLevel="3" x14ac:dyDescent="0.2">
      <c r="A375" s="19"/>
      <c r="B375" s="19"/>
      <c r="C375" s="506">
        <f t="shared" si="41"/>
        <v>0</v>
      </c>
      <c r="D375" s="505">
        <f t="shared" si="41"/>
        <v>0</v>
      </c>
      <c r="E375" s="505">
        <f t="shared" si="41"/>
        <v>0</v>
      </c>
      <c r="F375" s="505">
        <f t="shared" si="41"/>
        <v>0</v>
      </c>
      <c r="G375" s="505">
        <f t="shared" si="41"/>
        <v>0</v>
      </c>
      <c r="H375" s="58"/>
      <c r="I375" s="198">
        <f>IF(Qty!$J218=0,Qty!M218,Qty!M218*Qty!$J218)*'Hist. prices'!I375*I$244</f>
        <v>0</v>
      </c>
      <c r="J375" s="198">
        <f>IF(Qty!$J218=0,Qty!N218,Qty!N218*Qty!$J218)*'Hist. prices'!J375*J$244</f>
        <v>0</v>
      </c>
      <c r="K375" s="198">
        <f>IF(Qty!$J218=0,Qty!O218,Qty!O218*Qty!$J218)*'Hist. prices'!K375*K$244</f>
        <v>0</v>
      </c>
      <c r="L375" s="198">
        <f>IF(Qty!$J218=0,Qty!P218,Qty!P218*Qty!$J218)*'Hist. prices'!L375*L$244</f>
        <v>0</v>
      </c>
      <c r="M375" s="198">
        <f>IF(Qty!$J218=0,Qty!Q218,Qty!Q218*Qty!$J218)*'Hist. prices'!M375*M$244</f>
        <v>0</v>
      </c>
      <c r="N375" s="198">
        <f>IF(Qty!$J218=0,Qty!R218,Qty!R218*Qty!$J218)*'Hist. prices'!N375*N$244</f>
        <v>0</v>
      </c>
      <c r="O375" s="198">
        <f>IF(Qty!$J218=0,Qty!S218,Qty!S218*Qty!$J218)*'Hist. prices'!O375*O$244</f>
        <v>0</v>
      </c>
      <c r="P375" s="198">
        <f>IF(Qty!$J218=0,Qty!T218,Qty!T218*Qty!$J218)*'Hist. prices'!P375*P$244</f>
        <v>0</v>
      </c>
      <c r="Q375" s="198">
        <f>IF(Qty!$J218=0,Qty!U218,Qty!U218*Qty!$J218)*'Hist. prices'!Q375*Q$244</f>
        <v>0</v>
      </c>
      <c r="R375" s="198">
        <f>IF(Qty!$J218=0,Qty!V218,Qty!V218*Qty!$J218)*'Hist. prices'!R375*R$244</f>
        <v>0</v>
      </c>
      <c r="S375" s="198">
        <f>IF(Qty!$J218=0,Qty!W218,Qty!W218*Qty!$J218)*'Hist. prices'!S375*S$244</f>
        <v>0</v>
      </c>
      <c r="T375" s="198">
        <f>IF(Qty!$J218=0,Qty!X218,Qty!X218*Qty!$J218)*'Hist. prices'!T375*T$244</f>
        <v>0</v>
      </c>
      <c r="U375" s="198">
        <f>IF(Qty!$J218=0,Qty!Y218,Qty!Y218*Qty!$J218)*'Hist. prices'!U375*U$244</f>
        <v>0</v>
      </c>
      <c r="V375" s="198">
        <f>IF(Qty!$J218=0,Qty!Z218,Qty!Z218*Qty!$J218)*'Hist. prices'!V375*V$244</f>
        <v>0</v>
      </c>
      <c r="W375" s="198">
        <f>IF(Qty!$J218=0,Qty!AA218,Qty!AA218*Qty!$J218)*'Hist. prices'!W375*W$244</f>
        <v>0</v>
      </c>
      <c r="X375" s="198">
        <f>IF(Qty!$J218=0,Qty!AB218,Qty!AB218*Qty!$J218)*'Hist. prices'!X375*X$244</f>
        <v>0</v>
      </c>
      <c r="Y375" s="198">
        <f>IF(Qty!$J218=0,Qty!AC218,Qty!AC218*Qty!$J218)*'Hist. prices'!Y375*Y$244</f>
        <v>0</v>
      </c>
      <c r="Z375" s="198">
        <f>IF(Qty!$J218=0,Qty!AD218,Qty!AD218*Qty!$J218)*'Hist. prices'!Z375*Z$244</f>
        <v>0</v>
      </c>
      <c r="AA375" s="198">
        <f>IF(Qty!$J218=0,Qty!AE218,Qty!AE218*Qty!$J218)*'Hist. prices'!AA375*AA$244</f>
        <v>0</v>
      </c>
      <c r="AB375" s="198">
        <f>IF(Qty!$J218=0,Qty!AF218,Qty!AF218*Qty!$J218)*'Hist. prices'!AB375*AB$244</f>
        <v>0</v>
      </c>
      <c r="AC375" s="206">
        <f t="shared" si="39"/>
        <v>0</v>
      </c>
      <c r="AD375" s="68"/>
      <c r="AE375" s="19"/>
      <c r="AF375" s="19"/>
      <c r="AG375" s="19"/>
      <c r="AH375" s="19"/>
    </row>
    <row r="376" spans="1:34" hidden="1" outlineLevel="3" x14ac:dyDescent="0.2">
      <c r="A376" s="19"/>
      <c r="B376" s="19"/>
      <c r="C376" s="506">
        <f t="shared" si="41"/>
        <v>0</v>
      </c>
      <c r="D376" s="505">
        <f t="shared" si="41"/>
        <v>0</v>
      </c>
      <c r="E376" s="505">
        <f t="shared" si="41"/>
        <v>0</v>
      </c>
      <c r="F376" s="505">
        <f t="shared" si="41"/>
        <v>0</v>
      </c>
      <c r="G376" s="505">
        <f t="shared" si="41"/>
        <v>0</v>
      </c>
      <c r="H376" s="58"/>
      <c r="I376" s="198">
        <f>IF(Qty!$J219=0,Qty!M219,Qty!M219*Qty!$J219)*'Hist. prices'!I376*I$244</f>
        <v>0</v>
      </c>
      <c r="J376" s="198">
        <f>IF(Qty!$J219=0,Qty!N219,Qty!N219*Qty!$J219)*'Hist. prices'!J376*J$244</f>
        <v>0</v>
      </c>
      <c r="K376" s="198">
        <f>IF(Qty!$J219=0,Qty!O219,Qty!O219*Qty!$J219)*'Hist. prices'!K376*K$244</f>
        <v>0</v>
      </c>
      <c r="L376" s="198">
        <f>IF(Qty!$J219=0,Qty!P219,Qty!P219*Qty!$J219)*'Hist. prices'!L376*L$244</f>
        <v>0</v>
      </c>
      <c r="M376" s="198">
        <f>IF(Qty!$J219=0,Qty!Q219,Qty!Q219*Qty!$J219)*'Hist. prices'!M376*M$244</f>
        <v>0</v>
      </c>
      <c r="N376" s="198">
        <f>IF(Qty!$J219=0,Qty!R219,Qty!R219*Qty!$J219)*'Hist. prices'!N376*N$244</f>
        <v>0</v>
      </c>
      <c r="O376" s="198">
        <f>IF(Qty!$J219=0,Qty!S219,Qty!S219*Qty!$J219)*'Hist. prices'!O376*O$244</f>
        <v>0</v>
      </c>
      <c r="P376" s="198">
        <f>IF(Qty!$J219=0,Qty!T219,Qty!T219*Qty!$J219)*'Hist. prices'!P376*P$244</f>
        <v>0</v>
      </c>
      <c r="Q376" s="198">
        <f>IF(Qty!$J219=0,Qty!U219,Qty!U219*Qty!$J219)*'Hist. prices'!Q376*Q$244</f>
        <v>0</v>
      </c>
      <c r="R376" s="198">
        <f>IF(Qty!$J219=0,Qty!V219,Qty!V219*Qty!$J219)*'Hist. prices'!R376*R$244</f>
        <v>0</v>
      </c>
      <c r="S376" s="198">
        <f>IF(Qty!$J219=0,Qty!W219,Qty!W219*Qty!$J219)*'Hist. prices'!S376*S$244</f>
        <v>0</v>
      </c>
      <c r="T376" s="198">
        <f>IF(Qty!$J219=0,Qty!X219,Qty!X219*Qty!$J219)*'Hist. prices'!T376*T$244</f>
        <v>0</v>
      </c>
      <c r="U376" s="198">
        <f>IF(Qty!$J219=0,Qty!Y219,Qty!Y219*Qty!$J219)*'Hist. prices'!U376*U$244</f>
        <v>0</v>
      </c>
      <c r="V376" s="198">
        <f>IF(Qty!$J219=0,Qty!Z219,Qty!Z219*Qty!$J219)*'Hist. prices'!V376*V$244</f>
        <v>0</v>
      </c>
      <c r="W376" s="198">
        <f>IF(Qty!$J219=0,Qty!AA219,Qty!AA219*Qty!$J219)*'Hist. prices'!W376*W$244</f>
        <v>0</v>
      </c>
      <c r="X376" s="198">
        <f>IF(Qty!$J219=0,Qty!AB219,Qty!AB219*Qty!$J219)*'Hist. prices'!X376*X$244</f>
        <v>0</v>
      </c>
      <c r="Y376" s="198">
        <f>IF(Qty!$J219=0,Qty!AC219,Qty!AC219*Qty!$J219)*'Hist. prices'!Y376*Y$244</f>
        <v>0</v>
      </c>
      <c r="Z376" s="198">
        <f>IF(Qty!$J219=0,Qty!AD219,Qty!AD219*Qty!$J219)*'Hist. prices'!Z376*Z$244</f>
        <v>0</v>
      </c>
      <c r="AA376" s="198">
        <f>IF(Qty!$J219=0,Qty!AE219,Qty!AE219*Qty!$J219)*'Hist. prices'!AA376*AA$244</f>
        <v>0</v>
      </c>
      <c r="AB376" s="198">
        <f>IF(Qty!$J219=0,Qty!AF219,Qty!AF219*Qty!$J219)*'Hist. prices'!AB376*AB$244</f>
        <v>0</v>
      </c>
      <c r="AC376" s="206">
        <f t="shared" si="39"/>
        <v>0</v>
      </c>
      <c r="AD376" s="68"/>
      <c r="AE376" s="19"/>
      <c r="AF376" s="19"/>
      <c r="AG376" s="19"/>
      <c r="AH376" s="19"/>
    </row>
    <row r="377" spans="1:34" hidden="1" outlineLevel="3" x14ac:dyDescent="0.2">
      <c r="A377" s="19"/>
      <c r="B377" s="19"/>
      <c r="C377" s="506">
        <f t="shared" si="41"/>
        <v>0</v>
      </c>
      <c r="D377" s="505">
        <f t="shared" si="41"/>
        <v>0</v>
      </c>
      <c r="E377" s="505">
        <f t="shared" si="41"/>
        <v>0</v>
      </c>
      <c r="F377" s="505">
        <f t="shared" si="41"/>
        <v>0</v>
      </c>
      <c r="G377" s="505">
        <f t="shared" si="41"/>
        <v>0</v>
      </c>
      <c r="H377" s="58"/>
      <c r="I377" s="198">
        <f>IF(Qty!$J220=0,Qty!M220,Qty!M220*Qty!$J220)*'Hist. prices'!I377*I$244</f>
        <v>0</v>
      </c>
      <c r="J377" s="198">
        <f>IF(Qty!$J220=0,Qty!N220,Qty!N220*Qty!$J220)*'Hist. prices'!J377*J$244</f>
        <v>0</v>
      </c>
      <c r="K377" s="198">
        <f>IF(Qty!$J220=0,Qty!O220,Qty!O220*Qty!$J220)*'Hist. prices'!K377*K$244</f>
        <v>0</v>
      </c>
      <c r="L377" s="198">
        <f>IF(Qty!$J220=0,Qty!P220,Qty!P220*Qty!$J220)*'Hist. prices'!L377*L$244</f>
        <v>0</v>
      </c>
      <c r="M377" s="198">
        <f>IF(Qty!$J220=0,Qty!Q220,Qty!Q220*Qty!$J220)*'Hist. prices'!M377*M$244</f>
        <v>0</v>
      </c>
      <c r="N377" s="198">
        <f>IF(Qty!$J220=0,Qty!R220,Qty!R220*Qty!$J220)*'Hist. prices'!N377*N$244</f>
        <v>0</v>
      </c>
      <c r="O377" s="198">
        <f>IF(Qty!$J220=0,Qty!S220,Qty!S220*Qty!$J220)*'Hist. prices'!O377*O$244</f>
        <v>0</v>
      </c>
      <c r="P377" s="198">
        <f>IF(Qty!$J220=0,Qty!T220,Qty!T220*Qty!$J220)*'Hist. prices'!P377*P$244</f>
        <v>0</v>
      </c>
      <c r="Q377" s="198">
        <f>IF(Qty!$J220=0,Qty!U220,Qty!U220*Qty!$J220)*'Hist. prices'!Q377*Q$244</f>
        <v>0</v>
      </c>
      <c r="R377" s="198">
        <f>IF(Qty!$J220=0,Qty!V220,Qty!V220*Qty!$J220)*'Hist. prices'!R377*R$244</f>
        <v>0</v>
      </c>
      <c r="S377" s="198">
        <f>IF(Qty!$J220=0,Qty!W220,Qty!W220*Qty!$J220)*'Hist. prices'!S377*S$244</f>
        <v>0</v>
      </c>
      <c r="T377" s="198">
        <f>IF(Qty!$J220=0,Qty!X220,Qty!X220*Qty!$J220)*'Hist. prices'!T377*T$244</f>
        <v>0</v>
      </c>
      <c r="U377" s="198">
        <f>IF(Qty!$J220=0,Qty!Y220,Qty!Y220*Qty!$J220)*'Hist. prices'!U377*U$244</f>
        <v>0</v>
      </c>
      <c r="V377" s="198">
        <f>IF(Qty!$J220=0,Qty!Z220,Qty!Z220*Qty!$J220)*'Hist. prices'!V377*V$244</f>
        <v>0</v>
      </c>
      <c r="W377" s="198">
        <f>IF(Qty!$J220=0,Qty!AA220,Qty!AA220*Qty!$J220)*'Hist. prices'!W377*W$244</f>
        <v>0</v>
      </c>
      <c r="X377" s="198">
        <f>IF(Qty!$J220=0,Qty!AB220,Qty!AB220*Qty!$J220)*'Hist. prices'!X377*X$244</f>
        <v>0</v>
      </c>
      <c r="Y377" s="198">
        <f>IF(Qty!$J220=0,Qty!AC220,Qty!AC220*Qty!$J220)*'Hist. prices'!Y377*Y$244</f>
        <v>0</v>
      </c>
      <c r="Z377" s="198">
        <f>IF(Qty!$J220=0,Qty!AD220,Qty!AD220*Qty!$J220)*'Hist. prices'!Z377*Z$244</f>
        <v>0</v>
      </c>
      <c r="AA377" s="198">
        <f>IF(Qty!$J220=0,Qty!AE220,Qty!AE220*Qty!$J220)*'Hist. prices'!AA377*AA$244</f>
        <v>0</v>
      </c>
      <c r="AB377" s="198">
        <f>IF(Qty!$J220=0,Qty!AF220,Qty!AF220*Qty!$J220)*'Hist. prices'!AB377*AB$244</f>
        <v>0</v>
      </c>
      <c r="AC377" s="206">
        <f t="shared" si="39"/>
        <v>0</v>
      </c>
      <c r="AD377" s="68"/>
      <c r="AE377" s="19"/>
      <c r="AF377" s="19"/>
      <c r="AG377" s="19"/>
      <c r="AH377" s="19"/>
    </row>
    <row r="378" spans="1:34" hidden="1" outlineLevel="3" x14ac:dyDescent="0.2">
      <c r="A378" s="19"/>
      <c r="B378" s="19"/>
      <c r="C378" s="506">
        <f t="shared" si="41"/>
        <v>0</v>
      </c>
      <c r="D378" s="505">
        <f t="shared" si="41"/>
        <v>0</v>
      </c>
      <c r="E378" s="505">
        <f t="shared" si="41"/>
        <v>0</v>
      </c>
      <c r="F378" s="505">
        <f t="shared" si="41"/>
        <v>0</v>
      </c>
      <c r="G378" s="505">
        <f t="shared" si="41"/>
        <v>0</v>
      </c>
      <c r="H378" s="58"/>
      <c r="I378" s="198">
        <f>IF(Qty!$J221=0,Qty!M221,Qty!M221*Qty!$J221)*'Hist. prices'!I378*I$244</f>
        <v>0</v>
      </c>
      <c r="J378" s="198">
        <f>IF(Qty!$J221=0,Qty!N221,Qty!N221*Qty!$J221)*'Hist. prices'!J378*J$244</f>
        <v>0</v>
      </c>
      <c r="K378" s="198">
        <f>IF(Qty!$J221=0,Qty!O221,Qty!O221*Qty!$J221)*'Hist. prices'!K378*K$244</f>
        <v>0</v>
      </c>
      <c r="L378" s="198">
        <f>IF(Qty!$J221=0,Qty!P221,Qty!P221*Qty!$J221)*'Hist. prices'!L378*L$244</f>
        <v>0</v>
      </c>
      <c r="M378" s="198">
        <f>IF(Qty!$J221=0,Qty!Q221,Qty!Q221*Qty!$J221)*'Hist. prices'!M378*M$244</f>
        <v>0</v>
      </c>
      <c r="N378" s="198">
        <f>IF(Qty!$J221=0,Qty!R221,Qty!R221*Qty!$J221)*'Hist. prices'!N378*N$244</f>
        <v>0</v>
      </c>
      <c r="O378" s="198">
        <f>IF(Qty!$J221=0,Qty!S221,Qty!S221*Qty!$J221)*'Hist. prices'!O378*O$244</f>
        <v>0</v>
      </c>
      <c r="P378" s="198">
        <f>IF(Qty!$J221=0,Qty!T221,Qty!T221*Qty!$J221)*'Hist. prices'!P378*P$244</f>
        <v>0</v>
      </c>
      <c r="Q378" s="198">
        <f>IF(Qty!$J221=0,Qty!U221,Qty!U221*Qty!$J221)*'Hist. prices'!Q378*Q$244</f>
        <v>0</v>
      </c>
      <c r="R378" s="198">
        <f>IF(Qty!$J221=0,Qty!V221,Qty!V221*Qty!$J221)*'Hist. prices'!R378*R$244</f>
        <v>0</v>
      </c>
      <c r="S378" s="198">
        <f>IF(Qty!$J221=0,Qty!W221,Qty!W221*Qty!$J221)*'Hist. prices'!S378*S$244</f>
        <v>0</v>
      </c>
      <c r="T378" s="198">
        <f>IF(Qty!$J221=0,Qty!X221,Qty!X221*Qty!$J221)*'Hist. prices'!T378*T$244</f>
        <v>0</v>
      </c>
      <c r="U378" s="198">
        <f>IF(Qty!$J221=0,Qty!Y221,Qty!Y221*Qty!$J221)*'Hist. prices'!U378*U$244</f>
        <v>0</v>
      </c>
      <c r="V378" s="198">
        <f>IF(Qty!$J221=0,Qty!Z221,Qty!Z221*Qty!$J221)*'Hist. prices'!V378*V$244</f>
        <v>0</v>
      </c>
      <c r="W378" s="198">
        <f>IF(Qty!$J221=0,Qty!AA221,Qty!AA221*Qty!$J221)*'Hist. prices'!W378*W$244</f>
        <v>0</v>
      </c>
      <c r="X378" s="198">
        <f>IF(Qty!$J221=0,Qty!AB221,Qty!AB221*Qty!$J221)*'Hist. prices'!X378*X$244</f>
        <v>0</v>
      </c>
      <c r="Y378" s="198">
        <f>IF(Qty!$J221=0,Qty!AC221,Qty!AC221*Qty!$J221)*'Hist. prices'!Y378*Y$244</f>
        <v>0</v>
      </c>
      <c r="Z378" s="198">
        <f>IF(Qty!$J221=0,Qty!AD221,Qty!AD221*Qty!$J221)*'Hist. prices'!Z378*Z$244</f>
        <v>0</v>
      </c>
      <c r="AA378" s="198">
        <f>IF(Qty!$J221=0,Qty!AE221,Qty!AE221*Qty!$J221)*'Hist. prices'!AA378*AA$244</f>
        <v>0</v>
      </c>
      <c r="AB378" s="198">
        <f>IF(Qty!$J221=0,Qty!AF221,Qty!AF221*Qty!$J221)*'Hist. prices'!AB378*AB$244</f>
        <v>0</v>
      </c>
      <c r="AC378" s="206">
        <f t="shared" si="39"/>
        <v>0</v>
      </c>
      <c r="AD378" s="68"/>
      <c r="AE378" s="19"/>
      <c r="AF378" s="19"/>
      <c r="AG378" s="19"/>
      <c r="AH378" s="19"/>
    </row>
    <row r="379" spans="1:34" hidden="1" outlineLevel="3" x14ac:dyDescent="0.2">
      <c r="A379" s="19"/>
      <c r="B379" s="19"/>
      <c r="C379" s="506">
        <f t="shared" si="41"/>
        <v>0</v>
      </c>
      <c r="D379" s="505">
        <f t="shared" si="41"/>
        <v>0</v>
      </c>
      <c r="E379" s="505">
        <f t="shared" si="41"/>
        <v>0</v>
      </c>
      <c r="F379" s="505">
        <f t="shared" si="41"/>
        <v>0</v>
      </c>
      <c r="G379" s="505">
        <f t="shared" si="41"/>
        <v>0</v>
      </c>
      <c r="H379" s="58"/>
      <c r="I379" s="198">
        <f>IF(Qty!$J222=0,Qty!M222,Qty!M222*Qty!$J222)*'Hist. prices'!I379*I$244</f>
        <v>0</v>
      </c>
      <c r="J379" s="198">
        <f>IF(Qty!$J222=0,Qty!N222,Qty!N222*Qty!$J222)*'Hist. prices'!J379*J$244</f>
        <v>0</v>
      </c>
      <c r="K379" s="198">
        <f>IF(Qty!$J222=0,Qty!O222,Qty!O222*Qty!$J222)*'Hist. prices'!K379*K$244</f>
        <v>0</v>
      </c>
      <c r="L379" s="198">
        <f>IF(Qty!$J222=0,Qty!P222,Qty!P222*Qty!$J222)*'Hist. prices'!L379*L$244</f>
        <v>0</v>
      </c>
      <c r="M379" s="198">
        <f>IF(Qty!$J222=0,Qty!Q222,Qty!Q222*Qty!$J222)*'Hist. prices'!M379*M$244</f>
        <v>0</v>
      </c>
      <c r="N379" s="198">
        <f>IF(Qty!$J222=0,Qty!R222,Qty!R222*Qty!$J222)*'Hist. prices'!N379*N$244</f>
        <v>0</v>
      </c>
      <c r="O379" s="198">
        <f>IF(Qty!$J222=0,Qty!S222,Qty!S222*Qty!$J222)*'Hist. prices'!O379*O$244</f>
        <v>0</v>
      </c>
      <c r="P379" s="198">
        <f>IF(Qty!$J222=0,Qty!T222,Qty!T222*Qty!$J222)*'Hist. prices'!P379*P$244</f>
        <v>0</v>
      </c>
      <c r="Q379" s="198">
        <f>IF(Qty!$J222=0,Qty!U222,Qty!U222*Qty!$J222)*'Hist. prices'!Q379*Q$244</f>
        <v>0</v>
      </c>
      <c r="R379" s="198">
        <f>IF(Qty!$J222=0,Qty!V222,Qty!V222*Qty!$J222)*'Hist. prices'!R379*R$244</f>
        <v>0</v>
      </c>
      <c r="S379" s="198">
        <f>IF(Qty!$J222=0,Qty!W222,Qty!W222*Qty!$J222)*'Hist. prices'!S379*S$244</f>
        <v>0</v>
      </c>
      <c r="T379" s="198">
        <f>IF(Qty!$J222=0,Qty!X222,Qty!X222*Qty!$J222)*'Hist. prices'!T379*T$244</f>
        <v>0</v>
      </c>
      <c r="U379" s="198">
        <f>IF(Qty!$J222=0,Qty!Y222,Qty!Y222*Qty!$J222)*'Hist. prices'!U379*U$244</f>
        <v>0</v>
      </c>
      <c r="V379" s="198">
        <f>IF(Qty!$J222=0,Qty!Z222,Qty!Z222*Qty!$J222)*'Hist. prices'!V379*V$244</f>
        <v>0</v>
      </c>
      <c r="W379" s="198">
        <f>IF(Qty!$J222=0,Qty!AA222,Qty!AA222*Qty!$J222)*'Hist. prices'!W379*W$244</f>
        <v>0</v>
      </c>
      <c r="X379" s="198">
        <f>IF(Qty!$J222=0,Qty!AB222,Qty!AB222*Qty!$J222)*'Hist. prices'!X379*X$244</f>
        <v>0</v>
      </c>
      <c r="Y379" s="198">
        <f>IF(Qty!$J222=0,Qty!AC222,Qty!AC222*Qty!$J222)*'Hist. prices'!Y379*Y$244</f>
        <v>0</v>
      </c>
      <c r="Z379" s="198">
        <f>IF(Qty!$J222=0,Qty!AD222,Qty!AD222*Qty!$J222)*'Hist. prices'!Z379*Z$244</f>
        <v>0</v>
      </c>
      <c r="AA379" s="198">
        <f>IF(Qty!$J222=0,Qty!AE222,Qty!AE222*Qty!$J222)*'Hist. prices'!AA379*AA$244</f>
        <v>0</v>
      </c>
      <c r="AB379" s="198">
        <f>IF(Qty!$J222=0,Qty!AF222,Qty!AF222*Qty!$J222)*'Hist. prices'!AB379*AB$244</f>
        <v>0</v>
      </c>
      <c r="AC379" s="206">
        <f t="shared" si="39"/>
        <v>0</v>
      </c>
      <c r="AD379" s="68"/>
      <c r="AE379" s="19"/>
      <c r="AF379" s="19"/>
      <c r="AG379" s="19"/>
      <c r="AH379" s="19"/>
    </row>
    <row r="380" spans="1:34" hidden="1" outlineLevel="3" x14ac:dyDescent="0.2">
      <c r="A380" s="19"/>
      <c r="B380" s="19"/>
      <c r="C380" s="506">
        <f t="shared" si="41"/>
        <v>0</v>
      </c>
      <c r="D380" s="505">
        <f t="shared" si="41"/>
        <v>0</v>
      </c>
      <c r="E380" s="505">
        <f t="shared" si="41"/>
        <v>0</v>
      </c>
      <c r="F380" s="505">
        <f t="shared" si="41"/>
        <v>0</v>
      </c>
      <c r="G380" s="505">
        <f t="shared" si="41"/>
        <v>0</v>
      </c>
      <c r="H380" s="58"/>
      <c r="I380" s="198">
        <f>IF(Qty!$J223=0,Qty!M223,Qty!M223*Qty!$J223)*'Hist. prices'!I380*I$244</f>
        <v>0</v>
      </c>
      <c r="J380" s="198">
        <f>IF(Qty!$J223=0,Qty!N223,Qty!N223*Qty!$J223)*'Hist. prices'!J380*J$244</f>
        <v>0</v>
      </c>
      <c r="K380" s="198">
        <f>IF(Qty!$J223=0,Qty!O223,Qty!O223*Qty!$J223)*'Hist. prices'!K380*K$244</f>
        <v>0</v>
      </c>
      <c r="L380" s="198">
        <f>IF(Qty!$J223=0,Qty!P223,Qty!P223*Qty!$J223)*'Hist. prices'!L380*L$244</f>
        <v>0</v>
      </c>
      <c r="M380" s="198">
        <f>IF(Qty!$J223=0,Qty!Q223,Qty!Q223*Qty!$J223)*'Hist. prices'!M380*M$244</f>
        <v>0</v>
      </c>
      <c r="N380" s="198">
        <f>IF(Qty!$J223=0,Qty!R223,Qty!R223*Qty!$J223)*'Hist. prices'!N380*N$244</f>
        <v>0</v>
      </c>
      <c r="O380" s="198">
        <f>IF(Qty!$J223=0,Qty!S223,Qty!S223*Qty!$J223)*'Hist. prices'!O380*O$244</f>
        <v>0</v>
      </c>
      <c r="P380" s="198">
        <f>IF(Qty!$J223=0,Qty!T223,Qty!T223*Qty!$J223)*'Hist. prices'!P380*P$244</f>
        <v>0</v>
      </c>
      <c r="Q380" s="198">
        <f>IF(Qty!$J223=0,Qty!U223,Qty!U223*Qty!$J223)*'Hist. prices'!Q380*Q$244</f>
        <v>0</v>
      </c>
      <c r="R380" s="198">
        <f>IF(Qty!$J223=0,Qty!V223,Qty!V223*Qty!$J223)*'Hist. prices'!R380*R$244</f>
        <v>0</v>
      </c>
      <c r="S380" s="198">
        <f>IF(Qty!$J223=0,Qty!W223,Qty!W223*Qty!$J223)*'Hist. prices'!S380*S$244</f>
        <v>0</v>
      </c>
      <c r="T380" s="198">
        <f>IF(Qty!$J223=0,Qty!X223,Qty!X223*Qty!$J223)*'Hist. prices'!T380*T$244</f>
        <v>0</v>
      </c>
      <c r="U380" s="198">
        <f>IF(Qty!$J223=0,Qty!Y223,Qty!Y223*Qty!$J223)*'Hist. prices'!U380*U$244</f>
        <v>0</v>
      </c>
      <c r="V380" s="198">
        <f>IF(Qty!$J223=0,Qty!Z223,Qty!Z223*Qty!$J223)*'Hist. prices'!V380*V$244</f>
        <v>0</v>
      </c>
      <c r="W380" s="198">
        <f>IF(Qty!$J223=0,Qty!AA223,Qty!AA223*Qty!$J223)*'Hist. prices'!W380*W$244</f>
        <v>0</v>
      </c>
      <c r="X380" s="198">
        <f>IF(Qty!$J223=0,Qty!AB223,Qty!AB223*Qty!$J223)*'Hist. prices'!X380*X$244</f>
        <v>0</v>
      </c>
      <c r="Y380" s="198">
        <f>IF(Qty!$J223=0,Qty!AC223,Qty!AC223*Qty!$J223)*'Hist. prices'!Y380*Y$244</f>
        <v>0</v>
      </c>
      <c r="Z380" s="198">
        <f>IF(Qty!$J223=0,Qty!AD223,Qty!AD223*Qty!$J223)*'Hist. prices'!Z380*Z$244</f>
        <v>0</v>
      </c>
      <c r="AA380" s="198">
        <f>IF(Qty!$J223=0,Qty!AE223,Qty!AE223*Qty!$J223)*'Hist. prices'!AA380*AA$244</f>
        <v>0</v>
      </c>
      <c r="AB380" s="198">
        <f>IF(Qty!$J223=0,Qty!AF223,Qty!AF223*Qty!$J223)*'Hist. prices'!AB380*AB$244</f>
        <v>0</v>
      </c>
      <c r="AC380" s="206">
        <f t="shared" si="39"/>
        <v>0</v>
      </c>
      <c r="AD380" s="68"/>
      <c r="AE380" s="19"/>
      <c r="AF380" s="19"/>
      <c r="AG380" s="19"/>
      <c r="AH380" s="19"/>
    </row>
    <row r="381" spans="1:34" hidden="1" outlineLevel="3" x14ac:dyDescent="0.2">
      <c r="A381" s="19"/>
      <c r="B381" s="19"/>
      <c r="C381" s="506">
        <f t="shared" si="41"/>
        <v>0</v>
      </c>
      <c r="D381" s="505">
        <f t="shared" si="41"/>
        <v>0</v>
      </c>
      <c r="E381" s="505">
        <f t="shared" si="41"/>
        <v>0</v>
      </c>
      <c r="F381" s="505">
        <f t="shared" si="41"/>
        <v>0</v>
      </c>
      <c r="G381" s="505">
        <f t="shared" si="41"/>
        <v>0</v>
      </c>
      <c r="H381" s="58"/>
      <c r="I381" s="198">
        <f>IF(Qty!$J224=0,Qty!M224,Qty!M224*Qty!$J224)*'Hist. prices'!I381*I$244</f>
        <v>0</v>
      </c>
      <c r="J381" s="198">
        <f>IF(Qty!$J224=0,Qty!N224,Qty!N224*Qty!$J224)*'Hist. prices'!J381*J$244</f>
        <v>0</v>
      </c>
      <c r="K381" s="198">
        <f>IF(Qty!$J224=0,Qty!O224,Qty!O224*Qty!$J224)*'Hist. prices'!K381*K$244</f>
        <v>0</v>
      </c>
      <c r="L381" s="198">
        <f>IF(Qty!$J224=0,Qty!P224,Qty!P224*Qty!$J224)*'Hist. prices'!L381*L$244</f>
        <v>0</v>
      </c>
      <c r="M381" s="198">
        <f>IF(Qty!$J224=0,Qty!Q224,Qty!Q224*Qty!$J224)*'Hist. prices'!M381*M$244</f>
        <v>0</v>
      </c>
      <c r="N381" s="198">
        <f>IF(Qty!$J224=0,Qty!R224,Qty!R224*Qty!$J224)*'Hist. prices'!N381*N$244</f>
        <v>0</v>
      </c>
      <c r="O381" s="198">
        <f>IF(Qty!$J224=0,Qty!S224,Qty!S224*Qty!$J224)*'Hist. prices'!O381*O$244</f>
        <v>0</v>
      </c>
      <c r="P381" s="198">
        <f>IF(Qty!$J224=0,Qty!T224,Qty!T224*Qty!$J224)*'Hist. prices'!P381*P$244</f>
        <v>0</v>
      </c>
      <c r="Q381" s="198">
        <f>IF(Qty!$J224=0,Qty!U224,Qty!U224*Qty!$J224)*'Hist. prices'!Q381*Q$244</f>
        <v>0</v>
      </c>
      <c r="R381" s="198">
        <f>IF(Qty!$J224=0,Qty!V224,Qty!V224*Qty!$J224)*'Hist. prices'!R381*R$244</f>
        <v>0</v>
      </c>
      <c r="S381" s="198">
        <f>IF(Qty!$J224=0,Qty!W224,Qty!W224*Qty!$J224)*'Hist. prices'!S381*S$244</f>
        <v>0</v>
      </c>
      <c r="T381" s="198">
        <f>IF(Qty!$J224=0,Qty!X224,Qty!X224*Qty!$J224)*'Hist. prices'!T381*T$244</f>
        <v>0</v>
      </c>
      <c r="U381" s="198">
        <f>IF(Qty!$J224=0,Qty!Y224,Qty!Y224*Qty!$J224)*'Hist. prices'!U381*U$244</f>
        <v>0</v>
      </c>
      <c r="V381" s="198">
        <f>IF(Qty!$J224=0,Qty!Z224,Qty!Z224*Qty!$J224)*'Hist. prices'!V381*V$244</f>
        <v>0</v>
      </c>
      <c r="W381" s="198">
        <f>IF(Qty!$J224=0,Qty!AA224,Qty!AA224*Qty!$J224)*'Hist. prices'!W381*W$244</f>
        <v>0</v>
      </c>
      <c r="X381" s="198">
        <f>IF(Qty!$J224=0,Qty!AB224,Qty!AB224*Qty!$J224)*'Hist. prices'!X381*X$244</f>
        <v>0</v>
      </c>
      <c r="Y381" s="198">
        <f>IF(Qty!$J224=0,Qty!AC224,Qty!AC224*Qty!$J224)*'Hist. prices'!Y381*Y$244</f>
        <v>0</v>
      </c>
      <c r="Z381" s="198">
        <f>IF(Qty!$J224=0,Qty!AD224,Qty!AD224*Qty!$J224)*'Hist. prices'!Z381*Z$244</f>
        <v>0</v>
      </c>
      <c r="AA381" s="198">
        <f>IF(Qty!$J224=0,Qty!AE224,Qty!AE224*Qty!$J224)*'Hist. prices'!AA381*AA$244</f>
        <v>0</v>
      </c>
      <c r="AB381" s="198">
        <f>IF(Qty!$J224=0,Qty!AF224,Qty!AF224*Qty!$J224)*'Hist. prices'!AB381*AB$244</f>
        <v>0</v>
      </c>
      <c r="AC381" s="206">
        <f t="shared" si="39"/>
        <v>0</v>
      </c>
      <c r="AD381" s="68"/>
      <c r="AE381" s="19"/>
      <c r="AF381" s="19"/>
      <c r="AG381" s="19"/>
      <c r="AH381" s="19"/>
    </row>
    <row r="382" spans="1:34" hidden="1" outlineLevel="3" x14ac:dyDescent="0.2">
      <c r="A382" s="19"/>
      <c r="B382" s="19"/>
      <c r="C382" s="506">
        <f t="shared" si="41"/>
        <v>0</v>
      </c>
      <c r="D382" s="505">
        <f t="shared" si="41"/>
        <v>0</v>
      </c>
      <c r="E382" s="505">
        <f t="shared" si="41"/>
        <v>0</v>
      </c>
      <c r="F382" s="505">
        <f t="shared" si="41"/>
        <v>0</v>
      </c>
      <c r="G382" s="505">
        <f t="shared" si="41"/>
        <v>0</v>
      </c>
      <c r="H382" s="58"/>
      <c r="I382" s="198">
        <f>IF(Qty!$J225=0,Qty!M225,Qty!M225*Qty!$J225)*'Hist. prices'!I382*I$244</f>
        <v>0</v>
      </c>
      <c r="J382" s="198">
        <f>IF(Qty!$J225=0,Qty!N225,Qty!N225*Qty!$J225)*'Hist. prices'!J382*J$244</f>
        <v>0</v>
      </c>
      <c r="K382" s="198">
        <f>IF(Qty!$J225=0,Qty!O225,Qty!O225*Qty!$J225)*'Hist. prices'!K382*K$244</f>
        <v>0</v>
      </c>
      <c r="L382" s="198">
        <f>IF(Qty!$J225=0,Qty!P225,Qty!P225*Qty!$J225)*'Hist. prices'!L382*L$244</f>
        <v>0</v>
      </c>
      <c r="M382" s="198">
        <f>IF(Qty!$J225=0,Qty!Q225,Qty!Q225*Qty!$J225)*'Hist. prices'!M382*M$244</f>
        <v>0</v>
      </c>
      <c r="N382" s="198">
        <f>IF(Qty!$J225=0,Qty!R225,Qty!R225*Qty!$J225)*'Hist. prices'!N382*N$244</f>
        <v>0</v>
      </c>
      <c r="O382" s="198">
        <f>IF(Qty!$J225=0,Qty!S225,Qty!S225*Qty!$J225)*'Hist. prices'!O382*O$244</f>
        <v>0</v>
      </c>
      <c r="P382" s="198">
        <f>IF(Qty!$J225=0,Qty!T225,Qty!T225*Qty!$J225)*'Hist. prices'!P382*P$244</f>
        <v>0</v>
      </c>
      <c r="Q382" s="198">
        <f>IF(Qty!$J225=0,Qty!U225,Qty!U225*Qty!$J225)*'Hist. prices'!Q382*Q$244</f>
        <v>0</v>
      </c>
      <c r="R382" s="198">
        <f>IF(Qty!$J225=0,Qty!V225,Qty!V225*Qty!$J225)*'Hist. prices'!R382*R$244</f>
        <v>0</v>
      </c>
      <c r="S382" s="198">
        <f>IF(Qty!$J225=0,Qty!W225,Qty!W225*Qty!$J225)*'Hist. prices'!S382*S$244</f>
        <v>0</v>
      </c>
      <c r="T382" s="198">
        <f>IF(Qty!$J225=0,Qty!X225,Qty!X225*Qty!$J225)*'Hist. prices'!T382*T$244</f>
        <v>0</v>
      </c>
      <c r="U382" s="198">
        <f>IF(Qty!$J225=0,Qty!Y225,Qty!Y225*Qty!$J225)*'Hist. prices'!U382*U$244</f>
        <v>0</v>
      </c>
      <c r="V382" s="198">
        <f>IF(Qty!$J225=0,Qty!Z225,Qty!Z225*Qty!$J225)*'Hist. prices'!V382*V$244</f>
        <v>0</v>
      </c>
      <c r="W382" s="198">
        <f>IF(Qty!$J225=0,Qty!AA225,Qty!AA225*Qty!$J225)*'Hist. prices'!W382*W$244</f>
        <v>0</v>
      </c>
      <c r="X382" s="198">
        <f>IF(Qty!$J225=0,Qty!AB225,Qty!AB225*Qty!$J225)*'Hist. prices'!X382*X$244</f>
        <v>0</v>
      </c>
      <c r="Y382" s="198">
        <f>IF(Qty!$J225=0,Qty!AC225,Qty!AC225*Qty!$J225)*'Hist. prices'!Y382*Y$244</f>
        <v>0</v>
      </c>
      <c r="Z382" s="198">
        <f>IF(Qty!$J225=0,Qty!AD225,Qty!AD225*Qty!$J225)*'Hist. prices'!Z382*Z$244</f>
        <v>0</v>
      </c>
      <c r="AA382" s="198">
        <f>IF(Qty!$J225=0,Qty!AE225,Qty!AE225*Qty!$J225)*'Hist. prices'!AA382*AA$244</f>
        <v>0</v>
      </c>
      <c r="AB382" s="198">
        <f>IF(Qty!$J225=0,Qty!AF225,Qty!AF225*Qty!$J225)*'Hist. prices'!AB382*AB$244</f>
        <v>0</v>
      </c>
      <c r="AC382" s="206">
        <f t="shared" si="39"/>
        <v>0</v>
      </c>
      <c r="AD382" s="68"/>
      <c r="AE382" s="19"/>
      <c r="AF382" s="19"/>
      <c r="AG382" s="19"/>
      <c r="AH382" s="19"/>
    </row>
    <row r="383" spans="1:34" hidden="1" outlineLevel="3" x14ac:dyDescent="0.2">
      <c r="A383" s="19"/>
      <c r="B383" s="19"/>
      <c r="C383" s="506">
        <f t="shared" ref="C383:G392" si="42">C305</f>
        <v>0</v>
      </c>
      <c r="D383" s="505">
        <f t="shared" si="42"/>
        <v>0</v>
      </c>
      <c r="E383" s="505">
        <f t="shared" si="42"/>
        <v>0</v>
      </c>
      <c r="F383" s="505">
        <f t="shared" si="42"/>
        <v>0</v>
      </c>
      <c r="G383" s="505">
        <f t="shared" si="42"/>
        <v>0</v>
      </c>
      <c r="H383" s="58"/>
      <c r="I383" s="198">
        <f>IF(Qty!$J226=0,Qty!M226,Qty!M226*Qty!$J226)*'Hist. prices'!I383*I$244</f>
        <v>0</v>
      </c>
      <c r="J383" s="198">
        <f>IF(Qty!$J226=0,Qty!N226,Qty!N226*Qty!$J226)*'Hist. prices'!J383*J$244</f>
        <v>0</v>
      </c>
      <c r="K383" s="198">
        <f>IF(Qty!$J226=0,Qty!O226,Qty!O226*Qty!$J226)*'Hist. prices'!K383*K$244</f>
        <v>0</v>
      </c>
      <c r="L383" s="198">
        <f>IF(Qty!$J226=0,Qty!P226,Qty!P226*Qty!$J226)*'Hist. prices'!L383*L$244</f>
        <v>0</v>
      </c>
      <c r="M383" s="198">
        <f>IF(Qty!$J226=0,Qty!Q226,Qty!Q226*Qty!$J226)*'Hist. prices'!M383*M$244</f>
        <v>0</v>
      </c>
      <c r="N383" s="198">
        <f>IF(Qty!$J226=0,Qty!R226,Qty!R226*Qty!$J226)*'Hist. prices'!N383*N$244</f>
        <v>0</v>
      </c>
      <c r="O383" s="198">
        <f>IF(Qty!$J226=0,Qty!S226,Qty!S226*Qty!$J226)*'Hist. prices'!O383*O$244</f>
        <v>0</v>
      </c>
      <c r="P383" s="198">
        <f>IF(Qty!$J226=0,Qty!T226,Qty!T226*Qty!$J226)*'Hist. prices'!P383*P$244</f>
        <v>0</v>
      </c>
      <c r="Q383" s="198">
        <f>IF(Qty!$J226=0,Qty!U226,Qty!U226*Qty!$J226)*'Hist. prices'!Q383*Q$244</f>
        <v>0</v>
      </c>
      <c r="R383" s="198">
        <f>IF(Qty!$J226=0,Qty!V226,Qty!V226*Qty!$J226)*'Hist. prices'!R383*R$244</f>
        <v>0</v>
      </c>
      <c r="S383" s="198">
        <f>IF(Qty!$J226=0,Qty!W226,Qty!W226*Qty!$J226)*'Hist. prices'!S383*S$244</f>
        <v>0</v>
      </c>
      <c r="T383" s="198">
        <f>IF(Qty!$J226=0,Qty!X226,Qty!X226*Qty!$J226)*'Hist. prices'!T383*T$244</f>
        <v>0</v>
      </c>
      <c r="U383" s="198">
        <f>IF(Qty!$J226=0,Qty!Y226,Qty!Y226*Qty!$J226)*'Hist. prices'!U383*U$244</f>
        <v>0</v>
      </c>
      <c r="V383" s="198">
        <f>IF(Qty!$J226=0,Qty!Z226,Qty!Z226*Qty!$J226)*'Hist. prices'!V383*V$244</f>
        <v>0</v>
      </c>
      <c r="W383" s="198">
        <f>IF(Qty!$J226=0,Qty!AA226,Qty!AA226*Qty!$J226)*'Hist. prices'!W383*W$244</f>
        <v>0</v>
      </c>
      <c r="X383" s="198">
        <f>IF(Qty!$J226=0,Qty!AB226,Qty!AB226*Qty!$J226)*'Hist. prices'!X383*X$244</f>
        <v>0</v>
      </c>
      <c r="Y383" s="198">
        <f>IF(Qty!$J226=0,Qty!AC226,Qty!AC226*Qty!$J226)*'Hist. prices'!Y383*Y$244</f>
        <v>0</v>
      </c>
      <c r="Z383" s="198">
        <f>IF(Qty!$J226=0,Qty!AD226,Qty!AD226*Qty!$J226)*'Hist. prices'!Z383*Z$244</f>
        <v>0</v>
      </c>
      <c r="AA383" s="198">
        <f>IF(Qty!$J226=0,Qty!AE226,Qty!AE226*Qty!$J226)*'Hist. prices'!AA383*AA$244</f>
        <v>0</v>
      </c>
      <c r="AB383" s="198">
        <f>IF(Qty!$J226=0,Qty!AF226,Qty!AF226*Qty!$J226)*'Hist. prices'!AB383*AB$244</f>
        <v>0</v>
      </c>
      <c r="AC383" s="206">
        <f t="shared" si="39"/>
        <v>0</v>
      </c>
      <c r="AD383" s="68"/>
      <c r="AE383" s="19"/>
      <c r="AF383" s="19"/>
      <c r="AG383" s="19"/>
      <c r="AH383" s="19"/>
    </row>
    <row r="384" spans="1:34" hidden="1" outlineLevel="3" x14ac:dyDescent="0.2">
      <c r="A384" s="19"/>
      <c r="B384" s="19"/>
      <c r="C384" s="506">
        <f t="shared" si="42"/>
        <v>0</v>
      </c>
      <c r="D384" s="505">
        <f t="shared" si="42"/>
        <v>0</v>
      </c>
      <c r="E384" s="505">
        <f t="shared" si="42"/>
        <v>0</v>
      </c>
      <c r="F384" s="505">
        <f t="shared" si="42"/>
        <v>0</v>
      </c>
      <c r="G384" s="505">
        <f t="shared" si="42"/>
        <v>0</v>
      </c>
      <c r="H384" s="58"/>
      <c r="I384" s="198">
        <f>IF(Qty!$J227=0,Qty!M227,Qty!M227*Qty!$J227)*'Hist. prices'!I384*I$244</f>
        <v>0</v>
      </c>
      <c r="J384" s="198">
        <f>IF(Qty!$J227=0,Qty!N227,Qty!N227*Qty!$J227)*'Hist. prices'!J384*J$244</f>
        <v>0</v>
      </c>
      <c r="K384" s="198">
        <f>IF(Qty!$J227=0,Qty!O227,Qty!O227*Qty!$J227)*'Hist. prices'!K384*K$244</f>
        <v>0</v>
      </c>
      <c r="L384" s="198">
        <f>IF(Qty!$J227=0,Qty!P227,Qty!P227*Qty!$J227)*'Hist. prices'!L384*L$244</f>
        <v>0</v>
      </c>
      <c r="M384" s="198">
        <f>IF(Qty!$J227=0,Qty!Q227,Qty!Q227*Qty!$J227)*'Hist. prices'!M384*M$244</f>
        <v>0</v>
      </c>
      <c r="N384" s="198">
        <f>IF(Qty!$J227=0,Qty!R227,Qty!R227*Qty!$J227)*'Hist. prices'!N384*N$244</f>
        <v>0</v>
      </c>
      <c r="O384" s="198">
        <f>IF(Qty!$J227=0,Qty!S227,Qty!S227*Qty!$J227)*'Hist. prices'!O384*O$244</f>
        <v>0</v>
      </c>
      <c r="P384" s="198">
        <f>IF(Qty!$J227=0,Qty!T227,Qty!T227*Qty!$J227)*'Hist. prices'!P384*P$244</f>
        <v>0</v>
      </c>
      <c r="Q384" s="198">
        <f>IF(Qty!$J227=0,Qty!U227,Qty!U227*Qty!$J227)*'Hist. prices'!Q384*Q$244</f>
        <v>0</v>
      </c>
      <c r="R384" s="198">
        <f>IF(Qty!$J227=0,Qty!V227,Qty!V227*Qty!$J227)*'Hist. prices'!R384*R$244</f>
        <v>0</v>
      </c>
      <c r="S384" s="198">
        <f>IF(Qty!$J227=0,Qty!W227,Qty!W227*Qty!$J227)*'Hist. prices'!S384*S$244</f>
        <v>0</v>
      </c>
      <c r="T384" s="198">
        <f>IF(Qty!$J227=0,Qty!X227,Qty!X227*Qty!$J227)*'Hist. prices'!T384*T$244</f>
        <v>0</v>
      </c>
      <c r="U384" s="198">
        <f>IF(Qty!$J227=0,Qty!Y227,Qty!Y227*Qty!$J227)*'Hist. prices'!U384*U$244</f>
        <v>0</v>
      </c>
      <c r="V384" s="198">
        <f>IF(Qty!$J227=0,Qty!Z227,Qty!Z227*Qty!$J227)*'Hist. prices'!V384*V$244</f>
        <v>0</v>
      </c>
      <c r="W384" s="198">
        <f>IF(Qty!$J227=0,Qty!AA227,Qty!AA227*Qty!$J227)*'Hist. prices'!W384*W$244</f>
        <v>0</v>
      </c>
      <c r="X384" s="198">
        <f>IF(Qty!$J227=0,Qty!AB227,Qty!AB227*Qty!$J227)*'Hist. prices'!X384*X$244</f>
        <v>0</v>
      </c>
      <c r="Y384" s="198">
        <f>IF(Qty!$J227=0,Qty!AC227,Qty!AC227*Qty!$J227)*'Hist. prices'!Y384*Y$244</f>
        <v>0</v>
      </c>
      <c r="Z384" s="198">
        <f>IF(Qty!$J227=0,Qty!AD227,Qty!AD227*Qty!$J227)*'Hist. prices'!Z384*Z$244</f>
        <v>0</v>
      </c>
      <c r="AA384" s="198">
        <f>IF(Qty!$J227=0,Qty!AE227,Qty!AE227*Qty!$J227)*'Hist. prices'!AA384*AA$244</f>
        <v>0</v>
      </c>
      <c r="AB384" s="198">
        <f>IF(Qty!$J227=0,Qty!AF227,Qty!AF227*Qty!$J227)*'Hist. prices'!AB384*AB$244</f>
        <v>0</v>
      </c>
      <c r="AC384" s="206">
        <f t="shared" si="39"/>
        <v>0</v>
      </c>
      <c r="AD384" s="68"/>
      <c r="AE384" s="19"/>
      <c r="AF384" s="19"/>
      <c r="AG384" s="19"/>
      <c r="AH384" s="19"/>
    </row>
    <row r="385" spans="1:34" hidden="1" outlineLevel="3" x14ac:dyDescent="0.2">
      <c r="A385" s="19"/>
      <c r="B385" s="19"/>
      <c r="C385" s="506">
        <f t="shared" si="42"/>
        <v>0</v>
      </c>
      <c r="D385" s="505">
        <f t="shared" si="42"/>
        <v>0</v>
      </c>
      <c r="E385" s="505">
        <f t="shared" si="42"/>
        <v>0</v>
      </c>
      <c r="F385" s="505">
        <f t="shared" si="42"/>
        <v>0</v>
      </c>
      <c r="G385" s="505">
        <f t="shared" si="42"/>
        <v>0</v>
      </c>
      <c r="H385" s="58"/>
      <c r="I385" s="198">
        <f>IF(Qty!$J228=0,Qty!M228,Qty!M228*Qty!$J228)*'Hist. prices'!I385*I$244</f>
        <v>0</v>
      </c>
      <c r="J385" s="198">
        <f>IF(Qty!$J228=0,Qty!N228,Qty!N228*Qty!$J228)*'Hist. prices'!J385*J$244</f>
        <v>0</v>
      </c>
      <c r="K385" s="198">
        <f>IF(Qty!$J228=0,Qty!O228,Qty!O228*Qty!$J228)*'Hist. prices'!K385*K$244</f>
        <v>0</v>
      </c>
      <c r="L385" s="198">
        <f>IF(Qty!$J228=0,Qty!P228,Qty!P228*Qty!$J228)*'Hist. prices'!L385*L$244</f>
        <v>0</v>
      </c>
      <c r="M385" s="198">
        <f>IF(Qty!$J228=0,Qty!Q228,Qty!Q228*Qty!$J228)*'Hist. prices'!M385*M$244</f>
        <v>0</v>
      </c>
      <c r="N385" s="198">
        <f>IF(Qty!$J228=0,Qty!R228,Qty!R228*Qty!$J228)*'Hist. prices'!N385*N$244</f>
        <v>0</v>
      </c>
      <c r="O385" s="198">
        <f>IF(Qty!$J228=0,Qty!S228,Qty!S228*Qty!$J228)*'Hist. prices'!O385*O$244</f>
        <v>0</v>
      </c>
      <c r="P385" s="198">
        <f>IF(Qty!$J228=0,Qty!T228,Qty!T228*Qty!$J228)*'Hist. prices'!P385*P$244</f>
        <v>0</v>
      </c>
      <c r="Q385" s="198">
        <f>IF(Qty!$J228=0,Qty!U228,Qty!U228*Qty!$J228)*'Hist. prices'!Q385*Q$244</f>
        <v>0</v>
      </c>
      <c r="R385" s="198">
        <f>IF(Qty!$J228=0,Qty!V228,Qty!V228*Qty!$J228)*'Hist. prices'!R385*R$244</f>
        <v>0</v>
      </c>
      <c r="S385" s="198">
        <f>IF(Qty!$J228=0,Qty!W228,Qty!W228*Qty!$J228)*'Hist. prices'!S385*S$244</f>
        <v>0</v>
      </c>
      <c r="T385" s="198">
        <f>IF(Qty!$J228=0,Qty!X228,Qty!X228*Qty!$J228)*'Hist. prices'!T385*T$244</f>
        <v>0</v>
      </c>
      <c r="U385" s="198">
        <f>IF(Qty!$J228=0,Qty!Y228,Qty!Y228*Qty!$J228)*'Hist. prices'!U385*U$244</f>
        <v>0</v>
      </c>
      <c r="V385" s="198">
        <f>IF(Qty!$J228=0,Qty!Z228,Qty!Z228*Qty!$J228)*'Hist. prices'!V385*V$244</f>
        <v>0</v>
      </c>
      <c r="W385" s="198">
        <f>IF(Qty!$J228=0,Qty!AA228,Qty!AA228*Qty!$J228)*'Hist. prices'!W385*W$244</f>
        <v>0</v>
      </c>
      <c r="X385" s="198">
        <f>IF(Qty!$J228=0,Qty!AB228,Qty!AB228*Qty!$J228)*'Hist. prices'!X385*X$244</f>
        <v>0</v>
      </c>
      <c r="Y385" s="198">
        <f>IF(Qty!$J228=0,Qty!AC228,Qty!AC228*Qty!$J228)*'Hist. prices'!Y385*Y$244</f>
        <v>0</v>
      </c>
      <c r="Z385" s="198">
        <f>IF(Qty!$J228=0,Qty!AD228,Qty!AD228*Qty!$J228)*'Hist. prices'!Z385*Z$244</f>
        <v>0</v>
      </c>
      <c r="AA385" s="198">
        <f>IF(Qty!$J228=0,Qty!AE228,Qty!AE228*Qty!$J228)*'Hist. prices'!AA385*AA$244</f>
        <v>0</v>
      </c>
      <c r="AB385" s="198">
        <f>IF(Qty!$J228=0,Qty!AF228,Qty!AF228*Qty!$J228)*'Hist. prices'!AB385*AB$244</f>
        <v>0</v>
      </c>
      <c r="AC385" s="206">
        <f t="shared" si="39"/>
        <v>0</v>
      </c>
      <c r="AD385" s="68"/>
      <c r="AE385" s="19"/>
      <c r="AF385" s="19"/>
      <c r="AG385" s="19"/>
      <c r="AH385" s="19"/>
    </row>
    <row r="386" spans="1:34" hidden="1" outlineLevel="3" x14ac:dyDescent="0.2">
      <c r="A386" s="19"/>
      <c r="B386" s="19"/>
      <c r="C386" s="506">
        <f t="shared" si="42"/>
        <v>0</v>
      </c>
      <c r="D386" s="505">
        <f t="shared" si="42"/>
        <v>0</v>
      </c>
      <c r="E386" s="505">
        <f t="shared" si="42"/>
        <v>0</v>
      </c>
      <c r="F386" s="505">
        <f t="shared" si="42"/>
        <v>0</v>
      </c>
      <c r="G386" s="505">
        <f t="shared" si="42"/>
        <v>0</v>
      </c>
      <c r="H386" s="58"/>
      <c r="I386" s="198">
        <f>IF(Qty!$J229=0,Qty!M229,Qty!M229*Qty!$J229)*'Hist. prices'!I386*I$244</f>
        <v>0</v>
      </c>
      <c r="J386" s="198">
        <f>IF(Qty!$J229=0,Qty!N229,Qty!N229*Qty!$J229)*'Hist. prices'!J386*J$244</f>
        <v>0</v>
      </c>
      <c r="K386" s="198">
        <f>IF(Qty!$J229=0,Qty!O229,Qty!O229*Qty!$J229)*'Hist. prices'!K386*K$244</f>
        <v>0</v>
      </c>
      <c r="L386" s="198">
        <f>IF(Qty!$J229=0,Qty!P229,Qty!P229*Qty!$J229)*'Hist. prices'!L386*L$244</f>
        <v>0</v>
      </c>
      <c r="M386" s="198">
        <f>IF(Qty!$J229=0,Qty!Q229,Qty!Q229*Qty!$J229)*'Hist. prices'!M386*M$244</f>
        <v>0</v>
      </c>
      <c r="N386" s="198">
        <f>IF(Qty!$J229=0,Qty!R229,Qty!R229*Qty!$J229)*'Hist. prices'!N386*N$244</f>
        <v>0</v>
      </c>
      <c r="O386" s="198">
        <f>IF(Qty!$J229=0,Qty!S229,Qty!S229*Qty!$J229)*'Hist. prices'!O386*O$244</f>
        <v>0</v>
      </c>
      <c r="P386" s="198">
        <f>IF(Qty!$J229=0,Qty!T229,Qty!T229*Qty!$J229)*'Hist. prices'!P386*P$244</f>
        <v>0</v>
      </c>
      <c r="Q386" s="198">
        <f>IF(Qty!$J229=0,Qty!U229,Qty!U229*Qty!$J229)*'Hist. prices'!Q386*Q$244</f>
        <v>0</v>
      </c>
      <c r="R386" s="198">
        <f>IF(Qty!$J229=0,Qty!V229,Qty!V229*Qty!$J229)*'Hist. prices'!R386*R$244</f>
        <v>0</v>
      </c>
      <c r="S386" s="198">
        <f>IF(Qty!$J229=0,Qty!W229,Qty!W229*Qty!$J229)*'Hist. prices'!S386*S$244</f>
        <v>0</v>
      </c>
      <c r="T386" s="198">
        <f>IF(Qty!$J229=0,Qty!X229,Qty!X229*Qty!$J229)*'Hist. prices'!T386*T$244</f>
        <v>0</v>
      </c>
      <c r="U386" s="198">
        <f>IF(Qty!$J229=0,Qty!Y229,Qty!Y229*Qty!$J229)*'Hist. prices'!U386*U$244</f>
        <v>0</v>
      </c>
      <c r="V386" s="198">
        <f>IF(Qty!$J229=0,Qty!Z229,Qty!Z229*Qty!$J229)*'Hist. prices'!V386*V$244</f>
        <v>0</v>
      </c>
      <c r="W386" s="198">
        <f>IF(Qty!$J229=0,Qty!AA229,Qty!AA229*Qty!$J229)*'Hist. prices'!W386*W$244</f>
        <v>0</v>
      </c>
      <c r="X386" s="198">
        <f>IF(Qty!$J229=0,Qty!AB229,Qty!AB229*Qty!$J229)*'Hist. prices'!X386*X$244</f>
        <v>0</v>
      </c>
      <c r="Y386" s="198">
        <f>IF(Qty!$J229=0,Qty!AC229,Qty!AC229*Qty!$J229)*'Hist. prices'!Y386*Y$244</f>
        <v>0</v>
      </c>
      <c r="Z386" s="198">
        <f>IF(Qty!$J229=0,Qty!AD229,Qty!AD229*Qty!$J229)*'Hist. prices'!Z386*Z$244</f>
        <v>0</v>
      </c>
      <c r="AA386" s="198">
        <f>IF(Qty!$J229=0,Qty!AE229,Qty!AE229*Qty!$J229)*'Hist. prices'!AA386*AA$244</f>
        <v>0</v>
      </c>
      <c r="AB386" s="198">
        <f>IF(Qty!$J229=0,Qty!AF229,Qty!AF229*Qty!$J229)*'Hist. prices'!AB386*AB$244</f>
        <v>0</v>
      </c>
      <c r="AC386" s="206">
        <f t="shared" si="39"/>
        <v>0</v>
      </c>
      <c r="AD386" s="68"/>
      <c r="AE386" s="19"/>
      <c r="AF386" s="19"/>
      <c r="AG386" s="19"/>
      <c r="AH386" s="19"/>
    </row>
    <row r="387" spans="1:34" hidden="1" outlineLevel="3" x14ac:dyDescent="0.2">
      <c r="A387" s="19"/>
      <c r="B387" s="19"/>
      <c r="C387" s="506">
        <f t="shared" si="42"/>
        <v>0</v>
      </c>
      <c r="D387" s="505">
        <f t="shared" si="42"/>
        <v>0</v>
      </c>
      <c r="E387" s="505">
        <f t="shared" si="42"/>
        <v>0</v>
      </c>
      <c r="F387" s="505">
        <f t="shared" si="42"/>
        <v>0</v>
      </c>
      <c r="G387" s="505">
        <f t="shared" si="42"/>
        <v>0</v>
      </c>
      <c r="H387" s="58"/>
      <c r="I387" s="198">
        <f>IF(Qty!$J230=0,Qty!M230,Qty!M230*Qty!$J230)*'Hist. prices'!I387*I$244</f>
        <v>0</v>
      </c>
      <c r="J387" s="198">
        <f>IF(Qty!$J230=0,Qty!N230,Qty!N230*Qty!$J230)*'Hist. prices'!J387*J$244</f>
        <v>0</v>
      </c>
      <c r="K387" s="198">
        <f>IF(Qty!$J230=0,Qty!O230,Qty!O230*Qty!$J230)*'Hist. prices'!K387*K$244</f>
        <v>0</v>
      </c>
      <c r="L387" s="198">
        <f>IF(Qty!$J230=0,Qty!P230,Qty!P230*Qty!$J230)*'Hist. prices'!L387*L$244</f>
        <v>0</v>
      </c>
      <c r="M387" s="198">
        <f>IF(Qty!$J230=0,Qty!Q230,Qty!Q230*Qty!$J230)*'Hist. prices'!M387*M$244</f>
        <v>0</v>
      </c>
      <c r="N387" s="198">
        <f>IF(Qty!$J230=0,Qty!R230,Qty!R230*Qty!$J230)*'Hist. prices'!N387*N$244</f>
        <v>0</v>
      </c>
      <c r="O387" s="198">
        <f>IF(Qty!$J230=0,Qty!S230,Qty!S230*Qty!$J230)*'Hist. prices'!O387*O$244</f>
        <v>0</v>
      </c>
      <c r="P387" s="198">
        <f>IF(Qty!$J230=0,Qty!T230,Qty!T230*Qty!$J230)*'Hist. prices'!P387*P$244</f>
        <v>0</v>
      </c>
      <c r="Q387" s="198">
        <f>IF(Qty!$J230=0,Qty!U230,Qty!U230*Qty!$J230)*'Hist. prices'!Q387*Q$244</f>
        <v>0</v>
      </c>
      <c r="R387" s="198">
        <f>IF(Qty!$J230=0,Qty!V230,Qty!V230*Qty!$J230)*'Hist. prices'!R387*R$244</f>
        <v>0</v>
      </c>
      <c r="S387" s="198">
        <f>IF(Qty!$J230=0,Qty!W230,Qty!W230*Qty!$J230)*'Hist. prices'!S387*S$244</f>
        <v>0</v>
      </c>
      <c r="T387" s="198">
        <f>IF(Qty!$J230=0,Qty!X230,Qty!X230*Qty!$J230)*'Hist. prices'!T387*T$244</f>
        <v>0</v>
      </c>
      <c r="U387" s="198">
        <f>IF(Qty!$J230=0,Qty!Y230,Qty!Y230*Qty!$J230)*'Hist. prices'!U387*U$244</f>
        <v>0</v>
      </c>
      <c r="V387" s="198">
        <f>IF(Qty!$J230=0,Qty!Z230,Qty!Z230*Qty!$J230)*'Hist. prices'!V387*V$244</f>
        <v>0</v>
      </c>
      <c r="W387" s="198">
        <f>IF(Qty!$J230=0,Qty!AA230,Qty!AA230*Qty!$J230)*'Hist. prices'!W387*W$244</f>
        <v>0</v>
      </c>
      <c r="X387" s="198">
        <f>IF(Qty!$J230=0,Qty!AB230,Qty!AB230*Qty!$J230)*'Hist. prices'!X387*X$244</f>
        <v>0</v>
      </c>
      <c r="Y387" s="198">
        <f>IF(Qty!$J230=0,Qty!AC230,Qty!AC230*Qty!$J230)*'Hist. prices'!Y387*Y$244</f>
        <v>0</v>
      </c>
      <c r="Z387" s="198">
        <f>IF(Qty!$J230=0,Qty!AD230,Qty!AD230*Qty!$J230)*'Hist. prices'!Z387*Z$244</f>
        <v>0</v>
      </c>
      <c r="AA387" s="198">
        <f>IF(Qty!$J230=0,Qty!AE230,Qty!AE230*Qty!$J230)*'Hist. prices'!AA387*AA$244</f>
        <v>0</v>
      </c>
      <c r="AB387" s="198">
        <f>IF(Qty!$J230=0,Qty!AF230,Qty!AF230*Qty!$J230)*'Hist. prices'!AB387*AB$244</f>
        <v>0</v>
      </c>
      <c r="AC387" s="206">
        <f t="shared" ref="AC387:AC397" si="43">SUM(I387:AB387)</f>
        <v>0</v>
      </c>
      <c r="AD387" s="68"/>
      <c r="AE387" s="19"/>
      <c r="AF387" s="19"/>
      <c r="AG387" s="19"/>
      <c r="AH387" s="19"/>
    </row>
    <row r="388" spans="1:34" hidden="1" outlineLevel="3" x14ac:dyDescent="0.2">
      <c r="A388" s="19"/>
      <c r="B388" s="19"/>
      <c r="C388" s="506">
        <f t="shared" si="42"/>
        <v>0</v>
      </c>
      <c r="D388" s="505">
        <f t="shared" si="42"/>
        <v>0</v>
      </c>
      <c r="E388" s="505">
        <f t="shared" si="42"/>
        <v>0</v>
      </c>
      <c r="F388" s="505">
        <f t="shared" si="42"/>
        <v>0</v>
      </c>
      <c r="G388" s="505">
        <f t="shared" si="42"/>
        <v>0</v>
      </c>
      <c r="H388" s="58"/>
      <c r="I388" s="198">
        <f>IF(Qty!$J231=0,Qty!M231,Qty!M231*Qty!$J231)*'Hist. prices'!I388*I$244</f>
        <v>0</v>
      </c>
      <c r="J388" s="198">
        <f>IF(Qty!$J231=0,Qty!N231,Qty!N231*Qty!$J231)*'Hist. prices'!J388*J$244</f>
        <v>0</v>
      </c>
      <c r="K388" s="198">
        <f>IF(Qty!$J231=0,Qty!O231,Qty!O231*Qty!$J231)*'Hist. prices'!K388*K$244</f>
        <v>0</v>
      </c>
      <c r="L388" s="198">
        <f>IF(Qty!$J231=0,Qty!P231,Qty!P231*Qty!$J231)*'Hist. prices'!L388*L$244</f>
        <v>0</v>
      </c>
      <c r="M388" s="198">
        <f>IF(Qty!$J231=0,Qty!Q231,Qty!Q231*Qty!$J231)*'Hist. prices'!M388*M$244</f>
        <v>0</v>
      </c>
      <c r="N388" s="198">
        <f>IF(Qty!$J231=0,Qty!R231,Qty!R231*Qty!$J231)*'Hist. prices'!N388*N$244</f>
        <v>0</v>
      </c>
      <c r="O388" s="198">
        <f>IF(Qty!$J231=0,Qty!S231,Qty!S231*Qty!$J231)*'Hist. prices'!O388*O$244</f>
        <v>0</v>
      </c>
      <c r="P388" s="198">
        <f>IF(Qty!$J231=0,Qty!T231,Qty!T231*Qty!$J231)*'Hist. prices'!P388*P$244</f>
        <v>0</v>
      </c>
      <c r="Q388" s="198">
        <f>IF(Qty!$J231=0,Qty!U231,Qty!U231*Qty!$J231)*'Hist. prices'!Q388*Q$244</f>
        <v>0</v>
      </c>
      <c r="R388" s="198">
        <f>IF(Qty!$J231=0,Qty!V231,Qty!V231*Qty!$J231)*'Hist. prices'!R388*R$244</f>
        <v>0</v>
      </c>
      <c r="S388" s="198">
        <f>IF(Qty!$J231=0,Qty!W231,Qty!W231*Qty!$J231)*'Hist. prices'!S388*S$244</f>
        <v>0</v>
      </c>
      <c r="T388" s="198">
        <f>IF(Qty!$J231=0,Qty!X231,Qty!X231*Qty!$J231)*'Hist. prices'!T388*T$244</f>
        <v>0</v>
      </c>
      <c r="U388" s="198">
        <f>IF(Qty!$J231=0,Qty!Y231,Qty!Y231*Qty!$J231)*'Hist. prices'!U388*U$244</f>
        <v>0</v>
      </c>
      <c r="V388" s="198">
        <f>IF(Qty!$J231=0,Qty!Z231,Qty!Z231*Qty!$J231)*'Hist. prices'!V388*V$244</f>
        <v>0</v>
      </c>
      <c r="W388" s="198">
        <f>IF(Qty!$J231=0,Qty!AA231,Qty!AA231*Qty!$J231)*'Hist. prices'!W388*W$244</f>
        <v>0</v>
      </c>
      <c r="X388" s="198">
        <f>IF(Qty!$J231=0,Qty!AB231,Qty!AB231*Qty!$J231)*'Hist. prices'!X388*X$244</f>
        <v>0</v>
      </c>
      <c r="Y388" s="198">
        <f>IF(Qty!$J231=0,Qty!AC231,Qty!AC231*Qty!$J231)*'Hist. prices'!Y388*Y$244</f>
        <v>0</v>
      </c>
      <c r="Z388" s="198">
        <f>IF(Qty!$J231=0,Qty!AD231,Qty!AD231*Qty!$J231)*'Hist. prices'!Z388*Z$244</f>
        <v>0</v>
      </c>
      <c r="AA388" s="198">
        <f>IF(Qty!$J231=0,Qty!AE231,Qty!AE231*Qty!$J231)*'Hist. prices'!AA388*AA$244</f>
        <v>0</v>
      </c>
      <c r="AB388" s="198">
        <f>IF(Qty!$J231=0,Qty!AF231,Qty!AF231*Qty!$J231)*'Hist. prices'!AB388*AB$244</f>
        <v>0</v>
      </c>
      <c r="AC388" s="206">
        <f t="shared" si="43"/>
        <v>0</v>
      </c>
      <c r="AD388" s="68"/>
      <c r="AE388" s="19"/>
      <c r="AF388" s="19"/>
      <c r="AG388" s="19"/>
      <c r="AH388" s="19"/>
    </row>
    <row r="389" spans="1:34" hidden="1" outlineLevel="3" x14ac:dyDescent="0.2">
      <c r="A389" s="19"/>
      <c r="B389" s="19"/>
      <c r="C389" s="506">
        <f t="shared" si="42"/>
        <v>0</v>
      </c>
      <c r="D389" s="505">
        <f t="shared" si="42"/>
        <v>0</v>
      </c>
      <c r="E389" s="505">
        <f t="shared" si="42"/>
        <v>0</v>
      </c>
      <c r="F389" s="505">
        <f t="shared" si="42"/>
        <v>0</v>
      </c>
      <c r="G389" s="505">
        <f t="shared" si="42"/>
        <v>0</v>
      </c>
      <c r="H389" s="58"/>
      <c r="I389" s="198">
        <f>IF(Qty!$J232=0,Qty!M232,Qty!M232*Qty!$J232)*'Hist. prices'!I389*I$244</f>
        <v>0</v>
      </c>
      <c r="J389" s="198">
        <f>IF(Qty!$J232=0,Qty!N232,Qty!N232*Qty!$J232)*'Hist. prices'!J389*J$244</f>
        <v>0</v>
      </c>
      <c r="K389" s="198">
        <f>IF(Qty!$J232=0,Qty!O232,Qty!O232*Qty!$J232)*'Hist. prices'!K389*K$244</f>
        <v>0</v>
      </c>
      <c r="L389" s="198">
        <f>IF(Qty!$J232=0,Qty!P232,Qty!P232*Qty!$J232)*'Hist. prices'!L389*L$244</f>
        <v>0</v>
      </c>
      <c r="M389" s="198">
        <f>IF(Qty!$J232=0,Qty!Q232,Qty!Q232*Qty!$J232)*'Hist. prices'!M389*M$244</f>
        <v>0</v>
      </c>
      <c r="N389" s="198">
        <f>IF(Qty!$J232=0,Qty!R232,Qty!R232*Qty!$J232)*'Hist. prices'!N389*N$244</f>
        <v>0</v>
      </c>
      <c r="O389" s="198">
        <f>IF(Qty!$J232=0,Qty!S232,Qty!S232*Qty!$J232)*'Hist. prices'!O389*O$244</f>
        <v>0</v>
      </c>
      <c r="P389" s="198">
        <f>IF(Qty!$J232=0,Qty!T232,Qty!T232*Qty!$J232)*'Hist. prices'!P389*P$244</f>
        <v>0</v>
      </c>
      <c r="Q389" s="198">
        <f>IF(Qty!$J232=0,Qty!U232,Qty!U232*Qty!$J232)*'Hist. prices'!Q389*Q$244</f>
        <v>0</v>
      </c>
      <c r="R389" s="198">
        <f>IF(Qty!$J232=0,Qty!V232,Qty!V232*Qty!$J232)*'Hist. prices'!R389*R$244</f>
        <v>0</v>
      </c>
      <c r="S389" s="198">
        <f>IF(Qty!$J232=0,Qty!W232,Qty!W232*Qty!$J232)*'Hist. prices'!S389*S$244</f>
        <v>0</v>
      </c>
      <c r="T389" s="198">
        <f>IF(Qty!$J232=0,Qty!X232,Qty!X232*Qty!$J232)*'Hist. prices'!T389*T$244</f>
        <v>0</v>
      </c>
      <c r="U389" s="198">
        <f>IF(Qty!$J232=0,Qty!Y232,Qty!Y232*Qty!$J232)*'Hist. prices'!U389*U$244</f>
        <v>0</v>
      </c>
      <c r="V389" s="198">
        <f>IF(Qty!$J232=0,Qty!Z232,Qty!Z232*Qty!$J232)*'Hist. prices'!V389*V$244</f>
        <v>0</v>
      </c>
      <c r="W389" s="198">
        <f>IF(Qty!$J232=0,Qty!AA232,Qty!AA232*Qty!$J232)*'Hist. prices'!W389*W$244</f>
        <v>0</v>
      </c>
      <c r="X389" s="198">
        <f>IF(Qty!$J232=0,Qty!AB232,Qty!AB232*Qty!$J232)*'Hist. prices'!X389*X$244</f>
        <v>0</v>
      </c>
      <c r="Y389" s="198">
        <f>IF(Qty!$J232=0,Qty!AC232,Qty!AC232*Qty!$J232)*'Hist. prices'!Y389*Y$244</f>
        <v>0</v>
      </c>
      <c r="Z389" s="198">
        <f>IF(Qty!$J232=0,Qty!AD232,Qty!AD232*Qty!$J232)*'Hist. prices'!Z389*Z$244</f>
        <v>0</v>
      </c>
      <c r="AA389" s="198">
        <f>IF(Qty!$J232=0,Qty!AE232,Qty!AE232*Qty!$J232)*'Hist. prices'!AA389*AA$244</f>
        <v>0</v>
      </c>
      <c r="AB389" s="198">
        <f>IF(Qty!$J232=0,Qty!AF232,Qty!AF232*Qty!$J232)*'Hist. prices'!AB389*AB$244</f>
        <v>0</v>
      </c>
      <c r="AC389" s="206">
        <f t="shared" si="43"/>
        <v>0</v>
      </c>
      <c r="AD389" s="68"/>
      <c r="AE389" s="19"/>
      <c r="AF389" s="19"/>
      <c r="AG389" s="19"/>
      <c r="AH389" s="19"/>
    </row>
    <row r="390" spans="1:34" hidden="1" outlineLevel="3" x14ac:dyDescent="0.2">
      <c r="A390" s="19"/>
      <c r="B390" s="19"/>
      <c r="C390" s="506">
        <f t="shared" si="42"/>
        <v>0</v>
      </c>
      <c r="D390" s="505">
        <f t="shared" si="42"/>
        <v>0</v>
      </c>
      <c r="E390" s="505">
        <f t="shared" si="42"/>
        <v>0</v>
      </c>
      <c r="F390" s="505">
        <f t="shared" si="42"/>
        <v>0</v>
      </c>
      <c r="G390" s="505">
        <f t="shared" si="42"/>
        <v>0</v>
      </c>
      <c r="H390" s="58"/>
      <c r="I390" s="198">
        <f>IF(Qty!$J233=0,Qty!M233,Qty!M233*Qty!$J233)*'Hist. prices'!I390*I$244</f>
        <v>0</v>
      </c>
      <c r="J390" s="198">
        <f>IF(Qty!$J233=0,Qty!N233,Qty!N233*Qty!$J233)*'Hist. prices'!J390*J$244</f>
        <v>0</v>
      </c>
      <c r="K390" s="198">
        <f>IF(Qty!$J233=0,Qty!O233,Qty!O233*Qty!$J233)*'Hist. prices'!K390*K$244</f>
        <v>0</v>
      </c>
      <c r="L390" s="198">
        <f>IF(Qty!$J233=0,Qty!P233,Qty!P233*Qty!$J233)*'Hist. prices'!L390*L$244</f>
        <v>0</v>
      </c>
      <c r="M390" s="198">
        <f>IF(Qty!$J233=0,Qty!Q233,Qty!Q233*Qty!$J233)*'Hist. prices'!M390*M$244</f>
        <v>0</v>
      </c>
      <c r="N390" s="198">
        <f>IF(Qty!$J233=0,Qty!R233,Qty!R233*Qty!$J233)*'Hist. prices'!N390*N$244</f>
        <v>0</v>
      </c>
      <c r="O390" s="198">
        <f>IF(Qty!$J233=0,Qty!S233,Qty!S233*Qty!$J233)*'Hist. prices'!O390*O$244</f>
        <v>0</v>
      </c>
      <c r="P390" s="198">
        <f>IF(Qty!$J233=0,Qty!T233,Qty!T233*Qty!$J233)*'Hist. prices'!P390*P$244</f>
        <v>0</v>
      </c>
      <c r="Q390" s="198">
        <f>IF(Qty!$J233=0,Qty!U233,Qty!U233*Qty!$J233)*'Hist. prices'!Q390*Q$244</f>
        <v>0</v>
      </c>
      <c r="R390" s="198">
        <f>IF(Qty!$J233=0,Qty!V233,Qty!V233*Qty!$J233)*'Hist. prices'!R390*R$244</f>
        <v>0</v>
      </c>
      <c r="S390" s="198">
        <f>IF(Qty!$J233=0,Qty!W233,Qty!W233*Qty!$J233)*'Hist. prices'!S390*S$244</f>
        <v>0</v>
      </c>
      <c r="T390" s="198">
        <f>IF(Qty!$J233=0,Qty!X233,Qty!X233*Qty!$J233)*'Hist. prices'!T390*T$244</f>
        <v>0</v>
      </c>
      <c r="U390" s="198">
        <f>IF(Qty!$J233=0,Qty!Y233,Qty!Y233*Qty!$J233)*'Hist. prices'!U390*U$244</f>
        <v>0</v>
      </c>
      <c r="V390" s="198">
        <f>IF(Qty!$J233=0,Qty!Z233,Qty!Z233*Qty!$J233)*'Hist. prices'!V390*V$244</f>
        <v>0</v>
      </c>
      <c r="W390" s="198">
        <f>IF(Qty!$J233=0,Qty!AA233,Qty!AA233*Qty!$J233)*'Hist. prices'!W390*W$244</f>
        <v>0</v>
      </c>
      <c r="X390" s="198">
        <f>IF(Qty!$J233=0,Qty!AB233,Qty!AB233*Qty!$J233)*'Hist. prices'!X390*X$244</f>
        <v>0</v>
      </c>
      <c r="Y390" s="198">
        <f>IF(Qty!$J233=0,Qty!AC233,Qty!AC233*Qty!$J233)*'Hist. prices'!Y390*Y$244</f>
        <v>0</v>
      </c>
      <c r="Z390" s="198">
        <f>IF(Qty!$J233=0,Qty!AD233,Qty!AD233*Qty!$J233)*'Hist. prices'!Z390*Z$244</f>
        <v>0</v>
      </c>
      <c r="AA390" s="198">
        <f>IF(Qty!$J233=0,Qty!AE233,Qty!AE233*Qty!$J233)*'Hist. prices'!AA390*AA$244</f>
        <v>0</v>
      </c>
      <c r="AB390" s="198">
        <f>IF(Qty!$J233=0,Qty!AF233,Qty!AF233*Qty!$J233)*'Hist. prices'!AB390*AB$244</f>
        <v>0</v>
      </c>
      <c r="AC390" s="206">
        <f t="shared" si="43"/>
        <v>0</v>
      </c>
      <c r="AD390" s="68"/>
      <c r="AE390" s="19"/>
      <c r="AF390" s="19"/>
      <c r="AG390" s="19"/>
      <c r="AH390" s="19"/>
    </row>
    <row r="391" spans="1:34" hidden="1" outlineLevel="3" x14ac:dyDescent="0.2">
      <c r="A391" s="19"/>
      <c r="B391" s="19"/>
      <c r="C391" s="506">
        <f t="shared" si="42"/>
        <v>0</v>
      </c>
      <c r="D391" s="505">
        <f t="shared" si="42"/>
        <v>0</v>
      </c>
      <c r="E391" s="505">
        <f t="shared" si="42"/>
        <v>0</v>
      </c>
      <c r="F391" s="505">
        <f t="shared" si="42"/>
        <v>0</v>
      </c>
      <c r="G391" s="505">
        <f t="shared" si="42"/>
        <v>0</v>
      </c>
      <c r="H391" s="58"/>
      <c r="I391" s="198">
        <f>IF(Qty!$J234=0,Qty!M234,Qty!M234*Qty!$J234)*'Hist. prices'!I391*I$244</f>
        <v>0</v>
      </c>
      <c r="J391" s="198">
        <f>IF(Qty!$J234=0,Qty!N234,Qty!N234*Qty!$J234)*'Hist. prices'!J391*J$244</f>
        <v>0</v>
      </c>
      <c r="K391" s="198">
        <f>IF(Qty!$J234=0,Qty!O234,Qty!O234*Qty!$J234)*'Hist. prices'!K391*K$244</f>
        <v>0</v>
      </c>
      <c r="L391" s="198">
        <f>IF(Qty!$J234=0,Qty!P234,Qty!P234*Qty!$J234)*'Hist. prices'!L391*L$244</f>
        <v>0</v>
      </c>
      <c r="M391" s="198">
        <f>IF(Qty!$J234=0,Qty!Q234,Qty!Q234*Qty!$J234)*'Hist. prices'!M391*M$244</f>
        <v>0</v>
      </c>
      <c r="N391" s="198">
        <f>IF(Qty!$J234=0,Qty!R234,Qty!R234*Qty!$J234)*'Hist. prices'!N391*N$244</f>
        <v>0</v>
      </c>
      <c r="O391" s="198">
        <f>IF(Qty!$J234=0,Qty!S234,Qty!S234*Qty!$J234)*'Hist. prices'!O391*O$244</f>
        <v>0</v>
      </c>
      <c r="P391" s="198">
        <f>IF(Qty!$J234=0,Qty!T234,Qty!T234*Qty!$J234)*'Hist. prices'!P391*P$244</f>
        <v>0</v>
      </c>
      <c r="Q391" s="198">
        <f>IF(Qty!$J234=0,Qty!U234,Qty!U234*Qty!$J234)*'Hist. prices'!Q391*Q$244</f>
        <v>0</v>
      </c>
      <c r="R391" s="198">
        <f>IF(Qty!$J234=0,Qty!V234,Qty!V234*Qty!$J234)*'Hist. prices'!R391*R$244</f>
        <v>0</v>
      </c>
      <c r="S391" s="198">
        <f>IF(Qty!$J234=0,Qty!W234,Qty!W234*Qty!$J234)*'Hist. prices'!S391*S$244</f>
        <v>0</v>
      </c>
      <c r="T391" s="198">
        <f>IF(Qty!$J234=0,Qty!X234,Qty!X234*Qty!$J234)*'Hist. prices'!T391*T$244</f>
        <v>0</v>
      </c>
      <c r="U391" s="198">
        <f>IF(Qty!$J234=0,Qty!Y234,Qty!Y234*Qty!$J234)*'Hist. prices'!U391*U$244</f>
        <v>0</v>
      </c>
      <c r="V391" s="198">
        <f>IF(Qty!$J234=0,Qty!Z234,Qty!Z234*Qty!$J234)*'Hist. prices'!V391*V$244</f>
        <v>0</v>
      </c>
      <c r="W391" s="198">
        <f>IF(Qty!$J234=0,Qty!AA234,Qty!AA234*Qty!$J234)*'Hist. prices'!W391*W$244</f>
        <v>0</v>
      </c>
      <c r="X391" s="198">
        <f>IF(Qty!$J234=0,Qty!AB234,Qty!AB234*Qty!$J234)*'Hist. prices'!X391*X$244</f>
        <v>0</v>
      </c>
      <c r="Y391" s="198">
        <f>IF(Qty!$J234=0,Qty!AC234,Qty!AC234*Qty!$J234)*'Hist. prices'!Y391*Y$244</f>
        <v>0</v>
      </c>
      <c r="Z391" s="198">
        <f>IF(Qty!$J234=0,Qty!AD234,Qty!AD234*Qty!$J234)*'Hist. prices'!Z391*Z$244</f>
        <v>0</v>
      </c>
      <c r="AA391" s="198">
        <f>IF(Qty!$J234=0,Qty!AE234,Qty!AE234*Qty!$J234)*'Hist. prices'!AA391*AA$244</f>
        <v>0</v>
      </c>
      <c r="AB391" s="198">
        <f>IF(Qty!$J234=0,Qty!AF234,Qty!AF234*Qty!$J234)*'Hist. prices'!AB391*AB$244</f>
        <v>0</v>
      </c>
      <c r="AC391" s="206">
        <f t="shared" si="43"/>
        <v>0</v>
      </c>
      <c r="AD391" s="68"/>
      <c r="AE391" s="19"/>
      <c r="AF391" s="19"/>
      <c r="AG391" s="19"/>
      <c r="AH391" s="19"/>
    </row>
    <row r="392" spans="1:34" hidden="1" outlineLevel="3" x14ac:dyDescent="0.2">
      <c r="A392" s="19"/>
      <c r="B392" s="19"/>
      <c r="C392" s="506">
        <f t="shared" si="42"/>
        <v>0</v>
      </c>
      <c r="D392" s="505">
        <f t="shared" si="42"/>
        <v>0</v>
      </c>
      <c r="E392" s="505">
        <f t="shared" si="42"/>
        <v>0</v>
      </c>
      <c r="F392" s="505">
        <f t="shared" si="42"/>
        <v>0</v>
      </c>
      <c r="G392" s="505">
        <f t="shared" si="42"/>
        <v>0</v>
      </c>
      <c r="H392" s="58"/>
      <c r="I392" s="198">
        <f>IF(Qty!$J235=0,Qty!M235,Qty!M235*Qty!$J235)*'Hist. prices'!I392*I$244</f>
        <v>0</v>
      </c>
      <c r="J392" s="198">
        <f>IF(Qty!$J235=0,Qty!N235,Qty!N235*Qty!$J235)*'Hist. prices'!J392*J$244</f>
        <v>0</v>
      </c>
      <c r="K392" s="198">
        <f>IF(Qty!$J235=0,Qty!O235,Qty!O235*Qty!$J235)*'Hist. prices'!K392*K$244</f>
        <v>0</v>
      </c>
      <c r="L392" s="198">
        <f>IF(Qty!$J235=0,Qty!P235,Qty!P235*Qty!$J235)*'Hist. prices'!L392*L$244</f>
        <v>0</v>
      </c>
      <c r="M392" s="198">
        <f>IF(Qty!$J235=0,Qty!Q235,Qty!Q235*Qty!$J235)*'Hist. prices'!M392*M$244</f>
        <v>0</v>
      </c>
      <c r="N392" s="198">
        <f>IF(Qty!$J235=0,Qty!R235,Qty!R235*Qty!$J235)*'Hist. prices'!N392*N$244</f>
        <v>0</v>
      </c>
      <c r="O392" s="198">
        <f>IF(Qty!$J235=0,Qty!S235,Qty!S235*Qty!$J235)*'Hist. prices'!O392*O$244</f>
        <v>0</v>
      </c>
      <c r="P392" s="198">
        <f>IF(Qty!$J235=0,Qty!T235,Qty!T235*Qty!$J235)*'Hist. prices'!P392*P$244</f>
        <v>0</v>
      </c>
      <c r="Q392" s="198">
        <f>IF(Qty!$J235=0,Qty!U235,Qty!U235*Qty!$J235)*'Hist. prices'!Q392*Q$244</f>
        <v>0</v>
      </c>
      <c r="R392" s="198">
        <f>IF(Qty!$J235=0,Qty!V235,Qty!V235*Qty!$J235)*'Hist. prices'!R392*R$244</f>
        <v>0</v>
      </c>
      <c r="S392" s="198">
        <f>IF(Qty!$J235=0,Qty!W235,Qty!W235*Qty!$J235)*'Hist. prices'!S392*S$244</f>
        <v>0</v>
      </c>
      <c r="T392" s="198">
        <f>IF(Qty!$J235=0,Qty!X235,Qty!X235*Qty!$J235)*'Hist. prices'!T392*T$244</f>
        <v>0</v>
      </c>
      <c r="U392" s="198">
        <f>IF(Qty!$J235=0,Qty!Y235,Qty!Y235*Qty!$J235)*'Hist. prices'!U392*U$244</f>
        <v>0</v>
      </c>
      <c r="V392" s="198">
        <f>IF(Qty!$J235=0,Qty!Z235,Qty!Z235*Qty!$J235)*'Hist. prices'!V392*V$244</f>
        <v>0</v>
      </c>
      <c r="W392" s="198">
        <f>IF(Qty!$J235=0,Qty!AA235,Qty!AA235*Qty!$J235)*'Hist. prices'!W392*W$244</f>
        <v>0</v>
      </c>
      <c r="X392" s="198">
        <f>IF(Qty!$J235=0,Qty!AB235,Qty!AB235*Qty!$J235)*'Hist. prices'!X392*X$244</f>
        <v>0</v>
      </c>
      <c r="Y392" s="198">
        <f>IF(Qty!$J235=0,Qty!AC235,Qty!AC235*Qty!$J235)*'Hist. prices'!Y392*Y$244</f>
        <v>0</v>
      </c>
      <c r="Z392" s="198">
        <f>IF(Qty!$J235=0,Qty!AD235,Qty!AD235*Qty!$J235)*'Hist. prices'!Z392*Z$244</f>
        <v>0</v>
      </c>
      <c r="AA392" s="198">
        <f>IF(Qty!$J235=0,Qty!AE235,Qty!AE235*Qty!$J235)*'Hist. prices'!AA392*AA$244</f>
        <v>0</v>
      </c>
      <c r="AB392" s="198">
        <f>IF(Qty!$J235=0,Qty!AF235,Qty!AF235*Qty!$J235)*'Hist. prices'!AB392*AB$244</f>
        <v>0</v>
      </c>
      <c r="AC392" s="206">
        <f t="shared" si="43"/>
        <v>0</v>
      </c>
      <c r="AD392" s="68"/>
      <c r="AE392" s="19"/>
      <c r="AF392" s="19"/>
      <c r="AG392" s="19"/>
      <c r="AH392" s="19"/>
    </row>
    <row r="393" spans="1:34" hidden="1" outlineLevel="3" x14ac:dyDescent="0.2">
      <c r="A393" s="19"/>
      <c r="B393" s="19"/>
      <c r="C393" s="506">
        <f t="shared" ref="C393:G397" si="44">C315</f>
        <v>0</v>
      </c>
      <c r="D393" s="505">
        <f t="shared" si="44"/>
        <v>0</v>
      </c>
      <c r="E393" s="505">
        <f t="shared" si="44"/>
        <v>0</v>
      </c>
      <c r="F393" s="505">
        <f t="shared" si="44"/>
        <v>0</v>
      </c>
      <c r="G393" s="505">
        <f t="shared" si="44"/>
        <v>0</v>
      </c>
      <c r="H393" s="58"/>
      <c r="I393" s="198">
        <f>IF(Qty!$J236=0,Qty!M236,Qty!M236*Qty!$J236)*'Hist. prices'!I393*I$244</f>
        <v>0</v>
      </c>
      <c r="J393" s="198">
        <f>IF(Qty!$J236=0,Qty!N236,Qty!N236*Qty!$J236)*'Hist. prices'!J393*J$244</f>
        <v>0</v>
      </c>
      <c r="K393" s="198">
        <f>IF(Qty!$J236=0,Qty!O236,Qty!O236*Qty!$J236)*'Hist. prices'!K393*K$244</f>
        <v>0</v>
      </c>
      <c r="L393" s="198">
        <f>IF(Qty!$J236=0,Qty!P236,Qty!P236*Qty!$J236)*'Hist. prices'!L393*L$244</f>
        <v>0</v>
      </c>
      <c r="M393" s="198">
        <f>IF(Qty!$J236=0,Qty!Q236,Qty!Q236*Qty!$J236)*'Hist. prices'!M393*M$244</f>
        <v>0</v>
      </c>
      <c r="N393" s="198">
        <f>IF(Qty!$J236=0,Qty!R236,Qty!R236*Qty!$J236)*'Hist. prices'!N393*N$244</f>
        <v>0</v>
      </c>
      <c r="O393" s="198">
        <f>IF(Qty!$J236=0,Qty!S236,Qty!S236*Qty!$J236)*'Hist. prices'!O393*O$244</f>
        <v>0</v>
      </c>
      <c r="P393" s="198">
        <f>IF(Qty!$J236=0,Qty!T236,Qty!T236*Qty!$J236)*'Hist. prices'!P393*P$244</f>
        <v>0</v>
      </c>
      <c r="Q393" s="198">
        <f>IF(Qty!$J236=0,Qty!U236,Qty!U236*Qty!$J236)*'Hist. prices'!Q393*Q$244</f>
        <v>0</v>
      </c>
      <c r="R393" s="198">
        <f>IF(Qty!$J236=0,Qty!V236,Qty!V236*Qty!$J236)*'Hist. prices'!R393*R$244</f>
        <v>0</v>
      </c>
      <c r="S393" s="198">
        <f>IF(Qty!$J236=0,Qty!W236,Qty!W236*Qty!$J236)*'Hist. prices'!S393*S$244</f>
        <v>0</v>
      </c>
      <c r="T393" s="198">
        <f>IF(Qty!$J236=0,Qty!X236,Qty!X236*Qty!$J236)*'Hist. prices'!T393*T$244</f>
        <v>0</v>
      </c>
      <c r="U393" s="198">
        <f>IF(Qty!$J236=0,Qty!Y236,Qty!Y236*Qty!$J236)*'Hist. prices'!U393*U$244</f>
        <v>0</v>
      </c>
      <c r="V393" s="198">
        <f>IF(Qty!$J236=0,Qty!Z236,Qty!Z236*Qty!$J236)*'Hist. prices'!V393*V$244</f>
        <v>0</v>
      </c>
      <c r="W393" s="198">
        <f>IF(Qty!$J236=0,Qty!AA236,Qty!AA236*Qty!$J236)*'Hist. prices'!W393*W$244</f>
        <v>0</v>
      </c>
      <c r="X393" s="198">
        <f>IF(Qty!$J236=0,Qty!AB236,Qty!AB236*Qty!$J236)*'Hist. prices'!X393*X$244</f>
        <v>0</v>
      </c>
      <c r="Y393" s="198">
        <f>IF(Qty!$J236=0,Qty!AC236,Qty!AC236*Qty!$J236)*'Hist. prices'!Y393*Y$244</f>
        <v>0</v>
      </c>
      <c r="Z393" s="198">
        <f>IF(Qty!$J236=0,Qty!AD236,Qty!AD236*Qty!$J236)*'Hist. prices'!Z393*Z$244</f>
        <v>0</v>
      </c>
      <c r="AA393" s="198">
        <f>IF(Qty!$J236=0,Qty!AE236,Qty!AE236*Qty!$J236)*'Hist. prices'!AA393*AA$244</f>
        <v>0</v>
      </c>
      <c r="AB393" s="198">
        <f>IF(Qty!$J236=0,Qty!AF236,Qty!AF236*Qty!$J236)*'Hist. prices'!AB393*AB$244</f>
        <v>0</v>
      </c>
      <c r="AC393" s="206">
        <f t="shared" si="43"/>
        <v>0</v>
      </c>
      <c r="AD393" s="68"/>
      <c r="AE393" s="19"/>
      <c r="AF393" s="19"/>
      <c r="AG393" s="19"/>
      <c r="AH393" s="19"/>
    </row>
    <row r="394" spans="1:34" hidden="1" outlineLevel="3" x14ac:dyDescent="0.2">
      <c r="A394" s="19"/>
      <c r="B394" s="19"/>
      <c r="C394" s="506">
        <f t="shared" si="44"/>
        <v>0</v>
      </c>
      <c r="D394" s="505">
        <f t="shared" si="44"/>
        <v>0</v>
      </c>
      <c r="E394" s="505">
        <f t="shared" si="44"/>
        <v>0</v>
      </c>
      <c r="F394" s="505">
        <f t="shared" si="44"/>
        <v>0</v>
      </c>
      <c r="G394" s="505">
        <f t="shared" si="44"/>
        <v>0</v>
      </c>
      <c r="H394" s="58"/>
      <c r="I394" s="198">
        <f>IF(Qty!$J237=0,Qty!M237,Qty!M237*Qty!$J237)*'Hist. prices'!I394*I$244</f>
        <v>0</v>
      </c>
      <c r="J394" s="198">
        <f>IF(Qty!$J237=0,Qty!N237,Qty!N237*Qty!$J237)*'Hist. prices'!J394*J$244</f>
        <v>0</v>
      </c>
      <c r="K394" s="198">
        <f>IF(Qty!$J237=0,Qty!O237,Qty!O237*Qty!$J237)*'Hist. prices'!K394*K$244</f>
        <v>0</v>
      </c>
      <c r="L394" s="198">
        <f>IF(Qty!$J237=0,Qty!P237,Qty!P237*Qty!$J237)*'Hist. prices'!L394*L$244</f>
        <v>0</v>
      </c>
      <c r="M394" s="198">
        <f>IF(Qty!$J237=0,Qty!Q237,Qty!Q237*Qty!$J237)*'Hist. prices'!M394*M$244</f>
        <v>0</v>
      </c>
      <c r="N394" s="198">
        <f>IF(Qty!$J237=0,Qty!R237,Qty!R237*Qty!$J237)*'Hist. prices'!N394*N$244</f>
        <v>0</v>
      </c>
      <c r="O394" s="198">
        <f>IF(Qty!$J237=0,Qty!S237,Qty!S237*Qty!$J237)*'Hist. prices'!O394*O$244</f>
        <v>0</v>
      </c>
      <c r="P394" s="198">
        <f>IF(Qty!$J237=0,Qty!T237,Qty!T237*Qty!$J237)*'Hist. prices'!P394*P$244</f>
        <v>0</v>
      </c>
      <c r="Q394" s="198">
        <f>IF(Qty!$J237=0,Qty!U237,Qty!U237*Qty!$J237)*'Hist. prices'!Q394*Q$244</f>
        <v>0</v>
      </c>
      <c r="R394" s="198">
        <f>IF(Qty!$J237=0,Qty!V237,Qty!V237*Qty!$J237)*'Hist. prices'!R394*R$244</f>
        <v>0</v>
      </c>
      <c r="S394" s="198">
        <f>IF(Qty!$J237=0,Qty!W237,Qty!W237*Qty!$J237)*'Hist. prices'!S394*S$244</f>
        <v>0</v>
      </c>
      <c r="T394" s="198">
        <f>IF(Qty!$J237=0,Qty!X237,Qty!X237*Qty!$J237)*'Hist. prices'!T394*T$244</f>
        <v>0</v>
      </c>
      <c r="U394" s="198">
        <f>IF(Qty!$J237=0,Qty!Y237,Qty!Y237*Qty!$J237)*'Hist. prices'!U394*U$244</f>
        <v>0</v>
      </c>
      <c r="V394" s="198">
        <f>IF(Qty!$J237=0,Qty!Z237,Qty!Z237*Qty!$J237)*'Hist. prices'!V394*V$244</f>
        <v>0</v>
      </c>
      <c r="W394" s="198">
        <f>IF(Qty!$J237=0,Qty!AA237,Qty!AA237*Qty!$J237)*'Hist. prices'!W394*W$244</f>
        <v>0</v>
      </c>
      <c r="X394" s="198">
        <f>IF(Qty!$J237=0,Qty!AB237,Qty!AB237*Qty!$J237)*'Hist. prices'!X394*X$244</f>
        <v>0</v>
      </c>
      <c r="Y394" s="198">
        <f>IF(Qty!$J237=0,Qty!AC237,Qty!AC237*Qty!$J237)*'Hist. prices'!Y394*Y$244</f>
        <v>0</v>
      </c>
      <c r="Z394" s="198">
        <f>IF(Qty!$J237=0,Qty!AD237,Qty!AD237*Qty!$J237)*'Hist. prices'!Z394*Z$244</f>
        <v>0</v>
      </c>
      <c r="AA394" s="198">
        <f>IF(Qty!$J237=0,Qty!AE237,Qty!AE237*Qty!$J237)*'Hist. prices'!AA394*AA$244</f>
        <v>0</v>
      </c>
      <c r="AB394" s="198">
        <f>IF(Qty!$J237=0,Qty!AF237,Qty!AF237*Qty!$J237)*'Hist. prices'!AB394*AB$244</f>
        <v>0</v>
      </c>
      <c r="AC394" s="206">
        <f t="shared" si="43"/>
        <v>0</v>
      </c>
      <c r="AD394" s="68"/>
      <c r="AE394" s="19"/>
      <c r="AF394" s="19"/>
      <c r="AG394" s="19"/>
      <c r="AH394" s="19"/>
    </row>
    <row r="395" spans="1:34" hidden="1" outlineLevel="3" x14ac:dyDescent="0.2">
      <c r="A395" s="19"/>
      <c r="B395" s="19"/>
      <c r="C395" s="506">
        <f t="shared" si="44"/>
        <v>0</v>
      </c>
      <c r="D395" s="505">
        <f t="shared" si="44"/>
        <v>0</v>
      </c>
      <c r="E395" s="505">
        <f t="shared" si="44"/>
        <v>0</v>
      </c>
      <c r="F395" s="505">
        <f t="shared" si="44"/>
        <v>0</v>
      </c>
      <c r="G395" s="505">
        <f t="shared" si="44"/>
        <v>0</v>
      </c>
      <c r="H395" s="58"/>
      <c r="I395" s="198">
        <f>IF(Qty!$J238=0,Qty!M238,Qty!M238*Qty!$J238)*'Hist. prices'!I395*I$244</f>
        <v>0</v>
      </c>
      <c r="J395" s="198">
        <f>IF(Qty!$J238=0,Qty!N238,Qty!N238*Qty!$J238)*'Hist. prices'!J395*J$244</f>
        <v>0</v>
      </c>
      <c r="K395" s="198">
        <f>IF(Qty!$J238=0,Qty!O238,Qty!O238*Qty!$J238)*'Hist. prices'!K395*K$244</f>
        <v>0</v>
      </c>
      <c r="L395" s="198">
        <f>IF(Qty!$J238=0,Qty!P238,Qty!P238*Qty!$J238)*'Hist. prices'!L395*L$244</f>
        <v>0</v>
      </c>
      <c r="M395" s="198">
        <f>IF(Qty!$J238=0,Qty!Q238,Qty!Q238*Qty!$J238)*'Hist. prices'!M395*M$244</f>
        <v>0</v>
      </c>
      <c r="N395" s="198">
        <f>IF(Qty!$J238=0,Qty!R238,Qty!R238*Qty!$J238)*'Hist. prices'!N395*N$244</f>
        <v>0</v>
      </c>
      <c r="O395" s="198">
        <f>IF(Qty!$J238=0,Qty!S238,Qty!S238*Qty!$J238)*'Hist. prices'!O395*O$244</f>
        <v>0</v>
      </c>
      <c r="P395" s="198">
        <f>IF(Qty!$J238=0,Qty!T238,Qty!T238*Qty!$J238)*'Hist. prices'!P395*P$244</f>
        <v>0</v>
      </c>
      <c r="Q395" s="198">
        <f>IF(Qty!$J238=0,Qty!U238,Qty!U238*Qty!$J238)*'Hist. prices'!Q395*Q$244</f>
        <v>0</v>
      </c>
      <c r="R395" s="198">
        <f>IF(Qty!$J238=0,Qty!V238,Qty!V238*Qty!$J238)*'Hist. prices'!R395*R$244</f>
        <v>0</v>
      </c>
      <c r="S395" s="198">
        <f>IF(Qty!$J238=0,Qty!W238,Qty!W238*Qty!$J238)*'Hist. prices'!S395*S$244</f>
        <v>0</v>
      </c>
      <c r="T395" s="198">
        <f>IF(Qty!$J238=0,Qty!X238,Qty!X238*Qty!$J238)*'Hist. prices'!T395*T$244</f>
        <v>0</v>
      </c>
      <c r="U395" s="198">
        <f>IF(Qty!$J238=0,Qty!Y238,Qty!Y238*Qty!$J238)*'Hist. prices'!U395*U$244</f>
        <v>0</v>
      </c>
      <c r="V395" s="198">
        <f>IF(Qty!$J238=0,Qty!Z238,Qty!Z238*Qty!$J238)*'Hist. prices'!V395*V$244</f>
        <v>0</v>
      </c>
      <c r="W395" s="198">
        <f>IF(Qty!$J238=0,Qty!AA238,Qty!AA238*Qty!$J238)*'Hist. prices'!W395*W$244</f>
        <v>0</v>
      </c>
      <c r="X395" s="198">
        <f>IF(Qty!$J238=0,Qty!AB238,Qty!AB238*Qty!$J238)*'Hist. prices'!X395*X$244</f>
        <v>0</v>
      </c>
      <c r="Y395" s="198">
        <f>IF(Qty!$J238=0,Qty!AC238,Qty!AC238*Qty!$J238)*'Hist. prices'!Y395*Y$244</f>
        <v>0</v>
      </c>
      <c r="Z395" s="198">
        <f>IF(Qty!$J238=0,Qty!AD238,Qty!AD238*Qty!$J238)*'Hist. prices'!Z395*Z$244</f>
        <v>0</v>
      </c>
      <c r="AA395" s="198">
        <f>IF(Qty!$J238=0,Qty!AE238,Qty!AE238*Qty!$J238)*'Hist. prices'!AA395*AA$244</f>
        <v>0</v>
      </c>
      <c r="AB395" s="198">
        <f>IF(Qty!$J238=0,Qty!AF238,Qty!AF238*Qty!$J238)*'Hist. prices'!AB395*AB$244</f>
        <v>0</v>
      </c>
      <c r="AC395" s="206">
        <f t="shared" si="43"/>
        <v>0</v>
      </c>
      <c r="AD395" s="68"/>
      <c r="AE395" s="19"/>
      <c r="AF395" s="19"/>
      <c r="AG395" s="19"/>
      <c r="AH395" s="19"/>
    </row>
    <row r="396" spans="1:34" hidden="1" outlineLevel="3" x14ac:dyDescent="0.2">
      <c r="A396" s="19"/>
      <c r="B396" s="19"/>
      <c r="C396" s="506">
        <f t="shared" si="44"/>
        <v>0</v>
      </c>
      <c r="D396" s="505">
        <f t="shared" si="44"/>
        <v>0</v>
      </c>
      <c r="E396" s="505">
        <f t="shared" si="44"/>
        <v>0</v>
      </c>
      <c r="F396" s="505">
        <f t="shared" si="44"/>
        <v>0</v>
      </c>
      <c r="G396" s="505">
        <f t="shared" si="44"/>
        <v>0</v>
      </c>
      <c r="H396" s="58"/>
      <c r="I396" s="198">
        <f>IF(Qty!$J239=0,Qty!M239,Qty!M239*Qty!$J239)*'Hist. prices'!I396*I$244</f>
        <v>0</v>
      </c>
      <c r="J396" s="198">
        <f>IF(Qty!$J239=0,Qty!N239,Qty!N239*Qty!$J239)*'Hist. prices'!J396*J$244</f>
        <v>0</v>
      </c>
      <c r="K396" s="198">
        <f>IF(Qty!$J239=0,Qty!O239,Qty!O239*Qty!$J239)*'Hist. prices'!K396*K$244</f>
        <v>0</v>
      </c>
      <c r="L396" s="198">
        <f>IF(Qty!$J239=0,Qty!P239,Qty!P239*Qty!$J239)*'Hist. prices'!L396*L$244</f>
        <v>0</v>
      </c>
      <c r="M396" s="198">
        <f>IF(Qty!$J239=0,Qty!Q239,Qty!Q239*Qty!$J239)*'Hist. prices'!M396*M$244</f>
        <v>0</v>
      </c>
      <c r="N396" s="198">
        <f>IF(Qty!$J239=0,Qty!R239,Qty!R239*Qty!$J239)*'Hist. prices'!N396*N$244</f>
        <v>0</v>
      </c>
      <c r="O396" s="198">
        <f>IF(Qty!$J239=0,Qty!S239,Qty!S239*Qty!$J239)*'Hist. prices'!O396*O$244</f>
        <v>0</v>
      </c>
      <c r="P396" s="198">
        <f>IF(Qty!$J239=0,Qty!T239,Qty!T239*Qty!$J239)*'Hist. prices'!P396*P$244</f>
        <v>0</v>
      </c>
      <c r="Q396" s="198">
        <f>IF(Qty!$J239=0,Qty!U239,Qty!U239*Qty!$J239)*'Hist. prices'!Q396*Q$244</f>
        <v>0</v>
      </c>
      <c r="R396" s="198">
        <f>IF(Qty!$J239=0,Qty!V239,Qty!V239*Qty!$J239)*'Hist. prices'!R396*R$244</f>
        <v>0</v>
      </c>
      <c r="S396" s="198">
        <f>IF(Qty!$J239=0,Qty!W239,Qty!W239*Qty!$J239)*'Hist. prices'!S396*S$244</f>
        <v>0</v>
      </c>
      <c r="T396" s="198">
        <f>IF(Qty!$J239=0,Qty!X239,Qty!X239*Qty!$J239)*'Hist. prices'!T396*T$244</f>
        <v>0</v>
      </c>
      <c r="U396" s="198">
        <f>IF(Qty!$J239=0,Qty!Y239,Qty!Y239*Qty!$J239)*'Hist. prices'!U396*U$244</f>
        <v>0</v>
      </c>
      <c r="V396" s="198">
        <f>IF(Qty!$J239=0,Qty!Z239,Qty!Z239*Qty!$J239)*'Hist. prices'!V396*V$244</f>
        <v>0</v>
      </c>
      <c r="W396" s="198">
        <f>IF(Qty!$J239=0,Qty!AA239,Qty!AA239*Qty!$J239)*'Hist. prices'!W396*W$244</f>
        <v>0</v>
      </c>
      <c r="X396" s="198">
        <f>IF(Qty!$J239=0,Qty!AB239,Qty!AB239*Qty!$J239)*'Hist. prices'!X396*X$244</f>
        <v>0</v>
      </c>
      <c r="Y396" s="198">
        <f>IF(Qty!$J239=0,Qty!AC239,Qty!AC239*Qty!$J239)*'Hist. prices'!Y396*Y$244</f>
        <v>0</v>
      </c>
      <c r="Z396" s="198">
        <f>IF(Qty!$J239=0,Qty!AD239,Qty!AD239*Qty!$J239)*'Hist. prices'!Z396*Z$244</f>
        <v>0</v>
      </c>
      <c r="AA396" s="198">
        <f>IF(Qty!$J239=0,Qty!AE239,Qty!AE239*Qty!$J239)*'Hist. prices'!AA396*AA$244</f>
        <v>0</v>
      </c>
      <c r="AB396" s="198">
        <f>IF(Qty!$J239=0,Qty!AF239,Qty!AF239*Qty!$J239)*'Hist. prices'!AB396*AB$244</f>
        <v>0</v>
      </c>
      <c r="AC396" s="206">
        <f t="shared" si="43"/>
        <v>0</v>
      </c>
      <c r="AD396" s="68"/>
      <c r="AE396" s="19"/>
      <c r="AF396" s="19"/>
      <c r="AG396" s="19"/>
      <c r="AH396" s="19"/>
    </row>
    <row r="397" spans="1:34" hidden="1" outlineLevel="3" x14ac:dyDescent="0.2">
      <c r="A397" s="19"/>
      <c r="B397" s="19"/>
      <c r="C397" s="506">
        <f t="shared" si="44"/>
        <v>0</v>
      </c>
      <c r="D397" s="505">
        <f t="shared" si="44"/>
        <v>0</v>
      </c>
      <c r="E397" s="505">
        <f t="shared" si="44"/>
        <v>0</v>
      </c>
      <c r="F397" s="505">
        <f t="shared" si="44"/>
        <v>0</v>
      </c>
      <c r="G397" s="505">
        <f t="shared" si="44"/>
        <v>0</v>
      </c>
      <c r="H397" s="58"/>
      <c r="I397" s="198">
        <f>IF(Qty!$J240=0,Qty!M240,Qty!M240*Qty!$J240)*'Hist. prices'!I397*I$244</f>
        <v>0</v>
      </c>
      <c r="J397" s="198">
        <f>IF(Qty!$J240=0,Qty!N240,Qty!N240*Qty!$J240)*'Hist. prices'!J397*J$244</f>
        <v>0</v>
      </c>
      <c r="K397" s="198">
        <f>IF(Qty!$J240=0,Qty!O240,Qty!O240*Qty!$J240)*'Hist. prices'!K397*K$244</f>
        <v>0</v>
      </c>
      <c r="L397" s="198">
        <f>IF(Qty!$J240=0,Qty!P240,Qty!P240*Qty!$J240)*'Hist. prices'!L397*L$244</f>
        <v>0</v>
      </c>
      <c r="M397" s="198">
        <f>IF(Qty!$J240=0,Qty!Q240,Qty!Q240*Qty!$J240)*'Hist. prices'!M397*M$244</f>
        <v>0</v>
      </c>
      <c r="N397" s="198">
        <f>IF(Qty!$J240=0,Qty!R240,Qty!R240*Qty!$J240)*'Hist. prices'!N397*N$244</f>
        <v>0</v>
      </c>
      <c r="O397" s="198">
        <f>IF(Qty!$J240=0,Qty!S240,Qty!S240*Qty!$J240)*'Hist. prices'!O397*O$244</f>
        <v>0</v>
      </c>
      <c r="P397" s="198">
        <f>IF(Qty!$J240=0,Qty!T240,Qty!T240*Qty!$J240)*'Hist. prices'!P397*P$244</f>
        <v>0</v>
      </c>
      <c r="Q397" s="198">
        <f>IF(Qty!$J240=0,Qty!U240,Qty!U240*Qty!$J240)*'Hist. prices'!Q397*Q$244</f>
        <v>0</v>
      </c>
      <c r="R397" s="198">
        <f>IF(Qty!$J240=0,Qty!V240,Qty!V240*Qty!$J240)*'Hist. prices'!R397*R$244</f>
        <v>0</v>
      </c>
      <c r="S397" s="198">
        <f>IF(Qty!$J240=0,Qty!W240,Qty!W240*Qty!$J240)*'Hist. prices'!S397*S$244</f>
        <v>0</v>
      </c>
      <c r="T397" s="198">
        <f>IF(Qty!$J240=0,Qty!X240,Qty!X240*Qty!$J240)*'Hist. prices'!T397*T$244</f>
        <v>0</v>
      </c>
      <c r="U397" s="198">
        <f>IF(Qty!$J240=0,Qty!Y240,Qty!Y240*Qty!$J240)*'Hist. prices'!U397*U$244</f>
        <v>0</v>
      </c>
      <c r="V397" s="198">
        <f>IF(Qty!$J240=0,Qty!Z240,Qty!Z240*Qty!$J240)*'Hist. prices'!V397*V$244</f>
        <v>0</v>
      </c>
      <c r="W397" s="198">
        <f>IF(Qty!$J240=0,Qty!AA240,Qty!AA240*Qty!$J240)*'Hist. prices'!W397*W$244</f>
        <v>0</v>
      </c>
      <c r="X397" s="198">
        <f>IF(Qty!$J240=0,Qty!AB240,Qty!AB240*Qty!$J240)*'Hist. prices'!X397*X$244</f>
        <v>0</v>
      </c>
      <c r="Y397" s="198">
        <f>IF(Qty!$J240=0,Qty!AC240,Qty!AC240*Qty!$J240)*'Hist. prices'!Y397*Y$244</f>
        <v>0</v>
      </c>
      <c r="Z397" s="198">
        <f>IF(Qty!$J240=0,Qty!AD240,Qty!AD240*Qty!$J240)*'Hist. prices'!Z397*Z$244</f>
        <v>0</v>
      </c>
      <c r="AA397" s="198">
        <f>IF(Qty!$J240=0,Qty!AE240,Qty!AE240*Qty!$J240)*'Hist. prices'!AA397*AA$244</f>
        <v>0</v>
      </c>
      <c r="AB397" s="198">
        <f>IF(Qty!$J240=0,Qty!AF240,Qty!AF240*Qty!$J240)*'Hist. prices'!AB397*AB$244</f>
        <v>0</v>
      </c>
      <c r="AC397" s="206">
        <f t="shared" si="43"/>
        <v>0</v>
      </c>
      <c r="AD397" s="68"/>
      <c r="AE397" s="19"/>
      <c r="AF397" s="19"/>
      <c r="AG397" s="19"/>
      <c r="AH397" s="19"/>
    </row>
    <row r="398" spans="1:34" outlineLevel="2" collapsed="1" x14ac:dyDescent="0.2">
      <c r="A398" s="19"/>
      <c r="B398" s="19"/>
      <c r="C398" s="539" t="s">
        <v>240</v>
      </c>
      <c r="D398" s="505"/>
      <c r="E398" s="505"/>
      <c r="F398" s="505"/>
      <c r="G398" s="505"/>
      <c r="H398" s="58"/>
      <c r="I398" s="205">
        <f t="shared" ref="I398:AC398" si="45">SUM(I323:I397)</f>
        <v>0</v>
      </c>
      <c r="J398" s="205">
        <f t="shared" si="45"/>
        <v>42558047.27107577</v>
      </c>
      <c r="K398" s="205">
        <f t="shared" si="45"/>
        <v>10387315.844316654</v>
      </c>
      <c r="L398" s="205">
        <f t="shared" si="45"/>
        <v>2179580.044768176</v>
      </c>
      <c r="M398" s="205">
        <f t="shared" si="45"/>
        <v>2316963.5121514997</v>
      </c>
      <c r="N398" s="205">
        <f t="shared" si="45"/>
        <v>2776207.2950499998</v>
      </c>
      <c r="O398" s="205">
        <f t="shared" si="45"/>
        <v>3825263.5169400005</v>
      </c>
      <c r="P398" s="205">
        <f t="shared" si="45"/>
        <v>1122489.52874</v>
      </c>
      <c r="Q398" s="205">
        <f t="shared" si="45"/>
        <v>788387.35443000006</v>
      </c>
      <c r="R398" s="205">
        <f t="shared" si="45"/>
        <v>103713.47618000001</v>
      </c>
      <c r="S398" s="205">
        <f t="shared" si="45"/>
        <v>0</v>
      </c>
      <c r="T398" s="205">
        <f t="shared" si="45"/>
        <v>0</v>
      </c>
      <c r="U398" s="205">
        <f t="shared" si="45"/>
        <v>362448.83956320008</v>
      </c>
      <c r="V398" s="205">
        <f t="shared" si="45"/>
        <v>0</v>
      </c>
      <c r="W398" s="205">
        <f t="shared" si="45"/>
        <v>0</v>
      </c>
      <c r="X398" s="205">
        <f t="shared" si="45"/>
        <v>0</v>
      </c>
      <c r="Y398" s="205">
        <f t="shared" si="45"/>
        <v>0</v>
      </c>
      <c r="Z398" s="205">
        <f t="shared" si="45"/>
        <v>0</v>
      </c>
      <c r="AA398" s="205">
        <f t="shared" si="45"/>
        <v>0</v>
      </c>
      <c r="AB398" s="205">
        <f t="shared" si="45"/>
        <v>0</v>
      </c>
      <c r="AC398" s="205">
        <f t="shared" si="45"/>
        <v>66420416.683215305</v>
      </c>
      <c r="AD398" s="19"/>
      <c r="AE398" s="19"/>
      <c r="AF398" s="19"/>
      <c r="AG398" s="19"/>
    </row>
    <row r="399" spans="1:34" outlineLevel="1" x14ac:dyDescent="0.2">
      <c r="A399" s="19"/>
      <c r="B399" s="19"/>
      <c r="C399" s="66"/>
      <c r="D399" s="58"/>
      <c r="E399" s="58"/>
      <c r="F399" s="58"/>
      <c r="G399" s="58"/>
      <c r="H399" s="58"/>
      <c r="I399" s="67"/>
      <c r="J399" s="67"/>
      <c r="K399" s="68"/>
      <c r="L399" s="68"/>
      <c r="M399" s="68"/>
      <c r="N399" s="69"/>
      <c r="O399" s="69"/>
      <c r="P399" s="69"/>
      <c r="Q399" s="69"/>
      <c r="R399" s="69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19"/>
      <c r="AF399" s="19"/>
      <c r="AG399" s="19"/>
      <c r="AH399" s="19"/>
    </row>
    <row r="400" spans="1:34" outlineLevel="1" x14ac:dyDescent="0.2">
      <c r="A400" s="19"/>
      <c r="B400" s="19"/>
      <c r="C400" s="167" t="str">
        <f>C163</f>
        <v>Jurisdictional Scheme Amounts</v>
      </c>
      <c r="D400" s="20"/>
      <c r="E400" s="20"/>
      <c r="F400" s="20"/>
      <c r="G400" s="22"/>
      <c r="H400" s="22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19"/>
      <c r="AF400" s="19"/>
      <c r="AG400" s="19"/>
      <c r="AH400" s="19"/>
    </row>
    <row r="401" spans="1:34" hidden="1" outlineLevel="2" x14ac:dyDescent="0.2">
      <c r="A401" s="19"/>
      <c r="B401" s="19"/>
      <c r="C401" s="506" t="str">
        <f t="shared" ref="C401:G410" si="46">C245</f>
        <v>Residential time of use consumption</v>
      </c>
      <c r="D401" s="505" t="str">
        <f t="shared" si="46"/>
        <v>Residential</v>
      </c>
      <c r="E401" s="505" t="str">
        <f t="shared" si="46"/>
        <v>TAS93</v>
      </c>
      <c r="F401" s="505">
        <f t="shared" si="46"/>
        <v>0</v>
      </c>
      <c r="G401" s="505">
        <f t="shared" si="46"/>
        <v>0</v>
      </c>
      <c r="H401" s="22"/>
      <c r="I401" s="198">
        <f>Qty!M166*'Hist. prices'!I401*I$244</f>
        <v>0</v>
      </c>
      <c r="J401" s="198">
        <f>Qty!N166*'Hist. prices'!J401*J$244</f>
        <v>0</v>
      </c>
      <c r="K401" s="198">
        <f>Qty!O166*'Hist. prices'!K401*K$244</f>
        <v>0</v>
      </c>
      <c r="L401" s="198">
        <f>Qty!P166*'Hist. prices'!L401*L$244</f>
        <v>0</v>
      </c>
      <c r="M401" s="198">
        <f>Qty!Q166*'Hist. prices'!M401*M$244</f>
        <v>0</v>
      </c>
      <c r="N401" s="198">
        <f>Qty!R166*'Hist. prices'!N401*N$244</f>
        <v>0</v>
      </c>
      <c r="O401" s="198">
        <f>Qty!S166*'Hist. prices'!O401*O$244</f>
        <v>0</v>
      </c>
      <c r="P401" s="198">
        <f>Qty!T166*'Hist. prices'!P401*P$244</f>
        <v>0</v>
      </c>
      <c r="Q401" s="198">
        <f>Qty!U166*'Hist. prices'!Q401*Q$244</f>
        <v>0</v>
      </c>
      <c r="R401" s="198">
        <f>Qty!V166*'Hist. prices'!R401*R$244</f>
        <v>0</v>
      </c>
      <c r="S401" s="198">
        <f>Qty!W166*'Hist. prices'!S401*S$244</f>
        <v>0</v>
      </c>
      <c r="T401" s="198">
        <f>Qty!X166*'Hist. prices'!T401*T$244</f>
        <v>0</v>
      </c>
      <c r="U401" s="198">
        <f>Qty!Y166*'Hist. prices'!U401*U$244</f>
        <v>0</v>
      </c>
      <c r="V401" s="198">
        <f>Qty!Z166*'Hist. prices'!V401*V$244</f>
        <v>0</v>
      </c>
      <c r="W401" s="198">
        <f>Qty!AA166*'Hist. prices'!W401*W$244</f>
        <v>0</v>
      </c>
      <c r="X401" s="198">
        <f>Qty!AB166*'Hist. prices'!X401*X$244</f>
        <v>0</v>
      </c>
      <c r="Y401" s="198">
        <f>Qty!AC166*'Hist. prices'!Y401*Y$244</f>
        <v>0</v>
      </c>
      <c r="Z401" s="198">
        <f>Qty!AD166*'Hist. prices'!Z401*Z$244</f>
        <v>0</v>
      </c>
      <c r="AA401" s="198">
        <f>Qty!AE166*'Hist. prices'!AA401*AA$244</f>
        <v>0</v>
      </c>
      <c r="AB401" s="198">
        <f>Qty!AF166*'Hist. prices'!AB401*AB$244</f>
        <v>0</v>
      </c>
      <c r="AC401" s="206">
        <f t="shared" ref="AC401:AC432" si="47">SUM(I401:AB401)</f>
        <v>0</v>
      </c>
      <c r="AD401" s="68"/>
      <c r="AE401" s="19"/>
      <c r="AF401" s="19"/>
      <c r="AG401" s="19"/>
      <c r="AH401" s="19"/>
    </row>
    <row r="402" spans="1:34" s="59" customFormat="1" hidden="1" outlineLevel="2" x14ac:dyDescent="0.2">
      <c r="A402" s="57"/>
      <c r="B402" s="57"/>
      <c r="C402" s="506" t="str">
        <f t="shared" si="46"/>
        <v>Residential general light and power</v>
      </c>
      <c r="D402" s="505" t="str">
        <f t="shared" si="46"/>
        <v>Residential</v>
      </c>
      <c r="E402" s="505" t="str">
        <f t="shared" si="46"/>
        <v>TAS31</v>
      </c>
      <c r="F402" s="505">
        <f t="shared" si="46"/>
        <v>0</v>
      </c>
      <c r="G402" s="505">
        <f t="shared" si="46"/>
        <v>0</v>
      </c>
      <c r="H402" s="58"/>
      <c r="I402" s="198">
        <f>Qty!M167*'Hist. prices'!I402*I$244</f>
        <v>0</v>
      </c>
      <c r="J402" s="198">
        <f>Qty!N167*'Hist. prices'!J402*J$244</f>
        <v>0</v>
      </c>
      <c r="K402" s="198">
        <f>Qty!O167*'Hist. prices'!K402*K$244</f>
        <v>0</v>
      </c>
      <c r="L402" s="198">
        <f>Qty!P167*'Hist. prices'!L402*L$244</f>
        <v>0</v>
      </c>
      <c r="M402" s="198">
        <f>Qty!Q167*'Hist. prices'!M402*M$244</f>
        <v>0</v>
      </c>
      <c r="N402" s="198">
        <f>Qty!R167*'Hist. prices'!N402*N$244</f>
        <v>0</v>
      </c>
      <c r="O402" s="198">
        <f>Qty!S167*'Hist. prices'!O402*O$244</f>
        <v>0</v>
      </c>
      <c r="P402" s="198">
        <f>Qty!T167*'Hist. prices'!P402*P$244</f>
        <v>0</v>
      </c>
      <c r="Q402" s="198">
        <f>Qty!U167*'Hist. prices'!Q402*Q$244</f>
        <v>0</v>
      </c>
      <c r="R402" s="198">
        <f>Qty!V167*'Hist. prices'!R402*R$244</f>
        <v>0</v>
      </c>
      <c r="S402" s="198">
        <f>Qty!W167*'Hist. prices'!S402*S$244</f>
        <v>0</v>
      </c>
      <c r="T402" s="198">
        <f>Qty!X167*'Hist. prices'!T402*T$244</f>
        <v>0</v>
      </c>
      <c r="U402" s="198">
        <f>Qty!Y167*'Hist. prices'!U402*U$244</f>
        <v>0</v>
      </c>
      <c r="V402" s="198">
        <f>Qty!Z167*'Hist. prices'!V402*V$244</f>
        <v>0</v>
      </c>
      <c r="W402" s="198">
        <f>Qty!AA167*'Hist. prices'!W402*W$244</f>
        <v>0</v>
      </c>
      <c r="X402" s="198">
        <f>Qty!AB167*'Hist. prices'!X402*X$244</f>
        <v>0</v>
      </c>
      <c r="Y402" s="198">
        <f>Qty!AC167*'Hist. prices'!Y402*Y$244</f>
        <v>0</v>
      </c>
      <c r="Z402" s="198">
        <f>Qty!AD167*'Hist. prices'!Z402*Z$244</f>
        <v>0</v>
      </c>
      <c r="AA402" s="198">
        <f>Qty!AE167*'Hist. prices'!AA402*AA$244</f>
        <v>0</v>
      </c>
      <c r="AB402" s="198">
        <f>Qty!AF167*'Hist. prices'!AB402*AB$244</f>
        <v>0</v>
      </c>
      <c r="AC402" s="206">
        <f t="shared" si="47"/>
        <v>0</v>
      </c>
      <c r="AD402" s="68"/>
      <c r="AE402" s="57"/>
      <c r="AF402" s="57"/>
      <c r="AG402" s="57"/>
      <c r="AH402" s="57"/>
    </row>
    <row r="403" spans="1:34" hidden="1" outlineLevel="2" x14ac:dyDescent="0.2">
      <c r="A403" s="19"/>
      <c r="B403" s="19"/>
      <c r="C403" s="506" t="str">
        <f t="shared" si="46"/>
        <v>Residential time of use demand</v>
      </c>
      <c r="D403" s="505" t="str">
        <f t="shared" si="46"/>
        <v>Residential</v>
      </c>
      <c r="E403" s="505" t="str">
        <f t="shared" si="46"/>
        <v>TAS87</v>
      </c>
      <c r="F403" s="505">
        <f t="shared" si="46"/>
        <v>0</v>
      </c>
      <c r="G403" s="505">
        <f t="shared" si="46"/>
        <v>0</v>
      </c>
      <c r="H403" s="58"/>
      <c r="I403" s="198">
        <f>Qty!M168*'Hist. prices'!I403*I$244</f>
        <v>0</v>
      </c>
      <c r="J403" s="198">
        <f>Qty!N168*'Hist. prices'!J403*J$244</f>
        <v>0</v>
      </c>
      <c r="K403" s="198">
        <f>Qty!O168*'Hist. prices'!K403*K$244</f>
        <v>0</v>
      </c>
      <c r="L403" s="198">
        <f>Qty!P168*'Hist. prices'!L403*L$244</f>
        <v>0</v>
      </c>
      <c r="M403" s="198">
        <f>Qty!Q168*'Hist. prices'!M403*M$244</f>
        <v>0</v>
      </c>
      <c r="N403" s="198">
        <f>Qty!R168*'Hist. prices'!N403*N$244</f>
        <v>0</v>
      </c>
      <c r="O403" s="198">
        <f>Qty!S168*'Hist. prices'!O403*O$244</f>
        <v>0</v>
      </c>
      <c r="P403" s="198">
        <f>Qty!T168*'Hist. prices'!P403*P$244</f>
        <v>0</v>
      </c>
      <c r="Q403" s="198">
        <f>Qty!U168*'Hist. prices'!Q403*Q$244</f>
        <v>0</v>
      </c>
      <c r="R403" s="198">
        <f>Qty!V168*'Hist. prices'!R403*R$244</f>
        <v>0</v>
      </c>
      <c r="S403" s="198">
        <f>Qty!W168*'Hist. prices'!S403*S$244</f>
        <v>0</v>
      </c>
      <c r="T403" s="198">
        <f>Qty!X168*'Hist. prices'!T403*T$244</f>
        <v>0</v>
      </c>
      <c r="U403" s="198">
        <f>Qty!Y168*'Hist. prices'!U403*U$244</f>
        <v>0</v>
      </c>
      <c r="V403" s="198">
        <f>Qty!Z168*'Hist. prices'!V403*V$244</f>
        <v>0</v>
      </c>
      <c r="W403" s="198">
        <f>Qty!AA168*'Hist. prices'!W403*W$244</f>
        <v>0</v>
      </c>
      <c r="X403" s="198">
        <f>Qty!AB168*'Hist. prices'!X403*X$244</f>
        <v>0</v>
      </c>
      <c r="Y403" s="198">
        <f>Qty!AC168*'Hist. prices'!Y403*Y$244</f>
        <v>0</v>
      </c>
      <c r="Z403" s="198">
        <f>Qty!AD168*'Hist. prices'!Z403*Z$244</f>
        <v>0</v>
      </c>
      <c r="AA403" s="198">
        <f>Qty!AE168*'Hist. prices'!AA403*AA$244</f>
        <v>0</v>
      </c>
      <c r="AB403" s="198">
        <f>Qty!AF168*'Hist. prices'!AB403*AB$244</f>
        <v>0</v>
      </c>
      <c r="AC403" s="206">
        <f t="shared" si="47"/>
        <v>0</v>
      </c>
      <c r="AD403" s="68"/>
      <c r="AE403" s="19"/>
      <c r="AF403" s="19"/>
      <c r="AG403" s="19"/>
      <c r="AH403" s="19"/>
    </row>
    <row r="404" spans="1:34" hidden="1" outlineLevel="2" x14ac:dyDescent="0.2">
      <c r="A404" s="19"/>
      <c r="B404" s="19"/>
      <c r="C404" s="506" t="str">
        <f t="shared" si="46"/>
        <v>Residential time of use demand DER</v>
      </c>
      <c r="D404" s="505" t="str">
        <f t="shared" si="46"/>
        <v>Residential</v>
      </c>
      <c r="E404" s="505" t="str">
        <f t="shared" si="46"/>
        <v>TAS97</v>
      </c>
      <c r="F404" s="505">
        <f t="shared" si="46"/>
        <v>0</v>
      </c>
      <c r="G404" s="505">
        <f t="shared" si="46"/>
        <v>0</v>
      </c>
      <c r="H404" s="58"/>
      <c r="I404" s="198">
        <f>Qty!M169*'Hist. prices'!I404*I$244</f>
        <v>0</v>
      </c>
      <c r="J404" s="198">
        <f>Qty!N169*'Hist. prices'!J404*J$244</f>
        <v>0</v>
      </c>
      <c r="K404" s="198">
        <f>Qty!O169*'Hist. prices'!K404*K$244</f>
        <v>0</v>
      </c>
      <c r="L404" s="198">
        <f>Qty!P169*'Hist. prices'!L404*L$244</f>
        <v>0</v>
      </c>
      <c r="M404" s="198">
        <f>Qty!Q169*'Hist. prices'!M404*M$244</f>
        <v>0</v>
      </c>
      <c r="N404" s="198">
        <f>Qty!R169*'Hist. prices'!N404*N$244</f>
        <v>0</v>
      </c>
      <c r="O404" s="198">
        <f>Qty!S169*'Hist. prices'!O404*O$244</f>
        <v>0</v>
      </c>
      <c r="P404" s="198">
        <f>Qty!T169*'Hist. prices'!P404*P$244</f>
        <v>0</v>
      </c>
      <c r="Q404" s="198">
        <f>Qty!U169*'Hist. prices'!Q404*Q$244</f>
        <v>0</v>
      </c>
      <c r="R404" s="198">
        <f>Qty!V169*'Hist. prices'!R404*R$244</f>
        <v>0</v>
      </c>
      <c r="S404" s="198">
        <f>Qty!W169*'Hist. prices'!S404*S$244</f>
        <v>0</v>
      </c>
      <c r="T404" s="198">
        <f>Qty!X169*'Hist. prices'!T404*T$244</f>
        <v>0</v>
      </c>
      <c r="U404" s="198">
        <f>Qty!Y169*'Hist. prices'!U404*U$244</f>
        <v>0</v>
      </c>
      <c r="V404" s="198">
        <f>Qty!Z169*'Hist. prices'!V404*V$244</f>
        <v>0</v>
      </c>
      <c r="W404" s="198">
        <f>Qty!AA169*'Hist. prices'!W404*W$244</f>
        <v>0</v>
      </c>
      <c r="X404" s="198">
        <f>Qty!AB169*'Hist. prices'!X404*X$244</f>
        <v>0</v>
      </c>
      <c r="Y404" s="198">
        <f>Qty!AC169*'Hist. prices'!Y404*Y$244</f>
        <v>0</v>
      </c>
      <c r="Z404" s="198">
        <f>Qty!AD169*'Hist. prices'!Z404*Z$244</f>
        <v>0</v>
      </c>
      <c r="AA404" s="198">
        <f>Qty!AE169*'Hist. prices'!AA404*AA$244</f>
        <v>0</v>
      </c>
      <c r="AB404" s="198">
        <f>Qty!AF169*'Hist. prices'!AB404*AB$244</f>
        <v>0</v>
      </c>
      <c r="AC404" s="206">
        <f t="shared" si="47"/>
        <v>0</v>
      </c>
      <c r="AD404" s="68"/>
      <c r="AE404" s="19"/>
      <c r="AF404" s="19"/>
      <c r="AG404" s="19"/>
      <c r="AH404" s="19"/>
    </row>
    <row r="405" spans="1:34" hidden="1" outlineLevel="2" x14ac:dyDescent="0.2">
      <c r="A405" s="19"/>
      <c r="B405" s="19"/>
      <c r="C405" s="506" t="str">
        <f t="shared" si="46"/>
        <v>Residential pay as you go</v>
      </c>
      <c r="D405" s="505" t="str">
        <f t="shared" si="46"/>
        <v>Residential</v>
      </c>
      <c r="E405" s="505" t="str">
        <f t="shared" si="46"/>
        <v>TAS101</v>
      </c>
      <c r="F405" s="505">
        <f t="shared" si="46"/>
        <v>0</v>
      </c>
      <c r="G405" s="505">
        <f t="shared" si="46"/>
        <v>0</v>
      </c>
      <c r="H405" s="58"/>
      <c r="I405" s="198">
        <f>Qty!M170*'Hist. prices'!I405*I$244</f>
        <v>0</v>
      </c>
      <c r="J405" s="198">
        <f>Qty!N170*'Hist. prices'!J405*J$244</f>
        <v>0</v>
      </c>
      <c r="K405" s="198">
        <f>Qty!O170*'Hist. prices'!K405*K$244</f>
        <v>0</v>
      </c>
      <c r="L405" s="198">
        <f>Qty!P170*'Hist. prices'!L405*L$244</f>
        <v>0</v>
      </c>
      <c r="M405" s="198">
        <f>Qty!Q170*'Hist. prices'!M405*M$244</f>
        <v>0</v>
      </c>
      <c r="N405" s="198">
        <f>Qty!R170*'Hist. prices'!N405*N$244</f>
        <v>0</v>
      </c>
      <c r="O405" s="198">
        <f>Qty!S170*'Hist. prices'!O405*O$244</f>
        <v>0</v>
      </c>
      <c r="P405" s="198">
        <f>Qty!T170*'Hist. prices'!P405*P$244</f>
        <v>0</v>
      </c>
      <c r="Q405" s="198">
        <f>Qty!U170*'Hist. prices'!Q405*Q$244</f>
        <v>0</v>
      </c>
      <c r="R405" s="198">
        <f>Qty!V170*'Hist. prices'!R405*R$244</f>
        <v>0</v>
      </c>
      <c r="S405" s="198">
        <f>Qty!W170*'Hist. prices'!S405*S$244</f>
        <v>0</v>
      </c>
      <c r="T405" s="198">
        <f>Qty!X170*'Hist. prices'!T405*T$244</f>
        <v>0</v>
      </c>
      <c r="U405" s="198">
        <f>Qty!Y170*'Hist. prices'!U405*U$244</f>
        <v>0</v>
      </c>
      <c r="V405" s="198">
        <f>Qty!Z170*'Hist. prices'!V405*V$244</f>
        <v>0</v>
      </c>
      <c r="W405" s="198">
        <f>Qty!AA170*'Hist. prices'!W405*W$244</f>
        <v>0</v>
      </c>
      <c r="X405" s="198">
        <f>Qty!AB170*'Hist. prices'!X405*X$244</f>
        <v>0</v>
      </c>
      <c r="Y405" s="198">
        <f>Qty!AC170*'Hist. prices'!Y405*Y$244</f>
        <v>0</v>
      </c>
      <c r="Z405" s="198">
        <f>Qty!AD170*'Hist. prices'!Z405*Z$244</f>
        <v>0</v>
      </c>
      <c r="AA405" s="198">
        <f>Qty!AE170*'Hist. prices'!AA405*AA$244</f>
        <v>0</v>
      </c>
      <c r="AB405" s="198">
        <f>Qty!AF170*'Hist. prices'!AB405*AB$244</f>
        <v>0</v>
      </c>
      <c r="AC405" s="206">
        <f t="shared" si="47"/>
        <v>0</v>
      </c>
      <c r="AD405" s="68"/>
      <c r="AE405" s="19"/>
      <c r="AF405" s="19"/>
      <c r="AG405" s="19"/>
      <c r="AH405" s="19"/>
    </row>
    <row r="406" spans="1:34" hidden="1" outlineLevel="2" x14ac:dyDescent="0.2">
      <c r="A406" s="19"/>
      <c r="B406" s="19"/>
      <c r="C406" s="506" t="str">
        <f t="shared" si="46"/>
        <v>Residential pay as you go time of use</v>
      </c>
      <c r="D406" s="505" t="str">
        <f t="shared" si="46"/>
        <v>Residential</v>
      </c>
      <c r="E406" s="505" t="str">
        <f t="shared" si="46"/>
        <v>TAS92</v>
      </c>
      <c r="F406" s="505">
        <f t="shared" si="46"/>
        <v>0</v>
      </c>
      <c r="G406" s="505">
        <f t="shared" si="46"/>
        <v>0</v>
      </c>
      <c r="H406" s="58"/>
      <c r="I406" s="198">
        <f>Qty!M171*'Hist. prices'!I406*I$244</f>
        <v>0</v>
      </c>
      <c r="J406" s="198">
        <f>Qty!N171*'Hist. prices'!J406*J$244</f>
        <v>0</v>
      </c>
      <c r="K406" s="198">
        <f>Qty!O171*'Hist. prices'!K406*K$244</f>
        <v>0</v>
      </c>
      <c r="L406" s="198">
        <f>Qty!P171*'Hist. prices'!L406*L$244</f>
        <v>0</v>
      </c>
      <c r="M406" s="198">
        <f>Qty!Q171*'Hist. prices'!M406*M$244</f>
        <v>0</v>
      </c>
      <c r="N406" s="198">
        <f>Qty!R171*'Hist. prices'!N406*N$244</f>
        <v>0</v>
      </c>
      <c r="O406" s="198">
        <f>Qty!S171*'Hist. prices'!O406*O$244</f>
        <v>0</v>
      </c>
      <c r="P406" s="198">
        <f>Qty!T171*'Hist. prices'!P406*P$244</f>
        <v>0</v>
      </c>
      <c r="Q406" s="198">
        <f>Qty!U171*'Hist. prices'!Q406*Q$244</f>
        <v>0</v>
      </c>
      <c r="R406" s="198">
        <f>Qty!V171*'Hist. prices'!R406*R$244</f>
        <v>0</v>
      </c>
      <c r="S406" s="198">
        <f>Qty!W171*'Hist. prices'!S406*S$244</f>
        <v>0</v>
      </c>
      <c r="T406" s="198">
        <f>Qty!X171*'Hist. prices'!T406*T$244</f>
        <v>0</v>
      </c>
      <c r="U406" s="198">
        <f>Qty!Y171*'Hist. prices'!U406*U$244</f>
        <v>0</v>
      </c>
      <c r="V406" s="198">
        <f>Qty!Z171*'Hist. prices'!V406*V$244</f>
        <v>0</v>
      </c>
      <c r="W406" s="198">
        <f>Qty!AA171*'Hist. prices'!W406*W$244</f>
        <v>0</v>
      </c>
      <c r="X406" s="198">
        <f>Qty!AB171*'Hist. prices'!X406*X$244</f>
        <v>0</v>
      </c>
      <c r="Y406" s="198">
        <f>Qty!AC171*'Hist. prices'!Y406*Y$244</f>
        <v>0</v>
      </c>
      <c r="Z406" s="198">
        <f>Qty!AD171*'Hist. prices'!Z406*Z$244</f>
        <v>0</v>
      </c>
      <c r="AA406" s="198">
        <f>Qty!AE171*'Hist. prices'!AA406*AA$244</f>
        <v>0</v>
      </c>
      <c r="AB406" s="198">
        <f>Qty!AF171*'Hist. prices'!AB406*AB$244</f>
        <v>0</v>
      </c>
      <c r="AC406" s="206">
        <f t="shared" si="47"/>
        <v>0</v>
      </c>
      <c r="AD406" s="68"/>
      <c r="AE406" s="19"/>
      <c r="AF406" s="19"/>
      <c r="AG406" s="19"/>
      <c r="AH406" s="19"/>
    </row>
    <row r="407" spans="1:34" hidden="1" outlineLevel="2" x14ac:dyDescent="0.2">
      <c r="A407" s="19"/>
      <c r="B407" s="19"/>
      <c r="C407" s="506" t="str">
        <f t="shared" si="46"/>
        <v>Small business time of use consumption</v>
      </c>
      <c r="D407" s="505" t="str">
        <f t="shared" si="46"/>
        <v>Small Business LV</v>
      </c>
      <c r="E407" s="505" t="str">
        <f t="shared" si="46"/>
        <v>TAS94</v>
      </c>
      <c r="F407" s="505">
        <f t="shared" si="46"/>
        <v>0</v>
      </c>
      <c r="G407" s="505">
        <f t="shared" si="46"/>
        <v>0</v>
      </c>
      <c r="H407" s="58"/>
      <c r="I407" s="198">
        <f>Qty!M172*'Hist. prices'!I407*I$244</f>
        <v>0</v>
      </c>
      <c r="J407" s="198">
        <f>Qty!N172*'Hist. prices'!J407*J$244</f>
        <v>0</v>
      </c>
      <c r="K407" s="198">
        <f>Qty!O172*'Hist. prices'!K407*K$244</f>
        <v>0</v>
      </c>
      <c r="L407" s="198">
        <f>Qty!P172*'Hist. prices'!L407*L$244</f>
        <v>0</v>
      </c>
      <c r="M407" s="198">
        <f>Qty!Q172*'Hist. prices'!M407*M$244</f>
        <v>0</v>
      </c>
      <c r="N407" s="198">
        <f>Qty!R172*'Hist. prices'!N407*N$244</f>
        <v>0</v>
      </c>
      <c r="O407" s="198">
        <f>Qty!S172*'Hist. prices'!O407*O$244</f>
        <v>0</v>
      </c>
      <c r="P407" s="198">
        <f>Qty!T172*'Hist. prices'!P407*P$244</f>
        <v>0</v>
      </c>
      <c r="Q407" s="198">
        <f>Qty!U172*'Hist. prices'!Q407*Q$244</f>
        <v>0</v>
      </c>
      <c r="R407" s="198">
        <f>Qty!V172*'Hist. prices'!R407*R$244</f>
        <v>0</v>
      </c>
      <c r="S407" s="198">
        <f>Qty!W172*'Hist. prices'!S407*S$244</f>
        <v>0</v>
      </c>
      <c r="T407" s="198">
        <f>Qty!X172*'Hist. prices'!T407*T$244</f>
        <v>0</v>
      </c>
      <c r="U407" s="198">
        <f>Qty!Y172*'Hist. prices'!U407*U$244</f>
        <v>0</v>
      </c>
      <c r="V407" s="198">
        <f>Qty!Z172*'Hist. prices'!V407*V$244</f>
        <v>0</v>
      </c>
      <c r="W407" s="198">
        <f>Qty!AA172*'Hist. prices'!W407*W$244</f>
        <v>0</v>
      </c>
      <c r="X407" s="198">
        <f>Qty!AB172*'Hist. prices'!X407*X$244</f>
        <v>0</v>
      </c>
      <c r="Y407" s="198">
        <f>Qty!AC172*'Hist. prices'!Y407*Y$244</f>
        <v>0</v>
      </c>
      <c r="Z407" s="198">
        <f>Qty!AD172*'Hist. prices'!Z407*Z$244</f>
        <v>0</v>
      </c>
      <c r="AA407" s="198">
        <f>Qty!AE172*'Hist. prices'!AA407*AA$244</f>
        <v>0</v>
      </c>
      <c r="AB407" s="198">
        <f>Qty!AF172*'Hist. prices'!AB407*AB$244</f>
        <v>0</v>
      </c>
      <c r="AC407" s="206">
        <f t="shared" si="47"/>
        <v>0</v>
      </c>
      <c r="AD407" s="68"/>
      <c r="AE407" s="19"/>
      <c r="AF407" s="19"/>
      <c r="AG407" s="19"/>
      <c r="AH407" s="19"/>
    </row>
    <row r="408" spans="1:34" hidden="1" outlineLevel="2" x14ac:dyDescent="0.2">
      <c r="A408" s="19"/>
      <c r="B408" s="19"/>
      <c r="C408" s="506" t="str">
        <f t="shared" si="46"/>
        <v>Small business general light and power</v>
      </c>
      <c r="D408" s="505" t="str">
        <f t="shared" si="46"/>
        <v>Small Business LV</v>
      </c>
      <c r="E408" s="505" t="str">
        <f t="shared" si="46"/>
        <v>TAS22</v>
      </c>
      <c r="F408" s="505">
        <f t="shared" si="46"/>
        <v>0</v>
      </c>
      <c r="G408" s="505">
        <f t="shared" si="46"/>
        <v>0</v>
      </c>
      <c r="H408" s="58"/>
      <c r="I408" s="198">
        <f>Qty!M173*'Hist. prices'!I408*I$244</f>
        <v>0</v>
      </c>
      <c r="J408" s="198">
        <f>Qty!N173*'Hist. prices'!J408*J$244</f>
        <v>0</v>
      </c>
      <c r="K408" s="198">
        <f>Qty!O173*'Hist. prices'!K408*K$244</f>
        <v>0</v>
      </c>
      <c r="L408" s="198">
        <f>Qty!P173*'Hist. prices'!L408*L$244</f>
        <v>0</v>
      </c>
      <c r="M408" s="198">
        <f>Qty!Q173*'Hist. prices'!M408*M$244</f>
        <v>0</v>
      </c>
      <c r="N408" s="198">
        <f>Qty!R173*'Hist. prices'!N408*N$244</f>
        <v>0</v>
      </c>
      <c r="O408" s="198">
        <f>Qty!S173*'Hist. prices'!O408*O$244</f>
        <v>0</v>
      </c>
      <c r="P408" s="198">
        <f>Qty!T173*'Hist. prices'!P408*P$244</f>
        <v>0</v>
      </c>
      <c r="Q408" s="198">
        <f>Qty!U173*'Hist. prices'!Q408*Q$244</f>
        <v>0</v>
      </c>
      <c r="R408" s="198">
        <f>Qty!V173*'Hist. prices'!R408*R$244</f>
        <v>0</v>
      </c>
      <c r="S408" s="198">
        <f>Qty!W173*'Hist. prices'!S408*S$244</f>
        <v>0</v>
      </c>
      <c r="T408" s="198">
        <f>Qty!X173*'Hist. prices'!T408*T$244</f>
        <v>0</v>
      </c>
      <c r="U408" s="198">
        <f>Qty!Y173*'Hist. prices'!U408*U$244</f>
        <v>0</v>
      </c>
      <c r="V408" s="198">
        <f>Qty!Z173*'Hist. prices'!V408*V$244</f>
        <v>0</v>
      </c>
      <c r="W408" s="198">
        <f>Qty!AA173*'Hist. prices'!W408*W$244</f>
        <v>0</v>
      </c>
      <c r="X408" s="198">
        <f>Qty!AB173*'Hist. prices'!X408*X$244</f>
        <v>0</v>
      </c>
      <c r="Y408" s="198">
        <f>Qty!AC173*'Hist. prices'!Y408*Y$244</f>
        <v>0</v>
      </c>
      <c r="Z408" s="198">
        <f>Qty!AD173*'Hist. prices'!Z408*Z$244</f>
        <v>0</v>
      </c>
      <c r="AA408" s="198">
        <f>Qty!AE173*'Hist. prices'!AA408*AA$244</f>
        <v>0</v>
      </c>
      <c r="AB408" s="198">
        <f>Qty!AF173*'Hist. prices'!AB408*AB$244</f>
        <v>0</v>
      </c>
      <c r="AC408" s="206">
        <f t="shared" si="47"/>
        <v>0</v>
      </c>
      <c r="AD408" s="68"/>
      <c r="AE408" s="19"/>
      <c r="AF408" s="19"/>
      <c r="AG408" s="19"/>
      <c r="AH408" s="19"/>
    </row>
    <row r="409" spans="1:34" hidden="1" outlineLevel="2" x14ac:dyDescent="0.2">
      <c r="A409" s="19"/>
      <c r="B409" s="19"/>
      <c r="C409" s="506" t="str">
        <f t="shared" si="46"/>
        <v>Small business time of use demand</v>
      </c>
      <c r="D409" s="505" t="str">
        <f t="shared" si="46"/>
        <v>Small Business LV</v>
      </c>
      <c r="E409" s="505" t="str">
        <f t="shared" si="46"/>
        <v>TAS88</v>
      </c>
      <c r="F409" s="505">
        <f t="shared" si="46"/>
        <v>0</v>
      </c>
      <c r="G409" s="505">
        <f t="shared" si="46"/>
        <v>0</v>
      </c>
      <c r="H409" s="58"/>
      <c r="I409" s="198">
        <f>Qty!M174*'Hist. prices'!I409*I$244</f>
        <v>0</v>
      </c>
      <c r="J409" s="198">
        <f>Qty!N174*'Hist. prices'!J409*J$244</f>
        <v>0</v>
      </c>
      <c r="K409" s="198">
        <f>Qty!O174*'Hist. prices'!K409*K$244</f>
        <v>0</v>
      </c>
      <c r="L409" s="198">
        <f>Qty!P174*'Hist. prices'!L409*L$244</f>
        <v>0</v>
      </c>
      <c r="M409" s="198">
        <f>Qty!Q174*'Hist. prices'!M409*M$244</f>
        <v>0</v>
      </c>
      <c r="N409" s="198">
        <f>Qty!R174*'Hist. prices'!N409*N$244</f>
        <v>0</v>
      </c>
      <c r="O409" s="198">
        <f>Qty!S174*'Hist. prices'!O409*O$244</f>
        <v>0</v>
      </c>
      <c r="P409" s="198">
        <f>Qty!T174*'Hist. prices'!P409*P$244</f>
        <v>0</v>
      </c>
      <c r="Q409" s="198">
        <f>Qty!U174*'Hist. prices'!Q409*Q$244</f>
        <v>0</v>
      </c>
      <c r="R409" s="198">
        <f>Qty!V174*'Hist. prices'!R409*R$244</f>
        <v>0</v>
      </c>
      <c r="S409" s="198">
        <f>Qty!W174*'Hist. prices'!S409*S$244</f>
        <v>0</v>
      </c>
      <c r="T409" s="198">
        <f>Qty!X174*'Hist. prices'!T409*T$244</f>
        <v>0</v>
      </c>
      <c r="U409" s="198">
        <f>Qty!Y174*'Hist. prices'!U409*U$244</f>
        <v>0</v>
      </c>
      <c r="V409" s="198">
        <f>Qty!Z174*'Hist. prices'!V409*V$244</f>
        <v>0</v>
      </c>
      <c r="W409" s="198">
        <f>Qty!AA174*'Hist. prices'!W409*W$244</f>
        <v>0</v>
      </c>
      <c r="X409" s="198">
        <f>Qty!AB174*'Hist. prices'!X409*X$244</f>
        <v>0</v>
      </c>
      <c r="Y409" s="198">
        <f>Qty!AC174*'Hist. prices'!Y409*Y$244</f>
        <v>0</v>
      </c>
      <c r="Z409" s="198">
        <f>Qty!AD174*'Hist. prices'!Z409*Z$244</f>
        <v>0</v>
      </c>
      <c r="AA409" s="198">
        <f>Qty!AE174*'Hist. prices'!AA409*AA$244</f>
        <v>0</v>
      </c>
      <c r="AB409" s="198">
        <f>Qty!AF174*'Hist. prices'!AB409*AB$244</f>
        <v>0</v>
      </c>
      <c r="AC409" s="206">
        <f t="shared" si="47"/>
        <v>0</v>
      </c>
      <c r="AD409" s="68"/>
      <c r="AE409" s="19"/>
      <c r="AF409" s="19"/>
      <c r="AG409" s="19"/>
      <c r="AH409" s="19"/>
    </row>
    <row r="410" spans="1:34" hidden="1" outlineLevel="2" x14ac:dyDescent="0.2">
      <c r="A410" s="19"/>
      <c r="B410" s="19"/>
      <c r="C410" s="506" t="str">
        <f t="shared" si="46"/>
        <v>Small business time of use demand DER</v>
      </c>
      <c r="D410" s="505" t="str">
        <f t="shared" si="46"/>
        <v>Small Business LV</v>
      </c>
      <c r="E410" s="505" t="str">
        <f t="shared" si="46"/>
        <v>TAS98</v>
      </c>
      <c r="F410" s="505">
        <f t="shared" si="46"/>
        <v>0</v>
      </c>
      <c r="G410" s="505">
        <f t="shared" si="46"/>
        <v>0</v>
      </c>
      <c r="H410" s="58"/>
      <c r="I410" s="198">
        <f>Qty!M175*'Hist. prices'!I410*I$244</f>
        <v>0</v>
      </c>
      <c r="J410" s="198">
        <f>Qty!N175*'Hist. prices'!J410*J$244</f>
        <v>0</v>
      </c>
      <c r="K410" s="198">
        <f>Qty!O175*'Hist. prices'!K410*K$244</f>
        <v>0</v>
      </c>
      <c r="L410" s="198">
        <f>Qty!P175*'Hist. prices'!L410*L$244</f>
        <v>0</v>
      </c>
      <c r="M410" s="198">
        <f>Qty!Q175*'Hist. prices'!M410*M$244</f>
        <v>0</v>
      </c>
      <c r="N410" s="198">
        <f>Qty!R175*'Hist. prices'!N410*N$244</f>
        <v>0</v>
      </c>
      <c r="O410" s="198">
        <f>Qty!S175*'Hist. prices'!O410*O$244</f>
        <v>0</v>
      </c>
      <c r="P410" s="198">
        <f>Qty!T175*'Hist. prices'!P410*P$244</f>
        <v>0</v>
      </c>
      <c r="Q410" s="198">
        <f>Qty!U175*'Hist. prices'!Q410*Q$244</f>
        <v>0</v>
      </c>
      <c r="R410" s="198">
        <f>Qty!V175*'Hist. prices'!R410*R$244</f>
        <v>0</v>
      </c>
      <c r="S410" s="198">
        <f>Qty!W175*'Hist. prices'!S410*S$244</f>
        <v>0</v>
      </c>
      <c r="T410" s="198">
        <f>Qty!X175*'Hist. prices'!T410*T$244</f>
        <v>0</v>
      </c>
      <c r="U410" s="198">
        <f>Qty!Y175*'Hist. prices'!U410*U$244</f>
        <v>0</v>
      </c>
      <c r="V410" s="198">
        <f>Qty!Z175*'Hist. prices'!V410*V$244</f>
        <v>0</v>
      </c>
      <c r="W410" s="198">
        <f>Qty!AA175*'Hist. prices'!W410*W$244</f>
        <v>0</v>
      </c>
      <c r="X410" s="198">
        <f>Qty!AB175*'Hist. prices'!X410*X$244</f>
        <v>0</v>
      </c>
      <c r="Y410" s="198">
        <f>Qty!AC175*'Hist. prices'!Y410*Y$244</f>
        <v>0</v>
      </c>
      <c r="Z410" s="198">
        <f>Qty!AD175*'Hist. prices'!Z410*Z$244</f>
        <v>0</v>
      </c>
      <c r="AA410" s="198">
        <f>Qty!AE175*'Hist. prices'!AA410*AA$244</f>
        <v>0</v>
      </c>
      <c r="AB410" s="198">
        <f>Qty!AF175*'Hist. prices'!AB410*AB$244</f>
        <v>0</v>
      </c>
      <c r="AC410" s="206">
        <f t="shared" si="47"/>
        <v>0</v>
      </c>
      <c r="AD410" s="68"/>
      <c r="AE410" s="19"/>
      <c r="AF410" s="19"/>
      <c r="AG410" s="19"/>
      <c r="AH410" s="19"/>
    </row>
    <row r="411" spans="1:34" hidden="1" outlineLevel="2" x14ac:dyDescent="0.2">
      <c r="A411" s="19"/>
      <c r="B411" s="19"/>
      <c r="C411" s="506" t="str">
        <f t="shared" ref="C411:G420" si="48">C255</f>
        <v>Large business kVA demand</v>
      </c>
      <c r="D411" s="505" t="str">
        <f t="shared" si="48"/>
        <v>Large Business LV</v>
      </c>
      <c r="E411" s="505" t="str">
        <f t="shared" si="48"/>
        <v>TAS82</v>
      </c>
      <c r="F411" s="505">
        <f t="shared" si="48"/>
        <v>0</v>
      </c>
      <c r="G411" s="505">
        <f t="shared" si="48"/>
        <v>0</v>
      </c>
      <c r="H411" s="58"/>
      <c r="I411" s="198">
        <f>Qty!M176*'Hist. prices'!I411*I$244</f>
        <v>0</v>
      </c>
      <c r="J411" s="198">
        <f>Qty!N176*'Hist. prices'!J411*J$244</f>
        <v>0</v>
      </c>
      <c r="K411" s="198">
        <f>Qty!O176*'Hist. prices'!K411*K$244</f>
        <v>0</v>
      </c>
      <c r="L411" s="198">
        <f>Qty!P176*'Hist. prices'!L411*L$244</f>
        <v>0</v>
      </c>
      <c r="M411" s="198">
        <f>Qty!Q176*'Hist. prices'!M411*M$244</f>
        <v>0</v>
      </c>
      <c r="N411" s="198">
        <f>Qty!R176*'Hist. prices'!N411*N$244</f>
        <v>0</v>
      </c>
      <c r="O411" s="198">
        <f>Qty!S176*'Hist. prices'!O411*O$244</f>
        <v>0</v>
      </c>
      <c r="P411" s="198">
        <f>Qty!T176*'Hist. prices'!P411*P$244</f>
        <v>0</v>
      </c>
      <c r="Q411" s="198">
        <f>Qty!U176*'Hist. prices'!Q411*Q$244</f>
        <v>0</v>
      </c>
      <c r="R411" s="198">
        <f>Qty!V176*'Hist. prices'!R411*R$244</f>
        <v>0</v>
      </c>
      <c r="S411" s="198">
        <f>Qty!W176*'Hist. prices'!S411*S$244</f>
        <v>0</v>
      </c>
      <c r="T411" s="198">
        <f>Qty!X176*'Hist. prices'!T411*T$244</f>
        <v>0</v>
      </c>
      <c r="U411" s="198">
        <f>Qty!Y176*'Hist. prices'!U411*U$244</f>
        <v>0</v>
      </c>
      <c r="V411" s="198">
        <f>Qty!Z176*'Hist. prices'!V411*V$244</f>
        <v>0</v>
      </c>
      <c r="W411" s="198">
        <f>Qty!AA176*'Hist. prices'!W411*W$244</f>
        <v>0</v>
      </c>
      <c r="X411" s="198">
        <f>Qty!AB176*'Hist. prices'!X411*X$244</f>
        <v>0</v>
      </c>
      <c r="Y411" s="198">
        <f>Qty!AC176*'Hist. prices'!Y411*Y$244</f>
        <v>0</v>
      </c>
      <c r="Z411" s="198">
        <f>Qty!AD176*'Hist. prices'!Z411*Z$244</f>
        <v>0</v>
      </c>
      <c r="AA411" s="198">
        <f>Qty!AE176*'Hist. prices'!AA411*AA$244</f>
        <v>0</v>
      </c>
      <c r="AB411" s="198">
        <f>Qty!AF176*'Hist. prices'!AB411*AB$244</f>
        <v>0</v>
      </c>
      <c r="AC411" s="206">
        <f t="shared" si="47"/>
        <v>0</v>
      </c>
      <c r="AD411" s="68"/>
      <c r="AE411" s="19"/>
      <c r="AF411" s="19"/>
      <c r="AG411" s="19"/>
      <c r="AH411" s="19"/>
    </row>
    <row r="412" spans="1:34" hidden="1" outlineLevel="2" x14ac:dyDescent="0.2">
      <c r="A412" s="19"/>
      <c r="B412" s="19"/>
      <c r="C412" s="506" t="str">
        <f t="shared" si="48"/>
        <v>Large business time of use demand</v>
      </c>
      <c r="D412" s="505" t="str">
        <f t="shared" si="48"/>
        <v>Large Business LV</v>
      </c>
      <c r="E412" s="505" t="str">
        <f t="shared" si="48"/>
        <v>TAS89</v>
      </c>
      <c r="F412" s="505">
        <f t="shared" si="48"/>
        <v>0</v>
      </c>
      <c r="G412" s="505">
        <f t="shared" si="48"/>
        <v>0</v>
      </c>
      <c r="H412" s="58"/>
      <c r="I412" s="198">
        <f>Qty!M177*'Hist. prices'!I412*I$244</f>
        <v>0</v>
      </c>
      <c r="J412" s="198">
        <f>Qty!N177*'Hist. prices'!J412*J$244</f>
        <v>0</v>
      </c>
      <c r="K412" s="198">
        <f>Qty!O177*'Hist. prices'!K412*K$244</f>
        <v>0</v>
      </c>
      <c r="L412" s="198">
        <f>Qty!P177*'Hist. prices'!L412*L$244</f>
        <v>0</v>
      </c>
      <c r="M412" s="198">
        <f>Qty!Q177*'Hist. prices'!M412*M$244</f>
        <v>0</v>
      </c>
      <c r="N412" s="198">
        <f>Qty!R177*'Hist. prices'!N412*N$244</f>
        <v>0</v>
      </c>
      <c r="O412" s="198">
        <f>Qty!S177*'Hist. prices'!O412*O$244</f>
        <v>0</v>
      </c>
      <c r="P412" s="198">
        <f>Qty!T177*'Hist. prices'!P412*P$244</f>
        <v>0</v>
      </c>
      <c r="Q412" s="198">
        <f>Qty!U177*'Hist. prices'!Q412*Q$244</f>
        <v>0</v>
      </c>
      <c r="R412" s="198">
        <f>Qty!V177*'Hist. prices'!R412*R$244</f>
        <v>0</v>
      </c>
      <c r="S412" s="198">
        <f>Qty!W177*'Hist. prices'!S412*S$244</f>
        <v>0</v>
      </c>
      <c r="T412" s="198">
        <f>Qty!X177*'Hist. prices'!T412*T$244</f>
        <v>0</v>
      </c>
      <c r="U412" s="198">
        <f>Qty!Y177*'Hist. prices'!U412*U$244</f>
        <v>0</v>
      </c>
      <c r="V412" s="198">
        <f>Qty!Z177*'Hist. prices'!V412*V$244</f>
        <v>0</v>
      </c>
      <c r="W412" s="198">
        <f>Qty!AA177*'Hist. prices'!W412*W$244</f>
        <v>0</v>
      </c>
      <c r="X412" s="198">
        <f>Qty!AB177*'Hist. prices'!X412*X$244</f>
        <v>0</v>
      </c>
      <c r="Y412" s="198">
        <f>Qty!AC177*'Hist. prices'!Y412*Y$244</f>
        <v>0</v>
      </c>
      <c r="Z412" s="198">
        <f>Qty!AD177*'Hist. prices'!Z412*Z$244</f>
        <v>0</v>
      </c>
      <c r="AA412" s="198">
        <f>Qty!AE177*'Hist. prices'!AA412*AA$244</f>
        <v>0</v>
      </c>
      <c r="AB412" s="198">
        <f>Qty!AF177*'Hist. prices'!AB412*AB$244</f>
        <v>0</v>
      </c>
      <c r="AC412" s="206">
        <f t="shared" si="47"/>
        <v>0</v>
      </c>
      <c r="AD412" s="68"/>
      <c r="AE412" s="19"/>
      <c r="AF412" s="19"/>
      <c r="AG412" s="19"/>
      <c r="AH412" s="19"/>
    </row>
    <row r="413" spans="1:34" hidden="1" outlineLevel="2" x14ac:dyDescent="0.2">
      <c r="A413" s="19"/>
      <c r="B413" s="19"/>
      <c r="C413" s="506" t="str">
        <f t="shared" si="48"/>
        <v>Irrigation time of use consumption</v>
      </c>
      <c r="D413" s="505" t="str">
        <f t="shared" si="48"/>
        <v>Irrigation</v>
      </c>
      <c r="E413" s="505" t="str">
        <f t="shared" si="48"/>
        <v>TAS75</v>
      </c>
      <c r="F413" s="505">
        <f t="shared" si="48"/>
        <v>0</v>
      </c>
      <c r="G413" s="505">
        <f t="shared" si="48"/>
        <v>0</v>
      </c>
      <c r="H413" s="58"/>
      <c r="I413" s="198">
        <f>Qty!M178*'Hist. prices'!I413*I$244</f>
        <v>0</v>
      </c>
      <c r="J413" s="198">
        <f>Qty!N178*'Hist. prices'!J413*J$244</f>
        <v>0</v>
      </c>
      <c r="K413" s="198">
        <f>Qty!O178*'Hist. prices'!K413*K$244</f>
        <v>0</v>
      </c>
      <c r="L413" s="198">
        <f>Qty!P178*'Hist. prices'!L413*L$244</f>
        <v>0</v>
      </c>
      <c r="M413" s="198">
        <f>Qty!Q178*'Hist. prices'!M413*M$244</f>
        <v>0</v>
      </c>
      <c r="N413" s="198">
        <f>Qty!R178*'Hist. prices'!N413*N$244</f>
        <v>0</v>
      </c>
      <c r="O413" s="198">
        <f>Qty!S178*'Hist. prices'!O413*O$244</f>
        <v>0</v>
      </c>
      <c r="P413" s="198">
        <f>Qty!T178*'Hist. prices'!P413*P$244</f>
        <v>0</v>
      </c>
      <c r="Q413" s="198">
        <f>Qty!U178*'Hist. prices'!Q413*Q$244</f>
        <v>0</v>
      </c>
      <c r="R413" s="198">
        <f>Qty!V178*'Hist. prices'!R413*R$244</f>
        <v>0</v>
      </c>
      <c r="S413" s="198">
        <f>Qty!W178*'Hist. prices'!S413*S$244</f>
        <v>0</v>
      </c>
      <c r="T413" s="198">
        <f>Qty!X178*'Hist. prices'!T413*T$244</f>
        <v>0</v>
      </c>
      <c r="U413" s="198">
        <f>Qty!Y178*'Hist. prices'!U413*U$244</f>
        <v>0</v>
      </c>
      <c r="V413" s="198">
        <f>Qty!Z178*'Hist. prices'!V413*V$244</f>
        <v>0</v>
      </c>
      <c r="W413" s="198">
        <f>Qty!AA178*'Hist. prices'!W413*W$244</f>
        <v>0</v>
      </c>
      <c r="X413" s="198">
        <f>Qty!AB178*'Hist. prices'!X413*X$244</f>
        <v>0</v>
      </c>
      <c r="Y413" s="198">
        <f>Qty!AC178*'Hist. prices'!Y413*Y$244</f>
        <v>0</v>
      </c>
      <c r="Z413" s="198">
        <f>Qty!AD178*'Hist. prices'!Z413*Z$244</f>
        <v>0</v>
      </c>
      <c r="AA413" s="198">
        <f>Qty!AE178*'Hist. prices'!AA413*AA$244</f>
        <v>0</v>
      </c>
      <c r="AB413" s="198">
        <f>Qty!AF178*'Hist. prices'!AB413*AB$244</f>
        <v>0</v>
      </c>
      <c r="AC413" s="206">
        <f t="shared" si="47"/>
        <v>0</v>
      </c>
      <c r="AD413" s="68"/>
      <c r="AE413" s="19"/>
      <c r="AF413" s="19"/>
      <c r="AG413" s="19"/>
      <c r="AH413" s="19"/>
    </row>
    <row r="414" spans="1:34" hidden="1" outlineLevel="2" x14ac:dyDescent="0.2">
      <c r="A414" s="19"/>
      <c r="B414" s="19"/>
      <c r="C414" s="506" t="str">
        <f t="shared" si="48"/>
        <v>Business HV kVA specified demand &lt;2MVA</v>
      </c>
      <c r="D414" s="505" t="str">
        <f t="shared" si="48"/>
        <v>Large Business HV</v>
      </c>
      <c r="E414" s="505" t="str">
        <f t="shared" si="48"/>
        <v>TASSDM</v>
      </c>
      <c r="F414" s="505">
        <f t="shared" si="48"/>
        <v>0</v>
      </c>
      <c r="G414" s="505">
        <f t="shared" si="48"/>
        <v>0</v>
      </c>
      <c r="H414" s="58"/>
      <c r="I414" s="198">
        <f>Qty!M179*'Hist. prices'!I414*I$244</f>
        <v>0</v>
      </c>
      <c r="J414" s="198">
        <f>Qty!N179*'Hist. prices'!J414*J$244</f>
        <v>0</v>
      </c>
      <c r="K414" s="198">
        <f>Qty!O179*'Hist. prices'!K414*K$244</f>
        <v>0</v>
      </c>
      <c r="L414" s="198">
        <f>Qty!P179*'Hist. prices'!L414*L$244</f>
        <v>0</v>
      </c>
      <c r="M414" s="198">
        <f>Qty!Q179*'Hist. prices'!M414*M$244</f>
        <v>0</v>
      </c>
      <c r="N414" s="198">
        <f>Qty!R179*'Hist. prices'!N414*N$244</f>
        <v>0</v>
      </c>
      <c r="O414" s="198">
        <f>Qty!S179*'Hist. prices'!O414*O$244</f>
        <v>0</v>
      </c>
      <c r="P414" s="198">
        <f>Qty!T179*'Hist. prices'!P414*P$244</f>
        <v>0</v>
      </c>
      <c r="Q414" s="198">
        <f>Qty!U179*'Hist. prices'!Q414*Q$244</f>
        <v>0</v>
      </c>
      <c r="R414" s="198">
        <f>Qty!V179*'Hist. prices'!R414*R$244</f>
        <v>0</v>
      </c>
      <c r="S414" s="198">
        <f>Qty!W179*'Hist. prices'!S414*S$244</f>
        <v>0</v>
      </c>
      <c r="T414" s="198">
        <f>Qty!X179*'Hist. prices'!T414*T$244</f>
        <v>0</v>
      </c>
      <c r="U414" s="198">
        <f>Qty!Y179*'Hist. prices'!U414*U$244</f>
        <v>0</v>
      </c>
      <c r="V414" s="198">
        <f>Qty!Z179*'Hist. prices'!V414*V$244</f>
        <v>0</v>
      </c>
      <c r="W414" s="198">
        <f>Qty!AA179*'Hist. prices'!W414*W$244</f>
        <v>0</v>
      </c>
      <c r="X414" s="198">
        <f>Qty!AB179*'Hist. prices'!X414*X$244</f>
        <v>0</v>
      </c>
      <c r="Y414" s="198">
        <f>Qty!AC179*'Hist. prices'!Y414*Y$244</f>
        <v>0</v>
      </c>
      <c r="Z414" s="198">
        <f>Qty!AD179*'Hist. prices'!Z414*Z$244</f>
        <v>0</v>
      </c>
      <c r="AA414" s="198">
        <f>Qty!AE179*'Hist. prices'!AA414*AA$244</f>
        <v>0</v>
      </c>
      <c r="AB414" s="198">
        <f>Qty!AF179*'Hist. prices'!AB414*AB$244</f>
        <v>0</v>
      </c>
      <c r="AC414" s="206">
        <f t="shared" si="47"/>
        <v>0</v>
      </c>
      <c r="AD414" s="68"/>
      <c r="AE414" s="19"/>
      <c r="AF414" s="19"/>
      <c r="AG414" s="19"/>
      <c r="AH414" s="19"/>
    </row>
    <row r="415" spans="1:34" hidden="1" outlineLevel="2" x14ac:dyDescent="0.2">
      <c r="A415" s="19"/>
      <c r="B415" s="19"/>
      <c r="C415" s="506" t="str">
        <f t="shared" si="48"/>
        <v>Business HV kVA specified demand &gt;2MVA</v>
      </c>
      <c r="D415" s="505" t="str">
        <f t="shared" si="48"/>
        <v>Large Business HV</v>
      </c>
      <c r="E415" s="505" t="str">
        <f t="shared" si="48"/>
        <v>TAS15*</v>
      </c>
      <c r="F415" s="505">
        <f t="shared" si="48"/>
        <v>0</v>
      </c>
      <c r="G415" s="505">
        <f t="shared" si="48"/>
        <v>0</v>
      </c>
      <c r="H415" s="58"/>
      <c r="I415" s="198">
        <f>Qty!M180*'Hist. prices'!I415*I$244</f>
        <v>0</v>
      </c>
      <c r="J415" s="198">
        <f>Qty!N180*'Hist. prices'!J415*J$244</f>
        <v>0</v>
      </c>
      <c r="K415" s="198">
        <f>Qty!O180*'Hist. prices'!K415*K$244</f>
        <v>0</v>
      </c>
      <c r="L415" s="198">
        <f>Qty!P180*'Hist. prices'!L415*L$244</f>
        <v>0</v>
      </c>
      <c r="M415" s="198">
        <f>Qty!Q180*'Hist. prices'!M415*M$244</f>
        <v>0</v>
      </c>
      <c r="N415" s="198">
        <f>Qty!R180*'Hist. prices'!N415*N$244</f>
        <v>0</v>
      </c>
      <c r="O415" s="198">
        <f>Qty!S180*'Hist. prices'!O415*O$244</f>
        <v>0</v>
      </c>
      <c r="P415" s="198">
        <f>Qty!T180*'Hist. prices'!P415*P$244</f>
        <v>0</v>
      </c>
      <c r="Q415" s="198">
        <f>Qty!U180*'Hist. prices'!Q415*Q$244</f>
        <v>0</v>
      </c>
      <c r="R415" s="198">
        <f>Qty!V180*'Hist. prices'!R415*R$244</f>
        <v>0</v>
      </c>
      <c r="S415" s="198">
        <f>Qty!W180*'Hist. prices'!S415*S$244</f>
        <v>0</v>
      </c>
      <c r="T415" s="198">
        <f>Qty!X180*'Hist. prices'!T415*T$244</f>
        <v>0</v>
      </c>
      <c r="U415" s="198">
        <f>Qty!Y180*'Hist. prices'!U415*U$244</f>
        <v>0</v>
      </c>
      <c r="V415" s="198">
        <f>Qty!Z180*'Hist. prices'!V415*V$244</f>
        <v>0</v>
      </c>
      <c r="W415" s="198">
        <f>Qty!AA180*'Hist. prices'!W415*W$244</f>
        <v>0</v>
      </c>
      <c r="X415" s="198">
        <f>Qty!AB180*'Hist. prices'!X415*X$244</f>
        <v>0</v>
      </c>
      <c r="Y415" s="198">
        <f>Qty!AC180*'Hist. prices'!Y415*Y$244</f>
        <v>0</v>
      </c>
      <c r="Z415" s="198">
        <f>Qty!AD180*'Hist. prices'!Z415*Z$244</f>
        <v>0</v>
      </c>
      <c r="AA415" s="198">
        <f>Qty!AE180*'Hist. prices'!AA415*AA$244</f>
        <v>0</v>
      </c>
      <c r="AB415" s="198">
        <f>Qty!AF180*'Hist. prices'!AB415*AB$244</f>
        <v>0</v>
      </c>
      <c r="AC415" s="206">
        <f t="shared" si="47"/>
        <v>0</v>
      </c>
      <c r="AD415" s="68"/>
      <c r="AE415" s="19"/>
      <c r="AF415" s="19"/>
      <c r="AG415" s="19"/>
      <c r="AH415" s="19"/>
    </row>
    <row r="416" spans="1:34" hidden="1" outlineLevel="2" x14ac:dyDescent="0.2">
      <c r="A416" s="19"/>
      <c r="B416" s="19"/>
      <c r="C416" s="506" t="str">
        <f t="shared" si="48"/>
        <v>Uncontrolled low voltage heating and hot water</v>
      </c>
      <c r="D416" s="505" t="str">
        <f t="shared" si="48"/>
        <v>Uncontrolled energy</v>
      </c>
      <c r="E416" s="505" t="str">
        <f t="shared" si="48"/>
        <v>TAS41</v>
      </c>
      <c r="F416" s="505">
        <f t="shared" si="48"/>
        <v>0</v>
      </c>
      <c r="G416" s="505">
        <f t="shared" si="48"/>
        <v>0</v>
      </c>
      <c r="H416" s="58"/>
      <c r="I416" s="198">
        <f>Qty!M181*'Hist. prices'!I416*I$244</f>
        <v>0</v>
      </c>
      <c r="J416" s="198">
        <f>Qty!N181*'Hist. prices'!J416*J$244</f>
        <v>0</v>
      </c>
      <c r="K416" s="198">
        <f>Qty!O181*'Hist. prices'!K416*K$244</f>
        <v>0</v>
      </c>
      <c r="L416" s="198">
        <f>Qty!P181*'Hist. prices'!L416*L$244</f>
        <v>0</v>
      </c>
      <c r="M416" s="198">
        <f>Qty!Q181*'Hist. prices'!M416*M$244</f>
        <v>0</v>
      </c>
      <c r="N416" s="198">
        <f>Qty!R181*'Hist. prices'!N416*N$244</f>
        <v>0</v>
      </c>
      <c r="O416" s="198">
        <f>Qty!S181*'Hist. prices'!O416*O$244</f>
        <v>0</v>
      </c>
      <c r="P416" s="198">
        <f>Qty!T181*'Hist. prices'!P416*P$244</f>
        <v>0</v>
      </c>
      <c r="Q416" s="198">
        <f>Qty!U181*'Hist. prices'!Q416*Q$244</f>
        <v>0</v>
      </c>
      <c r="R416" s="198">
        <f>Qty!V181*'Hist. prices'!R416*R$244</f>
        <v>0</v>
      </c>
      <c r="S416" s="198">
        <f>Qty!W181*'Hist. prices'!S416*S$244</f>
        <v>0</v>
      </c>
      <c r="T416" s="198">
        <f>Qty!X181*'Hist. prices'!T416*T$244</f>
        <v>0</v>
      </c>
      <c r="U416" s="198">
        <f>Qty!Y181*'Hist. prices'!U416*U$244</f>
        <v>0</v>
      </c>
      <c r="V416" s="198">
        <f>Qty!Z181*'Hist. prices'!V416*V$244</f>
        <v>0</v>
      </c>
      <c r="W416" s="198">
        <f>Qty!AA181*'Hist. prices'!W416*W$244</f>
        <v>0</v>
      </c>
      <c r="X416" s="198">
        <f>Qty!AB181*'Hist. prices'!X416*X$244</f>
        <v>0</v>
      </c>
      <c r="Y416" s="198">
        <f>Qty!AC181*'Hist. prices'!Y416*Y$244</f>
        <v>0</v>
      </c>
      <c r="Z416" s="198">
        <f>Qty!AD181*'Hist. prices'!Z416*Z$244</f>
        <v>0</v>
      </c>
      <c r="AA416" s="198">
        <f>Qty!AE181*'Hist. prices'!AA416*AA$244</f>
        <v>0</v>
      </c>
      <c r="AB416" s="198">
        <f>Qty!AF181*'Hist. prices'!AB416*AB$244</f>
        <v>0</v>
      </c>
      <c r="AC416" s="206">
        <f t="shared" si="47"/>
        <v>0</v>
      </c>
      <c r="AD416" s="68"/>
      <c r="AE416" s="19"/>
      <c r="AF416" s="19"/>
      <c r="AG416" s="19"/>
      <c r="AH416" s="19"/>
    </row>
    <row r="417" spans="1:34" hidden="1" outlineLevel="2" x14ac:dyDescent="0.2">
      <c r="A417" s="19"/>
      <c r="B417" s="19"/>
      <c r="C417" s="506" t="str">
        <f t="shared" si="48"/>
        <v>Controlled low voltage night period only</v>
      </c>
      <c r="D417" s="505" t="str">
        <f t="shared" si="48"/>
        <v>Controlled energy</v>
      </c>
      <c r="E417" s="505" t="str">
        <f t="shared" si="48"/>
        <v>TAS63</v>
      </c>
      <c r="F417" s="505">
        <f t="shared" si="48"/>
        <v>0</v>
      </c>
      <c r="G417" s="505">
        <f t="shared" si="48"/>
        <v>0</v>
      </c>
      <c r="H417" s="58"/>
      <c r="I417" s="198">
        <f>Qty!M182*'Hist. prices'!I417*I$244</f>
        <v>0</v>
      </c>
      <c r="J417" s="198">
        <f>Qty!N182*'Hist. prices'!J417*J$244</f>
        <v>0</v>
      </c>
      <c r="K417" s="198">
        <f>Qty!O182*'Hist. prices'!K417*K$244</f>
        <v>0</v>
      </c>
      <c r="L417" s="198">
        <f>Qty!P182*'Hist. prices'!L417*L$244</f>
        <v>0</v>
      </c>
      <c r="M417" s="198">
        <f>Qty!Q182*'Hist. prices'!M417*M$244</f>
        <v>0</v>
      </c>
      <c r="N417" s="198">
        <f>Qty!R182*'Hist. prices'!N417*N$244</f>
        <v>0</v>
      </c>
      <c r="O417" s="198">
        <f>Qty!S182*'Hist. prices'!O417*O$244</f>
        <v>0</v>
      </c>
      <c r="P417" s="198">
        <f>Qty!T182*'Hist. prices'!P417*P$244</f>
        <v>0</v>
      </c>
      <c r="Q417" s="198">
        <f>Qty!U182*'Hist. prices'!Q417*Q$244</f>
        <v>0</v>
      </c>
      <c r="R417" s="198">
        <f>Qty!V182*'Hist. prices'!R417*R$244</f>
        <v>0</v>
      </c>
      <c r="S417" s="198">
        <f>Qty!W182*'Hist. prices'!S417*S$244</f>
        <v>0</v>
      </c>
      <c r="T417" s="198">
        <f>Qty!X182*'Hist. prices'!T417*T$244</f>
        <v>0</v>
      </c>
      <c r="U417" s="198">
        <f>Qty!Y182*'Hist. prices'!U417*U$244</f>
        <v>0</v>
      </c>
      <c r="V417" s="198">
        <f>Qty!Z182*'Hist. prices'!V417*V$244</f>
        <v>0</v>
      </c>
      <c r="W417" s="198">
        <f>Qty!AA182*'Hist. prices'!W417*W$244</f>
        <v>0</v>
      </c>
      <c r="X417" s="198">
        <f>Qty!AB182*'Hist. prices'!X417*X$244</f>
        <v>0</v>
      </c>
      <c r="Y417" s="198">
        <f>Qty!AC182*'Hist. prices'!Y417*Y$244</f>
        <v>0</v>
      </c>
      <c r="Z417" s="198">
        <f>Qty!AD182*'Hist. prices'!Z417*Z$244</f>
        <v>0</v>
      </c>
      <c r="AA417" s="198">
        <f>Qty!AE182*'Hist. prices'!AA417*AA$244</f>
        <v>0</v>
      </c>
      <c r="AB417" s="198">
        <f>Qty!AF182*'Hist. prices'!AB417*AB$244</f>
        <v>0</v>
      </c>
      <c r="AC417" s="206">
        <f t="shared" si="47"/>
        <v>0</v>
      </c>
      <c r="AD417" s="68"/>
      <c r="AE417" s="19"/>
      <c r="AF417" s="19"/>
      <c r="AG417" s="19"/>
      <c r="AH417" s="19"/>
    </row>
    <row r="418" spans="1:34" ht="22.5" hidden="1" outlineLevel="2" x14ac:dyDescent="0.2">
      <c r="A418" s="19"/>
      <c r="B418" s="19"/>
      <c r="C418" s="506" t="str">
        <f t="shared" si="48"/>
        <v>Controlled low voltage off peak with afternoon boost</v>
      </c>
      <c r="D418" s="505" t="str">
        <f t="shared" si="48"/>
        <v>Controlled energy</v>
      </c>
      <c r="E418" s="505" t="str">
        <f t="shared" si="48"/>
        <v>TAS61</v>
      </c>
      <c r="F418" s="505">
        <f t="shared" si="48"/>
        <v>0</v>
      </c>
      <c r="G418" s="505">
        <f t="shared" si="48"/>
        <v>0</v>
      </c>
      <c r="H418" s="58"/>
      <c r="I418" s="198">
        <f>Qty!M183*'Hist. prices'!I418*I$244</f>
        <v>0</v>
      </c>
      <c r="J418" s="198">
        <f>Qty!N183*'Hist. prices'!J418*J$244</f>
        <v>0</v>
      </c>
      <c r="K418" s="198">
        <f>Qty!O183*'Hist. prices'!K418*K$244</f>
        <v>0</v>
      </c>
      <c r="L418" s="198">
        <f>Qty!P183*'Hist. prices'!L418*L$244</f>
        <v>0</v>
      </c>
      <c r="M418" s="198">
        <f>Qty!Q183*'Hist. prices'!M418*M$244</f>
        <v>0</v>
      </c>
      <c r="N418" s="198">
        <f>Qty!R183*'Hist. prices'!N418*N$244</f>
        <v>0</v>
      </c>
      <c r="O418" s="198">
        <f>Qty!S183*'Hist. prices'!O418*O$244</f>
        <v>0</v>
      </c>
      <c r="P418" s="198">
        <f>Qty!T183*'Hist. prices'!P418*P$244</f>
        <v>0</v>
      </c>
      <c r="Q418" s="198">
        <f>Qty!U183*'Hist. prices'!Q418*Q$244</f>
        <v>0</v>
      </c>
      <c r="R418" s="198">
        <f>Qty!V183*'Hist. prices'!R418*R$244</f>
        <v>0</v>
      </c>
      <c r="S418" s="198">
        <f>Qty!W183*'Hist. prices'!S418*S$244</f>
        <v>0</v>
      </c>
      <c r="T418" s="198">
        <f>Qty!X183*'Hist. prices'!T418*T$244</f>
        <v>0</v>
      </c>
      <c r="U418" s="198">
        <f>Qty!Y183*'Hist. prices'!U418*U$244</f>
        <v>0</v>
      </c>
      <c r="V418" s="198">
        <f>Qty!Z183*'Hist. prices'!V418*V$244</f>
        <v>0</v>
      </c>
      <c r="W418" s="198">
        <f>Qty!AA183*'Hist. prices'!W418*W$244</f>
        <v>0</v>
      </c>
      <c r="X418" s="198">
        <f>Qty!AB183*'Hist. prices'!X418*X$244</f>
        <v>0</v>
      </c>
      <c r="Y418" s="198">
        <f>Qty!AC183*'Hist. prices'!Y418*Y$244</f>
        <v>0</v>
      </c>
      <c r="Z418" s="198">
        <f>Qty!AD183*'Hist. prices'!Z418*Z$244</f>
        <v>0</v>
      </c>
      <c r="AA418" s="198">
        <f>Qty!AE183*'Hist. prices'!AA418*AA$244</f>
        <v>0</v>
      </c>
      <c r="AB418" s="198">
        <f>Qty!AF183*'Hist. prices'!AB418*AB$244</f>
        <v>0</v>
      </c>
      <c r="AC418" s="206">
        <f t="shared" si="47"/>
        <v>0</v>
      </c>
      <c r="AD418" s="68"/>
      <c r="AE418" s="19"/>
      <c r="AF418" s="19"/>
      <c r="AG418" s="19"/>
      <c r="AH418" s="19"/>
    </row>
    <row r="419" spans="1:34" hidden="1" outlineLevel="2" x14ac:dyDescent="0.2">
      <c r="A419" s="19"/>
      <c r="B419" s="19"/>
      <c r="C419" s="506" t="str">
        <f t="shared" si="48"/>
        <v>Unmetered supply general</v>
      </c>
      <c r="D419" s="505" t="str">
        <f t="shared" si="48"/>
        <v>Unmetered supplies</v>
      </c>
      <c r="E419" s="505" t="str">
        <f t="shared" si="48"/>
        <v>TASUMS</v>
      </c>
      <c r="F419" s="505">
        <f t="shared" si="48"/>
        <v>0</v>
      </c>
      <c r="G419" s="505">
        <f t="shared" si="48"/>
        <v>0</v>
      </c>
      <c r="H419" s="58"/>
      <c r="I419" s="198">
        <f>Qty!M184*'Hist. prices'!I419*I$244</f>
        <v>0</v>
      </c>
      <c r="J419" s="198">
        <f>Qty!N184*'Hist. prices'!J419*J$244</f>
        <v>0</v>
      </c>
      <c r="K419" s="198">
        <f>Qty!O184*'Hist. prices'!K419*K$244</f>
        <v>0</v>
      </c>
      <c r="L419" s="198">
        <f>Qty!P184*'Hist. prices'!L419*L$244</f>
        <v>0</v>
      </c>
      <c r="M419" s="198">
        <f>Qty!Q184*'Hist. prices'!M419*M$244</f>
        <v>0</v>
      </c>
      <c r="N419" s="198">
        <f>Qty!R184*'Hist. prices'!N419*N$244</f>
        <v>0</v>
      </c>
      <c r="O419" s="198">
        <f>Qty!S184*'Hist. prices'!O419*O$244</f>
        <v>0</v>
      </c>
      <c r="P419" s="198">
        <f>Qty!T184*'Hist. prices'!P419*P$244</f>
        <v>0</v>
      </c>
      <c r="Q419" s="198">
        <f>Qty!U184*'Hist. prices'!Q419*Q$244</f>
        <v>0</v>
      </c>
      <c r="R419" s="198">
        <f>Qty!V184*'Hist. prices'!R419*R$244</f>
        <v>0</v>
      </c>
      <c r="S419" s="198">
        <f>Qty!W184*'Hist. prices'!S419*S$244</f>
        <v>0</v>
      </c>
      <c r="T419" s="198">
        <f>Qty!X184*'Hist. prices'!T419*T$244</f>
        <v>0</v>
      </c>
      <c r="U419" s="198">
        <f>Qty!Y184*'Hist. prices'!U419*U$244</f>
        <v>0</v>
      </c>
      <c r="V419" s="198">
        <f>Qty!Z184*'Hist. prices'!V419*V$244</f>
        <v>0</v>
      </c>
      <c r="W419" s="198">
        <f>Qty!AA184*'Hist. prices'!W419*W$244</f>
        <v>0</v>
      </c>
      <c r="X419" s="198">
        <f>Qty!AB184*'Hist. prices'!X419*X$244</f>
        <v>0</v>
      </c>
      <c r="Y419" s="198">
        <f>Qty!AC184*'Hist. prices'!Y419*Y$244</f>
        <v>0</v>
      </c>
      <c r="Z419" s="198">
        <f>Qty!AD184*'Hist. prices'!Z419*Z$244</f>
        <v>0</v>
      </c>
      <c r="AA419" s="198">
        <f>Qty!AE184*'Hist. prices'!AA419*AA$244</f>
        <v>0</v>
      </c>
      <c r="AB419" s="198">
        <f>Qty!AF184*'Hist. prices'!AB419*AB$244</f>
        <v>0</v>
      </c>
      <c r="AC419" s="206">
        <f t="shared" si="47"/>
        <v>0</v>
      </c>
      <c r="AD419" s="68"/>
      <c r="AE419" s="19"/>
      <c r="AF419" s="19"/>
      <c r="AG419" s="19"/>
      <c r="AH419" s="19"/>
    </row>
    <row r="420" spans="1:34" hidden="1" outlineLevel="2" x14ac:dyDescent="0.2">
      <c r="A420" s="19"/>
      <c r="B420" s="19"/>
      <c r="C420" s="506" t="str">
        <f t="shared" si="48"/>
        <v>Street lighting</v>
      </c>
      <c r="D420" s="505" t="str">
        <f t="shared" si="48"/>
        <v>Street lighting</v>
      </c>
      <c r="E420" s="505" t="str">
        <f t="shared" si="48"/>
        <v>TASUMSSL</v>
      </c>
      <c r="F420" s="505">
        <f t="shared" si="48"/>
        <v>0</v>
      </c>
      <c r="G420" s="505">
        <f t="shared" si="48"/>
        <v>0</v>
      </c>
      <c r="H420" s="58"/>
      <c r="I420" s="198">
        <f>Qty!M185*'Hist. prices'!I420*I$244</f>
        <v>0</v>
      </c>
      <c r="J420" s="198">
        <f>Qty!N185*'Hist. prices'!J420*J$244</f>
        <v>0</v>
      </c>
      <c r="K420" s="198">
        <f>Qty!O185*'Hist. prices'!K420*K$244</f>
        <v>0</v>
      </c>
      <c r="L420" s="198">
        <f>Qty!P185*'Hist. prices'!L420*L$244</f>
        <v>0</v>
      </c>
      <c r="M420" s="198">
        <f>Qty!Q185*'Hist. prices'!M420*M$244</f>
        <v>0</v>
      </c>
      <c r="N420" s="198">
        <f>Qty!R185*'Hist. prices'!N420*N$244</f>
        <v>0</v>
      </c>
      <c r="O420" s="198">
        <f>Qty!S185*'Hist. prices'!O420*O$244</f>
        <v>0</v>
      </c>
      <c r="P420" s="198">
        <f>Qty!T185*'Hist. prices'!P420*P$244</f>
        <v>0</v>
      </c>
      <c r="Q420" s="198">
        <f>Qty!U185*'Hist. prices'!Q420*Q$244</f>
        <v>0</v>
      </c>
      <c r="R420" s="198">
        <f>Qty!V185*'Hist. prices'!R420*R$244</f>
        <v>0</v>
      </c>
      <c r="S420" s="198">
        <f>Qty!W185*'Hist. prices'!S420*S$244</f>
        <v>0</v>
      </c>
      <c r="T420" s="198">
        <f>Qty!X185*'Hist. prices'!T420*T$244</f>
        <v>0</v>
      </c>
      <c r="U420" s="198">
        <f>Qty!Y185*'Hist. prices'!U420*U$244</f>
        <v>0</v>
      </c>
      <c r="V420" s="198">
        <f>Qty!Z185*'Hist. prices'!V420*V$244</f>
        <v>0</v>
      </c>
      <c r="W420" s="198">
        <f>Qty!AA185*'Hist. prices'!W420*W$244</f>
        <v>0</v>
      </c>
      <c r="X420" s="198">
        <f>Qty!AB185*'Hist. prices'!X420*X$244</f>
        <v>0</v>
      </c>
      <c r="Y420" s="198">
        <f>Qty!AC185*'Hist. prices'!Y420*Y$244</f>
        <v>0</v>
      </c>
      <c r="Z420" s="198">
        <f>Qty!AD185*'Hist. prices'!Z420*Z$244</f>
        <v>0</v>
      </c>
      <c r="AA420" s="198">
        <f>Qty!AE185*'Hist. prices'!AA420*AA$244</f>
        <v>0</v>
      </c>
      <c r="AB420" s="198">
        <f>Qty!AF185*'Hist. prices'!AB420*AB$244</f>
        <v>0</v>
      </c>
      <c r="AC420" s="206">
        <f t="shared" si="47"/>
        <v>0</v>
      </c>
      <c r="AD420" s="68"/>
      <c r="AE420" s="19"/>
      <c r="AF420" s="19"/>
      <c r="AG420" s="19"/>
      <c r="AH420" s="19"/>
    </row>
    <row r="421" spans="1:34" hidden="1" outlineLevel="2" x14ac:dyDescent="0.2">
      <c r="A421" s="19"/>
      <c r="B421" s="19"/>
      <c r="C421" s="506">
        <f t="shared" ref="C421:G430" si="49">C265</f>
        <v>0</v>
      </c>
      <c r="D421" s="505">
        <f t="shared" si="49"/>
        <v>0</v>
      </c>
      <c r="E421" s="505">
        <f t="shared" si="49"/>
        <v>0</v>
      </c>
      <c r="F421" s="505">
        <f t="shared" si="49"/>
        <v>0</v>
      </c>
      <c r="G421" s="505">
        <f t="shared" si="49"/>
        <v>0</v>
      </c>
      <c r="H421" s="58"/>
      <c r="I421" s="198">
        <f>Qty!M186*'Hist. prices'!I421*I$244</f>
        <v>0</v>
      </c>
      <c r="J421" s="198">
        <f>Qty!N186*'Hist. prices'!J421*J$244</f>
        <v>0</v>
      </c>
      <c r="K421" s="198">
        <f>Qty!O186*'Hist. prices'!K421*K$244</f>
        <v>0</v>
      </c>
      <c r="L421" s="198">
        <f>Qty!P186*'Hist. prices'!L421*L$244</f>
        <v>0</v>
      </c>
      <c r="M421" s="198">
        <f>Qty!Q186*'Hist. prices'!M421*M$244</f>
        <v>0</v>
      </c>
      <c r="N421" s="198">
        <f>Qty!R186*'Hist. prices'!N421*N$244</f>
        <v>0</v>
      </c>
      <c r="O421" s="198">
        <f>Qty!S186*'Hist. prices'!O421*O$244</f>
        <v>0</v>
      </c>
      <c r="P421" s="198">
        <f>Qty!T186*'Hist. prices'!P421*P$244</f>
        <v>0</v>
      </c>
      <c r="Q421" s="198">
        <f>Qty!U186*'Hist. prices'!Q421*Q$244</f>
        <v>0</v>
      </c>
      <c r="R421" s="198">
        <f>Qty!V186*'Hist. prices'!R421*R$244</f>
        <v>0</v>
      </c>
      <c r="S421" s="198">
        <f>Qty!W186*'Hist. prices'!S421*S$244</f>
        <v>0</v>
      </c>
      <c r="T421" s="198">
        <f>Qty!X186*'Hist. prices'!T421*T$244</f>
        <v>0</v>
      </c>
      <c r="U421" s="198">
        <f>Qty!Y186*'Hist. prices'!U421*U$244</f>
        <v>0</v>
      </c>
      <c r="V421" s="198">
        <f>Qty!Z186*'Hist. prices'!V421*V$244</f>
        <v>0</v>
      </c>
      <c r="W421" s="198">
        <f>Qty!AA186*'Hist. prices'!W421*W$244</f>
        <v>0</v>
      </c>
      <c r="X421" s="198">
        <f>Qty!AB186*'Hist. prices'!X421*X$244</f>
        <v>0</v>
      </c>
      <c r="Y421" s="198">
        <f>Qty!AC186*'Hist. prices'!Y421*Y$244</f>
        <v>0</v>
      </c>
      <c r="Z421" s="198">
        <f>Qty!AD186*'Hist. prices'!Z421*Z$244</f>
        <v>0</v>
      </c>
      <c r="AA421" s="198">
        <f>Qty!AE186*'Hist. prices'!AA421*AA$244</f>
        <v>0</v>
      </c>
      <c r="AB421" s="198">
        <f>Qty!AF186*'Hist. prices'!AB421*AB$244</f>
        <v>0</v>
      </c>
      <c r="AC421" s="206">
        <f t="shared" si="47"/>
        <v>0</v>
      </c>
      <c r="AD421" s="68"/>
      <c r="AE421" s="19"/>
      <c r="AF421" s="19"/>
      <c r="AG421" s="19"/>
      <c r="AH421" s="19"/>
    </row>
    <row r="422" spans="1:34" hidden="1" outlineLevel="2" x14ac:dyDescent="0.2">
      <c r="A422" s="19"/>
      <c r="B422" s="19"/>
      <c r="C422" s="506">
        <f t="shared" si="49"/>
        <v>0</v>
      </c>
      <c r="D422" s="505">
        <f t="shared" si="49"/>
        <v>0</v>
      </c>
      <c r="E422" s="505">
        <f t="shared" si="49"/>
        <v>0</v>
      </c>
      <c r="F422" s="505">
        <f t="shared" si="49"/>
        <v>0</v>
      </c>
      <c r="G422" s="505">
        <f t="shared" si="49"/>
        <v>0</v>
      </c>
      <c r="H422" s="58"/>
      <c r="I422" s="198">
        <f>Qty!M187*'Hist. prices'!I422*I$244</f>
        <v>0</v>
      </c>
      <c r="J422" s="198">
        <f>Qty!N187*'Hist. prices'!J422*J$244</f>
        <v>0</v>
      </c>
      <c r="K422" s="198">
        <f>Qty!O187*'Hist. prices'!K422*K$244</f>
        <v>0</v>
      </c>
      <c r="L422" s="198">
        <f>Qty!P187*'Hist. prices'!L422*L$244</f>
        <v>0</v>
      </c>
      <c r="M422" s="198">
        <f>Qty!Q187*'Hist. prices'!M422*M$244</f>
        <v>0</v>
      </c>
      <c r="N422" s="198">
        <f>Qty!R187*'Hist. prices'!N422*N$244</f>
        <v>0</v>
      </c>
      <c r="O422" s="198">
        <f>Qty!S187*'Hist. prices'!O422*O$244</f>
        <v>0</v>
      </c>
      <c r="P422" s="198">
        <f>Qty!T187*'Hist. prices'!P422*P$244</f>
        <v>0</v>
      </c>
      <c r="Q422" s="198">
        <f>Qty!U187*'Hist. prices'!Q422*Q$244</f>
        <v>0</v>
      </c>
      <c r="R422" s="198">
        <f>Qty!V187*'Hist. prices'!R422*R$244</f>
        <v>0</v>
      </c>
      <c r="S422" s="198">
        <f>Qty!W187*'Hist. prices'!S422*S$244</f>
        <v>0</v>
      </c>
      <c r="T422" s="198">
        <f>Qty!X187*'Hist. prices'!T422*T$244</f>
        <v>0</v>
      </c>
      <c r="U422" s="198">
        <f>Qty!Y187*'Hist. prices'!U422*U$244</f>
        <v>0</v>
      </c>
      <c r="V422" s="198">
        <f>Qty!Z187*'Hist. prices'!V422*V$244</f>
        <v>0</v>
      </c>
      <c r="W422" s="198">
        <f>Qty!AA187*'Hist. prices'!W422*W$244</f>
        <v>0</v>
      </c>
      <c r="X422" s="198">
        <f>Qty!AB187*'Hist. prices'!X422*X$244</f>
        <v>0</v>
      </c>
      <c r="Y422" s="198">
        <f>Qty!AC187*'Hist. prices'!Y422*Y$244</f>
        <v>0</v>
      </c>
      <c r="Z422" s="198">
        <f>Qty!AD187*'Hist. prices'!Z422*Z$244</f>
        <v>0</v>
      </c>
      <c r="AA422" s="198">
        <f>Qty!AE187*'Hist. prices'!AA422*AA$244</f>
        <v>0</v>
      </c>
      <c r="AB422" s="198">
        <f>Qty!AF187*'Hist. prices'!AB422*AB$244</f>
        <v>0</v>
      </c>
      <c r="AC422" s="206">
        <f t="shared" si="47"/>
        <v>0</v>
      </c>
      <c r="AD422" s="68"/>
      <c r="AE422" s="19"/>
      <c r="AF422" s="19"/>
      <c r="AG422" s="19"/>
      <c r="AH422" s="19"/>
    </row>
    <row r="423" spans="1:34" hidden="1" outlineLevel="2" x14ac:dyDescent="0.2">
      <c r="A423" s="19"/>
      <c r="B423" s="19"/>
      <c r="C423" s="506">
        <f t="shared" si="49"/>
        <v>0</v>
      </c>
      <c r="D423" s="505">
        <f t="shared" si="49"/>
        <v>0</v>
      </c>
      <c r="E423" s="505">
        <f t="shared" si="49"/>
        <v>0</v>
      </c>
      <c r="F423" s="505">
        <f t="shared" si="49"/>
        <v>0</v>
      </c>
      <c r="G423" s="505">
        <f t="shared" si="49"/>
        <v>0</v>
      </c>
      <c r="H423" s="58"/>
      <c r="I423" s="198">
        <f>Qty!M188*'Hist. prices'!I423*I$244</f>
        <v>0</v>
      </c>
      <c r="J423" s="198">
        <f>Qty!N188*'Hist. prices'!J423*J$244</f>
        <v>0</v>
      </c>
      <c r="K423" s="198">
        <f>Qty!O188*'Hist. prices'!K423*K$244</f>
        <v>0</v>
      </c>
      <c r="L423" s="198">
        <f>Qty!P188*'Hist. prices'!L423*L$244</f>
        <v>0</v>
      </c>
      <c r="M423" s="198">
        <f>Qty!Q188*'Hist. prices'!M423*M$244</f>
        <v>0</v>
      </c>
      <c r="N423" s="198">
        <f>Qty!R188*'Hist. prices'!N423*N$244</f>
        <v>0</v>
      </c>
      <c r="O423" s="198">
        <f>Qty!S188*'Hist. prices'!O423*O$244</f>
        <v>0</v>
      </c>
      <c r="P423" s="198">
        <f>Qty!T188*'Hist. prices'!P423*P$244</f>
        <v>0</v>
      </c>
      <c r="Q423" s="198">
        <f>Qty!U188*'Hist. prices'!Q423*Q$244</f>
        <v>0</v>
      </c>
      <c r="R423" s="198">
        <f>Qty!V188*'Hist. prices'!R423*R$244</f>
        <v>0</v>
      </c>
      <c r="S423" s="198">
        <f>Qty!W188*'Hist. prices'!S423*S$244</f>
        <v>0</v>
      </c>
      <c r="T423" s="198">
        <f>Qty!X188*'Hist. prices'!T423*T$244</f>
        <v>0</v>
      </c>
      <c r="U423" s="198">
        <f>Qty!Y188*'Hist. prices'!U423*U$244</f>
        <v>0</v>
      </c>
      <c r="V423" s="198">
        <f>Qty!Z188*'Hist. prices'!V423*V$244</f>
        <v>0</v>
      </c>
      <c r="W423" s="198">
        <f>Qty!AA188*'Hist. prices'!W423*W$244</f>
        <v>0</v>
      </c>
      <c r="X423" s="198">
        <f>Qty!AB188*'Hist. prices'!X423*X$244</f>
        <v>0</v>
      </c>
      <c r="Y423" s="198">
        <f>Qty!AC188*'Hist. prices'!Y423*Y$244</f>
        <v>0</v>
      </c>
      <c r="Z423" s="198">
        <f>Qty!AD188*'Hist. prices'!Z423*Z$244</f>
        <v>0</v>
      </c>
      <c r="AA423" s="198">
        <f>Qty!AE188*'Hist. prices'!AA423*AA$244</f>
        <v>0</v>
      </c>
      <c r="AB423" s="198">
        <f>Qty!AF188*'Hist. prices'!AB423*AB$244</f>
        <v>0</v>
      </c>
      <c r="AC423" s="206">
        <f t="shared" si="47"/>
        <v>0</v>
      </c>
      <c r="AD423" s="68"/>
      <c r="AE423" s="19"/>
      <c r="AF423" s="19"/>
      <c r="AG423" s="19"/>
      <c r="AH423" s="19"/>
    </row>
    <row r="424" spans="1:34" hidden="1" outlineLevel="2" x14ac:dyDescent="0.2">
      <c r="A424" s="19"/>
      <c r="B424" s="19"/>
      <c r="C424" s="506">
        <f t="shared" si="49"/>
        <v>0</v>
      </c>
      <c r="D424" s="505">
        <f t="shared" si="49"/>
        <v>0</v>
      </c>
      <c r="E424" s="505">
        <f t="shared" si="49"/>
        <v>0</v>
      </c>
      <c r="F424" s="505">
        <f t="shared" si="49"/>
        <v>0</v>
      </c>
      <c r="G424" s="505">
        <f t="shared" si="49"/>
        <v>0</v>
      </c>
      <c r="H424" s="58"/>
      <c r="I424" s="198">
        <f>Qty!M189*'Hist. prices'!I424*I$244</f>
        <v>0</v>
      </c>
      <c r="J424" s="198">
        <f>Qty!N189*'Hist. prices'!J424*J$244</f>
        <v>0</v>
      </c>
      <c r="K424" s="198">
        <f>Qty!O189*'Hist. prices'!K424*K$244</f>
        <v>0</v>
      </c>
      <c r="L424" s="198">
        <f>Qty!P189*'Hist. prices'!L424*L$244</f>
        <v>0</v>
      </c>
      <c r="M424" s="198">
        <f>Qty!Q189*'Hist. prices'!M424*M$244</f>
        <v>0</v>
      </c>
      <c r="N424" s="198">
        <f>Qty!R189*'Hist. prices'!N424*N$244</f>
        <v>0</v>
      </c>
      <c r="O424" s="198">
        <f>Qty!S189*'Hist. prices'!O424*O$244</f>
        <v>0</v>
      </c>
      <c r="P424" s="198">
        <f>Qty!T189*'Hist. prices'!P424*P$244</f>
        <v>0</v>
      </c>
      <c r="Q424" s="198">
        <f>Qty!U189*'Hist. prices'!Q424*Q$244</f>
        <v>0</v>
      </c>
      <c r="R424" s="198">
        <f>Qty!V189*'Hist. prices'!R424*R$244</f>
        <v>0</v>
      </c>
      <c r="S424" s="198">
        <f>Qty!W189*'Hist. prices'!S424*S$244</f>
        <v>0</v>
      </c>
      <c r="T424" s="198">
        <f>Qty!X189*'Hist. prices'!T424*T$244</f>
        <v>0</v>
      </c>
      <c r="U424" s="198">
        <f>Qty!Y189*'Hist. prices'!U424*U$244</f>
        <v>0</v>
      </c>
      <c r="V424" s="198">
        <f>Qty!Z189*'Hist. prices'!V424*V$244</f>
        <v>0</v>
      </c>
      <c r="W424" s="198">
        <f>Qty!AA189*'Hist. prices'!W424*W$244</f>
        <v>0</v>
      </c>
      <c r="X424" s="198">
        <f>Qty!AB189*'Hist. prices'!X424*X$244</f>
        <v>0</v>
      </c>
      <c r="Y424" s="198">
        <f>Qty!AC189*'Hist. prices'!Y424*Y$244</f>
        <v>0</v>
      </c>
      <c r="Z424" s="198">
        <f>Qty!AD189*'Hist. prices'!Z424*Z$244</f>
        <v>0</v>
      </c>
      <c r="AA424" s="198">
        <f>Qty!AE189*'Hist. prices'!AA424*AA$244</f>
        <v>0</v>
      </c>
      <c r="AB424" s="198">
        <f>Qty!AF189*'Hist. prices'!AB424*AB$244</f>
        <v>0</v>
      </c>
      <c r="AC424" s="206">
        <f t="shared" si="47"/>
        <v>0</v>
      </c>
      <c r="AD424" s="68"/>
      <c r="AE424" s="19"/>
      <c r="AF424" s="19"/>
      <c r="AG424" s="19"/>
      <c r="AH424" s="19"/>
    </row>
    <row r="425" spans="1:34" hidden="1" outlineLevel="2" x14ac:dyDescent="0.2">
      <c r="A425" s="19"/>
      <c r="B425" s="19"/>
      <c r="C425" s="506">
        <f t="shared" si="49"/>
        <v>0</v>
      </c>
      <c r="D425" s="505">
        <f t="shared" si="49"/>
        <v>0</v>
      </c>
      <c r="E425" s="505">
        <f t="shared" si="49"/>
        <v>0</v>
      </c>
      <c r="F425" s="505">
        <f t="shared" si="49"/>
        <v>0</v>
      </c>
      <c r="G425" s="505">
        <f t="shared" si="49"/>
        <v>0</v>
      </c>
      <c r="H425" s="58"/>
      <c r="I425" s="198">
        <f>Qty!M190*'Hist. prices'!I425*I$244</f>
        <v>0</v>
      </c>
      <c r="J425" s="198">
        <f>Qty!N190*'Hist. prices'!J425*J$244</f>
        <v>0</v>
      </c>
      <c r="K425" s="198">
        <f>Qty!O190*'Hist. prices'!K425*K$244</f>
        <v>0</v>
      </c>
      <c r="L425" s="198">
        <f>Qty!P190*'Hist. prices'!L425*L$244</f>
        <v>0</v>
      </c>
      <c r="M425" s="198">
        <f>Qty!Q190*'Hist. prices'!M425*M$244</f>
        <v>0</v>
      </c>
      <c r="N425" s="198">
        <f>Qty!R190*'Hist. prices'!N425*N$244</f>
        <v>0</v>
      </c>
      <c r="O425" s="198">
        <f>Qty!S190*'Hist. prices'!O425*O$244</f>
        <v>0</v>
      </c>
      <c r="P425" s="198">
        <f>Qty!T190*'Hist. prices'!P425*P$244</f>
        <v>0</v>
      </c>
      <c r="Q425" s="198">
        <f>Qty!U190*'Hist. prices'!Q425*Q$244</f>
        <v>0</v>
      </c>
      <c r="R425" s="198">
        <f>Qty!V190*'Hist. prices'!R425*R$244</f>
        <v>0</v>
      </c>
      <c r="S425" s="198">
        <f>Qty!W190*'Hist. prices'!S425*S$244</f>
        <v>0</v>
      </c>
      <c r="T425" s="198">
        <f>Qty!X190*'Hist. prices'!T425*T$244</f>
        <v>0</v>
      </c>
      <c r="U425" s="198">
        <f>Qty!Y190*'Hist. prices'!U425*U$244</f>
        <v>0</v>
      </c>
      <c r="V425" s="198">
        <f>Qty!Z190*'Hist. prices'!V425*V$244</f>
        <v>0</v>
      </c>
      <c r="W425" s="198">
        <f>Qty!AA190*'Hist. prices'!W425*W$244</f>
        <v>0</v>
      </c>
      <c r="X425" s="198">
        <f>Qty!AB190*'Hist. prices'!X425*X$244</f>
        <v>0</v>
      </c>
      <c r="Y425" s="198">
        <f>Qty!AC190*'Hist. prices'!Y425*Y$244</f>
        <v>0</v>
      </c>
      <c r="Z425" s="198">
        <f>Qty!AD190*'Hist. prices'!Z425*Z$244</f>
        <v>0</v>
      </c>
      <c r="AA425" s="198">
        <f>Qty!AE190*'Hist. prices'!AA425*AA$244</f>
        <v>0</v>
      </c>
      <c r="AB425" s="198">
        <f>Qty!AF190*'Hist. prices'!AB425*AB$244</f>
        <v>0</v>
      </c>
      <c r="AC425" s="206">
        <f t="shared" si="47"/>
        <v>0</v>
      </c>
      <c r="AD425" s="68"/>
      <c r="AE425" s="19"/>
      <c r="AF425" s="19"/>
      <c r="AG425" s="19"/>
      <c r="AH425" s="19"/>
    </row>
    <row r="426" spans="1:34" hidden="1" outlineLevel="2" x14ac:dyDescent="0.2">
      <c r="A426" s="19"/>
      <c r="B426" s="19"/>
      <c r="C426" s="506">
        <f t="shared" si="49"/>
        <v>0</v>
      </c>
      <c r="D426" s="505">
        <f t="shared" si="49"/>
        <v>0</v>
      </c>
      <c r="E426" s="505">
        <f t="shared" si="49"/>
        <v>0</v>
      </c>
      <c r="F426" s="505">
        <f t="shared" si="49"/>
        <v>0</v>
      </c>
      <c r="G426" s="505">
        <f t="shared" si="49"/>
        <v>0</v>
      </c>
      <c r="H426" s="58"/>
      <c r="I426" s="198">
        <f>Qty!M191*'Hist. prices'!I426*I$244</f>
        <v>0</v>
      </c>
      <c r="J426" s="198">
        <f>Qty!N191*'Hist. prices'!J426*J$244</f>
        <v>0</v>
      </c>
      <c r="K426" s="198">
        <f>Qty!O191*'Hist. prices'!K426*K$244</f>
        <v>0</v>
      </c>
      <c r="L426" s="198">
        <f>Qty!P191*'Hist. prices'!L426*L$244</f>
        <v>0</v>
      </c>
      <c r="M426" s="198">
        <f>Qty!Q191*'Hist. prices'!M426*M$244</f>
        <v>0</v>
      </c>
      <c r="N426" s="198">
        <f>Qty!R191*'Hist. prices'!N426*N$244</f>
        <v>0</v>
      </c>
      <c r="O426" s="198">
        <f>Qty!S191*'Hist. prices'!O426*O$244</f>
        <v>0</v>
      </c>
      <c r="P426" s="198">
        <f>Qty!T191*'Hist. prices'!P426*P$244</f>
        <v>0</v>
      </c>
      <c r="Q426" s="198">
        <f>Qty!U191*'Hist. prices'!Q426*Q$244</f>
        <v>0</v>
      </c>
      <c r="R426" s="198">
        <f>Qty!V191*'Hist. prices'!R426*R$244</f>
        <v>0</v>
      </c>
      <c r="S426" s="198">
        <f>Qty!W191*'Hist. prices'!S426*S$244</f>
        <v>0</v>
      </c>
      <c r="T426" s="198">
        <f>Qty!X191*'Hist. prices'!T426*T$244</f>
        <v>0</v>
      </c>
      <c r="U426" s="198">
        <f>Qty!Y191*'Hist. prices'!U426*U$244</f>
        <v>0</v>
      </c>
      <c r="V426" s="198">
        <f>Qty!Z191*'Hist. prices'!V426*V$244</f>
        <v>0</v>
      </c>
      <c r="W426" s="198">
        <f>Qty!AA191*'Hist. prices'!W426*W$244</f>
        <v>0</v>
      </c>
      <c r="X426" s="198">
        <f>Qty!AB191*'Hist. prices'!X426*X$244</f>
        <v>0</v>
      </c>
      <c r="Y426" s="198">
        <f>Qty!AC191*'Hist. prices'!Y426*Y$244</f>
        <v>0</v>
      </c>
      <c r="Z426" s="198">
        <f>Qty!AD191*'Hist. prices'!Z426*Z$244</f>
        <v>0</v>
      </c>
      <c r="AA426" s="198">
        <f>Qty!AE191*'Hist. prices'!AA426*AA$244</f>
        <v>0</v>
      </c>
      <c r="AB426" s="198">
        <f>Qty!AF191*'Hist. prices'!AB426*AB$244</f>
        <v>0</v>
      </c>
      <c r="AC426" s="206">
        <f t="shared" si="47"/>
        <v>0</v>
      </c>
      <c r="AD426" s="68"/>
      <c r="AE426" s="19"/>
      <c r="AF426" s="19"/>
      <c r="AG426" s="19"/>
      <c r="AH426" s="19"/>
    </row>
    <row r="427" spans="1:34" hidden="1" outlineLevel="2" x14ac:dyDescent="0.2">
      <c r="A427" s="19"/>
      <c r="B427" s="19"/>
      <c r="C427" s="506">
        <f t="shared" si="49"/>
        <v>0</v>
      </c>
      <c r="D427" s="505">
        <f t="shared" si="49"/>
        <v>0</v>
      </c>
      <c r="E427" s="505">
        <f t="shared" si="49"/>
        <v>0</v>
      </c>
      <c r="F427" s="505">
        <f t="shared" si="49"/>
        <v>0</v>
      </c>
      <c r="G427" s="505">
        <f t="shared" si="49"/>
        <v>0</v>
      </c>
      <c r="H427" s="58"/>
      <c r="I427" s="198">
        <f>Qty!M192*'Hist. prices'!I427*I$244</f>
        <v>0</v>
      </c>
      <c r="J427" s="198">
        <f>Qty!N192*'Hist. prices'!J427*J$244</f>
        <v>0</v>
      </c>
      <c r="K427" s="198">
        <f>Qty!O192*'Hist. prices'!K427*K$244</f>
        <v>0</v>
      </c>
      <c r="L427" s="198">
        <f>Qty!P192*'Hist. prices'!L427*L$244</f>
        <v>0</v>
      </c>
      <c r="M427" s="198">
        <f>Qty!Q192*'Hist. prices'!M427*M$244</f>
        <v>0</v>
      </c>
      <c r="N427" s="198">
        <f>Qty!R192*'Hist. prices'!N427*N$244</f>
        <v>0</v>
      </c>
      <c r="O427" s="198">
        <f>Qty!S192*'Hist. prices'!O427*O$244</f>
        <v>0</v>
      </c>
      <c r="P427" s="198">
        <f>Qty!T192*'Hist. prices'!P427*P$244</f>
        <v>0</v>
      </c>
      <c r="Q427" s="198">
        <f>Qty!U192*'Hist. prices'!Q427*Q$244</f>
        <v>0</v>
      </c>
      <c r="R427" s="198">
        <f>Qty!V192*'Hist. prices'!R427*R$244</f>
        <v>0</v>
      </c>
      <c r="S427" s="198">
        <f>Qty!W192*'Hist. prices'!S427*S$244</f>
        <v>0</v>
      </c>
      <c r="T427" s="198">
        <f>Qty!X192*'Hist. prices'!T427*T$244</f>
        <v>0</v>
      </c>
      <c r="U427" s="198">
        <f>Qty!Y192*'Hist. prices'!U427*U$244</f>
        <v>0</v>
      </c>
      <c r="V427" s="198">
        <f>Qty!Z192*'Hist. prices'!V427*V$244</f>
        <v>0</v>
      </c>
      <c r="W427" s="198">
        <f>Qty!AA192*'Hist. prices'!W427*W$244</f>
        <v>0</v>
      </c>
      <c r="X427" s="198">
        <f>Qty!AB192*'Hist. prices'!X427*X$244</f>
        <v>0</v>
      </c>
      <c r="Y427" s="198">
        <f>Qty!AC192*'Hist. prices'!Y427*Y$244</f>
        <v>0</v>
      </c>
      <c r="Z427" s="198">
        <f>Qty!AD192*'Hist. prices'!Z427*Z$244</f>
        <v>0</v>
      </c>
      <c r="AA427" s="198">
        <f>Qty!AE192*'Hist. prices'!AA427*AA$244</f>
        <v>0</v>
      </c>
      <c r="AB427" s="198">
        <f>Qty!AF192*'Hist. prices'!AB427*AB$244</f>
        <v>0</v>
      </c>
      <c r="AC427" s="206">
        <f t="shared" si="47"/>
        <v>0</v>
      </c>
      <c r="AD427" s="68"/>
      <c r="AE427" s="19"/>
      <c r="AF427" s="19"/>
      <c r="AG427" s="19"/>
      <c r="AH427" s="19"/>
    </row>
    <row r="428" spans="1:34" hidden="1" outlineLevel="2" x14ac:dyDescent="0.2">
      <c r="A428" s="19"/>
      <c r="B428" s="19"/>
      <c r="C428" s="506">
        <f t="shared" si="49"/>
        <v>0</v>
      </c>
      <c r="D428" s="505">
        <f t="shared" si="49"/>
        <v>0</v>
      </c>
      <c r="E428" s="505">
        <f t="shared" si="49"/>
        <v>0</v>
      </c>
      <c r="F428" s="505">
        <f t="shared" si="49"/>
        <v>0</v>
      </c>
      <c r="G428" s="505">
        <f t="shared" si="49"/>
        <v>0</v>
      </c>
      <c r="H428" s="58"/>
      <c r="I428" s="198">
        <f>Qty!M193*'Hist. prices'!I428*I$244</f>
        <v>0</v>
      </c>
      <c r="J428" s="198">
        <f>Qty!N193*'Hist. prices'!J428*J$244</f>
        <v>0</v>
      </c>
      <c r="K428" s="198">
        <f>Qty!O193*'Hist. prices'!K428*K$244</f>
        <v>0</v>
      </c>
      <c r="L428" s="198">
        <f>Qty!P193*'Hist. prices'!L428*L$244</f>
        <v>0</v>
      </c>
      <c r="M428" s="198">
        <f>Qty!Q193*'Hist. prices'!M428*M$244</f>
        <v>0</v>
      </c>
      <c r="N428" s="198">
        <f>Qty!R193*'Hist. prices'!N428*N$244</f>
        <v>0</v>
      </c>
      <c r="O428" s="198">
        <f>Qty!S193*'Hist. prices'!O428*O$244</f>
        <v>0</v>
      </c>
      <c r="P428" s="198">
        <f>Qty!T193*'Hist. prices'!P428*P$244</f>
        <v>0</v>
      </c>
      <c r="Q428" s="198">
        <f>Qty!U193*'Hist. prices'!Q428*Q$244</f>
        <v>0</v>
      </c>
      <c r="R428" s="198">
        <f>Qty!V193*'Hist. prices'!R428*R$244</f>
        <v>0</v>
      </c>
      <c r="S428" s="198">
        <f>Qty!W193*'Hist. prices'!S428*S$244</f>
        <v>0</v>
      </c>
      <c r="T428" s="198">
        <f>Qty!X193*'Hist. prices'!T428*T$244</f>
        <v>0</v>
      </c>
      <c r="U428" s="198">
        <f>Qty!Y193*'Hist. prices'!U428*U$244</f>
        <v>0</v>
      </c>
      <c r="V428" s="198">
        <f>Qty!Z193*'Hist. prices'!V428*V$244</f>
        <v>0</v>
      </c>
      <c r="W428" s="198">
        <f>Qty!AA193*'Hist. prices'!W428*W$244</f>
        <v>0</v>
      </c>
      <c r="X428" s="198">
        <f>Qty!AB193*'Hist. prices'!X428*X$244</f>
        <v>0</v>
      </c>
      <c r="Y428" s="198">
        <f>Qty!AC193*'Hist. prices'!Y428*Y$244</f>
        <v>0</v>
      </c>
      <c r="Z428" s="198">
        <f>Qty!AD193*'Hist. prices'!Z428*Z$244</f>
        <v>0</v>
      </c>
      <c r="AA428" s="198">
        <f>Qty!AE193*'Hist. prices'!AA428*AA$244</f>
        <v>0</v>
      </c>
      <c r="AB428" s="198">
        <f>Qty!AF193*'Hist. prices'!AB428*AB$244</f>
        <v>0</v>
      </c>
      <c r="AC428" s="206">
        <f t="shared" si="47"/>
        <v>0</v>
      </c>
      <c r="AD428" s="68"/>
      <c r="AE428" s="19"/>
      <c r="AF428" s="19"/>
      <c r="AG428" s="19"/>
      <c r="AH428" s="19"/>
    </row>
    <row r="429" spans="1:34" hidden="1" outlineLevel="2" x14ac:dyDescent="0.2">
      <c r="A429" s="19"/>
      <c r="B429" s="19"/>
      <c r="C429" s="506">
        <f t="shared" si="49"/>
        <v>0</v>
      </c>
      <c r="D429" s="505">
        <f t="shared" si="49"/>
        <v>0</v>
      </c>
      <c r="E429" s="505">
        <f t="shared" si="49"/>
        <v>0</v>
      </c>
      <c r="F429" s="505">
        <f t="shared" si="49"/>
        <v>0</v>
      </c>
      <c r="G429" s="505">
        <f t="shared" si="49"/>
        <v>0</v>
      </c>
      <c r="H429" s="58"/>
      <c r="I429" s="198">
        <f>Qty!M194*'Hist. prices'!I429*I$244</f>
        <v>0</v>
      </c>
      <c r="J429" s="198">
        <f>Qty!N194*'Hist. prices'!J429*J$244</f>
        <v>0</v>
      </c>
      <c r="K429" s="198">
        <f>Qty!O194*'Hist. prices'!K429*K$244</f>
        <v>0</v>
      </c>
      <c r="L429" s="198">
        <f>Qty!P194*'Hist. prices'!L429*L$244</f>
        <v>0</v>
      </c>
      <c r="M429" s="198">
        <f>Qty!Q194*'Hist. prices'!M429*M$244</f>
        <v>0</v>
      </c>
      <c r="N429" s="198">
        <f>Qty!R194*'Hist. prices'!N429*N$244</f>
        <v>0</v>
      </c>
      <c r="O429" s="198">
        <f>Qty!S194*'Hist. prices'!O429*O$244</f>
        <v>0</v>
      </c>
      <c r="P429" s="198">
        <f>Qty!T194*'Hist. prices'!P429*P$244</f>
        <v>0</v>
      </c>
      <c r="Q429" s="198">
        <f>Qty!U194*'Hist. prices'!Q429*Q$244</f>
        <v>0</v>
      </c>
      <c r="R429" s="198">
        <f>Qty!V194*'Hist. prices'!R429*R$244</f>
        <v>0</v>
      </c>
      <c r="S429" s="198">
        <f>Qty!W194*'Hist. prices'!S429*S$244</f>
        <v>0</v>
      </c>
      <c r="T429" s="198">
        <f>Qty!X194*'Hist. prices'!T429*T$244</f>
        <v>0</v>
      </c>
      <c r="U429" s="198">
        <f>Qty!Y194*'Hist. prices'!U429*U$244</f>
        <v>0</v>
      </c>
      <c r="V429" s="198">
        <f>Qty!Z194*'Hist. prices'!V429*V$244</f>
        <v>0</v>
      </c>
      <c r="W429" s="198">
        <f>Qty!AA194*'Hist. prices'!W429*W$244</f>
        <v>0</v>
      </c>
      <c r="X429" s="198">
        <f>Qty!AB194*'Hist. prices'!X429*X$244</f>
        <v>0</v>
      </c>
      <c r="Y429" s="198">
        <f>Qty!AC194*'Hist. prices'!Y429*Y$244</f>
        <v>0</v>
      </c>
      <c r="Z429" s="198">
        <f>Qty!AD194*'Hist. prices'!Z429*Z$244</f>
        <v>0</v>
      </c>
      <c r="AA429" s="198">
        <f>Qty!AE194*'Hist. prices'!AA429*AA$244</f>
        <v>0</v>
      </c>
      <c r="AB429" s="198">
        <f>Qty!AF194*'Hist. prices'!AB429*AB$244</f>
        <v>0</v>
      </c>
      <c r="AC429" s="206">
        <f t="shared" si="47"/>
        <v>0</v>
      </c>
      <c r="AD429" s="68"/>
      <c r="AE429" s="19"/>
      <c r="AF429" s="19"/>
      <c r="AG429" s="19"/>
      <c r="AH429" s="19"/>
    </row>
    <row r="430" spans="1:34" hidden="1" outlineLevel="2" x14ac:dyDescent="0.2">
      <c r="A430" s="19"/>
      <c r="B430" s="19"/>
      <c r="C430" s="506">
        <f t="shared" si="49"/>
        <v>0</v>
      </c>
      <c r="D430" s="505">
        <f t="shared" si="49"/>
        <v>0</v>
      </c>
      <c r="E430" s="505">
        <f t="shared" si="49"/>
        <v>0</v>
      </c>
      <c r="F430" s="505">
        <f t="shared" si="49"/>
        <v>0</v>
      </c>
      <c r="G430" s="505">
        <f t="shared" si="49"/>
        <v>0</v>
      </c>
      <c r="H430" s="58"/>
      <c r="I430" s="198">
        <f>Qty!M195*'Hist. prices'!I430*I$244</f>
        <v>0</v>
      </c>
      <c r="J430" s="198">
        <f>Qty!N195*'Hist. prices'!J430*J$244</f>
        <v>0</v>
      </c>
      <c r="K430" s="198">
        <f>Qty!O195*'Hist. prices'!K430*K$244</f>
        <v>0</v>
      </c>
      <c r="L430" s="198">
        <f>Qty!P195*'Hist. prices'!L430*L$244</f>
        <v>0</v>
      </c>
      <c r="M430" s="198">
        <f>Qty!Q195*'Hist. prices'!M430*M$244</f>
        <v>0</v>
      </c>
      <c r="N430" s="198">
        <f>Qty!R195*'Hist. prices'!N430*N$244</f>
        <v>0</v>
      </c>
      <c r="O430" s="198">
        <f>Qty!S195*'Hist. prices'!O430*O$244</f>
        <v>0</v>
      </c>
      <c r="P430" s="198">
        <f>Qty!T195*'Hist. prices'!P430*P$244</f>
        <v>0</v>
      </c>
      <c r="Q430" s="198">
        <f>Qty!U195*'Hist. prices'!Q430*Q$244</f>
        <v>0</v>
      </c>
      <c r="R430" s="198">
        <f>Qty!V195*'Hist. prices'!R430*R$244</f>
        <v>0</v>
      </c>
      <c r="S430" s="198">
        <f>Qty!W195*'Hist. prices'!S430*S$244</f>
        <v>0</v>
      </c>
      <c r="T430" s="198">
        <f>Qty!X195*'Hist. prices'!T430*T$244</f>
        <v>0</v>
      </c>
      <c r="U430" s="198">
        <f>Qty!Y195*'Hist. prices'!U430*U$244</f>
        <v>0</v>
      </c>
      <c r="V430" s="198">
        <f>Qty!Z195*'Hist. prices'!V430*V$244</f>
        <v>0</v>
      </c>
      <c r="W430" s="198">
        <f>Qty!AA195*'Hist. prices'!W430*W$244</f>
        <v>0</v>
      </c>
      <c r="X430" s="198">
        <f>Qty!AB195*'Hist. prices'!X430*X$244</f>
        <v>0</v>
      </c>
      <c r="Y430" s="198">
        <f>Qty!AC195*'Hist. prices'!Y430*Y$244</f>
        <v>0</v>
      </c>
      <c r="Z430" s="198">
        <f>Qty!AD195*'Hist. prices'!Z430*Z$244</f>
        <v>0</v>
      </c>
      <c r="AA430" s="198">
        <f>Qty!AE195*'Hist. prices'!AA430*AA$244</f>
        <v>0</v>
      </c>
      <c r="AB430" s="198">
        <f>Qty!AF195*'Hist. prices'!AB430*AB$244</f>
        <v>0</v>
      </c>
      <c r="AC430" s="206">
        <f t="shared" si="47"/>
        <v>0</v>
      </c>
      <c r="AD430" s="68"/>
      <c r="AE430" s="19"/>
      <c r="AF430" s="19"/>
      <c r="AG430" s="19"/>
      <c r="AH430" s="19"/>
    </row>
    <row r="431" spans="1:34" hidden="1" outlineLevel="2" x14ac:dyDescent="0.2">
      <c r="A431" s="19"/>
      <c r="B431" s="19"/>
      <c r="C431" s="506">
        <f t="shared" ref="C431:G440" si="50">C275</f>
        <v>0</v>
      </c>
      <c r="D431" s="505">
        <f t="shared" si="50"/>
        <v>0</v>
      </c>
      <c r="E431" s="505">
        <f t="shared" si="50"/>
        <v>0</v>
      </c>
      <c r="F431" s="505">
        <f t="shared" si="50"/>
        <v>0</v>
      </c>
      <c r="G431" s="505">
        <f t="shared" si="50"/>
        <v>0</v>
      </c>
      <c r="H431" s="58"/>
      <c r="I431" s="198">
        <f>Qty!M196*'Hist. prices'!I431*I$244</f>
        <v>0</v>
      </c>
      <c r="J431" s="198">
        <f>Qty!N196*'Hist. prices'!J431*J$244</f>
        <v>0</v>
      </c>
      <c r="K431" s="198">
        <f>Qty!O196*'Hist. prices'!K431*K$244</f>
        <v>0</v>
      </c>
      <c r="L431" s="198">
        <f>Qty!P196*'Hist. prices'!L431*L$244</f>
        <v>0</v>
      </c>
      <c r="M431" s="198">
        <f>Qty!Q196*'Hist. prices'!M431*M$244</f>
        <v>0</v>
      </c>
      <c r="N431" s="198">
        <f>Qty!R196*'Hist. prices'!N431*N$244</f>
        <v>0</v>
      </c>
      <c r="O431" s="198">
        <f>Qty!S196*'Hist. prices'!O431*O$244</f>
        <v>0</v>
      </c>
      <c r="P431" s="198">
        <f>Qty!T196*'Hist. prices'!P431*P$244</f>
        <v>0</v>
      </c>
      <c r="Q431" s="198">
        <f>Qty!U196*'Hist. prices'!Q431*Q$244</f>
        <v>0</v>
      </c>
      <c r="R431" s="198">
        <f>Qty!V196*'Hist. prices'!R431*R$244</f>
        <v>0</v>
      </c>
      <c r="S431" s="198">
        <f>Qty!W196*'Hist. prices'!S431*S$244</f>
        <v>0</v>
      </c>
      <c r="T431" s="198">
        <f>Qty!X196*'Hist. prices'!T431*T$244</f>
        <v>0</v>
      </c>
      <c r="U431" s="198">
        <f>Qty!Y196*'Hist. prices'!U431*U$244</f>
        <v>0</v>
      </c>
      <c r="V431" s="198">
        <f>Qty!Z196*'Hist. prices'!V431*V$244</f>
        <v>0</v>
      </c>
      <c r="W431" s="198">
        <f>Qty!AA196*'Hist. prices'!W431*W$244</f>
        <v>0</v>
      </c>
      <c r="X431" s="198">
        <f>Qty!AB196*'Hist. prices'!X431*X$244</f>
        <v>0</v>
      </c>
      <c r="Y431" s="198">
        <f>Qty!AC196*'Hist. prices'!Y431*Y$244</f>
        <v>0</v>
      </c>
      <c r="Z431" s="198">
        <f>Qty!AD196*'Hist. prices'!Z431*Z$244</f>
        <v>0</v>
      </c>
      <c r="AA431" s="198">
        <f>Qty!AE196*'Hist. prices'!AA431*AA$244</f>
        <v>0</v>
      </c>
      <c r="AB431" s="198">
        <f>Qty!AF196*'Hist. prices'!AB431*AB$244</f>
        <v>0</v>
      </c>
      <c r="AC431" s="206">
        <f t="shared" si="47"/>
        <v>0</v>
      </c>
      <c r="AD431" s="68"/>
      <c r="AE431" s="19"/>
      <c r="AF431" s="19"/>
      <c r="AG431" s="19"/>
      <c r="AH431" s="19"/>
    </row>
    <row r="432" spans="1:34" hidden="1" outlineLevel="2" x14ac:dyDescent="0.2">
      <c r="A432" s="19"/>
      <c r="B432" s="19"/>
      <c r="C432" s="506">
        <f t="shared" si="50"/>
        <v>0</v>
      </c>
      <c r="D432" s="505">
        <f t="shared" si="50"/>
        <v>0</v>
      </c>
      <c r="E432" s="505">
        <f t="shared" si="50"/>
        <v>0</v>
      </c>
      <c r="F432" s="505">
        <f t="shared" si="50"/>
        <v>0</v>
      </c>
      <c r="G432" s="505">
        <f t="shared" si="50"/>
        <v>0</v>
      </c>
      <c r="H432" s="58"/>
      <c r="I432" s="198">
        <f>Qty!M197*'Hist. prices'!I432*I$244</f>
        <v>0</v>
      </c>
      <c r="J432" s="198">
        <f>Qty!N197*'Hist. prices'!J432*J$244</f>
        <v>0</v>
      </c>
      <c r="K432" s="198">
        <f>Qty!O197*'Hist. prices'!K432*K$244</f>
        <v>0</v>
      </c>
      <c r="L432" s="198">
        <f>Qty!P197*'Hist. prices'!L432*L$244</f>
        <v>0</v>
      </c>
      <c r="M432" s="198">
        <f>Qty!Q197*'Hist. prices'!M432*M$244</f>
        <v>0</v>
      </c>
      <c r="N432" s="198">
        <f>Qty!R197*'Hist. prices'!N432*N$244</f>
        <v>0</v>
      </c>
      <c r="O432" s="198">
        <f>Qty!S197*'Hist. prices'!O432*O$244</f>
        <v>0</v>
      </c>
      <c r="P432" s="198">
        <f>Qty!T197*'Hist. prices'!P432*P$244</f>
        <v>0</v>
      </c>
      <c r="Q432" s="198">
        <f>Qty!U197*'Hist. prices'!Q432*Q$244</f>
        <v>0</v>
      </c>
      <c r="R432" s="198">
        <f>Qty!V197*'Hist. prices'!R432*R$244</f>
        <v>0</v>
      </c>
      <c r="S432" s="198">
        <f>Qty!W197*'Hist. prices'!S432*S$244</f>
        <v>0</v>
      </c>
      <c r="T432" s="198">
        <f>Qty!X197*'Hist. prices'!T432*T$244</f>
        <v>0</v>
      </c>
      <c r="U432" s="198">
        <f>Qty!Y197*'Hist. prices'!U432*U$244</f>
        <v>0</v>
      </c>
      <c r="V432" s="198">
        <f>Qty!Z197*'Hist. prices'!V432*V$244</f>
        <v>0</v>
      </c>
      <c r="W432" s="198">
        <f>Qty!AA197*'Hist. prices'!W432*W$244</f>
        <v>0</v>
      </c>
      <c r="X432" s="198">
        <f>Qty!AB197*'Hist. prices'!X432*X$244</f>
        <v>0</v>
      </c>
      <c r="Y432" s="198">
        <f>Qty!AC197*'Hist. prices'!Y432*Y$244</f>
        <v>0</v>
      </c>
      <c r="Z432" s="198">
        <f>Qty!AD197*'Hist. prices'!Z432*Z$244</f>
        <v>0</v>
      </c>
      <c r="AA432" s="198">
        <f>Qty!AE197*'Hist. prices'!AA432*AA$244</f>
        <v>0</v>
      </c>
      <c r="AB432" s="198">
        <f>Qty!AF197*'Hist. prices'!AB432*AB$244</f>
        <v>0</v>
      </c>
      <c r="AC432" s="206">
        <f t="shared" si="47"/>
        <v>0</v>
      </c>
      <c r="AD432" s="68"/>
      <c r="AE432" s="19"/>
      <c r="AF432" s="19"/>
      <c r="AG432" s="19"/>
      <c r="AH432" s="19"/>
    </row>
    <row r="433" spans="1:34" hidden="1" outlineLevel="2" x14ac:dyDescent="0.2">
      <c r="A433" s="19"/>
      <c r="B433" s="19"/>
      <c r="C433" s="506">
        <f t="shared" si="50"/>
        <v>0</v>
      </c>
      <c r="D433" s="505">
        <f t="shared" si="50"/>
        <v>0</v>
      </c>
      <c r="E433" s="505">
        <f t="shared" si="50"/>
        <v>0</v>
      </c>
      <c r="F433" s="505">
        <f t="shared" si="50"/>
        <v>0</v>
      </c>
      <c r="G433" s="505">
        <f t="shared" si="50"/>
        <v>0</v>
      </c>
      <c r="H433" s="58"/>
      <c r="I433" s="198">
        <f>Qty!M198*'Hist. prices'!I433*I$244</f>
        <v>0</v>
      </c>
      <c r="J433" s="198">
        <f>Qty!N198*'Hist. prices'!J433*J$244</f>
        <v>0</v>
      </c>
      <c r="K433" s="198">
        <f>Qty!O198*'Hist. prices'!K433*K$244</f>
        <v>0</v>
      </c>
      <c r="L433" s="198">
        <f>Qty!P198*'Hist. prices'!L433*L$244</f>
        <v>0</v>
      </c>
      <c r="M433" s="198">
        <f>Qty!Q198*'Hist. prices'!M433*M$244</f>
        <v>0</v>
      </c>
      <c r="N433" s="198">
        <f>Qty!R198*'Hist. prices'!N433*N$244</f>
        <v>0</v>
      </c>
      <c r="O433" s="198">
        <f>Qty!S198*'Hist. prices'!O433*O$244</f>
        <v>0</v>
      </c>
      <c r="P433" s="198">
        <f>Qty!T198*'Hist. prices'!P433*P$244</f>
        <v>0</v>
      </c>
      <c r="Q433" s="198">
        <f>Qty!U198*'Hist. prices'!Q433*Q$244</f>
        <v>0</v>
      </c>
      <c r="R433" s="198">
        <f>Qty!V198*'Hist. prices'!R433*R$244</f>
        <v>0</v>
      </c>
      <c r="S433" s="198">
        <f>Qty!W198*'Hist. prices'!S433*S$244</f>
        <v>0</v>
      </c>
      <c r="T433" s="198">
        <f>Qty!X198*'Hist. prices'!T433*T$244</f>
        <v>0</v>
      </c>
      <c r="U433" s="198">
        <f>Qty!Y198*'Hist. prices'!U433*U$244</f>
        <v>0</v>
      </c>
      <c r="V433" s="198">
        <f>Qty!Z198*'Hist. prices'!V433*V$244</f>
        <v>0</v>
      </c>
      <c r="W433" s="198">
        <f>Qty!AA198*'Hist. prices'!W433*W$244</f>
        <v>0</v>
      </c>
      <c r="X433" s="198">
        <f>Qty!AB198*'Hist. prices'!X433*X$244</f>
        <v>0</v>
      </c>
      <c r="Y433" s="198">
        <f>Qty!AC198*'Hist. prices'!Y433*Y$244</f>
        <v>0</v>
      </c>
      <c r="Z433" s="198">
        <f>Qty!AD198*'Hist. prices'!Z433*Z$244</f>
        <v>0</v>
      </c>
      <c r="AA433" s="198">
        <f>Qty!AE198*'Hist. prices'!AA433*AA$244</f>
        <v>0</v>
      </c>
      <c r="AB433" s="198">
        <f>Qty!AF198*'Hist. prices'!AB433*AB$244</f>
        <v>0</v>
      </c>
      <c r="AC433" s="206">
        <f t="shared" ref="AC433:AC464" si="51">SUM(I433:AB433)</f>
        <v>0</v>
      </c>
      <c r="AD433" s="68"/>
      <c r="AE433" s="19"/>
      <c r="AF433" s="19"/>
      <c r="AG433" s="19"/>
      <c r="AH433" s="19"/>
    </row>
    <row r="434" spans="1:34" hidden="1" outlineLevel="2" x14ac:dyDescent="0.2">
      <c r="A434" s="19"/>
      <c r="B434" s="19"/>
      <c r="C434" s="506">
        <f t="shared" si="50"/>
        <v>0</v>
      </c>
      <c r="D434" s="505">
        <f t="shared" si="50"/>
        <v>0</v>
      </c>
      <c r="E434" s="505">
        <f t="shared" si="50"/>
        <v>0</v>
      </c>
      <c r="F434" s="505">
        <f t="shared" si="50"/>
        <v>0</v>
      </c>
      <c r="G434" s="505">
        <f t="shared" si="50"/>
        <v>0</v>
      </c>
      <c r="H434" s="58"/>
      <c r="I434" s="198">
        <f>Qty!M199*'Hist. prices'!I434*I$244</f>
        <v>0</v>
      </c>
      <c r="J434" s="198">
        <f>Qty!N199*'Hist. prices'!J434*J$244</f>
        <v>0</v>
      </c>
      <c r="K434" s="198">
        <f>Qty!O199*'Hist. prices'!K434*K$244</f>
        <v>0</v>
      </c>
      <c r="L434" s="198">
        <f>Qty!P199*'Hist. prices'!L434*L$244</f>
        <v>0</v>
      </c>
      <c r="M434" s="198">
        <f>Qty!Q199*'Hist. prices'!M434*M$244</f>
        <v>0</v>
      </c>
      <c r="N434" s="198">
        <f>Qty!R199*'Hist. prices'!N434*N$244</f>
        <v>0</v>
      </c>
      <c r="O434" s="198">
        <f>Qty!S199*'Hist. prices'!O434*O$244</f>
        <v>0</v>
      </c>
      <c r="P434" s="198">
        <f>Qty!T199*'Hist. prices'!P434*P$244</f>
        <v>0</v>
      </c>
      <c r="Q434" s="198">
        <f>Qty!U199*'Hist. prices'!Q434*Q$244</f>
        <v>0</v>
      </c>
      <c r="R434" s="198">
        <f>Qty!V199*'Hist. prices'!R434*R$244</f>
        <v>0</v>
      </c>
      <c r="S434" s="198">
        <f>Qty!W199*'Hist. prices'!S434*S$244</f>
        <v>0</v>
      </c>
      <c r="T434" s="198">
        <f>Qty!X199*'Hist. prices'!T434*T$244</f>
        <v>0</v>
      </c>
      <c r="U434" s="198">
        <f>Qty!Y199*'Hist. prices'!U434*U$244</f>
        <v>0</v>
      </c>
      <c r="V434" s="198">
        <f>Qty!Z199*'Hist. prices'!V434*V$244</f>
        <v>0</v>
      </c>
      <c r="W434" s="198">
        <f>Qty!AA199*'Hist. prices'!W434*W$244</f>
        <v>0</v>
      </c>
      <c r="X434" s="198">
        <f>Qty!AB199*'Hist. prices'!X434*X$244</f>
        <v>0</v>
      </c>
      <c r="Y434" s="198">
        <f>Qty!AC199*'Hist. prices'!Y434*Y$244</f>
        <v>0</v>
      </c>
      <c r="Z434" s="198">
        <f>Qty!AD199*'Hist. prices'!Z434*Z$244</f>
        <v>0</v>
      </c>
      <c r="AA434" s="198">
        <f>Qty!AE199*'Hist. prices'!AA434*AA$244</f>
        <v>0</v>
      </c>
      <c r="AB434" s="198">
        <f>Qty!AF199*'Hist. prices'!AB434*AB$244</f>
        <v>0</v>
      </c>
      <c r="AC434" s="206">
        <f t="shared" si="51"/>
        <v>0</v>
      </c>
      <c r="AD434" s="68"/>
      <c r="AE434" s="19"/>
      <c r="AF434" s="19"/>
      <c r="AG434" s="19"/>
      <c r="AH434" s="19"/>
    </row>
    <row r="435" spans="1:34" hidden="1" outlineLevel="2" x14ac:dyDescent="0.2">
      <c r="A435" s="19"/>
      <c r="B435" s="19"/>
      <c r="C435" s="506">
        <f t="shared" si="50"/>
        <v>0</v>
      </c>
      <c r="D435" s="505">
        <f t="shared" si="50"/>
        <v>0</v>
      </c>
      <c r="E435" s="505">
        <f t="shared" si="50"/>
        <v>0</v>
      </c>
      <c r="F435" s="505">
        <f t="shared" si="50"/>
        <v>0</v>
      </c>
      <c r="G435" s="505">
        <f t="shared" si="50"/>
        <v>0</v>
      </c>
      <c r="H435" s="58"/>
      <c r="I435" s="198">
        <f>Qty!M200*'Hist. prices'!I435*I$244</f>
        <v>0</v>
      </c>
      <c r="J435" s="198">
        <f>Qty!N200*'Hist. prices'!J435*J$244</f>
        <v>0</v>
      </c>
      <c r="K435" s="198">
        <f>Qty!O200*'Hist. prices'!K435*K$244</f>
        <v>0</v>
      </c>
      <c r="L435" s="198">
        <f>Qty!P200*'Hist. prices'!L435*L$244</f>
        <v>0</v>
      </c>
      <c r="M435" s="198">
        <f>Qty!Q200*'Hist. prices'!M435*M$244</f>
        <v>0</v>
      </c>
      <c r="N435" s="198">
        <f>Qty!R200*'Hist. prices'!N435*N$244</f>
        <v>0</v>
      </c>
      <c r="O435" s="198">
        <f>Qty!S200*'Hist. prices'!O435*O$244</f>
        <v>0</v>
      </c>
      <c r="P435" s="198">
        <f>Qty!T200*'Hist. prices'!P435*P$244</f>
        <v>0</v>
      </c>
      <c r="Q435" s="198">
        <f>Qty!U200*'Hist. prices'!Q435*Q$244</f>
        <v>0</v>
      </c>
      <c r="R435" s="198">
        <f>Qty!V200*'Hist. prices'!R435*R$244</f>
        <v>0</v>
      </c>
      <c r="S435" s="198">
        <f>Qty!W200*'Hist. prices'!S435*S$244</f>
        <v>0</v>
      </c>
      <c r="T435" s="198">
        <f>Qty!X200*'Hist. prices'!T435*T$244</f>
        <v>0</v>
      </c>
      <c r="U435" s="198">
        <f>Qty!Y200*'Hist. prices'!U435*U$244</f>
        <v>0</v>
      </c>
      <c r="V435" s="198">
        <f>Qty!Z200*'Hist. prices'!V435*V$244</f>
        <v>0</v>
      </c>
      <c r="W435" s="198">
        <f>Qty!AA200*'Hist. prices'!W435*W$244</f>
        <v>0</v>
      </c>
      <c r="X435" s="198">
        <f>Qty!AB200*'Hist. prices'!X435*X$244</f>
        <v>0</v>
      </c>
      <c r="Y435" s="198">
        <f>Qty!AC200*'Hist. prices'!Y435*Y$244</f>
        <v>0</v>
      </c>
      <c r="Z435" s="198">
        <f>Qty!AD200*'Hist. prices'!Z435*Z$244</f>
        <v>0</v>
      </c>
      <c r="AA435" s="198">
        <f>Qty!AE200*'Hist. prices'!AA435*AA$244</f>
        <v>0</v>
      </c>
      <c r="AB435" s="198">
        <f>Qty!AF200*'Hist. prices'!AB435*AB$244</f>
        <v>0</v>
      </c>
      <c r="AC435" s="206">
        <f t="shared" si="51"/>
        <v>0</v>
      </c>
      <c r="AD435" s="68"/>
      <c r="AE435" s="19"/>
      <c r="AF435" s="19"/>
      <c r="AG435" s="19"/>
      <c r="AH435" s="19"/>
    </row>
    <row r="436" spans="1:34" hidden="1" outlineLevel="2" x14ac:dyDescent="0.2">
      <c r="A436" s="19"/>
      <c r="B436" s="19"/>
      <c r="C436" s="506">
        <f t="shared" si="50"/>
        <v>0</v>
      </c>
      <c r="D436" s="505">
        <f t="shared" si="50"/>
        <v>0</v>
      </c>
      <c r="E436" s="505">
        <f t="shared" si="50"/>
        <v>0</v>
      </c>
      <c r="F436" s="505">
        <f t="shared" si="50"/>
        <v>0</v>
      </c>
      <c r="G436" s="505">
        <f t="shared" si="50"/>
        <v>0</v>
      </c>
      <c r="H436" s="58"/>
      <c r="I436" s="198">
        <f>Qty!M201*'Hist. prices'!I436*I$244</f>
        <v>0</v>
      </c>
      <c r="J436" s="198">
        <f>Qty!N201*'Hist. prices'!J436*J$244</f>
        <v>0</v>
      </c>
      <c r="K436" s="198">
        <f>Qty!O201*'Hist. prices'!K436*K$244</f>
        <v>0</v>
      </c>
      <c r="L436" s="198">
        <f>Qty!P201*'Hist. prices'!L436*L$244</f>
        <v>0</v>
      </c>
      <c r="M436" s="198">
        <f>Qty!Q201*'Hist. prices'!M436*M$244</f>
        <v>0</v>
      </c>
      <c r="N436" s="198">
        <f>Qty!R201*'Hist. prices'!N436*N$244</f>
        <v>0</v>
      </c>
      <c r="O436" s="198">
        <f>Qty!S201*'Hist. prices'!O436*O$244</f>
        <v>0</v>
      </c>
      <c r="P436" s="198">
        <f>Qty!T201*'Hist. prices'!P436*P$244</f>
        <v>0</v>
      </c>
      <c r="Q436" s="198">
        <f>Qty!U201*'Hist. prices'!Q436*Q$244</f>
        <v>0</v>
      </c>
      <c r="R436" s="198">
        <f>Qty!V201*'Hist. prices'!R436*R$244</f>
        <v>0</v>
      </c>
      <c r="S436" s="198">
        <f>Qty!W201*'Hist. prices'!S436*S$244</f>
        <v>0</v>
      </c>
      <c r="T436" s="198">
        <f>Qty!X201*'Hist. prices'!T436*T$244</f>
        <v>0</v>
      </c>
      <c r="U436" s="198">
        <f>Qty!Y201*'Hist. prices'!U436*U$244</f>
        <v>0</v>
      </c>
      <c r="V436" s="198">
        <f>Qty!Z201*'Hist. prices'!V436*V$244</f>
        <v>0</v>
      </c>
      <c r="W436" s="198">
        <f>Qty!AA201*'Hist. prices'!W436*W$244</f>
        <v>0</v>
      </c>
      <c r="X436" s="198">
        <f>Qty!AB201*'Hist. prices'!X436*X$244</f>
        <v>0</v>
      </c>
      <c r="Y436" s="198">
        <f>Qty!AC201*'Hist. prices'!Y436*Y$244</f>
        <v>0</v>
      </c>
      <c r="Z436" s="198">
        <f>Qty!AD201*'Hist. prices'!Z436*Z$244</f>
        <v>0</v>
      </c>
      <c r="AA436" s="198">
        <f>Qty!AE201*'Hist. prices'!AA436*AA$244</f>
        <v>0</v>
      </c>
      <c r="AB436" s="198">
        <f>Qty!AF201*'Hist. prices'!AB436*AB$244</f>
        <v>0</v>
      </c>
      <c r="AC436" s="206">
        <f t="shared" si="51"/>
        <v>0</v>
      </c>
      <c r="AD436" s="68"/>
      <c r="AE436" s="19"/>
      <c r="AF436" s="19"/>
      <c r="AG436" s="19"/>
      <c r="AH436" s="19"/>
    </row>
    <row r="437" spans="1:34" hidden="1" outlineLevel="2" x14ac:dyDescent="0.2">
      <c r="A437" s="19"/>
      <c r="B437" s="19"/>
      <c r="C437" s="506">
        <f t="shared" si="50"/>
        <v>0</v>
      </c>
      <c r="D437" s="505">
        <f t="shared" si="50"/>
        <v>0</v>
      </c>
      <c r="E437" s="505">
        <f t="shared" si="50"/>
        <v>0</v>
      </c>
      <c r="F437" s="505">
        <f t="shared" si="50"/>
        <v>0</v>
      </c>
      <c r="G437" s="505">
        <f t="shared" si="50"/>
        <v>0</v>
      </c>
      <c r="H437" s="58"/>
      <c r="I437" s="198">
        <f>Qty!M202*'Hist. prices'!I437*I$244</f>
        <v>0</v>
      </c>
      <c r="J437" s="198">
        <f>Qty!N202*'Hist. prices'!J437*J$244</f>
        <v>0</v>
      </c>
      <c r="K437" s="198">
        <f>Qty!O202*'Hist. prices'!K437*K$244</f>
        <v>0</v>
      </c>
      <c r="L437" s="198">
        <f>Qty!P202*'Hist. prices'!L437*L$244</f>
        <v>0</v>
      </c>
      <c r="M437" s="198">
        <f>Qty!Q202*'Hist. prices'!M437*M$244</f>
        <v>0</v>
      </c>
      <c r="N437" s="198">
        <f>Qty!R202*'Hist. prices'!N437*N$244</f>
        <v>0</v>
      </c>
      <c r="O437" s="198">
        <f>Qty!S202*'Hist. prices'!O437*O$244</f>
        <v>0</v>
      </c>
      <c r="P437" s="198">
        <f>Qty!T202*'Hist. prices'!P437*P$244</f>
        <v>0</v>
      </c>
      <c r="Q437" s="198">
        <f>Qty!U202*'Hist. prices'!Q437*Q$244</f>
        <v>0</v>
      </c>
      <c r="R437" s="198">
        <f>Qty!V202*'Hist. prices'!R437*R$244</f>
        <v>0</v>
      </c>
      <c r="S437" s="198">
        <f>Qty!W202*'Hist. prices'!S437*S$244</f>
        <v>0</v>
      </c>
      <c r="T437" s="198">
        <f>Qty!X202*'Hist. prices'!T437*T$244</f>
        <v>0</v>
      </c>
      <c r="U437" s="198">
        <f>Qty!Y202*'Hist. prices'!U437*U$244</f>
        <v>0</v>
      </c>
      <c r="V437" s="198">
        <f>Qty!Z202*'Hist. prices'!V437*V$244</f>
        <v>0</v>
      </c>
      <c r="W437" s="198">
        <f>Qty!AA202*'Hist. prices'!W437*W$244</f>
        <v>0</v>
      </c>
      <c r="X437" s="198">
        <f>Qty!AB202*'Hist. prices'!X437*X$244</f>
        <v>0</v>
      </c>
      <c r="Y437" s="198">
        <f>Qty!AC202*'Hist. prices'!Y437*Y$244</f>
        <v>0</v>
      </c>
      <c r="Z437" s="198">
        <f>Qty!AD202*'Hist. prices'!Z437*Z$244</f>
        <v>0</v>
      </c>
      <c r="AA437" s="198">
        <f>Qty!AE202*'Hist. prices'!AA437*AA$244</f>
        <v>0</v>
      </c>
      <c r="AB437" s="198">
        <f>Qty!AF202*'Hist. prices'!AB437*AB$244</f>
        <v>0</v>
      </c>
      <c r="AC437" s="206">
        <f t="shared" si="51"/>
        <v>0</v>
      </c>
      <c r="AD437" s="68"/>
      <c r="AE437" s="19"/>
      <c r="AF437" s="19"/>
      <c r="AG437" s="19"/>
      <c r="AH437" s="19"/>
    </row>
    <row r="438" spans="1:34" hidden="1" outlineLevel="2" x14ac:dyDescent="0.2">
      <c r="A438" s="19"/>
      <c r="B438" s="19"/>
      <c r="C438" s="506">
        <f t="shared" si="50"/>
        <v>0</v>
      </c>
      <c r="D438" s="505">
        <f t="shared" si="50"/>
        <v>0</v>
      </c>
      <c r="E438" s="505">
        <f t="shared" si="50"/>
        <v>0</v>
      </c>
      <c r="F438" s="505">
        <f t="shared" si="50"/>
        <v>0</v>
      </c>
      <c r="G438" s="505">
        <f t="shared" si="50"/>
        <v>0</v>
      </c>
      <c r="H438" s="58"/>
      <c r="I438" s="198">
        <f>Qty!M203*'Hist. prices'!I438*I$244</f>
        <v>0</v>
      </c>
      <c r="J438" s="198">
        <f>Qty!N203*'Hist. prices'!J438*J$244</f>
        <v>0</v>
      </c>
      <c r="K438" s="198">
        <f>Qty!O203*'Hist. prices'!K438*K$244</f>
        <v>0</v>
      </c>
      <c r="L438" s="198">
        <f>Qty!P203*'Hist. prices'!L438*L$244</f>
        <v>0</v>
      </c>
      <c r="M438" s="198">
        <f>Qty!Q203*'Hist. prices'!M438*M$244</f>
        <v>0</v>
      </c>
      <c r="N438" s="198">
        <f>Qty!R203*'Hist. prices'!N438*N$244</f>
        <v>0</v>
      </c>
      <c r="O438" s="198">
        <f>Qty!S203*'Hist. prices'!O438*O$244</f>
        <v>0</v>
      </c>
      <c r="P438" s="198">
        <f>Qty!T203*'Hist. prices'!P438*P$244</f>
        <v>0</v>
      </c>
      <c r="Q438" s="198">
        <f>Qty!U203*'Hist. prices'!Q438*Q$244</f>
        <v>0</v>
      </c>
      <c r="R438" s="198">
        <f>Qty!V203*'Hist. prices'!R438*R$244</f>
        <v>0</v>
      </c>
      <c r="S438" s="198">
        <f>Qty!W203*'Hist. prices'!S438*S$244</f>
        <v>0</v>
      </c>
      <c r="T438" s="198">
        <f>Qty!X203*'Hist. prices'!T438*T$244</f>
        <v>0</v>
      </c>
      <c r="U438" s="198">
        <f>Qty!Y203*'Hist. prices'!U438*U$244</f>
        <v>0</v>
      </c>
      <c r="V438" s="198">
        <f>Qty!Z203*'Hist. prices'!V438*V$244</f>
        <v>0</v>
      </c>
      <c r="W438" s="198">
        <f>Qty!AA203*'Hist. prices'!W438*W$244</f>
        <v>0</v>
      </c>
      <c r="X438" s="198">
        <f>Qty!AB203*'Hist. prices'!X438*X$244</f>
        <v>0</v>
      </c>
      <c r="Y438" s="198">
        <f>Qty!AC203*'Hist. prices'!Y438*Y$244</f>
        <v>0</v>
      </c>
      <c r="Z438" s="198">
        <f>Qty!AD203*'Hist. prices'!Z438*Z$244</f>
        <v>0</v>
      </c>
      <c r="AA438" s="198">
        <f>Qty!AE203*'Hist. prices'!AA438*AA$244</f>
        <v>0</v>
      </c>
      <c r="AB438" s="198">
        <f>Qty!AF203*'Hist. prices'!AB438*AB$244</f>
        <v>0</v>
      </c>
      <c r="AC438" s="206">
        <f t="shared" si="51"/>
        <v>0</v>
      </c>
      <c r="AD438" s="68"/>
      <c r="AE438" s="19"/>
      <c r="AF438" s="19"/>
      <c r="AG438" s="19"/>
      <c r="AH438" s="19"/>
    </row>
    <row r="439" spans="1:34" hidden="1" outlineLevel="2" x14ac:dyDescent="0.2">
      <c r="A439" s="19"/>
      <c r="B439" s="19"/>
      <c r="C439" s="506">
        <f t="shared" si="50"/>
        <v>0</v>
      </c>
      <c r="D439" s="505">
        <f t="shared" si="50"/>
        <v>0</v>
      </c>
      <c r="E439" s="505">
        <f t="shared" si="50"/>
        <v>0</v>
      </c>
      <c r="F439" s="505">
        <f t="shared" si="50"/>
        <v>0</v>
      </c>
      <c r="G439" s="505">
        <f t="shared" si="50"/>
        <v>0</v>
      </c>
      <c r="H439" s="58"/>
      <c r="I439" s="198">
        <f>Qty!M204*'Hist. prices'!I439*I$244</f>
        <v>0</v>
      </c>
      <c r="J439" s="198">
        <f>Qty!N204*'Hist. prices'!J439*J$244</f>
        <v>0</v>
      </c>
      <c r="K439" s="198">
        <f>Qty!O204*'Hist. prices'!K439*K$244</f>
        <v>0</v>
      </c>
      <c r="L439" s="198">
        <f>Qty!P204*'Hist. prices'!L439*L$244</f>
        <v>0</v>
      </c>
      <c r="M439" s="198">
        <f>Qty!Q204*'Hist. prices'!M439*M$244</f>
        <v>0</v>
      </c>
      <c r="N439" s="198">
        <f>Qty!R204*'Hist. prices'!N439*N$244</f>
        <v>0</v>
      </c>
      <c r="O439" s="198">
        <f>Qty!S204*'Hist. prices'!O439*O$244</f>
        <v>0</v>
      </c>
      <c r="P439" s="198">
        <f>Qty!T204*'Hist. prices'!P439*P$244</f>
        <v>0</v>
      </c>
      <c r="Q439" s="198">
        <f>Qty!U204*'Hist. prices'!Q439*Q$244</f>
        <v>0</v>
      </c>
      <c r="R439" s="198">
        <f>Qty!V204*'Hist. prices'!R439*R$244</f>
        <v>0</v>
      </c>
      <c r="S439" s="198">
        <f>Qty!W204*'Hist. prices'!S439*S$244</f>
        <v>0</v>
      </c>
      <c r="T439" s="198">
        <f>Qty!X204*'Hist. prices'!T439*T$244</f>
        <v>0</v>
      </c>
      <c r="U439" s="198">
        <f>Qty!Y204*'Hist. prices'!U439*U$244</f>
        <v>0</v>
      </c>
      <c r="V439" s="198">
        <f>Qty!Z204*'Hist. prices'!V439*V$244</f>
        <v>0</v>
      </c>
      <c r="W439" s="198">
        <f>Qty!AA204*'Hist. prices'!W439*W$244</f>
        <v>0</v>
      </c>
      <c r="X439" s="198">
        <f>Qty!AB204*'Hist. prices'!X439*X$244</f>
        <v>0</v>
      </c>
      <c r="Y439" s="198">
        <f>Qty!AC204*'Hist. prices'!Y439*Y$244</f>
        <v>0</v>
      </c>
      <c r="Z439" s="198">
        <f>Qty!AD204*'Hist. prices'!Z439*Z$244</f>
        <v>0</v>
      </c>
      <c r="AA439" s="198">
        <f>Qty!AE204*'Hist. prices'!AA439*AA$244</f>
        <v>0</v>
      </c>
      <c r="AB439" s="198">
        <f>Qty!AF204*'Hist. prices'!AB439*AB$244</f>
        <v>0</v>
      </c>
      <c r="AC439" s="206">
        <f t="shared" si="51"/>
        <v>0</v>
      </c>
      <c r="AD439" s="68"/>
      <c r="AE439" s="19"/>
      <c r="AF439" s="19"/>
      <c r="AG439" s="19"/>
      <c r="AH439" s="19"/>
    </row>
    <row r="440" spans="1:34" hidden="1" outlineLevel="2" x14ac:dyDescent="0.2">
      <c r="A440" s="19"/>
      <c r="B440" s="19"/>
      <c r="C440" s="506">
        <f t="shared" si="50"/>
        <v>0</v>
      </c>
      <c r="D440" s="505">
        <f t="shared" si="50"/>
        <v>0</v>
      </c>
      <c r="E440" s="505">
        <f t="shared" si="50"/>
        <v>0</v>
      </c>
      <c r="F440" s="505">
        <f t="shared" si="50"/>
        <v>0</v>
      </c>
      <c r="G440" s="505">
        <f t="shared" si="50"/>
        <v>0</v>
      </c>
      <c r="H440" s="58"/>
      <c r="I440" s="198">
        <f>Qty!M205*'Hist. prices'!I440*I$244</f>
        <v>0</v>
      </c>
      <c r="J440" s="198">
        <f>Qty!N205*'Hist. prices'!J440*J$244</f>
        <v>0</v>
      </c>
      <c r="K440" s="198">
        <f>Qty!O205*'Hist. prices'!K440*K$244</f>
        <v>0</v>
      </c>
      <c r="L440" s="198">
        <f>Qty!P205*'Hist. prices'!L440*L$244</f>
        <v>0</v>
      </c>
      <c r="M440" s="198">
        <f>Qty!Q205*'Hist. prices'!M440*M$244</f>
        <v>0</v>
      </c>
      <c r="N440" s="198">
        <f>Qty!R205*'Hist. prices'!N440*N$244</f>
        <v>0</v>
      </c>
      <c r="O440" s="198">
        <f>Qty!S205*'Hist. prices'!O440*O$244</f>
        <v>0</v>
      </c>
      <c r="P440" s="198">
        <f>Qty!T205*'Hist. prices'!P440*P$244</f>
        <v>0</v>
      </c>
      <c r="Q440" s="198">
        <f>Qty!U205*'Hist. prices'!Q440*Q$244</f>
        <v>0</v>
      </c>
      <c r="R440" s="198">
        <f>Qty!V205*'Hist. prices'!R440*R$244</f>
        <v>0</v>
      </c>
      <c r="S440" s="198">
        <f>Qty!W205*'Hist. prices'!S440*S$244</f>
        <v>0</v>
      </c>
      <c r="T440" s="198">
        <f>Qty!X205*'Hist. prices'!T440*T$244</f>
        <v>0</v>
      </c>
      <c r="U440" s="198">
        <f>Qty!Y205*'Hist. prices'!U440*U$244</f>
        <v>0</v>
      </c>
      <c r="V440" s="198">
        <f>Qty!Z205*'Hist. prices'!V440*V$244</f>
        <v>0</v>
      </c>
      <c r="W440" s="198">
        <f>Qty!AA205*'Hist. prices'!W440*W$244</f>
        <v>0</v>
      </c>
      <c r="X440" s="198">
        <f>Qty!AB205*'Hist. prices'!X440*X$244</f>
        <v>0</v>
      </c>
      <c r="Y440" s="198">
        <f>Qty!AC205*'Hist. prices'!Y440*Y$244</f>
        <v>0</v>
      </c>
      <c r="Z440" s="198">
        <f>Qty!AD205*'Hist. prices'!Z440*Z$244</f>
        <v>0</v>
      </c>
      <c r="AA440" s="198">
        <f>Qty!AE205*'Hist. prices'!AA440*AA$244</f>
        <v>0</v>
      </c>
      <c r="AB440" s="198">
        <f>Qty!AF205*'Hist. prices'!AB440*AB$244</f>
        <v>0</v>
      </c>
      <c r="AC440" s="206">
        <f t="shared" si="51"/>
        <v>0</v>
      </c>
      <c r="AD440" s="68"/>
      <c r="AE440" s="19"/>
      <c r="AF440" s="19"/>
      <c r="AG440" s="19"/>
      <c r="AH440" s="19"/>
    </row>
    <row r="441" spans="1:34" hidden="1" outlineLevel="2" x14ac:dyDescent="0.2">
      <c r="A441" s="19"/>
      <c r="B441" s="19"/>
      <c r="C441" s="506">
        <f t="shared" ref="C441:G450" si="52">C285</f>
        <v>0</v>
      </c>
      <c r="D441" s="505">
        <f t="shared" si="52"/>
        <v>0</v>
      </c>
      <c r="E441" s="505">
        <f t="shared" si="52"/>
        <v>0</v>
      </c>
      <c r="F441" s="505">
        <f t="shared" si="52"/>
        <v>0</v>
      </c>
      <c r="G441" s="505">
        <f t="shared" si="52"/>
        <v>0</v>
      </c>
      <c r="H441" s="58"/>
      <c r="I441" s="198">
        <f>Qty!M206*'Hist. prices'!I441*I$244</f>
        <v>0</v>
      </c>
      <c r="J441" s="198">
        <f>Qty!N206*'Hist. prices'!J441*J$244</f>
        <v>0</v>
      </c>
      <c r="K441" s="198">
        <f>Qty!O206*'Hist. prices'!K441*K$244</f>
        <v>0</v>
      </c>
      <c r="L441" s="198">
        <f>Qty!P206*'Hist. prices'!L441*L$244</f>
        <v>0</v>
      </c>
      <c r="M441" s="198">
        <f>Qty!Q206*'Hist. prices'!M441*M$244</f>
        <v>0</v>
      </c>
      <c r="N441" s="198">
        <f>Qty!R206*'Hist. prices'!N441*N$244</f>
        <v>0</v>
      </c>
      <c r="O441" s="198">
        <f>Qty!S206*'Hist. prices'!O441*O$244</f>
        <v>0</v>
      </c>
      <c r="P441" s="198">
        <f>Qty!T206*'Hist. prices'!P441*P$244</f>
        <v>0</v>
      </c>
      <c r="Q441" s="198">
        <f>Qty!U206*'Hist. prices'!Q441*Q$244</f>
        <v>0</v>
      </c>
      <c r="R441" s="198">
        <f>Qty!V206*'Hist. prices'!R441*R$244</f>
        <v>0</v>
      </c>
      <c r="S441" s="198">
        <f>Qty!W206*'Hist. prices'!S441*S$244</f>
        <v>0</v>
      </c>
      <c r="T441" s="198">
        <f>Qty!X206*'Hist. prices'!T441*T$244</f>
        <v>0</v>
      </c>
      <c r="U441" s="198">
        <f>Qty!Y206*'Hist. prices'!U441*U$244</f>
        <v>0</v>
      </c>
      <c r="V441" s="198">
        <f>Qty!Z206*'Hist. prices'!V441*V$244</f>
        <v>0</v>
      </c>
      <c r="W441" s="198">
        <f>Qty!AA206*'Hist. prices'!W441*W$244</f>
        <v>0</v>
      </c>
      <c r="X441" s="198">
        <f>Qty!AB206*'Hist. prices'!X441*X$244</f>
        <v>0</v>
      </c>
      <c r="Y441" s="198">
        <f>Qty!AC206*'Hist. prices'!Y441*Y$244</f>
        <v>0</v>
      </c>
      <c r="Z441" s="198">
        <f>Qty!AD206*'Hist. prices'!Z441*Z$244</f>
        <v>0</v>
      </c>
      <c r="AA441" s="198">
        <f>Qty!AE206*'Hist. prices'!AA441*AA$244</f>
        <v>0</v>
      </c>
      <c r="AB441" s="198">
        <f>Qty!AF206*'Hist. prices'!AB441*AB$244</f>
        <v>0</v>
      </c>
      <c r="AC441" s="206">
        <f t="shared" si="51"/>
        <v>0</v>
      </c>
      <c r="AD441" s="68"/>
      <c r="AE441" s="19"/>
      <c r="AF441" s="19"/>
      <c r="AG441" s="19"/>
      <c r="AH441" s="19"/>
    </row>
    <row r="442" spans="1:34" hidden="1" outlineLevel="2" x14ac:dyDescent="0.2">
      <c r="A442" s="19"/>
      <c r="B442" s="19"/>
      <c r="C442" s="506">
        <f t="shared" si="52"/>
        <v>0</v>
      </c>
      <c r="D442" s="505">
        <f t="shared" si="52"/>
        <v>0</v>
      </c>
      <c r="E442" s="505">
        <f t="shared" si="52"/>
        <v>0</v>
      </c>
      <c r="F442" s="505">
        <f t="shared" si="52"/>
        <v>0</v>
      </c>
      <c r="G442" s="505">
        <f t="shared" si="52"/>
        <v>0</v>
      </c>
      <c r="H442" s="58"/>
      <c r="I442" s="198">
        <f>Qty!M207*'Hist. prices'!I442*I$244</f>
        <v>0</v>
      </c>
      <c r="J442" s="198">
        <f>Qty!N207*'Hist. prices'!J442*J$244</f>
        <v>0</v>
      </c>
      <c r="K442" s="198">
        <f>Qty!O207*'Hist. prices'!K442*K$244</f>
        <v>0</v>
      </c>
      <c r="L442" s="198">
        <f>Qty!P207*'Hist. prices'!L442*L$244</f>
        <v>0</v>
      </c>
      <c r="M442" s="198">
        <f>Qty!Q207*'Hist. prices'!M442*M$244</f>
        <v>0</v>
      </c>
      <c r="N442" s="198">
        <f>Qty!R207*'Hist. prices'!N442*N$244</f>
        <v>0</v>
      </c>
      <c r="O442" s="198">
        <f>Qty!S207*'Hist. prices'!O442*O$244</f>
        <v>0</v>
      </c>
      <c r="P442" s="198">
        <f>Qty!T207*'Hist. prices'!P442*P$244</f>
        <v>0</v>
      </c>
      <c r="Q442" s="198">
        <f>Qty!U207*'Hist. prices'!Q442*Q$244</f>
        <v>0</v>
      </c>
      <c r="R442" s="198">
        <f>Qty!V207*'Hist. prices'!R442*R$244</f>
        <v>0</v>
      </c>
      <c r="S442" s="198">
        <f>Qty!W207*'Hist. prices'!S442*S$244</f>
        <v>0</v>
      </c>
      <c r="T442" s="198">
        <f>Qty!X207*'Hist. prices'!T442*T$244</f>
        <v>0</v>
      </c>
      <c r="U442" s="198">
        <f>Qty!Y207*'Hist. prices'!U442*U$244</f>
        <v>0</v>
      </c>
      <c r="V442" s="198">
        <f>Qty!Z207*'Hist. prices'!V442*V$244</f>
        <v>0</v>
      </c>
      <c r="W442" s="198">
        <f>Qty!AA207*'Hist. prices'!W442*W$244</f>
        <v>0</v>
      </c>
      <c r="X442" s="198">
        <f>Qty!AB207*'Hist. prices'!X442*X$244</f>
        <v>0</v>
      </c>
      <c r="Y442" s="198">
        <f>Qty!AC207*'Hist. prices'!Y442*Y$244</f>
        <v>0</v>
      </c>
      <c r="Z442" s="198">
        <f>Qty!AD207*'Hist. prices'!Z442*Z$244</f>
        <v>0</v>
      </c>
      <c r="AA442" s="198">
        <f>Qty!AE207*'Hist. prices'!AA442*AA$244</f>
        <v>0</v>
      </c>
      <c r="AB442" s="198">
        <f>Qty!AF207*'Hist. prices'!AB442*AB$244</f>
        <v>0</v>
      </c>
      <c r="AC442" s="206">
        <f t="shared" si="51"/>
        <v>0</v>
      </c>
      <c r="AD442" s="68"/>
      <c r="AE442" s="19"/>
      <c r="AF442" s="19"/>
      <c r="AG442" s="19"/>
      <c r="AH442" s="19"/>
    </row>
    <row r="443" spans="1:34" hidden="1" outlineLevel="2" x14ac:dyDescent="0.2">
      <c r="A443" s="19"/>
      <c r="B443" s="19"/>
      <c r="C443" s="506">
        <f t="shared" si="52"/>
        <v>0</v>
      </c>
      <c r="D443" s="505">
        <f t="shared" si="52"/>
        <v>0</v>
      </c>
      <c r="E443" s="505">
        <f t="shared" si="52"/>
        <v>0</v>
      </c>
      <c r="F443" s="505">
        <f t="shared" si="52"/>
        <v>0</v>
      </c>
      <c r="G443" s="505">
        <f t="shared" si="52"/>
        <v>0</v>
      </c>
      <c r="H443" s="58"/>
      <c r="I443" s="198">
        <f>Qty!M208*'Hist. prices'!I443*I$244</f>
        <v>0</v>
      </c>
      <c r="J443" s="198">
        <f>Qty!N208*'Hist. prices'!J443*J$244</f>
        <v>0</v>
      </c>
      <c r="K443" s="198">
        <f>Qty!O208*'Hist. prices'!K443*K$244</f>
        <v>0</v>
      </c>
      <c r="L443" s="198">
        <f>Qty!P208*'Hist. prices'!L443*L$244</f>
        <v>0</v>
      </c>
      <c r="M443" s="198">
        <f>Qty!Q208*'Hist. prices'!M443*M$244</f>
        <v>0</v>
      </c>
      <c r="N443" s="198">
        <f>Qty!R208*'Hist. prices'!N443*N$244</f>
        <v>0</v>
      </c>
      <c r="O443" s="198">
        <f>Qty!S208*'Hist. prices'!O443*O$244</f>
        <v>0</v>
      </c>
      <c r="P443" s="198">
        <f>Qty!T208*'Hist. prices'!P443*P$244</f>
        <v>0</v>
      </c>
      <c r="Q443" s="198">
        <f>Qty!U208*'Hist. prices'!Q443*Q$244</f>
        <v>0</v>
      </c>
      <c r="R443" s="198">
        <f>Qty!V208*'Hist. prices'!R443*R$244</f>
        <v>0</v>
      </c>
      <c r="S443" s="198">
        <f>Qty!W208*'Hist. prices'!S443*S$244</f>
        <v>0</v>
      </c>
      <c r="T443" s="198">
        <f>Qty!X208*'Hist. prices'!T443*T$244</f>
        <v>0</v>
      </c>
      <c r="U443" s="198">
        <f>Qty!Y208*'Hist. prices'!U443*U$244</f>
        <v>0</v>
      </c>
      <c r="V443" s="198">
        <f>Qty!Z208*'Hist. prices'!V443*V$244</f>
        <v>0</v>
      </c>
      <c r="W443" s="198">
        <f>Qty!AA208*'Hist. prices'!W443*W$244</f>
        <v>0</v>
      </c>
      <c r="X443" s="198">
        <f>Qty!AB208*'Hist. prices'!X443*X$244</f>
        <v>0</v>
      </c>
      <c r="Y443" s="198">
        <f>Qty!AC208*'Hist. prices'!Y443*Y$244</f>
        <v>0</v>
      </c>
      <c r="Z443" s="198">
        <f>Qty!AD208*'Hist. prices'!Z443*Z$244</f>
        <v>0</v>
      </c>
      <c r="AA443" s="198">
        <f>Qty!AE208*'Hist. prices'!AA443*AA$244</f>
        <v>0</v>
      </c>
      <c r="AB443" s="198">
        <f>Qty!AF208*'Hist. prices'!AB443*AB$244</f>
        <v>0</v>
      </c>
      <c r="AC443" s="206">
        <f t="shared" si="51"/>
        <v>0</v>
      </c>
      <c r="AD443" s="68"/>
      <c r="AE443" s="19"/>
      <c r="AF443" s="19"/>
      <c r="AG443" s="19"/>
      <c r="AH443" s="19"/>
    </row>
    <row r="444" spans="1:34" hidden="1" outlineLevel="2" x14ac:dyDescent="0.2">
      <c r="A444" s="19"/>
      <c r="B444" s="19"/>
      <c r="C444" s="506">
        <f t="shared" si="52"/>
        <v>0</v>
      </c>
      <c r="D444" s="505">
        <f t="shared" si="52"/>
        <v>0</v>
      </c>
      <c r="E444" s="505">
        <f t="shared" si="52"/>
        <v>0</v>
      </c>
      <c r="F444" s="505">
        <f t="shared" si="52"/>
        <v>0</v>
      </c>
      <c r="G444" s="505">
        <f t="shared" si="52"/>
        <v>0</v>
      </c>
      <c r="H444" s="58"/>
      <c r="I444" s="198">
        <f>Qty!M209*'Hist. prices'!I444*I$244</f>
        <v>0</v>
      </c>
      <c r="J444" s="198">
        <f>Qty!N209*'Hist. prices'!J444*J$244</f>
        <v>0</v>
      </c>
      <c r="K444" s="198">
        <f>Qty!O209*'Hist. prices'!K444*K$244</f>
        <v>0</v>
      </c>
      <c r="L444" s="198">
        <f>Qty!P209*'Hist. prices'!L444*L$244</f>
        <v>0</v>
      </c>
      <c r="M444" s="198">
        <f>Qty!Q209*'Hist. prices'!M444*M$244</f>
        <v>0</v>
      </c>
      <c r="N444" s="198">
        <f>Qty!R209*'Hist. prices'!N444*N$244</f>
        <v>0</v>
      </c>
      <c r="O444" s="198">
        <f>Qty!S209*'Hist. prices'!O444*O$244</f>
        <v>0</v>
      </c>
      <c r="P444" s="198">
        <f>Qty!T209*'Hist. prices'!P444*P$244</f>
        <v>0</v>
      </c>
      <c r="Q444" s="198">
        <f>Qty!U209*'Hist. prices'!Q444*Q$244</f>
        <v>0</v>
      </c>
      <c r="R444" s="198">
        <f>Qty!V209*'Hist. prices'!R444*R$244</f>
        <v>0</v>
      </c>
      <c r="S444" s="198">
        <f>Qty!W209*'Hist. prices'!S444*S$244</f>
        <v>0</v>
      </c>
      <c r="T444" s="198">
        <f>Qty!X209*'Hist. prices'!T444*T$244</f>
        <v>0</v>
      </c>
      <c r="U444" s="198">
        <f>Qty!Y209*'Hist. prices'!U444*U$244</f>
        <v>0</v>
      </c>
      <c r="V444" s="198">
        <f>Qty!Z209*'Hist. prices'!V444*V$244</f>
        <v>0</v>
      </c>
      <c r="W444" s="198">
        <f>Qty!AA209*'Hist. prices'!W444*W$244</f>
        <v>0</v>
      </c>
      <c r="X444" s="198">
        <f>Qty!AB209*'Hist. prices'!X444*X$244</f>
        <v>0</v>
      </c>
      <c r="Y444" s="198">
        <f>Qty!AC209*'Hist. prices'!Y444*Y$244</f>
        <v>0</v>
      </c>
      <c r="Z444" s="198">
        <f>Qty!AD209*'Hist. prices'!Z444*Z$244</f>
        <v>0</v>
      </c>
      <c r="AA444" s="198">
        <f>Qty!AE209*'Hist. prices'!AA444*AA$244</f>
        <v>0</v>
      </c>
      <c r="AB444" s="198">
        <f>Qty!AF209*'Hist. prices'!AB444*AB$244</f>
        <v>0</v>
      </c>
      <c r="AC444" s="206">
        <f t="shared" si="51"/>
        <v>0</v>
      </c>
      <c r="AD444" s="68"/>
      <c r="AE444" s="19"/>
      <c r="AF444" s="19"/>
      <c r="AG444" s="19"/>
      <c r="AH444" s="19"/>
    </row>
    <row r="445" spans="1:34" hidden="1" outlineLevel="2" x14ac:dyDescent="0.2">
      <c r="A445" s="19"/>
      <c r="B445" s="19"/>
      <c r="C445" s="506">
        <f t="shared" si="52"/>
        <v>0</v>
      </c>
      <c r="D445" s="505">
        <f t="shared" si="52"/>
        <v>0</v>
      </c>
      <c r="E445" s="505">
        <f t="shared" si="52"/>
        <v>0</v>
      </c>
      <c r="F445" s="505">
        <f t="shared" si="52"/>
        <v>0</v>
      </c>
      <c r="G445" s="505">
        <f t="shared" si="52"/>
        <v>0</v>
      </c>
      <c r="H445" s="58"/>
      <c r="I445" s="198">
        <f>Qty!M210*'Hist. prices'!I445*I$244</f>
        <v>0</v>
      </c>
      <c r="J445" s="198">
        <f>Qty!N210*'Hist. prices'!J445*J$244</f>
        <v>0</v>
      </c>
      <c r="K445" s="198">
        <f>Qty!O210*'Hist. prices'!K445*K$244</f>
        <v>0</v>
      </c>
      <c r="L445" s="198">
        <f>Qty!P210*'Hist. prices'!L445*L$244</f>
        <v>0</v>
      </c>
      <c r="M445" s="198">
        <f>Qty!Q210*'Hist. prices'!M445*M$244</f>
        <v>0</v>
      </c>
      <c r="N445" s="198">
        <f>Qty!R210*'Hist. prices'!N445*N$244</f>
        <v>0</v>
      </c>
      <c r="O445" s="198">
        <f>Qty!S210*'Hist. prices'!O445*O$244</f>
        <v>0</v>
      </c>
      <c r="P445" s="198">
        <f>Qty!T210*'Hist. prices'!P445*P$244</f>
        <v>0</v>
      </c>
      <c r="Q445" s="198">
        <f>Qty!U210*'Hist. prices'!Q445*Q$244</f>
        <v>0</v>
      </c>
      <c r="R445" s="198">
        <f>Qty!V210*'Hist. prices'!R445*R$244</f>
        <v>0</v>
      </c>
      <c r="S445" s="198">
        <f>Qty!W210*'Hist. prices'!S445*S$244</f>
        <v>0</v>
      </c>
      <c r="T445" s="198">
        <f>Qty!X210*'Hist. prices'!T445*T$244</f>
        <v>0</v>
      </c>
      <c r="U445" s="198">
        <f>Qty!Y210*'Hist. prices'!U445*U$244</f>
        <v>0</v>
      </c>
      <c r="V445" s="198">
        <f>Qty!Z210*'Hist. prices'!V445*V$244</f>
        <v>0</v>
      </c>
      <c r="W445" s="198">
        <f>Qty!AA210*'Hist. prices'!W445*W$244</f>
        <v>0</v>
      </c>
      <c r="X445" s="198">
        <f>Qty!AB210*'Hist. prices'!X445*X$244</f>
        <v>0</v>
      </c>
      <c r="Y445" s="198">
        <f>Qty!AC210*'Hist. prices'!Y445*Y$244</f>
        <v>0</v>
      </c>
      <c r="Z445" s="198">
        <f>Qty!AD210*'Hist. prices'!Z445*Z$244</f>
        <v>0</v>
      </c>
      <c r="AA445" s="198">
        <f>Qty!AE210*'Hist. prices'!AA445*AA$244</f>
        <v>0</v>
      </c>
      <c r="AB445" s="198">
        <f>Qty!AF210*'Hist. prices'!AB445*AB$244</f>
        <v>0</v>
      </c>
      <c r="AC445" s="206">
        <f t="shared" si="51"/>
        <v>0</v>
      </c>
      <c r="AD445" s="68"/>
      <c r="AE445" s="19"/>
      <c r="AF445" s="19"/>
      <c r="AG445" s="19"/>
      <c r="AH445" s="19"/>
    </row>
    <row r="446" spans="1:34" hidden="1" outlineLevel="2" x14ac:dyDescent="0.2">
      <c r="A446" s="19"/>
      <c r="B446" s="19"/>
      <c r="C446" s="506">
        <f t="shared" si="52"/>
        <v>0</v>
      </c>
      <c r="D446" s="505">
        <f t="shared" si="52"/>
        <v>0</v>
      </c>
      <c r="E446" s="505">
        <f t="shared" si="52"/>
        <v>0</v>
      </c>
      <c r="F446" s="505">
        <f t="shared" si="52"/>
        <v>0</v>
      </c>
      <c r="G446" s="505">
        <f t="shared" si="52"/>
        <v>0</v>
      </c>
      <c r="H446" s="58"/>
      <c r="I446" s="198">
        <f>Qty!M211*'Hist. prices'!I446*I$244</f>
        <v>0</v>
      </c>
      <c r="J446" s="198">
        <f>Qty!N211*'Hist. prices'!J446*J$244</f>
        <v>0</v>
      </c>
      <c r="K446" s="198">
        <f>Qty!O211*'Hist. prices'!K446*K$244</f>
        <v>0</v>
      </c>
      <c r="L446" s="198">
        <f>Qty!P211*'Hist. prices'!L446*L$244</f>
        <v>0</v>
      </c>
      <c r="M446" s="198">
        <f>Qty!Q211*'Hist. prices'!M446*M$244</f>
        <v>0</v>
      </c>
      <c r="N446" s="198">
        <f>Qty!R211*'Hist. prices'!N446*N$244</f>
        <v>0</v>
      </c>
      <c r="O446" s="198">
        <f>Qty!S211*'Hist. prices'!O446*O$244</f>
        <v>0</v>
      </c>
      <c r="P446" s="198">
        <f>Qty!T211*'Hist. prices'!P446*P$244</f>
        <v>0</v>
      </c>
      <c r="Q446" s="198">
        <f>Qty!U211*'Hist. prices'!Q446*Q$244</f>
        <v>0</v>
      </c>
      <c r="R446" s="198">
        <f>Qty!V211*'Hist. prices'!R446*R$244</f>
        <v>0</v>
      </c>
      <c r="S446" s="198">
        <f>Qty!W211*'Hist. prices'!S446*S$244</f>
        <v>0</v>
      </c>
      <c r="T446" s="198">
        <f>Qty!X211*'Hist. prices'!T446*T$244</f>
        <v>0</v>
      </c>
      <c r="U446" s="198">
        <f>Qty!Y211*'Hist. prices'!U446*U$244</f>
        <v>0</v>
      </c>
      <c r="V446" s="198">
        <f>Qty!Z211*'Hist. prices'!V446*V$244</f>
        <v>0</v>
      </c>
      <c r="W446" s="198">
        <f>Qty!AA211*'Hist. prices'!W446*W$244</f>
        <v>0</v>
      </c>
      <c r="X446" s="198">
        <f>Qty!AB211*'Hist. prices'!X446*X$244</f>
        <v>0</v>
      </c>
      <c r="Y446" s="198">
        <f>Qty!AC211*'Hist. prices'!Y446*Y$244</f>
        <v>0</v>
      </c>
      <c r="Z446" s="198">
        <f>Qty!AD211*'Hist. prices'!Z446*Z$244</f>
        <v>0</v>
      </c>
      <c r="AA446" s="198">
        <f>Qty!AE211*'Hist. prices'!AA446*AA$244</f>
        <v>0</v>
      </c>
      <c r="AB446" s="198">
        <f>Qty!AF211*'Hist. prices'!AB446*AB$244</f>
        <v>0</v>
      </c>
      <c r="AC446" s="206">
        <f t="shared" si="51"/>
        <v>0</v>
      </c>
      <c r="AD446" s="68"/>
      <c r="AE446" s="19"/>
      <c r="AF446" s="19"/>
      <c r="AG446" s="19"/>
      <c r="AH446" s="19"/>
    </row>
    <row r="447" spans="1:34" hidden="1" outlineLevel="2" x14ac:dyDescent="0.2">
      <c r="A447" s="19"/>
      <c r="B447" s="19"/>
      <c r="C447" s="506">
        <f t="shared" si="52"/>
        <v>0</v>
      </c>
      <c r="D447" s="505">
        <f t="shared" si="52"/>
        <v>0</v>
      </c>
      <c r="E447" s="505">
        <f t="shared" si="52"/>
        <v>0</v>
      </c>
      <c r="F447" s="505">
        <f t="shared" si="52"/>
        <v>0</v>
      </c>
      <c r="G447" s="505">
        <f t="shared" si="52"/>
        <v>0</v>
      </c>
      <c r="H447" s="58"/>
      <c r="I447" s="198">
        <f>Qty!M212*'Hist. prices'!I447*I$244</f>
        <v>0</v>
      </c>
      <c r="J447" s="198">
        <f>Qty!N212*'Hist. prices'!J447*J$244</f>
        <v>0</v>
      </c>
      <c r="K447" s="198">
        <f>Qty!O212*'Hist. prices'!K447*K$244</f>
        <v>0</v>
      </c>
      <c r="L447" s="198">
        <f>Qty!P212*'Hist. prices'!L447*L$244</f>
        <v>0</v>
      </c>
      <c r="M447" s="198">
        <f>Qty!Q212*'Hist. prices'!M447*M$244</f>
        <v>0</v>
      </c>
      <c r="N447" s="198">
        <f>Qty!R212*'Hist. prices'!N447*N$244</f>
        <v>0</v>
      </c>
      <c r="O447" s="198">
        <f>Qty!S212*'Hist. prices'!O447*O$244</f>
        <v>0</v>
      </c>
      <c r="P447" s="198">
        <f>Qty!T212*'Hist. prices'!P447*P$244</f>
        <v>0</v>
      </c>
      <c r="Q447" s="198">
        <f>Qty!U212*'Hist. prices'!Q447*Q$244</f>
        <v>0</v>
      </c>
      <c r="R447" s="198">
        <f>Qty!V212*'Hist. prices'!R447*R$244</f>
        <v>0</v>
      </c>
      <c r="S447" s="198">
        <f>Qty!W212*'Hist. prices'!S447*S$244</f>
        <v>0</v>
      </c>
      <c r="T447" s="198">
        <f>Qty!X212*'Hist. prices'!T447*T$244</f>
        <v>0</v>
      </c>
      <c r="U447" s="198">
        <f>Qty!Y212*'Hist. prices'!U447*U$244</f>
        <v>0</v>
      </c>
      <c r="V447" s="198">
        <f>Qty!Z212*'Hist. prices'!V447*V$244</f>
        <v>0</v>
      </c>
      <c r="W447" s="198">
        <f>Qty!AA212*'Hist. prices'!W447*W$244</f>
        <v>0</v>
      </c>
      <c r="X447" s="198">
        <f>Qty!AB212*'Hist. prices'!X447*X$244</f>
        <v>0</v>
      </c>
      <c r="Y447" s="198">
        <f>Qty!AC212*'Hist. prices'!Y447*Y$244</f>
        <v>0</v>
      </c>
      <c r="Z447" s="198">
        <f>Qty!AD212*'Hist. prices'!Z447*Z$244</f>
        <v>0</v>
      </c>
      <c r="AA447" s="198">
        <f>Qty!AE212*'Hist. prices'!AA447*AA$244</f>
        <v>0</v>
      </c>
      <c r="AB447" s="198">
        <f>Qty!AF212*'Hist. prices'!AB447*AB$244</f>
        <v>0</v>
      </c>
      <c r="AC447" s="206">
        <f t="shared" si="51"/>
        <v>0</v>
      </c>
      <c r="AD447" s="68"/>
      <c r="AE447" s="19"/>
      <c r="AF447" s="19"/>
      <c r="AG447" s="19"/>
      <c r="AH447" s="19"/>
    </row>
    <row r="448" spans="1:34" hidden="1" outlineLevel="3" x14ac:dyDescent="0.2">
      <c r="A448" s="19"/>
      <c r="B448" s="19"/>
      <c r="C448" s="506">
        <f t="shared" si="52"/>
        <v>0</v>
      </c>
      <c r="D448" s="505">
        <f t="shared" si="52"/>
        <v>0</v>
      </c>
      <c r="E448" s="505">
        <f t="shared" si="52"/>
        <v>0</v>
      </c>
      <c r="F448" s="505">
        <f t="shared" si="52"/>
        <v>0</v>
      </c>
      <c r="G448" s="505">
        <f t="shared" si="52"/>
        <v>0</v>
      </c>
      <c r="H448" s="58"/>
      <c r="I448" s="198">
        <f>Qty!M213*'Hist. prices'!I448*I$244</f>
        <v>0</v>
      </c>
      <c r="J448" s="198">
        <f>Qty!N213*'Hist. prices'!J448*J$244</f>
        <v>0</v>
      </c>
      <c r="K448" s="198">
        <f>Qty!O213*'Hist. prices'!K448*K$244</f>
        <v>0</v>
      </c>
      <c r="L448" s="198">
        <f>Qty!P213*'Hist. prices'!L448*L$244</f>
        <v>0</v>
      </c>
      <c r="M448" s="198">
        <f>Qty!Q213*'Hist. prices'!M448*M$244</f>
        <v>0</v>
      </c>
      <c r="N448" s="198">
        <f>Qty!R213*'Hist. prices'!N448*N$244</f>
        <v>0</v>
      </c>
      <c r="O448" s="198">
        <f>Qty!S213*'Hist. prices'!O448*O$244</f>
        <v>0</v>
      </c>
      <c r="P448" s="198">
        <f>Qty!T213*'Hist. prices'!P448*P$244</f>
        <v>0</v>
      </c>
      <c r="Q448" s="198">
        <f>Qty!U213*'Hist. prices'!Q448*Q$244</f>
        <v>0</v>
      </c>
      <c r="R448" s="198">
        <f>Qty!V213*'Hist. prices'!R448*R$244</f>
        <v>0</v>
      </c>
      <c r="S448" s="198">
        <f>Qty!W213*'Hist. prices'!S448*S$244</f>
        <v>0</v>
      </c>
      <c r="T448" s="198">
        <f>Qty!X213*'Hist. prices'!T448*T$244</f>
        <v>0</v>
      </c>
      <c r="U448" s="198">
        <f>Qty!Y213*'Hist. prices'!U448*U$244</f>
        <v>0</v>
      </c>
      <c r="V448" s="198">
        <f>Qty!Z213*'Hist. prices'!V448*V$244</f>
        <v>0</v>
      </c>
      <c r="W448" s="198">
        <f>Qty!AA213*'Hist. prices'!W448*W$244</f>
        <v>0</v>
      </c>
      <c r="X448" s="198">
        <f>Qty!AB213*'Hist. prices'!X448*X$244</f>
        <v>0</v>
      </c>
      <c r="Y448" s="198">
        <f>Qty!AC213*'Hist. prices'!Y448*Y$244</f>
        <v>0</v>
      </c>
      <c r="Z448" s="198">
        <f>Qty!AD213*'Hist. prices'!Z448*Z$244</f>
        <v>0</v>
      </c>
      <c r="AA448" s="198">
        <f>Qty!AE213*'Hist. prices'!AA448*AA$244</f>
        <v>0</v>
      </c>
      <c r="AB448" s="198">
        <f>Qty!AF213*'Hist. prices'!AB448*AB$244</f>
        <v>0</v>
      </c>
      <c r="AC448" s="206">
        <f t="shared" si="51"/>
        <v>0</v>
      </c>
      <c r="AD448" s="68"/>
      <c r="AE448" s="19"/>
      <c r="AF448" s="19"/>
      <c r="AG448" s="19"/>
      <c r="AH448" s="19"/>
    </row>
    <row r="449" spans="1:34" hidden="1" outlineLevel="3" x14ac:dyDescent="0.2">
      <c r="A449" s="19"/>
      <c r="B449" s="19"/>
      <c r="C449" s="506">
        <f t="shared" si="52"/>
        <v>0</v>
      </c>
      <c r="D449" s="505">
        <f t="shared" si="52"/>
        <v>0</v>
      </c>
      <c r="E449" s="505">
        <f t="shared" si="52"/>
        <v>0</v>
      </c>
      <c r="F449" s="505">
        <f t="shared" si="52"/>
        <v>0</v>
      </c>
      <c r="G449" s="505">
        <f t="shared" si="52"/>
        <v>0</v>
      </c>
      <c r="H449" s="58"/>
      <c r="I449" s="198">
        <f>Qty!M214*'Hist. prices'!I449*I$244</f>
        <v>0</v>
      </c>
      <c r="J449" s="198">
        <f>Qty!N214*'Hist. prices'!J449*J$244</f>
        <v>0</v>
      </c>
      <c r="K449" s="198">
        <f>Qty!O214*'Hist. prices'!K449*K$244</f>
        <v>0</v>
      </c>
      <c r="L449" s="198">
        <f>Qty!P214*'Hist. prices'!L449*L$244</f>
        <v>0</v>
      </c>
      <c r="M449" s="198">
        <f>Qty!Q214*'Hist. prices'!M449*M$244</f>
        <v>0</v>
      </c>
      <c r="N449" s="198">
        <f>Qty!R214*'Hist. prices'!N449*N$244</f>
        <v>0</v>
      </c>
      <c r="O449" s="198">
        <f>Qty!S214*'Hist. prices'!O449*O$244</f>
        <v>0</v>
      </c>
      <c r="P449" s="198">
        <f>Qty!T214*'Hist. prices'!P449*P$244</f>
        <v>0</v>
      </c>
      <c r="Q449" s="198">
        <f>Qty!U214*'Hist. prices'!Q449*Q$244</f>
        <v>0</v>
      </c>
      <c r="R449" s="198">
        <f>Qty!V214*'Hist. prices'!R449*R$244</f>
        <v>0</v>
      </c>
      <c r="S449" s="198">
        <f>Qty!W214*'Hist. prices'!S449*S$244</f>
        <v>0</v>
      </c>
      <c r="T449" s="198">
        <f>Qty!X214*'Hist. prices'!T449*T$244</f>
        <v>0</v>
      </c>
      <c r="U449" s="198">
        <f>Qty!Y214*'Hist. prices'!U449*U$244</f>
        <v>0</v>
      </c>
      <c r="V449" s="198">
        <f>Qty!Z214*'Hist. prices'!V449*V$244</f>
        <v>0</v>
      </c>
      <c r="W449" s="198">
        <f>Qty!AA214*'Hist. prices'!W449*W$244</f>
        <v>0</v>
      </c>
      <c r="X449" s="198">
        <f>Qty!AB214*'Hist. prices'!X449*X$244</f>
        <v>0</v>
      </c>
      <c r="Y449" s="198">
        <f>Qty!AC214*'Hist. prices'!Y449*Y$244</f>
        <v>0</v>
      </c>
      <c r="Z449" s="198">
        <f>Qty!AD214*'Hist. prices'!Z449*Z$244</f>
        <v>0</v>
      </c>
      <c r="AA449" s="198">
        <f>Qty!AE214*'Hist. prices'!AA449*AA$244</f>
        <v>0</v>
      </c>
      <c r="AB449" s="198">
        <f>Qty!AF214*'Hist. prices'!AB449*AB$244</f>
        <v>0</v>
      </c>
      <c r="AC449" s="206">
        <f t="shared" si="51"/>
        <v>0</v>
      </c>
      <c r="AD449" s="68"/>
      <c r="AE449" s="19"/>
      <c r="AF449" s="19"/>
      <c r="AG449" s="19"/>
      <c r="AH449" s="19"/>
    </row>
    <row r="450" spans="1:34" hidden="1" outlineLevel="3" x14ac:dyDescent="0.2">
      <c r="A450" s="19"/>
      <c r="B450" s="19"/>
      <c r="C450" s="506">
        <f t="shared" si="52"/>
        <v>0</v>
      </c>
      <c r="D450" s="505">
        <f t="shared" si="52"/>
        <v>0</v>
      </c>
      <c r="E450" s="505">
        <f t="shared" si="52"/>
        <v>0</v>
      </c>
      <c r="F450" s="505">
        <f t="shared" si="52"/>
        <v>0</v>
      </c>
      <c r="G450" s="505">
        <f t="shared" si="52"/>
        <v>0</v>
      </c>
      <c r="H450" s="58"/>
      <c r="I450" s="198">
        <f>Qty!M215*'Hist. prices'!I450*I$244</f>
        <v>0</v>
      </c>
      <c r="J450" s="198">
        <f>Qty!N215*'Hist. prices'!J450*J$244</f>
        <v>0</v>
      </c>
      <c r="K450" s="198">
        <f>Qty!O215*'Hist. prices'!K450*K$244</f>
        <v>0</v>
      </c>
      <c r="L450" s="198">
        <f>Qty!P215*'Hist. prices'!L450*L$244</f>
        <v>0</v>
      </c>
      <c r="M450" s="198">
        <f>Qty!Q215*'Hist. prices'!M450*M$244</f>
        <v>0</v>
      </c>
      <c r="N450" s="198">
        <f>Qty!R215*'Hist. prices'!N450*N$244</f>
        <v>0</v>
      </c>
      <c r="O450" s="198">
        <f>Qty!S215*'Hist. prices'!O450*O$244</f>
        <v>0</v>
      </c>
      <c r="P450" s="198">
        <f>Qty!T215*'Hist. prices'!P450*P$244</f>
        <v>0</v>
      </c>
      <c r="Q450" s="198">
        <f>Qty!U215*'Hist. prices'!Q450*Q$244</f>
        <v>0</v>
      </c>
      <c r="R450" s="198">
        <f>Qty!V215*'Hist. prices'!R450*R$244</f>
        <v>0</v>
      </c>
      <c r="S450" s="198">
        <f>Qty!W215*'Hist. prices'!S450*S$244</f>
        <v>0</v>
      </c>
      <c r="T450" s="198">
        <f>Qty!X215*'Hist. prices'!T450*T$244</f>
        <v>0</v>
      </c>
      <c r="U450" s="198">
        <f>Qty!Y215*'Hist. prices'!U450*U$244</f>
        <v>0</v>
      </c>
      <c r="V450" s="198">
        <f>Qty!Z215*'Hist. prices'!V450*V$244</f>
        <v>0</v>
      </c>
      <c r="W450" s="198">
        <f>Qty!AA215*'Hist. prices'!W450*W$244</f>
        <v>0</v>
      </c>
      <c r="X450" s="198">
        <f>Qty!AB215*'Hist. prices'!X450*X$244</f>
        <v>0</v>
      </c>
      <c r="Y450" s="198">
        <f>Qty!AC215*'Hist. prices'!Y450*Y$244</f>
        <v>0</v>
      </c>
      <c r="Z450" s="198">
        <f>Qty!AD215*'Hist. prices'!Z450*Z$244</f>
        <v>0</v>
      </c>
      <c r="AA450" s="198">
        <f>Qty!AE215*'Hist. prices'!AA450*AA$244</f>
        <v>0</v>
      </c>
      <c r="AB450" s="198">
        <f>Qty!AF215*'Hist. prices'!AB450*AB$244</f>
        <v>0</v>
      </c>
      <c r="AC450" s="206">
        <f t="shared" si="51"/>
        <v>0</v>
      </c>
      <c r="AD450" s="68"/>
      <c r="AE450" s="19"/>
      <c r="AF450" s="19"/>
      <c r="AG450" s="19"/>
      <c r="AH450" s="19"/>
    </row>
    <row r="451" spans="1:34" hidden="1" outlineLevel="3" x14ac:dyDescent="0.2">
      <c r="A451" s="19"/>
      <c r="B451" s="19"/>
      <c r="C451" s="506">
        <f t="shared" ref="C451:G460" si="53">C295</f>
        <v>0</v>
      </c>
      <c r="D451" s="505">
        <f t="shared" si="53"/>
        <v>0</v>
      </c>
      <c r="E451" s="505">
        <f t="shared" si="53"/>
        <v>0</v>
      </c>
      <c r="F451" s="505">
        <f t="shared" si="53"/>
        <v>0</v>
      </c>
      <c r="G451" s="505">
        <f t="shared" si="53"/>
        <v>0</v>
      </c>
      <c r="H451" s="58"/>
      <c r="I451" s="198">
        <f>Qty!M216*'Hist. prices'!I451*I$244</f>
        <v>0</v>
      </c>
      <c r="J451" s="198">
        <f>Qty!N216*'Hist. prices'!J451*J$244</f>
        <v>0</v>
      </c>
      <c r="K451" s="198">
        <f>Qty!O216*'Hist. prices'!K451*K$244</f>
        <v>0</v>
      </c>
      <c r="L451" s="198">
        <f>Qty!P216*'Hist. prices'!L451*L$244</f>
        <v>0</v>
      </c>
      <c r="M451" s="198">
        <f>Qty!Q216*'Hist. prices'!M451*M$244</f>
        <v>0</v>
      </c>
      <c r="N451" s="198">
        <f>Qty!R216*'Hist. prices'!N451*N$244</f>
        <v>0</v>
      </c>
      <c r="O451" s="198">
        <f>Qty!S216*'Hist. prices'!O451*O$244</f>
        <v>0</v>
      </c>
      <c r="P451" s="198">
        <f>Qty!T216*'Hist. prices'!P451*P$244</f>
        <v>0</v>
      </c>
      <c r="Q451" s="198">
        <f>Qty!U216*'Hist. prices'!Q451*Q$244</f>
        <v>0</v>
      </c>
      <c r="R451" s="198">
        <f>Qty!V216*'Hist. prices'!R451*R$244</f>
        <v>0</v>
      </c>
      <c r="S451" s="198">
        <f>Qty!W216*'Hist. prices'!S451*S$244</f>
        <v>0</v>
      </c>
      <c r="T451" s="198">
        <f>Qty!X216*'Hist. prices'!T451*T$244</f>
        <v>0</v>
      </c>
      <c r="U451" s="198">
        <f>Qty!Y216*'Hist. prices'!U451*U$244</f>
        <v>0</v>
      </c>
      <c r="V451" s="198">
        <f>Qty!Z216*'Hist. prices'!V451*V$244</f>
        <v>0</v>
      </c>
      <c r="W451" s="198">
        <f>Qty!AA216*'Hist. prices'!W451*W$244</f>
        <v>0</v>
      </c>
      <c r="X451" s="198">
        <f>Qty!AB216*'Hist. prices'!X451*X$244</f>
        <v>0</v>
      </c>
      <c r="Y451" s="198">
        <f>Qty!AC216*'Hist. prices'!Y451*Y$244</f>
        <v>0</v>
      </c>
      <c r="Z451" s="198">
        <f>Qty!AD216*'Hist. prices'!Z451*Z$244</f>
        <v>0</v>
      </c>
      <c r="AA451" s="198">
        <f>Qty!AE216*'Hist. prices'!AA451*AA$244</f>
        <v>0</v>
      </c>
      <c r="AB451" s="198">
        <f>Qty!AF216*'Hist. prices'!AB451*AB$244</f>
        <v>0</v>
      </c>
      <c r="AC451" s="206">
        <f t="shared" si="51"/>
        <v>0</v>
      </c>
      <c r="AD451" s="68"/>
      <c r="AE451" s="19"/>
      <c r="AF451" s="19"/>
      <c r="AG451" s="19"/>
      <c r="AH451" s="19"/>
    </row>
    <row r="452" spans="1:34" hidden="1" outlineLevel="3" x14ac:dyDescent="0.2">
      <c r="A452" s="19"/>
      <c r="B452" s="19"/>
      <c r="C452" s="506">
        <f t="shared" si="53"/>
        <v>0</v>
      </c>
      <c r="D452" s="505">
        <f t="shared" si="53"/>
        <v>0</v>
      </c>
      <c r="E452" s="505">
        <f t="shared" si="53"/>
        <v>0</v>
      </c>
      <c r="F452" s="505">
        <f t="shared" si="53"/>
        <v>0</v>
      </c>
      <c r="G452" s="505">
        <f t="shared" si="53"/>
        <v>0</v>
      </c>
      <c r="H452" s="58"/>
      <c r="I452" s="198">
        <f>Qty!M217*'Hist. prices'!I452*I$244</f>
        <v>0</v>
      </c>
      <c r="J452" s="198">
        <f>Qty!N217*'Hist. prices'!J452*J$244</f>
        <v>0</v>
      </c>
      <c r="K452" s="198">
        <f>Qty!O217*'Hist. prices'!K452*K$244</f>
        <v>0</v>
      </c>
      <c r="L452" s="198">
        <f>Qty!P217*'Hist. prices'!L452*L$244</f>
        <v>0</v>
      </c>
      <c r="M452" s="198">
        <f>Qty!Q217*'Hist. prices'!M452*M$244</f>
        <v>0</v>
      </c>
      <c r="N452" s="198">
        <f>Qty!R217*'Hist. prices'!N452*N$244</f>
        <v>0</v>
      </c>
      <c r="O452" s="198">
        <f>Qty!S217*'Hist. prices'!O452*O$244</f>
        <v>0</v>
      </c>
      <c r="P452" s="198">
        <f>Qty!T217*'Hist. prices'!P452*P$244</f>
        <v>0</v>
      </c>
      <c r="Q452" s="198">
        <f>Qty!U217*'Hist. prices'!Q452*Q$244</f>
        <v>0</v>
      </c>
      <c r="R452" s="198">
        <f>Qty!V217*'Hist. prices'!R452*R$244</f>
        <v>0</v>
      </c>
      <c r="S452" s="198">
        <f>Qty!W217*'Hist. prices'!S452*S$244</f>
        <v>0</v>
      </c>
      <c r="T452" s="198">
        <f>Qty!X217*'Hist. prices'!T452*T$244</f>
        <v>0</v>
      </c>
      <c r="U452" s="198">
        <f>Qty!Y217*'Hist. prices'!U452*U$244</f>
        <v>0</v>
      </c>
      <c r="V452" s="198">
        <f>Qty!Z217*'Hist. prices'!V452*V$244</f>
        <v>0</v>
      </c>
      <c r="W452" s="198">
        <f>Qty!AA217*'Hist. prices'!W452*W$244</f>
        <v>0</v>
      </c>
      <c r="X452" s="198">
        <f>Qty!AB217*'Hist. prices'!X452*X$244</f>
        <v>0</v>
      </c>
      <c r="Y452" s="198">
        <f>Qty!AC217*'Hist. prices'!Y452*Y$244</f>
        <v>0</v>
      </c>
      <c r="Z452" s="198">
        <f>Qty!AD217*'Hist. prices'!Z452*Z$244</f>
        <v>0</v>
      </c>
      <c r="AA452" s="198">
        <f>Qty!AE217*'Hist. prices'!AA452*AA$244</f>
        <v>0</v>
      </c>
      <c r="AB452" s="198">
        <f>Qty!AF217*'Hist. prices'!AB452*AB$244</f>
        <v>0</v>
      </c>
      <c r="AC452" s="206">
        <f t="shared" si="51"/>
        <v>0</v>
      </c>
      <c r="AD452" s="68"/>
      <c r="AE452" s="19"/>
      <c r="AF452" s="19"/>
      <c r="AG452" s="19"/>
      <c r="AH452" s="19"/>
    </row>
    <row r="453" spans="1:34" hidden="1" outlineLevel="3" x14ac:dyDescent="0.2">
      <c r="A453" s="19"/>
      <c r="B453" s="19"/>
      <c r="C453" s="506">
        <f t="shared" si="53"/>
        <v>0</v>
      </c>
      <c r="D453" s="505">
        <f t="shared" si="53"/>
        <v>0</v>
      </c>
      <c r="E453" s="505">
        <f t="shared" si="53"/>
        <v>0</v>
      </c>
      <c r="F453" s="505">
        <f t="shared" si="53"/>
        <v>0</v>
      </c>
      <c r="G453" s="505">
        <f t="shared" si="53"/>
        <v>0</v>
      </c>
      <c r="H453" s="58"/>
      <c r="I453" s="198">
        <f>Qty!M218*'Hist. prices'!I453*I$244</f>
        <v>0</v>
      </c>
      <c r="J453" s="198">
        <f>Qty!N218*'Hist. prices'!J453*J$244</f>
        <v>0</v>
      </c>
      <c r="K453" s="198">
        <f>Qty!O218*'Hist. prices'!K453*K$244</f>
        <v>0</v>
      </c>
      <c r="L453" s="198">
        <f>Qty!P218*'Hist. prices'!L453*L$244</f>
        <v>0</v>
      </c>
      <c r="M453" s="198">
        <f>Qty!Q218*'Hist. prices'!M453*M$244</f>
        <v>0</v>
      </c>
      <c r="N453" s="198">
        <f>Qty!R218*'Hist. prices'!N453*N$244</f>
        <v>0</v>
      </c>
      <c r="O453" s="198">
        <f>Qty!S218*'Hist. prices'!O453*O$244</f>
        <v>0</v>
      </c>
      <c r="P453" s="198">
        <f>Qty!T218*'Hist. prices'!P453*P$244</f>
        <v>0</v>
      </c>
      <c r="Q453" s="198">
        <f>Qty!U218*'Hist. prices'!Q453*Q$244</f>
        <v>0</v>
      </c>
      <c r="R453" s="198">
        <f>Qty!V218*'Hist. prices'!R453*R$244</f>
        <v>0</v>
      </c>
      <c r="S453" s="198">
        <f>Qty!W218*'Hist. prices'!S453*S$244</f>
        <v>0</v>
      </c>
      <c r="T453" s="198">
        <f>Qty!X218*'Hist. prices'!T453*T$244</f>
        <v>0</v>
      </c>
      <c r="U453" s="198">
        <f>Qty!Y218*'Hist. prices'!U453*U$244</f>
        <v>0</v>
      </c>
      <c r="V453" s="198">
        <f>Qty!Z218*'Hist. prices'!V453*V$244</f>
        <v>0</v>
      </c>
      <c r="W453" s="198">
        <f>Qty!AA218*'Hist. prices'!W453*W$244</f>
        <v>0</v>
      </c>
      <c r="X453" s="198">
        <f>Qty!AB218*'Hist. prices'!X453*X$244</f>
        <v>0</v>
      </c>
      <c r="Y453" s="198">
        <f>Qty!AC218*'Hist. prices'!Y453*Y$244</f>
        <v>0</v>
      </c>
      <c r="Z453" s="198">
        <f>Qty!AD218*'Hist. prices'!Z453*Z$244</f>
        <v>0</v>
      </c>
      <c r="AA453" s="198">
        <f>Qty!AE218*'Hist. prices'!AA453*AA$244</f>
        <v>0</v>
      </c>
      <c r="AB453" s="198">
        <f>Qty!AF218*'Hist. prices'!AB453*AB$244</f>
        <v>0</v>
      </c>
      <c r="AC453" s="206">
        <f t="shared" si="51"/>
        <v>0</v>
      </c>
      <c r="AD453" s="68"/>
      <c r="AE453" s="19"/>
      <c r="AF453" s="19"/>
      <c r="AG453" s="19"/>
      <c r="AH453" s="19"/>
    </row>
    <row r="454" spans="1:34" hidden="1" outlineLevel="3" x14ac:dyDescent="0.2">
      <c r="A454" s="19"/>
      <c r="B454" s="19"/>
      <c r="C454" s="506">
        <f t="shared" si="53"/>
        <v>0</v>
      </c>
      <c r="D454" s="505">
        <f t="shared" si="53"/>
        <v>0</v>
      </c>
      <c r="E454" s="505">
        <f t="shared" si="53"/>
        <v>0</v>
      </c>
      <c r="F454" s="505">
        <f t="shared" si="53"/>
        <v>0</v>
      </c>
      <c r="G454" s="505">
        <f t="shared" si="53"/>
        <v>0</v>
      </c>
      <c r="H454" s="58"/>
      <c r="I454" s="198">
        <f>Qty!M219*'Hist. prices'!I454*I$244</f>
        <v>0</v>
      </c>
      <c r="J454" s="198">
        <f>Qty!N219*'Hist. prices'!J454*J$244</f>
        <v>0</v>
      </c>
      <c r="K454" s="198">
        <f>Qty!O219*'Hist. prices'!K454*K$244</f>
        <v>0</v>
      </c>
      <c r="L454" s="198">
        <f>Qty!P219*'Hist. prices'!L454*L$244</f>
        <v>0</v>
      </c>
      <c r="M454" s="198">
        <f>Qty!Q219*'Hist. prices'!M454*M$244</f>
        <v>0</v>
      </c>
      <c r="N454" s="198">
        <f>Qty!R219*'Hist. prices'!N454*N$244</f>
        <v>0</v>
      </c>
      <c r="O454" s="198">
        <f>Qty!S219*'Hist. prices'!O454*O$244</f>
        <v>0</v>
      </c>
      <c r="P454" s="198">
        <f>Qty!T219*'Hist. prices'!P454*P$244</f>
        <v>0</v>
      </c>
      <c r="Q454" s="198">
        <f>Qty!U219*'Hist. prices'!Q454*Q$244</f>
        <v>0</v>
      </c>
      <c r="R454" s="198">
        <f>Qty!V219*'Hist. prices'!R454*R$244</f>
        <v>0</v>
      </c>
      <c r="S454" s="198">
        <f>Qty!W219*'Hist. prices'!S454*S$244</f>
        <v>0</v>
      </c>
      <c r="T454" s="198">
        <f>Qty!X219*'Hist. prices'!T454*T$244</f>
        <v>0</v>
      </c>
      <c r="U454" s="198">
        <f>Qty!Y219*'Hist. prices'!U454*U$244</f>
        <v>0</v>
      </c>
      <c r="V454" s="198">
        <f>Qty!Z219*'Hist. prices'!V454*V$244</f>
        <v>0</v>
      </c>
      <c r="W454" s="198">
        <f>Qty!AA219*'Hist. prices'!W454*W$244</f>
        <v>0</v>
      </c>
      <c r="X454" s="198">
        <f>Qty!AB219*'Hist. prices'!X454*X$244</f>
        <v>0</v>
      </c>
      <c r="Y454" s="198">
        <f>Qty!AC219*'Hist. prices'!Y454*Y$244</f>
        <v>0</v>
      </c>
      <c r="Z454" s="198">
        <f>Qty!AD219*'Hist. prices'!Z454*Z$244</f>
        <v>0</v>
      </c>
      <c r="AA454" s="198">
        <f>Qty!AE219*'Hist. prices'!AA454*AA$244</f>
        <v>0</v>
      </c>
      <c r="AB454" s="198">
        <f>Qty!AF219*'Hist. prices'!AB454*AB$244</f>
        <v>0</v>
      </c>
      <c r="AC454" s="206">
        <f t="shared" si="51"/>
        <v>0</v>
      </c>
      <c r="AD454" s="68"/>
      <c r="AE454" s="19"/>
      <c r="AF454" s="19"/>
      <c r="AG454" s="19"/>
      <c r="AH454" s="19"/>
    </row>
    <row r="455" spans="1:34" hidden="1" outlineLevel="3" x14ac:dyDescent="0.2">
      <c r="A455" s="19"/>
      <c r="B455" s="19"/>
      <c r="C455" s="506">
        <f t="shared" si="53"/>
        <v>0</v>
      </c>
      <c r="D455" s="505">
        <f t="shared" si="53"/>
        <v>0</v>
      </c>
      <c r="E455" s="505">
        <f t="shared" si="53"/>
        <v>0</v>
      </c>
      <c r="F455" s="505">
        <f t="shared" si="53"/>
        <v>0</v>
      </c>
      <c r="G455" s="505">
        <f t="shared" si="53"/>
        <v>0</v>
      </c>
      <c r="H455" s="58"/>
      <c r="I455" s="198">
        <f>Qty!M220*'Hist. prices'!I455*I$244</f>
        <v>0</v>
      </c>
      <c r="J455" s="198">
        <f>Qty!N220*'Hist. prices'!J455*J$244</f>
        <v>0</v>
      </c>
      <c r="K455" s="198">
        <f>Qty!O220*'Hist. prices'!K455*K$244</f>
        <v>0</v>
      </c>
      <c r="L455" s="198">
        <f>Qty!P220*'Hist. prices'!L455*L$244</f>
        <v>0</v>
      </c>
      <c r="M455" s="198">
        <f>Qty!Q220*'Hist. prices'!M455*M$244</f>
        <v>0</v>
      </c>
      <c r="N455" s="198">
        <f>Qty!R220*'Hist. prices'!N455*N$244</f>
        <v>0</v>
      </c>
      <c r="O455" s="198">
        <f>Qty!S220*'Hist. prices'!O455*O$244</f>
        <v>0</v>
      </c>
      <c r="P455" s="198">
        <f>Qty!T220*'Hist. prices'!P455*P$244</f>
        <v>0</v>
      </c>
      <c r="Q455" s="198">
        <f>Qty!U220*'Hist. prices'!Q455*Q$244</f>
        <v>0</v>
      </c>
      <c r="R455" s="198">
        <f>Qty!V220*'Hist. prices'!R455*R$244</f>
        <v>0</v>
      </c>
      <c r="S455" s="198">
        <f>Qty!W220*'Hist. prices'!S455*S$244</f>
        <v>0</v>
      </c>
      <c r="T455" s="198">
        <f>Qty!X220*'Hist. prices'!T455*T$244</f>
        <v>0</v>
      </c>
      <c r="U455" s="198">
        <f>Qty!Y220*'Hist. prices'!U455*U$244</f>
        <v>0</v>
      </c>
      <c r="V455" s="198">
        <f>Qty!Z220*'Hist. prices'!V455*V$244</f>
        <v>0</v>
      </c>
      <c r="W455" s="198">
        <f>Qty!AA220*'Hist. prices'!W455*W$244</f>
        <v>0</v>
      </c>
      <c r="X455" s="198">
        <f>Qty!AB220*'Hist. prices'!X455*X$244</f>
        <v>0</v>
      </c>
      <c r="Y455" s="198">
        <f>Qty!AC220*'Hist. prices'!Y455*Y$244</f>
        <v>0</v>
      </c>
      <c r="Z455" s="198">
        <f>Qty!AD220*'Hist. prices'!Z455*Z$244</f>
        <v>0</v>
      </c>
      <c r="AA455" s="198">
        <f>Qty!AE220*'Hist. prices'!AA455*AA$244</f>
        <v>0</v>
      </c>
      <c r="AB455" s="198">
        <f>Qty!AF220*'Hist. prices'!AB455*AB$244</f>
        <v>0</v>
      </c>
      <c r="AC455" s="206">
        <f t="shared" si="51"/>
        <v>0</v>
      </c>
      <c r="AD455" s="68"/>
      <c r="AE455" s="19"/>
      <c r="AF455" s="19"/>
      <c r="AG455" s="19"/>
      <c r="AH455" s="19"/>
    </row>
    <row r="456" spans="1:34" hidden="1" outlineLevel="3" x14ac:dyDescent="0.2">
      <c r="A456" s="19"/>
      <c r="B456" s="19"/>
      <c r="C456" s="506">
        <f t="shared" si="53"/>
        <v>0</v>
      </c>
      <c r="D456" s="505">
        <f t="shared" si="53"/>
        <v>0</v>
      </c>
      <c r="E456" s="505">
        <f t="shared" si="53"/>
        <v>0</v>
      </c>
      <c r="F456" s="505">
        <f t="shared" si="53"/>
        <v>0</v>
      </c>
      <c r="G456" s="505">
        <f t="shared" si="53"/>
        <v>0</v>
      </c>
      <c r="H456" s="58"/>
      <c r="I456" s="198">
        <f>Qty!M221*'Hist. prices'!I456*I$244</f>
        <v>0</v>
      </c>
      <c r="J456" s="198">
        <f>Qty!N221*'Hist. prices'!J456*J$244</f>
        <v>0</v>
      </c>
      <c r="K456" s="198">
        <f>Qty!O221*'Hist. prices'!K456*K$244</f>
        <v>0</v>
      </c>
      <c r="L456" s="198">
        <f>Qty!P221*'Hist. prices'!L456*L$244</f>
        <v>0</v>
      </c>
      <c r="M456" s="198">
        <f>Qty!Q221*'Hist. prices'!M456*M$244</f>
        <v>0</v>
      </c>
      <c r="N456" s="198">
        <f>Qty!R221*'Hist. prices'!N456*N$244</f>
        <v>0</v>
      </c>
      <c r="O456" s="198">
        <f>Qty!S221*'Hist. prices'!O456*O$244</f>
        <v>0</v>
      </c>
      <c r="P456" s="198">
        <f>Qty!T221*'Hist. prices'!P456*P$244</f>
        <v>0</v>
      </c>
      <c r="Q456" s="198">
        <f>Qty!U221*'Hist. prices'!Q456*Q$244</f>
        <v>0</v>
      </c>
      <c r="R456" s="198">
        <f>Qty!V221*'Hist. prices'!R456*R$244</f>
        <v>0</v>
      </c>
      <c r="S456" s="198">
        <f>Qty!W221*'Hist. prices'!S456*S$244</f>
        <v>0</v>
      </c>
      <c r="T456" s="198">
        <f>Qty!X221*'Hist. prices'!T456*T$244</f>
        <v>0</v>
      </c>
      <c r="U456" s="198">
        <f>Qty!Y221*'Hist. prices'!U456*U$244</f>
        <v>0</v>
      </c>
      <c r="V456" s="198">
        <f>Qty!Z221*'Hist. prices'!V456*V$244</f>
        <v>0</v>
      </c>
      <c r="W456" s="198">
        <f>Qty!AA221*'Hist. prices'!W456*W$244</f>
        <v>0</v>
      </c>
      <c r="X456" s="198">
        <f>Qty!AB221*'Hist. prices'!X456*X$244</f>
        <v>0</v>
      </c>
      <c r="Y456" s="198">
        <f>Qty!AC221*'Hist. prices'!Y456*Y$244</f>
        <v>0</v>
      </c>
      <c r="Z456" s="198">
        <f>Qty!AD221*'Hist. prices'!Z456*Z$244</f>
        <v>0</v>
      </c>
      <c r="AA456" s="198">
        <f>Qty!AE221*'Hist. prices'!AA456*AA$244</f>
        <v>0</v>
      </c>
      <c r="AB456" s="198">
        <f>Qty!AF221*'Hist. prices'!AB456*AB$244</f>
        <v>0</v>
      </c>
      <c r="AC456" s="206">
        <f t="shared" si="51"/>
        <v>0</v>
      </c>
      <c r="AD456" s="68"/>
      <c r="AE456" s="19"/>
      <c r="AF456" s="19"/>
      <c r="AG456" s="19"/>
      <c r="AH456" s="19"/>
    </row>
    <row r="457" spans="1:34" hidden="1" outlineLevel="3" x14ac:dyDescent="0.2">
      <c r="A457" s="19"/>
      <c r="B457" s="19"/>
      <c r="C457" s="506">
        <f t="shared" si="53"/>
        <v>0</v>
      </c>
      <c r="D457" s="505">
        <f t="shared" si="53"/>
        <v>0</v>
      </c>
      <c r="E457" s="505">
        <f t="shared" si="53"/>
        <v>0</v>
      </c>
      <c r="F457" s="505">
        <f t="shared" si="53"/>
        <v>0</v>
      </c>
      <c r="G457" s="505">
        <f t="shared" si="53"/>
        <v>0</v>
      </c>
      <c r="H457" s="58"/>
      <c r="I457" s="198">
        <f>Qty!M222*'Hist. prices'!I457*I$244</f>
        <v>0</v>
      </c>
      <c r="J457" s="198">
        <f>Qty!N222*'Hist. prices'!J457*J$244</f>
        <v>0</v>
      </c>
      <c r="K457" s="198">
        <f>Qty!O222*'Hist. prices'!K457*K$244</f>
        <v>0</v>
      </c>
      <c r="L457" s="198">
        <f>Qty!P222*'Hist. prices'!L457*L$244</f>
        <v>0</v>
      </c>
      <c r="M457" s="198">
        <f>Qty!Q222*'Hist. prices'!M457*M$244</f>
        <v>0</v>
      </c>
      <c r="N457" s="198">
        <f>Qty!R222*'Hist. prices'!N457*N$244</f>
        <v>0</v>
      </c>
      <c r="O457" s="198">
        <f>Qty!S222*'Hist. prices'!O457*O$244</f>
        <v>0</v>
      </c>
      <c r="P457" s="198">
        <f>Qty!T222*'Hist. prices'!P457*P$244</f>
        <v>0</v>
      </c>
      <c r="Q457" s="198">
        <f>Qty!U222*'Hist. prices'!Q457*Q$244</f>
        <v>0</v>
      </c>
      <c r="R457" s="198">
        <f>Qty!V222*'Hist. prices'!R457*R$244</f>
        <v>0</v>
      </c>
      <c r="S457" s="198">
        <f>Qty!W222*'Hist. prices'!S457*S$244</f>
        <v>0</v>
      </c>
      <c r="T457" s="198">
        <f>Qty!X222*'Hist. prices'!T457*T$244</f>
        <v>0</v>
      </c>
      <c r="U457" s="198">
        <f>Qty!Y222*'Hist. prices'!U457*U$244</f>
        <v>0</v>
      </c>
      <c r="V457" s="198">
        <f>Qty!Z222*'Hist. prices'!V457*V$244</f>
        <v>0</v>
      </c>
      <c r="W457" s="198">
        <f>Qty!AA222*'Hist. prices'!W457*W$244</f>
        <v>0</v>
      </c>
      <c r="X457" s="198">
        <f>Qty!AB222*'Hist. prices'!X457*X$244</f>
        <v>0</v>
      </c>
      <c r="Y457" s="198">
        <f>Qty!AC222*'Hist. prices'!Y457*Y$244</f>
        <v>0</v>
      </c>
      <c r="Z457" s="198">
        <f>Qty!AD222*'Hist. prices'!Z457*Z$244</f>
        <v>0</v>
      </c>
      <c r="AA457" s="198">
        <f>Qty!AE222*'Hist. prices'!AA457*AA$244</f>
        <v>0</v>
      </c>
      <c r="AB457" s="198">
        <f>Qty!AF222*'Hist. prices'!AB457*AB$244</f>
        <v>0</v>
      </c>
      <c r="AC457" s="206">
        <f t="shared" si="51"/>
        <v>0</v>
      </c>
      <c r="AD457" s="68"/>
      <c r="AE457" s="19"/>
      <c r="AF457" s="19"/>
      <c r="AG457" s="19"/>
      <c r="AH457" s="19"/>
    </row>
    <row r="458" spans="1:34" hidden="1" outlineLevel="3" x14ac:dyDescent="0.2">
      <c r="A458" s="19"/>
      <c r="B458" s="19"/>
      <c r="C458" s="506">
        <f t="shared" si="53"/>
        <v>0</v>
      </c>
      <c r="D458" s="505">
        <f t="shared" si="53"/>
        <v>0</v>
      </c>
      <c r="E458" s="505">
        <f t="shared" si="53"/>
        <v>0</v>
      </c>
      <c r="F458" s="505">
        <f t="shared" si="53"/>
        <v>0</v>
      </c>
      <c r="G458" s="505">
        <f t="shared" si="53"/>
        <v>0</v>
      </c>
      <c r="H458" s="58"/>
      <c r="I458" s="198">
        <f>Qty!M223*'Hist. prices'!I458*I$244</f>
        <v>0</v>
      </c>
      <c r="J458" s="198">
        <f>Qty!N223*'Hist. prices'!J458*J$244</f>
        <v>0</v>
      </c>
      <c r="K458" s="198">
        <f>Qty!O223*'Hist. prices'!K458*K$244</f>
        <v>0</v>
      </c>
      <c r="L458" s="198">
        <f>Qty!P223*'Hist. prices'!L458*L$244</f>
        <v>0</v>
      </c>
      <c r="M458" s="198">
        <f>Qty!Q223*'Hist. prices'!M458*M$244</f>
        <v>0</v>
      </c>
      <c r="N458" s="198">
        <f>Qty!R223*'Hist. prices'!N458*N$244</f>
        <v>0</v>
      </c>
      <c r="O458" s="198">
        <f>Qty!S223*'Hist. prices'!O458*O$244</f>
        <v>0</v>
      </c>
      <c r="P458" s="198">
        <f>Qty!T223*'Hist. prices'!P458*P$244</f>
        <v>0</v>
      </c>
      <c r="Q458" s="198">
        <f>Qty!U223*'Hist. prices'!Q458*Q$244</f>
        <v>0</v>
      </c>
      <c r="R458" s="198">
        <f>Qty!V223*'Hist. prices'!R458*R$244</f>
        <v>0</v>
      </c>
      <c r="S458" s="198">
        <f>Qty!W223*'Hist. prices'!S458*S$244</f>
        <v>0</v>
      </c>
      <c r="T458" s="198">
        <f>Qty!X223*'Hist. prices'!T458*T$244</f>
        <v>0</v>
      </c>
      <c r="U458" s="198">
        <f>Qty!Y223*'Hist. prices'!U458*U$244</f>
        <v>0</v>
      </c>
      <c r="V458" s="198">
        <f>Qty!Z223*'Hist. prices'!V458*V$244</f>
        <v>0</v>
      </c>
      <c r="W458" s="198">
        <f>Qty!AA223*'Hist. prices'!W458*W$244</f>
        <v>0</v>
      </c>
      <c r="X458" s="198">
        <f>Qty!AB223*'Hist. prices'!X458*X$244</f>
        <v>0</v>
      </c>
      <c r="Y458" s="198">
        <f>Qty!AC223*'Hist. prices'!Y458*Y$244</f>
        <v>0</v>
      </c>
      <c r="Z458" s="198">
        <f>Qty!AD223*'Hist. prices'!Z458*Z$244</f>
        <v>0</v>
      </c>
      <c r="AA458" s="198">
        <f>Qty!AE223*'Hist. prices'!AA458*AA$244</f>
        <v>0</v>
      </c>
      <c r="AB458" s="198">
        <f>Qty!AF223*'Hist. prices'!AB458*AB$244</f>
        <v>0</v>
      </c>
      <c r="AC458" s="206">
        <f t="shared" si="51"/>
        <v>0</v>
      </c>
      <c r="AD458" s="68"/>
      <c r="AE458" s="19"/>
      <c r="AF458" s="19"/>
      <c r="AG458" s="19"/>
      <c r="AH458" s="19"/>
    </row>
    <row r="459" spans="1:34" hidden="1" outlineLevel="3" x14ac:dyDescent="0.2">
      <c r="A459" s="19"/>
      <c r="B459" s="19"/>
      <c r="C459" s="506">
        <f t="shared" si="53"/>
        <v>0</v>
      </c>
      <c r="D459" s="505">
        <f t="shared" si="53"/>
        <v>0</v>
      </c>
      <c r="E459" s="505">
        <f t="shared" si="53"/>
        <v>0</v>
      </c>
      <c r="F459" s="505">
        <f t="shared" si="53"/>
        <v>0</v>
      </c>
      <c r="G459" s="505">
        <f t="shared" si="53"/>
        <v>0</v>
      </c>
      <c r="H459" s="58"/>
      <c r="I459" s="198">
        <f>Qty!M224*'Hist. prices'!I459*I$244</f>
        <v>0</v>
      </c>
      <c r="J459" s="198">
        <f>Qty!N224*'Hist. prices'!J459*J$244</f>
        <v>0</v>
      </c>
      <c r="K459" s="198">
        <f>Qty!O224*'Hist. prices'!K459*K$244</f>
        <v>0</v>
      </c>
      <c r="L459" s="198">
        <f>Qty!P224*'Hist. prices'!L459*L$244</f>
        <v>0</v>
      </c>
      <c r="M459" s="198">
        <f>Qty!Q224*'Hist. prices'!M459*M$244</f>
        <v>0</v>
      </c>
      <c r="N459" s="198">
        <f>Qty!R224*'Hist. prices'!N459*N$244</f>
        <v>0</v>
      </c>
      <c r="O459" s="198">
        <f>Qty!S224*'Hist. prices'!O459*O$244</f>
        <v>0</v>
      </c>
      <c r="P459" s="198">
        <f>Qty!T224*'Hist. prices'!P459*P$244</f>
        <v>0</v>
      </c>
      <c r="Q459" s="198">
        <f>Qty!U224*'Hist. prices'!Q459*Q$244</f>
        <v>0</v>
      </c>
      <c r="R459" s="198">
        <f>Qty!V224*'Hist. prices'!R459*R$244</f>
        <v>0</v>
      </c>
      <c r="S459" s="198">
        <f>Qty!W224*'Hist. prices'!S459*S$244</f>
        <v>0</v>
      </c>
      <c r="T459" s="198">
        <f>Qty!X224*'Hist. prices'!T459*T$244</f>
        <v>0</v>
      </c>
      <c r="U459" s="198">
        <f>Qty!Y224*'Hist. prices'!U459*U$244</f>
        <v>0</v>
      </c>
      <c r="V459" s="198">
        <f>Qty!Z224*'Hist. prices'!V459*V$244</f>
        <v>0</v>
      </c>
      <c r="W459" s="198">
        <f>Qty!AA224*'Hist. prices'!W459*W$244</f>
        <v>0</v>
      </c>
      <c r="X459" s="198">
        <f>Qty!AB224*'Hist. prices'!X459*X$244</f>
        <v>0</v>
      </c>
      <c r="Y459" s="198">
        <f>Qty!AC224*'Hist. prices'!Y459*Y$244</f>
        <v>0</v>
      </c>
      <c r="Z459" s="198">
        <f>Qty!AD224*'Hist. prices'!Z459*Z$244</f>
        <v>0</v>
      </c>
      <c r="AA459" s="198">
        <f>Qty!AE224*'Hist. prices'!AA459*AA$244</f>
        <v>0</v>
      </c>
      <c r="AB459" s="198">
        <f>Qty!AF224*'Hist. prices'!AB459*AB$244</f>
        <v>0</v>
      </c>
      <c r="AC459" s="206">
        <f t="shared" si="51"/>
        <v>0</v>
      </c>
      <c r="AD459" s="68"/>
      <c r="AE459" s="19"/>
      <c r="AF459" s="19"/>
      <c r="AG459" s="19"/>
      <c r="AH459" s="19"/>
    </row>
    <row r="460" spans="1:34" hidden="1" outlineLevel="3" x14ac:dyDescent="0.2">
      <c r="A460" s="19"/>
      <c r="B460" s="19"/>
      <c r="C460" s="506">
        <f t="shared" si="53"/>
        <v>0</v>
      </c>
      <c r="D460" s="505">
        <f t="shared" si="53"/>
        <v>0</v>
      </c>
      <c r="E460" s="505">
        <f t="shared" si="53"/>
        <v>0</v>
      </c>
      <c r="F460" s="505">
        <f t="shared" si="53"/>
        <v>0</v>
      </c>
      <c r="G460" s="505">
        <f t="shared" si="53"/>
        <v>0</v>
      </c>
      <c r="H460" s="58"/>
      <c r="I460" s="198">
        <f>Qty!M225*'Hist. prices'!I460*I$244</f>
        <v>0</v>
      </c>
      <c r="J460" s="198">
        <f>Qty!N225*'Hist. prices'!J460*J$244</f>
        <v>0</v>
      </c>
      <c r="K460" s="198">
        <f>Qty!O225*'Hist. prices'!K460*K$244</f>
        <v>0</v>
      </c>
      <c r="L460" s="198">
        <f>Qty!P225*'Hist. prices'!L460*L$244</f>
        <v>0</v>
      </c>
      <c r="M460" s="198">
        <f>Qty!Q225*'Hist. prices'!M460*M$244</f>
        <v>0</v>
      </c>
      <c r="N460" s="198">
        <f>Qty!R225*'Hist. prices'!N460*N$244</f>
        <v>0</v>
      </c>
      <c r="O460" s="198">
        <f>Qty!S225*'Hist. prices'!O460*O$244</f>
        <v>0</v>
      </c>
      <c r="P460" s="198">
        <f>Qty!T225*'Hist. prices'!P460*P$244</f>
        <v>0</v>
      </c>
      <c r="Q460" s="198">
        <f>Qty!U225*'Hist. prices'!Q460*Q$244</f>
        <v>0</v>
      </c>
      <c r="R460" s="198">
        <f>Qty!V225*'Hist. prices'!R460*R$244</f>
        <v>0</v>
      </c>
      <c r="S460" s="198">
        <f>Qty!W225*'Hist. prices'!S460*S$244</f>
        <v>0</v>
      </c>
      <c r="T460" s="198">
        <f>Qty!X225*'Hist. prices'!T460*T$244</f>
        <v>0</v>
      </c>
      <c r="U460" s="198">
        <f>Qty!Y225*'Hist. prices'!U460*U$244</f>
        <v>0</v>
      </c>
      <c r="V460" s="198">
        <f>Qty!Z225*'Hist. prices'!V460*V$244</f>
        <v>0</v>
      </c>
      <c r="W460" s="198">
        <f>Qty!AA225*'Hist. prices'!W460*W$244</f>
        <v>0</v>
      </c>
      <c r="X460" s="198">
        <f>Qty!AB225*'Hist. prices'!X460*X$244</f>
        <v>0</v>
      </c>
      <c r="Y460" s="198">
        <f>Qty!AC225*'Hist. prices'!Y460*Y$244</f>
        <v>0</v>
      </c>
      <c r="Z460" s="198">
        <f>Qty!AD225*'Hist. prices'!Z460*Z$244</f>
        <v>0</v>
      </c>
      <c r="AA460" s="198">
        <f>Qty!AE225*'Hist. prices'!AA460*AA$244</f>
        <v>0</v>
      </c>
      <c r="AB460" s="198">
        <f>Qty!AF225*'Hist. prices'!AB460*AB$244</f>
        <v>0</v>
      </c>
      <c r="AC460" s="206">
        <f t="shared" si="51"/>
        <v>0</v>
      </c>
      <c r="AD460" s="68"/>
      <c r="AE460" s="19"/>
      <c r="AF460" s="19"/>
      <c r="AG460" s="19"/>
      <c r="AH460" s="19"/>
    </row>
    <row r="461" spans="1:34" hidden="1" outlineLevel="3" x14ac:dyDescent="0.2">
      <c r="A461" s="19"/>
      <c r="B461" s="19"/>
      <c r="C461" s="506">
        <f t="shared" ref="C461:G470" si="54">C305</f>
        <v>0</v>
      </c>
      <c r="D461" s="505">
        <f t="shared" si="54"/>
        <v>0</v>
      </c>
      <c r="E461" s="505">
        <f t="shared" si="54"/>
        <v>0</v>
      </c>
      <c r="F461" s="505">
        <f t="shared" si="54"/>
        <v>0</v>
      </c>
      <c r="G461" s="505">
        <f t="shared" si="54"/>
        <v>0</v>
      </c>
      <c r="H461" s="58"/>
      <c r="I461" s="198">
        <f>Qty!M226*'Hist. prices'!I461*I$244</f>
        <v>0</v>
      </c>
      <c r="J461" s="198">
        <f>Qty!N226*'Hist. prices'!J461*J$244</f>
        <v>0</v>
      </c>
      <c r="K461" s="198">
        <f>Qty!O226*'Hist. prices'!K461*K$244</f>
        <v>0</v>
      </c>
      <c r="L461" s="198">
        <f>Qty!P226*'Hist. prices'!L461*L$244</f>
        <v>0</v>
      </c>
      <c r="M461" s="198">
        <f>Qty!Q226*'Hist. prices'!M461*M$244</f>
        <v>0</v>
      </c>
      <c r="N461" s="198">
        <f>Qty!R226*'Hist. prices'!N461*N$244</f>
        <v>0</v>
      </c>
      <c r="O461" s="198">
        <f>Qty!S226*'Hist. prices'!O461*O$244</f>
        <v>0</v>
      </c>
      <c r="P461" s="198">
        <f>Qty!T226*'Hist. prices'!P461*P$244</f>
        <v>0</v>
      </c>
      <c r="Q461" s="198">
        <f>Qty!U226*'Hist. prices'!Q461*Q$244</f>
        <v>0</v>
      </c>
      <c r="R461" s="198">
        <f>Qty!V226*'Hist. prices'!R461*R$244</f>
        <v>0</v>
      </c>
      <c r="S461" s="198">
        <f>Qty!W226*'Hist. prices'!S461*S$244</f>
        <v>0</v>
      </c>
      <c r="T461" s="198">
        <f>Qty!X226*'Hist. prices'!T461*T$244</f>
        <v>0</v>
      </c>
      <c r="U461" s="198">
        <f>Qty!Y226*'Hist. prices'!U461*U$244</f>
        <v>0</v>
      </c>
      <c r="V461" s="198">
        <f>Qty!Z226*'Hist. prices'!V461*V$244</f>
        <v>0</v>
      </c>
      <c r="W461" s="198">
        <f>Qty!AA226*'Hist. prices'!W461*W$244</f>
        <v>0</v>
      </c>
      <c r="X461" s="198">
        <f>Qty!AB226*'Hist. prices'!X461*X$244</f>
        <v>0</v>
      </c>
      <c r="Y461" s="198">
        <f>Qty!AC226*'Hist. prices'!Y461*Y$244</f>
        <v>0</v>
      </c>
      <c r="Z461" s="198">
        <f>Qty!AD226*'Hist. prices'!Z461*Z$244</f>
        <v>0</v>
      </c>
      <c r="AA461" s="198">
        <f>Qty!AE226*'Hist. prices'!AA461*AA$244</f>
        <v>0</v>
      </c>
      <c r="AB461" s="198">
        <f>Qty!AF226*'Hist. prices'!AB461*AB$244</f>
        <v>0</v>
      </c>
      <c r="AC461" s="206">
        <f t="shared" si="51"/>
        <v>0</v>
      </c>
      <c r="AD461" s="68"/>
      <c r="AE461" s="19"/>
      <c r="AF461" s="19"/>
      <c r="AG461" s="19"/>
      <c r="AH461" s="19"/>
    </row>
    <row r="462" spans="1:34" hidden="1" outlineLevel="3" x14ac:dyDescent="0.2">
      <c r="A462" s="19"/>
      <c r="B462" s="19"/>
      <c r="C462" s="506">
        <f t="shared" si="54"/>
        <v>0</v>
      </c>
      <c r="D462" s="505">
        <f t="shared" si="54"/>
        <v>0</v>
      </c>
      <c r="E462" s="505">
        <f t="shared" si="54"/>
        <v>0</v>
      </c>
      <c r="F462" s="505">
        <f t="shared" si="54"/>
        <v>0</v>
      </c>
      <c r="G462" s="505">
        <f t="shared" si="54"/>
        <v>0</v>
      </c>
      <c r="H462" s="58"/>
      <c r="I462" s="198">
        <f>Qty!M227*'Hist. prices'!I462*I$244</f>
        <v>0</v>
      </c>
      <c r="J462" s="198">
        <f>Qty!N227*'Hist. prices'!J462*J$244</f>
        <v>0</v>
      </c>
      <c r="K462" s="198">
        <f>Qty!O227*'Hist. prices'!K462*K$244</f>
        <v>0</v>
      </c>
      <c r="L462" s="198">
        <f>Qty!P227*'Hist. prices'!L462*L$244</f>
        <v>0</v>
      </c>
      <c r="M462" s="198">
        <f>Qty!Q227*'Hist. prices'!M462*M$244</f>
        <v>0</v>
      </c>
      <c r="N462" s="198">
        <f>Qty!R227*'Hist. prices'!N462*N$244</f>
        <v>0</v>
      </c>
      <c r="O462" s="198">
        <f>Qty!S227*'Hist. prices'!O462*O$244</f>
        <v>0</v>
      </c>
      <c r="P462" s="198">
        <f>Qty!T227*'Hist. prices'!P462*P$244</f>
        <v>0</v>
      </c>
      <c r="Q462" s="198">
        <f>Qty!U227*'Hist. prices'!Q462*Q$244</f>
        <v>0</v>
      </c>
      <c r="R462" s="198">
        <f>Qty!V227*'Hist. prices'!R462*R$244</f>
        <v>0</v>
      </c>
      <c r="S462" s="198">
        <f>Qty!W227*'Hist. prices'!S462*S$244</f>
        <v>0</v>
      </c>
      <c r="T462" s="198">
        <f>Qty!X227*'Hist. prices'!T462*T$244</f>
        <v>0</v>
      </c>
      <c r="U462" s="198">
        <f>Qty!Y227*'Hist. prices'!U462*U$244</f>
        <v>0</v>
      </c>
      <c r="V462" s="198">
        <f>Qty!Z227*'Hist. prices'!V462*V$244</f>
        <v>0</v>
      </c>
      <c r="W462" s="198">
        <f>Qty!AA227*'Hist. prices'!W462*W$244</f>
        <v>0</v>
      </c>
      <c r="X462" s="198">
        <f>Qty!AB227*'Hist. prices'!X462*X$244</f>
        <v>0</v>
      </c>
      <c r="Y462" s="198">
        <f>Qty!AC227*'Hist. prices'!Y462*Y$244</f>
        <v>0</v>
      </c>
      <c r="Z462" s="198">
        <f>Qty!AD227*'Hist. prices'!Z462*Z$244</f>
        <v>0</v>
      </c>
      <c r="AA462" s="198">
        <f>Qty!AE227*'Hist. prices'!AA462*AA$244</f>
        <v>0</v>
      </c>
      <c r="AB462" s="198">
        <f>Qty!AF227*'Hist. prices'!AB462*AB$244</f>
        <v>0</v>
      </c>
      <c r="AC462" s="206">
        <f t="shared" si="51"/>
        <v>0</v>
      </c>
      <c r="AD462" s="68"/>
      <c r="AE462" s="19"/>
      <c r="AF462" s="19"/>
      <c r="AG462" s="19"/>
      <c r="AH462" s="19"/>
    </row>
    <row r="463" spans="1:34" hidden="1" outlineLevel="3" x14ac:dyDescent="0.2">
      <c r="A463" s="19"/>
      <c r="B463" s="19"/>
      <c r="C463" s="506">
        <f t="shared" si="54"/>
        <v>0</v>
      </c>
      <c r="D463" s="505">
        <f t="shared" si="54"/>
        <v>0</v>
      </c>
      <c r="E463" s="505">
        <f t="shared" si="54"/>
        <v>0</v>
      </c>
      <c r="F463" s="505">
        <f t="shared" si="54"/>
        <v>0</v>
      </c>
      <c r="G463" s="505">
        <f t="shared" si="54"/>
        <v>0</v>
      </c>
      <c r="H463" s="58"/>
      <c r="I463" s="198">
        <f>Qty!M228*'Hist. prices'!I463*I$244</f>
        <v>0</v>
      </c>
      <c r="J463" s="198">
        <f>Qty!N228*'Hist. prices'!J463*J$244</f>
        <v>0</v>
      </c>
      <c r="K463" s="198">
        <f>Qty!O228*'Hist. prices'!K463*K$244</f>
        <v>0</v>
      </c>
      <c r="L463" s="198">
        <f>Qty!P228*'Hist. prices'!L463*L$244</f>
        <v>0</v>
      </c>
      <c r="M463" s="198">
        <f>Qty!Q228*'Hist. prices'!M463*M$244</f>
        <v>0</v>
      </c>
      <c r="N463" s="198">
        <f>Qty!R228*'Hist. prices'!N463*N$244</f>
        <v>0</v>
      </c>
      <c r="O463" s="198">
        <f>Qty!S228*'Hist. prices'!O463*O$244</f>
        <v>0</v>
      </c>
      <c r="P463" s="198">
        <f>Qty!T228*'Hist. prices'!P463*P$244</f>
        <v>0</v>
      </c>
      <c r="Q463" s="198">
        <f>Qty!U228*'Hist. prices'!Q463*Q$244</f>
        <v>0</v>
      </c>
      <c r="R463" s="198">
        <f>Qty!V228*'Hist. prices'!R463*R$244</f>
        <v>0</v>
      </c>
      <c r="S463" s="198">
        <f>Qty!W228*'Hist. prices'!S463*S$244</f>
        <v>0</v>
      </c>
      <c r="T463" s="198">
        <f>Qty!X228*'Hist. prices'!T463*T$244</f>
        <v>0</v>
      </c>
      <c r="U463" s="198">
        <f>Qty!Y228*'Hist. prices'!U463*U$244</f>
        <v>0</v>
      </c>
      <c r="V463" s="198">
        <f>Qty!Z228*'Hist. prices'!V463*V$244</f>
        <v>0</v>
      </c>
      <c r="W463" s="198">
        <f>Qty!AA228*'Hist. prices'!W463*W$244</f>
        <v>0</v>
      </c>
      <c r="X463" s="198">
        <f>Qty!AB228*'Hist. prices'!X463*X$244</f>
        <v>0</v>
      </c>
      <c r="Y463" s="198">
        <f>Qty!AC228*'Hist. prices'!Y463*Y$244</f>
        <v>0</v>
      </c>
      <c r="Z463" s="198">
        <f>Qty!AD228*'Hist. prices'!Z463*Z$244</f>
        <v>0</v>
      </c>
      <c r="AA463" s="198">
        <f>Qty!AE228*'Hist. prices'!AA463*AA$244</f>
        <v>0</v>
      </c>
      <c r="AB463" s="198">
        <f>Qty!AF228*'Hist. prices'!AB463*AB$244</f>
        <v>0</v>
      </c>
      <c r="AC463" s="206">
        <f t="shared" si="51"/>
        <v>0</v>
      </c>
      <c r="AD463" s="68"/>
      <c r="AE463" s="19"/>
      <c r="AF463" s="19"/>
      <c r="AG463" s="19"/>
      <c r="AH463" s="19"/>
    </row>
    <row r="464" spans="1:34" hidden="1" outlineLevel="3" x14ac:dyDescent="0.2">
      <c r="A464" s="19"/>
      <c r="B464" s="19"/>
      <c r="C464" s="506">
        <f t="shared" si="54"/>
        <v>0</v>
      </c>
      <c r="D464" s="505">
        <f t="shared" si="54"/>
        <v>0</v>
      </c>
      <c r="E464" s="505">
        <f t="shared" si="54"/>
        <v>0</v>
      </c>
      <c r="F464" s="505">
        <f t="shared" si="54"/>
        <v>0</v>
      </c>
      <c r="G464" s="505">
        <f t="shared" si="54"/>
        <v>0</v>
      </c>
      <c r="H464" s="58"/>
      <c r="I464" s="198">
        <f>Qty!M229*'Hist. prices'!I464*I$244</f>
        <v>0</v>
      </c>
      <c r="J464" s="198">
        <f>Qty!N229*'Hist. prices'!J464*J$244</f>
        <v>0</v>
      </c>
      <c r="K464" s="198">
        <f>Qty!O229*'Hist. prices'!K464*K$244</f>
        <v>0</v>
      </c>
      <c r="L464" s="198">
        <f>Qty!P229*'Hist. prices'!L464*L$244</f>
        <v>0</v>
      </c>
      <c r="M464" s="198">
        <f>Qty!Q229*'Hist. prices'!M464*M$244</f>
        <v>0</v>
      </c>
      <c r="N464" s="198">
        <f>Qty!R229*'Hist. prices'!N464*N$244</f>
        <v>0</v>
      </c>
      <c r="O464" s="198">
        <f>Qty!S229*'Hist. prices'!O464*O$244</f>
        <v>0</v>
      </c>
      <c r="P464" s="198">
        <f>Qty!T229*'Hist. prices'!P464*P$244</f>
        <v>0</v>
      </c>
      <c r="Q464" s="198">
        <f>Qty!U229*'Hist. prices'!Q464*Q$244</f>
        <v>0</v>
      </c>
      <c r="R464" s="198">
        <f>Qty!V229*'Hist. prices'!R464*R$244</f>
        <v>0</v>
      </c>
      <c r="S464" s="198">
        <f>Qty!W229*'Hist. prices'!S464*S$244</f>
        <v>0</v>
      </c>
      <c r="T464" s="198">
        <f>Qty!X229*'Hist. prices'!T464*T$244</f>
        <v>0</v>
      </c>
      <c r="U464" s="198">
        <f>Qty!Y229*'Hist. prices'!U464*U$244</f>
        <v>0</v>
      </c>
      <c r="V464" s="198">
        <f>Qty!Z229*'Hist. prices'!V464*V$244</f>
        <v>0</v>
      </c>
      <c r="W464" s="198">
        <f>Qty!AA229*'Hist. prices'!W464*W$244</f>
        <v>0</v>
      </c>
      <c r="X464" s="198">
        <f>Qty!AB229*'Hist. prices'!X464*X$244</f>
        <v>0</v>
      </c>
      <c r="Y464" s="198">
        <f>Qty!AC229*'Hist. prices'!Y464*Y$244</f>
        <v>0</v>
      </c>
      <c r="Z464" s="198">
        <f>Qty!AD229*'Hist. prices'!Z464*Z$244</f>
        <v>0</v>
      </c>
      <c r="AA464" s="198">
        <f>Qty!AE229*'Hist. prices'!AA464*AA$244</f>
        <v>0</v>
      </c>
      <c r="AB464" s="198">
        <f>Qty!AF229*'Hist. prices'!AB464*AB$244</f>
        <v>0</v>
      </c>
      <c r="AC464" s="206">
        <f t="shared" si="51"/>
        <v>0</v>
      </c>
      <c r="AD464" s="68"/>
      <c r="AE464" s="19"/>
      <c r="AF464" s="19"/>
      <c r="AG464" s="19"/>
      <c r="AH464" s="19"/>
    </row>
    <row r="465" spans="1:34" hidden="1" outlineLevel="3" x14ac:dyDescent="0.2">
      <c r="A465" s="19"/>
      <c r="B465" s="19"/>
      <c r="C465" s="506">
        <f t="shared" si="54"/>
        <v>0</v>
      </c>
      <c r="D465" s="505">
        <f t="shared" si="54"/>
        <v>0</v>
      </c>
      <c r="E465" s="505">
        <f t="shared" si="54"/>
        <v>0</v>
      </c>
      <c r="F465" s="505">
        <f t="shared" si="54"/>
        <v>0</v>
      </c>
      <c r="G465" s="505">
        <f t="shared" si="54"/>
        <v>0</v>
      </c>
      <c r="H465" s="58"/>
      <c r="I465" s="198">
        <f>Qty!M230*'Hist. prices'!I465*I$244</f>
        <v>0</v>
      </c>
      <c r="J465" s="198">
        <f>Qty!N230*'Hist. prices'!J465*J$244</f>
        <v>0</v>
      </c>
      <c r="K465" s="198">
        <f>Qty!O230*'Hist. prices'!K465*K$244</f>
        <v>0</v>
      </c>
      <c r="L465" s="198">
        <f>Qty!P230*'Hist. prices'!L465*L$244</f>
        <v>0</v>
      </c>
      <c r="M465" s="198">
        <f>Qty!Q230*'Hist. prices'!M465*M$244</f>
        <v>0</v>
      </c>
      <c r="N465" s="198">
        <f>Qty!R230*'Hist. prices'!N465*N$244</f>
        <v>0</v>
      </c>
      <c r="O465" s="198">
        <f>Qty!S230*'Hist. prices'!O465*O$244</f>
        <v>0</v>
      </c>
      <c r="P465" s="198">
        <f>Qty!T230*'Hist. prices'!P465*P$244</f>
        <v>0</v>
      </c>
      <c r="Q465" s="198">
        <f>Qty!U230*'Hist. prices'!Q465*Q$244</f>
        <v>0</v>
      </c>
      <c r="R465" s="198">
        <f>Qty!V230*'Hist. prices'!R465*R$244</f>
        <v>0</v>
      </c>
      <c r="S465" s="198">
        <f>Qty!W230*'Hist. prices'!S465*S$244</f>
        <v>0</v>
      </c>
      <c r="T465" s="198">
        <f>Qty!X230*'Hist. prices'!T465*T$244</f>
        <v>0</v>
      </c>
      <c r="U465" s="198">
        <f>Qty!Y230*'Hist. prices'!U465*U$244</f>
        <v>0</v>
      </c>
      <c r="V465" s="198">
        <f>Qty!Z230*'Hist. prices'!V465*V$244</f>
        <v>0</v>
      </c>
      <c r="W465" s="198">
        <f>Qty!AA230*'Hist. prices'!W465*W$244</f>
        <v>0</v>
      </c>
      <c r="X465" s="198">
        <f>Qty!AB230*'Hist. prices'!X465*X$244</f>
        <v>0</v>
      </c>
      <c r="Y465" s="198">
        <f>Qty!AC230*'Hist. prices'!Y465*Y$244</f>
        <v>0</v>
      </c>
      <c r="Z465" s="198">
        <f>Qty!AD230*'Hist. prices'!Z465*Z$244</f>
        <v>0</v>
      </c>
      <c r="AA465" s="198">
        <f>Qty!AE230*'Hist. prices'!AA465*AA$244</f>
        <v>0</v>
      </c>
      <c r="AB465" s="198">
        <f>Qty!AF230*'Hist. prices'!AB465*AB$244</f>
        <v>0</v>
      </c>
      <c r="AC465" s="206">
        <f t="shared" ref="AC465:AC475" si="55">SUM(I465:AB465)</f>
        <v>0</v>
      </c>
      <c r="AD465" s="68"/>
      <c r="AE465" s="19"/>
      <c r="AF465" s="19"/>
      <c r="AG465" s="19"/>
      <c r="AH465" s="19"/>
    </row>
    <row r="466" spans="1:34" hidden="1" outlineLevel="3" x14ac:dyDescent="0.2">
      <c r="A466" s="19"/>
      <c r="B466" s="19"/>
      <c r="C466" s="506">
        <f t="shared" si="54"/>
        <v>0</v>
      </c>
      <c r="D466" s="505">
        <f t="shared" si="54"/>
        <v>0</v>
      </c>
      <c r="E466" s="505">
        <f t="shared" si="54"/>
        <v>0</v>
      </c>
      <c r="F466" s="505">
        <f t="shared" si="54"/>
        <v>0</v>
      </c>
      <c r="G466" s="505">
        <f t="shared" si="54"/>
        <v>0</v>
      </c>
      <c r="H466" s="58"/>
      <c r="I466" s="198">
        <f>Qty!M231*'Hist. prices'!I466*I$244</f>
        <v>0</v>
      </c>
      <c r="J466" s="198">
        <f>Qty!N231*'Hist. prices'!J466*J$244</f>
        <v>0</v>
      </c>
      <c r="K466" s="198">
        <f>Qty!O231*'Hist. prices'!K466*K$244</f>
        <v>0</v>
      </c>
      <c r="L466" s="198">
        <f>Qty!P231*'Hist. prices'!L466*L$244</f>
        <v>0</v>
      </c>
      <c r="M466" s="198">
        <f>Qty!Q231*'Hist. prices'!M466*M$244</f>
        <v>0</v>
      </c>
      <c r="N466" s="198">
        <f>Qty!R231*'Hist. prices'!N466*N$244</f>
        <v>0</v>
      </c>
      <c r="O466" s="198">
        <f>Qty!S231*'Hist. prices'!O466*O$244</f>
        <v>0</v>
      </c>
      <c r="P466" s="198">
        <f>Qty!T231*'Hist. prices'!P466*P$244</f>
        <v>0</v>
      </c>
      <c r="Q466" s="198">
        <f>Qty!U231*'Hist. prices'!Q466*Q$244</f>
        <v>0</v>
      </c>
      <c r="R466" s="198">
        <f>Qty!V231*'Hist. prices'!R466*R$244</f>
        <v>0</v>
      </c>
      <c r="S466" s="198">
        <f>Qty!W231*'Hist. prices'!S466*S$244</f>
        <v>0</v>
      </c>
      <c r="T466" s="198">
        <f>Qty!X231*'Hist. prices'!T466*T$244</f>
        <v>0</v>
      </c>
      <c r="U466" s="198">
        <f>Qty!Y231*'Hist. prices'!U466*U$244</f>
        <v>0</v>
      </c>
      <c r="V466" s="198">
        <f>Qty!Z231*'Hist. prices'!V466*V$244</f>
        <v>0</v>
      </c>
      <c r="W466" s="198">
        <f>Qty!AA231*'Hist. prices'!W466*W$244</f>
        <v>0</v>
      </c>
      <c r="X466" s="198">
        <f>Qty!AB231*'Hist. prices'!X466*X$244</f>
        <v>0</v>
      </c>
      <c r="Y466" s="198">
        <f>Qty!AC231*'Hist. prices'!Y466*Y$244</f>
        <v>0</v>
      </c>
      <c r="Z466" s="198">
        <f>Qty!AD231*'Hist. prices'!Z466*Z$244</f>
        <v>0</v>
      </c>
      <c r="AA466" s="198">
        <f>Qty!AE231*'Hist. prices'!AA466*AA$244</f>
        <v>0</v>
      </c>
      <c r="AB466" s="198">
        <f>Qty!AF231*'Hist. prices'!AB466*AB$244</f>
        <v>0</v>
      </c>
      <c r="AC466" s="206">
        <f t="shared" si="55"/>
        <v>0</v>
      </c>
      <c r="AD466" s="68"/>
      <c r="AE466" s="19"/>
      <c r="AF466" s="19"/>
      <c r="AG466" s="19"/>
      <c r="AH466" s="19"/>
    </row>
    <row r="467" spans="1:34" hidden="1" outlineLevel="3" x14ac:dyDescent="0.2">
      <c r="A467" s="19"/>
      <c r="B467" s="19"/>
      <c r="C467" s="506">
        <f t="shared" si="54"/>
        <v>0</v>
      </c>
      <c r="D467" s="505">
        <f t="shared" si="54"/>
        <v>0</v>
      </c>
      <c r="E467" s="505">
        <f t="shared" si="54"/>
        <v>0</v>
      </c>
      <c r="F467" s="505">
        <f t="shared" si="54"/>
        <v>0</v>
      </c>
      <c r="G467" s="505">
        <f t="shared" si="54"/>
        <v>0</v>
      </c>
      <c r="H467" s="58"/>
      <c r="I467" s="198">
        <f>Qty!M232*'Hist. prices'!I467*I$244</f>
        <v>0</v>
      </c>
      <c r="J467" s="198">
        <f>Qty!N232*'Hist. prices'!J467*J$244</f>
        <v>0</v>
      </c>
      <c r="K467" s="198">
        <f>Qty!O232*'Hist. prices'!K467*K$244</f>
        <v>0</v>
      </c>
      <c r="L467" s="198">
        <f>Qty!P232*'Hist. prices'!L467*L$244</f>
        <v>0</v>
      </c>
      <c r="M467" s="198">
        <f>Qty!Q232*'Hist. prices'!M467*M$244</f>
        <v>0</v>
      </c>
      <c r="N467" s="198">
        <f>Qty!R232*'Hist. prices'!N467*N$244</f>
        <v>0</v>
      </c>
      <c r="O467" s="198">
        <f>Qty!S232*'Hist. prices'!O467*O$244</f>
        <v>0</v>
      </c>
      <c r="P467" s="198">
        <f>Qty!T232*'Hist. prices'!P467*P$244</f>
        <v>0</v>
      </c>
      <c r="Q467" s="198">
        <f>Qty!U232*'Hist. prices'!Q467*Q$244</f>
        <v>0</v>
      </c>
      <c r="R467" s="198">
        <f>Qty!V232*'Hist. prices'!R467*R$244</f>
        <v>0</v>
      </c>
      <c r="S467" s="198">
        <f>Qty!W232*'Hist. prices'!S467*S$244</f>
        <v>0</v>
      </c>
      <c r="T467" s="198">
        <f>Qty!X232*'Hist. prices'!T467*T$244</f>
        <v>0</v>
      </c>
      <c r="U467" s="198">
        <f>Qty!Y232*'Hist. prices'!U467*U$244</f>
        <v>0</v>
      </c>
      <c r="V467" s="198">
        <f>Qty!Z232*'Hist. prices'!V467*V$244</f>
        <v>0</v>
      </c>
      <c r="W467" s="198">
        <f>Qty!AA232*'Hist. prices'!W467*W$244</f>
        <v>0</v>
      </c>
      <c r="X467" s="198">
        <f>Qty!AB232*'Hist. prices'!X467*X$244</f>
        <v>0</v>
      </c>
      <c r="Y467" s="198">
        <f>Qty!AC232*'Hist. prices'!Y467*Y$244</f>
        <v>0</v>
      </c>
      <c r="Z467" s="198">
        <f>Qty!AD232*'Hist. prices'!Z467*Z$244</f>
        <v>0</v>
      </c>
      <c r="AA467" s="198">
        <f>Qty!AE232*'Hist. prices'!AA467*AA$244</f>
        <v>0</v>
      </c>
      <c r="AB467" s="198">
        <f>Qty!AF232*'Hist. prices'!AB467*AB$244</f>
        <v>0</v>
      </c>
      <c r="AC467" s="206">
        <f t="shared" si="55"/>
        <v>0</v>
      </c>
      <c r="AD467" s="68"/>
      <c r="AE467" s="19"/>
      <c r="AF467" s="19"/>
      <c r="AG467" s="19"/>
      <c r="AH467" s="19"/>
    </row>
    <row r="468" spans="1:34" hidden="1" outlineLevel="3" x14ac:dyDescent="0.2">
      <c r="A468" s="19"/>
      <c r="B468" s="19"/>
      <c r="C468" s="506">
        <f t="shared" si="54"/>
        <v>0</v>
      </c>
      <c r="D468" s="505">
        <f t="shared" si="54"/>
        <v>0</v>
      </c>
      <c r="E468" s="505">
        <f t="shared" si="54"/>
        <v>0</v>
      </c>
      <c r="F468" s="505">
        <f t="shared" si="54"/>
        <v>0</v>
      </c>
      <c r="G468" s="505">
        <f t="shared" si="54"/>
        <v>0</v>
      </c>
      <c r="H468" s="58"/>
      <c r="I468" s="198">
        <f>Qty!M233*'Hist. prices'!I468*I$244</f>
        <v>0</v>
      </c>
      <c r="J468" s="198">
        <f>Qty!N233*'Hist. prices'!J468*J$244</f>
        <v>0</v>
      </c>
      <c r="K468" s="198">
        <f>Qty!O233*'Hist. prices'!K468*K$244</f>
        <v>0</v>
      </c>
      <c r="L468" s="198">
        <f>Qty!P233*'Hist. prices'!L468*L$244</f>
        <v>0</v>
      </c>
      <c r="M468" s="198">
        <f>Qty!Q233*'Hist. prices'!M468*M$244</f>
        <v>0</v>
      </c>
      <c r="N468" s="198">
        <f>Qty!R233*'Hist. prices'!N468*N$244</f>
        <v>0</v>
      </c>
      <c r="O468" s="198">
        <f>Qty!S233*'Hist. prices'!O468*O$244</f>
        <v>0</v>
      </c>
      <c r="P468" s="198">
        <f>Qty!T233*'Hist. prices'!P468*P$244</f>
        <v>0</v>
      </c>
      <c r="Q468" s="198">
        <f>Qty!U233*'Hist. prices'!Q468*Q$244</f>
        <v>0</v>
      </c>
      <c r="R468" s="198">
        <f>Qty!V233*'Hist. prices'!R468*R$244</f>
        <v>0</v>
      </c>
      <c r="S468" s="198">
        <f>Qty!W233*'Hist. prices'!S468*S$244</f>
        <v>0</v>
      </c>
      <c r="T468" s="198">
        <f>Qty!X233*'Hist. prices'!T468*T$244</f>
        <v>0</v>
      </c>
      <c r="U468" s="198">
        <f>Qty!Y233*'Hist. prices'!U468*U$244</f>
        <v>0</v>
      </c>
      <c r="V468" s="198">
        <f>Qty!Z233*'Hist. prices'!V468*V$244</f>
        <v>0</v>
      </c>
      <c r="W468" s="198">
        <f>Qty!AA233*'Hist. prices'!W468*W$244</f>
        <v>0</v>
      </c>
      <c r="X468" s="198">
        <f>Qty!AB233*'Hist. prices'!X468*X$244</f>
        <v>0</v>
      </c>
      <c r="Y468" s="198">
        <f>Qty!AC233*'Hist. prices'!Y468*Y$244</f>
        <v>0</v>
      </c>
      <c r="Z468" s="198">
        <f>Qty!AD233*'Hist. prices'!Z468*Z$244</f>
        <v>0</v>
      </c>
      <c r="AA468" s="198">
        <f>Qty!AE233*'Hist. prices'!AA468*AA$244</f>
        <v>0</v>
      </c>
      <c r="AB468" s="198">
        <f>Qty!AF233*'Hist. prices'!AB468*AB$244</f>
        <v>0</v>
      </c>
      <c r="AC468" s="206">
        <f t="shared" si="55"/>
        <v>0</v>
      </c>
      <c r="AD468" s="68"/>
      <c r="AE468" s="19"/>
      <c r="AF468" s="19"/>
      <c r="AG468" s="19"/>
      <c r="AH468" s="19"/>
    </row>
    <row r="469" spans="1:34" hidden="1" outlineLevel="3" x14ac:dyDescent="0.2">
      <c r="A469" s="19"/>
      <c r="B469" s="19"/>
      <c r="C469" s="506">
        <f t="shared" si="54"/>
        <v>0</v>
      </c>
      <c r="D469" s="505">
        <f t="shared" si="54"/>
        <v>0</v>
      </c>
      <c r="E469" s="505">
        <f t="shared" si="54"/>
        <v>0</v>
      </c>
      <c r="F469" s="505">
        <f t="shared" si="54"/>
        <v>0</v>
      </c>
      <c r="G469" s="505">
        <f t="shared" si="54"/>
        <v>0</v>
      </c>
      <c r="H469" s="58"/>
      <c r="I469" s="198">
        <f>Qty!M234*'Hist. prices'!I469*I$244</f>
        <v>0</v>
      </c>
      <c r="J469" s="198">
        <f>Qty!N234*'Hist. prices'!J469*J$244</f>
        <v>0</v>
      </c>
      <c r="K469" s="198">
        <f>Qty!O234*'Hist. prices'!K469*K$244</f>
        <v>0</v>
      </c>
      <c r="L469" s="198">
        <f>Qty!P234*'Hist. prices'!L469*L$244</f>
        <v>0</v>
      </c>
      <c r="M469" s="198">
        <f>Qty!Q234*'Hist. prices'!M469*M$244</f>
        <v>0</v>
      </c>
      <c r="N469" s="198">
        <f>Qty!R234*'Hist. prices'!N469*N$244</f>
        <v>0</v>
      </c>
      <c r="O469" s="198">
        <f>Qty!S234*'Hist. prices'!O469*O$244</f>
        <v>0</v>
      </c>
      <c r="P469" s="198">
        <f>Qty!T234*'Hist. prices'!P469*P$244</f>
        <v>0</v>
      </c>
      <c r="Q469" s="198">
        <f>Qty!U234*'Hist. prices'!Q469*Q$244</f>
        <v>0</v>
      </c>
      <c r="R469" s="198">
        <f>Qty!V234*'Hist. prices'!R469*R$244</f>
        <v>0</v>
      </c>
      <c r="S469" s="198">
        <f>Qty!W234*'Hist. prices'!S469*S$244</f>
        <v>0</v>
      </c>
      <c r="T469" s="198">
        <f>Qty!X234*'Hist. prices'!T469*T$244</f>
        <v>0</v>
      </c>
      <c r="U469" s="198">
        <f>Qty!Y234*'Hist. prices'!U469*U$244</f>
        <v>0</v>
      </c>
      <c r="V469" s="198">
        <f>Qty!Z234*'Hist. prices'!V469*V$244</f>
        <v>0</v>
      </c>
      <c r="W469" s="198">
        <f>Qty!AA234*'Hist. prices'!W469*W$244</f>
        <v>0</v>
      </c>
      <c r="X469" s="198">
        <f>Qty!AB234*'Hist. prices'!X469*X$244</f>
        <v>0</v>
      </c>
      <c r="Y469" s="198">
        <f>Qty!AC234*'Hist. prices'!Y469*Y$244</f>
        <v>0</v>
      </c>
      <c r="Z469" s="198">
        <f>Qty!AD234*'Hist. prices'!Z469*Z$244</f>
        <v>0</v>
      </c>
      <c r="AA469" s="198">
        <f>Qty!AE234*'Hist. prices'!AA469*AA$244</f>
        <v>0</v>
      </c>
      <c r="AB469" s="198">
        <f>Qty!AF234*'Hist. prices'!AB469*AB$244</f>
        <v>0</v>
      </c>
      <c r="AC469" s="206">
        <f t="shared" si="55"/>
        <v>0</v>
      </c>
      <c r="AD469" s="68"/>
      <c r="AE469" s="19"/>
      <c r="AF469" s="19"/>
      <c r="AG469" s="19"/>
      <c r="AH469" s="19"/>
    </row>
    <row r="470" spans="1:34" hidden="1" outlineLevel="3" x14ac:dyDescent="0.2">
      <c r="A470" s="19"/>
      <c r="B470" s="19"/>
      <c r="C470" s="506">
        <f t="shared" si="54"/>
        <v>0</v>
      </c>
      <c r="D470" s="505">
        <f t="shared" si="54"/>
        <v>0</v>
      </c>
      <c r="E470" s="505">
        <f t="shared" si="54"/>
        <v>0</v>
      </c>
      <c r="F470" s="505">
        <f t="shared" si="54"/>
        <v>0</v>
      </c>
      <c r="G470" s="505">
        <f t="shared" si="54"/>
        <v>0</v>
      </c>
      <c r="H470" s="58"/>
      <c r="I470" s="198">
        <f>Qty!M235*'Hist. prices'!I470*I$244</f>
        <v>0</v>
      </c>
      <c r="J470" s="198">
        <f>Qty!N235*'Hist. prices'!J470*J$244</f>
        <v>0</v>
      </c>
      <c r="K470" s="198">
        <f>Qty!O235*'Hist. prices'!K470*K$244</f>
        <v>0</v>
      </c>
      <c r="L470" s="198">
        <f>Qty!P235*'Hist. prices'!L470*L$244</f>
        <v>0</v>
      </c>
      <c r="M470" s="198">
        <f>Qty!Q235*'Hist. prices'!M470*M$244</f>
        <v>0</v>
      </c>
      <c r="N470" s="198">
        <f>Qty!R235*'Hist. prices'!N470*N$244</f>
        <v>0</v>
      </c>
      <c r="O470" s="198">
        <f>Qty!S235*'Hist. prices'!O470*O$244</f>
        <v>0</v>
      </c>
      <c r="P470" s="198">
        <f>Qty!T235*'Hist. prices'!P470*P$244</f>
        <v>0</v>
      </c>
      <c r="Q470" s="198">
        <f>Qty!U235*'Hist. prices'!Q470*Q$244</f>
        <v>0</v>
      </c>
      <c r="R470" s="198">
        <f>Qty!V235*'Hist. prices'!R470*R$244</f>
        <v>0</v>
      </c>
      <c r="S470" s="198">
        <f>Qty!W235*'Hist. prices'!S470*S$244</f>
        <v>0</v>
      </c>
      <c r="T470" s="198">
        <f>Qty!X235*'Hist. prices'!T470*T$244</f>
        <v>0</v>
      </c>
      <c r="U470" s="198">
        <f>Qty!Y235*'Hist. prices'!U470*U$244</f>
        <v>0</v>
      </c>
      <c r="V470" s="198">
        <f>Qty!Z235*'Hist. prices'!V470*V$244</f>
        <v>0</v>
      </c>
      <c r="W470" s="198">
        <f>Qty!AA235*'Hist. prices'!W470*W$244</f>
        <v>0</v>
      </c>
      <c r="X470" s="198">
        <f>Qty!AB235*'Hist. prices'!X470*X$244</f>
        <v>0</v>
      </c>
      <c r="Y470" s="198">
        <f>Qty!AC235*'Hist. prices'!Y470*Y$244</f>
        <v>0</v>
      </c>
      <c r="Z470" s="198">
        <f>Qty!AD235*'Hist. prices'!Z470*Z$244</f>
        <v>0</v>
      </c>
      <c r="AA470" s="198">
        <f>Qty!AE235*'Hist. prices'!AA470*AA$244</f>
        <v>0</v>
      </c>
      <c r="AB470" s="198">
        <f>Qty!AF235*'Hist. prices'!AB470*AB$244</f>
        <v>0</v>
      </c>
      <c r="AC470" s="206">
        <f t="shared" si="55"/>
        <v>0</v>
      </c>
      <c r="AD470" s="68"/>
      <c r="AE470" s="19"/>
      <c r="AF470" s="19"/>
      <c r="AG470" s="19"/>
      <c r="AH470" s="19"/>
    </row>
    <row r="471" spans="1:34" hidden="1" outlineLevel="3" x14ac:dyDescent="0.2">
      <c r="A471" s="19"/>
      <c r="B471" s="19"/>
      <c r="C471" s="506">
        <f t="shared" ref="C471:G475" si="56">C315</f>
        <v>0</v>
      </c>
      <c r="D471" s="505">
        <f t="shared" si="56"/>
        <v>0</v>
      </c>
      <c r="E471" s="505">
        <f t="shared" si="56"/>
        <v>0</v>
      </c>
      <c r="F471" s="505">
        <f t="shared" si="56"/>
        <v>0</v>
      </c>
      <c r="G471" s="505">
        <f t="shared" si="56"/>
        <v>0</v>
      </c>
      <c r="H471" s="58"/>
      <c r="I471" s="198">
        <f>Qty!M236*'Hist. prices'!I471*I$244</f>
        <v>0</v>
      </c>
      <c r="J471" s="198">
        <f>Qty!N236*'Hist. prices'!J471*J$244</f>
        <v>0</v>
      </c>
      <c r="K471" s="198">
        <f>Qty!O236*'Hist. prices'!K471*K$244</f>
        <v>0</v>
      </c>
      <c r="L471" s="198">
        <f>Qty!P236*'Hist. prices'!L471*L$244</f>
        <v>0</v>
      </c>
      <c r="M471" s="198">
        <f>Qty!Q236*'Hist. prices'!M471*M$244</f>
        <v>0</v>
      </c>
      <c r="N471" s="198">
        <f>Qty!R236*'Hist. prices'!N471*N$244</f>
        <v>0</v>
      </c>
      <c r="O471" s="198">
        <f>Qty!S236*'Hist. prices'!O471*O$244</f>
        <v>0</v>
      </c>
      <c r="P471" s="198">
        <f>Qty!T236*'Hist. prices'!P471*P$244</f>
        <v>0</v>
      </c>
      <c r="Q471" s="198">
        <f>Qty!U236*'Hist. prices'!Q471*Q$244</f>
        <v>0</v>
      </c>
      <c r="R471" s="198">
        <f>Qty!V236*'Hist. prices'!R471*R$244</f>
        <v>0</v>
      </c>
      <c r="S471" s="198">
        <f>Qty!W236*'Hist. prices'!S471*S$244</f>
        <v>0</v>
      </c>
      <c r="T471" s="198">
        <f>Qty!X236*'Hist. prices'!T471*T$244</f>
        <v>0</v>
      </c>
      <c r="U471" s="198">
        <f>Qty!Y236*'Hist. prices'!U471*U$244</f>
        <v>0</v>
      </c>
      <c r="V471" s="198">
        <f>Qty!Z236*'Hist. prices'!V471*V$244</f>
        <v>0</v>
      </c>
      <c r="W471" s="198">
        <f>Qty!AA236*'Hist. prices'!W471*W$244</f>
        <v>0</v>
      </c>
      <c r="X471" s="198">
        <f>Qty!AB236*'Hist. prices'!X471*X$244</f>
        <v>0</v>
      </c>
      <c r="Y471" s="198">
        <f>Qty!AC236*'Hist. prices'!Y471*Y$244</f>
        <v>0</v>
      </c>
      <c r="Z471" s="198">
        <f>Qty!AD236*'Hist. prices'!Z471*Z$244</f>
        <v>0</v>
      </c>
      <c r="AA471" s="198">
        <f>Qty!AE236*'Hist. prices'!AA471*AA$244</f>
        <v>0</v>
      </c>
      <c r="AB471" s="198">
        <f>Qty!AF236*'Hist. prices'!AB471*AB$244</f>
        <v>0</v>
      </c>
      <c r="AC471" s="206">
        <f t="shared" si="55"/>
        <v>0</v>
      </c>
      <c r="AD471" s="68"/>
      <c r="AE471" s="19"/>
      <c r="AF471" s="19"/>
      <c r="AG471" s="19"/>
      <c r="AH471" s="19"/>
    </row>
    <row r="472" spans="1:34" hidden="1" outlineLevel="3" x14ac:dyDescent="0.2">
      <c r="A472" s="19"/>
      <c r="B472" s="19"/>
      <c r="C472" s="506">
        <f t="shared" si="56"/>
        <v>0</v>
      </c>
      <c r="D472" s="505">
        <f t="shared" si="56"/>
        <v>0</v>
      </c>
      <c r="E472" s="505">
        <f t="shared" si="56"/>
        <v>0</v>
      </c>
      <c r="F472" s="505">
        <f t="shared" si="56"/>
        <v>0</v>
      </c>
      <c r="G472" s="505">
        <f t="shared" si="56"/>
        <v>0</v>
      </c>
      <c r="H472" s="58"/>
      <c r="I472" s="198">
        <f>Qty!M237*'Hist. prices'!I472*I$244</f>
        <v>0</v>
      </c>
      <c r="J472" s="198">
        <f>Qty!N237*'Hist. prices'!J472*J$244</f>
        <v>0</v>
      </c>
      <c r="K472" s="198">
        <f>Qty!O237*'Hist. prices'!K472*K$244</f>
        <v>0</v>
      </c>
      <c r="L472" s="198">
        <f>Qty!P237*'Hist. prices'!L472*L$244</f>
        <v>0</v>
      </c>
      <c r="M472" s="198">
        <f>Qty!Q237*'Hist. prices'!M472*M$244</f>
        <v>0</v>
      </c>
      <c r="N472" s="198">
        <f>Qty!R237*'Hist. prices'!N472*N$244</f>
        <v>0</v>
      </c>
      <c r="O472" s="198">
        <f>Qty!S237*'Hist. prices'!O472*O$244</f>
        <v>0</v>
      </c>
      <c r="P472" s="198">
        <f>Qty!T237*'Hist. prices'!P472*P$244</f>
        <v>0</v>
      </c>
      <c r="Q472" s="198">
        <f>Qty!U237*'Hist. prices'!Q472*Q$244</f>
        <v>0</v>
      </c>
      <c r="R472" s="198">
        <f>Qty!V237*'Hist. prices'!R472*R$244</f>
        <v>0</v>
      </c>
      <c r="S472" s="198">
        <f>Qty!W237*'Hist. prices'!S472*S$244</f>
        <v>0</v>
      </c>
      <c r="T472" s="198">
        <f>Qty!X237*'Hist. prices'!T472*T$244</f>
        <v>0</v>
      </c>
      <c r="U472" s="198">
        <f>Qty!Y237*'Hist. prices'!U472*U$244</f>
        <v>0</v>
      </c>
      <c r="V472" s="198">
        <f>Qty!Z237*'Hist. prices'!V472*V$244</f>
        <v>0</v>
      </c>
      <c r="W472" s="198">
        <f>Qty!AA237*'Hist. prices'!W472*W$244</f>
        <v>0</v>
      </c>
      <c r="X472" s="198">
        <f>Qty!AB237*'Hist. prices'!X472*X$244</f>
        <v>0</v>
      </c>
      <c r="Y472" s="198">
        <f>Qty!AC237*'Hist. prices'!Y472*Y$244</f>
        <v>0</v>
      </c>
      <c r="Z472" s="198">
        <f>Qty!AD237*'Hist. prices'!Z472*Z$244</f>
        <v>0</v>
      </c>
      <c r="AA472" s="198">
        <f>Qty!AE237*'Hist. prices'!AA472*AA$244</f>
        <v>0</v>
      </c>
      <c r="AB472" s="198">
        <f>Qty!AF237*'Hist. prices'!AB472*AB$244</f>
        <v>0</v>
      </c>
      <c r="AC472" s="206">
        <f t="shared" si="55"/>
        <v>0</v>
      </c>
      <c r="AD472" s="68"/>
      <c r="AE472" s="19"/>
      <c r="AF472" s="19"/>
      <c r="AG472" s="19"/>
      <c r="AH472" s="19"/>
    </row>
    <row r="473" spans="1:34" hidden="1" outlineLevel="3" x14ac:dyDescent="0.2">
      <c r="A473" s="19"/>
      <c r="B473" s="19"/>
      <c r="C473" s="506">
        <f t="shared" si="56"/>
        <v>0</v>
      </c>
      <c r="D473" s="505">
        <f t="shared" si="56"/>
        <v>0</v>
      </c>
      <c r="E473" s="505">
        <f t="shared" si="56"/>
        <v>0</v>
      </c>
      <c r="F473" s="505">
        <f t="shared" si="56"/>
        <v>0</v>
      </c>
      <c r="G473" s="505">
        <f t="shared" si="56"/>
        <v>0</v>
      </c>
      <c r="H473" s="58"/>
      <c r="I473" s="198">
        <f>Qty!M238*'Hist. prices'!I473*I$244</f>
        <v>0</v>
      </c>
      <c r="J473" s="198">
        <f>Qty!N238*'Hist. prices'!J473*J$244</f>
        <v>0</v>
      </c>
      <c r="K473" s="198">
        <f>Qty!O238*'Hist. prices'!K473*K$244</f>
        <v>0</v>
      </c>
      <c r="L473" s="198">
        <f>Qty!P238*'Hist. prices'!L473*L$244</f>
        <v>0</v>
      </c>
      <c r="M473" s="198">
        <f>Qty!Q238*'Hist. prices'!M473*M$244</f>
        <v>0</v>
      </c>
      <c r="N473" s="198">
        <f>Qty!R238*'Hist. prices'!N473*N$244</f>
        <v>0</v>
      </c>
      <c r="O473" s="198">
        <f>Qty!S238*'Hist. prices'!O473*O$244</f>
        <v>0</v>
      </c>
      <c r="P473" s="198">
        <f>Qty!T238*'Hist. prices'!P473*P$244</f>
        <v>0</v>
      </c>
      <c r="Q473" s="198">
        <f>Qty!U238*'Hist. prices'!Q473*Q$244</f>
        <v>0</v>
      </c>
      <c r="R473" s="198">
        <f>Qty!V238*'Hist. prices'!R473*R$244</f>
        <v>0</v>
      </c>
      <c r="S473" s="198">
        <f>Qty!W238*'Hist. prices'!S473*S$244</f>
        <v>0</v>
      </c>
      <c r="T473" s="198">
        <f>Qty!X238*'Hist. prices'!T473*T$244</f>
        <v>0</v>
      </c>
      <c r="U473" s="198">
        <f>Qty!Y238*'Hist. prices'!U473*U$244</f>
        <v>0</v>
      </c>
      <c r="V473" s="198">
        <f>Qty!Z238*'Hist. prices'!V473*V$244</f>
        <v>0</v>
      </c>
      <c r="W473" s="198">
        <f>Qty!AA238*'Hist. prices'!W473*W$244</f>
        <v>0</v>
      </c>
      <c r="X473" s="198">
        <f>Qty!AB238*'Hist. prices'!X473*X$244</f>
        <v>0</v>
      </c>
      <c r="Y473" s="198">
        <f>Qty!AC238*'Hist. prices'!Y473*Y$244</f>
        <v>0</v>
      </c>
      <c r="Z473" s="198">
        <f>Qty!AD238*'Hist. prices'!Z473*Z$244</f>
        <v>0</v>
      </c>
      <c r="AA473" s="198">
        <f>Qty!AE238*'Hist. prices'!AA473*AA$244</f>
        <v>0</v>
      </c>
      <c r="AB473" s="198">
        <f>Qty!AF238*'Hist. prices'!AB473*AB$244</f>
        <v>0</v>
      </c>
      <c r="AC473" s="206">
        <f t="shared" si="55"/>
        <v>0</v>
      </c>
      <c r="AD473" s="68"/>
      <c r="AE473" s="19"/>
      <c r="AF473" s="19"/>
      <c r="AG473" s="19"/>
      <c r="AH473" s="19"/>
    </row>
    <row r="474" spans="1:34" hidden="1" outlineLevel="3" x14ac:dyDescent="0.2">
      <c r="A474" s="19"/>
      <c r="B474" s="19"/>
      <c r="C474" s="506">
        <f t="shared" si="56"/>
        <v>0</v>
      </c>
      <c r="D474" s="505">
        <f t="shared" si="56"/>
        <v>0</v>
      </c>
      <c r="E474" s="505">
        <f t="shared" si="56"/>
        <v>0</v>
      </c>
      <c r="F474" s="505">
        <f t="shared" si="56"/>
        <v>0</v>
      </c>
      <c r="G474" s="505">
        <f t="shared" si="56"/>
        <v>0</v>
      </c>
      <c r="H474" s="58"/>
      <c r="I474" s="198">
        <f>Qty!M239*'Hist. prices'!I474*I$244</f>
        <v>0</v>
      </c>
      <c r="J474" s="198">
        <f>Qty!N239*'Hist. prices'!J474*J$244</f>
        <v>0</v>
      </c>
      <c r="K474" s="198">
        <f>Qty!O239*'Hist. prices'!K474*K$244</f>
        <v>0</v>
      </c>
      <c r="L474" s="198">
        <f>Qty!P239*'Hist. prices'!L474*L$244</f>
        <v>0</v>
      </c>
      <c r="M474" s="198">
        <f>Qty!Q239*'Hist. prices'!M474*M$244</f>
        <v>0</v>
      </c>
      <c r="N474" s="198">
        <f>Qty!R239*'Hist. prices'!N474*N$244</f>
        <v>0</v>
      </c>
      <c r="O474" s="198">
        <f>Qty!S239*'Hist. prices'!O474*O$244</f>
        <v>0</v>
      </c>
      <c r="P474" s="198">
        <f>Qty!T239*'Hist. prices'!P474*P$244</f>
        <v>0</v>
      </c>
      <c r="Q474" s="198">
        <f>Qty!U239*'Hist. prices'!Q474*Q$244</f>
        <v>0</v>
      </c>
      <c r="R474" s="198">
        <f>Qty!V239*'Hist. prices'!R474*R$244</f>
        <v>0</v>
      </c>
      <c r="S474" s="198">
        <f>Qty!W239*'Hist. prices'!S474*S$244</f>
        <v>0</v>
      </c>
      <c r="T474" s="198">
        <f>Qty!X239*'Hist. prices'!T474*T$244</f>
        <v>0</v>
      </c>
      <c r="U474" s="198">
        <f>Qty!Y239*'Hist. prices'!U474*U$244</f>
        <v>0</v>
      </c>
      <c r="V474" s="198">
        <f>Qty!Z239*'Hist. prices'!V474*V$244</f>
        <v>0</v>
      </c>
      <c r="W474" s="198">
        <f>Qty!AA239*'Hist. prices'!W474*W$244</f>
        <v>0</v>
      </c>
      <c r="X474" s="198">
        <f>Qty!AB239*'Hist. prices'!X474*X$244</f>
        <v>0</v>
      </c>
      <c r="Y474" s="198">
        <f>Qty!AC239*'Hist. prices'!Y474*Y$244</f>
        <v>0</v>
      </c>
      <c r="Z474" s="198">
        <f>Qty!AD239*'Hist. prices'!Z474*Z$244</f>
        <v>0</v>
      </c>
      <c r="AA474" s="198">
        <f>Qty!AE239*'Hist. prices'!AA474*AA$244</f>
        <v>0</v>
      </c>
      <c r="AB474" s="198">
        <f>Qty!AF239*'Hist. prices'!AB474*AB$244</f>
        <v>0</v>
      </c>
      <c r="AC474" s="206">
        <f t="shared" si="55"/>
        <v>0</v>
      </c>
      <c r="AD474" s="68"/>
      <c r="AE474" s="19"/>
      <c r="AF474" s="19"/>
      <c r="AG474" s="19"/>
      <c r="AH474" s="19"/>
    </row>
    <row r="475" spans="1:34" hidden="1" outlineLevel="3" x14ac:dyDescent="0.2">
      <c r="A475" s="19"/>
      <c r="B475" s="19"/>
      <c r="C475" s="506">
        <f t="shared" si="56"/>
        <v>0</v>
      </c>
      <c r="D475" s="505">
        <f t="shared" si="56"/>
        <v>0</v>
      </c>
      <c r="E475" s="505">
        <f t="shared" si="56"/>
        <v>0</v>
      </c>
      <c r="F475" s="505">
        <f t="shared" si="56"/>
        <v>0</v>
      </c>
      <c r="G475" s="505">
        <f t="shared" si="56"/>
        <v>0</v>
      </c>
      <c r="H475" s="58"/>
      <c r="I475" s="198">
        <f>Qty!M240*'Hist. prices'!I475*I$244</f>
        <v>0</v>
      </c>
      <c r="J475" s="198">
        <f>Qty!N240*'Hist. prices'!J475*J$244</f>
        <v>0</v>
      </c>
      <c r="K475" s="198">
        <f>Qty!O240*'Hist. prices'!K475*K$244</f>
        <v>0</v>
      </c>
      <c r="L475" s="198">
        <f>Qty!P240*'Hist. prices'!L475*L$244</f>
        <v>0</v>
      </c>
      <c r="M475" s="198">
        <f>Qty!Q240*'Hist. prices'!M475*M$244</f>
        <v>0</v>
      </c>
      <c r="N475" s="198">
        <f>Qty!R240*'Hist. prices'!N475*N$244</f>
        <v>0</v>
      </c>
      <c r="O475" s="198">
        <f>Qty!S240*'Hist. prices'!O475*O$244</f>
        <v>0</v>
      </c>
      <c r="P475" s="198">
        <f>Qty!T240*'Hist. prices'!P475*P$244</f>
        <v>0</v>
      </c>
      <c r="Q475" s="198">
        <f>Qty!U240*'Hist. prices'!Q475*Q$244</f>
        <v>0</v>
      </c>
      <c r="R475" s="198">
        <f>Qty!V240*'Hist. prices'!R475*R$244</f>
        <v>0</v>
      </c>
      <c r="S475" s="198">
        <f>Qty!W240*'Hist. prices'!S475*S$244</f>
        <v>0</v>
      </c>
      <c r="T475" s="198">
        <f>Qty!X240*'Hist. prices'!T475*T$244</f>
        <v>0</v>
      </c>
      <c r="U475" s="198">
        <f>Qty!Y240*'Hist. prices'!U475*U$244</f>
        <v>0</v>
      </c>
      <c r="V475" s="198">
        <f>Qty!Z240*'Hist. prices'!V475*V$244</f>
        <v>0</v>
      </c>
      <c r="W475" s="198">
        <f>Qty!AA240*'Hist. prices'!W475*W$244</f>
        <v>0</v>
      </c>
      <c r="X475" s="198">
        <f>Qty!AB240*'Hist. prices'!X475*X$244</f>
        <v>0</v>
      </c>
      <c r="Y475" s="198">
        <f>Qty!AC240*'Hist. prices'!Y475*Y$244</f>
        <v>0</v>
      </c>
      <c r="Z475" s="198">
        <f>Qty!AD240*'Hist. prices'!Z475*Z$244</f>
        <v>0</v>
      </c>
      <c r="AA475" s="198">
        <f>Qty!AE240*'Hist. prices'!AA475*AA$244</f>
        <v>0</v>
      </c>
      <c r="AB475" s="198">
        <f>Qty!AF240*'Hist. prices'!AB475*AB$244</f>
        <v>0</v>
      </c>
      <c r="AC475" s="206">
        <f t="shared" si="55"/>
        <v>0</v>
      </c>
      <c r="AD475" s="68"/>
      <c r="AE475" s="19"/>
      <c r="AF475" s="19"/>
      <c r="AG475" s="19"/>
      <c r="AH475" s="19"/>
    </row>
    <row r="476" spans="1:34" hidden="1" outlineLevel="2" collapsed="1" x14ac:dyDescent="0.2">
      <c r="A476" s="19"/>
      <c r="B476" s="19"/>
      <c r="C476" s="539" t="s">
        <v>240</v>
      </c>
      <c r="D476" s="505"/>
      <c r="E476" s="505"/>
      <c r="F476" s="505"/>
      <c r="G476" s="505"/>
      <c r="H476" s="58"/>
      <c r="I476" s="205">
        <f t="shared" ref="I476:AC476" si="57">SUM(I401:I475)</f>
        <v>0</v>
      </c>
      <c r="J476" s="205">
        <f t="shared" si="57"/>
        <v>0</v>
      </c>
      <c r="K476" s="205">
        <f t="shared" si="57"/>
        <v>0</v>
      </c>
      <c r="L476" s="205">
        <f t="shared" si="57"/>
        <v>0</v>
      </c>
      <c r="M476" s="205">
        <f t="shared" si="57"/>
        <v>0</v>
      </c>
      <c r="N476" s="205">
        <f t="shared" si="57"/>
        <v>0</v>
      </c>
      <c r="O476" s="205">
        <f t="shared" si="57"/>
        <v>0</v>
      </c>
      <c r="P476" s="205">
        <f t="shared" si="57"/>
        <v>0</v>
      </c>
      <c r="Q476" s="205">
        <f t="shared" si="57"/>
        <v>0</v>
      </c>
      <c r="R476" s="205">
        <f t="shared" si="57"/>
        <v>0</v>
      </c>
      <c r="S476" s="205">
        <f t="shared" si="57"/>
        <v>0</v>
      </c>
      <c r="T476" s="205">
        <f t="shared" si="57"/>
        <v>0</v>
      </c>
      <c r="U476" s="205">
        <f t="shared" si="57"/>
        <v>0</v>
      </c>
      <c r="V476" s="205">
        <f t="shared" si="57"/>
        <v>0</v>
      </c>
      <c r="W476" s="205">
        <f t="shared" si="57"/>
        <v>0</v>
      </c>
      <c r="X476" s="205">
        <f t="shared" si="57"/>
        <v>0</v>
      </c>
      <c r="Y476" s="205">
        <f t="shared" si="57"/>
        <v>0</v>
      </c>
      <c r="Z476" s="205">
        <f t="shared" si="57"/>
        <v>0</v>
      </c>
      <c r="AA476" s="205">
        <f t="shared" si="57"/>
        <v>0</v>
      </c>
      <c r="AB476" s="205">
        <f t="shared" si="57"/>
        <v>0</v>
      </c>
      <c r="AC476" s="205">
        <f t="shared" si="57"/>
        <v>0</v>
      </c>
      <c r="AD476" s="19"/>
      <c r="AE476" s="19"/>
      <c r="AF476" s="19"/>
      <c r="AG476" s="19"/>
    </row>
    <row r="477" spans="1:34" outlineLevel="1" collapsed="1" x14ac:dyDescent="0.2">
      <c r="A477" s="19"/>
      <c r="B477" s="19"/>
      <c r="C477" s="66"/>
      <c r="D477" s="58"/>
      <c r="E477" s="58"/>
      <c r="F477" s="58"/>
      <c r="G477" s="58"/>
      <c r="H477" s="58"/>
      <c r="I477" s="83"/>
      <c r="J477" s="83"/>
      <c r="K477" s="84"/>
      <c r="L477" s="84"/>
      <c r="M477" s="84"/>
      <c r="N477" s="85"/>
      <c r="O477" s="85"/>
      <c r="P477" s="85"/>
      <c r="Q477" s="85"/>
      <c r="R477" s="85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19"/>
      <c r="AF477" s="19"/>
      <c r="AG477" s="19"/>
      <c r="AH477" s="19"/>
    </row>
    <row r="478" spans="1:34" x14ac:dyDescent="0.2">
      <c r="A478" s="19"/>
      <c r="B478" s="19"/>
      <c r="C478" s="36"/>
      <c r="D478" s="20"/>
      <c r="E478" s="20"/>
      <c r="F478" s="20"/>
      <c r="G478" s="22"/>
      <c r="H478" s="22"/>
      <c r="I478" s="22"/>
      <c r="J478" s="20"/>
      <c r="K478" s="20"/>
      <c r="L478" s="20"/>
      <c r="M478" s="20"/>
      <c r="N478" s="37"/>
      <c r="O478" s="37"/>
      <c r="P478" s="37"/>
      <c r="Q478" s="37"/>
      <c r="R478" s="37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</row>
    <row r="479" spans="1:34" ht="12.75" x14ac:dyDescent="0.2">
      <c r="A479" s="11"/>
      <c r="B479" s="12" t="str">
        <f>"Calculation table 20 | "&amp;currentyear&amp;" revenue - trial tariffs"</f>
        <v>Calculation table 20 | 2021–22 revenue - trial tariffs</v>
      </c>
      <c r="C479" s="11"/>
      <c r="D479" s="32" t="str">
        <f>D5</f>
        <v>Tariff class</v>
      </c>
      <c r="E479" s="32" t="str">
        <f>tariffid1</f>
        <v>Code</v>
      </c>
      <c r="F479" s="32" t="str">
        <f>tariffid2</f>
        <v>Trans. Node</v>
      </c>
      <c r="G479" s="33" t="str">
        <f>tariffid2</f>
        <v>Trans. Node</v>
      </c>
      <c r="H479" s="33"/>
      <c r="I479" s="169" t="str">
        <f t="shared" ref="I479:AC479" si="58">I5</f>
        <v>Service</v>
      </c>
      <c r="J479" s="169" t="str">
        <f t="shared" si="58"/>
        <v>All energy</v>
      </c>
      <c r="K479" s="169" t="str">
        <f t="shared" si="58"/>
        <v>Peak energy</v>
      </c>
      <c r="L479" s="169" t="str">
        <f t="shared" si="58"/>
        <v>Shoulder energy</v>
      </c>
      <c r="M479" s="169" t="str">
        <f t="shared" si="58"/>
        <v>Off-peak energy</v>
      </c>
      <c r="N479" s="169" t="str">
        <f t="shared" si="58"/>
        <v>All demand</v>
      </c>
      <c r="O479" s="169" t="str">
        <f t="shared" si="58"/>
        <v>Peak demand</v>
      </c>
      <c r="P479" s="169" t="str">
        <f t="shared" si="58"/>
        <v>Off-peak demand</v>
      </c>
      <c r="Q479" s="169" t="str">
        <f t="shared" si="58"/>
        <v>Specified demand</v>
      </c>
      <c r="R479" s="169" t="str">
        <f t="shared" si="58"/>
        <v>Excess daily demand</v>
      </c>
      <c r="S479" s="169" t="str">
        <f t="shared" si="58"/>
        <v>Daily demand connection</v>
      </c>
      <c r="T479" s="169" t="str">
        <f t="shared" si="58"/>
        <v>Excess daily demand connection</v>
      </c>
      <c r="U479" s="169" t="str">
        <f t="shared" si="58"/>
        <v>All demand (lamps)</v>
      </c>
      <c r="V479" s="169">
        <f t="shared" si="58"/>
        <v>0</v>
      </c>
      <c r="W479" s="169">
        <f t="shared" si="58"/>
        <v>0</v>
      </c>
      <c r="X479" s="169">
        <f t="shared" si="58"/>
        <v>0</v>
      </c>
      <c r="Y479" s="169">
        <f t="shared" si="58"/>
        <v>0</v>
      </c>
      <c r="Z479" s="169">
        <f t="shared" si="58"/>
        <v>0</v>
      </c>
      <c r="AA479" s="169">
        <f t="shared" si="58"/>
        <v>0</v>
      </c>
      <c r="AB479" s="169">
        <f t="shared" si="58"/>
        <v>0</v>
      </c>
      <c r="AC479" s="169" t="str">
        <f t="shared" si="58"/>
        <v>Total</v>
      </c>
      <c r="AD479" s="64"/>
      <c r="AE479" s="15"/>
      <c r="AF479" s="15"/>
      <c r="AG479" s="15"/>
      <c r="AH479" s="15"/>
    </row>
    <row r="480" spans="1:34" hidden="1" outlineLevel="2" x14ac:dyDescent="0.2">
      <c r="A480" s="19"/>
      <c r="B480" s="19"/>
      <c r="C480" s="36"/>
      <c r="D480" s="20"/>
      <c r="E480" s="20"/>
      <c r="F480" s="20"/>
      <c r="G480" s="22"/>
      <c r="H480" s="22"/>
      <c r="I480" s="170" t="str">
        <f t="shared" ref="I480:AC480" si="59">I6</f>
        <v>$dollars</v>
      </c>
      <c r="J480" s="170" t="str">
        <f t="shared" si="59"/>
        <v>$dollars</v>
      </c>
      <c r="K480" s="170" t="str">
        <f t="shared" si="59"/>
        <v>$dollars</v>
      </c>
      <c r="L480" s="170" t="str">
        <f t="shared" si="59"/>
        <v>$dollars</v>
      </c>
      <c r="M480" s="170" t="str">
        <f t="shared" si="59"/>
        <v>$dollars</v>
      </c>
      <c r="N480" s="170" t="str">
        <f t="shared" si="59"/>
        <v>$dollars</v>
      </c>
      <c r="O480" s="170" t="str">
        <f t="shared" si="59"/>
        <v>$dollars</v>
      </c>
      <c r="P480" s="170" t="str">
        <f t="shared" si="59"/>
        <v>$dollars</v>
      </c>
      <c r="Q480" s="170" t="str">
        <f t="shared" si="59"/>
        <v>$dollars</v>
      </c>
      <c r="R480" s="170" t="str">
        <f t="shared" si="59"/>
        <v>$dollars</v>
      </c>
      <c r="S480" s="170" t="str">
        <f t="shared" si="59"/>
        <v>$dollars</v>
      </c>
      <c r="T480" s="170" t="str">
        <f t="shared" si="59"/>
        <v>$dollars</v>
      </c>
      <c r="U480" s="170" t="str">
        <f t="shared" si="59"/>
        <v>$dollars</v>
      </c>
      <c r="V480" s="170">
        <f t="shared" si="59"/>
        <v>0</v>
      </c>
      <c r="W480" s="170">
        <f t="shared" si="59"/>
        <v>0</v>
      </c>
      <c r="X480" s="170">
        <f t="shared" si="59"/>
        <v>0</v>
      </c>
      <c r="Y480" s="170">
        <f t="shared" si="59"/>
        <v>0</v>
      </c>
      <c r="Z480" s="170">
        <f t="shared" si="59"/>
        <v>0</v>
      </c>
      <c r="AA480" s="170">
        <f t="shared" si="59"/>
        <v>0</v>
      </c>
      <c r="AB480" s="170">
        <f t="shared" si="59"/>
        <v>0</v>
      </c>
      <c r="AC480" s="170" t="str">
        <f t="shared" si="59"/>
        <v>$dollars</v>
      </c>
      <c r="AD480" s="19"/>
      <c r="AE480" s="19"/>
      <c r="AF480" s="19"/>
      <c r="AG480" s="19"/>
      <c r="AH480" s="19"/>
    </row>
    <row r="481" spans="1:34" hidden="1" outlineLevel="2" x14ac:dyDescent="0.2">
      <c r="A481" s="19"/>
      <c r="B481" s="19"/>
      <c r="C481" s="167" t="s">
        <v>136</v>
      </c>
      <c r="D481" s="20"/>
      <c r="E481" s="20"/>
      <c r="F481" s="20"/>
      <c r="G481" s="22"/>
      <c r="H481" s="22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  <c r="AB481" s="196"/>
      <c r="AC481" s="19"/>
      <c r="AD481" s="19"/>
      <c r="AE481" s="19"/>
      <c r="AF481" s="19"/>
      <c r="AG481" s="19"/>
      <c r="AH481" s="19"/>
    </row>
    <row r="482" spans="1:34" hidden="1" outlineLevel="2" x14ac:dyDescent="0.2">
      <c r="A482" s="19"/>
      <c r="B482" s="19"/>
      <c r="C482" s="506">
        <f>'Trial tariffs'!C33</f>
        <v>0</v>
      </c>
      <c r="D482" s="505">
        <f>'Trial tariffs'!D33</f>
        <v>0</v>
      </c>
      <c r="E482" s="505">
        <f>'Trial tariffs'!E33</f>
        <v>0</v>
      </c>
      <c r="F482" s="505">
        <f>'Trial tariffs'!E33</f>
        <v>0</v>
      </c>
      <c r="G482" s="505">
        <f>'Trial tariffs'!F33</f>
        <v>0</v>
      </c>
      <c r="H482" s="22"/>
      <c r="I482" s="198">
        <f>'Trial tariffs'!J33*'Trial tariffs'!J80*I$7</f>
        <v>0</v>
      </c>
      <c r="J482" s="198">
        <f>'Trial tariffs'!K33*'Trial tariffs'!K80*J$7</f>
        <v>0</v>
      </c>
      <c r="K482" s="198">
        <f>'Trial tariffs'!L33*'Trial tariffs'!L80*K$7</f>
        <v>0</v>
      </c>
      <c r="L482" s="198">
        <f>'Trial tariffs'!M33*'Trial tariffs'!M80*L$7</f>
        <v>0</v>
      </c>
      <c r="M482" s="198">
        <f>'Trial tariffs'!N33*'Trial tariffs'!N80*M$7</f>
        <v>0</v>
      </c>
      <c r="N482" s="198">
        <f>'Trial tariffs'!O33*'Trial tariffs'!O80*N$7</f>
        <v>0</v>
      </c>
      <c r="O482" s="198">
        <f>'Trial tariffs'!P33*'Trial tariffs'!P80*O$7</f>
        <v>0</v>
      </c>
      <c r="P482" s="198">
        <f>'Trial tariffs'!Q33*'Trial tariffs'!Q80*P$7</f>
        <v>0</v>
      </c>
      <c r="Q482" s="198">
        <f>'Trial tariffs'!R33*'Trial tariffs'!R80*Q$7</f>
        <v>0</v>
      </c>
      <c r="R482" s="198">
        <f>'Trial tariffs'!S33*'Trial tariffs'!S80*R$7</f>
        <v>0</v>
      </c>
      <c r="S482" s="198">
        <f>'Trial tariffs'!T33*'Trial tariffs'!T80*S$7</f>
        <v>0</v>
      </c>
      <c r="T482" s="198">
        <f>'Trial tariffs'!U33*'Trial tariffs'!U80*T$7</f>
        <v>0</v>
      </c>
      <c r="U482" s="198">
        <f>'Trial tariffs'!V33*'Trial tariffs'!V80*U$7</f>
        <v>0</v>
      </c>
      <c r="V482" s="198">
        <f>'Trial tariffs'!W33*'Trial tariffs'!W80*V$7</f>
        <v>0</v>
      </c>
      <c r="W482" s="198">
        <f>'Trial tariffs'!X33*'Trial tariffs'!X80*W$7</f>
        <v>0</v>
      </c>
      <c r="X482" s="198">
        <f>'Trial tariffs'!Y33*'Trial tariffs'!Y80*X$7</f>
        <v>0</v>
      </c>
      <c r="Y482" s="198">
        <f>'Trial tariffs'!Z33*'Trial tariffs'!Z80*Y$7</f>
        <v>0</v>
      </c>
      <c r="Z482" s="198">
        <f>'Trial tariffs'!AA33*'Trial tariffs'!AA80*Z$7</f>
        <v>0</v>
      </c>
      <c r="AA482" s="198">
        <f>'Trial tariffs'!AB33*'Trial tariffs'!AB80*AA$7</f>
        <v>0</v>
      </c>
      <c r="AB482" s="198">
        <f>'Trial tariffs'!AC33*'Trial tariffs'!AC80*AB$7</f>
        <v>0</v>
      </c>
      <c r="AC482" s="206">
        <f t="shared" ref="AC482:AC501" si="60">SUM(I482:AB482)</f>
        <v>0</v>
      </c>
      <c r="AD482" s="68"/>
      <c r="AE482" s="19"/>
      <c r="AF482" s="19"/>
      <c r="AG482" s="19"/>
      <c r="AH482" s="19"/>
    </row>
    <row r="483" spans="1:34" s="59" customFormat="1" hidden="1" outlineLevel="2" x14ac:dyDescent="0.2">
      <c r="A483" s="57"/>
      <c r="B483" s="57"/>
      <c r="C483" s="506">
        <f>'Trial tariffs'!C34</f>
        <v>0</v>
      </c>
      <c r="D483" s="505">
        <f>'Trial tariffs'!D34</f>
        <v>0</v>
      </c>
      <c r="E483" s="505">
        <f>'Trial tariffs'!E34</f>
        <v>0</v>
      </c>
      <c r="F483" s="505">
        <f>'Trial tariffs'!E34</f>
        <v>0</v>
      </c>
      <c r="G483" s="505">
        <f>'Trial tariffs'!F34</f>
        <v>0</v>
      </c>
      <c r="H483" s="58"/>
      <c r="I483" s="198">
        <f>'Trial tariffs'!J34*'Trial tariffs'!J81*I$7</f>
        <v>0</v>
      </c>
      <c r="J483" s="198">
        <f>'Trial tariffs'!K34*'Trial tariffs'!K81*J$7</f>
        <v>0</v>
      </c>
      <c r="K483" s="198">
        <f>'Trial tariffs'!L34*'Trial tariffs'!L81*K$7</f>
        <v>0</v>
      </c>
      <c r="L483" s="198">
        <f>'Trial tariffs'!M34*'Trial tariffs'!M81*L$7</f>
        <v>0</v>
      </c>
      <c r="M483" s="198">
        <f>'Trial tariffs'!N34*'Trial tariffs'!N81*M$7</f>
        <v>0</v>
      </c>
      <c r="N483" s="198">
        <f>'Trial tariffs'!O34*'Trial tariffs'!O81*N$7</f>
        <v>0</v>
      </c>
      <c r="O483" s="198">
        <f>'Trial tariffs'!P34*'Trial tariffs'!P81*O$7</f>
        <v>0</v>
      </c>
      <c r="P483" s="198">
        <f>'Trial tariffs'!Q34*'Trial tariffs'!Q81*P$7</f>
        <v>0</v>
      </c>
      <c r="Q483" s="198">
        <f>'Trial tariffs'!R34*'Trial tariffs'!R81*Q$7</f>
        <v>0</v>
      </c>
      <c r="R483" s="198">
        <f>'Trial tariffs'!S34*'Trial tariffs'!S81*R$7</f>
        <v>0</v>
      </c>
      <c r="S483" s="198">
        <f>'Trial tariffs'!T34*'Trial tariffs'!T81*S$7</f>
        <v>0</v>
      </c>
      <c r="T483" s="198">
        <f>'Trial tariffs'!U34*'Trial tariffs'!U81*T$7</f>
        <v>0</v>
      </c>
      <c r="U483" s="198">
        <f>'Trial tariffs'!V34*'Trial tariffs'!V81*U$7</f>
        <v>0</v>
      </c>
      <c r="V483" s="198">
        <f>'Trial tariffs'!W34*'Trial tariffs'!W81*V$7</f>
        <v>0</v>
      </c>
      <c r="W483" s="198">
        <f>'Trial tariffs'!X34*'Trial tariffs'!X81*W$7</f>
        <v>0</v>
      </c>
      <c r="X483" s="198">
        <f>'Trial tariffs'!Y34*'Trial tariffs'!Y81*X$7</f>
        <v>0</v>
      </c>
      <c r="Y483" s="198">
        <f>'Trial tariffs'!Z34*'Trial tariffs'!Z81*Y$7</f>
        <v>0</v>
      </c>
      <c r="Z483" s="198">
        <f>'Trial tariffs'!AA34*'Trial tariffs'!AA81*Z$7</f>
        <v>0</v>
      </c>
      <c r="AA483" s="198">
        <f>'Trial tariffs'!AB34*'Trial tariffs'!AB81*AA$7</f>
        <v>0</v>
      </c>
      <c r="AB483" s="198">
        <f>'Trial tariffs'!AC34*'Trial tariffs'!AC81*AB$7</f>
        <v>0</v>
      </c>
      <c r="AC483" s="206">
        <f t="shared" si="60"/>
        <v>0</v>
      </c>
      <c r="AD483" s="68"/>
      <c r="AE483" s="57"/>
      <c r="AF483" s="57"/>
      <c r="AG483" s="57"/>
      <c r="AH483" s="57"/>
    </row>
    <row r="484" spans="1:34" hidden="1" outlineLevel="2" x14ac:dyDescent="0.2">
      <c r="A484" s="19"/>
      <c r="B484" s="19"/>
      <c r="C484" s="506">
        <f>'Trial tariffs'!C35</f>
        <v>0</v>
      </c>
      <c r="D484" s="505">
        <f>'Trial tariffs'!D35</f>
        <v>0</v>
      </c>
      <c r="E484" s="505">
        <f>'Trial tariffs'!E35</f>
        <v>0</v>
      </c>
      <c r="F484" s="505">
        <f>'Trial tariffs'!E35</f>
        <v>0</v>
      </c>
      <c r="G484" s="505">
        <f>'Trial tariffs'!F35</f>
        <v>0</v>
      </c>
      <c r="H484" s="58"/>
      <c r="I484" s="198">
        <f>'Trial tariffs'!J35*'Trial tariffs'!J82*I$7</f>
        <v>0</v>
      </c>
      <c r="J484" s="198">
        <f>'Trial tariffs'!K35*'Trial tariffs'!K82*J$7</f>
        <v>0</v>
      </c>
      <c r="K484" s="198">
        <f>'Trial tariffs'!L35*'Trial tariffs'!L82*K$7</f>
        <v>0</v>
      </c>
      <c r="L484" s="198">
        <f>'Trial tariffs'!M35*'Trial tariffs'!M82*L$7</f>
        <v>0</v>
      </c>
      <c r="M484" s="198">
        <f>'Trial tariffs'!N35*'Trial tariffs'!N82*M$7</f>
        <v>0</v>
      </c>
      <c r="N484" s="198">
        <f>'Trial tariffs'!O35*'Trial tariffs'!O82*N$7</f>
        <v>0</v>
      </c>
      <c r="O484" s="198">
        <f>'Trial tariffs'!P35*'Trial tariffs'!P82*O$7</f>
        <v>0</v>
      </c>
      <c r="P484" s="198">
        <f>'Trial tariffs'!Q35*'Trial tariffs'!Q82*P$7</f>
        <v>0</v>
      </c>
      <c r="Q484" s="198">
        <f>'Trial tariffs'!R35*'Trial tariffs'!R82*Q$7</f>
        <v>0</v>
      </c>
      <c r="R484" s="198">
        <f>'Trial tariffs'!S35*'Trial tariffs'!S82*R$7</f>
        <v>0</v>
      </c>
      <c r="S484" s="198">
        <f>'Trial tariffs'!T35*'Trial tariffs'!T82*S$7</f>
        <v>0</v>
      </c>
      <c r="T484" s="198">
        <f>'Trial tariffs'!U35*'Trial tariffs'!U82*T$7</f>
        <v>0</v>
      </c>
      <c r="U484" s="198">
        <f>'Trial tariffs'!V35*'Trial tariffs'!V82*U$7</f>
        <v>0</v>
      </c>
      <c r="V484" s="198">
        <f>'Trial tariffs'!W35*'Trial tariffs'!W82*V$7</f>
        <v>0</v>
      </c>
      <c r="W484" s="198">
        <f>'Trial tariffs'!X35*'Trial tariffs'!X82*W$7</f>
        <v>0</v>
      </c>
      <c r="X484" s="198">
        <f>'Trial tariffs'!Y35*'Trial tariffs'!Y82*X$7</f>
        <v>0</v>
      </c>
      <c r="Y484" s="198">
        <f>'Trial tariffs'!Z35*'Trial tariffs'!Z82*Y$7</f>
        <v>0</v>
      </c>
      <c r="Z484" s="198">
        <f>'Trial tariffs'!AA35*'Trial tariffs'!AA82*Z$7</f>
        <v>0</v>
      </c>
      <c r="AA484" s="198">
        <f>'Trial tariffs'!AB35*'Trial tariffs'!AB82*AA$7</f>
        <v>0</v>
      </c>
      <c r="AB484" s="198">
        <f>'Trial tariffs'!AC35*'Trial tariffs'!AC82*AB$7</f>
        <v>0</v>
      </c>
      <c r="AC484" s="206">
        <f t="shared" si="60"/>
        <v>0</v>
      </c>
      <c r="AD484" s="68"/>
      <c r="AE484" s="19"/>
      <c r="AF484" s="19"/>
      <c r="AG484" s="19"/>
      <c r="AH484" s="19"/>
    </row>
    <row r="485" spans="1:34" hidden="1" outlineLevel="2" x14ac:dyDescent="0.2">
      <c r="A485" s="19"/>
      <c r="B485" s="19"/>
      <c r="C485" s="506">
        <f>'Trial tariffs'!C36</f>
        <v>0</v>
      </c>
      <c r="D485" s="505">
        <f>'Trial tariffs'!D36</f>
        <v>0</v>
      </c>
      <c r="E485" s="505">
        <f>'Trial tariffs'!E36</f>
        <v>0</v>
      </c>
      <c r="F485" s="505">
        <f>'Trial tariffs'!E36</f>
        <v>0</v>
      </c>
      <c r="G485" s="505">
        <f>'Trial tariffs'!F36</f>
        <v>0</v>
      </c>
      <c r="H485" s="58"/>
      <c r="I485" s="198">
        <f>'Trial tariffs'!J36*'Trial tariffs'!J83*I$7</f>
        <v>0</v>
      </c>
      <c r="J485" s="198">
        <f>'Trial tariffs'!K36*'Trial tariffs'!K83*J$7</f>
        <v>0</v>
      </c>
      <c r="K485" s="198">
        <f>'Trial tariffs'!L36*'Trial tariffs'!L83*K$7</f>
        <v>0</v>
      </c>
      <c r="L485" s="198">
        <f>'Trial tariffs'!M36*'Trial tariffs'!M83*L$7</f>
        <v>0</v>
      </c>
      <c r="M485" s="198">
        <f>'Trial tariffs'!N36*'Trial tariffs'!N83*M$7</f>
        <v>0</v>
      </c>
      <c r="N485" s="198">
        <f>'Trial tariffs'!O36*'Trial tariffs'!O83*N$7</f>
        <v>0</v>
      </c>
      <c r="O485" s="198">
        <f>'Trial tariffs'!P36*'Trial tariffs'!P83*O$7</f>
        <v>0</v>
      </c>
      <c r="P485" s="198">
        <f>'Trial tariffs'!Q36*'Trial tariffs'!Q83*P$7</f>
        <v>0</v>
      </c>
      <c r="Q485" s="198">
        <f>'Trial tariffs'!R36*'Trial tariffs'!R83*Q$7</f>
        <v>0</v>
      </c>
      <c r="R485" s="198">
        <f>'Trial tariffs'!S36*'Trial tariffs'!S83*R$7</f>
        <v>0</v>
      </c>
      <c r="S485" s="198">
        <f>'Trial tariffs'!T36*'Trial tariffs'!T83*S$7</f>
        <v>0</v>
      </c>
      <c r="T485" s="198">
        <f>'Trial tariffs'!U36*'Trial tariffs'!U83*T$7</f>
        <v>0</v>
      </c>
      <c r="U485" s="198">
        <f>'Trial tariffs'!V36*'Trial tariffs'!V83*U$7</f>
        <v>0</v>
      </c>
      <c r="V485" s="198">
        <f>'Trial tariffs'!W36*'Trial tariffs'!W83*V$7</f>
        <v>0</v>
      </c>
      <c r="W485" s="198">
        <f>'Trial tariffs'!X36*'Trial tariffs'!X83*W$7</f>
        <v>0</v>
      </c>
      <c r="X485" s="198">
        <f>'Trial tariffs'!Y36*'Trial tariffs'!Y83*X$7</f>
        <v>0</v>
      </c>
      <c r="Y485" s="198">
        <f>'Trial tariffs'!Z36*'Trial tariffs'!Z83*Y$7</f>
        <v>0</v>
      </c>
      <c r="Z485" s="198">
        <f>'Trial tariffs'!AA36*'Trial tariffs'!AA83*Z$7</f>
        <v>0</v>
      </c>
      <c r="AA485" s="198">
        <f>'Trial tariffs'!AB36*'Trial tariffs'!AB83*AA$7</f>
        <v>0</v>
      </c>
      <c r="AB485" s="198">
        <f>'Trial tariffs'!AC36*'Trial tariffs'!AC83*AB$7</f>
        <v>0</v>
      </c>
      <c r="AC485" s="206">
        <f t="shared" si="60"/>
        <v>0</v>
      </c>
      <c r="AD485" s="68"/>
      <c r="AE485" s="19"/>
      <c r="AF485" s="19"/>
      <c r="AG485" s="19"/>
      <c r="AH485" s="19"/>
    </row>
    <row r="486" spans="1:34" hidden="1" outlineLevel="2" x14ac:dyDescent="0.2">
      <c r="A486" s="19"/>
      <c r="B486" s="19"/>
      <c r="C486" s="506">
        <f>'Trial tariffs'!C37</f>
        <v>0</v>
      </c>
      <c r="D486" s="505">
        <f>'Trial tariffs'!D37</f>
        <v>0</v>
      </c>
      <c r="E486" s="505">
        <f>'Trial tariffs'!E37</f>
        <v>0</v>
      </c>
      <c r="F486" s="505">
        <f>'Trial tariffs'!E37</f>
        <v>0</v>
      </c>
      <c r="G486" s="505">
        <f>'Trial tariffs'!F37</f>
        <v>0</v>
      </c>
      <c r="H486" s="58"/>
      <c r="I486" s="198">
        <f>'Trial tariffs'!J37*'Trial tariffs'!J84*I$7</f>
        <v>0</v>
      </c>
      <c r="J486" s="198">
        <f>'Trial tariffs'!K37*'Trial tariffs'!K84*J$7</f>
        <v>0</v>
      </c>
      <c r="K486" s="198">
        <f>'Trial tariffs'!L37*'Trial tariffs'!L84*K$7</f>
        <v>0</v>
      </c>
      <c r="L486" s="198">
        <f>'Trial tariffs'!M37*'Trial tariffs'!M84*L$7</f>
        <v>0</v>
      </c>
      <c r="M486" s="198">
        <f>'Trial tariffs'!N37*'Trial tariffs'!N84*M$7</f>
        <v>0</v>
      </c>
      <c r="N486" s="198">
        <f>'Trial tariffs'!O37*'Trial tariffs'!O84*N$7</f>
        <v>0</v>
      </c>
      <c r="O486" s="198">
        <f>'Trial tariffs'!P37*'Trial tariffs'!P84*O$7</f>
        <v>0</v>
      </c>
      <c r="P486" s="198">
        <f>'Trial tariffs'!Q37*'Trial tariffs'!Q84*P$7</f>
        <v>0</v>
      </c>
      <c r="Q486" s="198">
        <f>'Trial tariffs'!R37*'Trial tariffs'!R84*Q$7</f>
        <v>0</v>
      </c>
      <c r="R486" s="198">
        <f>'Trial tariffs'!S37*'Trial tariffs'!S84*R$7</f>
        <v>0</v>
      </c>
      <c r="S486" s="198">
        <f>'Trial tariffs'!T37*'Trial tariffs'!T84*S$7</f>
        <v>0</v>
      </c>
      <c r="T486" s="198">
        <f>'Trial tariffs'!U37*'Trial tariffs'!U84*T$7</f>
        <v>0</v>
      </c>
      <c r="U486" s="198">
        <f>'Trial tariffs'!V37*'Trial tariffs'!V84*U$7</f>
        <v>0</v>
      </c>
      <c r="V486" s="198">
        <f>'Trial tariffs'!W37*'Trial tariffs'!W84*V$7</f>
        <v>0</v>
      </c>
      <c r="W486" s="198">
        <f>'Trial tariffs'!X37*'Trial tariffs'!X84*W$7</f>
        <v>0</v>
      </c>
      <c r="X486" s="198">
        <f>'Trial tariffs'!Y37*'Trial tariffs'!Y84*X$7</f>
        <v>0</v>
      </c>
      <c r="Y486" s="198">
        <f>'Trial tariffs'!Z37*'Trial tariffs'!Z84*Y$7</f>
        <v>0</v>
      </c>
      <c r="Z486" s="198">
        <f>'Trial tariffs'!AA37*'Trial tariffs'!AA84*Z$7</f>
        <v>0</v>
      </c>
      <c r="AA486" s="198">
        <f>'Trial tariffs'!AB37*'Trial tariffs'!AB84*AA$7</f>
        <v>0</v>
      </c>
      <c r="AB486" s="198">
        <f>'Trial tariffs'!AC37*'Trial tariffs'!AC84*AB$7</f>
        <v>0</v>
      </c>
      <c r="AC486" s="206">
        <f t="shared" si="60"/>
        <v>0</v>
      </c>
      <c r="AD486" s="68"/>
      <c r="AE486" s="19"/>
      <c r="AF486" s="19"/>
      <c r="AG486" s="19"/>
      <c r="AH486" s="19"/>
    </row>
    <row r="487" spans="1:34" hidden="1" outlineLevel="2" x14ac:dyDescent="0.2">
      <c r="A487" s="19"/>
      <c r="B487" s="19"/>
      <c r="C487" s="506">
        <f>'Trial tariffs'!C38</f>
        <v>0</v>
      </c>
      <c r="D487" s="505">
        <f>'Trial tariffs'!D38</f>
        <v>0</v>
      </c>
      <c r="E487" s="505">
        <f>'Trial tariffs'!E38</f>
        <v>0</v>
      </c>
      <c r="F487" s="505">
        <f>'Trial tariffs'!E38</f>
        <v>0</v>
      </c>
      <c r="G487" s="505">
        <f>'Trial tariffs'!F38</f>
        <v>0</v>
      </c>
      <c r="H487" s="58"/>
      <c r="I487" s="198">
        <f>'Trial tariffs'!J38*'Trial tariffs'!J85*I$7</f>
        <v>0</v>
      </c>
      <c r="J487" s="198">
        <f>'Trial tariffs'!K38*'Trial tariffs'!K85*J$7</f>
        <v>0</v>
      </c>
      <c r="K487" s="198">
        <f>'Trial tariffs'!L38*'Trial tariffs'!L85*K$7</f>
        <v>0</v>
      </c>
      <c r="L487" s="198">
        <f>'Trial tariffs'!M38*'Trial tariffs'!M85*L$7</f>
        <v>0</v>
      </c>
      <c r="M487" s="198">
        <f>'Trial tariffs'!N38*'Trial tariffs'!N85*M$7</f>
        <v>0</v>
      </c>
      <c r="N487" s="198">
        <f>'Trial tariffs'!O38*'Trial tariffs'!O85*N$7</f>
        <v>0</v>
      </c>
      <c r="O487" s="198">
        <f>'Trial tariffs'!P38*'Trial tariffs'!P85*O$7</f>
        <v>0</v>
      </c>
      <c r="P487" s="198">
        <f>'Trial tariffs'!Q38*'Trial tariffs'!Q85*P$7</f>
        <v>0</v>
      </c>
      <c r="Q487" s="198">
        <f>'Trial tariffs'!R38*'Trial tariffs'!R85*Q$7</f>
        <v>0</v>
      </c>
      <c r="R487" s="198">
        <f>'Trial tariffs'!S38*'Trial tariffs'!S85*R$7</f>
        <v>0</v>
      </c>
      <c r="S487" s="198">
        <f>'Trial tariffs'!T38*'Trial tariffs'!T85*S$7</f>
        <v>0</v>
      </c>
      <c r="T487" s="198">
        <f>'Trial tariffs'!U38*'Trial tariffs'!U85*T$7</f>
        <v>0</v>
      </c>
      <c r="U487" s="198">
        <f>'Trial tariffs'!V38*'Trial tariffs'!V85*U$7</f>
        <v>0</v>
      </c>
      <c r="V487" s="198">
        <f>'Trial tariffs'!W38*'Trial tariffs'!W85*V$7</f>
        <v>0</v>
      </c>
      <c r="W487" s="198">
        <f>'Trial tariffs'!X38*'Trial tariffs'!X85*W$7</f>
        <v>0</v>
      </c>
      <c r="X487" s="198">
        <f>'Trial tariffs'!Y38*'Trial tariffs'!Y85*X$7</f>
        <v>0</v>
      </c>
      <c r="Y487" s="198">
        <f>'Trial tariffs'!Z38*'Trial tariffs'!Z85*Y$7</f>
        <v>0</v>
      </c>
      <c r="Z487" s="198">
        <f>'Trial tariffs'!AA38*'Trial tariffs'!AA85*Z$7</f>
        <v>0</v>
      </c>
      <c r="AA487" s="198">
        <f>'Trial tariffs'!AB38*'Trial tariffs'!AB85*AA$7</f>
        <v>0</v>
      </c>
      <c r="AB487" s="198">
        <f>'Trial tariffs'!AC38*'Trial tariffs'!AC85*AB$7</f>
        <v>0</v>
      </c>
      <c r="AC487" s="206">
        <f t="shared" si="60"/>
        <v>0</v>
      </c>
      <c r="AD487" s="68"/>
      <c r="AE487" s="19"/>
      <c r="AF487" s="19"/>
      <c r="AG487" s="19"/>
      <c r="AH487" s="19"/>
    </row>
    <row r="488" spans="1:34" hidden="1" outlineLevel="2" x14ac:dyDescent="0.2">
      <c r="A488" s="19"/>
      <c r="B488" s="19"/>
      <c r="C488" s="506">
        <f>'Trial tariffs'!C39</f>
        <v>0</v>
      </c>
      <c r="D488" s="505">
        <f>'Trial tariffs'!D39</f>
        <v>0</v>
      </c>
      <c r="E488" s="505">
        <f>'Trial tariffs'!E39</f>
        <v>0</v>
      </c>
      <c r="F488" s="505">
        <f>'Trial tariffs'!E39</f>
        <v>0</v>
      </c>
      <c r="G488" s="505">
        <f>'Trial tariffs'!F39</f>
        <v>0</v>
      </c>
      <c r="H488" s="58"/>
      <c r="I488" s="198">
        <f>'Trial tariffs'!J39*'Trial tariffs'!J86*I$7</f>
        <v>0</v>
      </c>
      <c r="J488" s="198">
        <f>'Trial tariffs'!K39*'Trial tariffs'!K86*J$7</f>
        <v>0</v>
      </c>
      <c r="K488" s="198">
        <f>'Trial tariffs'!L39*'Trial tariffs'!L86*K$7</f>
        <v>0</v>
      </c>
      <c r="L488" s="198">
        <f>'Trial tariffs'!M39*'Trial tariffs'!M86*L$7</f>
        <v>0</v>
      </c>
      <c r="M488" s="198">
        <f>'Trial tariffs'!N39*'Trial tariffs'!N86*M$7</f>
        <v>0</v>
      </c>
      <c r="N488" s="198">
        <f>'Trial tariffs'!O39*'Trial tariffs'!O86*N$7</f>
        <v>0</v>
      </c>
      <c r="O488" s="198">
        <f>'Trial tariffs'!P39*'Trial tariffs'!P86*O$7</f>
        <v>0</v>
      </c>
      <c r="P488" s="198">
        <f>'Trial tariffs'!Q39*'Trial tariffs'!Q86*P$7</f>
        <v>0</v>
      </c>
      <c r="Q488" s="198">
        <f>'Trial tariffs'!R39*'Trial tariffs'!R86*Q$7</f>
        <v>0</v>
      </c>
      <c r="R488" s="198">
        <f>'Trial tariffs'!S39*'Trial tariffs'!S86*R$7</f>
        <v>0</v>
      </c>
      <c r="S488" s="198">
        <f>'Trial tariffs'!T39*'Trial tariffs'!T86*S$7</f>
        <v>0</v>
      </c>
      <c r="T488" s="198">
        <f>'Trial tariffs'!U39*'Trial tariffs'!U86*T$7</f>
        <v>0</v>
      </c>
      <c r="U488" s="198">
        <f>'Trial tariffs'!V39*'Trial tariffs'!V86*U$7</f>
        <v>0</v>
      </c>
      <c r="V488" s="198">
        <f>'Trial tariffs'!W39*'Trial tariffs'!W86*V$7</f>
        <v>0</v>
      </c>
      <c r="W488" s="198">
        <f>'Trial tariffs'!X39*'Trial tariffs'!X86*W$7</f>
        <v>0</v>
      </c>
      <c r="X488" s="198">
        <f>'Trial tariffs'!Y39*'Trial tariffs'!Y86*X$7</f>
        <v>0</v>
      </c>
      <c r="Y488" s="198">
        <f>'Trial tariffs'!Z39*'Trial tariffs'!Z86*Y$7</f>
        <v>0</v>
      </c>
      <c r="Z488" s="198">
        <f>'Trial tariffs'!AA39*'Trial tariffs'!AA86*Z$7</f>
        <v>0</v>
      </c>
      <c r="AA488" s="198">
        <f>'Trial tariffs'!AB39*'Trial tariffs'!AB86*AA$7</f>
        <v>0</v>
      </c>
      <c r="AB488" s="198">
        <f>'Trial tariffs'!AC39*'Trial tariffs'!AC86*AB$7</f>
        <v>0</v>
      </c>
      <c r="AC488" s="206">
        <f t="shared" si="60"/>
        <v>0</v>
      </c>
      <c r="AD488" s="68"/>
      <c r="AE488" s="19"/>
      <c r="AF488" s="19"/>
      <c r="AG488" s="19"/>
      <c r="AH488" s="19"/>
    </row>
    <row r="489" spans="1:34" hidden="1" outlineLevel="2" x14ac:dyDescent="0.2">
      <c r="A489" s="19"/>
      <c r="B489" s="19"/>
      <c r="C489" s="506">
        <f>'Trial tariffs'!C40</f>
        <v>0</v>
      </c>
      <c r="D489" s="505">
        <f>'Trial tariffs'!D40</f>
        <v>0</v>
      </c>
      <c r="E489" s="505">
        <f>'Trial tariffs'!E40</f>
        <v>0</v>
      </c>
      <c r="F489" s="505">
        <f>'Trial tariffs'!E40</f>
        <v>0</v>
      </c>
      <c r="G489" s="505">
        <f>'Trial tariffs'!F40</f>
        <v>0</v>
      </c>
      <c r="H489" s="58"/>
      <c r="I489" s="198">
        <f>'Trial tariffs'!J40*'Trial tariffs'!J87*I$7</f>
        <v>0</v>
      </c>
      <c r="J489" s="198">
        <f>'Trial tariffs'!K40*'Trial tariffs'!K87*J$7</f>
        <v>0</v>
      </c>
      <c r="K489" s="198">
        <f>'Trial tariffs'!L40*'Trial tariffs'!L87*K$7</f>
        <v>0</v>
      </c>
      <c r="L489" s="198">
        <f>'Trial tariffs'!M40*'Trial tariffs'!M87*L$7</f>
        <v>0</v>
      </c>
      <c r="M489" s="198">
        <f>'Trial tariffs'!N40*'Trial tariffs'!N87*M$7</f>
        <v>0</v>
      </c>
      <c r="N489" s="198">
        <f>'Trial tariffs'!O40*'Trial tariffs'!O87*N$7</f>
        <v>0</v>
      </c>
      <c r="O489" s="198">
        <f>'Trial tariffs'!P40*'Trial tariffs'!P87*O$7</f>
        <v>0</v>
      </c>
      <c r="P489" s="198">
        <f>'Trial tariffs'!Q40*'Trial tariffs'!Q87*P$7</f>
        <v>0</v>
      </c>
      <c r="Q489" s="198">
        <f>'Trial tariffs'!R40*'Trial tariffs'!R87*Q$7</f>
        <v>0</v>
      </c>
      <c r="R489" s="198">
        <f>'Trial tariffs'!S40*'Trial tariffs'!S87*R$7</f>
        <v>0</v>
      </c>
      <c r="S489" s="198">
        <f>'Trial tariffs'!T40*'Trial tariffs'!T87*S$7</f>
        <v>0</v>
      </c>
      <c r="T489" s="198">
        <f>'Trial tariffs'!U40*'Trial tariffs'!U87*T$7</f>
        <v>0</v>
      </c>
      <c r="U489" s="198">
        <f>'Trial tariffs'!V40*'Trial tariffs'!V87*U$7</f>
        <v>0</v>
      </c>
      <c r="V489" s="198">
        <f>'Trial tariffs'!W40*'Trial tariffs'!W87*V$7</f>
        <v>0</v>
      </c>
      <c r="W489" s="198">
        <f>'Trial tariffs'!X40*'Trial tariffs'!X87*W$7</f>
        <v>0</v>
      </c>
      <c r="X489" s="198">
        <f>'Trial tariffs'!Y40*'Trial tariffs'!Y87*X$7</f>
        <v>0</v>
      </c>
      <c r="Y489" s="198">
        <f>'Trial tariffs'!Z40*'Trial tariffs'!Z87*Y$7</f>
        <v>0</v>
      </c>
      <c r="Z489" s="198">
        <f>'Trial tariffs'!AA40*'Trial tariffs'!AA87*Z$7</f>
        <v>0</v>
      </c>
      <c r="AA489" s="198">
        <f>'Trial tariffs'!AB40*'Trial tariffs'!AB87*AA$7</f>
        <v>0</v>
      </c>
      <c r="AB489" s="198">
        <f>'Trial tariffs'!AC40*'Trial tariffs'!AC87*AB$7</f>
        <v>0</v>
      </c>
      <c r="AC489" s="206">
        <f t="shared" si="60"/>
        <v>0</v>
      </c>
      <c r="AD489" s="68"/>
      <c r="AE489" s="19"/>
      <c r="AF489" s="19"/>
      <c r="AG489" s="19"/>
      <c r="AH489" s="19"/>
    </row>
    <row r="490" spans="1:34" hidden="1" outlineLevel="2" x14ac:dyDescent="0.2">
      <c r="A490" s="19"/>
      <c r="B490" s="19"/>
      <c r="C490" s="506">
        <f>'Trial tariffs'!C41</f>
        <v>0</v>
      </c>
      <c r="D490" s="505">
        <f>'Trial tariffs'!D41</f>
        <v>0</v>
      </c>
      <c r="E490" s="505">
        <f>'Trial tariffs'!E41</f>
        <v>0</v>
      </c>
      <c r="F490" s="505">
        <f>'Trial tariffs'!E41</f>
        <v>0</v>
      </c>
      <c r="G490" s="505">
        <f>'Trial tariffs'!F41</f>
        <v>0</v>
      </c>
      <c r="H490" s="58"/>
      <c r="I490" s="198">
        <f>'Trial tariffs'!J41*'Trial tariffs'!J88*I$7</f>
        <v>0</v>
      </c>
      <c r="J490" s="198">
        <f>'Trial tariffs'!K41*'Trial tariffs'!K88*J$7</f>
        <v>0</v>
      </c>
      <c r="K490" s="198">
        <f>'Trial tariffs'!L41*'Trial tariffs'!L88*K$7</f>
        <v>0</v>
      </c>
      <c r="L490" s="198">
        <f>'Trial tariffs'!M41*'Trial tariffs'!M88*L$7</f>
        <v>0</v>
      </c>
      <c r="M490" s="198">
        <f>'Trial tariffs'!N41*'Trial tariffs'!N88*M$7</f>
        <v>0</v>
      </c>
      <c r="N490" s="198">
        <f>'Trial tariffs'!O41*'Trial tariffs'!O88*N$7</f>
        <v>0</v>
      </c>
      <c r="O490" s="198">
        <f>'Trial tariffs'!P41*'Trial tariffs'!P88*O$7</f>
        <v>0</v>
      </c>
      <c r="P490" s="198">
        <f>'Trial tariffs'!Q41*'Trial tariffs'!Q88*P$7</f>
        <v>0</v>
      </c>
      <c r="Q490" s="198">
        <f>'Trial tariffs'!R41*'Trial tariffs'!R88*Q$7</f>
        <v>0</v>
      </c>
      <c r="R490" s="198">
        <f>'Trial tariffs'!S41*'Trial tariffs'!S88*R$7</f>
        <v>0</v>
      </c>
      <c r="S490" s="198">
        <f>'Trial tariffs'!T41*'Trial tariffs'!T88*S$7</f>
        <v>0</v>
      </c>
      <c r="T490" s="198">
        <f>'Trial tariffs'!U41*'Trial tariffs'!U88*T$7</f>
        <v>0</v>
      </c>
      <c r="U490" s="198">
        <f>'Trial tariffs'!V41*'Trial tariffs'!V88*U$7</f>
        <v>0</v>
      </c>
      <c r="V490" s="198">
        <f>'Trial tariffs'!W41*'Trial tariffs'!W88*V$7</f>
        <v>0</v>
      </c>
      <c r="W490" s="198">
        <f>'Trial tariffs'!X41*'Trial tariffs'!X88*W$7</f>
        <v>0</v>
      </c>
      <c r="X490" s="198">
        <f>'Trial tariffs'!Y41*'Trial tariffs'!Y88*X$7</f>
        <v>0</v>
      </c>
      <c r="Y490" s="198">
        <f>'Trial tariffs'!Z41*'Trial tariffs'!Z88*Y$7</f>
        <v>0</v>
      </c>
      <c r="Z490" s="198">
        <f>'Trial tariffs'!AA41*'Trial tariffs'!AA88*Z$7</f>
        <v>0</v>
      </c>
      <c r="AA490" s="198">
        <f>'Trial tariffs'!AB41*'Trial tariffs'!AB88*AA$7</f>
        <v>0</v>
      </c>
      <c r="AB490" s="198">
        <f>'Trial tariffs'!AC41*'Trial tariffs'!AC88*AB$7</f>
        <v>0</v>
      </c>
      <c r="AC490" s="206">
        <f t="shared" si="60"/>
        <v>0</v>
      </c>
      <c r="AD490" s="68"/>
      <c r="AE490" s="19"/>
      <c r="AF490" s="19"/>
      <c r="AG490" s="19"/>
      <c r="AH490" s="19"/>
    </row>
    <row r="491" spans="1:34" hidden="1" outlineLevel="2" x14ac:dyDescent="0.2">
      <c r="A491" s="19"/>
      <c r="B491" s="19"/>
      <c r="C491" s="506">
        <f>'Trial tariffs'!C42</f>
        <v>0</v>
      </c>
      <c r="D491" s="505">
        <f>'Trial tariffs'!D42</f>
        <v>0</v>
      </c>
      <c r="E491" s="505">
        <f>'Trial tariffs'!E42</f>
        <v>0</v>
      </c>
      <c r="F491" s="505">
        <f>'Trial tariffs'!E42</f>
        <v>0</v>
      </c>
      <c r="G491" s="505">
        <f>'Trial tariffs'!F42</f>
        <v>0</v>
      </c>
      <c r="H491" s="58"/>
      <c r="I491" s="198">
        <f>'Trial tariffs'!J42*'Trial tariffs'!J89*I$7</f>
        <v>0</v>
      </c>
      <c r="J491" s="198">
        <f>'Trial tariffs'!K42*'Trial tariffs'!K89*J$7</f>
        <v>0</v>
      </c>
      <c r="K491" s="198">
        <f>'Trial tariffs'!L42*'Trial tariffs'!L89*K$7</f>
        <v>0</v>
      </c>
      <c r="L491" s="198">
        <f>'Trial tariffs'!M42*'Trial tariffs'!M89*L$7</f>
        <v>0</v>
      </c>
      <c r="M491" s="198">
        <f>'Trial tariffs'!N42*'Trial tariffs'!N89*M$7</f>
        <v>0</v>
      </c>
      <c r="N491" s="198">
        <f>'Trial tariffs'!O42*'Trial tariffs'!O89*N$7</f>
        <v>0</v>
      </c>
      <c r="O491" s="198">
        <f>'Trial tariffs'!P42*'Trial tariffs'!P89*O$7</f>
        <v>0</v>
      </c>
      <c r="P491" s="198">
        <f>'Trial tariffs'!Q42*'Trial tariffs'!Q89*P$7</f>
        <v>0</v>
      </c>
      <c r="Q491" s="198">
        <f>'Trial tariffs'!R42*'Trial tariffs'!R89*Q$7</f>
        <v>0</v>
      </c>
      <c r="R491" s="198">
        <f>'Trial tariffs'!S42*'Trial tariffs'!S89*R$7</f>
        <v>0</v>
      </c>
      <c r="S491" s="198">
        <f>'Trial tariffs'!T42*'Trial tariffs'!T89*S$7</f>
        <v>0</v>
      </c>
      <c r="T491" s="198">
        <f>'Trial tariffs'!U42*'Trial tariffs'!U89*T$7</f>
        <v>0</v>
      </c>
      <c r="U491" s="198">
        <f>'Trial tariffs'!V42*'Trial tariffs'!V89*U$7</f>
        <v>0</v>
      </c>
      <c r="V491" s="198">
        <f>'Trial tariffs'!W42*'Trial tariffs'!W89*V$7</f>
        <v>0</v>
      </c>
      <c r="W491" s="198">
        <f>'Trial tariffs'!X42*'Trial tariffs'!X89*W$7</f>
        <v>0</v>
      </c>
      <c r="X491" s="198">
        <f>'Trial tariffs'!Y42*'Trial tariffs'!Y89*X$7</f>
        <v>0</v>
      </c>
      <c r="Y491" s="198">
        <f>'Trial tariffs'!Z42*'Trial tariffs'!Z89*Y$7</f>
        <v>0</v>
      </c>
      <c r="Z491" s="198">
        <f>'Trial tariffs'!AA42*'Trial tariffs'!AA89*Z$7</f>
        <v>0</v>
      </c>
      <c r="AA491" s="198">
        <f>'Trial tariffs'!AB42*'Trial tariffs'!AB89*AA$7</f>
        <v>0</v>
      </c>
      <c r="AB491" s="198">
        <f>'Trial tariffs'!AC42*'Trial tariffs'!AC89*AB$7</f>
        <v>0</v>
      </c>
      <c r="AC491" s="206">
        <f t="shared" si="60"/>
        <v>0</v>
      </c>
      <c r="AD491" s="68"/>
      <c r="AE491" s="19"/>
      <c r="AF491" s="19"/>
      <c r="AG491" s="19"/>
      <c r="AH491" s="19"/>
    </row>
    <row r="492" spans="1:34" hidden="1" outlineLevel="2" x14ac:dyDescent="0.2">
      <c r="A492" s="19"/>
      <c r="B492" s="19"/>
      <c r="C492" s="506">
        <f>'Trial tariffs'!C43</f>
        <v>0</v>
      </c>
      <c r="D492" s="505">
        <f>'Trial tariffs'!D43</f>
        <v>0</v>
      </c>
      <c r="E492" s="505">
        <f>'Trial tariffs'!E43</f>
        <v>0</v>
      </c>
      <c r="F492" s="505">
        <f>'Trial tariffs'!E43</f>
        <v>0</v>
      </c>
      <c r="G492" s="505">
        <f>'Trial tariffs'!F43</f>
        <v>0</v>
      </c>
      <c r="H492" s="58"/>
      <c r="I492" s="198">
        <f>'Trial tariffs'!J43*'Trial tariffs'!J90*I$7</f>
        <v>0</v>
      </c>
      <c r="J492" s="198">
        <f>'Trial tariffs'!K43*'Trial tariffs'!K90*J$7</f>
        <v>0</v>
      </c>
      <c r="K492" s="198">
        <f>'Trial tariffs'!L43*'Trial tariffs'!L90*K$7</f>
        <v>0</v>
      </c>
      <c r="L492" s="198">
        <f>'Trial tariffs'!M43*'Trial tariffs'!M90*L$7</f>
        <v>0</v>
      </c>
      <c r="M492" s="198">
        <f>'Trial tariffs'!N43*'Trial tariffs'!N90*M$7</f>
        <v>0</v>
      </c>
      <c r="N492" s="198">
        <f>'Trial tariffs'!O43*'Trial tariffs'!O90*N$7</f>
        <v>0</v>
      </c>
      <c r="O492" s="198">
        <f>'Trial tariffs'!P43*'Trial tariffs'!P90*O$7</f>
        <v>0</v>
      </c>
      <c r="P492" s="198">
        <f>'Trial tariffs'!Q43*'Trial tariffs'!Q90*P$7</f>
        <v>0</v>
      </c>
      <c r="Q492" s="198">
        <f>'Trial tariffs'!R43*'Trial tariffs'!R90*Q$7</f>
        <v>0</v>
      </c>
      <c r="R492" s="198">
        <f>'Trial tariffs'!S43*'Trial tariffs'!S90*R$7</f>
        <v>0</v>
      </c>
      <c r="S492" s="198">
        <f>'Trial tariffs'!T43*'Trial tariffs'!T90*S$7</f>
        <v>0</v>
      </c>
      <c r="T492" s="198">
        <f>'Trial tariffs'!U43*'Trial tariffs'!U90*T$7</f>
        <v>0</v>
      </c>
      <c r="U492" s="198">
        <f>'Trial tariffs'!V43*'Trial tariffs'!V90*U$7</f>
        <v>0</v>
      </c>
      <c r="V492" s="198">
        <f>'Trial tariffs'!W43*'Trial tariffs'!W90*V$7</f>
        <v>0</v>
      </c>
      <c r="W492" s="198">
        <f>'Trial tariffs'!X43*'Trial tariffs'!X90*W$7</f>
        <v>0</v>
      </c>
      <c r="X492" s="198">
        <f>'Trial tariffs'!Y43*'Trial tariffs'!Y90*X$7</f>
        <v>0</v>
      </c>
      <c r="Y492" s="198">
        <f>'Trial tariffs'!Z43*'Trial tariffs'!Z90*Y$7</f>
        <v>0</v>
      </c>
      <c r="Z492" s="198">
        <f>'Trial tariffs'!AA43*'Trial tariffs'!AA90*Z$7</f>
        <v>0</v>
      </c>
      <c r="AA492" s="198">
        <f>'Trial tariffs'!AB43*'Trial tariffs'!AB90*AA$7</f>
        <v>0</v>
      </c>
      <c r="AB492" s="198">
        <f>'Trial tariffs'!AC43*'Trial tariffs'!AC90*AB$7</f>
        <v>0</v>
      </c>
      <c r="AC492" s="206">
        <f t="shared" si="60"/>
        <v>0</v>
      </c>
      <c r="AD492" s="68"/>
      <c r="AE492" s="19"/>
      <c r="AF492" s="19"/>
      <c r="AG492" s="19"/>
      <c r="AH492" s="19"/>
    </row>
    <row r="493" spans="1:34" hidden="1" outlineLevel="2" x14ac:dyDescent="0.2">
      <c r="A493" s="19"/>
      <c r="B493" s="19"/>
      <c r="C493" s="506">
        <f>'Trial tariffs'!C44</f>
        <v>0</v>
      </c>
      <c r="D493" s="505">
        <f>'Trial tariffs'!D44</f>
        <v>0</v>
      </c>
      <c r="E493" s="505">
        <f>'Trial tariffs'!E44</f>
        <v>0</v>
      </c>
      <c r="F493" s="505">
        <f>'Trial tariffs'!E44</f>
        <v>0</v>
      </c>
      <c r="G493" s="505">
        <f>'Trial tariffs'!F44</f>
        <v>0</v>
      </c>
      <c r="H493" s="58"/>
      <c r="I493" s="198">
        <f>'Trial tariffs'!J44*'Trial tariffs'!J91*I$7</f>
        <v>0</v>
      </c>
      <c r="J493" s="198">
        <f>'Trial tariffs'!K44*'Trial tariffs'!K91*J$7</f>
        <v>0</v>
      </c>
      <c r="K493" s="198">
        <f>'Trial tariffs'!L44*'Trial tariffs'!L91*K$7</f>
        <v>0</v>
      </c>
      <c r="L493" s="198">
        <f>'Trial tariffs'!M44*'Trial tariffs'!M91*L$7</f>
        <v>0</v>
      </c>
      <c r="M493" s="198">
        <f>'Trial tariffs'!N44*'Trial tariffs'!N91*M$7</f>
        <v>0</v>
      </c>
      <c r="N493" s="198">
        <f>'Trial tariffs'!O44*'Trial tariffs'!O91*N$7</f>
        <v>0</v>
      </c>
      <c r="O493" s="198">
        <f>'Trial tariffs'!P44*'Trial tariffs'!P91*O$7</f>
        <v>0</v>
      </c>
      <c r="P493" s="198">
        <f>'Trial tariffs'!Q44*'Trial tariffs'!Q91*P$7</f>
        <v>0</v>
      </c>
      <c r="Q493" s="198">
        <f>'Trial tariffs'!R44*'Trial tariffs'!R91*Q$7</f>
        <v>0</v>
      </c>
      <c r="R493" s="198">
        <f>'Trial tariffs'!S44*'Trial tariffs'!S91*R$7</f>
        <v>0</v>
      </c>
      <c r="S493" s="198">
        <f>'Trial tariffs'!T44*'Trial tariffs'!T91*S$7</f>
        <v>0</v>
      </c>
      <c r="T493" s="198">
        <f>'Trial tariffs'!U44*'Trial tariffs'!U91*T$7</f>
        <v>0</v>
      </c>
      <c r="U493" s="198">
        <f>'Trial tariffs'!V44*'Trial tariffs'!V91*U$7</f>
        <v>0</v>
      </c>
      <c r="V493" s="198">
        <f>'Trial tariffs'!W44*'Trial tariffs'!W91*V$7</f>
        <v>0</v>
      </c>
      <c r="W493" s="198">
        <f>'Trial tariffs'!X44*'Trial tariffs'!X91*W$7</f>
        <v>0</v>
      </c>
      <c r="X493" s="198">
        <f>'Trial tariffs'!Y44*'Trial tariffs'!Y91*X$7</f>
        <v>0</v>
      </c>
      <c r="Y493" s="198">
        <f>'Trial tariffs'!Z44*'Trial tariffs'!Z91*Y$7</f>
        <v>0</v>
      </c>
      <c r="Z493" s="198">
        <f>'Trial tariffs'!AA44*'Trial tariffs'!AA91*Z$7</f>
        <v>0</v>
      </c>
      <c r="AA493" s="198">
        <f>'Trial tariffs'!AB44*'Trial tariffs'!AB91*AA$7</f>
        <v>0</v>
      </c>
      <c r="AB493" s="198">
        <f>'Trial tariffs'!AC44*'Trial tariffs'!AC91*AB$7</f>
        <v>0</v>
      </c>
      <c r="AC493" s="206">
        <f t="shared" si="60"/>
        <v>0</v>
      </c>
      <c r="AD493" s="68"/>
      <c r="AE493" s="19"/>
      <c r="AF493" s="19"/>
      <c r="AG493" s="19"/>
      <c r="AH493" s="19"/>
    </row>
    <row r="494" spans="1:34" hidden="1" outlineLevel="2" x14ac:dyDescent="0.2">
      <c r="A494" s="19"/>
      <c r="B494" s="19"/>
      <c r="C494" s="506">
        <f>'Trial tariffs'!C45</f>
        <v>0</v>
      </c>
      <c r="D494" s="505">
        <f>'Trial tariffs'!D45</f>
        <v>0</v>
      </c>
      <c r="E494" s="505">
        <f>'Trial tariffs'!E45</f>
        <v>0</v>
      </c>
      <c r="F494" s="505">
        <f>'Trial tariffs'!E45</f>
        <v>0</v>
      </c>
      <c r="G494" s="505">
        <f>'Trial tariffs'!F45</f>
        <v>0</v>
      </c>
      <c r="H494" s="58"/>
      <c r="I494" s="198">
        <f>'Trial tariffs'!J45*'Trial tariffs'!J92*I$7</f>
        <v>0</v>
      </c>
      <c r="J494" s="198">
        <f>'Trial tariffs'!K45*'Trial tariffs'!K92*J$7</f>
        <v>0</v>
      </c>
      <c r="K494" s="198">
        <f>'Trial tariffs'!L45*'Trial tariffs'!L92*K$7</f>
        <v>0</v>
      </c>
      <c r="L494" s="198">
        <f>'Trial tariffs'!M45*'Trial tariffs'!M92*L$7</f>
        <v>0</v>
      </c>
      <c r="M494" s="198">
        <f>'Trial tariffs'!N45*'Trial tariffs'!N92*M$7</f>
        <v>0</v>
      </c>
      <c r="N494" s="198">
        <f>'Trial tariffs'!O45*'Trial tariffs'!O92*N$7</f>
        <v>0</v>
      </c>
      <c r="O494" s="198">
        <f>'Trial tariffs'!P45*'Trial tariffs'!P92*O$7</f>
        <v>0</v>
      </c>
      <c r="P494" s="198">
        <f>'Trial tariffs'!Q45*'Trial tariffs'!Q92*P$7</f>
        <v>0</v>
      </c>
      <c r="Q494" s="198">
        <f>'Trial tariffs'!R45*'Trial tariffs'!R92*Q$7</f>
        <v>0</v>
      </c>
      <c r="R494" s="198">
        <f>'Trial tariffs'!S45*'Trial tariffs'!S92*R$7</f>
        <v>0</v>
      </c>
      <c r="S494" s="198">
        <f>'Trial tariffs'!T45*'Trial tariffs'!T92*S$7</f>
        <v>0</v>
      </c>
      <c r="T494" s="198">
        <f>'Trial tariffs'!U45*'Trial tariffs'!U92*T$7</f>
        <v>0</v>
      </c>
      <c r="U494" s="198">
        <f>'Trial tariffs'!V45*'Trial tariffs'!V92*U$7</f>
        <v>0</v>
      </c>
      <c r="V494" s="198">
        <f>'Trial tariffs'!W45*'Trial tariffs'!W92*V$7</f>
        <v>0</v>
      </c>
      <c r="W494" s="198">
        <f>'Trial tariffs'!X45*'Trial tariffs'!X92*W$7</f>
        <v>0</v>
      </c>
      <c r="X494" s="198">
        <f>'Trial tariffs'!Y45*'Trial tariffs'!Y92*X$7</f>
        <v>0</v>
      </c>
      <c r="Y494" s="198">
        <f>'Trial tariffs'!Z45*'Trial tariffs'!Z92*Y$7</f>
        <v>0</v>
      </c>
      <c r="Z494" s="198">
        <f>'Trial tariffs'!AA45*'Trial tariffs'!AA92*Z$7</f>
        <v>0</v>
      </c>
      <c r="AA494" s="198">
        <f>'Trial tariffs'!AB45*'Trial tariffs'!AB92*AA$7</f>
        <v>0</v>
      </c>
      <c r="AB494" s="198">
        <f>'Trial tariffs'!AC45*'Trial tariffs'!AC92*AB$7</f>
        <v>0</v>
      </c>
      <c r="AC494" s="206">
        <f t="shared" si="60"/>
        <v>0</v>
      </c>
      <c r="AD494" s="68"/>
      <c r="AE494" s="19"/>
      <c r="AF494" s="19"/>
      <c r="AG494" s="19"/>
      <c r="AH494" s="19"/>
    </row>
    <row r="495" spans="1:34" hidden="1" outlineLevel="2" x14ac:dyDescent="0.2">
      <c r="A495" s="19"/>
      <c r="B495" s="19"/>
      <c r="C495" s="506">
        <f>'Trial tariffs'!C46</f>
        <v>0</v>
      </c>
      <c r="D495" s="505">
        <f>'Trial tariffs'!D46</f>
        <v>0</v>
      </c>
      <c r="E495" s="505">
        <f>'Trial tariffs'!E46</f>
        <v>0</v>
      </c>
      <c r="F495" s="505">
        <f>'Trial tariffs'!E46</f>
        <v>0</v>
      </c>
      <c r="G495" s="505">
        <f>'Trial tariffs'!F46</f>
        <v>0</v>
      </c>
      <c r="H495" s="58"/>
      <c r="I495" s="198">
        <f>'Trial tariffs'!J46*'Trial tariffs'!J93*I$7</f>
        <v>0</v>
      </c>
      <c r="J495" s="198">
        <f>'Trial tariffs'!K46*'Trial tariffs'!K93*J$7</f>
        <v>0</v>
      </c>
      <c r="K495" s="198">
        <f>'Trial tariffs'!L46*'Trial tariffs'!L93*K$7</f>
        <v>0</v>
      </c>
      <c r="L495" s="198">
        <f>'Trial tariffs'!M46*'Trial tariffs'!M93*L$7</f>
        <v>0</v>
      </c>
      <c r="M495" s="198">
        <f>'Trial tariffs'!N46*'Trial tariffs'!N93*M$7</f>
        <v>0</v>
      </c>
      <c r="N495" s="198">
        <f>'Trial tariffs'!O46*'Trial tariffs'!O93*N$7</f>
        <v>0</v>
      </c>
      <c r="O495" s="198">
        <f>'Trial tariffs'!P46*'Trial tariffs'!P93*O$7</f>
        <v>0</v>
      </c>
      <c r="P495" s="198">
        <f>'Trial tariffs'!Q46*'Trial tariffs'!Q93*P$7</f>
        <v>0</v>
      </c>
      <c r="Q495" s="198">
        <f>'Trial tariffs'!R46*'Trial tariffs'!R93*Q$7</f>
        <v>0</v>
      </c>
      <c r="R495" s="198">
        <f>'Trial tariffs'!S46*'Trial tariffs'!S93*R$7</f>
        <v>0</v>
      </c>
      <c r="S495" s="198">
        <f>'Trial tariffs'!T46*'Trial tariffs'!T93*S$7</f>
        <v>0</v>
      </c>
      <c r="T495" s="198">
        <f>'Trial tariffs'!U46*'Trial tariffs'!U93*T$7</f>
        <v>0</v>
      </c>
      <c r="U495" s="198">
        <f>'Trial tariffs'!V46*'Trial tariffs'!V93*U$7</f>
        <v>0</v>
      </c>
      <c r="V495" s="198">
        <f>'Trial tariffs'!W46*'Trial tariffs'!W93*V$7</f>
        <v>0</v>
      </c>
      <c r="W495" s="198">
        <f>'Trial tariffs'!X46*'Trial tariffs'!X93*W$7</f>
        <v>0</v>
      </c>
      <c r="X495" s="198">
        <f>'Trial tariffs'!Y46*'Trial tariffs'!Y93*X$7</f>
        <v>0</v>
      </c>
      <c r="Y495" s="198">
        <f>'Trial tariffs'!Z46*'Trial tariffs'!Z93*Y$7</f>
        <v>0</v>
      </c>
      <c r="Z495" s="198">
        <f>'Trial tariffs'!AA46*'Trial tariffs'!AA93*Z$7</f>
        <v>0</v>
      </c>
      <c r="AA495" s="198">
        <f>'Trial tariffs'!AB46*'Trial tariffs'!AB93*AA$7</f>
        <v>0</v>
      </c>
      <c r="AB495" s="198">
        <f>'Trial tariffs'!AC46*'Trial tariffs'!AC93*AB$7</f>
        <v>0</v>
      </c>
      <c r="AC495" s="206">
        <f t="shared" si="60"/>
        <v>0</v>
      </c>
      <c r="AD495" s="68"/>
      <c r="AE495" s="19"/>
      <c r="AF495" s="19"/>
      <c r="AG495" s="19"/>
      <c r="AH495" s="19"/>
    </row>
    <row r="496" spans="1:34" hidden="1" outlineLevel="2" x14ac:dyDescent="0.2">
      <c r="A496" s="19"/>
      <c r="B496" s="19"/>
      <c r="C496" s="506">
        <f>'Trial tariffs'!C47</f>
        <v>0</v>
      </c>
      <c r="D496" s="505">
        <f>'Trial tariffs'!D47</f>
        <v>0</v>
      </c>
      <c r="E496" s="505">
        <f>'Trial tariffs'!E47</f>
        <v>0</v>
      </c>
      <c r="F496" s="505">
        <f>'Trial tariffs'!E47</f>
        <v>0</v>
      </c>
      <c r="G496" s="505">
        <f>'Trial tariffs'!F47</f>
        <v>0</v>
      </c>
      <c r="H496" s="58"/>
      <c r="I496" s="198">
        <f>'Trial tariffs'!J47*'Trial tariffs'!J94*I$7</f>
        <v>0</v>
      </c>
      <c r="J496" s="198">
        <f>'Trial tariffs'!K47*'Trial tariffs'!K94*J$7</f>
        <v>0</v>
      </c>
      <c r="K496" s="198">
        <f>'Trial tariffs'!L47*'Trial tariffs'!L94*K$7</f>
        <v>0</v>
      </c>
      <c r="L496" s="198">
        <f>'Trial tariffs'!M47*'Trial tariffs'!M94*L$7</f>
        <v>0</v>
      </c>
      <c r="M496" s="198">
        <f>'Trial tariffs'!N47*'Trial tariffs'!N94*M$7</f>
        <v>0</v>
      </c>
      <c r="N496" s="198">
        <f>'Trial tariffs'!O47*'Trial tariffs'!O94*N$7</f>
        <v>0</v>
      </c>
      <c r="O496" s="198">
        <f>'Trial tariffs'!P47*'Trial tariffs'!P94*O$7</f>
        <v>0</v>
      </c>
      <c r="P496" s="198">
        <f>'Trial tariffs'!Q47*'Trial tariffs'!Q94*P$7</f>
        <v>0</v>
      </c>
      <c r="Q496" s="198">
        <f>'Trial tariffs'!R47*'Trial tariffs'!R94*Q$7</f>
        <v>0</v>
      </c>
      <c r="R496" s="198">
        <f>'Trial tariffs'!S47*'Trial tariffs'!S94*R$7</f>
        <v>0</v>
      </c>
      <c r="S496" s="198">
        <f>'Trial tariffs'!T47*'Trial tariffs'!T94*S$7</f>
        <v>0</v>
      </c>
      <c r="T496" s="198">
        <f>'Trial tariffs'!U47*'Trial tariffs'!U94*T$7</f>
        <v>0</v>
      </c>
      <c r="U496" s="198">
        <f>'Trial tariffs'!V47*'Trial tariffs'!V94*U$7</f>
        <v>0</v>
      </c>
      <c r="V496" s="198">
        <f>'Trial tariffs'!W47*'Trial tariffs'!W94*V$7</f>
        <v>0</v>
      </c>
      <c r="W496" s="198">
        <f>'Trial tariffs'!X47*'Trial tariffs'!X94*W$7</f>
        <v>0</v>
      </c>
      <c r="X496" s="198">
        <f>'Trial tariffs'!Y47*'Trial tariffs'!Y94*X$7</f>
        <v>0</v>
      </c>
      <c r="Y496" s="198">
        <f>'Trial tariffs'!Z47*'Trial tariffs'!Z94*Y$7</f>
        <v>0</v>
      </c>
      <c r="Z496" s="198">
        <f>'Trial tariffs'!AA47*'Trial tariffs'!AA94*Z$7</f>
        <v>0</v>
      </c>
      <c r="AA496" s="198">
        <f>'Trial tariffs'!AB47*'Trial tariffs'!AB94*AA$7</f>
        <v>0</v>
      </c>
      <c r="AB496" s="198">
        <f>'Trial tariffs'!AC47*'Trial tariffs'!AC94*AB$7</f>
        <v>0</v>
      </c>
      <c r="AC496" s="206">
        <f t="shared" si="60"/>
        <v>0</v>
      </c>
      <c r="AD496" s="68"/>
      <c r="AE496" s="19"/>
      <c r="AF496" s="19"/>
      <c r="AG496" s="19"/>
      <c r="AH496" s="19"/>
    </row>
    <row r="497" spans="1:34" hidden="1" outlineLevel="2" x14ac:dyDescent="0.2">
      <c r="A497" s="19"/>
      <c r="B497" s="19"/>
      <c r="C497" s="506">
        <f>'Trial tariffs'!C48</f>
        <v>0</v>
      </c>
      <c r="D497" s="505">
        <f>'Trial tariffs'!D48</f>
        <v>0</v>
      </c>
      <c r="E497" s="505">
        <f>'Trial tariffs'!E48</f>
        <v>0</v>
      </c>
      <c r="F497" s="505">
        <f>'Trial tariffs'!E48</f>
        <v>0</v>
      </c>
      <c r="G497" s="505">
        <f>'Trial tariffs'!F48</f>
        <v>0</v>
      </c>
      <c r="H497" s="58"/>
      <c r="I497" s="198">
        <f>'Trial tariffs'!J48*'Trial tariffs'!J95*I$7</f>
        <v>0</v>
      </c>
      <c r="J497" s="198">
        <f>'Trial tariffs'!K48*'Trial tariffs'!K95*J$7</f>
        <v>0</v>
      </c>
      <c r="K497" s="198">
        <f>'Trial tariffs'!L48*'Trial tariffs'!L95*K$7</f>
        <v>0</v>
      </c>
      <c r="L497" s="198">
        <f>'Trial tariffs'!M48*'Trial tariffs'!M95*L$7</f>
        <v>0</v>
      </c>
      <c r="M497" s="198">
        <f>'Trial tariffs'!N48*'Trial tariffs'!N95*M$7</f>
        <v>0</v>
      </c>
      <c r="N497" s="198">
        <f>'Trial tariffs'!O48*'Trial tariffs'!O95*N$7</f>
        <v>0</v>
      </c>
      <c r="O497" s="198">
        <f>'Trial tariffs'!P48*'Trial tariffs'!P95*O$7</f>
        <v>0</v>
      </c>
      <c r="P497" s="198">
        <f>'Trial tariffs'!Q48*'Trial tariffs'!Q95*P$7</f>
        <v>0</v>
      </c>
      <c r="Q497" s="198">
        <f>'Trial tariffs'!R48*'Trial tariffs'!R95*Q$7</f>
        <v>0</v>
      </c>
      <c r="R497" s="198">
        <f>'Trial tariffs'!S48*'Trial tariffs'!S95*R$7</f>
        <v>0</v>
      </c>
      <c r="S497" s="198">
        <f>'Trial tariffs'!T48*'Trial tariffs'!T95*S$7</f>
        <v>0</v>
      </c>
      <c r="T497" s="198">
        <f>'Trial tariffs'!U48*'Trial tariffs'!U95*T$7</f>
        <v>0</v>
      </c>
      <c r="U497" s="198">
        <f>'Trial tariffs'!V48*'Trial tariffs'!V95*U$7</f>
        <v>0</v>
      </c>
      <c r="V497" s="198">
        <f>'Trial tariffs'!W48*'Trial tariffs'!W95*V$7</f>
        <v>0</v>
      </c>
      <c r="W497" s="198">
        <f>'Trial tariffs'!X48*'Trial tariffs'!X95*W$7</f>
        <v>0</v>
      </c>
      <c r="X497" s="198">
        <f>'Trial tariffs'!Y48*'Trial tariffs'!Y95*X$7</f>
        <v>0</v>
      </c>
      <c r="Y497" s="198">
        <f>'Trial tariffs'!Z48*'Trial tariffs'!Z95*Y$7</f>
        <v>0</v>
      </c>
      <c r="Z497" s="198">
        <f>'Trial tariffs'!AA48*'Trial tariffs'!AA95*Z$7</f>
        <v>0</v>
      </c>
      <c r="AA497" s="198">
        <f>'Trial tariffs'!AB48*'Trial tariffs'!AB95*AA$7</f>
        <v>0</v>
      </c>
      <c r="AB497" s="198">
        <f>'Trial tariffs'!AC48*'Trial tariffs'!AC95*AB$7</f>
        <v>0</v>
      </c>
      <c r="AC497" s="206">
        <f t="shared" si="60"/>
        <v>0</v>
      </c>
      <c r="AD497" s="68"/>
      <c r="AE497" s="19"/>
      <c r="AF497" s="19"/>
      <c r="AG497" s="19"/>
      <c r="AH497" s="19"/>
    </row>
    <row r="498" spans="1:34" hidden="1" outlineLevel="2" x14ac:dyDescent="0.2">
      <c r="A498" s="19"/>
      <c r="B498" s="19"/>
      <c r="C498" s="506">
        <f>'Trial tariffs'!C49</f>
        <v>0</v>
      </c>
      <c r="D498" s="505">
        <f>'Trial tariffs'!D49</f>
        <v>0</v>
      </c>
      <c r="E498" s="505">
        <f>'Trial tariffs'!E49</f>
        <v>0</v>
      </c>
      <c r="F498" s="505">
        <f>'Trial tariffs'!E49</f>
        <v>0</v>
      </c>
      <c r="G498" s="505">
        <f>'Trial tariffs'!F49</f>
        <v>0</v>
      </c>
      <c r="H498" s="58"/>
      <c r="I498" s="198">
        <f>'Trial tariffs'!J49*'Trial tariffs'!J96*I$7</f>
        <v>0</v>
      </c>
      <c r="J498" s="198">
        <f>'Trial tariffs'!K49*'Trial tariffs'!K96*J$7</f>
        <v>0</v>
      </c>
      <c r="K498" s="198">
        <f>'Trial tariffs'!L49*'Trial tariffs'!L96*K$7</f>
        <v>0</v>
      </c>
      <c r="L498" s="198">
        <f>'Trial tariffs'!M49*'Trial tariffs'!M96*L$7</f>
        <v>0</v>
      </c>
      <c r="M498" s="198">
        <f>'Trial tariffs'!N49*'Trial tariffs'!N96*M$7</f>
        <v>0</v>
      </c>
      <c r="N498" s="198">
        <f>'Trial tariffs'!O49*'Trial tariffs'!O96*N$7</f>
        <v>0</v>
      </c>
      <c r="O498" s="198">
        <f>'Trial tariffs'!P49*'Trial tariffs'!P96*O$7</f>
        <v>0</v>
      </c>
      <c r="P498" s="198">
        <f>'Trial tariffs'!Q49*'Trial tariffs'!Q96*P$7</f>
        <v>0</v>
      </c>
      <c r="Q498" s="198">
        <f>'Trial tariffs'!R49*'Trial tariffs'!R96*Q$7</f>
        <v>0</v>
      </c>
      <c r="R498" s="198">
        <f>'Trial tariffs'!S49*'Trial tariffs'!S96*R$7</f>
        <v>0</v>
      </c>
      <c r="S498" s="198">
        <f>'Trial tariffs'!T49*'Trial tariffs'!T96*S$7</f>
        <v>0</v>
      </c>
      <c r="T498" s="198">
        <f>'Trial tariffs'!U49*'Trial tariffs'!U96*T$7</f>
        <v>0</v>
      </c>
      <c r="U498" s="198">
        <f>'Trial tariffs'!V49*'Trial tariffs'!V96*U$7</f>
        <v>0</v>
      </c>
      <c r="V498" s="198">
        <f>'Trial tariffs'!W49*'Trial tariffs'!W96*V$7</f>
        <v>0</v>
      </c>
      <c r="W498" s="198">
        <f>'Trial tariffs'!X49*'Trial tariffs'!X96*W$7</f>
        <v>0</v>
      </c>
      <c r="X498" s="198">
        <f>'Trial tariffs'!Y49*'Trial tariffs'!Y96*X$7</f>
        <v>0</v>
      </c>
      <c r="Y498" s="198">
        <f>'Trial tariffs'!Z49*'Trial tariffs'!Z96*Y$7</f>
        <v>0</v>
      </c>
      <c r="Z498" s="198">
        <f>'Trial tariffs'!AA49*'Trial tariffs'!AA96*Z$7</f>
        <v>0</v>
      </c>
      <c r="AA498" s="198">
        <f>'Trial tariffs'!AB49*'Trial tariffs'!AB96*AA$7</f>
        <v>0</v>
      </c>
      <c r="AB498" s="198">
        <f>'Trial tariffs'!AC49*'Trial tariffs'!AC96*AB$7</f>
        <v>0</v>
      </c>
      <c r="AC498" s="206">
        <f t="shared" si="60"/>
        <v>0</v>
      </c>
      <c r="AD498" s="68"/>
      <c r="AE498" s="19"/>
      <c r="AF498" s="19"/>
      <c r="AG498" s="19"/>
      <c r="AH498" s="19"/>
    </row>
    <row r="499" spans="1:34" hidden="1" outlineLevel="2" x14ac:dyDescent="0.2">
      <c r="A499" s="19"/>
      <c r="B499" s="19"/>
      <c r="C499" s="506">
        <f>'Trial tariffs'!C50</f>
        <v>0</v>
      </c>
      <c r="D499" s="505">
        <f>'Trial tariffs'!D50</f>
        <v>0</v>
      </c>
      <c r="E499" s="505">
        <f>'Trial tariffs'!E50</f>
        <v>0</v>
      </c>
      <c r="F499" s="505">
        <f>'Trial tariffs'!E50</f>
        <v>0</v>
      </c>
      <c r="G499" s="505">
        <f>'Trial tariffs'!F50</f>
        <v>0</v>
      </c>
      <c r="H499" s="58"/>
      <c r="I499" s="198">
        <f>'Trial tariffs'!J50*'Trial tariffs'!J97*I$7</f>
        <v>0</v>
      </c>
      <c r="J499" s="198">
        <f>'Trial tariffs'!K50*'Trial tariffs'!K97*J$7</f>
        <v>0</v>
      </c>
      <c r="K499" s="198">
        <f>'Trial tariffs'!L50*'Trial tariffs'!L97*K$7</f>
        <v>0</v>
      </c>
      <c r="L499" s="198">
        <f>'Trial tariffs'!M50*'Trial tariffs'!M97*L$7</f>
        <v>0</v>
      </c>
      <c r="M499" s="198">
        <f>'Trial tariffs'!N50*'Trial tariffs'!N97*M$7</f>
        <v>0</v>
      </c>
      <c r="N499" s="198">
        <f>'Trial tariffs'!O50*'Trial tariffs'!O97*N$7</f>
        <v>0</v>
      </c>
      <c r="O499" s="198">
        <f>'Trial tariffs'!P50*'Trial tariffs'!P97*O$7</f>
        <v>0</v>
      </c>
      <c r="P499" s="198">
        <f>'Trial tariffs'!Q50*'Trial tariffs'!Q97*P$7</f>
        <v>0</v>
      </c>
      <c r="Q499" s="198">
        <f>'Trial tariffs'!R50*'Trial tariffs'!R97*Q$7</f>
        <v>0</v>
      </c>
      <c r="R499" s="198">
        <f>'Trial tariffs'!S50*'Trial tariffs'!S97*R$7</f>
        <v>0</v>
      </c>
      <c r="S499" s="198">
        <f>'Trial tariffs'!T50*'Trial tariffs'!T97*S$7</f>
        <v>0</v>
      </c>
      <c r="T499" s="198">
        <f>'Trial tariffs'!U50*'Trial tariffs'!U97*T$7</f>
        <v>0</v>
      </c>
      <c r="U499" s="198">
        <f>'Trial tariffs'!V50*'Trial tariffs'!V97*U$7</f>
        <v>0</v>
      </c>
      <c r="V499" s="198">
        <f>'Trial tariffs'!W50*'Trial tariffs'!W97*V$7</f>
        <v>0</v>
      </c>
      <c r="W499" s="198">
        <f>'Trial tariffs'!X50*'Trial tariffs'!X97*W$7</f>
        <v>0</v>
      </c>
      <c r="X499" s="198">
        <f>'Trial tariffs'!Y50*'Trial tariffs'!Y97*X$7</f>
        <v>0</v>
      </c>
      <c r="Y499" s="198">
        <f>'Trial tariffs'!Z50*'Trial tariffs'!Z97*Y$7</f>
        <v>0</v>
      </c>
      <c r="Z499" s="198">
        <f>'Trial tariffs'!AA50*'Trial tariffs'!AA97*Z$7</f>
        <v>0</v>
      </c>
      <c r="AA499" s="198">
        <f>'Trial tariffs'!AB50*'Trial tariffs'!AB97*AA$7</f>
        <v>0</v>
      </c>
      <c r="AB499" s="198">
        <f>'Trial tariffs'!AC50*'Trial tariffs'!AC97*AB$7</f>
        <v>0</v>
      </c>
      <c r="AC499" s="206">
        <f t="shared" si="60"/>
        <v>0</v>
      </c>
      <c r="AD499" s="68"/>
      <c r="AE499" s="19"/>
      <c r="AF499" s="19"/>
      <c r="AG499" s="19"/>
      <c r="AH499" s="19"/>
    </row>
    <row r="500" spans="1:34" hidden="1" outlineLevel="2" x14ac:dyDescent="0.2">
      <c r="A500" s="19"/>
      <c r="B500" s="19"/>
      <c r="C500" s="506">
        <f>'Trial tariffs'!C51</f>
        <v>0</v>
      </c>
      <c r="D500" s="505">
        <f>'Trial tariffs'!D51</f>
        <v>0</v>
      </c>
      <c r="E500" s="505">
        <f>'Trial tariffs'!E51</f>
        <v>0</v>
      </c>
      <c r="F500" s="505">
        <f>'Trial tariffs'!E51</f>
        <v>0</v>
      </c>
      <c r="G500" s="505">
        <f>'Trial tariffs'!F51</f>
        <v>0</v>
      </c>
      <c r="H500" s="58"/>
      <c r="I500" s="198">
        <f>'Trial tariffs'!J51*'Trial tariffs'!J98*I$7</f>
        <v>0</v>
      </c>
      <c r="J500" s="198">
        <f>'Trial tariffs'!K51*'Trial tariffs'!K98*J$7</f>
        <v>0</v>
      </c>
      <c r="K500" s="198">
        <f>'Trial tariffs'!L51*'Trial tariffs'!L98*K$7</f>
        <v>0</v>
      </c>
      <c r="L500" s="198">
        <f>'Trial tariffs'!M51*'Trial tariffs'!M98*L$7</f>
        <v>0</v>
      </c>
      <c r="M500" s="198">
        <f>'Trial tariffs'!N51*'Trial tariffs'!N98*M$7</f>
        <v>0</v>
      </c>
      <c r="N500" s="198">
        <f>'Trial tariffs'!O51*'Trial tariffs'!O98*N$7</f>
        <v>0</v>
      </c>
      <c r="O500" s="198">
        <f>'Trial tariffs'!P51*'Trial tariffs'!P98*O$7</f>
        <v>0</v>
      </c>
      <c r="P500" s="198">
        <f>'Trial tariffs'!Q51*'Trial tariffs'!Q98*P$7</f>
        <v>0</v>
      </c>
      <c r="Q500" s="198">
        <f>'Trial tariffs'!R51*'Trial tariffs'!R98*Q$7</f>
        <v>0</v>
      </c>
      <c r="R500" s="198">
        <f>'Trial tariffs'!S51*'Trial tariffs'!S98*R$7</f>
        <v>0</v>
      </c>
      <c r="S500" s="198">
        <f>'Trial tariffs'!T51*'Trial tariffs'!T98*S$7</f>
        <v>0</v>
      </c>
      <c r="T500" s="198">
        <f>'Trial tariffs'!U51*'Trial tariffs'!U98*T$7</f>
        <v>0</v>
      </c>
      <c r="U500" s="198">
        <f>'Trial tariffs'!V51*'Trial tariffs'!V98*U$7</f>
        <v>0</v>
      </c>
      <c r="V500" s="198">
        <f>'Trial tariffs'!W51*'Trial tariffs'!W98*V$7</f>
        <v>0</v>
      </c>
      <c r="W500" s="198">
        <f>'Trial tariffs'!X51*'Trial tariffs'!X98*W$7</f>
        <v>0</v>
      </c>
      <c r="X500" s="198">
        <f>'Trial tariffs'!Y51*'Trial tariffs'!Y98*X$7</f>
        <v>0</v>
      </c>
      <c r="Y500" s="198">
        <f>'Trial tariffs'!Z51*'Trial tariffs'!Z98*Y$7</f>
        <v>0</v>
      </c>
      <c r="Z500" s="198">
        <f>'Trial tariffs'!AA51*'Trial tariffs'!AA98*Z$7</f>
        <v>0</v>
      </c>
      <c r="AA500" s="198">
        <f>'Trial tariffs'!AB51*'Trial tariffs'!AB98*AA$7</f>
        <v>0</v>
      </c>
      <c r="AB500" s="198">
        <f>'Trial tariffs'!AC51*'Trial tariffs'!AC98*AB$7</f>
        <v>0</v>
      </c>
      <c r="AC500" s="206">
        <f t="shared" si="60"/>
        <v>0</v>
      </c>
      <c r="AD500" s="68"/>
      <c r="AE500" s="19"/>
      <c r="AF500" s="19"/>
      <c r="AG500" s="19"/>
      <c r="AH500" s="19"/>
    </row>
    <row r="501" spans="1:34" hidden="1" outlineLevel="2" x14ac:dyDescent="0.2">
      <c r="A501" s="19"/>
      <c r="B501" s="19"/>
      <c r="C501" s="506">
        <f>'Trial tariffs'!C52</f>
        <v>0</v>
      </c>
      <c r="D501" s="505">
        <f>'Trial tariffs'!D52</f>
        <v>0</v>
      </c>
      <c r="E501" s="505">
        <f>'Trial tariffs'!E52</f>
        <v>0</v>
      </c>
      <c r="F501" s="505">
        <f>'Trial tariffs'!E52</f>
        <v>0</v>
      </c>
      <c r="G501" s="505">
        <f>'Trial tariffs'!F52</f>
        <v>0</v>
      </c>
      <c r="H501" s="58"/>
      <c r="I501" s="198">
        <f>'Trial tariffs'!J52*'Trial tariffs'!J99*I$7</f>
        <v>0</v>
      </c>
      <c r="J501" s="198">
        <f>'Trial tariffs'!K52*'Trial tariffs'!K99*J$7</f>
        <v>0</v>
      </c>
      <c r="K501" s="198">
        <f>'Trial tariffs'!L52*'Trial tariffs'!L99*K$7</f>
        <v>0</v>
      </c>
      <c r="L501" s="198">
        <f>'Trial tariffs'!M52*'Trial tariffs'!M99*L$7</f>
        <v>0</v>
      </c>
      <c r="M501" s="198">
        <f>'Trial tariffs'!N52*'Trial tariffs'!N99*M$7</f>
        <v>0</v>
      </c>
      <c r="N501" s="198">
        <f>'Trial tariffs'!O52*'Trial tariffs'!O99*N$7</f>
        <v>0</v>
      </c>
      <c r="O501" s="198">
        <f>'Trial tariffs'!P52*'Trial tariffs'!P99*O$7</f>
        <v>0</v>
      </c>
      <c r="P501" s="198">
        <f>'Trial tariffs'!Q52*'Trial tariffs'!Q99*P$7</f>
        <v>0</v>
      </c>
      <c r="Q501" s="198">
        <f>'Trial tariffs'!R52*'Trial tariffs'!R99*Q$7</f>
        <v>0</v>
      </c>
      <c r="R501" s="198">
        <f>'Trial tariffs'!S52*'Trial tariffs'!S99*R$7</f>
        <v>0</v>
      </c>
      <c r="S501" s="198">
        <f>'Trial tariffs'!T52*'Trial tariffs'!T99*S$7</f>
        <v>0</v>
      </c>
      <c r="T501" s="198">
        <f>'Trial tariffs'!U52*'Trial tariffs'!U99*T$7</f>
        <v>0</v>
      </c>
      <c r="U501" s="198">
        <f>'Trial tariffs'!V52*'Trial tariffs'!V99*U$7</f>
        <v>0</v>
      </c>
      <c r="V501" s="198">
        <f>'Trial tariffs'!W52*'Trial tariffs'!W99*V$7</f>
        <v>0</v>
      </c>
      <c r="W501" s="198">
        <f>'Trial tariffs'!X52*'Trial tariffs'!X99*W$7</f>
        <v>0</v>
      </c>
      <c r="X501" s="198">
        <f>'Trial tariffs'!Y52*'Trial tariffs'!Y99*X$7</f>
        <v>0</v>
      </c>
      <c r="Y501" s="198">
        <f>'Trial tariffs'!Z52*'Trial tariffs'!Z99*Y$7</f>
        <v>0</v>
      </c>
      <c r="Z501" s="198">
        <f>'Trial tariffs'!AA52*'Trial tariffs'!AA99*Z$7</f>
        <v>0</v>
      </c>
      <c r="AA501" s="198">
        <f>'Trial tariffs'!AB52*'Trial tariffs'!AB99*AA$7</f>
        <v>0</v>
      </c>
      <c r="AB501" s="198">
        <f>'Trial tariffs'!AC52*'Trial tariffs'!AC99*AB$7</f>
        <v>0</v>
      </c>
      <c r="AC501" s="206">
        <f t="shared" si="60"/>
        <v>0</v>
      </c>
      <c r="AD501" s="68"/>
      <c r="AE501" s="19"/>
      <c r="AF501" s="19"/>
      <c r="AG501" s="19"/>
      <c r="AH501" s="19"/>
    </row>
    <row r="502" spans="1:34" hidden="1" outlineLevel="2" x14ac:dyDescent="0.2">
      <c r="A502" s="19"/>
      <c r="B502" s="19"/>
      <c r="C502" s="539" t="s">
        <v>240</v>
      </c>
      <c r="D502" s="505"/>
      <c r="E502" s="505"/>
      <c r="F502" s="505"/>
      <c r="G502" s="505"/>
      <c r="H502" s="58"/>
      <c r="I502" s="205">
        <f>SUM(I482:I501)</f>
        <v>0</v>
      </c>
      <c r="J502" s="205">
        <f t="shared" ref="J502:AC502" si="61">SUM(J482:J501)</f>
        <v>0</v>
      </c>
      <c r="K502" s="205">
        <f t="shared" si="61"/>
        <v>0</v>
      </c>
      <c r="L502" s="205">
        <f t="shared" si="61"/>
        <v>0</v>
      </c>
      <c r="M502" s="205">
        <f t="shared" si="61"/>
        <v>0</v>
      </c>
      <c r="N502" s="205">
        <f t="shared" si="61"/>
        <v>0</v>
      </c>
      <c r="O502" s="205">
        <f t="shared" si="61"/>
        <v>0</v>
      </c>
      <c r="P502" s="205">
        <f t="shared" si="61"/>
        <v>0</v>
      </c>
      <c r="Q502" s="205">
        <f t="shared" si="61"/>
        <v>0</v>
      </c>
      <c r="R502" s="205">
        <f t="shared" si="61"/>
        <v>0</v>
      </c>
      <c r="S502" s="205">
        <f t="shared" si="61"/>
        <v>0</v>
      </c>
      <c r="T502" s="205">
        <f t="shared" si="61"/>
        <v>0</v>
      </c>
      <c r="U502" s="205">
        <f t="shared" si="61"/>
        <v>0</v>
      </c>
      <c r="V502" s="205">
        <f t="shared" si="61"/>
        <v>0</v>
      </c>
      <c r="W502" s="205">
        <f t="shared" si="61"/>
        <v>0</v>
      </c>
      <c r="X502" s="205">
        <f t="shared" si="61"/>
        <v>0</v>
      </c>
      <c r="Y502" s="205">
        <f t="shared" si="61"/>
        <v>0</v>
      </c>
      <c r="Z502" s="205">
        <f t="shared" si="61"/>
        <v>0</v>
      </c>
      <c r="AA502" s="205">
        <f t="shared" si="61"/>
        <v>0</v>
      </c>
      <c r="AB502" s="205">
        <f t="shared" si="61"/>
        <v>0</v>
      </c>
      <c r="AC502" s="205">
        <f t="shared" si="61"/>
        <v>0</v>
      </c>
      <c r="AD502" s="68"/>
      <c r="AE502" s="19"/>
      <c r="AF502" s="19"/>
      <c r="AG502" s="19"/>
      <c r="AH502" s="19"/>
    </row>
    <row r="503" spans="1:34" outlineLevel="1" collapsed="1" x14ac:dyDescent="0.2">
      <c r="A503" s="19"/>
      <c r="B503" s="19"/>
      <c r="C503" s="223"/>
      <c r="D503" s="223"/>
      <c r="E503" s="58"/>
      <c r="F503" s="58"/>
      <c r="G503" s="58"/>
      <c r="H503" s="58"/>
      <c r="I503" s="178"/>
      <c r="J503" s="178"/>
      <c r="K503" s="178"/>
      <c r="L503" s="178"/>
      <c r="M503" s="178"/>
      <c r="N503" s="178"/>
      <c r="O503" s="178"/>
      <c r="P503" s="178"/>
      <c r="Q503" s="178"/>
      <c r="R503" s="178"/>
      <c r="S503" s="178"/>
      <c r="T503" s="178"/>
      <c r="U503" s="178"/>
      <c r="V503" s="178"/>
      <c r="W503" s="178"/>
      <c r="X503" s="178"/>
      <c r="Y503" s="178"/>
      <c r="Z503" s="178"/>
      <c r="AA503" s="178"/>
      <c r="AB503" s="178"/>
      <c r="AC503" s="178"/>
      <c r="AD503" s="68"/>
      <c r="AE503" s="19"/>
      <c r="AF503" s="19"/>
      <c r="AG503" s="19"/>
      <c r="AH503" s="19"/>
    </row>
    <row r="504" spans="1:34" hidden="1" outlineLevel="2" x14ac:dyDescent="0.2">
      <c r="A504" s="19"/>
      <c r="B504" s="19"/>
      <c r="C504" s="167" t="s">
        <v>137</v>
      </c>
      <c r="D504" s="20"/>
      <c r="E504" s="20"/>
      <c r="F504" s="20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19"/>
      <c r="AD504" s="19"/>
      <c r="AE504" s="19"/>
      <c r="AF504" s="19"/>
      <c r="AG504" s="19"/>
      <c r="AH504" s="19"/>
    </row>
    <row r="505" spans="1:34" hidden="1" outlineLevel="2" x14ac:dyDescent="0.2">
      <c r="A505" s="19"/>
      <c r="B505" s="19"/>
      <c r="C505" s="506">
        <f t="shared" ref="C505:G524" si="62">C482</f>
        <v>0</v>
      </c>
      <c r="D505" s="505">
        <f t="shared" si="62"/>
        <v>0</v>
      </c>
      <c r="E505" s="505">
        <f t="shared" si="62"/>
        <v>0</v>
      </c>
      <c r="F505" s="505">
        <f t="shared" ref="F505:F524" si="63">F482</f>
        <v>0</v>
      </c>
      <c r="G505" s="505">
        <f t="shared" si="62"/>
        <v>0</v>
      </c>
      <c r="H505" s="22"/>
      <c r="I505" s="198">
        <f>IF('Trial tariffs'!$H33=0,'Trial tariffs'!J33,'Trial tariffs'!J33*'Trial tariffs'!$H33)*'Trial tariffs'!J102*I$7</f>
        <v>0</v>
      </c>
      <c r="J505" s="198">
        <f>IF('Trial tariffs'!$H33=0,'Trial tariffs'!K33,'Trial tariffs'!K33*'Trial tariffs'!$H33)*'Trial tariffs'!K102*J$7</f>
        <v>0</v>
      </c>
      <c r="K505" s="198">
        <f>IF('Trial tariffs'!$H33=0,'Trial tariffs'!L33,'Trial tariffs'!L33*'Trial tariffs'!$H33)*'Trial tariffs'!L102*K$7</f>
        <v>0</v>
      </c>
      <c r="L505" s="198">
        <f>IF('Trial tariffs'!$H33=0,'Trial tariffs'!M33,'Trial tariffs'!M33*'Trial tariffs'!$H33)*'Trial tariffs'!M102*L$7</f>
        <v>0</v>
      </c>
      <c r="M505" s="198">
        <f>IF('Trial tariffs'!$H33=0,'Trial tariffs'!N33,'Trial tariffs'!N33*'Trial tariffs'!$H33)*'Trial tariffs'!N102*M$7</f>
        <v>0</v>
      </c>
      <c r="N505" s="198">
        <f>IF('Trial tariffs'!$H33=0,'Trial tariffs'!O33,'Trial tariffs'!O33*'Trial tariffs'!$H33)*'Trial tariffs'!O102*N$7</f>
        <v>0</v>
      </c>
      <c r="O505" s="198">
        <f>IF('Trial tariffs'!$H33=0,'Trial tariffs'!P33,'Trial tariffs'!P33*'Trial tariffs'!$H33)*'Trial tariffs'!P102*O$7</f>
        <v>0</v>
      </c>
      <c r="P505" s="198">
        <f>IF('Trial tariffs'!$H33=0,'Trial tariffs'!Q33,'Trial tariffs'!Q33*'Trial tariffs'!$H33)*'Trial tariffs'!Q102*P$7</f>
        <v>0</v>
      </c>
      <c r="Q505" s="198">
        <f>IF('Trial tariffs'!$H33=0,'Trial tariffs'!R33,'Trial tariffs'!R33*'Trial tariffs'!$H33)*'Trial tariffs'!R102*Q$7</f>
        <v>0</v>
      </c>
      <c r="R505" s="198">
        <f>IF('Trial tariffs'!$H33=0,'Trial tariffs'!S33,'Trial tariffs'!S33*'Trial tariffs'!$H33)*'Trial tariffs'!S102*R$7</f>
        <v>0</v>
      </c>
      <c r="S505" s="198">
        <f>IF('Trial tariffs'!$H33=0,'Trial tariffs'!T33,'Trial tariffs'!T33*'Trial tariffs'!$H33)*'Trial tariffs'!T102*S$7</f>
        <v>0</v>
      </c>
      <c r="T505" s="198">
        <f>IF('Trial tariffs'!$H33=0,'Trial tariffs'!U33,'Trial tariffs'!U33*'Trial tariffs'!$H33)*'Trial tariffs'!U102*T$7</f>
        <v>0</v>
      </c>
      <c r="U505" s="198">
        <f>IF('Trial tariffs'!$H33=0,'Trial tariffs'!V33,'Trial tariffs'!V33*'Trial tariffs'!$H33)*'Trial tariffs'!V102*U$7</f>
        <v>0</v>
      </c>
      <c r="V505" s="198">
        <f>IF('Trial tariffs'!$H33=0,'Trial tariffs'!W33,'Trial tariffs'!W33*'Trial tariffs'!$H33)*'Trial tariffs'!W102*V$7</f>
        <v>0</v>
      </c>
      <c r="W505" s="198">
        <f>IF('Trial tariffs'!$H33=0,'Trial tariffs'!X33,'Trial tariffs'!X33*'Trial tariffs'!$H33)*'Trial tariffs'!X102*W$7</f>
        <v>0</v>
      </c>
      <c r="X505" s="198">
        <f>IF('Trial tariffs'!$H33=0,'Trial tariffs'!Y33,'Trial tariffs'!Y33*'Trial tariffs'!$H33)*'Trial tariffs'!Y102*X$7</f>
        <v>0</v>
      </c>
      <c r="Y505" s="198">
        <f>IF('Trial tariffs'!$H33=0,'Trial tariffs'!Z33,'Trial tariffs'!Z33*'Trial tariffs'!$H33)*'Trial tariffs'!Z102*Y$7</f>
        <v>0</v>
      </c>
      <c r="Z505" s="198">
        <f>IF('Trial tariffs'!$H33=0,'Trial tariffs'!AA33,'Trial tariffs'!AA33*'Trial tariffs'!$H33)*'Trial tariffs'!AA102*Z$7</f>
        <v>0</v>
      </c>
      <c r="AA505" s="198">
        <f>IF('Trial tariffs'!$H33=0,'Trial tariffs'!AB33,'Trial tariffs'!AB33*'Trial tariffs'!$H33)*'Trial tariffs'!AB102*AA$7</f>
        <v>0</v>
      </c>
      <c r="AB505" s="198">
        <f>IF('Trial tariffs'!$H33=0,'Trial tariffs'!AC33,'Trial tariffs'!AC33*'Trial tariffs'!$H33)*'Trial tariffs'!AC102*AB$7</f>
        <v>0</v>
      </c>
      <c r="AC505" s="206">
        <f t="shared" ref="AC505:AC524" si="64">SUM(I505:AB505)</f>
        <v>0</v>
      </c>
      <c r="AD505" s="68"/>
      <c r="AE505" s="19"/>
      <c r="AF505" s="19"/>
      <c r="AG505" s="19"/>
      <c r="AH505" s="19"/>
    </row>
    <row r="506" spans="1:34" s="59" customFormat="1" hidden="1" outlineLevel="2" x14ac:dyDescent="0.2">
      <c r="A506" s="57"/>
      <c r="B506" s="57"/>
      <c r="C506" s="506">
        <f t="shared" si="62"/>
        <v>0</v>
      </c>
      <c r="D506" s="505">
        <f t="shared" si="62"/>
        <v>0</v>
      </c>
      <c r="E506" s="505">
        <f t="shared" si="62"/>
        <v>0</v>
      </c>
      <c r="F506" s="505">
        <f t="shared" si="63"/>
        <v>0</v>
      </c>
      <c r="G506" s="505">
        <f t="shared" si="62"/>
        <v>0</v>
      </c>
      <c r="H506" s="58"/>
      <c r="I506" s="198">
        <f>IF('Trial tariffs'!$H34=0,'Trial tariffs'!J34,'Trial tariffs'!J34*'Trial tariffs'!$H34)*'Trial tariffs'!J103*I$7</f>
        <v>0</v>
      </c>
      <c r="J506" s="198">
        <f>IF('Trial tariffs'!$H34=0,'Trial tariffs'!K34,'Trial tariffs'!K34*'Trial tariffs'!$H34)*'Trial tariffs'!K103*J$7</f>
        <v>0</v>
      </c>
      <c r="K506" s="198">
        <f>IF('Trial tariffs'!$H34=0,'Trial tariffs'!L34,'Trial tariffs'!L34*'Trial tariffs'!$H34)*'Trial tariffs'!L103*K$7</f>
        <v>0</v>
      </c>
      <c r="L506" s="198">
        <f>IF('Trial tariffs'!$H34=0,'Trial tariffs'!M34,'Trial tariffs'!M34*'Trial tariffs'!$H34)*'Trial tariffs'!M103*L$7</f>
        <v>0</v>
      </c>
      <c r="M506" s="198">
        <f>IF('Trial tariffs'!$H34=0,'Trial tariffs'!N34,'Trial tariffs'!N34*'Trial tariffs'!$H34)*'Trial tariffs'!N103*M$7</f>
        <v>0</v>
      </c>
      <c r="N506" s="198">
        <f>IF('Trial tariffs'!$H34=0,'Trial tariffs'!O34,'Trial tariffs'!O34*'Trial tariffs'!$H34)*'Trial tariffs'!O103*N$7</f>
        <v>0</v>
      </c>
      <c r="O506" s="198">
        <f>IF('Trial tariffs'!$H34=0,'Trial tariffs'!P34,'Trial tariffs'!P34*'Trial tariffs'!$H34)*'Trial tariffs'!P103*O$7</f>
        <v>0</v>
      </c>
      <c r="P506" s="198">
        <f>IF('Trial tariffs'!$H34=0,'Trial tariffs'!Q34,'Trial tariffs'!Q34*'Trial tariffs'!$H34)*'Trial tariffs'!Q103*P$7</f>
        <v>0</v>
      </c>
      <c r="Q506" s="198">
        <f>IF('Trial tariffs'!$H34=0,'Trial tariffs'!R34,'Trial tariffs'!R34*'Trial tariffs'!$H34)*'Trial tariffs'!R103*Q$7</f>
        <v>0</v>
      </c>
      <c r="R506" s="198">
        <f>IF('Trial tariffs'!$H34=0,'Trial tariffs'!S34,'Trial tariffs'!S34*'Trial tariffs'!$H34)*'Trial tariffs'!S103*R$7</f>
        <v>0</v>
      </c>
      <c r="S506" s="198">
        <f>IF('Trial tariffs'!$H34=0,'Trial tariffs'!T34,'Trial tariffs'!T34*'Trial tariffs'!$H34)*'Trial tariffs'!T103*S$7</f>
        <v>0</v>
      </c>
      <c r="T506" s="198">
        <f>IF('Trial tariffs'!$H34=0,'Trial tariffs'!U34,'Trial tariffs'!U34*'Trial tariffs'!$H34)*'Trial tariffs'!U103*T$7</f>
        <v>0</v>
      </c>
      <c r="U506" s="198">
        <f>IF('Trial tariffs'!$H34=0,'Trial tariffs'!V34,'Trial tariffs'!V34*'Trial tariffs'!$H34)*'Trial tariffs'!V103*U$7</f>
        <v>0</v>
      </c>
      <c r="V506" s="198">
        <f>IF('Trial tariffs'!$H34=0,'Trial tariffs'!W34,'Trial tariffs'!W34*'Trial tariffs'!$H34)*'Trial tariffs'!W103*V$7</f>
        <v>0</v>
      </c>
      <c r="W506" s="198">
        <f>IF('Trial tariffs'!$H34=0,'Trial tariffs'!X34,'Trial tariffs'!X34*'Trial tariffs'!$H34)*'Trial tariffs'!X103*W$7</f>
        <v>0</v>
      </c>
      <c r="X506" s="198">
        <f>IF('Trial tariffs'!$H34=0,'Trial tariffs'!Y34,'Trial tariffs'!Y34*'Trial tariffs'!$H34)*'Trial tariffs'!Y103*X$7</f>
        <v>0</v>
      </c>
      <c r="Y506" s="198">
        <f>IF('Trial tariffs'!$H34=0,'Trial tariffs'!Z34,'Trial tariffs'!Z34*'Trial tariffs'!$H34)*'Trial tariffs'!Z103*Y$7</f>
        <v>0</v>
      </c>
      <c r="Z506" s="198">
        <f>IF('Trial tariffs'!$H34=0,'Trial tariffs'!AA34,'Trial tariffs'!AA34*'Trial tariffs'!$H34)*'Trial tariffs'!AA103*Z$7</f>
        <v>0</v>
      </c>
      <c r="AA506" s="198">
        <f>IF('Trial tariffs'!$H34=0,'Trial tariffs'!AB34,'Trial tariffs'!AB34*'Trial tariffs'!$H34)*'Trial tariffs'!AB103*AA$7</f>
        <v>0</v>
      </c>
      <c r="AB506" s="198">
        <f>IF('Trial tariffs'!$H34=0,'Trial tariffs'!AC34,'Trial tariffs'!AC34*'Trial tariffs'!$H34)*'Trial tariffs'!AC103*AB$7</f>
        <v>0</v>
      </c>
      <c r="AC506" s="206">
        <f t="shared" si="64"/>
        <v>0</v>
      </c>
      <c r="AD506" s="68"/>
      <c r="AE506" s="57"/>
      <c r="AF506" s="57"/>
      <c r="AG506" s="57"/>
      <c r="AH506" s="57"/>
    </row>
    <row r="507" spans="1:34" hidden="1" outlineLevel="2" x14ac:dyDescent="0.2">
      <c r="A507" s="19"/>
      <c r="B507" s="19"/>
      <c r="C507" s="506">
        <f t="shared" si="62"/>
        <v>0</v>
      </c>
      <c r="D507" s="505">
        <f t="shared" si="62"/>
        <v>0</v>
      </c>
      <c r="E507" s="505">
        <f t="shared" si="62"/>
        <v>0</v>
      </c>
      <c r="F507" s="505">
        <f t="shared" si="63"/>
        <v>0</v>
      </c>
      <c r="G507" s="505">
        <f t="shared" si="62"/>
        <v>0</v>
      </c>
      <c r="H507" s="58"/>
      <c r="I507" s="198">
        <f>IF('Trial tariffs'!$H35=0,'Trial tariffs'!J35,'Trial tariffs'!J35*'Trial tariffs'!$H35)*'Trial tariffs'!J104*I$7</f>
        <v>0</v>
      </c>
      <c r="J507" s="198">
        <f>IF('Trial tariffs'!$H35=0,'Trial tariffs'!K35,'Trial tariffs'!K35*'Trial tariffs'!$H35)*'Trial tariffs'!K104*J$7</f>
        <v>0</v>
      </c>
      <c r="K507" s="198">
        <f>IF('Trial tariffs'!$H35=0,'Trial tariffs'!L35,'Trial tariffs'!L35*'Trial tariffs'!$H35)*'Trial tariffs'!L104*K$7</f>
        <v>0</v>
      </c>
      <c r="L507" s="198">
        <f>IF('Trial tariffs'!$H35=0,'Trial tariffs'!M35,'Trial tariffs'!M35*'Trial tariffs'!$H35)*'Trial tariffs'!M104*L$7</f>
        <v>0</v>
      </c>
      <c r="M507" s="198">
        <f>IF('Trial tariffs'!$H35=0,'Trial tariffs'!N35,'Trial tariffs'!N35*'Trial tariffs'!$H35)*'Trial tariffs'!N104*M$7</f>
        <v>0</v>
      </c>
      <c r="N507" s="198">
        <f>IF('Trial tariffs'!$H35=0,'Trial tariffs'!O35,'Trial tariffs'!O35*'Trial tariffs'!$H35)*'Trial tariffs'!O104*N$7</f>
        <v>0</v>
      </c>
      <c r="O507" s="198">
        <f>IF('Trial tariffs'!$H35=0,'Trial tariffs'!P35,'Trial tariffs'!P35*'Trial tariffs'!$H35)*'Trial tariffs'!P104*O$7</f>
        <v>0</v>
      </c>
      <c r="P507" s="198">
        <f>IF('Trial tariffs'!$H35=0,'Trial tariffs'!Q35,'Trial tariffs'!Q35*'Trial tariffs'!$H35)*'Trial tariffs'!Q104*P$7</f>
        <v>0</v>
      </c>
      <c r="Q507" s="198">
        <f>IF('Trial tariffs'!$H35=0,'Trial tariffs'!R35,'Trial tariffs'!R35*'Trial tariffs'!$H35)*'Trial tariffs'!R104*Q$7</f>
        <v>0</v>
      </c>
      <c r="R507" s="198">
        <f>IF('Trial tariffs'!$H35=0,'Trial tariffs'!S35,'Trial tariffs'!S35*'Trial tariffs'!$H35)*'Trial tariffs'!S104*R$7</f>
        <v>0</v>
      </c>
      <c r="S507" s="198">
        <f>IF('Trial tariffs'!$H35=0,'Trial tariffs'!T35,'Trial tariffs'!T35*'Trial tariffs'!$H35)*'Trial tariffs'!T104*S$7</f>
        <v>0</v>
      </c>
      <c r="T507" s="198">
        <f>IF('Trial tariffs'!$H35=0,'Trial tariffs'!U35,'Trial tariffs'!U35*'Trial tariffs'!$H35)*'Trial tariffs'!U104*T$7</f>
        <v>0</v>
      </c>
      <c r="U507" s="198">
        <f>IF('Trial tariffs'!$H35=0,'Trial tariffs'!V35,'Trial tariffs'!V35*'Trial tariffs'!$H35)*'Trial tariffs'!V104*U$7</f>
        <v>0</v>
      </c>
      <c r="V507" s="198">
        <f>IF('Trial tariffs'!$H35=0,'Trial tariffs'!W35,'Trial tariffs'!W35*'Trial tariffs'!$H35)*'Trial tariffs'!W104*V$7</f>
        <v>0</v>
      </c>
      <c r="W507" s="198">
        <f>IF('Trial tariffs'!$H35=0,'Trial tariffs'!X35,'Trial tariffs'!X35*'Trial tariffs'!$H35)*'Trial tariffs'!X104*W$7</f>
        <v>0</v>
      </c>
      <c r="X507" s="198">
        <f>IF('Trial tariffs'!$H35=0,'Trial tariffs'!Y35,'Trial tariffs'!Y35*'Trial tariffs'!$H35)*'Trial tariffs'!Y104*X$7</f>
        <v>0</v>
      </c>
      <c r="Y507" s="198">
        <f>IF('Trial tariffs'!$H35=0,'Trial tariffs'!Z35,'Trial tariffs'!Z35*'Trial tariffs'!$H35)*'Trial tariffs'!Z104*Y$7</f>
        <v>0</v>
      </c>
      <c r="Z507" s="198">
        <f>IF('Trial tariffs'!$H35=0,'Trial tariffs'!AA35,'Trial tariffs'!AA35*'Trial tariffs'!$H35)*'Trial tariffs'!AA104*Z$7</f>
        <v>0</v>
      </c>
      <c r="AA507" s="198">
        <f>IF('Trial tariffs'!$H35=0,'Trial tariffs'!AB35,'Trial tariffs'!AB35*'Trial tariffs'!$H35)*'Trial tariffs'!AB104*AA$7</f>
        <v>0</v>
      </c>
      <c r="AB507" s="198">
        <f>IF('Trial tariffs'!$H35=0,'Trial tariffs'!AC35,'Trial tariffs'!AC35*'Trial tariffs'!$H35)*'Trial tariffs'!AC104*AB$7</f>
        <v>0</v>
      </c>
      <c r="AC507" s="206">
        <f t="shared" si="64"/>
        <v>0</v>
      </c>
      <c r="AD507" s="68"/>
      <c r="AE507" s="19"/>
      <c r="AF507" s="19"/>
      <c r="AG507" s="19"/>
      <c r="AH507" s="19"/>
    </row>
    <row r="508" spans="1:34" hidden="1" outlineLevel="2" x14ac:dyDescent="0.2">
      <c r="A508" s="19"/>
      <c r="B508" s="19"/>
      <c r="C508" s="506">
        <f t="shared" si="62"/>
        <v>0</v>
      </c>
      <c r="D508" s="505">
        <f t="shared" si="62"/>
        <v>0</v>
      </c>
      <c r="E508" s="505">
        <f t="shared" si="62"/>
        <v>0</v>
      </c>
      <c r="F508" s="505">
        <f t="shared" si="63"/>
        <v>0</v>
      </c>
      <c r="G508" s="505">
        <f t="shared" si="62"/>
        <v>0</v>
      </c>
      <c r="H508" s="58"/>
      <c r="I508" s="198">
        <f>IF('Trial tariffs'!$H36=0,'Trial tariffs'!J36,'Trial tariffs'!J36*'Trial tariffs'!$H36)*'Trial tariffs'!J105*I$7</f>
        <v>0</v>
      </c>
      <c r="J508" s="198">
        <f>IF('Trial tariffs'!$H36=0,'Trial tariffs'!K36,'Trial tariffs'!K36*'Trial tariffs'!$H36)*'Trial tariffs'!K105*J$7</f>
        <v>0</v>
      </c>
      <c r="K508" s="198">
        <f>IF('Trial tariffs'!$H36=0,'Trial tariffs'!L36,'Trial tariffs'!L36*'Trial tariffs'!$H36)*'Trial tariffs'!L105*K$7</f>
        <v>0</v>
      </c>
      <c r="L508" s="198">
        <f>IF('Trial tariffs'!$H36=0,'Trial tariffs'!M36,'Trial tariffs'!M36*'Trial tariffs'!$H36)*'Trial tariffs'!M105*L$7</f>
        <v>0</v>
      </c>
      <c r="M508" s="198">
        <f>IF('Trial tariffs'!$H36=0,'Trial tariffs'!N36,'Trial tariffs'!N36*'Trial tariffs'!$H36)*'Trial tariffs'!N105*M$7</f>
        <v>0</v>
      </c>
      <c r="N508" s="198">
        <f>IF('Trial tariffs'!$H36=0,'Trial tariffs'!O36,'Trial tariffs'!O36*'Trial tariffs'!$H36)*'Trial tariffs'!O105*N$7</f>
        <v>0</v>
      </c>
      <c r="O508" s="198">
        <f>IF('Trial tariffs'!$H36=0,'Trial tariffs'!P36,'Trial tariffs'!P36*'Trial tariffs'!$H36)*'Trial tariffs'!P105*O$7</f>
        <v>0</v>
      </c>
      <c r="P508" s="198">
        <f>IF('Trial tariffs'!$H36=0,'Trial tariffs'!Q36,'Trial tariffs'!Q36*'Trial tariffs'!$H36)*'Trial tariffs'!Q105*P$7</f>
        <v>0</v>
      </c>
      <c r="Q508" s="198">
        <f>IF('Trial tariffs'!$H36=0,'Trial tariffs'!R36,'Trial tariffs'!R36*'Trial tariffs'!$H36)*'Trial tariffs'!R105*Q$7</f>
        <v>0</v>
      </c>
      <c r="R508" s="198">
        <f>IF('Trial tariffs'!$H36=0,'Trial tariffs'!S36,'Trial tariffs'!S36*'Trial tariffs'!$H36)*'Trial tariffs'!S105*R$7</f>
        <v>0</v>
      </c>
      <c r="S508" s="198">
        <f>IF('Trial tariffs'!$H36=0,'Trial tariffs'!T36,'Trial tariffs'!T36*'Trial tariffs'!$H36)*'Trial tariffs'!T105*S$7</f>
        <v>0</v>
      </c>
      <c r="T508" s="198">
        <f>IF('Trial tariffs'!$H36=0,'Trial tariffs'!U36,'Trial tariffs'!U36*'Trial tariffs'!$H36)*'Trial tariffs'!U105*T$7</f>
        <v>0</v>
      </c>
      <c r="U508" s="198">
        <f>IF('Trial tariffs'!$H36=0,'Trial tariffs'!V36,'Trial tariffs'!V36*'Trial tariffs'!$H36)*'Trial tariffs'!V105*U$7</f>
        <v>0</v>
      </c>
      <c r="V508" s="198">
        <f>IF('Trial tariffs'!$H36=0,'Trial tariffs'!W36,'Trial tariffs'!W36*'Trial tariffs'!$H36)*'Trial tariffs'!W105*V$7</f>
        <v>0</v>
      </c>
      <c r="W508" s="198">
        <f>IF('Trial tariffs'!$H36=0,'Trial tariffs'!X36,'Trial tariffs'!X36*'Trial tariffs'!$H36)*'Trial tariffs'!X105*W$7</f>
        <v>0</v>
      </c>
      <c r="X508" s="198">
        <f>IF('Trial tariffs'!$H36=0,'Trial tariffs'!Y36,'Trial tariffs'!Y36*'Trial tariffs'!$H36)*'Trial tariffs'!Y105*X$7</f>
        <v>0</v>
      </c>
      <c r="Y508" s="198">
        <f>IF('Trial tariffs'!$H36=0,'Trial tariffs'!Z36,'Trial tariffs'!Z36*'Trial tariffs'!$H36)*'Trial tariffs'!Z105*Y$7</f>
        <v>0</v>
      </c>
      <c r="Z508" s="198">
        <f>IF('Trial tariffs'!$H36=0,'Trial tariffs'!AA36,'Trial tariffs'!AA36*'Trial tariffs'!$H36)*'Trial tariffs'!AA105*Z$7</f>
        <v>0</v>
      </c>
      <c r="AA508" s="198">
        <f>IF('Trial tariffs'!$H36=0,'Trial tariffs'!AB36,'Trial tariffs'!AB36*'Trial tariffs'!$H36)*'Trial tariffs'!AB105*AA$7</f>
        <v>0</v>
      </c>
      <c r="AB508" s="198">
        <f>IF('Trial tariffs'!$H36=0,'Trial tariffs'!AC36,'Trial tariffs'!AC36*'Trial tariffs'!$H36)*'Trial tariffs'!AC105*AB$7</f>
        <v>0</v>
      </c>
      <c r="AC508" s="206">
        <f t="shared" si="64"/>
        <v>0</v>
      </c>
      <c r="AD508" s="68"/>
      <c r="AE508" s="19"/>
      <c r="AF508" s="19"/>
      <c r="AG508" s="19"/>
      <c r="AH508" s="19"/>
    </row>
    <row r="509" spans="1:34" hidden="1" outlineLevel="2" x14ac:dyDescent="0.2">
      <c r="A509" s="19"/>
      <c r="B509" s="19"/>
      <c r="C509" s="506">
        <f t="shared" si="62"/>
        <v>0</v>
      </c>
      <c r="D509" s="505">
        <f t="shared" si="62"/>
        <v>0</v>
      </c>
      <c r="E509" s="505">
        <f t="shared" si="62"/>
        <v>0</v>
      </c>
      <c r="F509" s="505">
        <f t="shared" si="63"/>
        <v>0</v>
      </c>
      <c r="G509" s="505">
        <f t="shared" si="62"/>
        <v>0</v>
      </c>
      <c r="H509" s="58"/>
      <c r="I509" s="198">
        <f>IF('Trial tariffs'!$H37=0,'Trial tariffs'!J37,'Trial tariffs'!J37*'Trial tariffs'!$H37)*'Trial tariffs'!J106*I$7</f>
        <v>0</v>
      </c>
      <c r="J509" s="198">
        <f>IF('Trial tariffs'!$H37=0,'Trial tariffs'!K37,'Trial tariffs'!K37*'Trial tariffs'!$H37)*'Trial tariffs'!K106*J$7</f>
        <v>0</v>
      </c>
      <c r="K509" s="198">
        <f>IF('Trial tariffs'!$H37=0,'Trial tariffs'!L37,'Trial tariffs'!L37*'Trial tariffs'!$H37)*'Trial tariffs'!L106*K$7</f>
        <v>0</v>
      </c>
      <c r="L509" s="198">
        <f>IF('Trial tariffs'!$H37=0,'Trial tariffs'!M37,'Trial tariffs'!M37*'Trial tariffs'!$H37)*'Trial tariffs'!M106*L$7</f>
        <v>0</v>
      </c>
      <c r="M509" s="198">
        <f>IF('Trial tariffs'!$H37=0,'Trial tariffs'!N37,'Trial tariffs'!N37*'Trial tariffs'!$H37)*'Trial tariffs'!N106*M$7</f>
        <v>0</v>
      </c>
      <c r="N509" s="198">
        <f>IF('Trial tariffs'!$H37=0,'Trial tariffs'!O37,'Trial tariffs'!O37*'Trial tariffs'!$H37)*'Trial tariffs'!O106*N$7</f>
        <v>0</v>
      </c>
      <c r="O509" s="198">
        <f>IF('Trial tariffs'!$H37=0,'Trial tariffs'!P37,'Trial tariffs'!P37*'Trial tariffs'!$H37)*'Trial tariffs'!P106*O$7</f>
        <v>0</v>
      </c>
      <c r="P509" s="198">
        <f>IF('Trial tariffs'!$H37=0,'Trial tariffs'!Q37,'Trial tariffs'!Q37*'Trial tariffs'!$H37)*'Trial tariffs'!Q106*P$7</f>
        <v>0</v>
      </c>
      <c r="Q509" s="198">
        <f>IF('Trial tariffs'!$H37=0,'Trial tariffs'!R37,'Trial tariffs'!R37*'Trial tariffs'!$H37)*'Trial tariffs'!R106*Q$7</f>
        <v>0</v>
      </c>
      <c r="R509" s="198">
        <f>IF('Trial tariffs'!$H37=0,'Trial tariffs'!S37,'Trial tariffs'!S37*'Trial tariffs'!$H37)*'Trial tariffs'!S106*R$7</f>
        <v>0</v>
      </c>
      <c r="S509" s="198">
        <f>IF('Trial tariffs'!$H37=0,'Trial tariffs'!T37,'Trial tariffs'!T37*'Trial tariffs'!$H37)*'Trial tariffs'!T106*S$7</f>
        <v>0</v>
      </c>
      <c r="T509" s="198">
        <f>IF('Trial tariffs'!$H37=0,'Trial tariffs'!U37,'Trial tariffs'!U37*'Trial tariffs'!$H37)*'Trial tariffs'!U106*T$7</f>
        <v>0</v>
      </c>
      <c r="U509" s="198">
        <f>IF('Trial tariffs'!$H37=0,'Trial tariffs'!V37,'Trial tariffs'!V37*'Trial tariffs'!$H37)*'Trial tariffs'!V106*U$7</f>
        <v>0</v>
      </c>
      <c r="V509" s="198">
        <f>IF('Trial tariffs'!$H37=0,'Trial tariffs'!W37,'Trial tariffs'!W37*'Trial tariffs'!$H37)*'Trial tariffs'!W106*V$7</f>
        <v>0</v>
      </c>
      <c r="W509" s="198">
        <f>IF('Trial tariffs'!$H37=0,'Trial tariffs'!X37,'Trial tariffs'!X37*'Trial tariffs'!$H37)*'Trial tariffs'!X106*W$7</f>
        <v>0</v>
      </c>
      <c r="X509" s="198">
        <f>IF('Trial tariffs'!$H37=0,'Trial tariffs'!Y37,'Trial tariffs'!Y37*'Trial tariffs'!$H37)*'Trial tariffs'!Y106*X$7</f>
        <v>0</v>
      </c>
      <c r="Y509" s="198">
        <f>IF('Trial tariffs'!$H37=0,'Trial tariffs'!Z37,'Trial tariffs'!Z37*'Trial tariffs'!$H37)*'Trial tariffs'!Z106*Y$7</f>
        <v>0</v>
      </c>
      <c r="Z509" s="198">
        <f>IF('Trial tariffs'!$H37=0,'Trial tariffs'!AA37,'Trial tariffs'!AA37*'Trial tariffs'!$H37)*'Trial tariffs'!AA106*Z$7</f>
        <v>0</v>
      </c>
      <c r="AA509" s="198">
        <f>IF('Trial tariffs'!$H37=0,'Trial tariffs'!AB37,'Trial tariffs'!AB37*'Trial tariffs'!$H37)*'Trial tariffs'!AB106*AA$7</f>
        <v>0</v>
      </c>
      <c r="AB509" s="198">
        <f>IF('Trial tariffs'!$H37=0,'Trial tariffs'!AC37,'Trial tariffs'!AC37*'Trial tariffs'!$H37)*'Trial tariffs'!AC106*AB$7</f>
        <v>0</v>
      </c>
      <c r="AC509" s="206">
        <f t="shared" si="64"/>
        <v>0</v>
      </c>
      <c r="AD509" s="68"/>
      <c r="AE509" s="19"/>
      <c r="AF509" s="19"/>
      <c r="AG509" s="19"/>
      <c r="AH509" s="19"/>
    </row>
    <row r="510" spans="1:34" hidden="1" outlineLevel="2" x14ac:dyDescent="0.2">
      <c r="A510" s="19"/>
      <c r="B510" s="19"/>
      <c r="C510" s="506">
        <f t="shared" si="62"/>
        <v>0</v>
      </c>
      <c r="D510" s="505">
        <f t="shared" si="62"/>
        <v>0</v>
      </c>
      <c r="E510" s="505">
        <f t="shared" si="62"/>
        <v>0</v>
      </c>
      <c r="F510" s="505">
        <f t="shared" si="63"/>
        <v>0</v>
      </c>
      <c r="G510" s="505">
        <f t="shared" si="62"/>
        <v>0</v>
      </c>
      <c r="H510" s="58"/>
      <c r="I510" s="198">
        <f>IF('Trial tariffs'!$H38=0,'Trial tariffs'!J38,'Trial tariffs'!J38*'Trial tariffs'!$H38)*'Trial tariffs'!J107*I$7</f>
        <v>0</v>
      </c>
      <c r="J510" s="198">
        <f>IF('Trial tariffs'!$H38=0,'Trial tariffs'!K38,'Trial tariffs'!K38*'Trial tariffs'!$H38)*'Trial tariffs'!K107*J$7</f>
        <v>0</v>
      </c>
      <c r="K510" s="198">
        <f>IF('Trial tariffs'!$H38=0,'Trial tariffs'!L38,'Trial tariffs'!L38*'Trial tariffs'!$H38)*'Trial tariffs'!L107*K$7</f>
        <v>0</v>
      </c>
      <c r="L510" s="198">
        <f>IF('Trial tariffs'!$H38=0,'Trial tariffs'!M38,'Trial tariffs'!M38*'Trial tariffs'!$H38)*'Trial tariffs'!M107*L$7</f>
        <v>0</v>
      </c>
      <c r="M510" s="198">
        <f>IF('Trial tariffs'!$H38=0,'Trial tariffs'!N38,'Trial tariffs'!N38*'Trial tariffs'!$H38)*'Trial tariffs'!N107*M$7</f>
        <v>0</v>
      </c>
      <c r="N510" s="198">
        <f>IF('Trial tariffs'!$H38=0,'Trial tariffs'!O38,'Trial tariffs'!O38*'Trial tariffs'!$H38)*'Trial tariffs'!O107*N$7</f>
        <v>0</v>
      </c>
      <c r="O510" s="198">
        <f>IF('Trial tariffs'!$H38=0,'Trial tariffs'!P38,'Trial tariffs'!P38*'Trial tariffs'!$H38)*'Trial tariffs'!P107*O$7</f>
        <v>0</v>
      </c>
      <c r="P510" s="198">
        <f>IF('Trial tariffs'!$H38=0,'Trial tariffs'!Q38,'Trial tariffs'!Q38*'Trial tariffs'!$H38)*'Trial tariffs'!Q107*P$7</f>
        <v>0</v>
      </c>
      <c r="Q510" s="198">
        <f>IF('Trial tariffs'!$H38=0,'Trial tariffs'!R38,'Trial tariffs'!R38*'Trial tariffs'!$H38)*'Trial tariffs'!R107*Q$7</f>
        <v>0</v>
      </c>
      <c r="R510" s="198">
        <f>IF('Trial tariffs'!$H38=0,'Trial tariffs'!S38,'Trial tariffs'!S38*'Trial tariffs'!$H38)*'Trial tariffs'!S107*R$7</f>
        <v>0</v>
      </c>
      <c r="S510" s="198">
        <f>IF('Trial tariffs'!$H38=0,'Trial tariffs'!T38,'Trial tariffs'!T38*'Trial tariffs'!$H38)*'Trial tariffs'!T107*S$7</f>
        <v>0</v>
      </c>
      <c r="T510" s="198">
        <f>IF('Trial tariffs'!$H38=0,'Trial tariffs'!U38,'Trial tariffs'!U38*'Trial tariffs'!$H38)*'Trial tariffs'!U107*T$7</f>
        <v>0</v>
      </c>
      <c r="U510" s="198">
        <f>IF('Trial tariffs'!$H38=0,'Trial tariffs'!V38,'Trial tariffs'!V38*'Trial tariffs'!$H38)*'Trial tariffs'!V107*U$7</f>
        <v>0</v>
      </c>
      <c r="V510" s="198">
        <f>IF('Trial tariffs'!$H38=0,'Trial tariffs'!W38,'Trial tariffs'!W38*'Trial tariffs'!$H38)*'Trial tariffs'!W107*V$7</f>
        <v>0</v>
      </c>
      <c r="W510" s="198">
        <f>IF('Trial tariffs'!$H38=0,'Trial tariffs'!X38,'Trial tariffs'!X38*'Trial tariffs'!$H38)*'Trial tariffs'!X107*W$7</f>
        <v>0</v>
      </c>
      <c r="X510" s="198">
        <f>IF('Trial tariffs'!$H38=0,'Trial tariffs'!Y38,'Trial tariffs'!Y38*'Trial tariffs'!$H38)*'Trial tariffs'!Y107*X$7</f>
        <v>0</v>
      </c>
      <c r="Y510" s="198">
        <f>IF('Trial tariffs'!$H38=0,'Trial tariffs'!Z38,'Trial tariffs'!Z38*'Trial tariffs'!$H38)*'Trial tariffs'!Z107*Y$7</f>
        <v>0</v>
      </c>
      <c r="Z510" s="198">
        <f>IF('Trial tariffs'!$H38=0,'Trial tariffs'!AA38,'Trial tariffs'!AA38*'Trial tariffs'!$H38)*'Trial tariffs'!AA107*Z$7</f>
        <v>0</v>
      </c>
      <c r="AA510" s="198">
        <f>IF('Trial tariffs'!$H38=0,'Trial tariffs'!AB38,'Trial tariffs'!AB38*'Trial tariffs'!$H38)*'Trial tariffs'!AB107*AA$7</f>
        <v>0</v>
      </c>
      <c r="AB510" s="198">
        <f>IF('Trial tariffs'!$H38=0,'Trial tariffs'!AC38,'Trial tariffs'!AC38*'Trial tariffs'!$H38)*'Trial tariffs'!AC107*AB$7</f>
        <v>0</v>
      </c>
      <c r="AC510" s="206">
        <f t="shared" si="64"/>
        <v>0</v>
      </c>
      <c r="AD510" s="68"/>
      <c r="AE510" s="19"/>
      <c r="AF510" s="19"/>
      <c r="AG510" s="19"/>
      <c r="AH510" s="19"/>
    </row>
    <row r="511" spans="1:34" hidden="1" outlineLevel="2" x14ac:dyDescent="0.2">
      <c r="A511" s="19"/>
      <c r="B511" s="19"/>
      <c r="C511" s="506">
        <f t="shared" si="62"/>
        <v>0</v>
      </c>
      <c r="D511" s="505">
        <f t="shared" si="62"/>
        <v>0</v>
      </c>
      <c r="E511" s="505">
        <f t="shared" si="62"/>
        <v>0</v>
      </c>
      <c r="F511" s="505">
        <f t="shared" si="63"/>
        <v>0</v>
      </c>
      <c r="G511" s="505">
        <f t="shared" si="62"/>
        <v>0</v>
      </c>
      <c r="H511" s="58"/>
      <c r="I511" s="198">
        <f>IF('Trial tariffs'!$H39=0,'Trial tariffs'!J39,'Trial tariffs'!J39*'Trial tariffs'!$H39)*'Trial tariffs'!J108*I$7</f>
        <v>0</v>
      </c>
      <c r="J511" s="198">
        <f>IF('Trial tariffs'!$H39=0,'Trial tariffs'!K39,'Trial tariffs'!K39*'Trial tariffs'!$H39)*'Trial tariffs'!K108*J$7</f>
        <v>0</v>
      </c>
      <c r="K511" s="198">
        <f>IF('Trial tariffs'!$H39=0,'Trial tariffs'!L39,'Trial tariffs'!L39*'Trial tariffs'!$H39)*'Trial tariffs'!L108*K$7</f>
        <v>0</v>
      </c>
      <c r="L511" s="198">
        <f>IF('Trial tariffs'!$H39=0,'Trial tariffs'!M39,'Trial tariffs'!M39*'Trial tariffs'!$H39)*'Trial tariffs'!M108*L$7</f>
        <v>0</v>
      </c>
      <c r="M511" s="198">
        <f>IF('Trial tariffs'!$H39=0,'Trial tariffs'!N39,'Trial tariffs'!N39*'Trial tariffs'!$H39)*'Trial tariffs'!N108*M$7</f>
        <v>0</v>
      </c>
      <c r="N511" s="198">
        <f>IF('Trial tariffs'!$H39=0,'Trial tariffs'!O39,'Trial tariffs'!O39*'Trial tariffs'!$H39)*'Trial tariffs'!O108*N$7</f>
        <v>0</v>
      </c>
      <c r="O511" s="198">
        <f>IF('Trial tariffs'!$H39=0,'Trial tariffs'!P39,'Trial tariffs'!P39*'Trial tariffs'!$H39)*'Trial tariffs'!P108*O$7</f>
        <v>0</v>
      </c>
      <c r="P511" s="198">
        <f>IF('Trial tariffs'!$H39=0,'Trial tariffs'!Q39,'Trial tariffs'!Q39*'Trial tariffs'!$H39)*'Trial tariffs'!Q108*P$7</f>
        <v>0</v>
      </c>
      <c r="Q511" s="198">
        <f>IF('Trial tariffs'!$H39=0,'Trial tariffs'!R39,'Trial tariffs'!R39*'Trial tariffs'!$H39)*'Trial tariffs'!R108*Q$7</f>
        <v>0</v>
      </c>
      <c r="R511" s="198">
        <f>IF('Trial tariffs'!$H39=0,'Trial tariffs'!S39,'Trial tariffs'!S39*'Trial tariffs'!$H39)*'Trial tariffs'!S108*R$7</f>
        <v>0</v>
      </c>
      <c r="S511" s="198">
        <f>IF('Trial tariffs'!$H39=0,'Trial tariffs'!T39,'Trial tariffs'!T39*'Trial tariffs'!$H39)*'Trial tariffs'!T108*S$7</f>
        <v>0</v>
      </c>
      <c r="T511" s="198">
        <f>IF('Trial tariffs'!$H39=0,'Trial tariffs'!U39,'Trial tariffs'!U39*'Trial tariffs'!$H39)*'Trial tariffs'!U108*T$7</f>
        <v>0</v>
      </c>
      <c r="U511" s="198">
        <f>IF('Trial tariffs'!$H39=0,'Trial tariffs'!V39,'Trial tariffs'!V39*'Trial tariffs'!$H39)*'Trial tariffs'!V108*U$7</f>
        <v>0</v>
      </c>
      <c r="V511" s="198">
        <f>IF('Trial tariffs'!$H39=0,'Trial tariffs'!W39,'Trial tariffs'!W39*'Trial tariffs'!$H39)*'Trial tariffs'!W108*V$7</f>
        <v>0</v>
      </c>
      <c r="W511" s="198">
        <f>IF('Trial tariffs'!$H39=0,'Trial tariffs'!X39,'Trial tariffs'!X39*'Trial tariffs'!$H39)*'Trial tariffs'!X108*W$7</f>
        <v>0</v>
      </c>
      <c r="X511" s="198">
        <f>IF('Trial tariffs'!$H39=0,'Trial tariffs'!Y39,'Trial tariffs'!Y39*'Trial tariffs'!$H39)*'Trial tariffs'!Y108*X$7</f>
        <v>0</v>
      </c>
      <c r="Y511" s="198">
        <f>IF('Trial tariffs'!$H39=0,'Trial tariffs'!Z39,'Trial tariffs'!Z39*'Trial tariffs'!$H39)*'Trial tariffs'!Z108*Y$7</f>
        <v>0</v>
      </c>
      <c r="Z511" s="198">
        <f>IF('Trial tariffs'!$H39=0,'Trial tariffs'!AA39,'Trial tariffs'!AA39*'Trial tariffs'!$H39)*'Trial tariffs'!AA108*Z$7</f>
        <v>0</v>
      </c>
      <c r="AA511" s="198">
        <f>IF('Trial tariffs'!$H39=0,'Trial tariffs'!AB39,'Trial tariffs'!AB39*'Trial tariffs'!$H39)*'Trial tariffs'!AB108*AA$7</f>
        <v>0</v>
      </c>
      <c r="AB511" s="198">
        <f>IF('Trial tariffs'!$H39=0,'Trial tariffs'!AC39,'Trial tariffs'!AC39*'Trial tariffs'!$H39)*'Trial tariffs'!AC108*AB$7</f>
        <v>0</v>
      </c>
      <c r="AC511" s="206">
        <f t="shared" si="64"/>
        <v>0</v>
      </c>
      <c r="AD511" s="68"/>
      <c r="AE511" s="19"/>
      <c r="AF511" s="19"/>
      <c r="AG511" s="19"/>
      <c r="AH511" s="19"/>
    </row>
    <row r="512" spans="1:34" hidden="1" outlineLevel="2" x14ac:dyDescent="0.2">
      <c r="A512" s="19"/>
      <c r="B512" s="19"/>
      <c r="C512" s="506">
        <f t="shared" si="62"/>
        <v>0</v>
      </c>
      <c r="D512" s="505">
        <f t="shared" si="62"/>
        <v>0</v>
      </c>
      <c r="E512" s="505">
        <f t="shared" si="62"/>
        <v>0</v>
      </c>
      <c r="F512" s="505">
        <f t="shared" si="63"/>
        <v>0</v>
      </c>
      <c r="G512" s="505">
        <f t="shared" si="62"/>
        <v>0</v>
      </c>
      <c r="H512" s="58"/>
      <c r="I512" s="198">
        <f>IF('Trial tariffs'!$H40=0,'Trial tariffs'!J40,'Trial tariffs'!J40*'Trial tariffs'!$H40)*'Trial tariffs'!J109*I$7</f>
        <v>0</v>
      </c>
      <c r="J512" s="198">
        <f>IF('Trial tariffs'!$H40=0,'Trial tariffs'!K40,'Trial tariffs'!K40*'Trial tariffs'!$H40)*'Trial tariffs'!K109*J$7</f>
        <v>0</v>
      </c>
      <c r="K512" s="198">
        <f>IF('Trial tariffs'!$H40=0,'Trial tariffs'!L40,'Trial tariffs'!L40*'Trial tariffs'!$H40)*'Trial tariffs'!L109*K$7</f>
        <v>0</v>
      </c>
      <c r="L512" s="198">
        <f>IF('Trial tariffs'!$H40=0,'Trial tariffs'!M40,'Trial tariffs'!M40*'Trial tariffs'!$H40)*'Trial tariffs'!M109*L$7</f>
        <v>0</v>
      </c>
      <c r="M512" s="198">
        <f>IF('Trial tariffs'!$H40=0,'Trial tariffs'!N40,'Trial tariffs'!N40*'Trial tariffs'!$H40)*'Trial tariffs'!N109*M$7</f>
        <v>0</v>
      </c>
      <c r="N512" s="198">
        <f>IF('Trial tariffs'!$H40=0,'Trial tariffs'!O40,'Trial tariffs'!O40*'Trial tariffs'!$H40)*'Trial tariffs'!O109*N$7</f>
        <v>0</v>
      </c>
      <c r="O512" s="198">
        <f>IF('Trial tariffs'!$H40=0,'Trial tariffs'!P40,'Trial tariffs'!P40*'Trial tariffs'!$H40)*'Trial tariffs'!P109*O$7</f>
        <v>0</v>
      </c>
      <c r="P512" s="198">
        <f>IF('Trial tariffs'!$H40=0,'Trial tariffs'!Q40,'Trial tariffs'!Q40*'Trial tariffs'!$H40)*'Trial tariffs'!Q109*P$7</f>
        <v>0</v>
      </c>
      <c r="Q512" s="198">
        <f>IF('Trial tariffs'!$H40=0,'Trial tariffs'!R40,'Trial tariffs'!R40*'Trial tariffs'!$H40)*'Trial tariffs'!R109*Q$7</f>
        <v>0</v>
      </c>
      <c r="R512" s="198">
        <f>IF('Trial tariffs'!$H40=0,'Trial tariffs'!S40,'Trial tariffs'!S40*'Trial tariffs'!$H40)*'Trial tariffs'!S109*R$7</f>
        <v>0</v>
      </c>
      <c r="S512" s="198">
        <f>IF('Trial tariffs'!$H40=0,'Trial tariffs'!T40,'Trial tariffs'!T40*'Trial tariffs'!$H40)*'Trial tariffs'!T109*S$7</f>
        <v>0</v>
      </c>
      <c r="T512" s="198">
        <f>IF('Trial tariffs'!$H40=0,'Trial tariffs'!U40,'Trial tariffs'!U40*'Trial tariffs'!$H40)*'Trial tariffs'!U109*T$7</f>
        <v>0</v>
      </c>
      <c r="U512" s="198">
        <f>IF('Trial tariffs'!$H40=0,'Trial tariffs'!V40,'Trial tariffs'!V40*'Trial tariffs'!$H40)*'Trial tariffs'!V109*U$7</f>
        <v>0</v>
      </c>
      <c r="V512" s="198">
        <f>IF('Trial tariffs'!$H40=0,'Trial tariffs'!W40,'Trial tariffs'!W40*'Trial tariffs'!$H40)*'Trial tariffs'!W109*V$7</f>
        <v>0</v>
      </c>
      <c r="W512" s="198">
        <f>IF('Trial tariffs'!$H40=0,'Trial tariffs'!X40,'Trial tariffs'!X40*'Trial tariffs'!$H40)*'Trial tariffs'!X109*W$7</f>
        <v>0</v>
      </c>
      <c r="X512" s="198">
        <f>IF('Trial tariffs'!$H40=0,'Trial tariffs'!Y40,'Trial tariffs'!Y40*'Trial tariffs'!$H40)*'Trial tariffs'!Y109*X$7</f>
        <v>0</v>
      </c>
      <c r="Y512" s="198">
        <f>IF('Trial tariffs'!$H40=0,'Trial tariffs'!Z40,'Trial tariffs'!Z40*'Trial tariffs'!$H40)*'Trial tariffs'!Z109*Y$7</f>
        <v>0</v>
      </c>
      <c r="Z512" s="198">
        <f>IF('Trial tariffs'!$H40=0,'Trial tariffs'!AA40,'Trial tariffs'!AA40*'Trial tariffs'!$H40)*'Trial tariffs'!AA109*Z$7</f>
        <v>0</v>
      </c>
      <c r="AA512" s="198">
        <f>IF('Trial tariffs'!$H40=0,'Trial tariffs'!AB40,'Trial tariffs'!AB40*'Trial tariffs'!$H40)*'Trial tariffs'!AB109*AA$7</f>
        <v>0</v>
      </c>
      <c r="AB512" s="198">
        <f>IF('Trial tariffs'!$H40=0,'Trial tariffs'!AC40,'Trial tariffs'!AC40*'Trial tariffs'!$H40)*'Trial tariffs'!AC109*AB$7</f>
        <v>0</v>
      </c>
      <c r="AC512" s="206">
        <f t="shared" si="64"/>
        <v>0</v>
      </c>
      <c r="AD512" s="68"/>
      <c r="AE512" s="19"/>
      <c r="AF512" s="19"/>
      <c r="AG512" s="19"/>
      <c r="AH512" s="19"/>
    </row>
    <row r="513" spans="1:34" hidden="1" outlineLevel="2" x14ac:dyDescent="0.2">
      <c r="A513" s="19"/>
      <c r="B513" s="19"/>
      <c r="C513" s="506">
        <f t="shared" si="62"/>
        <v>0</v>
      </c>
      <c r="D513" s="505">
        <f t="shared" si="62"/>
        <v>0</v>
      </c>
      <c r="E513" s="505">
        <f t="shared" si="62"/>
        <v>0</v>
      </c>
      <c r="F513" s="505">
        <f t="shared" si="63"/>
        <v>0</v>
      </c>
      <c r="G513" s="505">
        <f t="shared" si="62"/>
        <v>0</v>
      </c>
      <c r="H513" s="58"/>
      <c r="I513" s="198">
        <f>IF('Trial tariffs'!$H41=0,'Trial tariffs'!J41,'Trial tariffs'!J41*'Trial tariffs'!$H41)*'Trial tariffs'!J110*I$7</f>
        <v>0</v>
      </c>
      <c r="J513" s="198">
        <f>IF('Trial tariffs'!$H41=0,'Trial tariffs'!K41,'Trial tariffs'!K41*'Trial tariffs'!$H41)*'Trial tariffs'!K110*J$7</f>
        <v>0</v>
      </c>
      <c r="K513" s="198">
        <f>IF('Trial tariffs'!$H41=0,'Trial tariffs'!L41,'Trial tariffs'!L41*'Trial tariffs'!$H41)*'Trial tariffs'!L110*K$7</f>
        <v>0</v>
      </c>
      <c r="L513" s="198">
        <f>IF('Trial tariffs'!$H41=0,'Trial tariffs'!M41,'Trial tariffs'!M41*'Trial tariffs'!$H41)*'Trial tariffs'!M110*L$7</f>
        <v>0</v>
      </c>
      <c r="M513" s="198">
        <f>IF('Trial tariffs'!$H41=0,'Trial tariffs'!N41,'Trial tariffs'!N41*'Trial tariffs'!$H41)*'Trial tariffs'!N110*M$7</f>
        <v>0</v>
      </c>
      <c r="N513" s="198">
        <f>IF('Trial tariffs'!$H41=0,'Trial tariffs'!O41,'Trial tariffs'!O41*'Trial tariffs'!$H41)*'Trial tariffs'!O110*N$7</f>
        <v>0</v>
      </c>
      <c r="O513" s="198">
        <f>IF('Trial tariffs'!$H41=0,'Trial tariffs'!P41,'Trial tariffs'!P41*'Trial tariffs'!$H41)*'Trial tariffs'!P110*O$7</f>
        <v>0</v>
      </c>
      <c r="P513" s="198">
        <f>IF('Trial tariffs'!$H41=0,'Trial tariffs'!Q41,'Trial tariffs'!Q41*'Trial tariffs'!$H41)*'Trial tariffs'!Q110*P$7</f>
        <v>0</v>
      </c>
      <c r="Q513" s="198">
        <f>IF('Trial tariffs'!$H41=0,'Trial tariffs'!R41,'Trial tariffs'!R41*'Trial tariffs'!$H41)*'Trial tariffs'!R110*Q$7</f>
        <v>0</v>
      </c>
      <c r="R513" s="198">
        <f>IF('Trial tariffs'!$H41=0,'Trial tariffs'!S41,'Trial tariffs'!S41*'Trial tariffs'!$H41)*'Trial tariffs'!S110*R$7</f>
        <v>0</v>
      </c>
      <c r="S513" s="198">
        <f>IF('Trial tariffs'!$H41=0,'Trial tariffs'!T41,'Trial tariffs'!T41*'Trial tariffs'!$H41)*'Trial tariffs'!T110*S$7</f>
        <v>0</v>
      </c>
      <c r="T513" s="198">
        <f>IF('Trial tariffs'!$H41=0,'Trial tariffs'!U41,'Trial tariffs'!U41*'Trial tariffs'!$H41)*'Trial tariffs'!U110*T$7</f>
        <v>0</v>
      </c>
      <c r="U513" s="198">
        <f>IF('Trial tariffs'!$H41=0,'Trial tariffs'!V41,'Trial tariffs'!V41*'Trial tariffs'!$H41)*'Trial tariffs'!V110*U$7</f>
        <v>0</v>
      </c>
      <c r="V513" s="198">
        <f>IF('Trial tariffs'!$H41=0,'Trial tariffs'!W41,'Trial tariffs'!W41*'Trial tariffs'!$H41)*'Trial tariffs'!W110*V$7</f>
        <v>0</v>
      </c>
      <c r="W513" s="198">
        <f>IF('Trial tariffs'!$H41=0,'Trial tariffs'!X41,'Trial tariffs'!X41*'Trial tariffs'!$H41)*'Trial tariffs'!X110*W$7</f>
        <v>0</v>
      </c>
      <c r="X513" s="198">
        <f>IF('Trial tariffs'!$H41=0,'Trial tariffs'!Y41,'Trial tariffs'!Y41*'Trial tariffs'!$H41)*'Trial tariffs'!Y110*X$7</f>
        <v>0</v>
      </c>
      <c r="Y513" s="198">
        <f>IF('Trial tariffs'!$H41=0,'Trial tariffs'!Z41,'Trial tariffs'!Z41*'Trial tariffs'!$H41)*'Trial tariffs'!Z110*Y$7</f>
        <v>0</v>
      </c>
      <c r="Z513" s="198">
        <f>IF('Trial tariffs'!$H41=0,'Trial tariffs'!AA41,'Trial tariffs'!AA41*'Trial tariffs'!$H41)*'Trial tariffs'!AA110*Z$7</f>
        <v>0</v>
      </c>
      <c r="AA513" s="198">
        <f>IF('Trial tariffs'!$H41=0,'Trial tariffs'!AB41,'Trial tariffs'!AB41*'Trial tariffs'!$H41)*'Trial tariffs'!AB110*AA$7</f>
        <v>0</v>
      </c>
      <c r="AB513" s="198">
        <f>IF('Trial tariffs'!$H41=0,'Trial tariffs'!AC41,'Trial tariffs'!AC41*'Trial tariffs'!$H41)*'Trial tariffs'!AC110*AB$7</f>
        <v>0</v>
      </c>
      <c r="AC513" s="206">
        <f t="shared" si="64"/>
        <v>0</v>
      </c>
      <c r="AD513" s="68"/>
      <c r="AE513" s="19"/>
      <c r="AF513" s="19"/>
      <c r="AG513" s="19"/>
      <c r="AH513" s="19"/>
    </row>
    <row r="514" spans="1:34" hidden="1" outlineLevel="2" x14ac:dyDescent="0.2">
      <c r="A514" s="19"/>
      <c r="B514" s="19"/>
      <c r="C514" s="506">
        <f t="shared" si="62"/>
        <v>0</v>
      </c>
      <c r="D514" s="505">
        <f t="shared" si="62"/>
        <v>0</v>
      </c>
      <c r="E514" s="505">
        <f t="shared" si="62"/>
        <v>0</v>
      </c>
      <c r="F514" s="505">
        <f t="shared" si="63"/>
        <v>0</v>
      </c>
      <c r="G514" s="505">
        <f t="shared" si="62"/>
        <v>0</v>
      </c>
      <c r="H514" s="58"/>
      <c r="I514" s="198">
        <f>IF('Trial tariffs'!$H42=0,'Trial tariffs'!J42,'Trial tariffs'!J42*'Trial tariffs'!$H42)*'Trial tariffs'!J111*I$7</f>
        <v>0</v>
      </c>
      <c r="J514" s="198">
        <f>IF('Trial tariffs'!$H42=0,'Trial tariffs'!K42,'Trial tariffs'!K42*'Trial tariffs'!$H42)*'Trial tariffs'!K111*J$7</f>
        <v>0</v>
      </c>
      <c r="K514" s="198">
        <f>IF('Trial tariffs'!$H42=0,'Trial tariffs'!L42,'Trial tariffs'!L42*'Trial tariffs'!$H42)*'Trial tariffs'!L111*K$7</f>
        <v>0</v>
      </c>
      <c r="L514" s="198">
        <f>IF('Trial tariffs'!$H42=0,'Trial tariffs'!M42,'Trial tariffs'!M42*'Trial tariffs'!$H42)*'Trial tariffs'!M111*L$7</f>
        <v>0</v>
      </c>
      <c r="M514" s="198">
        <f>IF('Trial tariffs'!$H42=0,'Trial tariffs'!N42,'Trial tariffs'!N42*'Trial tariffs'!$H42)*'Trial tariffs'!N111*M$7</f>
        <v>0</v>
      </c>
      <c r="N514" s="198">
        <f>IF('Trial tariffs'!$H42=0,'Trial tariffs'!O42,'Trial tariffs'!O42*'Trial tariffs'!$H42)*'Trial tariffs'!O111*N$7</f>
        <v>0</v>
      </c>
      <c r="O514" s="198">
        <f>IF('Trial tariffs'!$H42=0,'Trial tariffs'!P42,'Trial tariffs'!P42*'Trial tariffs'!$H42)*'Trial tariffs'!P111*O$7</f>
        <v>0</v>
      </c>
      <c r="P514" s="198">
        <f>IF('Trial tariffs'!$H42=0,'Trial tariffs'!Q42,'Trial tariffs'!Q42*'Trial tariffs'!$H42)*'Trial tariffs'!Q111*P$7</f>
        <v>0</v>
      </c>
      <c r="Q514" s="198">
        <f>IF('Trial tariffs'!$H42=0,'Trial tariffs'!R42,'Trial tariffs'!R42*'Trial tariffs'!$H42)*'Trial tariffs'!R111*Q$7</f>
        <v>0</v>
      </c>
      <c r="R514" s="198">
        <f>IF('Trial tariffs'!$H42=0,'Trial tariffs'!S42,'Trial tariffs'!S42*'Trial tariffs'!$H42)*'Trial tariffs'!S111*R$7</f>
        <v>0</v>
      </c>
      <c r="S514" s="198">
        <f>IF('Trial tariffs'!$H42=0,'Trial tariffs'!T42,'Trial tariffs'!T42*'Trial tariffs'!$H42)*'Trial tariffs'!T111*S$7</f>
        <v>0</v>
      </c>
      <c r="T514" s="198">
        <f>IF('Trial tariffs'!$H42=0,'Trial tariffs'!U42,'Trial tariffs'!U42*'Trial tariffs'!$H42)*'Trial tariffs'!U111*T$7</f>
        <v>0</v>
      </c>
      <c r="U514" s="198">
        <f>IF('Trial tariffs'!$H42=0,'Trial tariffs'!V42,'Trial tariffs'!V42*'Trial tariffs'!$H42)*'Trial tariffs'!V111*U$7</f>
        <v>0</v>
      </c>
      <c r="V514" s="198">
        <f>IF('Trial tariffs'!$H42=0,'Trial tariffs'!W42,'Trial tariffs'!W42*'Trial tariffs'!$H42)*'Trial tariffs'!W111*V$7</f>
        <v>0</v>
      </c>
      <c r="W514" s="198">
        <f>IF('Trial tariffs'!$H42=0,'Trial tariffs'!X42,'Trial tariffs'!X42*'Trial tariffs'!$H42)*'Trial tariffs'!X111*W$7</f>
        <v>0</v>
      </c>
      <c r="X514" s="198">
        <f>IF('Trial tariffs'!$H42=0,'Trial tariffs'!Y42,'Trial tariffs'!Y42*'Trial tariffs'!$H42)*'Trial tariffs'!Y111*X$7</f>
        <v>0</v>
      </c>
      <c r="Y514" s="198">
        <f>IF('Trial tariffs'!$H42=0,'Trial tariffs'!Z42,'Trial tariffs'!Z42*'Trial tariffs'!$H42)*'Trial tariffs'!Z111*Y$7</f>
        <v>0</v>
      </c>
      <c r="Z514" s="198">
        <f>IF('Trial tariffs'!$H42=0,'Trial tariffs'!AA42,'Trial tariffs'!AA42*'Trial tariffs'!$H42)*'Trial tariffs'!AA111*Z$7</f>
        <v>0</v>
      </c>
      <c r="AA514" s="198">
        <f>IF('Trial tariffs'!$H42=0,'Trial tariffs'!AB42,'Trial tariffs'!AB42*'Trial tariffs'!$H42)*'Trial tariffs'!AB111*AA$7</f>
        <v>0</v>
      </c>
      <c r="AB514" s="198">
        <f>IF('Trial tariffs'!$H42=0,'Trial tariffs'!AC42,'Trial tariffs'!AC42*'Trial tariffs'!$H42)*'Trial tariffs'!AC111*AB$7</f>
        <v>0</v>
      </c>
      <c r="AC514" s="206">
        <f t="shared" si="64"/>
        <v>0</v>
      </c>
      <c r="AD514" s="68"/>
      <c r="AE514" s="19"/>
      <c r="AF514" s="19"/>
      <c r="AG514" s="19"/>
      <c r="AH514" s="19"/>
    </row>
    <row r="515" spans="1:34" hidden="1" outlineLevel="2" x14ac:dyDescent="0.2">
      <c r="A515" s="19"/>
      <c r="B515" s="19"/>
      <c r="C515" s="506">
        <f t="shared" si="62"/>
        <v>0</v>
      </c>
      <c r="D515" s="505">
        <f t="shared" si="62"/>
        <v>0</v>
      </c>
      <c r="E515" s="505">
        <f t="shared" si="62"/>
        <v>0</v>
      </c>
      <c r="F515" s="505">
        <f t="shared" si="63"/>
        <v>0</v>
      </c>
      <c r="G515" s="505">
        <f t="shared" si="62"/>
        <v>0</v>
      </c>
      <c r="H515" s="58"/>
      <c r="I515" s="198">
        <f>IF('Trial tariffs'!$H43=0,'Trial tariffs'!J43,'Trial tariffs'!J43*'Trial tariffs'!$H43)*'Trial tariffs'!J112*I$7</f>
        <v>0</v>
      </c>
      <c r="J515" s="198">
        <f>IF('Trial tariffs'!$H43=0,'Trial tariffs'!K43,'Trial tariffs'!K43*'Trial tariffs'!$H43)*'Trial tariffs'!K112*J$7</f>
        <v>0</v>
      </c>
      <c r="K515" s="198">
        <f>IF('Trial tariffs'!$H43=0,'Trial tariffs'!L43,'Trial tariffs'!L43*'Trial tariffs'!$H43)*'Trial tariffs'!L112*K$7</f>
        <v>0</v>
      </c>
      <c r="L515" s="198">
        <f>IF('Trial tariffs'!$H43=0,'Trial tariffs'!M43,'Trial tariffs'!M43*'Trial tariffs'!$H43)*'Trial tariffs'!M112*L$7</f>
        <v>0</v>
      </c>
      <c r="M515" s="198">
        <f>IF('Trial tariffs'!$H43=0,'Trial tariffs'!N43,'Trial tariffs'!N43*'Trial tariffs'!$H43)*'Trial tariffs'!N112*M$7</f>
        <v>0</v>
      </c>
      <c r="N515" s="198">
        <f>IF('Trial tariffs'!$H43=0,'Trial tariffs'!O43,'Trial tariffs'!O43*'Trial tariffs'!$H43)*'Trial tariffs'!O112*N$7</f>
        <v>0</v>
      </c>
      <c r="O515" s="198">
        <f>IF('Trial tariffs'!$H43=0,'Trial tariffs'!P43,'Trial tariffs'!P43*'Trial tariffs'!$H43)*'Trial tariffs'!P112*O$7</f>
        <v>0</v>
      </c>
      <c r="P515" s="198">
        <f>IF('Trial tariffs'!$H43=0,'Trial tariffs'!Q43,'Trial tariffs'!Q43*'Trial tariffs'!$H43)*'Trial tariffs'!Q112*P$7</f>
        <v>0</v>
      </c>
      <c r="Q515" s="198">
        <f>IF('Trial tariffs'!$H43=0,'Trial tariffs'!R43,'Trial tariffs'!R43*'Trial tariffs'!$H43)*'Trial tariffs'!R112*Q$7</f>
        <v>0</v>
      </c>
      <c r="R515" s="198">
        <f>IF('Trial tariffs'!$H43=0,'Trial tariffs'!S43,'Trial tariffs'!S43*'Trial tariffs'!$H43)*'Trial tariffs'!S112*R$7</f>
        <v>0</v>
      </c>
      <c r="S515" s="198">
        <f>IF('Trial tariffs'!$H43=0,'Trial tariffs'!T43,'Trial tariffs'!T43*'Trial tariffs'!$H43)*'Trial tariffs'!T112*S$7</f>
        <v>0</v>
      </c>
      <c r="T515" s="198">
        <f>IF('Trial tariffs'!$H43=0,'Trial tariffs'!U43,'Trial tariffs'!U43*'Trial tariffs'!$H43)*'Trial tariffs'!U112*T$7</f>
        <v>0</v>
      </c>
      <c r="U515" s="198">
        <f>IF('Trial tariffs'!$H43=0,'Trial tariffs'!V43,'Trial tariffs'!V43*'Trial tariffs'!$H43)*'Trial tariffs'!V112*U$7</f>
        <v>0</v>
      </c>
      <c r="V515" s="198">
        <f>IF('Trial tariffs'!$H43=0,'Trial tariffs'!W43,'Trial tariffs'!W43*'Trial tariffs'!$H43)*'Trial tariffs'!W112*V$7</f>
        <v>0</v>
      </c>
      <c r="W515" s="198">
        <f>IF('Trial tariffs'!$H43=0,'Trial tariffs'!X43,'Trial tariffs'!X43*'Trial tariffs'!$H43)*'Trial tariffs'!X112*W$7</f>
        <v>0</v>
      </c>
      <c r="X515" s="198">
        <f>IF('Trial tariffs'!$H43=0,'Trial tariffs'!Y43,'Trial tariffs'!Y43*'Trial tariffs'!$H43)*'Trial tariffs'!Y112*X$7</f>
        <v>0</v>
      </c>
      <c r="Y515" s="198">
        <f>IF('Trial tariffs'!$H43=0,'Trial tariffs'!Z43,'Trial tariffs'!Z43*'Trial tariffs'!$H43)*'Trial tariffs'!Z112*Y$7</f>
        <v>0</v>
      </c>
      <c r="Z515" s="198">
        <f>IF('Trial tariffs'!$H43=0,'Trial tariffs'!AA43,'Trial tariffs'!AA43*'Trial tariffs'!$H43)*'Trial tariffs'!AA112*Z$7</f>
        <v>0</v>
      </c>
      <c r="AA515" s="198">
        <f>IF('Trial tariffs'!$H43=0,'Trial tariffs'!AB43,'Trial tariffs'!AB43*'Trial tariffs'!$H43)*'Trial tariffs'!AB112*AA$7</f>
        <v>0</v>
      </c>
      <c r="AB515" s="198">
        <f>IF('Trial tariffs'!$H43=0,'Trial tariffs'!AC43,'Trial tariffs'!AC43*'Trial tariffs'!$H43)*'Trial tariffs'!AC112*AB$7</f>
        <v>0</v>
      </c>
      <c r="AC515" s="206">
        <f t="shared" si="64"/>
        <v>0</v>
      </c>
      <c r="AD515" s="68"/>
      <c r="AE515" s="19"/>
      <c r="AF515" s="19"/>
      <c r="AG515" s="19"/>
      <c r="AH515" s="19"/>
    </row>
    <row r="516" spans="1:34" hidden="1" outlineLevel="2" x14ac:dyDescent="0.2">
      <c r="A516" s="19"/>
      <c r="B516" s="19"/>
      <c r="C516" s="506">
        <f t="shared" si="62"/>
        <v>0</v>
      </c>
      <c r="D516" s="505">
        <f t="shared" si="62"/>
        <v>0</v>
      </c>
      <c r="E516" s="505">
        <f t="shared" si="62"/>
        <v>0</v>
      </c>
      <c r="F516" s="505">
        <f t="shared" si="63"/>
        <v>0</v>
      </c>
      <c r="G516" s="505">
        <f t="shared" si="62"/>
        <v>0</v>
      </c>
      <c r="H516" s="58"/>
      <c r="I516" s="198">
        <f>IF('Trial tariffs'!$H44=0,'Trial tariffs'!J44,'Trial tariffs'!J44*'Trial tariffs'!$H44)*'Trial tariffs'!J113*I$7</f>
        <v>0</v>
      </c>
      <c r="J516" s="198">
        <f>IF('Trial tariffs'!$H44=0,'Trial tariffs'!K44,'Trial tariffs'!K44*'Trial tariffs'!$H44)*'Trial tariffs'!K113*J$7</f>
        <v>0</v>
      </c>
      <c r="K516" s="198">
        <f>IF('Trial tariffs'!$H44=0,'Trial tariffs'!L44,'Trial tariffs'!L44*'Trial tariffs'!$H44)*'Trial tariffs'!L113*K$7</f>
        <v>0</v>
      </c>
      <c r="L516" s="198">
        <f>IF('Trial tariffs'!$H44=0,'Trial tariffs'!M44,'Trial tariffs'!M44*'Trial tariffs'!$H44)*'Trial tariffs'!M113*L$7</f>
        <v>0</v>
      </c>
      <c r="M516" s="198">
        <f>IF('Trial tariffs'!$H44=0,'Trial tariffs'!N44,'Trial tariffs'!N44*'Trial tariffs'!$H44)*'Trial tariffs'!N113*M$7</f>
        <v>0</v>
      </c>
      <c r="N516" s="198">
        <f>IF('Trial tariffs'!$H44=0,'Trial tariffs'!O44,'Trial tariffs'!O44*'Trial tariffs'!$H44)*'Trial tariffs'!O113*N$7</f>
        <v>0</v>
      </c>
      <c r="O516" s="198">
        <f>IF('Trial tariffs'!$H44=0,'Trial tariffs'!P44,'Trial tariffs'!P44*'Trial tariffs'!$H44)*'Trial tariffs'!P113*O$7</f>
        <v>0</v>
      </c>
      <c r="P516" s="198">
        <f>IF('Trial tariffs'!$H44=0,'Trial tariffs'!Q44,'Trial tariffs'!Q44*'Trial tariffs'!$H44)*'Trial tariffs'!Q113*P$7</f>
        <v>0</v>
      </c>
      <c r="Q516" s="198">
        <f>IF('Trial tariffs'!$H44=0,'Trial tariffs'!R44,'Trial tariffs'!R44*'Trial tariffs'!$H44)*'Trial tariffs'!R113*Q$7</f>
        <v>0</v>
      </c>
      <c r="R516" s="198">
        <f>IF('Trial tariffs'!$H44=0,'Trial tariffs'!S44,'Trial tariffs'!S44*'Trial tariffs'!$H44)*'Trial tariffs'!S113*R$7</f>
        <v>0</v>
      </c>
      <c r="S516" s="198">
        <f>IF('Trial tariffs'!$H44=0,'Trial tariffs'!T44,'Trial tariffs'!T44*'Trial tariffs'!$H44)*'Trial tariffs'!T113*S$7</f>
        <v>0</v>
      </c>
      <c r="T516" s="198">
        <f>IF('Trial tariffs'!$H44=0,'Trial tariffs'!U44,'Trial tariffs'!U44*'Trial tariffs'!$H44)*'Trial tariffs'!U113*T$7</f>
        <v>0</v>
      </c>
      <c r="U516" s="198">
        <f>IF('Trial tariffs'!$H44=0,'Trial tariffs'!V44,'Trial tariffs'!V44*'Trial tariffs'!$H44)*'Trial tariffs'!V113*U$7</f>
        <v>0</v>
      </c>
      <c r="V516" s="198">
        <f>IF('Trial tariffs'!$H44=0,'Trial tariffs'!W44,'Trial tariffs'!W44*'Trial tariffs'!$H44)*'Trial tariffs'!W113*V$7</f>
        <v>0</v>
      </c>
      <c r="W516" s="198">
        <f>IF('Trial tariffs'!$H44=0,'Trial tariffs'!X44,'Trial tariffs'!X44*'Trial tariffs'!$H44)*'Trial tariffs'!X113*W$7</f>
        <v>0</v>
      </c>
      <c r="X516" s="198">
        <f>IF('Trial tariffs'!$H44=0,'Trial tariffs'!Y44,'Trial tariffs'!Y44*'Trial tariffs'!$H44)*'Trial tariffs'!Y113*X$7</f>
        <v>0</v>
      </c>
      <c r="Y516" s="198">
        <f>IF('Trial tariffs'!$H44=0,'Trial tariffs'!Z44,'Trial tariffs'!Z44*'Trial tariffs'!$H44)*'Trial tariffs'!Z113*Y$7</f>
        <v>0</v>
      </c>
      <c r="Z516" s="198">
        <f>IF('Trial tariffs'!$H44=0,'Trial tariffs'!AA44,'Trial tariffs'!AA44*'Trial tariffs'!$H44)*'Trial tariffs'!AA113*Z$7</f>
        <v>0</v>
      </c>
      <c r="AA516" s="198">
        <f>IF('Trial tariffs'!$H44=0,'Trial tariffs'!AB44,'Trial tariffs'!AB44*'Trial tariffs'!$H44)*'Trial tariffs'!AB113*AA$7</f>
        <v>0</v>
      </c>
      <c r="AB516" s="198">
        <f>IF('Trial tariffs'!$H44=0,'Trial tariffs'!AC44,'Trial tariffs'!AC44*'Trial tariffs'!$H44)*'Trial tariffs'!AC113*AB$7</f>
        <v>0</v>
      </c>
      <c r="AC516" s="206">
        <f t="shared" si="64"/>
        <v>0</v>
      </c>
      <c r="AD516" s="68"/>
      <c r="AE516" s="19"/>
      <c r="AF516" s="19"/>
      <c r="AG516" s="19"/>
      <c r="AH516" s="19"/>
    </row>
    <row r="517" spans="1:34" hidden="1" outlineLevel="2" x14ac:dyDescent="0.2">
      <c r="A517" s="19"/>
      <c r="B517" s="19"/>
      <c r="C517" s="506">
        <f t="shared" si="62"/>
        <v>0</v>
      </c>
      <c r="D517" s="505">
        <f t="shared" si="62"/>
        <v>0</v>
      </c>
      <c r="E517" s="505">
        <f t="shared" si="62"/>
        <v>0</v>
      </c>
      <c r="F517" s="505">
        <f t="shared" si="63"/>
        <v>0</v>
      </c>
      <c r="G517" s="505">
        <f t="shared" si="62"/>
        <v>0</v>
      </c>
      <c r="H517" s="58"/>
      <c r="I517" s="198">
        <f>IF('Trial tariffs'!$H45=0,'Trial tariffs'!J45,'Trial tariffs'!J45*'Trial tariffs'!$H45)*'Trial tariffs'!J114*I$7</f>
        <v>0</v>
      </c>
      <c r="J517" s="198">
        <f>IF('Trial tariffs'!$H45=0,'Trial tariffs'!K45,'Trial tariffs'!K45*'Trial tariffs'!$H45)*'Trial tariffs'!K114*J$7</f>
        <v>0</v>
      </c>
      <c r="K517" s="198">
        <f>IF('Trial tariffs'!$H45=0,'Trial tariffs'!L45,'Trial tariffs'!L45*'Trial tariffs'!$H45)*'Trial tariffs'!L114*K$7</f>
        <v>0</v>
      </c>
      <c r="L517" s="198">
        <f>IF('Trial tariffs'!$H45=0,'Trial tariffs'!M45,'Trial tariffs'!M45*'Trial tariffs'!$H45)*'Trial tariffs'!M114*L$7</f>
        <v>0</v>
      </c>
      <c r="M517" s="198">
        <f>IF('Trial tariffs'!$H45=0,'Trial tariffs'!N45,'Trial tariffs'!N45*'Trial tariffs'!$H45)*'Trial tariffs'!N114*M$7</f>
        <v>0</v>
      </c>
      <c r="N517" s="198">
        <f>IF('Trial tariffs'!$H45=0,'Trial tariffs'!O45,'Trial tariffs'!O45*'Trial tariffs'!$H45)*'Trial tariffs'!O114*N$7</f>
        <v>0</v>
      </c>
      <c r="O517" s="198">
        <f>IF('Trial tariffs'!$H45=0,'Trial tariffs'!P45,'Trial tariffs'!P45*'Trial tariffs'!$H45)*'Trial tariffs'!P114*O$7</f>
        <v>0</v>
      </c>
      <c r="P517" s="198">
        <f>IF('Trial tariffs'!$H45=0,'Trial tariffs'!Q45,'Trial tariffs'!Q45*'Trial tariffs'!$H45)*'Trial tariffs'!Q114*P$7</f>
        <v>0</v>
      </c>
      <c r="Q517" s="198">
        <f>IF('Trial tariffs'!$H45=0,'Trial tariffs'!R45,'Trial tariffs'!R45*'Trial tariffs'!$H45)*'Trial tariffs'!R114*Q$7</f>
        <v>0</v>
      </c>
      <c r="R517" s="198">
        <f>IF('Trial tariffs'!$H45=0,'Trial tariffs'!S45,'Trial tariffs'!S45*'Trial tariffs'!$H45)*'Trial tariffs'!S114*R$7</f>
        <v>0</v>
      </c>
      <c r="S517" s="198">
        <f>IF('Trial tariffs'!$H45=0,'Trial tariffs'!T45,'Trial tariffs'!T45*'Trial tariffs'!$H45)*'Trial tariffs'!T114*S$7</f>
        <v>0</v>
      </c>
      <c r="T517" s="198">
        <f>IF('Trial tariffs'!$H45=0,'Trial tariffs'!U45,'Trial tariffs'!U45*'Trial tariffs'!$H45)*'Trial tariffs'!U114*T$7</f>
        <v>0</v>
      </c>
      <c r="U517" s="198">
        <f>IF('Trial tariffs'!$H45=0,'Trial tariffs'!V45,'Trial tariffs'!V45*'Trial tariffs'!$H45)*'Trial tariffs'!V114*U$7</f>
        <v>0</v>
      </c>
      <c r="V517" s="198">
        <f>IF('Trial tariffs'!$H45=0,'Trial tariffs'!W45,'Trial tariffs'!W45*'Trial tariffs'!$H45)*'Trial tariffs'!W114*V$7</f>
        <v>0</v>
      </c>
      <c r="W517" s="198">
        <f>IF('Trial tariffs'!$H45=0,'Trial tariffs'!X45,'Trial tariffs'!X45*'Trial tariffs'!$H45)*'Trial tariffs'!X114*W$7</f>
        <v>0</v>
      </c>
      <c r="X517" s="198">
        <f>IF('Trial tariffs'!$H45=0,'Trial tariffs'!Y45,'Trial tariffs'!Y45*'Trial tariffs'!$H45)*'Trial tariffs'!Y114*X$7</f>
        <v>0</v>
      </c>
      <c r="Y517" s="198">
        <f>IF('Trial tariffs'!$H45=0,'Trial tariffs'!Z45,'Trial tariffs'!Z45*'Trial tariffs'!$H45)*'Trial tariffs'!Z114*Y$7</f>
        <v>0</v>
      </c>
      <c r="Z517" s="198">
        <f>IF('Trial tariffs'!$H45=0,'Trial tariffs'!AA45,'Trial tariffs'!AA45*'Trial tariffs'!$H45)*'Trial tariffs'!AA114*Z$7</f>
        <v>0</v>
      </c>
      <c r="AA517" s="198">
        <f>IF('Trial tariffs'!$H45=0,'Trial tariffs'!AB45,'Trial tariffs'!AB45*'Trial tariffs'!$H45)*'Trial tariffs'!AB114*AA$7</f>
        <v>0</v>
      </c>
      <c r="AB517" s="198">
        <f>IF('Trial tariffs'!$H45=0,'Trial tariffs'!AC45,'Trial tariffs'!AC45*'Trial tariffs'!$H45)*'Trial tariffs'!AC114*AB$7</f>
        <v>0</v>
      </c>
      <c r="AC517" s="206">
        <f t="shared" si="64"/>
        <v>0</v>
      </c>
      <c r="AD517" s="68"/>
      <c r="AE517" s="19"/>
      <c r="AF517" s="19"/>
      <c r="AG517" s="19"/>
      <c r="AH517" s="19"/>
    </row>
    <row r="518" spans="1:34" hidden="1" outlineLevel="2" x14ac:dyDescent="0.2">
      <c r="A518" s="19"/>
      <c r="B518" s="19"/>
      <c r="C518" s="506">
        <f t="shared" si="62"/>
        <v>0</v>
      </c>
      <c r="D518" s="505">
        <f t="shared" si="62"/>
        <v>0</v>
      </c>
      <c r="E518" s="505">
        <f t="shared" si="62"/>
        <v>0</v>
      </c>
      <c r="F518" s="505">
        <f t="shared" si="63"/>
        <v>0</v>
      </c>
      <c r="G518" s="505">
        <f t="shared" si="62"/>
        <v>0</v>
      </c>
      <c r="H518" s="58"/>
      <c r="I518" s="198">
        <f>IF('Trial tariffs'!$H46=0,'Trial tariffs'!J46,'Trial tariffs'!J46*'Trial tariffs'!$H46)*'Trial tariffs'!J115*I$7</f>
        <v>0</v>
      </c>
      <c r="J518" s="198">
        <f>IF('Trial tariffs'!$H46=0,'Trial tariffs'!K46,'Trial tariffs'!K46*'Trial tariffs'!$H46)*'Trial tariffs'!K115*J$7</f>
        <v>0</v>
      </c>
      <c r="K518" s="198">
        <f>IF('Trial tariffs'!$H46=0,'Trial tariffs'!L46,'Trial tariffs'!L46*'Trial tariffs'!$H46)*'Trial tariffs'!L115*K$7</f>
        <v>0</v>
      </c>
      <c r="L518" s="198">
        <f>IF('Trial tariffs'!$H46=0,'Trial tariffs'!M46,'Trial tariffs'!M46*'Trial tariffs'!$H46)*'Trial tariffs'!M115*L$7</f>
        <v>0</v>
      </c>
      <c r="M518" s="198">
        <f>IF('Trial tariffs'!$H46=0,'Trial tariffs'!N46,'Trial tariffs'!N46*'Trial tariffs'!$H46)*'Trial tariffs'!N115*M$7</f>
        <v>0</v>
      </c>
      <c r="N518" s="198">
        <f>IF('Trial tariffs'!$H46=0,'Trial tariffs'!O46,'Trial tariffs'!O46*'Trial tariffs'!$H46)*'Trial tariffs'!O115*N$7</f>
        <v>0</v>
      </c>
      <c r="O518" s="198">
        <f>IF('Trial tariffs'!$H46=0,'Trial tariffs'!P46,'Trial tariffs'!P46*'Trial tariffs'!$H46)*'Trial tariffs'!P115*O$7</f>
        <v>0</v>
      </c>
      <c r="P518" s="198">
        <f>IF('Trial tariffs'!$H46=0,'Trial tariffs'!Q46,'Trial tariffs'!Q46*'Trial tariffs'!$H46)*'Trial tariffs'!Q115*P$7</f>
        <v>0</v>
      </c>
      <c r="Q518" s="198">
        <f>IF('Trial tariffs'!$H46=0,'Trial tariffs'!R46,'Trial tariffs'!R46*'Trial tariffs'!$H46)*'Trial tariffs'!R115*Q$7</f>
        <v>0</v>
      </c>
      <c r="R518" s="198">
        <f>IF('Trial tariffs'!$H46=0,'Trial tariffs'!S46,'Trial tariffs'!S46*'Trial tariffs'!$H46)*'Trial tariffs'!S115*R$7</f>
        <v>0</v>
      </c>
      <c r="S518" s="198">
        <f>IF('Trial tariffs'!$H46=0,'Trial tariffs'!T46,'Trial tariffs'!T46*'Trial tariffs'!$H46)*'Trial tariffs'!T115*S$7</f>
        <v>0</v>
      </c>
      <c r="T518" s="198">
        <f>IF('Trial tariffs'!$H46=0,'Trial tariffs'!U46,'Trial tariffs'!U46*'Trial tariffs'!$H46)*'Trial tariffs'!U115*T$7</f>
        <v>0</v>
      </c>
      <c r="U518" s="198">
        <f>IF('Trial tariffs'!$H46=0,'Trial tariffs'!V46,'Trial tariffs'!V46*'Trial tariffs'!$H46)*'Trial tariffs'!V115*U$7</f>
        <v>0</v>
      </c>
      <c r="V518" s="198">
        <f>IF('Trial tariffs'!$H46=0,'Trial tariffs'!W46,'Trial tariffs'!W46*'Trial tariffs'!$H46)*'Trial tariffs'!W115*V$7</f>
        <v>0</v>
      </c>
      <c r="W518" s="198">
        <f>IF('Trial tariffs'!$H46=0,'Trial tariffs'!X46,'Trial tariffs'!X46*'Trial tariffs'!$H46)*'Trial tariffs'!X115*W$7</f>
        <v>0</v>
      </c>
      <c r="X518" s="198">
        <f>IF('Trial tariffs'!$H46=0,'Trial tariffs'!Y46,'Trial tariffs'!Y46*'Trial tariffs'!$H46)*'Trial tariffs'!Y115*X$7</f>
        <v>0</v>
      </c>
      <c r="Y518" s="198">
        <f>IF('Trial tariffs'!$H46=0,'Trial tariffs'!Z46,'Trial tariffs'!Z46*'Trial tariffs'!$H46)*'Trial tariffs'!Z115*Y$7</f>
        <v>0</v>
      </c>
      <c r="Z518" s="198">
        <f>IF('Trial tariffs'!$H46=0,'Trial tariffs'!AA46,'Trial tariffs'!AA46*'Trial tariffs'!$H46)*'Trial tariffs'!AA115*Z$7</f>
        <v>0</v>
      </c>
      <c r="AA518" s="198">
        <f>IF('Trial tariffs'!$H46=0,'Trial tariffs'!AB46,'Trial tariffs'!AB46*'Trial tariffs'!$H46)*'Trial tariffs'!AB115*AA$7</f>
        <v>0</v>
      </c>
      <c r="AB518" s="198">
        <f>IF('Trial tariffs'!$H46=0,'Trial tariffs'!AC46,'Trial tariffs'!AC46*'Trial tariffs'!$H46)*'Trial tariffs'!AC115*AB$7</f>
        <v>0</v>
      </c>
      <c r="AC518" s="206">
        <f t="shared" si="64"/>
        <v>0</v>
      </c>
      <c r="AD518" s="68"/>
      <c r="AE518" s="19"/>
      <c r="AF518" s="19"/>
      <c r="AG518" s="19"/>
      <c r="AH518" s="19"/>
    </row>
    <row r="519" spans="1:34" hidden="1" outlineLevel="2" x14ac:dyDescent="0.2">
      <c r="A519" s="19"/>
      <c r="B519" s="19"/>
      <c r="C519" s="506">
        <f t="shared" si="62"/>
        <v>0</v>
      </c>
      <c r="D519" s="505">
        <f t="shared" si="62"/>
        <v>0</v>
      </c>
      <c r="E519" s="505">
        <f t="shared" si="62"/>
        <v>0</v>
      </c>
      <c r="F519" s="505">
        <f t="shared" si="63"/>
        <v>0</v>
      </c>
      <c r="G519" s="505">
        <f t="shared" si="62"/>
        <v>0</v>
      </c>
      <c r="H519" s="58"/>
      <c r="I519" s="198">
        <f>IF('Trial tariffs'!$H47=0,'Trial tariffs'!J47,'Trial tariffs'!J47*'Trial tariffs'!$H47)*'Trial tariffs'!J116*I$7</f>
        <v>0</v>
      </c>
      <c r="J519" s="198">
        <f>IF('Trial tariffs'!$H47=0,'Trial tariffs'!K47,'Trial tariffs'!K47*'Trial tariffs'!$H47)*'Trial tariffs'!K116*J$7</f>
        <v>0</v>
      </c>
      <c r="K519" s="198">
        <f>IF('Trial tariffs'!$H47=0,'Trial tariffs'!L47,'Trial tariffs'!L47*'Trial tariffs'!$H47)*'Trial tariffs'!L116*K$7</f>
        <v>0</v>
      </c>
      <c r="L519" s="198">
        <f>IF('Trial tariffs'!$H47=0,'Trial tariffs'!M47,'Trial tariffs'!M47*'Trial tariffs'!$H47)*'Trial tariffs'!M116*L$7</f>
        <v>0</v>
      </c>
      <c r="M519" s="198">
        <f>IF('Trial tariffs'!$H47=0,'Trial tariffs'!N47,'Trial tariffs'!N47*'Trial tariffs'!$H47)*'Trial tariffs'!N116*M$7</f>
        <v>0</v>
      </c>
      <c r="N519" s="198">
        <f>IF('Trial tariffs'!$H47=0,'Trial tariffs'!O47,'Trial tariffs'!O47*'Trial tariffs'!$H47)*'Trial tariffs'!O116*N$7</f>
        <v>0</v>
      </c>
      <c r="O519" s="198">
        <f>IF('Trial tariffs'!$H47=0,'Trial tariffs'!P47,'Trial tariffs'!P47*'Trial tariffs'!$H47)*'Trial tariffs'!P116*O$7</f>
        <v>0</v>
      </c>
      <c r="P519" s="198">
        <f>IF('Trial tariffs'!$H47=0,'Trial tariffs'!Q47,'Trial tariffs'!Q47*'Trial tariffs'!$H47)*'Trial tariffs'!Q116*P$7</f>
        <v>0</v>
      </c>
      <c r="Q519" s="198">
        <f>IF('Trial tariffs'!$H47=0,'Trial tariffs'!R47,'Trial tariffs'!R47*'Trial tariffs'!$H47)*'Trial tariffs'!R116*Q$7</f>
        <v>0</v>
      </c>
      <c r="R519" s="198">
        <f>IF('Trial tariffs'!$H47=0,'Trial tariffs'!S47,'Trial tariffs'!S47*'Trial tariffs'!$H47)*'Trial tariffs'!S116*R$7</f>
        <v>0</v>
      </c>
      <c r="S519" s="198">
        <f>IF('Trial tariffs'!$H47=0,'Trial tariffs'!T47,'Trial tariffs'!T47*'Trial tariffs'!$H47)*'Trial tariffs'!T116*S$7</f>
        <v>0</v>
      </c>
      <c r="T519" s="198">
        <f>IF('Trial tariffs'!$H47=0,'Trial tariffs'!U47,'Trial tariffs'!U47*'Trial tariffs'!$H47)*'Trial tariffs'!U116*T$7</f>
        <v>0</v>
      </c>
      <c r="U519" s="198">
        <f>IF('Trial tariffs'!$H47=0,'Trial tariffs'!V47,'Trial tariffs'!V47*'Trial tariffs'!$H47)*'Trial tariffs'!V116*U$7</f>
        <v>0</v>
      </c>
      <c r="V519" s="198">
        <f>IF('Trial tariffs'!$H47=0,'Trial tariffs'!W47,'Trial tariffs'!W47*'Trial tariffs'!$H47)*'Trial tariffs'!W116*V$7</f>
        <v>0</v>
      </c>
      <c r="W519" s="198">
        <f>IF('Trial tariffs'!$H47=0,'Trial tariffs'!X47,'Trial tariffs'!X47*'Trial tariffs'!$H47)*'Trial tariffs'!X116*W$7</f>
        <v>0</v>
      </c>
      <c r="X519" s="198">
        <f>IF('Trial tariffs'!$H47=0,'Trial tariffs'!Y47,'Trial tariffs'!Y47*'Trial tariffs'!$H47)*'Trial tariffs'!Y116*X$7</f>
        <v>0</v>
      </c>
      <c r="Y519" s="198">
        <f>IF('Trial tariffs'!$H47=0,'Trial tariffs'!Z47,'Trial tariffs'!Z47*'Trial tariffs'!$H47)*'Trial tariffs'!Z116*Y$7</f>
        <v>0</v>
      </c>
      <c r="Z519" s="198">
        <f>IF('Trial tariffs'!$H47=0,'Trial tariffs'!AA47,'Trial tariffs'!AA47*'Trial tariffs'!$H47)*'Trial tariffs'!AA116*Z$7</f>
        <v>0</v>
      </c>
      <c r="AA519" s="198">
        <f>IF('Trial tariffs'!$H47=0,'Trial tariffs'!AB47,'Trial tariffs'!AB47*'Trial tariffs'!$H47)*'Trial tariffs'!AB116*AA$7</f>
        <v>0</v>
      </c>
      <c r="AB519" s="198">
        <f>IF('Trial tariffs'!$H47=0,'Trial tariffs'!AC47,'Trial tariffs'!AC47*'Trial tariffs'!$H47)*'Trial tariffs'!AC116*AB$7</f>
        <v>0</v>
      </c>
      <c r="AC519" s="206">
        <f t="shared" si="64"/>
        <v>0</v>
      </c>
      <c r="AD519" s="68"/>
      <c r="AE519" s="19"/>
      <c r="AF519" s="19"/>
      <c r="AG519" s="19"/>
      <c r="AH519" s="19"/>
    </row>
    <row r="520" spans="1:34" hidden="1" outlineLevel="2" x14ac:dyDescent="0.2">
      <c r="A520" s="19"/>
      <c r="B520" s="19"/>
      <c r="C520" s="506">
        <f t="shared" si="62"/>
        <v>0</v>
      </c>
      <c r="D520" s="505">
        <f t="shared" si="62"/>
        <v>0</v>
      </c>
      <c r="E520" s="505">
        <f t="shared" si="62"/>
        <v>0</v>
      </c>
      <c r="F520" s="505">
        <f t="shared" si="63"/>
        <v>0</v>
      </c>
      <c r="G520" s="505">
        <f t="shared" si="62"/>
        <v>0</v>
      </c>
      <c r="H520" s="58"/>
      <c r="I520" s="198">
        <f>IF('Trial tariffs'!$H48=0,'Trial tariffs'!J48,'Trial tariffs'!J48*'Trial tariffs'!$H48)*'Trial tariffs'!J117*I$7</f>
        <v>0</v>
      </c>
      <c r="J520" s="198">
        <f>IF('Trial tariffs'!$H48=0,'Trial tariffs'!K48,'Trial tariffs'!K48*'Trial tariffs'!$H48)*'Trial tariffs'!K117*J$7</f>
        <v>0</v>
      </c>
      <c r="K520" s="198">
        <f>IF('Trial tariffs'!$H48=0,'Trial tariffs'!L48,'Trial tariffs'!L48*'Trial tariffs'!$H48)*'Trial tariffs'!L117*K$7</f>
        <v>0</v>
      </c>
      <c r="L520" s="198">
        <f>IF('Trial tariffs'!$H48=0,'Trial tariffs'!M48,'Trial tariffs'!M48*'Trial tariffs'!$H48)*'Trial tariffs'!M117*L$7</f>
        <v>0</v>
      </c>
      <c r="M520" s="198">
        <f>IF('Trial tariffs'!$H48=0,'Trial tariffs'!N48,'Trial tariffs'!N48*'Trial tariffs'!$H48)*'Trial tariffs'!N117*M$7</f>
        <v>0</v>
      </c>
      <c r="N520" s="198">
        <f>IF('Trial tariffs'!$H48=0,'Trial tariffs'!O48,'Trial tariffs'!O48*'Trial tariffs'!$H48)*'Trial tariffs'!O117*N$7</f>
        <v>0</v>
      </c>
      <c r="O520" s="198">
        <f>IF('Trial tariffs'!$H48=0,'Trial tariffs'!P48,'Trial tariffs'!P48*'Trial tariffs'!$H48)*'Trial tariffs'!P117*O$7</f>
        <v>0</v>
      </c>
      <c r="P520" s="198">
        <f>IF('Trial tariffs'!$H48=0,'Trial tariffs'!Q48,'Trial tariffs'!Q48*'Trial tariffs'!$H48)*'Trial tariffs'!Q117*P$7</f>
        <v>0</v>
      </c>
      <c r="Q520" s="198">
        <f>IF('Trial tariffs'!$H48=0,'Trial tariffs'!R48,'Trial tariffs'!R48*'Trial tariffs'!$H48)*'Trial tariffs'!R117*Q$7</f>
        <v>0</v>
      </c>
      <c r="R520" s="198">
        <f>IF('Trial tariffs'!$H48=0,'Trial tariffs'!S48,'Trial tariffs'!S48*'Trial tariffs'!$H48)*'Trial tariffs'!S117*R$7</f>
        <v>0</v>
      </c>
      <c r="S520" s="198">
        <f>IF('Trial tariffs'!$H48=0,'Trial tariffs'!T48,'Trial tariffs'!T48*'Trial tariffs'!$H48)*'Trial tariffs'!T117*S$7</f>
        <v>0</v>
      </c>
      <c r="T520" s="198">
        <f>IF('Trial tariffs'!$H48=0,'Trial tariffs'!U48,'Trial tariffs'!U48*'Trial tariffs'!$H48)*'Trial tariffs'!U117*T$7</f>
        <v>0</v>
      </c>
      <c r="U520" s="198">
        <f>IF('Trial tariffs'!$H48=0,'Trial tariffs'!V48,'Trial tariffs'!V48*'Trial tariffs'!$H48)*'Trial tariffs'!V117*U$7</f>
        <v>0</v>
      </c>
      <c r="V520" s="198">
        <f>IF('Trial tariffs'!$H48=0,'Trial tariffs'!W48,'Trial tariffs'!W48*'Trial tariffs'!$H48)*'Trial tariffs'!W117*V$7</f>
        <v>0</v>
      </c>
      <c r="W520" s="198">
        <f>IF('Trial tariffs'!$H48=0,'Trial tariffs'!X48,'Trial tariffs'!X48*'Trial tariffs'!$H48)*'Trial tariffs'!X117*W$7</f>
        <v>0</v>
      </c>
      <c r="X520" s="198">
        <f>IF('Trial tariffs'!$H48=0,'Trial tariffs'!Y48,'Trial tariffs'!Y48*'Trial tariffs'!$H48)*'Trial tariffs'!Y117*X$7</f>
        <v>0</v>
      </c>
      <c r="Y520" s="198">
        <f>IF('Trial tariffs'!$H48=0,'Trial tariffs'!Z48,'Trial tariffs'!Z48*'Trial tariffs'!$H48)*'Trial tariffs'!Z117*Y$7</f>
        <v>0</v>
      </c>
      <c r="Z520" s="198">
        <f>IF('Trial tariffs'!$H48=0,'Trial tariffs'!AA48,'Trial tariffs'!AA48*'Trial tariffs'!$H48)*'Trial tariffs'!AA117*Z$7</f>
        <v>0</v>
      </c>
      <c r="AA520" s="198">
        <f>IF('Trial tariffs'!$H48=0,'Trial tariffs'!AB48,'Trial tariffs'!AB48*'Trial tariffs'!$H48)*'Trial tariffs'!AB117*AA$7</f>
        <v>0</v>
      </c>
      <c r="AB520" s="198">
        <f>IF('Trial tariffs'!$H48=0,'Trial tariffs'!AC48,'Trial tariffs'!AC48*'Trial tariffs'!$H48)*'Trial tariffs'!AC117*AB$7</f>
        <v>0</v>
      </c>
      <c r="AC520" s="206">
        <f t="shared" si="64"/>
        <v>0</v>
      </c>
      <c r="AD520" s="68"/>
      <c r="AE520" s="19"/>
      <c r="AF520" s="19"/>
      <c r="AG520" s="19"/>
      <c r="AH520" s="19"/>
    </row>
    <row r="521" spans="1:34" hidden="1" outlineLevel="2" x14ac:dyDescent="0.2">
      <c r="A521" s="19"/>
      <c r="B521" s="19"/>
      <c r="C521" s="506">
        <f t="shared" si="62"/>
        <v>0</v>
      </c>
      <c r="D521" s="505">
        <f t="shared" si="62"/>
        <v>0</v>
      </c>
      <c r="E521" s="505">
        <f t="shared" si="62"/>
        <v>0</v>
      </c>
      <c r="F521" s="505">
        <f t="shared" si="63"/>
        <v>0</v>
      </c>
      <c r="G521" s="505">
        <f t="shared" si="62"/>
        <v>0</v>
      </c>
      <c r="H521" s="58"/>
      <c r="I521" s="198">
        <f>IF('Trial tariffs'!$H49=0,'Trial tariffs'!J49,'Trial tariffs'!J49*'Trial tariffs'!$H49)*'Trial tariffs'!J118*I$7</f>
        <v>0</v>
      </c>
      <c r="J521" s="198">
        <f>IF('Trial tariffs'!$H49=0,'Trial tariffs'!K49,'Trial tariffs'!K49*'Trial tariffs'!$H49)*'Trial tariffs'!K118*J$7</f>
        <v>0</v>
      </c>
      <c r="K521" s="198">
        <f>IF('Trial tariffs'!$H49=0,'Trial tariffs'!L49,'Trial tariffs'!L49*'Trial tariffs'!$H49)*'Trial tariffs'!L118*K$7</f>
        <v>0</v>
      </c>
      <c r="L521" s="198">
        <f>IF('Trial tariffs'!$H49=0,'Trial tariffs'!M49,'Trial tariffs'!M49*'Trial tariffs'!$H49)*'Trial tariffs'!M118*L$7</f>
        <v>0</v>
      </c>
      <c r="M521" s="198">
        <f>IF('Trial tariffs'!$H49=0,'Trial tariffs'!N49,'Trial tariffs'!N49*'Trial tariffs'!$H49)*'Trial tariffs'!N118*M$7</f>
        <v>0</v>
      </c>
      <c r="N521" s="198">
        <f>IF('Trial tariffs'!$H49=0,'Trial tariffs'!O49,'Trial tariffs'!O49*'Trial tariffs'!$H49)*'Trial tariffs'!O118*N$7</f>
        <v>0</v>
      </c>
      <c r="O521" s="198">
        <f>IF('Trial tariffs'!$H49=0,'Trial tariffs'!P49,'Trial tariffs'!P49*'Trial tariffs'!$H49)*'Trial tariffs'!P118*O$7</f>
        <v>0</v>
      </c>
      <c r="P521" s="198">
        <f>IF('Trial tariffs'!$H49=0,'Trial tariffs'!Q49,'Trial tariffs'!Q49*'Trial tariffs'!$H49)*'Trial tariffs'!Q118*P$7</f>
        <v>0</v>
      </c>
      <c r="Q521" s="198">
        <f>IF('Trial tariffs'!$H49=0,'Trial tariffs'!R49,'Trial tariffs'!R49*'Trial tariffs'!$H49)*'Trial tariffs'!R118*Q$7</f>
        <v>0</v>
      </c>
      <c r="R521" s="198">
        <f>IF('Trial tariffs'!$H49=0,'Trial tariffs'!S49,'Trial tariffs'!S49*'Trial tariffs'!$H49)*'Trial tariffs'!S118*R$7</f>
        <v>0</v>
      </c>
      <c r="S521" s="198">
        <f>IF('Trial tariffs'!$H49=0,'Trial tariffs'!T49,'Trial tariffs'!T49*'Trial tariffs'!$H49)*'Trial tariffs'!T118*S$7</f>
        <v>0</v>
      </c>
      <c r="T521" s="198">
        <f>IF('Trial tariffs'!$H49=0,'Trial tariffs'!U49,'Trial tariffs'!U49*'Trial tariffs'!$H49)*'Trial tariffs'!U118*T$7</f>
        <v>0</v>
      </c>
      <c r="U521" s="198">
        <f>IF('Trial tariffs'!$H49=0,'Trial tariffs'!V49,'Trial tariffs'!V49*'Trial tariffs'!$H49)*'Trial tariffs'!V118*U$7</f>
        <v>0</v>
      </c>
      <c r="V521" s="198">
        <f>IF('Trial tariffs'!$H49=0,'Trial tariffs'!W49,'Trial tariffs'!W49*'Trial tariffs'!$H49)*'Trial tariffs'!W118*V$7</f>
        <v>0</v>
      </c>
      <c r="W521" s="198">
        <f>IF('Trial tariffs'!$H49=0,'Trial tariffs'!X49,'Trial tariffs'!X49*'Trial tariffs'!$H49)*'Trial tariffs'!X118*W$7</f>
        <v>0</v>
      </c>
      <c r="X521" s="198">
        <f>IF('Trial tariffs'!$H49=0,'Trial tariffs'!Y49,'Trial tariffs'!Y49*'Trial tariffs'!$H49)*'Trial tariffs'!Y118*X$7</f>
        <v>0</v>
      </c>
      <c r="Y521" s="198">
        <f>IF('Trial tariffs'!$H49=0,'Trial tariffs'!Z49,'Trial tariffs'!Z49*'Trial tariffs'!$H49)*'Trial tariffs'!Z118*Y$7</f>
        <v>0</v>
      </c>
      <c r="Z521" s="198">
        <f>IF('Trial tariffs'!$H49=0,'Trial tariffs'!AA49,'Trial tariffs'!AA49*'Trial tariffs'!$H49)*'Trial tariffs'!AA118*Z$7</f>
        <v>0</v>
      </c>
      <c r="AA521" s="198">
        <f>IF('Trial tariffs'!$H49=0,'Trial tariffs'!AB49,'Trial tariffs'!AB49*'Trial tariffs'!$H49)*'Trial tariffs'!AB118*AA$7</f>
        <v>0</v>
      </c>
      <c r="AB521" s="198">
        <f>IF('Trial tariffs'!$H49=0,'Trial tariffs'!AC49,'Trial tariffs'!AC49*'Trial tariffs'!$H49)*'Trial tariffs'!AC118*AB$7</f>
        <v>0</v>
      </c>
      <c r="AC521" s="206">
        <f t="shared" si="64"/>
        <v>0</v>
      </c>
      <c r="AD521" s="68"/>
      <c r="AE521" s="19"/>
      <c r="AF521" s="19"/>
      <c r="AG521" s="19"/>
      <c r="AH521" s="19"/>
    </row>
    <row r="522" spans="1:34" hidden="1" outlineLevel="2" x14ac:dyDescent="0.2">
      <c r="A522" s="19"/>
      <c r="B522" s="19"/>
      <c r="C522" s="506">
        <f t="shared" si="62"/>
        <v>0</v>
      </c>
      <c r="D522" s="505">
        <f t="shared" si="62"/>
        <v>0</v>
      </c>
      <c r="E522" s="505">
        <f t="shared" si="62"/>
        <v>0</v>
      </c>
      <c r="F522" s="505">
        <f t="shared" si="63"/>
        <v>0</v>
      </c>
      <c r="G522" s="505">
        <f t="shared" si="62"/>
        <v>0</v>
      </c>
      <c r="H522" s="58"/>
      <c r="I522" s="198">
        <f>IF('Trial tariffs'!$H50=0,'Trial tariffs'!J50,'Trial tariffs'!J50*'Trial tariffs'!$H50)*'Trial tariffs'!J119*I$7</f>
        <v>0</v>
      </c>
      <c r="J522" s="198">
        <f>IF('Trial tariffs'!$H50=0,'Trial tariffs'!K50,'Trial tariffs'!K50*'Trial tariffs'!$H50)*'Trial tariffs'!K119*J$7</f>
        <v>0</v>
      </c>
      <c r="K522" s="198">
        <f>IF('Trial tariffs'!$H50=0,'Trial tariffs'!L50,'Trial tariffs'!L50*'Trial tariffs'!$H50)*'Trial tariffs'!L119*K$7</f>
        <v>0</v>
      </c>
      <c r="L522" s="198">
        <f>IF('Trial tariffs'!$H50=0,'Trial tariffs'!M50,'Trial tariffs'!M50*'Trial tariffs'!$H50)*'Trial tariffs'!M119*L$7</f>
        <v>0</v>
      </c>
      <c r="M522" s="198">
        <f>IF('Trial tariffs'!$H50=0,'Trial tariffs'!N50,'Trial tariffs'!N50*'Trial tariffs'!$H50)*'Trial tariffs'!N119*M$7</f>
        <v>0</v>
      </c>
      <c r="N522" s="198">
        <f>IF('Trial tariffs'!$H50=0,'Trial tariffs'!O50,'Trial tariffs'!O50*'Trial tariffs'!$H50)*'Trial tariffs'!O119*N$7</f>
        <v>0</v>
      </c>
      <c r="O522" s="198">
        <f>IF('Trial tariffs'!$H50=0,'Trial tariffs'!P50,'Trial tariffs'!P50*'Trial tariffs'!$H50)*'Trial tariffs'!P119*O$7</f>
        <v>0</v>
      </c>
      <c r="P522" s="198">
        <f>IF('Trial tariffs'!$H50=0,'Trial tariffs'!Q50,'Trial tariffs'!Q50*'Trial tariffs'!$H50)*'Trial tariffs'!Q119*P$7</f>
        <v>0</v>
      </c>
      <c r="Q522" s="198">
        <f>IF('Trial tariffs'!$H50=0,'Trial tariffs'!R50,'Trial tariffs'!R50*'Trial tariffs'!$H50)*'Trial tariffs'!R119*Q$7</f>
        <v>0</v>
      </c>
      <c r="R522" s="198">
        <f>IF('Trial tariffs'!$H50=0,'Trial tariffs'!S50,'Trial tariffs'!S50*'Trial tariffs'!$H50)*'Trial tariffs'!S119*R$7</f>
        <v>0</v>
      </c>
      <c r="S522" s="198">
        <f>IF('Trial tariffs'!$H50=0,'Trial tariffs'!T50,'Trial tariffs'!T50*'Trial tariffs'!$H50)*'Trial tariffs'!T119*S$7</f>
        <v>0</v>
      </c>
      <c r="T522" s="198">
        <f>IF('Trial tariffs'!$H50=0,'Trial tariffs'!U50,'Trial tariffs'!U50*'Trial tariffs'!$H50)*'Trial tariffs'!U119*T$7</f>
        <v>0</v>
      </c>
      <c r="U522" s="198">
        <f>IF('Trial tariffs'!$H50=0,'Trial tariffs'!V50,'Trial tariffs'!V50*'Trial tariffs'!$H50)*'Trial tariffs'!V119*U$7</f>
        <v>0</v>
      </c>
      <c r="V522" s="198">
        <f>IF('Trial tariffs'!$H50=0,'Trial tariffs'!W50,'Trial tariffs'!W50*'Trial tariffs'!$H50)*'Trial tariffs'!W119*V$7</f>
        <v>0</v>
      </c>
      <c r="W522" s="198">
        <f>IF('Trial tariffs'!$H50=0,'Trial tariffs'!X50,'Trial tariffs'!X50*'Trial tariffs'!$H50)*'Trial tariffs'!X119*W$7</f>
        <v>0</v>
      </c>
      <c r="X522" s="198">
        <f>IF('Trial tariffs'!$H50=0,'Trial tariffs'!Y50,'Trial tariffs'!Y50*'Trial tariffs'!$H50)*'Trial tariffs'!Y119*X$7</f>
        <v>0</v>
      </c>
      <c r="Y522" s="198">
        <f>IF('Trial tariffs'!$H50=0,'Trial tariffs'!Z50,'Trial tariffs'!Z50*'Trial tariffs'!$H50)*'Trial tariffs'!Z119*Y$7</f>
        <v>0</v>
      </c>
      <c r="Z522" s="198">
        <f>IF('Trial tariffs'!$H50=0,'Trial tariffs'!AA50,'Trial tariffs'!AA50*'Trial tariffs'!$H50)*'Trial tariffs'!AA119*Z$7</f>
        <v>0</v>
      </c>
      <c r="AA522" s="198">
        <f>IF('Trial tariffs'!$H50=0,'Trial tariffs'!AB50,'Trial tariffs'!AB50*'Trial tariffs'!$H50)*'Trial tariffs'!AB119*AA$7</f>
        <v>0</v>
      </c>
      <c r="AB522" s="198">
        <f>IF('Trial tariffs'!$H50=0,'Trial tariffs'!AC50,'Trial tariffs'!AC50*'Trial tariffs'!$H50)*'Trial tariffs'!AC119*AB$7</f>
        <v>0</v>
      </c>
      <c r="AC522" s="206">
        <f t="shared" si="64"/>
        <v>0</v>
      </c>
      <c r="AD522" s="68"/>
      <c r="AE522" s="19"/>
      <c r="AF522" s="19"/>
      <c r="AG522" s="19"/>
      <c r="AH522" s="19"/>
    </row>
    <row r="523" spans="1:34" hidden="1" outlineLevel="2" x14ac:dyDescent="0.2">
      <c r="A523" s="19"/>
      <c r="B523" s="19"/>
      <c r="C523" s="506">
        <f t="shared" si="62"/>
        <v>0</v>
      </c>
      <c r="D523" s="505">
        <f t="shared" si="62"/>
        <v>0</v>
      </c>
      <c r="E523" s="505">
        <f t="shared" si="62"/>
        <v>0</v>
      </c>
      <c r="F523" s="505">
        <f t="shared" si="63"/>
        <v>0</v>
      </c>
      <c r="G523" s="505">
        <f t="shared" si="62"/>
        <v>0</v>
      </c>
      <c r="H523" s="58"/>
      <c r="I523" s="198">
        <f>IF('Trial tariffs'!$H51=0,'Trial tariffs'!J51,'Trial tariffs'!J51*'Trial tariffs'!$H51)*'Trial tariffs'!J120*I$7</f>
        <v>0</v>
      </c>
      <c r="J523" s="198">
        <f>IF('Trial tariffs'!$H51=0,'Trial tariffs'!K51,'Trial tariffs'!K51*'Trial tariffs'!$H51)*'Trial tariffs'!K120*J$7</f>
        <v>0</v>
      </c>
      <c r="K523" s="198">
        <f>IF('Trial tariffs'!$H51=0,'Trial tariffs'!L51,'Trial tariffs'!L51*'Trial tariffs'!$H51)*'Trial tariffs'!L120*K$7</f>
        <v>0</v>
      </c>
      <c r="L523" s="198">
        <f>IF('Trial tariffs'!$H51=0,'Trial tariffs'!M51,'Trial tariffs'!M51*'Trial tariffs'!$H51)*'Trial tariffs'!M120*L$7</f>
        <v>0</v>
      </c>
      <c r="M523" s="198">
        <f>IF('Trial tariffs'!$H51=0,'Trial tariffs'!N51,'Trial tariffs'!N51*'Trial tariffs'!$H51)*'Trial tariffs'!N120*M$7</f>
        <v>0</v>
      </c>
      <c r="N523" s="198">
        <f>IF('Trial tariffs'!$H51=0,'Trial tariffs'!O51,'Trial tariffs'!O51*'Trial tariffs'!$H51)*'Trial tariffs'!O120*N$7</f>
        <v>0</v>
      </c>
      <c r="O523" s="198">
        <f>IF('Trial tariffs'!$H51=0,'Trial tariffs'!P51,'Trial tariffs'!P51*'Trial tariffs'!$H51)*'Trial tariffs'!P120*O$7</f>
        <v>0</v>
      </c>
      <c r="P523" s="198">
        <f>IF('Trial tariffs'!$H51=0,'Trial tariffs'!Q51,'Trial tariffs'!Q51*'Trial tariffs'!$H51)*'Trial tariffs'!Q120*P$7</f>
        <v>0</v>
      </c>
      <c r="Q523" s="198">
        <f>IF('Trial tariffs'!$H51=0,'Trial tariffs'!R51,'Trial tariffs'!R51*'Trial tariffs'!$H51)*'Trial tariffs'!R120*Q$7</f>
        <v>0</v>
      </c>
      <c r="R523" s="198">
        <f>IF('Trial tariffs'!$H51=0,'Trial tariffs'!S51,'Trial tariffs'!S51*'Trial tariffs'!$H51)*'Trial tariffs'!S120*R$7</f>
        <v>0</v>
      </c>
      <c r="S523" s="198">
        <f>IF('Trial tariffs'!$H51=0,'Trial tariffs'!T51,'Trial tariffs'!T51*'Trial tariffs'!$H51)*'Trial tariffs'!T120*S$7</f>
        <v>0</v>
      </c>
      <c r="T523" s="198">
        <f>IF('Trial tariffs'!$H51=0,'Trial tariffs'!U51,'Trial tariffs'!U51*'Trial tariffs'!$H51)*'Trial tariffs'!U120*T$7</f>
        <v>0</v>
      </c>
      <c r="U523" s="198">
        <f>IF('Trial tariffs'!$H51=0,'Trial tariffs'!V51,'Trial tariffs'!V51*'Trial tariffs'!$H51)*'Trial tariffs'!V120*U$7</f>
        <v>0</v>
      </c>
      <c r="V523" s="198">
        <f>IF('Trial tariffs'!$H51=0,'Trial tariffs'!W51,'Trial tariffs'!W51*'Trial tariffs'!$H51)*'Trial tariffs'!W120*V$7</f>
        <v>0</v>
      </c>
      <c r="W523" s="198">
        <f>IF('Trial tariffs'!$H51=0,'Trial tariffs'!X51,'Trial tariffs'!X51*'Trial tariffs'!$H51)*'Trial tariffs'!X120*W$7</f>
        <v>0</v>
      </c>
      <c r="X523" s="198">
        <f>IF('Trial tariffs'!$H51=0,'Trial tariffs'!Y51,'Trial tariffs'!Y51*'Trial tariffs'!$H51)*'Trial tariffs'!Y120*X$7</f>
        <v>0</v>
      </c>
      <c r="Y523" s="198">
        <f>IF('Trial tariffs'!$H51=0,'Trial tariffs'!Z51,'Trial tariffs'!Z51*'Trial tariffs'!$H51)*'Trial tariffs'!Z120*Y$7</f>
        <v>0</v>
      </c>
      <c r="Z523" s="198">
        <f>IF('Trial tariffs'!$H51=0,'Trial tariffs'!AA51,'Trial tariffs'!AA51*'Trial tariffs'!$H51)*'Trial tariffs'!AA120*Z$7</f>
        <v>0</v>
      </c>
      <c r="AA523" s="198">
        <f>IF('Trial tariffs'!$H51=0,'Trial tariffs'!AB51,'Trial tariffs'!AB51*'Trial tariffs'!$H51)*'Trial tariffs'!AB120*AA$7</f>
        <v>0</v>
      </c>
      <c r="AB523" s="198">
        <f>IF('Trial tariffs'!$H51=0,'Trial tariffs'!AC51,'Trial tariffs'!AC51*'Trial tariffs'!$H51)*'Trial tariffs'!AC120*AB$7</f>
        <v>0</v>
      </c>
      <c r="AC523" s="206">
        <f t="shared" si="64"/>
        <v>0</v>
      </c>
      <c r="AD523" s="68"/>
      <c r="AE523" s="19"/>
      <c r="AF523" s="19"/>
      <c r="AG523" s="19"/>
      <c r="AH523" s="19"/>
    </row>
    <row r="524" spans="1:34" hidden="1" outlineLevel="2" x14ac:dyDescent="0.2">
      <c r="A524" s="19"/>
      <c r="B524" s="19"/>
      <c r="C524" s="506">
        <f t="shared" si="62"/>
        <v>0</v>
      </c>
      <c r="D524" s="505">
        <f t="shared" si="62"/>
        <v>0</v>
      </c>
      <c r="E524" s="505">
        <f t="shared" si="62"/>
        <v>0</v>
      </c>
      <c r="F524" s="505">
        <f t="shared" si="63"/>
        <v>0</v>
      </c>
      <c r="G524" s="505">
        <f t="shared" si="62"/>
        <v>0</v>
      </c>
      <c r="H524" s="58"/>
      <c r="I524" s="198">
        <f>IF('Trial tariffs'!$H52=0,'Trial tariffs'!J52,'Trial tariffs'!J52*'Trial tariffs'!$H52)*'Trial tariffs'!J121*I$7</f>
        <v>0</v>
      </c>
      <c r="J524" s="198">
        <f>IF('Trial tariffs'!$H52=0,'Trial tariffs'!K52,'Trial tariffs'!K52*'Trial tariffs'!$H52)*'Trial tariffs'!K121*J$7</f>
        <v>0</v>
      </c>
      <c r="K524" s="198">
        <f>IF('Trial tariffs'!$H52=0,'Trial tariffs'!L52,'Trial tariffs'!L52*'Trial tariffs'!$H52)*'Trial tariffs'!L121*K$7</f>
        <v>0</v>
      </c>
      <c r="L524" s="198">
        <f>IF('Trial tariffs'!$H52=0,'Trial tariffs'!M52,'Trial tariffs'!M52*'Trial tariffs'!$H52)*'Trial tariffs'!M121*L$7</f>
        <v>0</v>
      </c>
      <c r="M524" s="198">
        <f>IF('Trial tariffs'!$H52=0,'Trial tariffs'!N52,'Trial tariffs'!N52*'Trial tariffs'!$H52)*'Trial tariffs'!N121*M$7</f>
        <v>0</v>
      </c>
      <c r="N524" s="198">
        <f>IF('Trial tariffs'!$H52=0,'Trial tariffs'!O52,'Trial tariffs'!O52*'Trial tariffs'!$H52)*'Trial tariffs'!O121*N$7</f>
        <v>0</v>
      </c>
      <c r="O524" s="198">
        <f>IF('Trial tariffs'!$H52=0,'Trial tariffs'!P52,'Trial tariffs'!P52*'Trial tariffs'!$H52)*'Trial tariffs'!P121*O$7</f>
        <v>0</v>
      </c>
      <c r="P524" s="198">
        <f>IF('Trial tariffs'!$H52=0,'Trial tariffs'!Q52,'Trial tariffs'!Q52*'Trial tariffs'!$H52)*'Trial tariffs'!Q121*P$7</f>
        <v>0</v>
      </c>
      <c r="Q524" s="198">
        <f>IF('Trial tariffs'!$H52=0,'Trial tariffs'!R52,'Trial tariffs'!R52*'Trial tariffs'!$H52)*'Trial tariffs'!R121*Q$7</f>
        <v>0</v>
      </c>
      <c r="R524" s="198">
        <f>IF('Trial tariffs'!$H52=0,'Trial tariffs'!S52,'Trial tariffs'!S52*'Trial tariffs'!$H52)*'Trial tariffs'!S121*R$7</f>
        <v>0</v>
      </c>
      <c r="S524" s="198">
        <f>IF('Trial tariffs'!$H52=0,'Trial tariffs'!T52,'Trial tariffs'!T52*'Trial tariffs'!$H52)*'Trial tariffs'!T121*S$7</f>
        <v>0</v>
      </c>
      <c r="T524" s="198">
        <f>IF('Trial tariffs'!$H52=0,'Trial tariffs'!U52,'Trial tariffs'!U52*'Trial tariffs'!$H52)*'Trial tariffs'!U121*T$7</f>
        <v>0</v>
      </c>
      <c r="U524" s="198">
        <f>IF('Trial tariffs'!$H52=0,'Trial tariffs'!V52,'Trial tariffs'!V52*'Trial tariffs'!$H52)*'Trial tariffs'!V121*U$7</f>
        <v>0</v>
      </c>
      <c r="V524" s="198">
        <f>IF('Trial tariffs'!$H52=0,'Trial tariffs'!W52,'Trial tariffs'!W52*'Trial tariffs'!$H52)*'Trial tariffs'!W121*V$7</f>
        <v>0</v>
      </c>
      <c r="W524" s="198">
        <f>IF('Trial tariffs'!$H52=0,'Trial tariffs'!X52,'Trial tariffs'!X52*'Trial tariffs'!$H52)*'Trial tariffs'!X121*W$7</f>
        <v>0</v>
      </c>
      <c r="X524" s="198">
        <f>IF('Trial tariffs'!$H52=0,'Trial tariffs'!Y52,'Trial tariffs'!Y52*'Trial tariffs'!$H52)*'Trial tariffs'!Y121*X$7</f>
        <v>0</v>
      </c>
      <c r="Y524" s="198">
        <f>IF('Trial tariffs'!$H52=0,'Trial tariffs'!Z52,'Trial tariffs'!Z52*'Trial tariffs'!$H52)*'Trial tariffs'!Z121*Y$7</f>
        <v>0</v>
      </c>
      <c r="Z524" s="198">
        <f>IF('Trial tariffs'!$H52=0,'Trial tariffs'!AA52,'Trial tariffs'!AA52*'Trial tariffs'!$H52)*'Trial tariffs'!AA121*Z$7</f>
        <v>0</v>
      </c>
      <c r="AA524" s="198">
        <f>IF('Trial tariffs'!$H52=0,'Trial tariffs'!AB52,'Trial tariffs'!AB52*'Trial tariffs'!$H52)*'Trial tariffs'!AB121*AA$7</f>
        <v>0</v>
      </c>
      <c r="AB524" s="198">
        <f>IF('Trial tariffs'!$H52=0,'Trial tariffs'!AC52,'Trial tariffs'!AC52*'Trial tariffs'!$H52)*'Trial tariffs'!AC121*AB$7</f>
        <v>0</v>
      </c>
      <c r="AC524" s="206">
        <f t="shared" si="64"/>
        <v>0</v>
      </c>
      <c r="AD524" s="68"/>
      <c r="AE524" s="19"/>
      <c r="AF524" s="19"/>
      <c r="AG524" s="19"/>
      <c r="AH524" s="19"/>
    </row>
    <row r="525" spans="1:34" hidden="1" outlineLevel="2" x14ac:dyDescent="0.2">
      <c r="A525" s="19"/>
      <c r="B525" s="19"/>
      <c r="C525" s="553" t="s">
        <v>240</v>
      </c>
      <c r="D525" s="554"/>
      <c r="E525" s="505"/>
      <c r="F525" s="505"/>
      <c r="G525" s="505"/>
      <c r="H525" s="58"/>
      <c r="I525" s="205">
        <f t="shared" ref="I525:AC525" si="65">SUM(I505:I524)</f>
        <v>0</v>
      </c>
      <c r="J525" s="205">
        <f t="shared" si="65"/>
        <v>0</v>
      </c>
      <c r="K525" s="205">
        <f t="shared" si="65"/>
        <v>0</v>
      </c>
      <c r="L525" s="205">
        <f t="shared" si="65"/>
        <v>0</v>
      </c>
      <c r="M525" s="205">
        <f t="shared" si="65"/>
        <v>0</v>
      </c>
      <c r="N525" s="205">
        <f t="shared" si="65"/>
        <v>0</v>
      </c>
      <c r="O525" s="205">
        <f t="shared" si="65"/>
        <v>0</v>
      </c>
      <c r="P525" s="205">
        <f t="shared" si="65"/>
        <v>0</v>
      </c>
      <c r="Q525" s="205">
        <f t="shared" si="65"/>
        <v>0</v>
      </c>
      <c r="R525" s="205">
        <f t="shared" si="65"/>
        <v>0</v>
      </c>
      <c r="S525" s="205">
        <f t="shared" si="65"/>
        <v>0</v>
      </c>
      <c r="T525" s="205">
        <f t="shared" si="65"/>
        <v>0</v>
      </c>
      <c r="U525" s="205">
        <f t="shared" si="65"/>
        <v>0</v>
      </c>
      <c r="V525" s="205">
        <f t="shared" si="65"/>
        <v>0</v>
      </c>
      <c r="W525" s="205">
        <f t="shared" si="65"/>
        <v>0</v>
      </c>
      <c r="X525" s="205">
        <f t="shared" si="65"/>
        <v>0</v>
      </c>
      <c r="Y525" s="205">
        <f t="shared" si="65"/>
        <v>0</v>
      </c>
      <c r="Z525" s="205">
        <f t="shared" si="65"/>
        <v>0</v>
      </c>
      <c r="AA525" s="205">
        <f t="shared" si="65"/>
        <v>0</v>
      </c>
      <c r="AB525" s="205">
        <f t="shared" si="65"/>
        <v>0</v>
      </c>
      <c r="AC525" s="205">
        <f t="shared" si="65"/>
        <v>0</v>
      </c>
      <c r="AD525" s="68"/>
      <c r="AE525" s="19"/>
      <c r="AF525" s="19"/>
      <c r="AG525" s="19"/>
      <c r="AH525" s="19"/>
    </row>
    <row r="526" spans="1:34" outlineLevel="1" collapsed="1" x14ac:dyDescent="0.2">
      <c r="A526" s="19"/>
      <c r="B526" s="19"/>
      <c r="C526" s="223"/>
      <c r="D526" s="223"/>
      <c r="E526" s="58"/>
      <c r="F526" s="58"/>
      <c r="G526" s="58"/>
      <c r="H526" s="58"/>
      <c r="I526" s="178"/>
      <c r="J526" s="178"/>
      <c r="K526" s="178"/>
      <c r="L526" s="178"/>
      <c r="M526" s="178"/>
      <c r="N526" s="178"/>
      <c r="O526" s="178"/>
      <c r="P526" s="178"/>
      <c r="Q526" s="178"/>
      <c r="R526" s="178"/>
      <c r="S526" s="178"/>
      <c r="T526" s="178"/>
      <c r="U526" s="178"/>
      <c r="V526" s="178"/>
      <c r="W526" s="178"/>
      <c r="X526" s="178"/>
      <c r="Y526" s="178"/>
      <c r="Z526" s="178"/>
      <c r="AA526" s="178"/>
      <c r="AB526" s="178"/>
      <c r="AC526" s="178"/>
      <c r="AD526" s="68"/>
      <c r="AE526" s="19"/>
      <c r="AF526" s="19"/>
      <c r="AG526" s="19"/>
      <c r="AH526" s="19"/>
    </row>
    <row r="527" spans="1:34" hidden="1" outlineLevel="2" x14ac:dyDescent="0.2">
      <c r="A527" s="19"/>
      <c r="B527" s="19"/>
      <c r="C527" s="167" t="s">
        <v>138</v>
      </c>
      <c r="D527" s="20"/>
      <c r="E527" s="20"/>
      <c r="F527" s="20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19"/>
      <c r="AD527" s="19"/>
      <c r="AE527" s="19"/>
      <c r="AF527" s="19"/>
      <c r="AG527" s="19"/>
      <c r="AH527" s="19"/>
    </row>
    <row r="528" spans="1:34" hidden="1" outlineLevel="2" x14ac:dyDescent="0.2">
      <c r="A528" s="19"/>
      <c r="B528" s="19"/>
      <c r="C528" s="506">
        <f t="shared" ref="C528:G547" si="66">C482</f>
        <v>0</v>
      </c>
      <c r="D528" s="505">
        <f t="shared" si="66"/>
        <v>0</v>
      </c>
      <c r="E528" s="505">
        <f t="shared" si="66"/>
        <v>0</v>
      </c>
      <c r="F528" s="505">
        <f t="shared" ref="F528:F547" si="67">F482</f>
        <v>0</v>
      </c>
      <c r="G528" s="505">
        <f t="shared" si="66"/>
        <v>0</v>
      </c>
      <c r="H528" s="22"/>
      <c r="I528" s="198">
        <f>'Trial tariffs'!J33*'Trial tariffs'!J124*I$7</f>
        <v>0</v>
      </c>
      <c r="J528" s="198">
        <f>'Trial tariffs'!K33*'Trial tariffs'!K124*J$7</f>
        <v>0</v>
      </c>
      <c r="K528" s="198">
        <f>'Trial tariffs'!L33*'Trial tariffs'!L124*K$7</f>
        <v>0</v>
      </c>
      <c r="L528" s="198">
        <f>'Trial tariffs'!M33*'Trial tariffs'!M124*L$7</f>
        <v>0</v>
      </c>
      <c r="M528" s="198">
        <f>'Trial tariffs'!N33*'Trial tariffs'!N124*M$7</f>
        <v>0</v>
      </c>
      <c r="N528" s="198">
        <f>'Trial tariffs'!O33*'Trial tariffs'!O124*N$7</f>
        <v>0</v>
      </c>
      <c r="O528" s="198">
        <f>'Trial tariffs'!P33*'Trial tariffs'!P124*O$7</f>
        <v>0</v>
      </c>
      <c r="P528" s="198">
        <f>'Trial tariffs'!Q33*'Trial tariffs'!Q124*P$7</f>
        <v>0</v>
      </c>
      <c r="Q528" s="198">
        <f>'Trial tariffs'!R33*'Trial tariffs'!R124*Q$7</f>
        <v>0</v>
      </c>
      <c r="R528" s="198">
        <f>'Trial tariffs'!S33*'Trial tariffs'!S124*R$7</f>
        <v>0</v>
      </c>
      <c r="S528" s="198">
        <f>'Trial tariffs'!T33*'Trial tariffs'!T124*S$7</f>
        <v>0</v>
      </c>
      <c r="T528" s="198">
        <f>'Trial tariffs'!U33*'Trial tariffs'!U124*T$7</f>
        <v>0</v>
      </c>
      <c r="U528" s="198">
        <f>'Trial tariffs'!V33*'Trial tariffs'!V124*U$7</f>
        <v>0</v>
      </c>
      <c r="V528" s="198">
        <f>'Trial tariffs'!W33*'Trial tariffs'!W124*V$7</f>
        <v>0</v>
      </c>
      <c r="W528" s="198">
        <f>'Trial tariffs'!X33*'Trial tariffs'!X124*W$7</f>
        <v>0</v>
      </c>
      <c r="X528" s="198">
        <f>'Trial tariffs'!Y33*'Trial tariffs'!Y124*X$7</f>
        <v>0</v>
      </c>
      <c r="Y528" s="198">
        <f>'Trial tariffs'!Z33*'Trial tariffs'!Z124*Y$7</f>
        <v>0</v>
      </c>
      <c r="Z528" s="198">
        <f>'Trial tariffs'!AA33*'Trial tariffs'!AA124*Z$7</f>
        <v>0</v>
      </c>
      <c r="AA528" s="198">
        <f>'Trial tariffs'!AB33*'Trial tariffs'!AB124*AA$7</f>
        <v>0</v>
      </c>
      <c r="AB528" s="198">
        <f>'Trial tariffs'!AC33*'Trial tariffs'!AC124*AB$7</f>
        <v>0</v>
      </c>
      <c r="AC528" s="206">
        <f t="shared" ref="AC528:AC547" si="68">SUM(I528:AB528)</f>
        <v>0</v>
      </c>
      <c r="AD528" s="68"/>
      <c r="AE528" s="19"/>
      <c r="AF528" s="19"/>
      <c r="AG528" s="19"/>
      <c r="AH528" s="19"/>
    </row>
    <row r="529" spans="1:34" s="59" customFormat="1" hidden="1" outlineLevel="2" x14ac:dyDescent="0.2">
      <c r="A529" s="57"/>
      <c r="B529" s="57"/>
      <c r="C529" s="506">
        <f t="shared" si="66"/>
        <v>0</v>
      </c>
      <c r="D529" s="505">
        <f t="shared" si="66"/>
        <v>0</v>
      </c>
      <c r="E529" s="505">
        <f t="shared" si="66"/>
        <v>0</v>
      </c>
      <c r="F529" s="505">
        <f t="shared" si="67"/>
        <v>0</v>
      </c>
      <c r="G529" s="505">
        <f t="shared" si="66"/>
        <v>0</v>
      </c>
      <c r="H529" s="58"/>
      <c r="I529" s="198">
        <f>'Trial tariffs'!J34*'Trial tariffs'!J125*I$7</f>
        <v>0</v>
      </c>
      <c r="J529" s="198">
        <f>'Trial tariffs'!K34*'Trial tariffs'!K125*J$7</f>
        <v>0</v>
      </c>
      <c r="K529" s="198">
        <f>'Trial tariffs'!L34*'Trial tariffs'!L125*K$7</f>
        <v>0</v>
      </c>
      <c r="L529" s="198">
        <f>'Trial tariffs'!M34*'Trial tariffs'!M125*L$7</f>
        <v>0</v>
      </c>
      <c r="M529" s="198">
        <f>'Trial tariffs'!N34*'Trial tariffs'!N125*M$7</f>
        <v>0</v>
      </c>
      <c r="N529" s="198">
        <f>'Trial tariffs'!O34*'Trial tariffs'!O125*N$7</f>
        <v>0</v>
      </c>
      <c r="O529" s="198">
        <f>'Trial tariffs'!P34*'Trial tariffs'!P125*O$7</f>
        <v>0</v>
      </c>
      <c r="P529" s="198">
        <f>'Trial tariffs'!Q34*'Trial tariffs'!Q125*P$7</f>
        <v>0</v>
      </c>
      <c r="Q529" s="198">
        <f>'Trial tariffs'!R34*'Trial tariffs'!R125*Q$7</f>
        <v>0</v>
      </c>
      <c r="R529" s="198">
        <f>'Trial tariffs'!S34*'Trial tariffs'!S125*R$7</f>
        <v>0</v>
      </c>
      <c r="S529" s="198">
        <f>'Trial tariffs'!T34*'Trial tariffs'!T125*S$7</f>
        <v>0</v>
      </c>
      <c r="T529" s="198">
        <f>'Trial tariffs'!U34*'Trial tariffs'!U125*T$7</f>
        <v>0</v>
      </c>
      <c r="U529" s="198">
        <f>'Trial tariffs'!V34*'Trial tariffs'!V125*U$7</f>
        <v>0</v>
      </c>
      <c r="V529" s="198">
        <f>'Trial tariffs'!W34*'Trial tariffs'!W125*V$7</f>
        <v>0</v>
      </c>
      <c r="W529" s="198">
        <f>'Trial tariffs'!X34*'Trial tariffs'!X125*W$7</f>
        <v>0</v>
      </c>
      <c r="X529" s="198">
        <f>'Trial tariffs'!Y34*'Trial tariffs'!Y125*X$7</f>
        <v>0</v>
      </c>
      <c r="Y529" s="198">
        <f>'Trial tariffs'!Z34*'Trial tariffs'!Z125*Y$7</f>
        <v>0</v>
      </c>
      <c r="Z529" s="198">
        <f>'Trial tariffs'!AA34*'Trial tariffs'!AA125*Z$7</f>
        <v>0</v>
      </c>
      <c r="AA529" s="198">
        <f>'Trial tariffs'!AB34*'Trial tariffs'!AB125*AA$7</f>
        <v>0</v>
      </c>
      <c r="AB529" s="198">
        <f>'Trial tariffs'!AC34*'Trial tariffs'!AC125*AB$7</f>
        <v>0</v>
      </c>
      <c r="AC529" s="206">
        <f t="shared" si="68"/>
        <v>0</v>
      </c>
      <c r="AD529" s="68"/>
      <c r="AE529" s="57"/>
      <c r="AF529" s="57"/>
      <c r="AG529" s="57"/>
      <c r="AH529" s="57"/>
    </row>
    <row r="530" spans="1:34" hidden="1" outlineLevel="2" x14ac:dyDescent="0.2">
      <c r="A530" s="19"/>
      <c r="B530" s="19"/>
      <c r="C530" s="506">
        <f t="shared" si="66"/>
        <v>0</v>
      </c>
      <c r="D530" s="505">
        <f t="shared" si="66"/>
        <v>0</v>
      </c>
      <c r="E530" s="505">
        <f t="shared" si="66"/>
        <v>0</v>
      </c>
      <c r="F530" s="505">
        <f t="shared" si="67"/>
        <v>0</v>
      </c>
      <c r="G530" s="505">
        <f t="shared" si="66"/>
        <v>0</v>
      </c>
      <c r="H530" s="58"/>
      <c r="I530" s="198">
        <f>'Trial tariffs'!J35*'Trial tariffs'!J126*I$7</f>
        <v>0</v>
      </c>
      <c r="J530" s="198">
        <f>'Trial tariffs'!K35*'Trial tariffs'!K126*J$7</f>
        <v>0</v>
      </c>
      <c r="K530" s="198">
        <f>'Trial tariffs'!L35*'Trial tariffs'!L126*K$7</f>
        <v>0</v>
      </c>
      <c r="L530" s="198">
        <f>'Trial tariffs'!M35*'Trial tariffs'!M126*L$7</f>
        <v>0</v>
      </c>
      <c r="M530" s="198">
        <f>'Trial tariffs'!N35*'Trial tariffs'!N126*M$7</f>
        <v>0</v>
      </c>
      <c r="N530" s="198">
        <f>'Trial tariffs'!O35*'Trial tariffs'!O126*N$7</f>
        <v>0</v>
      </c>
      <c r="O530" s="198">
        <f>'Trial tariffs'!P35*'Trial tariffs'!P126*O$7</f>
        <v>0</v>
      </c>
      <c r="P530" s="198">
        <f>'Trial tariffs'!Q35*'Trial tariffs'!Q126*P$7</f>
        <v>0</v>
      </c>
      <c r="Q530" s="198">
        <f>'Trial tariffs'!R35*'Trial tariffs'!R126*Q$7</f>
        <v>0</v>
      </c>
      <c r="R530" s="198">
        <f>'Trial tariffs'!S35*'Trial tariffs'!S126*R$7</f>
        <v>0</v>
      </c>
      <c r="S530" s="198">
        <f>'Trial tariffs'!T35*'Trial tariffs'!T126*S$7</f>
        <v>0</v>
      </c>
      <c r="T530" s="198">
        <f>'Trial tariffs'!U35*'Trial tariffs'!U126*T$7</f>
        <v>0</v>
      </c>
      <c r="U530" s="198">
        <f>'Trial tariffs'!V35*'Trial tariffs'!V126*U$7</f>
        <v>0</v>
      </c>
      <c r="V530" s="198">
        <f>'Trial tariffs'!W35*'Trial tariffs'!W126*V$7</f>
        <v>0</v>
      </c>
      <c r="W530" s="198">
        <f>'Trial tariffs'!X35*'Trial tariffs'!X126*W$7</f>
        <v>0</v>
      </c>
      <c r="X530" s="198">
        <f>'Trial tariffs'!Y35*'Trial tariffs'!Y126*X$7</f>
        <v>0</v>
      </c>
      <c r="Y530" s="198">
        <f>'Trial tariffs'!Z35*'Trial tariffs'!Z126*Y$7</f>
        <v>0</v>
      </c>
      <c r="Z530" s="198">
        <f>'Trial tariffs'!AA35*'Trial tariffs'!AA126*Z$7</f>
        <v>0</v>
      </c>
      <c r="AA530" s="198">
        <f>'Trial tariffs'!AB35*'Trial tariffs'!AB126*AA$7</f>
        <v>0</v>
      </c>
      <c r="AB530" s="198">
        <f>'Trial tariffs'!AC35*'Trial tariffs'!AC126*AB$7</f>
        <v>0</v>
      </c>
      <c r="AC530" s="206">
        <f t="shared" si="68"/>
        <v>0</v>
      </c>
      <c r="AD530" s="68"/>
      <c r="AE530" s="19"/>
      <c r="AF530" s="19"/>
      <c r="AG530" s="19"/>
      <c r="AH530" s="19"/>
    </row>
    <row r="531" spans="1:34" hidden="1" outlineLevel="2" x14ac:dyDescent="0.2">
      <c r="A531" s="19"/>
      <c r="B531" s="19"/>
      <c r="C531" s="506">
        <f t="shared" si="66"/>
        <v>0</v>
      </c>
      <c r="D531" s="505">
        <f t="shared" si="66"/>
        <v>0</v>
      </c>
      <c r="E531" s="505">
        <f t="shared" si="66"/>
        <v>0</v>
      </c>
      <c r="F531" s="505">
        <f t="shared" si="67"/>
        <v>0</v>
      </c>
      <c r="G531" s="505">
        <f t="shared" si="66"/>
        <v>0</v>
      </c>
      <c r="H531" s="58"/>
      <c r="I531" s="198">
        <f>'Trial tariffs'!J36*'Trial tariffs'!J127*I$7</f>
        <v>0</v>
      </c>
      <c r="J531" s="198">
        <f>'Trial tariffs'!K36*'Trial tariffs'!K127*J$7</f>
        <v>0</v>
      </c>
      <c r="K531" s="198">
        <f>'Trial tariffs'!L36*'Trial tariffs'!L127*K$7</f>
        <v>0</v>
      </c>
      <c r="L531" s="198">
        <f>'Trial tariffs'!M36*'Trial tariffs'!M127*L$7</f>
        <v>0</v>
      </c>
      <c r="M531" s="198">
        <f>'Trial tariffs'!N36*'Trial tariffs'!N127*M$7</f>
        <v>0</v>
      </c>
      <c r="N531" s="198">
        <f>'Trial tariffs'!O36*'Trial tariffs'!O127*N$7</f>
        <v>0</v>
      </c>
      <c r="O531" s="198">
        <f>'Trial tariffs'!P36*'Trial tariffs'!P127*O$7</f>
        <v>0</v>
      </c>
      <c r="P531" s="198">
        <f>'Trial tariffs'!Q36*'Trial tariffs'!Q127*P$7</f>
        <v>0</v>
      </c>
      <c r="Q531" s="198">
        <f>'Trial tariffs'!R36*'Trial tariffs'!R127*Q$7</f>
        <v>0</v>
      </c>
      <c r="R531" s="198">
        <f>'Trial tariffs'!S36*'Trial tariffs'!S127*R$7</f>
        <v>0</v>
      </c>
      <c r="S531" s="198">
        <f>'Trial tariffs'!T36*'Trial tariffs'!T127*S$7</f>
        <v>0</v>
      </c>
      <c r="T531" s="198">
        <f>'Trial tariffs'!U36*'Trial tariffs'!U127*T$7</f>
        <v>0</v>
      </c>
      <c r="U531" s="198">
        <f>'Trial tariffs'!V36*'Trial tariffs'!V127*U$7</f>
        <v>0</v>
      </c>
      <c r="V531" s="198">
        <f>'Trial tariffs'!W36*'Trial tariffs'!W127*V$7</f>
        <v>0</v>
      </c>
      <c r="W531" s="198">
        <f>'Trial tariffs'!X36*'Trial tariffs'!X127*W$7</f>
        <v>0</v>
      </c>
      <c r="X531" s="198">
        <f>'Trial tariffs'!Y36*'Trial tariffs'!Y127*X$7</f>
        <v>0</v>
      </c>
      <c r="Y531" s="198">
        <f>'Trial tariffs'!Z36*'Trial tariffs'!Z127*Y$7</f>
        <v>0</v>
      </c>
      <c r="Z531" s="198">
        <f>'Trial tariffs'!AA36*'Trial tariffs'!AA127*Z$7</f>
        <v>0</v>
      </c>
      <c r="AA531" s="198">
        <f>'Trial tariffs'!AB36*'Trial tariffs'!AB127*AA$7</f>
        <v>0</v>
      </c>
      <c r="AB531" s="198">
        <f>'Trial tariffs'!AC36*'Trial tariffs'!AC127*AB$7</f>
        <v>0</v>
      </c>
      <c r="AC531" s="206">
        <f t="shared" si="68"/>
        <v>0</v>
      </c>
      <c r="AD531" s="68"/>
      <c r="AE531" s="19"/>
      <c r="AF531" s="19"/>
      <c r="AG531" s="19"/>
      <c r="AH531" s="19"/>
    </row>
    <row r="532" spans="1:34" hidden="1" outlineLevel="2" x14ac:dyDescent="0.2">
      <c r="A532" s="19"/>
      <c r="B532" s="19"/>
      <c r="C532" s="506">
        <f t="shared" si="66"/>
        <v>0</v>
      </c>
      <c r="D532" s="505">
        <f t="shared" si="66"/>
        <v>0</v>
      </c>
      <c r="E532" s="505">
        <f t="shared" si="66"/>
        <v>0</v>
      </c>
      <c r="F532" s="505">
        <f t="shared" si="67"/>
        <v>0</v>
      </c>
      <c r="G532" s="505">
        <f t="shared" si="66"/>
        <v>0</v>
      </c>
      <c r="H532" s="58"/>
      <c r="I532" s="198">
        <f>'Trial tariffs'!J37*'Trial tariffs'!J128*I$7</f>
        <v>0</v>
      </c>
      <c r="J532" s="198">
        <f>'Trial tariffs'!K37*'Trial tariffs'!K128*J$7</f>
        <v>0</v>
      </c>
      <c r="K532" s="198">
        <f>'Trial tariffs'!L37*'Trial tariffs'!L128*K$7</f>
        <v>0</v>
      </c>
      <c r="L532" s="198">
        <f>'Trial tariffs'!M37*'Trial tariffs'!M128*L$7</f>
        <v>0</v>
      </c>
      <c r="M532" s="198">
        <f>'Trial tariffs'!N37*'Trial tariffs'!N128*M$7</f>
        <v>0</v>
      </c>
      <c r="N532" s="198">
        <f>'Trial tariffs'!O37*'Trial tariffs'!O128*N$7</f>
        <v>0</v>
      </c>
      <c r="O532" s="198">
        <f>'Trial tariffs'!P37*'Trial tariffs'!P128*O$7</f>
        <v>0</v>
      </c>
      <c r="P532" s="198">
        <f>'Trial tariffs'!Q37*'Trial tariffs'!Q128*P$7</f>
        <v>0</v>
      </c>
      <c r="Q532" s="198">
        <f>'Trial tariffs'!R37*'Trial tariffs'!R128*Q$7</f>
        <v>0</v>
      </c>
      <c r="R532" s="198">
        <f>'Trial tariffs'!S37*'Trial tariffs'!S128*R$7</f>
        <v>0</v>
      </c>
      <c r="S532" s="198">
        <f>'Trial tariffs'!T37*'Trial tariffs'!T128*S$7</f>
        <v>0</v>
      </c>
      <c r="T532" s="198">
        <f>'Trial tariffs'!U37*'Trial tariffs'!U128*T$7</f>
        <v>0</v>
      </c>
      <c r="U532" s="198">
        <f>'Trial tariffs'!V37*'Trial tariffs'!V128*U$7</f>
        <v>0</v>
      </c>
      <c r="V532" s="198">
        <f>'Trial tariffs'!W37*'Trial tariffs'!W128*V$7</f>
        <v>0</v>
      </c>
      <c r="W532" s="198">
        <f>'Trial tariffs'!X37*'Trial tariffs'!X128*W$7</f>
        <v>0</v>
      </c>
      <c r="X532" s="198">
        <f>'Trial tariffs'!Y37*'Trial tariffs'!Y128*X$7</f>
        <v>0</v>
      </c>
      <c r="Y532" s="198">
        <f>'Trial tariffs'!Z37*'Trial tariffs'!Z128*Y$7</f>
        <v>0</v>
      </c>
      <c r="Z532" s="198">
        <f>'Trial tariffs'!AA37*'Trial tariffs'!AA128*Z$7</f>
        <v>0</v>
      </c>
      <c r="AA532" s="198">
        <f>'Trial tariffs'!AB37*'Trial tariffs'!AB128*AA$7</f>
        <v>0</v>
      </c>
      <c r="AB532" s="198">
        <f>'Trial tariffs'!AC37*'Trial tariffs'!AC128*AB$7</f>
        <v>0</v>
      </c>
      <c r="AC532" s="206">
        <f t="shared" si="68"/>
        <v>0</v>
      </c>
      <c r="AD532" s="68"/>
      <c r="AE532" s="19"/>
      <c r="AF532" s="19"/>
      <c r="AG532" s="19"/>
      <c r="AH532" s="19"/>
    </row>
    <row r="533" spans="1:34" hidden="1" outlineLevel="2" x14ac:dyDescent="0.2">
      <c r="A533" s="19"/>
      <c r="B533" s="19"/>
      <c r="C533" s="506">
        <f t="shared" si="66"/>
        <v>0</v>
      </c>
      <c r="D533" s="505">
        <f t="shared" si="66"/>
        <v>0</v>
      </c>
      <c r="E533" s="505">
        <f t="shared" si="66"/>
        <v>0</v>
      </c>
      <c r="F533" s="505">
        <f t="shared" si="67"/>
        <v>0</v>
      </c>
      <c r="G533" s="505">
        <f t="shared" si="66"/>
        <v>0</v>
      </c>
      <c r="H533" s="58"/>
      <c r="I533" s="198">
        <f>'Trial tariffs'!J38*'Trial tariffs'!J129*I$7</f>
        <v>0</v>
      </c>
      <c r="J533" s="198">
        <f>'Trial tariffs'!K38*'Trial tariffs'!K129*J$7</f>
        <v>0</v>
      </c>
      <c r="K533" s="198">
        <f>'Trial tariffs'!L38*'Trial tariffs'!L129*K$7</f>
        <v>0</v>
      </c>
      <c r="L533" s="198">
        <f>'Trial tariffs'!M38*'Trial tariffs'!M129*L$7</f>
        <v>0</v>
      </c>
      <c r="M533" s="198">
        <f>'Trial tariffs'!N38*'Trial tariffs'!N129*M$7</f>
        <v>0</v>
      </c>
      <c r="N533" s="198">
        <f>'Trial tariffs'!O38*'Trial tariffs'!O129*N$7</f>
        <v>0</v>
      </c>
      <c r="O533" s="198">
        <f>'Trial tariffs'!P38*'Trial tariffs'!P129*O$7</f>
        <v>0</v>
      </c>
      <c r="P533" s="198">
        <f>'Trial tariffs'!Q38*'Trial tariffs'!Q129*P$7</f>
        <v>0</v>
      </c>
      <c r="Q533" s="198">
        <f>'Trial tariffs'!R38*'Trial tariffs'!R129*Q$7</f>
        <v>0</v>
      </c>
      <c r="R533" s="198">
        <f>'Trial tariffs'!S38*'Trial tariffs'!S129*R$7</f>
        <v>0</v>
      </c>
      <c r="S533" s="198">
        <f>'Trial tariffs'!T38*'Trial tariffs'!T129*S$7</f>
        <v>0</v>
      </c>
      <c r="T533" s="198">
        <f>'Trial tariffs'!U38*'Trial tariffs'!U129*T$7</f>
        <v>0</v>
      </c>
      <c r="U533" s="198">
        <f>'Trial tariffs'!V38*'Trial tariffs'!V129*U$7</f>
        <v>0</v>
      </c>
      <c r="V533" s="198">
        <f>'Trial tariffs'!W38*'Trial tariffs'!W129*V$7</f>
        <v>0</v>
      </c>
      <c r="W533" s="198">
        <f>'Trial tariffs'!X38*'Trial tariffs'!X129*W$7</f>
        <v>0</v>
      </c>
      <c r="X533" s="198">
        <f>'Trial tariffs'!Y38*'Trial tariffs'!Y129*X$7</f>
        <v>0</v>
      </c>
      <c r="Y533" s="198">
        <f>'Trial tariffs'!Z38*'Trial tariffs'!Z129*Y$7</f>
        <v>0</v>
      </c>
      <c r="Z533" s="198">
        <f>'Trial tariffs'!AA38*'Trial tariffs'!AA129*Z$7</f>
        <v>0</v>
      </c>
      <c r="AA533" s="198">
        <f>'Trial tariffs'!AB38*'Trial tariffs'!AB129*AA$7</f>
        <v>0</v>
      </c>
      <c r="AB533" s="198">
        <f>'Trial tariffs'!AC38*'Trial tariffs'!AC129*AB$7</f>
        <v>0</v>
      </c>
      <c r="AC533" s="206">
        <f t="shared" si="68"/>
        <v>0</v>
      </c>
      <c r="AD533" s="68"/>
      <c r="AE533" s="19"/>
      <c r="AF533" s="19"/>
      <c r="AG533" s="19"/>
      <c r="AH533" s="19"/>
    </row>
    <row r="534" spans="1:34" hidden="1" outlineLevel="2" x14ac:dyDescent="0.2">
      <c r="A534" s="19"/>
      <c r="B534" s="19"/>
      <c r="C534" s="506">
        <f t="shared" si="66"/>
        <v>0</v>
      </c>
      <c r="D534" s="505">
        <f t="shared" si="66"/>
        <v>0</v>
      </c>
      <c r="E534" s="505">
        <f t="shared" si="66"/>
        <v>0</v>
      </c>
      <c r="F534" s="505">
        <f t="shared" si="67"/>
        <v>0</v>
      </c>
      <c r="G534" s="505">
        <f t="shared" si="66"/>
        <v>0</v>
      </c>
      <c r="H534" s="58"/>
      <c r="I534" s="198">
        <f>'Trial tariffs'!J39*'Trial tariffs'!J130*I$7</f>
        <v>0</v>
      </c>
      <c r="J534" s="198">
        <f>'Trial tariffs'!K39*'Trial tariffs'!K130*J$7</f>
        <v>0</v>
      </c>
      <c r="K534" s="198">
        <f>'Trial tariffs'!L39*'Trial tariffs'!L130*K$7</f>
        <v>0</v>
      </c>
      <c r="L534" s="198">
        <f>'Trial tariffs'!M39*'Trial tariffs'!M130*L$7</f>
        <v>0</v>
      </c>
      <c r="M534" s="198">
        <f>'Trial tariffs'!N39*'Trial tariffs'!N130*M$7</f>
        <v>0</v>
      </c>
      <c r="N534" s="198">
        <f>'Trial tariffs'!O39*'Trial tariffs'!O130*N$7</f>
        <v>0</v>
      </c>
      <c r="O534" s="198">
        <f>'Trial tariffs'!P39*'Trial tariffs'!P130*O$7</f>
        <v>0</v>
      </c>
      <c r="P534" s="198">
        <f>'Trial tariffs'!Q39*'Trial tariffs'!Q130*P$7</f>
        <v>0</v>
      </c>
      <c r="Q534" s="198">
        <f>'Trial tariffs'!R39*'Trial tariffs'!R130*Q$7</f>
        <v>0</v>
      </c>
      <c r="R534" s="198">
        <f>'Trial tariffs'!S39*'Trial tariffs'!S130*R$7</f>
        <v>0</v>
      </c>
      <c r="S534" s="198">
        <f>'Trial tariffs'!T39*'Trial tariffs'!T130*S$7</f>
        <v>0</v>
      </c>
      <c r="T534" s="198">
        <f>'Trial tariffs'!U39*'Trial tariffs'!U130*T$7</f>
        <v>0</v>
      </c>
      <c r="U534" s="198">
        <f>'Trial tariffs'!V39*'Trial tariffs'!V130*U$7</f>
        <v>0</v>
      </c>
      <c r="V534" s="198">
        <f>'Trial tariffs'!W39*'Trial tariffs'!W130*V$7</f>
        <v>0</v>
      </c>
      <c r="W534" s="198">
        <f>'Trial tariffs'!X39*'Trial tariffs'!X130*W$7</f>
        <v>0</v>
      </c>
      <c r="X534" s="198">
        <f>'Trial tariffs'!Y39*'Trial tariffs'!Y130*X$7</f>
        <v>0</v>
      </c>
      <c r="Y534" s="198">
        <f>'Trial tariffs'!Z39*'Trial tariffs'!Z130*Y$7</f>
        <v>0</v>
      </c>
      <c r="Z534" s="198">
        <f>'Trial tariffs'!AA39*'Trial tariffs'!AA130*Z$7</f>
        <v>0</v>
      </c>
      <c r="AA534" s="198">
        <f>'Trial tariffs'!AB39*'Trial tariffs'!AB130*AA$7</f>
        <v>0</v>
      </c>
      <c r="AB534" s="198">
        <f>'Trial tariffs'!AC39*'Trial tariffs'!AC130*AB$7</f>
        <v>0</v>
      </c>
      <c r="AC534" s="206">
        <f t="shared" si="68"/>
        <v>0</v>
      </c>
      <c r="AD534" s="68"/>
      <c r="AE534" s="19"/>
      <c r="AF534" s="19"/>
      <c r="AG534" s="19"/>
      <c r="AH534" s="19"/>
    </row>
    <row r="535" spans="1:34" hidden="1" outlineLevel="2" x14ac:dyDescent="0.2">
      <c r="A535" s="19"/>
      <c r="B535" s="19"/>
      <c r="C535" s="506">
        <f t="shared" si="66"/>
        <v>0</v>
      </c>
      <c r="D535" s="505">
        <f t="shared" si="66"/>
        <v>0</v>
      </c>
      <c r="E535" s="505">
        <f t="shared" si="66"/>
        <v>0</v>
      </c>
      <c r="F535" s="505">
        <f t="shared" si="67"/>
        <v>0</v>
      </c>
      <c r="G535" s="505">
        <f t="shared" si="66"/>
        <v>0</v>
      </c>
      <c r="H535" s="58"/>
      <c r="I535" s="198">
        <f>'Trial tariffs'!J40*'Trial tariffs'!J131*I$7</f>
        <v>0</v>
      </c>
      <c r="J535" s="198">
        <f>'Trial tariffs'!K40*'Trial tariffs'!K131*J$7</f>
        <v>0</v>
      </c>
      <c r="K535" s="198">
        <f>'Trial tariffs'!L40*'Trial tariffs'!L131*K$7</f>
        <v>0</v>
      </c>
      <c r="L535" s="198">
        <f>'Trial tariffs'!M40*'Trial tariffs'!M131*L$7</f>
        <v>0</v>
      </c>
      <c r="M535" s="198">
        <f>'Trial tariffs'!N40*'Trial tariffs'!N131*M$7</f>
        <v>0</v>
      </c>
      <c r="N535" s="198">
        <f>'Trial tariffs'!O40*'Trial tariffs'!O131*N$7</f>
        <v>0</v>
      </c>
      <c r="O535" s="198">
        <f>'Trial tariffs'!P40*'Trial tariffs'!P131*O$7</f>
        <v>0</v>
      </c>
      <c r="P535" s="198">
        <f>'Trial tariffs'!Q40*'Trial tariffs'!Q131*P$7</f>
        <v>0</v>
      </c>
      <c r="Q535" s="198">
        <f>'Trial tariffs'!R40*'Trial tariffs'!R131*Q$7</f>
        <v>0</v>
      </c>
      <c r="R535" s="198">
        <f>'Trial tariffs'!S40*'Trial tariffs'!S131*R$7</f>
        <v>0</v>
      </c>
      <c r="S535" s="198">
        <f>'Trial tariffs'!T40*'Trial tariffs'!T131*S$7</f>
        <v>0</v>
      </c>
      <c r="T535" s="198">
        <f>'Trial tariffs'!U40*'Trial tariffs'!U131*T$7</f>
        <v>0</v>
      </c>
      <c r="U535" s="198">
        <f>'Trial tariffs'!V40*'Trial tariffs'!V131*U$7</f>
        <v>0</v>
      </c>
      <c r="V535" s="198">
        <f>'Trial tariffs'!W40*'Trial tariffs'!W131*V$7</f>
        <v>0</v>
      </c>
      <c r="W535" s="198">
        <f>'Trial tariffs'!X40*'Trial tariffs'!X131*W$7</f>
        <v>0</v>
      </c>
      <c r="X535" s="198">
        <f>'Trial tariffs'!Y40*'Trial tariffs'!Y131*X$7</f>
        <v>0</v>
      </c>
      <c r="Y535" s="198">
        <f>'Trial tariffs'!Z40*'Trial tariffs'!Z131*Y$7</f>
        <v>0</v>
      </c>
      <c r="Z535" s="198">
        <f>'Trial tariffs'!AA40*'Trial tariffs'!AA131*Z$7</f>
        <v>0</v>
      </c>
      <c r="AA535" s="198">
        <f>'Trial tariffs'!AB40*'Trial tariffs'!AB131*AA$7</f>
        <v>0</v>
      </c>
      <c r="AB535" s="198">
        <f>'Trial tariffs'!AC40*'Trial tariffs'!AC131*AB$7</f>
        <v>0</v>
      </c>
      <c r="AC535" s="206">
        <f t="shared" si="68"/>
        <v>0</v>
      </c>
      <c r="AD535" s="68"/>
      <c r="AE535" s="19"/>
      <c r="AF535" s="19"/>
      <c r="AG535" s="19"/>
      <c r="AH535" s="19"/>
    </row>
    <row r="536" spans="1:34" hidden="1" outlineLevel="2" x14ac:dyDescent="0.2">
      <c r="A536" s="19"/>
      <c r="B536" s="19"/>
      <c r="C536" s="506">
        <f t="shared" si="66"/>
        <v>0</v>
      </c>
      <c r="D536" s="505">
        <f t="shared" si="66"/>
        <v>0</v>
      </c>
      <c r="E536" s="505">
        <f t="shared" si="66"/>
        <v>0</v>
      </c>
      <c r="F536" s="505">
        <f t="shared" si="67"/>
        <v>0</v>
      </c>
      <c r="G536" s="505">
        <f t="shared" si="66"/>
        <v>0</v>
      </c>
      <c r="H536" s="58"/>
      <c r="I536" s="198">
        <f>'Trial tariffs'!J41*'Trial tariffs'!J132*I$7</f>
        <v>0</v>
      </c>
      <c r="J536" s="198">
        <f>'Trial tariffs'!K41*'Trial tariffs'!K132*J$7</f>
        <v>0</v>
      </c>
      <c r="K536" s="198">
        <f>'Trial tariffs'!L41*'Trial tariffs'!L132*K$7</f>
        <v>0</v>
      </c>
      <c r="L536" s="198">
        <f>'Trial tariffs'!M41*'Trial tariffs'!M132*L$7</f>
        <v>0</v>
      </c>
      <c r="M536" s="198">
        <f>'Trial tariffs'!N41*'Trial tariffs'!N132*M$7</f>
        <v>0</v>
      </c>
      <c r="N536" s="198">
        <f>'Trial tariffs'!O41*'Trial tariffs'!O132*N$7</f>
        <v>0</v>
      </c>
      <c r="O536" s="198">
        <f>'Trial tariffs'!P41*'Trial tariffs'!P132*O$7</f>
        <v>0</v>
      </c>
      <c r="P536" s="198">
        <f>'Trial tariffs'!Q41*'Trial tariffs'!Q132*P$7</f>
        <v>0</v>
      </c>
      <c r="Q536" s="198">
        <f>'Trial tariffs'!R41*'Trial tariffs'!R132*Q$7</f>
        <v>0</v>
      </c>
      <c r="R536" s="198">
        <f>'Trial tariffs'!S41*'Trial tariffs'!S132*R$7</f>
        <v>0</v>
      </c>
      <c r="S536" s="198">
        <f>'Trial tariffs'!T41*'Trial tariffs'!T132*S$7</f>
        <v>0</v>
      </c>
      <c r="T536" s="198">
        <f>'Trial tariffs'!U41*'Trial tariffs'!U132*T$7</f>
        <v>0</v>
      </c>
      <c r="U536" s="198">
        <f>'Trial tariffs'!V41*'Trial tariffs'!V132*U$7</f>
        <v>0</v>
      </c>
      <c r="V536" s="198">
        <f>'Trial tariffs'!W41*'Trial tariffs'!W132*V$7</f>
        <v>0</v>
      </c>
      <c r="W536" s="198">
        <f>'Trial tariffs'!X41*'Trial tariffs'!X132*W$7</f>
        <v>0</v>
      </c>
      <c r="X536" s="198">
        <f>'Trial tariffs'!Y41*'Trial tariffs'!Y132*X$7</f>
        <v>0</v>
      </c>
      <c r="Y536" s="198">
        <f>'Trial tariffs'!Z41*'Trial tariffs'!Z132*Y$7</f>
        <v>0</v>
      </c>
      <c r="Z536" s="198">
        <f>'Trial tariffs'!AA41*'Trial tariffs'!AA132*Z$7</f>
        <v>0</v>
      </c>
      <c r="AA536" s="198">
        <f>'Trial tariffs'!AB41*'Trial tariffs'!AB132*AA$7</f>
        <v>0</v>
      </c>
      <c r="AB536" s="198">
        <f>'Trial tariffs'!AC41*'Trial tariffs'!AC132*AB$7</f>
        <v>0</v>
      </c>
      <c r="AC536" s="206">
        <f t="shared" si="68"/>
        <v>0</v>
      </c>
      <c r="AD536" s="68"/>
      <c r="AE536" s="19"/>
      <c r="AF536" s="19"/>
      <c r="AG536" s="19"/>
      <c r="AH536" s="19"/>
    </row>
    <row r="537" spans="1:34" hidden="1" outlineLevel="2" x14ac:dyDescent="0.2">
      <c r="A537" s="19"/>
      <c r="B537" s="19"/>
      <c r="C537" s="506">
        <f t="shared" si="66"/>
        <v>0</v>
      </c>
      <c r="D537" s="505">
        <f t="shared" si="66"/>
        <v>0</v>
      </c>
      <c r="E537" s="505">
        <f t="shared" si="66"/>
        <v>0</v>
      </c>
      <c r="F537" s="505">
        <f t="shared" si="67"/>
        <v>0</v>
      </c>
      <c r="G537" s="505">
        <f t="shared" si="66"/>
        <v>0</v>
      </c>
      <c r="H537" s="58"/>
      <c r="I537" s="198">
        <f>'Trial tariffs'!J42*'Trial tariffs'!J133*I$7</f>
        <v>0</v>
      </c>
      <c r="J537" s="198">
        <f>'Trial tariffs'!K42*'Trial tariffs'!K133*J$7</f>
        <v>0</v>
      </c>
      <c r="K537" s="198">
        <f>'Trial tariffs'!L42*'Trial tariffs'!L133*K$7</f>
        <v>0</v>
      </c>
      <c r="L537" s="198">
        <f>'Trial tariffs'!M42*'Trial tariffs'!M133*L$7</f>
        <v>0</v>
      </c>
      <c r="M537" s="198">
        <f>'Trial tariffs'!N42*'Trial tariffs'!N133*M$7</f>
        <v>0</v>
      </c>
      <c r="N537" s="198">
        <f>'Trial tariffs'!O42*'Trial tariffs'!O133*N$7</f>
        <v>0</v>
      </c>
      <c r="O537" s="198">
        <f>'Trial tariffs'!P42*'Trial tariffs'!P133*O$7</f>
        <v>0</v>
      </c>
      <c r="P537" s="198">
        <f>'Trial tariffs'!Q42*'Trial tariffs'!Q133*P$7</f>
        <v>0</v>
      </c>
      <c r="Q537" s="198">
        <f>'Trial tariffs'!R42*'Trial tariffs'!R133*Q$7</f>
        <v>0</v>
      </c>
      <c r="R537" s="198">
        <f>'Trial tariffs'!S42*'Trial tariffs'!S133*R$7</f>
        <v>0</v>
      </c>
      <c r="S537" s="198">
        <f>'Trial tariffs'!T42*'Trial tariffs'!T133*S$7</f>
        <v>0</v>
      </c>
      <c r="T537" s="198">
        <f>'Trial tariffs'!U42*'Trial tariffs'!U133*T$7</f>
        <v>0</v>
      </c>
      <c r="U537" s="198">
        <f>'Trial tariffs'!V42*'Trial tariffs'!V133*U$7</f>
        <v>0</v>
      </c>
      <c r="V537" s="198">
        <f>'Trial tariffs'!W42*'Trial tariffs'!W133*V$7</f>
        <v>0</v>
      </c>
      <c r="W537" s="198">
        <f>'Trial tariffs'!X42*'Trial tariffs'!X133*W$7</f>
        <v>0</v>
      </c>
      <c r="X537" s="198">
        <f>'Trial tariffs'!Y42*'Trial tariffs'!Y133*X$7</f>
        <v>0</v>
      </c>
      <c r="Y537" s="198">
        <f>'Trial tariffs'!Z42*'Trial tariffs'!Z133*Y$7</f>
        <v>0</v>
      </c>
      <c r="Z537" s="198">
        <f>'Trial tariffs'!AA42*'Trial tariffs'!AA133*Z$7</f>
        <v>0</v>
      </c>
      <c r="AA537" s="198">
        <f>'Trial tariffs'!AB42*'Trial tariffs'!AB133*AA$7</f>
        <v>0</v>
      </c>
      <c r="AB537" s="198">
        <f>'Trial tariffs'!AC42*'Trial tariffs'!AC133*AB$7</f>
        <v>0</v>
      </c>
      <c r="AC537" s="206">
        <f t="shared" si="68"/>
        <v>0</v>
      </c>
      <c r="AD537" s="68"/>
      <c r="AE537" s="19"/>
      <c r="AF537" s="19"/>
      <c r="AG537" s="19"/>
      <c r="AH537" s="19"/>
    </row>
    <row r="538" spans="1:34" hidden="1" outlineLevel="2" x14ac:dyDescent="0.2">
      <c r="A538" s="19"/>
      <c r="B538" s="19"/>
      <c r="C538" s="506">
        <f t="shared" si="66"/>
        <v>0</v>
      </c>
      <c r="D538" s="505">
        <f t="shared" si="66"/>
        <v>0</v>
      </c>
      <c r="E538" s="505">
        <f t="shared" si="66"/>
        <v>0</v>
      </c>
      <c r="F538" s="505">
        <f t="shared" si="67"/>
        <v>0</v>
      </c>
      <c r="G538" s="505">
        <f t="shared" si="66"/>
        <v>0</v>
      </c>
      <c r="H538" s="58"/>
      <c r="I538" s="198">
        <f>'Trial tariffs'!J43*'Trial tariffs'!J134*I$7</f>
        <v>0</v>
      </c>
      <c r="J538" s="198">
        <f>'Trial tariffs'!K43*'Trial tariffs'!K134*J$7</f>
        <v>0</v>
      </c>
      <c r="K538" s="198">
        <f>'Trial tariffs'!L43*'Trial tariffs'!L134*K$7</f>
        <v>0</v>
      </c>
      <c r="L538" s="198">
        <f>'Trial tariffs'!M43*'Trial tariffs'!M134*L$7</f>
        <v>0</v>
      </c>
      <c r="M538" s="198">
        <f>'Trial tariffs'!N43*'Trial tariffs'!N134*M$7</f>
        <v>0</v>
      </c>
      <c r="N538" s="198">
        <f>'Trial tariffs'!O43*'Trial tariffs'!O134*N$7</f>
        <v>0</v>
      </c>
      <c r="O538" s="198">
        <f>'Trial tariffs'!P43*'Trial tariffs'!P134*O$7</f>
        <v>0</v>
      </c>
      <c r="P538" s="198">
        <f>'Trial tariffs'!Q43*'Trial tariffs'!Q134*P$7</f>
        <v>0</v>
      </c>
      <c r="Q538" s="198">
        <f>'Trial tariffs'!R43*'Trial tariffs'!R134*Q$7</f>
        <v>0</v>
      </c>
      <c r="R538" s="198">
        <f>'Trial tariffs'!S43*'Trial tariffs'!S134*R$7</f>
        <v>0</v>
      </c>
      <c r="S538" s="198">
        <f>'Trial tariffs'!T43*'Trial tariffs'!T134*S$7</f>
        <v>0</v>
      </c>
      <c r="T538" s="198">
        <f>'Trial tariffs'!U43*'Trial tariffs'!U134*T$7</f>
        <v>0</v>
      </c>
      <c r="U538" s="198">
        <f>'Trial tariffs'!V43*'Trial tariffs'!V134*U$7</f>
        <v>0</v>
      </c>
      <c r="V538" s="198">
        <f>'Trial tariffs'!W43*'Trial tariffs'!W134*V$7</f>
        <v>0</v>
      </c>
      <c r="W538" s="198">
        <f>'Trial tariffs'!X43*'Trial tariffs'!X134*W$7</f>
        <v>0</v>
      </c>
      <c r="X538" s="198">
        <f>'Trial tariffs'!Y43*'Trial tariffs'!Y134*X$7</f>
        <v>0</v>
      </c>
      <c r="Y538" s="198">
        <f>'Trial tariffs'!Z43*'Trial tariffs'!Z134*Y$7</f>
        <v>0</v>
      </c>
      <c r="Z538" s="198">
        <f>'Trial tariffs'!AA43*'Trial tariffs'!AA134*Z$7</f>
        <v>0</v>
      </c>
      <c r="AA538" s="198">
        <f>'Trial tariffs'!AB43*'Trial tariffs'!AB134*AA$7</f>
        <v>0</v>
      </c>
      <c r="AB538" s="198">
        <f>'Trial tariffs'!AC43*'Trial tariffs'!AC134*AB$7</f>
        <v>0</v>
      </c>
      <c r="AC538" s="206">
        <f t="shared" si="68"/>
        <v>0</v>
      </c>
      <c r="AD538" s="68"/>
      <c r="AE538" s="19"/>
      <c r="AF538" s="19"/>
      <c r="AG538" s="19"/>
      <c r="AH538" s="19"/>
    </row>
    <row r="539" spans="1:34" hidden="1" outlineLevel="2" x14ac:dyDescent="0.2">
      <c r="A539" s="19"/>
      <c r="B539" s="19"/>
      <c r="C539" s="506">
        <f t="shared" si="66"/>
        <v>0</v>
      </c>
      <c r="D539" s="505">
        <f t="shared" si="66"/>
        <v>0</v>
      </c>
      <c r="E539" s="505">
        <f t="shared" si="66"/>
        <v>0</v>
      </c>
      <c r="F539" s="505">
        <f t="shared" si="67"/>
        <v>0</v>
      </c>
      <c r="G539" s="505">
        <f t="shared" si="66"/>
        <v>0</v>
      </c>
      <c r="H539" s="58"/>
      <c r="I539" s="198">
        <f>'Trial tariffs'!J44*'Trial tariffs'!J135*I$7</f>
        <v>0</v>
      </c>
      <c r="J539" s="198">
        <f>'Trial tariffs'!K44*'Trial tariffs'!K135*J$7</f>
        <v>0</v>
      </c>
      <c r="K539" s="198">
        <f>'Trial tariffs'!L44*'Trial tariffs'!L135*K$7</f>
        <v>0</v>
      </c>
      <c r="L539" s="198">
        <f>'Trial tariffs'!M44*'Trial tariffs'!M135*L$7</f>
        <v>0</v>
      </c>
      <c r="M539" s="198">
        <f>'Trial tariffs'!N44*'Trial tariffs'!N135*M$7</f>
        <v>0</v>
      </c>
      <c r="N539" s="198">
        <f>'Trial tariffs'!O44*'Trial tariffs'!O135*N$7</f>
        <v>0</v>
      </c>
      <c r="O539" s="198">
        <f>'Trial tariffs'!P44*'Trial tariffs'!P135*O$7</f>
        <v>0</v>
      </c>
      <c r="P539" s="198">
        <f>'Trial tariffs'!Q44*'Trial tariffs'!Q135*P$7</f>
        <v>0</v>
      </c>
      <c r="Q539" s="198">
        <f>'Trial tariffs'!R44*'Trial tariffs'!R135*Q$7</f>
        <v>0</v>
      </c>
      <c r="R539" s="198">
        <f>'Trial tariffs'!S44*'Trial tariffs'!S135*R$7</f>
        <v>0</v>
      </c>
      <c r="S539" s="198">
        <f>'Trial tariffs'!T44*'Trial tariffs'!T135*S$7</f>
        <v>0</v>
      </c>
      <c r="T539" s="198">
        <f>'Trial tariffs'!U44*'Trial tariffs'!U135*T$7</f>
        <v>0</v>
      </c>
      <c r="U539" s="198">
        <f>'Trial tariffs'!V44*'Trial tariffs'!V135*U$7</f>
        <v>0</v>
      </c>
      <c r="V539" s="198">
        <f>'Trial tariffs'!W44*'Trial tariffs'!W135*V$7</f>
        <v>0</v>
      </c>
      <c r="W539" s="198">
        <f>'Trial tariffs'!X44*'Trial tariffs'!X135*W$7</f>
        <v>0</v>
      </c>
      <c r="X539" s="198">
        <f>'Trial tariffs'!Y44*'Trial tariffs'!Y135*X$7</f>
        <v>0</v>
      </c>
      <c r="Y539" s="198">
        <f>'Trial tariffs'!Z44*'Trial tariffs'!Z135*Y$7</f>
        <v>0</v>
      </c>
      <c r="Z539" s="198">
        <f>'Trial tariffs'!AA44*'Trial tariffs'!AA135*Z$7</f>
        <v>0</v>
      </c>
      <c r="AA539" s="198">
        <f>'Trial tariffs'!AB44*'Trial tariffs'!AB135*AA$7</f>
        <v>0</v>
      </c>
      <c r="AB539" s="198">
        <f>'Trial tariffs'!AC44*'Trial tariffs'!AC135*AB$7</f>
        <v>0</v>
      </c>
      <c r="AC539" s="206">
        <f t="shared" si="68"/>
        <v>0</v>
      </c>
      <c r="AD539" s="68"/>
      <c r="AE539" s="19"/>
      <c r="AF539" s="19"/>
      <c r="AG539" s="19"/>
      <c r="AH539" s="19"/>
    </row>
    <row r="540" spans="1:34" hidden="1" outlineLevel="2" x14ac:dyDescent="0.2">
      <c r="A540" s="19"/>
      <c r="B540" s="19"/>
      <c r="C540" s="506">
        <f t="shared" si="66"/>
        <v>0</v>
      </c>
      <c r="D540" s="505">
        <f t="shared" si="66"/>
        <v>0</v>
      </c>
      <c r="E540" s="505">
        <f t="shared" si="66"/>
        <v>0</v>
      </c>
      <c r="F540" s="505">
        <f t="shared" si="67"/>
        <v>0</v>
      </c>
      <c r="G540" s="505">
        <f t="shared" si="66"/>
        <v>0</v>
      </c>
      <c r="H540" s="58"/>
      <c r="I540" s="198">
        <f>'Trial tariffs'!J45*'Trial tariffs'!J136*I$7</f>
        <v>0</v>
      </c>
      <c r="J540" s="198">
        <f>'Trial tariffs'!K45*'Trial tariffs'!K136*J$7</f>
        <v>0</v>
      </c>
      <c r="K540" s="198">
        <f>'Trial tariffs'!L45*'Trial tariffs'!L136*K$7</f>
        <v>0</v>
      </c>
      <c r="L540" s="198">
        <f>'Trial tariffs'!M45*'Trial tariffs'!M136*L$7</f>
        <v>0</v>
      </c>
      <c r="M540" s="198">
        <f>'Trial tariffs'!N45*'Trial tariffs'!N136*M$7</f>
        <v>0</v>
      </c>
      <c r="N540" s="198">
        <f>'Trial tariffs'!O45*'Trial tariffs'!O136*N$7</f>
        <v>0</v>
      </c>
      <c r="O540" s="198">
        <f>'Trial tariffs'!P45*'Trial tariffs'!P136*O$7</f>
        <v>0</v>
      </c>
      <c r="P540" s="198">
        <f>'Trial tariffs'!Q45*'Trial tariffs'!Q136*P$7</f>
        <v>0</v>
      </c>
      <c r="Q540" s="198">
        <f>'Trial tariffs'!R45*'Trial tariffs'!R136*Q$7</f>
        <v>0</v>
      </c>
      <c r="R540" s="198">
        <f>'Trial tariffs'!S45*'Trial tariffs'!S136*R$7</f>
        <v>0</v>
      </c>
      <c r="S540" s="198">
        <f>'Trial tariffs'!T45*'Trial tariffs'!T136*S$7</f>
        <v>0</v>
      </c>
      <c r="T540" s="198">
        <f>'Trial tariffs'!U45*'Trial tariffs'!U136*T$7</f>
        <v>0</v>
      </c>
      <c r="U540" s="198">
        <f>'Trial tariffs'!V45*'Trial tariffs'!V136*U$7</f>
        <v>0</v>
      </c>
      <c r="V540" s="198">
        <f>'Trial tariffs'!W45*'Trial tariffs'!W136*V$7</f>
        <v>0</v>
      </c>
      <c r="W540" s="198">
        <f>'Trial tariffs'!X45*'Trial tariffs'!X136*W$7</f>
        <v>0</v>
      </c>
      <c r="X540" s="198">
        <f>'Trial tariffs'!Y45*'Trial tariffs'!Y136*X$7</f>
        <v>0</v>
      </c>
      <c r="Y540" s="198">
        <f>'Trial tariffs'!Z45*'Trial tariffs'!Z136*Y$7</f>
        <v>0</v>
      </c>
      <c r="Z540" s="198">
        <f>'Trial tariffs'!AA45*'Trial tariffs'!AA136*Z$7</f>
        <v>0</v>
      </c>
      <c r="AA540" s="198">
        <f>'Trial tariffs'!AB45*'Trial tariffs'!AB136*AA$7</f>
        <v>0</v>
      </c>
      <c r="AB540" s="198">
        <f>'Trial tariffs'!AC45*'Trial tariffs'!AC136*AB$7</f>
        <v>0</v>
      </c>
      <c r="AC540" s="206">
        <f t="shared" si="68"/>
        <v>0</v>
      </c>
      <c r="AD540" s="68"/>
      <c r="AE540" s="19"/>
      <c r="AF540" s="19"/>
      <c r="AG540" s="19"/>
      <c r="AH540" s="19"/>
    </row>
    <row r="541" spans="1:34" hidden="1" outlineLevel="2" x14ac:dyDescent="0.2">
      <c r="A541" s="19"/>
      <c r="B541" s="19"/>
      <c r="C541" s="506">
        <f t="shared" si="66"/>
        <v>0</v>
      </c>
      <c r="D541" s="505">
        <f t="shared" si="66"/>
        <v>0</v>
      </c>
      <c r="E541" s="505">
        <f t="shared" si="66"/>
        <v>0</v>
      </c>
      <c r="F541" s="505">
        <f t="shared" si="67"/>
        <v>0</v>
      </c>
      <c r="G541" s="505">
        <f t="shared" si="66"/>
        <v>0</v>
      </c>
      <c r="H541" s="58"/>
      <c r="I541" s="198">
        <f>'Trial tariffs'!J46*'Trial tariffs'!J137*I$7</f>
        <v>0</v>
      </c>
      <c r="J541" s="198">
        <f>'Trial tariffs'!K46*'Trial tariffs'!K137*J$7</f>
        <v>0</v>
      </c>
      <c r="K541" s="198">
        <f>'Trial tariffs'!L46*'Trial tariffs'!L137*K$7</f>
        <v>0</v>
      </c>
      <c r="L541" s="198">
        <f>'Trial tariffs'!M46*'Trial tariffs'!M137*L$7</f>
        <v>0</v>
      </c>
      <c r="M541" s="198">
        <f>'Trial tariffs'!N46*'Trial tariffs'!N137*M$7</f>
        <v>0</v>
      </c>
      <c r="N541" s="198">
        <f>'Trial tariffs'!O46*'Trial tariffs'!O137*N$7</f>
        <v>0</v>
      </c>
      <c r="O541" s="198">
        <f>'Trial tariffs'!P46*'Trial tariffs'!P137*O$7</f>
        <v>0</v>
      </c>
      <c r="P541" s="198">
        <f>'Trial tariffs'!Q46*'Trial tariffs'!Q137*P$7</f>
        <v>0</v>
      </c>
      <c r="Q541" s="198">
        <f>'Trial tariffs'!R46*'Trial tariffs'!R137*Q$7</f>
        <v>0</v>
      </c>
      <c r="R541" s="198">
        <f>'Trial tariffs'!S46*'Trial tariffs'!S137*R$7</f>
        <v>0</v>
      </c>
      <c r="S541" s="198">
        <f>'Trial tariffs'!T46*'Trial tariffs'!T137*S$7</f>
        <v>0</v>
      </c>
      <c r="T541" s="198">
        <f>'Trial tariffs'!U46*'Trial tariffs'!U137*T$7</f>
        <v>0</v>
      </c>
      <c r="U541" s="198">
        <f>'Trial tariffs'!V46*'Trial tariffs'!V137*U$7</f>
        <v>0</v>
      </c>
      <c r="V541" s="198">
        <f>'Trial tariffs'!W46*'Trial tariffs'!W137*V$7</f>
        <v>0</v>
      </c>
      <c r="W541" s="198">
        <f>'Trial tariffs'!X46*'Trial tariffs'!X137*W$7</f>
        <v>0</v>
      </c>
      <c r="X541" s="198">
        <f>'Trial tariffs'!Y46*'Trial tariffs'!Y137*X$7</f>
        <v>0</v>
      </c>
      <c r="Y541" s="198">
        <f>'Trial tariffs'!Z46*'Trial tariffs'!Z137*Y$7</f>
        <v>0</v>
      </c>
      <c r="Z541" s="198">
        <f>'Trial tariffs'!AA46*'Trial tariffs'!AA137*Z$7</f>
        <v>0</v>
      </c>
      <c r="AA541" s="198">
        <f>'Trial tariffs'!AB46*'Trial tariffs'!AB137*AA$7</f>
        <v>0</v>
      </c>
      <c r="AB541" s="198">
        <f>'Trial tariffs'!AC46*'Trial tariffs'!AC137*AB$7</f>
        <v>0</v>
      </c>
      <c r="AC541" s="206">
        <f t="shared" si="68"/>
        <v>0</v>
      </c>
      <c r="AD541" s="68"/>
      <c r="AE541" s="19"/>
      <c r="AF541" s="19"/>
      <c r="AG541" s="19"/>
      <c r="AH541" s="19"/>
    </row>
    <row r="542" spans="1:34" hidden="1" outlineLevel="2" x14ac:dyDescent="0.2">
      <c r="A542" s="19"/>
      <c r="B542" s="19"/>
      <c r="C542" s="506">
        <f t="shared" si="66"/>
        <v>0</v>
      </c>
      <c r="D542" s="505">
        <f t="shared" si="66"/>
        <v>0</v>
      </c>
      <c r="E542" s="505">
        <f t="shared" si="66"/>
        <v>0</v>
      </c>
      <c r="F542" s="505">
        <f t="shared" si="67"/>
        <v>0</v>
      </c>
      <c r="G542" s="505">
        <f t="shared" si="66"/>
        <v>0</v>
      </c>
      <c r="H542" s="58"/>
      <c r="I542" s="198">
        <f>'Trial tariffs'!J47*'Trial tariffs'!J138*I$7</f>
        <v>0</v>
      </c>
      <c r="J542" s="198">
        <f>'Trial tariffs'!K47*'Trial tariffs'!K138*J$7</f>
        <v>0</v>
      </c>
      <c r="K542" s="198">
        <f>'Trial tariffs'!L47*'Trial tariffs'!L138*K$7</f>
        <v>0</v>
      </c>
      <c r="L542" s="198">
        <f>'Trial tariffs'!M47*'Trial tariffs'!M138*L$7</f>
        <v>0</v>
      </c>
      <c r="M542" s="198">
        <f>'Trial tariffs'!N47*'Trial tariffs'!N138*M$7</f>
        <v>0</v>
      </c>
      <c r="N542" s="198">
        <f>'Trial tariffs'!O47*'Trial tariffs'!O138*N$7</f>
        <v>0</v>
      </c>
      <c r="O542" s="198">
        <f>'Trial tariffs'!P47*'Trial tariffs'!P138*O$7</f>
        <v>0</v>
      </c>
      <c r="P542" s="198">
        <f>'Trial tariffs'!Q47*'Trial tariffs'!Q138*P$7</f>
        <v>0</v>
      </c>
      <c r="Q542" s="198">
        <f>'Trial tariffs'!R47*'Trial tariffs'!R138*Q$7</f>
        <v>0</v>
      </c>
      <c r="R542" s="198">
        <f>'Trial tariffs'!S47*'Trial tariffs'!S138*R$7</f>
        <v>0</v>
      </c>
      <c r="S542" s="198">
        <f>'Trial tariffs'!T47*'Trial tariffs'!T138*S$7</f>
        <v>0</v>
      </c>
      <c r="T542" s="198">
        <f>'Trial tariffs'!U47*'Trial tariffs'!U138*T$7</f>
        <v>0</v>
      </c>
      <c r="U542" s="198">
        <f>'Trial tariffs'!V47*'Trial tariffs'!V138*U$7</f>
        <v>0</v>
      </c>
      <c r="V542" s="198">
        <f>'Trial tariffs'!W47*'Trial tariffs'!W138*V$7</f>
        <v>0</v>
      </c>
      <c r="W542" s="198">
        <f>'Trial tariffs'!X47*'Trial tariffs'!X138*W$7</f>
        <v>0</v>
      </c>
      <c r="X542" s="198">
        <f>'Trial tariffs'!Y47*'Trial tariffs'!Y138*X$7</f>
        <v>0</v>
      </c>
      <c r="Y542" s="198">
        <f>'Trial tariffs'!Z47*'Trial tariffs'!Z138*Y$7</f>
        <v>0</v>
      </c>
      <c r="Z542" s="198">
        <f>'Trial tariffs'!AA47*'Trial tariffs'!AA138*Z$7</f>
        <v>0</v>
      </c>
      <c r="AA542" s="198">
        <f>'Trial tariffs'!AB47*'Trial tariffs'!AB138*AA$7</f>
        <v>0</v>
      </c>
      <c r="AB542" s="198">
        <f>'Trial tariffs'!AC47*'Trial tariffs'!AC138*AB$7</f>
        <v>0</v>
      </c>
      <c r="AC542" s="206">
        <f t="shared" si="68"/>
        <v>0</v>
      </c>
      <c r="AD542" s="68"/>
      <c r="AE542" s="19"/>
      <c r="AF542" s="19"/>
      <c r="AG542" s="19"/>
      <c r="AH542" s="19"/>
    </row>
    <row r="543" spans="1:34" hidden="1" outlineLevel="2" x14ac:dyDescent="0.2">
      <c r="A543" s="19"/>
      <c r="B543" s="19"/>
      <c r="C543" s="506">
        <f t="shared" si="66"/>
        <v>0</v>
      </c>
      <c r="D543" s="505">
        <f t="shared" si="66"/>
        <v>0</v>
      </c>
      <c r="E543" s="505">
        <f t="shared" si="66"/>
        <v>0</v>
      </c>
      <c r="F543" s="505">
        <f t="shared" si="67"/>
        <v>0</v>
      </c>
      <c r="G543" s="505">
        <f t="shared" si="66"/>
        <v>0</v>
      </c>
      <c r="H543" s="58"/>
      <c r="I543" s="198">
        <f>'Trial tariffs'!J48*'Trial tariffs'!J139*I$7</f>
        <v>0</v>
      </c>
      <c r="J543" s="198">
        <f>'Trial tariffs'!K48*'Trial tariffs'!K139*J$7</f>
        <v>0</v>
      </c>
      <c r="K543" s="198">
        <f>'Trial tariffs'!L48*'Trial tariffs'!L139*K$7</f>
        <v>0</v>
      </c>
      <c r="L543" s="198">
        <f>'Trial tariffs'!M48*'Trial tariffs'!M139*L$7</f>
        <v>0</v>
      </c>
      <c r="M543" s="198">
        <f>'Trial tariffs'!N48*'Trial tariffs'!N139*M$7</f>
        <v>0</v>
      </c>
      <c r="N543" s="198">
        <f>'Trial tariffs'!O48*'Trial tariffs'!O139*N$7</f>
        <v>0</v>
      </c>
      <c r="O543" s="198">
        <f>'Trial tariffs'!P48*'Trial tariffs'!P139*O$7</f>
        <v>0</v>
      </c>
      <c r="P543" s="198">
        <f>'Trial tariffs'!Q48*'Trial tariffs'!Q139*P$7</f>
        <v>0</v>
      </c>
      <c r="Q543" s="198">
        <f>'Trial tariffs'!R48*'Trial tariffs'!R139*Q$7</f>
        <v>0</v>
      </c>
      <c r="R543" s="198">
        <f>'Trial tariffs'!S48*'Trial tariffs'!S139*R$7</f>
        <v>0</v>
      </c>
      <c r="S543" s="198">
        <f>'Trial tariffs'!T48*'Trial tariffs'!T139*S$7</f>
        <v>0</v>
      </c>
      <c r="T543" s="198">
        <f>'Trial tariffs'!U48*'Trial tariffs'!U139*T$7</f>
        <v>0</v>
      </c>
      <c r="U543" s="198">
        <f>'Trial tariffs'!V48*'Trial tariffs'!V139*U$7</f>
        <v>0</v>
      </c>
      <c r="V543" s="198">
        <f>'Trial tariffs'!W48*'Trial tariffs'!W139*V$7</f>
        <v>0</v>
      </c>
      <c r="W543" s="198">
        <f>'Trial tariffs'!X48*'Trial tariffs'!X139*W$7</f>
        <v>0</v>
      </c>
      <c r="X543" s="198">
        <f>'Trial tariffs'!Y48*'Trial tariffs'!Y139*X$7</f>
        <v>0</v>
      </c>
      <c r="Y543" s="198">
        <f>'Trial tariffs'!Z48*'Trial tariffs'!Z139*Y$7</f>
        <v>0</v>
      </c>
      <c r="Z543" s="198">
        <f>'Trial tariffs'!AA48*'Trial tariffs'!AA139*Z$7</f>
        <v>0</v>
      </c>
      <c r="AA543" s="198">
        <f>'Trial tariffs'!AB48*'Trial tariffs'!AB139*AA$7</f>
        <v>0</v>
      </c>
      <c r="AB543" s="198">
        <f>'Trial tariffs'!AC48*'Trial tariffs'!AC139*AB$7</f>
        <v>0</v>
      </c>
      <c r="AC543" s="206">
        <f t="shared" si="68"/>
        <v>0</v>
      </c>
      <c r="AD543" s="68"/>
      <c r="AE543" s="19"/>
      <c r="AF543" s="19"/>
      <c r="AG543" s="19"/>
      <c r="AH543" s="19"/>
    </row>
    <row r="544" spans="1:34" hidden="1" outlineLevel="2" x14ac:dyDescent="0.2">
      <c r="A544" s="19"/>
      <c r="B544" s="19"/>
      <c r="C544" s="506">
        <f t="shared" si="66"/>
        <v>0</v>
      </c>
      <c r="D544" s="505">
        <f t="shared" si="66"/>
        <v>0</v>
      </c>
      <c r="E544" s="505">
        <f t="shared" si="66"/>
        <v>0</v>
      </c>
      <c r="F544" s="505">
        <f t="shared" si="67"/>
        <v>0</v>
      </c>
      <c r="G544" s="505">
        <f t="shared" si="66"/>
        <v>0</v>
      </c>
      <c r="H544" s="58"/>
      <c r="I544" s="198">
        <f>'Trial tariffs'!J49*'Trial tariffs'!J140*I$7</f>
        <v>0</v>
      </c>
      <c r="J544" s="198">
        <f>'Trial tariffs'!K49*'Trial tariffs'!K140*J$7</f>
        <v>0</v>
      </c>
      <c r="K544" s="198">
        <f>'Trial tariffs'!L49*'Trial tariffs'!L140*K$7</f>
        <v>0</v>
      </c>
      <c r="L544" s="198">
        <f>'Trial tariffs'!M49*'Trial tariffs'!M140*L$7</f>
        <v>0</v>
      </c>
      <c r="M544" s="198">
        <f>'Trial tariffs'!N49*'Trial tariffs'!N140*M$7</f>
        <v>0</v>
      </c>
      <c r="N544" s="198">
        <f>'Trial tariffs'!O49*'Trial tariffs'!O140*N$7</f>
        <v>0</v>
      </c>
      <c r="O544" s="198">
        <f>'Trial tariffs'!P49*'Trial tariffs'!P140*O$7</f>
        <v>0</v>
      </c>
      <c r="P544" s="198">
        <f>'Trial tariffs'!Q49*'Trial tariffs'!Q140*P$7</f>
        <v>0</v>
      </c>
      <c r="Q544" s="198">
        <f>'Trial tariffs'!R49*'Trial tariffs'!R140*Q$7</f>
        <v>0</v>
      </c>
      <c r="R544" s="198">
        <f>'Trial tariffs'!S49*'Trial tariffs'!S140*R$7</f>
        <v>0</v>
      </c>
      <c r="S544" s="198">
        <f>'Trial tariffs'!T49*'Trial tariffs'!T140*S$7</f>
        <v>0</v>
      </c>
      <c r="T544" s="198">
        <f>'Trial tariffs'!U49*'Trial tariffs'!U140*T$7</f>
        <v>0</v>
      </c>
      <c r="U544" s="198">
        <f>'Trial tariffs'!V49*'Trial tariffs'!V140*U$7</f>
        <v>0</v>
      </c>
      <c r="V544" s="198">
        <f>'Trial tariffs'!W49*'Trial tariffs'!W140*V$7</f>
        <v>0</v>
      </c>
      <c r="W544" s="198">
        <f>'Trial tariffs'!X49*'Trial tariffs'!X140*W$7</f>
        <v>0</v>
      </c>
      <c r="X544" s="198">
        <f>'Trial tariffs'!Y49*'Trial tariffs'!Y140*X$7</f>
        <v>0</v>
      </c>
      <c r="Y544" s="198">
        <f>'Trial tariffs'!Z49*'Trial tariffs'!Z140*Y$7</f>
        <v>0</v>
      </c>
      <c r="Z544" s="198">
        <f>'Trial tariffs'!AA49*'Trial tariffs'!AA140*Z$7</f>
        <v>0</v>
      </c>
      <c r="AA544" s="198">
        <f>'Trial tariffs'!AB49*'Trial tariffs'!AB140*AA$7</f>
        <v>0</v>
      </c>
      <c r="AB544" s="198">
        <f>'Trial tariffs'!AC49*'Trial tariffs'!AC140*AB$7</f>
        <v>0</v>
      </c>
      <c r="AC544" s="206">
        <f t="shared" si="68"/>
        <v>0</v>
      </c>
      <c r="AD544" s="68"/>
      <c r="AE544" s="19"/>
      <c r="AF544" s="19"/>
      <c r="AG544" s="19"/>
      <c r="AH544" s="19"/>
    </row>
    <row r="545" spans="1:34" hidden="1" outlineLevel="2" x14ac:dyDescent="0.2">
      <c r="A545" s="19"/>
      <c r="B545" s="19"/>
      <c r="C545" s="506">
        <f t="shared" si="66"/>
        <v>0</v>
      </c>
      <c r="D545" s="505">
        <f t="shared" si="66"/>
        <v>0</v>
      </c>
      <c r="E545" s="505">
        <f t="shared" si="66"/>
        <v>0</v>
      </c>
      <c r="F545" s="505">
        <f t="shared" si="67"/>
        <v>0</v>
      </c>
      <c r="G545" s="505">
        <f t="shared" si="66"/>
        <v>0</v>
      </c>
      <c r="H545" s="58"/>
      <c r="I545" s="198">
        <f>'Trial tariffs'!J50*'Trial tariffs'!J141*I$7</f>
        <v>0</v>
      </c>
      <c r="J545" s="198">
        <f>'Trial tariffs'!K50*'Trial tariffs'!K141*J$7</f>
        <v>0</v>
      </c>
      <c r="K545" s="198">
        <f>'Trial tariffs'!L50*'Trial tariffs'!L141*K$7</f>
        <v>0</v>
      </c>
      <c r="L545" s="198">
        <f>'Trial tariffs'!M50*'Trial tariffs'!M141*L$7</f>
        <v>0</v>
      </c>
      <c r="M545" s="198">
        <f>'Trial tariffs'!N50*'Trial tariffs'!N141*M$7</f>
        <v>0</v>
      </c>
      <c r="N545" s="198">
        <f>'Trial tariffs'!O50*'Trial tariffs'!O141*N$7</f>
        <v>0</v>
      </c>
      <c r="O545" s="198">
        <f>'Trial tariffs'!P50*'Trial tariffs'!P141*O$7</f>
        <v>0</v>
      </c>
      <c r="P545" s="198">
        <f>'Trial tariffs'!Q50*'Trial tariffs'!Q141*P$7</f>
        <v>0</v>
      </c>
      <c r="Q545" s="198">
        <f>'Trial tariffs'!R50*'Trial tariffs'!R141*Q$7</f>
        <v>0</v>
      </c>
      <c r="R545" s="198">
        <f>'Trial tariffs'!S50*'Trial tariffs'!S141*R$7</f>
        <v>0</v>
      </c>
      <c r="S545" s="198">
        <f>'Trial tariffs'!T50*'Trial tariffs'!T141*S$7</f>
        <v>0</v>
      </c>
      <c r="T545" s="198">
        <f>'Trial tariffs'!U50*'Trial tariffs'!U141*T$7</f>
        <v>0</v>
      </c>
      <c r="U545" s="198">
        <f>'Trial tariffs'!V50*'Trial tariffs'!V141*U$7</f>
        <v>0</v>
      </c>
      <c r="V545" s="198">
        <f>'Trial tariffs'!W50*'Trial tariffs'!W141*V$7</f>
        <v>0</v>
      </c>
      <c r="W545" s="198">
        <f>'Trial tariffs'!X50*'Trial tariffs'!X141*W$7</f>
        <v>0</v>
      </c>
      <c r="X545" s="198">
        <f>'Trial tariffs'!Y50*'Trial tariffs'!Y141*X$7</f>
        <v>0</v>
      </c>
      <c r="Y545" s="198">
        <f>'Trial tariffs'!Z50*'Trial tariffs'!Z141*Y$7</f>
        <v>0</v>
      </c>
      <c r="Z545" s="198">
        <f>'Trial tariffs'!AA50*'Trial tariffs'!AA141*Z$7</f>
        <v>0</v>
      </c>
      <c r="AA545" s="198">
        <f>'Trial tariffs'!AB50*'Trial tariffs'!AB141*AA$7</f>
        <v>0</v>
      </c>
      <c r="AB545" s="198">
        <f>'Trial tariffs'!AC50*'Trial tariffs'!AC141*AB$7</f>
        <v>0</v>
      </c>
      <c r="AC545" s="206">
        <f t="shared" si="68"/>
        <v>0</v>
      </c>
      <c r="AD545" s="68"/>
      <c r="AE545" s="19"/>
      <c r="AF545" s="19"/>
      <c r="AG545" s="19"/>
      <c r="AH545" s="19"/>
    </row>
    <row r="546" spans="1:34" hidden="1" outlineLevel="2" x14ac:dyDescent="0.2">
      <c r="A546" s="19"/>
      <c r="B546" s="19"/>
      <c r="C546" s="506">
        <f t="shared" si="66"/>
        <v>0</v>
      </c>
      <c r="D546" s="505">
        <f t="shared" si="66"/>
        <v>0</v>
      </c>
      <c r="E546" s="505">
        <f t="shared" si="66"/>
        <v>0</v>
      </c>
      <c r="F546" s="505">
        <f t="shared" si="67"/>
        <v>0</v>
      </c>
      <c r="G546" s="505">
        <f t="shared" si="66"/>
        <v>0</v>
      </c>
      <c r="H546" s="58"/>
      <c r="I546" s="198">
        <f>'Trial tariffs'!J51*'Trial tariffs'!J142*I$7</f>
        <v>0</v>
      </c>
      <c r="J546" s="198">
        <f>'Trial tariffs'!K51*'Trial tariffs'!K142*J$7</f>
        <v>0</v>
      </c>
      <c r="K546" s="198">
        <f>'Trial tariffs'!L51*'Trial tariffs'!L142*K$7</f>
        <v>0</v>
      </c>
      <c r="L546" s="198">
        <f>'Trial tariffs'!M51*'Trial tariffs'!M142*L$7</f>
        <v>0</v>
      </c>
      <c r="M546" s="198">
        <f>'Trial tariffs'!N51*'Trial tariffs'!N142*M$7</f>
        <v>0</v>
      </c>
      <c r="N546" s="198">
        <f>'Trial tariffs'!O51*'Trial tariffs'!O142*N$7</f>
        <v>0</v>
      </c>
      <c r="O546" s="198">
        <f>'Trial tariffs'!P51*'Trial tariffs'!P142*O$7</f>
        <v>0</v>
      </c>
      <c r="P546" s="198">
        <f>'Trial tariffs'!Q51*'Trial tariffs'!Q142*P$7</f>
        <v>0</v>
      </c>
      <c r="Q546" s="198">
        <f>'Trial tariffs'!R51*'Trial tariffs'!R142*Q$7</f>
        <v>0</v>
      </c>
      <c r="R546" s="198">
        <f>'Trial tariffs'!S51*'Trial tariffs'!S142*R$7</f>
        <v>0</v>
      </c>
      <c r="S546" s="198">
        <f>'Trial tariffs'!T51*'Trial tariffs'!T142*S$7</f>
        <v>0</v>
      </c>
      <c r="T546" s="198">
        <f>'Trial tariffs'!U51*'Trial tariffs'!U142*T$7</f>
        <v>0</v>
      </c>
      <c r="U546" s="198">
        <f>'Trial tariffs'!V51*'Trial tariffs'!V142*U$7</f>
        <v>0</v>
      </c>
      <c r="V546" s="198">
        <f>'Trial tariffs'!W51*'Trial tariffs'!W142*V$7</f>
        <v>0</v>
      </c>
      <c r="W546" s="198">
        <f>'Trial tariffs'!X51*'Trial tariffs'!X142*W$7</f>
        <v>0</v>
      </c>
      <c r="X546" s="198">
        <f>'Trial tariffs'!Y51*'Trial tariffs'!Y142*X$7</f>
        <v>0</v>
      </c>
      <c r="Y546" s="198">
        <f>'Trial tariffs'!Z51*'Trial tariffs'!Z142*Y$7</f>
        <v>0</v>
      </c>
      <c r="Z546" s="198">
        <f>'Trial tariffs'!AA51*'Trial tariffs'!AA142*Z$7</f>
        <v>0</v>
      </c>
      <c r="AA546" s="198">
        <f>'Trial tariffs'!AB51*'Trial tariffs'!AB142*AA$7</f>
        <v>0</v>
      </c>
      <c r="AB546" s="198">
        <f>'Trial tariffs'!AC51*'Trial tariffs'!AC142*AB$7</f>
        <v>0</v>
      </c>
      <c r="AC546" s="206">
        <f t="shared" si="68"/>
        <v>0</v>
      </c>
      <c r="AD546" s="68"/>
      <c r="AE546" s="19"/>
      <c r="AF546" s="19"/>
      <c r="AG546" s="19"/>
      <c r="AH546" s="19"/>
    </row>
    <row r="547" spans="1:34" hidden="1" outlineLevel="2" x14ac:dyDescent="0.2">
      <c r="A547" s="19"/>
      <c r="B547" s="19"/>
      <c r="C547" s="506">
        <f t="shared" si="66"/>
        <v>0</v>
      </c>
      <c r="D547" s="505">
        <f t="shared" si="66"/>
        <v>0</v>
      </c>
      <c r="E547" s="505">
        <f t="shared" si="66"/>
        <v>0</v>
      </c>
      <c r="F547" s="505">
        <f t="shared" si="67"/>
        <v>0</v>
      </c>
      <c r="G547" s="505">
        <f t="shared" si="66"/>
        <v>0</v>
      </c>
      <c r="H547" s="58"/>
      <c r="I547" s="198">
        <f>'Trial tariffs'!J52*'Trial tariffs'!J143*I$7</f>
        <v>0</v>
      </c>
      <c r="J547" s="198">
        <f>'Trial tariffs'!K52*'Trial tariffs'!K143*J$7</f>
        <v>0</v>
      </c>
      <c r="K547" s="198">
        <f>'Trial tariffs'!L52*'Trial tariffs'!L143*K$7</f>
        <v>0</v>
      </c>
      <c r="L547" s="198">
        <f>'Trial tariffs'!M52*'Trial tariffs'!M143*L$7</f>
        <v>0</v>
      </c>
      <c r="M547" s="198">
        <f>'Trial tariffs'!N52*'Trial tariffs'!N143*M$7</f>
        <v>0</v>
      </c>
      <c r="N547" s="198">
        <f>'Trial tariffs'!O52*'Trial tariffs'!O143*N$7</f>
        <v>0</v>
      </c>
      <c r="O547" s="198">
        <f>'Trial tariffs'!P52*'Trial tariffs'!P143*O$7</f>
        <v>0</v>
      </c>
      <c r="P547" s="198">
        <f>'Trial tariffs'!Q52*'Trial tariffs'!Q143*P$7</f>
        <v>0</v>
      </c>
      <c r="Q547" s="198">
        <f>'Trial tariffs'!R52*'Trial tariffs'!R143*Q$7</f>
        <v>0</v>
      </c>
      <c r="R547" s="198">
        <f>'Trial tariffs'!S52*'Trial tariffs'!S143*R$7</f>
        <v>0</v>
      </c>
      <c r="S547" s="198">
        <f>'Trial tariffs'!T52*'Trial tariffs'!T143*S$7</f>
        <v>0</v>
      </c>
      <c r="T547" s="198">
        <f>'Trial tariffs'!U52*'Trial tariffs'!U143*T$7</f>
        <v>0</v>
      </c>
      <c r="U547" s="198">
        <f>'Trial tariffs'!V52*'Trial tariffs'!V143*U$7</f>
        <v>0</v>
      </c>
      <c r="V547" s="198">
        <f>'Trial tariffs'!W52*'Trial tariffs'!W143*V$7</f>
        <v>0</v>
      </c>
      <c r="W547" s="198">
        <f>'Trial tariffs'!X52*'Trial tariffs'!X143*W$7</f>
        <v>0</v>
      </c>
      <c r="X547" s="198">
        <f>'Trial tariffs'!Y52*'Trial tariffs'!Y143*X$7</f>
        <v>0</v>
      </c>
      <c r="Y547" s="198">
        <f>'Trial tariffs'!Z52*'Trial tariffs'!Z143*Y$7</f>
        <v>0</v>
      </c>
      <c r="Z547" s="198">
        <f>'Trial tariffs'!AA52*'Trial tariffs'!AA143*Z$7</f>
        <v>0</v>
      </c>
      <c r="AA547" s="198">
        <f>'Trial tariffs'!AB52*'Trial tariffs'!AB143*AA$7</f>
        <v>0</v>
      </c>
      <c r="AB547" s="198">
        <f>'Trial tariffs'!AC52*'Trial tariffs'!AC143*AB$7</f>
        <v>0</v>
      </c>
      <c r="AC547" s="206">
        <f t="shared" si="68"/>
        <v>0</v>
      </c>
      <c r="AD547" s="68"/>
      <c r="AE547" s="19"/>
      <c r="AF547" s="19"/>
      <c r="AG547" s="19"/>
      <c r="AH547" s="19"/>
    </row>
    <row r="548" spans="1:34" hidden="1" outlineLevel="2" x14ac:dyDescent="0.2">
      <c r="A548" s="19"/>
      <c r="B548" s="19"/>
      <c r="C548" s="553" t="s">
        <v>240</v>
      </c>
      <c r="D548" s="554"/>
      <c r="E548" s="505"/>
      <c r="F548" s="505"/>
      <c r="G548" s="505"/>
      <c r="H548" s="58"/>
      <c r="I548" s="205">
        <f t="shared" ref="I548:AC548" si="69">SUM(I528:I547)</f>
        <v>0</v>
      </c>
      <c r="J548" s="205">
        <f t="shared" si="69"/>
        <v>0</v>
      </c>
      <c r="K548" s="205">
        <f t="shared" si="69"/>
        <v>0</v>
      </c>
      <c r="L548" s="205">
        <f t="shared" si="69"/>
        <v>0</v>
      </c>
      <c r="M548" s="205">
        <f t="shared" si="69"/>
        <v>0</v>
      </c>
      <c r="N548" s="205">
        <f t="shared" si="69"/>
        <v>0</v>
      </c>
      <c r="O548" s="205">
        <f t="shared" si="69"/>
        <v>0</v>
      </c>
      <c r="P548" s="205">
        <f t="shared" si="69"/>
        <v>0</v>
      </c>
      <c r="Q548" s="205">
        <f t="shared" si="69"/>
        <v>0</v>
      </c>
      <c r="R548" s="205">
        <f t="shared" si="69"/>
        <v>0</v>
      </c>
      <c r="S548" s="205">
        <f t="shared" si="69"/>
        <v>0</v>
      </c>
      <c r="T548" s="205">
        <f t="shared" si="69"/>
        <v>0</v>
      </c>
      <c r="U548" s="205">
        <f t="shared" si="69"/>
        <v>0</v>
      </c>
      <c r="V548" s="205">
        <f t="shared" si="69"/>
        <v>0</v>
      </c>
      <c r="W548" s="205">
        <f t="shared" si="69"/>
        <v>0</v>
      </c>
      <c r="X548" s="205">
        <f t="shared" si="69"/>
        <v>0</v>
      </c>
      <c r="Y548" s="205">
        <f t="shared" si="69"/>
        <v>0</v>
      </c>
      <c r="Z548" s="205">
        <f t="shared" si="69"/>
        <v>0</v>
      </c>
      <c r="AA548" s="205">
        <f t="shared" si="69"/>
        <v>0</v>
      </c>
      <c r="AB548" s="205">
        <f t="shared" si="69"/>
        <v>0</v>
      </c>
      <c r="AC548" s="205">
        <f t="shared" si="69"/>
        <v>0</v>
      </c>
      <c r="AD548" s="68"/>
      <c r="AE548" s="19"/>
      <c r="AF548" s="19"/>
      <c r="AG548" s="19"/>
      <c r="AH548" s="19"/>
    </row>
    <row r="549" spans="1:34" outlineLevel="1" collapsed="1" x14ac:dyDescent="0.2">
      <c r="A549" s="19"/>
      <c r="B549" s="19"/>
      <c r="C549" s="223"/>
      <c r="D549" s="223"/>
      <c r="E549" s="58"/>
      <c r="F549" s="58"/>
      <c r="G549" s="58"/>
      <c r="H549" s="5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  <c r="Y549" s="178"/>
      <c r="Z549" s="178"/>
      <c r="AA549" s="178"/>
      <c r="AB549" s="178"/>
      <c r="AC549" s="178"/>
      <c r="AD549" s="68"/>
      <c r="AE549" s="19"/>
      <c r="AF549" s="19"/>
      <c r="AG549" s="19"/>
      <c r="AH549" s="19"/>
    </row>
    <row r="550" spans="1:34" x14ac:dyDescent="0.2">
      <c r="A550" s="19"/>
      <c r="B550" s="19"/>
      <c r="C550" s="223"/>
      <c r="D550" s="223"/>
      <c r="E550" s="58"/>
      <c r="F550" s="58"/>
      <c r="G550" s="58"/>
      <c r="H550" s="5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  <c r="Y550" s="178"/>
      <c r="Z550" s="178"/>
      <c r="AA550" s="178"/>
      <c r="AB550" s="178"/>
      <c r="AC550" s="178"/>
      <c r="AD550" s="68"/>
      <c r="AE550" s="19"/>
      <c r="AF550" s="19"/>
      <c r="AG550" s="19"/>
      <c r="AH550" s="19"/>
    </row>
    <row r="551" spans="1:34" ht="12.75" x14ac:dyDescent="0.2">
      <c r="A551" s="11"/>
      <c r="B551" s="12" t="str">
        <f>"Calculation table 21 | "&amp;currentyear&amp;" revenue - CONFIDENTIAL tariffs"</f>
        <v>Calculation table 21 | 2021–22 revenue - CONFIDENTIAL tariffs</v>
      </c>
      <c r="C551" s="11"/>
      <c r="D551" s="32" t="str">
        <f>D5</f>
        <v>Tariff class</v>
      </c>
      <c r="E551" s="32" t="str">
        <f>tariffid1</f>
        <v>Code</v>
      </c>
      <c r="F551" s="32" t="str">
        <f>tariffid2</f>
        <v>Trans. Node</v>
      </c>
      <c r="G551" s="32" t="str">
        <f>tariffid2</f>
        <v>Trans. Node</v>
      </c>
      <c r="H551" s="32"/>
      <c r="I551" s="183" t="str">
        <f t="shared" ref="I551:AB551" si="70">I5</f>
        <v>Service</v>
      </c>
      <c r="J551" s="183" t="str">
        <f t="shared" si="70"/>
        <v>All energy</v>
      </c>
      <c r="K551" s="183" t="str">
        <f t="shared" si="70"/>
        <v>Peak energy</v>
      </c>
      <c r="L551" s="183" t="str">
        <f t="shared" si="70"/>
        <v>Shoulder energy</v>
      </c>
      <c r="M551" s="183" t="str">
        <f t="shared" si="70"/>
        <v>Off-peak energy</v>
      </c>
      <c r="N551" s="183" t="str">
        <f t="shared" si="70"/>
        <v>All demand</v>
      </c>
      <c r="O551" s="183" t="str">
        <f t="shared" si="70"/>
        <v>Peak demand</v>
      </c>
      <c r="P551" s="183" t="str">
        <f t="shared" si="70"/>
        <v>Off-peak demand</v>
      </c>
      <c r="Q551" s="183" t="str">
        <f t="shared" si="70"/>
        <v>Specified demand</v>
      </c>
      <c r="R551" s="183" t="str">
        <f t="shared" si="70"/>
        <v>Excess daily demand</v>
      </c>
      <c r="S551" s="183" t="str">
        <f t="shared" si="70"/>
        <v>Daily demand connection</v>
      </c>
      <c r="T551" s="183" t="str">
        <f t="shared" si="70"/>
        <v>Excess daily demand connection</v>
      </c>
      <c r="U551" s="183" t="str">
        <f t="shared" si="70"/>
        <v>All demand (lamps)</v>
      </c>
      <c r="V551" s="183">
        <f t="shared" si="70"/>
        <v>0</v>
      </c>
      <c r="W551" s="183">
        <f t="shared" si="70"/>
        <v>0</v>
      </c>
      <c r="X551" s="183">
        <f t="shared" si="70"/>
        <v>0</v>
      </c>
      <c r="Y551" s="183">
        <f t="shared" si="70"/>
        <v>0</v>
      </c>
      <c r="Z551" s="183">
        <f t="shared" si="70"/>
        <v>0</v>
      </c>
      <c r="AA551" s="183">
        <f t="shared" si="70"/>
        <v>0</v>
      </c>
      <c r="AB551" s="183">
        <f t="shared" si="70"/>
        <v>0</v>
      </c>
      <c r="AC551" s="204" t="s">
        <v>240</v>
      </c>
      <c r="AD551" s="32"/>
      <c r="AE551" s="32"/>
      <c r="AF551" s="15"/>
      <c r="AG551" s="15"/>
      <c r="AH551" s="15"/>
    </row>
    <row r="552" spans="1:34" outlineLevel="1" x14ac:dyDescent="0.2">
      <c r="A552" s="19"/>
      <c r="B552" s="19"/>
      <c r="C552" s="36"/>
      <c r="D552" s="20"/>
      <c r="E552" s="20"/>
      <c r="F552" s="20"/>
      <c r="G552" s="22"/>
      <c r="H552" s="22"/>
      <c r="I552" s="170" t="str">
        <f t="shared" ref="I552:AB552" si="71">I6</f>
        <v>$dollars</v>
      </c>
      <c r="J552" s="170" t="str">
        <f t="shared" si="71"/>
        <v>$dollars</v>
      </c>
      <c r="K552" s="170" t="str">
        <f t="shared" si="71"/>
        <v>$dollars</v>
      </c>
      <c r="L552" s="170" t="str">
        <f t="shared" si="71"/>
        <v>$dollars</v>
      </c>
      <c r="M552" s="170" t="str">
        <f t="shared" si="71"/>
        <v>$dollars</v>
      </c>
      <c r="N552" s="170" t="str">
        <f t="shared" si="71"/>
        <v>$dollars</v>
      </c>
      <c r="O552" s="170" t="str">
        <f t="shared" si="71"/>
        <v>$dollars</v>
      </c>
      <c r="P552" s="170" t="str">
        <f t="shared" si="71"/>
        <v>$dollars</v>
      </c>
      <c r="Q552" s="170" t="str">
        <f t="shared" si="71"/>
        <v>$dollars</v>
      </c>
      <c r="R552" s="170" t="str">
        <f t="shared" si="71"/>
        <v>$dollars</v>
      </c>
      <c r="S552" s="170" t="str">
        <f t="shared" si="71"/>
        <v>$dollars</v>
      </c>
      <c r="T552" s="170" t="str">
        <f t="shared" si="71"/>
        <v>$dollars</v>
      </c>
      <c r="U552" s="170" t="str">
        <f t="shared" si="71"/>
        <v>$dollars</v>
      </c>
      <c r="V552" s="170">
        <f t="shared" si="71"/>
        <v>0</v>
      </c>
      <c r="W552" s="170">
        <f t="shared" si="71"/>
        <v>0</v>
      </c>
      <c r="X552" s="170">
        <f t="shared" si="71"/>
        <v>0</v>
      </c>
      <c r="Y552" s="170">
        <f t="shared" si="71"/>
        <v>0</v>
      </c>
      <c r="Z552" s="170">
        <f t="shared" si="71"/>
        <v>0</v>
      </c>
      <c r="AA552" s="170">
        <f t="shared" si="71"/>
        <v>0</v>
      </c>
      <c r="AB552" s="170">
        <f t="shared" si="71"/>
        <v>0</v>
      </c>
      <c r="AC552" s="170" t="str">
        <f>IF(AC551=0,0,dollars)</f>
        <v>$dollars</v>
      </c>
      <c r="AD552" s="22"/>
      <c r="AE552" s="19"/>
      <c r="AF552" s="19"/>
      <c r="AG552" s="19"/>
      <c r="AH552" s="19"/>
    </row>
    <row r="553" spans="1:34" outlineLevel="1" x14ac:dyDescent="0.2">
      <c r="A553" s="19"/>
      <c r="B553" s="19"/>
      <c r="C553" s="167" t="s">
        <v>549</v>
      </c>
      <c r="D553" s="512"/>
      <c r="E553" s="20"/>
      <c r="F553" s="20"/>
      <c r="G553" s="22"/>
      <c r="H553" s="22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22"/>
      <c r="AE553" s="19"/>
      <c r="AF553" s="19"/>
      <c r="AG553" s="19"/>
      <c r="AH553" s="19"/>
    </row>
    <row r="554" spans="1:34" outlineLevel="1" x14ac:dyDescent="0.2">
      <c r="A554" s="19"/>
      <c r="B554" s="19"/>
      <c r="C554" s="256" t="s">
        <v>136</v>
      </c>
      <c r="D554" s="320">
        <v>5036832.6748526776</v>
      </c>
      <c r="E554" s="20"/>
      <c r="F554" s="20"/>
      <c r="H554" s="22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22"/>
      <c r="AE554" s="19"/>
      <c r="AF554" s="19"/>
      <c r="AG554" s="19"/>
      <c r="AH554" s="19"/>
    </row>
    <row r="555" spans="1:34" outlineLevel="1" x14ac:dyDescent="0.2">
      <c r="A555" s="19"/>
      <c r="B555" s="19"/>
      <c r="C555" s="256" t="s">
        <v>219</v>
      </c>
      <c r="D555" s="320">
        <v>5338534.720545141</v>
      </c>
      <c r="E555" s="20"/>
      <c r="F555" s="20"/>
      <c r="H555" s="22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22"/>
      <c r="AE555" s="19"/>
      <c r="AF555" s="19"/>
      <c r="AG555" s="19"/>
      <c r="AH555" s="19"/>
    </row>
    <row r="556" spans="1:34" outlineLevel="1" x14ac:dyDescent="0.2">
      <c r="A556" s="19"/>
      <c r="B556" s="19"/>
      <c r="C556" s="256" t="s">
        <v>220</v>
      </c>
      <c r="D556" s="320">
        <v>0</v>
      </c>
      <c r="E556" s="20"/>
      <c r="F556" s="20"/>
      <c r="H556" s="22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22"/>
      <c r="AE556" s="19"/>
      <c r="AF556" s="19"/>
      <c r="AG556" s="19"/>
      <c r="AH556" s="19"/>
    </row>
    <row r="557" spans="1:34" outlineLevel="1" x14ac:dyDescent="0.2">
      <c r="A557" s="19"/>
      <c r="B557" s="19"/>
      <c r="C557" s="36"/>
      <c r="D557" s="20"/>
      <c r="E557" s="20"/>
      <c r="F557" s="20"/>
      <c r="G557" s="22"/>
      <c r="H557" s="22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22"/>
      <c r="AE557" s="19"/>
      <c r="AF557" s="19"/>
      <c r="AG557" s="19"/>
      <c r="AH557" s="19"/>
    </row>
    <row r="558" spans="1:34" outlineLevel="1" x14ac:dyDescent="0.2">
      <c r="A558" s="19"/>
      <c r="B558" s="19"/>
      <c r="C558" s="167" t="str">
        <f>C7</f>
        <v>Distribution</v>
      </c>
      <c r="D558" s="20"/>
      <c r="E558" s="20"/>
      <c r="F558" s="20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19"/>
      <c r="AF558" s="19"/>
      <c r="AG558" s="19"/>
      <c r="AH558" s="19"/>
    </row>
    <row r="559" spans="1:34" s="612" customFormat="1" outlineLevel="2" x14ac:dyDescent="0.2">
      <c r="A559" s="606"/>
      <c r="B559" s="606"/>
      <c r="C559" s="607"/>
      <c r="D559" s="608"/>
      <c r="E559" s="608"/>
      <c r="F559" s="608"/>
      <c r="G559" s="608"/>
      <c r="H559" s="609"/>
      <c r="I559" s="637"/>
      <c r="J559" s="637"/>
      <c r="K559" s="637"/>
      <c r="L559" s="637"/>
      <c r="M559" s="637"/>
      <c r="N559" s="637"/>
      <c r="O559" s="637"/>
      <c r="P559" s="637"/>
      <c r="Q559" s="637"/>
      <c r="R559" s="637"/>
      <c r="S559" s="637"/>
      <c r="T559" s="637"/>
      <c r="U559" s="637"/>
      <c r="V559" s="637"/>
      <c r="W559" s="637"/>
      <c r="X559" s="637"/>
      <c r="Y559" s="637"/>
      <c r="Z559" s="637"/>
      <c r="AA559" s="637"/>
      <c r="AB559" s="637"/>
      <c r="AC559" s="637"/>
      <c r="AD559" s="640"/>
      <c r="AE559" s="606"/>
      <c r="AF559" s="606"/>
      <c r="AG559" s="606"/>
      <c r="AH559" s="606"/>
    </row>
    <row r="560" spans="1:34" s="612" customFormat="1" outlineLevel="2" x14ac:dyDescent="0.2">
      <c r="A560" s="606"/>
      <c r="B560" s="606"/>
      <c r="C560" s="607"/>
      <c r="D560" s="608"/>
      <c r="E560" s="608"/>
      <c r="F560" s="608"/>
      <c r="G560" s="608"/>
      <c r="H560" s="609"/>
      <c r="I560" s="637"/>
      <c r="J560" s="637"/>
      <c r="K560" s="637"/>
      <c r="L560" s="637"/>
      <c r="M560" s="637"/>
      <c r="N560" s="637"/>
      <c r="O560" s="637"/>
      <c r="P560" s="637"/>
      <c r="Q560" s="637"/>
      <c r="R560" s="637"/>
      <c r="S560" s="637"/>
      <c r="T560" s="637"/>
      <c r="U560" s="637"/>
      <c r="V560" s="637"/>
      <c r="W560" s="637"/>
      <c r="X560" s="637"/>
      <c r="Y560" s="637"/>
      <c r="Z560" s="637"/>
      <c r="AA560" s="637"/>
      <c r="AB560" s="637"/>
      <c r="AC560" s="637"/>
      <c r="AD560" s="640"/>
      <c r="AE560" s="606"/>
      <c r="AF560" s="606"/>
      <c r="AG560" s="606"/>
      <c r="AH560" s="606"/>
    </row>
    <row r="561" spans="1:34" s="612" customFormat="1" outlineLevel="2" x14ac:dyDescent="0.2">
      <c r="A561" s="606"/>
      <c r="B561" s="606"/>
      <c r="C561" s="607"/>
      <c r="D561" s="608"/>
      <c r="E561" s="608"/>
      <c r="F561" s="608"/>
      <c r="G561" s="608"/>
      <c r="H561" s="609"/>
      <c r="I561" s="637"/>
      <c r="J561" s="637"/>
      <c r="K561" s="637"/>
      <c r="L561" s="637"/>
      <c r="M561" s="637"/>
      <c r="N561" s="637"/>
      <c r="O561" s="637"/>
      <c r="P561" s="637"/>
      <c r="Q561" s="637"/>
      <c r="R561" s="637"/>
      <c r="S561" s="637"/>
      <c r="T561" s="637"/>
      <c r="U561" s="637"/>
      <c r="V561" s="637"/>
      <c r="W561" s="637"/>
      <c r="X561" s="637"/>
      <c r="Y561" s="637"/>
      <c r="Z561" s="637"/>
      <c r="AA561" s="637"/>
      <c r="AB561" s="637"/>
      <c r="AC561" s="637"/>
      <c r="AD561" s="640"/>
      <c r="AE561" s="606"/>
      <c r="AF561" s="606"/>
      <c r="AG561" s="606"/>
      <c r="AH561" s="606"/>
    </row>
    <row r="562" spans="1:34" s="612" customFormat="1" outlineLevel="2" x14ac:dyDescent="0.2">
      <c r="A562" s="606"/>
      <c r="B562" s="606"/>
      <c r="C562" s="607"/>
      <c r="D562" s="608"/>
      <c r="E562" s="608"/>
      <c r="F562" s="608"/>
      <c r="G562" s="608"/>
      <c r="H562" s="609"/>
      <c r="I562" s="637"/>
      <c r="J562" s="637"/>
      <c r="K562" s="637"/>
      <c r="L562" s="637"/>
      <c r="M562" s="637"/>
      <c r="N562" s="637"/>
      <c r="O562" s="637"/>
      <c r="P562" s="637"/>
      <c r="Q562" s="637"/>
      <c r="R562" s="637"/>
      <c r="S562" s="637"/>
      <c r="T562" s="637"/>
      <c r="U562" s="637"/>
      <c r="V562" s="637"/>
      <c r="W562" s="637"/>
      <c r="X562" s="637"/>
      <c r="Y562" s="637"/>
      <c r="Z562" s="637"/>
      <c r="AA562" s="637"/>
      <c r="AB562" s="637"/>
      <c r="AC562" s="637"/>
      <c r="AD562" s="640"/>
      <c r="AE562" s="606"/>
      <c r="AF562" s="606"/>
      <c r="AG562" s="606"/>
      <c r="AH562" s="606"/>
    </row>
    <row r="563" spans="1:34" s="612" customFormat="1" outlineLevel="2" x14ac:dyDescent="0.2">
      <c r="A563" s="606"/>
      <c r="B563" s="606"/>
      <c r="C563" s="607"/>
      <c r="D563" s="608"/>
      <c r="E563" s="608"/>
      <c r="F563" s="608"/>
      <c r="G563" s="608"/>
      <c r="H563" s="609"/>
      <c r="I563" s="637"/>
      <c r="J563" s="637"/>
      <c r="K563" s="637"/>
      <c r="L563" s="637"/>
      <c r="M563" s="637"/>
      <c r="N563" s="637"/>
      <c r="O563" s="637"/>
      <c r="P563" s="637"/>
      <c r="Q563" s="637"/>
      <c r="R563" s="637"/>
      <c r="S563" s="637"/>
      <c r="T563" s="637"/>
      <c r="U563" s="637"/>
      <c r="V563" s="637"/>
      <c r="W563" s="637"/>
      <c r="X563" s="637"/>
      <c r="Y563" s="637"/>
      <c r="Z563" s="637"/>
      <c r="AA563" s="637"/>
      <c r="AB563" s="637"/>
      <c r="AC563" s="637"/>
      <c r="AD563" s="640"/>
      <c r="AE563" s="606"/>
      <c r="AF563" s="606"/>
      <c r="AG563" s="606"/>
      <c r="AH563" s="606"/>
    </row>
    <row r="564" spans="1:34" s="612" customFormat="1" outlineLevel="2" x14ac:dyDescent="0.2">
      <c r="A564" s="606"/>
      <c r="B564" s="606"/>
      <c r="C564" s="607"/>
      <c r="D564" s="608"/>
      <c r="E564" s="608"/>
      <c r="F564" s="608"/>
      <c r="G564" s="608"/>
      <c r="H564" s="609"/>
      <c r="I564" s="637"/>
      <c r="J564" s="637"/>
      <c r="K564" s="637"/>
      <c r="L564" s="637"/>
      <c r="M564" s="637"/>
      <c r="N564" s="637"/>
      <c r="O564" s="637"/>
      <c r="P564" s="637"/>
      <c r="Q564" s="637"/>
      <c r="R564" s="637"/>
      <c r="S564" s="637"/>
      <c r="T564" s="637"/>
      <c r="U564" s="637"/>
      <c r="V564" s="637"/>
      <c r="W564" s="637"/>
      <c r="X564" s="637"/>
      <c r="Y564" s="637"/>
      <c r="Z564" s="637"/>
      <c r="AA564" s="637"/>
      <c r="AB564" s="637"/>
      <c r="AC564" s="637"/>
      <c r="AD564" s="640"/>
      <c r="AE564" s="606"/>
      <c r="AF564" s="606"/>
      <c r="AG564" s="606"/>
      <c r="AH564" s="606"/>
    </row>
    <row r="565" spans="1:34" s="612" customFormat="1" outlineLevel="2" x14ac:dyDescent="0.2">
      <c r="A565" s="606"/>
      <c r="B565" s="606"/>
      <c r="C565" s="607"/>
      <c r="D565" s="608"/>
      <c r="E565" s="608"/>
      <c r="F565" s="608"/>
      <c r="G565" s="608"/>
      <c r="H565" s="609"/>
      <c r="I565" s="637"/>
      <c r="J565" s="637"/>
      <c r="K565" s="637"/>
      <c r="L565" s="637"/>
      <c r="M565" s="637"/>
      <c r="N565" s="637"/>
      <c r="O565" s="637"/>
      <c r="P565" s="637"/>
      <c r="Q565" s="637"/>
      <c r="R565" s="637"/>
      <c r="S565" s="637"/>
      <c r="T565" s="637"/>
      <c r="U565" s="637"/>
      <c r="V565" s="637"/>
      <c r="W565" s="637"/>
      <c r="X565" s="637"/>
      <c r="Y565" s="637"/>
      <c r="Z565" s="637"/>
      <c r="AA565" s="637"/>
      <c r="AB565" s="637"/>
      <c r="AC565" s="637"/>
      <c r="AD565" s="640"/>
      <c r="AE565" s="606"/>
      <c r="AF565" s="606"/>
      <c r="AG565" s="606"/>
      <c r="AH565" s="606"/>
    </row>
    <row r="566" spans="1:34" s="612" customFormat="1" outlineLevel="2" x14ac:dyDescent="0.2">
      <c r="A566" s="606"/>
      <c r="B566" s="606"/>
      <c r="C566" s="607"/>
      <c r="D566" s="608"/>
      <c r="E566" s="608"/>
      <c r="F566" s="608"/>
      <c r="G566" s="608"/>
      <c r="H566" s="609"/>
      <c r="I566" s="637"/>
      <c r="J566" s="637"/>
      <c r="K566" s="637"/>
      <c r="L566" s="637"/>
      <c r="M566" s="637"/>
      <c r="N566" s="637"/>
      <c r="O566" s="637"/>
      <c r="P566" s="637"/>
      <c r="Q566" s="637"/>
      <c r="R566" s="637"/>
      <c r="S566" s="637"/>
      <c r="T566" s="637"/>
      <c r="U566" s="637"/>
      <c r="V566" s="637"/>
      <c r="W566" s="637"/>
      <c r="X566" s="637"/>
      <c r="Y566" s="637"/>
      <c r="Z566" s="637"/>
      <c r="AA566" s="637"/>
      <c r="AB566" s="637"/>
      <c r="AC566" s="637"/>
      <c r="AD566" s="640"/>
      <c r="AE566" s="606"/>
      <c r="AF566" s="606"/>
      <c r="AG566" s="606"/>
      <c r="AH566" s="606"/>
    </row>
    <row r="567" spans="1:34" s="612" customFormat="1" outlineLevel="2" x14ac:dyDescent="0.2">
      <c r="A567" s="606"/>
      <c r="B567" s="606"/>
      <c r="C567" s="607"/>
      <c r="D567" s="608"/>
      <c r="E567" s="608"/>
      <c r="F567" s="608"/>
      <c r="G567" s="608"/>
      <c r="H567" s="609"/>
      <c r="I567" s="637"/>
      <c r="J567" s="637"/>
      <c r="K567" s="637"/>
      <c r="L567" s="637"/>
      <c r="M567" s="637"/>
      <c r="N567" s="637"/>
      <c r="O567" s="637"/>
      <c r="P567" s="637"/>
      <c r="Q567" s="637"/>
      <c r="R567" s="637"/>
      <c r="S567" s="637"/>
      <c r="T567" s="637"/>
      <c r="U567" s="637"/>
      <c r="V567" s="637"/>
      <c r="W567" s="637"/>
      <c r="X567" s="637"/>
      <c r="Y567" s="637"/>
      <c r="Z567" s="637"/>
      <c r="AA567" s="637"/>
      <c r="AB567" s="637"/>
      <c r="AC567" s="637"/>
      <c r="AD567" s="640"/>
      <c r="AE567" s="606"/>
      <c r="AF567" s="606"/>
      <c r="AG567" s="606"/>
      <c r="AH567" s="606"/>
    </row>
    <row r="568" spans="1:34" s="612" customFormat="1" outlineLevel="2" x14ac:dyDescent="0.2">
      <c r="A568" s="606"/>
      <c r="B568" s="606"/>
      <c r="C568" s="607"/>
      <c r="D568" s="608"/>
      <c r="E568" s="608"/>
      <c r="F568" s="608"/>
      <c r="G568" s="608"/>
      <c r="H568" s="609"/>
      <c r="I568" s="637"/>
      <c r="J568" s="637"/>
      <c r="K568" s="637"/>
      <c r="L568" s="637"/>
      <c r="M568" s="637"/>
      <c r="N568" s="637"/>
      <c r="O568" s="637"/>
      <c r="P568" s="637"/>
      <c r="Q568" s="637"/>
      <c r="R568" s="637"/>
      <c r="S568" s="637"/>
      <c r="T568" s="637"/>
      <c r="U568" s="637"/>
      <c r="V568" s="637"/>
      <c r="W568" s="637"/>
      <c r="X568" s="637"/>
      <c r="Y568" s="637"/>
      <c r="Z568" s="637"/>
      <c r="AA568" s="637"/>
      <c r="AB568" s="637"/>
      <c r="AC568" s="637"/>
      <c r="AD568" s="640"/>
      <c r="AE568" s="606"/>
      <c r="AF568" s="606"/>
      <c r="AG568" s="606"/>
      <c r="AH568" s="606"/>
    </row>
    <row r="569" spans="1:34" s="612" customFormat="1" outlineLevel="2" x14ac:dyDescent="0.2">
      <c r="A569" s="606"/>
      <c r="B569" s="606"/>
      <c r="C569" s="607"/>
      <c r="D569" s="608"/>
      <c r="E569" s="608"/>
      <c r="F569" s="608"/>
      <c r="G569" s="608"/>
      <c r="H569" s="609"/>
      <c r="I569" s="637"/>
      <c r="J569" s="637"/>
      <c r="K569" s="637"/>
      <c r="L569" s="637"/>
      <c r="M569" s="637"/>
      <c r="N569" s="637"/>
      <c r="O569" s="637"/>
      <c r="P569" s="637"/>
      <c r="Q569" s="637"/>
      <c r="R569" s="637"/>
      <c r="S569" s="637"/>
      <c r="T569" s="637"/>
      <c r="U569" s="637"/>
      <c r="V569" s="637"/>
      <c r="W569" s="637"/>
      <c r="X569" s="637"/>
      <c r="Y569" s="637"/>
      <c r="Z569" s="637"/>
      <c r="AA569" s="637"/>
      <c r="AB569" s="637"/>
      <c r="AC569" s="637"/>
      <c r="AD569" s="640"/>
      <c r="AE569" s="606"/>
      <c r="AF569" s="606"/>
      <c r="AG569" s="606"/>
      <c r="AH569" s="606"/>
    </row>
    <row r="570" spans="1:34" s="612" customFormat="1" outlineLevel="2" x14ac:dyDescent="0.2">
      <c r="A570" s="606"/>
      <c r="B570" s="606"/>
      <c r="C570" s="607"/>
      <c r="D570" s="608"/>
      <c r="E570" s="608"/>
      <c r="F570" s="608"/>
      <c r="G570" s="608"/>
      <c r="H570" s="609"/>
      <c r="I570" s="637"/>
      <c r="J570" s="637"/>
      <c r="K570" s="637"/>
      <c r="L570" s="637"/>
      <c r="M570" s="637"/>
      <c r="N570" s="637"/>
      <c r="O570" s="637"/>
      <c r="P570" s="637"/>
      <c r="Q570" s="637"/>
      <c r="R570" s="637"/>
      <c r="S570" s="637"/>
      <c r="T570" s="637"/>
      <c r="U570" s="637"/>
      <c r="V570" s="637"/>
      <c r="W570" s="637"/>
      <c r="X570" s="637"/>
      <c r="Y570" s="637"/>
      <c r="Z570" s="637"/>
      <c r="AA570" s="637"/>
      <c r="AB570" s="637"/>
      <c r="AC570" s="637"/>
      <c r="AD570" s="640"/>
      <c r="AE570" s="606"/>
      <c r="AF570" s="606"/>
      <c r="AG570" s="606"/>
      <c r="AH570" s="606"/>
    </row>
    <row r="571" spans="1:34" s="612" customFormat="1" outlineLevel="2" x14ac:dyDescent="0.2">
      <c r="A571" s="606"/>
      <c r="B571" s="606"/>
      <c r="C571" s="607"/>
      <c r="D571" s="608"/>
      <c r="E571" s="608"/>
      <c r="F571" s="608"/>
      <c r="G571" s="608"/>
      <c r="H571" s="609"/>
      <c r="I571" s="637"/>
      <c r="J571" s="637"/>
      <c r="K571" s="637"/>
      <c r="L571" s="637"/>
      <c r="M571" s="637"/>
      <c r="N571" s="637"/>
      <c r="O571" s="637"/>
      <c r="P571" s="637"/>
      <c r="Q571" s="637"/>
      <c r="R571" s="637"/>
      <c r="S571" s="637"/>
      <c r="T571" s="637"/>
      <c r="U571" s="637"/>
      <c r="V571" s="637"/>
      <c r="W571" s="637"/>
      <c r="X571" s="637"/>
      <c r="Y571" s="637"/>
      <c r="Z571" s="637"/>
      <c r="AA571" s="637"/>
      <c r="AB571" s="637"/>
      <c r="AC571" s="637"/>
      <c r="AD571" s="640"/>
      <c r="AE571" s="606"/>
      <c r="AF571" s="606"/>
      <c r="AG571" s="606"/>
      <c r="AH571" s="606"/>
    </row>
    <row r="572" spans="1:34" s="612" customFormat="1" outlineLevel="2" x14ac:dyDescent="0.2">
      <c r="A572" s="606"/>
      <c r="B572" s="606"/>
      <c r="C572" s="607"/>
      <c r="D572" s="608"/>
      <c r="E572" s="608"/>
      <c r="F572" s="608"/>
      <c r="G572" s="608"/>
      <c r="H572" s="609"/>
      <c r="I572" s="637"/>
      <c r="J572" s="637"/>
      <c r="K572" s="637"/>
      <c r="L572" s="637"/>
      <c r="M572" s="637"/>
      <c r="N572" s="637"/>
      <c r="O572" s="637"/>
      <c r="P572" s="637"/>
      <c r="Q572" s="637"/>
      <c r="R572" s="637"/>
      <c r="S572" s="637"/>
      <c r="T572" s="637"/>
      <c r="U572" s="637"/>
      <c r="V572" s="637"/>
      <c r="W572" s="637"/>
      <c r="X572" s="637"/>
      <c r="Y572" s="637"/>
      <c r="Z572" s="637"/>
      <c r="AA572" s="637"/>
      <c r="AB572" s="637"/>
      <c r="AC572" s="637"/>
      <c r="AD572" s="640"/>
      <c r="AE572" s="606"/>
      <c r="AF572" s="606"/>
      <c r="AG572" s="606"/>
      <c r="AH572" s="606"/>
    </row>
    <row r="573" spans="1:34" s="612" customFormat="1" outlineLevel="2" x14ac:dyDescent="0.2">
      <c r="A573" s="606"/>
      <c r="B573" s="606"/>
      <c r="C573" s="607"/>
      <c r="D573" s="608"/>
      <c r="E573" s="608"/>
      <c r="F573" s="608"/>
      <c r="G573" s="608"/>
      <c r="H573" s="609"/>
      <c r="I573" s="637"/>
      <c r="J573" s="637"/>
      <c r="K573" s="637"/>
      <c r="L573" s="637"/>
      <c r="M573" s="637"/>
      <c r="N573" s="637"/>
      <c r="O573" s="637"/>
      <c r="P573" s="637"/>
      <c r="Q573" s="637"/>
      <c r="R573" s="637"/>
      <c r="S573" s="637"/>
      <c r="T573" s="637"/>
      <c r="U573" s="637"/>
      <c r="V573" s="637"/>
      <c r="W573" s="637"/>
      <c r="X573" s="637"/>
      <c r="Y573" s="637"/>
      <c r="Z573" s="637"/>
      <c r="AA573" s="637"/>
      <c r="AB573" s="637"/>
      <c r="AC573" s="637"/>
      <c r="AD573" s="640"/>
      <c r="AE573" s="606"/>
      <c r="AF573" s="606"/>
      <c r="AG573" s="606"/>
      <c r="AH573" s="606"/>
    </row>
    <row r="574" spans="1:34" s="612" customFormat="1" outlineLevel="2" x14ac:dyDescent="0.2">
      <c r="A574" s="606"/>
      <c r="B574" s="606"/>
      <c r="C574" s="607"/>
      <c r="D574" s="608"/>
      <c r="E574" s="608"/>
      <c r="F574" s="608"/>
      <c r="G574" s="608"/>
      <c r="H574" s="609"/>
      <c r="I574" s="637"/>
      <c r="J574" s="637"/>
      <c r="K574" s="637"/>
      <c r="L574" s="637"/>
      <c r="M574" s="637"/>
      <c r="N574" s="637"/>
      <c r="O574" s="637"/>
      <c r="P574" s="637"/>
      <c r="Q574" s="637"/>
      <c r="R574" s="637"/>
      <c r="S574" s="637"/>
      <c r="T574" s="637"/>
      <c r="U574" s="637"/>
      <c r="V574" s="637"/>
      <c r="W574" s="637"/>
      <c r="X574" s="637"/>
      <c r="Y574" s="637"/>
      <c r="Z574" s="637"/>
      <c r="AA574" s="637"/>
      <c r="AB574" s="637"/>
      <c r="AC574" s="637"/>
      <c r="AD574" s="640"/>
      <c r="AE574" s="606"/>
      <c r="AF574" s="606"/>
      <c r="AG574" s="606"/>
      <c r="AH574" s="606"/>
    </row>
    <row r="575" spans="1:34" s="612" customFormat="1" outlineLevel="2" x14ac:dyDescent="0.2">
      <c r="A575" s="606"/>
      <c r="B575" s="606"/>
      <c r="C575" s="607"/>
      <c r="D575" s="608"/>
      <c r="E575" s="608"/>
      <c r="F575" s="608"/>
      <c r="G575" s="608"/>
      <c r="H575" s="609"/>
      <c r="I575" s="637"/>
      <c r="J575" s="637"/>
      <c r="K575" s="637"/>
      <c r="L575" s="637"/>
      <c r="M575" s="637"/>
      <c r="N575" s="637"/>
      <c r="O575" s="637"/>
      <c r="P575" s="637"/>
      <c r="Q575" s="637"/>
      <c r="R575" s="637"/>
      <c r="S575" s="637"/>
      <c r="T575" s="637"/>
      <c r="U575" s="637"/>
      <c r="V575" s="637"/>
      <c r="W575" s="637"/>
      <c r="X575" s="637"/>
      <c r="Y575" s="637"/>
      <c r="Z575" s="637"/>
      <c r="AA575" s="637"/>
      <c r="AB575" s="637"/>
      <c r="AC575" s="637"/>
      <c r="AD575" s="640"/>
      <c r="AE575" s="606"/>
      <c r="AF575" s="606"/>
      <c r="AG575" s="606"/>
      <c r="AH575" s="606"/>
    </row>
    <row r="576" spans="1:34" s="612" customFormat="1" outlineLevel="2" x14ac:dyDescent="0.2">
      <c r="A576" s="606"/>
      <c r="B576" s="606"/>
      <c r="C576" s="607"/>
      <c r="D576" s="608"/>
      <c r="E576" s="608"/>
      <c r="F576" s="608"/>
      <c r="G576" s="608"/>
      <c r="H576" s="609"/>
      <c r="I576" s="637"/>
      <c r="J576" s="637"/>
      <c r="K576" s="637"/>
      <c r="L576" s="637"/>
      <c r="M576" s="637"/>
      <c r="N576" s="637"/>
      <c r="O576" s="637"/>
      <c r="P576" s="637"/>
      <c r="Q576" s="637"/>
      <c r="R576" s="637"/>
      <c r="S576" s="637"/>
      <c r="T576" s="637"/>
      <c r="U576" s="637"/>
      <c r="V576" s="637"/>
      <c r="W576" s="637"/>
      <c r="X576" s="637"/>
      <c r="Y576" s="637"/>
      <c r="Z576" s="637"/>
      <c r="AA576" s="637"/>
      <c r="AB576" s="637"/>
      <c r="AC576" s="637"/>
      <c r="AD576" s="640"/>
      <c r="AE576" s="606"/>
      <c r="AF576" s="606"/>
      <c r="AG576" s="606"/>
      <c r="AH576" s="606"/>
    </row>
    <row r="577" spans="1:34" s="612" customFormat="1" outlineLevel="2" x14ac:dyDescent="0.2">
      <c r="A577" s="606"/>
      <c r="B577" s="606"/>
      <c r="C577" s="607"/>
      <c r="D577" s="608"/>
      <c r="E577" s="608"/>
      <c r="F577" s="608"/>
      <c r="G577" s="608"/>
      <c r="H577" s="609"/>
      <c r="I577" s="637"/>
      <c r="J577" s="637"/>
      <c r="K577" s="637"/>
      <c r="L577" s="637"/>
      <c r="M577" s="637"/>
      <c r="N577" s="637"/>
      <c r="O577" s="637"/>
      <c r="P577" s="637"/>
      <c r="Q577" s="637"/>
      <c r="R577" s="637"/>
      <c r="S577" s="637"/>
      <c r="T577" s="637"/>
      <c r="U577" s="637"/>
      <c r="V577" s="637"/>
      <c r="W577" s="637"/>
      <c r="X577" s="637"/>
      <c r="Y577" s="637"/>
      <c r="Z577" s="637"/>
      <c r="AA577" s="637"/>
      <c r="AB577" s="637"/>
      <c r="AC577" s="637"/>
      <c r="AD577" s="640"/>
      <c r="AE577" s="606"/>
      <c r="AF577" s="606"/>
      <c r="AG577" s="606"/>
      <c r="AH577" s="606"/>
    </row>
    <row r="578" spans="1:34" s="612" customFormat="1" outlineLevel="2" x14ac:dyDescent="0.2">
      <c r="A578" s="606"/>
      <c r="B578" s="606"/>
      <c r="C578" s="607"/>
      <c r="D578" s="608"/>
      <c r="E578" s="608"/>
      <c r="F578" s="608"/>
      <c r="G578" s="608"/>
      <c r="H578" s="609"/>
      <c r="I578" s="637"/>
      <c r="J578" s="637"/>
      <c r="K578" s="637"/>
      <c r="L578" s="637"/>
      <c r="M578" s="637"/>
      <c r="N578" s="637"/>
      <c r="O578" s="637"/>
      <c r="P578" s="637"/>
      <c r="Q578" s="637"/>
      <c r="R578" s="637"/>
      <c r="S578" s="637"/>
      <c r="T578" s="637"/>
      <c r="U578" s="637"/>
      <c r="V578" s="637"/>
      <c r="W578" s="637"/>
      <c r="X578" s="637"/>
      <c r="Y578" s="637"/>
      <c r="Z578" s="637"/>
      <c r="AA578" s="637"/>
      <c r="AB578" s="637"/>
      <c r="AC578" s="637"/>
      <c r="AD578" s="640"/>
      <c r="AE578" s="606"/>
      <c r="AF578" s="606"/>
      <c r="AG578" s="606"/>
      <c r="AH578" s="606"/>
    </row>
    <row r="579" spans="1:34" s="612" customFormat="1" outlineLevel="2" x14ac:dyDescent="0.2">
      <c r="A579" s="606"/>
      <c r="B579" s="606"/>
      <c r="C579" s="607"/>
      <c r="D579" s="608"/>
      <c r="E579" s="608"/>
      <c r="F579" s="608"/>
      <c r="G579" s="608"/>
      <c r="H579" s="609"/>
      <c r="I579" s="637"/>
      <c r="J579" s="637"/>
      <c r="K579" s="637"/>
      <c r="L579" s="637"/>
      <c r="M579" s="637"/>
      <c r="N579" s="637"/>
      <c r="O579" s="637"/>
      <c r="P579" s="637"/>
      <c r="Q579" s="637"/>
      <c r="R579" s="637"/>
      <c r="S579" s="637"/>
      <c r="T579" s="637"/>
      <c r="U579" s="637"/>
      <c r="V579" s="637"/>
      <c r="W579" s="637"/>
      <c r="X579" s="637"/>
      <c r="Y579" s="637"/>
      <c r="Z579" s="637"/>
      <c r="AA579" s="637"/>
      <c r="AB579" s="637"/>
      <c r="AC579" s="637"/>
      <c r="AD579" s="640"/>
      <c r="AE579" s="606"/>
      <c r="AF579" s="606"/>
      <c r="AG579" s="606"/>
      <c r="AH579" s="606"/>
    </row>
    <row r="580" spans="1:34" s="612" customFormat="1" outlineLevel="2" x14ac:dyDescent="0.2">
      <c r="A580" s="606"/>
      <c r="B580" s="606"/>
      <c r="C580" s="607"/>
      <c r="D580" s="608"/>
      <c r="E580" s="608"/>
      <c r="F580" s="608"/>
      <c r="G580" s="608"/>
      <c r="H580" s="609"/>
      <c r="I580" s="637"/>
      <c r="J580" s="637"/>
      <c r="K580" s="637"/>
      <c r="L580" s="637"/>
      <c r="M580" s="637"/>
      <c r="N580" s="637"/>
      <c r="O580" s="637"/>
      <c r="P580" s="637"/>
      <c r="Q580" s="637"/>
      <c r="R580" s="637"/>
      <c r="S580" s="637"/>
      <c r="T580" s="637"/>
      <c r="U580" s="637"/>
      <c r="V580" s="637"/>
      <c r="W580" s="637"/>
      <c r="X580" s="637"/>
      <c r="Y580" s="637"/>
      <c r="Z580" s="637"/>
      <c r="AA580" s="637"/>
      <c r="AB580" s="637"/>
      <c r="AC580" s="637"/>
      <c r="AD580" s="640"/>
      <c r="AE580" s="606"/>
      <c r="AF580" s="606"/>
      <c r="AG580" s="606"/>
      <c r="AH580" s="606"/>
    </row>
    <row r="581" spans="1:34" s="612" customFormat="1" outlineLevel="2" x14ac:dyDescent="0.2">
      <c r="A581" s="606"/>
      <c r="B581" s="606"/>
      <c r="C581" s="607"/>
      <c r="D581" s="608"/>
      <c r="E581" s="608"/>
      <c r="F581" s="608"/>
      <c r="G581" s="608"/>
      <c r="H581" s="609"/>
      <c r="I581" s="637"/>
      <c r="J581" s="637"/>
      <c r="K581" s="637"/>
      <c r="L581" s="637"/>
      <c r="M581" s="637"/>
      <c r="N581" s="637"/>
      <c r="O581" s="637"/>
      <c r="P581" s="637"/>
      <c r="Q581" s="637"/>
      <c r="R581" s="637"/>
      <c r="S581" s="637"/>
      <c r="T581" s="637"/>
      <c r="U581" s="637"/>
      <c r="V581" s="637"/>
      <c r="W581" s="637"/>
      <c r="X581" s="637"/>
      <c r="Y581" s="637"/>
      <c r="Z581" s="637"/>
      <c r="AA581" s="637"/>
      <c r="AB581" s="637"/>
      <c r="AC581" s="637"/>
      <c r="AD581" s="640"/>
      <c r="AE581" s="606"/>
      <c r="AF581" s="606"/>
      <c r="AG581" s="606"/>
      <c r="AH581" s="606"/>
    </row>
    <row r="582" spans="1:34" s="612" customFormat="1" outlineLevel="2" x14ac:dyDescent="0.2">
      <c r="A582" s="606"/>
      <c r="B582" s="606"/>
      <c r="C582" s="607"/>
      <c r="D582" s="608"/>
      <c r="E582" s="608"/>
      <c r="F582" s="608"/>
      <c r="G582" s="608"/>
      <c r="H582" s="609"/>
      <c r="I582" s="637"/>
      <c r="J582" s="637"/>
      <c r="K582" s="637"/>
      <c r="L582" s="637"/>
      <c r="M582" s="637"/>
      <c r="N582" s="637"/>
      <c r="O582" s="637"/>
      <c r="P582" s="637"/>
      <c r="Q582" s="637"/>
      <c r="R582" s="637"/>
      <c r="S582" s="637"/>
      <c r="T582" s="637"/>
      <c r="U582" s="637"/>
      <c r="V582" s="637"/>
      <c r="W582" s="637"/>
      <c r="X582" s="637"/>
      <c r="Y582" s="637"/>
      <c r="Z582" s="637"/>
      <c r="AA582" s="637"/>
      <c r="AB582" s="637"/>
      <c r="AC582" s="637"/>
      <c r="AD582" s="640"/>
      <c r="AE582" s="606"/>
      <c r="AF582" s="606"/>
      <c r="AG582" s="606"/>
      <c r="AH582" s="606"/>
    </row>
    <row r="583" spans="1:34" s="612" customFormat="1" outlineLevel="2" x14ac:dyDescent="0.2">
      <c r="A583" s="606"/>
      <c r="B583" s="606"/>
      <c r="C583" s="607"/>
      <c r="D583" s="608"/>
      <c r="E583" s="608"/>
      <c r="F583" s="608"/>
      <c r="G583" s="608"/>
      <c r="H583" s="609"/>
      <c r="I583" s="637"/>
      <c r="J583" s="637"/>
      <c r="K583" s="637"/>
      <c r="L583" s="637"/>
      <c r="M583" s="637"/>
      <c r="N583" s="637"/>
      <c r="O583" s="637"/>
      <c r="P583" s="637"/>
      <c r="Q583" s="637"/>
      <c r="R583" s="637"/>
      <c r="S583" s="637"/>
      <c r="T583" s="637"/>
      <c r="U583" s="637"/>
      <c r="V583" s="637"/>
      <c r="W583" s="637"/>
      <c r="X583" s="637"/>
      <c r="Y583" s="637"/>
      <c r="Z583" s="637"/>
      <c r="AA583" s="637"/>
      <c r="AB583" s="637"/>
      <c r="AC583" s="637"/>
      <c r="AD583" s="640"/>
      <c r="AE583" s="606"/>
      <c r="AF583" s="606"/>
      <c r="AG583" s="606"/>
      <c r="AH583" s="606"/>
    </row>
    <row r="584" spans="1:34" s="612" customFormat="1" outlineLevel="2" x14ac:dyDescent="0.2">
      <c r="A584" s="606"/>
      <c r="B584" s="606"/>
      <c r="C584" s="607"/>
      <c r="D584" s="608"/>
      <c r="E584" s="608"/>
      <c r="F584" s="608"/>
      <c r="G584" s="608"/>
      <c r="H584" s="609"/>
      <c r="I584" s="637"/>
      <c r="J584" s="637"/>
      <c r="K584" s="637"/>
      <c r="L584" s="637"/>
      <c r="M584" s="637"/>
      <c r="N584" s="637"/>
      <c r="O584" s="637"/>
      <c r="P584" s="637"/>
      <c r="Q584" s="637"/>
      <c r="R584" s="637"/>
      <c r="S584" s="637"/>
      <c r="T584" s="637"/>
      <c r="U584" s="637"/>
      <c r="V584" s="637"/>
      <c r="W584" s="637"/>
      <c r="X584" s="637"/>
      <c r="Y584" s="637"/>
      <c r="Z584" s="637"/>
      <c r="AA584" s="637"/>
      <c r="AB584" s="637"/>
      <c r="AC584" s="637"/>
      <c r="AD584" s="640"/>
      <c r="AE584" s="606"/>
      <c r="AF584" s="606"/>
      <c r="AG584" s="606"/>
      <c r="AH584" s="606"/>
    </row>
    <row r="585" spans="1:34" s="612" customFormat="1" outlineLevel="2" x14ac:dyDescent="0.2">
      <c r="A585" s="606"/>
      <c r="B585" s="606"/>
      <c r="C585" s="630"/>
      <c r="D585" s="608"/>
      <c r="E585" s="608"/>
      <c r="F585" s="608"/>
      <c r="G585" s="608"/>
      <c r="H585" s="609"/>
      <c r="I585" s="637"/>
      <c r="J585" s="637"/>
      <c r="K585" s="637"/>
      <c r="L585" s="637"/>
      <c r="M585" s="637"/>
      <c r="N585" s="637"/>
      <c r="O585" s="637"/>
      <c r="P585" s="637"/>
      <c r="Q585" s="637"/>
      <c r="R585" s="637"/>
      <c r="S585" s="637"/>
      <c r="T585" s="637"/>
      <c r="U585" s="637"/>
      <c r="V585" s="637"/>
      <c r="W585" s="637"/>
      <c r="X585" s="637"/>
      <c r="Y585" s="637"/>
      <c r="Z585" s="637"/>
      <c r="AA585" s="637"/>
      <c r="AB585" s="637"/>
      <c r="AC585" s="637"/>
      <c r="AD585" s="640"/>
      <c r="AE585" s="606"/>
      <c r="AF585" s="606"/>
      <c r="AG585" s="606"/>
      <c r="AH585" s="606"/>
    </row>
    <row r="586" spans="1:34" s="612" customFormat="1" outlineLevel="2" x14ac:dyDescent="0.2">
      <c r="A586" s="606"/>
      <c r="B586" s="606"/>
      <c r="C586" s="607"/>
      <c r="D586" s="608"/>
      <c r="E586" s="608"/>
      <c r="F586" s="608"/>
      <c r="G586" s="608"/>
      <c r="H586" s="609"/>
      <c r="I586" s="637"/>
      <c r="J586" s="637"/>
      <c r="K586" s="637"/>
      <c r="L586" s="637"/>
      <c r="M586" s="637"/>
      <c r="N586" s="637"/>
      <c r="O586" s="637"/>
      <c r="P586" s="637"/>
      <c r="Q586" s="637"/>
      <c r="R586" s="637"/>
      <c r="S586" s="637"/>
      <c r="T586" s="637"/>
      <c r="U586" s="637"/>
      <c r="V586" s="637"/>
      <c r="W586" s="637"/>
      <c r="X586" s="637"/>
      <c r="Y586" s="637"/>
      <c r="Z586" s="637"/>
      <c r="AA586" s="637"/>
      <c r="AB586" s="637"/>
      <c r="AC586" s="637"/>
      <c r="AD586" s="640"/>
      <c r="AE586" s="606"/>
      <c r="AF586" s="606"/>
      <c r="AG586" s="606"/>
      <c r="AH586" s="606"/>
    </row>
    <row r="587" spans="1:34" s="612" customFormat="1" outlineLevel="2" x14ac:dyDescent="0.2">
      <c r="A587" s="606"/>
      <c r="B587" s="606"/>
      <c r="C587" s="607"/>
      <c r="D587" s="608"/>
      <c r="E587" s="608"/>
      <c r="F587" s="608"/>
      <c r="G587" s="608"/>
      <c r="H587" s="609"/>
      <c r="I587" s="637"/>
      <c r="J587" s="637"/>
      <c r="K587" s="637"/>
      <c r="L587" s="637"/>
      <c r="M587" s="637"/>
      <c r="N587" s="637"/>
      <c r="O587" s="637"/>
      <c r="P587" s="637"/>
      <c r="Q587" s="637"/>
      <c r="R587" s="637"/>
      <c r="S587" s="637"/>
      <c r="T587" s="637"/>
      <c r="U587" s="637"/>
      <c r="V587" s="637"/>
      <c r="W587" s="637"/>
      <c r="X587" s="637"/>
      <c r="Y587" s="637"/>
      <c r="Z587" s="637"/>
      <c r="AA587" s="637"/>
      <c r="AB587" s="637"/>
      <c r="AC587" s="637"/>
      <c r="AD587" s="640"/>
      <c r="AE587" s="606"/>
      <c r="AF587" s="606"/>
      <c r="AG587" s="606"/>
      <c r="AH587" s="606"/>
    </row>
    <row r="588" spans="1:34" s="612" customFormat="1" outlineLevel="2" x14ac:dyDescent="0.2">
      <c r="A588" s="606"/>
      <c r="B588" s="606"/>
      <c r="C588" s="607"/>
      <c r="D588" s="608"/>
      <c r="E588" s="608"/>
      <c r="F588" s="608"/>
      <c r="G588" s="608"/>
      <c r="H588" s="609"/>
      <c r="I588" s="637"/>
      <c r="J588" s="637"/>
      <c r="K588" s="637"/>
      <c r="L588" s="637"/>
      <c r="M588" s="637"/>
      <c r="N588" s="637"/>
      <c r="O588" s="637"/>
      <c r="P588" s="637"/>
      <c r="Q588" s="637"/>
      <c r="R588" s="637"/>
      <c r="S588" s="637"/>
      <c r="T588" s="637"/>
      <c r="U588" s="637"/>
      <c r="V588" s="637"/>
      <c r="W588" s="637"/>
      <c r="X588" s="637"/>
      <c r="Y588" s="637"/>
      <c r="Z588" s="637"/>
      <c r="AA588" s="637"/>
      <c r="AB588" s="637"/>
      <c r="AC588" s="637"/>
      <c r="AD588" s="640"/>
      <c r="AE588" s="606"/>
      <c r="AF588" s="606"/>
      <c r="AG588" s="606"/>
      <c r="AH588" s="606"/>
    </row>
    <row r="589" spans="1:34" s="612" customFormat="1" outlineLevel="2" x14ac:dyDescent="0.2">
      <c r="A589" s="606"/>
      <c r="B589" s="606"/>
      <c r="C589" s="607"/>
      <c r="D589" s="608"/>
      <c r="E589" s="608"/>
      <c r="F589" s="608"/>
      <c r="G589" s="608"/>
      <c r="H589" s="609"/>
      <c r="I589" s="637"/>
      <c r="J589" s="637"/>
      <c r="K589" s="637"/>
      <c r="L589" s="637"/>
      <c r="M589" s="637"/>
      <c r="N589" s="637"/>
      <c r="O589" s="637"/>
      <c r="P589" s="637"/>
      <c r="Q589" s="637"/>
      <c r="R589" s="637"/>
      <c r="S589" s="637"/>
      <c r="T589" s="637"/>
      <c r="U589" s="637"/>
      <c r="V589" s="637"/>
      <c r="W589" s="637"/>
      <c r="X589" s="637"/>
      <c r="Y589" s="637"/>
      <c r="Z589" s="637"/>
      <c r="AA589" s="637"/>
      <c r="AB589" s="637"/>
      <c r="AC589" s="637"/>
      <c r="AD589" s="640"/>
      <c r="AE589" s="606"/>
      <c r="AF589" s="606"/>
      <c r="AG589" s="606"/>
      <c r="AH589" s="606"/>
    </row>
    <row r="590" spans="1:34" s="612" customFormat="1" outlineLevel="2" x14ac:dyDescent="0.2">
      <c r="A590" s="606"/>
      <c r="B590" s="606"/>
      <c r="C590" s="607"/>
      <c r="D590" s="608"/>
      <c r="E590" s="608"/>
      <c r="F590" s="608"/>
      <c r="G590" s="608"/>
      <c r="H590" s="609"/>
      <c r="I590" s="637"/>
      <c r="J590" s="637"/>
      <c r="K590" s="637"/>
      <c r="L590" s="637"/>
      <c r="M590" s="637"/>
      <c r="N590" s="637"/>
      <c r="O590" s="637"/>
      <c r="P590" s="637"/>
      <c r="Q590" s="637"/>
      <c r="R590" s="637"/>
      <c r="S590" s="637"/>
      <c r="T590" s="637"/>
      <c r="U590" s="637"/>
      <c r="V590" s="637"/>
      <c r="W590" s="637"/>
      <c r="X590" s="637"/>
      <c r="Y590" s="637"/>
      <c r="Z590" s="637"/>
      <c r="AA590" s="637"/>
      <c r="AB590" s="637"/>
      <c r="AC590" s="637"/>
      <c r="AD590" s="640"/>
      <c r="AE590" s="606"/>
      <c r="AF590" s="606"/>
      <c r="AG590" s="606"/>
      <c r="AH590" s="606"/>
    </row>
    <row r="591" spans="1:34" s="612" customFormat="1" hidden="1" outlineLevel="3" x14ac:dyDescent="0.2">
      <c r="A591" s="606"/>
      <c r="B591" s="606"/>
      <c r="C591" s="607"/>
      <c r="D591" s="608"/>
      <c r="E591" s="608"/>
      <c r="F591" s="608"/>
      <c r="G591" s="608"/>
      <c r="H591" s="609"/>
      <c r="I591" s="637"/>
      <c r="J591" s="637"/>
      <c r="K591" s="637"/>
      <c r="L591" s="637"/>
      <c r="M591" s="637"/>
      <c r="N591" s="637"/>
      <c r="O591" s="637"/>
      <c r="P591" s="637"/>
      <c r="Q591" s="637"/>
      <c r="R591" s="637"/>
      <c r="S591" s="637"/>
      <c r="T591" s="637"/>
      <c r="U591" s="637"/>
      <c r="V591" s="637"/>
      <c r="W591" s="637"/>
      <c r="X591" s="637"/>
      <c r="Y591" s="637"/>
      <c r="Z591" s="637"/>
      <c r="AA591" s="637"/>
      <c r="AB591" s="637"/>
      <c r="AC591" s="637"/>
      <c r="AD591" s="640"/>
      <c r="AE591" s="606"/>
      <c r="AF591" s="606"/>
      <c r="AG591" s="606"/>
      <c r="AH591" s="606"/>
    </row>
    <row r="592" spans="1:34" s="612" customFormat="1" hidden="1" outlineLevel="3" x14ac:dyDescent="0.2">
      <c r="A592" s="606"/>
      <c r="B592" s="606"/>
      <c r="C592" s="607"/>
      <c r="D592" s="608"/>
      <c r="E592" s="608"/>
      <c r="F592" s="608"/>
      <c r="G592" s="608"/>
      <c r="H592" s="609"/>
      <c r="I592" s="637"/>
      <c r="J592" s="637"/>
      <c r="K592" s="637"/>
      <c r="L592" s="637"/>
      <c r="M592" s="637"/>
      <c r="N592" s="637"/>
      <c r="O592" s="637"/>
      <c r="P592" s="637"/>
      <c r="Q592" s="637"/>
      <c r="R592" s="637"/>
      <c r="S592" s="637"/>
      <c r="T592" s="637"/>
      <c r="U592" s="637"/>
      <c r="V592" s="637"/>
      <c r="W592" s="637"/>
      <c r="X592" s="637"/>
      <c r="Y592" s="637"/>
      <c r="Z592" s="637"/>
      <c r="AA592" s="637"/>
      <c r="AB592" s="637"/>
      <c r="AC592" s="637"/>
      <c r="AD592" s="640"/>
      <c r="AE592" s="606"/>
      <c r="AF592" s="606"/>
      <c r="AG592" s="606"/>
      <c r="AH592" s="606"/>
    </row>
    <row r="593" spans="1:34" s="612" customFormat="1" hidden="1" outlineLevel="3" x14ac:dyDescent="0.2">
      <c r="A593" s="606"/>
      <c r="B593" s="606"/>
      <c r="C593" s="607"/>
      <c r="D593" s="608"/>
      <c r="E593" s="608"/>
      <c r="F593" s="608"/>
      <c r="G593" s="608"/>
      <c r="H593" s="609"/>
      <c r="I593" s="637"/>
      <c r="J593" s="637"/>
      <c r="K593" s="637"/>
      <c r="L593" s="637"/>
      <c r="M593" s="637"/>
      <c r="N593" s="637"/>
      <c r="O593" s="637"/>
      <c r="P593" s="637"/>
      <c r="Q593" s="637"/>
      <c r="R593" s="637"/>
      <c r="S593" s="637"/>
      <c r="T593" s="637"/>
      <c r="U593" s="637"/>
      <c r="V593" s="637"/>
      <c r="W593" s="637"/>
      <c r="X593" s="637"/>
      <c r="Y593" s="637"/>
      <c r="Z593" s="637"/>
      <c r="AA593" s="637"/>
      <c r="AB593" s="637"/>
      <c r="AC593" s="637"/>
      <c r="AD593" s="640"/>
      <c r="AE593" s="606"/>
      <c r="AF593" s="606"/>
      <c r="AG593" s="606"/>
      <c r="AH593" s="606"/>
    </row>
    <row r="594" spans="1:34" s="612" customFormat="1" hidden="1" outlineLevel="3" x14ac:dyDescent="0.2">
      <c r="A594" s="606"/>
      <c r="B594" s="606"/>
      <c r="C594" s="607"/>
      <c r="D594" s="608"/>
      <c r="E594" s="608"/>
      <c r="F594" s="608"/>
      <c r="G594" s="608"/>
      <c r="H594" s="609"/>
      <c r="I594" s="637"/>
      <c r="J594" s="637"/>
      <c r="K594" s="637"/>
      <c r="L594" s="637"/>
      <c r="M594" s="637"/>
      <c r="N594" s="637"/>
      <c r="O594" s="637"/>
      <c r="P594" s="637"/>
      <c r="Q594" s="637"/>
      <c r="R594" s="637"/>
      <c r="S594" s="637"/>
      <c r="T594" s="637"/>
      <c r="U594" s="637"/>
      <c r="V594" s="637"/>
      <c r="W594" s="637"/>
      <c r="X594" s="637"/>
      <c r="Y594" s="637"/>
      <c r="Z594" s="637"/>
      <c r="AA594" s="637"/>
      <c r="AB594" s="637"/>
      <c r="AC594" s="637"/>
      <c r="AD594" s="640"/>
      <c r="AE594" s="606"/>
      <c r="AF594" s="606"/>
      <c r="AG594" s="606"/>
      <c r="AH594" s="606"/>
    </row>
    <row r="595" spans="1:34" s="612" customFormat="1" hidden="1" outlineLevel="3" x14ac:dyDescent="0.2">
      <c r="A595" s="606"/>
      <c r="B595" s="606"/>
      <c r="C595" s="607"/>
      <c r="D595" s="608"/>
      <c r="E595" s="608"/>
      <c r="F595" s="608"/>
      <c r="G595" s="608"/>
      <c r="H595" s="609"/>
      <c r="I595" s="637"/>
      <c r="J595" s="637"/>
      <c r="K595" s="637"/>
      <c r="L595" s="637"/>
      <c r="M595" s="637"/>
      <c r="N595" s="637"/>
      <c r="O595" s="637"/>
      <c r="P595" s="637"/>
      <c r="Q595" s="637"/>
      <c r="R595" s="637"/>
      <c r="S595" s="637"/>
      <c r="T595" s="637"/>
      <c r="U595" s="637"/>
      <c r="V595" s="637"/>
      <c r="W595" s="637"/>
      <c r="X595" s="637"/>
      <c r="Y595" s="637"/>
      <c r="Z595" s="637"/>
      <c r="AA595" s="637"/>
      <c r="AB595" s="637"/>
      <c r="AC595" s="637"/>
      <c r="AD595" s="640"/>
      <c r="AE595" s="606"/>
      <c r="AF595" s="606"/>
      <c r="AG595" s="606"/>
      <c r="AH595" s="606"/>
    </row>
    <row r="596" spans="1:34" s="612" customFormat="1" hidden="1" outlineLevel="3" x14ac:dyDescent="0.2">
      <c r="A596" s="606"/>
      <c r="B596" s="606"/>
      <c r="C596" s="607"/>
      <c r="D596" s="608"/>
      <c r="E596" s="608"/>
      <c r="F596" s="608"/>
      <c r="G596" s="608"/>
      <c r="H596" s="609"/>
      <c r="I596" s="637"/>
      <c r="J596" s="637"/>
      <c r="K596" s="637"/>
      <c r="L596" s="637"/>
      <c r="M596" s="637"/>
      <c r="N596" s="637"/>
      <c r="O596" s="637"/>
      <c r="P596" s="637"/>
      <c r="Q596" s="637"/>
      <c r="R596" s="637"/>
      <c r="S596" s="637"/>
      <c r="T596" s="637"/>
      <c r="U596" s="637"/>
      <c r="V596" s="637"/>
      <c r="W596" s="637"/>
      <c r="X596" s="637"/>
      <c r="Y596" s="637"/>
      <c r="Z596" s="637"/>
      <c r="AA596" s="637"/>
      <c r="AB596" s="637"/>
      <c r="AC596" s="637"/>
      <c r="AD596" s="640"/>
      <c r="AE596" s="606"/>
      <c r="AF596" s="606"/>
      <c r="AG596" s="606"/>
      <c r="AH596" s="606"/>
    </row>
    <row r="597" spans="1:34" s="612" customFormat="1" hidden="1" outlineLevel="3" x14ac:dyDescent="0.2">
      <c r="A597" s="606"/>
      <c r="B597" s="606"/>
      <c r="C597" s="607"/>
      <c r="D597" s="608"/>
      <c r="E597" s="608"/>
      <c r="F597" s="608"/>
      <c r="G597" s="608"/>
      <c r="H597" s="609"/>
      <c r="I597" s="637"/>
      <c r="J597" s="637"/>
      <c r="K597" s="637"/>
      <c r="L597" s="637"/>
      <c r="M597" s="637"/>
      <c r="N597" s="637"/>
      <c r="O597" s="637"/>
      <c r="P597" s="637"/>
      <c r="Q597" s="637"/>
      <c r="R597" s="637"/>
      <c r="S597" s="637"/>
      <c r="T597" s="637"/>
      <c r="U597" s="637"/>
      <c r="V597" s="637"/>
      <c r="W597" s="637"/>
      <c r="X597" s="637"/>
      <c r="Y597" s="637"/>
      <c r="Z597" s="637"/>
      <c r="AA597" s="637"/>
      <c r="AB597" s="637"/>
      <c r="AC597" s="637"/>
      <c r="AD597" s="640"/>
      <c r="AE597" s="606"/>
      <c r="AF597" s="606"/>
      <c r="AG597" s="606"/>
      <c r="AH597" s="606"/>
    </row>
    <row r="598" spans="1:34" s="612" customFormat="1" hidden="1" outlineLevel="3" x14ac:dyDescent="0.2">
      <c r="A598" s="606"/>
      <c r="B598" s="606"/>
      <c r="C598" s="607"/>
      <c r="D598" s="608"/>
      <c r="E598" s="608"/>
      <c r="F598" s="608"/>
      <c r="G598" s="608"/>
      <c r="H598" s="609"/>
      <c r="I598" s="637"/>
      <c r="J598" s="637"/>
      <c r="K598" s="637"/>
      <c r="L598" s="637"/>
      <c r="M598" s="637"/>
      <c r="N598" s="637"/>
      <c r="O598" s="637"/>
      <c r="P598" s="637"/>
      <c r="Q598" s="637"/>
      <c r="R598" s="637"/>
      <c r="S598" s="637"/>
      <c r="T598" s="637"/>
      <c r="U598" s="637"/>
      <c r="V598" s="637"/>
      <c r="W598" s="637"/>
      <c r="X598" s="637"/>
      <c r="Y598" s="637"/>
      <c r="Z598" s="637"/>
      <c r="AA598" s="637"/>
      <c r="AB598" s="637"/>
      <c r="AC598" s="637"/>
      <c r="AD598" s="640"/>
      <c r="AE598" s="606"/>
      <c r="AF598" s="606"/>
      <c r="AG598" s="606"/>
      <c r="AH598" s="606"/>
    </row>
    <row r="599" spans="1:34" s="612" customFormat="1" hidden="1" outlineLevel="3" x14ac:dyDescent="0.2">
      <c r="A599" s="606"/>
      <c r="B599" s="606"/>
      <c r="C599" s="607"/>
      <c r="D599" s="608"/>
      <c r="E599" s="608"/>
      <c r="F599" s="608"/>
      <c r="G599" s="608"/>
      <c r="H599" s="609"/>
      <c r="I599" s="637"/>
      <c r="J599" s="637"/>
      <c r="K599" s="637"/>
      <c r="L599" s="637"/>
      <c r="M599" s="637"/>
      <c r="N599" s="637"/>
      <c r="O599" s="637"/>
      <c r="P599" s="637"/>
      <c r="Q599" s="637"/>
      <c r="R599" s="637"/>
      <c r="S599" s="637"/>
      <c r="T599" s="637"/>
      <c r="U599" s="637"/>
      <c r="V599" s="637"/>
      <c r="W599" s="637"/>
      <c r="X599" s="637"/>
      <c r="Y599" s="637"/>
      <c r="Z599" s="637"/>
      <c r="AA599" s="637"/>
      <c r="AB599" s="637"/>
      <c r="AC599" s="637"/>
      <c r="AD599" s="640"/>
      <c r="AE599" s="606"/>
      <c r="AF599" s="606"/>
      <c r="AG599" s="606"/>
      <c r="AH599" s="606"/>
    </row>
    <row r="600" spans="1:34" s="612" customFormat="1" hidden="1" outlineLevel="3" x14ac:dyDescent="0.2">
      <c r="A600" s="606"/>
      <c r="B600" s="606"/>
      <c r="C600" s="607"/>
      <c r="D600" s="608"/>
      <c r="E600" s="608"/>
      <c r="F600" s="608"/>
      <c r="G600" s="608"/>
      <c r="H600" s="609"/>
      <c r="I600" s="637"/>
      <c r="J600" s="637"/>
      <c r="K600" s="637"/>
      <c r="L600" s="637"/>
      <c r="M600" s="637"/>
      <c r="N600" s="637"/>
      <c r="O600" s="637"/>
      <c r="P600" s="637"/>
      <c r="Q600" s="637"/>
      <c r="R600" s="637"/>
      <c r="S600" s="637"/>
      <c r="T600" s="637"/>
      <c r="U600" s="637"/>
      <c r="V600" s="637"/>
      <c r="W600" s="637"/>
      <c r="X600" s="637"/>
      <c r="Y600" s="637"/>
      <c r="Z600" s="637"/>
      <c r="AA600" s="637"/>
      <c r="AB600" s="637"/>
      <c r="AC600" s="637"/>
      <c r="AD600" s="640"/>
      <c r="AE600" s="606"/>
      <c r="AF600" s="606"/>
      <c r="AG600" s="606"/>
      <c r="AH600" s="606"/>
    </row>
    <row r="601" spans="1:34" s="612" customFormat="1" hidden="1" outlineLevel="3" x14ac:dyDescent="0.2">
      <c r="A601" s="606"/>
      <c r="B601" s="606"/>
      <c r="C601" s="607"/>
      <c r="D601" s="608"/>
      <c r="E601" s="608"/>
      <c r="F601" s="608"/>
      <c r="G601" s="608"/>
      <c r="H601" s="609"/>
      <c r="I601" s="637"/>
      <c r="J601" s="637"/>
      <c r="K601" s="637"/>
      <c r="L601" s="637"/>
      <c r="M601" s="637"/>
      <c r="N601" s="637"/>
      <c r="O601" s="637"/>
      <c r="P601" s="637"/>
      <c r="Q601" s="637"/>
      <c r="R601" s="637"/>
      <c r="S601" s="637"/>
      <c r="T601" s="637"/>
      <c r="U601" s="637"/>
      <c r="V601" s="637"/>
      <c r="W601" s="637"/>
      <c r="X601" s="637"/>
      <c r="Y601" s="637"/>
      <c r="Z601" s="637"/>
      <c r="AA601" s="637"/>
      <c r="AB601" s="637"/>
      <c r="AC601" s="637"/>
      <c r="AD601" s="640"/>
      <c r="AE601" s="606"/>
      <c r="AF601" s="606"/>
      <c r="AG601" s="606"/>
      <c r="AH601" s="606"/>
    </row>
    <row r="602" spans="1:34" s="612" customFormat="1" hidden="1" outlineLevel="3" x14ac:dyDescent="0.2">
      <c r="A602" s="606"/>
      <c r="B602" s="606"/>
      <c r="C602" s="607"/>
      <c r="D602" s="608"/>
      <c r="E602" s="608"/>
      <c r="F602" s="608"/>
      <c r="G602" s="608"/>
      <c r="H602" s="609"/>
      <c r="I602" s="637"/>
      <c r="J602" s="637"/>
      <c r="K602" s="637"/>
      <c r="L602" s="637"/>
      <c r="M602" s="637"/>
      <c r="N602" s="637"/>
      <c r="O602" s="637"/>
      <c r="P602" s="637"/>
      <c r="Q602" s="637"/>
      <c r="R602" s="637"/>
      <c r="S602" s="637"/>
      <c r="T602" s="637"/>
      <c r="U602" s="637"/>
      <c r="V602" s="637"/>
      <c r="W602" s="637"/>
      <c r="X602" s="637"/>
      <c r="Y602" s="637"/>
      <c r="Z602" s="637"/>
      <c r="AA602" s="637"/>
      <c r="AB602" s="637"/>
      <c r="AC602" s="637"/>
      <c r="AD602" s="640"/>
      <c r="AE602" s="606"/>
      <c r="AF602" s="606"/>
      <c r="AG602" s="606"/>
      <c r="AH602" s="606"/>
    </row>
    <row r="603" spans="1:34" s="612" customFormat="1" hidden="1" outlineLevel="3" x14ac:dyDescent="0.2">
      <c r="A603" s="606"/>
      <c r="B603" s="606"/>
      <c r="C603" s="607"/>
      <c r="D603" s="608"/>
      <c r="E603" s="608"/>
      <c r="F603" s="608"/>
      <c r="G603" s="608"/>
      <c r="H603" s="609"/>
      <c r="I603" s="637"/>
      <c r="J603" s="637"/>
      <c r="K603" s="637"/>
      <c r="L603" s="637"/>
      <c r="M603" s="637"/>
      <c r="N603" s="637"/>
      <c r="O603" s="637"/>
      <c r="P603" s="637"/>
      <c r="Q603" s="637"/>
      <c r="R603" s="637"/>
      <c r="S603" s="637"/>
      <c r="T603" s="637"/>
      <c r="U603" s="637"/>
      <c r="V603" s="637"/>
      <c r="W603" s="637"/>
      <c r="X603" s="637"/>
      <c r="Y603" s="637"/>
      <c r="Z603" s="637"/>
      <c r="AA603" s="637"/>
      <c r="AB603" s="637"/>
      <c r="AC603" s="637"/>
      <c r="AD603" s="640"/>
      <c r="AE603" s="606"/>
      <c r="AF603" s="606"/>
      <c r="AG603" s="606"/>
      <c r="AH603" s="606"/>
    </row>
    <row r="604" spans="1:34" s="612" customFormat="1" hidden="1" outlineLevel="3" x14ac:dyDescent="0.2">
      <c r="A604" s="606"/>
      <c r="B604" s="606"/>
      <c r="C604" s="607"/>
      <c r="D604" s="608"/>
      <c r="E604" s="608"/>
      <c r="F604" s="608"/>
      <c r="G604" s="608"/>
      <c r="H604" s="609"/>
      <c r="I604" s="637"/>
      <c r="J604" s="637"/>
      <c r="K604" s="637"/>
      <c r="L604" s="637"/>
      <c r="M604" s="637"/>
      <c r="N604" s="637"/>
      <c r="O604" s="637"/>
      <c r="P604" s="637"/>
      <c r="Q604" s="637"/>
      <c r="R604" s="637"/>
      <c r="S604" s="637"/>
      <c r="T604" s="637"/>
      <c r="U604" s="637"/>
      <c r="V604" s="637"/>
      <c r="W604" s="637"/>
      <c r="X604" s="637"/>
      <c r="Y604" s="637"/>
      <c r="Z604" s="637"/>
      <c r="AA604" s="637"/>
      <c r="AB604" s="637"/>
      <c r="AC604" s="637"/>
      <c r="AD604" s="640"/>
      <c r="AE604" s="606"/>
      <c r="AF604" s="606"/>
      <c r="AG604" s="606"/>
      <c r="AH604" s="606"/>
    </row>
    <row r="605" spans="1:34" s="612" customFormat="1" hidden="1" outlineLevel="3" x14ac:dyDescent="0.2">
      <c r="A605" s="606"/>
      <c r="B605" s="606"/>
      <c r="C605" s="607"/>
      <c r="D605" s="608"/>
      <c r="E605" s="608"/>
      <c r="F605" s="608"/>
      <c r="G605" s="608"/>
      <c r="H605" s="609"/>
      <c r="I605" s="637"/>
      <c r="J605" s="637"/>
      <c r="K605" s="637"/>
      <c r="L605" s="637"/>
      <c r="M605" s="637"/>
      <c r="N605" s="637"/>
      <c r="O605" s="637"/>
      <c r="P605" s="637"/>
      <c r="Q605" s="637"/>
      <c r="R605" s="637"/>
      <c r="S605" s="637"/>
      <c r="T605" s="637"/>
      <c r="U605" s="637"/>
      <c r="V605" s="637"/>
      <c r="W605" s="637"/>
      <c r="X605" s="637"/>
      <c r="Y605" s="637"/>
      <c r="Z605" s="637"/>
      <c r="AA605" s="637"/>
      <c r="AB605" s="637"/>
      <c r="AC605" s="637"/>
      <c r="AD605" s="640"/>
      <c r="AE605" s="606"/>
      <c r="AF605" s="606"/>
      <c r="AG605" s="606"/>
      <c r="AH605" s="606"/>
    </row>
    <row r="606" spans="1:34" s="612" customFormat="1" hidden="1" outlineLevel="3" x14ac:dyDescent="0.2">
      <c r="A606" s="606"/>
      <c r="B606" s="606"/>
      <c r="C606" s="607"/>
      <c r="D606" s="608"/>
      <c r="E606" s="608"/>
      <c r="F606" s="608"/>
      <c r="G606" s="608"/>
      <c r="H606" s="609"/>
      <c r="I606" s="637"/>
      <c r="J606" s="637"/>
      <c r="K606" s="637"/>
      <c r="L606" s="637"/>
      <c r="M606" s="637"/>
      <c r="N606" s="637"/>
      <c r="O606" s="637"/>
      <c r="P606" s="637"/>
      <c r="Q606" s="637"/>
      <c r="R606" s="637"/>
      <c r="S606" s="637"/>
      <c r="T606" s="637"/>
      <c r="U606" s="637"/>
      <c r="V606" s="637"/>
      <c r="W606" s="637"/>
      <c r="X606" s="637"/>
      <c r="Y606" s="637"/>
      <c r="Z606" s="637"/>
      <c r="AA606" s="637"/>
      <c r="AB606" s="637"/>
      <c r="AC606" s="637"/>
      <c r="AD606" s="640"/>
      <c r="AE606" s="606"/>
      <c r="AF606" s="606"/>
      <c r="AG606" s="606"/>
      <c r="AH606" s="606"/>
    </row>
    <row r="607" spans="1:34" s="612" customFormat="1" hidden="1" outlineLevel="3" x14ac:dyDescent="0.2">
      <c r="A607" s="606"/>
      <c r="B607" s="606"/>
      <c r="C607" s="607"/>
      <c r="D607" s="608"/>
      <c r="E607" s="608"/>
      <c r="F607" s="608"/>
      <c r="G607" s="608"/>
      <c r="H607" s="609"/>
      <c r="I607" s="637"/>
      <c r="J607" s="637"/>
      <c r="K607" s="637"/>
      <c r="L607" s="637"/>
      <c r="M607" s="637"/>
      <c r="N607" s="637"/>
      <c r="O607" s="637"/>
      <c r="P607" s="637"/>
      <c r="Q607" s="637"/>
      <c r="R607" s="637"/>
      <c r="S607" s="637"/>
      <c r="T607" s="637"/>
      <c r="U607" s="637"/>
      <c r="V607" s="637"/>
      <c r="W607" s="637"/>
      <c r="X607" s="637"/>
      <c r="Y607" s="637"/>
      <c r="Z607" s="637"/>
      <c r="AA607" s="637"/>
      <c r="AB607" s="637"/>
      <c r="AC607" s="637"/>
      <c r="AD607" s="640"/>
      <c r="AE607" s="606"/>
      <c r="AF607" s="606"/>
      <c r="AG607" s="606"/>
      <c r="AH607" s="606"/>
    </row>
    <row r="608" spans="1:34" s="612" customFormat="1" hidden="1" outlineLevel="3" x14ac:dyDescent="0.2">
      <c r="A608" s="606"/>
      <c r="B608" s="606"/>
      <c r="C608" s="607"/>
      <c r="D608" s="608"/>
      <c r="E608" s="608"/>
      <c r="F608" s="608"/>
      <c r="G608" s="608"/>
      <c r="H608" s="609"/>
      <c r="I608" s="637"/>
      <c r="J608" s="637"/>
      <c r="K608" s="637"/>
      <c r="L608" s="637"/>
      <c r="M608" s="637"/>
      <c r="N608" s="637"/>
      <c r="O608" s="637"/>
      <c r="P608" s="637"/>
      <c r="Q608" s="637"/>
      <c r="R608" s="637"/>
      <c r="S608" s="637"/>
      <c r="T608" s="637"/>
      <c r="U608" s="637"/>
      <c r="V608" s="637"/>
      <c r="W608" s="637"/>
      <c r="X608" s="637"/>
      <c r="Y608" s="637"/>
      <c r="Z608" s="637"/>
      <c r="AA608" s="637"/>
      <c r="AB608" s="637"/>
      <c r="AC608" s="637"/>
      <c r="AD608" s="640"/>
      <c r="AE608" s="606"/>
      <c r="AF608" s="606"/>
      <c r="AG608" s="606"/>
      <c r="AH608" s="606"/>
    </row>
    <row r="609" spans="1:34" s="612" customFormat="1" hidden="1" outlineLevel="3" x14ac:dyDescent="0.2">
      <c r="A609" s="606"/>
      <c r="B609" s="606"/>
      <c r="C609" s="607"/>
      <c r="D609" s="608"/>
      <c r="E609" s="608"/>
      <c r="F609" s="608"/>
      <c r="G609" s="608"/>
      <c r="H609" s="609"/>
      <c r="I609" s="637"/>
      <c r="J609" s="637"/>
      <c r="K609" s="637"/>
      <c r="L609" s="637"/>
      <c r="M609" s="637"/>
      <c r="N609" s="637"/>
      <c r="O609" s="637"/>
      <c r="P609" s="637"/>
      <c r="Q609" s="637"/>
      <c r="R609" s="637"/>
      <c r="S609" s="637"/>
      <c r="T609" s="637"/>
      <c r="U609" s="637"/>
      <c r="V609" s="637"/>
      <c r="W609" s="637"/>
      <c r="X609" s="637"/>
      <c r="Y609" s="637"/>
      <c r="Z609" s="637"/>
      <c r="AA609" s="637"/>
      <c r="AB609" s="637"/>
      <c r="AC609" s="637"/>
      <c r="AD609" s="640"/>
      <c r="AE609" s="606"/>
      <c r="AF609" s="606"/>
      <c r="AG609" s="606"/>
      <c r="AH609" s="606"/>
    </row>
    <row r="610" spans="1:34" s="612" customFormat="1" hidden="1" outlineLevel="3" x14ac:dyDescent="0.2">
      <c r="A610" s="606"/>
      <c r="B610" s="606"/>
      <c r="C610" s="607"/>
      <c r="D610" s="608"/>
      <c r="E610" s="608"/>
      <c r="F610" s="608"/>
      <c r="G610" s="608"/>
      <c r="H610" s="609"/>
      <c r="I610" s="637"/>
      <c r="J610" s="637"/>
      <c r="K610" s="637"/>
      <c r="L610" s="637"/>
      <c r="M610" s="637"/>
      <c r="N610" s="637"/>
      <c r="O610" s="637"/>
      <c r="P610" s="637"/>
      <c r="Q610" s="637"/>
      <c r="R610" s="637"/>
      <c r="S610" s="637"/>
      <c r="T610" s="637"/>
      <c r="U610" s="637"/>
      <c r="V610" s="637"/>
      <c r="W610" s="637"/>
      <c r="X610" s="637"/>
      <c r="Y610" s="637"/>
      <c r="Z610" s="637"/>
      <c r="AA610" s="637"/>
      <c r="AB610" s="637"/>
      <c r="AC610" s="637"/>
      <c r="AD610" s="640"/>
      <c r="AE610" s="606"/>
      <c r="AF610" s="606"/>
      <c r="AG610" s="606"/>
      <c r="AH610" s="606"/>
    </row>
    <row r="611" spans="1:34" s="612" customFormat="1" hidden="1" outlineLevel="3" x14ac:dyDescent="0.2">
      <c r="A611" s="606"/>
      <c r="B611" s="606"/>
      <c r="C611" s="607"/>
      <c r="D611" s="608"/>
      <c r="E611" s="608"/>
      <c r="F611" s="608"/>
      <c r="G611" s="608"/>
      <c r="H611" s="609"/>
      <c r="I611" s="637"/>
      <c r="J611" s="637"/>
      <c r="K611" s="637"/>
      <c r="L611" s="637"/>
      <c r="M611" s="637"/>
      <c r="N611" s="637"/>
      <c r="O611" s="637"/>
      <c r="P611" s="637"/>
      <c r="Q611" s="637"/>
      <c r="R611" s="637"/>
      <c r="S611" s="637"/>
      <c r="T611" s="637"/>
      <c r="U611" s="637"/>
      <c r="V611" s="637"/>
      <c r="W611" s="637"/>
      <c r="X611" s="637"/>
      <c r="Y611" s="637"/>
      <c r="Z611" s="637"/>
      <c r="AA611" s="637"/>
      <c r="AB611" s="637"/>
      <c r="AC611" s="637"/>
      <c r="AD611" s="640"/>
      <c r="AE611" s="606"/>
      <c r="AF611" s="606"/>
      <c r="AG611" s="606"/>
      <c r="AH611" s="606"/>
    </row>
    <row r="612" spans="1:34" s="612" customFormat="1" hidden="1" outlineLevel="3" x14ac:dyDescent="0.2">
      <c r="A612" s="606"/>
      <c r="B612" s="606"/>
      <c r="C612" s="607"/>
      <c r="D612" s="608"/>
      <c r="E612" s="608"/>
      <c r="F612" s="608"/>
      <c r="G612" s="608"/>
      <c r="H612" s="609"/>
      <c r="I612" s="637"/>
      <c r="J612" s="637"/>
      <c r="K612" s="637"/>
      <c r="L612" s="637"/>
      <c r="M612" s="637"/>
      <c r="N612" s="637"/>
      <c r="O612" s="637"/>
      <c r="P612" s="637"/>
      <c r="Q612" s="637"/>
      <c r="R612" s="637"/>
      <c r="S612" s="637"/>
      <c r="T612" s="637"/>
      <c r="U612" s="637"/>
      <c r="V612" s="637"/>
      <c r="W612" s="637"/>
      <c r="X612" s="637"/>
      <c r="Y612" s="637"/>
      <c r="Z612" s="637"/>
      <c r="AA612" s="637"/>
      <c r="AB612" s="637"/>
      <c r="AC612" s="637"/>
      <c r="AD612" s="640"/>
      <c r="AE612" s="606"/>
      <c r="AF612" s="606"/>
      <c r="AG612" s="606"/>
      <c r="AH612" s="606"/>
    </row>
    <row r="613" spans="1:34" s="612" customFormat="1" hidden="1" outlineLevel="3" x14ac:dyDescent="0.2">
      <c r="A613" s="606"/>
      <c r="B613" s="606"/>
      <c r="C613" s="607"/>
      <c r="D613" s="608"/>
      <c r="E613" s="608"/>
      <c r="F613" s="608"/>
      <c r="G613" s="608"/>
      <c r="H613" s="609"/>
      <c r="I613" s="637"/>
      <c r="J613" s="637"/>
      <c r="K613" s="637"/>
      <c r="L613" s="637"/>
      <c r="M613" s="637"/>
      <c r="N613" s="637"/>
      <c r="O613" s="637"/>
      <c r="P613" s="637"/>
      <c r="Q613" s="637"/>
      <c r="R613" s="637"/>
      <c r="S613" s="637"/>
      <c r="T613" s="637"/>
      <c r="U613" s="637"/>
      <c r="V613" s="637"/>
      <c r="W613" s="637"/>
      <c r="X613" s="637"/>
      <c r="Y613" s="637"/>
      <c r="Z613" s="637"/>
      <c r="AA613" s="637"/>
      <c r="AB613" s="637"/>
      <c r="AC613" s="637"/>
      <c r="AD613" s="640"/>
      <c r="AE613" s="606"/>
      <c r="AF613" s="606"/>
      <c r="AG613" s="606"/>
      <c r="AH613" s="606"/>
    </row>
    <row r="614" spans="1:34" s="612" customFormat="1" hidden="1" outlineLevel="3" x14ac:dyDescent="0.2">
      <c r="A614" s="606"/>
      <c r="B614" s="606"/>
      <c r="C614" s="607"/>
      <c r="D614" s="608"/>
      <c r="E614" s="608"/>
      <c r="F614" s="608"/>
      <c r="G614" s="608"/>
      <c r="H614" s="609"/>
      <c r="I614" s="637"/>
      <c r="J614" s="637"/>
      <c r="K614" s="637"/>
      <c r="L614" s="637"/>
      <c r="M614" s="637"/>
      <c r="N614" s="637"/>
      <c r="O614" s="637"/>
      <c r="P614" s="637"/>
      <c r="Q614" s="637"/>
      <c r="R614" s="637"/>
      <c r="S614" s="637"/>
      <c r="T614" s="637"/>
      <c r="U614" s="637"/>
      <c r="V614" s="637"/>
      <c r="W614" s="637"/>
      <c r="X614" s="637"/>
      <c r="Y614" s="637"/>
      <c r="Z614" s="637"/>
      <c r="AA614" s="637"/>
      <c r="AB614" s="637"/>
      <c r="AC614" s="637"/>
      <c r="AD614" s="640"/>
      <c r="AE614" s="606"/>
      <c r="AF614" s="606"/>
      <c r="AG614" s="606"/>
      <c r="AH614" s="606"/>
    </row>
    <row r="615" spans="1:34" s="612" customFormat="1" hidden="1" outlineLevel="3" x14ac:dyDescent="0.2">
      <c r="A615" s="606"/>
      <c r="B615" s="606"/>
      <c r="C615" s="607"/>
      <c r="D615" s="608"/>
      <c r="E615" s="608"/>
      <c r="F615" s="608"/>
      <c r="G615" s="608"/>
      <c r="H615" s="609"/>
      <c r="I615" s="637"/>
      <c r="J615" s="637"/>
      <c r="K615" s="637"/>
      <c r="L615" s="637"/>
      <c r="M615" s="637"/>
      <c r="N615" s="637"/>
      <c r="O615" s="637"/>
      <c r="P615" s="637"/>
      <c r="Q615" s="637"/>
      <c r="R615" s="637"/>
      <c r="S615" s="637"/>
      <c r="T615" s="637"/>
      <c r="U615" s="637"/>
      <c r="V615" s="637"/>
      <c r="W615" s="637"/>
      <c r="X615" s="637"/>
      <c r="Y615" s="637"/>
      <c r="Z615" s="637"/>
      <c r="AA615" s="637"/>
      <c r="AB615" s="637"/>
      <c r="AC615" s="637"/>
      <c r="AD615" s="640"/>
      <c r="AE615" s="606"/>
      <c r="AF615" s="606"/>
      <c r="AG615" s="606"/>
      <c r="AH615" s="606"/>
    </row>
    <row r="616" spans="1:34" s="612" customFormat="1" hidden="1" outlineLevel="3" x14ac:dyDescent="0.2">
      <c r="A616" s="606"/>
      <c r="B616" s="606"/>
      <c r="C616" s="607"/>
      <c r="D616" s="608"/>
      <c r="E616" s="608"/>
      <c r="F616" s="608"/>
      <c r="G616" s="608"/>
      <c r="H616" s="609"/>
      <c r="I616" s="637"/>
      <c r="J616" s="637"/>
      <c r="K616" s="637"/>
      <c r="L616" s="637"/>
      <c r="M616" s="637"/>
      <c r="N616" s="637"/>
      <c r="O616" s="637"/>
      <c r="P616" s="637"/>
      <c r="Q616" s="637"/>
      <c r="R616" s="637"/>
      <c r="S616" s="637"/>
      <c r="T616" s="637"/>
      <c r="U616" s="637"/>
      <c r="V616" s="637"/>
      <c r="W616" s="637"/>
      <c r="X616" s="637"/>
      <c r="Y616" s="637"/>
      <c r="Z616" s="637"/>
      <c r="AA616" s="637"/>
      <c r="AB616" s="637"/>
      <c r="AC616" s="637"/>
      <c r="AD616" s="640"/>
      <c r="AE616" s="606"/>
      <c r="AF616" s="606"/>
      <c r="AG616" s="606"/>
      <c r="AH616" s="606"/>
    </row>
    <row r="617" spans="1:34" s="612" customFormat="1" hidden="1" outlineLevel="3" x14ac:dyDescent="0.2">
      <c r="A617" s="606"/>
      <c r="B617" s="606"/>
      <c r="C617" s="607"/>
      <c r="D617" s="608"/>
      <c r="E617" s="608"/>
      <c r="F617" s="608"/>
      <c r="G617" s="608"/>
      <c r="H617" s="609"/>
      <c r="I617" s="637"/>
      <c r="J617" s="637"/>
      <c r="K617" s="637"/>
      <c r="L617" s="637"/>
      <c r="M617" s="637"/>
      <c r="N617" s="637"/>
      <c r="O617" s="637"/>
      <c r="P617" s="637"/>
      <c r="Q617" s="637"/>
      <c r="R617" s="637"/>
      <c r="S617" s="637"/>
      <c r="T617" s="637"/>
      <c r="U617" s="637"/>
      <c r="V617" s="637"/>
      <c r="W617" s="637"/>
      <c r="X617" s="637"/>
      <c r="Y617" s="637"/>
      <c r="Z617" s="637"/>
      <c r="AA617" s="637"/>
      <c r="AB617" s="637"/>
      <c r="AC617" s="637"/>
      <c r="AD617" s="640"/>
      <c r="AE617" s="606"/>
      <c r="AF617" s="606"/>
      <c r="AG617" s="606"/>
      <c r="AH617" s="606"/>
    </row>
    <row r="618" spans="1:34" s="612" customFormat="1" hidden="1" outlineLevel="3" x14ac:dyDescent="0.2">
      <c r="A618" s="606"/>
      <c r="B618" s="606"/>
      <c r="C618" s="607"/>
      <c r="D618" s="608"/>
      <c r="E618" s="608"/>
      <c r="F618" s="608"/>
      <c r="G618" s="608"/>
      <c r="H618" s="609"/>
      <c r="I618" s="637"/>
      <c r="J618" s="637"/>
      <c r="K618" s="637"/>
      <c r="L618" s="637"/>
      <c r="M618" s="637"/>
      <c r="N618" s="637"/>
      <c r="O618" s="637"/>
      <c r="P618" s="637"/>
      <c r="Q618" s="637"/>
      <c r="R618" s="637"/>
      <c r="S618" s="637"/>
      <c r="T618" s="637"/>
      <c r="U618" s="637"/>
      <c r="V618" s="637"/>
      <c r="W618" s="637"/>
      <c r="X618" s="637"/>
      <c r="Y618" s="637"/>
      <c r="Z618" s="637"/>
      <c r="AA618" s="637"/>
      <c r="AB618" s="637"/>
      <c r="AC618" s="637"/>
      <c r="AD618" s="640"/>
      <c r="AE618" s="606"/>
      <c r="AF618" s="606"/>
      <c r="AG618" s="606"/>
      <c r="AH618" s="606"/>
    </row>
    <row r="619" spans="1:34" s="612" customFormat="1" hidden="1" outlineLevel="3" x14ac:dyDescent="0.2">
      <c r="A619" s="606"/>
      <c r="B619" s="606"/>
      <c r="C619" s="607"/>
      <c r="D619" s="608"/>
      <c r="E619" s="608"/>
      <c r="F619" s="608"/>
      <c r="G619" s="608"/>
      <c r="H619" s="609"/>
      <c r="I619" s="637"/>
      <c r="J619" s="637"/>
      <c r="K619" s="637"/>
      <c r="L619" s="637"/>
      <c r="M619" s="637"/>
      <c r="N619" s="637"/>
      <c r="O619" s="637"/>
      <c r="P619" s="637"/>
      <c r="Q619" s="637"/>
      <c r="R619" s="637"/>
      <c r="S619" s="637"/>
      <c r="T619" s="637"/>
      <c r="U619" s="637"/>
      <c r="V619" s="637"/>
      <c r="W619" s="637"/>
      <c r="X619" s="637"/>
      <c r="Y619" s="637"/>
      <c r="Z619" s="637"/>
      <c r="AA619" s="637"/>
      <c r="AB619" s="637"/>
      <c r="AC619" s="637"/>
      <c r="AD619" s="640"/>
      <c r="AE619" s="606"/>
      <c r="AF619" s="606"/>
      <c r="AG619" s="606"/>
      <c r="AH619" s="606"/>
    </row>
    <row r="620" spans="1:34" s="612" customFormat="1" hidden="1" outlineLevel="3" x14ac:dyDescent="0.2">
      <c r="A620" s="606"/>
      <c r="B620" s="606"/>
      <c r="C620" s="607"/>
      <c r="D620" s="608"/>
      <c r="E620" s="608"/>
      <c r="F620" s="608"/>
      <c r="G620" s="608"/>
      <c r="H620" s="609"/>
      <c r="I620" s="637"/>
      <c r="J620" s="637"/>
      <c r="K620" s="637"/>
      <c r="L620" s="637"/>
      <c r="M620" s="637"/>
      <c r="N620" s="637"/>
      <c r="O620" s="637"/>
      <c r="P620" s="637"/>
      <c r="Q620" s="637"/>
      <c r="R620" s="637"/>
      <c r="S620" s="637"/>
      <c r="T620" s="637"/>
      <c r="U620" s="637"/>
      <c r="V620" s="637"/>
      <c r="W620" s="637"/>
      <c r="X620" s="637"/>
      <c r="Y620" s="637"/>
      <c r="Z620" s="637"/>
      <c r="AA620" s="637"/>
      <c r="AB620" s="637"/>
      <c r="AC620" s="637"/>
      <c r="AD620" s="640"/>
      <c r="AE620" s="606"/>
      <c r="AF620" s="606"/>
      <c r="AG620" s="606"/>
      <c r="AH620" s="606"/>
    </row>
    <row r="621" spans="1:34" s="612" customFormat="1" hidden="1" outlineLevel="3" x14ac:dyDescent="0.2">
      <c r="A621" s="606"/>
      <c r="B621" s="606"/>
      <c r="C621" s="607"/>
      <c r="D621" s="608"/>
      <c r="E621" s="608"/>
      <c r="F621" s="608"/>
      <c r="G621" s="608"/>
      <c r="H621" s="609"/>
      <c r="I621" s="637"/>
      <c r="J621" s="637"/>
      <c r="K621" s="637"/>
      <c r="L621" s="637"/>
      <c r="M621" s="637"/>
      <c r="N621" s="637"/>
      <c r="O621" s="637"/>
      <c r="P621" s="637"/>
      <c r="Q621" s="637"/>
      <c r="R621" s="637"/>
      <c r="S621" s="637"/>
      <c r="T621" s="637"/>
      <c r="U621" s="637"/>
      <c r="V621" s="637"/>
      <c r="W621" s="637"/>
      <c r="X621" s="637"/>
      <c r="Y621" s="637"/>
      <c r="Z621" s="637"/>
      <c r="AA621" s="637"/>
      <c r="AB621" s="637"/>
      <c r="AC621" s="637"/>
      <c r="AD621" s="640"/>
      <c r="AE621" s="606"/>
      <c r="AF621" s="606"/>
      <c r="AG621" s="606"/>
      <c r="AH621" s="606"/>
    </row>
    <row r="622" spans="1:34" s="612" customFormat="1" hidden="1" outlineLevel="3" x14ac:dyDescent="0.2">
      <c r="A622" s="606"/>
      <c r="B622" s="606"/>
      <c r="C622" s="607"/>
      <c r="D622" s="608"/>
      <c r="E622" s="608"/>
      <c r="F622" s="608"/>
      <c r="G622" s="608"/>
      <c r="H622" s="609"/>
      <c r="I622" s="637"/>
      <c r="J622" s="637"/>
      <c r="K622" s="637"/>
      <c r="L622" s="637"/>
      <c r="M622" s="637"/>
      <c r="N622" s="637"/>
      <c r="O622" s="637"/>
      <c r="P622" s="637"/>
      <c r="Q622" s="637"/>
      <c r="R622" s="637"/>
      <c r="S622" s="637"/>
      <c r="T622" s="637"/>
      <c r="U622" s="637"/>
      <c r="V622" s="637"/>
      <c r="W622" s="637"/>
      <c r="X622" s="637"/>
      <c r="Y622" s="637"/>
      <c r="Z622" s="637"/>
      <c r="AA622" s="637"/>
      <c r="AB622" s="637"/>
      <c r="AC622" s="637"/>
      <c r="AD622" s="640"/>
      <c r="AE622" s="606"/>
      <c r="AF622" s="606"/>
      <c r="AG622" s="606"/>
      <c r="AH622" s="606"/>
    </row>
    <row r="623" spans="1:34" s="612" customFormat="1" hidden="1" outlineLevel="3" x14ac:dyDescent="0.2">
      <c r="A623" s="606"/>
      <c r="B623" s="606"/>
      <c r="C623" s="607"/>
      <c r="D623" s="608"/>
      <c r="E623" s="608"/>
      <c r="F623" s="608"/>
      <c r="G623" s="608"/>
      <c r="H623" s="609"/>
      <c r="I623" s="637"/>
      <c r="J623" s="637"/>
      <c r="K623" s="637"/>
      <c r="L623" s="637"/>
      <c r="M623" s="637"/>
      <c r="N623" s="637"/>
      <c r="O623" s="637"/>
      <c r="P623" s="637"/>
      <c r="Q623" s="637"/>
      <c r="R623" s="637"/>
      <c r="S623" s="637"/>
      <c r="T623" s="637"/>
      <c r="U623" s="637"/>
      <c r="V623" s="637"/>
      <c r="W623" s="637"/>
      <c r="X623" s="637"/>
      <c r="Y623" s="637"/>
      <c r="Z623" s="637"/>
      <c r="AA623" s="637"/>
      <c r="AB623" s="637"/>
      <c r="AC623" s="637"/>
      <c r="AD623" s="640"/>
      <c r="AE623" s="606"/>
      <c r="AF623" s="606"/>
      <c r="AG623" s="606"/>
      <c r="AH623" s="606"/>
    </row>
    <row r="624" spans="1:34" s="612" customFormat="1" hidden="1" outlineLevel="3" x14ac:dyDescent="0.2">
      <c r="A624" s="606"/>
      <c r="B624" s="606"/>
      <c r="C624" s="607"/>
      <c r="D624" s="608"/>
      <c r="E624" s="608"/>
      <c r="F624" s="608"/>
      <c r="G624" s="608"/>
      <c r="H624" s="609"/>
      <c r="I624" s="637"/>
      <c r="J624" s="637"/>
      <c r="K624" s="637"/>
      <c r="L624" s="637"/>
      <c r="M624" s="637"/>
      <c r="N624" s="637"/>
      <c r="O624" s="637"/>
      <c r="P624" s="637"/>
      <c r="Q624" s="637"/>
      <c r="R624" s="637"/>
      <c r="S624" s="637"/>
      <c r="T624" s="637"/>
      <c r="U624" s="637"/>
      <c r="V624" s="637"/>
      <c r="W624" s="637"/>
      <c r="X624" s="637"/>
      <c r="Y624" s="637"/>
      <c r="Z624" s="637"/>
      <c r="AA624" s="637"/>
      <c r="AB624" s="637"/>
      <c r="AC624" s="637"/>
      <c r="AD624" s="640"/>
      <c r="AE624" s="606"/>
      <c r="AF624" s="606"/>
      <c r="AG624" s="606"/>
      <c r="AH624" s="606"/>
    </row>
    <row r="625" spans="1:34" s="612" customFormat="1" hidden="1" outlineLevel="3" x14ac:dyDescent="0.2">
      <c r="A625" s="606"/>
      <c r="B625" s="606"/>
      <c r="C625" s="607"/>
      <c r="D625" s="608"/>
      <c r="E625" s="608"/>
      <c r="F625" s="608"/>
      <c r="G625" s="608"/>
      <c r="H625" s="609"/>
      <c r="I625" s="637"/>
      <c r="J625" s="637"/>
      <c r="K625" s="637"/>
      <c r="L625" s="637"/>
      <c r="M625" s="637"/>
      <c r="N625" s="637"/>
      <c r="O625" s="637"/>
      <c r="P625" s="637"/>
      <c r="Q625" s="637"/>
      <c r="R625" s="637"/>
      <c r="S625" s="637"/>
      <c r="T625" s="637"/>
      <c r="U625" s="637"/>
      <c r="V625" s="637"/>
      <c r="W625" s="637"/>
      <c r="X625" s="637"/>
      <c r="Y625" s="637"/>
      <c r="Z625" s="637"/>
      <c r="AA625" s="637"/>
      <c r="AB625" s="637"/>
      <c r="AC625" s="637"/>
      <c r="AD625" s="640"/>
      <c r="AE625" s="606"/>
      <c r="AF625" s="606"/>
      <c r="AG625" s="606"/>
      <c r="AH625" s="606"/>
    </row>
    <row r="626" spans="1:34" s="612" customFormat="1" hidden="1" outlineLevel="3" x14ac:dyDescent="0.2">
      <c r="A626" s="606"/>
      <c r="B626" s="606"/>
      <c r="C626" s="607"/>
      <c r="D626" s="608"/>
      <c r="E626" s="608"/>
      <c r="F626" s="608"/>
      <c r="G626" s="608"/>
      <c r="H626" s="609"/>
      <c r="I626" s="637"/>
      <c r="J626" s="637"/>
      <c r="K626" s="637"/>
      <c r="L626" s="637"/>
      <c r="M626" s="637"/>
      <c r="N626" s="637"/>
      <c r="O626" s="637"/>
      <c r="P626" s="637"/>
      <c r="Q626" s="637"/>
      <c r="R626" s="637"/>
      <c r="S626" s="637"/>
      <c r="T626" s="637"/>
      <c r="U626" s="637"/>
      <c r="V626" s="637"/>
      <c r="W626" s="637"/>
      <c r="X626" s="637"/>
      <c r="Y626" s="637"/>
      <c r="Z626" s="637"/>
      <c r="AA626" s="637"/>
      <c r="AB626" s="637"/>
      <c r="AC626" s="637"/>
      <c r="AD626" s="640"/>
      <c r="AE626" s="606"/>
      <c r="AF626" s="606"/>
      <c r="AG626" s="606"/>
      <c r="AH626" s="606"/>
    </row>
    <row r="627" spans="1:34" s="612" customFormat="1" hidden="1" outlineLevel="3" x14ac:dyDescent="0.2">
      <c r="A627" s="606"/>
      <c r="B627" s="606"/>
      <c r="C627" s="607"/>
      <c r="D627" s="608"/>
      <c r="E627" s="608"/>
      <c r="F627" s="608"/>
      <c r="G627" s="608"/>
      <c r="H627" s="609"/>
      <c r="I627" s="637"/>
      <c r="J627" s="637"/>
      <c r="K627" s="637"/>
      <c r="L627" s="637"/>
      <c r="M627" s="637"/>
      <c r="N627" s="637"/>
      <c r="O627" s="637"/>
      <c r="P627" s="637"/>
      <c r="Q627" s="637"/>
      <c r="R627" s="637"/>
      <c r="S627" s="637"/>
      <c r="T627" s="637"/>
      <c r="U627" s="637"/>
      <c r="V627" s="637"/>
      <c r="W627" s="637"/>
      <c r="X627" s="637"/>
      <c r="Y627" s="637"/>
      <c r="Z627" s="637"/>
      <c r="AA627" s="637"/>
      <c r="AB627" s="637"/>
      <c r="AC627" s="637"/>
      <c r="AD627" s="640"/>
      <c r="AE627" s="606"/>
      <c r="AF627" s="606"/>
      <c r="AG627" s="606"/>
      <c r="AH627" s="606"/>
    </row>
    <row r="628" spans="1:34" s="612" customFormat="1" hidden="1" outlineLevel="3" x14ac:dyDescent="0.2">
      <c r="A628" s="606"/>
      <c r="B628" s="606"/>
      <c r="C628" s="607"/>
      <c r="D628" s="608"/>
      <c r="E628" s="608"/>
      <c r="F628" s="608"/>
      <c r="G628" s="608"/>
      <c r="H628" s="609"/>
      <c r="I628" s="637"/>
      <c r="J628" s="637"/>
      <c r="K628" s="637"/>
      <c r="L628" s="637"/>
      <c r="M628" s="637"/>
      <c r="N628" s="637"/>
      <c r="O628" s="637"/>
      <c r="P628" s="637"/>
      <c r="Q628" s="637"/>
      <c r="R628" s="637"/>
      <c r="S628" s="637"/>
      <c r="T628" s="637"/>
      <c r="U628" s="637"/>
      <c r="V628" s="637"/>
      <c r="W628" s="637"/>
      <c r="X628" s="637"/>
      <c r="Y628" s="637"/>
      <c r="Z628" s="637"/>
      <c r="AA628" s="637"/>
      <c r="AB628" s="637"/>
      <c r="AC628" s="637"/>
      <c r="AD628" s="640"/>
      <c r="AE628" s="606"/>
      <c r="AF628" s="606"/>
      <c r="AG628" s="606"/>
      <c r="AH628" s="606"/>
    </row>
    <row r="629" spans="1:34" s="612" customFormat="1" hidden="1" outlineLevel="3" x14ac:dyDescent="0.2">
      <c r="A629" s="606"/>
      <c r="B629" s="606"/>
      <c r="C629" s="607"/>
      <c r="D629" s="608"/>
      <c r="E629" s="608"/>
      <c r="F629" s="608"/>
      <c r="G629" s="608"/>
      <c r="H629" s="609"/>
      <c r="I629" s="637"/>
      <c r="J629" s="637"/>
      <c r="K629" s="637"/>
      <c r="L629" s="637"/>
      <c r="M629" s="637"/>
      <c r="N629" s="637"/>
      <c r="O629" s="637"/>
      <c r="P629" s="637"/>
      <c r="Q629" s="637"/>
      <c r="R629" s="637"/>
      <c r="S629" s="637"/>
      <c r="T629" s="637"/>
      <c r="U629" s="637"/>
      <c r="V629" s="637"/>
      <c r="W629" s="637"/>
      <c r="X629" s="637"/>
      <c r="Y629" s="637"/>
      <c r="Z629" s="637"/>
      <c r="AA629" s="637"/>
      <c r="AB629" s="637"/>
      <c r="AC629" s="637"/>
      <c r="AD629" s="640"/>
      <c r="AE629" s="606"/>
      <c r="AF629" s="606"/>
      <c r="AG629" s="606"/>
      <c r="AH629" s="606"/>
    </row>
    <row r="630" spans="1:34" s="612" customFormat="1" hidden="1" outlineLevel="3" x14ac:dyDescent="0.2">
      <c r="A630" s="606"/>
      <c r="B630" s="606"/>
      <c r="C630" s="607"/>
      <c r="D630" s="608"/>
      <c r="E630" s="608"/>
      <c r="F630" s="608"/>
      <c r="G630" s="608"/>
      <c r="H630" s="609"/>
      <c r="I630" s="637"/>
      <c r="J630" s="637"/>
      <c r="K630" s="637"/>
      <c r="L630" s="637"/>
      <c r="M630" s="637"/>
      <c r="N630" s="637"/>
      <c r="O630" s="637"/>
      <c r="P630" s="637"/>
      <c r="Q630" s="637"/>
      <c r="R630" s="637"/>
      <c r="S630" s="637"/>
      <c r="T630" s="637"/>
      <c r="U630" s="637"/>
      <c r="V630" s="637"/>
      <c r="W630" s="637"/>
      <c r="X630" s="637"/>
      <c r="Y630" s="637"/>
      <c r="Z630" s="637"/>
      <c r="AA630" s="637"/>
      <c r="AB630" s="637"/>
      <c r="AC630" s="637"/>
      <c r="AD630" s="640"/>
      <c r="AE630" s="606"/>
      <c r="AF630" s="606"/>
      <c r="AG630" s="606"/>
      <c r="AH630" s="606"/>
    </row>
    <row r="631" spans="1:34" s="612" customFormat="1" hidden="1" outlineLevel="3" x14ac:dyDescent="0.2">
      <c r="A631" s="606"/>
      <c r="B631" s="606"/>
      <c r="C631" s="607"/>
      <c r="D631" s="608"/>
      <c r="E631" s="608"/>
      <c r="F631" s="608"/>
      <c r="G631" s="608"/>
      <c r="H631" s="609"/>
      <c r="I631" s="637"/>
      <c r="J631" s="637"/>
      <c r="K631" s="637"/>
      <c r="L631" s="637"/>
      <c r="M631" s="637"/>
      <c r="N631" s="637"/>
      <c r="O631" s="637"/>
      <c r="P631" s="637"/>
      <c r="Q631" s="637"/>
      <c r="R631" s="637"/>
      <c r="S631" s="637"/>
      <c r="T631" s="637"/>
      <c r="U631" s="637"/>
      <c r="V631" s="637"/>
      <c r="W631" s="637"/>
      <c r="X631" s="637"/>
      <c r="Y631" s="637"/>
      <c r="Z631" s="637"/>
      <c r="AA631" s="637"/>
      <c r="AB631" s="637"/>
      <c r="AC631" s="637"/>
      <c r="AD631" s="640"/>
      <c r="AE631" s="606"/>
      <c r="AF631" s="606"/>
      <c r="AG631" s="606"/>
      <c r="AH631" s="606"/>
    </row>
    <row r="632" spans="1:34" s="612" customFormat="1" hidden="1" outlineLevel="3" x14ac:dyDescent="0.2">
      <c r="A632" s="606"/>
      <c r="B632" s="606"/>
      <c r="C632" s="607"/>
      <c r="D632" s="608"/>
      <c r="E632" s="608"/>
      <c r="F632" s="608"/>
      <c r="G632" s="608"/>
      <c r="H632" s="609"/>
      <c r="I632" s="637"/>
      <c r="J632" s="637"/>
      <c r="K632" s="637"/>
      <c r="L632" s="637"/>
      <c r="M632" s="637"/>
      <c r="N632" s="637"/>
      <c r="O632" s="637"/>
      <c r="P632" s="637"/>
      <c r="Q632" s="637"/>
      <c r="R632" s="637"/>
      <c r="S632" s="637"/>
      <c r="T632" s="637"/>
      <c r="U632" s="637"/>
      <c r="V632" s="637"/>
      <c r="W632" s="637"/>
      <c r="X632" s="637"/>
      <c r="Y632" s="637"/>
      <c r="Z632" s="637"/>
      <c r="AA632" s="637"/>
      <c r="AB632" s="637"/>
      <c r="AC632" s="637"/>
      <c r="AD632" s="640"/>
      <c r="AE632" s="606"/>
      <c r="AF632" s="606"/>
      <c r="AG632" s="606"/>
      <c r="AH632" s="606"/>
    </row>
    <row r="633" spans="1:34" s="612" customFormat="1" hidden="1" outlineLevel="3" x14ac:dyDescent="0.2">
      <c r="A633" s="606"/>
      <c r="B633" s="606"/>
      <c r="C633" s="607"/>
      <c r="D633" s="608"/>
      <c r="E633" s="608"/>
      <c r="F633" s="608"/>
      <c r="G633" s="608"/>
      <c r="H633" s="609"/>
      <c r="I633" s="637"/>
      <c r="J633" s="637"/>
      <c r="K633" s="637"/>
      <c r="L633" s="637"/>
      <c r="M633" s="637"/>
      <c r="N633" s="637"/>
      <c r="O633" s="637"/>
      <c r="P633" s="637"/>
      <c r="Q633" s="637"/>
      <c r="R633" s="637"/>
      <c r="S633" s="637"/>
      <c r="T633" s="637"/>
      <c r="U633" s="637"/>
      <c r="V633" s="637"/>
      <c r="W633" s="637"/>
      <c r="X633" s="637"/>
      <c r="Y633" s="637"/>
      <c r="Z633" s="637"/>
      <c r="AA633" s="637"/>
      <c r="AB633" s="637"/>
      <c r="AC633" s="637"/>
      <c r="AD633" s="640"/>
      <c r="AE633" s="606"/>
      <c r="AF633" s="606"/>
      <c r="AG633" s="606"/>
      <c r="AH633" s="606"/>
    </row>
    <row r="634" spans="1:34" s="612" customFormat="1" hidden="1" outlineLevel="3" x14ac:dyDescent="0.2">
      <c r="A634" s="606"/>
      <c r="B634" s="606"/>
      <c r="C634" s="607"/>
      <c r="D634" s="608"/>
      <c r="E634" s="608"/>
      <c r="F634" s="608"/>
      <c r="G634" s="608"/>
      <c r="H634" s="609"/>
      <c r="I634" s="637"/>
      <c r="J634" s="637"/>
      <c r="K634" s="637"/>
      <c r="L634" s="637"/>
      <c r="M634" s="637"/>
      <c r="N634" s="637"/>
      <c r="O634" s="637"/>
      <c r="P634" s="637"/>
      <c r="Q634" s="637"/>
      <c r="R634" s="637"/>
      <c r="S634" s="637"/>
      <c r="T634" s="637"/>
      <c r="U634" s="637"/>
      <c r="V634" s="637"/>
      <c r="W634" s="637"/>
      <c r="X634" s="637"/>
      <c r="Y634" s="637"/>
      <c r="Z634" s="637"/>
      <c r="AA634" s="637"/>
      <c r="AB634" s="637"/>
      <c r="AC634" s="637"/>
      <c r="AD634" s="640"/>
      <c r="AE634" s="606"/>
      <c r="AF634" s="606"/>
      <c r="AG634" s="606"/>
      <c r="AH634" s="606"/>
    </row>
    <row r="635" spans="1:34" s="612" customFormat="1" hidden="1" outlineLevel="3" x14ac:dyDescent="0.2">
      <c r="A635" s="606"/>
      <c r="B635" s="606"/>
      <c r="C635" s="607"/>
      <c r="D635" s="608"/>
      <c r="E635" s="608"/>
      <c r="F635" s="608"/>
      <c r="G635" s="608"/>
      <c r="H635" s="609"/>
      <c r="I635" s="637"/>
      <c r="J635" s="637"/>
      <c r="K635" s="637"/>
      <c r="L635" s="637"/>
      <c r="M635" s="637"/>
      <c r="N635" s="637"/>
      <c r="O635" s="637"/>
      <c r="P635" s="637"/>
      <c r="Q635" s="637"/>
      <c r="R635" s="637"/>
      <c r="S635" s="637"/>
      <c r="T635" s="637"/>
      <c r="U635" s="637"/>
      <c r="V635" s="637"/>
      <c r="W635" s="637"/>
      <c r="X635" s="637"/>
      <c r="Y635" s="637"/>
      <c r="Z635" s="637"/>
      <c r="AA635" s="637"/>
      <c r="AB635" s="637"/>
      <c r="AC635" s="637"/>
      <c r="AD635" s="640"/>
      <c r="AE635" s="606"/>
      <c r="AF635" s="606"/>
      <c r="AG635" s="606"/>
      <c r="AH635" s="606"/>
    </row>
    <row r="636" spans="1:34" s="612" customFormat="1" hidden="1" outlineLevel="3" x14ac:dyDescent="0.2">
      <c r="A636" s="606"/>
      <c r="B636" s="606"/>
      <c r="C636" s="607"/>
      <c r="D636" s="608"/>
      <c r="E636" s="608"/>
      <c r="F636" s="608"/>
      <c r="G636" s="608"/>
      <c r="H636" s="609"/>
      <c r="I636" s="637"/>
      <c r="J636" s="637"/>
      <c r="K636" s="637"/>
      <c r="L636" s="637"/>
      <c r="M636" s="637"/>
      <c r="N636" s="637"/>
      <c r="O636" s="637"/>
      <c r="P636" s="637"/>
      <c r="Q636" s="637"/>
      <c r="R636" s="637"/>
      <c r="S636" s="637"/>
      <c r="T636" s="637"/>
      <c r="U636" s="637"/>
      <c r="V636" s="637"/>
      <c r="W636" s="637"/>
      <c r="X636" s="637"/>
      <c r="Y636" s="637"/>
      <c r="Z636" s="637"/>
      <c r="AA636" s="637"/>
      <c r="AB636" s="637"/>
      <c r="AC636" s="637"/>
      <c r="AD636" s="640"/>
      <c r="AE636" s="606"/>
      <c r="AF636" s="606"/>
      <c r="AG636" s="606"/>
      <c r="AH636" s="606"/>
    </row>
    <row r="637" spans="1:34" s="612" customFormat="1" hidden="1" outlineLevel="3" x14ac:dyDescent="0.2">
      <c r="A637" s="606"/>
      <c r="B637" s="606"/>
      <c r="C637" s="607"/>
      <c r="D637" s="608"/>
      <c r="E637" s="608"/>
      <c r="F637" s="608"/>
      <c r="G637" s="608"/>
      <c r="H637" s="609"/>
      <c r="I637" s="637"/>
      <c r="J637" s="637"/>
      <c r="K637" s="637"/>
      <c r="L637" s="637"/>
      <c r="M637" s="637"/>
      <c r="N637" s="637"/>
      <c r="O637" s="637"/>
      <c r="P637" s="637"/>
      <c r="Q637" s="637"/>
      <c r="R637" s="637"/>
      <c r="S637" s="637"/>
      <c r="T637" s="637"/>
      <c r="U637" s="637"/>
      <c r="V637" s="637"/>
      <c r="W637" s="637"/>
      <c r="X637" s="637"/>
      <c r="Y637" s="637"/>
      <c r="Z637" s="637"/>
      <c r="AA637" s="637"/>
      <c r="AB637" s="637"/>
      <c r="AC637" s="637"/>
      <c r="AD637" s="640"/>
      <c r="AE637" s="606"/>
      <c r="AF637" s="606"/>
      <c r="AG637" s="606"/>
      <c r="AH637" s="606"/>
    </row>
    <row r="638" spans="1:34" s="612" customFormat="1" hidden="1" outlineLevel="3" x14ac:dyDescent="0.2">
      <c r="A638" s="606"/>
      <c r="B638" s="606"/>
      <c r="C638" s="607"/>
      <c r="D638" s="608"/>
      <c r="E638" s="608"/>
      <c r="F638" s="608"/>
      <c r="G638" s="608"/>
      <c r="H638" s="609"/>
      <c r="I638" s="637"/>
      <c r="J638" s="637"/>
      <c r="K638" s="637"/>
      <c r="L638" s="637"/>
      <c r="M638" s="637"/>
      <c r="N638" s="637"/>
      <c r="O638" s="637"/>
      <c r="P638" s="637"/>
      <c r="Q638" s="637"/>
      <c r="R638" s="637"/>
      <c r="S638" s="637"/>
      <c r="T638" s="637"/>
      <c r="U638" s="637"/>
      <c r="V638" s="637"/>
      <c r="W638" s="637"/>
      <c r="X638" s="637"/>
      <c r="Y638" s="637"/>
      <c r="Z638" s="637"/>
      <c r="AA638" s="637"/>
      <c r="AB638" s="637"/>
      <c r="AC638" s="637"/>
      <c r="AD638" s="640"/>
      <c r="AE638" s="606"/>
      <c r="AF638" s="606"/>
      <c r="AG638" s="606"/>
      <c r="AH638" s="606"/>
    </row>
    <row r="639" spans="1:34" s="612" customFormat="1" hidden="1" outlineLevel="3" x14ac:dyDescent="0.2">
      <c r="A639" s="606"/>
      <c r="B639" s="606"/>
      <c r="C639" s="607"/>
      <c r="D639" s="608"/>
      <c r="E639" s="608"/>
      <c r="F639" s="608"/>
      <c r="G639" s="608"/>
      <c r="H639" s="609"/>
      <c r="I639" s="637"/>
      <c r="J639" s="637"/>
      <c r="K639" s="637"/>
      <c r="L639" s="637"/>
      <c r="M639" s="637"/>
      <c r="N639" s="637"/>
      <c r="O639" s="637"/>
      <c r="P639" s="637"/>
      <c r="Q639" s="637"/>
      <c r="R639" s="637"/>
      <c r="S639" s="637"/>
      <c r="T639" s="637"/>
      <c r="U639" s="637"/>
      <c r="V639" s="637"/>
      <c r="W639" s="637"/>
      <c r="X639" s="637"/>
      <c r="Y639" s="637"/>
      <c r="Z639" s="637"/>
      <c r="AA639" s="637"/>
      <c r="AB639" s="637"/>
      <c r="AC639" s="637"/>
      <c r="AD639" s="640"/>
      <c r="AE639" s="606"/>
      <c r="AF639" s="606"/>
      <c r="AG639" s="606"/>
      <c r="AH639" s="606"/>
    </row>
    <row r="640" spans="1:34" s="612" customFormat="1" hidden="1" outlineLevel="3" x14ac:dyDescent="0.2">
      <c r="A640" s="606"/>
      <c r="B640" s="606"/>
      <c r="C640" s="607"/>
      <c r="D640" s="608"/>
      <c r="E640" s="608"/>
      <c r="F640" s="608"/>
      <c r="G640" s="608"/>
      <c r="H640" s="609"/>
      <c r="I640" s="637"/>
      <c r="J640" s="637"/>
      <c r="K640" s="637"/>
      <c r="L640" s="637"/>
      <c r="M640" s="637"/>
      <c r="N640" s="637"/>
      <c r="O640" s="637"/>
      <c r="P640" s="637"/>
      <c r="Q640" s="637"/>
      <c r="R640" s="637"/>
      <c r="S640" s="637"/>
      <c r="T640" s="637"/>
      <c r="U640" s="637"/>
      <c r="V640" s="637"/>
      <c r="W640" s="637"/>
      <c r="X640" s="637"/>
      <c r="Y640" s="637"/>
      <c r="Z640" s="637"/>
      <c r="AA640" s="637"/>
      <c r="AB640" s="637"/>
      <c r="AC640" s="637"/>
      <c r="AD640" s="640"/>
      <c r="AE640" s="606"/>
      <c r="AF640" s="606"/>
      <c r="AG640" s="606"/>
      <c r="AH640" s="606"/>
    </row>
    <row r="641" spans="1:34" s="612" customFormat="1" hidden="1" outlineLevel="3" x14ac:dyDescent="0.2">
      <c r="A641" s="606"/>
      <c r="B641" s="606"/>
      <c r="C641" s="607"/>
      <c r="D641" s="608"/>
      <c r="E641" s="608"/>
      <c r="F641" s="608"/>
      <c r="G641" s="608"/>
      <c r="H641" s="609"/>
      <c r="I641" s="637"/>
      <c r="J641" s="637"/>
      <c r="K641" s="637"/>
      <c r="L641" s="637"/>
      <c r="M641" s="637"/>
      <c r="N641" s="637"/>
      <c r="O641" s="637"/>
      <c r="P641" s="637"/>
      <c r="Q641" s="637"/>
      <c r="R641" s="637"/>
      <c r="S641" s="637"/>
      <c r="T641" s="637"/>
      <c r="U641" s="637"/>
      <c r="V641" s="637"/>
      <c r="W641" s="637"/>
      <c r="X641" s="637"/>
      <c r="Y641" s="637"/>
      <c r="Z641" s="637"/>
      <c r="AA641" s="637"/>
      <c r="AB641" s="637"/>
      <c r="AC641" s="637"/>
      <c r="AD641" s="640"/>
      <c r="AE641" s="606"/>
      <c r="AF641" s="606"/>
      <c r="AG641" s="606"/>
      <c r="AH641" s="606"/>
    </row>
    <row r="642" spans="1:34" s="612" customFormat="1" hidden="1" outlineLevel="3" x14ac:dyDescent="0.2">
      <c r="A642" s="606"/>
      <c r="B642" s="606"/>
      <c r="C642" s="607"/>
      <c r="D642" s="608"/>
      <c r="E642" s="608"/>
      <c r="F642" s="608"/>
      <c r="G642" s="608"/>
      <c r="H642" s="609"/>
      <c r="I642" s="637"/>
      <c r="J642" s="637"/>
      <c r="K642" s="637"/>
      <c r="L642" s="637"/>
      <c r="M642" s="637"/>
      <c r="N642" s="637"/>
      <c r="O642" s="637"/>
      <c r="P642" s="637"/>
      <c r="Q642" s="637"/>
      <c r="R642" s="637"/>
      <c r="S642" s="637"/>
      <c r="T642" s="637"/>
      <c r="U642" s="637"/>
      <c r="V642" s="637"/>
      <c r="W642" s="637"/>
      <c r="X642" s="637"/>
      <c r="Y642" s="637"/>
      <c r="Z642" s="637"/>
      <c r="AA642" s="637"/>
      <c r="AB642" s="637"/>
      <c r="AC642" s="637"/>
      <c r="AD642" s="640"/>
      <c r="AE642" s="606"/>
      <c r="AF642" s="606"/>
      <c r="AG642" s="606"/>
      <c r="AH642" s="606"/>
    </row>
    <row r="643" spans="1:34" s="612" customFormat="1" hidden="1" outlineLevel="3" x14ac:dyDescent="0.2">
      <c r="A643" s="606"/>
      <c r="B643" s="606"/>
      <c r="C643" s="607"/>
      <c r="D643" s="608"/>
      <c r="E643" s="608"/>
      <c r="F643" s="608"/>
      <c r="G643" s="608"/>
      <c r="H643" s="609"/>
      <c r="I643" s="637"/>
      <c r="J643" s="637"/>
      <c r="K643" s="637"/>
      <c r="L643" s="637"/>
      <c r="M643" s="637"/>
      <c r="N643" s="637"/>
      <c r="O643" s="637"/>
      <c r="P643" s="637"/>
      <c r="Q643" s="637"/>
      <c r="R643" s="637"/>
      <c r="S643" s="637"/>
      <c r="T643" s="637"/>
      <c r="U643" s="637"/>
      <c r="V643" s="637"/>
      <c r="W643" s="637"/>
      <c r="X643" s="637"/>
      <c r="Y643" s="637"/>
      <c r="Z643" s="637"/>
      <c r="AA643" s="637"/>
      <c r="AB643" s="637"/>
      <c r="AC643" s="637"/>
      <c r="AD643" s="640"/>
      <c r="AE643" s="606"/>
      <c r="AF643" s="606"/>
      <c r="AG643" s="606"/>
      <c r="AH643" s="606"/>
    </row>
    <row r="644" spans="1:34" s="612" customFormat="1" hidden="1" outlineLevel="3" x14ac:dyDescent="0.2">
      <c r="A644" s="606"/>
      <c r="B644" s="606"/>
      <c r="C644" s="607"/>
      <c r="D644" s="608"/>
      <c r="E644" s="608"/>
      <c r="F644" s="608"/>
      <c r="G644" s="608"/>
      <c r="H644" s="609"/>
      <c r="I644" s="637"/>
      <c r="J644" s="637"/>
      <c r="K644" s="637"/>
      <c r="L644" s="637"/>
      <c r="M644" s="637"/>
      <c r="N644" s="637"/>
      <c r="O644" s="637"/>
      <c r="P644" s="637"/>
      <c r="Q644" s="637"/>
      <c r="R644" s="637"/>
      <c r="S644" s="637"/>
      <c r="T644" s="637"/>
      <c r="U644" s="637"/>
      <c r="V644" s="637"/>
      <c r="W644" s="637"/>
      <c r="X644" s="637"/>
      <c r="Y644" s="637"/>
      <c r="Z644" s="637"/>
      <c r="AA644" s="637"/>
      <c r="AB644" s="637"/>
      <c r="AC644" s="637"/>
      <c r="AD644" s="640"/>
      <c r="AE644" s="606"/>
      <c r="AF644" s="606"/>
      <c r="AG644" s="606"/>
      <c r="AH644" s="606"/>
    </row>
    <row r="645" spans="1:34" s="612" customFormat="1" hidden="1" outlineLevel="3" x14ac:dyDescent="0.2">
      <c r="A645" s="606"/>
      <c r="B645" s="606"/>
      <c r="C645" s="607"/>
      <c r="D645" s="608"/>
      <c r="E645" s="608"/>
      <c r="F645" s="608"/>
      <c r="G645" s="608"/>
      <c r="H645" s="609"/>
      <c r="I645" s="637"/>
      <c r="J645" s="637"/>
      <c r="K645" s="637"/>
      <c r="L645" s="637"/>
      <c r="M645" s="637"/>
      <c r="N645" s="637"/>
      <c r="O645" s="637"/>
      <c r="P645" s="637"/>
      <c r="Q645" s="637"/>
      <c r="R645" s="637"/>
      <c r="S645" s="637"/>
      <c r="T645" s="637"/>
      <c r="U645" s="637"/>
      <c r="V645" s="637"/>
      <c r="W645" s="637"/>
      <c r="X645" s="637"/>
      <c r="Y645" s="637"/>
      <c r="Z645" s="637"/>
      <c r="AA645" s="637"/>
      <c r="AB645" s="637"/>
      <c r="AC645" s="637"/>
      <c r="AD645" s="640"/>
      <c r="AE645" s="606"/>
      <c r="AF645" s="606"/>
      <c r="AG645" s="606"/>
      <c r="AH645" s="606"/>
    </row>
    <row r="646" spans="1:34" s="612" customFormat="1" hidden="1" outlineLevel="3" x14ac:dyDescent="0.2">
      <c r="A646" s="606"/>
      <c r="B646" s="606"/>
      <c r="C646" s="607"/>
      <c r="D646" s="608"/>
      <c r="E646" s="608"/>
      <c r="F646" s="608"/>
      <c r="G646" s="608"/>
      <c r="H646" s="609"/>
      <c r="I646" s="637"/>
      <c r="J646" s="637"/>
      <c r="K646" s="637"/>
      <c r="L646" s="637"/>
      <c r="M646" s="637"/>
      <c r="N646" s="637"/>
      <c r="O646" s="637"/>
      <c r="P646" s="637"/>
      <c r="Q646" s="637"/>
      <c r="R646" s="637"/>
      <c r="S646" s="637"/>
      <c r="T646" s="637"/>
      <c r="U646" s="637"/>
      <c r="V646" s="637"/>
      <c r="W646" s="637"/>
      <c r="X646" s="637"/>
      <c r="Y646" s="637"/>
      <c r="Z646" s="637"/>
      <c r="AA646" s="637"/>
      <c r="AB646" s="637"/>
      <c r="AC646" s="637"/>
      <c r="AD646" s="640"/>
      <c r="AE646" s="606"/>
      <c r="AF646" s="606"/>
      <c r="AG646" s="606"/>
      <c r="AH646" s="606"/>
    </row>
    <row r="647" spans="1:34" s="612" customFormat="1" hidden="1" outlineLevel="3" x14ac:dyDescent="0.2">
      <c r="A647" s="606"/>
      <c r="B647" s="606"/>
      <c r="C647" s="607"/>
      <c r="D647" s="608"/>
      <c r="E647" s="608"/>
      <c r="F647" s="608"/>
      <c r="G647" s="608"/>
      <c r="H647" s="609"/>
      <c r="I647" s="637"/>
      <c r="J647" s="637"/>
      <c r="K647" s="637"/>
      <c r="L647" s="637"/>
      <c r="M647" s="637"/>
      <c r="N647" s="637"/>
      <c r="O647" s="637"/>
      <c r="P647" s="637"/>
      <c r="Q647" s="637"/>
      <c r="R647" s="637"/>
      <c r="S647" s="637"/>
      <c r="T647" s="637"/>
      <c r="U647" s="637"/>
      <c r="V647" s="637"/>
      <c r="W647" s="637"/>
      <c r="X647" s="637"/>
      <c r="Y647" s="637"/>
      <c r="Z647" s="637"/>
      <c r="AA647" s="637"/>
      <c r="AB647" s="637"/>
      <c r="AC647" s="637"/>
      <c r="AD647" s="640"/>
      <c r="AE647" s="606"/>
      <c r="AF647" s="606"/>
      <c r="AG647" s="606"/>
      <c r="AH647" s="606"/>
    </row>
    <row r="648" spans="1:34" s="612" customFormat="1" hidden="1" outlineLevel="3" x14ac:dyDescent="0.2">
      <c r="A648" s="606"/>
      <c r="B648" s="606"/>
      <c r="C648" s="607"/>
      <c r="D648" s="608"/>
      <c r="E648" s="608"/>
      <c r="F648" s="608"/>
      <c r="G648" s="608"/>
      <c r="H648" s="609"/>
      <c r="I648" s="637"/>
      <c r="J648" s="637"/>
      <c r="K648" s="637"/>
      <c r="L648" s="637"/>
      <c r="M648" s="637"/>
      <c r="N648" s="637"/>
      <c r="O648" s="637"/>
      <c r="P648" s="637"/>
      <c r="Q648" s="637"/>
      <c r="R648" s="637"/>
      <c r="S648" s="637"/>
      <c r="T648" s="637"/>
      <c r="U648" s="637"/>
      <c r="V648" s="637"/>
      <c r="W648" s="637"/>
      <c r="X648" s="637"/>
      <c r="Y648" s="637"/>
      <c r="Z648" s="637"/>
      <c r="AA648" s="637"/>
      <c r="AB648" s="637"/>
      <c r="AC648" s="637"/>
      <c r="AD648" s="640"/>
      <c r="AE648" s="606"/>
      <c r="AF648" s="606"/>
      <c r="AG648" s="606"/>
      <c r="AH648" s="606"/>
    </row>
    <row r="649" spans="1:34" s="612" customFormat="1" hidden="1" outlineLevel="3" x14ac:dyDescent="0.2">
      <c r="A649" s="606"/>
      <c r="B649" s="606"/>
      <c r="C649" s="607"/>
      <c r="D649" s="608"/>
      <c r="E649" s="608"/>
      <c r="F649" s="608"/>
      <c r="G649" s="608"/>
      <c r="H649" s="609"/>
      <c r="I649" s="637"/>
      <c r="J649" s="637"/>
      <c r="K649" s="637"/>
      <c r="L649" s="637"/>
      <c r="M649" s="637"/>
      <c r="N649" s="637"/>
      <c r="O649" s="637"/>
      <c r="P649" s="637"/>
      <c r="Q649" s="637"/>
      <c r="R649" s="637"/>
      <c r="S649" s="637"/>
      <c r="T649" s="637"/>
      <c r="U649" s="637"/>
      <c r="V649" s="637"/>
      <c r="W649" s="637"/>
      <c r="X649" s="637"/>
      <c r="Y649" s="637"/>
      <c r="Z649" s="637"/>
      <c r="AA649" s="637"/>
      <c r="AB649" s="637"/>
      <c r="AC649" s="637"/>
      <c r="AD649" s="640"/>
      <c r="AE649" s="606"/>
      <c r="AF649" s="606"/>
      <c r="AG649" s="606"/>
      <c r="AH649" s="606"/>
    </row>
    <row r="650" spans="1:34" s="612" customFormat="1" hidden="1" outlineLevel="3" x14ac:dyDescent="0.2">
      <c r="A650" s="606"/>
      <c r="B650" s="606"/>
      <c r="C650" s="607"/>
      <c r="D650" s="608"/>
      <c r="E650" s="608"/>
      <c r="F650" s="608"/>
      <c r="G650" s="608"/>
      <c r="H650" s="609"/>
      <c r="I650" s="637"/>
      <c r="J650" s="637"/>
      <c r="K650" s="637"/>
      <c r="L650" s="637"/>
      <c r="M650" s="637"/>
      <c r="N650" s="637"/>
      <c r="O650" s="637"/>
      <c r="P650" s="637"/>
      <c r="Q650" s="637"/>
      <c r="R650" s="637"/>
      <c r="S650" s="637"/>
      <c r="T650" s="637"/>
      <c r="U650" s="637"/>
      <c r="V650" s="637"/>
      <c r="W650" s="637"/>
      <c r="X650" s="637"/>
      <c r="Y650" s="637"/>
      <c r="Z650" s="637"/>
      <c r="AA650" s="637"/>
      <c r="AB650" s="637"/>
      <c r="AC650" s="637"/>
      <c r="AD650" s="640"/>
      <c r="AE650" s="606"/>
      <c r="AF650" s="606"/>
      <c r="AG650" s="606"/>
      <c r="AH650" s="606"/>
    </row>
    <row r="651" spans="1:34" s="612" customFormat="1" hidden="1" outlineLevel="3" x14ac:dyDescent="0.2">
      <c r="A651" s="606"/>
      <c r="B651" s="606"/>
      <c r="C651" s="607"/>
      <c r="D651" s="608"/>
      <c r="E651" s="608"/>
      <c r="F651" s="608"/>
      <c r="G651" s="608"/>
      <c r="H651" s="609"/>
      <c r="I651" s="637"/>
      <c r="J651" s="637"/>
      <c r="K651" s="637"/>
      <c r="L651" s="637"/>
      <c r="M651" s="637"/>
      <c r="N651" s="637"/>
      <c r="O651" s="637"/>
      <c r="P651" s="637"/>
      <c r="Q651" s="637"/>
      <c r="R651" s="637"/>
      <c r="S651" s="637"/>
      <c r="T651" s="637"/>
      <c r="U651" s="637"/>
      <c r="V651" s="637"/>
      <c r="W651" s="637"/>
      <c r="X651" s="637"/>
      <c r="Y651" s="637"/>
      <c r="Z651" s="637"/>
      <c r="AA651" s="637"/>
      <c r="AB651" s="637"/>
      <c r="AC651" s="637"/>
      <c r="AD651" s="640"/>
      <c r="AE651" s="606"/>
      <c r="AF651" s="606"/>
      <c r="AG651" s="606"/>
      <c r="AH651" s="606"/>
    </row>
    <row r="652" spans="1:34" s="612" customFormat="1" hidden="1" outlineLevel="3" x14ac:dyDescent="0.2">
      <c r="A652" s="606"/>
      <c r="B652" s="606"/>
      <c r="C652" s="607"/>
      <c r="D652" s="608"/>
      <c r="E652" s="608"/>
      <c r="F652" s="608"/>
      <c r="G652" s="608"/>
      <c r="H652" s="609"/>
      <c r="I652" s="637"/>
      <c r="J652" s="637"/>
      <c r="K652" s="637"/>
      <c r="L652" s="637"/>
      <c r="M652" s="637"/>
      <c r="N652" s="637"/>
      <c r="O652" s="637"/>
      <c r="P652" s="637"/>
      <c r="Q652" s="637"/>
      <c r="R652" s="637"/>
      <c r="S652" s="637"/>
      <c r="T652" s="637"/>
      <c r="U652" s="637"/>
      <c r="V652" s="637"/>
      <c r="W652" s="637"/>
      <c r="X652" s="637"/>
      <c r="Y652" s="637"/>
      <c r="Z652" s="637"/>
      <c r="AA652" s="637"/>
      <c r="AB652" s="637"/>
      <c r="AC652" s="637"/>
      <c r="AD652" s="640"/>
      <c r="AE652" s="606"/>
      <c r="AF652" s="606"/>
      <c r="AG652" s="606"/>
      <c r="AH652" s="606"/>
    </row>
    <row r="653" spans="1:34" s="612" customFormat="1" hidden="1" outlineLevel="3" x14ac:dyDescent="0.2">
      <c r="A653" s="606"/>
      <c r="B653" s="606"/>
      <c r="C653" s="607"/>
      <c r="D653" s="608"/>
      <c r="E653" s="608"/>
      <c r="F653" s="608"/>
      <c r="G653" s="608"/>
      <c r="H653" s="609"/>
      <c r="I653" s="637"/>
      <c r="J653" s="637"/>
      <c r="K653" s="637"/>
      <c r="L653" s="637"/>
      <c r="M653" s="637"/>
      <c r="N653" s="637"/>
      <c r="O653" s="637"/>
      <c r="P653" s="637"/>
      <c r="Q653" s="637"/>
      <c r="R653" s="637"/>
      <c r="S653" s="637"/>
      <c r="T653" s="637"/>
      <c r="U653" s="637"/>
      <c r="V653" s="637"/>
      <c r="W653" s="637"/>
      <c r="X653" s="637"/>
      <c r="Y653" s="637"/>
      <c r="Z653" s="637"/>
      <c r="AA653" s="637"/>
      <c r="AB653" s="637"/>
      <c r="AC653" s="637"/>
      <c r="AD653" s="640"/>
      <c r="AE653" s="606"/>
      <c r="AF653" s="606"/>
      <c r="AG653" s="606"/>
      <c r="AH653" s="606"/>
    </row>
    <row r="654" spans="1:34" s="612" customFormat="1" hidden="1" outlineLevel="3" x14ac:dyDescent="0.2">
      <c r="A654" s="606"/>
      <c r="B654" s="606"/>
      <c r="C654" s="607"/>
      <c r="D654" s="608"/>
      <c r="E654" s="608"/>
      <c r="F654" s="608"/>
      <c r="G654" s="608"/>
      <c r="H654" s="609"/>
      <c r="I654" s="637"/>
      <c r="J654" s="637"/>
      <c r="K654" s="637"/>
      <c r="L654" s="637"/>
      <c r="M654" s="637"/>
      <c r="N654" s="637"/>
      <c r="O654" s="637"/>
      <c r="P654" s="637"/>
      <c r="Q654" s="637"/>
      <c r="R654" s="637"/>
      <c r="S654" s="637"/>
      <c r="T654" s="637"/>
      <c r="U654" s="637"/>
      <c r="V654" s="637"/>
      <c r="W654" s="637"/>
      <c r="X654" s="637"/>
      <c r="Y654" s="637"/>
      <c r="Z654" s="637"/>
      <c r="AA654" s="637"/>
      <c r="AB654" s="637"/>
      <c r="AC654" s="637"/>
      <c r="AD654" s="640"/>
      <c r="AE654" s="606"/>
      <c r="AF654" s="606"/>
      <c r="AG654" s="606"/>
      <c r="AH654" s="606"/>
    </row>
    <row r="655" spans="1:34" s="612" customFormat="1" hidden="1" outlineLevel="3" x14ac:dyDescent="0.2">
      <c r="A655" s="606"/>
      <c r="B655" s="606"/>
      <c r="C655" s="607"/>
      <c r="D655" s="608"/>
      <c r="E655" s="608"/>
      <c r="F655" s="608"/>
      <c r="G655" s="608"/>
      <c r="H655" s="609"/>
      <c r="I655" s="637"/>
      <c r="J655" s="637"/>
      <c r="K655" s="637"/>
      <c r="L655" s="637"/>
      <c r="M655" s="637"/>
      <c r="N655" s="637"/>
      <c r="O655" s="637"/>
      <c r="P655" s="637"/>
      <c r="Q655" s="637"/>
      <c r="R655" s="637"/>
      <c r="S655" s="637"/>
      <c r="T655" s="637"/>
      <c r="U655" s="637"/>
      <c r="V655" s="637"/>
      <c r="W655" s="637"/>
      <c r="X655" s="637"/>
      <c r="Y655" s="637"/>
      <c r="Z655" s="637"/>
      <c r="AA655" s="637"/>
      <c r="AB655" s="637"/>
      <c r="AC655" s="637"/>
      <c r="AD655" s="640"/>
      <c r="AE655" s="606"/>
      <c r="AF655" s="606"/>
      <c r="AG655" s="606"/>
      <c r="AH655" s="606"/>
    </row>
    <row r="656" spans="1:34" s="612" customFormat="1" hidden="1" outlineLevel="3" x14ac:dyDescent="0.2">
      <c r="A656" s="606"/>
      <c r="B656" s="606"/>
      <c r="C656" s="607"/>
      <c r="D656" s="608"/>
      <c r="E656" s="608"/>
      <c r="F656" s="608"/>
      <c r="G656" s="608"/>
      <c r="H656" s="609"/>
      <c r="I656" s="637"/>
      <c r="J656" s="637"/>
      <c r="K656" s="637"/>
      <c r="L656" s="637"/>
      <c r="M656" s="637"/>
      <c r="N656" s="637"/>
      <c r="O656" s="637"/>
      <c r="P656" s="637"/>
      <c r="Q656" s="637"/>
      <c r="R656" s="637"/>
      <c r="S656" s="637"/>
      <c r="T656" s="637"/>
      <c r="U656" s="637"/>
      <c r="V656" s="637"/>
      <c r="W656" s="637"/>
      <c r="X656" s="637"/>
      <c r="Y656" s="637"/>
      <c r="Z656" s="637"/>
      <c r="AA656" s="637"/>
      <c r="AB656" s="637"/>
      <c r="AC656" s="637"/>
      <c r="AD656" s="640"/>
      <c r="AE656" s="606"/>
      <c r="AF656" s="606"/>
      <c r="AG656" s="606"/>
      <c r="AH656" s="606"/>
    </row>
    <row r="657" spans="1:34" s="612" customFormat="1" hidden="1" outlineLevel="3" x14ac:dyDescent="0.2">
      <c r="A657" s="606"/>
      <c r="B657" s="606"/>
      <c r="C657" s="607"/>
      <c r="D657" s="608"/>
      <c r="E657" s="608"/>
      <c r="F657" s="608"/>
      <c r="G657" s="608"/>
      <c r="H657" s="609"/>
      <c r="I657" s="637"/>
      <c r="J657" s="637"/>
      <c r="K657" s="637"/>
      <c r="L657" s="637"/>
      <c r="M657" s="637"/>
      <c r="N657" s="637"/>
      <c r="O657" s="637"/>
      <c r="P657" s="637"/>
      <c r="Q657" s="637"/>
      <c r="R657" s="637"/>
      <c r="S657" s="637"/>
      <c r="T657" s="637"/>
      <c r="U657" s="637"/>
      <c r="V657" s="637"/>
      <c r="W657" s="637"/>
      <c r="X657" s="637"/>
      <c r="Y657" s="637"/>
      <c r="Z657" s="637"/>
      <c r="AA657" s="637"/>
      <c r="AB657" s="637"/>
      <c r="AC657" s="637"/>
      <c r="AD657" s="640"/>
      <c r="AE657" s="606"/>
      <c r="AF657" s="606"/>
      <c r="AG657" s="606"/>
      <c r="AH657" s="606"/>
    </row>
    <row r="658" spans="1:34" s="612" customFormat="1" hidden="1" outlineLevel="3" x14ac:dyDescent="0.2">
      <c r="A658" s="606"/>
      <c r="B658" s="606"/>
      <c r="C658" s="607"/>
      <c r="D658" s="608"/>
      <c r="E658" s="608"/>
      <c r="F658" s="608"/>
      <c r="G658" s="608"/>
      <c r="H658" s="609"/>
      <c r="I658" s="637"/>
      <c r="J658" s="637"/>
      <c r="K658" s="637"/>
      <c r="L658" s="637"/>
      <c r="M658" s="637"/>
      <c r="N658" s="637"/>
      <c r="O658" s="637"/>
      <c r="P658" s="637"/>
      <c r="Q658" s="637"/>
      <c r="R658" s="637"/>
      <c r="S658" s="637"/>
      <c r="T658" s="637"/>
      <c r="U658" s="637"/>
      <c r="V658" s="637"/>
      <c r="W658" s="637"/>
      <c r="X658" s="637"/>
      <c r="Y658" s="637"/>
      <c r="Z658" s="637"/>
      <c r="AA658" s="637"/>
      <c r="AB658" s="637"/>
      <c r="AC658" s="637"/>
      <c r="AD658" s="640"/>
      <c r="AE658" s="606"/>
      <c r="AF658" s="606"/>
      <c r="AG658" s="606"/>
      <c r="AH658" s="606"/>
    </row>
    <row r="659" spans="1:34" s="612" customFormat="1" outlineLevel="2" collapsed="1" x14ac:dyDescent="0.2">
      <c r="A659" s="606"/>
      <c r="B659" s="606"/>
      <c r="C659" s="638"/>
      <c r="D659" s="608"/>
      <c r="E659" s="608"/>
      <c r="F659" s="608"/>
      <c r="G659" s="608"/>
      <c r="H659" s="609"/>
      <c r="I659" s="639"/>
      <c r="J659" s="639"/>
      <c r="K659" s="639"/>
      <c r="L659" s="639"/>
      <c r="M659" s="639"/>
      <c r="N659" s="639"/>
      <c r="O659" s="639"/>
      <c r="P659" s="639"/>
      <c r="Q659" s="639"/>
      <c r="R659" s="639"/>
      <c r="S659" s="639"/>
      <c r="T659" s="639"/>
      <c r="U659" s="639"/>
      <c r="V659" s="639"/>
      <c r="W659" s="639"/>
      <c r="X659" s="639"/>
      <c r="Y659" s="639"/>
      <c r="Z659" s="639"/>
      <c r="AA659" s="639"/>
      <c r="AB659" s="639"/>
      <c r="AC659" s="639"/>
      <c r="AD659" s="606"/>
      <c r="AE659" s="606"/>
      <c r="AF659" s="606"/>
      <c r="AG659" s="606"/>
    </row>
    <row r="660" spans="1:34" s="612" customFormat="1" outlineLevel="1" x14ac:dyDescent="0.2">
      <c r="A660" s="606"/>
      <c r="B660" s="606"/>
      <c r="C660" s="613"/>
      <c r="D660" s="609"/>
      <c r="E660" s="609"/>
      <c r="F660" s="609"/>
      <c r="G660" s="609"/>
      <c r="H660" s="609"/>
      <c r="I660" s="641"/>
      <c r="J660" s="641"/>
      <c r="K660" s="640"/>
      <c r="L660" s="640"/>
      <c r="M660" s="640"/>
      <c r="N660" s="642"/>
      <c r="O660" s="642"/>
      <c r="P660" s="642"/>
      <c r="Q660" s="642"/>
      <c r="R660" s="642"/>
      <c r="S660" s="640"/>
      <c r="T660" s="640"/>
      <c r="U660" s="640"/>
      <c r="V660" s="640"/>
      <c r="W660" s="640"/>
      <c r="X660" s="640"/>
      <c r="Y660" s="640"/>
      <c r="Z660" s="640"/>
      <c r="AA660" s="640"/>
      <c r="AB660" s="640"/>
      <c r="AC660" s="640"/>
      <c r="AD660" s="640"/>
      <c r="AE660" s="606"/>
      <c r="AF660" s="606"/>
      <c r="AG660" s="606"/>
      <c r="AH660" s="606"/>
    </row>
    <row r="661" spans="1:34" s="612" customFormat="1" outlineLevel="1" x14ac:dyDescent="0.2">
      <c r="A661" s="606"/>
      <c r="B661" s="606"/>
      <c r="C661" s="616"/>
      <c r="D661" s="617"/>
      <c r="E661" s="617"/>
      <c r="F661" s="617"/>
      <c r="G661" s="618"/>
      <c r="H661" s="618"/>
      <c r="I661" s="640"/>
      <c r="J661" s="640"/>
      <c r="K661" s="640"/>
      <c r="L661" s="640"/>
      <c r="M661" s="640"/>
      <c r="N661" s="640"/>
      <c r="O661" s="640"/>
      <c r="P661" s="640"/>
      <c r="Q661" s="640"/>
      <c r="R661" s="640"/>
      <c r="S661" s="640"/>
      <c r="T661" s="640"/>
      <c r="U661" s="640"/>
      <c r="V661" s="640"/>
      <c r="W661" s="640"/>
      <c r="X661" s="640"/>
      <c r="Y661" s="640"/>
      <c r="Z661" s="640"/>
      <c r="AA661" s="640"/>
      <c r="AB661" s="640"/>
      <c r="AC661" s="640"/>
      <c r="AD661" s="640"/>
      <c r="AE661" s="606"/>
      <c r="AF661" s="606"/>
      <c r="AG661" s="606"/>
      <c r="AH661" s="606"/>
    </row>
    <row r="662" spans="1:34" s="612" customFormat="1" outlineLevel="2" x14ac:dyDescent="0.2">
      <c r="A662" s="606"/>
      <c r="B662" s="606"/>
      <c r="C662" s="607"/>
      <c r="D662" s="608"/>
      <c r="E662" s="608"/>
      <c r="F662" s="608"/>
      <c r="G662" s="608"/>
      <c r="H662" s="609"/>
      <c r="I662" s="637"/>
      <c r="J662" s="637"/>
      <c r="K662" s="637"/>
      <c r="L662" s="637"/>
      <c r="M662" s="637"/>
      <c r="N662" s="637"/>
      <c r="O662" s="637"/>
      <c r="P662" s="637"/>
      <c r="Q662" s="637"/>
      <c r="R662" s="637"/>
      <c r="S662" s="637"/>
      <c r="T662" s="637"/>
      <c r="U662" s="637"/>
      <c r="V662" s="637"/>
      <c r="W662" s="637"/>
      <c r="X662" s="637"/>
      <c r="Y662" s="637"/>
      <c r="Z662" s="637"/>
      <c r="AA662" s="637"/>
      <c r="AB662" s="637"/>
      <c r="AC662" s="637"/>
      <c r="AD662" s="640"/>
      <c r="AE662" s="606"/>
      <c r="AF662" s="606"/>
      <c r="AG662" s="606"/>
      <c r="AH662" s="606"/>
    </row>
    <row r="663" spans="1:34" s="612" customFormat="1" outlineLevel="2" x14ac:dyDescent="0.2">
      <c r="A663" s="606"/>
      <c r="B663" s="606"/>
      <c r="C663" s="607"/>
      <c r="D663" s="608"/>
      <c r="E663" s="608"/>
      <c r="F663" s="608"/>
      <c r="G663" s="608"/>
      <c r="H663" s="609"/>
      <c r="I663" s="637"/>
      <c r="J663" s="637"/>
      <c r="K663" s="637"/>
      <c r="L663" s="637"/>
      <c r="M663" s="637"/>
      <c r="N663" s="637"/>
      <c r="O663" s="637"/>
      <c r="P663" s="637"/>
      <c r="Q663" s="637"/>
      <c r="R663" s="637"/>
      <c r="S663" s="637"/>
      <c r="T663" s="637"/>
      <c r="U663" s="637"/>
      <c r="V663" s="637"/>
      <c r="W663" s="637"/>
      <c r="X663" s="637"/>
      <c r="Y663" s="637"/>
      <c r="Z663" s="637"/>
      <c r="AA663" s="637"/>
      <c r="AB663" s="637"/>
      <c r="AC663" s="637"/>
      <c r="AD663" s="640"/>
      <c r="AE663" s="606"/>
      <c r="AF663" s="606"/>
      <c r="AG663" s="606"/>
      <c r="AH663" s="606"/>
    </row>
    <row r="664" spans="1:34" s="612" customFormat="1" outlineLevel="2" x14ac:dyDescent="0.2">
      <c r="A664" s="606"/>
      <c r="B664" s="606"/>
      <c r="C664" s="607"/>
      <c r="D664" s="608"/>
      <c r="E664" s="608"/>
      <c r="F664" s="608"/>
      <c r="G664" s="608"/>
      <c r="H664" s="609"/>
      <c r="I664" s="637"/>
      <c r="J664" s="637"/>
      <c r="K664" s="637"/>
      <c r="L664" s="637"/>
      <c r="M664" s="637"/>
      <c r="N664" s="637"/>
      <c r="O664" s="637"/>
      <c r="P664" s="637"/>
      <c r="Q664" s="637"/>
      <c r="R664" s="637"/>
      <c r="S664" s="637"/>
      <c r="T664" s="637"/>
      <c r="U664" s="637"/>
      <c r="V664" s="637"/>
      <c r="W664" s="637"/>
      <c r="X664" s="637"/>
      <c r="Y664" s="637"/>
      <c r="Z664" s="637"/>
      <c r="AA664" s="637"/>
      <c r="AB664" s="637"/>
      <c r="AC664" s="637"/>
      <c r="AD664" s="640"/>
      <c r="AE664" s="606"/>
      <c r="AF664" s="606"/>
      <c r="AG664" s="606"/>
      <c r="AH664" s="606"/>
    </row>
    <row r="665" spans="1:34" s="612" customFormat="1" outlineLevel="2" x14ac:dyDescent="0.2">
      <c r="A665" s="606"/>
      <c r="B665" s="606"/>
      <c r="C665" s="607"/>
      <c r="D665" s="608"/>
      <c r="E665" s="608"/>
      <c r="F665" s="608"/>
      <c r="G665" s="608"/>
      <c r="H665" s="609"/>
      <c r="I665" s="637"/>
      <c r="J665" s="637"/>
      <c r="K665" s="637"/>
      <c r="L665" s="637"/>
      <c r="M665" s="637"/>
      <c r="N665" s="637"/>
      <c r="O665" s="637"/>
      <c r="P665" s="637"/>
      <c r="Q665" s="637"/>
      <c r="R665" s="637"/>
      <c r="S665" s="637"/>
      <c r="T665" s="637"/>
      <c r="U665" s="637"/>
      <c r="V665" s="637"/>
      <c r="W665" s="637"/>
      <c r="X665" s="637"/>
      <c r="Y665" s="637"/>
      <c r="Z665" s="637"/>
      <c r="AA665" s="637"/>
      <c r="AB665" s="637"/>
      <c r="AC665" s="637"/>
      <c r="AD665" s="640"/>
      <c r="AE665" s="606"/>
      <c r="AF665" s="606"/>
      <c r="AG665" s="606"/>
      <c r="AH665" s="606"/>
    </row>
    <row r="666" spans="1:34" s="612" customFormat="1" outlineLevel="2" x14ac:dyDescent="0.2">
      <c r="A666" s="606"/>
      <c r="B666" s="606"/>
      <c r="C666" s="607"/>
      <c r="D666" s="608"/>
      <c r="E666" s="608"/>
      <c r="F666" s="608"/>
      <c r="G666" s="608"/>
      <c r="H666" s="609"/>
      <c r="I666" s="637"/>
      <c r="J666" s="637"/>
      <c r="K666" s="637"/>
      <c r="L666" s="637"/>
      <c r="M666" s="637"/>
      <c r="N666" s="637"/>
      <c r="O666" s="637"/>
      <c r="P666" s="637"/>
      <c r="Q666" s="637"/>
      <c r="R666" s="637"/>
      <c r="S666" s="637"/>
      <c r="T666" s="637"/>
      <c r="U666" s="637"/>
      <c r="V666" s="637"/>
      <c r="W666" s="637"/>
      <c r="X666" s="637"/>
      <c r="Y666" s="637"/>
      <c r="Z666" s="637"/>
      <c r="AA666" s="637"/>
      <c r="AB666" s="637"/>
      <c r="AC666" s="637"/>
      <c r="AD666" s="640"/>
      <c r="AE666" s="606"/>
      <c r="AF666" s="606"/>
      <c r="AG666" s="606"/>
      <c r="AH666" s="606"/>
    </row>
    <row r="667" spans="1:34" s="612" customFormat="1" outlineLevel="2" x14ac:dyDescent="0.2">
      <c r="A667" s="606"/>
      <c r="B667" s="606"/>
      <c r="C667" s="607"/>
      <c r="D667" s="608"/>
      <c r="E667" s="608"/>
      <c r="F667" s="608"/>
      <c r="G667" s="608"/>
      <c r="H667" s="609"/>
      <c r="I667" s="637"/>
      <c r="J667" s="637"/>
      <c r="K667" s="637"/>
      <c r="L667" s="637"/>
      <c r="M667" s="637"/>
      <c r="N667" s="637"/>
      <c r="O667" s="637"/>
      <c r="P667" s="637"/>
      <c r="Q667" s="637"/>
      <c r="R667" s="637"/>
      <c r="S667" s="637"/>
      <c r="T667" s="637"/>
      <c r="U667" s="637"/>
      <c r="V667" s="637"/>
      <c r="W667" s="637"/>
      <c r="X667" s="637"/>
      <c r="Y667" s="637"/>
      <c r="Z667" s="637"/>
      <c r="AA667" s="637"/>
      <c r="AB667" s="637"/>
      <c r="AC667" s="637"/>
      <c r="AD667" s="640"/>
      <c r="AE667" s="606"/>
      <c r="AF667" s="606"/>
      <c r="AG667" s="606"/>
      <c r="AH667" s="606"/>
    </row>
    <row r="668" spans="1:34" s="612" customFormat="1" outlineLevel="2" x14ac:dyDescent="0.2">
      <c r="A668" s="606"/>
      <c r="B668" s="606"/>
      <c r="C668" s="607"/>
      <c r="D668" s="608"/>
      <c r="E668" s="608"/>
      <c r="F668" s="608"/>
      <c r="G668" s="608"/>
      <c r="H668" s="609"/>
      <c r="I668" s="637"/>
      <c r="J668" s="637"/>
      <c r="K668" s="637"/>
      <c r="L668" s="637"/>
      <c r="M668" s="637"/>
      <c r="N668" s="637"/>
      <c r="O668" s="637"/>
      <c r="P668" s="637"/>
      <c r="Q668" s="637"/>
      <c r="R668" s="637"/>
      <c r="S668" s="637"/>
      <c r="T668" s="637"/>
      <c r="U668" s="637"/>
      <c r="V668" s="637"/>
      <c r="W668" s="637"/>
      <c r="X668" s="637"/>
      <c r="Y668" s="637"/>
      <c r="Z668" s="637"/>
      <c r="AA668" s="637"/>
      <c r="AB668" s="637"/>
      <c r="AC668" s="637"/>
      <c r="AD668" s="640"/>
      <c r="AE668" s="606"/>
      <c r="AF668" s="606"/>
      <c r="AG668" s="606"/>
      <c r="AH668" s="606"/>
    </row>
    <row r="669" spans="1:34" s="612" customFormat="1" outlineLevel="2" x14ac:dyDescent="0.2">
      <c r="A669" s="606"/>
      <c r="B669" s="606"/>
      <c r="C669" s="607"/>
      <c r="D669" s="608"/>
      <c r="E669" s="608"/>
      <c r="F669" s="608"/>
      <c r="G669" s="608"/>
      <c r="H669" s="609"/>
      <c r="I669" s="637"/>
      <c r="J669" s="637"/>
      <c r="K669" s="637"/>
      <c r="L669" s="637"/>
      <c r="M669" s="637"/>
      <c r="N669" s="637"/>
      <c r="O669" s="637"/>
      <c r="P669" s="637"/>
      <c r="Q669" s="637"/>
      <c r="R669" s="637"/>
      <c r="S669" s="637"/>
      <c r="T669" s="637"/>
      <c r="U669" s="637"/>
      <c r="V669" s="637"/>
      <c r="W669" s="637"/>
      <c r="X669" s="637"/>
      <c r="Y669" s="637"/>
      <c r="Z669" s="637"/>
      <c r="AA669" s="637"/>
      <c r="AB669" s="637"/>
      <c r="AC669" s="637"/>
      <c r="AD669" s="640"/>
      <c r="AE669" s="606"/>
      <c r="AF669" s="606"/>
      <c r="AG669" s="606"/>
      <c r="AH669" s="606"/>
    </row>
    <row r="670" spans="1:34" s="612" customFormat="1" outlineLevel="2" x14ac:dyDescent="0.2">
      <c r="A670" s="606"/>
      <c r="B670" s="606"/>
      <c r="C670" s="607"/>
      <c r="D670" s="608"/>
      <c r="E670" s="608"/>
      <c r="F670" s="608"/>
      <c r="G670" s="608"/>
      <c r="H670" s="609"/>
      <c r="I670" s="637"/>
      <c r="J670" s="637"/>
      <c r="K670" s="637"/>
      <c r="L670" s="637"/>
      <c r="M670" s="637"/>
      <c r="N670" s="637"/>
      <c r="O670" s="637"/>
      <c r="P670" s="637"/>
      <c r="Q670" s="637"/>
      <c r="R670" s="637"/>
      <c r="S670" s="637"/>
      <c r="T670" s="637"/>
      <c r="U670" s="637"/>
      <c r="V670" s="637"/>
      <c r="W670" s="637"/>
      <c r="X670" s="637"/>
      <c r="Y670" s="637"/>
      <c r="Z670" s="637"/>
      <c r="AA670" s="637"/>
      <c r="AB670" s="637"/>
      <c r="AC670" s="637"/>
      <c r="AD670" s="640"/>
      <c r="AE670" s="606"/>
      <c r="AF670" s="606"/>
      <c r="AG670" s="606"/>
      <c r="AH670" s="606"/>
    </row>
    <row r="671" spans="1:34" s="612" customFormat="1" outlineLevel="2" x14ac:dyDescent="0.2">
      <c r="A671" s="606"/>
      <c r="B671" s="606"/>
      <c r="C671" s="607"/>
      <c r="D671" s="608"/>
      <c r="E671" s="608"/>
      <c r="F671" s="608"/>
      <c r="G671" s="608"/>
      <c r="H671" s="609"/>
      <c r="I671" s="637"/>
      <c r="J671" s="637"/>
      <c r="K671" s="637"/>
      <c r="L671" s="637"/>
      <c r="M671" s="637"/>
      <c r="N671" s="637"/>
      <c r="O671" s="637"/>
      <c r="P671" s="637"/>
      <c r="Q671" s="637"/>
      <c r="R671" s="637"/>
      <c r="S671" s="637"/>
      <c r="T671" s="637"/>
      <c r="U671" s="637"/>
      <c r="V671" s="637"/>
      <c r="W671" s="637"/>
      <c r="X671" s="637"/>
      <c r="Y671" s="637"/>
      <c r="Z671" s="637"/>
      <c r="AA671" s="637"/>
      <c r="AB671" s="637"/>
      <c r="AC671" s="637"/>
      <c r="AD671" s="640"/>
      <c r="AE671" s="606"/>
      <c r="AF671" s="606"/>
      <c r="AG671" s="606"/>
      <c r="AH671" s="606"/>
    </row>
    <row r="672" spans="1:34" s="612" customFormat="1" outlineLevel="2" x14ac:dyDescent="0.2">
      <c r="A672" s="606"/>
      <c r="B672" s="606"/>
      <c r="C672" s="607"/>
      <c r="D672" s="608"/>
      <c r="E672" s="608"/>
      <c r="F672" s="608"/>
      <c r="G672" s="608"/>
      <c r="H672" s="609"/>
      <c r="I672" s="637"/>
      <c r="J672" s="637"/>
      <c r="K672" s="637"/>
      <c r="L672" s="637"/>
      <c r="M672" s="637"/>
      <c r="N672" s="637"/>
      <c r="O672" s="637"/>
      <c r="P672" s="637"/>
      <c r="Q672" s="637"/>
      <c r="R672" s="637"/>
      <c r="S672" s="637"/>
      <c r="T672" s="637"/>
      <c r="U672" s="637"/>
      <c r="V672" s="637"/>
      <c r="W672" s="637"/>
      <c r="X672" s="637"/>
      <c r="Y672" s="637"/>
      <c r="Z672" s="637"/>
      <c r="AA672" s="637"/>
      <c r="AB672" s="637"/>
      <c r="AC672" s="637"/>
      <c r="AD672" s="640"/>
      <c r="AE672" s="606"/>
      <c r="AF672" s="606"/>
      <c r="AG672" s="606"/>
      <c r="AH672" s="606"/>
    </row>
    <row r="673" spans="1:34" s="612" customFormat="1" outlineLevel="2" x14ac:dyDescent="0.2">
      <c r="A673" s="606"/>
      <c r="B673" s="606"/>
      <c r="C673" s="607"/>
      <c r="D673" s="608"/>
      <c r="E673" s="608"/>
      <c r="F673" s="608"/>
      <c r="G673" s="608"/>
      <c r="H673" s="609"/>
      <c r="I673" s="637"/>
      <c r="J673" s="637"/>
      <c r="K673" s="637"/>
      <c r="L673" s="637"/>
      <c r="M673" s="637"/>
      <c r="N673" s="637"/>
      <c r="O673" s="637"/>
      <c r="P673" s="637"/>
      <c r="Q673" s="637"/>
      <c r="R673" s="637"/>
      <c r="S673" s="637"/>
      <c r="T673" s="637"/>
      <c r="U673" s="637"/>
      <c r="V673" s="637"/>
      <c r="W673" s="637"/>
      <c r="X673" s="637"/>
      <c r="Y673" s="637"/>
      <c r="Z673" s="637"/>
      <c r="AA673" s="637"/>
      <c r="AB673" s="637"/>
      <c r="AC673" s="637"/>
      <c r="AD673" s="640"/>
      <c r="AE673" s="606"/>
      <c r="AF673" s="606"/>
      <c r="AG673" s="606"/>
      <c r="AH673" s="606"/>
    </row>
    <row r="674" spans="1:34" s="612" customFormat="1" outlineLevel="2" x14ac:dyDescent="0.2">
      <c r="A674" s="606"/>
      <c r="B674" s="606"/>
      <c r="C674" s="607"/>
      <c r="D674" s="608"/>
      <c r="E674" s="608"/>
      <c r="F674" s="608"/>
      <c r="G674" s="608"/>
      <c r="H674" s="609"/>
      <c r="I674" s="637"/>
      <c r="J674" s="637"/>
      <c r="K674" s="637"/>
      <c r="L674" s="637"/>
      <c r="M674" s="637"/>
      <c r="N674" s="637"/>
      <c r="O674" s="637"/>
      <c r="P674" s="637"/>
      <c r="Q674" s="637"/>
      <c r="R674" s="637"/>
      <c r="S674" s="637"/>
      <c r="T674" s="637"/>
      <c r="U674" s="637"/>
      <c r="V674" s="637"/>
      <c r="W674" s="637"/>
      <c r="X674" s="637"/>
      <c r="Y674" s="637"/>
      <c r="Z674" s="637"/>
      <c r="AA674" s="637"/>
      <c r="AB674" s="637"/>
      <c r="AC674" s="637"/>
      <c r="AD674" s="640"/>
      <c r="AE674" s="606"/>
      <c r="AF674" s="606"/>
      <c r="AG674" s="606"/>
      <c r="AH674" s="606"/>
    </row>
    <row r="675" spans="1:34" s="612" customFormat="1" outlineLevel="2" x14ac:dyDescent="0.2">
      <c r="A675" s="606"/>
      <c r="B675" s="606"/>
      <c r="C675" s="607"/>
      <c r="D675" s="608"/>
      <c r="E675" s="608"/>
      <c r="F675" s="608"/>
      <c r="G675" s="608"/>
      <c r="H675" s="609"/>
      <c r="I675" s="637"/>
      <c r="J675" s="637"/>
      <c r="K675" s="637"/>
      <c r="L675" s="637"/>
      <c r="M675" s="637"/>
      <c r="N675" s="637"/>
      <c r="O675" s="637"/>
      <c r="P675" s="637"/>
      <c r="Q675" s="637"/>
      <c r="R675" s="637"/>
      <c r="S675" s="637"/>
      <c r="T675" s="637"/>
      <c r="U675" s="637"/>
      <c r="V675" s="637"/>
      <c r="W675" s="637"/>
      <c r="X675" s="637"/>
      <c r="Y675" s="637"/>
      <c r="Z675" s="637"/>
      <c r="AA675" s="637"/>
      <c r="AB675" s="637"/>
      <c r="AC675" s="637"/>
      <c r="AD675" s="640"/>
      <c r="AE675" s="606"/>
      <c r="AF675" s="606"/>
      <c r="AG675" s="606"/>
      <c r="AH675" s="606"/>
    </row>
    <row r="676" spans="1:34" s="612" customFormat="1" outlineLevel="2" x14ac:dyDescent="0.2">
      <c r="A676" s="606"/>
      <c r="B676" s="606"/>
      <c r="C676" s="607"/>
      <c r="D676" s="608"/>
      <c r="E676" s="608"/>
      <c r="F676" s="608"/>
      <c r="G676" s="608"/>
      <c r="H676" s="609"/>
      <c r="I676" s="637"/>
      <c r="J676" s="637"/>
      <c r="K676" s="637"/>
      <c r="L676" s="637"/>
      <c r="M676" s="637"/>
      <c r="N676" s="637"/>
      <c r="O676" s="637"/>
      <c r="P676" s="637"/>
      <c r="Q676" s="637"/>
      <c r="R676" s="637"/>
      <c r="S676" s="637"/>
      <c r="T676" s="637"/>
      <c r="U676" s="637"/>
      <c r="V676" s="637"/>
      <c r="W676" s="637"/>
      <c r="X676" s="637"/>
      <c r="Y676" s="637"/>
      <c r="Z676" s="637"/>
      <c r="AA676" s="637"/>
      <c r="AB676" s="637"/>
      <c r="AC676" s="637"/>
      <c r="AD676" s="640"/>
      <c r="AE676" s="606"/>
      <c r="AF676" s="606"/>
      <c r="AG676" s="606"/>
      <c r="AH676" s="606"/>
    </row>
    <row r="677" spans="1:34" s="612" customFormat="1" outlineLevel="2" x14ac:dyDescent="0.2">
      <c r="A677" s="606"/>
      <c r="B677" s="606"/>
      <c r="C677" s="607"/>
      <c r="D677" s="608"/>
      <c r="E677" s="608"/>
      <c r="F677" s="608"/>
      <c r="G677" s="608"/>
      <c r="H677" s="609"/>
      <c r="I677" s="637"/>
      <c r="J677" s="637"/>
      <c r="K677" s="637"/>
      <c r="L677" s="637"/>
      <c r="M677" s="637"/>
      <c r="N677" s="637"/>
      <c r="O677" s="637"/>
      <c r="P677" s="637"/>
      <c r="Q677" s="637"/>
      <c r="R677" s="637"/>
      <c r="S677" s="637"/>
      <c r="T677" s="637"/>
      <c r="U677" s="637"/>
      <c r="V677" s="637"/>
      <c r="W677" s="637"/>
      <c r="X677" s="637"/>
      <c r="Y677" s="637"/>
      <c r="Z677" s="637"/>
      <c r="AA677" s="637"/>
      <c r="AB677" s="637"/>
      <c r="AC677" s="637"/>
      <c r="AD677" s="640"/>
      <c r="AE677" s="606"/>
      <c r="AF677" s="606"/>
      <c r="AG677" s="606"/>
      <c r="AH677" s="606"/>
    </row>
    <row r="678" spans="1:34" s="612" customFormat="1" outlineLevel="2" x14ac:dyDescent="0.2">
      <c r="A678" s="606"/>
      <c r="B678" s="606"/>
      <c r="C678" s="607"/>
      <c r="D678" s="608"/>
      <c r="E678" s="608"/>
      <c r="F678" s="608"/>
      <c r="G678" s="608"/>
      <c r="H678" s="609"/>
      <c r="I678" s="637"/>
      <c r="J678" s="637"/>
      <c r="K678" s="637"/>
      <c r="L678" s="637"/>
      <c r="M678" s="637"/>
      <c r="N678" s="637"/>
      <c r="O678" s="637"/>
      <c r="P678" s="637"/>
      <c r="Q678" s="637"/>
      <c r="R678" s="637"/>
      <c r="S678" s="637"/>
      <c r="T678" s="637"/>
      <c r="U678" s="637"/>
      <c r="V678" s="637"/>
      <c r="W678" s="637"/>
      <c r="X678" s="637"/>
      <c r="Y678" s="637"/>
      <c r="Z678" s="637"/>
      <c r="AA678" s="637"/>
      <c r="AB678" s="637"/>
      <c r="AC678" s="637"/>
      <c r="AD678" s="640"/>
      <c r="AE678" s="606"/>
      <c r="AF678" s="606"/>
      <c r="AG678" s="606"/>
      <c r="AH678" s="606"/>
    </row>
    <row r="679" spans="1:34" s="612" customFormat="1" outlineLevel="2" x14ac:dyDescent="0.2">
      <c r="A679" s="606"/>
      <c r="B679" s="606"/>
      <c r="C679" s="607"/>
      <c r="D679" s="608"/>
      <c r="E679" s="608"/>
      <c r="F679" s="608"/>
      <c r="G679" s="608"/>
      <c r="H679" s="609"/>
      <c r="I679" s="637"/>
      <c r="J679" s="637"/>
      <c r="K679" s="637"/>
      <c r="L679" s="637"/>
      <c r="M679" s="637"/>
      <c r="N679" s="637"/>
      <c r="O679" s="637"/>
      <c r="P679" s="637"/>
      <c r="Q679" s="637"/>
      <c r="R679" s="637"/>
      <c r="S679" s="637"/>
      <c r="T679" s="637"/>
      <c r="U679" s="637"/>
      <c r="V679" s="637"/>
      <c r="W679" s="637"/>
      <c r="X679" s="637"/>
      <c r="Y679" s="637"/>
      <c r="Z679" s="637"/>
      <c r="AA679" s="637"/>
      <c r="AB679" s="637"/>
      <c r="AC679" s="637"/>
      <c r="AD679" s="640"/>
      <c r="AE679" s="606"/>
      <c r="AF679" s="606"/>
      <c r="AG679" s="606"/>
      <c r="AH679" s="606"/>
    </row>
    <row r="680" spans="1:34" s="612" customFormat="1" outlineLevel="2" x14ac:dyDescent="0.2">
      <c r="A680" s="606"/>
      <c r="B680" s="606"/>
      <c r="C680" s="607"/>
      <c r="D680" s="608"/>
      <c r="E680" s="608"/>
      <c r="F680" s="608"/>
      <c r="G680" s="608"/>
      <c r="H680" s="609"/>
      <c r="I680" s="637"/>
      <c r="J680" s="637"/>
      <c r="K680" s="637"/>
      <c r="L680" s="637"/>
      <c r="M680" s="637"/>
      <c r="N680" s="637"/>
      <c r="O680" s="637"/>
      <c r="P680" s="637"/>
      <c r="Q680" s="637"/>
      <c r="R680" s="637"/>
      <c r="S680" s="637"/>
      <c r="T680" s="637"/>
      <c r="U680" s="637"/>
      <c r="V680" s="637"/>
      <c r="W680" s="637"/>
      <c r="X680" s="637"/>
      <c r="Y680" s="637"/>
      <c r="Z680" s="637"/>
      <c r="AA680" s="637"/>
      <c r="AB680" s="637"/>
      <c r="AC680" s="637"/>
      <c r="AD680" s="640"/>
      <c r="AE680" s="606"/>
      <c r="AF680" s="606"/>
      <c r="AG680" s="606"/>
      <c r="AH680" s="606"/>
    </row>
    <row r="681" spans="1:34" s="612" customFormat="1" outlineLevel="2" x14ac:dyDescent="0.2">
      <c r="A681" s="606"/>
      <c r="B681" s="606"/>
      <c r="C681" s="607"/>
      <c r="D681" s="608"/>
      <c r="E681" s="608"/>
      <c r="F681" s="608"/>
      <c r="G681" s="608"/>
      <c r="H681" s="609"/>
      <c r="I681" s="637"/>
      <c r="J681" s="637"/>
      <c r="K681" s="637"/>
      <c r="L681" s="637"/>
      <c r="M681" s="637"/>
      <c r="N681" s="637"/>
      <c r="O681" s="637"/>
      <c r="P681" s="637"/>
      <c r="Q681" s="637"/>
      <c r="R681" s="637"/>
      <c r="S681" s="637"/>
      <c r="T681" s="637"/>
      <c r="U681" s="637"/>
      <c r="V681" s="637"/>
      <c r="W681" s="637"/>
      <c r="X681" s="637"/>
      <c r="Y681" s="637"/>
      <c r="Z681" s="637"/>
      <c r="AA681" s="637"/>
      <c r="AB681" s="637"/>
      <c r="AC681" s="637"/>
      <c r="AD681" s="640"/>
      <c r="AE681" s="606"/>
      <c r="AF681" s="606"/>
      <c r="AG681" s="606"/>
      <c r="AH681" s="606"/>
    </row>
    <row r="682" spans="1:34" s="612" customFormat="1" outlineLevel="2" x14ac:dyDescent="0.2">
      <c r="A682" s="606"/>
      <c r="B682" s="606"/>
      <c r="C682" s="607"/>
      <c r="D682" s="608"/>
      <c r="E682" s="608"/>
      <c r="F682" s="608"/>
      <c r="G682" s="608"/>
      <c r="H682" s="609"/>
      <c r="I682" s="637"/>
      <c r="J682" s="637"/>
      <c r="K682" s="637"/>
      <c r="L682" s="637"/>
      <c r="M682" s="637"/>
      <c r="N682" s="637"/>
      <c r="O682" s="637"/>
      <c r="P682" s="637"/>
      <c r="Q682" s="637"/>
      <c r="R682" s="637"/>
      <c r="S682" s="637"/>
      <c r="T682" s="637"/>
      <c r="U682" s="637"/>
      <c r="V682" s="637"/>
      <c r="W682" s="637"/>
      <c r="X682" s="637"/>
      <c r="Y682" s="637"/>
      <c r="Z682" s="637"/>
      <c r="AA682" s="637"/>
      <c r="AB682" s="637"/>
      <c r="AC682" s="637"/>
      <c r="AD682" s="640"/>
      <c r="AE682" s="606"/>
      <c r="AF682" s="606"/>
      <c r="AG682" s="606"/>
      <c r="AH682" s="606"/>
    </row>
    <row r="683" spans="1:34" s="612" customFormat="1" outlineLevel="2" x14ac:dyDescent="0.2">
      <c r="A683" s="606"/>
      <c r="B683" s="606"/>
      <c r="C683" s="607"/>
      <c r="D683" s="608"/>
      <c r="E683" s="608"/>
      <c r="F683" s="608"/>
      <c r="G683" s="608"/>
      <c r="H683" s="609"/>
      <c r="I683" s="637"/>
      <c r="J683" s="637"/>
      <c r="K683" s="637"/>
      <c r="L683" s="637"/>
      <c r="M683" s="637"/>
      <c r="N683" s="637"/>
      <c r="O683" s="637"/>
      <c r="P683" s="637"/>
      <c r="Q683" s="637"/>
      <c r="R683" s="637"/>
      <c r="S683" s="637"/>
      <c r="T683" s="637"/>
      <c r="U683" s="637"/>
      <c r="V683" s="637"/>
      <c r="W683" s="637"/>
      <c r="X683" s="637"/>
      <c r="Y683" s="637"/>
      <c r="Z683" s="637"/>
      <c r="AA683" s="637"/>
      <c r="AB683" s="637"/>
      <c r="AC683" s="637"/>
      <c r="AD683" s="640"/>
      <c r="AE683" s="606"/>
      <c r="AF683" s="606"/>
      <c r="AG683" s="606"/>
      <c r="AH683" s="606"/>
    </row>
    <row r="684" spans="1:34" s="612" customFormat="1" outlineLevel="2" x14ac:dyDescent="0.2">
      <c r="A684" s="606"/>
      <c r="B684" s="606"/>
      <c r="C684" s="607"/>
      <c r="D684" s="608"/>
      <c r="E684" s="608"/>
      <c r="F684" s="608"/>
      <c r="G684" s="608"/>
      <c r="H684" s="609"/>
      <c r="I684" s="637"/>
      <c r="J684" s="637"/>
      <c r="K684" s="637"/>
      <c r="L684" s="637"/>
      <c r="M684" s="637"/>
      <c r="N684" s="637"/>
      <c r="O684" s="637"/>
      <c r="P684" s="637"/>
      <c r="Q684" s="637"/>
      <c r="R684" s="637"/>
      <c r="S684" s="637"/>
      <c r="T684" s="637"/>
      <c r="U684" s="637"/>
      <c r="V684" s="637"/>
      <c r="W684" s="637"/>
      <c r="X684" s="637"/>
      <c r="Y684" s="637"/>
      <c r="Z684" s="637"/>
      <c r="AA684" s="637"/>
      <c r="AB684" s="637"/>
      <c r="AC684" s="637"/>
      <c r="AD684" s="640"/>
      <c r="AE684" s="606"/>
      <c r="AF684" s="606"/>
      <c r="AG684" s="606"/>
      <c r="AH684" s="606"/>
    </row>
    <row r="685" spans="1:34" s="612" customFormat="1" outlineLevel="2" x14ac:dyDescent="0.2">
      <c r="A685" s="606"/>
      <c r="B685" s="606"/>
      <c r="C685" s="607"/>
      <c r="D685" s="608"/>
      <c r="E685" s="608"/>
      <c r="F685" s="608"/>
      <c r="G685" s="608"/>
      <c r="H685" s="609"/>
      <c r="I685" s="637"/>
      <c r="J685" s="637"/>
      <c r="K685" s="637"/>
      <c r="L685" s="637"/>
      <c r="M685" s="637"/>
      <c r="N685" s="637"/>
      <c r="O685" s="637"/>
      <c r="P685" s="637"/>
      <c r="Q685" s="637"/>
      <c r="R685" s="637"/>
      <c r="S685" s="637"/>
      <c r="T685" s="637"/>
      <c r="U685" s="637"/>
      <c r="V685" s="637"/>
      <c r="W685" s="637"/>
      <c r="X685" s="637"/>
      <c r="Y685" s="637"/>
      <c r="Z685" s="637"/>
      <c r="AA685" s="637"/>
      <c r="AB685" s="637"/>
      <c r="AC685" s="637"/>
      <c r="AD685" s="640"/>
      <c r="AE685" s="606"/>
      <c r="AF685" s="606"/>
      <c r="AG685" s="606"/>
      <c r="AH685" s="606"/>
    </row>
    <row r="686" spans="1:34" s="612" customFormat="1" outlineLevel="2" x14ac:dyDescent="0.2">
      <c r="A686" s="606"/>
      <c r="B686" s="606"/>
      <c r="C686" s="607"/>
      <c r="D686" s="608"/>
      <c r="E686" s="608"/>
      <c r="F686" s="608"/>
      <c r="G686" s="608"/>
      <c r="H686" s="609"/>
      <c r="I686" s="637"/>
      <c r="J686" s="637"/>
      <c r="K686" s="637"/>
      <c r="L686" s="637"/>
      <c r="M686" s="637"/>
      <c r="N686" s="637"/>
      <c r="O686" s="637"/>
      <c r="P686" s="637"/>
      <c r="Q686" s="637"/>
      <c r="R686" s="637"/>
      <c r="S686" s="637"/>
      <c r="T686" s="637"/>
      <c r="U686" s="637"/>
      <c r="V686" s="637"/>
      <c r="W686" s="637"/>
      <c r="X686" s="637"/>
      <c r="Y686" s="637"/>
      <c r="Z686" s="637"/>
      <c r="AA686" s="637"/>
      <c r="AB686" s="637"/>
      <c r="AC686" s="637"/>
      <c r="AD686" s="640"/>
      <c r="AE686" s="606"/>
      <c r="AF686" s="606"/>
      <c r="AG686" s="606"/>
      <c r="AH686" s="606"/>
    </row>
    <row r="687" spans="1:34" s="612" customFormat="1" outlineLevel="2" x14ac:dyDescent="0.2">
      <c r="A687" s="606"/>
      <c r="B687" s="606"/>
      <c r="C687" s="607"/>
      <c r="D687" s="608"/>
      <c r="E687" s="608"/>
      <c r="F687" s="608"/>
      <c r="G687" s="608"/>
      <c r="H687" s="609"/>
      <c r="I687" s="637"/>
      <c r="J687" s="637"/>
      <c r="K687" s="637"/>
      <c r="L687" s="637"/>
      <c r="M687" s="637"/>
      <c r="N687" s="637"/>
      <c r="O687" s="637"/>
      <c r="P687" s="637"/>
      <c r="Q687" s="637"/>
      <c r="R687" s="637"/>
      <c r="S687" s="637"/>
      <c r="T687" s="637"/>
      <c r="U687" s="637"/>
      <c r="V687" s="637"/>
      <c r="W687" s="637"/>
      <c r="X687" s="637"/>
      <c r="Y687" s="637"/>
      <c r="Z687" s="637"/>
      <c r="AA687" s="637"/>
      <c r="AB687" s="637"/>
      <c r="AC687" s="637"/>
      <c r="AD687" s="640"/>
      <c r="AE687" s="606"/>
      <c r="AF687" s="606"/>
      <c r="AG687" s="606"/>
      <c r="AH687" s="606"/>
    </row>
    <row r="688" spans="1:34" s="612" customFormat="1" outlineLevel="2" x14ac:dyDescent="0.2">
      <c r="A688" s="606"/>
      <c r="B688" s="606"/>
      <c r="C688" s="630"/>
      <c r="D688" s="608"/>
      <c r="E688" s="608"/>
      <c r="F688" s="608"/>
      <c r="G688" s="608"/>
      <c r="H688" s="609"/>
      <c r="I688" s="637"/>
      <c r="J688" s="637"/>
      <c r="K688" s="637"/>
      <c r="L688" s="637"/>
      <c r="M688" s="637"/>
      <c r="N688" s="637"/>
      <c r="O688" s="637"/>
      <c r="P688" s="637"/>
      <c r="Q688" s="637"/>
      <c r="R688" s="637"/>
      <c r="S688" s="637"/>
      <c r="T688" s="637"/>
      <c r="U688" s="637"/>
      <c r="V688" s="637"/>
      <c r="W688" s="637"/>
      <c r="X688" s="637"/>
      <c r="Y688" s="637"/>
      <c r="Z688" s="637"/>
      <c r="AA688" s="637"/>
      <c r="AB688" s="637"/>
      <c r="AC688" s="637"/>
      <c r="AD688" s="640"/>
      <c r="AE688" s="606"/>
      <c r="AF688" s="606"/>
      <c r="AG688" s="606"/>
      <c r="AH688" s="606"/>
    </row>
    <row r="689" spans="1:34" s="612" customFormat="1" outlineLevel="2" x14ac:dyDescent="0.2">
      <c r="A689" s="606"/>
      <c r="B689" s="606"/>
      <c r="C689" s="607"/>
      <c r="D689" s="608"/>
      <c r="E689" s="608"/>
      <c r="F689" s="608"/>
      <c r="G689" s="608"/>
      <c r="H689" s="609"/>
      <c r="I689" s="637"/>
      <c r="J689" s="637"/>
      <c r="K689" s="637"/>
      <c r="L689" s="637"/>
      <c r="M689" s="637"/>
      <c r="N689" s="637"/>
      <c r="O689" s="637"/>
      <c r="P689" s="637"/>
      <c r="Q689" s="637"/>
      <c r="R689" s="637"/>
      <c r="S689" s="637"/>
      <c r="T689" s="637"/>
      <c r="U689" s="637"/>
      <c r="V689" s="637"/>
      <c r="W689" s="637"/>
      <c r="X689" s="637"/>
      <c r="Y689" s="637"/>
      <c r="Z689" s="637"/>
      <c r="AA689" s="637"/>
      <c r="AB689" s="637"/>
      <c r="AC689" s="637"/>
      <c r="AD689" s="640"/>
      <c r="AE689" s="606"/>
      <c r="AF689" s="606"/>
      <c r="AG689" s="606"/>
      <c r="AH689" s="606"/>
    </row>
    <row r="690" spans="1:34" s="612" customFormat="1" outlineLevel="2" x14ac:dyDescent="0.2">
      <c r="A690" s="606"/>
      <c r="B690" s="606"/>
      <c r="C690" s="607"/>
      <c r="D690" s="608"/>
      <c r="E690" s="608"/>
      <c r="F690" s="608"/>
      <c r="G690" s="608"/>
      <c r="H690" s="609"/>
      <c r="I690" s="637"/>
      <c r="J690" s="637"/>
      <c r="K690" s="637"/>
      <c r="L690" s="637"/>
      <c r="M690" s="637"/>
      <c r="N690" s="637"/>
      <c r="O690" s="637"/>
      <c r="P690" s="637"/>
      <c r="Q690" s="637"/>
      <c r="R690" s="637"/>
      <c r="S690" s="637"/>
      <c r="T690" s="637"/>
      <c r="U690" s="637"/>
      <c r="V690" s="637"/>
      <c r="W690" s="637"/>
      <c r="X690" s="637"/>
      <c r="Y690" s="637"/>
      <c r="Z690" s="637"/>
      <c r="AA690" s="637"/>
      <c r="AB690" s="637"/>
      <c r="AC690" s="637"/>
      <c r="AD690" s="640"/>
      <c r="AE690" s="606"/>
      <c r="AF690" s="606"/>
      <c r="AG690" s="606"/>
      <c r="AH690" s="606"/>
    </row>
    <row r="691" spans="1:34" s="612" customFormat="1" outlineLevel="2" x14ac:dyDescent="0.2">
      <c r="A691" s="606"/>
      <c r="B691" s="606"/>
      <c r="C691" s="607"/>
      <c r="D691" s="608"/>
      <c r="E691" s="608"/>
      <c r="F691" s="608"/>
      <c r="G691" s="608"/>
      <c r="H691" s="609"/>
      <c r="I691" s="637"/>
      <c r="J691" s="637"/>
      <c r="K691" s="637"/>
      <c r="L691" s="637"/>
      <c r="M691" s="637"/>
      <c r="N691" s="637"/>
      <c r="O691" s="637"/>
      <c r="P691" s="637"/>
      <c r="Q691" s="637"/>
      <c r="R691" s="637"/>
      <c r="S691" s="637"/>
      <c r="T691" s="637"/>
      <c r="U691" s="637"/>
      <c r="V691" s="637"/>
      <c r="W691" s="637"/>
      <c r="X691" s="637"/>
      <c r="Y691" s="637"/>
      <c r="Z691" s="637"/>
      <c r="AA691" s="637"/>
      <c r="AB691" s="637"/>
      <c r="AC691" s="637"/>
      <c r="AD691" s="640"/>
      <c r="AE691" s="606"/>
      <c r="AF691" s="606"/>
      <c r="AG691" s="606"/>
      <c r="AH691" s="606"/>
    </row>
    <row r="692" spans="1:34" s="612" customFormat="1" outlineLevel="2" x14ac:dyDescent="0.2">
      <c r="A692" s="606"/>
      <c r="B692" s="606"/>
      <c r="C692" s="607"/>
      <c r="D692" s="608"/>
      <c r="E692" s="608"/>
      <c r="F692" s="608"/>
      <c r="G692" s="608"/>
      <c r="H692" s="609"/>
      <c r="I692" s="637"/>
      <c r="J692" s="637"/>
      <c r="K692" s="637"/>
      <c r="L692" s="637"/>
      <c r="M692" s="637"/>
      <c r="N692" s="637"/>
      <c r="O692" s="637"/>
      <c r="P692" s="637"/>
      <c r="Q692" s="637"/>
      <c r="R692" s="637"/>
      <c r="S692" s="637"/>
      <c r="T692" s="637"/>
      <c r="U692" s="637"/>
      <c r="V692" s="637"/>
      <c r="W692" s="637"/>
      <c r="X692" s="637"/>
      <c r="Y692" s="637"/>
      <c r="Z692" s="637"/>
      <c r="AA692" s="637"/>
      <c r="AB692" s="637"/>
      <c r="AC692" s="637"/>
      <c r="AD692" s="640"/>
      <c r="AE692" s="606"/>
      <c r="AF692" s="606"/>
      <c r="AG692" s="606"/>
      <c r="AH692" s="606"/>
    </row>
    <row r="693" spans="1:34" s="612" customFormat="1" outlineLevel="2" x14ac:dyDescent="0.2">
      <c r="A693" s="606"/>
      <c r="B693" s="606"/>
      <c r="C693" s="607"/>
      <c r="D693" s="608"/>
      <c r="E693" s="608"/>
      <c r="F693" s="608"/>
      <c r="G693" s="608"/>
      <c r="H693" s="609"/>
      <c r="I693" s="637"/>
      <c r="J693" s="637"/>
      <c r="K693" s="637"/>
      <c r="L693" s="637"/>
      <c r="M693" s="637"/>
      <c r="N693" s="637"/>
      <c r="O693" s="637"/>
      <c r="P693" s="637"/>
      <c r="Q693" s="637"/>
      <c r="R693" s="637"/>
      <c r="S693" s="637"/>
      <c r="T693" s="637"/>
      <c r="U693" s="637"/>
      <c r="V693" s="637"/>
      <c r="W693" s="637"/>
      <c r="X693" s="637"/>
      <c r="Y693" s="637"/>
      <c r="Z693" s="637"/>
      <c r="AA693" s="637"/>
      <c r="AB693" s="637"/>
      <c r="AC693" s="637"/>
      <c r="AD693" s="640"/>
      <c r="AE693" s="606"/>
      <c r="AF693" s="606"/>
      <c r="AG693" s="606"/>
      <c r="AH693" s="606"/>
    </row>
    <row r="694" spans="1:34" s="612" customFormat="1" hidden="1" outlineLevel="3" x14ac:dyDescent="0.2">
      <c r="A694" s="606"/>
      <c r="B694" s="606"/>
      <c r="C694" s="607"/>
      <c r="D694" s="608"/>
      <c r="E694" s="608"/>
      <c r="F694" s="608"/>
      <c r="G694" s="608"/>
      <c r="H694" s="609"/>
      <c r="I694" s="637"/>
      <c r="J694" s="637"/>
      <c r="K694" s="637"/>
      <c r="L694" s="637"/>
      <c r="M694" s="637"/>
      <c r="N694" s="637"/>
      <c r="O694" s="637"/>
      <c r="P694" s="637"/>
      <c r="Q694" s="637"/>
      <c r="R694" s="637"/>
      <c r="S694" s="637"/>
      <c r="T694" s="637"/>
      <c r="U694" s="637"/>
      <c r="V694" s="637"/>
      <c r="W694" s="637"/>
      <c r="X694" s="637"/>
      <c r="Y694" s="637"/>
      <c r="Z694" s="637"/>
      <c r="AA694" s="637"/>
      <c r="AB694" s="637"/>
      <c r="AC694" s="637"/>
      <c r="AD694" s="640"/>
      <c r="AE694" s="606"/>
      <c r="AF694" s="606"/>
      <c r="AG694" s="606"/>
      <c r="AH694" s="606"/>
    </row>
    <row r="695" spans="1:34" s="612" customFormat="1" hidden="1" outlineLevel="3" x14ac:dyDescent="0.2">
      <c r="A695" s="606"/>
      <c r="B695" s="606"/>
      <c r="C695" s="607"/>
      <c r="D695" s="608"/>
      <c r="E695" s="608"/>
      <c r="F695" s="608"/>
      <c r="G695" s="608"/>
      <c r="H695" s="609"/>
      <c r="I695" s="637"/>
      <c r="J695" s="637"/>
      <c r="K695" s="637"/>
      <c r="L695" s="637"/>
      <c r="M695" s="637"/>
      <c r="N695" s="637"/>
      <c r="O695" s="637"/>
      <c r="P695" s="637"/>
      <c r="Q695" s="637"/>
      <c r="R695" s="637"/>
      <c r="S695" s="637"/>
      <c r="T695" s="637"/>
      <c r="U695" s="637"/>
      <c r="V695" s="637"/>
      <c r="W695" s="637"/>
      <c r="X695" s="637"/>
      <c r="Y695" s="637"/>
      <c r="Z695" s="637"/>
      <c r="AA695" s="637"/>
      <c r="AB695" s="637"/>
      <c r="AC695" s="637"/>
      <c r="AD695" s="640"/>
      <c r="AE695" s="606"/>
      <c r="AF695" s="606"/>
      <c r="AG695" s="606"/>
      <c r="AH695" s="606"/>
    </row>
    <row r="696" spans="1:34" s="612" customFormat="1" hidden="1" outlineLevel="3" x14ac:dyDescent="0.2">
      <c r="A696" s="606"/>
      <c r="B696" s="606"/>
      <c r="C696" s="607"/>
      <c r="D696" s="608"/>
      <c r="E696" s="608"/>
      <c r="F696" s="608"/>
      <c r="G696" s="608"/>
      <c r="H696" s="609"/>
      <c r="I696" s="637"/>
      <c r="J696" s="637"/>
      <c r="K696" s="637"/>
      <c r="L696" s="637"/>
      <c r="M696" s="637"/>
      <c r="N696" s="637"/>
      <c r="O696" s="637"/>
      <c r="P696" s="637"/>
      <c r="Q696" s="637"/>
      <c r="R696" s="637"/>
      <c r="S696" s="637"/>
      <c r="T696" s="637"/>
      <c r="U696" s="637"/>
      <c r="V696" s="637"/>
      <c r="W696" s="637"/>
      <c r="X696" s="637"/>
      <c r="Y696" s="637"/>
      <c r="Z696" s="637"/>
      <c r="AA696" s="637"/>
      <c r="AB696" s="637"/>
      <c r="AC696" s="637"/>
      <c r="AD696" s="640"/>
      <c r="AE696" s="606"/>
      <c r="AF696" s="606"/>
      <c r="AG696" s="606"/>
      <c r="AH696" s="606"/>
    </row>
    <row r="697" spans="1:34" s="612" customFormat="1" hidden="1" outlineLevel="3" x14ac:dyDescent="0.2">
      <c r="A697" s="606"/>
      <c r="B697" s="606"/>
      <c r="C697" s="607"/>
      <c r="D697" s="608"/>
      <c r="E697" s="608"/>
      <c r="F697" s="608"/>
      <c r="G697" s="608"/>
      <c r="H697" s="609"/>
      <c r="I697" s="637"/>
      <c r="J697" s="637"/>
      <c r="K697" s="637"/>
      <c r="L697" s="637"/>
      <c r="M697" s="637"/>
      <c r="N697" s="637"/>
      <c r="O697" s="637"/>
      <c r="P697" s="637"/>
      <c r="Q697" s="637"/>
      <c r="R697" s="637"/>
      <c r="S697" s="637"/>
      <c r="T697" s="637"/>
      <c r="U697" s="637"/>
      <c r="V697" s="637"/>
      <c r="W697" s="637"/>
      <c r="X697" s="637"/>
      <c r="Y697" s="637"/>
      <c r="Z697" s="637"/>
      <c r="AA697" s="637"/>
      <c r="AB697" s="637"/>
      <c r="AC697" s="637"/>
      <c r="AD697" s="640"/>
      <c r="AE697" s="606"/>
      <c r="AF697" s="606"/>
      <c r="AG697" s="606"/>
      <c r="AH697" s="606"/>
    </row>
    <row r="698" spans="1:34" s="612" customFormat="1" hidden="1" outlineLevel="3" x14ac:dyDescent="0.2">
      <c r="A698" s="606"/>
      <c r="B698" s="606"/>
      <c r="C698" s="607"/>
      <c r="D698" s="608"/>
      <c r="E698" s="608"/>
      <c r="F698" s="608"/>
      <c r="G698" s="608"/>
      <c r="H698" s="609"/>
      <c r="I698" s="637"/>
      <c r="J698" s="637"/>
      <c r="K698" s="637"/>
      <c r="L698" s="637"/>
      <c r="M698" s="637"/>
      <c r="N698" s="637"/>
      <c r="O698" s="637"/>
      <c r="P698" s="637"/>
      <c r="Q698" s="637"/>
      <c r="R698" s="637"/>
      <c r="S698" s="637"/>
      <c r="T698" s="637"/>
      <c r="U698" s="637"/>
      <c r="V698" s="637"/>
      <c r="W698" s="637"/>
      <c r="X698" s="637"/>
      <c r="Y698" s="637"/>
      <c r="Z698" s="637"/>
      <c r="AA698" s="637"/>
      <c r="AB698" s="637"/>
      <c r="AC698" s="637"/>
      <c r="AD698" s="640"/>
      <c r="AE698" s="606"/>
      <c r="AF698" s="606"/>
      <c r="AG698" s="606"/>
      <c r="AH698" s="606"/>
    </row>
    <row r="699" spans="1:34" s="612" customFormat="1" hidden="1" outlineLevel="3" x14ac:dyDescent="0.2">
      <c r="A699" s="606"/>
      <c r="B699" s="606"/>
      <c r="C699" s="607"/>
      <c r="D699" s="608"/>
      <c r="E699" s="608"/>
      <c r="F699" s="608"/>
      <c r="G699" s="608"/>
      <c r="H699" s="609"/>
      <c r="I699" s="637"/>
      <c r="J699" s="637"/>
      <c r="K699" s="637"/>
      <c r="L699" s="637"/>
      <c r="M699" s="637"/>
      <c r="N699" s="637"/>
      <c r="O699" s="637"/>
      <c r="P699" s="637"/>
      <c r="Q699" s="637"/>
      <c r="R699" s="637"/>
      <c r="S699" s="637"/>
      <c r="T699" s="637"/>
      <c r="U699" s="637"/>
      <c r="V699" s="637"/>
      <c r="W699" s="637"/>
      <c r="X699" s="637"/>
      <c r="Y699" s="637"/>
      <c r="Z699" s="637"/>
      <c r="AA699" s="637"/>
      <c r="AB699" s="637"/>
      <c r="AC699" s="637"/>
      <c r="AD699" s="640"/>
      <c r="AE699" s="606"/>
      <c r="AF699" s="606"/>
      <c r="AG699" s="606"/>
      <c r="AH699" s="606"/>
    </row>
    <row r="700" spans="1:34" s="612" customFormat="1" hidden="1" outlineLevel="3" x14ac:dyDescent="0.2">
      <c r="A700" s="606"/>
      <c r="B700" s="606"/>
      <c r="C700" s="607"/>
      <c r="D700" s="608"/>
      <c r="E700" s="608"/>
      <c r="F700" s="608"/>
      <c r="G700" s="608"/>
      <c r="H700" s="609"/>
      <c r="I700" s="637"/>
      <c r="J700" s="637"/>
      <c r="K700" s="637"/>
      <c r="L700" s="637"/>
      <c r="M700" s="637"/>
      <c r="N700" s="637"/>
      <c r="O700" s="637"/>
      <c r="P700" s="637"/>
      <c r="Q700" s="637"/>
      <c r="R700" s="637"/>
      <c r="S700" s="637"/>
      <c r="T700" s="637"/>
      <c r="U700" s="637"/>
      <c r="V700" s="637"/>
      <c r="W700" s="637"/>
      <c r="X700" s="637"/>
      <c r="Y700" s="637"/>
      <c r="Z700" s="637"/>
      <c r="AA700" s="637"/>
      <c r="AB700" s="637"/>
      <c r="AC700" s="637"/>
      <c r="AD700" s="640"/>
      <c r="AE700" s="606"/>
      <c r="AF700" s="606"/>
      <c r="AG700" s="606"/>
      <c r="AH700" s="606"/>
    </row>
    <row r="701" spans="1:34" s="612" customFormat="1" hidden="1" outlineLevel="3" x14ac:dyDescent="0.2">
      <c r="A701" s="606"/>
      <c r="B701" s="606"/>
      <c r="C701" s="607"/>
      <c r="D701" s="608"/>
      <c r="E701" s="608"/>
      <c r="F701" s="608"/>
      <c r="G701" s="608"/>
      <c r="H701" s="609"/>
      <c r="I701" s="637"/>
      <c r="J701" s="637"/>
      <c r="K701" s="637"/>
      <c r="L701" s="637"/>
      <c r="M701" s="637"/>
      <c r="N701" s="637"/>
      <c r="O701" s="637"/>
      <c r="P701" s="637"/>
      <c r="Q701" s="637"/>
      <c r="R701" s="637"/>
      <c r="S701" s="637"/>
      <c r="T701" s="637"/>
      <c r="U701" s="637"/>
      <c r="V701" s="637"/>
      <c r="W701" s="637"/>
      <c r="X701" s="637"/>
      <c r="Y701" s="637"/>
      <c r="Z701" s="637"/>
      <c r="AA701" s="637"/>
      <c r="AB701" s="637"/>
      <c r="AC701" s="637"/>
      <c r="AD701" s="640"/>
      <c r="AE701" s="606"/>
      <c r="AF701" s="606"/>
      <c r="AG701" s="606"/>
      <c r="AH701" s="606"/>
    </row>
    <row r="702" spans="1:34" s="612" customFormat="1" hidden="1" outlineLevel="3" x14ac:dyDescent="0.2">
      <c r="A702" s="606"/>
      <c r="B702" s="606"/>
      <c r="C702" s="607"/>
      <c r="D702" s="608"/>
      <c r="E702" s="608"/>
      <c r="F702" s="608"/>
      <c r="G702" s="608"/>
      <c r="H702" s="609"/>
      <c r="I702" s="637"/>
      <c r="J702" s="637"/>
      <c r="K702" s="637"/>
      <c r="L702" s="637"/>
      <c r="M702" s="637"/>
      <c r="N702" s="637"/>
      <c r="O702" s="637"/>
      <c r="P702" s="637"/>
      <c r="Q702" s="637"/>
      <c r="R702" s="637"/>
      <c r="S702" s="637"/>
      <c r="T702" s="637"/>
      <c r="U702" s="637"/>
      <c r="V702" s="637"/>
      <c r="W702" s="637"/>
      <c r="X702" s="637"/>
      <c r="Y702" s="637"/>
      <c r="Z702" s="637"/>
      <c r="AA702" s="637"/>
      <c r="AB702" s="637"/>
      <c r="AC702" s="637"/>
      <c r="AD702" s="640"/>
      <c r="AE702" s="606"/>
      <c r="AF702" s="606"/>
      <c r="AG702" s="606"/>
      <c r="AH702" s="606"/>
    </row>
    <row r="703" spans="1:34" s="612" customFormat="1" hidden="1" outlineLevel="3" x14ac:dyDescent="0.2">
      <c r="A703" s="606"/>
      <c r="B703" s="606"/>
      <c r="C703" s="607"/>
      <c r="D703" s="608"/>
      <c r="E703" s="608"/>
      <c r="F703" s="608"/>
      <c r="G703" s="608"/>
      <c r="H703" s="609"/>
      <c r="I703" s="637"/>
      <c r="J703" s="637"/>
      <c r="K703" s="637"/>
      <c r="L703" s="637"/>
      <c r="M703" s="637"/>
      <c r="N703" s="637"/>
      <c r="O703" s="637"/>
      <c r="P703" s="637"/>
      <c r="Q703" s="637"/>
      <c r="R703" s="637"/>
      <c r="S703" s="637"/>
      <c r="T703" s="637"/>
      <c r="U703" s="637"/>
      <c r="V703" s="637"/>
      <c r="W703" s="637"/>
      <c r="X703" s="637"/>
      <c r="Y703" s="637"/>
      <c r="Z703" s="637"/>
      <c r="AA703" s="637"/>
      <c r="AB703" s="637"/>
      <c r="AC703" s="637"/>
      <c r="AD703" s="640"/>
      <c r="AE703" s="606"/>
      <c r="AF703" s="606"/>
      <c r="AG703" s="606"/>
      <c r="AH703" s="606"/>
    </row>
    <row r="704" spans="1:34" s="612" customFormat="1" hidden="1" outlineLevel="3" x14ac:dyDescent="0.2">
      <c r="A704" s="606"/>
      <c r="B704" s="606"/>
      <c r="C704" s="607"/>
      <c r="D704" s="608"/>
      <c r="E704" s="608"/>
      <c r="F704" s="608"/>
      <c r="G704" s="608"/>
      <c r="H704" s="609"/>
      <c r="I704" s="637"/>
      <c r="J704" s="637"/>
      <c r="K704" s="637"/>
      <c r="L704" s="637"/>
      <c r="M704" s="637"/>
      <c r="N704" s="637"/>
      <c r="O704" s="637"/>
      <c r="P704" s="637"/>
      <c r="Q704" s="637"/>
      <c r="R704" s="637"/>
      <c r="S704" s="637"/>
      <c r="T704" s="637"/>
      <c r="U704" s="637"/>
      <c r="V704" s="637"/>
      <c r="W704" s="637"/>
      <c r="X704" s="637"/>
      <c r="Y704" s="637"/>
      <c r="Z704" s="637"/>
      <c r="AA704" s="637"/>
      <c r="AB704" s="637"/>
      <c r="AC704" s="637"/>
      <c r="AD704" s="640"/>
      <c r="AE704" s="606"/>
      <c r="AF704" s="606"/>
      <c r="AG704" s="606"/>
      <c r="AH704" s="606"/>
    </row>
    <row r="705" spans="1:34" s="612" customFormat="1" hidden="1" outlineLevel="3" x14ac:dyDescent="0.2">
      <c r="A705" s="606"/>
      <c r="B705" s="606"/>
      <c r="C705" s="607"/>
      <c r="D705" s="608"/>
      <c r="E705" s="608"/>
      <c r="F705" s="608"/>
      <c r="G705" s="608"/>
      <c r="H705" s="609"/>
      <c r="I705" s="637"/>
      <c r="J705" s="637"/>
      <c r="K705" s="637"/>
      <c r="L705" s="637"/>
      <c r="M705" s="637"/>
      <c r="N705" s="637"/>
      <c r="O705" s="637"/>
      <c r="P705" s="637"/>
      <c r="Q705" s="637"/>
      <c r="R705" s="637"/>
      <c r="S705" s="637"/>
      <c r="T705" s="637"/>
      <c r="U705" s="637"/>
      <c r="V705" s="637"/>
      <c r="W705" s="637"/>
      <c r="X705" s="637"/>
      <c r="Y705" s="637"/>
      <c r="Z705" s="637"/>
      <c r="AA705" s="637"/>
      <c r="AB705" s="637"/>
      <c r="AC705" s="637"/>
      <c r="AD705" s="640"/>
      <c r="AE705" s="606"/>
      <c r="AF705" s="606"/>
      <c r="AG705" s="606"/>
      <c r="AH705" s="606"/>
    </row>
    <row r="706" spans="1:34" s="612" customFormat="1" hidden="1" outlineLevel="3" x14ac:dyDescent="0.2">
      <c r="A706" s="606"/>
      <c r="B706" s="606"/>
      <c r="C706" s="607"/>
      <c r="D706" s="608"/>
      <c r="E706" s="608"/>
      <c r="F706" s="608"/>
      <c r="G706" s="608"/>
      <c r="H706" s="609"/>
      <c r="I706" s="637"/>
      <c r="J706" s="637"/>
      <c r="K706" s="637"/>
      <c r="L706" s="637"/>
      <c r="M706" s="637"/>
      <c r="N706" s="637"/>
      <c r="O706" s="637"/>
      <c r="P706" s="637"/>
      <c r="Q706" s="637"/>
      <c r="R706" s="637"/>
      <c r="S706" s="637"/>
      <c r="T706" s="637"/>
      <c r="U706" s="637"/>
      <c r="V706" s="637"/>
      <c r="W706" s="637"/>
      <c r="X706" s="637"/>
      <c r="Y706" s="637"/>
      <c r="Z706" s="637"/>
      <c r="AA706" s="637"/>
      <c r="AB706" s="637"/>
      <c r="AC706" s="637"/>
      <c r="AD706" s="640"/>
      <c r="AE706" s="606"/>
      <c r="AF706" s="606"/>
      <c r="AG706" s="606"/>
      <c r="AH706" s="606"/>
    </row>
    <row r="707" spans="1:34" s="612" customFormat="1" hidden="1" outlineLevel="3" x14ac:dyDescent="0.2">
      <c r="A707" s="606"/>
      <c r="B707" s="606"/>
      <c r="C707" s="607"/>
      <c r="D707" s="608"/>
      <c r="E707" s="608"/>
      <c r="F707" s="608"/>
      <c r="G707" s="608"/>
      <c r="H707" s="609"/>
      <c r="I707" s="637"/>
      <c r="J707" s="637"/>
      <c r="K707" s="637"/>
      <c r="L707" s="637"/>
      <c r="M707" s="637"/>
      <c r="N707" s="637"/>
      <c r="O707" s="637"/>
      <c r="P707" s="637"/>
      <c r="Q707" s="637"/>
      <c r="R707" s="637"/>
      <c r="S707" s="637"/>
      <c r="T707" s="637"/>
      <c r="U707" s="637"/>
      <c r="V707" s="637"/>
      <c r="W707" s="637"/>
      <c r="X707" s="637"/>
      <c r="Y707" s="637"/>
      <c r="Z707" s="637"/>
      <c r="AA707" s="637"/>
      <c r="AB707" s="637"/>
      <c r="AC707" s="637"/>
      <c r="AD707" s="640"/>
      <c r="AE707" s="606"/>
      <c r="AF707" s="606"/>
      <c r="AG707" s="606"/>
      <c r="AH707" s="606"/>
    </row>
    <row r="708" spans="1:34" s="612" customFormat="1" hidden="1" outlineLevel="3" x14ac:dyDescent="0.2">
      <c r="A708" s="606"/>
      <c r="B708" s="606"/>
      <c r="C708" s="607"/>
      <c r="D708" s="608"/>
      <c r="E708" s="608"/>
      <c r="F708" s="608"/>
      <c r="G708" s="608"/>
      <c r="H708" s="609"/>
      <c r="I708" s="637"/>
      <c r="J708" s="637"/>
      <c r="K708" s="637"/>
      <c r="L708" s="637"/>
      <c r="M708" s="637"/>
      <c r="N708" s="637"/>
      <c r="O708" s="637"/>
      <c r="P708" s="637"/>
      <c r="Q708" s="637"/>
      <c r="R708" s="637"/>
      <c r="S708" s="637"/>
      <c r="T708" s="637"/>
      <c r="U708" s="637"/>
      <c r="V708" s="637"/>
      <c r="W708" s="637"/>
      <c r="X708" s="637"/>
      <c r="Y708" s="637"/>
      <c r="Z708" s="637"/>
      <c r="AA708" s="637"/>
      <c r="AB708" s="637"/>
      <c r="AC708" s="637"/>
      <c r="AD708" s="640"/>
      <c r="AE708" s="606"/>
      <c r="AF708" s="606"/>
      <c r="AG708" s="606"/>
      <c r="AH708" s="606"/>
    </row>
    <row r="709" spans="1:34" s="612" customFormat="1" hidden="1" outlineLevel="3" x14ac:dyDescent="0.2">
      <c r="A709" s="606"/>
      <c r="B709" s="606"/>
      <c r="C709" s="607"/>
      <c r="D709" s="608"/>
      <c r="E709" s="608"/>
      <c r="F709" s="608"/>
      <c r="G709" s="608"/>
      <c r="H709" s="609"/>
      <c r="I709" s="637"/>
      <c r="J709" s="637"/>
      <c r="K709" s="637"/>
      <c r="L709" s="637"/>
      <c r="M709" s="637"/>
      <c r="N709" s="637"/>
      <c r="O709" s="637"/>
      <c r="P709" s="637"/>
      <c r="Q709" s="637"/>
      <c r="R709" s="637"/>
      <c r="S709" s="637"/>
      <c r="T709" s="637"/>
      <c r="U709" s="637"/>
      <c r="V709" s="637"/>
      <c r="W709" s="637"/>
      <c r="X709" s="637"/>
      <c r="Y709" s="637"/>
      <c r="Z709" s="637"/>
      <c r="AA709" s="637"/>
      <c r="AB709" s="637"/>
      <c r="AC709" s="637"/>
      <c r="AD709" s="640"/>
      <c r="AE709" s="606"/>
      <c r="AF709" s="606"/>
      <c r="AG709" s="606"/>
      <c r="AH709" s="606"/>
    </row>
    <row r="710" spans="1:34" s="612" customFormat="1" hidden="1" outlineLevel="3" x14ac:dyDescent="0.2">
      <c r="A710" s="606"/>
      <c r="B710" s="606"/>
      <c r="C710" s="607"/>
      <c r="D710" s="608"/>
      <c r="E710" s="608"/>
      <c r="F710" s="608"/>
      <c r="G710" s="608"/>
      <c r="H710" s="609"/>
      <c r="I710" s="637"/>
      <c r="J710" s="637"/>
      <c r="K710" s="637"/>
      <c r="L710" s="637"/>
      <c r="M710" s="637"/>
      <c r="N710" s="637"/>
      <c r="O710" s="637"/>
      <c r="P710" s="637"/>
      <c r="Q710" s="637"/>
      <c r="R710" s="637"/>
      <c r="S710" s="637"/>
      <c r="T710" s="637"/>
      <c r="U710" s="637"/>
      <c r="V710" s="637"/>
      <c r="W710" s="637"/>
      <c r="X710" s="637"/>
      <c r="Y710" s="637"/>
      <c r="Z710" s="637"/>
      <c r="AA710" s="637"/>
      <c r="AB710" s="637"/>
      <c r="AC710" s="637"/>
      <c r="AD710" s="640"/>
      <c r="AE710" s="606"/>
      <c r="AF710" s="606"/>
      <c r="AG710" s="606"/>
      <c r="AH710" s="606"/>
    </row>
    <row r="711" spans="1:34" s="612" customFormat="1" hidden="1" outlineLevel="3" x14ac:dyDescent="0.2">
      <c r="A711" s="606"/>
      <c r="B711" s="606"/>
      <c r="C711" s="607"/>
      <c r="D711" s="608"/>
      <c r="E711" s="608"/>
      <c r="F711" s="608"/>
      <c r="G711" s="608"/>
      <c r="H711" s="609"/>
      <c r="I711" s="637"/>
      <c r="J711" s="637"/>
      <c r="K711" s="637"/>
      <c r="L711" s="637"/>
      <c r="M711" s="637"/>
      <c r="N711" s="637"/>
      <c r="O711" s="637"/>
      <c r="P711" s="637"/>
      <c r="Q711" s="637"/>
      <c r="R711" s="637"/>
      <c r="S711" s="637"/>
      <c r="T711" s="637"/>
      <c r="U711" s="637"/>
      <c r="V711" s="637"/>
      <c r="W711" s="637"/>
      <c r="X711" s="637"/>
      <c r="Y711" s="637"/>
      <c r="Z711" s="637"/>
      <c r="AA711" s="637"/>
      <c r="AB711" s="637"/>
      <c r="AC711" s="637"/>
      <c r="AD711" s="640"/>
      <c r="AE711" s="606"/>
      <c r="AF711" s="606"/>
      <c r="AG711" s="606"/>
      <c r="AH711" s="606"/>
    </row>
    <row r="712" spans="1:34" s="612" customFormat="1" hidden="1" outlineLevel="3" x14ac:dyDescent="0.2">
      <c r="A712" s="606"/>
      <c r="B712" s="606"/>
      <c r="C712" s="607"/>
      <c r="D712" s="608"/>
      <c r="E712" s="608"/>
      <c r="F712" s="608"/>
      <c r="G712" s="608"/>
      <c r="H712" s="609"/>
      <c r="I712" s="637"/>
      <c r="J712" s="637"/>
      <c r="K712" s="637"/>
      <c r="L712" s="637"/>
      <c r="M712" s="637"/>
      <c r="N712" s="637"/>
      <c r="O712" s="637"/>
      <c r="P712" s="637"/>
      <c r="Q712" s="637"/>
      <c r="R712" s="637"/>
      <c r="S712" s="637"/>
      <c r="T712" s="637"/>
      <c r="U712" s="637"/>
      <c r="V712" s="637"/>
      <c r="W712" s="637"/>
      <c r="X712" s="637"/>
      <c r="Y712" s="637"/>
      <c r="Z712" s="637"/>
      <c r="AA712" s="637"/>
      <c r="AB712" s="637"/>
      <c r="AC712" s="637"/>
      <c r="AD712" s="640"/>
      <c r="AE712" s="606"/>
      <c r="AF712" s="606"/>
      <c r="AG712" s="606"/>
      <c r="AH712" s="606"/>
    </row>
    <row r="713" spans="1:34" s="612" customFormat="1" hidden="1" outlineLevel="3" x14ac:dyDescent="0.2">
      <c r="A713" s="606"/>
      <c r="B713" s="606"/>
      <c r="C713" s="607"/>
      <c r="D713" s="608"/>
      <c r="E713" s="608"/>
      <c r="F713" s="608"/>
      <c r="G713" s="608"/>
      <c r="H713" s="609"/>
      <c r="I713" s="637"/>
      <c r="J713" s="637"/>
      <c r="K713" s="637"/>
      <c r="L713" s="637"/>
      <c r="M713" s="637"/>
      <c r="N713" s="637"/>
      <c r="O713" s="637"/>
      <c r="P713" s="637"/>
      <c r="Q713" s="637"/>
      <c r="R713" s="637"/>
      <c r="S713" s="637"/>
      <c r="T713" s="637"/>
      <c r="U713" s="637"/>
      <c r="V713" s="637"/>
      <c r="W713" s="637"/>
      <c r="X713" s="637"/>
      <c r="Y713" s="637"/>
      <c r="Z713" s="637"/>
      <c r="AA713" s="637"/>
      <c r="AB713" s="637"/>
      <c r="AC713" s="637"/>
      <c r="AD713" s="640"/>
      <c r="AE713" s="606"/>
      <c r="AF713" s="606"/>
      <c r="AG713" s="606"/>
      <c r="AH713" s="606"/>
    </row>
    <row r="714" spans="1:34" s="612" customFormat="1" hidden="1" outlineLevel="3" x14ac:dyDescent="0.2">
      <c r="A714" s="606"/>
      <c r="B714" s="606"/>
      <c r="C714" s="607"/>
      <c r="D714" s="608"/>
      <c r="E714" s="608"/>
      <c r="F714" s="608"/>
      <c r="G714" s="608"/>
      <c r="H714" s="609"/>
      <c r="I714" s="637"/>
      <c r="J714" s="637"/>
      <c r="K714" s="637"/>
      <c r="L714" s="637"/>
      <c r="M714" s="637"/>
      <c r="N714" s="637"/>
      <c r="O714" s="637"/>
      <c r="P714" s="637"/>
      <c r="Q714" s="637"/>
      <c r="R714" s="637"/>
      <c r="S714" s="637"/>
      <c r="T714" s="637"/>
      <c r="U714" s="637"/>
      <c r="V714" s="637"/>
      <c r="W714" s="637"/>
      <c r="X714" s="637"/>
      <c r="Y714" s="637"/>
      <c r="Z714" s="637"/>
      <c r="AA714" s="637"/>
      <c r="AB714" s="637"/>
      <c r="AC714" s="637"/>
      <c r="AD714" s="640"/>
      <c r="AE714" s="606"/>
      <c r="AF714" s="606"/>
      <c r="AG714" s="606"/>
      <c r="AH714" s="606"/>
    </row>
    <row r="715" spans="1:34" s="612" customFormat="1" hidden="1" outlineLevel="3" x14ac:dyDescent="0.2">
      <c r="A715" s="606"/>
      <c r="B715" s="606"/>
      <c r="C715" s="607"/>
      <c r="D715" s="608"/>
      <c r="E715" s="608"/>
      <c r="F715" s="608"/>
      <c r="G715" s="608"/>
      <c r="H715" s="609"/>
      <c r="I715" s="637"/>
      <c r="J715" s="637"/>
      <c r="K715" s="637"/>
      <c r="L715" s="637"/>
      <c r="M715" s="637"/>
      <c r="N715" s="637"/>
      <c r="O715" s="637"/>
      <c r="P715" s="637"/>
      <c r="Q715" s="637"/>
      <c r="R715" s="637"/>
      <c r="S715" s="637"/>
      <c r="T715" s="637"/>
      <c r="U715" s="637"/>
      <c r="V715" s="637"/>
      <c r="W715" s="637"/>
      <c r="X715" s="637"/>
      <c r="Y715" s="637"/>
      <c r="Z715" s="637"/>
      <c r="AA715" s="637"/>
      <c r="AB715" s="637"/>
      <c r="AC715" s="637"/>
      <c r="AD715" s="640"/>
      <c r="AE715" s="606"/>
      <c r="AF715" s="606"/>
      <c r="AG715" s="606"/>
      <c r="AH715" s="606"/>
    </row>
    <row r="716" spans="1:34" s="612" customFormat="1" hidden="1" outlineLevel="3" x14ac:dyDescent="0.2">
      <c r="A716" s="606"/>
      <c r="B716" s="606"/>
      <c r="C716" s="607"/>
      <c r="D716" s="608"/>
      <c r="E716" s="608"/>
      <c r="F716" s="608"/>
      <c r="G716" s="608"/>
      <c r="H716" s="609"/>
      <c r="I716" s="637"/>
      <c r="J716" s="637"/>
      <c r="K716" s="637"/>
      <c r="L716" s="637"/>
      <c r="M716" s="637"/>
      <c r="N716" s="637"/>
      <c r="O716" s="637"/>
      <c r="P716" s="637"/>
      <c r="Q716" s="637"/>
      <c r="R716" s="637"/>
      <c r="S716" s="637"/>
      <c r="T716" s="637"/>
      <c r="U716" s="637"/>
      <c r="V716" s="637"/>
      <c r="W716" s="637"/>
      <c r="X716" s="637"/>
      <c r="Y716" s="637"/>
      <c r="Z716" s="637"/>
      <c r="AA716" s="637"/>
      <c r="AB716" s="637"/>
      <c r="AC716" s="637"/>
      <c r="AD716" s="640"/>
      <c r="AE716" s="606"/>
      <c r="AF716" s="606"/>
      <c r="AG716" s="606"/>
      <c r="AH716" s="606"/>
    </row>
    <row r="717" spans="1:34" s="612" customFormat="1" hidden="1" outlineLevel="3" x14ac:dyDescent="0.2">
      <c r="A717" s="606"/>
      <c r="B717" s="606"/>
      <c r="C717" s="607"/>
      <c r="D717" s="608"/>
      <c r="E717" s="608"/>
      <c r="F717" s="608"/>
      <c r="G717" s="608"/>
      <c r="H717" s="609"/>
      <c r="I717" s="637"/>
      <c r="J717" s="637"/>
      <c r="K717" s="637"/>
      <c r="L717" s="637"/>
      <c r="M717" s="637"/>
      <c r="N717" s="637"/>
      <c r="O717" s="637"/>
      <c r="P717" s="637"/>
      <c r="Q717" s="637"/>
      <c r="R717" s="637"/>
      <c r="S717" s="637"/>
      <c r="T717" s="637"/>
      <c r="U717" s="637"/>
      <c r="V717" s="637"/>
      <c r="W717" s="637"/>
      <c r="X717" s="637"/>
      <c r="Y717" s="637"/>
      <c r="Z717" s="637"/>
      <c r="AA717" s="637"/>
      <c r="AB717" s="637"/>
      <c r="AC717" s="637"/>
      <c r="AD717" s="640"/>
      <c r="AE717" s="606"/>
      <c r="AF717" s="606"/>
      <c r="AG717" s="606"/>
      <c r="AH717" s="606"/>
    </row>
    <row r="718" spans="1:34" s="612" customFormat="1" hidden="1" outlineLevel="3" x14ac:dyDescent="0.2">
      <c r="A718" s="606"/>
      <c r="B718" s="606"/>
      <c r="C718" s="607"/>
      <c r="D718" s="608"/>
      <c r="E718" s="608"/>
      <c r="F718" s="608"/>
      <c r="G718" s="608"/>
      <c r="H718" s="609"/>
      <c r="I718" s="637"/>
      <c r="J718" s="637"/>
      <c r="K718" s="637"/>
      <c r="L718" s="637"/>
      <c r="M718" s="637"/>
      <c r="N718" s="637"/>
      <c r="O718" s="637"/>
      <c r="P718" s="637"/>
      <c r="Q718" s="637"/>
      <c r="R718" s="637"/>
      <c r="S718" s="637"/>
      <c r="T718" s="637"/>
      <c r="U718" s="637"/>
      <c r="V718" s="637"/>
      <c r="W718" s="637"/>
      <c r="X718" s="637"/>
      <c r="Y718" s="637"/>
      <c r="Z718" s="637"/>
      <c r="AA718" s="637"/>
      <c r="AB718" s="637"/>
      <c r="AC718" s="637"/>
      <c r="AD718" s="640"/>
      <c r="AE718" s="606"/>
      <c r="AF718" s="606"/>
      <c r="AG718" s="606"/>
      <c r="AH718" s="606"/>
    </row>
    <row r="719" spans="1:34" s="612" customFormat="1" hidden="1" outlineLevel="3" x14ac:dyDescent="0.2">
      <c r="A719" s="606"/>
      <c r="B719" s="606"/>
      <c r="C719" s="607"/>
      <c r="D719" s="608"/>
      <c r="E719" s="608"/>
      <c r="F719" s="608"/>
      <c r="G719" s="608"/>
      <c r="H719" s="609"/>
      <c r="I719" s="637"/>
      <c r="J719" s="637"/>
      <c r="K719" s="637"/>
      <c r="L719" s="637"/>
      <c r="M719" s="637"/>
      <c r="N719" s="637"/>
      <c r="O719" s="637"/>
      <c r="P719" s="637"/>
      <c r="Q719" s="637"/>
      <c r="R719" s="637"/>
      <c r="S719" s="637"/>
      <c r="T719" s="637"/>
      <c r="U719" s="637"/>
      <c r="V719" s="637"/>
      <c r="W719" s="637"/>
      <c r="X719" s="637"/>
      <c r="Y719" s="637"/>
      <c r="Z719" s="637"/>
      <c r="AA719" s="637"/>
      <c r="AB719" s="637"/>
      <c r="AC719" s="637"/>
      <c r="AD719" s="640"/>
      <c r="AE719" s="606"/>
      <c r="AF719" s="606"/>
      <c r="AG719" s="606"/>
      <c r="AH719" s="606"/>
    </row>
    <row r="720" spans="1:34" s="612" customFormat="1" hidden="1" outlineLevel="3" x14ac:dyDescent="0.2">
      <c r="A720" s="606"/>
      <c r="B720" s="606"/>
      <c r="C720" s="607"/>
      <c r="D720" s="608"/>
      <c r="E720" s="608"/>
      <c r="F720" s="608"/>
      <c r="G720" s="608"/>
      <c r="H720" s="609"/>
      <c r="I720" s="637"/>
      <c r="J720" s="637"/>
      <c r="K720" s="637"/>
      <c r="L720" s="637"/>
      <c r="M720" s="637"/>
      <c r="N720" s="637"/>
      <c r="O720" s="637"/>
      <c r="P720" s="637"/>
      <c r="Q720" s="637"/>
      <c r="R720" s="637"/>
      <c r="S720" s="637"/>
      <c r="T720" s="637"/>
      <c r="U720" s="637"/>
      <c r="V720" s="637"/>
      <c r="W720" s="637"/>
      <c r="X720" s="637"/>
      <c r="Y720" s="637"/>
      <c r="Z720" s="637"/>
      <c r="AA720" s="637"/>
      <c r="AB720" s="637"/>
      <c r="AC720" s="637"/>
      <c r="AD720" s="640"/>
      <c r="AE720" s="606"/>
      <c r="AF720" s="606"/>
      <c r="AG720" s="606"/>
      <c r="AH720" s="606"/>
    </row>
    <row r="721" spans="1:34" s="612" customFormat="1" hidden="1" outlineLevel="3" x14ac:dyDescent="0.2">
      <c r="A721" s="606"/>
      <c r="B721" s="606"/>
      <c r="C721" s="607"/>
      <c r="D721" s="608"/>
      <c r="E721" s="608"/>
      <c r="F721" s="608"/>
      <c r="G721" s="608"/>
      <c r="H721" s="609"/>
      <c r="I721" s="637"/>
      <c r="J721" s="637"/>
      <c r="K721" s="637"/>
      <c r="L721" s="637"/>
      <c r="M721" s="637"/>
      <c r="N721" s="637"/>
      <c r="O721" s="637"/>
      <c r="P721" s="637"/>
      <c r="Q721" s="637"/>
      <c r="R721" s="637"/>
      <c r="S721" s="637"/>
      <c r="T721" s="637"/>
      <c r="U721" s="637"/>
      <c r="V721" s="637"/>
      <c r="W721" s="637"/>
      <c r="X721" s="637"/>
      <c r="Y721" s="637"/>
      <c r="Z721" s="637"/>
      <c r="AA721" s="637"/>
      <c r="AB721" s="637"/>
      <c r="AC721" s="637"/>
      <c r="AD721" s="640"/>
      <c r="AE721" s="606"/>
      <c r="AF721" s="606"/>
      <c r="AG721" s="606"/>
      <c r="AH721" s="606"/>
    </row>
    <row r="722" spans="1:34" s="612" customFormat="1" hidden="1" outlineLevel="3" x14ac:dyDescent="0.2">
      <c r="A722" s="606"/>
      <c r="B722" s="606"/>
      <c r="C722" s="607"/>
      <c r="D722" s="608"/>
      <c r="E722" s="608"/>
      <c r="F722" s="608"/>
      <c r="G722" s="608"/>
      <c r="H722" s="609"/>
      <c r="I722" s="637"/>
      <c r="J722" s="637"/>
      <c r="K722" s="637"/>
      <c r="L722" s="637"/>
      <c r="M722" s="637"/>
      <c r="N722" s="637"/>
      <c r="O722" s="637"/>
      <c r="P722" s="637"/>
      <c r="Q722" s="637"/>
      <c r="R722" s="637"/>
      <c r="S722" s="637"/>
      <c r="T722" s="637"/>
      <c r="U722" s="637"/>
      <c r="V722" s="637"/>
      <c r="W722" s="637"/>
      <c r="X722" s="637"/>
      <c r="Y722" s="637"/>
      <c r="Z722" s="637"/>
      <c r="AA722" s="637"/>
      <c r="AB722" s="637"/>
      <c r="AC722" s="637"/>
      <c r="AD722" s="640"/>
      <c r="AE722" s="606"/>
      <c r="AF722" s="606"/>
      <c r="AG722" s="606"/>
      <c r="AH722" s="606"/>
    </row>
    <row r="723" spans="1:34" s="612" customFormat="1" hidden="1" outlineLevel="3" x14ac:dyDescent="0.2">
      <c r="A723" s="606"/>
      <c r="B723" s="606"/>
      <c r="C723" s="607"/>
      <c r="D723" s="608"/>
      <c r="E723" s="608"/>
      <c r="F723" s="608"/>
      <c r="G723" s="608"/>
      <c r="H723" s="609"/>
      <c r="I723" s="637"/>
      <c r="J723" s="637"/>
      <c r="K723" s="637"/>
      <c r="L723" s="637"/>
      <c r="M723" s="637"/>
      <c r="N723" s="637"/>
      <c r="O723" s="637"/>
      <c r="P723" s="637"/>
      <c r="Q723" s="637"/>
      <c r="R723" s="637"/>
      <c r="S723" s="637"/>
      <c r="T723" s="637"/>
      <c r="U723" s="637"/>
      <c r="V723" s="637"/>
      <c r="W723" s="637"/>
      <c r="X723" s="637"/>
      <c r="Y723" s="637"/>
      <c r="Z723" s="637"/>
      <c r="AA723" s="637"/>
      <c r="AB723" s="637"/>
      <c r="AC723" s="637"/>
      <c r="AD723" s="640"/>
      <c r="AE723" s="606"/>
      <c r="AF723" s="606"/>
      <c r="AG723" s="606"/>
      <c r="AH723" s="606"/>
    </row>
    <row r="724" spans="1:34" s="612" customFormat="1" hidden="1" outlineLevel="3" x14ac:dyDescent="0.2">
      <c r="A724" s="606"/>
      <c r="B724" s="606"/>
      <c r="C724" s="607"/>
      <c r="D724" s="608"/>
      <c r="E724" s="608"/>
      <c r="F724" s="608"/>
      <c r="G724" s="608"/>
      <c r="H724" s="609"/>
      <c r="I724" s="637"/>
      <c r="J724" s="637"/>
      <c r="K724" s="637"/>
      <c r="L724" s="637"/>
      <c r="M724" s="637"/>
      <c r="N724" s="637"/>
      <c r="O724" s="637"/>
      <c r="P724" s="637"/>
      <c r="Q724" s="637"/>
      <c r="R724" s="637"/>
      <c r="S724" s="637"/>
      <c r="T724" s="637"/>
      <c r="U724" s="637"/>
      <c r="V724" s="637"/>
      <c r="W724" s="637"/>
      <c r="X724" s="637"/>
      <c r="Y724" s="637"/>
      <c r="Z724" s="637"/>
      <c r="AA724" s="637"/>
      <c r="AB724" s="637"/>
      <c r="AC724" s="637"/>
      <c r="AD724" s="640"/>
      <c r="AE724" s="606"/>
      <c r="AF724" s="606"/>
      <c r="AG724" s="606"/>
      <c r="AH724" s="606"/>
    </row>
    <row r="725" spans="1:34" s="612" customFormat="1" hidden="1" outlineLevel="3" x14ac:dyDescent="0.2">
      <c r="A725" s="606"/>
      <c r="B725" s="606"/>
      <c r="C725" s="607"/>
      <c r="D725" s="608"/>
      <c r="E725" s="608"/>
      <c r="F725" s="608"/>
      <c r="G725" s="608"/>
      <c r="H725" s="609"/>
      <c r="I725" s="637"/>
      <c r="J725" s="637"/>
      <c r="K725" s="637"/>
      <c r="L725" s="637"/>
      <c r="M725" s="637"/>
      <c r="N725" s="637"/>
      <c r="O725" s="637"/>
      <c r="P725" s="637"/>
      <c r="Q725" s="637"/>
      <c r="R725" s="637"/>
      <c r="S725" s="637"/>
      <c r="T725" s="637"/>
      <c r="U725" s="637"/>
      <c r="V725" s="637"/>
      <c r="W725" s="637"/>
      <c r="X725" s="637"/>
      <c r="Y725" s="637"/>
      <c r="Z725" s="637"/>
      <c r="AA725" s="637"/>
      <c r="AB725" s="637"/>
      <c r="AC725" s="637"/>
      <c r="AD725" s="640"/>
      <c r="AE725" s="606"/>
      <c r="AF725" s="606"/>
      <c r="AG725" s="606"/>
      <c r="AH725" s="606"/>
    </row>
    <row r="726" spans="1:34" s="612" customFormat="1" hidden="1" outlineLevel="3" x14ac:dyDescent="0.2">
      <c r="A726" s="606"/>
      <c r="B726" s="606"/>
      <c r="C726" s="607"/>
      <c r="D726" s="608"/>
      <c r="E726" s="608"/>
      <c r="F726" s="608"/>
      <c r="G726" s="608"/>
      <c r="H726" s="609"/>
      <c r="I726" s="637"/>
      <c r="J726" s="637"/>
      <c r="K726" s="637"/>
      <c r="L726" s="637"/>
      <c r="M726" s="637"/>
      <c r="N726" s="637"/>
      <c r="O726" s="637"/>
      <c r="P726" s="637"/>
      <c r="Q726" s="637"/>
      <c r="R726" s="637"/>
      <c r="S726" s="637"/>
      <c r="T726" s="637"/>
      <c r="U726" s="637"/>
      <c r="V726" s="637"/>
      <c r="W726" s="637"/>
      <c r="X726" s="637"/>
      <c r="Y726" s="637"/>
      <c r="Z726" s="637"/>
      <c r="AA726" s="637"/>
      <c r="AB726" s="637"/>
      <c r="AC726" s="637"/>
      <c r="AD726" s="640"/>
      <c r="AE726" s="606"/>
      <c r="AF726" s="606"/>
      <c r="AG726" s="606"/>
      <c r="AH726" s="606"/>
    </row>
    <row r="727" spans="1:34" s="612" customFormat="1" hidden="1" outlineLevel="3" x14ac:dyDescent="0.2">
      <c r="A727" s="606"/>
      <c r="B727" s="606"/>
      <c r="C727" s="607"/>
      <c r="D727" s="608"/>
      <c r="E727" s="608"/>
      <c r="F727" s="608"/>
      <c r="G727" s="608"/>
      <c r="H727" s="609"/>
      <c r="I727" s="637"/>
      <c r="J727" s="637"/>
      <c r="K727" s="637"/>
      <c r="L727" s="637"/>
      <c r="M727" s="637"/>
      <c r="N727" s="637"/>
      <c r="O727" s="637"/>
      <c r="P727" s="637"/>
      <c r="Q727" s="637"/>
      <c r="R727" s="637"/>
      <c r="S727" s="637"/>
      <c r="T727" s="637"/>
      <c r="U727" s="637"/>
      <c r="V727" s="637"/>
      <c r="W727" s="637"/>
      <c r="X727" s="637"/>
      <c r="Y727" s="637"/>
      <c r="Z727" s="637"/>
      <c r="AA727" s="637"/>
      <c r="AB727" s="637"/>
      <c r="AC727" s="637"/>
      <c r="AD727" s="640"/>
      <c r="AE727" s="606"/>
      <c r="AF727" s="606"/>
      <c r="AG727" s="606"/>
      <c r="AH727" s="606"/>
    </row>
    <row r="728" spans="1:34" s="612" customFormat="1" hidden="1" outlineLevel="3" x14ac:dyDescent="0.2">
      <c r="A728" s="606"/>
      <c r="B728" s="606"/>
      <c r="C728" s="607"/>
      <c r="D728" s="608"/>
      <c r="E728" s="608"/>
      <c r="F728" s="608"/>
      <c r="G728" s="608"/>
      <c r="H728" s="609"/>
      <c r="I728" s="637"/>
      <c r="J728" s="637"/>
      <c r="K728" s="637"/>
      <c r="L728" s="637"/>
      <c r="M728" s="637"/>
      <c r="N728" s="637"/>
      <c r="O728" s="637"/>
      <c r="P728" s="637"/>
      <c r="Q728" s="637"/>
      <c r="R728" s="637"/>
      <c r="S728" s="637"/>
      <c r="T728" s="637"/>
      <c r="U728" s="637"/>
      <c r="V728" s="637"/>
      <c r="W728" s="637"/>
      <c r="X728" s="637"/>
      <c r="Y728" s="637"/>
      <c r="Z728" s="637"/>
      <c r="AA728" s="637"/>
      <c r="AB728" s="637"/>
      <c r="AC728" s="637"/>
      <c r="AD728" s="640"/>
      <c r="AE728" s="606"/>
      <c r="AF728" s="606"/>
      <c r="AG728" s="606"/>
      <c r="AH728" s="606"/>
    </row>
    <row r="729" spans="1:34" s="612" customFormat="1" hidden="1" outlineLevel="3" x14ac:dyDescent="0.2">
      <c r="A729" s="606"/>
      <c r="B729" s="606"/>
      <c r="C729" s="607"/>
      <c r="D729" s="608"/>
      <c r="E729" s="608"/>
      <c r="F729" s="608"/>
      <c r="G729" s="608"/>
      <c r="H729" s="609"/>
      <c r="I729" s="637"/>
      <c r="J729" s="637"/>
      <c r="K729" s="637"/>
      <c r="L729" s="637"/>
      <c r="M729" s="637"/>
      <c r="N729" s="637"/>
      <c r="O729" s="637"/>
      <c r="P729" s="637"/>
      <c r="Q729" s="637"/>
      <c r="R729" s="637"/>
      <c r="S729" s="637"/>
      <c r="T729" s="637"/>
      <c r="U729" s="637"/>
      <c r="V729" s="637"/>
      <c r="W729" s="637"/>
      <c r="X729" s="637"/>
      <c r="Y729" s="637"/>
      <c r="Z729" s="637"/>
      <c r="AA729" s="637"/>
      <c r="AB729" s="637"/>
      <c r="AC729" s="637"/>
      <c r="AD729" s="640"/>
      <c r="AE729" s="606"/>
      <c r="AF729" s="606"/>
      <c r="AG729" s="606"/>
      <c r="AH729" s="606"/>
    </row>
    <row r="730" spans="1:34" s="612" customFormat="1" hidden="1" outlineLevel="3" x14ac:dyDescent="0.2">
      <c r="A730" s="606"/>
      <c r="B730" s="606"/>
      <c r="C730" s="607"/>
      <c r="D730" s="608"/>
      <c r="E730" s="608"/>
      <c r="F730" s="608"/>
      <c r="G730" s="608"/>
      <c r="H730" s="609"/>
      <c r="I730" s="637"/>
      <c r="J730" s="637"/>
      <c r="K730" s="637"/>
      <c r="L730" s="637"/>
      <c r="M730" s="637"/>
      <c r="N730" s="637"/>
      <c r="O730" s="637"/>
      <c r="P730" s="637"/>
      <c r="Q730" s="637"/>
      <c r="R730" s="637"/>
      <c r="S730" s="637"/>
      <c r="T730" s="637"/>
      <c r="U730" s="637"/>
      <c r="V730" s="637"/>
      <c r="W730" s="637"/>
      <c r="X730" s="637"/>
      <c r="Y730" s="637"/>
      <c r="Z730" s="637"/>
      <c r="AA730" s="637"/>
      <c r="AB730" s="637"/>
      <c r="AC730" s="637"/>
      <c r="AD730" s="640"/>
      <c r="AE730" s="606"/>
      <c r="AF730" s="606"/>
      <c r="AG730" s="606"/>
      <c r="AH730" s="606"/>
    </row>
    <row r="731" spans="1:34" s="612" customFormat="1" hidden="1" outlineLevel="3" x14ac:dyDescent="0.2">
      <c r="A731" s="606"/>
      <c r="B731" s="606"/>
      <c r="C731" s="607"/>
      <c r="D731" s="608"/>
      <c r="E731" s="608"/>
      <c r="F731" s="608"/>
      <c r="G731" s="608"/>
      <c r="H731" s="609"/>
      <c r="I731" s="637"/>
      <c r="J731" s="637"/>
      <c r="K731" s="637"/>
      <c r="L731" s="637"/>
      <c r="M731" s="637"/>
      <c r="N731" s="637"/>
      <c r="O731" s="637"/>
      <c r="P731" s="637"/>
      <c r="Q731" s="637"/>
      <c r="R731" s="637"/>
      <c r="S731" s="637"/>
      <c r="T731" s="637"/>
      <c r="U731" s="637"/>
      <c r="V731" s="637"/>
      <c r="W731" s="637"/>
      <c r="X731" s="637"/>
      <c r="Y731" s="637"/>
      <c r="Z731" s="637"/>
      <c r="AA731" s="637"/>
      <c r="AB731" s="637"/>
      <c r="AC731" s="637"/>
      <c r="AD731" s="640"/>
      <c r="AE731" s="606"/>
      <c r="AF731" s="606"/>
      <c r="AG731" s="606"/>
      <c r="AH731" s="606"/>
    </row>
    <row r="732" spans="1:34" s="612" customFormat="1" hidden="1" outlineLevel="3" x14ac:dyDescent="0.2">
      <c r="A732" s="606"/>
      <c r="B732" s="606"/>
      <c r="C732" s="607"/>
      <c r="D732" s="608"/>
      <c r="E732" s="608"/>
      <c r="F732" s="608"/>
      <c r="G732" s="608"/>
      <c r="H732" s="609"/>
      <c r="I732" s="637"/>
      <c r="J732" s="637"/>
      <c r="K732" s="637"/>
      <c r="L732" s="637"/>
      <c r="M732" s="637"/>
      <c r="N732" s="637"/>
      <c r="O732" s="637"/>
      <c r="P732" s="637"/>
      <c r="Q732" s="637"/>
      <c r="R732" s="637"/>
      <c r="S732" s="637"/>
      <c r="T732" s="637"/>
      <c r="U732" s="637"/>
      <c r="V732" s="637"/>
      <c r="W732" s="637"/>
      <c r="X732" s="637"/>
      <c r="Y732" s="637"/>
      <c r="Z732" s="637"/>
      <c r="AA732" s="637"/>
      <c r="AB732" s="637"/>
      <c r="AC732" s="637"/>
      <c r="AD732" s="640"/>
      <c r="AE732" s="606"/>
      <c r="AF732" s="606"/>
      <c r="AG732" s="606"/>
      <c r="AH732" s="606"/>
    </row>
    <row r="733" spans="1:34" s="612" customFormat="1" hidden="1" outlineLevel="3" x14ac:dyDescent="0.2">
      <c r="A733" s="606"/>
      <c r="B733" s="606"/>
      <c r="C733" s="607"/>
      <c r="D733" s="608"/>
      <c r="E733" s="608"/>
      <c r="F733" s="608"/>
      <c r="G733" s="608"/>
      <c r="H733" s="609"/>
      <c r="I733" s="637"/>
      <c r="J733" s="637"/>
      <c r="K733" s="637"/>
      <c r="L733" s="637"/>
      <c r="M733" s="637"/>
      <c r="N733" s="637"/>
      <c r="O733" s="637"/>
      <c r="P733" s="637"/>
      <c r="Q733" s="637"/>
      <c r="R733" s="637"/>
      <c r="S733" s="637"/>
      <c r="T733" s="637"/>
      <c r="U733" s="637"/>
      <c r="V733" s="637"/>
      <c r="W733" s="637"/>
      <c r="X733" s="637"/>
      <c r="Y733" s="637"/>
      <c r="Z733" s="637"/>
      <c r="AA733" s="637"/>
      <c r="AB733" s="637"/>
      <c r="AC733" s="637"/>
      <c r="AD733" s="640"/>
      <c r="AE733" s="606"/>
      <c r="AF733" s="606"/>
      <c r="AG733" s="606"/>
      <c r="AH733" s="606"/>
    </row>
    <row r="734" spans="1:34" s="612" customFormat="1" hidden="1" outlineLevel="3" x14ac:dyDescent="0.2">
      <c r="A734" s="606"/>
      <c r="B734" s="606"/>
      <c r="C734" s="607"/>
      <c r="D734" s="608"/>
      <c r="E734" s="608"/>
      <c r="F734" s="608"/>
      <c r="G734" s="608"/>
      <c r="H734" s="609"/>
      <c r="I734" s="637"/>
      <c r="J734" s="637"/>
      <c r="K734" s="637"/>
      <c r="L734" s="637"/>
      <c r="M734" s="637"/>
      <c r="N734" s="637"/>
      <c r="O734" s="637"/>
      <c r="P734" s="637"/>
      <c r="Q734" s="637"/>
      <c r="R734" s="637"/>
      <c r="S734" s="637"/>
      <c r="T734" s="637"/>
      <c r="U734" s="637"/>
      <c r="V734" s="637"/>
      <c r="W734" s="637"/>
      <c r="X734" s="637"/>
      <c r="Y734" s="637"/>
      <c r="Z734" s="637"/>
      <c r="AA734" s="637"/>
      <c r="AB734" s="637"/>
      <c r="AC734" s="637"/>
      <c r="AD734" s="640"/>
      <c r="AE734" s="606"/>
      <c r="AF734" s="606"/>
      <c r="AG734" s="606"/>
      <c r="AH734" s="606"/>
    </row>
    <row r="735" spans="1:34" s="612" customFormat="1" hidden="1" outlineLevel="3" x14ac:dyDescent="0.2">
      <c r="A735" s="606"/>
      <c r="B735" s="606"/>
      <c r="C735" s="607"/>
      <c r="D735" s="608"/>
      <c r="E735" s="608"/>
      <c r="F735" s="608"/>
      <c r="G735" s="608"/>
      <c r="H735" s="609"/>
      <c r="I735" s="637"/>
      <c r="J735" s="637"/>
      <c r="K735" s="637"/>
      <c r="L735" s="637"/>
      <c r="M735" s="637"/>
      <c r="N735" s="637"/>
      <c r="O735" s="637"/>
      <c r="P735" s="637"/>
      <c r="Q735" s="637"/>
      <c r="R735" s="637"/>
      <c r="S735" s="637"/>
      <c r="T735" s="637"/>
      <c r="U735" s="637"/>
      <c r="V735" s="637"/>
      <c r="W735" s="637"/>
      <c r="X735" s="637"/>
      <c r="Y735" s="637"/>
      <c r="Z735" s="637"/>
      <c r="AA735" s="637"/>
      <c r="AB735" s="637"/>
      <c r="AC735" s="637"/>
      <c r="AD735" s="640"/>
      <c r="AE735" s="606"/>
      <c r="AF735" s="606"/>
      <c r="AG735" s="606"/>
      <c r="AH735" s="606"/>
    </row>
    <row r="736" spans="1:34" s="612" customFormat="1" hidden="1" outlineLevel="3" x14ac:dyDescent="0.2">
      <c r="A736" s="606"/>
      <c r="B736" s="606"/>
      <c r="C736" s="607"/>
      <c r="D736" s="608"/>
      <c r="E736" s="608"/>
      <c r="F736" s="608"/>
      <c r="G736" s="608"/>
      <c r="H736" s="609"/>
      <c r="I736" s="637"/>
      <c r="J736" s="637"/>
      <c r="K736" s="637"/>
      <c r="L736" s="637"/>
      <c r="M736" s="637"/>
      <c r="N736" s="637"/>
      <c r="O736" s="637"/>
      <c r="P736" s="637"/>
      <c r="Q736" s="637"/>
      <c r="R736" s="637"/>
      <c r="S736" s="637"/>
      <c r="T736" s="637"/>
      <c r="U736" s="637"/>
      <c r="V736" s="637"/>
      <c r="W736" s="637"/>
      <c r="X736" s="637"/>
      <c r="Y736" s="637"/>
      <c r="Z736" s="637"/>
      <c r="AA736" s="637"/>
      <c r="AB736" s="637"/>
      <c r="AC736" s="637"/>
      <c r="AD736" s="640"/>
      <c r="AE736" s="606"/>
      <c r="AF736" s="606"/>
      <c r="AG736" s="606"/>
      <c r="AH736" s="606"/>
    </row>
    <row r="737" spans="1:34" s="612" customFormat="1" hidden="1" outlineLevel="3" x14ac:dyDescent="0.2">
      <c r="A737" s="606"/>
      <c r="B737" s="606"/>
      <c r="C737" s="607"/>
      <c r="D737" s="608"/>
      <c r="E737" s="608"/>
      <c r="F737" s="608"/>
      <c r="G737" s="608"/>
      <c r="H737" s="609"/>
      <c r="I737" s="637"/>
      <c r="J737" s="637"/>
      <c r="K737" s="637"/>
      <c r="L737" s="637"/>
      <c r="M737" s="637"/>
      <c r="N737" s="637"/>
      <c r="O737" s="637"/>
      <c r="P737" s="637"/>
      <c r="Q737" s="637"/>
      <c r="R737" s="637"/>
      <c r="S737" s="637"/>
      <c r="T737" s="637"/>
      <c r="U737" s="637"/>
      <c r="V737" s="637"/>
      <c r="W737" s="637"/>
      <c r="X737" s="637"/>
      <c r="Y737" s="637"/>
      <c r="Z737" s="637"/>
      <c r="AA737" s="637"/>
      <c r="AB737" s="637"/>
      <c r="AC737" s="637"/>
      <c r="AD737" s="640"/>
      <c r="AE737" s="606"/>
      <c r="AF737" s="606"/>
      <c r="AG737" s="606"/>
      <c r="AH737" s="606"/>
    </row>
    <row r="738" spans="1:34" s="612" customFormat="1" hidden="1" outlineLevel="3" x14ac:dyDescent="0.2">
      <c r="A738" s="606"/>
      <c r="B738" s="606"/>
      <c r="C738" s="607"/>
      <c r="D738" s="608"/>
      <c r="E738" s="608"/>
      <c r="F738" s="608"/>
      <c r="G738" s="608"/>
      <c r="H738" s="609"/>
      <c r="I738" s="637"/>
      <c r="J738" s="637"/>
      <c r="K738" s="637"/>
      <c r="L738" s="637"/>
      <c r="M738" s="637"/>
      <c r="N738" s="637"/>
      <c r="O738" s="637"/>
      <c r="P738" s="637"/>
      <c r="Q738" s="637"/>
      <c r="R738" s="637"/>
      <c r="S738" s="637"/>
      <c r="T738" s="637"/>
      <c r="U738" s="637"/>
      <c r="V738" s="637"/>
      <c r="W738" s="637"/>
      <c r="X738" s="637"/>
      <c r="Y738" s="637"/>
      <c r="Z738" s="637"/>
      <c r="AA738" s="637"/>
      <c r="AB738" s="637"/>
      <c r="AC738" s="637"/>
      <c r="AD738" s="640"/>
      <c r="AE738" s="606"/>
      <c r="AF738" s="606"/>
      <c r="AG738" s="606"/>
      <c r="AH738" s="606"/>
    </row>
    <row r="739" spans="1:34" s="612" customFormat="1" hidden="1" outlineLevel="3" x14ac:dyDescent="0.2">
      <c r="A739" s="606"/>
      <c r="B739" s="606"/>
      <c r="C739" s="607"/>
      <c r="D739" s="608"/>
      <c r="E739" s="608"/>
      <c r="F739" s="608"/>
      <c r="G739" s="608"/>
      <c r="H739" s="609"/>
      <c r="I739" s="637"/>
      <c r="J739" s="637"/>
      <c r="K739" s="637"/>
      <c r="L739" s="637"/>
      <c r="M739" s="637"/>
      <c r="N739" s="637"/>
      <c r="O739" s="637"/>
      <c r="P739" s="637"/>
      <c r="Q739" s="637"/>
      <c r="R739" s="637"/>
      <c r="S739" s="637"/>
      <c r="T739" s="637"/>
      <c r="U739" s="637"/>
      <c r="V739" s="637"/>
      <c r="W739" s="637"/>
      <c r="X739" s="637"/>
      <c r="Y739" s="637"/>
      <c r="Z739" s="637"/>
      <c r="AA739" s="637"/>
      <c r="AB739" s="637"/>
      <c r="AC739" s="637"/>
      <c r="AD739" s="640"/>
      <c r="AE739" s="606"/>
      <c r="AF739" s="606"/>
      <c r="AG739" s="606"/>
      <c r="AH739" s="606"/>
    </row>
    <row r="740" spans="1:34" s="612" customFormat="1" hidden="1" outlineLevel="3" x14ac:dyDescent="0.2">
      <c r="A740" s="606"/>
      <c r="B740" s="606"/>
      <c r="C740" s="607"/>
      <c r="D740" s="608"/>
      <c r="E740" s="608"/>
      <c r="F740" s="608"/>
      <c r="G740" s="608"/>
      <c r="H740" s="609"/>
      <c r="I740" s="637"/>
      <c r="J740" s="637"/>
      <c r="K740" s="637"/>
      <c r="L740" s="637"/>
      <c r="M740" s="637"/>
      <c r="N740" s="637"/>
      <c r="O740" s="637"/>
      <c r="P740" s="637"/>
      <c r="Q740" s="637"/>
      <c r="R740" s="637"/>
      <c r="S740" s="637"/>
      <c r="T740" s="637"/>
      <c r="U740" s="637"/>
      <c r="V740" s="637"/>
      <c r="W740" s="637"/>
      <c r="X740" s="637"/>
      <c r="Y740" s="637"/>
      <c r="Z740" s="637"/>
      <c r="AA740" s="637"/>
      <c r="AB740" s="637"/>
      <c r="AC740" s="637"/>
      <c r="AD740" s="640"/>
      <c r="AE740" s="606"/>
      <c r="AF740" s="606"/>
      <c r="AG740" s="606"/>
      <c r="AH740" s="606"/>
    </row>
    <row r="741" spans="1:34" s="612" customFormat="1" hidden="1" outlineLevel="3" x14ac:dyDescent="0.2">
      <c r="A741" s="606"/>
      <c r="B741" s="606"/>
      <c r="C741" s="607"/>
      <c r="D741" s="608"/>
      <c r="E741" s="608"/>
      <c r="F741" s="608"/>
      <c r="G741" s="608"/>
      <c r="H741" s="609"/>
      <c r="I741" s="637"/>
      <c r="J741" s="637"/>
      <c r="K741" s="637"/>
      <c r="L741" s="637"/>
      <c r="M741" s="637"/>
      <c r="N741" s="637"/>
      <c r="O741" s="637"/>
      <c r="P741" s="637"/>
      <c r="Q741" s="637"/>
      <c r="R741" s="637"/>
      <c r="S741" s="637"/>
      <c r="T741" s="637"/>
      <c r="U741" s="637"/>
      <c r="V741" s="637"/>
      <c r="W741" s="637"/>
      <c r="X741" s="637"/>
      <c r="Y741" s="637"/>
      <c r="Z741" s="637"/>
      <c r="AA741" s="637"/>
      <c r="AB741" s="637"/>
      <c r="AC741" s="637"/>
      <c r="AD741" s="640"/>
      <c r="AE741" s="606"/>
      <c r="AF741" s="606"/>
      <c r="AG741" s="606"/>
      <c r="AH741" s="606"/>
    </row>
    <row r="742" spans="1:34" s="612" customFormat="1" hidden="1" outlineLevel="3" x14ac:dyDescent="0.2">
      <c r="A742" s="606"/>
      <c r="B742" s="606"/>
      <c r="C742" s="607"/>
      <c r="D742" s="608"/>
      <c r="E742" s="608"/>
      <c r="F742" s="608"/>
      <c r="G742" s="608"/>
      <c r="H742" s="609"/>
      <c r="I742" s="637"/>
      <c r="J742" s="637"/>
      <c r="K742" s="637"/>
      <c r="L742" s="637"/>
      <c r="M742" s="637"/>
      <c r="N742" s="637"/>
      <c r="O742" s="637"/>
      <c r="P742" s="637"/>
      <c r="Q742" s="637"/>
      <c r="R742" s="637"/>
      <c r="S742" s="637"/>
      <c r="T742" s="637"/>
      <c r="U742" s="637"/>
      <c r="V742" s="637"/>
      <c r="W742" s="637"/>
      <c r="X742" s="637"/>
      <c r="Y742" s="637"/>
      <c r="Z742" s="637"/>
      <c r="AA742" s="637"/>
      <c r="AB742" s="637"/>
      <c r="AC742" s="637"/>
      <c r="AD742" s="640"/>
      <c r="AE742" s="606"/>
      <c r="AF742" s="606"/>
      <c r="AG742" s="606"/>
      <c r="AH742" s="606"/>
    </row>
    <row r="743" spans="1:34" s="612" customFormat="1" hidden="1" outlineLevel="3" x14ac:dyDescent="0.2">
      <c r="A743" s="606"/>
      <c r="B743" s="606"/>
      <c r="C743" s="607"/>
      <c r="D743" s="608"/>
      <c r="E743" s="608"/>
      <c r="F743" s="608"/>
      <c r="G743" s="608"/>
      <c r="H743" s="609"/>
      <c r="I743" s="637"/>
      <c r="J743" s="637"/>
      <c r="K743" s="637"/>
      <c r="L743" s="637"/>
      <c r="M743" s="637"/>
      <c r="N743" s="637"/>
      <c r="O743" s="637"/>
      <c r="P743" s="637"/>
      <c r="Q743" s="637"/>
      <c r="R743" s="637"/>
      <c r="S743" s="637"/>
      <c r="T743" s="637"/>
      <c r="U743" s="637"/>
      <c r="V743" s="637"/>
      <c r="W743" s="637"/>
      <c r="X743" s="637"/>
      <c r="Y743" s="637"/>
      <c r="Z743" s="637"/>
      <c r="AA743" s="637"/>
      <c r="AB743" s="637"/>
      <c r="AC743" s="637"/>
      <c r="AD743" s="640"/>
      <c r="AE743" s="606"/>
      <c r="AF743" s="606"/>
      <c r="AG743" s="606"/>
      <c r="AH743" s="606"/>
    </row>
    <row r="744" spans="1:34" s="612" customFormat="1" hidden="1" outlineLevel="3" x14ac:dyDescent="0.2">
      <c r="A744" s="606"/>
      <c r="B744" s="606"/>
      <c r="C744" s="607"/>
      <c r="D744" s="608"/>
      <c r="E744" s="608"/>
      <c r="F744" s="608"/>
      <c r="G744" s="608"/>
      <c r="H744" s="609"/>
      <c r="I744" s="637"/>
      <c r="J744" s="637"/>
      <c r="K744" s="637"/>
      <c r="L744" s="637"/>
      <c r="M744" s="637"/>
      <c r="N744" s="637"/>
      <c r="O744" s="637"/>
      <c r="P744" s="637"/>
      <c r="Q744" s="637"/>
      <c r="R744" s="637"/>
      <c r="S744" s="637"/>
      <c r="T744" s="637"/>
      <c r="U744" s="637"/>
      <c r="V744" s="637"/>
      <c r="W744" s="637"/>
      <c r="X744" s="637"/>
      <c r="Y744" s="637"/>
      <c r="Z744" s="637"/>
      <c r="AA744" s="637"/>
      <c r="AB744" s="637"/>
      <c r="AC744" s="637"/>
      <c r="AD744" s="640"/>
      <c r="AE744" s="606"/>
      <c r="AF744" s="606"/>
      <c r="AG744" s="606"/>
      <c r="AH744" s="606"/>
    </row>
    <row r="745" spans="1:34" s="612" customFormat="1" hidden="1" outlineLevel="3" x14ac:dyDescent="0.2">
      <c r="A745" s="606"/>
      <c r="B745" s="606"/>
      <c r="C745" s="607"/>
      <c r="D745" s="608"/>
      <c r="E745" s="608"/>
      <c r="F745" s="608"/>
      <c r="G745" s="608"/>
      <c r="H745" s="609"/>
      <c r="I745" s="637"/>
      <c r="J745" s="637"/>
      <c r="K745" s="637"/>
      <c r="L745" s="637"/>
      <c r="M745" s="637"/>
      <c r="N745" s="637"/>
      <c r="O745" s="637"/>
      <c r="P745" s="637"/>
      <c r="Q745" s="637"/>
      <c r="R745" s="637"/>
      <c r="S745" s="637"/>
      <c r="T745" s="637"/>
      <c r="U745" s="637"/>
      <c r="V745" s="637"/>
      <c r="W745" s="637"/>
      <c r="X745" s="637"/>
      <c r="Y745" s="637"/>
      <c r="Z745" s="637"/>
      <c r="AA745" s="637"/>
      <c r="AB745" s="637"/>
      <c r="AC745" s="637"/>
      <c r="AD745" s="640"/>
      <c r="AE745" s="606"/>
      <c r="AF745" s="606"/>
      <c r="AG745" s="606"/>
      <c r="AH745" s="606"/>
    </row>
    <row r="746" spans="1:34" s="612" customFormat="1" hidden="1" outlineLevel="3" x14ac:dyDescent="0.2">
      <c r="A746" s="606"/>
      <c r="B746" s="606"/>
      <c r="C746" s="607"/>
      <c r="D746" s="608"/>
      <c r="E746" s="608"/>
      <c r="F746" s="608"/>
      <c r="G746" s="608"/>
      <c r="H746" s="609"/>
      <c r="I746" s="637"/>
      <c r="J746" s="637"/>
      <c r="K746" s="637"/>
      <c r="L746" s="637"/>
      <c r="M746" s="637"/>
      <c r="N746" s="637"/>
      <c r="O746" s="637"/>
      <c r="P746" s="637"/>
      <c r="Q746" s="637"/>
      <c r="R746" s="637"/>
      <c r="S746" s="637"/>
      <c r="T746" s="637"/>
      <c r="U746" s="637"/>
      <c r="V746" s="637"/>
      <c r="W746" s="637"/>
      <c r="X746" s="637"/>
      <c r="Y746" s="637"/>
      <c r="Z746" s="637"/>
      <c r="AA746" s="637"/>
      <c r="AB746" s="637"/>
      <c r="AC746" s="637"/>
      <c r="AD746" s="640"/>
      <c r="AE746" s="606"/>
      <c r="AF746" s="606"/>
      <c r="AG746" s="606"/>
      <c r="AH746" s="606"/>
    </row>
    <row r="747" spans="1:34" s="612" customFormat="1" hidden="1" outlineLevel="3" x14ac:dyDescent="0.2">
      <c r="A747" s="606"/>
      <c r="B747" s="606"/>
      <c r="C747" s="607"/>
      <c r="D747" s="608"/>
      <c r="E747" s="608"/>
      <c r="F747" s="608"/>
      <c r="G747" s="608"/>
      <c r="H747" s="609"/>
      <c r="I747" s="637"/>
      <c r="J747" s="637"/>
      <c r="K747" s="637"/>
      <c r="L747" s="637"/>
      <c r="M747" s="637"/>
      <c r="N747" s="637"/>
      <c r="O747" s="637"/>
      <c r="P747" s="637"/>
      <c r="Q747" s="637"/>
      <c r="R747" s="637"/>
      <c r="S747" s="637"/>
      <c r="T747" s="637"/>
      <c r="U747" s="637"/>
      <c r="V747" s="637"/>
      <c r="W747" s="637"/>
      <c r="X747" s="637"/>
      <c r="Y747" s="637"/>
      <c r="Z747" s="637"/>
      <c r="AA747" s="637"/>
      <c r="AB747" s="637"/>
      <c r="AC747" s="637"/>
      <c r="AD747" s="640"/>
      <c r="AE747" s="606"/>
      <c r="AF747" s="606"/>
      <c r="AG747" s="606"/>
      <c r="AH747" s="606"/>
    </row>
    <row r="748" spans="1:34" s="612" customFormat="1" hidden="1" outlineLevel="3" x14ac:dyDescent="0.2">
      <c r="A748" s="606"/>
      <c r="B748" s="606"/>
      <c r="C748" s="607"/>
      <c r="D748" s="608"/>
      <c r="E748" s="608"/>
      <c r="F748" s="608"/>
      <c r="G748" s="608"/>
      <c r="H748" s="609"/>
      <c r="I748" s="637"/>
      <c r="J748" s="637"/>
      <c r="K748" s="637"/>
      <c r="L748" s="637"/>
      <c r="M748" s="637"/>
      <c r="N748" s="637"/>
      <c r="O748" s="637"/>
      <c r="P748" s="637"/>
      <c r="Q748" s="637"/>
      <c r="R748" s="637"/>
      <c r="S748" s="637"/>
      <c r="T748" s="637"/>
      <c r="U748" s="637"/>
      <c r="V748" s="637"/>
      <c r="W748" s="637"/>
      <c r="X748" s="637"/>
      <c r="Y748" s="637"/>
      <c r="Z748" s="637"/>
      <c r="AA748" s="637"/>
      <c r="AB748" s="637"/>
      <c r="AC748" s="637"/>
      <c r="AD748" s="640"/>
      <c r="AE748" s="606"/>
      <c r="AF748" s="606"/>
      <c r="AG748" s="606"/>
      <c r="AH748" s="606"/>
    </row>
    <row r="749" spans="1:34" s="612" customFormat="1" hidden="1" outlineLevel="3" x14ac:dyDescent="0.2">
      <c r="A749" s="606"/>
      <c r="B749" s="606"/>
      <c r="C749" s="607"/>
      <c r="D749" s="608"/>
      <c r="E749" s="608"/>
      <c r="F749" s="608"/>
      <c r="G749" s="608"/>
      <c r="H749" s="609"/>
      <c r="I749" s="637"/>
      <c r="J749" s="637"/>
      <c r="K749" s="637"/>
      <c r="L749" s="637"/>
      <c r="M749" s="637"/>
      <c r="N749" s="637"/>
      <c r="O749" s="637"/>
      <c r="P749" s="637"/>
      <c r="Q749" s="637"/>
      <c r="R749" s="637"/>
      <c r="S749" s="637"/>
      <c r="T749" s="637"/>
      <c r="U749" s="637"/>
      <c r="V749" s="637"/>
      <c r="W749" s="637"/>
      <c r="X749" s="637"/>
      <c r="Y749" s="637"/>
      <c r="Z749" s="637"/>
      <c r="AA749" s="637"/>
      <c r="AB749" s="637"/>
      <c r="AC749" s="637"/>
      <c r="AD749" s="640"/>
      <c r="AE749" s="606"/>
      <c r="AF749" s="606"/>
      <c r="AG749" s="606"/>
      <c r="AH749" s="606"/>
    </row>
    <row r="750" spans="1:34" s="612" customFormat="1" hidden="1" outlineLevel="3" x14ac:dyDescent="0.2">
      <c r="A750" s="606"/>
      <c r="B750" s="606"/>
      <c r="C750" s="607"/>
      <c r="D750" s="608"/>
      <c r="E750" s="608"/>
      <c r="F750" s="608"/>
      <c r="G750" s="608"/>
      <c r="H750" s="609"/>
      <c r="I750" s="637"/>
      <c r="J750" s="637"/>
      <c r="K750" s="637"/>
      <c r="L750" s="637"/>
      <c r="M750" s="637"/>
      <c r="N750" s="637"/>
      <c r="O750" s="637"/>
      <c r="P750" s="637"/>
      <c r="Q750" s="637"/>
      <c r="R750" s="637"/>
      <c r="S750" s="637"/>
      <c r="T750" s="637"/>
      <c r="U750" s="637"/>
      <c r="V750" s="637"/>
      <c r="W750" s="637"/>
      <c r="X750" s="637"/>
      <c r="Y750" s="637"/>
      <c r="Z750" s="637"/>
      <c r="AA750" s="637"/>
      <c r="AB750" s="637"/>
      <c r="AC750" s="637"/>
      <c r="AD750" s="640"/>
      <c r="AE750" s="606"/>
      <c r="AF750" s="606"/>
      <c r="AG750" s="606"/>
      <c r="AH750" s="606"/>
    </row>
    <row r="751" spans="1:34" s="612" customFormat="1" hidden="1" outlineLevel="3" x14ac:dyDescent="0.2">
      <c r="A751" s="606"/>
      <c r="B751" s="606"/>
      <c r="C751" s="607"/>
      <c r="D751" s="608"/>
      <c r="E751" s="608"/>
      <c r="F751" s="608"/>
      <c r="G751" s="608"/>
      <c r="H751" s="609"/>
      <c r="I751" s="637"/>
      <c r="J751" s="637"/>
      <c r="K751" s="637"/>
      <c r="L751" s="637"/>
      <c r="M751" s="637"/>
      <c r="N751" s="637"/>
      <c r="O751" s="637"/>
      <c r="P751" s="637"/>
      <c r="Q751" s="637"/>
      <c r="R751" s="637"/>
      <c r="S751" s="637"/>
      <c r="T751" s="637"/>
      <c r="U751" s="637"/>
      <c r="V751" s="637"/>
      <c r="W751" s="637"/>
      <c r="X751" s="637"/>
      <c r="Y751" s="637"/>
      <c r="Z751" s="637"/>
      <c r="AA751" s="637"/>
      <c r="AB751" s="637"/>
      <c r="AC751" s="637"/>
      <c r="AD751" s="640"/>
      <c r="AE751" s="606"/>
      <c r="AF751" s="606"/>
      <c r="AG751" s="606"/>
      <c r="AH751" s="606"/>
    </row>
    <row r="752" spans="1:34" s="612" customFormat="1" hidden="1" outlineLevel="3" x14ac:dyDescent="0.2">
      <c r="A752" s="606"/>
      <c r="B752" s="606"/>
      <c r="C752" s="607"/>
      <c r="D752" s="608"/>
      <c r="E752" s="608"/>
      <c r="F752" s="608"/>
      <c r="G752" s="608"/>
      <c r="H752" s="609"/>
      <c r="I752" s="637"/>
      <c r="J752" s="637"/>
      <c r="K752" s="637"/>
      <c r="L752" s="637"/>
      <c r="M752" s="637"/>
      <c r="N752" s="637"/>
      <c r="O752" s="637"/>
      <c r="P752" s="637"/>
      <c r="Q752" s="637"/>
      <c r="R752" s="637"/>
      <c r="S752" s="637"/>
      <c r="T752" s="637"/>
      <c r="U752" s="637"/>
      <c r="V752" s="637"/>
      <c r="W752" s="637"/>
      <c r="X752" s="637"/>
      <c r="Y752" s="637"/>
      <c r="Z752" s="637"/>
      <c r="AA752" s="637"/>
      <c r="AB752" s="637"/>
      <c r="AC752" s="637"/>
      <c r="AD752" s="640"/>
      <c r="AE752" s="606"/>
      <c r="AF752" s="606"/>
      <c r="AG752" s="606"/>
      <c r="AH752" s="606"/>
    </row>
    <row r="753" spans="1:34" s="612" customFormat="1" hidden="1" outlineLevel="3" x14ac:dyDescent="0.2">
      <c r="A753" s="606"/>
      <c r="B753" s="606"/>
      <c r="C753" s="607"/>
      <c r="D753" s="608"/>
      <c r="E753" s="608"/>
      <c r="F753" s="608"/>
      <c r="G753" s="608"/>
      <c r="H753" s="609"/>
      <c r="I753" s="637"/>
      <c r="J753" s="637"/>
      <c r="K753" s="637"/>
      <c r="L753" s="637"/>
      <c r="M753" s="637"/>
      <c r="N753" s="637"/>
      <c r="O753" s="637"/>
      <c r="P753" s="637"/>
      <c r="Q753" s="637"/>
      <c r="R753" s="637"/>
      <c r="S753" s="637"/>
      <c r="T753" s="637"/>
      <c r="U753" s="637"/>
      <c r="V753" s="637"/>
      <c r="W753" s="637"/>
      <c r="X753" s="637"/>
      <c r="Y753" s="637"/>
      <c r="Z753" s="637"/>
      <c r="AA753" s="637"/>
      <c r="AB753" s="637"/>
      <c r="AC753" s="637"/>
      <c r="AD753" s="640"/>
      <c r="AE753" s="606"/>
      <c r="AF753" s="606"/>
      <c r="AG753" s="606"/>
      <c r="AH753" s="606"/>
    </row>
    <row r="754" spans="1:34" s="612" customFormat="1" hidden="1" outlineLevel="3" x14ac:dyDescent="0.2">
      <c r="A754" s="606"/>
      <c r="B754" s="606"/>
      <c r="C754" s="607"/>
      <c r="D754" s="608"/>
      <c r="E754" s="608"/>
      <c r="F754" s="608"/>
      <c r="G754" s="608"/>
      <c r="H754" s="609"/>
      <c r="I754" s="637"/>
      <c r="J754" s="637"/>
      <c r="K754" s="637"/>
      <c r="L754" s="637"/>
      <c r="M754" s="637"/>
      <c r="N754" s="637"/>
      <c r="O754" s="637"/>
      <c r="P754" s="637"/>
      <c r="Q754" s="637"/>
      <c r="R754" s="637"/>
      <c r="S754" s="637"/>
      <c r="T754" s="637"/>
      <c r="U754" s="637"/>
      <c r="V754" s="637"/>
      <c r="W754" s="637"/>
      <c r="X754" s="637"/>
      <c r="Y754" s="637"/>
      <c r="Z754" s="637"/>
      <c r="AA754" s="637"/>
      <c r="AB754" s="637"/>
      <c r="AC754" s="637"/>
      <c r="AD754" s="640"/>
      <c r="AE754" s="606"/>
      <c r="AF754" s="606"/>
      <c r="AG754" s="606"/>
      <c r="AH754" s="606"/>
    </row>
    <row r="755" spans="1:34" s="612" customFormat="1" hidden="1" outlineLevel="3" x14ac:dyDescent="0.2">
      <c r="A755" s="606"/>
      <c r="B755" s="606"/>
      <c r="C755" s="607"/>
      <c r="D755" s="608"/>
      <c r="E755" s="608"/>
      <c r="F755" s="608"/>
      <c r="G755" s="608"/>
      <c r="H755" s="609"/>
      <c r="I755" s="637"/>
      <c r="J755" s="637"/>
      <c r="K755" s="637"/>
      <c r="L755" s="637"/>
      <c r="M755" s="637"/>
      <c r="N755" s="637"/>
      <c r="O755" s="637"/>
      <c r="P755" s="637"/>
      <c r="Q755" s="637"/>
      <c r="R755" s="637"/>
      <c r="S755" s="637"/>
      <c r="T755" s="637"/>
      <c r="U755" s="637"/>
      <c r="V755" s="637"/>
      <c r="W755" s="637"/>
      <c r="X755" s="637"/>
      <c r="Y755" s="637"/>
      <c r="Z755" s="637"/>
      <c r="AA755" s="637"/>
      <c r="AB755" s="637"/>
      <c r="AC755" s="637"/>
      <c r="AD755" s="640"/>
      <c r="AE755" s="606"/>
      <c r="AF755" s="606"/>
      <c r="AG755" s="606"/>
      <c r="AH755" s="606"/>
    </row>
    <row r="756" spans="1:34" s="612" customFormat="1" hidden="1" outlineLevel="3" x14ac:dyDescent="0.2">
      <c r="A756" s="606"/>
      <c r="B756" s="606"/>
      <c r="C756" s="607"/>
      <c r="D756" s="608"/>
      <c r="E756" s="608"/>
      <c r="F756" s="608"/>
      <c r="G756" s="608"/>
      <c r="H756" s="609"/>
      <c r="I756" s="637"/>
      <c r="J756" s="637"/>
      <c r="K756" s="637"/>
      <c r="L756" s="637"/>
      <c r="M756" s="637"/>
      <c r="N756" s="637"/>
      <c r="O756" s="637"/>
      <c r="P756" s="637"/>
      <c r="Q756" s="637"/>
      <c r="R756" s="637"/>
      <c r="S756" s="637"/>
      <c r="T756" s="637"/>
      <c r="U756" s="637"/>
      <c r="V756" s="637"/>
      <c r="W756" s="637"/>
      <c r="X756" s="637"/>
      <c r="Y756" s="637"/>
      <c r="Z756" s="637"/>
      <c r="AA756" s="637"/>
      <c r="AB756" s="637"/>
      <c r="AC756" s="637"/>
      <c r="AD756" s="640"/>
      <c r="AE756" s="606"/>
      <c r="AF756" s="606"/>
      <c r="AG756" s="606"/>
      <c r="AH756" s="606"/>
    </row>
    <row r="757" spans="1:34" s="612" customFormat="1" hidden="1" outlineLevel="3" x14ac:dyDescent="0.2">
      <c r="A757" s="606"/>
      <c r="B757" s="606"/>
      <c r="C757" s="607"/>
      <c r="D757" s="608"/>
      <c r="E757" s="608"/>
      <c r="F757" s="608"/>
      <c r="G757" s="608"/>
      <c r="H757" s="609"/>
      <c r="I757" s="637"/>
      <c r="J757" s="637"/>
      <c r="K757" s="637"/>
      <c r="L757" s="637"/>
      <c r="M757" s="637"/>
      <c r="N757" s="637"/>
      <c r="O757" s="637"/>
      <c r="P757" s="637"/>
      <c r="Q757" s="637"/>
      <c r="R757" s="637"/>
      <c r="S757" s="637"/>
      <c r="T757" s="637"/>
      <c r="U757" s="637"/>
      <c r="V757" s="637"/>
      <c r="W757" s="637"/>
      <c r="X757" s="637"/>
      <c r="Y757" s="637"/>
      <c r="Z757" s="637"/>
      <c r="AA757" s="637"/>
      <c r="AB757" s="637"/>
      <c r="AC757" s="637"/>
      <c r="AD757" s="640"/>
      <c r="AE757" s="606"/>
      <c r="AF757" s="606"/>
      <c r="AG757" s="606"/>
      <c r="AH757" s="606"/>
    </row>
    <row r="758" spans="1:34" s="612" customFormat="1" hidden="1" outlineLevel="3" x14ac:dyDescent="0.2">
      <c r="A758" s="606"/>
      <c r="B758" s="606"/>
      <c r="C758" s="607"/>
      <c r="D758" s="608"/>
      <c r="E758" s="608"/>
      <c r="F758" s="608"/>
      <c r="G758" s="608"/>
      <c r="H758" s="609"/>
      <c r="I758" s="637"/>
      <c r="J758" s="637"/>
      <c r="K758" s="637"/>
      <c r="L758" s="637"/>
      <c r="M758" s="637"/>
      <c r="N758" s="637"/>
      <c r="O758" s="637"/>
      <c r="P758" s="637"/>
      <c r="Q758" s="637"/>
      <c r="R758" s="637"/>
      <c r="S758" s="637"/>
      <c r="T758" s="637"/>
      <c r="U758" s="637"/>
      <c r="V758" s="637"/>
      <c r="W758" s="637"/>
      <c r="X758" s="637"/>
      <c r="Y758" s="637"/>
      <c r="Z758" s="637"/>
      <c r="AA758" s="637"/>
      <c r="AB758" s="637"/>
      <c r="AC758" s="637"/>
      <c r="AD758" s="640"/>
      <c r="AE758" s="606"/>
      <c r="AF758" s="606"/>
      <c r="AG758" s="606"/>
      <c r="AH758" s="606"/>
    </row>
    <row r="759" spans="1:34" s="612" customFormat="1" hidden="1" outlineLevel="3" x14ac:dyDescent="0.2">
      <c r="A759" s="606"/>
      <c r="B759" s="606"/>
      <c r="C759" s="607"/>
      <c r="D759" s="608"/>
      <c r="E759" s="608"/>
      <c r="F759" s="608"/>
      <c r="G759" s="608"/>
      <c r="H759" s="609"/>
      <c r="I759" s="637"/>
      <c r="J759" s="637"/>
      <c r="K759" s="637"/>
      <c r="L759" s="637"/>
      <c r="M759" s="637"/>
      <c r="N759" s="637"/>
      <c r="O759" s="637"/>
      <c r="P759" s="637"/>
      <c r="Q759" s="637"/>
      <c r="R759" s="637"/>
      <c r="S759" s="637"/>
      <c r="T759" s="637"/>
      <c r="U759" s="637"/>
      <c r="V759" s="637"/>
      <c r="W759" s="637"/>
      <c r="X759" s="637"/>
      <c r="Y759" s="637"/>
      <c r="Z759" s="637"/>
      <c r="AA759" s="637"/>
      <c r="AB759" s="637"/>
      <c r="AC759" s="637"/>
      <c r="AD759" s="640"/>
      <c r="AE759" s="606"/>
      <c r="AF759" s="606"/>
      <c r="AG759" s="606"/>
      <c r="AH759" s="606"/>
    </row>
    <row r="760" spans="1:34" s="612" customFormat="1" hidden="1" outlineLevel="3" x14ac:dyDescent="0.2">
      <c r="A760" s="606"/>
      <c r="B760" s="606"/>
      <c r="C760" s="607"/>
      <c r="D760" s="608"/>
      <c r="E760" s="608"/>
      <c r="F760" s="608"/>
      <c r="G760" s="608"/>
      <c r="H760" s="609"/>
      <c r="I760" s="637"/>
      <c r="J760" s="637"/>
      <c r="K760" s="637"/>
      <c r="L760" s="637"/>
      <c r="M760" s="637"/>
      <c r="N760" s="637"/>
      <c r="O760" s="637"/>
      <c r="P760" s="637"/>
      <c r="Q760" s="637"/>
      <c r="R760" s="637"/>
      <c r="S760" s="637"/>
      <c r="T760" s="637"/>
      <c r="U760" s="637"/>
      <c r="V760" s="637"/>
      <c r="W760" s="637"/>
      <c r="X760" s="637"/>
      <c r="Y760" s="637"/>
      <c r="Z760" s="637"/>
      <c r="AA760" s="637"/>
      <c r="AB760" s="637"/>
      <c r="AC760" s="637"/>
      <c r="AD760" s="640"/>
      <c r="AE760" s="606"/>
      <c r="AF760" s="606"/>
      <c r="AG760" s="606"/>
      <c r="AH760" s="606"/>
    </row>
    <row r="761" spans="1:34" s="612" customFormat="1" hidden="1" outlineLevel="3" x14ac:dyDescent="0.2">
      <c r="A761" s="606"/>
      <c r="B761" s="606"/>
      <c r="C761" s="607"/>
      <c r="D761" s="608"/>
      <c r="E761" s="608"/>
      <c r="F761" s="608"/>
      <c r="G761" s="608"/>
      <c r="H761" s="609"/>
      <c r="I761" s="637"/>
      <c r="J761" s="637"/>
      <c r="K761" s="637"/>
      <c r="L761" s="637"/>
      <c r="M761" s="637"/>
      <c r="N761" s="637"/>
      <c r="O761" s="637"/>
      <c r="P761" s="637"/>
      <c r="Q761" s="637"/>
      <c r="R761" s="637"/>
      <c r="S761" s="637"/>
      <c r="T761" s="637"/>
      <c r="U761" s="637"/>
      <c r="V761" s="637"/>
      <c r="W761" s="637"/>
      <c r="X761" s="637"/>
      <c r="Y761" s="637"/>
      <c r="Z761" s="637"/>
      <c r="AA761" s="637"/>
      <c r="AB761" s="637"/>
      <c r="AC761" s="637"/>
      <c r="AD761" s="640"/>
      <c r="AE761" s="606"/>
      <c r="AF761" s="606"/>
      <c r="AG761" s="606"/>
      <c r="AH761" s="606"/>
    </row>
    <row r="762" spans="1:34" s="612" customFormat="1" outlineLevel="2" collapsed="1" x14ac:dyDescent="0.2">
      <c r="A762" s="606"/>
      <c r="B762" s="606"/>
      <c r="C762" s="638"/>
      <c r="D762" s="608"/>
      <c r="E762" s="608"/>
      <c r="F762" s="608"/>
      <c r="G762" s="608"/>
      <c r="H762" s="609"/>
      <c r="I762" s="639"/>
      <c r="J762" s="639"/>
      <c r="K762" s="639"/>
      <c r="L762" s="639"/>
      <c r="M762" s="639"/>
      <c r="N762" s="639"/>
      <c r="O762" s="639"/>
      <c r="P762" s="639"/>
      <c r="Q762" s="639"/>
      <c r="R762" s="639"/>
      <c r="S762" s="639"/>
      <c r="T762" s="639"/>
      <c r="U762" s="639"/>
      <c r="V762" s="639"/>
      <c r="W762" s="639"/>
      <c r="X762" s="639"/>
      <c r="Y762" s="639"/>
      <c r="Z762" s="639"/>
      <c r="AA762" s="639"/>
      <c r="AB762" s="639"/>
      <c r="AC762" s="639"/>
      <c r="AD762" s="606"/>
      <c r="AE762" s="606"/>
      <c r="AF762" s="606"/>
      <c r="AG762" s="606"/>
    </row>
    <row r="763" spans="1:34" s="612" customFormat="1" outlineLevel="1" x14ac:dyDescent="0.2">
      <c r="A763" s="606"/>
      <c r="B763" s="606"/>
      <c r="C763" s="613"/>
      <c r="D763" s="609"/>
      <c r="E763" s="609"/>
      <c r="F763" s="609"/>
      <c r="G763" s="609"/>
      <c r="H763" s="609"/>
      <c r="I763" s="641"/>
      <c r="J763" s="641"/>
      <c r="K763" s="640"/>
      <c r="L763" s="640"/>
      <c r="M763" s="640"/>
      <c r="N763" s="642"/>
      <c r="O763" s="642"/>
      <c r="P763" s="642"/>
      <c r="Q763" s="642"/>
      <c r="R763" s="642"/>
      <c r="S763" s="640"/>
      <c r="T763" s="640"/>
      <c r="U763" s="640"/>
      <c r="V763" s="640"/>
      <c r="W763" s="640"/>
      <c r="X763" s="640"/>
      <c r="Y763" s="640"/>
      <c r="Z763" s="640"/>
      <c r="AA763" s="640"/>
      <c r="AB763" s="640"/>
      <c r="AC763" s="640"/>
      <c r="AD763" s="640"/>
      <c r="AE763" s="606"/>
      <c r="AF763" s="606"/>
      <c r="AG763" s="606"/>
      <c r="AH763" s="606"/>
    </row>
    <row r="764" spans="1:34" s="612" customFormat="1" outlineLevel="1" x14ac:dyDescent="0.2">
      <c r="A764" s="606"/>
      <c r="B764" s="606"/>
      <c r="C764" s="616"/>
      <c r="D764" s="617"/>
      <c r="E764" s="617"/>
      <c r="F764" s="617"/>
      <c r="G764" s="618"/>
      <c r="H764" s="618"/>
      <c r="I764" s="640"/>
      <c r="J764" s="640"/>
      <c r="K764" s="640"/>
      <c r="L764" s="640"/>
      <c r="M764" s="640"/>
      <c r="N764" s="640"/>
      <c r="O764" s="640"/>
      <c r="P764" s="640"/>
      <c r="Q764" s="640"/>
      <c r="R764" s="640"/>
      <c r="S764" s="640"/>
      <c r="T764" s="640"/>
      <c r="U764" s="640"/>
      <c r="V764" s="640"/>
      <c r="W764" s="640"/>
      <c r="X764" s="640"/>
      <c r="Y764" s="640"/>
      <c r="Z764" s="640"/>
      <c r="AA764" s="640"/>
      <c r="AB764" s="640"/>
      <c r="AC764" s="640"/>
      <c r="AD764" s="640"/>
      <c r="AE764" s="606"/>
      <c r="AF764" s="606"/>
      <c r="AG764" s="606"/>
      <c r="AH764" s="606"/>
    </row>
    <row r="765" spans="1:34" s="612" customFormat="1" hidden="1" outlineLevel="2" x14ac:dyDescent="0.2">
      <c r="A765" s="606"/>
      <c r="B765" s="606"/>
      <c r="C765" s="607"/>
      <c r="D765" s="608"/>
      <c r="E765" s="608"/>
      <c r="F765" s="608"/>
      <c r="G765" s="608"/>
      <c r="H765" s="609"/>
      <c r="I765" s="637"/>
      <c r="J765" s="637"/>
      <c r="K765" s="637"/>
      <c r="L765" s="637"/>
      <c r="M765" s="637"/>
      <c r="N765" s="637"/>
      <c r="O765" s="637"/>
      <c r="P765" s="637"/>
      <c r="Q765" s="637"/>
      <c r="R765" s="637"/>
      <c r="S765" s="637"/>
      <c r="T765" s="637"/>
      <c r="U765" s="637"/>
      <c r="V765" s="637"/>
      <c r="W765" s="637"/>
      <c r="X765" s="637"/>
      <c r="Y765" s="637"/>
      <c r="Z765" s="637"/>
      <c r="AA765" s="637"/>
      <c r="AB765" s="637"/>
      <c r="AC765" s="637"/>
      <c r="AD765" s="640"/>
      <c r="AE765" s="606"/>
      <c r="AF765" s="606"/>
      <c r="AG765" s="606"/>
      <c r="AH765" s="606"/>
    </row>
    <row r="766" spans="1:34" s="612" customFormat="1" hidden="1" outlineLevel="2" x14ac:dyDescent="0.2">
      <c r="A766" s="606"/>
      <c r="B766" s="606"/>
      <c r="C766" s="607"/>
      <c r="D766" s="608"/>
      <c r="E766" s="608"/>
      <c r="F766" s="608"/>
      <c r="G766" s="608"/>
      <c r="H766" s="609"/>
      <c r="I766" s="637"/>
      <c r="J766" s="637"/>
      <c r="K766" s="637"/>
      <c r="L766" s="637"/>
      <c r="M766" s="637"/>
      <c r="N766" s="637"/>
      <c r="O766" s="637"/>
      <c r="P766" s="637"/>
      <c r="Q766" s="637"/>
      <c r="R766" s="637"/>
      <c r="S766" s="637"/>
      <c r="T766" s="637"/>
      <c r="U766" s="637"/>
      <c r="V766" s="637"/>
      <c r="W766" s="637"/>
      <c r="X766" s="637"/>
      <c r="Y766" s="637"/>
      <c r="Z766" s="637"/>
      <c r="AA766" s="637"/>
      <c r="AB766" s="637"/>
      <c r="AC766" s="637"/>
      <c r="AD766" s="640"/>
      <c r="AE766" s="606"/>
      <c r="AF766" s="606"/>
      <c r="AG766" s="606"/>
      <c r="AH766" s="606"/>
    </row>
    <row r="767" spans="1:34" s="612" customFormat="1" hidden="1" outlineLevel="2" x14ac:dyDescent="0.2">
      <c r="A767" s="606"/>
      <c r="B767" s="606"/>
      <c r="C767" s="607"/>
      <c r="D767" s="608"/>
      <c r="E767" s="608"/>
      <c r="F767" s="608"/>
      <c r="G767" s="608"/>
      <c r="H767" s="609"/>
      <c r="I767" s="637"/>
      <c r="J767" s="637"/>
      <c r="K767" s="637"/>
      <c r="L767" s="637"/>
      <c r="M767" s="637"/>
      <c r="N767" s="637"/>
      <c r="O767" s="637"/>
      <c r="P767" s="637"/>
      <c r="Q767" s="637"/>
      <c r="R767" s="637"/>
      <c r="S767" s="637"/>
      <c r="T767" s="637"/>
      <c r="U767" s="637"/>
      <c r="V767" s="637"/>
      <c r="W767" s="637"/>
      <c r="X767" s="637"/>
      <c r="Y767" s="637"/>
      <c r="Z767" s="637"/>
      <c r="AA767" s="637"/>
      <c r="AB767" s="637"/>
      <c r="AC767" s="637"/>
      <c r="AD767" s="640"/>
      <c r="AE767" s="606"/>
      <c r="AF767" s="606"/>
      <c r="AG767" s="606"/>
      <c r="AH767" s="606"/>
    </row>
    <row r="768" spans="1:34" s="612" customFormat="1" hidden="1" outlineLevel="2" x14ac:dyDescent="0.2">
      <c r="A768" s="606"/>
      <c r="B768" s="606"/>
      <c r="C768" s="607"/>
      <c r="D768" s="608"/>
      <c r="E768" s="608"/>
      <c r="F768" s="608"/>
      <c r="G768" s="608"/>
      <c r="H768" s="609"/>
      <c r="I768" s="637"/>
      <c r="J768" s="637"/>
      <c r="K768" s="637"/>
      <c r="L768" s="637"/>
      <c r="M768" s="637"/>
      <c r="N768" s="637"/>
      <c r="O768" s="637"/>
      <c r="P768" s="637"/>
      <c r="Q768" s="637"/>
      <c r="R768" s="637"/>
      <c r="S768" s="637"/>
      <c r="T768" s="637"/>
      <c r="U768" s="637"/>
      <c r="V768" s="637"/>
      <c r="W768" s="637"/>
      <c r="X768" s="637"/>
      <c r="Y768" s="637"/>
      <c r="Z768" s="637"/>
      <c r="AA768" s="637"/>
      <c r="AB768" s="637"/>
      <c r="AC768" s="637"/>
      <c r="AD768" s="640"/>
      <c r="AE768" s="606"/>
      <c r="AF768" s="606"/>
      <c r="AG768" s="606"/>
      <c r="AH768" s="606"/>
    </row>
    <row r="769" spans="1:34" s="612" customFormat="1" hidden="1" outlineLevel="2" x14ac:dyDescent="0.2">
      <c r="A769" s="606"/>
      <c r="B769" s="606"/>
      <c r="C769" s="607"/>
      <c r="D769" s="608"/>
      <c r="E769" s="608"/>
      <c r="F769" s="608"/>
      <c r="G769" s="608"/>
      <c r="H769" s="609"/>
      <c r="I769" s="637"/>
      <c r="J769" s="637"/>
      <c r="K769" s="637"/>
      <c r="L769" s="637"/>
      <c r="M769" s="637"/>
      <c r="N769" s="637"/>
      <c r="O769" s="637"/>
      <c r="P769" s="637"/>
      <c r="Q769" s="637"/>
      <c r="R769" s="637"/>
      <c r="S769" s="637"/>
      <c r="T769" s="637"/>
      <c r="U769" s="637"/>
      <c r="V769" s="637"/>
      <c r="W769" s="637"/>
      <c r="X769" s="637"/>
      <c r="Y769" s="637"/>
      <c r="Z769" s="637"/>
      <c r="AA769" s="637"/>
      <c r="AB769" s="637"/>
      <c r="AC769" s="637"/>
      <c r="AD769" s="640"/>
      <c r="AE769" s="606"/>
      <c r="AF769" s="606"/>
      <c r="AG769" s="606"/>
      <c r="AH769" s="606"/>
    </row>
    <row r="770" spans="1:34" s="612" customFormat="1" hidden="1" outlineLevel="2" x14ac:dyDescent="0.2">
      <c r="A770" s="606"/>
      <c r="B770" s="606"/>
      <c r="C770" s="607"/>
      <c r="D770" s="608"/>
      <c r="E770" s="608"/>
      <c r="F770" s="608"/>
      <c r="G770" s="608"/>
      <c r="H770" s="609"/>
      <c r="I770" s="637"/>
      <c r="J770" s="637"/>
      <c r="K770" s="637"/>
      <c r="L770" s="637"/>
      <c r="M770" s="637"/>
      <c r="N770" s="637"/>
      <c r="O770" s="637"/>
      <c r="P770" s="637"/>
      <c r="Q770" s="637"/>
      <c r="R770" s="637"/>
      <c r="S770" s="637"/>
      <c r="T770" s="637"/>
      <c r="U770" s="637"/>
      <c r="V770" s="637"/>
      <c r="W770" s="637"/>
      <c r="X770" s="637"/>
      <c r="Y770" s="637"/>
      <c r="Z770" s="637"/>
      <c r="AA770" s="637"/>
      <c r="AB770" s="637"/>
      <c r="AC770" s="637"/>
      <c r="AD770" s="640"/>
      <c r="AE770" s="606"/>
      <c r="AF770" s="606"/>
      <c r="AG770" s="606"/>
      <c r="AH770" s="606"/>
    </row>
    <row r="771" spans="1:34" s="612" customFormat="1" hidden="1" outlineLevel="2" x14ac:dyDescent="0.2">
      <c r="A771" s="606"/>
      <c r="B771" s="606"/>
      <c r="C771" s="607"/>
      <c r="D771" s="608"/>
      <c r="E771" s="608"/>
      <c r="F771" s="608"/>
      <c r="G771" s="608"/>
      <c r="H771" s="609"/>
      <c r="I771" s="637"/>
      <c r="J771" s="637"/>
      <c r="K771" s="637"/>
      <c r="L771" s="637"/>
      <c r="M771" s="637"/>
      <c r="N771" s="637"/>
      <c r="O771" s="637"/>
      <c r="P771" s="637"/>
      <c r="Q771" s="637"/>
      <c r="R771" s="637"/>
      <c r="S771" s="637"/>
      <c r="T771" s="637"/>
      <c r="U771" s="637"/>
      <c r="V771" s="637"/>
      <c r="W771" s="637"/>
      <c r="X771" s="637"/>
      <c r="Y771" s="637"/>
      <c r="Z771" s="637"/>
      <c r="AA771" s="637"/>
      <c r="AB771" s="637"/>
      <c r="AC771" s="637"/>
      <c r="AD771" s="640"/>
      <c r="AE771" s="606"/>
      <c r="AF771" s="606"/>
      <c r="AG771" s="606"/>
      <c r="AH771" s="606"/>
    </row>
    <row r="772" spans="1:34" s="612" customFormat="1" hidden="1" outlineLevel="2" x14ac:dyDescent="0.2">
      <c r="A772" s="606"/>
      <c r="B772" s="606"/>
      <c r="C772" s="607"/>
      <c r="D772" s="608"/>
      <c r="E772" s="608"/>
      <c r="F772" s="608"/>
      <c r="G772" s="608"/>
      <c r="H772" s="609"/>
      <c r="I772" s="637"/>
      <c r="J772" s="637"/>
      <c r="K772" s="637"/>
      <c r="L772" s="637"/>
      <c r="M772" s="637"/>
      <c r="N772" s="637"/>
      <c r="O772" s="637"/>
      <c r="P772" s="637"/>
      <c r="Q772" s="637"/>
      <c r="R772" s="637"/>
      <c r="S772" s="637"/>
      <c r="T772" s="637"/>
      <c r="U772" s="637"/>
      <c r="V772" s="637"/>
      <c r="W772" s="637"/>
      <c r="X772" s="637"/>
      <c r="Y772" s="637"/>
      <c r="Z772" s="637"/>
      <c r="AA772" s="637"/>
      <c r="AB772" s="637"/>
      <c r="AC772" s="637"/>
      <c r="AD772" s="640"/>
      <c r="AE772" s="606"/>
      <c r="AF772" s="606"/>
      <c r="AG772" s="606"/>
      <c r="AH772" s="606"/>
    </row>
    <row r="773" spans="1:34" s="612" customFormat="1" hidden="1" outlineLevel="2" x14ac:dyDescent="0.2">
      <c r="A773" s="606"/>
      <c r="B773" s="606"/>
      <c r="C773" s="607"/>
      <c r="D773" s="608"/>
      <c r="E773" s="608"/>
      <c r="F773" s="608"/>
      <c r="G773" s="608"/>
      <c r="H773" s="609"/>
      <c r="I773" s="637"/>
      <c r="J773" s="637"/>
      <c r="K773" s="637"/>
      <c r="L773" s="637"/>
      <c r="M773" s="637"/>
      <c r="N773" s="637"/>
      <c r="O773" s="637"/>
      <c r="P773" s="637"/>
      <c r="Q773" s="637"/>
      <c r="R773" s="637"/>
      <c r="S773" s="637"/>
      <c r="T773" s="637"/>
      <c r="U773" s="637"/>
      <c r="V773" s="637"/>
      <c r="W773" s="637"/>
      <c r="X773" s="637"/>
      <c r="Y773" s="637"/>
      <c r="Z773" s="637"/>
      <c r="AA773" s="637"/>
      <c r="AB773" s="637"/>
      <c r="AC773" s="637"/>
      <c r="AD773" s="640"/>
      <c r="AE773" s="606"/>
      <c r="AF773" s="606"/>
      <c r="AG773" s="606"/>
      <c r="AH773" s="606"/>
    </row>
    <row r="774" spans="1:34" s="612" customFormat="1" hidden="1" outlineLevel="2" x14ac:dyDescent="0.2">
      <c r="A774" s="606"/>
      <c r="B774" s="606"/>
      <c r="C774" s="607"/>
      <c r="D774" s="608"/>
      <c r="E774" s="608"/>
      <c r="F774" s="608"/>
      <c r="G774" s="608"/>
      <c r="H774" s="609"/>
      <c r="I774" s="637"/>
      <c r="J774" s="637"/>
      <c r="K774" s="637"/>
      <c r="L774" s="637"/>
      <c r="M774" s="637"/>
      <c r="N774" s="637"/>
      <c r="O774" s="637"/>
      <c r="P774" s="637"/>
      <c r="Q774" s="637"/>
      <c r="R774" s="637"/>
      <c r="S774" s="637"/>
      <c r="T774" s="637"/>
      <c r="U774" s="637"/>
      <c r="V774" s="637"/>
      <c r="W774" s="637"/>
      <c r="X774" s="637"/>
      <c r="Y774" s="637"/>
      <c r="Z774" s="637"/>
      <c r="AA774" s="637"/>
      <c r="AB774" s="637"/>
      <c r="AC774" s="637"/>
      <c r="AD774" s="640"/>
      <c r="AE774" s="606"/>
      <c r="AF774" s="606"/>
      <c r="AG774" s="606"/>
      <c r="AH774" s="606"/>
    </row>
    <row r="775" spans="1:34" s="612" customFormat="1" hidden="1" outlineLevel="2" x14ac:dyDescent="0.2">
      <c r="A775" s="606"/>
      <c r="B775" s="606"/>
      <c r="C775" s="607"/>
      <c r="D775" s="608"/>
      <c r="E775" s="608"/>
      <c r="F775" s="608"/>
      <c r="G775" s="608"/>
      <c r="H775" s="609"/>
      <c r="I775" s="637"/>
      <c r="J775" s="637"/>
      <c r="K775" s="637"/>
      <c r="L775" s="637"/>
      <c r="M775" s="637"/>
      <c r="N775" s="637"/>
      <c r="O775" s="637"/>
      <c r="P775" s="637"/>
      <c r="Q775" s="637"/>
      <c r="R775" s="637"/>
      <c r="S775" s="637"/>
      <c r="T775" s="637"/>
      <c r="U775" s="637"/>
      <c r="V775" s="637"/>
      <c r="W775" s="637"/>
      <c r="X775" s="637"/>
      <c r="Y775" s="637"/>
      <c r="Z775" s="637"/>
      <c r="AA775" s="637"/>
      <c r="AB775" s="637"/>
      <c r="AC775" s="637"/>
      <c r="AD775" s="640"/>
      <c r="AE775" s="606"/>
      <c r="AF775" s="606"/>
      <c r="AG775" s="606"/>
      <c r="AH775" s="606"/>
    </row>
    <row r="776" spans="1:34" s="612" customFormat="1" hidden="1" outlineLevel="3" x14ac:dyDescent="0.2">
      <c r="A776" s="606"/>
      <c r="B776" s="606"/>
      <c r="C776" s="607"/>
      <c r="D776" s="608"/>
      <c r="E776" s="608"/>
      <c r="F776" s="608"/>
      <c r="G776" s="608"/>
      <c r="H776" s="609"/>
      <c r="I776" s="637"/>
      <c r="J776" s="637"/>
      <c r="K776" s="637"/>
      <c r="L776" s="637"/>
      <c r="M776" s="637"/>
      <c r="N776" s="637"/>
      <c r="O776" s="637"/>
      <c r="P776" s="637"/>
      <c r="Q776" s="637"/>
      <c r="R776" s="637"/>
      <c r="S776" s="637"/>
      <c r="T776" s="637"/>
      <c r="U776" s="637"/>
      <c r="V776" s="637"/>
      <c r="W776" s="637"/>
      <c r="X776" s="637"/>
      <c r="Y776" s="637"/>
      <c r="Z776" s="637"/>
      <c r="AA776" s="637"/>
      <c r="AB776" s="637"/>
      <c r="AC776" s="637"/>
      <c r="AD776" s="640"/>
      <c r="AE776" s="606"/>
      <c r="AF776" s="606"/>
      <c r="AG776" s="606"/>
      <c r="AH776" s="606"/>
    </row>
    <row r="777" spans="1:34" s="612" customFormat="1" hidden="1" outlineLevel="3" x14ac:dyDescent="0.2">
      <c r="A777" s="606"/>
      <c r="B777" s="606"/>
      <c r="C777" s="607"/>
      <c r="D777" s="608"/>
      <c r="E777" s="608"/>
      <c r="F777" s="608"/>
      <c r="G777" s="608"/>
      <c r="H777" s="609"/>
      <c r="I777" s="637"/>
      <c r="J777" s="637"/>
      <c r="K777" s="637"/>
      <c r="L777" s="637"/>
      <c r="M777" s="637"/>
      <c r="N777" s="637"/>
      <c r="O777" s="637"/>
      <c r="P777" s="637"/>
      <c r="Q777" s="637"/>
      <c r="R777" s="637"/>
      <c r="S777" s="637"/>
      <c r="T777" s="637"/>
      <c r="U777" s="637"/>
      <c r="V777" s="637"/>
      <c r="W777" s="637"/>
      <c r="X777" s="637"/>
      <c r="Y777" s="637"/>
      <c r="Z777" s="637"/>
      <c r="AA777" s="637"/>
      <c r="AB777" s="637"/>
      <c r="AC777" s="637"/>
      <c r="AD777" s="640"/>
      <c r="AE777" s="606"/>
      <c r="AF777" s="606"/>
      <c r="AG777" s="606"/>
      <c r="AH777" s="606"/>
    </row>
    <row r="778" spans="1:34" s="612" customFormat="1" hidden="1" outlineLevel="3" x14ac:dyDescent="0.2">
      <c r="A778" s="606"/>
      <c r="B778" s="606"/>
      <c r="C778" s="607"/>
      <c r="D778" s="608"/>
      <c r="E778" s="608"/>
      <c r="F778" s="608"/>
      <c r="G778" s="608"/>
      <c r="H778" s="609"/>
      <c r="I778" s="637"/>
      <c r="J778" s="637"/>
      <c r="K778" s="637"/>
      <c r="L778" s="637"/>
      <c r="M778" s="637"/>
      <c r="N778" s="637"/>
      <c r="O778" s="637"/>
      <c r="P778" s="637"/>
      <c r="Q778" s="637"/>
      <c r="R778" s="637"/>
      <c r="S778" s="637"/>
      <c r="T778" s="637"/>
      <c r="U778" s="637"/>
      <c r="V778" s="637"/>
      <c r="W778" s="637"/>
      <c r="X778" s="637"/>
      <c r="Y778" s="637"/>
      <c r="Z778" s="637"/>
      <c r="AA778" s="637"/>
      <c r="AB778" s="637"/>
      <c r="AC778" s="637"/>
      <c r="AD778" s="640"/>
      <c r="AE778" s="606"/>
      <c r="AF778" s="606"/>
      <c r="AG778" s="606"/>
      <c r="AH778" s="606"/>
    </row>
    <row r="779" spans="1:34" s="612" customFormat="1" hidden="1" outlineLevel="3" x14ac:dyDescent="0.2">
      <c r="A779" s="606"/>
      <c r="B779" s="606"/>
      <c r="C779" s="607"/>
      <c r="D779" s="608"/>
      <c r="E779" s="608"/>
      <c r="F779" s="608"/>
      <c r="G779" s="608"/>
      <c r="H779" s="609"/>
      <c r="I779" s="637"/>
      <c r="J779" s="637"/>
      <c r="K779" s="637"/>
      <c r="L779" s="637"/>
      <c r="M779" s="637"/>
      <c r="N779" s="637"/>
      <c r="O779" s="637"/>
      <c r="P779" s="637"/>
      <c r="Q779" s="637"/>
      <c r="R779" s="637"/>
      <c r="S779" s="637"/>
      <c r="T779" s="637"/>
      <c r="U779" s="637"/>
      <c r="V779" s="637"/>
      <c r="W779" s="637"/>
      <c r="X779" s="637"/>
      <c r="Y779" s="637"/>
      <c r="Z779" s="637"/>
      <c r="AA779" s="637"/>
      <c r="AB779" s="637"/>
      <c r="AC779" s="637"/>
      <c r="AD779" s="640"/>
      <c r="AE779" s="606"/>
      <c r="AF779" s="606"/>
      <c r="AG779" s="606"/>
      <c r="AH779" s="606"/>
    </row>
    <row r="780" spans="1:34" s="612" customFormat="1" hidden="1" outlineLevel="3" x14ac:dyDescent="0.2">
      <c r="A780" s="606"/>
      <c r="B780" s="606"/>
      <c r="C780" s="607"/>
      <c r="D780" s="608"/>
      <c r="E780" s="608"/>
      <c r="F780" s="608"/>
      <c r="G780" s="608"/>
      <c r="H780" s="609"/>
      <c r="I780" s="637"/>
      <c r="J780" s="637"/>
      <c r="K780" s="637"/>
      <c r="L780" s="637"/>
      <c r="M780" s="637"/>
      <c r="N780" s="637"/>
      <c r="O780" s="637"/>
      <c r="P780" s="637"/>
      <c r="Q780" s="637"/>
      <c r="R780" s="637"/>
      <c r="S780" s="637"/>
      <c r="T780" s="637"/>
      <c r="U780" s="637"/>
      <c r="V780" s="637"/>
      <c r="W780" s="637"/>
      <c r="X780" s="637"/>
      <c r="Y780" s="637"/>
      <c r="Z780" s="637"/>
      <c r="AA780" s="637"/>
      <c r="AB780" s="637"/>
      <c r="AC780" s="637"/>
      <c r="AD780" s="640"/>
      <c r="AE780" s="606"/>
      <c r="AF780" s="606"/>
      <c r="AG780" s="606"/>
      <c r="AH780" s="606"/>
    </row>
    <row r="781" spans="1:34" s="612" customFormat="1" hidden="1" outlineLevel="3" x14ac:dyDescent="0.2">
      <c r="A781" s="606"/>
      <c r="B781" s="606"/>
      <c r="C781" s="607"/>
      <c r="D781" s="608"/>
      <c r="E781" s="608"/>
      <c r="F781" s="608"/>
      <c r="G781" s="608"/>
      <c r="H781" s="609"/>
      <c r="I781" s="637"/>
      <c r="J781" s="637"/>
      <c r="K781" s="637"/>
      <c r="L781" s="637"/>
      <c r="M781" s="637"/>
      <c r="N781" s="637"/>
      <c r="O781" s="637"/>
      <c r="P781" s="637"/>
      <c r="Q781" s="637"/>
      <c r="R781" s="637"/>
      <c r="S781" s="637"/>
      <c r="T781" s="637"/>
      <c r="U781" s="637"/>
      <c r="V781" s="637"/>
      <c r="W781" s="637"/>
      <c r="X781" s="637"/>
      <c r="Y781" s="637"/>
      <c r="Z781" s="637"/>
      <c r="AA781" s="637"/>
      <c r="AB781" s="637"/>
      <c r="AC781" s="637"/>
      <c r="AD781" s="640"/>
      <c r="AE781" s="606"/>
      <c r="AF781" s="606"/>
      <c r="AG781" s="606"/>
      <c r="AH781" s="606"/>
    </row>
    <row r="782" spans="1:34" s="612" customFormat="1" hidden="1" outlineLevel="3" x14ac:dyDescent="0.2">
      <c r="A782" s="606"/>
      <c r="B782" s="606"/>
      <c r="C782" s="607"/>
      <c r="D782" s="608"/>
      <c r="E782" s="608"/>
      <c r="F782" s="608"/>
      <c r="G782" s="608"/>
      <c r="H782" s="609"/>
      <c r="I782" s="637"/>
      <c r="J782" s="637"/>
      <c r="K782" s="637"/>
      <c r="L782" s="637"/>
      <c r="M782" s="637"/>
      <c r="N782" s="637"/>
      <c r="O782" s="637"/>
      <c r="P782" s="637"/>
      <c r="Q782" s="637"/>
      <c r="R782" s="637"/>
      <c r="S782" s="637"/>
      <c r="T782" s="637"/>
      <c r="U782" s="637"/>
      <c r="V782" s="637"/>
      <c r="W782" s="637"/>
      <c r="X782" s="637"/>
      <c r="Y782" s="637"/>
      <c r="Z782" s="637"/>
      <c r="AA782" s="637"/>
      <c r="AB782" s="637"/>
      <c r="AC782" s="637"/>
      <c r="AD782" s="640"/>
      <c r="AE782" s="606"/>
      <c r="AF782" s="606"/>
      <c r="AG782" s="606"/>
      <c r="AH782" s="606"/>
    </row>
    <row r="783" spans="1:34" s="612" customFormat="1" hidden="1" outlineLevel="3" x14ac:dyDescent="0.2">
      <c r="A783" s="606"/>
      <c r="B783" s="606"/>
      <c r="C783" s="607"/>
      <c r="D783" s="608"/>
      <c r="E783" s="608"/>
      <c r="F783" s="608"/>
      <c r="G783" s="608"/>
      <c r="H783" s="609"/>
      <c r="I783" s="637"/>
      <c r="J783" s="637"/>
      <c r="K783" s="637"/>
      <c r="L783" s="637"/>
      <c r="M783" s="637"/>
      <c r="N783" s="637"/>
      <c r="O783" s="637"/>
      <c r="P783" s="637"/>
      <c r="Q783" s="637"/>
      <c r="R783" s="637"/>
      <c r="S783" s="637"/>
      <c r="T783" s="637"/>
      <c r="U783" s="637"/>
      <c r="V783" s="637"/>
      <c r="W783" s="637"/>
      <c r="X783" s="637"/>
      <c r="Y783" s="637"/>
      <c r="Z783" s="637"/>
      <c r="AA783" s="637"/>
      <c r="AB783" s="637"/>
      <c r="AC783" s="637"/>
      <c r="AD783" s="640"/>
      <c r="AE783" s="606"/>
      <c r="AF783" s="606"/>
      <c r="AG783" s="606"/>
      <c r="AH783" s="606"/>
    </row>
    <row r="784" spans="1:34" s="612" customFormat="1" hidden="1" outlineLevel="3" x14ac:dyDescent="0.2">
      <c r="A784" s="606"/>
      <c r="B784" s="606"/>
      <c r="C784" s="607"/>
      <c r="D784" s="608"/>
      <c r="E784" s="608"/>
      <c r="F784" s="608"/>
      <c r="G784" s="608"/>
      <c r="H784" s="609"/>
      <c r="I784" s="637"/>
      <c r="J784" s="637"/>
      <c r="K784" s="637"/>
      <c r="L784" s="637"/>
      <c r="M784" s="637"/>
      <c r="N784" s="637"/>
      <c r="O784" s="637"/>
      <c r="P784" s="637"/>
      <c r="Q784" s="637"/>
      <c r="R784" s="637"/>
      <c r="S784" s="637"/>
      <c r="T784" s="637"/>
      <c r="U784" s="637"/>
      <c r="V784" s="637"/>
      <c r="W784" s="637"/>
      <c r="X784" s="637"/>
      <c r="Y784" s="637"/>
      <c r="Z784" s="637"/>
      <c r="AA784" s="637"/>
      <c r="AB784" s="637"/>
      <c r="AC784" s="637"/>
      <c r="AD784" s="640"/>
      <c r="AE784" s="606"/>
      <c r="AF784" s="606"/>
      <c r="AG784" s="606"/>
      <c r="AH784" s="606"/>
    </row>
    <row r="785" spans="1:34" s="612" customFormat="1" hidden="1" outlineLevel="3" x14ac:dyDescent="0.2">
      <c r="A785" s="606"/>
      <c r="B785" s="606"/>
      <c r="C785" s="607"/>
      <c r="D785" s="608"/>
      <c r="E785" s="608"/>
      <c r="F785" s="608"/>
      <c r="G785" s="608"/>
      <c r="H785" s="609"/>
      <c r="I785" s="637"/>
      <c r="J785" s="637"/>
      <c r="K785" s="637"/>
      <c r="L785" s="637"/>
      <c r="M785" s="637"/>
      <c r="N785" s="637"/>
      <c r="O785" s="637"/>
      <c r="P785" s="637"/>
      <c r="Q785" s="637"/>
      <c r="R785" s="637"/>
      <c r="S785" s="637"/>
      <c r="T785" s="637"/>
      <c r="U785" s="637"/>
      <c r="V785" s="637"/>
      <c r="W785" s="637"/>
      <c r="X785" s="637"/>
      <c r="Y785" s="637"/>
      <c r="Z785" s="637"/>
      <c r="AA785" s="637"/>
      <c r="AB785" s="637"/>
      <c r="AC785" s="637"/>
      <c r="AD785" s="640"/>
      <c r="AE785" s="606"/>
      <c r="AF785" s="606"/>
      <c r="AG785" s="606"/>
      <c r="AH785" s="606"/>
    </row>
    <row r="786" spans="1:34" s="612" customFormat="1" hidden="1" outlineLevel="3" x14ac:dyDescent="0.2">
      <c r="A786" s="606"/>
      <c r="B786" s="606"/>
      <c r="C786" s="607"/>
      <c r="D786" s="608"/>
      <c r="E786" s="608"/>
      <c r="F786" s="608"/>
      <c r="G786" s="608"/>
      <c r="H786" s="609"/>
      <c r="I786" s="637"/>
      <c r="J786" s="637"/>
      <c r="K786" s="637"/>
      <c r="L786" s="637"/>
      <c r="M786" s="637"/>
      <c r="N786" s="637"/>
      <c r="O786" s="637"/>
      <c r="P786" s="637"/>
      <c r="Q786" s="637"/>
      <c r="R786" s="637"/>
      <c r="S786" s="637"/>
      <c r="T786" s="637"/>
      <c r="U786" s="637"/>
      <c r="V786" s="637"/>
      <c r="W786" s="637"/>
      <c r="X786" s="637"/>
      <c r="Y786" s="637"/>
      <c r="Z786" s="637"/>
      <c r="AA786" s="637"/>
      <c r="AB786" s="637"/>
      <c r="AC786" s="637"/>
      <c r="AD786" s="640"/>
      <c r="AE786" s="606"/>
      <c r="AF786" s="606"/>
      <c r="AG786" s="606"/>
      <c r="AH786" s="606"/>
    </row>
    <row r="787" spans="1:34" s="612" customFormat="1" hidden="1" outlineLevel="3" x14ac:dyDescent="0.2">
      <c r="A787" s="606"/>
      <c r="B787" s="606"/>
      <c r="C787" s="607"/>
      <c r="D787" s="608"/>
      <c r="E787" s="608"/>
      <c r="F787" s="608"/>
      <c r="G787" s="608"/>
      <c r="H787" s="609"/>
      <c r="I787" s="637"/>
      <c r="J787" s="637"/>
      <c r="K787" s="637"/>
      <c r="L787" s="637"/>
      <c r="M787" s="637"/>
      <c r="N787" s="637"/>
      <c r="O787" s="637"/>
      <c r="P787" s="637"/>
      <c r="Q787" s="637"/>
      <c r="R787" s="637"/>
      <c r="S787" s="637"/>
      <c r="T787" s="637"/>
      <c r="U787" s="637"/>
      <c r="V787" s="637"/>
      <c r="W787" s="637"/>
      <c r="X787" s="637"/>
      <c r="Y787" s="637"/>
      <c r="Z787" s="637"/>
      <c r="AA787" s="637"/>
      <c r="AB787" s="637"/>
      <c r="AC787" s="637"/>
      <c r="AD787" s="640"/>
      <c r="AE787" s="606"/>
      <c r="AF787" s="606"/>
      <c r="AG787" s="606"/>
      <c r="AH787" s="606"/>
    </row>
    <row r="788" spans="1:34" s="612" customFormat="1" hidden="1" outlineLevel="3" x14ac:dyDescent="0.2">
      <c r="A788" s="606"/>
      <c r="B788" s="606"/>
      <c r="C788" s="607"/>
      <c r="D788" s="608"/>
      <c r="E788" s="608"/>
      <c r="F788" s="608"/>
      <c r="G788" s="608"/>
      <c r="H788" s="609"/>
      <c r="I788" s="637"/>
      <c r="J788" s="637"/>
      <c r="K788" s="637"/>
      <c r="L788" s="637"/>
      <c r="M788" s="637"/>
      <c r="N788" s="637"/>
      <c r="O788" s="637"/>
      <c r="P788" s="637"/>
      <c r="Q788" s="637"/>
      <c r="R788" s="637"/>
      <c r="S788" s="637"/>
      <c r="T788" s="637"/>
      <c r="U788" s="637"/>
      <c r="V788" s="637"/>
      <c r="W788" s="637"/>
      <c r="X788" s="637"/>
      <c r="Y788" s="637"/>
      <c r="Z788" s="637"/>
      <c r="AA788" s="637"/>
      <c r="AB788" s="637"/>
      <c r="AC788" s="637"/>
      <c r="AD788" s="640"/>
      <c r="AE788" s="606"/>
      <c r="AF788" s="606"/>
      <c r="AG788" s="606"/>
      <c r="AH788" s="606"/>
    </row>
    <row r="789" spans="1:34" s="612" customFormat="1" hidden="1" outlineLevel="3" x14ac:dyDescent="0.2">
      <c r="A789" s="606"/>
      <c r="B789" s="606"/>
      <c r="C789" s="607"/>
      <c r="D789" s="608"/>
      <c r="E789" s="608"/>
      <c r="F789" s="608"/>
      <c r="G789" s="608"/>
      <c r="H789" s="609"/>
      <c r="I789" s="637"/>
      <c r="J789" s="637"/>
      <c r="K789" s="637"/>
      <c r="L789" s="637"/>
      <c r="M789" s="637"/>
      <c r="N789" s="637"/>
      <c r="O789" s="637"/>
      <c r="P789" s="637"/>
      <c r="Q789" s="637"/>
      <c r="R789" s="637"/>
      <c r="S789" s="637"/>
      <c r="T789" s="637"/>
      <c r="U789" s="637"/>
      <c r="V789" s="637"/>
      <c r="W789" s="637"/>
      <c r="X789" s="637"/>
      <c r="Y789" s="637"/>
      <c r="Z789" s="637"/>
      <c r="AA789" s="637"/>
      <c r="AB789" s="637"/>
      <c r="AC789" s="637"/>
      <c r="AD789" s="640"/>
      <c r="AE789" s="606"/>
      <c r="AF789" s="606"/>
      <c r="AG789" s="606"/>
      <c r="AH789" s="606"/>
    </row>
    <row r="790" spans="1:34" s="612" customFormat="1" hidden="1" outlineLevel="3" x14ac:dyDescent="0.2">
      <c r="A790" s="606"/>
      <c r="B790" s="606"/>
      <c r="C790" s="607"/>
      <c r="D790" s="608"/>
      <c r="E790" s="608"/>
      <c r="F790" s="608"/>
      <c r="G790" s="608"/>
      <c r="H790" s="609"/>
      <c r="I790" s="637"/>
      <c r="J790" s="637"/>
      <c r="K790" s="637"/>
      <c r="L790" s="637"/>
      <c r="M790" s="637"/>
      <c r="N790" s="637"/>
      <c r="O790" s="637"/>
      <c r="P790" s="637"/>
      <c r="Q790" s="637"/>
      <c r="R790" s="637"/>
      <c r="S790" s="637"/>
      <c r="T790" s="637"/>
      <c r="U790" s="637"/>
      <c r="V790" s="637"/>
      <c r="W790" s="637"/>
      <c r="X790" s="637"/>
      <c r="Y790" s="637"/>
      <c r="Z790" s="637"/>
      <c r="AA790" s="637"/>
      <c r="AB790" s="637"/>
      <c r="AC790" s="637"/>
      <c r="AD790" s="640"/>
      <c r="AE790" s="606"/>
      <c r="AF790" s="606"/>
      <c r="AG790" s="606"/>
      <c r="AH790" s="606"/>
    </row>
    <row r="791" spans="1:34" s="612" customFormat="1" hidden="1" outlineLevel="3" x14ac:dyDescent="0.2">
      <c r="A791" s="606"/>
      <c r="B791" s="606"/>
      <c r="C791" s="607"/>
      <c r="D791" s="608"/>
      <c r="E791" s="608"/>
      <c r="F791" s="608"/>
      <c r="G791" s="608"/>
      <c r="H791" s="609"/>
      <c r="I791" s="637"/>
      <c r="J791" s="637"/>
      <c r="K791" s="637"/>
      <c r="L791" s="637"/>
      <c r="M791" s="637"/>
      <c r="N791" s="637"/>
      <c r="O791" s="637"/>
      <c r="P791" s="637"/>
      <c r="Q791" s="637"/>
      <c r="R791" s="637"/>
      <c r="S791" s="637"/>
      <c r="T791" s="637"/>
      <c r="U791" s="637"/>
      <c r="V791" s="637"/>
      <c r="W791" s="637"/>
      <c r="X791" s="637"/>
      <c r="Y791" s="637"/>
      <c r="Z791" s="637"/>
      <c r="AA791" s="637"/>
      <c r="AB791" s="637"/>
      <c r="AC791" s="637"/>
      <c r="AD791" s="640"/>
      <c r="AE791" s="606"/>
      <c r="AF791" s="606"/>
      <c r="AG791" s="606"/>
      <c r="AH791" s="606"/>
    </row>
    <row r="792" spans="1:34" s="612" customFormat="1" hidden="1" outlineLevel="3" x14ac:dyDescent="0.2">
      <c r="A792" s="606"/>
      <c r="B792" s="606"/>
      <c r="C792" s="607"/>
      <c r="D792" s="608"/>
      <c r="E792" s="608"/>
      <c r="F792" s="608"/>
      <c r="G792" s="608"/>
      <c r="H792" s="609"/>
      <c r="I792" s="637"/>
      <c r="J792" s="637"/>
      <c r="K792" s="637"/>
      <c r="L792" s="637"/>
      <c r="M792" s="637"/>
      <c r="N792" s="637"/>
      <c r="O792" s="637"/>
      <c r="P792" s="637"/>
      <c r="Q792" s="637"/>
      <c r="R792" s="637"/>
      <c r="S792" s="637"/>
      <c r="T792" s="637"/>
      <c r="U792" s="637"/>
      <c r="V792" s="637"/>
      <c r="W792" s="637"/>
      <c r="X792" s="637"/>
      <c r="Y792" s="637"/>
      <c r="Z792" s="637"/>
      <c r="AA792" s="637"/>
      <c r="AB792" s="637"/>
      <c r="AC792" s="637"/>
      <c r="AD792" s="640"/>
      <c r="AE792" s="606"/>
      <c r="AF792" s="606"/>
      <c r="AG792" s="606"/>
      <c r="AH792" s="606"/>
    </row>
    <row r="793" spans="1:34" s="612" customFormat="1" hidden="1" outlineLevel="3" x14ac:dyDescent="0.2">
      <c r="A793" s="606"/>
      <c r="B793" s="606"/>
      <c r="C793" s="607"/>
      <c r="D793" s="608"/>
      <c r="E793" s="608"/>
      <c r="F793" s="608"/>
      <c r="G793" s="608"/>
      <c r="H793" s="609"/>
      <c r="I793" s="637"/>
      <c r="J793" s="637"/>
      <c r="K793" s="637"/>
      <c r="L793" s="637"/>
      <c r="M793" s="637"/>
      <c r="N793" s="637"/>
      <c r="O793" s="637"/>
      <c r="P793" s="637"/>
      <c r="Q793" s="637"/>
      <c r="R793" s="637"/>
      <c r="S793" s="637"/>
      <c r="T793" s="637"/>
      <c r="U793" s="637"/>
      <c r="V793" s="637"/>
      <c r="W793" s="637"/>
      <c r="X793" s="637"/>
      <c r="Y793" s="637"/>
      <c r="Z793" s="637"/>
      <c r="AA793" s="637"/>
      <c r="AB793" s="637"/>
      <c r="AC793" s="637"/>
      <c r="AD793" s="640"/>
      <c r="AE793" s="606"/>
      <c r="AF793" s="606"/>
      <c r="AG793" s="606"/>
      <c r="AH793" s="606"/>
    </row>
    <row r="794" spans="1:34" s="612" customFormat="1" hidden="1" outlineLevel="3" x14ac:dyDescent="0.2">
      <c r="A794" s="606"/>
      <c r="B794" s="606"/>
      <c r="C794" s="607"/>
      <c r="D794" s="608"/>
      <c r="E794" s="608"/>
      <c r="F794" s="608"/>
      <c r="G794" s="608"/>
      <c r="H794" s="609"/>
      <c r="I794" s="637"/>
      <c r="J794" s="637"/>
      <c r="K794" s="637"/>
      <c r="L794" s="637"/>
      <c r="M794" s="637"/>
      <c r="N794" s="637"/>
      <c r="O794" s="637"/>
      <c r="P794" s="637"/>
      <c r="Q794" s="637"/>
      <c r="R794" s="637"/>
      <c r="S794" s="637"/>
      <c r="T794" s="637"/>
      <c r="U794" s="637"/>
      <c r="V794" s="637"/>
      <c r="W794" s="637"/>
      <c r="X794" s="637"/>
      <c r="Y794" s="637"/>
      <c r="Z794" s="637"/>
      <c r="AA794" s="637"/>
      <c r="AB794" s="637"/>
      <c r="AC794" s="637"/>
      <c r="AD794" s="640"/>
      <c r="AE794" s="606"/>
      <c r="AF794" s="606"/>
      <c r="AG794" s="606"/>
      <c r="AH794" s="606"/>
    </row>
    <row r="795" spans="1:34" s="612" customFormat="1" hidden="1" outlineLevel="3" x14ac:dyDescent="0.2">
      <c r="A795" s="606"/>
      <c r="B795" s="606"/>
      <c r="C795" s="607"/>
      <c r="D795" s="608"/>
      <c r="E795" s="608"/>
      <c r="F795" s="608"/>
      <c r="G795" s="608"/>
      <c r="H795" s="609"/>
      <c r="I795" s="637"/>
      <c r="J795" s="637"/>
      <c r="K795" s="637"/>
      <c r="L795" s="637"/>
      <c r="M795" s="637"/>
      <c r="N795" s="637"/>
      <c r="O795" s="637"/>
      <c r="P795" s="637"/>
      <c r="Q795" s="637"/>
      <c r="R795" s="637"/>
      <c r="S795" s="637"/>
      <c r="T795" s="637"/>
      <c r="U795" s="637"/>
      <c r="V795" s="637"/>
      <c r="W795" s="637"/>
      <c r="X795" s="637"/>
      <c r="Y795" s="637"/>
      <c r="Z795" s="637"/>
      <c r="AA795" s="637"/>
      <c r="AB795" s="637"/>
      <c r="AC795" s="637"/>
      <c r="AD795" s="640"/>
      <c r="AE795" s="606"/>
      <c r="AF795" s="606"/>
      <c r="AG795" s="606"/>
      <c r="AH795" s="606"/>
    </row>
    <row r="796" spans="1:34" s="612" customFormat="1" hidden="1" outlineLevel="3" x14ac:dyDescent="0.2">
      <c r="A796" s="606"/>
      <c r="B796" s="606"/>
      <c r="C796" s="607"/>
      <c r="D796" s="608"/>
      <c r="E796" s="608"/>
      <c r="F796" s="608"/>
      <c r="G796" s="608"/>
      <c r="H796" s="609"/>
      <c r="I796" s="637"/>
      <c r="J796" s="637"/>
      <c r="K796" s="637"/>
      <c r="L796" s="637"/>
      <c r="M796" s="637"/>
      <c r="N796" s="637"/>
      <c r="O796" s="637"/>
      <c r="P796" s="637"/>
      <c r="Q796" s="637"/>
      <c r="R796" s="637"/>
      <c r="S796" s="637"/>
      <c r="T796" s="637"/>
      <c r="U796" s="637"/>
      <c r="V796" s="637"/>
      <c r="W796" s="637"/>
      <c r="X796" s="637"/>
      <c r="Y796" s="637"/>
      <c r="Z796" s="637"/>
      <c r="AA796" s="637"/>
      <c r="AB796" s="637"/>
      <c r="AC796" s="637"/>
      <c r="AD796" s="640"/>
      <c r="AE796" s="606"/>
      <c r="AF796" s="606"/>
      <c r="AG796" s="606"/>
      <c r="AH796" s="606"/>
    </row>
    <row r="797" spans="1:34" s="612" customFormat="1" hidden="1" outlineLevel="3" x14ac:dyDescent="0.2">
      <c r="A797" s="606"/>
      <c r="B797" s="606"/>
      <c r="C797" s="607"/>
      <c r="D797" s="608"/>
      <c r="E797" s="608"/>
      <c r="F797" s="608"/>
      <c r="G797" s="608"/>
      <c r="H797" s="609"/>
      <c r="I797" s="637"/>
      <c r="J797" s="637"/>
      <c r="K797" s="637"/>
      <c r="L797" s="637"/>
      <c r="M797" s="637"/>
      <c r="N797" s="637"/>
      <c r="O797" s="637"/>
      <c r="P797" s="637"/>
      <c r="Q797" s="637"/>
      <c r="R797" s="637"/>
      <c r="S797" s="637"/>
      <c r="T797" s="637"/>
      <c r="U797" s="637"/>
      <c r="V797" s="637"/>
      <c r="W797" s="637"/>
      <c r="X797" s="637"/>
      <c r="Y797" s="637"/>
      <c r="Z797" s="637"/>
      <c r="AA797" s="637"/>
      <c r="AB797" s="637"/>
      <c r="AC797" s="637"/>
      <c r="AD797" s="640"/>
      <c r="AE797" s="606"/>
      <c r="AF797" s="606"/>
      <c r="AG797" s="606"/>
      <c r="AH797" s="606"/>
    </row>
    <row r="798" spans="1:34" s="612" customFormat="1" hidden="1" outlineLevel="3" x14ac:dyDescent="0.2">
      <c r="A798" s="606"/>
      <c r="B798" s="606"/>
      <c r="C798" s="607"/>
      <c r="D798" s="608"/>
      <c r="E798" s="608"/>
      <c r="F798" s="608"/>
      <c r="G798" s="608"/>
      <c r="H798" s="609"/>
      <c r="I798" s="637"/>
      <c r="J798" s="637"/>
      <c r="K798" s="637"/>
      <c r="L798" s="637"/>
      <c r="M798" s="637"/>
      <c r="N798" s="637"/>
      <c r="O798" s="637"/>
      <c r="P798" s="637"/>
      <c r="Q798" s="637"/>
      <c r="R798" s="637"/>
      <c r="S798" s="637"/>
      <c r="T798" s="637"/>
      <c r="U798" s="637"/>
      <c r="V798" s="637"/>
      <c r="W798" s="637"/>
      <c r="X798" s="637"/>
      <c r="Y798" s="637"/>
      <c r="Z798" s="637"/>
      <c r="AA798" s="637"/>
      <c r="AB798" s="637"/>
      <c r="AC798" s="637"/>
      <c r="AD798" s="640"/>
      <c r="AE798" s="606"/>
      <c r="AF798" s="606"/>
      <c r="AG798" s="606"/>
      <c r="AH798" s="606"/>
    </row>
    <row r="799" spans="1:34" s="612" customFormat="1" hidden="1" outlineLevel="3" x14ac:dyDescent="0.2">
      <c r="A799" s="606"/>
      <c r="B799" s="606"/>
      <c r="C799" s="607"/>
      <c r="D799" s="608"/>
      <c r="E799" s="608"/>
      <c r="F799" s="608"/>
      <c r="G799" s="608"/>
      <c r="H799" s="609"/>
      <c r="I799" s="637"/>
      <c r="J799" s="637"/>
      <c r="K799" s="637"/>
      <c r="L799" s="637"/>
      <c r="M799" s="637"/>
      <c r="N799" s="637"/>
      <c r="O799" s="637"/>
      <c r="P799" s="637"/>
      <c r="Q799" s="637"/>
      <c r="R799" s="637"/>
      <c r="S799" s="637"/>
      <c r="T799" s="637"/>
      <c r="U799" s="637"/>
      <c r="V799" s="637"/>
      <c r="W799" s="637"/>
      <c r="X799" s="637"/>
      <c r="Y799" s="637"/>
      <c r="Z799" s="637"/>
      <c r="AA799" s="637"/>
      <c r="AB799" s="637"/>
      <c r="AC799" s="637"/>
      <c r="AD799" s="640"/>
      <c r="AE799" s="606"/>
      <c r="AF799" s="606"/>
      <c r="AG799" s="606"/>
      <c r="AH799" s="606"/>
    </row>
    <row r="800" spans="1:34" s="612" customFormat="1" hidden="1" outlineLevel="3" x14ac:dyDescent="0.2">
      <c r="A800" s="606"/>
      <c r="B800" s="606"/>
      <c r="C800" s="607"/>
      <c r="D800" s="608"/>
      <c r="E800" s="608"/>
      <c r="F800" s="608"/>
      <c r="G800" s="608"/>
      <c r="H800" s="609"/>
      <c r="I800" s="637"/>
      <c r="J800" s="637"/>
      <c r="K800" s="637"/>
      <c r="L800" s="637"/>
      <c r="M800" s="637"/>
      <c r="N800" s="637"/>
      <c r="O800" s="637"/>
      <c r="P800" s="637"/>
      <c r="Q800" s="637"/>
      <c r="R800" s="637"/>
      <c r="S800" s="637"/>
      <c r="T800" s="637"/>
      <c r="U800" s="637"/>
      <c r="V800" s="637"/>
      <c r="W800" s="637"/>
      <c r="X800" s="637"/>
      <c r="Y800" s="637"/>
      <c r="Z800" s="637"/>
      <c r="AA800" s="637"/>
      <c r="AB800" s="637"/>
      <c r="AC800" s="637"/>
      <c r="AD800" s="640"/>
      <c r="AE800" s="606"/>
      <c r="AF800" s="606"/>
      <c r="AG800" s="606"/>
      <c r="AH800" s="606"/>
    </row>
    <row r="801" spans="1:34" s="612" customFormat="1" hidden="1" outlineLevel="3" x14ac:dyDescent="0.2">
      <c r="A801" s="606"/>
      <c r="B801" s="606"/>
      <c r="C801" s="607"/>
      <c r="D801" s="608"/>
      <c r="E801" s="608"/>
      <c r="F801" s="608"/>
      <c r="G801" s="608"/>
      <c r="H801" s="609"/>
      <c r="I801" s="637"/>
      <c r="J801" s="637"/>
      <c r="K801" s="637"/>
      <c r="L801" s="637"/>
      <c r="M801" s="637"/>
      <c r="N801" s="637"/>
      <c r="O801" s="637"/>
      <c r="P801" s="637"/>
      <c r="Q801" s="637"/>
      <c r="R801" s="637"/>
      <c r="S801" s="637"/>
      <c r="T801" s="637"/>
      <c r="U801" s="637"/>
      <c r="V801" s="637"/>
      <c r="W801" s="637"/>
      <c r="X801" s="637"/>
      <c r="Y801" s="637"/>
      <c r="Z801" s="637"/>
      <c r="AA801" s="637"/>
      <c r="AB801" s="637"/>
      <c r="AC801" s="637"/>
      <c r="AD801" s="640"/>
      <c r="AE801" s="606"/>
      <c r="AF801" s="606"/>
      <c r="AG801" s="606"/>
      <c r="AH801" s="606"/>
    </row>
    <row r="802" spans="1:34" s="612" customFormat="1" hidden="1" outlineLevel="3" x14ac:dyDescent="0.2">
      <c r="A802" s="606"/>
      <c r="B802" s="606"/>
      <c r="C802" s="607"/>
      <c r="D802" s="608"/>
      <c r="E802" s="608"/>
      <c r="F802" s="608"/>
      <c r="G802" s="608"/>
      <c r="H802" s="609"/>
      <c r="I802" s="637"/>
      <c r="J802" s="637"/>
      <c r="K802" s="637"/>
      <c r="L802" s="637"/>
      <c r="M802" s="637"/>
      <c r="N802" s="637"/>
      <c r="O802" s="637"/>
      <c r="P802" s="637"/>
      <c r="Q802" s="637"/>
      <c r="R802" s="637"/>
      <c r="S802" s="637"/>
      <c r="T802" s="637"/>
      <c r="U802" s="637"/>
      <c r="V802" s="637"/>
      <c r="W802" s="637"/>
      <c r="X802" s="637"/>
      <c r="Y802" s="637"/>
      <c r="Z802" s="637"/>
      <c r="AA802" s="637"/>
      <c r="AB802" s="637"/>
      <c r="AC802" s="637"/>
      <c r="AD802" s="640"/>
      <c r="AE802" s="606"/>
      <c r="AF802" s="606"/>
      <c r="AG802" s="606"/>
      <c r="AH802" s="606"/>
    </row>
    <row r="803" spans="1:34" s="612" customFormat="1" hidden="1" outlineLevel="3" x14ac:dyDescent="0.2">
      <c r="A803" s="606"/>
      <c r="B803" s="606"/>
      <c r="C803" s="607"/>
      <c r="D803" s="608"/>
      <c r="E803" s="608"/>
      <c r="F803" s="608"/>
      <c r="G803" s="608"/>
      <c r="H803" s="609"/>
      <c r="I803" s="637"/>
      <c r="J803" s="637"/>
      <c r="K803" s="637"/>
      <c r="L803" s="637"/>
      <c r="M803" s="637"/>
      <c r="N803" s="637"/>
      <c r="O803" s="637"/>
      <c r="P803" s="637"/>
      <c r="Q803" s="637"/>
      <c r="R803" s="637"/>
      <c r="S803" s="637"/>
      <c r="T803" s="637"/>
      <c r="U803" s="637"/>
      <c r="V803" s="637"/>
      <c r="W803" s="637"/>
      <c r="X803" s="637"/>
      <c r="Y803" s="637"/>
      <c r="Z803" s="637"/>
      <c r="AA803" s="637"/>
      <c r="AB803" s="637"/>
      <c r="AC803" s="637"/>
      <c r="AD803" s="640"/>
      <c r="AE803" s="606"/>
      <c r="AF803" s="606"/>
      <c r="AG803" s="606"/>
      <c r="AH803" s="606"/>
    </row>
    <row r="804" spans="1:34" s="612" customFormat="1" hidden="1" outlineLevel="3" x14ac:dyDescent="0.2">
      <c r="A804" s="606"/>
      <c r="B804" s="606"/>
      <c r="C804" s="607"/>
      <c r="D804" s="608"/>
      <c r="E804" s="608"/>
      <c r="F804" s="608"/>
      <c r="G804" s="608"/>
      <c r="H804" s="609"/>
      <c r="I804" s="637"/>
      <c r="J804" s="637"/>
      <c r="K804" s="637"/>
      <c r="L804" s="637"/>
      <c r="M804" s="637"/>
      <c r="N804" s="637"/>
      <c r="O804" s="637"/>
      <c r="P804" s="637"/>
      <c r="Q804" s="637"/>
      <c r="R804" s="637"/>
      <c r="S804" s="637"/>
      <c r="T804" s="637"/>
      <c r="U804" s="637"/>
      <c r="V804" s="637"/>
      <c r="W804" s="637"/>
      <c r="X804" s="637"/>
      <c r="Y804" s="637"/>
      <c r="Z804" s="637"/>
      <c r="AA804" s="637"/>
      <c r="AB804" s="637"/>
      <c r="AC804" s="637"/>
      <c r="AD804" s="640"/>
      <c r="AE804" s="606"/>
      <c r="AF804" s="606"/>
      <c r="AG804" s="606"/>
      <c r="AH804" s="606"/>
    </row>
    <row r="805" spans="1:34" s="612" customFormat="1" hidden="1" outlineLevel="3" x14ac:dyDescent="0.2">
      <c r="A805" s="606"/>
      <c r="B805" s="606"/>
      <c r="C805" s="607"/>
      <c r="D805" s="608"/>
      <c r="E805" s="608"/>
      <c r="F805" s="608"/>
      <c r="G805" s="608"/>
      <c r="H805" s="609"/>
      <c r="I805" s="637"/>
      <c r="J805" s="637"/>
      <c r="K805" s="637"/>
      <c r="L805" s="637"/>
      <c r="M805" s="637"/>
      <c r="N805" s="637"/>
      <c r="O805" s="637"/>
      <c r="P805" s="637"/>
      <c r="Q805" s="637"/>
      <c r="R805" s="637"/>
      <c r="S805" s="637"/>
      <c r="T805" s="637"/>
      <c r="U805" s="637"/>
      <c r="V805" s="637"/>
      <c r="W805" s="637"/>
      <c r="X805" s="637"/>
      <c r="Y805" s="637"/>
      <c r="Z805" s="637"/>
      <c r="AA805" s="637"/>
      <c r="AB805" s="637"/>
      <c r="AC805" s="637"/>
      <c r="AD805" s="640"/>
      <c r="AE805" s="606"/>
      <c r="AF805" s="606"/>
      <c r="AG805" s="606"/>
      <c r="AH805" s="606"/>
    </row>
    <row r="806" spans="1:34" s="612" customFormat="1" hidden="1" outlineLevel="3" x14ac:dyDescent="0.2">
      <c r="A806" s="606"/>
      <c r="B806" s="606"/>
      <c r="C806" s="607"/>
      <c r="D806" s="608"/>
      <c r="E806" s="608"/>
      <c r="F806" s="608"/>
      <c r="G806" s="608"/>
      <c r="H806" s="609"/>
      <c r="I806" s="637"/>
      <c r="J806" s="637"/>
      <c r="K806" s="637"/>
      <c r="L806" s="637"/>
      <c r="M806" s="637"/>
      <c r="N806" s="637"/>
      <c r="O806" s="637"/>
      <c r="P806" s="637"/>
      <c r="Q806" s="637"/>
      <c r="R806" s="637"/>
      <c r="S806" s="637"/>
      <c r="T806" s="637"/>
      <c r="U806" s="637"/>
      <c r="V806" s="637"/>
      <c r="W806" s="637"/>
      <c r="X806" s="637"/>
      <c r="Y806" s="637"/>
      <c r="Z806" s="637"/>
      <c r="AA806" s="637"/>
      <c r="AB806" s="637"/>
      <c r="AC806" s="637"/>
      <c r="AD806" s="640"/>
      <c r="AE806" s="606"/>
      <c r="AF806" s="606"/>
      <c r="AG806" s="606"/>
      <c r="AH806" s="606"/>
    </row>
    <row r="807" spans="1:34" s="612" customFormat="1" hidden="1" outlineLevel="3" x14ac:dyDescent="0.2">
      <c r="A807" s="606"/>
      <c r="B807" s="606"/>
      <c r="C807" s="607"/>
      <c r="D807" s="608"/>
      <c r="E807" s="608"/>
      <c r="F807" s="608"/>
      <c r="G807" s="608"/>
      <c r="H807" s="609"/>
      <c r="I807" s="637"/>
      <c r="J807" s="637"/>
      <c r="K807" s="637"/>
      <c r="L807" s="637"/>
      <c r="M807" s="637"/>
      <c r="N807" s="637"/>
      <c r="O807" s="637"/>
      <c r="P807" s="637"/>
      <c r="Q807" s="637"/>
      <c r="R807" s="637"/>
      <c r="S807" s="637"/>
      <c r="T807" s="637"/>
      <c r="U807" s="637"/>
      <c r="V807" s="637"/>
      <c r="W807" s="637"/>
      <c r="X807" s="637"/>
      <c r="Y807" s="637"/>
      <c r="Z807" s="637"/>
      <c r="AA807" s="637"/>
      <c r="AB807" s="637"/>
      <c r="AC807" s="637"/>
      <c r="AD807" s="640"/>
      <c r="AE807" s="606"/>
      <c r="AF807" s="606"/>
      <c r="AG807" s="606"/>
      <c r="AH807" s="606"/>
    </row>
    <row r="808" spans="1:34" s="612" customFormat="1" hidden="1" outlineLevel="3" x14ac:dyDescent="0.2">
      <c r="A808" s="606"/>
      <c r="B808" s="606"/>
      <c r="C808" s="607"/>
      <c r="D808" s="608"/>
      <c r="E808" s="608"/>
      <c r="F808" s="608"/>
      <c r="G808" s="608"/>
      <c r="H808" s="609"/>
      <c r="I808" s="637"/>
      <c r="J808" s="637"/>
      <c r="K808" s="637"/>
      <c r="L808" s="637"/>
      <c r="M808" s="637"/>
      <c r="N808" s="637"/>
      <c r="O808" s="637"/>
      <c r="P808" s="637"/>
      <c r="Q808" s="637"/>
      <c r="R808" s="637"/>
      <c r="S808" s="637"/>
      <c r="T808" s="637"/>
      <c r="U808" s="637"/>
      <c r="V808" s="637"/>
      <c r="W808" s="637"/>
      <c r="X808" s="637"/>
      <c r="Y808" s="637"/>
      <c r="Z808" s="637"/>
      <c r="AA808" s="637"/>
      <c r="AB808" s="637"/>
      <c r="AC808" s="637"/>
      <c r="AD808" s="640"/>
      <c r="AE808" s="606"/>
      <c r="AF808" s="606"/>
      <c r="AG808" s="606"/>
      <c r="AH808" s="606"/>
    </row>
    <row r="809" spans="1:34" s="612" customFormat="1" hidden="1" outlineLevel="3" x14ac:dyDescent="0.2">
      <c r="A809" s="606"/>
      <c r="B809" s="606"/>
      <c r="C809" s="607"/>
      <c r="D809" s="608"/>
      <c r="E809" s="608"/>
      <c r="F809" s="608"/>
      <c r="G809" s="608"/>
      <c r="H809" s="609"/>
      <c r="I809" s="637"/>
      <c r="J809" s="637"/>
      <c r="K809" s="637"/>
      <c r="L809" s="637"/>
      <c r="M809" s="637"/>
      <c r="N809" s="637"/>
      <c r="O809" s="637"/>
      <c r="P809" s="637"/>
      <c r="Q809" s="637"/>
      <c r="R809" s="637"/>
      <c r="S809" s="637"/>
      <c r="T809" s="637"/>
      <c r="U809" s="637"/>
      <c r="V809" s="637"/>
      <c r="W809" s="637"/>
      <c r="X809" s="637"/>
      <c r="Y809" s="637"/>
      <c r="Z809" s="637"/>
      <c r="AA809" s="637"/>
      <c r="AB809" s="637"/>
      <c r="AC809" s="637"/>
      <c r="AD809" s="640"/>
      <c r="AE809" s="606"/>
      <c r="AF809" s="606"/>
      <c r="AG809" s="606"/>
      <c r="AH809" s="606"/>
    </row>
    <row r="810" spans="1:34" s="612" customFormat="1" hidden="1" outlineLevel="3" x14ac:dyDescent="0.2">
      <c r="A810" s="606"/>
      <c r="B810" s="606"/>
      <c r="C810" s="607"/>
      <c r="D810" s="608"/>
      <c r="E810" s="608"/>
      <c r="F810" s="608"/>
      <c r="G810" s="608"/>
      <c r="H810" s="609"/>
      <c r="I810" s="637"/>
      <c r="J810" s="637"/>
      <c r="K810" s="637"/>
      <c r="L810" s="637"/>
      <c r="M810" s="637"/>
      <c r="N810" s="637"/>
      <c r="O810" s="637"/>
      <c r="P810" s="637"/>
      <c r="Q810" s="637"/>
      <c r="R810" s="637"/>
      <c r="S810" s="637"/>
      <c r="T810" s="637"/>
      <c r="U810" s="637"/>
      <c r="V810" s="637"/>
      <c r="W810" s="637"/>
      <c r="X810" s="637"/>
      <c r="Y810" s="637"/>
      <c r="Z810" s="637"/>
      <c r="AA810" s="637"/>
      <c r="AB810" s="637"/>
      <c r="AC810" s="637"/>
      <c r="AD810" s="640"/>
      <c r="AE810" s="606"/>
      <c r="AF810" s="606"/>
      <c r="AG810" s="606"/>
      <c r="AH810" s="606"/>
    </row>
    <row r="811" spans="1:34" s="612" customFormat="1" hidden="1" outlineLevel="3" x14ac:dyDescent="0.2">
      <c r="A811" s="606"/>
      <c r="B811" s="606"/>
      <c r="C811" s="607"/>
      <c r="D811" s="608"/>
      <c r="E811" s="608"/>
      <c r="F811" s="608"/>
      <c r="G811" s="608"/>
      <c r="H811" s="609"/>
      <c r="I811" s="637"/>
      <c r="J811" s="637"/>
      <c r="K811" s="637"/>
      <c r="L811" s="637"/>
      <c r="M811" s="637"/>
      <c r="N811" s="637"/>
      <c r="O811" s="637"/>
      <c r="P811" s="637"/>
      <c r="Q811" s="637"/>
      <c r="R811" s="637"/>
      <c r="S811" s="637"/>
      <c r="T811" s="637"/>
      <c r="U811" s="637"/>
      <c r="V811" s="637"/>
      <c r="W811" s="637"/>
      <c r="X811" s="637"/>
      <c r="Y811" s="637"/>
      <c r="Z811" s="637"/>
      <c r="AA811" s="637"/>
      <c r="AB811" s="637"/>
      <c r="AC811" s="637"/>
      <c r="AD811" s="640"/>
      <c r="AE811" s="606"/>
      <c r="AF811" s="606"/>
      <c r="AG811" s="606"/>
      <c r="AH811" s="606"/>
    </row>
    <row r="812" spans="1:34" s="612" customFormat="1" hidden="1" outlineLevel="3" x14ac:dyDescent="0.2">
      <c r="A812" s="606"/>
      <c r="B812" s="606"/>
      <c r="C812" s="607"/>
      <c r="D812" s="608"/>
      <c r="E812" s="608"/>
      <c r="F812" s="608"/>
      <c r="G812" s="608"/>
      <c r="H812" s="609"/>
      <c r="I812" s="637"/>
      <c r="J812" s="637"/>
      <c r="K812" s="637"/>
      <c r="L812" s="637"/>
      <c r="M812" s="637"/>
      <c r="N812" s="637"/>
      <c r="O812" s="637"/>
      <c r="P812" s="637"/>
      <c r="Q812" s="637"/>
      <c r="R812" s="637"/>
      <c r="S812" s="637"/>
      <c r="T812" s="637"/>
      <c r="U812" s="637"/>
      <c r="V812" s="637"/>
      <c r="W812" s="637"/>
      <c r="X812" s="637"/>
      <c r="Y812" s="637"/>
      <c r="Z812" s="637"/>
      <c r="AA812" s="637"/>
      <c r="AB812" s="637"/>
      <c r="AC812" s="637"/>
      <c r="AD812" s="640"/>
      <c r="AE812" s="606"/>
      <c r="AF812" s="606"/>
      <c r="AG812" s="606"/>
      <c r="AH812" s="606"/>
    </row>
    <row r="813" spans="1:34" s="612" customFormat="1" hidden="1" outlineLevel="3" x14ac:dyDescent="0.2">
      <c r="A813" s="606"/>
      <c r="B813" s="606"/>
      <c r="C813" s="607"/>
      <c r="D813" s="608"/>
      <c r="E813" s="608"/>
      <c r="F813" s="608"/>
      <c r="G813" s="608"/>
      <c r="H813" s="609"/>
      <c r="I813" s="637"/>
      <c r="J813" s="637"/>
      <c r="K813" s="637"/>
      <c r="L813" s="637"/>
      <c r="M813" s="637"/>
      <c r="N813" s="637"/>
      <c r="O813" s="637"/>
      <c r="P813" s="637"/>
      <c r="Q813" s="637"/>
      <c r="R813" s="637"/>
      <c r="S813" s="637"/>
      <c r="T813" s="637"/>
      <c r="U813" s="637"/>
      <c r="V813" s="637"/>
      <c r="W813" s="637"/>
      <c r="X813" s="637"/>
      <c r="Y813" s="637"/>
      <c r="Z813" s="637"/>
      <c r="AA813" s="637"/>
      <c r="AB813" s="637"/>
      <c r="AC813" s="637"/>
      <c r="AD813" s="640"/>
      <c r="AE813" s="606"/>
      <c r="AF813" s="606"/>
      <c r="AG813" s="606"/>
      <c r="AH813" s="606"/>
    </row>
    <row r="814" spans="1:34" s="612" customFormat="1" hidden="1" outlineLevel="3" x14ac:dyDescent="0.2">
      <c r="A814" s="606"/>
      <c r="B814" s="606"/>
      <c r="C814" s="607"/>
      <c r="D814" s="608"/>
      <c r="E814" s="608"/>
      <c r="F814" s="608"/>
      <c r="G814" s="608"/>
      <c r="H814" s="609"/>
      <c r="I814" s="637"/>
      <c r="J814" s="637"/>
      <c r="K814" s="637"/>
      <c r="L814" s="637"/>
      <c r="M814" s="637"/>
      <c r="N814" s="637"/>
      <c r="O814" s="637"/>
      <c r="P814" s="637"/>
      <c r="Q814" s="637"/>
      <c r="R814" s="637"/>
      <c r="S814" s="637"/>
      <c r="T814" s="637"/>
      <c r="U814" s="637"/>
      <c r="V814" s="637"/>
      <c r="W814" s="637"/>
      <c r="X814" s="637"/>
      <c r="Y814" s="637"/>
      <c r="Z814" s="637"/>
      <c r="AA814" s="637"/>
      <c r="AB814" s="637"/>
      <c r="AC814" s="637"/>
      <c r="AD814" s="640"/>
      <c r="AE814" s="606"/>
      <c r="AF814" s="606"/>
      <c r="AG814" s="606"/>
      <c r="AH814" s="606"/>
    </row>
    <row r="815" spans="1:34" s="612" customFormat="1" hidden="1" outlineLevel="3" x14ac:dyDescent="0.2">
      <c r="A815" s="606"/>
      <c r="B815" s="606"/>
      <c r="C815" s="607"/>
      <c r="D815" s="608"/>
      <c r="E815" s="608"/>
      <c r="F815" s="608"/>
      <c r="G815" s="608"/>
      <c r="H815" s="609"/>
      <c r="I815" s="637"/>
      <c r="J815" s="637"/>
      <c r="K815" s="637"/>
      <c r="L815" s="637"/>
      <c r="M815" s="637"/>
      <c r="N815" s="637"/>
      <c r="O815" s="637"/>
      <c r="P815" s="637"/>
      <c r="Q815" s="637"/>
      <c r="R815" s="637"/>
      <c r="S815" s="637"/>
      <c r="T815" s="637"/>
      <c r="U815" s="637"/>
      <c r="V815" s="637"/>
      <c r="W815" s="637"/>
      <c r="X815" s="637"/>
      <c r="Y815" s="637"/>
      <c r="Z815" s="637"/>
      <c r="AA815" s="637"/>
      <c r="AB815" s="637"/>
      <c r="AC815" s="637"/>
      <c r="AD815" s="640"/>
      <c r="AE815" s="606"/>
      <c r="AF815" s="606"/>
      <c r="AG815" s="606"/>
      <c r="AH815" s="606"/>
    </row>
    <row r="816" spans="1:34" s="612" customFormat="1" hidden="1" outlineLevel="3" x14ac:dyDescent="0.2">
      <c r="A816" s="606"/>
      <c r="B816" s="606"/>
      <c r="C816" s="607"/>
      <c r="D816" s="608"/>
      <c r="E816" s="608"/>
      <c r="F816" s="608"/>
      <c r="G816" s="608"/>
      <c r="H816" s="609"/>
      <c r="I816" s="637"/>
      <c r="J816" s="637"/>
      <c r="K816" s="637"/>
      <c r="L816" s="637"/>
      <c r="M816" s="637"/>
      <c r="N816" s="637"/>
      <c r="O816" s="637"/>
      <c r="P816" s="637"/>
      <c r="Q816" s="637"/>
      <c r="R816" s="637"/>
      <c r="S816" s="637"/>
      <c r="T816" s="637"/>
      <c r="U816" s="637"/>
      <c r="V816" s="637"/>
      <c r="W816" s="637"/>
      <c r="X816" s="637"/>
      <c r="Y816" s="637"/>
      <c r="Z816" s="637"/>
      <c r="AA816" s="637"/>
      <c r="AB816" s="637"/>
      <c r="AC816" s="637"/>
      <c r="AD816" s="640"/>
      <c r="AE816" s="606"/>
      <c r="AF816" s="606"/>
      <c r="AG816" s="606"/>
      <c r="AH816" s="606"/>
    </row>
    <row r="817" spans="1:34" s="612" customFormat="1" hidden="1" outlineLevel="3" x14ac:dyDescent="0.2">
      <c r="A817" s="606"/>
      <c r="B817" s="606"/>
      <c r="C817" s="607"/>
      <c r="D817" s="608"/>
      <c r="E817" s="608"/>
      <c r="F817" s="608"/>
      <c r="G817" s="608"/>
      <c r="H817" s="609"/>
      <c r="I817" s="637"/>
      <c r="J817" s="637"/>
      <c r="K817" s="637"/>
      <c r="L817" s="637"/>
      <c r="M817" s="637"/>
      <c r="N817" s="637"/>
      <c r="O817" s="637"/>
      <c r="P817" s="637"/>
      <c r="Q817" s="637"/>
      <c r="R817" s="637"/>
      <c r="S817" s="637"/>
      <c r="T817" s="637"/>
      <c r="U817" s="637"/>
      <c r="V817" s="637"/>
      <c r="W817" s="637"/>
      <c r="X817" s="637"/>
      <c r="Y817" s="637"/>
      <c r="Z817" s="637"/>
      <c r="AA817" s="637"/>
      <c r="AB817" s="637"/>
      <c r="AC817" s="637"/>
      <c r="AD817" s="640"/>
      <c r="AE817" s="606"/>
      <c r="AF817" s="606"/>
      <c r="AG817" s="606"/>
      <c r="AH817" s="606"/>
    </row>
    <row r="818" spans="1:34" s="612" customFormat="1" hidden="1" outlineLevel="3" x14ac:dyDescent="0.2">
      <c r="A818" s="606"/>
      <c r="B818" s="606"/>
      <c r="C818" s="607"/>
      <c r="D818" s="608"/>
      <c r="E818" s="608"/>
      <c r="F818" s="608"/>
      <c r="G818" s="608"/>
      <c r="H818" s="609"/>
      <c r="I818" s="637"/>
      <c r="J818" s="637"/>
      <c r="K818" s="637"/>
      <c r="L818" s="637"/>
      <c r="M818" s="637"/>
      <c r="N818" s="637"/>
      <c r="O818" s="637"/>
      <c r="P818" s="637"/>
      <c r="Q818" s="637"/>
      <c r="R818" s="637"/>
      <c r="S818" s="637"/>
      <c r="T818" s="637"/>
      <c r="U818" s="637"/>
      <c r="V818" s="637"/>
      <c r="W818" s="637"/>
      <c r="X818" s="637"/>
      <c r="Y818" s="637"/>
      <c r="Z818" s="637"/>
      <c r="AA818" s="637"/>
      <c r="AB818" s="637"/>
      <c r="AC818" s="637"/>
      <c r="AD818" s="640"/>
      <c r="AE818" s="606"/>
      <c r="AF818" s="606"/>
      <c r="AG818" s="606"/>
      <c r="AH818" s="606"/>
    </row>
    <row r="819" spans="1:34" s="612" customFormat="1" hidden="1" outlineLevel="3" x14ac:dyDescent="0.2">
      <c r="A819" s="606"/>
      <c r="B819" s="606"/>
      <c r="C819" s="607"/>
      <c r="D819" s="608"/>
      <c r="E819" s="608"/>
      <c r="F819" s="608"/>
      <c r="G819" s="608"/>
      <c r="H819" s="609"/>
      <c r="I819" s="637"/>
      <c r="J819" s="637"/>
      <c r="K819" s="637"/>
      <c r="L819" s="637"/>
      <c r="M819" s="637"/>
      <c r="N819" s="637"/>
      <c r="O819" s="637"/>
      <c r="P819" s="637"/>
      <c r="Q819" s="637"/>
      <c r="R819" s="637"/>
      <c r="S819" s="637"/>
      <c r="T819" s="637"/>
      <c r="U819" s="637"/>
      <c r="V819" s="637"/>
      <c r="W819" s="637"/>
      <c r="X819" s="637"/>
      <c r="Y819" s="637"/>
      <c r="Z819" s="637"/>
      <c r="AA819" s="637"/>
      <c r="AB819" s="637"/>
      <c r="AC819" s="637"/>
      <c r="AD819" s="640"/>
      <c r="AE819" s="606"/>
      <c r="AF819" s="606"/>
      <c r="AG819" s="606"/>
      <c r="AH819" s="606"/>
    </row>
    <row r="820" spans="1:34" s="612" customFormat="1" hidden="1" outlineLevel="3" x14ac:dyDescent="0.2">
      <c r="A820" s="606"/>
      <c r="B820" s="606"/>
      <c r="C820" s="607"/>
      <c r="D820" s="608"/>
      <c r="E820" s="608"/>
      <c r="F820" s="608"/>
      <c r="G820" s="608"/>
      <c r="H820" s="609"/>
      <c r="I820" s="637"/>
      <c r="J820" s="637"/>
      <c r="K820" s="637"/>
      <c r="L820" s="637"/>
      <c r="M820" s="637"/>
      <c r="N820" s="637"/>
      <c r="O820" s="637"/>
      <c r="P820" s="637"/>
      <c r="Q820" s="637"/>
      <c r="R820" s="637"/>
      <c r="S820" s="637"/>
      <c r="T820" s="637"/>
      <c r="U820" s="637"/>
      <c r="V820" s="637"/>
      <c r="W820" s="637"/>
      <c r="X820" s="637"/>
      <c r="Y820" s="637"/>
      <c r="Z820" s="637"/>
      <c r="AA820" s="637"/>
      <c r="AB820" s="637"/>
      <c r="AC820" s="637"/>
      <c r="AD820" s="640"/>
      <c r="AE820" s="606"/>
      <c r="AF820" s="606"/>
      <c r="AG820" s="606"/>
      <c r="AH820" s="606"/>
    </row>
    <row r="821" spans="1:34" s="612" customFormat="1" hidden="1" outlineLevel="3" x14ac:dyDescent="0.2">
      <c r="A821" s="606"/>
      <c r="B821" s="606"/>
      <c r="C821" s="607"/>
      <c r="D821" s="608"/>
      <c r="E821" s="608"/>
      <c r="F821" s="608"/>
      <c r="G821" s="608"/>
      <c r="H821" s="609"/>
      <c r="I821" s="637"/>
      <c r="J821" s="637"/>
      <c r="K821" s="637"/>
      <c r="L821" s="637"/>
      <c r="M821" s="637"/>
      <c r="N821" s="637"/>
      <c r="O821" s="637"/>
      <c r="P821" s="637"/>
      <c r="Q821" s="637"/>
      <c r="R821" s="637"/>
      <c r="S821" s="637"/>
      <c r="T821" s="637"/>
      <c r="U821" s="637"/>
      <c r="V821" s="637"/>
      <c r="W821" s="637"/>
      <c r="X821" s="637"/>
      <c r="Y821" s="637"/>
      <c r="Z821" s="637"/>
      <c r="AA821" s="637"/>
      <c r="AB821" s="637"/>
      <c r="AC821" s="637"/>
      <c r="AD821" s="640"/>
      <c r="AE821" s="606"/>
      <c r="AF821" s="606"/>
      <c r="AG821" s="606"/>
      <c r="AH821" s="606"/>
    </row>
    <row r="822" spans="1:34" s="612" customFormat="1" hidden="1" outlineLevel="3" x14ac:dyDescent="0.2">
      <c r="A822" s="606"/>
      <c r="B822" s="606"/>
      <c r="C822" s="607"/>
      <c r="D822" s="608"/>
      <c r="E822" s="608"/>
      <c r="F822" s="608"/>
      <c r="G822" s="608"/>
      <c r="H822" s="609"/>
      <c r="I822" s="637"/>
      <c r="J822" s="637"/>
      <c r="K822" s="637"/>
      <c r="L822" s="637"/>
      <c r="M822" s="637"/>
      <c r="N822" s="637"/>
      <c r="O822" s="637"/>
      <c r="P822" s="637"/>
      <c r="Q822" s="637"/>
      <c r="R822" s="637"/>
      <c r="S822" s="637"/>
      <c r="T822" s="637"/>
      <c r="U822" s="637"/>
      <c r="V822" s="637"/>
      <c r="W822" s="637"/>
      <c r="X822" s="637"/>
      <c r="Y822" s="637"/>
      <c r="Z822" s="637"/>
      <c r="AA822" s="637"/>
      <c r="AB822" s="637"/>
      <c r="AC822" s="637"/>
      <c r="AD822" s="640"/>
      <c r="AE822" s="606"/>
      <c r="AF822" s="606"/>
      <c r="AG822" s="606"/>
      <c r="AH822" s="606"/>
    </row>
    <row r="823" spans="1:34" s="612" customFormat="1" hidden="1" outlineLevel="3" x14ac:dyDescent="0.2">
      <c r="A823" s="606"/>
      <c r="B823" s="606"/>
      <c r="C823" s="607"/>
      <c r="D823" s="608"/>
      <c r="E823" s="608"/>
      <c r="F823" s="608"/>
      <c r="G823" s="608"/>
      <c r="H823" s="609"/>
      <c r="I823" s="637"/>
      <c r="J823" s="637"/>
      <c r="K823" s="637"/>
      <c r="L823" s="637"/>
      <c r="M823" s="637"/>
      <c r="N823" s="637"/>
      <c r="O823" s="637"/>
      <c r="P823" s="637"/>
      <c r="Q823" s="637"/>
      <c r="R823" s="637"/>
      <c r="S823" s="637"/>
      <c r="T823" s="637"/>
      <c r="U823" s="637"/>
      <c r="V823" s="637"/>
      <c r="W823" s="637"/>
      <c r="X823" s="637"/>
      <c r="Y823" s="637"/>
      <c r="Z823" s="637"/>
      <c r="AA823" s="637"/>
      <c r="AB823" s="637"/>
      <c r="AC823" s="637"/>
      <c r="AD823" s="640"/>
      <c r="AE823" s="606"/>
      <c r="AF823" s="606"/>
      <c r="AG823" s="606"/>
      <c r="AH823" s="606"/>
    </row>
    <row r="824" spans="1:34" s="612" customFormat="1" hidden="1" outlineLevel="3" x14ac:dyDescent="0.2">
      <c r="A824" s="606"/>
      <c r="B824" s="606"/>
      <c r="C824" s="607"/>
      <c r="D824" s="608"/>
      <c r="E824" s="608"/>
      <c r="F824" s="608"/>
      <c r="G824" s="608"/>
      <c r="H824" s="609"/>
      <c r="I824" s="637"/>
      <c r="J824" s="637"/>
      <c r="K824" s="637"/>
      <c r="L824" s="637"/>
      <c r="M824" s="637"/>
      <c r="N824" s="637"/>
      <c r="O824" s="637"/>
      <c r="P824" s="637"/>
      <c r="Q824" s="637"/>
      <c r="R824" s="637"/>
      <c r="S824" s="637"/>
      <c r="T824" s="637"/>
      <c r="U824" s="637"/>
      <c r="V824" s="637"/>
      <c r="W824" s="637"/>
      <c r="X824" s="637"/>
      <c r="Y824" s="637"/>
      <c r="Z824" s="637"/>
      <c r="AA824" s="637"/>
      <c r="AB824" s="637"/>
      <c r="AC824" s="637"/>
      <c r="AD824" s="640"/>
      <c r="AE824" s="606"/>
      <c r="AF824" s="606"/>
      <c r="AG824" s="606"/>
      <c r="AH824" s="606"/>
    </row>
    <row r="825" spans="1:34" s="612" customFormat="1" hidden="1" outlineLevel="3" x14ac:dyDescent="0.2">
      <c r="A825" s="606"/>
      <c r="B825" s="606"/>
      <c r="C825" s="607"/>
      <c r="D825" s="608"/>
      <c r="E825" s="608"/>
      <c r="F825" s="608"/>
      <c r="G825" s="608"/>
      <c r="H825" s="609"/>
      <c r="I825" s="637"/>
      <c r="J825" s="637"/>
      <c r="K825" s="637"/>
      <c r="L825" s="637"/>
      <c r="M825" s="637"/>
      <c r="N825" s="637"/>
      <c r="O825" s="637"/>
      <c r="P825" s="637"/>
      <c r="Q825" s="637"/>
      <c r="R825" s="637"/>
      <c r="S825" s="637"/>
      <c r="T825" s="637"/>
      <c r="U825" s="637"/>
      <c r="V825" s="637"/>
      <c r="W825" s="637"/>
      <c r="X825" s="637"/>
      <c r="Y825" s="637"/>
      <c r="Z825" s="637"/>
      <c r="AA825" s="637"/>
      <c r="AB825" s="637"/>
      <c r="AC825" s="637"/>
      <c r="AD825" s="640"/>
      <c r="AE825" s="606"/>
      <c r="AF825" s="606"/>
      <c r="AG825" s="606"/>
      <c r="AH825" s="606"/>
    </row>
    <row r="826" spans="1:34" s="612" customFormat="1" hidden="1" outlineLevel="3" x14ac:dyDescent="0.2">
      <c r="A826" s="606"/>
      <c r="B826" s="606"/>
      <c r="C826" s="607"/>
      <c r="D826" s="608"/>
      <c r="E826" s="608"/>
      <c r="F826" s="608"/>
      <c r="G826" s="608"/>
      <c r="H826" s="609"/>
      <c r="I826" s="637"/>
      <c r="J826" s="637"/>
      <c r="K826" s="637"/>
      <c r="L826" s="637"/>
      <c r="M826" s="637"/>
      <c r="N826" s="637"/>
      <c r="O826" s="637"/>
      <c r="P826" s="637"/>
      <c r="Q826" s="637"/>
      <c r="R826" s="637"/>
      <c r="S826" s="637"/>
      <c r="T826" s="637"/>
      <c r="U826" s="637"/>
      <c r="V826" s="637"/>
      <c r="W826" s="637"/>
      <c r="X826" s="637"/>
      <c r="Y826" s="637"/>
      <c r="Z826" s="637"/>
      <c r="AA826" s="637"/>
      <c r="AB826" s="637"/>
      <c r="AC826" s="637"/>
      <c r="AD826" s="640"/>
      <c r="AE826" s="606"/>
      <c r="AF826" s="606"/>
      <c r="AG826" s="606"/>
      <c r="AH826" s="606"/>
    </row>
    <row r="827" spans="1:34" s="612" customFormat="1" hidden="1" outlineLevel="3" x14ac:dyDescent="0.2">
      <c r="A827" s="606"/>
      <c r="B827" s="606"/>
      <c r="C827" s="607"/>
      <c r="D827" s="608"/>
      <c r="E827" s="608"/>
      <c r="F827" s="608"/>
      <c r="G827" s="608"/>
      <c r="H827" s="609"/>
      <c r="I827" s="637"/>
      <c r="J827" s="637"/>
      <c r="K827" s="637"/>
      <c r="L827" s="637"/>
      <c r="M827" s="637"/>
      <c r="N827" s="637"/>
      <c r="O827" s="637"/>
      <c r="P827" s="637"/>
      <c r="Q827" s="637"/>
      <c r="R827" s="637"/>
      <c r="S827" s="637"/>
      <c r="T827" s="637"/>
      <c r="U827" s="637"/>
      <c r="V827" s="637"/>
      <c r="W827" s="637"/>
      <c r="X827" s="637"/>
      <c r="Y827" s="637"/>
      <c r="Z827" s="637"/>
      <c r="AA827" s="637"/>
      <c r="AB827" s="637"/>
      <c r="AC827" s="637"/>
      <c r="AD827" s="640"/>
      <c r="AE827" s="606"/>
      <c r="AF827" s="606"/>
      <c r="AG827" s="606"/>
      <c r="AH827" s="606"/>
    </row>
    <row r="828" spans="1:34" s="612" customFormat="1" hidden="1" outlineLevel="3" x14ac:dyDescent="0.2">
      <c r="A828" s="606"/>
      <c r="B828" s="606"/>
      <c r="C828" s="607"/>
      <c r="D828" s="608"/>
      <c r="E828" s="608"/>
      <c r="F828" s="608"/>
      <c r="G828" s="608"/>
      <c r="H828" s="609"/>
      <c r="I828" s="637"/>
      <c r="J828" s="637"/>
      <c r="K828" s="637"/>
      <c r="L828" s="637"/>
      <c r="M828" s="637"/>
      <c r="N828" s="637"/>
      <c r="O828" s="637"/>
      <c r="P828" s="637"/>
      <c r="Q828" s="637"/>
      <c r="R828" s="637"/>
      <c r="S828" s="637"/>
      <c r="T828" s="637"/>
      <c r="U828" s="637"/>
      <c r="V828" s="637"/>
      <c r="W828" s="637"/>
      <c r="X828" s="637"/>
      <c r="Y828" s="637"/>
      <c r="Z828" s="637"/>
      <c r="AA828" s="637"/>
      <c r="AB828" s="637"/>
      <c r="AC828" s="637"/>
      <c r="AD828" s="640"/>
      <c r="AE828" s="606"/>
      <c r="AF828" s="606"/>
      <c r="AG828" s="606"/>
      <c r="AH828" s="606"/>
    </row>
    <row r="829" spans="1:34" s="612" customFormat="1" hidden="1" outlineLevel="3" x14ac:dyDescent="0.2">
      <c r="A829" s="606"/>
      <c r="B829" s="606"/>
      <c r="C829" s="607"/>
      <c r="D829" s="608"/>
      <c r="E829" s="608"/>
      <c r="F829" s="608"/>
      <c r="G829" s="608"/>
      <c r="H829" s="609"/>
      <c r="I829" s="637"/>
      <c r="J829" s="637"/>
      <c r="K829" s="637"/>
      <c r="L829" s="637"/>
      <c r="M829" s="637"/>
      <c r="N829" s="637"/>
      <c r="O829" s="637"/>
      <c r="P829" s="637"/>
      <c r="Q829" s="637"/>
      <c r="R829" s="637"/>
      <c r="S829" s="637"/>
      <c r="T829" s="637"/>
      <c r="U829" s="637"/>
      <c r="V829" s="637"/>
      <c r="W829" s="637"/>
      <c r="X829" s="637"/>
      <c r="Y829" s="637"/>
      <c r="Z829" s="637"/>
      <c r="AA829" s="637"/>
      <c r="AB829" s="637"/>
      <c r="AC829" s="637"/>
      <c r="AD829" s="640"/>
      <c r="AE829" s="606"/>
      <c r="AF829" s="606"/>
      <c r="AG829" s="606"/>
      <c r="AH829" s="606"/>
    </row>
    <row r="830" spans="1:34" s="612" customFormat="1" hidden="1" outlineLevel="3" x14ac:dyDescent="0.2">
      <c r="A830" s="606"/>
      <c r="B830" s="606"/>
      <c r="C830" s="607"/>
      <c r="D830" s="608"/>
      <c r="E830" s="608"/>
      <c r="F830" s="608"/>
      <c r="G830" s="608"/>
      <c r="H830" s="609"/>
      <c r="I830" s="637"/>
      <c r="J830" s="637"/>
      <c r="K830" s="637"/>
      <c r="L830" s="637"/>
      <c r="M830" s="637"/>
      <c r="N830" s="637"/>
      <c r="O830" s="637"/>
      <c r="P830" s="637"/>
      <c r="Q830" s="637"/>
      <c r="R830" s="637"/>
      <c r="S830" s="637"/>
      <c r="T830" s="637"/>
      <c r="U830" s="637"/>
      <c r="V830" s="637"/>
      <c r="W830" s="637"/>
      <c r="X830" s="637"/>
      <c r="Y830" s="637"/>
      <c r="Z830" s="637"/>
      <c r="AA830" s="637"/>
      <c r="AB830" s="637"/>
      <c r="AC830" s="637"/>
      <c r="AD830" s="640"/>
      <c r="AE830" s="606"/>
      <c r="AF830" s="606"/>
      <c r="AG830" s="606"/>
      <c r="AH830" s="606"/>
    </row>
    <row r="831" spans="1:34" s="612" customFormat="1" hidden="1" outlineLevel="3" x14ac:dyDescent="0.2">
      <c r="A831" s="606"/>
      <c r="B831" s="606"/>
      <c r="C831" s="607"/>
      <c r="D831" s="608"/>
      <c r="E831" s="608"/>
      <c r="F831" s="608"/>
      <c r="G831" s="608"/>
      <c r="H831" s="609"/>
      <c r="I831" s="637"/>
      <c r="J831" s="637"/>
      <c r="K831" s="637"/>
      <c r="L831" s="637"/>
      <c r="M831" s="637"/>
      <c r="N831" s="637"/>
      <c r="O831" s="637"/>
      <c r="P831" s="637"/>
      <c r="Q831" s="637"/>
      <c r="R831" s="637"/>
      <c r="S831" s="637"/>
      <c r="T831" s="637"/>
      <c r="U831" s="637"/>
      <c r="V831" s="637"/>
      <c r="W831" s="637"/>
      <c r="X831" s="637"/>
      <c r="Y831" s="637"/>
      <c r="Z831" s="637"/>
      <c r="AA831" s="637"/>
      <c r="AB831" s="637"/>
      <c r="AC831" s="637"/>
      <c r="AD831" s="640"/>
      <c r="AE831" s="606"/>
      <c r="AF831" s="606"/>
      <c r="AG831" s="606"/>
      <c r="AH831" s="606"/>
    </row>
    <row r="832" spans="1:34" s="612" customFormat="1" hidden="1" outlineLevel="3" x14ac:dyDescent="0.2">
      <c r="A832" s="606"/>
      <c r="B832" s="606"/>
      <c r="C832" s="607"/>
      <c r="D832" s="608"/>
      <c r="E832" s="608"/>
      <c r="F832" s="608"/>
      <c r="G832" s="608"/>
      <c r="H832" s="609"/>
      <c r="I832" s="637"/>
      <c r="J832" s="637"/>
      <c r="K832" s="637"/>
      <c r="L832" s="637"/>
      <c r="M832" s="637"/>
      <c r="N832" s="637"/>
      <c r="O832" s="637"/>
      <c r="P832" s="637"/>
      <c r="Q832" s="637"/>
      <c r="R832" s="637"/>
      <c r="S832" s="637"/>
      <c r="T832" s="637"/>
      <c r="U832" s="637"/>
      <c r="V832" s="637"/>
      <c r="W832" s="637"/>
      <c r="X832" s="637"/>
      <c r="Y832" s="637"/>
      <c r="Z832" s="637"/>
      <c r="AA832" s="637"/>
      <c r="AB832" s="637"/>
      <c r="AC832" s="637"/>
      <c r="AD832" s="640"/>
      <c r="AE832" s="606"/>
      <c r="AF832" s="606"/>
      <c r="AG832" s="606"/>
      <c r="AH832" s="606"/>
    </row>
    <row r="833" spans="1:34" s="612" customFormat="1" hidden="1" outlineLevel="3" x14ac:dyDescent="0.2">
      <c r="A833" s="606"/>
      <c r="B833" s="606"/>
      <c r="C833" s="607"/>
      <c r="D833" s="608"/>
      <c r="E833" s="608"/>
      <c r="F833" s="608"/>
      <c r="G833" s="608"/>
      <c r="H833" s="609"/>
      <c r="I833" s="637"/>
      <c r="J833" s="637"/>
      <c r="K833" s="637"/>
      <c r="L833" s="637"/>
      <c r="M833" s="637"/>
      <c r="N833" s="637"/>
      <c r="O833" s="637"/>
      <c r="P833" s="637"/>
      <c r="Q833" s="637"/>
      <c r="R833" s="637"/>
      <c r="S833" s="637"/>
      <c r="T833" s="637"/>
      <c r="U833" s="637"/>
      <c r="V833" s="637"/>
      <c r="W833" s="637"/>
      <c r="X833" s="637"/>
      <c r="Y833" s="637"/>
      <c r="Z833" s="637"/>
      <c r="AA833" s="637"/>
      <c r="AB833" s="637"/>
      <c r="AC833" s="637"/>
      <c r="AD833" s="640"/>
      <c r="AE833" s="606"/>
      <c r="AF833" s="606"/>
      <c r="AG833" s="606"/>
      <c r="AH833" s="606"/>
    </row>
    <row r="834" spans="1:34" s="612" customFormat="1" hidden="1" outlineLevel="3" x14ac:dyDescent="0.2">
      <c r="A834" s="606"/>
      <c r="B834" s="606"/>
      <c r="C834" s="607"/>
      <c r="D834" s="608"/>
      <c r="E834" s="608"/>
      <c r="F834" s="608"/>
      <c r="G834" s="608"/>
      <c r="H834" s="609"/>
      <c r="I834" s="637"/>
      <c r="J834" s="637"/>
      <c r="K834" s="637"/>
      <c r="L834" s="637"/>
      <c r="M834" s="637"/>
      <c r="N834" s="637"/>
      <c r="O834" s="637"/>
      <c r="P834" s="637"/>
      <c r="Q834" s="637"/>
      <c r="R834" s="637"/>
      <c r="S834" s="637"/>
      <c r="T834" s="637"/>
      <c r="U834" s="637"/>
      <c r="V834" s="637"/>
      <c r="W834" s="637"/>
      <c r="X834" s="637"/>
      <c r="Y834" s="637"/>
      <c r="Z834" s="637"/>
      <c r="AA834" s="637"/>
      <c r="AB834" s="637"/>
      <c r="AC834" s="637"/>
      <c r="AD834" s="640"/>
      <c r="AE834" s="606"/>
      <c r="AF834" s="606"/>
      <c r="AG834" s="606"/>
      <c r="AH834" s="606"/>
    </row>
    <row r="835" spans="1:34" s="612" customFormat="1" hidden="1" outlineLevel="3" x14ac:dyDescent="0.2">
      <c r="A835" s="606"/>
      <c r="B835" s="606"/>
      <c r="C835" s="607"/>
      <c r="D835" s="608"/>
      <c r="E835" s="608"/>
      <c r="F835" s="608"/>
      <c r="G835" s="608"/>
      <c r="H835" s="609"/>
      <c r="I835" s="637"/>
      <c r="J835" s="637"/>
      <c r="K835" s="637"/>
      <c r="L835" s="637"/>
      <c r="M835" s="637"/>
      <c r="N835" s="637"/>
      <c r="O835" s="637"/>
      <c r="P835" s="637"/>
      <c r="Q835" s="637"/>
      <c r="R835" s="637"/>
      <c r="S835" s="637"/>
      <c r="T835" s="637"/>
      <c r="U835" s="637"/>
      <c r="V835" s="637"/>
      <c r="W835" s="637"/>
      <c r="X835" s="637"/>
      <c r="Y835" s="637"/>
      <c r="Z835" s="637"/>
      <c r="AA835" s="637"/>
      <c r="AB835" s="637"/>
      <c r="AC835" s="637"/>
      <c r="AD835" s="640"/>
      <c r="AE835" s="606"/>
      <c r="AF835" s="606"/>
      <c r="AG835" s="606"/>
      <c r="AH835" s="606"/>
    </row>
    <row r="836" spans="1:34" s="612" customFormat="1" hidden="1" outlineLevel="3" x14ac:dyDescent="0.2">
      <c r="A836" s="606"/>
      <c r="B836" s="606"/>
      <c r="C836" s="607"/>
      <c r="D836" s="608"/>
      <c r="E836" s="608"/>
      <c r="F836" s="608"/>
      <c r="G836" s="608"/>
      <c r="H836" s="609"/>
      <c r="I836" s="637"/>
      <c r="J836" s="637"/>
      <c r="K836" s="637"/>
      <c r="L836" s="637"/>
      <c r="M836" s="637"/>
      <c r="N836" s="637"/>
      <c r="O836" s="637"/>
      <c r="P836" s="637"/>
      <c r="Q836" s="637"/>
      <c r="R836" s="637"/>
      <c r="S836" s="637"/>
      <c r="T836" s="637"/>
      <c r="U836" s="637"/>
      <c r="V836" s="637"/>
      <c r="W836" s="637"/>
      <c r="X836" s="637"/>
      <c r="Y836" s="637"/>
      <c r="Z836" s="637"/>
      <c r="AA836" s="637"/>
      <c r="AB836" s="637"/>
      <c r="AC836" s="637"/>
      <c r="AD836" s="640"/>
      <c r="AE836" s="606"/>
      <c r="AF836" s="606"/>
      <c r="AG836" s="606"/>
      <c r="AH836" s="606"/>
    </row>
    <row r="837" spans="1:34" s="612" customFormat="1" hidden="1" outlineLevel="3" x14ac:dyDescent="0.2">
      <c r="A837" s="606"/>
      <c r="B837" s="606"/>
      <c r="C837" s="607"/>
      <c r="D837" s="608"/>
      <c r="E837" s="608"/>
      <c r="F837" s="608"/>
      <c r="G837" s="608"/>
      <c r="H837" s="609"/>
      <c r="I837" s="637"/>
      <c r="J837" s="637"/>
      <c r="K837" s="637"/>
      <c r="L837" s="637"/>
      <c r="M837" s="637"/>
      <c r="N837" s="637"/>
      <c r="O837" s="637"/>
      <c r="P837" s="637"/>
      <c r="Q837" s="637"/>
      <c r="R837" s="637"/>
      <c r="S837" s="637"/>
      <c r="T837" s="637"/>
      <c r="U837" s="637"/>
      <c r="V837" s="637"/>
      <c r="W837" s="637"/>
      <c r="X837" s="637"/>
      <c r="Y837" s="637"/>
      <c r="Z837" s="637"/>
      <c r="AA837" s="637"/>
      <c r="AB837" s="637"/>
      <c r="AC837" s="637"/>
      <c r="AD837" s="640"/>
      <c r="AE837" s="606"/>
      <c r="AF837" s="606"/>
      <c r="AG837" s="606"/>
      <c r="AH837" s="606"/>
    </row>
    <row r="838" spans="1:34" s="612" customFormat="1" hidden="1" outlineLevel="3" x14ac:dyDescent="0.2">
      <c r="A838" s="606"/>
      <c r="B838" s="606"/>
      <c r="C838" s="607"/>
      <c r="D838" s="608"/>
      <c r="E838" s="608"/>
      <c r="F838" s="608"/>
      <c r="G838" s="608"/>
      <c r="H838" s="609"/>
      <c r="I838" s="637"/>
      <c r="J838" s="637"/>
      <c r="K838" s="637"/>
      <c r="L838" s="637"/>
      <c r="M838" s="637"/>
      <c r="N838" s="637"/>
      <c r="O838" s="637"/>
      <c r="P838" s="637"/>
      <c r="Q838" s="637"/>
      <c r="R838" s="637"/>
      <c r="S838" s="637"/>
      <c r="T838" s="637"/>
      <c r="U838" s="637"/>
      <c r="V838" s="637"/>
      <c r="W838" s="637"/>
      <c r="X838" s="637"/>
      <c r="Y838" s="637"/>
      <c r="Z838" s="637"/>
      <c r="AA838" s="637"/>
      <c r="AB838" s="637"/>
      <c r="AC838" s="637"/>
      <c r="AD838" s="640"/>
      <c r="AE838" s="606"/>
      <c r="AF838" s="606"/>
      <c r="AG838" s="606"/>
      <c r="AH838" s="606"/>
    </row>
    <row r="839" spans="1:34" s="612" customFormat="1" hidden="1" outlineLevel="3" x14ac:dyDescent="0.2">
      <c r="A839" s="606"/>
      <c r="B839" s="606"/>
      <c r="C839" s="607"/>
      <c r="D839" s="608"/>
      <c r="E839" s="608"/>
      <c r="F839" s="608"/>
      <c r="G839" s="608"/>
      <c r="H839" s="609"/>
      <c r="I839" s="637"/>
      <c r="J839" s="637"/>
      <c r="K839" s="637"/>
      <c r="L839" s="637"/>
      <c r="M839" s="637"/>
      <c r="N839" s="637"/>
      <c r="O839" s="637"/>
      <c r="P839" s="637"/>
      <c r="Q839" s="637"/>
      <c r="R839" s="637"/>
      <c r="S839" s="637"/>
      <c r="T839" s="637"/>
      <c r="U839" s="637"/>
      <c r="V839" s="637"/>
      <c r="W839" s="637"/>
      <c r="X839" s="637"/>
      <c r="Y839" s="637"/>
      <c r="Z839" s="637"/>
      <c r="AA839" s="637"/>
      <c r="AB839" s="637"/>
      <c r="AC839" s="637"/>
      <c r="AD839" s="640"/>
      <c r="AE839" s="606"/>
      <c r="AF839" s="606"/>
      <c r="AG839" s="606"/>
      <c r="AH839" s="606"/>
    </row>
    <row r="840" spans="1:34" s="612" customFormat="1" hidden="1" outlineLevel="3" x14ac:dyDescent="0.2">
      <c r="A840" s="606"/>
      <c r="B840" s="606"/>
      <c r="C840" s="607"/>
      <c r="D840" s="608"/>
      <c r="E840" s="608"/>
      <c r="F840" s="608"/>
      <c r="G840" s="608"/>
      <c r="H840" s="609"/>
      <c r="I840" s="637"/>
      <c r="J840" s="637"/>
      <c r="K840" s="637"/>
      <c r="L840" s="637"/>
      <c r="M840" s="637"/>
      <c r="N840" s="637"/>
      <c r="O840" s="637"/>
      <c r="P840" s="637"/>
      <c r="Q840" s="637"/>
      <c r="R840" s="637"/>
      <c r="S840" s="637"/>
      <c r="T840" s="637"/>
      <c r="U840" s="637"/>
      <c r="V840" s="637"/>
      <c r="W840" s="637"/>
      <c r="X840" s="637"/>
      <c r="Y840" s="637"/>
      <c r="Z840" s="637"/>
      <c r="AA840" s="637"/>
      <c r="AB840" s="637"/>
      <c r="AC840" s="637"/>
      <c r="AD840" s="640"/>
      <c r="AE840" s="606"/>
      <c r="AF840" s="606"/>
      <c r="AG840" s="606"/>
      <c r="AH840" s="606"/>
    </row>
    <row r="841" spans="1:34" s="612" customFormat="1" hidden="1" outlineLevel="3" x14ac:dyDescent="0.2">
      <c r="A841" s="606"/>
      <c r="B841" s="606"/>
      <c r="C841" s="607"/>
      <c r="D841" s="608"/>
      <c r="E841" s="608"/>
      <c r="F841" s="608"/>
      <c r="G841" s="608"/>
      <c r="H841" s="609"/>
      <c r="I841" s="637"/>
      <c r="J841" s="637"/>
      <c r="K841" s="637"/>
      <c r="L841" s="637"/>
      <c r="M841" s="637"/>
      <c r="N841" s="637"/>
      <c r="O841" s="637"/>
      <c r="P841" s="637"/>
      <c r="Q841" s="637"/>
      <c r="R841" s="637"/>
      <c r="S841" s="637"/>
      <c r="T841" s="637"/>
      <c r="U841" s="637"/>
      <c r="V841" s="637"/>
      <c r="W841" s="637"/>
      <c r="X841" s="637"/>
      <c r="Y841" s="637"/>
      <c r="Z841" s="637"/>
      <c r="AA841" s="637"/>
      <c r="AB841" s="637"/>
      <c r="AC841" s="637"/>
      <c r="AD841" s="640"/>
      <c r="AE841" s="606"/>
      <c r="AF841" s="606"/>
      <c r="AG841" s="606"/>
      <c r="AH841" s="606"/>
    </row>
    <row r="842" spans="1:34" s="612" customFormat="1" hidden="1" outlineLevel="3" x14ac:dyDescent="0.2">
      <c r="A842" s="606"/>
      <c r="B842" s="606"/>
      <c r="C842" s="607"/>
      <c r="D842" s="608"/>
      <c r="E842" s="608"/>
      <c r="F842" s="608"/>
      <c r="G842" s="608"/>
      <c r="H842" s="609"/>
      <c r="I842" s="637"/>
      <c r="J842" s="637"/>
      <c r="K842" s="637"/>
      <c r="L842" s="637"/>
      <c r="M842" s="637"/>
      <c r="N842" s="637"/>
      <c r="O842" s="637"/>
      <c r="P842" s="637"/>
      <c r="Q842" s="637"/>
      <c r="R842" s="637"/>
      <c r="S842" s="637"/>
      <c r="T842" s="637"/>
      <c r="U842" s="637"/>
      <c r="V842" s="637"/>
      <c r="W842" s="637"/>
      <c r="X842" s="637"/>
      <c r="Y842" s="637"/>
      <c r="Z842" s="637"/>
      <c r="AA842" s="637"/>
      <c r="AB842" s="637"/>
      <c r="AC842" s="637"/>
      <c r="AD842" s="640"/>
      <c r="AE842" s="606"/>
      <c r="AF842" s="606"/>
      <c r="AG842" s="606"/>
      <c r="AH842" s="606"/>
    </row>
    <row r="843" spans="1:34" s="612" customFormat="1" hidden="1" outlineLevel="3" x14ac:dyDescent="0.2">
      <c r="A843" s="606"/>
      <c r="B843" s="606"/>
      <c r="C843" s="607"/>
      <c r="D843" s="608"/>
      <c r="E843" s="608"/>
      <c r="F843" s="608"/>
      <c r="G843" s="608"/>
      <c r="H843" s="609"/>
      <c r="I843" s="637"/>
      <c r="J843" s="637"/>
      <c r="K843" s="637"/>
      <c r="L843" s="637"/>
      <c r="M843" s="637"/>
      <c r="N843" s="637"/>
      <c r="O843" s="637"/>
      <c r="P843" s="637"/>
      <c r="Q843" s="637"/>
      <c r="R843" s="637"/>
      <c r="S843" s="637"/>
      <c r="T843" s="637"/>
      <c r="U843" s="637"/>
      <c r="V843" s="637"/>
      <c r="W843" s="637"/>
      <c r="X843" s="637"/>
      <c r="Y843" s="637"/>
      <c r="Z843" s="637"/>
      <c r="AA843" s="637"/>
      <c r="AB843" s="637"/>
      <c r="AC843" s="637"/>
      <c r="AD843" s="640"/>
      <c r="AE843" s="606"/>
      <c r="AF843" s="606"/>
      <c r="AG843" s="606"/>
      <c r="AH843" s="606"/>
    </row>
    <row r="844" spans="1:34" s="612" customFormat="1" hidden="1" outlineLevel="3" x14ac:dyDescent="0.2">
      <c r="A844" s="606"/>
      <c r="B844" s="606"/>
      <c r="C844" s="607"/>
      <c r="D844" s="608"/>
      <c r="E844" s="608"/>
      <c r="F844" s="608"/>
      <c r="G844" s="608"/>
      <c r="H844" s="609"/>
      <c r="I844" s="637"/>
      <c r="J844" s="637"/>
      <c r="K844" s="637"/>
      <c r="L844" s="637"/>
      <c r="M844" s="637"/>
      <c r="N844" s="637"/>
      <c r="O844" s="637"/>
      <c r="P844" s="637"/>
      <c r="Q844" s="637"/>
      <c r="R844" s="637"/>
      <c r="S844" s="637"/>
      <c r="T844" s="637"/>
      <c r="U844" s="637"/>
      <c r="V844" s="637"/>
      <c r="W844" s="637"/>
      <c r="X844" s="637"/>
      <c r="Y844" s="637"/>
      <c r="Z844" s="637"/>
      <c r="AA844" s="637"/>
      <c r="AB844" s="637"/>
      <c r="AC844" s="637"/>
      <c r="AD844" s="640"/>
      <c r="AE844" s="606"/>
      <c r="AF844" s="606"/>
      <c r="AG844" s="606"/>
      <c r="AH844" s="606"/>
    </row>
    <row r="845" spans="1:34" s="612" customFormat="1" hidden="1" outlineLevel="3" x14ac:dyDescent="0.2">
      <c r="A845" s="606"/>
      <c r="B845" s="606"/>
      <c r="C845" s="607"/>
      <c r="D845" s="608"/>
      <c r="E845" s="608"/>
      <c r="F845" s="608"/>
      <c r="G845" s="608"/>
      <c r="H845" s="609"/>
      <c r="I845" s="637"/>
      <c r="J845" s="637"/>
      <c r="K845" s="637"/>
      <c r="L845" s="637"/>
      <c r="M845" s="637"/>
      <c r="N845" s="637"/>
      <c r="O845" s="637"/>
      <c r="P845" s="637"/>
      <c r="Q845" s="637"/>
      <c r="R845" s="637"/>
      <c r="S845" s="637"/>
      <c r="T845" s="637"/>
      <c r="U845" s="637"/>
      <c r="V845" s="637"/>
      <c r="W845" s="637"/>
      <c r="X845" s="637"/>
      <c r="Y845" s="637"/>
      <c r="Z845" s="637"/>
      <c r="AA845" s="637"/>
      <c r="AB845" s="637"/>
      <c r="AC845" s="637"/>
      <c r="AD845" s="640"/>
      <c r="AE845" s="606"/>
      <c r="AF845" s="606"/>
      <c r="AG845" s="606"/>
      <c r="AH845" s="606"/>
    </row>
    <row r="846" spans="1:34" s="612" customFormat="1" hidden="1" outlineLevel="3" x14ac:dyDescent="0.2">
      <c r="A846" s="606"/>
      <c r="B846" s="606"/>
      <c r="C846" s="607"/>
      <c r="D846" s="608"/>
      <c r="E846" s="608"/>
      <c r="F846" s="608"/>
      <c r="G846" s="608"/>
      <c r="H846" s="609"/>
      <c r="I846" s="637"/>
      <c r="J846" s="637"/>
      <c r="K846" s="637"/>
      <c r="L846" s="637"/>
      <c r="M846" s="637"/>
      <c r="N846" s="637"/>
      <c r="O846" s="637"/>
      <c r="P846" s="637"/>
      <c r="Q846" s="637"/>
      <c r="R846" s="637"/>
      <c r="S846" s="637"/>
      <c r="T846" s="637"/>
      <c r="U846" s="637"/>
      <c r="V846" s="637"/>
      <c r="W846" s="637"/>
      <c r="X846" s="637"/>
      <c r="Y846" s="637"/>
      <c r="Z846" s="637"/>
      <c r="AA846" s="637"/>
      <c r="AB846" s="637"/>
      <c r="AC846" s="637"/>
      <c r="AD846" s="640"/>
      <c r="AE846" s="606"/>
      <c r="AF846" s="606"/>
      <c r="AG846" s="606"/>
      <c r="AH846" s="606"/>
    </row>
    <row r="847" spans="1:34" s="612" customFormat="1" hidden="1" outlineLevel="3" x14ac:dyDescent="0.2">
      <c r="A847" s="606"/>
      <c r="B847" s="606"/>
      <c r="C847" s="607"/>
      <c r="D847" s="608"/>
      <c r="E847" s="608"/>
      <c r="F847" s="608"/>
      <c r="G847" s="608"/>
      <c r="H847" s="609"/>
      <c r="I847" s="637"/>
      <c r="J847" s="637"/>
      <c r="K847" s="637"/>
      <c r="L847" s="637"/>
      <c r="M847" s="637"/>
      <c r="N847" s="637"/>
      <c r="O847" s="637"/>
      <c r="P847" s="637"/>
      <c r="Q847" s="637"/>
      <c r="R847" s="637"/>
      <c r="S847" s="637"/>
      <c r="T847" s="637"/>
      <c r="U847" s="637"/>
      <c r="V847" s="637"/>
      <c r="W847" s="637"/>
      <c r="X847" s="637"/>
      <c r="Y847" s="637"/>
      <c r="Z847" s="637"/>
      <c r="AA847" s="637"/>
      <c r="AB847" s="637"/>
      <c r="AC847" s="637"/>
      <c r="AD847" s="640"/>
      <c r="AE847" s="606"/>
      <c r="AF847" s="606"/>
      <c r="AG847" s="606"/>
      <c r="AH847" s="606"/>
    </row>
    <row r="848" spans="1:34" s="612" customFormat="1" hidden="1" outlineLevel="3" x14ac:dyDescent="0.2">
      <c r="A848" s="606"/>
      <c r="B848" s="606"/>
      <c r="C848" s="607"/>
      <c r="D848" s="608"/>
      <c r="E848" s="608"/>
      <c r="F848" s="608"/>
      <c r="G848" s="608"/>
      <c r="H848" s="609"/>
      <c r="I848" s="637"/>
      <c r="J848" s="637"/>
      <c r="K848" s="637"/>
      <c r="L848" s="637"/>
      <c r="M848" s="637"/>
      <c r="N848" s="637"/>
      <c r="O848" s="637"/>
      <c r="P848" s="637"/>
      <c r="Q848" s="637"/>
      <c r="R848" s="637"/>
      <c r="S848" s="637"/>
      <c r="T848" s="637"/>
      <c r="U848" s="637"/>
      <c r="V848" s="637"/>
      <c r="W848" s="637"/>
      <c r="X848" s="637"/>
      <c r="Y848" s="637"/>
      <c r="Z848" s="637"/>
      <c r="AA848" s="637"/>
      <c r="AB848" s="637"/>
      <c r="AC848" s="637"/>
      <c r="AD848" s="640"/>
      <c r="AE848" s="606"/>
      <c r="AF848" s="606"/>
      <c r="AG848" s="606"/>
      <c r="AH848" s="606"/>
    </row>
    <row r="849" spans="1:34" s="612" customFormat="1" hidden="1" outlineLevel="3" x14ac:dyDescent="0.2">
      <c r="A849" s="606"/>
      <c r="B849" s="606"/>
      <c r="C849" s="607"/>
      <c r="D849" s="608"/>
      <c r="E849" s="608"/>
      <c r="F849" s="608"/>
      <c r="G849" s="608"/>
      <c r="H849" s="609"/>
      <c r="I849" s="637"/>
      <c r="J849" s="637"/>
      <c r="K849" s="637"/>
      <c r="L849" s="637"/>
      <c r="M849" s="637"/>
      <c r="N849" s="637"/>
      <c r="O849" s="637"/>
      <c r="P849" s="637"/>
      <c r="Q849" s="637"/>
      <c r="R849" s="637"/>
      <c r="S849" s="637"/>
      <c r="T849" s="637"/>
      <c r="U849" s="637"/>
      <c r="V849" s="637"/>
      <c r="W849" s="637"/>
      <c r="X849" s="637"/>
      <c r="Y849" s="637"/>
      <c r="Z849" s="637"/>
      <c r="AA849" s="637"/>
      <c r="AB849" s="637"/>
      <c r="AC849" s="637"/>
      <c r="AD849" s="640"/>
      <c r="AE849" s="606"/>
      <c r="AF849" s="606"/>
      <c r="AG849" s="606"/>
      <c r="AH849" s="606"/>
    </row>
    <row r="850" spans="1:34" s="612" customFormat="1" hidden="1" outlineLevel="3" x14ac:dyDescent="0.2">
      <c r="A850" s="606"/>
      <c r="B850" s="606"/>
      <c r="C850" s="607"/>
      <c r="D850" s="608"/>
      <c r="E850" s="608"/>
      <c r="F850" s="608"/>
      <c r="G850" s="608"/>
      <c r="H850" s="609"/>
      <c r="I850" s="637"/>
      <c r="J850" s="637"/>
      <c r="K850" s="637"/>
      <c r="L850" s="637"/>
      <c r="M850" s="637"/>
      <c r="N850" s="637"/>
      <c r="O850" s="637"/>
      <c r="P850" s="637"/>
      <c r="Q850" s="637"/>
      <c r="R850" s="637"/>
      <c r="S850" s="637"/>
      <c r="T850" s="637"/>
      <c r="U850" s="637"/>
      <c r="V850" s="637"/>
      <c r="W850" s="637"/>
      <c r="X850" s="637"/>
      <c r="Y850" s="637"/>
      <c r="Z850" s="637"/>
      <c r="AA850" s="637"/>
      <c r="AB850" s="637"/>
      <c r="AC850" s="637"/>
      <c r="AD850" s="640"/>
      <c r="AE850" s="606"/>
      <c r="AF850" s="606"/>
      <c r="AG850" s="606"/>
      <c r="AH850" s="606"/>
    </row>
    <row r="851" spans="1:34" s="612" customFormat="1" hidden="1" outlineLevel="3" x14ac:dyDescent="0.2">
      <c r="A851" s="606"/>
      <c r="B851" s="606"/>
      <c r="C851" s="607"/>
      <c r="D851" s="608"/>
      <c r="E851" s="608"/>
      <c r="F851" s="608"/>
      <c r="G851" s="608"/>
      <c r="H851" s="609"/>
      <c r="I851" s="637"/>
      <c r="J851" s="637"/>
      <c r="K851" s="637"/>
      <c r="L851" s="637"/>
      <c r="M851" s="637"/>
      <c r="N851" s="637"/>
      <c r="O851" s="637"/>
      <c r="P851" s="637"/>
      <c r="Q851" s="637"/>
      <c r="R851" s="637"/>
      <c r="S851" s="637"/>
      <c r="T851" s="637"/>
      <c r="U851" s="637"/>
      <c r="V851" s="637"/>
      <c r="W851" s="637"/>
      <c r="X851" s="637"/>
      <c r="Y851" s="637"/>
      <c r="Z851" s="637"/>
      <c r="AA851" s="637"/>
      <c r="AB851" s="637"/>
      <c r="AC851" s="637"/>
      <c r="AD851" s="640"/>
      <c r="AE851" s="606"/>
      <c r="AF851" s="606"/>
      <c r="AG851" s="606"/>
      <c r="AH851" s="606"/>
    </row>
    <row r="852" spans="1:34" s="612" customFormat="1" hidden="1" outlineLevel="3" x14ac:dyDescent="0.2">
      <c r="A852" s="606"/>
      <c r="B852" s="606"/>
      <c r="C852" s="607"/>
      <c r="D852" s="608"/>
      <c r="E852" s="608"/>
      <c r="F852" s="608"/>
      <c r="G852" s="608"/>
      <c r="H852" s="609"/>
      <c r="I852" s="637"/>
      <c r="J852" s="637"/>
      <c r="K852" s="637"/>
      <c r="L852" s="637"/>
      <c r="M852" s="637"/>
      <c r="N852" s="637"/>
      <c r="O852" s="637"/>
      <c r="P852" s="637"/>
      <c r="Q852" s="637"/>
      <c r="R852" s="637"/>
      <c r="S852" s="637"/>
      <c r="T852" s="637"/>
      <c r="U852" s="637"/>
      <c r="V852" s="637"/>
      <c r="W852" s="637"/>
      <c r="X852" s="637"/>
      <c r="Y852" s="637"/>
      <c r="Z852" s="637"/>
      <c r="AA852" s="637"/>
      <c r="AB852" s="637"/>
      <c r="AC852" s="637"/>
      <c r="AD852" s="640"/>
      <c r="AE852" s="606"/>
      <c r="AF852" s="606"/>
      <c r="AG852" s="606"/>
      <c r="AH852" s="606"/>
    </row>
    <row r="853" spans="1:34" s="612" customFormat="1" hidden="1" outlineLevel="3" x14ac:dyDescent="0.2">
      <c r="A853" s="606"/>
      <c r="B853" s="606"/>
      <c r="C853" s="607"/>
      <c r="D853" s="608"/>
      <c r="E853" s="608"/>
      <c r="F853" s="608"/>
      <c r="G853" s="608"/>
      <c r="H853" s="609"/>
      <c r="I853" s="637"/>
      <c r="J853" s="637"/>
      <c r="K853" s="637"/>
      <c r="L853" s="637"/>
      <c r="M853" s="637"/>
      <c r="N853" s="637"/>
      <c r="O853" s="637"/>
      <c r="P853" s="637"/>
      <c r="Q853" s="637"/>
      <c r="R853" s="637"/>
      <c r="S853" s="637"/>
      <c r="T853" s="637"/>
      <c r="U853" s="637"/>
      <c r="V853" s="637"/>
      <c r="W853" s="637"/>
      <c r="X853" s="637"/>
      <c r="Y853" s="637"/>
      <c r="Z853" s="637"/>
      <c r="AA853" s="637"/>
      <c r="AB853" s="637"/>
      <c r="AC853" s="637"/>
      <c r="AD853" s="640"/>
      <c r="AE853" s="606"/>
      <c r="AF853" s="606"/>
      <c r="AG853" s="606"/>
      <c r="AH853" s="606"/>
    </row>
    <row r="854" spans="1:34" s="612" customFormat="1" hidden="1" outlineLevel="3" x14ac:dyDescent="0.2">
      <c r="A854" s="606"/>
      <c r="B854" s="606"/>
      <c r="C854" s="607"/>
      <c r="D854" s="608"/>
      <c r="E854" s="608"/>
      <c r="F854" s="608"/>
      <c r="G854" s="608"/>
      <c r="H854" s="609"/>
      <c r="I854" s="637"/>
      <c r="J854" s="637"/>
      <c r="K854" s="637"/>
      <c r="L854" s="637"/>
      <c r="M854" s="637"/>
      <c r="N854" s="637"/>
      <c r="O854" s="637"/>
      <c r="P854" s="637"/>
      <c r="Q854" s="637"/>
      <c r="R854" s="637"/>
      <c r="S854" s="637"/>
      <c r="T854" s="637"/>
      <c r="U854" s="637"/>
      <c r="V854" s="637"/>
      <c r="W854" s="637"/>
      <c r="X854" s="637"/>
      <c r="Y854" s="637"/>
      <c r="Z854" s="637"/>
      <c r="AA854" s="637"/>
      <c r="AB854" s="637"/>
      <c r="AC854" s="637"/>
      <c r="AD854" s="640"/>
      <c r="AE854" s="606"/>
      <c r="AF854" s="606"/>
      <c r="AG854" s="606"/>
      <c r="AH854" s="606"/>
    </row>
    <row r="855" spans="1:34" s="612" customFormat="1" hidden="1" outlineLevel="3" x14ac:dyDescent="0.2">
      <c r="A855" s="606"/>
      <c r="B855" s="606"/>
      <c r="C855" s="607"/>
      <c r="D855" s="608"/>
      <c r="E855" s="608"/>
      <c r="F855" s="608"/>
      <c r="G855" s="608"/>
      <c r="H855" s="609"/>
      <c r="I855" s="637"/>
      <c r="J855" s="637"/>
      <c r="K855" s="637"/>
      <c r="L855" s="637"/>
      <c r="M855" s="637"/>
      <c r="N855" s="637"/>
      <c r="O855" s="637"/>
      <c r="P855" s="637"/>
      <c r="Q855" s="637"/>
      <c r="R855" s="637"/>
      <c r="S855" s="637"/>
      <c r="T855" s="637"/>
      <c r="U855" s="637"/>
      <c r="V855" s="637"/>
      <c r="W855" s="637"/>
      <c r="X855" s="637"/>
      <c r="Y855" s="637"/>
      <c r="Z855" s="637"/>
      <c r="AA855" s="637"/>
      <c r="AB855" s="637"/>
      <c r="AC855" s="637"/>
      <c r="AD855" s="640"/>
      <c r="AE855" s="606"/>
      <c r="AF855" s="606"/>
      <c r="AG855" s="606"/>
      <c r="AH855" s="606"/>
    </row>
    <row r="856" spans="1:34" s="612" customFormat="1" hidden="1" outlineLevel="3" x14ac:dyDescent="0.2">
      <c r="A856" s="606"/>
      <c r="B856" s="606"/>
      <c r="C856" s="607"/>
      <c r="D856" s="608"/>
      <c r="E856" s="608"/>
      <c r="F856" s="608"/>
      <c r="G856" s="608"/>
      <c r="H856" s="609"/>
      <c r="I856" s="637"/>
      <c r="J856" s="637"/>
      <c r="K856" s="637"/>
      <c r="L856" s="637"/>
      <c r="M856" s="637"/>
      <c r="N856" s="637"/>
      <c r="O856" s="637"/>
      <c r="P856" s="637"/>
      <c r="Q856" s="637"/>
      <c r="R856" s="637"/>
      <c r="S856" s="637"/>
      <c r="T856" s="637"/>
      <c r="U856" s="637"/>
      <c r="V856" s="637"/>
      <c r="W856" s="637"/>
      <c r="X856" s="637"/>
      <c r="Y856" s="637"/>
      <c r="Z856" s="637"/>
      <c r="AA856" s="637"/>
      <c r="AB856" s="637"/>
      <c r="AC856" s="637"/>
      <c r="AD856" s="640"/>
      <c r="AE856" s="606"/>
      <c r="AF856" s="606"/>
      <c r="AG856" s="606"/>
      <c r="AH856" s="606"/>
    </row>
    <row r="857" spans="1:34" s="612" customFormat="1" hidden="1" outlineLevel="3" x14ac:dyDescent="0.2">
      <c r="A857" s="606"/>
      <c r="B857" s="606"/>
      <c r="C857" s="607"/>
      <c r="D857" s="608"/>
      <c r="E857" s="608"/>
      <c r="F857" s="608"/>
      <c r="G857" s="608"/>
      <c r="H857" s="609"/>
      <c r="I857" s="637"/>
      <c r="J857" s="637"/>
      <c r="K857" s="637"/>
      <c r="L857" s="637"/>
      <c r="M857" s="637"/>
      <c r="N857" s="637"/>
      <c r="O857" s="637"/>
      <c r="P857" s="637"/>
      <c r="Q857" s="637"/>
      <c r="R857" s="637"/>
      <c r="S857" s="637"/>
      <c r="T857" s="637"/>
      <c r="U857" s="637"/>
      <c r="V857" s="637"/>
      <c r="W857" s="637"/>
      <c r="X857" s="637"/>
      <c r="Y857" s="637"/>
      <c r="Z857" s="637"/>
      <c r="AA857" s="637"/>
      <c r="AB857" s="637"/>
      <c r="AC857" s="637"/>
      <c r="AD857" s="640"/>
      <c r="AE857" s="606"/>
      <c r="AF857" s="606"/>
      <c r="AG857" s="606"/>
      <c r="AH857" s="606"/>
    </row>
    <row r="858" spans="1:34" s="612" customFormat="1" hidden="1" outlineLevel="3" x14ac:dyDescent="0.2">
      <c r="A858" s="606"/>
      <c r="B858" s="606"/>
      <c r="C858" s="607"/>
      <c r="D858" s="608"/>
      <c r="E858" s="608"/>
      <c r="F858" s="608"/>
      <c r="G858" s="608"/>
      <c r="H858" s="609"/>
      <c r="I858" s="637"/>
      <c r="J858" s="637"/>
      <c r="K858" s="637"/>
      <c r="L858" s="637"/>
      <c r="M858" s="637"/>
      <c r="N858" s="637"/>
      <c r="O858" s="637"/>
      <c r="P858" s="637"/>
      <c r="Q858" s="637"/>
      <c r="R858" s="637"/>
      <c r="S858" s="637"/>
      <c r="T858" s="637"/>
      <c r="U858" s="637"/>
      <c r="V858" s="637"/>
      <c r="W858" s="637"/>
      <c r="X858" s="637"/>
      <c r="Y858" s="637"/>
      <c r="Z858" s="637"/>
      <c r="AA858" s="637"/>
      <c r="AB858" s="637"/>
      <c r="AC858" s="637"/>
      <c r="AD858" s="640"/>
      <c r="AE858" s="606"/>
      <c r="AF858" s="606"/>
      <c r="AG858" s="606"/>
      <c r="AH858" s="606"/>
    </row>
    <row r="859" spans="1:34" s="612" customFormat="1" hidden="1" outlineLevel="3" x14ac:dyDescent="0.2">
      <c r="A859" s="606"/>
      <c r="B859" s="606"/>
      <c r="C859" s="607"/>
      <c r="D859" s="608"/>
      <c r="E859" s="608"/>
      <c r="F859" s="608"/>
      <c r="G859" s="608"/>
      <c r="H859" s="609"/>
      <c r="I859" s="637"/>
      <c r="J859" s="637"/>
      <c r="K859" s="637"/>
      <c r="L859" s="637"/>
      <c r="M859" s="637"/>
      <c r="N859" s="637"/>
      <c r="O859" s="637"/>
      <c r="P859" s="637"/>
      <c r="Q859" s="637"/>
      <c r="R859" s="637"/>
      <c r="S859" s="637"/>
      <c r="T859" s="637"/>
      <c r="U859" s="637"/>
      <c r="V859" s="637"/>
      <c r="W859" s="637"/>
      <c r="X859" s="637"/>
      <c r="Y859" s="637"/>
      <c r="Z859" s="637"/>
      <c r="AA859" s="637"/>
      <c r="AB859" s="637"/>
      <c r="AC859" s="637"/>
      <c r="AD859" s="640"/>
      <c r="AE859" s="606"/>
      <c r="AF859" s="606"/>
      <c r="AG859" s="606"/>
      <c r="AH859" s="606"/>
    </row>
    <row r="860" spans="1:34" s="612" customFormat="1" hidden="1" outlineLevel="3" x14ac:dyDescent="0.2">
      <c r="A860" s="606"/>
      <c r="B860" s="606"/>
      <c r="C860" s="607"/>
      <c r="D860" s="608"/>
      <c r="E860" s="608"/>
      <c r="F860" s="608"/>
      <c r="G860" s="608"/>
      <c r="H860" s="609"/>
      <c r="I860" s="637"/>
      <c r="J860" s="637"/>
      <c r="K860" s="637"/>
      <c r="L860" s="637"/>
      <c r="M860" s="637"/>
      <c r="N860" s="637"/>
      <c r="O860" s="637"/>
      <c r="P860" s="637"/>
      <c r="Q860" s="637"/>
      <c r="R860" s="637"/>
      <c r="S860" s="637"/>
      <c r="T860" s="637"/>
      <c r="U860" s="637"/>
      <c r="V860" s="637"/>
      <c r="W860" s="637"/>
      <c r="X860" s="637"/>
      <c r="Y860" s="637"/>
      <c r="Z860" s="637"/>
      <c r="AA860" s="637"/>
      <c r="AB860" s="637"/>
      <c r="AC860" s="637"/>
      <c r="AD860" s="640"/>
      <c r="AE860" s="606"/>
      <c r="AF860" s="606"/>
      <c r="AG860" s="606"/>
      <c r="AH860" s="606"/>
    </row>
    <row r="861" spans="1:34" s="612" customFormat="1" hidden="1" outlineLevel="3" x14ac:dyDescent="0.2">
      <c r="A861" s="606"/>
      <c r="B861" s="606"/>
      <c r="C861" s="607"/>
      <c r="D861" s="608"/>
      <c r="E861" s="608"/>
      <c r="F861" s="608"/>
      <c r="G861" s="608"/>
      <c r="H861" s="609"/>
      <c r="I861" s="637"/>
      <c r="J861" s="637"/>
      <c r="K861" s="637"/>
      <c r="L861" s="637"/>
      <c r="M861" s="637"/>
      <c r="N861" s="637"/>
      <c r="O861" s="637"/>
      <c r="P861" s="637"/>
      <c r="Q861" s="637"/>
      <c r="R861" s="637"/>
      <c r="S861" s="637"/>
      <c r="T861" s="637"/>
      <c r="U861" s="637"/>
      <c r="V861" s="637"/>
      <c r="W861" s="637"/>
      <c r="X861" s="637"/>
      <c r="Y861" s="637"/>
      <c r="Z861" s="637"/>
      <c r="AA861" s="637"/>
      <c r="AB861" s="637"/>
      <c r="AC861" s="637"/>
      <c r="AD861" s="640"/>
      <c r="AE861" s="606"/>
      <c r="AF861" s="606"/>
      <c r="AG861" s="606"/>
      <c r="AH861" s="606"/>
    </row>
    <row r="862" spans="1:34" s="612" customFormat="1" hidden="1" outlineLevel="3" x14ac:dyDescent="0.2">
      <c r="A862" s="606"/>
      <c r="B862" s="606"/>
      <c r="C862" s="607"/>
      <c r="D862" s="608"/>
      <c r="E862" s="608"/>
      <c r="F862" s="608"/>
      <c r="G862" s="608"/>
      <c r="H862" s="609"/>
      <c r="I862" s="637"/>
      <c r="J862" s="637"/>
      <c r="K862" s="637"/>
      <c r="L862" s="637"/>
      <c r="M862" s="637"/>
      <c r="N862" s="637"/>
      <c r="O862" s="637"/>
      <c r="P862" s="637"/>
      <c r="Q862" s="637"/>
      <c r="R862" s="637"/>
      <c r="S862" s="637"/>
      <c r="T862" s="637"/>
      <c r="U862" s="637"/>
      <c r="V862" s="637"/>
      <c r="W862" s="637"/>
      <c r="X862" s="637"/>
      <c r="Y862" s="637"/>
      <c r="Z862" s="637"/>
      <c r="AA862" s="637"/>
      <c r="AB862" s="637"/>
      <c r="AC862" s="637"/>
      <c r="AD862" s="640"/>
      <c r="AE862" s="606"/>
      <c r="AF862" s="606"/>
      <c r="AG862" s="606"/>
      <c r="AH862" s="606"/>
    </row>
    <row r="863" spans="1:34" s="612" customFormat="1" hidden="1" outlineLevel="3" x14ac:dyDescent="0.2">
      <c r="A863" s="606"/>
      <c r="B863" s="606"/>
      <c r="C863" s="607"/>
      <c r="D863" s="608"/>
      <c r="E863" s="608"/>
      <c r="F863" s="608"/>
      <c r="G863" s="608"/>
      <c r="H863" s="609"/>
      <c r="I863" s="637"/>
      <c r="J863" s="637"/>
      <c r="K863" s="637"/>
      <c r="L863" s="637"/>
      <c r="M863" s="637"/>
      <c r="N863" s="637"/>
      <c r="O863" s="637"/>
      <c r="P863" s="637"/>
      <c r="Q863" s="637"/>
      <c r="R863" s="637"/>
      <c r="S863" s="637"/>
      <c r="T863" s="637"/>
      <c r="U863" s="637"/>
      <c r="V863" s="637"/>
      <c r="W863" s="637"/>
      <c r="X863" s="637"/>
      <c r="Y863" s="637"/>
      <c r="Z863" s="637"/>
      <c r="AA863" s="637"/>
      <c r="AB863" s="637"/>
      <c r="AC863" s="637"/>
      <c r="AD863" s="640"/>
      <c r="AE863" s="606"/>
      <c r="AF863" s="606"/>
      <c r="AG863" s="606"/>
      <c r="AH863" s="606"/>
    </row>
    <row r="864" spans="1:34" s="612" customFormat="1" hidden="1" outlineLevel="3" x14ac:dyDescent="0.2">
      <c r="A864" s="606"/>
      <c r="B864" s="606"/>
      <c r="C864" s="607"/>
      <c r="D864" s="608"/>
      <c r="E864" s="608"/>
      <c r="F864" s="608"/>
      <c r="G864" s="608"/>
      <c r="H864" s="609"/>
      <c r="I864" s="637"/>
      <c r="J864" s="637"/>
      <c r="K864" s="637"/>
      <c r="L864" s="637"/>
      <c r="M864" s="637"/>
      <c r="N864" s="637"/>
      <c r="O864" s="637"/>
      <c r="P864" s="637"/>
      <c r="Q864" s="637"/>
      <c r="R864" s="637"/>
      <c r="S864" s="637"/>
      <c r="T864" s="637"/>
      <c r="U864" s="637"/>
      <c r="V864" s="637"/>
      <c r="W864" s="637"/>
      <c r="X864" s="637"/>
      <c r="Y864" s="637"/>
      <c r="Z864" s="637"/>
      <c r="AA864" s="637"/>
      <c r="AB864" s="637"/>
      <c r="AC864" s="637"/>
      <c r="AD864" s="640"/>
      <c r="AE864" s="606"/>
      <c r="AF864" s="606"/>
      <c r="AG864" s="606"/>
      <c r="AH864" s="606"/>
    </row>
    <row r="865" spans="1:34" s="612" customFormat="1" hidden="1" outlineLevel="2" collapsed="1" x14ac:dyDescent="0.2">
      <c r="A865" s="606"/>
      <c r="B865" s="606"/>
      <c r="C865" s="638"/>
      <c r="D865" s="608"/>
      <c r="E865" s="608"/>
      <c r="F865" s="608"/>
      <c r="G865" s="608"/>
      <c r="H865" s="609"/>
      <c r="I865" s="639"/>
      <c r="J865" s="639"/>
      <c r="K865" s="639"/>
      <c r="L865" s="639"/>
      <c r="M865" s="639"/>
      <c r="N865" s="639"/>
      <c r="O865" s="639"/>
      <c r="P865" s="639"/>
      <c r="Q865" s="639"/>
      <c r="R865" s="639"/>
      <c r="S865" s="639"/>
      <c r="T865" s="639"/>
      <c r="U865" s="639"/>
      <c r="V865" s="639"/>
      <c r="W865" s="639"/>
      <c r="X865" s="639"/>
      <c r="Y865" s="639"/>
      <c r="Z865" s="639"/>
      <c r="AA865" s="639"/>
      <c r="AB865" s="639"/>
      <c r="AC865" s="639"/>
      <c r="AD865" s="606"/>
      <c r="AE865" s="606"/>
      <c r="AF865" s="606"/>
      <c r="AG865" s="606"/>
    </row>
    <row r="866" spans="1:34" s="612" customFormat="1" outlineLevel="1" collapsed="1" x14ac:dyDescent="0.2">
      <c r="A866" s="606"/>
      <c r="B866" s="606"/>
      <c r="C866" s="613"/>
      <c r="D866" s="609"/>
      <c r="E866" s="609"/>
      <c r="F866" s="609"/>
      <c r="G866" s="609"/>
      <c r="H866" s="609"/>
      <c r="I866" s="643"/>
      <c r="J866" s="643"/>
      <c r="K866" s="644"/>
      <c r="L866" s="644"/>
      <c r="M866" s="644"/>
      <c r="N866" s="645"/>
      <c r="O866" s="645"/>
      <c r="P866" s="645"/>
      <c r="Q866" s="645"/>
      <c r="R866" s="645"/>
      <c r="S866" s="646"/>
      <c r="T866" s="646"/>
      <c r="U866" s="646"/>
      <c r="V866" s="646"/>
      <c r="W866" s="646"/>
      <c r="X866" s="646"/>
      <c r="Y866" s="646"/>
      <c r="Z866" s="646"/>
      <c r="AA866" s="646"/>
      <c r="AB866" s="646"/>
      <c r="AC866" s="646"/>
      <c r="AD866" s="646"/>
      <c r="AE866" s="606"/>
      <c r="AF866" s="606"/>
      <c r="AG866" s="606"/>
      <c r="AH866" s="606"/>
    </row>
    <row r="867" spans="1:34" s="612" customFormat="1" x14ac:dyDescent="0.2">
      <c r="A867" s="606"/>
      <c r="B867" s="606"/>
      <c r="C867" s="623"/>
      <c r="D867" s="617"/>
      <c r="E867" s="617"/>
      <c r="F867" s="617"/>
      <c r="G867" s="618"/>
      <c r="H867" s="618"/>
      <c r="I867" s="618"/>
      <c r="J867" s="617"/>
      <c r="K867" s="617"/>
      <c r="L867" s="617"/>
      <c r="M867" s="617"/>
      <c r="N867" s="622"/>
      <c r="O867" s="622"/>
      <c r="P867" s="622"/>
      <c r="Q867" s="622"/>
      <c r="R867" s="622"/>
      <c r="S867" s="606"/>
      <c r="T867" s="606"/>
      <c r="U867" s="606"/>
      <c r="V867" s="606"/>
      <c r="W867" s="606"/>
      <c r="X867" s="606"/>
      <c r="Y867" s="606"/>
      <c r="Z867" s="606"/>
      <c r="AA867" s="606"/>
      <c r="AB867" s="606"/>
      <c r="AC867" s="606"/>
      <c r="AD867" s="606"/>
      <c r="AE867" s="606"/>
      <c r="AF867" s="606"/>
      <c r="AG867" s="606"/>
      <c r="AH867" s="606"/>
    </row>
    <row r="868" spans="1:34" ht="12.75" x14ac:dyDescent="0.2">
      <c r="A868" s="11"/>
      <c r="B868" s="12" t="str">
        <f>"Calculation table 22 | "&amp;previousyear&amp;" revenue - CONFIDENTIAL tariffs"</f>
        <v>Calculation table 22 | 2020–21 revenue - CONFIDENTIAL tariffs</v>
      </c>
      <c r="C868" s="11"/>
      <c r="D868" s="32" t="str">
        <f>D5</f>
        <v>Tariff class</v>
      </c>
      <c r="E868" s="32" t="str">
        <f>tariffid1</f>
        <v>Code</v>
      </c>
      <c r="F868" s="32" t="str">
        <f>tariffid2</f>
        <v>Trans. Node</v>
      </c>
      <c r="G868" s="32" t="str">
        <f>tariffid2</f>
        <v>Trans. Node</v>
      </c>
      <c r="H868" s="32"/>
      <c r="I868" s="183" t="str">
        <f t="shared" ref="I868:AB868" si="72">I5</f>
        <v>Service</v>
      </c>
      <c r="J868" s="183" t="str">
        <f t="shared" si="72"/>
        <v>All energy</v>
      </c>
      <c r="K868" s="183" t="str">
        <f t="shared" si="72"/>
        <v>Peak energy</v>
      </c>
      <c r="L868" s="183" t="str">
        <f t="shared" si="72"/>
        <v>Shoulder energy</v>
      </c>
      <c r="M868" s="183" t="str">
        <f t="shared" si="72"/>
        <v>Off-peak energy</v>
      </c>
      <c r="N868" s="183" t="str">
        <f t="shared" si="72"/>
        <v>All demand</v>
      </c>
      <c r="O868" s="183" t="str">
        <f t="shared" si="72"/>
        <v>Peak demand</v>
      </c>
      <c r="P868" s="183" t="str">
        <f t="shared" si="72"/>
        <v>Off-peak demand</v>
      </c>
      <c r="Q868" s="183" t="str">
        <f t="shared" si="72"/>
        <v>Specified demand</v>
      </c>
      <c r="R868" s="183" t="str">
        <f t="shared" si="72"/>
        <v>Excess daily demand</v>
      </c>
      <c r="S868" s="183" t="str">
        <f t="shared" si="72"/>
        <v>Daily demand connection</v>
      </c>
      <c r="T868" s="183" t="str">
        <f t="shared" si="72"/>
        <v>Excess daily demand connection</v>
      </c>
      <c r="U868" s="183" t="str">
        <f t="shared" si="72"/>
        <v>All demand (lamps)</v>
      </c>
      <c r="V868" s="183">
        <f t="shared" si="72"/>
        <v>0</v>
      </c>
      <c r="W868" s="183">
        <f t="shared" si="72"/>
        <v>0</v>
      </c>
      <c r="X868" s="183">
        <f t="shared" si="72"/>
        <v>0</v>
      </c>
      <c r="Y868" s="183">
        <f t="shared" si="72"/>
        <v>0</v>
      </c>
      <c r="Z868" s="183">
        <f t="shared" si="72"/>
        <v>0</v>
      </c>
      <c r="AA868" s="183">
        <f t="shared" si="72"/>
        <v>0</v>
      </c>
      <c r="AB868" s="183">
        <f t="shared" si="72"/>
        <v>0</v>
      </c>
      <c r="AC868" s="204" t="s">
        <v>240</v>
      </c>
      <c r="AD868" s="32"/>
      <c r="AE868" s="32"/>
      <c r="AF868" s="15"/>
      <c r="AG868" s="15"/>
      <c r="AH868" s="15"/>
    </row>
    <row r="869" spans="1:34" outlineLevel="1" x14ac:dyDescent="0.2">
      <c r="A869" s="19"/>
      <c r="B869" s="19"/>
      <c r="C869" s="36"/>
      <c r="D869" s="20"/>
      <c r="E869" s="20"/>
      <c r="F869" s="20"/>
      <c r="G869" s="22"/>
      <c r="H869" s="22"/>
      <c r="I869" s="170" t="str">
        <f t="shared" ref="I869:AB869" si="73">I6</f>
        <v>$dollars</v>
      </c>
      <c r="J869" s="170" t="str">
        <f t="shared" si="73"/>
        <v>$dollars</v>
      </c>
      <c r="K869" s="170" t="str">
        <f t="shared" si="73"/>
        <v>$dollars</v>
      </c>
      <c r="L869" s="170" t="str">
        <f t="shared" si="73"/>
        <v>$dollars</v>
      </c>
      <c r="M869" s="170" t="str">
        <f t="shared" si="73"/>
        <v>$dollars</v>
      </c>
      <c r="N869" s="170" t="str">
        <f t="shared" si="73"/>
        <v>$dollars</v>
      </c>
      <c r="O869" s="170" t="str">
        <f t="shared" si="73"/>
        <v>$dollars</v>
      </c>
      <c r="P869" s="170" t="str">
        <f t="shared" si="73"/>
        <v>$dollars</v>
      </c>
      <c r="Q869" s="170" t="str">
        <f t="shared" si="73"/>
        <v>$dollars</v>
      </c>
      <c r="R869" s="170" t="str">
        <f t="shared" si="73"/>
        <v>$dollars</v>
      </c>
      <c r="S869" s="170" t="str">
        <f t="shared" si="73"/>
        <v>$dollars</v>
      </c>
      <c r="T869" s="170" t="str">
        <f t="shared" si="73"/>
        <v>$dollars</v>
      </c>
      <c r="U869" s="170" t="str">
        <f t="shared" si="73"/>
        <v>$dollars</v>
      </c>
      <c r="V869" s="170">
        <f t="shared" si="73"/>
        <v>0</v>
      </c>
      <c r="W869" s="170">
        <f t="shared" si="73"/>
        <v>0</v>
      </c>
      <c r="X869" s="170">
        <f t="shared" si="73"/>
        <v>0</v>
      </c>
      <c r="Y869" s="170">
        <f t="shared" si="73"/>
        <v>0</v>
      </c>
      <c r="Z869" s="170">
        <f t="shared" si="73"/>
        <v>0</v>
      </c>
      <c r="AA869" s="170">
        <f t="shared" si="73"/>
        <v>0</v>
      </c>
      <c r="AB869" s="170">
        <f t="shared" si="73"/>
        <v>0</v>
      </c>
      <c r="AC869" s="170" t="str">
        <f>IF(AC868=0,0,dollars)</f>
        <v>$dollars</v>
      </c>
      <c r="AD869" s="22"/>
      <c r="AE869" s="19"/>
      <c r="AF869" s="19"/>
      <c r="AG869" s="19"/>
      <c r="AH869" s="19"/>
    </row>
    <row r="870" spans="1:34" outlineLevel="1" x14ac:dyDescent="0.2">
      <c r="A870" s="19"/>
      <c r="B870" s="19"/>
      <c r="C870" s="167" t="s">
        <v>549</v>
      </c>
      <c r="D870" s="512"/>
      <c r="E870" s="20"/>
      <c r="F870" s="20"/>
      <c r="G870" s="22"/>
      <c r="H870" s="22"/>
      <c r="I870" s="170"/>
      <c r="J870" s="170"/>
      <c r="K870" s="170"/>
      <c r="L870" s="170"/>
      <c r="M870" s="170"/>
      <c r="N870" s="170"/>
      <c r="O870" s="170"/>
      <c r="P870" s="170"/>
      <c r="Q870" s="170"/>
      <c r="R870" s="170"/>
      <c r="S870" s="170"/>
      <c r="T870" s="170"/>
      <c r="U870" s="170"/>
      <c r="V870" s="170"/>
      <c r="W870" s="170"/>
      <c r="X870" s="170"/>
      <c r="Y870" s="170"/>
      <c r="Z870" s="170"/>
      <c r="AA870" s="170"/>
      <c r="AB870" s="170"/>
      <c r="AC870" s="170"/>
      <c r="AD870" s="22"/>
      <c r="AE870" s="19"/>
      <c r="AF870" s="19"/>
      <c r="AG870" s="19"/>
      <c r="AH870" s="19"/>
    </row>
    <row r="871" spans="1:34" outlineLevel="1" x14ac:dyDescent="0.2">
      <c r="A871" s="19"/>
      <c r="B871" s="19"/>
      <c r="C871" s="256" t="s">
        <v>136</v>
      </c>
      <c r="D871" s="320">
        <v>5062981.752675903</v>
      </c>
      <c r="E871" s="20"/>
      <c r="F871" s="20"/>
      <c r="H871" s="22"/>
      <c r="I871" s="170"/>
      <c r="J871" s="170"/>
      <c r="K871" s="170"/>
      <c r="L871" s="170"/>
      <c r="M871" s="170"/>
      <c r="N871" s="170"/>
      <c r="O871" s="170"/>
      <c r="P871" s="170"/>
      <c r="Q871" s="170"/>
      <c r="R871" s="170"/>
      <c r="S871" s="170"/>
      <c r="T871" s="170"/>
      <c r="U871" s="170"/>
      <c r="V871" s="170"/>
      <c r="W871" s="170"/>
      <c r="X871" s="170"/>
      <c r="Y871" s="170"/>
      <c r="Z871" s="170"/>
      <c r="AA871" s="170"/>
      <c r="AB871" s="170"/>
      <c r="AC871" s="170"/>
      <c r="AD871" s="22"/>
      <c r="AE871" s="19"/>
      <c r="AF871" s="19"/>
      <c r="AG871" s="19"/>
      <c r="AH871" s="19"/>
    </row>
    <row r="872" spans="1:34" outlineLevel="1" x14ac:dyDescent="0.2">
      <c r="A872" s="19"/>
      <c r="B872" s="19"/>
      <c r="C872" s="256" t="s">
        <v>219</v>
      </c>
      <c r="D872" s="320">
        <v>5309515.2351592379</v>
      </c>
      <c r="E872" s="20"/>
      <c r="F872" s="20"/>
      <c r="H872" s="22"/>
      <c r="I872" s="170"/>
      <c r="J872" s="170"/>
      <c r="K872" s="170"/>
      <c r="L872" s="170"/>
      <c r="M872" s="170"/>
      <c r="N872" s="170"/>
      <c r="O872" s="170"/>
      <c r="P872" s="170"/>
      <c r="Q872" s="170"/>
      <c r="R872" s="170"/>
      <c r="S872" s="170"/>
      <c r="T872" s="170"/>
      <c r="U872" s="170"/>
      <c r="V872" s="170"/>
      <c r="W872" s="170"/>
      <c r="X872" s="170"/>
      <c r="Y872" s="170"/>
      <c r="Z872" s="170"/>
      <c r="AA872" s="170"/>
      <c r="AB872" s="170"/>
      <c r="AC872" s="170"/>
      <c r="AD872" s="22"/>
      <c r="AE872" s="19"/>
      <c r="AF872" s="19"/>
      <c r="AG872" s="19"/>
      <c r="AH872" s="19"/>
    </row>
    <row r="873" spans="1:34" outlineLevel="1" x14ac:dyDescent="0.2">
      <c r="A873" s="19"/>
      <c r="B873" s="19"/>
      <c r="C873" s="256" t="s">
        <v>220</v>
      </c>
      <c r="D873" s="320">
        <v>0</v>
      </c>
      <c r="E873" s="20"/>
      <c r="F873" s="20"/>
      <c r="H873" s="22"/>
      <c r="I873" s="170"/>
      <c r="J873" s="170"/>
      <c r="K873" s="170"/>
      <c r="L873" s="170"/>
      <c r="M873" s="170"/>
      <c r="N873" s="170"/>
      <c r="O873" s="170"/>
      <c r="P873" s="170"/>
      <c r="Q873" s="170"/>
      <c r="R873" s="170"/>
      <c r="S873" s="170"/>
      <c r="T873" s="170"/>
      <c r="U873" s="170"/>
      <c r="V873" s="170"/>
      <c r="W873" s="170"/>
      <c r="X873" s="170"/>
      <c r="Y873" s="170"/>
      <c r="Z873" s="170"/>
      <c r="AA873" s="170"/>
      <c r="AB873" s="170"/>
      <c r="AC873" s="170"/>
      <c r="AD873" s="22"/>
      <c r="AE873" s="19"/>
      <c r="AF873" s="19"/>
      <c r="AG873" s="19"/>
      <c r="AH873" s="19"/>
    </row>
    <row r="874" spans="1:34" outlineLevel="1" x14ac:dyDescent="0.2">
      <c r="A874" s="19"/>
      <c r="B874" s="19"/>
      <c r="C874" s="36"/>
      <c r="D874" s="20"/>
      <c r="E874" s="20"/>
      <c r="F874" s="20"/>
      <c r="G874" s="22"/>
      <c r="H874" s="22"/>
      <c r="I874" s="170"/>
      <c r="J874" s="170"/>
      <c r="K874" s="170"/>
      <c r="L874" s="170"/>
      <c r="M874" s="170"/>
      <c r="N874" s="170"/>
      <c r="O874" s="170"/>
      <c r="P874" s="170"/>
      <c r="Q874" s="170"/>
      <c r="R874" s="170"/>
      <c r="S874" s="170"/>
      <c r="T874" s="170"/>
      <c r="U874" s="170"/>
      <c r="V874" s="170"/>
      <c r="W874" s="170"/>
      <c r="X874" s="170"/>
      <c r="Y874" s="170"/>
      <c r="Z874" s="170"/>
      <c r="AA874" s="170"/>
      <c r="AB874" s="170"/>
      <c r="AC874" s="170"/>
      <c r="AD874" s="22"/>
      <c r="AE874" s="19"/>
      <c r="AF874" s="19"/>
      <c r="AG874" s="19"/>
      <c r="AH874" s="19"/>
    </row>
    <row r="875" spans="1:34" outlineLevel="1" x14ac:dyDescent="0.2">
      <c r="A875" s="19"/>
      <c r="B875" s="19"/>
      <c r="C875" s="167" t="str">
        <f>C558</f>
        <v>Distribution</v>
      </c>
      <c r="D875" s="20"/>
      <c r="E875" s="20"/>
      <c r="F875" s="20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19"/>
      <c r="AF875" s="19"/>
      <c r="AG875" s="19"/>
      <c r="AH875" s="19"/>
    </row>
    <row r="876" spans="1:34" s="612" customFormat="1" outlineLevel="2" x14ac:dyDescent="0.2">
      <c r="A876" s="606"/>
      <c r="B876" s="606"/>
      <c r="C876" s="607"/>
      <c r="D876" s="608"/>
      <c r="E876" s="608"/>
      <c r="F876" s="608"/>
      <c r="G876" s="608"/>
      <c r="H876" s="609"/>
      <c r="I876" s="637"/>
      <c r="J876" s="637"/>
      <c r="K876" s="637"/>
      <c r="L876" s="637"/>
      <c r="M876" s="637"/>
      <c r="N876" s="637"/>
      <c r="O876" s="637"/>
      <c r="P876" s="637"/>
      <c r="Q876" s="637"/>
      <c r="R876" s="637"/>
      <c r="S876" s="637"/>
      <c r="T876" s="637"/>
      <c r="U876" s="637"/>
      <c r="V876" s="637"/>
      <c r="W876" s="637"/>
      <c r="X876" s="637"/>
      <c r="Y876" s="637"/>
      <c r="Z876" s="637"/>
      <c r="AA876" s="637"/>
      <c r="AB876" s="637"/>
      <c r="AC876" s="637"/>
      <c r="AD876" s="647"/>
      <c r="AE876" s="606"/>
      <c r="AF876" s="606"/>
      <c r="AG876" s="606"/>
      <c r="AH876" s="606"/>
    </row>
    <row r="877" spans="1:34" s="612" customFormat="1" outlineLevel="2" x14ac:dyDescent="0.2">
      <c r="A877" s="606"/>
      <c r="B877" s="606"/>
      <c r="C877" s="607"/>
      <c r="D877" s="608"/>
      <c r="E877" s="608"/>
      <c r="F877" s="608"/>
      <c r="G877" s="608"/>
      <c r="H877" s="609"/>
      <c r="I877" s="637"/>
      <c r="J877" s="637"/>
      <c r="K877" s="637"/>
      <c r="L877" s="637"/>
      <c r="M877" s="637"/>
      <c r="N877" s="637"/>
      <c r="O877" s="637"/>
      <c r="P877" s="637"/>
      <c r="Q877" s="637"/>
      <c r="R877" s="637"/>
      <c r="S877" s="637"/>
      <c r="T877" s="637"/>
      <c r="U877" s="637"/>
      <c r="V877" s="637"/>
      <c r="W877" s="637"/>
      <c r="X877" s="637"/>
      <c r="Y877" s="637"/>
      <c r="Z877" s="637"/>
      <c r="AA877" s="637"/>
      <c r="AB877" s="637"/>
      <c r="AC877" s="637"/>
      <c r="AD877" s="647"/>
      <c r="AE877" s="606"/>
      <c r="AF877" s="606"/>
      <c r="AG877" s="606"/>
      <c r="AH877" s="606"/>
    </row>
    <row r="878" spans="1:34" s="612" customFormat="1" outlineLevel="2" x14ac:dyDescent="0.2">
      <c r="A878" s="606"/>
      <c r="B878" s="606"/>
      <c r="C878" s="607"/>
      <c r="D878" s="608"/>
      <c r="E878" s="608"/>
      <c r="F878" s="608"/>
      <c r="G878" s="608"/>
      <c r="H878" s="609"/>
      <c r="I878" s="637"/>
      <c r="J878" s="637"/>
      <c r="K878" s="637"/>
      <c r="L878" s="637"/>
      <c r="M878" s="637"/>
      <c r="N878" s="637"/>
      <c r="O878" s="637"/>
      <c r="P878" s="637"/>
      <c r="Q878" s="637"/>
      <c r="R878" s="637"/>
      <c r="S878" s="637"/>
      <c r="T878" s="637"/>
      <c r="U878" s="637"/>
      <c r="V878" s="637"/>
      <c r="W878" s="637"/>
      <c r="X878" s="637"/>
      <c r="Y878" s="637"/>
      <c r="Z878" s="637"/>
      <c r="AA878" s="637"/>
      <c r="AB878" s="637"/>
      <c r="AC878" s="637"/>
      <c r="AD878" s="647"/>
      <c r="AE878" s="606"/>
      <c r="AF878" s="606"/>
      <c r="AG878" s="606"/>
      <c r="AH878" s="606"/>
    </row>
    <row r="879" spans="1:34" s="612" customFormat="1" outlineLevel="2" x14ac:dyDescent="0.2">
      <c r="A879" s="606"/>
      <c r="B879" s="606"/>
      <c r="C879" s="607"/>
      <c r="D879" s="608"/>
      <c r="E879" s="608"/>
      <c r="F879" s="608"/>
      <c r="G879" s="608"/>
      <c r="H879" s="609"/>
      <c r="I879" s="637"/>
      <c r="J879" s="637"/>
      <c r="K879" s="637"/>
      <c r="L879" s="637"/>
      <c r="M879" s="637"/>
      <c r="N879" s="637"/>
      <c r="O879" s="637"/>
      <c r="P879" s="637"/>
      <c r="Q879" s="637"/>
      <c r="R879" s="637"/>
      <c r="S879" s="637"/>
      <c r="T879" s="637"/>
      <c r="U879" s="637"/>
      <c r="V879" s="637"/>
      <c r="W879" s="637"/>
      <c r="X879" s="637"/>
      <c r="Y879" s="637"/>
      <c r="Z879" s="637"/>
      <c r="AA879" s="637"/>
      <c r="AB879" s="637"/>
      <c r="AC879" s="637"/>
      <c r="AD879" s="647"/>
      <c r="AE879" s="606"/>
      <c r="AF879" s="606"/>
      <c r="AG879" s="606"/>
      <c r="AH879" s="606"/>
    </row>
    <row r="880" spans="1:34" s="612" customFormat="1" outlineLevel="2" x14ac:dyDescent="0.2">
      <c r="A880" s="606"/>
      <c r="B880" s="606"/>
      <c r="C880" s="607"/>
      <c r="D880" s="608"/>
      <c r="E880" s="608"/>
      <c r="F880" s="608"/>
      <c r="G880" s="608"/>
      <c r="H880" s="609"/>
      <c r="I880" s="637"/>
      <c r="J880" s="637"/>
      <c r="K880" s="637"/>
      <c r="L880" s="637"/>
      <c r="M880" s="637"/>
      <c r="N880" s="637"/>
      <c r="O880" s="637"/>
      <c r="P880" s="637"/>
      <c r="Q880" s="637"/>
      <c r="R880" s="637"/>
      <c r="S880" s="637"/>
      <c r="T880" s="637"/>
      <c r="U880" s="637"/>
      <c r="V880" s="637"/>
      <c r="W880" s="637"/>
      <c r="X880" s="637"/>
      <c r="Y880" s="637"/>
      <c r="Z880" s="637"/>
      <c r="AA880" s="637"/>
      <c r="AB880" s="637"/>
      <c r="AC880" s="637"/>
      <c r="AD880" s="647"/>
      <c r="AE880" s="606"/>
      <c r="AF880" s="606"/>
      <c r="AG880" s="606"/>
      <c r="AH880" s="606"/>
    </row>
    <row r="881" spans="1:34" s="612" customFormat="1" outlineLevel="2" x14ac:dyDescent="0.2">
      <c r="A881" s="606"/>
      <c r="B881" s="606"/>
      <c r="C881" s="607"/>
      <c r="D881" s="608"/>
      <c r="E881" s="608"/>
      <c r="F881" s="608"/>
      <c r="G881" s="608"/>
      <c r="H881" s="609"/>
      <c r="I881" s="637"/>
      <c r="J881" s="637"/>
      <c r="K881" s="637"/>
      <c r="L881" s="637"/>
      <c r="M881" s="637"/>
      <c r="N881" s="637"/>
      <c r="O881" s="637"/>
      <c r="P881" s="637"/>
      <c r="Q881" s="637"/>
      <c r="R881" s="637"/>
      <c r="S881" s="637"/>
      <c r="T881" s="637"/>
      <c r="U881" s="637"/>
      <c r="V881" s="637"/>
      <c r="W881" s="637"/>
      <c r="X881" s="637"/>
      <c r="Y881" s="637"/>
      <c r="Z881" s="637"/>
      <c r="AA881" s="637"/>
      <c r="AB881" s="637"/>
      <c r="AC881" s="637"/>
      <c r="AD881" s="647"/>
      <c r="AE881" s="606"/>
      <c r="AF881" s="606"/>
      <c r="AG881" s="606"/>
      <c r="AH881" s="606"/>
    </row>
    <row r="882" spans="1:34" s="612" customFormat="1" outlineLevel="2" x14ac:dyDescent="0.2">
      <c r="A882" s="606"/>
      <c r="B882" s="606"/>
      <c r="C882" s="607"/>
      <c r="D882" s="608"/>
      <c r="E882" s="608"/>
      <c r="F882" s="608"/>
      <c r="G882" s="608"/>
      <c r="H882" s="609"/>
      <c r="I882" s="637"/>
      <c r="J882" s="637"/>
      <c r="K882" s="637"/>
      <c r="L882" s="637"/>
      <c r="M882" s="637"/>
      <c r="N882" s="637"/>
      <c r="O882" s="637"/>
      <c r="P882" s="637"/>
      <c r="Q882" s="637"/>
      <c r="R882" s="637"/>
      <c r="S882" s="637"/>
      <c r="T882" s="637"/>
      <c r="U882" s="637"/>
      <c r="V882" s="637"/>
      <c r="W882" s="637"/>
      <c r="X882" s="637"/>
      <c r="Y882" s="637"/>
      <c r="Z882" s="637"/>
      <c r="AA882" s="637"/>
      <c r="AB882" s="637"/>
      <c r="AC882" s="637"/>
      <c r="AD882" s="647"/>
      <c r="AE882" s="606"/>
      <c r="AF882" s="606"/>
      <c r="AG882" s="606"/>
      <c r="AH882" s="606"/>
    </row>
    <row r="883" spans="1:34" s="612" customFormat="1" outlineLevel="2" x14ac:dyDescent="0.2">
      <c r="A883" s="606"/>
      <c r="B883" s="606"/>
      <c r="C883" s="607"/>
      <c r="D883" s="608"/>
      <c r="E883" s="608"/>
      <c r="F883" s="608"/>
      <c r="G883" s="608"/>
      <c r="H883" s="609"/>
      <c r="I883" s="637"/>
      <c r="J883" s="637"/>
      <c r="K883" s="637"/>
      <c r="L883" s="637"/>
      <c r="M883" s="637"/>
      <c r="N883" s="637"/>
      <c r="O883" s="637"/>
      <c r="P883" s="637"/>
      <c r="Q883" s="637"/>
      <c r="R883" s="637"/>
      <c r="S883" s="637"/>
      <c r="T883" s="637"/>
      <c r="U883" s="637"/>
      <c r="V883" s="637"/>
      <c r="W883" s="637"/>
      <c r="X883" s="637"/>
      <c r="Y883" s="637"/>
      <c r="Z883" s="637"/>
      <c r="AA883" s="637"/>
      <c r="AB883" s="637"/>
      <c r="AC883" s="637"/>
      <c r="AD883" s="647"/>
      <c r="AE883" s="606"/>
      <c r="AF883" s="606"/>
      <c r="AG883" s="606"/>
      <c r="AH883" s="606"/>
    </row>
    <row r="884" spans="1:34" s="612" customFormat="1" outlineLevel="2" x14ac:dyDescent="0.2">
      <c r="A884" s="606"/>
      <c r="B884" s="606"/>
      <c r="C884" s="607"/>
      <c r="D884" s="608"/>
      <c r="E884" s="608"/>
      <c r="F884" s="608"/>
      <c r="G884" s="608"/>
      <c r="H884" s="609"/>
      <c r="I884" s="637"/>
      <c r="J884" s="637"/>
      <c r="K884" s="637"/>
      <c r="L884" s="637"/>
      <c r="M884" s="637"/>
      <c r="N884" s="637"/>
      <c r="O884" s="637"/>
      <c r="P884" s="637"/>
      <c r="Q884" s="637"/>
      <c r="R884" s="637"/>
      <c r="S884" s="637"/>
      <c r="T884" s="637"/>
      <c r="U884" s="637"/>
      <c r="V884" s="637"/>
      <c r="W884" s="637"/>
      <c r="X884" s="637"/>
      <c r="Y884" s="637"/>
      <c r="Z884" s="637"/>
      <c r="AA884" s="637"/>
      <c r="AB884" s="637"/>
      <c r="AC884" s="637"/>
      <c r="AD884" s="647"/>
      <c r="AE884" s="606"/>
      <c r="AF884" s="606"/>
      <c r="AG884" s="606"/>
      <c r="AH884" s="606"/>
    </row>
    <row r="885" spans="1:34" s="612" customFormat="1" outlineLevel="2" x14ac:dyDescent="0.2">
      <c r="A885" s="606"/>
      <c r="B885" s="606"/>
      <c r="C885" s="607"/>
      <c r="D885" s="608"/>
      <c r="E885" s="608"/>
      <c r="F885" s="608"/>
      <c r="G885" s="608"/>
      <c r="H885" s="609"/>
      <c r="I885" s="637"/>
      <c r="J885" s="637"/>
      <c r="K885" s="637"/>
      <c r="L885" s="637"/>
      <c r="M885" s="637"/>
      <c r="N885" s="637"/>
      <c r="O885" s="637"/>
      <c r="P885" s="637"/>
      <c r="Q885" s="637"/>
      <c r="R885" s="637"/>
      <c r="S885" s="637"/>
      <c r="T885" s="637"/>
      <c r="U885" s="637"/>
      <c r="V885" s="637"/>
      <c r="W885" s="637"/>
      <c r="X885" s="637"/>
      <c r="Y885" s="637"/>
      <c r="Z885" s="637"/>
      <c r="AA885" s="637"/>
      <c r="AB885" s="637"/>
      <c r="AC885" s="637"/>
      <c r="AD885" s="647"/>
      <c r="AE885" s="606"/>
      <c r="AF885" s="606"/>
      <c r="AG885" s="606"/>
      <c r="AH885" s="606"/>
    </row>
    <row r="886" spans="1:34" s="612" customFormat="1" outlineLevel="2" x14ac:dyDescent="0.2">
      <c r="A886" s="606"/>
      <c r="B886" s="606"/>
      <c r="C886" s="607"/>
      <c r="D886" s="608"/>
      <c r="E886" s="608"/>
      <c r="F886" s="608"/>
      <c r="G886" s="608"/>
      <c r="H886" s="609"/>
      <c r="I886" s="637"/>
      <c r="J886" s="637"/>
      <c r="K886" s="637"/>
      <c r="L886" s="637"/>
      <c r="M886" s="637"/>
      <c r="N886" s="637"/>
      <c r="O886" s="637"/>
      <c r="P886" s="637"/>
      <c r="Q886" s="637"/>
      <c r="R886" s="637"/>
      <c r="S886" s="637"/>
      <c r="T886" s="637"/>
      <c r="U886" s="637"/>
      <c r="V886" s="637"/>
      <c r="W886" s="637"/>
      <c r="X886" s="637"/>
      <c r="Y886" s="637"/>
      <c r="Z886" s="637"/>
      <c r="AA886" s="637"/>
      <c r="AB886" s="637"/>
      <c r="AC886" s="637"/>
      <c r="AD886" s="647"/>
      <c r="AE886" s="606"/>
      <c r="AF886" s="606"/>
      <c r="AG886" s="606"/>
      <c r="AH886" s="606"/>
    </row>
    <row r="887" spans="1:34" s="612" customFormat="1" outlineLevel="2" x14ac:dyDescent="0.2">
      <c r="A887" s="606"/>
      <c r="B887" s="606"/>
      <c r="C887" s="607"/>
      <c r="D887" s="608"/>
      <c r="E887" s="608"/>
      <c r="F887" s="608"/>
      <c r="G887" s="608"/>
      <c r="H887" s="609"/>
      <c r="I887" s="637"/>
      <c r="J887" s="637"/>
      <c r="K887" s="637"/>
      <c r="L887" s="637"/>
      <c r="M887" s="637"/>
      <c r="N887" s="637"/>
      <c r="O887" s="637"/>
      <c r="P887" s="637"/>
      <c r="Q887" s="637"/>
      <c r="R887" s="637"/>
      <c r="S887" s="637"/>
      <c r="T887" s="637"/>
      <c r="U887" s="637"/>
      <c r="V887" s="637"/>
      <c r="W887" s="637"/>
      <c r="X887" s="637"/>
      <c r="Y887" s="637"/>
      <c r="Z887" s="637"/>
      <c r="AA887" s="637"/>
      <c r="AB887" s="637"/>
      <c r="AC887" s="637"/>
      <c r="AD887" s="647"/>
      <c r="AE887" s="606"/>
      <c r="AF887" s="606"/>
      <c r="AG887" s="606"/>
      <c r="AH887" s="606"/>
    </row>
    <row r="888" spans="1:34" s="612" customFormat="1" outlineLevel="2" x14ac:dyDescent="0.2">
      <c r="A888" s="606"/>
      <c r="B888" s="606"/>
      <c r="C888" s="607"/>
      <c r="D888" s="608"/>
      <c r="E888" s="608"/>
      <c r="F888" s="608"/>
      <c r="G888" s="608"/>
      <c r="H888" s="609"/>
      <c r="I888" s="637"/>
      <c r="J888" s="637"/>
      <c r="K888" s="637"/>
      <c r="L888" s="637"/>
      <c r="M888" s="637"/>
      <c r="N888" s="637"/>
      <c r="O888" s="637"/>
      <c r="P888" s="637"/>
      <c r="Q888" s="637"/>
      <c r="R888" s="637"/>
      <c r="S888" s="637"/>
      <c r="T888" s="637"/>
      <c r="U888" s="637"/>
      <c r="V888" s="637"/>
      <c r="W888" s="637"/>
      <c r="X888" s="637"/>
      <c r="Y888" s="637"/>
      <c r="Z888" s="637"/>
      <c r="AA888" s="637"/>
      <c r="AB888" s="637"/>
      <c r="AC888" s="637"/>
      <c r="AD888" s="647"/>
      <c r="AE888" s="606"/>
      <c r="AF888" s="606"/>
      <c r="AG888" s="606"/>
      <c r="AH888" s="606"/>
    </row>
    <row r="889" spans="1:34" s="612" customFormat="1" outlineLevel="2" x14ac:dyDescent="0.2">
      <c r="A889" s="606"/>
      <c r="B889" s="606"/>
      <c r="C889" s="607"/>
      <c r="D889" s="608"/>
      <c r="E889" s="608"/>
      <c r="F889" s="608"/>
      <c r="G889" s="608"/>
      <c r="H889" s="609"/>
      <c r="I889" s="637"/>
      <c r="J889" s="637"/>
      <c r="K889" s="637"/>
      <c r="L889" s="637"/>
      <c r="M889" s="637"/>
      <c r="N889" s="637"/>
      <c r="O889" s="637"/>
      <c r="P889" s="637"/>
      <c r="Q889" s="637"/>
      <c r="R889" s="637"/>
      <c r="S889" s="637"/>
      <c r="T889" s="637"/>
      <c r="U889" s="637"/>
      <c r="V889" s="637"/>
      <c r="W889" s="637"/>
      <c r="X889" s="637"/>
      <c r="Y889" s="637"/>
      <c r="Z889" s="637"/>
      <c r="AA889" s="637"/>
      <c r="AB889" s="637"/>
      <c r="AC889" s="637"/>
      <c r="AD889" s="647"/>
      <c r="AE889" s="606"/>
      <c r="AF889" s="606"/>
      <c r="AG889" s="606"/>
      <c r="AH889" s="606"/>
    </row>
    <row r="890" spans="1:34" s="612" customFormat="1" outlineLevel="2" x14ac:dyDescent="0.2">
      <c r="A890" s="606"/>
      <c r="B890" s="606"/>
      <c r="C890" s="607"/>
      <c r="D890" s="608"/>
      <c r="E890" s="608"/>
      <c r="F890" s="608"/>
      <c r="G890" s="608"/>
      <c r="H890" s="609"/>
      <c r="I890" s="637"/>
      <c r="J890" s="637"/>
      <c r="K890" s="637"/>
      <c r="L890" s="637"/>
      <c r="M890" s="637"/>
      <c r="N890" s="637"/>
      <c r="O890" s="637"/>
      <c r="P890" s="637"/>
      <c r="Q890" s="637"/>
      <c r="R890" s="637"/>
      <c r="S890" s="637"/>
      <c r="T890" s="637"/>
      <c r="U890" s="637"/>
      <c r="V890" s="637"/>
      <c r="W890" s="637"/>
      <c r="X890" s="637"/>
      <c r="Y890" s="637"/>
      <c r="Z890" s="637"/>
      <c r="AA890" s="637"/>
      <c r="AB890" s="637"/>
      <c r="AC890" s="637"/>
      <c r="AD890" s="647"/>
      <c r="AE890" s="606"/>
      <c r="AF890" s="606"/>
      <c r="AG890" s="606"/>
      <c r="AH890" s="606"/>
    </row>
    <row r="891" spans="1:34" s="612" customFormat="1" outlineLevel="2" x14ac:dyDescent="0.2">
      <c r="A891" s="606"/>
      <c r="B891" s="606"/>
      <c r="C891" s="607"/>
      <c r="D891" s="608"/>
      <c r="E891" s="608"/>
      <c r="F891" s="608"/>
      <c r="G891" s="608"/>
      <c r="H891" s="609"/>
      <c r="I891" s="637"/>
      <c r="J891" s="637"/>
      <c r="K891" s="637"/>
      <c r="L891" s="637"/>
      <c r="M891" s="637"/>
      <c r="N891" s="637"/>
      <c r="O891" s="637"/>
      <c r="P891" s="637"/>
      <c r="Q891" s="637"/>
      <c r="R891" s="637"/>
      <c r="S891" s="637"/>
      <c r="T891" s="637"/>
      <c r="U891" s="637"/>
      <c r="V891" s="637"/>
      <c r="W891" s="637"/>
      <c r="X891" s="637"/>
      <c r="Y891" s="637"/>
      <c r="Z891" s="637"/>
      <c r="AA891" s="637"/>
      <c r="AB891" s="637"/>
      <c r="AC891" s="637"/>
      <c r="AD891" s="647"/>
      <c r="AE891" s="606"/>
      <c r="AF891" s="606"/>
      <c r="AG891" s="606"/>
      <c r="AH891" s="606"/>
    </row>
    <row r="892" spans="1:34" s="612" customFormat="1" outlineLevel="2" x14ac:dyDescent="0.2">
      <c r="A892" s="606"/>
      <c r="B892" s="606"/>
      <c r="C892" s="607"/>
      <c r="D892" s="608"/>
      <c r="E892" s="608"/>
      <c r="F892" s="608"/>
      <c r="G892" s="608"/>
      <c r="H892" s="609"/>
      <c r="I892" s="637"/>
      <c r="J892" s="637"/>
      <c r="K892" s="637"/>
      <c r="L892" s="637"/>
      <c r="M892" s="637"/>
      <c r="N892" s="637"/>
      <c r="O892" s="637"/>
      <c r="P892" s="637"/>
      <c r="Q892" s="637"/>
      <c r="R892" s="637"/>
      <c r="S892" s="637"/>
      <c r="T892" s="637"/>
      <c r="U892" s="637"/>
      <c r="V892" s="637"/>
      <c r="W892" s="637"/>
      <c r="X892" s="637"/>
      <c r="Y892" s="637"/>
      <c r="Z892" s="637"/>
      <c r="AA892" s="637"/>
      <c r="AB892" s="637"/>
      <c r="AC892" s="637"/>
      <c r="AD892" s="647"/>
      <c r="AE892" s="606"/>
      <c r="AF892" s="606"/>
      <c r="AG892" s="606"/>
      <c r="AH892" s="606"/>
    </row>
    <row r="893" spans="1:34" s="612" customFormat="1" outlineLevel="2" x14ac:dyDescent="0.2">
      <c r="A893" s="606"/>
      <c r="B893" s="606"/>
      <c r="C893" s="607"/>
      <c r="D893" s="608"/>
      <c r="E893" s="608"/>
      <c r="F893" s="608"/>
      <c r="G893" s="608"/>
      <c r="H893" s="609"/>
      <c r="I893" s="637"/>
      <c r="J893" s="637"/>
      <c r="K893" s="637"/>
      <c r="L893" s="637"/>
      <c r="M893" s="637"/>
      <c r="N893" s="637"/>
      <c r="O893" s="637"/>
      <c r="P893" s="637"/>
      <c r="Q893" s="637"/>
      <c r="R893" s="637"/>
      <c r="S893" s="637"/>
      <c r="T893" s="637"/>
      <c r="U893" s="637"/>
      <c r="V893" s="637"/>
      <c r="W893" s="637"/>
      <c r="X893" s="637"/>
      <c r="Y893" s="637"/>
      <c r="Z893" s="637"/>
      <c r="AA893" s="637"/>
      <c r="AB893" s="637"/>
      <c r="AC893" s="637"/>
      <c r="AD893" s="647"/>
      <c r="AE893" s="606"/>
      <c r="AF893" s="606"/>
      <c r="AG893" s="606"/>
      <c r="AH893" s="606"/>
    </row>
    <row r="894" spans="1:34" s="612" customFormat="1" outlineLevel="2" x14ac:dyDescent="0.2">
      <c r="A894" s="606"/>
      <c r="B894" s="606"/>
      <c r="C894" s="607"/>
      <c r="D894" s="608"/>
      <c r="E894" s="608"/>
      <c r="F894" s="608"/>
      <c r="G894" s="608"/>
      <c r="H894" s="609"/>
      <c r="I894" s="637"/>
      <c r="J894" s="637"/>
      <c r="K894" s="637"/>
      <c r="L894" s="637"/>
      <c r="M894" s="637"/>
      <c r="N894" s="637"/>
      <c r="O894" s="637"/>
      <c r="P894" s="637"/>
      <c r="Q894" s="637"/>
      <c r="R894" s="637"/>
      <c r="S894" s="637"/>
      <c r="T894" s="637"/>
      <c r="U894" s="637"/>
      <c r="V894" s="637"/>
      <c r="W894" s="637"/>
      <c r="X894" s="637"/>
      <c r="Y894" s="637"/>
      <c r="Z894" s="637"/>
      <c r="AA894" s="637"/>
      <c r="AB894" s="637"/>
      <c r="AC894" s="637"/>
      <c r="AD894" s="647"/>
      <c r="AE894" s="606"/>
      <c r="AF894" s="606"/>
      <c r="AG894" s="606"/>
      <c r="AH894" s="606"/>
    </row>
    <row r="895" spans="1:34" s="612" customFormat="1" outlineLevel="2" x14ac:dyDescent="0.2">
      <c r="A895" s="606"/>
      <c r="B895" s="606"/>
      <c r="C895" s="607"/>
      <c r="D895" s="608"/>
      <c r="E895" s="608"/>
      <c r="F895" s="608"/>
      <c r="G895" s="608"/>
      <c r="H895" s="609"/>
      <c r="I895" s="637"/>
      <c r="J895" s="637"/>
      <c r="K895" s="637"/>
      <c r="L895" s="637"/>
      <c r="M895" s="637"/>
      <c r="N895" s="637"/>
      <c r="O895" s="637"/>
      <c r="P895" s="637"/>
      <c r="Q895" s="637"/>
      <c r="R895" s="637"/>
      <c r="S895" s="637"/>
      <c r="T895" s="637"/>
      <c r="U895" s="637"/>
      <c r="V895" s="637"/>
      <c r="W895" s="637"/>
      <c r="X895" s="637"/>
      <c r="Y895" s="637"/>
      <c r="Z895" s="637"/>
      <c r="AA895" s="637"/>
      <c r="AB895" s="637"/>
      <c r="AC895" s="637"/>
      <c r="AD895" s="647"/>
      <c r="AE895" s="606"/>
      <c r="AF895" s="606"/>
      <c r="AG895" s="606"/>
      <c r="AH895" s="606"/>
    </row>
    <row r="896" spans="1:34" s="612" customFormat="1" outlineLevel="2" x14ac:dyDescent="0.2">
      <c r="A896" s="606"/>
      <c r="B896" s="606"/>
      <c r="C896" s="607"/>
      <c r="D896" s="608"/>
      <c r="E896" s="608"/>
      <c r="F896" s="608"/>
      <c r="G896" s="608"/>
      <c r="H896" s="609"/>
      <c r="I896" s="637"/>
      <c r="J896" s="637"/>
      <c r="K896" s="637"/>
      <c r="L896" s="637"/>
      <c r="M896" s="637"/>
      <c r="N896" s="637"/>
      <c r="O896" s="637"/>
      <c r="P896" s="637"/>
      <c r="Q896" s="637"/>
      <c r="R896" s="637"/>
      <c r="S896" s="637"/>
      <c r="T896" s="637"/>
      <c r="U896" s="637"/>
      <c r="V896" s="637"/>
      <c r="W896" s="637"/>
      <c r="X896" s="637"/>
      <c r="Y896" s="637"/>
      <c r="Z896" s="637"/>
      <c r="AA896" s="637"/>
      <c r="AB896" s="637"/>
      <c r="AC896" s="637"/>
      <c r="AD896" s="647"/>
      <c r="AE896" s="606"/>
      <c r="AF896" s="606"/>
      <c r="AG896" s="606"/>
      <c r="AH896" s="606"/>
    </row>
    <row r="897" spans="1:34" s="612" customFormat="1" outlineLevel="2" x14ac:dyDescent="0.2">
      <c r="A897" s="606"/>
      <c r="B897" s="606"/>
      <c r="C897" s="607"/>
      <c r="D897" s="608"/>
      <c r="E897" s="608"/>
      <c r="F897" s="608"/>
      <c r="G897" s="608"/>
      <c r="H897" s="609"/>
      <c r="I897" s="637"/>
      <c r="J897" s="637"/>
      <c r="K897" s="637"/>
      <c r="L897" s="637"/>
      <c r="M897" s="637"/>
      <c r="N897" s="637"/>
      <c r="O897" s="637"/>
      <c r="P897" s="637"/>
      <c r="Q897" s="637"/>
      <c r="R897" s="637"/>
      <c r="S897" s="637"/>
      <c r="T897" s="637"/>
      <c r="U897" s="637"/>
      <c r="V897" s="637"/>
      <c r="W897" s="637"/>
      <c r="X897" s="637"/>
      <c r="Y897" s="637"/>
      <c r="Z897" s="637"/>
      <c r="AA897" s="637"/>
      <c r="AB897" s="637"/>
      <c r="AC897" s="637"/>
      <c r="AD897" s="647"/>
      <c r="AE897" s="606"/>
      <c r="AF897" s="606"/>
      <c r="AG897" s="606"/>
      <c r="AH897" s="606"/>
    </row>
    <row r="898" spans="1:34" s="612" customFormat="1" outlineLevel="2" x14ac:dyDescent="0.2">
      <c r="A898" s="606"/>
      <c r="B898" s="606"/>
      <c r="C898" s="607"/>
      <c r="D898" s="608"/>
      <c r="E898" s="608"/>
      <c r="F898" s="608"/>
      <c r="G898" s="608"/>
      <c r="H898" s="609"/>
      <c r="I898" s="637"/>
      <c r="J898" s="637"/>
      <c r="K898" s="637"/>
      <c r="L898" s="637"/>
      <c r="M898" s="637"/>
      <c r="N898" s="637"/>
      <c r="O898" s="637"/>
      <c r="P898" s="637"/>
      <c r="Q898" s="637"/>
      <c r="R898" s="637"/>
      <c r="S898" s="637"/>
      <c r="T898" s="637"/>
      <c r="U898" s="637"/>
      <c r="V898" s="637"/>
      <c r="W898" s="637"/>
      <c r="X898" s="637"/>
      <c r="Y898" s="637"/>
      <c r="Z898" s="637"/>
      <c r="AA898" s="637"/>
      <c r="AB898" s="637"/>
      <c r="AC898" s="637"/>
      <c r="AD898" s="647"/>
      <c r="AE898" s="606"/>
      <c r="AF898" s="606"/>
      <c r="AG898" s="606"/>
      <c r="AH898" s="606"/>
    </row>
    <row r="899" spans="1:34" s="612" customFormat="1" outlineLevel="2" x14ac:dyDescent="0.2">
      <c r="A899" s="606"/>
      <c r="B899" s="606"/>
      <c r="C899" s="607"/>
      <c r="D899" s="608"/>
      <c r="E899" s="608"/>
      <c r="F899" s="608"/>
      <c r="G899" s="608"/>
      <c r="H899" s="609"/>
      <c r="I899" s="637"/>
      <c r="J899" s="637"/>
      <c r="K899" s="637"/>
      <c r="L899" s="637"/>
      <c r="M899" s="637"/>
      <c r="N899" s="637"/>
      <c r="O899" s="637"/>
      <c r="P899" s="637"/>
      <c r="Q899" s="637"/>
      <c r="R899" s="637"/>
      <c r="S899" s="637"/>
      <c r="T899" s="637"/>
      <c r="U899" s="637"/>
      <c r="V899" s="637"/>
      <c r="W899" s="637"/>
      <c r="X899" s="637"/>
      <c r="Y899" s="637"/>
      <c r="Z899" s="637"/>
      <c r="AA899" s="637"/>
      <c r="AB899" s="637"/>
      <c r="AC899" s="637"/>
      <c r="AD899" s="647"/>
      <c r="AE899" s="606"/>
      <c r="AF899" s="606"/>
      <c r="AG899" s="606"/>
      <c r="AH899" s="606"/>
    </row>
    <row r="900" spans="1:34" s="612" customFormat="1" outlineLevel="2" x14ac:dyDescent="0.2">
      <c r="A900" s="606"/>
      <c r="B900" s="606"/>
      <c r="C900" s="607"/>
      <c r="D900" s="608"/>
      <c r="E900" s="608"/>
      <c r="F900" s="608"/>
      <c r="G900" s="608"/>
      <c r="H900" s="609"/>
      <c r="I900" s="637"/>
      <c r="J900" s="637"/>
      <c r="K900" s="637"/>
      <c r="L900" s="637"/>
      <c r="M900" s="637"/>
      <c r="N900" s="637"/>
      <c r="O900" s="637"/>
      <c r="P900" s="637"/>
      <c r="Q900" s="637"/>
      <c r="R900" s="637"/>
      <c r="S900" s="637"/>
      <c r="T900" s="637"/>
      <c r="U900" s="637"/>
      <c r="V900" s="637"/>
      <c r="W900" s="637"/>
      <c r="X900" s="637"/>
      <c r="Y900" s="637"/>
      <c r="Z900" s="637"/>
      <c r="AA900" s="637"/>
      <c r="AB900" s="637"/>
      <c r="AC900" s="637"/>
      <c r="AD900" s="647"/>
      <c r="AE900" s="606"/>
      <c r="AF900" s="606"/>
      <c r="AG900" s="606"/>
      <c r="AH900" s="606"/>
    </row>
    <row r="901" spans="1:34" s="612" customFormat="1" outlineLevel="2" x14ac:dyDescent="0.2">
      <c r="A901" s="606"/>
      <c r="B901" s="606"/>
      <c r="C901" s="607"/>
      <c r="D901" s="608"/>
      <c r="E901" s="608"/>
      <c r="F901" s="608"/>
      <c r="G901" s="608"/>
      <c r="H901" s="609"/>
      <c r="I901" s="637"/>
      <c r="J901" s="637"/>
      <c r="K901" s="637"/>
      <c r="L901" s="637"/>
      <c r="M901" s="637"/>
      <c r="N901" s="637"/>
      <c r="O901" s="637"/>
      <c r="P901" s="637"/>
      <c r="Q901" s="637"/>
      <c r="R901" s="637"/>
      <c r="S901" s="637"/>
      <c r="T901" s="637"/>
      <c r="U901" s="637"/>
      <c r="V901" s="637"/>
      <c r="W901" s="637"/>
      <c r="X901" s="637"/>
      <c r="Y901" s="637"/>
      <c r="Z901" s="637"/>
      <c r="AA901" s="637"/>
      <c r="AB901" s="637"/>
      <c r="AC901" s="637"/>
      <c r="AD901" s="647"/>
      <c r="AE901" s="606"/>
      <c r="AF901" s="606"/>
      <c r="AG901" s="606"/>
      <c r="AH901" s="606"/>
    </row>
    <row r="902" spans="1:34" s="612" customFormat="1" outlineLevel="2" x14ac:dyDescent="0.2">
      <c r="A902" s="606"/>
      <c r="B902" s="606"/>
      <c r="C902" s="630"/>
      <c r="D902" s="608"/>
      <c r="E902" s="608"/>
      <c r="F902" s="608"/>
      <c r="G902" s="608"/>
      <c r="H902" s="609"/>
      <c r="I902" s="637"/>
      <c r="J902" s="637"/>
      <c r="K902" s="637"/>
      <c r="L902" s="637"/>
      <c r="M902" s="637"/>
      <c r="N902" s="637"/>
      <c r="O902" s="637"/>
      <c r="P902" s="637"/>
      <c r="Q902" s="637"/>
      <c r="R902" s="637"/>
      <c r="S902" s="637"/>
      <c r="T902" s="637"/>
      <c r="U902" s="637"/>
      <c r="V902" s="637"/>
      <c r="W902" s="637"/>
      <c r="X902" s="637"/>
      <c r="Y902" s="637"/>
      <c r="Z902" s="637"/>
      <c r="AA902" s="637"/>
      <c r="AB902" s="637"/>
      <c r="AC902" s="637"/>
      <c r="AD902" s="647"/>
      <c r="AE902" s="606"/>
      <c r="AF902" s="606"/>
      <c r="AG902" s="606"/>
      <c r="AH902" s="606"/>
    </row>
    <row r="903" spans="1:34" s="612" customFormat="1" outlineLevel="2" x14ac:dyDescent="0.2">
      <c r="A903" s="606"/>
      <c r="B903" s="606"/>
      <c r="C903" s="607"/>
      <c r="D903" s="608"/>
      <c r="E903" s="608"/>
      <c r="F903" s="608"/>
      <c r="G903" s="608"/>
      <c r="H903" s="609"/>
      <c r="I903" s="637"/>
      <c r="J903" s="637"/>
      <c r="K903" s="637"/>
      <c r="L903" s="637"/>
      <c r="M903" s="637"/>
      <c r="N903" s="637"/>
      <c r="O903" s="637"/>
      <c r="P903" s="637"/>
      <c r="Q903" s="637"/>
      <c r="R903" s="637"/>
      <c r="S903" s="637"/>
      <c r="T903" s="637"/>
      <c r="U903" s="637"/>
      <c r="V903" s="637"/>
      <c r="W903" s="637"/>
      <c r="X903" s="637"/>
      <c r="Y903" s="637"/>
      <c r="Z903" s="637"/>
      <c r="AA903" s="637"/>
      <c r="AB903" s="637"/>
      <c r="AC903" s="637"/>
      <c r="AD903" s="647"/>
      <c r="AE903" s="606"/>
      <c r="AF903" s="606"/>
      <c r="AG903" s="606"/>
      <c r="AH903" s="606"/>
    </row>
    <row r="904" spans="1:34" s="612" customFormat="1" outlineLevel="2" x14ac:dyDescent="0.2">
      <c r="A904" s="606"/>
      <c r="B904" s="606"/>
      <c r="C904" s="607"/>
      <c r="D904" s="608"/>
      <c r="E904" s="608"/>
      <c r="F904" s="608"/>
      <c r="G904" s="608"/>
      <c r="H904" s="609"/>
      <c r="I904" s="637"/>
      <c r="J904" s="637"/>
      <c r="K904" s="637"/>
      <c r="L904" s="637"/>
      <c r="M904" s="637"/>
      <c r="N904" s="637"/>
      <c r="O904" s="637"/>
      <c r="P904" s="637"/>
      <c r="Q904" s="637"/>
      <c r="R904" s="637"/>
      <c r="S904" s="637"/>
      <c r="T904" s="637"/>
      <c r="U904" s="637"/>
      <c r="V904" s="637"/>
      <c r="W904" s="637"/>
      <c r="X904" s="637"/>
      <c r="Y904" s="637"/>
      <c r="Z904" s="637"/>
      <c r="AA904" s="637"/>
      <c r="AB904" s="637"/>
      <c r="AC904" s="637"/>
      <c r="AD904" s="647"/>
      <c r="AE904" s="606"/>
      <c r="AF904" s="606"/>
      <c r="AG904" s="606"/>
      <c r="AH904" s="606"/>
    </row>
    <row r="905" spans="1:34" s="612" customFormat="1" outlineLevel="2" x14ac:dyDescent="0.2">
      <c r="A905" s="606"/>
      <c r="B905" s="606"/>
      <c r="C905" s="607"/>
      <c r="D905" s="608"/>
      <c r="E905" s="608"/>
      <c r="F905" s="608"/>
      <c r="G905" s="608"/>
      <c r="H905" s="609"/>
      <c r="I905" s="637"/>
      <c r="J905" s="637"/>
      <c r="K905" s="637"/>
      <c r="L905" s="637"/>
      <c r="M905" s="637"/>
      <c r="N905" s="637"/>
      <c r="O905" s="637"/>
      <c r="P905" s="637"/>
      <c r="Q905" s="637"/>
      <c r="R905" s="637"/>
      <c r="S905" s="637"/>
      <c r="T905" s="637"/>
      <c r="U905" s="637"/>
      <c r="V905" s="637"/>
      <c r="W905" s="637"/>
      <c r="X905" s="637"/>
      <c r="Y905" s="637"/>
      <c r="Z905" s="637"/>
      <c r="AA905" s="637"/>
      <c r="AB905" s="637"/>
      <c r="AC905" s="637"/>
      <c r="AD905" s="647"/>
      <c r="AE905" s="606"/>
      <c r="AF905" s="606"/>
      <c r="AG905" s="606"/>
      <c r="AH905" s="606"/>
    </row>
    <row r="906" spans="1:34" s="612" customFormat="1" outlineLevel="2" x14ac:dyDescent="0.2">
      <c r="A906" s="606"/>
      <c r="B906" s="606"/>
      <c r="C906" s="607"/>
      <c r="D906" s="608"/>
      <c r="E906" s="608"/>
      <c r="F906" s="608"/>
      <c r="G906" s="608"/>
      <c r="H906" s="609"/>
      <c r="I906" s="637"/>
      <c r="J906" s="637"/>
      <c r="K906" s="637"/>
      <c r="L906" s="637"/>
      <c r="M906" s="637"/>
      <c r="N906" s="637"/>
      <c r="O906" s="637"/>
      <c r="P906" s="637"/>
      <c r="Q906" s="637"/>
      <c r="R906" s="637"/>
      <c r="S906" s="637"/>
      <c r="T906" s="637"/>
      <c r="U906" s="637"/>
      <c r="V906" s="637"/>
      <c r="W906" s="637"/>
      <c r="X906" s="637"/>
      <c r="Y906" s="637"/>
      <c r="Z906" s="637"/>
      <c r="AA906" s="637"/>
      <c r="AB906" s="637"/>
      <c r="AC906" s="637"/>
      <c r="AD906" s="647"/>
      <c r="AE906" s="606"/>
      <c r="AF906" s="606"/>
      <c r="AG906" s="606"/>
      <c r="AH906" s="606"/>
    </row>
    <row r="907" spans="1:34" s="612" customFormat="1" outlineLevel="2" x14ac:dyDescent="0.2">
      <c r="A907" s="606"/>
      <c r="B907" s="606"/>
      <c r="C907" s="607"/>
      <c r="D907" s="608"/>
      <c r="E907" s="608"/>
      <c r="F907" s="608"/>
      <c r="G907" s="608"/>
      <c r="H907" s="609"/>
      <c r="I907" s="637"/>
      <c r="J907" s="637"/>
      <c r="K907" s="637"/>
      <c r="L907" s="637"/>
      <c r="M907" s="637"/>
      <c r="N907" s="637"/>
      <c r="O907" s="637"/>
      <c r="P907" s="637"/>
      <c r="Q907" s="637"/>
      <c r="R907" s="637"/>
      <c r="S907" s="637"/>
      <c r="T907" s="637"/>
      <c r="U907" s="637"/>
      <c r="V907" s="637"/>
      <c r="W907" s="637"/>
      <c r="X907" s="637"/>
      <c r="Y907" s="637"/>
      <c r="Z907" s="637"/>
      <c r="AA907" s="637"/>
      <c r="AB907" s="637"/>
      <c r="AC907" s="637"/>
      <c r="AD907" s="647"/>
      <c r="AE907" s="606"/>
      <c r="AF907" s="606"/>
      <c r="AG907" s="606"/>
      <c r="AH907" s="606"/>
    </row>
    <row r="908" spans="1:34" s="612" customFormat="1" hidden="1" outlineLevel="3" x14ac:dyDescent="0.2">
      <c r="A908" s="606"/>
      <c r="B908" s="606"/>
      <c r="C908" s="607"/>
      <c r="D908" s="608"/>
      <c r="E908" s="608"/>
      <c r="F908" s="608"/>
      <c r="G908" s="608"/>
      <c r="H908" s="609"/>
      <c r="I908" s="637"/>
      <c r="J908" s="637"/>
      <c r="K908" s="637"/>
      <c r="L908" s="637"/>
      <c r="M908" s="637"/>
      <c r="N908" s="637"/>
      <c r="O908" s="637"/>
      <c r="P908" s="637"/>
      <c r="Q908" s="637"/>
      <c r="R908" s="637"/>
      <c r="S908" s="637"/>
      <c r="T908" s="637"/>
      <c r="U908" s="637"/>
      <c r="V908" s="637"/>
      <c r="W908" s="637"/>
      <c r="X908" s="637"/>
      <c r="Y908" s="637"/>
      <c r="Z908" s="637"/>
      <c r="AA908" s="637"/>
      <c r="AB908" s="637"/>
      <c r="AC908" s="637"/>
      <c r="AD908" s="647"/>
      <c r="AE908" s="606"/>
      <c r="AF908" s="606"/>
      <c r="AG908" s="606"/>
      <c r="AH908" s="606"/>
    </row>
    <row r="909" spans="1:34" s="612" customFormat="1" hidden="1" outlineLevel="3" x14ac:dyDescent="0.2">
      <c r="A909" s="606"/>
      <c r="B909" s="606"/>
      <c r="C909" s="607"/>
      <c r="D909" s="608"/>
      <c r="E909" s="608"/>
      <c r="F909" s="608"/>
      <c r="G909" s="608"/>
      <c r="H909" s="609"/>
      <c r="I909" s="637"/>
      <c r="J909" s="637"/>
      <c r="K909" s="637"/>
      <c r="L909" s="637"/>
      <c r="M909" s="637"/>
      <c r="N909" s="637"/>
      <c r="O909" s="637"/>
      <c r="P909" s="637"/>
      <c r="Q909" s="637"/>
      <c r="R909" s="637"/>
      <c r="S909" s="637"/>
      <c r="T909" s="637"/>
      <c r="U909" s="637"/>
      <c r="V909" s="637"/>
      <c r="W909" s="637"/>
      <c r="X909" s="637"/>
      <c r="Y909" s="637"/>
      <c r="Z909" s="637"/>
      <c r="AA909" s="637"/>
      <c r="AB909" s="637"/>
      <c r="AC909" s="637"/>
      <c r="AD909" s="647"/>
      <c r="AE909" s="606"/>
      <c r="AF909" s="606"/>
      <c r="AG909" s="606"/>
      <c r="AH909" s="606"/>
    </row>
    <row r="910" spans="1:34" s="612" customFormat="1" hidden="1" outlineLevel="3" x14ac:dyDescent="0.2">
      <c r="A910" s="606"/>
      <c r="B910" s="606"/>
      <c r="C910" s="607"/>
      <c r="D910" s="608"/>
      <c r="E910" s="608"/>
      <c r="F910" s="608"/>
      <c r="G910" s="608"/>
      <c r="H910" s="609"/>
      <c r="I910" s="637"/>
      <c r="J910" s="637"/>
      <c r="K910" s="637"/>
      <c r="L910" s="637"/>
      <c r="M910" s="637"/>
      <c r="N910" s="637"/>
      <c r="O910" s="637"/>
      <c r="P910" s="637"/>
      <c r="Q910" s="637"/>
      <c r="R910" s="637"/>
      <c r="S910" s="637"/>
      <c r="T910" s="637"/>
      <c r="U910" s="637"/>
      <c r="V910" s="637"/>
      <c r="W910" s="637"/>
      <c r="X910" s="637"/>
      <c r="Y910" s="637"/>
      <c r="Z910" s="637"/>
      <c r="AA910" s="637"/>
      <c r="AB910" s="637"/>
      <c r="AC910" s="637"/>
      <c r="AD910" s="647"/>
      <c r="AE910" s="606"/>
      <c r="AF910" s="606"/>
      <c r="AG910" s="606"/>
      <c r="AH910" s="606"/>
    </row>
    <row r="911" spans="1:34" s="612" customFormat="1" hidden="1" outlineLevel="3" x14ac:dyDescent="0.2">
      <c r="A911" s="606"/>
      <c r="B911" s="606"/>
      <c r="C911" s="607"/>
      <c r="D911" s="608"/>
      <c r="E911" s="608"/>
      <c r="F911" s="608"/>
      <c r="G911" s="608"/>
      <c r="H911" s="609"/>
      <c r="I911" s="637"/>
      <c r="J911" s="637"/>
      <c r="K911" s="637"/>
      <c r="L911" s="637"/>
      <c r="M911" s="637"/>
      <c r="N911" s="637"/>
      <c r="O911" s="637"/>
      <c r="P911" s="637"/>
      <c r="Q911" s="637"/>
      <c r="R911" s="637"/>
      <c r="S911" s="637"/>
      <c r="T911" s="637"/>
      <c r="U911" s="637"/>
      <c r="V911" s="637"/>
      <c r="W911" s="637"/>
      <c r="X911" s="637"/>
      <c r="Y911" s="637"/>
      <c r="Z911" s="637"/>
      <c r="AA911" s="637"/>
      <c r="AB911" s="637"/>
      <c r="AC911" s="637"/>
      <c r="AD911" s="647"/>
      <c r="AE911" s="606"/>
      <c r="AF911" s="606"/>
      <c r="AG911" s="606"/>
      <c r="AH911" s="606"/>
    </row>
    <row r="912" spans="1:34" s="612" customFormat="1" hidden="1" outlineLevel="3" x14ac:dyDescent="0.2">
      <c r="A912" s="606"/>
      <c r="B912" s="606"/>
      <c r="C912" s="607"/>
      <c r="D912" s="608"/>
      <c r="E912" s="608"/>
      <c r="F912" s="608"/>
      <c r="G912" s="608"/>
      <c r="H912" s="609"/>
      <c r="I912" s="637"/>
      <c r="J912" s="637"/>
      <c r="K912" s="637"/>
      <c r="L912" s="637"/>
      <c r="M912" s="637"/>
      <c r="N912" s="637"/>
      <c r="O912" s="637"/>
      <c r="P912" s="637"/>
      <c r="Q912" s="637"/>
      <c r="R912" s="637"/>
      <c r="S912" s="637"/>
      <c r="T912" s="637"/>
      <c r="U912" s="637"/>
      <c r="V912" s="637"/>
      <c r="W912" s="637"/>
      <c r="X912" s="637"/>
      <c r="Y912" s="637"/>
      <c r="Z912" s="637"/>
      <c r="AA912" s="637"/>
      <c r="AB912" s="637"/>
      <c r="AC912" s="637"/>
      <c r="AD912" s="647"/>
      <c r="AE912" s="606"/>
      <c r="AF912" s="606"/>
      <c r="AG912" s="606"/>
      <c r="AH912" s="606"/>
    </row>
    <row r="913" spans="1:34" s="612" customFormat="1" hidden="1" outlineLevel="3" x14ac:dyDescent="0.2">
      <c r="A913" s="606"/>
      <c r="B913" s="606"/>
      <c r="C913" s="607"/>
      <c r="D913" s="608"/>
      <c r="E913" s="608"/>
      <c r="F913" s="608"/>
      <c r="G913" s="608"/>
      <c r="H913" s="609"/>
      <c r="I913" s="637"/>
      <c r="J913" s="637"/>
      <c r="K913" s="637"/>
      <c r="L913" s="637"/>
      <c r="M913" s="637"/>
      <c r="N913" s="637"/>
      <c r="O913" s="637"/>
      <c r="P913" s="637"/>
      <c r="Q913" s="637"/>
      <c r="R913" s="637"/>
      <c r="S913" s="637"/>
      <c r="T913" s="637"/>
      <c r="U913" s="637"/>
      <c r="V913" s="637"/>
      <c r="W913" s="637"/>
      <c r="X913" s="637"/>
      <c r="Y913" s="637"/>
      <c r="Z913" s="637"/>
      <c r="AA913" s="637"/>
      <c r="AB913" s="637"/>
      <c r="AC913" s="637"/>
      <c r="AD913" s="647"/>
      <c r="AE913" s="606"/>
      <c r="AF913" s="606"/>
      <c r="AG913" s="606"/>
      <c r="AH913" s="606"/>
    </row>
    <row r="914" spans="1:34" s="612" customFormat="1" hidden="1" outlineLevel="3" x14ac:dyDescent="0.2">
      <c r="A914" s="606"/>
      <c r="B914" s="606"/>
      <c r="C914" s="607"/>
      <c r="D914" s="608"/>
      <c r="E914" s="608"/>
      <c r="F914" s="608"/>
      <c r="G914" s="608"/>
      <c r="H914" s="609"/>
      <c r="I914" s="637"/>
      <c r="J914" s="637"/>
      <c r="K914" s="637"/>
      <c r="L914" s="637"/>
      <c r="M914" s="637"/>
      <c r="N914" s="637"/>
      <c r="O914" s="637"/>
      <c r="P914" s="637"/>
      <c r="Q914" s="637"/>
      <c r="R914" s="637"/>
      <c r="S914" s="637"/>
      <c r="T914" s="637"/>
      <c r="U914" s="637"/>
      <c r="V914" s="637"/>
      <c r="W914" s="637"/>
      <c r="X914" s="637"/>
      <c r="Y914" s="637"/>
      <c r="Z914" s="637"/>
      <c r="AA914" s="637"/>
      <c r="AB914" s="637"/>
      <c r="AC914" s="637"/>
      <c r="AD914" s="647"/>
      <c r="AE914" s="606"/>
      <c r="AF914" s="606"/>
      <c r="AG914" s="606"/>
      <c r="AH914" s="606"/>
    </row>
    <row r="915" spans="1:34" s="612" customFormat="1" hidden="1" outlineLevel="3" x14ac:dyDescent="0.2">
      <c r="A915" s="606"/>
      <c r="B915" s="606"/>
      <c r="C915" s="607"/>
      <c r="D915" s="608"/>
      <c r="E915" s="608"/>
      <c r="F915" s="608"/>
      <c r="G915" s="608"/>
      <c r="H915" s="609"/>
      <c r="I915" s="637"/>
      <c r="J915" s="637"/>
      <c r="K915" s="637"/>
      <c r="L915" s="637"/>
      <c r="M915" s="637"/>
      <c r="N915" s="637"/>
      <c r="O915" s="637"/>
      <c r="P915" s="637"/>
      <c r="Q915" s="637"/>
      <c r="R915" s="637"/>
      <c r="S915" s="637"/>
      <c r="T915" s="637"/>
      <c r="U915" s="637"/>
      <c r="V915" s="637"/>
      <c r="W915" s="637"/>
      <c r="X915" s="637"/>
      <c r="Y915" s="637"/>
      <c r="Z915" s="637"/>
      <c r="AA915" s="637"/>
      <c r="AB915" s="637"/>
      <c r="AC915" s="637"/>
      <c r="AD915" s="647"/>
      <c r="AE915" s="606"/>
      <c r="AF915" s="606"/>
      <c r="AG915" s="606"/>
      <c r="AH915" s="606"/>
    </row>
    <row r="916" spans="1:34" s="612" customFormat="1" hidden="1" outlineLevel="3" x14ac:dyDescent="0.2">
      <c r="A916" s="606"/>
      <c r="B916" s="606"/>
      <c r="C916" s="607"/>
      <c r="D916" s="608"/>
      <c r="E916" s="608"/>
      <c r="F916" s="608"/>
      <c r="G916" s="608"/>
      <c r="H916" s="609"/>
      <c r="I916" s="637"/>
      <c r="J916" s="637"/>
      <c r="K916" s="637"/>
      <c r="L916" s="637"/>
      <c r="M916" s="637"/>
      <c r="N916" s="637"/>
      <c r="O916" s="637"/>
      <c r="P916" s="637"/>
      <c r="Q916" s="637"/>
      <c r="R916" s="637"/>
      <c r="S916" s="637"/>
      <c r="T916" s="637"/>
      <c r="U916" s="637"/>
      <c r="V916" s="637"/>
      <c r="W916" s="637"/>
      <c r="X916" s="637"/>
      <c r="Y916" s="637"/>
      <c r="Z916" s="637"/>
      <c r="AA916" s="637"/>
      <c r="AB916" s="637"/>
      <c r="AC916" s="637"/>
      <c r="AD916" s="647"/>
      <c r="AE916" s="606"/>
      <c r="AF916" s="606"/>
      <c r="AG916" s="606"/>
      <c r="AH916" s="606"/>
    </row>
    <row r="917" spans="1:34" s="612" customFormat="1" hidden="1" outlineLevel="3" x14ac:dyDescent="0.2">
      <c r="A917" s="606"/>
      <c r="B917" s="606"/>
      <c r="C917" s="607"/>
      <c r="D917" s="608"/>
      <c r="E917" s="608"/>
      <c r="F917" s="608"/>
      <c r="G917" s="608"/>
      <c r="H917" s="609"/>
      <c r="I917" s="637"/>
      <c r="J917" s="637"/>
      <c r="K917" s="637"/>
      <c r="L917" s="637"/>
      <c r="M917" s="637"/>
      <c r="N917" s="637"/>
      <c r="O917" s="637"/>
      <c r="P917" s="637"/>
      <c r="Q917" s="637"/>
      <c r="R917" s="637"/>
      <c r="S917" s="637"/>
      <c r="T917" s="637"/>
      <c r="U917" s="637"/>
      <c r="V917" s="637"/>
      <c r="W917" s="637"/>
      <c r="X917" s="637"/>
      <c r="Y917" s="637"/>
      <c r="Z917" s="637"/>
      <c r="AA917" s="637"/>
      <c r="AB917" s="637"/>
      <c r="AC917" s="637"/>
      <c r="AD917" s="647"/>
      <c r="AE917" s="606"/>
      <c r="AF917" s="606"/>
      <c r="AG917" s="606"/>
      <c r="AH917" s="606"/>
    </row>
    <row r="918" spans="1:34" s="612" customFormat="1" hidden="1" outlineLevel="3" x14ac:dyDescent="0.2">
      <c r="A918" s="606"/>
      <c r="B918" s="606"/>
      <c r="C918" s="607"/>
      <c r="D918" s="608"/>
      <c r="E918" s="608"/>
      <c r="F918" s="608"/>
      <c r="G918" s="608"/>
      <c r="H918" s="609"/>
      <c r="I918" s="637"/>
      <c r="J918" s="637"/>
      <c r="K918" s="637"/>
      <c r="L918" s="637"/>
      <c r="M918" s="637"/>
      <c r="N918" s="637"/>
      <c r="O918" s="637"/>
      <c r="P918" s="637"/>
      <c r="Q918" s="637"/>
      <c r="R918" s="637"/>
      <c r="S918" s="637"/>
      <c r="T918" s="637"/>
      <c r="U918" s="637"/>
      <c r="V918" s="637"/>
      <c r="W918" s="637"/>
      <c r="X918" s="637"/>
      <c r="Y918" s="637"/>
      <c r="Z918" s="637"/>
      <c r="AA918" s="637"/>
      <c r="AB918" s="637"/>
      <c r="AC918" s="637"/>
      <c r="AD918" s="647"/>
      <c r="AE918" s="606"/>
      <c r="AF918" s="606"/>
      <c r="AG918" s="606"/>
      <c r="AH918" s="606"/>
    </row>
    <row r="919" spans="1:34" s="612" customFormat="1" hidden="1" outlineLevel="3" x14ac:dyDescent="0.2">
      <c r="A919" s="606"/>
      <c r="B919" s="606"/>
      <c r="C919" s="607"/>
      <c r="D919" s="608"/>
      <c r="E919" s="608"/>
      <c r="F919" s="608"/>
      <c r="G919" s="608"/>
      <c r="H919" s="609"/>
      <c r="I919" s="637"/>
      <c r="J919" s="637"/>
      <c r="K919" s="637"/>
      <c r="L919" s="637"/>
      <c r="M919" s="637"/>
      <c r="N919" s="637"/>
      <c r="O919" s="637"/>
      <c r="P919" s="637"/>
      <c r="Q919" s="637"/>
      <c r="R919" s="637"/>
      <c r="S919" s="637"/>
      <c r="T919" s="637"/>
      <c r="U919" s="637"/>
      <c r="V919" s="637"/>
      <c r="W919" s="637"/>
      <c r="X919" s="637"/>
      <c r="Y919" s="637"/>
      <c r="Z919" s="637"/>
      <c r="AA919" s="637"/>
      <c r="AB919" s="637"/>
      <c r="AC919" s="637"/>
      <c r="AD919" s="647"/>
      <c r="AE919" s="606"/>
      <c r="AF919" s="606"/>
      <c r="AG919" s="606"/>
      <c r="AH919" s="606"/>
    </row>
    <row r="920" spans="1:34" s="612" customFormat="1" hidden="1" outlineLevel="3" x14ac:dyDescent="0.2">
      <c r="A920" s="606"/>
      <c r="B920" s="606"/>
      <c r="C920" s="607"/>
      <c r="D920" s="608"/>
      <c r="E920" s="608"/>
      <c r="F920" s="608"/>
      <c r="G920" s="608"/>
      <c r="H920" s="609"/>
      <c r="I920" s="637"/>
      <c r="J920" s="637"/>
      <c r="K920" s="637"/>
      <c r="L920" s="637"/>
      <c r="M920" s="637"/>
      <c r="N920" s="637"/>
      <c r="O920" s="637"/>
      <c r="P920" s="637"/>
      <c r="Q920" s="637"/>
      <c r="R920" s="637"/>
      <c r="S920" s="637"/>
      <c r="T920" s="637"/>
      <c r="U920" s="637"/>
      <c r="V920" s="637"/>
      <c r="W920" s="637"/>
      <c r="X920" s="637"/>
      <c r="Y920" s="637"/>
      <c r="Z920" s="637"/>
      <c r="AA920" s="637"/>
      <c r="AB920" s="637"/>
      <c r="AC920" s="637"/>
      <c r="AD920" s="647"/>
      <c r="AE920" s="606"/>
      <c r="AF920" s="606"/>
      <c r="AG920" s="606"/>
      <c r="AH920" s="606"/>
    </row>
    <row r="921" spans="1:34" s="612" customFormat="1" hidden="1" outlineLevel="3" x14ac:dyDescent="0.2">
      <c r="A921" s="606"/>
      <c r="B921" s="606"/>
      <c r="C921" s="607"/>
      <c r="D921" s="608"/>
      <c r="E921" s="608"/>
      <c r="F921" s="608"/>
      <c r="G921" s="608"/>
      <c r="H921" s="609"/>
      <c r="I921" s="637"/>
      <c r="J921" s="637"/>
      <c r="K921" s="637"/>
      <c r="L921" s="637"/>
      <c r="M921" s="637"/>
      <c r="N921" s="637"/>
      <c r="O921" s="637"/>
      <c r="P921" s="637"/>
      <c r="Q921" s="637"/>
      <c r="R921" s="637"/>
      <c r="S921" s="637"/>
      <c r="T921" s="637"/>
      <c r="U921" s="637"/>
      <c r="V921" s="637"/>
      <c r="W921" s="637"/>
      <c r="X921" s="637"/>
      <c r="Y921" s="637"/>
      <c r="Z921" s="637"/>
      <c r="AA921" s="637"/>
      <c r="AB921" s="637"/>
      <c r="AC921" s="637"/>
      <c r="AD921" s="647"/>
      <c r="AE921" s="606"/>
      <c r="AF921" s="606"/>
      <c r="AG921" s="606"/>
      <c r="AH921" s="606"/>
    </row>
    <row r="922" spans="1:34" s="612" customFormat="1" hidden="1" outlineLevel="3" x14ac:dyDescent="0.2">
      <c r="A922" s="606"/>
      <c r="B922" s="606"/>
      <c r="C922" s="607"/>
      <c r="D922" s="608"/>
      <c r="E922" s="608"/>
      <c r="F922" s="608"/>
      <c r="G922" s="608"/>
      <c r="H922" s="609"/>
      <c r="I922" s="637"/>
      <c r="J922" s="637"/>
      <c r="K922" s="637"/>
      <c r="L922" s="637"/>
      <c r="M922" s="637"/>
      <c r="N922" s="637"/>
      <c r="O922" s="637"/>
      <c r="P922" s="637"/>
      <c r="Q922" s="637"/>
      <c r="R922" s="637"/>
      <c r="S922" s="637"/>
      <c r="T922" s="637"/>
      <c r="U922" s="637"/>
      <c r="V922" s="637"/>
      <c r="W922" s="637"/>
      <c r="X922" s="637"/>
      <c r="Y922" s="637"/>
      <c r="Z922" s="637"/>
      <c r="AA922" s="637"/>
      <c r="AB922" s="637"/>
      <c r="AC922" s="637"/>
      <c r="AD922" s="647"/>
      <c r="AE922" s="606"/>
      <c r="AF922" s="606"/>
      <c r="AG922" s="606"/>
      <c r="AH922" s="606"/>
    </row>
    <row r="923" spans="1:34" s="612" customFormat="1" hidden="1" outlineLevel="3" x14ac:dyDescent="0.2">
      <c r="A923" s="606"/>
      <c r="B923" s="606"/>
      <c r="C923" s="607"/>
      <c r="D923" s="608"/>
      <c r="E923" s="608"/>
      <c r="F923" s="608"/>
      <c r="G923" s="608"/>
      <c r="H923" s="609"/>
      <c r="I923" s="637"/>
      <c r="J923" s="637"/>
      <c r="K923" s="637"/>
      <c r="L923" s="637"/>
      <c r="M923" s="637"/>
      <c r="N923" s="637"/>
      <c r="O923" s="637"/>
      <c r="P923" s="637"/>
      <c r="Q923" s="637"/>
      <c r="R923" s="637"/>
      <c r="S923" s="637"/>
      <c r="T923" s="637"/>
      <c r="U923" s="637"/>
      <c r="V923" s="637"/>
      <c r="W923" s="637"/>
      <c r="X923" s="637"/>
      <c r="Y923" s="637"/>
      <c r="Z923" s="637"/>
      <c r="AA923" s="637"/>
      <c r="AB923" s="637"/>
      <c r="AC923" s="637"/>
      <c r="AD923" s="647"/>
      <c r="AE923" s="606"/>
      <c r="AF923" s="606"/>
      <c r="AG923" s="606"/>
      <c r="AH923" s="606"/>
    </row>
    <row r="924" spans="1:34" s="612" customFormat="1" hidden="1" outlineLevel="3" x14ac:dyDescent="0.2">
      <c r="A924" s="606"/>
      <c r="B924" s="606"/>
      <c r="C924" s="607"/>
      <c r="D924" s="608"/>
      <c r="E924" s="608"/>
      <c r="F924" s="608"/>
      <c r="G924" s="608"/>
      <c r="H924" s="609"/>
      <c r="I924" s="637"/>
      <c r="J924" s="637"/>
      <c r="K924" s="637"/>
      <c r="L924" s="637"/>
      <c r="M924" s="637"/>
      <c r="N924" s="637"/>
      <c r="O924" s="637"/>
      <c r="P924" s="637"/>
      <c r="Q924" s="637"/>
      <c r="R924" s="637"/>
      <c r="S924" s="637"/>
      <c r="T924" s="637"/>
      <c r="U924" s="637"/>
      <c r="V924" s="637"/>
      <c r="W924" s="637"/>
      <c r="X924" s="637"/>
      <c r="Y924" s="637"/>
      <c r="Z924" s="637"/>
      <c r="AA924" s="637"/>
      <c r="AB924" s="637"/>
      <c r="AC924" s="637"/>
      <c r="AD924" s="647"/>
      <c r="AE924" s="606"/>
      <c r="AF924" s="606"/>
      <c r="AG924" s="606"/>
      <c r="AH924" s="606"/>
    </row>
    <row r="925" spans="1:34" s="612" customFormat="1" hidden="1" outlineLevel="3" x14ac:dyDescent="0.2">
      <c r="A925" s="606"/>
      <c r="B925" s="606"/>
      <c r="C925" s="607"/>
      <c r="D925" s="608"/>
      <c r="E925" s="608"/>
      <c r="F925" s="608"/>
      <c r="G925" s="608"/>
      <c r="H925" s="609"/>
      <c r="I925" s="637"/>
      <c r="J925" s="637"/>
      <c r="K925" s="637"/>
      <c r="L925" s="637"/>
      <c r="M925" s="637"/>
      <c r="N925" s="637"/>
      <c r="O925" s="637"/>
      <c r="P925" s="637"/>
      <c r="Q925" s="637"/>
      <c r="R925" s="637"/>
      <c r="S925" s="637"/>
      <c r="T925" s="637"/>
      <c r="U925" s="637"/>
      <c r="V925" s="637"/>
      <c r="W925" s="637"/>
      <c r="X925" s="637"/>
      <c r="Y925" s="637"/>
      <c r="Z925" s="637"/>
      <c r="AA925" s="637"/>
      <c r="AB925" s="637"/>
      <c r="AC925" s="637"/>
      <c r="AD925" s="647"/>
      <c r="AE925" s="606"/>
      <c r="AF925" s="606"/>
      <c r="AG925" s="606"/>
      <c r="AH925" s="606"/>
    </row>
    <row r="926" spans="1:34" s="612" customFormat="1" hidden="1" outlineLevel="3" x14ac:dyDescent="0.2">
      <c r="A926" s="606"/>
      <c r="B926" s="606"/>
      <c r="C926" s="607"/>
      <c r="D926" s="608"/>
      <c r="E926" s="608"/>
      <c r="F926" s="608"/>
      <c r="G926" s="608"/>
      <c r="H926" s="609"/>
      <c r="I926" s="637"/>
      <c r="J926" s="637"/>
      <c r="K926" s="637"/>
      <c r="L926" s="637"/>
      <c r="M926" s="637"/>
      <c r="N926" s="637"/>
      <c r="O926" s="637"/>
      <c r="P926" s="637"/>
      <c r="Q926" s="637"/>
      <c r="R926" s="637"/>
      <c r="S926" s="637"/>
      <c r="T926" s="637"/>
      <c r="U926" s="637"/>
      <c r="V926" s="637"/>
      <c r="W926" s="637"/>
      <c r="X926" s="637"/>
      <c r="Y926" s="637"/>
      <c r="Z926" s="637"/>
      <c r="AA926" s="637"/>
      <c r="AB926" s="637"/>
      <c r="AC926" s="637"/>
      <c r="AD926" s="647"/>
      <c r="AE926" s="606"/>
      <c r="AF926" s="606"/>
      <c r="AG926" s="606"/>
      <c r="AH926" s="606"/>
    </row>
    <row r="927" spans="1:34" s="612" customFormat="1" hidden="1" outlineLevel="3" x14ac:dyDescent="0.2">
      <c r="A927" s="606"/>
      <c r="B927" s="606"/>
      <c r="C927" s="607"/>
      <c r="D927" s="608"/>
      <c r="E927" s="608"/>
      <c r="F927" s="608"/>
      <c r="G927" s="608"/>
      <c r="H927" s="609"/>
      <c r="I927" s="637"/>
      <c r="J927" s="637"/>
      <c r="K927" s="637"/>
      <c r="L927" s="637"/>
      <c r="M927" s="637"/>
      <c r="N927" s="637"/>
      <c r="O927" s="637"/>
      <c r="P927" s="637"/>
      <c r="Q927" s="637"/>
      <c r="R927" s="637"/>
      <c r="S927" s="637"/>
      <c r="T927" s="637"/>
      <c r="U927" s="637"/>
      <c r="V927" s="637"/>
      <c r="W927" s="637"/>
      <c r="X927" s="637"/>
      <c r="Y927" s="637"/>
      <c r="Z927" s="637"/>
      <c r="AA927" s="637"/>
      <c r="AB927" s="637"/>
      <c r="AC927" s="637"/>
      <c r="AD927" s="647"/>
      <c r="AE927" s="606"/>
      <c r="AF927" s="606"/>
      <c r="AG927" s="606"/>
      <c r="AH927" s="606"/>
    </row>
    <row r="928" spans="1:34" s="612" customFormat="1" hidden="1" outlineLevel="3" x14ac:dyDescent="0.2">
      <c r="A928" s="606"/>
      <c r="B928" s="606"/>
      <c r="C928" s="607"/>
      <c r="D928" s="608"/>
      <c r="E928" s="608"/>
      <c r="F928" s="608"/>
      <c r="G928" s="608"/>
      <c r="H928" s="609"/>
      <c r="I928" s="637"/>
      <c r="J928" s="637"/>
      <c r="K928" s="637"/>
      <c r="L928" s="637"/>
      <c r="M928" s="637"/>
      <c r="N928" s="637"/>
      <c r="O928" s="637"/>
      <c r="P928" s="637"/>
      <c r="Q928" s="637"/>
      <c r="R928" s="637"/>
      <c r="S928" s="637"/>
      <c r="T928" s="637"/>
      <c r="U928" s="637"/>
      <c r="V928" s="637"/>
      <c r="W928" s="637"/>
      <c r="X928" s="637"/>
      <c r="Y928" s="637"/>
      <c r="Z928" s="637"/>
      <c r="AA928" s="637"/>
      <c r="AB928" s="637"/>
      <c r="AC928" s="637"/>
      <c r="AD928" s="647"/>
      <c r="AE928" s="606"/>
      <c r="AF928" s="606"/>
      <c r="AG928" s="606"/>
      <c r="AH928" s="606"/>
    </row>
    <row r="929" spans="1:34" s="612" customFormat="1" hidden="1" outlineLevel="3" x14ac:dyDescent="0.2">
      <c r="A929" s="606"/>
      <c r="B929" s="606"/>
      <c r="C929" s="607"/>
      <c r="D929" s="608"/>
      <c r="E929" s="608"/>
      <c r="F929" s="608"/>
      <c r="G929" s="608"/>
      <c r="H929" s="609"/>
      <c r="I929" s="637"/>
      <c r="J929" s="637"/>
      <c r="K929" s="637"/>
      <c r="L929" s="637"/>
      <c r="M929" s="637"/>
      <c r="N929" s="637"/>
      <c r="O929" s="637"/>
      <c r="P929" s="637"/>
      <c r="Q929" s="637"/>
      <c r="R929" s="637"/>
      <c r="S929" s="637"/>
      <c r="T929" s="637"/>
      <c r="U929" s="637"/>
      <c r="V929" s="637"/>
      <c r="W929" s="637"/>
      <c r="X929" s="637"/>
      <c r="Y929" s="637"/>
      <c r="Z929" s="637"/>
      <c r="AA929" s="637"/>
      <c r="AB929" s="637"/>
      <c r="AC929" s="637"/>
      <c r="AD929" s="647"/>
      <c r="AE929" s="606"/>
      <c r="AF929" s="606"/>
      <c r="AG929" s="606"/>
      <c r="AH929" s="606"/>
    </row>
    <row r="930" spans="1:34" s="612" customFormat="1" hidden="1" outlineLevel="3" x14ac:dyDescent="0.2">
      <c r="A930" s="606"/>
      <c r="B930" s="606"/>
      <c r="C930" s="607"/>
      <c r="D930" s="608"/>
      <c r="E930" s="608"/>
      <c r="F930" s="608"/>
      <c r="G930" s="608"/>
      <c r="H930" s="609"/>
      <c r="I930" s="637"/>
      <c r="J930" s="637"/>
      <c r="K930" s="637"/>
      <c r="L930" s="637"/>
      <c r="M930" s="637"/>
      <c r="N930" s="637"/>
      <c r="O930" s="637"/>
      <c r="P930" s="637"/>
      <c r="Q930" s="637"/>
      <c r="R930" s="637"/>
      <c r="S930" s="637"/>
      <c r="T930" s="637"/>
      <c r="U930" s="637"/>
      <c r="V930" s="637"/>
      <c r="W930" s="637"/>
      <c r="X930" s="637"/>
      <c r="Y930" s="637"/>
      <c r="Z930" s="637"/>
      <c r="AA930" s="637"/>
      <c r="AB930" s="637"/>
      <c r="AC930" s="637"/>
      <c r="AD930" s="647"/>
      <c r="AE930" s="606"/>
      <c r="AF930" s="606"/>
      <c r="AG930" s="606"/>
      <c r="AH930" s="606"/>
    </row>
    <row r="931" spans="1:34" s="612" customFormat="1" hidden="1" outlineLevel="3" x14ac:dyDescent="0.2">
      <c r="A931" s="606"/>
      <c r="B931" s="606"/>
      <c r="C931" s="607"/>
      <c r="D931" s="608"/>
      <c r="E931" s="608"/>
      <c r="F931" s="608"/>
      <c r="G931" s="608"/>
      <c r="H931" s="609"/>
      <c r="I931" s="637"/>
      <c r="J931" s="637"/>
      <c r="K931" s="637"/>
      <c r="L931" s="637"/>
      <c r="M931" s="637"/>
      <c r="N931" s="637"/>
      <c r="O931" s="637"/>
      <c r="P931" s="637"/>
      <c r="Q931" s="637"/>
      <c r="R931" s="637"/>
      <c r="S931" s="637"/>
      <c r="T931" s="637"/>
      <c r="U931" s="637"/>
      <c r="V931" s="637"/>
      <c r="W931" s="637"/>
      <c r="X931" s="637"/>
      <c r="Y931" s="637"/>
      <c r="Z931" s="637"/>
      <c r="AA931" s="637"/>
      <c r="AB931" s="637"/>
      <c r="AC931" s="637"/>
      <c r="AD931" s="647"/>
      <c r="AE931" s="606"/>
      <c r="AF931" s="606"/>
      <c r="AG931" s="606"/>
      <c r="AH931" s="606"/>
    </row>
    <row r="932" spans="1:34" s="612" customFormat="1" hidden="1" outlineLevel="3" x14ac:dyDescent="0.2">
      <c r="A932" s="606"/>
      <c r="B932" s="606"/>
      <c r="C932" s="607"/>
      <c r="D932" s="608"/>
      <c r="E932" s="608"/>
      <c r="F932" s="608"/>
      <c r="G932" s="608"/>
      <c r="H932" s="609"/>
      <c r="I932" s="637"/>
      <c r="J932" s="637"/>
      <c r="K932" s="637"/>
      <c r="L932" s="637"/>
      <c r="M932" s="637"/>
      <c r="N932" s="637"/>
      <c r="O932" s="637"/>
      <c r="P932" s="637"/>
      <c r="Q932" s="637"/>
      <c r="R932" s="637"/>
      <c r="S932" s="637"/>
      <c r="T932" s="637"/>
      <c r="U932" s="637"/>
      <c r="V932" s="637"/>
      <c r="W932" s="637"/>
      <c r="X932" s="637"/>
      <c r="Y932" s="637"/>
      <c r="Z932" s="637"/>
      <c r="AA932" s="637"/>
      <c r="AB932" s="637"/>
      <c r="AC932" s="637"/>
      <c r="AD932" s="647"/>
      <c r="AE932" s="606"/>
      <c r="AF932" s="606"/>
      <c r="AG932" s="606"/>
      <c r="AH932" s="606"/>
    </row>
    <row r="933" spans="1:34" s="612" customFormat="1" hidden="1" outlineLevel="3" x14ac:dyDescent="0.2">
      <c r="A933" s="606"/>
      <c r="B933" s="606"/>
      <c r="C933" s="607"/>
      <c r="D933" s="608"/>
      <c r="E933" s="608"/>
      <c r="F933" s="608"/>
      <c r="G933" s="608"/>
      <c r="H933" s="609"/>
      <c r="I933" s="637"/>
      <c r="J933" s="637"/>
      <c r="K933" s="637"/>
      <c r="L933" s="637"/>
      <c r="M933" s="637"/>
      <c r="N933" s="637"/>
      <c r="O933" s="637"/>
      <c r="P933" s="637"/>
      <c r="Q933" s="637"/>
      <c r="R933" s="637"/>
      <c r="S933" s="637"/>
      <c r="T933" s="637"/>
      <c r="U933" s="637"/>
      <c r="V933" s="637"/>
      <c r="W933" s="637"/>
      <c r="X933" s="637"/>
      <c r="Y933" s="637"/>
      <c r="Z933" s="637"/>
      <c r="AA933" s="637"/>
      <c r="AB933" s="637"/>
      <c r="AC933" s="637"/>
      <c r="AD933" s="647"/>
      <c r="AE933" s="606"/>
      <c r="AF933" s="606"/>
      <c r="AG933" s="606"/>
      <c r="AH933" s="606"/>
    </row>
    <row r="934" spans="1:34" s="612" customFormat="1" hidden="1" outlineLevel="3" x14ac:dyDescent="0.2">
      <c r="A934" s="606"/>
      <c r="B934" s="606"/>
      <c r="C934" s="607"/>
      <c r="D934" s="608"/>
      <c r="E934" s="608"/>
      <c r="F934" s="608"/>
      <c r="G934" s="608"/>
      <c r="H934" s="609"/>
      <c r="I934" s="637"/>
      <c r="J934" s="637"/>
      <c r="K934" s="637"/>
      <c r="L934" s="637"/>
      <c r="M934" s="637"/>
      <c r="N934" s="637"/>
      <c r="O934" s="637"/>
      <c r="P934" s="637"/>
      <c r="Q934" s="637"/>
      <c r="R934" s="637"/>
      <c r="S934" s="637"/>
      <c r="T934" s="637"/>
      <c r="U934" s="637"/>
      <c r="V934" s="637"/>
      <c r="W934" s="637"/>
      <c r="X934" s="637"/>
      <c r="Y934" s="637"/>
      <c r="Z934" s="637"/>
      <c r="AA934" s="637"/>
      <c r="AB934" s="637"/>
      <c r="AC934" s="637"/>
      <c r="AD934" s="647"/>
      <c r="AE934" s="606"/>
      <c r="AF934" s="606"/>
      <c r="AG934" s="606"/>
      <c r="AH934" s="606"/>
    </row>
    <row r="935" spans="1:34" s="612" customFormat="1" hidden="1" outlineLevel="3" x14ac:dyDescent="0.2">
      <c r="A935" s="606"/>
      <c r="B935" s="606"/>
      <c r="C935" s="607"/>
      <c r="D935" s="608"/>
      <c r="E935" s="608"/>
      <c r="F935" s="608"/>
      <c r="G935" s="608"/>
      <c r="H935" s="609"/>
      <c r="I935" s="637"/>
      <c r="J935" s="637"/>
      <c r="K935" s="637"/>
      <c r="L935" s="637"/>
      <c r="M935" s="637"/>
      <c r="N935" s="637"/>
      <c r="O935" s="637"/>
      <c r="P935" s="637"/>
      <c r="Q935" s="637"/>
      <c r="R935" s="637"/>
      <c r="S935" s="637"/>
      <c r="T935" s="637"/>
      <c r="U935" s="637"/>
      <c r="V935" s="637"/>
      <c r="W935" s="637"/>
      <c r="X935" s="637"/>
      <c r="Y935" s="637"/>
      <c r="Z935" s="637"/>
      <c r="AA935" s="637"/>
      <c r="AB935" s="637"/>
      <c r="AC935" s="637"/>
      <c r="AD935" s="647"/>
      <c r="AE935" s="606"/>
      <c r="AF935" s="606"/>
      <c r="AG935" s="606"/>
      <c r="AH935" s="606"/>
    </row>
    <row r="936" spans="1:34" s="612" customFormat="1" hidden="1" outlineLevel="3" x14ac:dyDescent="0.2">
      <c r="A936" s="606"/>
      <c r="B936" s="606"/>
      <c r="C936" s="607"/>
      <c r="D936" s="608"/>
      <c r="E936" s="608"/>
      <c r="F936" s="608"/>
      <c r="G936" s="608"/>
      <c r="H936" s="609"/>
      <c r="I936" s="637"/>
      <c r="J936" s="637"/>
      <c r="K936" s="637"/>
      <c r="L936" s="637"/>
      <c r="M936" s="637"/>
      <c r="N936" s="637"/>
      <c r="O936" s="637"/>
      <c r="P936" s="637"/>
      <c r="Q936" s="637"/>
      <c r="R936" s="637"/>
      <c r="S936" s="637"/>
      <c r="T936" s="637"/>
      <c r="U936" s="637"/>
      <c r="V936" s="637"/>
      <c r="W936" s="637"/>
      <c r="X936" s="637"/>
      <c r="Y936" s="637"/>
      <c r="Z936" s="637"/>
      <c r="AA936" s="637"/>
      <c r="AB936" s="637"/>
      <c r="AC936" s="637"/>
      <c r="AD936" s="647"/>
      <c r="AE936" s="606"/>
      <c r="AF936" s="606"/>
      <c r="AG936" s="606"/>
      <c r="AH936" s="606"/>
    </row>
    <row r="937" spans="1:34" s="612" customFormat="1" hidden="1" outlineLevel="3" x14ac:dyDescent="0.2">
      <c r="A937" s="606"/>
      <c r="B937" s="606"/>
      <c r="C937" s="607"/>
      <c r="D937" s="608"/>
      <c r="E937" s="608"/>
      <c r="F937" s="608"/>
      <c r="G937" s="608"/>
      <c r="H937" s="609"/>
      <c r="I937" s="637"/>
      <c r="J937" s="637"/>
      <c r="K937" s="637"/>
      <c r="L937" s="637"/>
      <c r="M937" s="637"/>
      <c r="N937" s="637"/>
      <c r="O937" s="637"/>
      <c r="P937" s="637"/>
      <c r="Q937" s="637"/>
      <c r="R937" s="637"/>
      <c r="S937" s="637"/>
      <c r="T937" s="637"/>
      <c r="U937" s="637"/>
      <c r="V937" s="637"/>
      <c r="W937" s="637"/>
      <c r="X937" s="637"/>
      <c r="Y937" s="637"/>
      <c r="Z937" s="637"/>
      <c r="AA937" s="637"/>
      <c r="AB937" s="637"/>
      <c r="AC937" s="637"/>
      <c r="AD937" s="647"/>
      <c r="AE937" s="606"/>
      <c r="AF937" s="606"/>
      <c r="AG937" s="606"/>
      <c r="AH937" s="606"/>
    </row>
    <row r="938" spans="1:34" s="612" customFormat="1" hidden="1" outlineLevel="3" x14ac:dyDescent="0.2">
      <c r="A938" s="606"/>
      <c r="B938" s="606"/>
      <c r="C938" s="607"/>
      <c r="D938" s="608"/>
      <c r="E938" s="608"/>
      <c r="F938" s="608"/>
      <c r="G938" s="608"/>
      <c r="H938" s="609"/>
      <c r="I938" s="637"/>
      <c r="J938" s="637"/>
      <c r="K938" s="637"/>
      <c r="L938" s="637"/>
      <c r="M938" s="637"/>
      <c r="N938" s="637"/>
      <c r="O938" s="637"/>
      <c r="P938" s="637"/>
      <c r="Q938" s="637"/>
      <c r="R938" s="637"/>
      <c r="S938" s="637"/>
      <c r="T938" s="637"/>
      <c r="U938" s="637"/>
      <c r="V938" s="637"/>
      <c r="W938" s="637"/>
      <c r="X938" s="637"/>
      <c r="Y938" s="637"/>
      <c r="Z938" s="637"/>
      <c r="AA938" s="637"/>
      <c r="AB938" s="637"/>
      <c r="AC938" s="637"/>
      <c r="AD938" s="647"/>
      <c r="AE938" s="606"/>
      <c r="AF938" s="606"/>
      <c r="AG938" s="606"/>
      <c r="AH938" s="606"/>
    </row>
    <row r="939" spans="1:34" s="612" customFormat="1" hidden="1" outlineLevel="3" x14ac:dyDescent="0.2">
      <c r="A939" s="606"/>
      <c r="B939" s="606"/>
      <c r="C939" s="607"/>
      <c r="D939" s="608"/>
      <c r="E939" s="608"/>
      <c r="F939" s="608"/>
      <c r="G939" s="608"/>
      <c r="H939" s="609"/>
      <c r="I939" s="637"/>
      <c r="J939" s="637"/>
      <c r="K939" s="637"/>
      <c r="L939" s="637"/>
      <c r="M939" s="637"/>
      <c r="N939" s="637"/>
      <c r="O939" s="637"/>
      <c r="P939" s="637"/>
      <c r="Q939" s="637"/>
      <c r="R939" s="637"/>
      <c r="S939" s="637"/>
      <c r="T939" s="637"/>
      <c r="U939" s="637"/>
      <c r="V939" s="637"/>
      <c r="W939" s="637"/>
      <c r="X939" s="637"/>
      <c r="Y939" s="637"/>
      <c r="Z939" s="637"/>
      <c r="AA939" s="637"/>
      <c r="AB939" s="637"/>
      <c r="AC939" s="637"/>
      <c r="AD939" s="647"/>
      <c r="AE939" s="606"/>
      <c r="AF939" s="606"/>
      <c r="AG939" s="606"/>
      <c r="AH939" s="606"/>
    </row>
    <row r="940" spans="1:34" s="612" customFormat="1" hidden="1" outlineLevel="3" x14ac:dyDescent="0.2">
      <c r="A940" s="606"/>
      <c r="B940" s="606"/>
      <c r="C940" s="607"/>
      <c r="D940" s="608"/>
      <c r="E940" s="608"/>
      <c r="F940" s="608"/>
      <c r="G940" s="608"/>
      <c r="H940" s="609"/>
      <c r="I940" s="637"/>
      <c r="J940" s="637"/>
      <c r="K940" s="637"/>
      <c r="L940" s="637"/>
      <c r="M940" s="637"/>
      <c r="N940" s="637"/>
      <c r="O940" s="637"/>
      <c r="P940" s="637"/>
      <c r="Q940" s="637"/>
      <c r="R940" s="637"/>
      <c r="S940" s="637"/>
      <c r="T940" s="637"/>
      <c r="U940" s="637"/>
      <c r="V940" s="637"/>
      <c r="W940" s="637"/>
      <c r="X940" s="637"/>
      <c r="Y940" s="637"/>
      <c r="Z940" s="637"/>
      <c r="AA940" s="637"/>
      <c r="AB940" s="637"/>
      <c r="AC940" s="637"/>
      <c r="AD940" s="647"/>
      <c r="AE940" s="606"/>
      <c r="AF940" s="606"/>
      <c r="AG940" s="606"/>
      <c r="AH940" s="606"/>
    </row>
    <row r="941" spans="1:34" s="612" customFormat="1" hidden="1" outlineLevel="3" x14ac:dyDescent="0.2">
      <c r="A941" s="606"/>
      <c r="B941" s="606"/>
      <c r="C941" s="607"/>
      <c r="D941" s="608"/>
      <c r="E941" s="608"/>
      <c r="F941" s="608"/>
      <c r="G941" s="608"/>
      <c r="H941" s="609"/>
      <c r="I941" s="637"/>
      <c r="J941" s="637"/>
      <c r="K941" s="637"/>
      <c r="L941" s="637"/>
      <c r="M941" s="637"/>
      <c r="N941" s="637"/>
      <c r="O941" s="637"/>
      <c r="P941" s="637"/>
      <c r="Q941" s="637"/>
      <c r="R941" s="637"/>
      <c r="S941" s="637"/>
      <c r="T941" s="637"/>
      <c r="U941" s="637"/>
      <c r="V941" s="637"/>
      <c r="W941" s="637"/>
      <c r="X941" s="637"/>
      <c r="Y941" s="637"/>
      <c r="Z941" s="637"/>
      <c r="AA941" s="637"/>
      <c r="AB941" s="637"/>
      <c r="AC941" s="637"/>
      <c r="AD941" s="647"/>
      <c r="AE941" s="606"/>
      <c r="AF941" s="606"/>
      <c r="AG941" s="606"/>
      <c r="AH941" s="606"/>
    </row>
    <row r="942" spans="1:34" s="612" customFormat="1" hidden="1" outlineLevel="3" x14ac:dyDescent="0.2">
      <c r="A942" s="606"/>
      <c r="B942" s="606"/>
      <c r="C942" s="607"/>
      <c r="D942" s="608"/>
      <c r="E942" s="608"/>
      <c r="F942" s="608"/>
      <c r="G942" s="608"/>
      <c r="H942" s="609"/>
      <c r="I942" s="637"/>
      <c r="J942" s="637"/>
      <c r="K942" s="637"/>
      <c r="L942" s="637"/>
      <c r="M942" s="637"/>
      <c r="N942" s="637"/>
      <c r="O942" s="637"/>
      <c r="P942" s="637"/>
      <c r="Q942" s="637"/>
      <c r="R942" s="637"/>
      <c r="S942" s="637"/>
      <c r="T942" s="637"/>
      <c r="U942" s="637"/>
      <c r="V942" s="637"/>
      <c r="W942" s="637"/>
      <c r="X942" s="637"/>
      <c r="Y942" s="637"/>
      <c r="Z942" s="637"/>
      <c r="AA942" s="637"/>
      <c r="AB942" s="637"/>
      <c r="AC942" s="637"/>
      <c r="AD942" s="647"/>
      <c r="AE942" s="606"/>
      <c r="AF942" s="606"/>
      <c r="AG942" s="606"/>
      <c r="AH942" s="606"/>
    </row>
    <row r="943" spans="1:34" s="612" customFormat="1" hidden="1" outlineLevel="3" x14ac:dyDescent="0.2">
      <c r="A943" s="606"/>
      <c r="B943" s="606"/>
      <c r="C943" s="607"/>
      <c r="D943" s="608"/>
      <c r="E943" s="608"/>
      <c r="F943" s="608"/>
      <c r="G943" s="608"/>
      <c r="H943" s="609"/>
      <c r="I943" s="637"/>
      <c r="J943" s="637"/>
      <c r="K943" s="637"/>
      <c r="L943" s="637"/>
      <c r="M943" s="637"/>
      <c r="N943" s="637"/>
      <c r="O943" s="637"/>
      <c r="P943" s="637"/>
      <c r="Q943" s="637"/>
      <c r="R943" s="637"/>
      <c r="S943" s="637"/>
      <c r="T943" s="637"/>
      <c r="U943" s="637"/>
      <c r="V943" s="637"/>
      <c r="W943" s="637"/>
      <c r="X943" s="637"/>
      <c r="Y943" s="637"/>
      <c r="Z943" s="637"/>
      <c r="AA943" s="637"/>
      <c r="AB943" s="637"/>
      <c r="AC943" s="637"/>
      <c r="AD943" s="647"/>
      <c r="AE943" s="606"/>
      <c r="AF943" s="606"/>
      <c r="AG943" s="606"/>
      <c r="AH943" s="606"/>
    </row>
    <row r="944" spans="1:34" s="612" customFormat="1" hidden="1" outlineLevel="3" x14ac:dyDescent="0.2">
      <c r="A944" s="606"/>
      <c r="B944" s="606"/>
      <c r="C944" s="607"/>
      <c r="D944" s="608"/>
      <c r="E944" s="608"/>
      <c r="F944" s="608"/>
      <c r="G944" s="608"/>
      <c r="H944" s="609"/>
      <c r="I944" s="637"/>
      <c r="J944" s="637"/>
      <c r="K944" s="637"/>
      <c r="L944" s="637"/>
      <c r="M944" s="637"/>
      <c r="N944" s="637"/>
      <c r="O944" s="637"/>
      <c r="P944" s="637"/>
      <c r="Q944" s="637"/>
      <c r="R944" s="637"/>
      <c r="S944" s="637"/>
      <c r="T944" s="637"/>
      <c r="U944" s="637"/>
      <c r="V944" s="637"/>
      <c r="W944" s="637"/>
      <c r="X944" s="637"/>
      <c r="Y944" s="637"/>
      <c r="Z944" s="637"/>
      <c r="AA944" s="637"/>
      <c r="AB944" s="637"/>
      <c r="AC944" s="637"/>
      <c r="AD944" s="647"/>
      <c r="AE944" s="606"/>
      <c r="AF944" s="606"/>
      <c r="AG944" s="606"/>
      <c r="AH944" s="606"/>
    </row>
    <row r="945" spans="1:34" s="612" customFormat="1" hidden="1" outlineLevel="3" x14ac:dyDescent="0.2">
      <c r="A945" s="606"/>
      <c r="B945" s="606"/>
      <c r="C945" s="607"/>
      <c r="D945" s="608"/>
      <c r="E945" s="608"/>
      <c r="F945" s="608"/>
      <c r="G945" s="608"/>
      <c r="H945" s="609"/>
      <c r="I945" s="637"/>
      <c r="J945" s="637"/>
      <c r="K945" s="637"/>
      <c r="L945" s="637"/>
      <c r="M945" s="637"/>
      <c r="N945" s="637"/>
      <c r="O945" s="637"/>
      <c r="P945" s="637"/>
      <c r="Q945" s="637"/>
      <c r="R945" s="637"/>
      <c r="S945" s="637"/>
      <c r="T945" s="637"/>
      <c r="U945" s="637"/>
      <c r="V945" s="637"/>
      <c r="W945" s="637"/>
      <c r="X945" s="637"/>
      <c r="Y945" s="637"/>
      <c r="Z945" s="637"/>
      <c r="AA945" s="637"/>
      <c r="AB945" s="637"/>
      <c r="AC945" s="637"/>
      <c r="AD945" s="647"/>
      <c r="AE945" s="606"/>
      <c r="AF945" s="606"/>
      <c r="AG945" s="606"/>
      <c r="AH945" s="606"/>
    </row>
    <row r="946" spans="1:34" s="612" customFormat="1" hidden="1" outlineLevel="3" x14ac:dyDescent="0.2">
      <c r="A946" s="606"/>
      <c r="B946" s="606"/>
      <c r="C946" s="607"/>
      <c r="D946" s="608"/>
      <c r="E946" s="608"/>
      <c r="F946" s="608"/>
      <c r="G946" s="608"/>
      <c r="H946" s="609"/>
      <c r="I946" s="637"/>
      <c r="J946" s="637"/>
      <c r="K946" s="637"/>
      <c r="L946" s="637"/>
      <c r="M946" s="637"/>
      <c r="N946" s="637"/>
      <c r="O946" s="637"/>
      <c r="P946" s="637"/>
      <c r="Q946" s="637"/>
      <c r="R946" s="637"/>
      <c r="S946" s="637"/>
      <c r="T946" s="637"/>
      <c r="U946" s="637"/>
      <c r="V946" s="637"/>
      <c r="W946" s="637"/>
      <c r="X946" s="637"/>
      <c r="Y946" s="637"/>
      <c r="Z946" s="637"/>
      <c r="AA946" s="637"/>
      <c r="AB946" s="637"/>
      <c r="AC946" s="637"/>
      <c r="AD946" s="647"/>
      <c r="AE946" s="606"/>
      <c r="AF946" s="606"/>
      <c r="AG946" s="606"/>
      <c r="AH946" s="606"/>
    </row>
    <row r="947" spans="1:34" s="612" customFormat="1" hidden="1" outlineLevel="3" x14ac:dyDescent="0.2">
      <c r="A947" s="606"/>
      <c r="B947" s="606"/>
      <c r="C947" s="607"/>
      <c r="D947" s="608"/>
      <c r="E947" s="608"/>
      <c r="F947" s="608"/>
      <c r="G947" s="608"/>
      <c r="H947" s="609"/>
      <c r="I947" s="637"/>
      <c r="J947" s="637"/>
      <c r="K947" s="637"/>
      <c r="L947" s="637"/>
      <c r="M947" s="637"/>
      <c r="N947" s="637"/>
      <c r="O947" s="637"/>
      <c r="P947" s="637"/>
      <c r="Q947" s="637"/>
      <c r="R947" s="637"/>
      <c r="S947" s="637"/>
      <c r="T947" s="637"/>
      <c r="U947" s="637"/>
      <c r="V947" s="637"/>
      <c r="W947" s="637"/>
      <c r="X947" s="637"/>
      <c r="Y947" s="637"/>
      <c r="Z947" s="637"/>
      <c r="AA947" s="637"/>
      <c r="AB947" s="637"/>
      <c r="AC947" s="637"/>
      <c r="AD947" s="647"/>
      <c r="AE947" s="606"/>
      <c r="AF947" s="606"/>
      <c r="AG947" s="606"/>
      <c r="AH947" s="606"/>
    </row>
    <row r="948" spans="1:34" s="612" customFormat="1" hidden="1" outlineLevel="3" x14ac:dyDescent="0.2">
      <c r="A948" s="606"/>
      <c r="B948" s="606"/>
      <c r="C948" s="607"/>
      <c r="D948" s="608"/>
      <c r="E948" s="608"/>
      <c r="F948" s="608"/>
      <c r="G948" s="608"/>
      <c r="H948" s="609"/>
      <c r="I948" s="637"/>
      <c r="J948" s="637"/>
      <c r="K948" s="637"/>
      <c r="L948" s="637"/>
      <c r="M948" s="637"/>
      <c r="N948" s="637"/>
      <c r="O948" s="637"/>
      <c r="P948" s="637"/>
      <c r="Q948" s="637"/>
      <c r="R948" s="637"/>
      <c r="S948" s="637"/>
      <c r="T948" s="637"/>
      <c r="U948" s="637"/>
      <c r="V948" s="637"/>
      <c r="W948" s="637"/>
      <c r="X948" s="637"/>
      <c r="Y948" s="637"/>
      <c r="Z948" s="637"/>
      <c r="AA948" s="637"/>
      <c r="AB948" s="637"/>
      <c r="AC948" s="637"/>
      <c r="AD948" s="647"/>
      <c r="AE948" s="606"/>
      <c r="AF948" s="606"/>
      <c r="AG948" s="606"/>
      <c r="AH948" s="606"/>
    </row>
    <row r="949" spans="1:34" s="612" customFormat="1" hidden="1" outlineLevel="3" x14ac:dyDescent="0.2">
      <c r="A949" s="606"/>
      <c r="B949" s="606"/>
      <c r="C949" s="607"/>
      <c r="D949" s="608"/>
      <c r="E949" s="608"/>
      <c r="F949" s="608"/>
      <c r="G949" s="608"/>
      <c r="H949" s="609"/>
      <c r="I949" s="637"/>
      <c r="J949" s="637"/>
      <c r="K949" s="637"/>
      <c r="L949" s="637"/>
      <c r="M949" s="637"/>
      <c r="N949" s="637"/>
      <c r="O949" s="637"/>
      <c r="P949" s="637"/>
      <c r="Q949" s="637"/>
      <c r="R949" s="637"/>
      <c r="S949" s="637"/>
      <c r="T949" s="637"/>
      <c r="U949" s="637"/>
      <c r="V949" s="637"/>
      <c r="W949" s="637"/>
      <c r="X949" s="637"/>
      <c r="Y949" s="637"/>
      <c r="Z949" s="637"/>
      <c r="AA949" s="637"/>
      <c r="AB949" s="637"/>
      <c r="AC949" s="637"/>
      <c r="AD949" s="647"/>
      <c r="AE949" s="606"/>
      <c r="AF949" s="606"/>
      <c r="AG949" s="606"/>
      <c r="AH949" s="606"/>
    </row>
    <row r="950" spans="1:34" s="612" customFormat="1" hidden="1" outlineLevel="3" x14ac:dyDescent="0.2">
      <c r="A950" s="606"/>
      <c r="B950" s="606"/>
      <c r="C950" s="607"/>
      <c r="D950" s="608"/>
      <c r="E950" s="608"/>
      <c r="F950" s="608"/>
      <c r="G950" s="608"/>
      <c r="H950" s="609"/>
      <c r="I950" s="637"/>
      <c r="J950" s="637"/>
      <c r="K950" s="637"/>
      <c r="L950" s="637"/>
      <c r="M950" s="637"/>
      <c r="N950" s="637"/>
      <c r="O950" s="637"/>
      <c r="P950" s="637"/>
      <c r="Q950" s="637"/>
      <c r="R950" s="637"/>
      <c r="S950" s="637"/>
      <c r="T950" s="637"/>
      <c r="U950" s="637"/>
      <c r="V950" s="637"/>
      <c r="W950" s="637"/>
      <c r="X950" s="637"/>
      <c r="Y950" s="637"/>
      <c r="Z950" s="637"/>
      <c r="AA950" s="637"/>
      <c r="AB950" s="637"/>
      <c r="AC950" s="637"/>
      <c r="AD950" s="647"/>
      <c r="AE950" s="606"/>
      <c r="AF950" s="606"/>
      <c r="AG950" s="606"/>
      <c r="AH950" s="606"/>
    </row>
    <row r="951" spans="1:34" s="612" customFormat="1" hidden="1" outlineLevel="3" x14ac:dyDescent="0.2">
      <c r="A951" s="606"/>
      <c r="B951" s="606"/>
      <c r="C951" s="607"/>
      <c r="D951" s="608"/>
      <c r="E951" s="608"/>
      <c r="F951" s="608"/>
      <c r="G951" s="608"/>
      <c r="H951" s="609"/>
      <c r="I951" s="637"/>
      <c r="J951" s="637"/>
      <c r="K951" s="637"/>
      <c r="L951" s="637"/>
      <c r="M951" s="637"/>
      <c r="N951" s="637"/>
      <c r="O951" s="637"/>
      <c r="P951" s="637"/>
      <c r="Q951" s="637"/>
      <c r="R951" s="637"/>
      <c r="S951" s="637"/>
      <c r="T951" s="637"/>
      <c r="U951" s="637"/>
      <c r="V951" s="637"/>
      <c r="W951" s="637"/>
      <c r="X951" s="637"/>
      <c r="Y951" s="637"/>
      <c r="Z951" s="637"/>
      <c r="AA951" s="637"/>
      <c r="AB951" s="637"/>
      <c r="AC951" s="637"/>
      <c r="AD951" s="647"/>
      <c r="AE951" s="606"/>
      <c r="AF951" s="606"/>
      <c r="AG951" s="606"/>
      <c r="AH951" s="606"/>
    </row>
    <row r="952" spans="1:34" s="612" customFormat="1" hidden="1" outlineLevel="3" x14ac:dyDescent="0.2">
      <c r="A952" s="606"/>
      <c r="B952" s="606"/>
      <c r="C952" s="607"/>
      <c r="D952" s="608"/>
      <c r="E952" s="608"/>
      <c r="F952" s="608"/>
      <c r="G952" s="608"/>
      <c r="H952" s="609"/>
      <c r="I952" s="637"/>
      <c r="J952" s="637"/>
      <c r="K952" s="637"/>
      <c r="L952" s="637"/>
      <c r="M952" s="637"/>
      <c r="N952" s="637"/>
      <c r="O952" s="637"/>
      <c r="P952" s="637"/>
      <c r="Q952" s="637"/>
      <c r="R952" s="637"/>
      <c r="S952" s="637"/>
      <c r="T952" s="637"/>
      <c r="U952" s="637"/>
      <c r="V952" s="637"/>
      <c r="W952" s="637"/>
      <c r="X952" s="637"/>
      <c r="Y952" s="637"/>
      <c r="Z952" s="637"/>
      <c r="AA952" s="637"/>
      <c r="AB952" s="637"/>
      <c r="AC952" s="637"/>
      <c r="AD952" s="647"/>
      <c r="AE952" s="606"/>
      <c r="AF952" s="606"/>
      <c r="AG952" s="606"/>
      <c r="AH952" s="606"/>
    </row>
    <row r="953" spans="1:34" s="612" customFormat="1" hidden="1" outlineLevel="3" x14ac:dyDescent="0.2">
      <c r="A953" s="606"/>
      <c r="B953" s="606"/>
      <c r="C953" s="607"/>
      <c r="D953" s="608"/>
      <c r="E953" s="608"/>
      <c r="F953" s="608"/>
      <c r="G953" s="608"/>
      <c r="H953" s="609"/>
      <c r="I953" s="637"/>
      <c r="J953" s="637"/>
      <c r="K953" s="637"/>
      <c r="L953" s="637"/>
      <c r="M953" s="637"/>
      <c r="N953" s="637"/>
      <c r="O953" s="637"/>
      <c r="P953" s="637"/>
      <c r="Q953" s="637"/>
      <c r="R953" s="637"/>
      <c r="S953" s="637"/>
      <c r="T953" s="637"/>
      <c r="U953" s="637"/>
      <c r="V953" s="637"/>
      <c r="W953" s="637"/>
      <c r="X953" s="637"/>
      <c r="Y953" s="637"/>
      <c r="Z953" s="637"/>
      <c r="AA953" s="637"/>
      <c r="AB953" s="637"/>
      <c r="AC953" s="637"/>
      <c r="AD953" s="647"/>
      <c r="AE953" s="606"/>
      <c r="AF953" s="606"/>
      <c r="AG953" s="606"/>
      <c r="AH953" s="606"/>
    </row>
    <row r="954" spans="1:34" s="612" customFormat="1" hidden="1" outlineLevel="3" x14ac:dyDescent="0.2">
      <c r="A954" s="606"/>
      <c r="B954" s="606"/>
      <c r="C954" s="607"/>
      <c r="D954" s="608"/>
      <c r="E954" s="608"/>
      <c r="F954" s="608"/>
      <c r="G954" s="608"/>
      <c r="H954" s="609"/>
      <c r="I954" s="637"/>
      <c r="J954" s="637"/>
      <c r="K954" s="637"/>
      <c r="L954" s="637"/>
      <c r="M954" s="637"/>
      <c r="N954" s="637"/>
      <c r="O954" s="637"/>
      <c r="P954" s="637"/>
      <c r="Q954" s="637"/>
      <c r="R954" s="637"/>
      <c r="S954" s="637"/>
      <c r="T954" s="637"/>
      <c r="U954" s="637"/>
      <c r="V954" s="637"/>
      <c r="W954" s="637"/>
      <c r="X954" s="637"/>
      <c r="Y954" s="637"/>
      <c r="Z954" s="637"/>
      <c r="AA954" s="637"/>
      <c r="AB954" s="637"/>
      <c r="AC954" s="637"/>
      <c r="AD954" s="647"/>
      <c r="AE954" s="606"/>
      <c r="AF954" s="606"/>
      <c r="AG954" s="606"/>
      <c r="AH954" s="606"/>
    </row>
    <row r="955" spans="1:34" s="612" customFormat="1" hidden="1" outlineLevel="3" x14ac:dyDescent="0.2">
      <c r="A955" s="606"/>
      <c r="B955" s="606"/>
      <c r="C955" s="607"/>
      <c r="D955" s="608"/>
      <c r="E955" s="608"/>
      <c r="F955" s="608"/>
      <c r="G955" s="608"/>
      <c r="H955" s="609"/>
      <c r="I955" s="637"/>
      <c r="J955" s="637"/>
      <c r="K955" s="637"/>
      <c r="L955" s="637"/>
      <c r="M955" s="637"/>
      <c r="N955" s="637"/>
      <c r="O955" s="637"/>
      <c r="P955" s="637"/>
      <c r="Q955" s="637"/>
      <c r="R955" s="637"/>
      <c r="S955" s="637"/>
      <c r="T955" s="637"/>
      <c r="U955" s="637"/>
      <c r="V955" s="637"/>
      <c r="W955" s="637"/>
      <c r="X955" s="637"/>
      <c r="Y955" s="637"/>
      <c r="Z955" s="637"/>
      <c r="AA955" s="637"/>
      <c r="AB955" s="637"/>
      <c r="AC955" s="637"/>
      <c r="AD955" s="647"/>
      <c r="AE955" s="606"/>
      <c r="AF955" s="606"/>
      <c r="AG955" s="606"/>
      <c r="AH955" s="606"/>
    </row>
    <row r="956" spans="1:34" s="612" customFormat="1" hidden="1" outlineLevel="3" x14ac:dyDescent="0.2">
      <c r="A956" s="606"/>
      <c r="B956" s="606"/>
      <c r="C956" s="607"/>
      <c r="D956" s="608"/>
      <c r="E956" s="608"/>
      <c r="F956" s="608"/>
      <c r="G956" s="608"/>
      <c r="H956" s="609"/>
      <c r="I956" s="637"/>
      <c r="J956" s="637"/>
      <c r="K956" s="637"/>
      <c r="L956" s="637"/>
      <c r="M956" s="637"/>
      <c r="N956" s="637"/>
      <c r="O956" s="637"/>
      <c r="P956" s="637"/>
      <c r="Q956" s="637"/>
      <c r="R956" s="637"/>
      <c r="S956" s="637"/>
      <c r="T956" s="637"/>
      <c r="U956" s="637"/>
      <c r="V956" s="637"/>
      <c r="W956" s="637"/>
      <c r="X956" s="637"/>
      <c r="Y956" s="637"/>
      <c r="Z956" s="637"/>
      <c r="AA956" s="637"/>
      <c r="AB956" s="637"/>
      <c r="AC956" s="637"/>
      <c r="AD956" s="647"/>
      <c r="AE956" s="606"/>
      <c r="AF956" s="606"/>
      <c r="AG956" s="606"/>
      <c r="AH956" s="606"/>
    </row>
    <row r="957" spans="1:34" s="612" customFormat="1" hidden="1" outlineLevel="3" x14ac:dyDescent="0.2">
      <c r="A957" s="606"/>
      <c r="B957" s="606"/>
      <c r="C957" s="607"/>
      <c r="D957" s="608"/>
      <c r="E957" s="608"/>
      <c r="F957" s="608"/>
      <c r="G957" s="608"/>
      <c r="H957" s="609"/>
      <c r="I957" s="637"/>
      <c r="J957" s="637"/>
      <c r="K957" s="637"/>
      <c r="L957" s="637"/>
      <c r="M957" s="637"/>
      <c r="N957" s="637"/>
      <c r="O957" s="637"/>
      <c r="P957" s="637"/>
      <c r="Q957" s="637"/>
      <c r="R957" s="637"/>
      <c r="S957" s="637"/>
      <c r="T957" s="637"/>
      <c r="U957" s="637"/>
      <c r="V957" s="637"/>
      <c r="W957" s="637"/>
      <c r="X957" s="637"/>
      <c r="Y957" s="637"/>
      <c r="Z957" s="637"/>
      <c r="AA957" s="637"/>
      <c r="AB957" s="637"/>
      <c r="AC957" s="637"/>
      <c r="AD957" s="647"/>
      <c r="AE957" s="606"/>
      <c r="AF957" s="606"/>
      <c r="AG957" s="606"/>
      <c r="AH957" s="606"/>
    </row>
    <row r="958" spans="1:34" s="612" customFormat="1" hidden="1" outlineLevel="3" x14ac:dyDescent="0.2">
      <c r="A958" s="606"/>
      <c r="B958" s="606"/>
      <c r="C958" s="607"/>
      <c r="D958" s="608"/>
      <c r="E958" s="608"/>
      <c r="F958" s="608"/>
      <c r="G958" s="608"/>
      <c r="H958" s="609"/>
      <c r="I958" s="637"/>
      <c r="J958" s="637"/>
      <c r="K958" s="637"/>
      <c r="L958" s="637"/>
      <c r="M958" s="637"/>
      <c r="N958" s="637"/>
      <c r="O958" s="637"/>
      <c r="P958" s="637"/>
      <c r="Q958" s="637"/>
      <c r="R958" s="637"/>
      <c r="S958" s="637"/>
      <c r="T958" s="637"/>
      <c r="U958" s="637"/>
      <c r="V958" s="637"/>
      <c r="W958" s="637"/>
      <c r="X958" s="637"/>
      <c r="Y958" s="637"/>
      <c r="Z958" s="637"/>
      <c r="AA958" s="637"/>
      <c r="AB958" s="637"/>
      <c r="AC958" s="637"/>
      <c r="AD958" s="647"/>
      <c r="AE958" s="606"/>
      <c r="AF958" s="606"/>
      <c r="AG958" s="606"/>
      <c r="AH958" s="606"/>
    </row>
    <row r="959" spans="1:34" s="612" customFormat="1" hidden="1" outlineLevel="3" x14ac:dyDescent="0.2">
      <c r="A959" s="606"/>
      <c r="B959" s="606"/>
      <c r="C959" s="607"/>
      <c r="D959" s="608"/>
      <c r="E959" s="608"/>
      <c r="F959" s="608"/>
      <c r="G959" s="608"/>
      <c r="H959" s="609"/>
      <c r="I959" s="637"/>
      <c r="J959" s="637"/>
      <c r="K959" s="637"/>
      <c r="L959" s="637"/>
      <c r="M959" s="637"/>
      <c r="N959" s="637"/>
      <c r="O959" s="637"/>
      <c r="P959" s="637"/>
      <c r="Q959" s="637"/>
      <c r="R959" s="637"/>
      <c r="S959" s="637"/>
      <c r="T959" s="637"/>
      <c r="U959" s="637"/>
      <c r="V959" s="637"/>
      <c r="W959" s="637"/>
      <c r="X959" s="637"/>
      <c r="Y959" s="637"/>
      <c r="Z959" s="637"/>
      <c r="AA959" s="637"/>
      <c r="AB959" s="637"/>
      <c r="AC959" s="637"/>
      <c r="AD959" s="647"/>
      <c r="AE959" s="606"/>
      <c r="AF959" s="606"/>
      <c r="AG959" s="606"/>
      <c r="AH959" s="606"/>
    </row>
    <row r="960" spans="1:34" s="612" customFormat="1" hidden="1" outlineLevel="3" x14ac:dyDescent="0.2">
      <c r="A960" s="606"/>
      <c r="B960" s="606"/>
      <c r="C960" s="607"/>
      <c r="D960" s="608"/>
      <c r="E960" s="608"/>
      <c r="F960" s="608"/>
      <c r="G960" s="608"/>
      <c r="H960" s="609"/>
      <c r="I960" s="637"/>
      <c r="J960" s="637"/>
      <c r="K960" s="637"/>
      <c r="L960" s="637"/>
      <c r="M960" s="637"/>
      <c r="N960" s="637"/>
      <c r="O960" s="637"/>
      <c r="P960" s="637"/>
      <c r="Q960" s="637"/>
      <c r="R960" s="637"/>
      <c r="S960" s="637"/>
      <c r="T960" s="637"/>
      <c r="U960" s="637"/>
      <c r="V960" s="637"/>
      <c r="W960" s="637"/>
      <c r="X960" s="637"/>
      <c r="Y960" s="637"/>
      <c r="Z960" s="637"/>
      <c r="AA960" s="637"/>
      <c r="AB960" s="637"/>
      <c r="AC960" s="637"/>
      <c r="AD960" s="647"/>
      <c r="AE960" s="606"/>
      <c r="AF960" s="606"/>
      <c r="AG960" s="606"/>
      <c r="AH960" s="606"/>
    </row>
    <row r="961" spans="1:34" s="612" customFormat="1" hidden="1" outlineLevel="3" x14ac:dyDescent="0.2">
      <c r="A961" s="606"/>
      <c r="B961" s="606"/>
      <c r="C961" s="607"/>
      <c r="D961" s="608"/>
      <c r="E961" s="608"/>
      <c r="F961" s="608"/>
      <c r="G961" s="608"/>
      <c r="H961" s="609"/>
      <c r="I961" s="637"/>
      <c r="J961" s="637"/>
      <c r="K961" s="637"/>
      <c r="L961" s="637"/>
      <c r="M961" s="637"/>
      <c r="N961" s="637"/>
      <c r="O961" s="637"/>
      <c r="P961" s="637"/>
      <c r="Q961" s="637"/>
      <c r="R961" s="637"/>
      <c r="S961" s="637"/>
      <c r="T961" s="637"/>
      <c r="U961" s="637"/>
      <c r="V961" s="637"/>
      <c r="W961" s="637"/>
      <c r="X961" s="637"/>
      <c r="Y961" s="637"/>
      <c r="Z961" s="637"/>
      <c r="AA961" s="637"/>
      <c r="AB961" s="637"/>
      <c r="AC961" s="637"/>
      <c r="AD961" s="647"/>
      <c r="AE961" s="606"/>
      <c r="AF961" s="606"/>
      <c r="AG961" s="606"/>
      <c r="AH961" s="606"/>
    </row>
    <row r="962" spans="1:34" s="612" customFormat="1" hidden="1" outlineLevel="3" x14ac:dyDescent="0.2">
      <c r="A962" s="606"/>
      <c r="B962" s="606"/>
      <c r="C962" s="607"/>
      <c r="D962" s="608"/>
      <c r="E962" s="608"/>
      <c r="F962" s="608"/>
      <c r="G962" s="608"/>
      <c r="H962" s="609"/>
      <c r="I962" s="637"/>
      <c r="J962" s="637"/>
      <c r="K962" s="637"/>
      <c r="L962" s="637"/>
      <c r="M962" s="637"/>
      <c r="N962" s="637"/>
      <c r="O962" s="637"/>
      <c r="P962" s="637"/>
      <c r="Q962" s="637"/>
      <c r="R962" s="637"/>
      <c r="S962" s="637"/>
      <c r="T962" s="637"/>
      <c r="U962" s="637"/>
      <c r="V962" s="637"/>
      <c r="W962" s="637"/>
      <c r="X962" s="637"/>
      <c r="Y962" s="637"/>
      <c r="Z962" s="637"/>
      <c r="AA962" s="637"/>
      <c r="AB962" s="637"/>
      <c r="AC962" s="637"/>
      <c r="AD962" s="647"/>
      <c r="AE962" s="606"/>
      <c r="AF962" s="606"/>
      <c r="AG962" s="606"/>
      <c r="AH962" s="606"/>
    </row>
    <row r="963" spans="1:34" s="612" customFormat="1" hidden="1" outlineLevel="3" x14ac:dyDescent="0.2">
      <c r="A963" s="606"/>
      <c r="B963" s="606"/>
      <c r="C963" s="607"/>
      <c r="D963" s="608"/>
      <c r="E963" s="608"/>
      <c r="F963" s="608"/>
      <c r="G963" s="608"/>
      <c r="H963" s="609"/>
      <c r="I963" s="637"/>
      <c r="J963" s="637"/>
      <c r="K963" s="637"/>
      <c r="L963" s="637"/>
      <c r="M963" s="637"/>
      <c r="N963" s="637"/>
      <c r="O963" s="637"/>
      <c r="P963" s="637"/>
      <c r="Q963" s="637"/>
      <c r="R963" s="637"/>
      <c r="S963" s="637"/>
      <c r="T963" s="637"/>
      <c r="U963" s="637"/>
      <c r="V963" s="637"/>
      <c r="W963" s="637"/>
      <c r="X963" s="637"/>
      <c r="Y963" s="637"/>
      <c r="Z963" s="637"/>
      <c r="AA963" s="637"/>
      <c r="AB963" s="637"/>
      <c r="AC963" s="637"/>
      <c r="AD963" s="647"/>
      <c r="AE963" s="606"/>
      <c r="AF963" s="606"/>
      <c r="AG963" s="606"/>
      <c r="AH963" s="606"/>
    </row>
    <row r="964" spans="1:34" s="612" customFormat="1" hidden="1" outlineLevel="3" x14ac:dyDescent="0.2">
      <c r="A964" s="606"/>
      <c r="B964" s="606"/>
      <c r="C964" s="607"/>
      <c r="D964" s="608"/>
      <c r="E964" s="608"/>
      <c r="F964" s="608"/>
      <c r="G964" s="608"/>
      <c r="H964" s="609"/>
      <c r="I964" s="637"/>
      <c r="J964" s="637"/>
      <c r="K964" s="637"/>
      <c r="L964" s="637"/>
      <c r="M964" s="637"/>
      <c r="N964" s="637"/>
      <c r="O964" s="637"/>
      <c r="P964" s="637"/>
      <c r="Q964" s="637"/>
      <c r="R964" s="637"/>
      <c r="S964" s="637"/>
      <c r="T964" s="637"/>
      <c r="U964" s="637"/>
      <c r="V964" s="637"/>
      <c r="W964" s="637"/>
      <c r="X964" s="637"/>
      <c r="Y964" s="637"/>
      <c r="Z964" s="637"/>
      <c r="AA964" s="637"/>
      <c r="AB964" s="637"/>
      <c r="AC964" s="637"/>
      <c r="AD964" s="647"/>
      <c r="AE964" s="606"/>
      <c r="AF964" s="606"/>
      <c r="AG964" s="606"/>
      <c r="AH964" s="606"/>
    </row>
    <row r="965" spans="1:34" s="612" customFormat="1" hidden="1" outlineLevel="3" x14ac:dyDescent="0.2">
      <c r="A965" s="606"/>
      <c r="B965" s="606"/>
      <c r="C965" s="607"/>
      <c r="D965" s="608"/>
      <c r="E965" s="608"/>
      <c r="F965" s="608"/>
      <c r="G965" s="608"/>
      <c r="H965" s="609"/>
      <c r="I965" s="637"/>
      <c r="J965" s="637"/>
      <c r="K965" s="637"/>
      <c r="L965" s="637"/>
      <c r="M965" s="637"/>
      <c r="N965" s="637"/>
      <c r="O965" s="637"/>
      <c r="P965" s="637"/>
      <c r="Q965" s="637"/>
      <c r="R965" s="637"/>
      <c r="S965" s="637"/>
      <c r="T965" s="637"/>
      <c r="U965" s="637"/>
      <c r="V965" s="637"/>
      <c r="W965" s="637"/>
      <c r="X965" s="637"/>
      <c r="Y965" s="637"/>
      <c r="Z965" s="637"/>
      <c r="AA965" s="637"/>
      <c r="AB965" s="637"/>
      <c r="AC965" s="637"/>
      <c r="AD965" s="647"/>
      <c r="AE965" s="606"/>
      <c r="AF965" s="606"/>
      <c r="AG965" s="606"/>
      <c r="AH965" s="606"/>
    </row>
    <row r="966" spans="1:34" s="612" customFormat="1" hidden="1" outlineLevel="3" x14ac:dyDescent="0.2">
      <c r="A966" s="606"/>
      <c r="B966" s="606"/>
      <c r="C966" s="607"/>
      <c r="D966" s="608"/>
      <c r="E966" s="608"/>
      <c r="F966" s="608"/>
      <c r="G966" s="608"/>
      <c r="H966" s="609"/>
      <c r="I966" s="637"/>
      <c r="J966" s="637"/>
      <c r="K966" s="637"/>
      <c r="L966" s="637"/>
      <c r="M966" s="637"/>
      <c r="N966" s="637"/>
      <c r="O966" s="637"/>
      <c r="P966" s="637"/>
      <c r="Q966" s="637"/>
      <c r="R966" s="637"/>
      <c r="S966" s="637"/>
      <c r="T966" s="637"/>
      <c r="U966" s="637"/>
      <c r="V966" s="637"/>
      <c r="W966" s="637"/>
      <c r="X966" s="637"/>
      <c r="Y966" s="637"/>
      <c r="Z966" s="637"/>
      <c r="AA966" s="637"/>
      <c r="AB966" s="637"/>
      <c r="AC966" s="637"/>
      <c r="AD966" s="647"/>
      <c r="AE966" s="606"/>
      <c r="AF966" s="606"/>
      <c r="AG966" s="606"/>
      <c r="AH966" s="606"/>
    </row>
    <row r="967" spans="1:34" s="612" customFormat="1" hidden="1" outlineLevel="3" x14ac:dyDescent="0.2">
      <c r="A967" s="606"/>
      <c r="B967" s="606"/>
      <c r="C967" s="607"/>
      <c r="D967" s="608"/>
      <c r="E967" s="608"/>
      <c r="F967" s="608"/>
      <c r="G967" s="608"/>
      <c r="H967" s="609"/>
      <c r="I967" s="637"/>
      <c r="J967" s="637"/>
      <c r="K967" s="637"/>
      <c r="L967" s="637"/>
      <c r="M967" s="637"/>
      <c r="N967" s="637"/>
      <c r="O967" s="637"/>
      <c r="P967" s="637"/>
      <c r="Q967" s="637"/>
      <c r="R967" s="637"/>
      <c r="S967" s="637"/>
      <c r="T967" s="637"/>
      <c r="U967" s="637"/>
      <c r="V967" s="637"/>
      <c r="W967" s="637"/>
      <c r="X967" s="637"/>
      <c r="Y967" s="637"/>
      <c r="Z967" s="637"/>
      <c r="AA967" s="637"/>
      <c r="AB967" s="637"/>
      <c r="AC967" s="637"/>
      <c r="AD967" s="647"/>
      <c r="AE967" s="606"/>
      <c r="AF967" s="606"/>
      <c r="AG967" s="606"/>
      <c r="AH967" s="606"/>
    </row>
    <row r="968" spans="1:34" s="612" customFormat="1" hidden="1" outlineLevel="3" x14ac:dyDescent="0.2">
      <c r="A968" s="606"/>
      <c r="B968" s="606"/>
      <c r="C968" s="607"/>
      <c r="D968" s="608"/>
      <c r="E968" s="608"/>
      <c r="F968" s="608"/>
      <c r="G968" s="608"/>
      <c r="H968" s="609"/>
      <c r="I968" s="637"/>
      <c r="J968" s="637"/>
      <c r="K968" s="637"/>
      <c r="L968" s="637"/>
      <c r="M968" s="637"/>
      <c r="N968" s="637"/>
      <c r="O968" s="637"/>
      <c r="P968" s="637"/>
      <c r="Q968" s="637"/>
      <c r="R968" s="637"/>
      <c r="S968" s="637"/>
      <c r="T968" s="637"/>
      <c r="U968" s="637"/>
      <c r="V968" s="637"/>
      <c r="W968" s="637"/>
      <c r="X968" s="637"/>
      <c r="Y968" s="637"/>
      <c r="Z968" s="637"/>
      <c r="AA968" s="637"/>
      <c r="AB968" s="637"/>
      <c r="AC968" s="637"/>
      <c r="AD968" s="647"/>
      <c r="AE968" s="606"/>
      <c r="AF968" s="606"/>
      <c r="AG968" s="606"/>
      <c r="AH968" s="606"/>
    </row>
    <row r="969" spans="1:34" s="612" customFormat="1" hidden="1" outlineLevel="3" x14ac:dyDescent="0.2">
      <c r="A969" s="606"/>
      <c r="B969" s="606"/>
      <c r="C969" s="607"/>
      <c r="D969" s="608"/>
      <c r="E969" s="608"/>
      <c r="F969" s="608"/>
      <c r="G969" s="608"/>
      <c r="H969" s="609"/>
      <c r="I969" s="637"/>
      <c r="J969" s="637"/>
      <c r="K969" s="637"/>
      <c r="L969" s="637"/>
      <c r="M969" s="637"/>
      <c r="N969" s="637"/>
      <c r="O969" s="637"/>
      <c r="P969" s="637"/>
      <c r="Q969" s="637"/>
      <c r="R969" s="637"/>
      <c r="S969" s="637"/>
      <c r="T969" s="637"/>
      <c r="U969" s="637"/>
      <c r="V969" s="637"/>
      <c r="W969" s="637"/>
      <c r="X969" s="637"/>
      <c r="Y969" s="637"/>
      <c r="Z969" s="637"/>
      <c r="AA969" s="637"/>
      <c r="AB969" s="637"/>
      <c r="AC969" s="637"/>
      <c r="AD969" s="647"/>
      <c r="AE969" s="606"/>
      <c r="AF969" s="606"/>
      <c r="AG969" s="606"/>
      <c r="AH969" s="606"/>
    </row>
    <row r="970" spans="1:34" s="612" customFormat="1" hidden="1" outlineLevel="3" x14ac:dyDescent="0.2">
      <c r="A970" s="606"/>
      <c r="B970" s="606"/>
      <c r="C970" s="607"/>
      <c r="D970" s="608"/>
      <c r="E970" s="608"/>
      <c r="F970" s="608"/>
      <c r="G970" s="608"/>
      <c r="H970" s="609"/>
      <c r="I970" s="637"/>
      <c r="J970" s="637"/>
      <c r="K970" s="637"/>
      <c r="L970" s="637"/>
      <c r="M970" s="637"/>
      <c r="N970" s="637"/>
      <c r="O970" s="637"/>
      <c r="P970" s="637"/>
      <c r="Q970" s="637"/>
      <c r="R970" s="637"/>
      <c r="S970" s="637"/>
      <c r="T970" s="637"/>
      <c r="U970" s="637"/>
      <c r="V970" s="637"/>
      <c r="W970" s="637"/>
      <c r="X970" s="637"/>
      <c r="Y970" s="637"/>
      <c r="Z970" s="637"/>
      <c r="AA970" s="637"/>
      <c r="AB970" s="637"/>
      <c r="AC970" s="637"/>
      <c r="AD970" s="647"/>
      <c r="AE970" s="606"/>
      <c r="AF970" s="606"/>
      <c r="AG970" s="606"/>
      <c r="AH970" s="606"/>
    </row>
    <row r="971" spans="1:34" s="612" customFormat="1" hidden="1" outlineLevel="3" x14ac:dyDescent="0.2">
      <c r="A971" s="606"/>
      <c r="B971" s="606"/>
      <c r="C971" s="607"/>
      <c r="D971" s="608"/>
      <c r="E971" s="608"/>
      <c r="F971" s="608"/>
      <c r="G971" s="608"/>
      <c r="H971" s="609"/>
      <c r="I971" s="637"/>
      <c r="J971" s="637"/>
      <c r="K971" s="637"/>
      <c r="L971" s="637"/>
      <c r="M971" s="637"/>
      <c r="N971" s="637"/>
      <c r="O971" s="637"/>
      <c r="P971" s="637"/>
      <c r="Q971" s="637"/>
      <c r="R971" s="637"/>
      <c r="S971" s="637"/>
      <c r="T971" s="637"/>
      <c r="U971" s="637"/>
      <c r="V971" s="637"/>
      <c r="W971" s="637"/>
      <c r="X971" s="637"/>
      <c r="Y971" s="637"/>
      <c r="Z971" s="637"/>
      <c r="AA971" s="637"/>
      <c r="AB971" s="637"/>
      <c r="AC971" s="637"/>
      <c r="AD971" s="647"/>
      <c r="AE971" s="606"/>
      <c r="AF971" s="606"/>
      <c r="AG971" s="606"/>
      <c r="AH971" s="606"/>
    </row>
    <row r="972" spans="1:34" s="612" customFormat="1" hidden="1" outlineLevel="3" x14ac:dyDescent="0.2">
      <c r="A972" s="606"/>
      <c r="B972" s="606"/>
      <c r="C972" s="607"/>
      <c r="D972" s="608"/>
      <c r="E972" s="608"/>
      <c r="F972" s="608"/>
      <c r="G972" s="608"/>
      <c r="H972" s="609"/>
      <c r="I972" s="637"/>
      <c r="J972" s="637"/>
      <c r="K972" s="637"/>
      <c r="L972" s="637"/>
      <c r="M972" s="637"/>
      <c r="N972" s="637"/>
      <c r="O972" s="637"/>
      <c r="P972" s="637"/>
      <c r="Q972" s="637"/>
      <c r="R972" s="637"/>
      <c r="S972" s="637"/>
      <c r="T972" s="637"/>
      <c r="U972" s="637"/>
      <c r="V972" s="637"/>
      <c r="W972" s="637"/>
      <c r="X972" s="637"/>
      <c r="Y972" s="637"/>
      <c r="Z972" s="637"/>
      <c r="AA972" s="637"/>
      <c r="AB972" s="637"/>
      <c r="AC972" s="637"/>
      <c r="AD972" s="647"/>
      <c r="AE972" s="606"/>
      <c r="AF972" s="606"/>
      <c r="AG972" s="606"/>
      <c r="AH972" s="606"/>
    </row>
    <row r="973" spans="1:34" s="612" customFormat="1" hidden="1" outlineLevel="3" x14ac:dyDescent="0.2">
      <c r="A973" s="606"/>
      <c r="B973" s="606"/>
      <c r="C973" s="607"/>
      <c r="D973" s="608"/>
      <c r="E973" s="608"/>
      <c r="F973" s="608"/>
      <c r="G973" s="608"/>
      <c r="H973" s="609"/>
      <c r="I973" s="637"/>
      <c r="J973" s="637"/>
      <c r="K973" s="637"/>
      <c r="L973" s="637"/>
      <c r="M973" s="637"/>
      <c r="N973" s="637"/>
      <c r="O973" s="637"/>
      <c r="P973" s="637"/>
      <c r="Q973" s="637"/>
      <c r="R973" s="637"/>
      <c r="S973" s="637"/>
      <c r="T973" s="637"/>
      <c r="U973" s="637"/>
      <c r="V973" s="637"/>
      <c r="W973" s="637"/>
      <c r="X973" s="637"/>
      <c r="Y973" s="637"/>
      <c r="Z973" s="637"/>
      <c r="AA973" s="637"/>
      <c r="AB973" s="637"/>
      <c r="AC973" s="637"/>
      <c r="AD973" s="647"/>
      <c r="AE973" s="606"/>
      <c r="AF973" s="606"/>
      <c r="AG973" s="606"/>
      <c r="AH973" s="606"/>
    </row>
    <row r="974" spans="1:34" s="612" customFormat="1" hidden="1" outlineLevel="3" x14ac:dyDescent="0.2">
      <c r="A974" s="606"/>
      <c r="B974" s="606"/>
      <c r="C974" s="607"/>
      <c r="D974" s="608"/>
      <c r="E974" s="608"/>
      <c r="F974" s="608"/>
      <c r="G974" s="608"/>
      <c r="H974" s="609"/>
      <c r="I974" s="637"/>
      <c r="J974" s="637"/>
      <c r="K974" s="637"/>
      <c r="L974" s="637"/>
      <c r="M974" s="637"/>
      <c r="N974" s="637"/>
      <c r="O974" s="637"/>
      <c r="P974" s="637"/>
      <c r="Q974" s="637"/>
      <c r="R974" s="637"/>
      <c r="S974" s="637"/>
      <c r="T974" s="637"/>
      <c r="U974" s="637"/>
      <c r="V974" s="637"/>
      <c r="W974" s="637"/>
      <c r="X974" s="637"/>
      <c r="Y974" s="637"/>
      <c r="Z974" s="637"/>
      <c r="AA974" s="637"/>
      <c r="AB974" s="637"/>
      <c r="AC974" s="637"/>
      <c r="AD974" s="647"/>
      <c r="AE974" s="606"/>
      <c r="AF974" s="606"/>
      <c r="AG974" s="606"/>
      <c r="AH974" s="606"/>
    </row>
    <row r="975" spans="1:34" s="612" customFormat="1" hidden="1" outlineLevel="3" x14ac:dyDescent="0.2">
      <c r="A975" s="606"/>
      <c r="B975" s="606"/>
      <c r="C975" s="607"/>
      <c r="D975" s="608"/>
      <c r="E975" s="608"/>
      <c r="F975" s="608"/>
      <c r="G975" s="608"/>
      <c r="H975" s="609"/>
      <c r="I975" s="637"/>
      <c r="J975" s="637"/>
      <c r="K975" s="637"/>
      <c r="L975" s="637"/>
      <c r="M975" s="637"/>
      <c r="N975" s="637"/>
      <c r="O975" s="637"/>
      <c r="P975" s="637"/>
      <c r="Q975" s="637"/>
      <c r="R975" s="637"/>
      <c r="S975" s="637"/>
      <c r="T975" s="637"/>
      <c r="U975" s="637"/>
      <c r="V975" s="637"/>
      <c r="W975" s="637"/>
      <c r="X975" s="637"/>
      <c r="Y975" s="637"/>
      <c r="Z975" s="637"/>
      <c r="AA975" s="637"/>
      <c r="AB975" s="637"/>
      <c r="AC975" s="637"/>
      <c r="AD975" s="647"/>
      <c r="AE975" s="606"/>
      <c r="AF975" s="606"/>
      <c r="AG975" s="606"/>
      <c r="AH975" s="606"/>
    </row>
    <row r="976" spans="1:34" s="612" customFormat="1" outlineLevel="2" collapsed="1" x14ac:dyDescent="0.2">
      <c r="A976" s="606"/>
      <c r="B976" s="606"/>
      <c r="C976" s="638"/>
      <c r="D976" s="608"/>
      <c r="E976" s="608"/>
      <c r="F976" s="608"/>
      <c r="G976" s="608"/>
      <c r="H976" s="609"/>
      <c r="I976" s="639"/>
      <c r="J976" s="639"/>
      <c r="K976" s="639"/>
      <c r="L976" s="639"/>
      <c r="M976" s="639"/>
      <c r="N976" s="639"/>
      <c r="O976" s="639"/>
      <c r="P976" s="639"/>
      <c r="Q976" s="639"/>
      <c r="R976" s="639"/>
      <c r="S976" s="639"/>
      <c r="T976" s="639"/>
      <c r="U976" s="639"/>
      <c r="V976" s="639"/>
      <c r="W976" s="639"/>
      <c r="X976" s="639"/>
      <c r="Y976" s="639"/>
      <c r="Z976" s="639"/>
      <c r="AA976" s="639"/>
      <c r="AB976" s="639"/>
      <c r="AC976" s="639"/>
      <c r="AD976" s="606"/>
      <c r="AE976" s="606"/>
      <c r="AF976" s="606"/>
      <c r="AG976" s="606"/>
    </row>
    <row r="977" spans="1:34" s="612" customFormat="1" outlineLevel="1" x14ac:dyDescent="0.2">
      <c r="A977" s="606"/>
      <c r="B977" s="606"/>
      <c r="C977" s="613"/>
      <c r="D977" s="609"/>
      <c r="E977" s="609"/>
      <c r="F977" s="609"/>
      <c r="G977" s="609"/>
      <c r="H977" s="609"/>
      <c r="I977" s="648"/>
      <c r="J977" s="648"/>
      <c r="K977" s="647"/>
      <c r="L977" s="647"/>
      <c r="M977" s="647"/>
      <c r="N977" s="649"/>
      <c r="O977" s="649"/>
      <c r="P977" s="649"/>
      <c r="Q977" s="649"/>
      <c r="R977" s="649"/>
      <c r="S977" s="647"/>
      <c r="T977" s="647"/>
      <c r="U977" s="647"/>
      <c r="V977" s="647"/>
      <c r="W977" s="647"/>
      <c r="X977" s="647"/>
      <c r="Y977" s="647"/>
      <c r="Z977" s="647"/>
      <c r="AA977" s="647"/>
      <c r="AB977" s="647"/>
      <c r="AC977" s="647"/>
      <c r="AD977" s="647"/>
      <c r="AE977" s="606"/>
      <c r="AF977" s="606"/>
      <c r="AG977" s="606"/>
      <c r="AH977" s="606"/>
    </row>
    <row r="978" spans="1:34" s="612" customFormat="1" outlineLevel="1" x14ac:dyDescent="0.2">
      <c r="A978" s="606"/>
      <c r="B978" s="606"/>
      <c r="C978" s="616"/>
      <c r="D978" s="617"/>
      <c r="E978" s="617"/>
      <c r="F978" s="617"/>
      <c r="G978" s="618"/>
      <c r="H978" s="618"/>
      <c r="I978" s="647"/>
      <c r="J978" s="647"/>
      <c r="K978" s="647"/>
      <c r="L978" s="647"/>
      <c r="M978" s="647"/>
      <c r="N978" s="647"/>
      <c r="O978" s="647"/>
      <c r="P978" s="647"/>
      <c r="Q978" s="647"/>
      <c r="R978" s="647"/>
      <c r="S978" s="647"/>
      <c r="T978" s="647"/>
      <c r="U978" s="647"/>
      <c r="V978" s="647"/>
      <c r="W978" s="647"/>
      <c r="X978" s="647"/>
      <c r="Y978" s="647"/>
      <c r="Z978" s="647"/>
      <c r="AA978" s="647"/>
      <c r="AB978" s="647"/>
      <c r="AC978" s="647"/>
      <c r="AD978" s="647"/>
      <c r="AE978" s="606"/>
      <c r="AF978" s="606"/>
      <c r="AG978" s="606"/>
      <c r="AH978" s="606"/>
    </row>
    <row r="979" spans="1:34" s="612" customFormat="1" outlineLevel="2" x14ac:dyDescent="0.2">
      <c r="A979" s="606"/>
      <c r="B979" s="606"/>
      <c r="C979" s="607"/>
      <c r="D979" s="608"/>
      <c r="E979" s="608"/>
      <c r="F979" s="608"/>
      <c r="G979" s="608"/>
      <c r="H979" s="609"/>
      <c r="I979" s="637"/>
      <c r="J979" s="637"/>
      <c r="K979" s="637"/>
      <c r="L979" s="637"/>
      <c r="M979" s="637"/>
      <c r="N979" s="637"/>
      <c r="O979" s="637"/>
      <c r="P979" s="637"/>
      <c r="Q979" s="637"/>
      <c r="R979" s="637"/>
      <c r="S979" s="637"/>
      <c r="T979" s="637"/>
      <c r="U979" s="637"/>
      <c r="V979" s="637"/>
      <c r="W979" s="637"/>
      <c r="X979" s="637"/>
      <c r="Y979" s="637"/>
      <c r="Z979" s="637"/>
      <c r="AA979" s="637"/>
      <c r="AB979" s="637"/>
      <c r="AC979" s="637"/>
      <c r="AD979" s="647"/>
      <c r="AE979" s="606"/>
      <c r="AF979" s="606"/>
      <c r="AG979" s="606"/>
      <c r="AH979" s="606"/>
    </row>
    <row r="980" spans="1:34" s="612" customFormat="1" outlineLevel="2" x14ac:dyDescent="0.2">
      <c r="A980" s="606"/>
      <c r="B980" s="606"/>
      <c r="C980" s="607"/>
      <c r="D980" s="608"/>
      <c r="E980" s="608"/>
      <c r="F980" s="608"/>
      <c r="G980" s="608"/>
      <c r="H980" s="609"/>
      <c r="I980" s="637"/>
      <c r="J980" s="637"/>
      <c r="K980" s="637"/>
      <c r="L980" s="637"/>
      <c r="M980" s="637"/>
      <c r="N980" s="637"/>
      <c r="O980" s="637"/>
      <c r="P980" s="637"/>
      <c r="Q980" s="637"/>
      <c r="R980" s="637"/>
      <c r="S980" s="637"/>
      <c r="T980" s="637"/>
      <c r="U980" s="637"/>
      <c r="V980" s="637"/>
      <c r="W980" s="637"/>
      <c r="X980" s="637"/>
      <c r="Y980" s="637"/>
      <c r="Z980" s="637"/>
      <c r="AA980" s="637"/>
      <c r="AB980" s="637"/>
      <c r="AC980" s="637"/>
      <c r="AD980" s="647"/>
      <c r="AE980" s="606"/>
      <c r="AF980" s="606"/>
      <c r="AG980" s="606"/>
      <c r="AH980" s="606"/>
    </row>
    <row r="981" spans="1:34" s="612" customFormat="1" outlineLevel="2" x14ac:dyDescent="0.2">
      <c r="A981" s="606"/>
      <c r="B981" s="606"/>
      <c r="C981" s="607"/>
      <c r="D981" s="608"/>
      <c r="E981" s="608"/>
      <c r="F981" s="608"/>
      <c r="G981" s="608"/>
      <c r="H981" s="609"/>
      <c r="I981" s="637"/>
      <c r="J981" s="637"/>
      <c r="K981" s="637"/>
      <c r="L981" s="637"/>
      <c r="M981" s="637"/>
      <c r="N981" s="637"/>
      <c r="O981" s="637"/>
      <c r="P981" s="637"/>
      <c r="Q981" s="637"/>
      <c r="R981" s="637"/>
      <c r="S981" s="637"/>
      <c r="T981" s="637"/>
      <c r="U981" s="637"/>
      <c r="V981" s="637"/>
      <c r="W981" s="637"/>
      <c r="X981" s="637"/>
      <c r="Y981" s="637"/>
      <c r="Z981" s="637"/>
      <c r="AA981" s="637"/>
      <c r="AB981" s="637"/>
      <c r="AC981" s="637"/>
      <c r="AD981" s="647"/>
      <c r="AE981" s="606"/>
      <c r="AF981" s="606"/>
      <c r="AG981" s="606"/>
      <c r="AH981" s="606"/>
    </row>
    <row r="982" spans="1:34" s="612" customFormat="1" outlineLevel="2" x14ac:dyDescent="0.2">
      <c r="A982" s="606"/>
      <c r="B982" s="606"/>
      <c r="C982" s="607"/>
      <c r="D982" s="608"/>
      <c r="E982" s="608"/>
      <c r="F982" s="608"/>
      <c r="G982" s="608"/>
      <c r="H982" s="609"/>
      <c r="I982" s="637"/>
      <c r="J982" s="637"/>
      <c r="K982" s="637"/>
      <c r="L982" s="637"/>
      <c r="M982" s="637"/>
      <c r="N982" s="637"/>
      <c r="O982" s="637"/>
      <c r="P982" s="637"/>
      <c r="Q982" s="637"/>
      <c r="R982" s="637"/>
      <c r="S982" s="637"/>
      <c r="T982" s="637"/>
      <c r="U982" s="637"/>
      <c r="V982" s="637"/>
      <c r="W982" s="637"/>
      <c r="X982" s="637"/>
      <c r="Y982" s="637"/>
      <c r="Z982" s="637"/>
      <c r="AA982" s="637"/>
      <c r="AB982" s="637"/>
      <c r="AC982" s="637"/>
      <c r="AD982" s="647"/>
      <c r="AE982" s="606"/>
      <c r="AF982" s="606"/>
      <c r="AG982" s="606"/>
      <c r="AH982" s="606"/>
    </row>
    <row r="983" spans="1:34" s="612" customFormat="1" outlineLevel="2" x14ac:dyDescent="0.2">
      <c r="A983" s="606"/>
      <c r="B983" s="606"/>
      <c r="C983" s="607"/>
      <c r="D983" s="608"/>
      <c r="E983" s="608"/>
      <c r="F983" s="608"/>
      <c r="G983" s="608"/>
      <c r="H983" s="609"/>
      <c r="I983" s="637"/>
      <c r="J983" s="637"/>
      <c r="K983" s="637"/>
      <c r="L983" s="637"/>
      <c r="M983" s="637"/>
      <c r="N983" s="637"/>
      <c r="O983" s="637"/>
      <c r="P983" s="637"/>
      <c r="Q983" s="637"/>
      <c r="R983" s="637"/>
      <c r="S983" s="637"/>
      <c r="T983" s="637"/>
      <c r="U983" s="637"/>
      <c r="V983" s="637"/>
      <c r="W983" s="637"/>
      <c r="X983" s="637"/>
      <c r="Y983" s="637"/>
      <c r="Z983" s="637"/>
      <c r="AA983" s="637"/>
      <c r="AB983" s="637"/>
      <c r="AC983" s="637"/>
      <c r="AD983" s="647"/>
      <c r="AE983" s="606"/>
      <c r="AF983" s="606"/>
      <c r="AG983" s="606"/>
      <c r="AH983" s="606"/>
    </row>
    <row r="984" spans="1:34" s="612" customFormat="1" outlineLevel="2" x14ac:dyDescent="0.2">
      <c r="A984" s="606"/>
      <c r="B984" s="606"/>
      <c r="C984" s="607"/>
      <c r="D984" s="608"/>
      <c r="E984" s="608"/>
      <c r="F984" s="608"/>
      <c r="G984" s="608"/>
      <c r="H984" s="609"/>
      <c r="I984" s="637"/>
      <c r="J984" s="637"/>
      <c r="K984" s="637"/>
      <c r="L984" s="637"/>
      <c r="M984" s="637"/>
      <c r="N984" s="637"/>
      <c r="O984" s="637"/>
      <c r="P984" s="637"/>
      <c r="Q984" s="637"/>
      <c r="R984" s="637"/>
      <c r="S984" s="637"/>
      <c r="T984" s="637"/>
      <c r="U984" s="637"/>
      <c r="V984" s="637"/>
      <c r="W984" s="637"/>
      <c r="X984" s="637"/>
      <c r="Y984" s="637"/>
      <c r="Z984" s="637"/>
      <c r="AA984" s="637"/>
      <c r="AB984" s="637"/>
      <c r="AC984" s="637"/>
      <c r="AD984" s="647"/>
      <c r="AE984" s="606"/>
      <c r="AF984" s="606"/>
      <c r="AG984" s="606"/>
      <c r="AH984" s="606"/>
    </row>
    <row r="985" spans="1:34" s="612" customFormat="1" outlineLevel="2" x14ac:dyDescent="0.2">
      <c r="A985" s="606"/>
      <c r="B985" s="606"/>
      <c r="C985" s="607"/>
      <c r="D985" s="608"/>
      <c r="E985" s="608"/>
      <c r="F985" s="608"/>
      <c r="G985" s="608"/>
      <c r="H985" s="609"/>
      <c r="I985" s="637"/>
      <c r="J985" s="637"/>
      <c r="K985" s="637"/>
      <c r="L985" s="637"/>
      <c r="M985" s="637"/>
      <c r="N985" s="637"/>
      <c r="O985" s="637"/>
      <c r="P985" s="637"/>
      <c r="Q985" s="637"/>
      <c r="R985" s="637"/>
      <c r="S985" s="637"/>
      <c r="T985" s="637"/>
      <c r="U985" s="637"/>
      <c r="V985" s="637"/>
      <c r="W985" s="637"/>
      <c r="X985" s="637"/>
      <c r="Y985" s="637"/>
      <c r="Z985" s="637"/>
      <c r="AA985" s="637"/>
      <c r="AB985" s="637"/>
      <c r="AC985" s="637"/>
      <c r="AD985" s="647"/>
      <c r="AE985" s="606"/>
      <c r="AF985" s="606"/>
      <c r="AG985" s="606"/>
      <c r="AH985" s="606"/>
    </row>
    <row r="986" spans="1:34" s="612" customFormat="1" outlineLevel="2" x14ac:dyDescent="0.2">
      <c r="A986" s="606"/>
      <c r="B986" s="606"/>
      <c r="C986" s="607"/>
      <c r="D986" s="608"/>
      <c r="E986" s="608"/>
      <c r="F986" s="608"/>
      <c r="G986" s="608"/>
      <c r="H986" s="609"/>
      <c r="I986" s="637"/>
      <c r="J986" s="637"/>
      <c r="K986" s="637"/>
      <c r="L986" s="637"/>
      <c r="M986" s="637"/>
      <c r="N986" s="637"/>
      <c r="O986" s="637"/>
      <c r="P986" s="637"/>
      <c r="Q986" s="637"/>
      <c r="R986" s="637"/>
      <c r="S986" s="637"/>
      <c r="T986" s="637"/>
      <c r="U986" s="637"/>
      <c r="V986" s="637"/>
      <c r="W986" s="637"/>
      <c r="X986" s="637"/>
      <c r="Y986" s="637"/>
      <c r="Z986" s="637"/>
      <c r="AA986" s="637"/>
      <c r="AB986" s="637"/>
      <c r="AC986" s="637"/>
      <c r="AD986" s="647"/>
      <c r="AE986" s="606"/>
      <c r="AF986" s="606"/>
      <c r="AG986" s="606"/>
      <c r="AH986" s="606"/>
    </row>
    <row r="987" spans="1:34" s="612" customFormat="1" outlineLevel="2" x14ac:dyDescent="0.2">
      <c r="A987" s="606"/>
      <c r="B987" s="606"/>
      <c r="C987" s="607"/>
      <c r="D987" s="608"/>
      <c r="E987" s="608"/>
      <c r="F987" s="608"/>
      <c r="G987" s="608"/>
      <c r="H987" s="609"/>
      <c r="I987" s="637"/>
      <c r="J987" s="637"/>
      <c r="K987" s="637"/>
      <c r="L987" s="637"/>
      <c r="M987" s="637"/>
      <c r="N987" s="637"/>
      <c r="O987" s="637"/>
      <c r="P987" s="637"/>
      <c r="Q987" s="637"/>
      <c r="R987" s="637"/>
      <c r="S987" s="637"/>
      <c r="T987" s="637"/>
      <c r="U987" s="637"/>
      <c r="V987" s="637"/>
      <c r="W987" s="637"/>
      <c r="X987" s="637"/>
      <c r="Y987" s="637"/>
      <c r="Z987" s="637"/>
      <c r="AA987" s="637"/>
      <c r="AB987" s="637"/>
      <c r="AC987" s="637"/>
      <c r="AD987" s="647"/>
      <c r="AE987" s="606"/>
      <c r="AF987" s="606"/>
      <c r="AG987" s="606"/>
      <c r="AH987" s="606"/>
    </row>
    <row r="988" spans="1:34" s="612" customFormat="1" outlineLevel="2" x14ac:dyDescent="0.2">
      <c r="A988" s="606"/>
      <c r="B988" s="606"/>
      <c r="C988" s="607"/>
      <c r="D988" s="608"/>
      <c r="E988" s="608"/>
      <c r="F988" s="608"/>
      <c r="G988" s="608"/>
      <c r="H988" s="609"/>
      <c r="I988" s="637"/>
      <c r="J988" s="637"/>
      <c r="K988" s="637"/>
      <c r="L988" s="637"/>
      <c r="M988" s="637"/>
      <c r="N988" s="637"/>
      <c r="O988" s="637"/>
      <c r="P988" s="637"/>
      <c r="Q988" s="637"/>
      <c r="R988" s="637"/>
      <c r="S988" s="637"/>
      <c r="T988" s="637"/>
      <c r="U988" s="637"/>
      <c r="V988" s="637"/>
      <c r="W988" s="637"/>
      <c r="X988" s="637"/>
      <c r="Y988" s="637"/>
      <c r="Z988" s="637"/>
      <c r="AA988" s="637"/>
      <c r="AB988" s="637"/>
      <c r="AC988" s="637"/>
      <c r="AD988" s="647"/>
      <c r="AE988" s="606"/>
      <c r="AF988" s="606"/>
      <c r="AG988" s="606"/>
      <c r="AH988" s="606"/>
    </row>
    <row r="989" spans="1:34" s="612" customFormat="1" outlineLevel="2" x14ac:dyDescent="0.2">
      <c r="A989" s="606"/>
      <c r="B989" s="606"/>
      <c r="C989" s="607"/>
      <c r="D989" s="608"/>
      <c r="E989" s="608"/>
      <c r="F989" s="608"/>
      <c r="G989" s="608"/>
      <c r="H989" s="609"/>
      <c r="I989" s="637"/>
      <c r="J989" s="637"/>
      <c r="K989" s="637"/>
      <c r="L989" s="637"/>
      <c r="M989" s="637"/>
      <c r="N989" s="637"/>
      <c r="O989" s="637"/>
      <c r="P989" s="637"/>
      <c r="Q989" s="637"/>
      <c r="R989" s="637"/>
      <c r="S989" s="637"/>
      <c r="T989" s="637"/>
      <c r="U989" s="637"/>
      <c r="V989" s="637"/>
      <c r="W989" s="637"/>
      <c r="X989" s="637"/>
      <c r="Y989" s="637"/>
      <c r="Z989" s="637"/>
      <c r="AA989" s="637"/>
      <c r="AB989" s="637"/>
      <c r="AC989" s="637"/>
      <c r="AD989" s="647"/>
      <c r="AE989" s="606"/>
      <c r="AF989" s="606"/>
      <c r="AG989" s="606"/>
      <c r="AH989" s="606"/>
    </row>
    <row r="990" spans="1:34" s="612" customFormat="1" outlineLevel="2" x14ac:dyDescent="0.2">
      <c r="A990" s="606"/>
      <c r="B990" s="606"/>
      <c r="C990" s="607"/>
      <c r="D990" s="608"/>
      <c r="E990" s="608"/>
      <c r="F990" s="608"/>
      <c r="G990" s="608"/>
      <c r="H990" s="609"/>
      <c r="I990" s="637"/>
      <c r="J990" s="637"/>
      <c r="K990" s="637"/>
      <c r="L990" s="637"/>
      <c r="M990" s="637"/>
      <c r="N990" s="637"/>
      <c r="O990" s="637"/>
      <c r="P990" s="637"/>
      <c r="Q990" s="637"/>
      <c r="R990" s="637"/>
      <c r="S990" s="637"/>
      <c r="T990" s="637"/>
      <c r="U990" s="637"/>
      <c r="V990" s="637"/>
      <c r="W990" s="637"/>
      <c r="X990" s="637"/>
      <c r="Y990" s="637"/>
      <c r="Z990" s="637"/>
      <c r="AA990" s="637"/>
      <c r="AB990" s="637"/>
      <c r="AC990" s="637"/>
      <c r="AD990" s="647"/>
      <c r="AE990" s="606"/>
      <c r="AF990" s="606"/>
      <c r="AG990" s="606"/>
      <c r="AH990" s="606"/>
    </row>
    <row r="991" spans="1:34" s="612" customFormat="1" outlineLevel="2" x14ac:dyDescent="0.2">
      <c r="A991" s="606"/>
      <c r="B991" s="606"/>
      <c r="C991" s="607"/>
      <c r="D991" s="608"/>
      <c r="E991" s="608"/>
      <c r="F991" s="608"/>
      <c r="G991" s="608"/>
      <c r="H991" s="609"/>
      <c r="I991" s="637"/>
      <c r="J991" s="637"/>
      <c r="K991" s="637"/>
      <c r="L991" s="637"/>
      <c r="M991" s="637"/>
      <c r="N991" s="637"/>
      <c r="O991" s="637"/>
      <c r="P991" s="637"/>
      <c r="Q991" s="637"/>
      <c r="R991" s="637"/>
      <c r="S991" s="637"/>
      <c r="T991" s="637"/>
      <c r="U991" s="637"/>
      <c r="V991" s="637"/>
      <c r="W991" s="637"/>
      <c r="X991" s="637"/>
      <c r="Y991" s="637"/>
      <c r="Z991" s="637"/>
      <c r="AA991" s="637"/>
      <c r="AB991" s="637"/>
      <c r="AC991" s="637"/>
      <c r="AD991" s="647"/>
      <c r="AE991" s="606"/>
      <c r="AF991" s="606"/>
      <c r="AG991" s="606"/>
      <c r="AH991" s="606"/>
    </row>
    <row r="992" spans="1:34" s="612" customFormat="1" outlineLevel="2" x14ac:dyDescent="0.2">
      <c r="A992" s="606"/>
      <c r="B992" s="606"/>
      <c r="C992" s="607"/>
      <c r="D992" s="608"/>
      <c r="E992" s="608"/>
      <c r="F992" s="608"/>
      <c r="G992" s="608"/>
      <c r="H992" s="609"/>
      <c r="I992" s="637"/>
      <c r="J992" s="637"/>
      <c r="K992" s="637"/>
      <c r="L992" s="637"/>
      <c r="M992" s="637"/>
      <c r="N992" s="637"/>
      <c r="O992" s="637"/>
      <c r="P992" s="637"/>
      <c r="Q992" s="637"/>
      <c r="R992" s="637"/>
      <c r="S992" s="637"/>
      <c r="T992" s="637"/>
      <c r="U992" s="637"/>
      <c r="V992" s="637"/>
      <c r="W992" s="637"/>
      <c r="X992" s="637"/>
      <c r="Y992" s="637"/>
      <c r="Z992" s="637"/>
      <c r="AA992" s="637"/>
      <c r="AB992" s="637"/>
      <c r="AC992" s="637"/>
      <c r="AD992" s="647"/>
      <c r="AE992" s="606"/>
      <c r="AF992" s="606"/>
      <c r="AG992" s="606"/>
      <c r="AH992" s="606"/>
    </row>
    <row r="993" spans="1:34" s="612" customFormat="1" outlineLevel="2" x14ac:dyDescent="0.2">
      <c r="A993" s="606"/>
      <c r="B993" s="606"/>
      <c r="C993" s="607"/>
      <c r="D993" s="608"/>
      <c r="E993" s="608"/>
      <c r="F993" s="608"/>
      <c r="G993" s="608"/>
      <c r="H993" s="609"/>
      <c r="I993" s="637"/>
      <c r="J993" s="637"/>
      <c r="K993" s="637"/>
      <c r="L993" s="637"/>
      <c r="M993" s="637"/>
      <c r="N993" s="637"/>
      <c r="O993" s="637"/>
      <c r="P993" s="637"/>
      <c r="Q993" s="637"/>
      <c r="R993" s="637"/>
      <c r="S993" s="637"/>
      <c r="T993" s="637"/>
      <c r="U993" s="637"/>
      <c r="V993" s="637"/>
      <c r="W993" s="637"/>
      <c r="X993" s="637"/>
      <c r="Y993" s="637"/>
      <c r="Z993" s="637"/>
      <c r="AA993" s="637"/>
      <c r="AB993" s="637"/>
      <c r="AC993" s="637"/>
      <c r="AD993" s="647"/>
      <c r="AE993" s="606"/>
      <c r="AF993" s="606"/>
      <c r="AG993" s="606"/>
      <c r="AH993" s="606"/>
    </row>
    <row r="994" spans="1:34" s="612" customFormat="1" outlineLevel="2" x14ac:dyDescent="0.2">
      <c r="A994" s="606"/>
      <c r="B994" s="606"/>
      <c r="C994" s="607"/>
      <c r="D994" s="608"/>
      <c r="E994" s="608"/>
      <c r="F994" s="608"/>
      <c r="G994" s="608"/>
      <c r="H994" s="609"/>
      <c r="I994" s="637"/>
      <c r="J994" s="637"/>
      <c r="K994" s="637"/>
      <c r="L994" s="637"/>
      <c r="M994" s="637"/>
      <c r="N994" s="637"/>
      <c r="O994" s="637"/>
      <c r="P994" s="637"/>
      <c r="Q994" s="637"/>
      <c r="R994" s="637"/>
      <c r="S994" s="637"/>
      <c r="T994" s="637"/>
      <c r="U994" s="637"/>
      <c r="V994" s="637"/>
      <c r="W994" s="637"/>
      <c r="X994" s="637"/>
      <c r="Y994" s="637"/>
      <c r="Z994" s="637"/>
      <c r="AA994" s="637"/>
      <c r="AB994" s="637"/>
      <c r="AC994" s="637"/>
      <c r="AD994" s="647"/>
      <c r="AE994" s="606"/>
      <c r="AF994" s="606"/>
      <c r="AG994" s="606"/>
      <c r="AH994" s="606"/>
    </row>
    <row r="995" spans="1:34" s="612" customFormat="1" outlineLevel="2" x14ac:dyDescent="0.2">
      <c r="A995" s="606"/>
      <c r="B995" s="606"/>
      <c r="C995" s="607"/>
      <c r="D995" s="608"/>
      <c r="E995" s="608"/>
      <c r="F995" s="608"/>
      <c r="G995" s="608"/>
      <c r="H995" s="609"/>
      <c r="I995" s="637"/>
      <c r="J995" s="637"/>
      <c r="K995" s="637"/>
      <c r="L995" s="637"/>
      <c r="M995" s="637"/>
      <c r="N995" s="637"/>
      <c r="O995" s="637"/>
      <c r="P995" s="637"/>
      <c r="Q995" s="637"/>
      <c r="R995" s="637"/>
      <c r="S995" s="637"/>
      <c r="T995" s="637"/>
      <c r="U995" s="637"/>
      <c r="V995" s="637"/>
      <c r="W995" s="637"/>
      <c r="X995" s="637"/>
      <c r="Y995" s="637"/>
      <c r="Z995" s="637"/>
      <c r="AA995" s="637"/>
      <c r="AB995" s="637"/>
      <c r="AC995" s="637"/>
      <c r="AD995" s="647"/>
      <c r="AE995" s="606"/>
      <c r="AF995" s="606"/>
      <c r="AG995" s="606"/>
      <c r="AH995" s="606"/>
    </row>
    <row r="996" spans="1:34" s="612" customFormat="1" outlineLevel="2" x14ac:dyDescent="0.2">
      <c r="A996" s="606"/>
      <c r="B996" s="606"/>
      <c r="C996" s="607"/>
      <c r="D996" s="608"/>
      <c r="E996" s="608"/>
      <c r="F996" s="608"/>
      <c r="G996" s="608"/>
      <c r="H996" s="609"/>
      <c r="I996" s="637"/>
      <c r="J996" s="637"/>
      <c r="K996" s="637"/>
      <c r="L996" s="637"/>
      <c r="M996" s="637"/>
      <c r="N996" s="637"/>
      <c r="O996" s="637"/>
      <c r="P996" s="637"/>
      <c r="Q996" s="637"/>
      <c r="R996" s="637"/>
      <c r="S996" s="637"/>
      <c r="T996" s="637"/>
      <c r="U996" s="637"/>
      <c r="V996" s="637"/>
      <c r="W996" s="637"/>
      <c r="X996" s="637"/>
      <c r="Y996" s="637"/>
      <c r="Z996" s="637"/>
      <c r="AA996" s="637"/>
      <c r="AB996" s="637"/>
      <c r="AC996" s="637"/>
      <c r="AD996" s="647"/>
      <c r="AE996" s="606"/>
      <c r="AF996" s="606"/>
      <c r="AG996" s="606"/>
      <c r="AH996" s="606"/>
    </row>
    <row r="997" spans="1:34" s="612" customFormat="1" outlineLevel="2" x14ac:dyDescent="0.2">
      <c r="A997" s="606"/>
      <c r="B997" s="606"/>
      <c r="C997" s="607"/>
      <c r="D997" s="608"/>
      <c r="E997" s="608"/>
      <c r="F997" s="608"/>
      <c r="G997" s="608"/>
      <c r="H997" s="609"/>
      <c r="I997" s="637"/>
      <c r="J997" s="637"/>
      <c r="K997" s="637"/>
      <c r="L997" s="637"/>
      <c r="M997" s="637"/>
      <c r="N997" s="637"/>
      <c r="O997" s="637"/>
      <c r="P997" s="637"/>
      <c r="Q997" s="637"/>
      <c r="R997" s="637"/>
      <c r="S997" s="637"/>
      <c r="T997" s="637"/>
      <c r="U997" s="637"/>
      <c r="V997" s="637"/>
      <c r="W997" s="637"/>
      <c r="X997" s="637"/>
      <c r="Y997" s="637"/>
      <c r="Z997" s="637"/>
      <c r="AA997" s="637"/>
      <c r="AB997" s="637"/>
      <c r="AC997" s="637"/>
      <c r="AD997" s="647"/>
      <c r="AE997" s="606"/>
      <c r="AF997" s="606"/>
      <c r="AG997" s="606"/>
      <c r="AH997" s="606"/>
    </row>
    <row r="998" spans="1:34" s="612" customFormat="1" outlineLevel="2" x14ac:dyDescent="0.2">
      <c r="A998" s="606"/>
      <c r="B998" s="606"/>
      <c r="C998" s="607"/>
      <c r="D998" s="608"/>
      <c r="E998" s="608"/>
      <c r="F998" s="608"/>
      <c r="G998" s="608"/>
      <c r="H998" s="609"/>
      <c r="I998" s="637"/>
      <c r="J998" s="637"/>
      <c r="K998" s="637"/>
      <c r="L998" s="637"/>
      <c r="M998" s="637"/>
      <c r="N998" s="637"/>
      <c r="O998" s="637"/>
      <c r="P998" s="637"/>
      <c r="Q998" s="637"/>
      <c r="R998" s="637"/>
      <c r="S998" s="637"/>
      <c r="T998" s="637"/>
      <c r="U998" s="637"/>
      <c r="V998" s="637"/>
      <c r="W998" s="637"/>
      <c r="X998" s="637"/>
      <c r="Y998" s="637"/>
      <c r="Z998" s="637"/>
      <c r="AA998" s="637"/>
      <c r="AB998" s="637"/>
      <c r="AC998" s="637"/>
      <c r="AD998" s="647"/>
      <c r="AE998" s="606"/>
      <c r="AF998" s="606"/>
      <c r="AG998" s="606"/>
      <c r="AH998" s="606"/>
    </row>
    <row r="999" spans="1:34" s="612" customFormat="1" outlineLevel="2" x14ac:dyDescent="0.2">
      <c r="A999" s="606"/>
      <c r="B999" s="606"/>
      <c r="C999" s="607"/>
      <c r="D999" s="608"/>
      <c r="E999" s="608"/>
      <c r="F999" s="608"/>
      <c r="G999" s="608"/>
      <c r="H999" s="609"/>
      <c r="I999" s="637"/>
      <c r="J999" s="637"/>
      <c r="K999" s="637"/>
      <c r="L999" s="637"/>
      <c r="M999" s="637"/>
      <c r="N999" s="637"/>
      <c r="O999" s="637"/>
      <c r="P999" s="637"/>
      <c r="Q999" s="637"/>
      <c r="R999" s="637"/>
      <c r="S999" s="637"/>
      <c r="T999" s="637"/>
      <c r="U999" s="637"/>
      <c r="V999" s="637"/>
      <c r="W999" s="637"/>
      <c r="X999" s="637"/>
      <c r="Y999" s="637"/>
      <c r="Z999" s="637"/>
      <c r="AA999" s="637"/>
      <c r="AB999" s="637"/>
      <c r="AC999" s="637"/>
      <c r="AD999" s="647"/>
      <c r="AE999" s="606"/>
      <c r="AF999" s="606"/>
      <c r="AG999" s="606"/>
      <c r="AH999" s="606"/>
    </row>
    <row r="1000" spans="1:34" s="612" customFormat="1" outlineLevel="2" x14ac:dyDescent="0.2">
      <c r="A1000" s="606"/>
      <c r="B1000" s="606"/>
      <c r="C1000" s="607"/>
      <c r="D1000" s="608"/>
      <c r="E1000" s="608"/>
      <c r="F1000" s="608"/>
      <c r="G1000" s="608"/>
      <c r="H1000" s="609"/>
      <c r="I1000" s="637"/>
      <c r="J1000" s="637"/>
      <c r="K1000" s="637"/>
      <c r="L1000" s="637"/>
      <c r="M1000" s="637"/>
      <c r="N1000" s="637"/>
      <c r="O1000" s="637"/>
      <c r="P1000" s="637"/>
      <c r="Q1000" s="637"/>
      <c r="R1000" s="637"/>
      <c r="S1000" s="637"/>
      <c r="T1000" s="637"/>
      <c r="U1000" s="637"/>
      <c r="V1000" s="637"/>
      <c r="W1000" s="637"/>
      <c r="X1000" s="637"/>
      <c r="Y1000" s="637"/>
      <c r="Z1000" s="637"/>
      <c r="AA1000" s="637"/>
      <c r="AB1000" s="637"/>
      <c r="AC1000" s="637"/>
      <c r="AD1000" s="647"/>
      <c r="AE1000" s="606"/>
      <c r="AF1000" s="606"/>
      <c r="AG1000" s="606"/>
      <c r="AH1000" s="606"/>
    </row>
    <row r="1001" spans="1:34" s="612" customFormat="1" outlineLevel="2" x14ac:dyDescent="0.2">
      <c r="A1001" s="606"/>
      <c r="B1001" s="606"/>
      <c r="C1001" s="607"/>
      <c r="D1001" s="608"/>
      <c r="E1001" s="608"/>
      <c r="F1001" s="608"/>
      <c r="G1001" s="608"/>
      <c r="H1001" s="609"/>
      <c r="I1001" s="637"/>
      <c r="J1001" s="637"/>
      <c r="K1001" s="637"/>
      <c r="L1001" s="637"/>
      <c r="M1001" s="637"/>
      <c r="N1001" s="637"/>
      <c r="O1001" s="637"/>
      <c r="P1001" s="637"/>
      <c r="Q1001" s="637"/>
      <c r="R1001" s="637"/>
      <c r="S1001" s="637"/>
      <c r="T1001" s="637"/>
      <c r="U1001" s="637"/>
      <c r="V1001" s="637"/>
      <c r="W1001" s="637"/>
      <c r="X1001" s="637"/>
      <c r="Y1001" s="637"/>
      <c r="Z1001" s="637"/>
      <c r="AA1001" s="637"/>
      <c r="AB1001" s="637"/>
      <c r="AC1001" s="637"/>
      <c r="AD1001" s="647"/>
      <c r="AE1001" s="606"/>
      <c r="AF1001" s="606"/>
      <c r="AG1001" s="606"/>
      <c r="AH1001" s="606"/>
    </row>
    <row r="1002" spans="1:34" s="612" customFormat="1" outlineLevel="2" x14ac:dyDescent="0.2">
      <c r="A1002" s="606"/>
      <c r="B1002" s="606"/>
      <c r="C1002" s="607"/>
      <c r="D1002" s="608"/>
      <c r="E1002" s="608"/>
      <c r="F1002" s="608"/>
      <c r="G1002" s="608"/>
      <c r="H1002" s="609"/>
      <c r="I1002" s="637"/>
      <c r="J1002" s="637"/>
      <c r="K1002" s="637"/>
      <c r="L1002" s="637"/>
      <c r="M1002" s="637"/>
      <c r="N1002" s="637"/>
      <c r="O1002" s="637"/>
      <c r="P1002" s="637"/>
      <c r="Q1002" s="637"/>
      <c r="R1002" s="637"/>
      <c r="S1002" s="637"/>
      <c r="T1002" s="637"/>
      <c r="U1002" s="637"/>
      <c r="V1002" s="637"/>
      <c r="W1002" s="637"/>
      <c r="X1002" s="637"/>
      <c r="Y1002" s="637"/>
      <c r="Z1002" s="637"/>
      <c r="AA1002" s="637"/>
      <c r="AB1002" s="637"/>
      <c r="AC1002" s="637"/>
      <c r="AD1002" s="647"/>
      <c r="AE1002" s="606"/>
      <c r="AF1002" s="606"/>
      <c r="AG1002" s="606"/>
      <c r="AH1002" s="606"/>
    </row>
    <row r="1003" spans="1:34" s="612" customFormat="1" outlineLevel="2" x14ac:dyDescent="0.2">
      <c r="A1003" s="606"/>
      <c r="B1003" s="606"/>
      <c r="C1003" s="607"/>
      <c r="D1003" s="608"/>
      <c r="E1003" s="608"/>
      <c r="F1003" s="608"/>
      <c r="G1003" s="608"/>
      <c r="H1003" s="609"/>
      <c r="I1003" s="637"/>
      <c r="J1003" s="637"/>
      <c r="K1003" s="637"/>
      <c r="L1003" s="637"/>
      <c r="M1003" s="637"/>
      <c r="N1003" s="637"/>
      <c r="O1003" s="637"/>
      <c r="P1003" s="637"/>
      <c r="Q1003" s="637"/>
      <c r="R1003" s="637"/>
      <c r="S1003" s="637"/>
      <c r="T1003" s="637"/>
      <c r="U1003" s="637"/>
      <c r="V1003" s="637"/>
      <c r="W1003" s="637"/>
      <c r="X1003" s="637"/>
      <c r="Y1003" s="637"/>
      <c r="Z1003" s="637"/>
      <c r="AA1003" s="637"/>
      <c r="AB1003" s="637"/>
      <c r="AC1003" s="637"/>
      <c r="AD1003" s="647"/>
      <c r="AE1003" s="606"/>
      <c r="AF1003" s="606"/>
      <c r="AG1003" s="606"/>
      <c r="AH1003" s="606"/>
    </row>
    <row r="1004" spans="1:34" s="612" customFormat="1" outlineLevel="2" x14ac:dyDescent="0.2">
      <c r="A1004" s="606"/>
      <c r="B1004" s="606"/>
      <c r="C1004" s="607"/>
      <c r="D1004" s="608"/>
      <c r="E1004" s="608"/>
      <c r="F1004" s="608"/>
      <c r="G1004" s="608"/>
      <c r="H1004" s="609"/>
      <c r="I1004" s="637"/>
      <c r="J1004" s="637"/>
      <c r="K1004" s="637"/>
      <c r="L1004" s="637"/>
      <c r="M1004" s="637"/>
      <c r="N1004" s="637"/>
      <c r="O1004" s="637"/>
      <c r="P1004" s="637"/>
      <c r="Q1004" s="637"/>
      <c r="R1004" s="637"/>
      <c r="S1004" s="637"/>
      <c r="T1004" s="637"/>
      <c r="U1004" s="637"/>
      <c r="V1004" s="637"/>
      <c r="W1004" s="637"/>
      <c r="X1004" s="637"/>
      <c r="Y1004" s="637"/>
      <c r="Z1004" s="637"/>
      <c r="AA1004" s="637"/>
      <c r="AB1004" s="637"/>
      <c r="AC1004" s="637"/>
      <c r="AD1004" s="647"/>
      <c r="AE1004" s="606"/>
      <c r="AF1004" s="606"/>
      <c r="AG1004" s="606"/>
      <c r="AH1004" s="606"/>
    </row>
    <row r="1005" spans="1:34" s="612" customFormat="1" outlineLevel="2" x14ac:dyDescent="0.2">
      <c r="A1005" s="606"/>
      <c r="B1005" s="606"/>
      <c r="C1005" s="630"/>
      <c r="D1005" s="608"/>
      <c r="E1005" s="608"/>
      <c r="F1005" s="608"/>
      <c r="G1005" s="608"/>
      <c r="H1005" s="609"/>
      <c r="I1005" s="637"/>
      <c r="J1005" s="637"/>
      <c r="K1005" s="637"/>
      <c r="L1005" s="637"/>
      <c r="M1005" s="637"/>
      <c r="N1005" s="637"/>
      <c r="O1005" s="637"/>
      <c r="P1005" s="637"/>
      <c r="Q1005" s="637"/>
      <c r="R1005" s="637"/>
      <c r="S1005" s="637"/>
      <c r="T1005" s="637"/>
      <c r="U1005" s="637"/>
      <c r="V1005" s="637"/>
      <c r="W1005" s="637"/>
      <c r="X1005" s="637"/>
      <c r="Y1005" s="637"/>
      <c r="Z1005" s="637"/>
      <c r="AA1005" s="637"/>
      <c r="AB1005" s="637"/>
      <c r="AC1005" s="637"/>
      <c r="AD1005" s="647"/>
      <c r="AE1005" s="606"/>
      <c r="AF1005" s="606"/>
      <c r="AG1005" s="606"/>
      <c r="AH1005" s="606"/>
    </row>
    <row r="1006" spans="1:34" s="612" customFormat="1" outlineLevel="2" x14ac:dyDescent="0.2">
      <c r="A1006" s="606"/>
      <c r="B1006" s="606"/>
      <c r="C1006" s="607"/>
      <c r="D1006" s="608"/>
      <c r="E1006" s="608"/>
      <c r="F1006" s="608"/>
      <c r="G1006" s="608"/>
      <c r="H1006" s="609"/>
      <c r="I1006" s="637"/>
      <c r="J1006" s="637"/>
      <c r="K1006" s="637"/>
      <c r="L1006" s="637"/>
      <c r="M1006" s="637"/>
      <c r="N1006" s="637"/>
      <c r="O1006" s="637"/>
      <c r="P1006" s="637"/>
      <c r="Q1006" s="637"/>
      <c r="R1006" s="637"/>
      <c r="S1006" s="637"/>
      <c r="T1006" s="637"/>
      <c r="U1006" s="637"/>
      <c r="V1006" s="637"/>
      <c r="W1006" s="637"/>
      <c r="X1006" s="637"/>
      <c r="Y1006" s="637"/>
      <c r="Z1006" s="637"/>
      <c r="AA1006" s="637"/>
      <c r="AB1006" s="637"/>
      <c r="AC1006" s="637"/>
      <c r="AD1006" s="647"/>
      <c r="AE1006" s="606"/>
      <c r="AF1006" s="606"/>
      <c r="AG1006" s="606"/>
      <c r="AH1006" s="606"/>
    </row>
    <row r="1007" spans="1:34" s="612" customFormat="1" outlineLevel="2" x14ac:dyDescent="0.2">
      <c r="A1007" s="606"/>
      <c r="B1007" s="606"/>
      <c r="C1007" s="607"/>
      <c r="D1007" s="608"/>
      <c r="E1007" s="608"/>
      <c r="F1007" s="608"/>
      <c r="G1007" s="608"/>
      <c r="H1007" s="609"/>
      <c r="I1007" s="637"/>
      <c r="J1007" s="637"/>
      <c r="K1007" s="637"/>
      <c r="L1007" s="637"/>
      <c r="M1007" s="637"/>
      <c r="N1007" s="637"/>
      <c r="O1007" s="637"/>
      <c r="P1007" s="637"/>
      <c r="Q1007" s="637"/>
      <c r="R1007" s="637"/>
      <c r="S1007" s="637"/>
      <c r="T1007" s="637"/>
      <c r="U1007" s="637"/>
      <c r="V1007" s="637"/>
      <c r="W1007" s="637"/>
      <c r="X1007" s="637"/>
      <c r="Y1007" s="637"/>
      <c r="Z1007" s="637"/>
      <c r="AA1007" s="637"/>
      <c r="AB1007" s="637"/>
      <c r="AC1007" s="637"/>
      <c r="AD1007" s="647"/>
      <c r="AE1007" s="606"/>
      <c r="AF1007" s="606"/>
      <c r="AG1007" s="606"/>
      <c r="AH1007" s="606"/>
    </row>
    <row r="1008" spans="1:34" s="612" customFormat="1" outlineLevel="2" x14ac:dyDescent="0.2">
      <c r="A1008" s="606"/>
      <c r="B1008" s="606"/>
      <c r="C1008" s="607"/>
      <c r="D1008" s="608"/>
      <c r="E1008" s="608"/>
      <c r="F1008" s="608"/>
      <c r="G1008" s="608"/>
      <c r="H1008" s="609"/>
      <c r="I1008" s="637"/>
      <c r="J1008" s="637"/>
      <c r="K1008" s="637"/>
      <c r="L1008" s="637"/>
      <c r="M1008" s="637"/>
      <c r="N1008" s="637"/>
      <c r="O1008" s="637"/>
      <c r="P1008" s="637"/>
      <c r="Q1008" s="637"/>
      <c r="R1008" s="637"/>
      <c r="S1008" s="637"/>
      <c r="T1008" s="637"/>
      <c r="U1008" s="637"/>
      <c r="V1008" s="637"/>
      <c r="W1008" s="637"/>
      <c r="X1008" s="637"/>
      <c r="Y1008" s="637"/>
      <c r="Z1008" s="637"/>
      <c r="AA1008" s="637"/>
      <c r="AB1008" s="637"/>
      <c r="AC1008" s="637"/>
      <c r="AD1008" s="647"/>
      <c r="AE1008" s="606"/>
      <c r="AF1008" s="606"/>
      <c r="AG1008" s="606"/>
      <c r="AH1008" s="606"/>
    </row>
    <row r="1009" spans="1:34" s="612" customFormat="1" outlineLevel="2" x14ac:dyDescent="0.2">
      <c r="A1009" s="606"/>
      <c r="B1009" s="606"/>
      <c r="C1009" s="607"/>
      <c r="D1009" s="608"/>
      <c r="E1009" s="608"/>
      <c r="F1009" s="608"/>
      <c r="G1009" s="608"/>
      <c r="H1009" s="609"/>
      <c r="I1009" s="637"/>
      <c r="J1009" s="637"/>
      <c r="K1009" s="637"/>
      <c r="L1009" s="637"/>
      <c r="M1009" s="637"/>
      <c r="N1009" s="637"/>
      <c r="O1009" s="637"/>
      <c r="P1009" s="637"/>
      <c r="Q1009" s="637"/>
      <c r="R1009" s="637"/>
      <c r="S1009" s="637"/>
      <c r="T1009" s="637"/>
      <c r="U1009" s="637"/>
      <c r="V1009" s="637"/>
      <c r="W1009" s="637"/>
      <c r="X1009" s="637"/>
      <c r="Y1009" s="637"/>
      <c r="Z1009" s="637"/>
      <c r="AA1009" s="637"/>
      <c r="AB1009" s="637"/>
      <c r="AC1009" s="637"/>
      <c r="AD1009" s="647"/>
      <c r="AE1009" s="606"/>
      <c r="AF1009" s="606"/>
      <c r="AG1009" s="606"/>
      <c r="AH1009" s="606"/>
    </row>
    <row r="1010" spans="1:34" s="612" customFormat="1" outlineLevel="2" x14ac:dyDescent="0.2">
      <c r="A1010" s="606"/>
      <c r="B1010" s="606"/>
      <c r="C1010" s="607"/>
      <c r="D1010" s="608"/>
      <c r="E1010" s="608"/>
      <c r="F1010" s="608"/>
      <c r="G1010" s="608"/>
      <c r="H1010" s="609"/>
      <c r="I1010" s="637"/>
      <c r="J1010" s="637"/>
      <c r="K1010" s="637"/>
      <c r="L1010" s="637"/>
      <c r="M1010" s="637"/>
      <c r="N1010" s="637"/>
      <c r="O1010" s="637"/>
      <c r="P1010" s="637"/>
      <c r="Q1010" s="637"/>
      <c r="R1010" s="637"/>
      <c r="S1010" s="637"/>
      <c r="T1010" s="637"/>
      <c r="U1010" s="637"/>
      <c r="V1010" s="637"/>
      <c r="W1010" s="637"/>
      <c r="X1010" s="637"/>
      <c r="Y1010" s="637"/>
      <c r="Z1010" s="637"/>
      <c r="AA1010" s="637"/>
      <c r="AB1010" s="637"/>
      <c r="AC1010" s="637"/>
      <c r="AD1010" s="647"/>
      <c r="AE1010" s="606"/>
      <c r="AF1010" s="606"/>
      <c r="AG1010" s="606"/>
      <c r="AH1010" s="606"/>
    </row>
    <row r="1011" spans="1:34" s="612" customFormat="1" hidden="1" outlineLevel="3" x14ac:dyDescent="0.2">
      <c r="A1011" s="606"/>
      <c r="B1011" s="606"/>
      <c r="C1011" s="607"/>
      <c r="D1011" s="608"/>
      <c r="E1011" s="608"/>
      <c r="F1011" s="608"/>
      <c r="G1011" s="608"/>
      <c r="H1011" s="609"/>
      <c r="I1011" s="637"/>
      <c r="J1011" s="637"/>
      <c r="K1011" s="637"/>
      <c r="L1011" s="637"/>
      <c r="M1011" s="637"/>
      <c r="N1011" s="637"/>
      <c r="O1011" s="637"/>
      <c r="P1011" s="637"/>
      <c r="Q1011" s="637"/>
      <c r="R1011" s="637"/>
      <c r="S1011" s="637"/>
      <c r="T1011" s="637"/>
      <c r="U1011" s="637"/>
      <c r="V1011" s="637"/>
      <c r="W1011" s="637"/>
      <c r="X1011" s="637"/>
      <c r="Y1011" s="637"/>
      <c r="Z1011" s="637"/>
      <c r="AA1011" s="637"/>
      <c r="AB1011" s="637"/>
      <c r="AC1011" s="637"/>
      <c r="AD1011" s="647"/>
      <c r="AE1011" s="606"/>
      <c r="AF1011" s="606"/>
      <c r="AG1011" s="606"/>
      <c r="AH1011" s="606"/>
    </row>
    <row r="1012" spans="1:34" s="612" customFormat="1" hidden="1" outlineLevel="3" x14ac:dyDescent="0.2">
      <c r="A1012" s="606"/>
      <c r="B1012" s="606"/>
      <c r="C1012" s="607"/>
      <c r="D1012" s="608"/>
      <c r="E1012" s="608"/>
      <c r="F1012" s="608"/>
      <c r="G1012" s="608"/>
      <c r="H1012" s="609"/>
      <c r="I1012" s="637"/>
      <c r="J1012" s="637"/>
      <c r="K1012" s="637"/>
      <c r="L1012" s="637"/>
      <c r="M1012" s="637"/>
      <c r="N1012" s="637"/>
      <c r="O1012" s="637"/>
      <c r="P1012" s="637"/>
      <c r="Q1012" s="637"/>
      <c r="R1012" s="637"/>
      <c r="S1012" s="637"/>
      <c r="T1012" s="637"/>
      <c r="U1012" s="637"/>
      <c r="V1012" s="637"/>
      <c r="W1012" s="637"/>
      <c r="X1012" s="637"/>
      <c r="Y1012" s="637"/>
      <c r="Z1012" s="637"/>
      <c r="AA1012" s="637"/>
      <c r="AB1012" s="637"/>
      <c r="AC1012" s="637"/>
      <c r="AD1012" s="647"/>
      <c r="AE1012" s="606"/>
      <c r="AF1012" s="606"/>
      <c r="AG1012" s="606"/>
      <c r="AH1012" s="606"/>
    </row>
    <row r="1013" spans="1:34" s="612" customFormat="1" hidden="1" outlineLevel="3" x14ac:dyDescent="0.2">
      <c r="A1013" s="606"/>
      <c r="B1013" s="606"/>
      <c r="C1013" s="607"/>
      <c r="D1013" s="608"/>
      <c r="E1013" s="608"/>
      <c r="F1013" s="608"/>
      <c r="G1013" s="608"/>
      <c r="H1013" s="609"/>
      <c r="I1013" s="637"/>
      <c r="J1013" s="637"/>
      <c r="K1013" s="637"/>
      <c r="L1013" s="637"/>
      <c r="M1013" s="637"/>
      <c r="N1013" s="637"/>
      <c r="O1013" s="637"/>
      <c r="P1013" s="637"/>
      <c r="Q1013" s="637"/>
      <c r="R1013" s="637"/>
      <c r="S1013" s="637"/>
      <c r="T1013" s="637"/>
      <c r="U1013" s="637"/>
      <c r="V1013" s="637"/>
      <c r="W1013" s="637"/>
      <c r="X1013" s="637"/>
      <c r="Y1013" s="637"/>
      <c r="Z1013" s="637"/>
      <c r="AA1013" s="637"/>
      <c r="AB1013" s="637"/>
      <c r="AC1013" s="637"/>
      <c r="AD1013" s="647"/>
      <c r="AE1013" s="606"/>
      <c r="AF1013" s="606"/>
      <c r="AG1013" s="606"/>
      <c r="AH1013" s="606"/>
    </row>
    <row r="1014" spans="1:34" s="612" customFormat="1" hidden="1" outlineLevel="3" x14ac:dyDescent="0.2">
      <c r="A1014" s="606"/>
      <c r="B1014" s="606"/>
      <c r="C1014" s="607"/>
      <c r="D1014" s="608"/>
      <c r="E1014" s="608"/>
      <c r="F1014" s="608"/>
      <c r="G1014" s="608"/>
      <c r="H1014" s="609"/>
      <c r="I1014" s="637"/>
      <c r="J1014" s="637"/>
      <c r="K1014" s="637"/>
      <c r="L1014" s="637"/>
      <c r="M1014" s="637"/>
      <c r="N1014" s="637"/>
      <c r="O1014" s="637"/>
      <c r="P1014" s="637"/>
      <c r="Q1014" s="637"/>
      <c r="R1014" s="637"/>
      <c r="S1014" s="637"/>
      <c r="T1014" s="637"/>
      <c r="U1014" s="637"/>
      <c r="V1014" s="637"/>
      <c r="W1014" s="637"/>
      <c r="X1014" s="637"/>
      <c r="Y1014" s="637"/>
      <c r="Z1014" s="637"/>
      <c r="AA1014" s="637"/>
      <c r="AB1014" s="637"/>
      <c r="AC1014" s="637"/>
      <c r="AD1014" s="647"/>
      <c r="AE1014" s="606"/>
      <c r="AF1014" s="606"/>
      <c r="AG1014" s="606"/>
      <c r="AH1014" s="606"/>
    </row>
    <row r="1015" spans="1:34" s="612" customFormat="1" hidden="1" outlineLevel="3" x14ac:dyDescent="0.2">
      <c r="A1015" s="606"/>
      <c r="B1015" s="606"/>
      <c r="C1015" s="607"/>
      <c r="D1015" s="608"/>
      <c r="E1015" s="608"/>
      <c r="F1015" s="608"/>
      <c r="G1015" s="608"/>
      <c r="H1015" s="609"/>
      <c r="I1015" s="637"/>
      <c r="J1015" s="637"/>
      <c r="K1015" s="637"/>
      <c r="L1015" s="637"/>
      <c r="M1015" s="637"/>
      <c r="N1015" s="637"/>
      <c r="O1015" s="637"/>
      <c r="P1015" s="637"/>
      <c r="Q1015" s="637"/>
      <c r="R1015" s="637"/>
      <c r="S1015" s="637"/>
      <c r="T1015" s="637"/>
      <c r="U1015" s="637"/>
      <c r="V1015" s="637"/>
      <c r="W1015" s="637"/>
      <c r="X1015" s="637"/>
      <c r="Y1015" s="637"/>
      <c r="Z1015" s="637"/>
      <c r="AA1015" s="637"/>
      <c r="AB1015" s="637"/>
      <c r="AC1015" s="637"/>
      <c r="AD1015" s="647"/>
      <c r="AE1015" s="606"/>
      <c r="AF1015" s="606"/>
      <c r="AG1015" s="606"/>
      <c r="AH1015" s="606"/>
    </row>
    <row r="1016" spans="1:34" s="612" customFormat="1" hidden="1" outlineLevel="3" x14ac:dyDescent="0.2">
      <c r="A1016" s="606"/>
      <c r="B1016" s="606"/>
      <c r="C1016" s="607"/>
      <c r="D1016" s="608"/>
      <c r="E1016" s="608"/>
      <c r="F1016" s="608"/>
      <c r="G1016" s="608"/>
      <c r="H1016" s="609"/>
      <c r="I1016" s="637"/>
      <c r="J1016" s="637"/>
      <c r="K1016" s="637"/>
      <c r="L1016" s="637"/>
      <c r="M1016" s="637"/>
      <c r="N1016" s="637"/>
      <c r="O1016" s="637"/>
      <c r="P1016" s="637"/>
      <c r="Q1016" s="637"/>
      <c r="R1016" s="637"/>
      <c r="S1016" s="637"/>
      <c r="T1016" s="637"/>
      <c r="U1016" s="637"/>
      <c r="V1016" s="637"/>
      <c r="W1016" s="637"/>
      <c r="X1016" s="637"/>
      <c r="Y1016" s="637"/>
      <c r="Z1016" s="637"/>
      <c r="AA1016" s="637"/>
      <c r="AB1016" s="637"/>
      <c r="AC1016" s="637"/>
      <c r="AD1016" s="647"/>
      <c r="AE1016" s="606"/>
      <c r="AF1016" s="606"/>
      <c r="AG1016" s="606"/>
      <c r="AH1016" s="606"/>
    </row>
    <row r="1017" spans="1:34" s="612" customFormat="1" hidden="1" outlineLevel="3" x14ac:dyDescent="0.2">
      <c r="A1017" s="606"/>
      <c r="B1017" s="606"/>
      <c r="C1017" s="607"/>
      <c r="D1017" s="608"/>
      <c r="E1017" s="608"/>
      <c r="F1017" s="608"/>
      <c r="G1017" s="608"/>
      <c r="H1017" s="609"/>
      <c r="I1017" s="637"/>
      <c r="J1017" s="637"/>
      <c r="K1017" s="637"/>
      <c r="L1017" s="637"/>
      <c r="M1017" s="637"/>
      <c r="N1017" s="637"/>
      <c r="O1017" s="637"/>
      <c r="P1017" s="637"/>
      <c r="Q1017" s="637"/>
      <c r="R1017" s="637"/>
      <c r="S1017" s="637"/>
      <c r="T1017" s="637"/>
      <c r="U1017" s="637"/>
      <c r="V1017" s="637"/>
      <c r="W1017" s="637"/>
      <c r="X1017" s="637"/>
      <c r="Y1017" s="637"/>
      <c r="Z1017" s="637"/>
      <c r="AA1017" s="637"/>
      <c r="AB1017" s="637"/>
      <c r="AC1017" s="637"/>
      <c r="AD1017" s="647"/>
      <c r="AE1017" s="606"/>
      <c r="AF1017" s="606"/>
      <c r="AG1017" s="606"/>
      <c r="AH1017" s="606"/>
    </row>
    <row r="1018" spans="1:34" s="612" customFormat="1" hidden="1" outlineLevel="3" x14ac:dyDescent="0.2">
      <c r="A1018" s="606"/>
      <c r="B1018" s="606"/>
      <c r="C1018" s="607"/>
      <c r="D1018" s="608"/>
      <c r="E1018" s="608"/>
      <c r="F1018" s="608"/>
      <c r="G1018" s="608"/>
      <c r="H1018" s="609"/>
      <c r="I1018" s="637"/>
      <c r="J1018" s="637"/>
      <c r="K1018" s="637"/>
      <c r="L1018" s="637"/>
      <c r="M1018" s="637"/>
      <c r="N1018" s="637"/>
      <c r="O1018" s="637"/>
      <c r="P1018" s="637"/>
      <c r="Q1018" s="637"/>
      <c r="R1018" s="637"/>
      <c r="S1018" s="637"/>
      <c r="T1018" s="637"/>
      <c r="U1018" s="637"/>
      <c r="V1018" s="637"/>
      <c r="W1018" s="637"/>
      <c r="X1018" s="637"/>
      <c r="Y1018" s="637"/>
      <c r="Z1018" s="637"/>
      <c r="AA1018" s="637"/>
      <c r="AB1018" s="637"/>
      <c r="AC1018" s="637"/>
      <c r="AD1018" s="647"/>
      <c r="AE1018" s="606"/>
      <c r="AF1018" s="606"/>
      <c r="AG1018" s="606"/>
      <c r="AH1018" s="606"/>
    </row>
    <row r="1019" spans="1:34" s="612" customFormat="1" hidden="1" outlineLevel="3" x14ac:dyDescent="0.2">
      <c r="A1019" s="606"/>
      <c r="B1019" s="606"/>
      <c r="C1019" s="607"/>
      <c r="D1019" s="608"/>
      <c r="E1019" s="608"/>
      <c r="F1019" s="608"/>
      <c r="G1019" s="608"/>
      <c r="H1019" s="609"/>
      <c r="I1019" s="637"/>
      <c r="J1019" s="637"/>
      <c r="K1019" s="637"/>
      <c r="L1019" s="637"/>
      <c r="M1019" s="637"/>
      <c r="N1019" s="637"/>
      <c r="O1019" s="637"/>
      <c r="P1019" s="637"/>
      <c r="Q1019" s="637"/>
      <c r="R1019" s="637"/>
      <c r="S1019" s="637"/>
      <c r="T1019" s="637"/>
      <c r="U1019" s="637"/>
      <c r="V1019" s="637"/>
      <c r="W1019" s="637"/>
      <c r="X1019" s="637"/>
      <c r="Y1019" s="637"/>
      <c r="Z1019" s="637"/>
      <c r="AA1019" s="637"/>
      <c r="AB1019" s="637"/>
      <c r="AC1019" s="637"/>
      <c r="AD1019" s="647"/>
      <c r="AE1019" s="606"/>
      <c r="AF1019" s="606"/>
      <c r="AG1019" s="606"/>
      <c r="AH1019" s="606"/>
    </row>
    <row r="1020" spans="1:34" s="612" customFormat="1" hidden="1" outlineLevel="3" x14ac:dyDescent="0.2">
      <c r="A1020" s="606"/>
      <c r="B1020" s="606"/>
      <c r="C1020" s="607"/>
      <c r="D1020" s="608"/>
      <c r="E1020" s="608"/>
      <c r="F1020" s="608"/>
      <c r="G1020" s="608"/>
      <c r="H1020" s="609"/>
      <c r="I1020" s="637"/>
      <c r="J1020" s="637"/>
      <c r="K1020" s="637"/>
      <c r="L1020" s="637"/>
      <c r="M1020" s="637"/>
      <c r="N1020" s="637"/>
      <c r="O1020" s="637"/>
      <c r="P1020" s="637"/>
      <c r="Q1020" s="637"/>
      <c r="R1020" s="637"/>
      <c r="S1020" s="637"/>
      <c r="T1020" s="637"/>
      <c r="U1020" s="637"/>
      <c r="V1020" s="637"/>
      <c r="W1020" s="637"/>
      <c r="X1020" s="637"/>
      <c r="Y1020" s="637"/>
      <c r="Z1020" s="637"/>
      <c r="AA1020" s="637"/>
      <c r="AB1020" s="637"/>
      <c r="AC1020" s="637"/>
      <c r="AD1020" s="647"/>
      <c r="AE1020" s="606"/>
      <c r="AF1020" s="606"/>
      <c r="AG1020" s="606"/>
      <c r="AH1020" s="606"/>
    </row>
    <row r="1021" spans="1:34" s="612" customFormat="1" hidden="1" outlineLevel="3" x14ac:dyDescent="0.2">
      <c r="A1021" s="606"/>
      <c r="B1021" s="606"/>
      <c r="C1021" s="607"/>
      <c r="D1021" s="608"/>
      <c r="E1021" s="608"/>
      <c r="F1021" s="608"/>
      <c r="G1021" s="608"/>
      <c r="H1021" s="609"/>
      <c r="I1021" s="637"/>
      <c r="J1021" s="637"/>
      <c r="K1021" s="637"/>
      <c r="L1021" s="637"/>
      <c r="M1021" s="637"/>
      <c r="N1021" s="637"/>
      <c r="O1021" s="637"/>
      <c r="P1021" s="637"/>
      <c r="Q1021" s="637"/>
      <c r="R1021" s="637"/>
      <c r="S1021" s="637"/>
      <c r="T1021" s="637"/>
      <c r="U1021" s="637"/>
      <c r="V1021" s="637"/>
      <c r="W1021" s="637"/>
      <c r="X1021" s="637"/>
      <c r="Y1021" s="637"/>
      <c r="Z1021" s="637"/>
      <c r="AA1021" s="637"/>
      <c r="AB1021" s="637"/>
      <c r="AC1021" s="637"/>
      <c r="AD1021" s="647"/>
      <c r="AE1021" s="606"/>
      <c r="AF1021" s="606"/>
      <c r="AG1021" s="606"/>
      <c r="AH1021" s="606"/>
    </row>
    <row r="1022" spans="1:34" s="612" customFormat="1" hidden="1" outlineLevel="3" x14ac:dyDescent="0.2">
      <c r="A1022" s="606"/>
      <c r="B1022" s="606"/>
      <c r="C1022" s="607"/>
      <c r="D1022" s="608"/>
      <c r="E1022" s="608"/>
      <c r="F1022" s="608"/>
      <c r="G1022" s="608"/>
      <c r="H1022" s="609"/>
      <c r="I1022" s="637"/>
      <c r="J1022" s="637"/>
      <c r="K1022" s="637"/>
      <c r="L1022" s="637"/>
      <c r="M1022" s="637"/>
      <c r="N1022" s="637"/>
      <c r="O1022" s="637"/>
      <c r="P1022" s="637"/>
      <c r="Q1022" s="637"/>
      <c r="R1022" s="637"/>
      <c r="S1022" s="637"/>
      <c r="T1022" s="637"/>
      <c r="U1022" s="637"/>
      <c r="V1022" s="637"/>
      <c r="W1022" s="637"/>
      <c r="X1022" s="637"/>
      <c r="Y1022" s="637"/>
      <c r="Z1022" s="637"/>
      <c r="AA1022" s="637"/>
      <c r="AB1022" s="637"/>
      <c r="AC1022" s="637"/>
      <c r="AD1022" s="647"/>
      <c r="AE1022" s="606"/>
      <c r="AF1022" s="606"/>
      <c r="AG1022" s="606"/>
      <c r="AH1022" s="606"/>
    </row>
    <row r="1023" spans="1:34" s="612" customFormat="1" hidden="1" outlineLevel="3" x14ac:dyDescent="0.2">
      <c r="A1023" s="606"/>
      <c r="B1023" s="606"/>
      <c r="C1023" s="607"/>
      <c r="D1023" s="608"/>
      <c r="E1023" s="608"/>
      <c r="F1023" s="608"/>
      <c r="G1023" s="608"/>
      <c r="H1023" s="609"/>
      <c r="I1023" s="637"/>
      <c r="J1023" s="637"/>
      <c r="K1023" s="637"/>
      <c r="L1023" s="637"/>
      <c r="M1023" s="637"/>
      <c r="N1023" s="637"/>
      <c r="O1023" s="637"/>
      <c r="P1023" s="637"/>
      <c r="Q1023" s="637"/>
      <c r="R1023" s="637"/>
      <c r="S1023" s="637"/>
      <c r="T1023" s="637"/>
      <c r="U1023" s="637"/>
      <c r="V1023" s="637"/>
      <c r="W1023" s="637"/>
      <c r="X1023" s="637"/>
      <c r="Y1023" s="637"/>
      <c r="Z1023" s="637"/>
      <c r="AA1023" s="637"/>
      <c r="AB1023" s="637"/>
      <c r="AC1023" s="637"/>
      <c r="AD1023" s="647"/>
      <c r="AE1023" s="606"/>
      <c r="AF1023" s="606"/>
      <c r="AG1023" s="606"/>
      <c r="AH1023" s="606"/>
    </row>
    <row r="1024" spans="1:34" s="612" customFormat="1" hidden="1" outlineLevel="3" x14ac:dyDescent="0.2">
      <c r="A1024" s="606"/>
      <c r="B1024" s="606"/>
      <c r="C1024" s="607"/>
      <c r="D1024" s="608"/>
      <c r="E1024" s="608"/>
      <c r="F1024" s="608"/>
      <c r="G1024" s="608"/>
      <c r="H1024" s="609"/>
      <c r="I1024" s="637"/>
      <c r="J1024" s="637"/>
      <c r="K1024" s="637"/>
      <c r="L1024" s="637"/>
      <c r="M1024" s="637"/>
      <c r="N1024" s="637"/>
      <c r="O1024" s="637"/>
      <c r="P1024" s="637"/>
      <c r="Q1024" s="637"/>
      <c r="R1024" s="637"/>
      <c r="S1024" s="637"/>
      <c r="T1024" s="637"/>
      <c r="U1024" s="637"/>
      <c r="V1024" s="637"/>
      <c r="W1024" s="637"/>
      <c r="X1024" s="637"/>
      <c r="Y1024" s="637"/>
      <c r="Z1024" s="637"/>
      <c r="AA1024" s="637"/>
      <c r="AB1024" s="637"/>
      <c r="AC1024" s="637"/>
      <c r="AD1024" s="647"/>
      <c r="AE1024" s="606"/>
      <c r="AF1024" s="606"/>
      <c r="AG1024" s="606"/>
      <c r="AH1024" s="606"/>
    </row>
    <row r="1025" spans="1:34" s="612" customFormat="1" hidden="1" outlineLevel="3" x14ac:dyDescent="0.2">
      <c r="A1025" s="606"/>
      <c r="B1025" s="606"/>
      <c r="C1025" s="607"/>
      <c r="D1025" s="608"/>
      <c r="E1025" s="608"/>
      <c r="F1025" s="608"/>
      <c r="G1025" s="608"/>
      <c r="H1025" s="609"/>
      <c r="I1025" s="637"/>
      <c r="J1025" s="637"/>
      <c r="K1025" s="637"/>
      <c r="L1025" s="637"/>
      <c r="M1025" s="637"/>
      <c r="N1025" s="637"/>
      <c r="O1025" s="637"/>
      <c r="P1025" s="637"/>
      <c r="Q1025" s="637"/>
      <c r="R1025" s="637"/>
      <c r="S1025" s="637"/>
      <c r="T1025" s="637"/>
      <c r="U1025" s="637"/>
      <c r="V1025" s="637"/>
      <c r="W1025" s="637"/>
      <c r="X1025" s="637"/>
      <c r="Y1025" s="637"/>
      <c r="Z1025" s="637"/>
      <c r="AA1025" s="637"/>
      <c r="AB1025" s="637"/>
      <c r="AC1025" s="637"/>
      <c r="AD1025" s="647"/>
      <c r="AE1025" s="606"/>
      <c r="AF1025" s="606"/>
      <c r="AG1025" s="606"/>
      <c r="AH1025" s="606"/>
    </row>
    <row r="1026" spans="1:34" s="612" customFormat="1" hidden="1" outlineLevel="3" x14ac:dyDescent="0.2">
      <c r="A1026" s="606"/>
      <c r="B1026" s="606"/>
      <c r="C1026" s="607"/>
      <c r="D1026" s="608"/>
      <c r="E1026" s="608"/>
      <c r="F1026" s="608"/>
      <c r="G1026" s="608"/>
      <c r="H1026" s="609"/>
      <c r="I1026" s="637"/>
      <c r="J1026" s="637"/>
      <c r="K1026" s="637"/>
      <c r="L1026" s="637"/>
      <c r="M1026" s="637"/>
      <c r="N1026" s="637"/>
      <c r="O1026" s="637"/>
      <c r="P1026" s="637"/>
      <c r="Q1026" s="637"/>
      <c r="R1026" s="637"/>
      <c r="S1026" s="637"/>
      <c r="T1026" s="637"/>
      <c r="U1026" s="637"/>
      <c r="V1026" s="637"/>
      <c r="W1026" s="637"/>
      <c r="X1026" s="637"/>
      <c r="Y1026" s="637"/>
      <c r="Z1026" s="637"/>
      <c r="AA1026" s="637"/>
      <c r="AB1026" s="637"/>
      <c r="AC1026" s="637"/>
      <c r="AD1026" s="647"/>
      <c r="AE1026" s="606"/>
      <c r="AF1026" s="606"/>
      <c r="AG1026" s="606"/>
      <c r="AH1026" s="606"/>
    </row>
    <row r="1027" spans="1:34" s="612" customFormat="1" hidden="1" outlineLevel="3" x14ac:dyDescent="0.2">
      <c r="A1027" s="606"/>
      <c r="B1027" s="606"/>
      <c r="C1027" s="607"/>
      <c r="D1027" s="608"/>
      <c r="E1027" s="608"/>
      <c r="F1027" s="608"/>
      <c r="G1027" s="608"/>
      <c r="H1027" s="609"/>
      <c r="I1027" s="637"/>
      <c r="J1027" s="637"/>
      <c r="K1027" s="637"/>
      <c r="L1027" s="637"/>
      <c r="M1027" s="637"/>
      <c r="N1027" s="637"/>
      <c r="O1027" s="637"/>
      <c r="P1027" s="637"/>
      <c r="Q1027" s="637"/>
      <c r="R1027" s="637"/>
      <c r="S1027" s="637"/>
      <c r="T1027" s="637"/>
      <c r="U1027" s="637"/>
      <c r="V1027" s="637"/>
      <c r="W1027" s="637"/>
      <c r="X1027" s="637"/>
      <c r="Y1027" s="637"/>
      <c r="Z1027" s="637"/>
      <c r="AA1027" s="637"/>
      <c r="AB1027" s="637"/>
      <c r="AC1027" s="637"/>
      <c r="AD1027" s="647"/>
      <c r="AE1027" s="606"/>
      <c r="AF1027" s="606"/>
      <c r="AG1027" s="606"/>
      <c r="AH1027" s="606"/>
    </row>
    <row r="1028" spans="1:34" s="612" customFormat="1" hidden="1" outlineLevel="3" x14ac:dyDescent="0.2">
      <c r="A1028" s="606"/>
      <c r="B1028" s="606"/>
      <c r="C1028" s="607"/>
      <c r="D1028" s="608"/>
      <c r="E1028" s="608"/>
      <c r="F1028" s="608"/>
      <c r="G1028" s="608"/>
      <c r="H1028" s="609"/>
      <c r="I1028" s="637"/>
      <c r="J1028" s="637"/>
      <c r="K1028" s="637"/>
      <c r="L1028" s="637"/>
      <c r="M1028" s="637"/>
      <c r="N1028" s="637"/>
      <c r="O1028" s="637"/>
      <c r="P1028" s="637"/>
      <c r="Q1028" s="637"/>
      <c r="R1028" s="637"/>
      <c r="S1028" s="637"/>
      <c r="T1028" s="637"/>
      <c r="U1028" s="637"/>
      <c r="V1028" s="637"/>
      <c r="W1028" s="637"/>
      <c r="X1028" s="637"/>
      <c r="Y1028" s="637"/>
      <c r="Z1028" s="637"/>
      <c r="AA1028" s="637"/>
      <c r="AB1028" s="637"/>
      <c r="AC1028" s="637"/>
      <c r="AD1028" s="647"/>
      <c r="AE1028" s="606"/>
      <c r="AF1028" s="606"/>
      <c r="AG1028" s="606"/>
      <c r="AH1028" s="606"/>
    </row>
    <row r="1029" spans="1:34" s="612" customFormat="1" hidden="1" outlineLevel="3" x14ac:dyDescent="0.2">
      <c r="A1029" s="606"/>
      <c r="B1029" s="606"/>
      <c r="C1029" s="607"/>
      <c r="D1029" s="608"/>
      <c r="E1029" s="608"/>
      <c r="F1029" s="608"/>
      <c r="G1029" s="608"/>
      <c r="H1029" s="609"/>
      <c r="I1029" s="637"/>
      <c r="J1029" s="637"/>
      <c r="K1029" s="637"/>
      <c r="L1029" s="637"/>
      <c r="M1029" s="637"/>
      <c r="N1029" s="637"/>
      <c r="O1029" s="637"/>
      <c r="P1029" s="637"/>
      <c r="Q1029" s="637"/>
      <c r="R1029" s="637"/>
      <c r="S1029" s="637"/>
      <c r="T1029" s="637"/>
      <c r="U1029" s="637"/>
      <c r="V1029" s="637"/>
      <c r="W1029" s="637"/>
      <c r="X1029" s="637"/>
      <c r="Y1029" s="637"/>
      <c r="Z1029" s="637"/>
      <c r="AA1029" s="637"/>
      <c r="AB1029" s="637"/>
      <c r="AC1029" s="637"/>
      <c r="AD1029" s="647"/>
      <c r="AE1029" s="606"/>
      <c r="AF1029" s="606"/>
      <c r="AG1029" s="606"/>
      <c r="AH1029" s="606"/>
    </row>
    <row r="1030" spans="1:34" s="612" customFormat="1" hidden="1" outlineLevel="3" x14ac:dyDescent="0.2">
      <c r="A1030" s="606"/>
      <c r="B1030" s="606"/>
      <c r="C1030" s="607"/>
      <c r="D1030" s="608"/>
      <c r="E1030" s="608"/>
      <c r="F1030" s="608"/>
      <c r="G1030" s="608"/>
      <c r="H1030" s="609"/>
      <c r="I1030" s="637"/>
      <c r="J1030" s="637"/>
      <c r="K1030" s="637"/>
      <c r="L1030" s="637"/>
      <c r="M1030" s="637"/>
      <c r="N1030" s="637"/>
      <c r="O1030" s="637"/>
      <c r="P1030" s="637"/>
      <c r="Q1030" s="637"/>
      <c r="R1030" s="637"/>
      <c r="S1030" s="637"/>
      <c r="T1030" s="637"/>
      <c r="U1030" s="637"/>
      <c r="V1030" s="637"/>
      <c r="W1030" s="637"/>
      <c r="X1030" s="637"/>
      <c r="Y1030" s="637"/>
      <c r="Z1030" s="637"/>
      <c r="AA1030" s="637"/>
      <c r="AB1030" s="637"/>
      <c r="AC1030" s="637"/>
      <c r="AD1030" s="647"/>
      <c r="AE1030" s="606"/>
      <c r="AF1030" s="606"/>
      <c r="AG1030" s="606"/>
      <c r="AH1030" s="606"/>
    </row>
    <row r="1031" spans="1:34" s="612" customFormat="1" hidden="1" outlineLevel="3" x14ac:dyDescent="0.2">
      <c r="A1031" s="606"/>
      <c r="B1031" s="606"/>
      <c r="C1031" s="607"/>
      <c r="D1031" s="608"/>
      <c r="E1031" s="608"/>
      <c r="F1031" s="608"/>
      <c r="G1031" s="608"/>
      <c r="H1031" s="609"/>
      <c r="I1031" s="637"/>
      <c r="J1031" s="637"/>
      <c r="K1031" s="637"/>
      <c r="L1031" s="637"/>
      <c r="M1031" s="637"/>
      <c r="N1031" s="637"/>
      <c r="O1031" s="637"/>
      <c r="P1031" s="637"/>
      <c r="Q1031" s="637"/>
      <c r="R1031" s="637"/>
      <c r="S1031" s="637"/>
      <c r="T1031" s="637"/>
      <c r="U1031" s="637"/>
      <c r="V1031" s="637"/>
      <c r="W1031" s="637"/>
      <c r="X1031" s="637"/>
      <c r="Y1031" s="637"/>
      <c r="Z1031" s="637"/>
      <c r="AA1031" s="637"/>
      <c r="AB1031" s="637"/>
      <c r="AC1031" s="637"/>
      <c r="AD1031" s="647"/>
      <c r="AE1031" s="606"/>
      <c r="AF1031" s="606"/>
      <c r="AG1031" s="606"/>
      <c r="AH1031" s="606"/>
    </row>
    <row r="1032" spans="1:34" s="612" customFormat="1" hidden="1" outlineLevel="3" x14ac:dyDescent="0.2">
      <c r="A1032" s="606"/>
      <c r="B1032" s="606"/>
      <c r="C1032" s="607"/>
      <c r="D1032" s="608"/>
      <c r="E1032" s="608"/>
      <c r="F1032" s="608"/>
      <c r="G1032" s="608"/>
      <c r="H1032" s="609"/>
      <c r="I1032" s="637"/>
      <c r="J1032" s="637"/>
      <c r="K1032" s="637"/>
      <c r="L1032" s="637"/>
      <c r="M1032" s="637"/>
      <c r="N1032" s="637"/>
      <c r="O1032" s="637"/>
      <c r="P1032" s="637"/>
      <c r="Q1032" s="637"/>
      <c r="R1032" s="637"/>
      <c r="S1032" s="637"/>
      <c r="T1032" s="637"/>
      <c r="U1032" s="637"/>
      <c r="V1032" s="637"/>
      <c r="W1032" s="637"/>
      <c r="X1032" s="637"/>
      <c r="Y1032" s="637"/>
      <c r="Z1032" s="637"/>
      <c r="AA1032" s="637"/>
      <c r="AB1032" s="637"/>
      <c r="AC1032" s="637"/>
      <c r="AD1032" s="647"/>
      <c r="AE1032" s="606"/>
      <c r="AF1032" s="606"/>
      <c r="AG1032" s="606"/>
      <c r="AH1032" s="606"/>
    </row>
    <row r="1033" spans="1:34" s="612" customFormat="1" hidden="1" outlineLevel="3" x14ac:dyDescent="0.2">
      <c r="A1033" s="606"/>
      <c r="B1033" s="606"/>
      <c r="C1033" s="607"/>
      <c r="D1033" s="608"/>
      <c r="E1033" s="608"/>
      <c r="F1033" s="608"/>
      <c r="G1033" s="608"/>
      <c r="H1033" s="609"/>
      <c r="I1033" s="637"/>
      <c r="J1033" s="637"/>
      <c r="K1033" s="637"/>
      <c r="L1033" s="637"/>
      <c r="M1033" s="637"/>
      <c r="N1033" s="637"/>
      <c r="O1033" s="637"/>
      <c r="P1033" s="637"/>
      <c r="Q1033" s="637"/>
      <c r="R1033" s="637"/>
      <c r="S1033" s="637"/>
      <c r="T1033" s="637"/>
      <c r="U1033" s="637"/>
      <c r="V1033" s="637"/>
      <c r="W1033" s="637"/>
      <c r="X1033" s="637"/>
      <c r="Y1033" s="637"/>
      <c r="Z1033" s="637"/>
      <c r="AA1033" s="637"/>
      <c r="AB1033" s="637"/>
      <c r="AC1033" s="637"/>
      <c r="AD1033" s="647"/>
      <c r="AE1033" s="606"/>
      <c r="AF1033" s="606"/>
      <c r="AG1033" s="606"/>
      <c r="AH1033" s="606"/>
    </row>
    <row r="1034" spans="1:34" s="612" customFormat="1" hidden="1" outlineLevel="3" x14ac:dyDescent="0.2">
      <c r="A1034" s="606"/>
      <c r="B1034" s="606"/>
      <c r="C1034" s="607"/>
      <c r="D1034" s="608"/>
      <c r="E1034" s="608"/>
      <c r="F1034" s="608"/>
      <c r="G1034" s="608"/>
      <c r="H1034" s="609"/>
      <c r="I1034" s="637"/>
      <c r="J1034" s="637"/>
      <c r="K1034" s="637"/>
      <c r="L1034" s="637"/>
      <c r="M1034" s="637"/>
      <c r="N1034" s="637"/>
      <c r="O1034" s="637"/>
      <c r="P1034" s="637"/>
      <c r="Q1034" s="637"/>
      <c r="R1034" s="637"/>
      <c r="S1034" s="637"/>
      <c r="T1034" s="637"/>
      <c r="U1034" s="637"/>
      <c r="V1034" s="637"/>
      <c r="W1034" s="637"/>
      <c r="X1034" s="637"/>
      <c r="Y1034" s="637"/>
      <c r="Z1034" s="637"/>
      <c r="AA1034" s="637"/>
      <c r="AB1034" s="637"/>
      <c r="AC1034" s="637"/>
      <c r="AD1034" s="647"/>
      <c r="AE1034" s="606"/>
      <c r="AF1034" s="606"/>
      <c r="AG1034" s="606"/>
      <c r="AH1034" s="606"/>
    </row>
    <row r="1035" spans="1:34" s="612" customFormat="1" hidden="1" outlineLevel="3" x14ac:dyDescent="0.2">
      <c r="A1035" s="606"/>
      <c r="B1035" s="606"/>
      <c r="C1035" s="607"/>
      <c r="D1035" s="608"/>
      <c r="E1035" s="608"/>
      <c r="F1035" s="608"/>
      <c r="G1035" s="608"/>
      <c r="H1035" s="609"/>
      <c r="I1035" s="637"/>
      <c r="J1035" s="637"/>
      <c r="K1035" s="637"/>
      <c r="L1035" s="637"/>
      <c r="M1035" s="637"/>
      <c r="N1035" s="637"/>
      <c r="O1035" s="637"/>
      <c r="P1035" s="637"/>
      <c r="Q1035" s="637"/>
      <c r="R1035" s="637"/>
      <c r="S1035" s="637"/>
      <c r="T1035" s="637"/>
      <c r="U1035" s="637"/>
      <c r="V1035" s="637"/>
      <c r="W1035" s="637"/>
      <c r="X1035" s="637"/>
      <c r="Y1035" s="637"/>
      <c r="Z1035" s="637"/>
      <c r="AA1035" s="637"/>
      <c r="AB1035" s="637"/>
      <c r="AC1035" s="637"/>
      <c r="AD1035" s="647"/>
      <c r="AE1035" s="606"/>
      <c r="AF1035" s="606"/>
      <c r="AG1035" s="606"/>
      <c r="AH1035" s="606"/>
    </row>
    <row r="1036" spans="1:34" s="612" customFormat="1" hidden="1" outlineLevel="3" x14ac:dyDescent="0.2">
      <c r="A1036" s="606"/>
      <c r="B1036" s="606"/>
      <c r="C1036" s="607"/>
      <c r="D1036" s="608"/>
      <c r="E1036" s="608"/>
      <c r="F1036" s="608"/>
      <c r="G1036" s="608"/>
      <c r="H1036" s="609"/>
      <c r="I1036" s="637"/>
      <c r="J1036" s="637"/>
      <c r="K1036" s="637"/>
      <c r="L1036" s="637"/>
      <c r="M1036" s="637"/>
      <c r="N1036" s="637"/>
      <c r="O1036" s="637"/>
      <c r="P1036" s="637"/>
      <c r="Q1036" s="637"/>
      <c r="R1036" s="637"/>
      <c r="S1036" s="637"/>
      <c r="T1036" s="637"/>
      <c r="U1036" s="637"/>
      <c r="V1036" s="637"/>
      <c r="W1036" s="637"/>
      <c r="X1036" s="637"/>
      <c r="Y1036" s="637"/>
      <c r="Z1036" s="637"/>
      <c r="AA1036" s="637"/>
      <c r="AB1036" s="637"/>
      <c r="AC1036" s="637"/>
      <c r="AD1036" s="647"/>
      <c r="AE1036" s="606"/>
      <c r="AF1036" s="606"/>
      <c r="AG1036" s="606"/>
      <c r="AH1036" s="606"/>
    </row>
    <row r="1037" spans="1:34" s="612" customFormat="1" hidden="1" outlineLevel="3" x14ac:dyDescent="0.2">
      <c r="A1037" s="606"/>
      <c r="B1037" s="606"/>
      <c r="C1037" s="607"/>
      <c r="D1037" s="608"/>
      <c r="E1037" s="608"/>
      <c r="F1037" s="608"/>
      <c r="G1037" s="608"/>
      <c r="H1037" s="609"/>
      <c r="I1037" s="637"/>
      <c r="J1037" s="637"/>
      <c r="K1037" s="637"/>
      <c r="L1037" s="637"/>
      <c r="M1037" s="637"/>
      <c r="N1037" s="637"/>
      <c r="O1037" s="637"/>
      <c r="P1037" s="637"/>
      <c r="Q1037" s="637"/>
      <c r="R1037" s="637"/>
      <c r="S1037" s="637"/>
      <c r="T1037" s="637"/>
      <c r="U1037" s="637"/>
      <c r="V1037" s="637"/>
      <c r="W1037" s="637"/>
      <c r="X1037" s="637"/>
      <c r="Y1037" s="637"/>
      <c r="Z1037" s="637"/>
      <c r="AA1037" s="637"/>
      <c r="AB1037" s="637"/>
      <c r="AC1037" s="637"/>
      <c r="AD1037" s="647"/>
      <c r="AE1037" s="606"/>
      <c r="AF1037" s="606"/>
      <c r="AG1037" s="606"/>
      <c r="AH1037" s="606"/>
    </row>
    <row r="1038" spans="1:34" s="612" customFormat="1" hidden="1" outlineLevel="3" x14ac:dyDescent="0.2">
      <c r="A1038" s="606"/>
      <c r="B1038" s="606"/>
      <c r="C1038" s="607"/>
      <c r="D1038" s="608"/>
      <c r="E1038" s="608"/>
      <c r="F1038" s="608"/>
      <c r="G1038" s="608"/>
      <c r="H1038" s="609"/>
      <c r="I1038" s="637"/>
      <c r="J1038" s="637"/>
      <c r="K1038" s="637"/>
      <c r="L1038" s="637"/>
      <c r="M1038" s="637"/>
      <c r="N1038" s="637"/>
      <c r="O1038" s="637"/>
      <c r="P1038" s="637"/>
      <c r="Q1038" s="637"/>
      <c r="R1038" s="637"/>
      <c r="S1038" s="637"/>
      <c r="T1038" s="637"/>
      <c r="U1038" s="637"/>
      <c r="V1038" s="637"/>
      <c r="W1038" s="637"/>
      <c r="X1038" s="637"/>
      <c r="Y1038" s="637"/>
      <c r="Z1038" s="637"/>
      <c r="AA1038" s="637"/>
      <c r="AB1038" s="637"/>
      <c r="AC1038" s="637"/>
      <c r="AD1038" s="647"/>
      <c r="AE1038" s="606"/>
      <c r="AF1038" s="606"/>
      <c r="AG1038" s="606"/>
      <c r="AH1038" s="606"/>
    </row>
    <row r="1039" spans="1:34" s="612" customFormat="1" hidden="1" outlineLevel="3" x14ac:dyDescent="0.2">
      <c r="A1039" s="606"/>
      <c r="B1039" s="606"/>
      <c r="C1039" s="607"/>
      <c r="D1039" s="608"/>
      <c r="E1039" s="608"/>
      <c r="F1039" s="608"/>
      <c r="G1039" s="608"/>
      <c r="H1039" s="609"/>
      <c r="I1039" s="637"/>
      <c r="J1039" s="637"/>
      <c r="K1039" s="637"/>
      <c r="L1039" s="637"/>
      <c r="M1039" s="637"/>
      <c r="N1039" s="637"/>
      <c r="O1039" s="637"/>
      <c r="P1039" s="637"/>
      <c r="Q1039" s="637"/>
      <c r="R1039" s="637"/>
      <c r="S1039" s="637"/>
      <c r="T1039" s="637"/>
      <c r="U1039" s="637"/>
      <c r="V1039" s="637"/>
      <c r="W1039" s="637"/>
      <c r="X1039" s="637"/>
      <c r="Y1039" s="637"/>
      <c r="Z1039" s="637"/>
      <c r="AA1039" s="637"/>
      <c r="AB1039" s="637"/>
      <c r="AC1039" s="637"/>
      <c r="AD1039" s="647"/>
      <c r="AE1039" s="606"/>
      <c r="AF1039" s="606"/>
      <c r="AG1039" s="606"/>
      <c r="AH1039" s="606"/>
    </row>
    <row r="1040" spans="1:34" s="612" customFormat="1" hidden="1" outlineLevel="3" x14ac:dyDescent="0.2">
      <c r="A1040" s="606"/>
      <c r="B1040" s="606"/>
      <c r="C1040" s="607"/>
      <c r="D1040" s="608"/>
      <c r="E1040" s="608"/>
      <c r="F1040" s="608"/>
      <c r="G1040" s="608"/>
      <c r="H1040" s="609"/>
      <c r="I1040" s="637"/>
      <c r="J1040" s="637"/>
      <c r="K1040" s="637"/>
      <c r="L1040" s="637"/>
      <c r="M1040" s="637"/>
      <c r="N1040" s="637"/>
      <c r="O1040" s="637"/>
      <c r="P1040" s="637"/>
      <c r="Q1040" s="637"/>
      <c r="R1040" s="637"/>
      <c r="S1040" s="637"/>
      <c r="T1040" s="637"/>
      <c r="U1040" s="637"/>
      <c r="V1040" s="637"/>
      <c r="W1040" s="637"/>
      <c r="X1040" s="637"/>
      <c r="Y1040" s="637"/>
      <c r="Z1040" s="637"/>
      <c r="AA1040" s="637"/>
      <c r="AB1040" s="637"/>
      <c r="AC1040" s="637"/>
      <c r="AD1040" s="647"/>
      <c r="AE1040" s="606"/>
      <c r="AF1040" s="606"/>
      <c r="AG1040" s="606"/>
      <c r="AH1040" s="606"/>
    </row>
    <row r="1041" spans="1:34" s="612" customFormat="1" hidden="1" outlineLevel="3" x14ac:dyDescent="0.2">
      <c r="A1041" s="606"/>
      <c r="B1041" s="606"/>
      <c r="C1041" s="607"/>
      <c r="D1041" s="608"/>
      <c r="E1041" s="608"/>
      <c r="F1041" s="608"/>
      <c r="G1041" s="608"/>
      <c r="H1041" s="609"/>
      <c r="I1041" s="637"/>
      <c r="J1041" s="637"/>
      <c r="K1041" s="637"/>
      <c r="L1041" s="637"/>
      <c r="M1041" s="637"/>
      <c r="N1041" s="637"/>
      <c r="O1041" s="637"/>
      <c r="P1041" s="637"/>
      <c r="Q1041" s="637"/>
      <c r="R1041" s="637"/>
      <c r="S1041" s="637"/>
      <c r="T1041" s="637"/>
      <c r="U1041" s="637"/>
      <c r="V1041" s="637"/>
      <c r="W1041" s="637"/>
      <c r="X1041" s="637"/>
      <c r="Y1041" s="637"/>
      <c r="Z1041" s="637"/>
      <c r="AA1041" s="637"/>
      <c r="AB1041" s="637"/>
      <c r="AC1041" s="637"/>
      <c r="AD1041" s="647"/>
      <c r="AE1041" s="606"/>
      <c r="AF1041" s="606"/>
      <c r="AG1041" s="606"/>
      <c r="AH1041" s="606"/>
    </row>
    <row r="1042" spans="1:34" s="612" customFormat="1" hidden="1" outlineLevel="3" x14ac:dyDescent="0.2">
      <c r="A1042" s="606"/>
      <c r="B1042" s="606"/>
      <c r="C1042" s="607"/>
      <c r="D1042" s="608"/>
      <c r="E1042" s="608"/>
      <c r="F1042" s="608"/>
      <c r="G1042" s="608"/>
      <c r="H1042" s="609"/>
      <c r="I1042" s="637"/>
      <c r="J1042" s="637"/>
      <c r="K1042" s="637"/>
      <c r="L1042" s="637"/>
      <c r="M1042" s="637"/>
      <c r="N1042" s="637"/>
      <c r="O1042" s="637"/>
      <c r="P1042" s="637"/>
      <c r="Q1042" s="637"/>
      <c r="R1042" s="637"/>
      <c r="S1042" s="637"/>
      <c r="T1042" s="637"/>
      <c r="U1042" s="637"/>
      <c r="V1042" s="637"/>
      <c r="W1042" s="637"/>
      <c r="X1042" s="637"/>
      <c r="Y1042" s="637"/>
      <c r="Z1042" s="637"/>
      <c r="AA1042" s="637"/>
      <c r="AB1042" s="637"/>
      <c r="AC1042" s="637"/>
      <c r="AD1042" s="647"/>
      <c r="AE1042" s="606"/>
      <c r="AF1042" s="606"/>
      <c r="AG1042" s="606"/>
      <c r="AH1042" s="606"/>
    </row>
    <row r="1043" spans="1:34" s="612" customFormat="1" hidden="1" outlineLevel="3" x14ac:dyDescent="0.2">
      <c r="A1043" s="606"/>
      <c r="B1043" s="606"/>
      <c r="C1043" s="607"/>
      <c r="D1043" s="608"/>
      <c r="E1043" s="608"/>
      <c r="F1043" s="608"/>
      <c r="G1043" s="608"/>
      <c r="H1043" s="609"/>
      <c r="I1043" s="637"/>
      <c r="J1043" s="637"/>
      <c r="K1043" s="637"/>
      <c r="L1043" s="637"/>
      <c r="M1043" s="637"/>
      <c r="N1043" s="637"/>
      <c r="O1043" s="637"/>
      <c r="P1043" s="637"/>
      <c r="Q1043" s="637"/>
      <c r="R1043" s="637"/>
      <c r="S1043" s="637"/>
      <c r="T1043" s="637"/>
      <c r="U1043" s="637"/>
      <c r="V1043" s="637"/>
      <c r="W1043" s="637"/>
      <c r="X1043" s="637"/>
      <c r="Y1043" s="637"/>
      <c r="Z1043" s="637"/>
      <c r="AA1043" s="637"/>
      <c r="AB1043" s="637"/>
      <c r="AC1043" s="637"/>
      <c r="AD1043" s="647"/>
      <c r="AE1043" s="606"/>
      <c r="AF1043" s="606"/>
      <c r="AG1043" s="606"/>
      <c r="AH1043" s="606"/>
    </row>
    <row r="1044" spans="1:34" s="612" customFormat="1" hidden="1" outlineLevel="3" x14ac:dyDescent="0.2">
      <c r="A1044" s="606"/>
      <c r="B1044" s="606"/>
      <c r="C1044" s="607"/>
      <c r="D1044" s="608"/>
      <c r="E1044" s="608"/>
      <c r="F1044" s="608"/>
      <c r="G1044" s="608"/>
      <c r="H1044" s="609"/>
      <c r="I1044" s="637"/>
      <c r="J1044" s="637"/>
      <c r="K1044" s="637"/>
      <c r="L1044" s="637"/>
      <c r="M1044" s="637"/>
      <c r="N1044" s="637"/>
      <c r="O1044" s="637"/>
      <c r="P1044" s="637"/>
      <c r="Q1044" s="637"/>
      <c r="R1044" s="637"/>
      <c r="S1044" s="637"/>
      <c r="T1044" s="637"/>
      <c r="U1044" s="637"/>
      <c r="V1044" s="637"/>
      <c r="W1044" s="637"/>
      <c r="X1044" s="637"/>
      <c r="Y1044" s="637"/>
      <c r="Z1044" s="637"/>
      <c r="AA1044" s="637"/>
      <c r="AB1044" s="637"/>
      <c r="AC1044" s="637"/>
      <c r="AD1044" s="647"/>
      <c r="AE1044" s="606"/>
      <c r="AF1044" s="606"/>
      <c r="AG1044" s="606"/>
      <c r="AH1044" s="606"/>
    </row>
    <row r="1045" spans="1:34" s="612" customFormat="1" hidden="1" outlineLevel="3" x14ac:dyDescent="0.2">
      <c r="A1045" s="606"/>
      <c r="B1045" s="606"/>
      <c r="C1045" s="607"/>
      <c r="D1045" s="608"/>
      <c r="E1045" s="608"/>
      <c r="F1045" s="608"/>
      <c r="G1045" s="608"/>
      <c r="H1045" s="609"/>
      <c r="I1045" s="637"/>
      <c r="J1045" s="637"/>
      <c r="K1045" s="637"/>
      <c r="L1045" s="637"/>
      <c r="M1045" s="637"/>
      <c r="N1045" s="637"/>
      <c r="O1045" s="637"/>
      <c r="P1045" s="637"/>
      <c r="Q1045" s="637"/>
      <c r="R1045" s="637"/>
      <c r="S1045" s="637"/>
      <c r="T1045" s="637"/>
      <c r="U1045" s="637"/>
      <c r="V1045" s="637"/>
      <c r="W1045" s="637"/>
      <c r="X1045" s="637"/>
      <c r="Y1045" s="637"/>
      <c r="Z1045" s="637"/>
      <c r="AA1045" s="637"/>
      <c r="AB1045" s="637"/>
      <c r="AC1045" s="637"/>
      <c r="AD1045" s="647"/>
      <c r="AE1045" s="606"/>
      <c r="AF1045" s="606"/>
      <c r="AG1045" s="606"/>
      <c r="AH1045" s="606"/>
    </row>
    <row r="1046" spans="1:34" s="612" customFormat="1" hidden="1" outlineLevel="3" x14ac:dyDescent="0.2">
      <c r="A1046" s="606"/>
      <c r="B1046" s="606"/>
      <c r="C1046" s="607"/>
      <c r="D1046" s="608"/>
      <c r="E1046" s="608"/>
      <c r="F1046" s="608"/>
      <c r="G1046" s="608"/>
      <c r="H1046" s="609"/>
      <c r="I1046" s="637"/>
      <c r="J1046" s="637"/>
      <c r="K1046" s="637"/>
      <c r="L1046" s="637"/>
      <c r="M1046" s="637"/>
      <c r="N1046" s="637"/>
      <c r="O1046" s="637"/>
      <c r="P1046" s="637"/>
      <c r="Q1046" s="637"/>
      <c r="R1046" s="637"/>
      <c r="S1046" s="637"/>
      <c r="T1046" s="637"/>
      <c r="U1046" s="637"/>
      <c r="V1046" s="637"/>
      <c r="W1046" s="637"/>
      <c r="X1046" s="637"/>
      <c r="Y1046" s="637"/>
      <c r="Z1046" s="637"/>
      <c r="AA1046" s="637"/>
      <c r="AB1046" s="637"/>
      <c r="AC1046" s="637"/>
      <c r="AD1046" s="647"/>
      <c r="AE1046" s="606"/>
      <c r="AF1046" s="606"/>
      <c r="AG1046" s="606"/>
      <c r="AH1046" s="606"/>
    </row>
    <row r="1047" spans="1:34" s="612" customFormat="1" hidden="1" outlineLevel="3" x14ac:dyDescent="0.2">
      <c r="A1047" s="606"/>
      <c r="B1047" s="606"/>
      <c r="C1047" s="607"/>
      <c r="D1047" s="608"/>
      <c r="E1047" s="608"/>
      <c r="F1047" s="608"/>
      <c r="G1047" s="608"/>
      <c r="H1047" s="609"/>
      <c r="I1047" s="637"/>
      <c r="J1047" s="637"/>
      <c r="K1047" s="637"/>
      <c r="L1047" s="637"/>
      <c r="M1047" s="637"/>
      <c r="N1047" s="637"/>
      <c r="O1047" s="637"/>
      <c r="P1047" s="637"/>
      <c r="Q1047" s="637"/>
      <c r="R1047" s="637"/>
      <c r="S1047" s="637"/>
      <c r="T1047" s="637"/>
      <c r="U1047" s="637"/>
      <c r="V1047" s="637"/>
      <c r="W1047" s="637"/>
      <c r="X1047" s="637"/>
      <c r="Y1047" s="637"/>
      <c r="Z1047" s="637"/>
      <c r="AA1047" s="637"/>
      <c r="AB1047" s="637"/>
      <c r="AC1047" s="637"/>
      <c r="AD1047" s="647"/>
      <c r="AE1047" s="606"/>
      <c r="AF1047" s="606"/>
      <c r="AG1047" s="606"/>
      <c r="AH1047" s="606"/>
    </row>
    <row r="1048" spans="1:34" s="612" customFormat="1" hidden="1" outlineLevel="3" x14ac:dyDescent="0.2">
      <c r="A1048" s="606"/>
      <c r="B1048" s="606"/>
      <c r="C1048" s="607"/>
      <c r="D1048" s="608"/>
      <c r="E1048" s="608"/>
      <c r="F1048" s="608"/>
      <c r="G1048" s="608"/>
      <c r="H1048" s="609"/>
      <c r="I1048" s="637"/>
      <c r="J1048" s="637"/>
      <c r="K1048" s="637"/>
      <c r="L1048" s="637"/>
      <c r="M1048" s="637"/>
      <c r="N1048" s="637"/>
      <c r="O1048" s="637"/>
      <c r="P1048" s="637"/>
      <c r="Q1048" s="637"/>
      <c r="R1048" s="637"/>
      <c r="S1048" s="637"/>
      <c r="T1048" s="637"/>
      <c r="U1048" s="637"/>
      <c r="V1048" s="637"/>
      <c r="W1048" s="637"/>
      <c r="X1048" s="637"/>
      <c r="Y1048" s="637"/>
      <c r="Z1048" s="637"/>
      <c r="AA1048" s="637"/>
      <c r="AB1048" s="637"/>
      <c r="AC1048" s="637"/>
      <c r="AD1048" s="647"/>
      <c r="AE1048" s="606"/>
      <c r="AF1048" s="606"/>
      <c r="AG1048" s="606"/>
      <c r="AH1048" s="606"/>
    </row>
    <row r="1049" spans="1:34" s="612" customFormat="1" hidden="1" outlineLevel="3" x14ac:dyDescent="0.2">
      <c r="A1049" s="606"/>
      <c r="B1049" s="606"/>
      <c r="C1049" s="607"/>
      <c r="D1049" s="608"/>
      <c r="E1049" s="608"/>
      <c r="F1049" s="608"/>
      <c r="G1049" s="608"/>
      <c r="H1049" s="609"/>
      <c r="I1049" s="637"/>
      <c r="J1049" s="637"/>
      <c r="K1049" s="637"/>
      <c r="L1049" s="637"/>
      <c r="M1049" s="637"/>
      <c r="N1049" s="637"/>
      <c r="O1049" s="637"/>
      <c r="P1049" s="637"/>
      <c r="Q1049" s="637"/>
      <c r="R1049" s="637"/>
      <c r="S1049" s="637"/>
      <c r="T1049" s="637"/>
      <c r="U1049" s="637"/>
      <c r="V1049" s="637"/>
      <c r="W1049" s="637"/>
      <c r="X1049" s="637"/>
      <c r="Y1049" s="637"/>
      <c r="Z1049" s="637"/>
      <c r="AA1049" s="637"/>
      <c r="AB1049" s="637"/>
      <c r="AC1049" s="637"/>
      <c r="AD1049" s="647"/>
      <c r="AE1049" s="606"/>
      <c r="AF1049" s="606"/>
      <c r="AG1049" s="606"/>
      <c r="AH1049" s="606"/>
    </row>
    <row r="1050" spans="1:34" s="612" customFormat="1" hidden="1" outlineLevel="3" x14ac:dyDescent="0.2">
      <c r="A1050" s="606"/>
      <c r="B1050" s="606"/>
      <c r="C1050" s="607"/>
      <c r="D1050" s="608"/>
      <c r="E1050" s="608"/>
      <c r="F1050" s="608"/>
      <c r="G1050" s="608"/>
      <c r="H1050" s="609"/>
      <c r="I1050" s="637"/>
      <c r="J1050" s="637"/>
      <c r="K1050" s="637"/>
      <c r="L1050" s="637"/>
      <c r="M1050" s="637"/>
      <c r="N1050" s="637"/>
      <c r="O1050" s="637"/>
      <c r="P1050" s="637"/>
      <c r="Q1050" s="637"/>
      <c r="R1050" s="637"/>
      <c r="S1050" s="637"/>
      <c r="T1050" s="637"/>
      <c r="U1050" s="637"/>
      <c r="V1050" s="637"/>
      <c r="W1050" s="637"/>
      <c r="X1050" s="637"/>
      <c r="Y1050" s="637"/>
      <c r="Z1050" s="637"/>
      <c r="AA1050" s="637"/>
      <c r="AB1050" s="637"/>
      <c r="AC1050" s="637"/>
      <c r="AD1050" s="647"/>
      <c r="AE1050" s="606"/>
      <c r="AF1050" s="606"/>
      <c r="AG1050" s="606"/>
      <c r="AH1050" s="606"/>
    </row>
    <row r="1051" spans="1:34" s="612" customFormat="1" hidden="1" outlineLevel="3" x14ac:dyDescent="0.2">
      <c r="A1051" s="606"/>
      <c r="B1051" s="606"/>
      <c r="C1051" s="607"/>
      <c r="D1051" s="608"/>
      <c r="E1051" s="608"/>
      <c r="F1051" s="608"/>
      <c r="G1051" s="608"/>
      <c r="H1051" s="609"/>
      <c r="I1051" s="637"/>
      <c r="J1051" s="637"/>
      <c r="K1051" s="637"/>
      <c r="L1051" s="637"/>
      <c r="M1051" s="637"/>
      <c r="N1051" s="637"/>
      <c r="O1051" s="637"/>
      <c r="P1051" s="637"/>
      <c r="Q1051" s="637"/>
      <c r="R1051" s="637"/>
      <c r="S1051" s="637"/>
      <c r="T1051" s="637"/>
      <c r="U1051" s="637"/>
      <c r="V1051" s="637"/>
      <c r="W1051" s="637"/>
      <c r="X1051" s="637"/>
      <c r="Y1051" s="637"/>
      <c r="Z1051" s="637"/>
      <c r="AA1051" s="637"/>
      <c r="AB1051" s="637"/>
      <c r="AC1051" s="637"/>
      <c r="AD1051" s="647"/>
      <c r="AE1051" s="606"/>
      <c r="AF1051" s="606"/>
      <c r="AG1051" s="606"/>
      <c r="AH1051" s="606"/>
    </row>
    <row r="1052" spans="1:34" s="612" customFormat="1" hidden="1" outlineLevel="3" x14ac:dyDescent="0.2">
      <c r="A1052" s="606"/>
      <c r="B1052" s="606"/>
      <c r="C1052" s="607"/>
      <c r="D1052" s="608"/>
      <c r="E1052" s="608"/>
      <c r="F1052" s="608"/>
      <c r="G1052" s="608"/>
      <c r="H1052" s="609"/>
      <c r="I1052" s="637"/>
      <c r="J1052" s="637"/>
      <c r="K1052" s="637"/>
      <c r="L1052" s="637"/>
      <c r="M1052" s="637"/>
      <c r="N1052" s="637"/>
      <c r="O1052" s="637"/>
      <c r="P1052" s="637"/>
      <c r="Q1052" s="637"/>
      <c r="R1052" s="637"/>
      <c r="S1052" s="637"/>
      <c r="T1052" s="637"/>
      <c r="U1052" s="637"/>
      <c r="V1052" s="637"/>
      <c r="W1052" s="637"/>
      <c r="X1052" s="637"/>
      <c r="Y1052" s="637"/>
      <c r="Z1052" s="637"/>
      <c r="AA1052" s="637"/>
      <c r="AB1052" s="637"/>
      <c r="AC1052" s="637"/>
      <c r="AD1052" s="647"/>
      <c r="AE1052" s="606"/>
      <c r="AF1052" s="606"/>
      <c r="AG1052" s="606"/>
      <c r="AH1052" s="606"/>
    </row>
    <row r="1053" spans="1:34" s="612" customFormat="1" hidden="1" outlineLevel="3" x14ac:dyDescent="0.2">
      <c r="A1053" s="606"/>
      <c r="B1053" s="606"/>
      <c r="C1053" s="607"/>
      <c r="D1053" s="608"/>
      <c r="E1053" s="608"/>
      <c r="F1053" s="608"/>
      <c r="G1053" s="608"/>
      <c r="H1053" s="609"/>
      <c r="I1053" s="637"/>
      <c r="J1053" s="637"/>
      <c r="K1053" s="637"/>
      <c r="L1053" s="637"/>
      <c r="M1053" s="637"/>
      <c r="N1053" s="637"/>
      <c r="O1053" s="637"/>
      <c r="P1053" s="637"/>
      <c r="Q1053" s="637"/>
      <c r="R1053" s="637"/>
      <c r="S1053" s="637"/>
      <c r="T1053" s="637"/>
      <c r="U1053" s="637"/>
      <c r="V1053" s="637"/>
      <c r="W1053" s="637"/>
      <c r="X1053" s="637"/>
      <c r="Y1053" s="637"/>
      <c r="Z1053" s="637"/>
      <c r="AA1053" s="637"/>
      <c r="AB1053" s="637"/>
      <c r="AC1053" s="637"/>
      <c r="AD1053" s="647"/>
      <c r="AE1053" s="606"/>
      <c r="AF1053" s="606"/>
      <c r="AG1053" s="606"/>
      <c r="AH1053" s="606"/>
    </row>
    <row r="1054" spans="1:34" s="612" customFormat="1" hidden="1" outlineLevel="3" x14ac:dyDescent="0.2">
      <c r="A1054" s="606"/>
      <c r="B1054" s="606"/>
      <c r="C1054" s="607"/>
      <c r="D1054" s="608"/>
      <c r="E1054" s="608"/>
      <c r="F1054" s="608"/>
      <c r="G1054" s="608"/>
      <c r="H1054" s="609"/>
      <c r="I1054" s="637"/>
      <c r="J1054" s="637"/>
      <c r="K1054" s="637"/>
      <c r="L1054" s="637"/>
      <c r="M1054" s="637"/>
      <c r="N1054" s="637"/>
      <c r="O1054" s="637"/>
      <c r="P1054" s="637"/>
      <c r="Q1054" s="637"/>
      <c r="R1054" s="637"/>
      <c r="S1054" s="637"/>
      <c r="T1054" s="637"/>
      <c r="U1054" s="637"/>
      <c r="V1054" s="637"/>
      <c r="W1054" s="637"/>
      <c r="X1054" s="637"/>
      <c r="Y1054" s="637"/>
      <c r="Z1054" s="637"/>
      <c r="AA1054" s="637"/>
      <c r="AB1054" s="637"/>
      <c r="AC1054" s="637"/>
      <c r="AD1054" s="647"/>
      <c r="AE1054" s="606"/>
      <c r="AF1054" s="606"/>
      <c r="AG1054" s="606"/>
      <c r="AH1054" s="606"/>
    </row>
    <row r="1055" spans="1:34" s="612" customFormat="1" hidden="1" outlineLevel="3" x14ac:dyDescent="0.2">
      <c r="A1055" s="606"/>
      <c r="B1055" s="606"/>
      <c r="C1055" s="607"/>
      <c r="D1055" s="608"/>
      <c r="E1055" s="608"/>
      <c r="F1055" s="608"/>
      <c r="G1055" s="608"/>
      <c r="H1055" s="609"/>
      <c r="I1055" s="637"/>
      <c r="J1055" s="637"/>
      <c r="K1055" s="637"/>
      <c r="L1055" s="637"/>
      <c r="M1055" s="637"/>
      <c r="N1055" s="637"/>
      <c r="O1055" s="637"/>
      <c r="P1055" s="637"/>
      <c r="Q1055" s="637"/>
      <c r="R1055" s="637"/>
      <c r="S1055" s="637"/>
      <c r="T1055" s="637"/>
      <c r="U1055" s="637"/>
      <c r="V1055" s="637"/>
      <c r="W1055" s="637"/>
      <c r="X1055" s="637"/>
      <c r="Y1055" s="637"/>
      <c r="Z1055" s="637"/>
      <c r="AA1055" s="637"/>
      <c r="AB1055" s="637"/>
      <c r="AC1055" s="637"/>
      <c r="AD1055" s="647"/>
      <c r="AE1055" s="606"/>
      <c r="AF1055" s="606"/>
      <c r="AG1055" s="606"/>
      <c r="AH1055" s="606"/>
    </row>
    <row r="1056" spans="1:34" s="612" customFormat="1" hidden="1" outlineLevel="3" x14ac:dyDescent="0.2">
      <c r="A1056" s="606"/>
      <c r="B1056" s="606"/>
      <c r="C1056" s="607"/>
      <c r="D1056" s="608"/>
      <c r="E1056" s="608"/>
      <c r="F1056" s="608"/>
      <c r="G1056" s="608"/>
      <c r="H1056" s="609"/>
      <c r="I1056" s="637"/>
      <c r="J1056" s="637"/>
      <c r="K1056" s="637"/>
      <c r="L1056" s="637"/>
      <c r="M1056" s="637"/>
      <c r="N1056" s="637"/>
      <c r="O1056" s="637"/>
      <c r="P1056" s="637"/>
      <c r="Q1056" s="637"/>
      <c r="R1056" s="637"/>
      <c r="S1056" s="637"/>
      <c r="T1056" s="637"/>
      <c r="U1056" s="637"/>
      <c r="V1056" s="637"/>
      <c r="W1056" s="637"/>
      <c r="X1056" s="637"/>
      <c r="Y1056" s="637"/>
      <c r="Z1056" s="637"/>
      <c r="AA1056" s="637"/>
      <c r="AB1056" s="637"/>
      <c r="AC1056" s="637"/>
      <c r="AD1056" s="647"/>
      <c r="AE1056" s="606"/>
      <c r="AF1056" s="606"/>
      <c r="AG1056" s="606"/>
      <c r="AH1056" s="606"/>
    </row>
    <row r="1057" spans="1:34" s="612" customFormat="1" hidden="1" outlineLevel="3" x14ac:dyDescent="0.2">
      <c r="A1057" s="606"/>
      <c r="B1057" s="606"/>
      <c r="C1057" s="607"/>
      <c r="D1057" s="608"/>
      <c r="E1057" s="608"/>
      <c r="F1057" s="608"/>
      <c r="G1057" s="608"/>
      <c r="H1057" s="609"/>
      <c r="I1057" s="637"/>
      <c r="J1057" s="637"/>
      <c r="K1057" s="637"/>
      <c r="L1057" s="637"/>
      <c r="M1057" s="637"/>
      <c r="N1057" s="637"/>
      <c r="O1057" s="637"/>
      <c r="P1057" s="637"/>
      <c r="Q1057" s="637"/>
      <c r="R1057" s="637"/>
      <c r="S1057" s="637"/>
      <c r="T1057" s="637"/>
      <c r="U1057" s="637"/>
      <c r="V1057" s="637"/>
      <c r="W1057" s="637"/>
      <c r="X1057" s="637"/>
      <c r="Y1057" s="637"/>
      <c r="Z1057" s="637"/>
      <c r="AA1057" s="637"/>
      <c r="AB1057" s="637"/>
      <c r="AC1057" s="637"/>
      <c r="AD1057" s="647"/>
      <c r="AE1057" s="606"/>
      <c r="AF1057" s="606"/>
      <c r="AG1057" s="606"/>
      <c r="AH1057" s="606"/>
    </row>
    <row r="1058" spans="1:34" s="612" customFormat="1" hidden="1" outlineLevel="3" x14ac:dyDescent="0.2">
      <c r="A1058" s="606"/>
      <c r="B1058" s="606"/>
      <c r="C1058" s="607"/>
      <c r="D1058" s="608"/>
      <c r="E1058" s="608"/>
      <c r="F1058" s="608"/>
      <c r="G1058" s="608"/>
      <c r="H1058" s="609"/>
      <c r="I1058" s="637"/>
      <c r="J1058" s="637"/>
      <c r="K1058" s="637"/>
      <c r="L1058" s="637"/>
      <c r="M1058" s="637"/>
      <c r="N1058" s="637"/>
      <c r="O1058" s="637"/>
      <c r="P1058" s="637"/>
      <c r="Q1058" s="637"/>
      <c r="R1058" s="637"/>
      <c r="S1058" s="637"/>
      <c r="T1058" s="637"/>
      <c r="U1058" s="637"/>
      <c r="V1058" s="637"/>
      <c r="W1058" s="637"/>
      <c r="X1058" s="637"/>
      <c r="Y1058" s="637"/>
      <c r="Z1058" s="637"/>
      <c r="AA1058" s="637"/>
      <c r="AB1058" s="637"/>
      <c r="AC1058" s="637"/>
      <c r="AD1058" s="647"/>
      <c r="AE1058" s="606"/>
      <c r="AF1058" s="606"/>
      <c r="AG1058" s="606"/>
      <c r="AH1058" s="606"/>
    </row>
    <row r="1059" spans="1:34" s="612" customFormat="1" hidden="1" outlineLevel="3" x14ac:dyDescent="0.2">
      <c r="A1059" s="606"/>
      <c r="B1059" s="606"/>
      <c r="C1059" s="607"/>
      <c r="D1059" s="608"/>
      <c r="E1059" s="608"/>
      <c r="F1059" s="608"/>
      <c r="G1059" s="608"/>
      <c r="H1059" s="609"/>
      <c r="I1059" s="637"/>
      <c r="J1059" s="637"/>
      <c r="K1059" s="637"/>
      <c r="L1059" s="637"/>
      <c r="M1059" s="637"/>
      <c r="N1059" s="637"/>
      <c r="O1059" s="637"/>
      <c r="P1059" s="637"/>
      <c r="Q1059" s="637"/>
      <c r="R1059" s="637"/>
      <c r="S1059" s="637"/>
      <c r="T1059" s="637"/>
      <c r="U1059" s="637"/>
      <c r="V1059" s="637"/>
      <c r="W1059" s="637"/>
      <c r="X1059" s="637"/>
      <c r="Y1059" s="637"/>
      <c r="Z1059" s="637"/>
      <c r="AA1059" s="637"/>
      <c r="AB1059" s="637"/>
      <c r="AC1059" s="637"/>
      <c r="AD1059" s="647"/>
      <c r="AE1059" s="606"/>
      <c r="AF1059" s="606"/>
      <c r="AG1059" s="606"/>
      <c r="AH1059" s="606"/>
    </row>
    <row r="1060" spans="1:34" s="612" customFormat="1" hidden="1" outlineLevel="3" x14ac:dyDescent="0.2">
      <c r="A1060" s="606"/>
      <c r="B1060" s="606"/>
      <c r="C1060" s="607"/>
      <c r="D1060" s="608"/>
      <c r="E1060" s="608"/>
      <c r="F1060" s="608"/>
      <c r="G1060" s="608"/>
      <c r="H1060" s="609"/>
      <c r="I1060" s="637"/>
      <c r="J1060" s="637"/>
      <c r="K1060" s="637"/>
      <c r="L1060" s="637"/>
      <c r="M1060" s="637"/>
      <c r="N1060" s="637"/>
      <c r="O1060" s="637"/>
      <c r="P1060" s="637"/>
      <c r="Q1060" s="637"/>
      <c r="R1060" s="637"/>
      <c r="S1060" s="637"/>
      <c r="T1060" s="637"/>
      <c r="U1060" s="637"/>
      <c r="V1060" s="637"/>
      <c r="W1060" s="637"/>
      <c r="X1060" s="637"/>
      <c r="Y1060" s="637"/>
      <c r="Z1060" s="637"/>
      <c r="AA1060" s="637"/>
      <c r="AB1060" s="637"/>
      <c r="AC1060" s="637"/>
      <c r="AD1060" s="647"/>
      <c r="AE1060" s="606"/>
      <c r="AF1060" s="606"/>
      <c r="AG1060" s="606"/>
      <c r="AH1060" s="606"/>
    </row>
    <row r="1061" spans="1:34" s="612" customFormat="1" hidden="1" outlineLevel="3" x14ac:dyDescent="0.2">
      <c r="A1061" s="606"/>
      <c r="B1061" s="606"/>
      <c r="C1061" s="607"/>
      <c r="D1061" s="608"/>
      <c r="E1061" s="608"/>
      <c r="F1061" s="608"/>
      <c r="G1061" s="608"/>
      <c r="H1061" s="609"/>
      <c r="I1061" s="637"/>
      <c r="J1061" s="637"/>
      <c r="K1061" s="637"/>
      <c r="L1061" s="637"/>
      <c r="M1061" s="637"/>
      <c r="N1061" s="637"/>
      <c r="O1061" s="637"/>
      <c r="P1061" s="637"/>
      <c r="Q1061" s="637"/>
      <c r="R1061" s="637"/>
      <c r="S1061" s="637"/>
      <c r="T1061" s="637"/>
      <c r="U1061" s="637"/>
      <c r="V1061" s="637"/>
      <c r="W1061" s="637"/>
      <c r="X1061" s="637"/>
      <c r="Y1061" s="637"/>
      <c r="Z1061" s="637"/>
      <c r="AA1061" s="637"/>
      <c r="AB1061" s="637"/>
      <c r="AC1061" s="637"/>
      <c r="AD1061" s="647"/>
      <c r="AE1061" s="606"/>
      <c r="AF1061" s="606"/>
      <c r="AG1061" s="606"/>
      <c r="AH1061" s="606"/>
    </row>
    <row r="1062" spans="1:34" s="612" customFormat="1" hidden="1" outlineLevel="3" x14ac:dyDescent="0.2">
      <c r="A1062" s="606"/>
      <c r="B1062" s="606"/>
      <c r="C1062" s="607"/>
      <c r="D1062" s="608"/>
      <c r="E1062" s="608"/>
      <c r="F1062" s="608"/>
      <c r="G1062" s="608"/>
      <c r="H1062" s="609"/>
      <c r="I1062" s="637"/>
      <c r="J1062" s="637"/>
      <c r="K1062" s="637"/>
      <c r="L1062" s="637"/>
      <c r="M1062" s="637"/>
      <c r="N1062" s="637"/>
      <c r="O1062" s="637"/>
      <c r="P1062" s="637"/>
      <c r="Q1062" s="637"/>
      <c r="R1062" s="637"/>
      <c r="S1062" s="637"/>
      <c r="T1062" s="637"/>
      <c r="U1062" s="637"/>
      <c r="V1062" s="637"/>
      <c r="W1062" s="637"/>
      <c r="X1062" s="637"/>
      <c r="Y1062" s="637"/>
      <c r="Z1062" s="637"/>
      <c r="AA1062" s="637"/>
      <c r="AB1062" s="637"/>
      <c r="AC1062" s="637"/>
      <c r="AD1062" s="647"/>
      <c r="AE1062" s="606"/>
      <c r="AF1062" s="606"/>
      <c r="AG1062" s="606"/>
      <c r="AH1062" s="606"/>
    </row>
    <row r="1063" spans="1:34" s="612" customFormat="1" hidden="1" outlineLevel="3" x14ac:dyDescent="0.2">
      <c r="A1063" s="606"/>
      <c r="B1063" s="606"/>
      <c r="C1063" s="607"/>
      <c r="D1063" s="608"/>
      <c r="E1063" s="608"/>
      <c r="F1063" s="608"/>
      <c r="G1063" s="608"/>
      <c r="H1063" s="609"/>
      <c r="I1063" s="637"/>
      <c r="J1063" s="637"/>
      <c r="K1063" s="637"/>
      <c r="L1063" s="637"/>
      <c r="M1063" s="637"/>
      <c r="N1063" s="637"/>
      <c r="O1063" s="637"/>
      <c r="P1063" s="637"/>
      <c r="Q1063" s="637"/>
      <c r="R1063" s="637"/>
      <c r="S1063" s="637"/>
      <c r="T1063" s="637"/>
      <c r="U1063" s="637"/>
      <c r="V1063" s="637"/>
      <c r="W1063" s="637"/>
      <c r="X1063" s="637"/>
      <c r="Y1063" s="637"/>
      <c r="Z1063" s="637"/>
      <c r="AA1063" s="637"/>
      <c r="AB1063" s="637"/>
      <c r="AC1063" s="637"/>
      <c r="AD1063" s="647"/>
      <c r="AE1063" s="606"/>
      <c r="AF1063" s="606"/>
      <c r="AG1063" s="606"/>
      <c r="AH1063" s="606"/>
    </row>
    <row r="1064" spans="1:34" s="612" customFormat="1" hidden="1" outlineLevel="3" x14ac:dyDescent="0.2">
      <c r="A1064" s="606"/>
      <c r="B1064" s="606"/>
      <c r="C1064" s="607"/>
      <c r="D1064" s="608"/>
      <c r="E1064" s="608"/>
      <c r="F1064" s="608"/>
      <c r="G1064" s="608"/>
      <c r="H1064" s="609"/>
      <c r="I1064" s="637"/>
      <c r="J1064" s="637"/>
      <c r="K1064" s="637"/>
      <c r="L1064" s="637"/>
      <c r="M1064" s="637"/>
      <c r="N1064" s="637"/>
      <c r="O1064" s="637"/>
      <c r="P1064" s="637"/>
      <c r="Q1064" s="637"/>
      <c r="R1064" s="637"/>
      <c r="S1064" s="637"/>
      <c r="T1064" s="637"/>
      <c r="U1064" s="637"/>
      <c r="V1064" s="637"/>
      <c r="W1064" s="637"/>
      <c r="X1064" s="637"/>
      <c r="Y1064" s="637"/>
      <c r="Z1064" s="637"/>
      <c r="AA1064" s="637"/>
      <c r="AB1064" s="637"/>
      <c r="AC1064" s="637"/>
      <c r="AD1064" s="647"/>
      <c r="AE1064" s="606"/>
      <c r="AF1064" s="606"/>
      <c r="AG1064" s="606"/>
      <c r="AH1064" s="606"/>
    </row>
    <row r="1065" spans="1:34" s="612" customFormat="1" hidden="1" outlineLevel="3" x14ac:dyDescent="0.2">
      <c r="A1065" s="606"/>
      <c r="B1065" s="606"/>
      <c r="C1065" s="607"/>
      <c r="D1065" s="608"/>
      <c r="E1065" s="608"/>
      <c r="F1065" s="608"/>
      <c r="G1065" s="608"/>
      <c r="H1065" s="609"/>
      <c r="I1065" s="637"/>
      <c r="J1065" s="637"/>
      <c r="K1065" s="637"/>
      <c r="L1065" s="637"/>
      <c r="M1065" s="637"/>
      <c r="N1065" s="637"/>
      <c r="O1065" s="637"/>
      <c r="P1065" s="637"/>
      <c r="Q1065" s="637"/>
      <c r="R1065" s="637"/>
      <c r="S1065" s="637"/>
      <c r="T1065" s="637"/>
      <c r="U1065" s="637"/>
      <c r="V1065" s="637"/>
      <c r="W1065" s="637"/>
      <c r="X1065" s="637"/>
      <c r="Y1065" s="637"/>
      <c r="Z1065" s="637"/>
      <c r="AA1065" s="637"/>
      <c r="AB1065" s="637"/>
      <c r="AC1065" s="637"/>
      <c r="AD1065" s="647"/>
      <c r="AE1065" s="606"/>
      <c r="AF1065" s="606"/>
      <c r="AG1065" s="606"/>
      <c r="AH1065" s="606"/>
    </row>
    <row r="1066" spans="1:34" s="612" customFormat="1" hidden="1" outlineLevel="3" x14ac:dyDescent="0.2">
      <c r="A1066" s="606"/>
      <c r="B1066" s="606"/>
      <c r="C1066" s="607"/>
      <c r="D1066" s="608"/>
      <c r="E1066" s="608"/>
      <c r="F1066" s="608"/>
      <c r="G1066" s="608"/>
      <c r="H1066" s="609"/>
      <c r="I1066" s="637"/>
      <c r="J1066" s="637"/>
      <c r="K1066" s="637"/>
      <c r="L1066" s="637"/>
      <c r="M1066" s="637"/>
      <c r="N1066" s="637"/>
      <c r="O1066" s="637"/>
      <c r="P1066" s="637"/>
      <c r="Q1066" s="637"/>
      <c r="R1066" s="637"/>
      <c r="S1066" s="637"/>
      <c r="T1066" s="637"/>
      <c r="U1066" s="637"/>
      <c r="V1066" s="637"/>
      <c r="W1066" s="637"/>
      <c r="X1066" s="637"/>
      <c r="Y1066" s="637"/>
      <c r="Z1066" s="637"/>
      <c r="AA1066" s="637"/>
      <c r="AB1066" s="637"/>
      <c r="AC1066" s="637"/>
      <c r="AD1066" s="647"/>
      <c r="AE1066" s="606"/>
      <c r="AF1066" s="606"/>
      <c r="AG1066" s="606"/>
      <c r="AH1066" s="606"/>
    </row>
    <row r="1067" spans="1:34" s="612" customFormat="1" hidden="1" outlineLevel="3" x14ac:dyDescent="0.2">
      <c r="A1067" s="606"/>
      <c r="B1067" s="606"/>
      <c r="C1067" s="607"/>
      <c r="D1067" s="608"/>
      <c r="E1067" s="608"/>
      <c r="F1067" s="608"/>
      <c r="G1067" s="608"/>
      <c r="H1067" s="609"/>
      <c r="I1067" s="637"/>
      <c r="J1067" s="637"/>
      <c r="K1067" s="637"/>
      <c r="L1067" s="637"/>
      <c r="M1067" s="637"/>
      <c r="N1067" s="637"/>
      <c r="O1067" s="637"/>
      <c r="P1067" s="637"/>
      <c r="Q1067" s="637"/>
      <c r="R1067" s="637"/>
      <c r="S1067" s="637"/>
      <c r="T1067" s="637"/>
      <c r="U1067" s="637"/>
      <c r="V1067" s="637"/>
      <c r="W1067" s="637"/>
      <c r="X1067" s="637"/>
      <c r="Y1067" s="637"/>
      <c r="Z1067" s="637"/>
      <c r="AA1067" s="637"/>
      <c r="AB1067" s="637"/>
      <c r="AC1067" s="637"/>
      <c r="AD1067" s="647"/>
      <c r="AE1067" s="606"/>
      <c r="AF1067" s="606"/>
      <c r="AG1067" s="606"/>
      <c r="AH1067" s="606"/>
    </row>
    <row r="1068" spans="1:34" s="612" customFormat="1" hidden="1" outlineLevel="3" x14ac:dyDescent="0.2">
      <c r="A1068" s="606"/>
      <c r="B1068" s="606"/>
      <c r="C1068" s="607"/>
      <c r="D1068" s="608"/>
      <c r="E1068" s="608"/>
      <c r="F1068" s="608"/>
      <c r="G1068" s="608"/>
      <c r="H1068" s="609"/>
      <c r="I1068" s="637"/>
      <c r="J1068" s="637"/>
      <c r="K1068" s="637"/>
      <c r="L1068" s="637"/>
      <c r="M1068" s="637"/>
      <c r="N1068" s="637"/>
      <c r="O1068" s="637"/>
      <c r="P1068" s="637"/>
      <c r="Q1068" s="637"/>
      <c r="R1068" s="637"/>
      <c r="S1068" s="637"/>
      <c r="T1068" s="637"/>
      <c r="U1068" s="637"/>
      <c r="V1068" s="637"/>
      <c r="W1068" s="637"/>
      <c r="X1068" s="637"/>
      <c r="Y1068" s="637"/>
      <c r="Z1068" s="637"/>
      <c r="AA1068" s="637"/>
      <c r="AB1068" s="637"/>
      <c r="AC1068" s="637"/>
      <c r="AD1068" s="647"/>
      <c r="AE1068" s="606"/>
      <c r="AF1068" s="606"/>
      <c r="AG1068" s="606"/>
      <c r="AH1068" s="606"/>
    </row>
    <row r="1069" spans="1:34" s="612" customFormat="1" hidden="1" outlineLevel="3" x14ac:dyDescent="0.2">
      <c r="A1069" s="606"/>
      <c r="B1069" s="606"/>
      <c r="C1069" s="607"/>
      <c r="D1069" s="608"/>
      <c r="E1069" s="608"/>
      <c r="F1069" s="608"/>
      <c r="G1069" s="608"/>
      <c r="H1069" s="609"/>
      <c r="I1069" s="637"/>
      <c r="J1069" s="637"/>
      <c r="K1069" s="637"/>
      <c r="L1069" s="637"/>
      <c r="M1069" s="637"/>
      <c r="N1069" s="637"/>
      <c r="O1069" s="637"/>
      <c r="P1069" s="637"/>
      <c r="Q1069" s="637"/>
      <c r="R1069" s="637"/>
      <c r="S1069" s="637"/>
      <c r="T1069" s="637"/>
      <c r="U1069" s="637"/>
      <c r="V1069" s="637"/>
      <c r="W1069" s="637"/>
      <c r="X1069" s="637"/>
      <c r="Y1069" s="637"/>
      <c r="Z1069" s="637"/>
      <c r="AA1069" s="637"/>
      <c r="AB1069" s="637"/>
      <c r="AC1069" s="637"/>
      <c r="AD1069" s="647"/>
      <c r="AE1069" s="606"/>
      <c r="AF1069" s="606"/>
      <c r="AG1069" s="606"/>
      <c r="AH1069" s="606"/>
    </row>
    <row r="1070" spans="1:34" s="612" customFormat="1" hidden="1" outlineLevel="3" x14ac:dyDescent="0.2">
      <c r="A1070" s="606"/>
      <c r="B1070" s="606"/>
      <c r="C1070" s="607"/>
      <c r="D1070" s="608"/>
      <c r="E1070" s="608"/>
      <c r="F1070" s="608"/>
      <c r="G1070" s="608"/>
      <c r="H1070" s="609"/>
      <c r="I1070" s="637"/>
      <c r="J1070" s="637"/>
      <c r="K1070" s="637"/>
      <c r="L1070" s="637"/>
      <c r="M1070" s="637"/>
      <c r="N1070" s="637"/>
      <c r="O1070" s="637"/>
      <c r="P1070" s="637"/>
      <c r="Q1070" s="637"/>
      <c r="R1070" s="637"/>
      <c r="S1070" s="637"/>
      <c r="T1070" s="637"/>
      <c r="U1070" s="637"/>
      <c r="V1070" s="637"/>
      <c r="W1070" s="637"/>
      <c r="X1070" s="637"/>
      <c r="Y1070" s="637"/>
      <c r="Z1070" s="637"/>
      <c r="AA1070" s="637"/>
      <c r="AB1070" s="637"/>
      <c r="AC1070" s="637"/>
      <c r="AD1070" s="647"/>
      <c r="AE1070" s="606"/>
      <c r="AF1070" s="606"/>
      <c r="AG1070" s="606"/>
      <c r="AH1070" s="606"/>
    </row>
    <row r="1071" spans="1:34" s="612" customFormat="1" hidden="1" outlineLevel="3" x14ac:dyDescent="0.2">
      <c r="A1071" s="606"/>
      <c r="B1071" s="606"/>
      <c r="C1071" s="607"/>
      <c r="D1071" s="608"/>
      <c r="E1071" s="608"/>
      <c r="F1071" s="608"/>
      <c r="G1071" s="608"/>
      <c r="H1071" s="609"/>
      <c r="I1071" s="637"/>
      <c r="J1071" s="637"/>
      <c r="K1071" s="637"/>
      <c r="L1071" s="637"/>
      <c r="M1071" s="637"/>
      <c r="N1071" s="637"/>
      <c r="O1071" s="637"/>
      <c r="P1071" s="637"/>
      <c r="Q1071" s="637"/>
      <c r="R1071" s="637"/>
      <c r="S1071" s="637"/>
      <c r="T1071" s="637"/>
      <c r="U1071" s="637"/>
      <c r="V1071" s="637"/>
      <c r="W1071" s="637"/>
      <c r="X1071" s="637"/>
      <c r="Y1071" s="637"/>
      <c r="Z1071" s="637"/>
      <c r="AA1071" s="637"/>
      <c r="AB1071" s="637"/>
      <c r="AC1071" s="637"/>
      <c r="AD1071" s="647"/>
      <c r="AE1071" s="606"/>
      <c r="AF1071" s="606"/>
      <c r="AG1071" s="606"/>
      <c r="AH1071" s="606"/>
    </row>
    <row r="1072" spans="1:34" s="612" customFormat="1" hidden="1" outlineLevel="3" x14ac:dyDescent="0.2">
      <c r="A1072" s="606"/>
      <c r="B1072" s="606"/>
      <c r="C1072" s="607"/>
      <c r="D1072" s="608"/>
      <c r="E1072" s="608"/>
      <c r="F1072" s="608"/>
      <c r="G1072" s="608"/>
      <c r="H1072" s="609"/>
      <c r="I1072" s="637"/>
      <c r="J1072" s="637"/>
      <c r="K1072" s="637"/>
      <c r="L1072" s="637"/>
      <c r="M1072" s="637"/>
      <c r="N1072" s="637"/>
      <c r="O1072" s="637"/>
      <c r="P1072" s="637"/>
      <c r="Q1072" s="637"/>
      <c r="R1072" s="637"/>
      <c r="S1072" s="637"/>
      <c r="T1072" s="637"/>
      <c r="U1072" s="637"/>
      <c r="V1072" s="637"/>
      <c r="W1072" s="637"/>
      <c r="X1072" s="637"/>
      <c r="Y1072" s="637"/>
      <c r="Z1072" s="637"/>
      <c r="AA1072" s="637"/>
      <c r="AB1072" s="637"/>
      <c r="AC1072" s="637"/>
      <c r="AD1072" s="647"/>
      <c r="AE1072" s="606"/>
      <c r="AF1072" s="606"/>
      <c r="AG1072" s="606"/>
      <c r="AH1072" s="606"/>
    </row>
    <row r="1073" spans="1:34" s="612" customFormat="1" hidden="1" outlineLevel="3" x14ac:dyDescent="0.2">
      <c r="A1073" s="606"/>
      <c r="B1073" s="606"/>
      <c r="C1073" s="607"/>
      <c r="D1073" s="608"/>
      <c r="E1073" s="608"/>
      <c r="F1073" s="608"/>
      <c r="G1073" s="608"/>
      <c r="H1073" s="609"/>
      <c r="I1073" s="637"/>
      <c r="J1073" s="637"/>
      <c r="K1073" s="637"/>
      <c r="L1073" s="637"/>
      <c r="M1073" s="637"/>
      <c r="N1073" s="637"/>
      <c r="O1073" s="637"/>
      <c r="P1073" s="637"/>
      <c r="Q1073" s="637"/>
      <c r="R1073" s="637"/>
      <c r="S1073" s="637"/>
      <c r="T1073" s="637"/>
      <c r="U1073" s="637"/>
      <c r="V1073" s="637"/>
      <c r="W1073" s="637"/>
      <c r="X1073" s="637"/>
      <c r="Y1073" s="637"/>
      <c r="Z1073" s="637"/>
      <c r="AA1073" s="637"/>
      <c r="AB1073" s="637"/>
      <c r="AC1073" s="637"/>
      <c r="AD1073" s="647"/>
      <c r="AE1073" s="606"/>
      <c r="AF1073" s="606"/>
      <c r="AG1073" s="606"/>
      <c r="AH1073" s="606"/>
    </row>
    <row r="1074" spans="1:34" s="612" customFormat="1" hidden="1" outlineLevel="3" x14ac:dyDescent="0.2">
      <c r="A1074" s="606"/>
      <c r="B1074" s="606"/>
      <c r="C1074" s="607"/>
      <c r="D1074" s="608"/>
      <c r="E1074" s="608"/>
      <c r="F1074" s="608"/>
      <c r="G1074" s="608"/>
      <c r="H1074" s="609"/>
      <c r="I1074" s="637"/>
      <c r="J1074" s="637"/>
      <c r="K1074" s="637"/>
      <c r="L1074" s="637"/>
      <c r="M1074" s="637"/>
      <c r="N1074" s="637"/>
      <c r="O1074" s="637"/>
      <c r="P1074" s="637"/>
      <c r="Q1074" s="637"/>
      <c r="R1074" s="637"/>
      <c r="S1074" s="637"/>
      <c r="T1074" s="637"/>
      <c r="U1074" s="637"/>
      <c r="V1074" s="637"/>
      <c r="W1074" s="637"/>
      <c r="X1074" s="637"/>
      <c r="Y1074" s="637"/>
      <c r="Z1074" s="637"/>
      <c r="AA1074" s="637"/>
      <c r="AB1074" s="637"/>
      <c r="AC1074" s="637"/>
      <c r="AD1074" s="647"/>
      <c r="AE1074" s="606"/>
      <c r="AF1074" s="606"/>
      <c r="AG1074" s="606"/>
      <c r="AH1074" s="606"/>
    </row>
    <row r="1075" spans="1:34" s="612" customFormat="1" hidden="1" outlineLevel="3" x14ac:dyDescent="0.2">
      <c r="A1075" s="606"/>
      <c r="B1075" s="606"/>
      <c r="C1075" s="607"/>
      <c r="D1075" s="608"/>
      <c r="E1075" s="608"/>
      <c r="F1075" s="608"/>
      <c r="G1075" s="608"/>
      <c r="H1075" s="609"/>
      <c r="I1075" s="637"/>
      <c r="J1075" s="637"/>
      <c r="K1075" s="637"/>
      <c r="L1075" s="637"/>
      <c r="M1075" s="637"/>
      <c r="N1075" s="637"/>
      <c r="O1075" s="637"/>
      <c r="P1075" s="637"/>
      <c r="Q1075" s="637"/>
      <c r="R1075" s="637"/>
      <c r="S1075" s="637"/>
      <c r="T1075" s="637"/>
      <c r="U1075" s="637"/>
      <c r="V1075" s="637"/>
      <c r="W1075" s="637"/>
      <c r="X1075" s="637"/>
      <c r="Y1075" s="637"/>
      <c r="Z1075" s="637"/>
      <c r="AA1075" s="637"/>
      <c r="AB1075" s="637"/>
      <c r="AC1075" s="637"/>
      <c r="AD1075" s="647"/>
      <c r="AE1075" s="606"/>
      <c r="AF1075" s="606"/>
      <c r="AG1075" s="606"/>
      <c r="AH1075" s="606"/>
    </row>
    <row r="1076" spans="1:34" s="612" customFormat="1" hidden="1" outlineLevel="3" x14ac:dyDescent="0.2">
      <c r="A1076" s="606"/>
      <c r="B1076" s="606"/>
      <c r="C1076" s="607"/>
      <c r="D1076" s="608"/>
      <c r="E1076" s="608"/>
      <c r="F1076" s="608"/>
      <c r="G1076" s="608"/>
      <c r="H1076" s="609"/>
      <c r="I1076" s="637"/>
      <c r="J1076" s="637"/>
      <c r="K1076" s="637"/>
      <c r="L1076" s="637"/>
      <c r="M1076" s="637"/>
      <c r="N1076" s="637"/>
      <c r="O1076" s="637"/>
      <c r="P1076" s="637"/>
      <c r="Q1076" s="637"/>
      <c r="R1076" s="637"/>
      <c r="S1076" s="637"/>
      <c r="T1076" s="637"/>
      <c r="U1076" s="637"/>
      <c r="V1076" s="637"/>
      <c r="W1076" s="637"/>
      <c r="X1076" s="637"/>
      <c r="Y1076" s="637"/>
      <c r="Z1076" s="637"/>
      <c r="AA1076" s="637"/>
      <c r="AB1076" s="637"/>
      <c r="AC1076" s="637"/>
      <c r="AD1076" s="647"/>
      <c r="AE1076" s="606"/>
      <c r="AF1076" s="606"/>
      <c r="AG1076" s="606"/>
      <c r="AH1076" s="606"/>
    </row>
    <row r="1077" spans="1:34" s="612" customFormat="1" hidden="1" outlineLevel="3" x14ac:dyDescent="0.2">
      <c r="A1077" s="606"/>
      <c r="B1077" s="606"/>
      <c r="C1077" s="607"/>
      <c r="D1077" s="608"/>
      <c r="E1077" s="608"/>
      <c r="F1077" s="608"/>
      <c r="G1077" s="608"/>
      <c r="H1077" s="609"/>
      <c r="I1077" s="637"/>
      <c r="J1077" s="637"/>
      <c r="K1077" s="637"/>
      <c r="L1077" s="637"/>
      <c r="M1077" s="637"/>
      <c r="N1077" s="637"/>
      <c r="O1077" s="637"/>
      <c r="P1077" s="637"/>
      <c r="Q1077" s="637"/>
      <c r="R1077" s="637"/>
      <c r="S1077" s="637"/>
      <c r="T1077" s="637"/>
      <c r="U1077" s="637"/>
      <c r="V1077" s="637"/>
      <c r="W1077" s="637"/>
      <c r="X1077" s="637"/>
      <c r="Y1077" s="637"/>
      <c r="Z1077" s="637"/>
      <c r="AA1077" s="637"/>
      <c r="AB1077" s="637"/>
      <c r="AC1077" s="637"/>
      <c r="AD1077" s="647"/>
      <c r="AE1077" s="606"/>
      <c r="AF1077" s="606"/>
      <c r="AG1077" s="606"/>
      <c r="AH1077" s="606"/>
    </row>
    <row r="1078" spans="1:34" s="612" customFormat="1" hidden="1" outlineLevel="3" x14ac:dyDescent="0.2">
      <c r="A1078" s="606"/>
      <c r="B1078" s="606"/>
      <c r="C1078" s="607"/>
      <c r="D1078" s="608"/>
      <c r="E1078" s="608"/>
      <c r="F1078" s="608"/>
      <c r="G1078" s="608"/>
      <c r="H1078" s="609"/>
      <c r="I1078" s="637"/>
      <c r="J1078" s="637"/>
      <c r="K1078" s="637"/>
      <c r="L1078" s="637"/>
      <c r="M1078" s="637"/>
      <c r="N1078" s="637"/>
      <c r="O1078" s="637"/>
      <c r="P1078" s="637"/>
      <c r="Q1078" s="637"/>
      <c r="R1078" s="637"/>
      <c r="S1078" s="637"/>
      <c r="T1078" s="637"/>
      <c r="U1078" s="637"/>
      <c r="V1078" s="637"/>
      <c r="W1078" s="637"/>
      <c r="X1078" s="637"/>
      <c r="Y1078" s="637"/>
      <c r="Z1078" s="637"/>
      <c r="AA1078" s="637"/>
      <c r="AB1078" s="637"/>
      <c r="AC1078" s="637"/>
      <c r="AD1078" s="647"/>
      <c r="AE1078" s="606"/>
      <c r="AF1078" s="606"/>
      <c r="AG1078" s="606"/>
      <c r="AH1078" s="606"/>
    </row>
    <row r="1079" spans="1:34" s="612" customFormat="1" outlineLevel="2" collapsed="1" x14ac:dyDescent="0.2">
      <c r="A1079" s="606"/>
      <c r="B1079" s="606"/>
      <c r="C1079" s="638"/>
      <c r="D1079" s="608"/>
      <c r="E1079" s="608"/>
      <c r="F1079" s="608"/>
      <c r="G1079" s="608"/>
      <c r="H1079" s="609"/>
      <c r="I1079" s="639"/>
      <c r="J1079" s="639"/>
      <c r="K1079" s="639"/>
      <c r="L1079" s="639"/>
      <c r="M1079" s="639"/>
      <c r="N1079" s="639"/>
      <c r="O1079" s="639"/>
      <c r="P1079" s="639"/>
      <c r="Q1079" s="639"/>
      <c r="R1079" s="639"/>
      <c r="S1079" s="639"/>
      <c r="T1079" s="639"/>
      <c r="U1079" s="639"/>
      <c r="V1079" s="639"/>
      <c r="W1079" s="639"/>
      <c r="X1079" s="639"/>
      <c r="Y1079" s="639"/>
      <c r="Z1079" s="639"/>
      <c r="AA1079" s="639"/>
      <c r="AB1079" s="639"/>
      <c r="AC1079" s="639"/>
      <c r="AD1079" s="606"/>
      <c r="AE1079" s="606"/>
      <c r="AF1079" s="606"/>
      <c r="AG1079" s="606"/>
    </row>
    <row r="1080" spans="1:34" s="612" customFormat="1" outlineLevel="1" x14ac:dyDescent="0.2">
      <c r="A1080" s="606"/>
      <c r="B1080" s="606"/>
      <c r="C1080" s="613"/>
      <c r="D1080" s="609"/>
      <c r="E1080" s="609"/>
      <c r="F1080" s="609"/>
      <c r="G1080" s="609"/>
      <c r="H1080" s="609"/>
      <c r="I1080" s="648"/>
      <c r="J1080" s="648"/>
      <c r="K1080" s="647"/>
      <c r="L1080" s="647"/>
      <c r="M1080" s="647"/>
      <c r="N1080" s="649"/>
      <c r="O1080" s="649"/>
      <c r="P1080" s="649"/>
      <c r="Q1080" s="649"/>
      <c r="R1080" s="649"/>
      <c r="S1080" s="647"/>
      <c r="T1080" s="647"/>
      <c r="U1080" s="647"/>
      <c r="V1080" s="647"/>
      <c r="W1080" s="647"/>
      <c r="X1080" s="647"/>
      <c r="Y1080" s="647"/>
      <c r="Z1080" s="647"/>
      <c r="AA1080" s="647"/>
      <c r="AB1080" s="647"/>
      <c r="AC1080" s="647"/>
      <c r="AD1080" s="647"/>
      <c r="AE1080" s="606"/>
      <c r="AF1080" s="606"/>
      <c r="AG1080" s="606"/>
      <c r="AH1080" s="606"/>
    </row>
    <row r="1081" spans="1:34" s="612" customFormat="1" outlineLevel="1" x14ac:dyDescent="0.2">
      <c r="A1081" s="606"/>
      <c r="B1081" s="606"/>
      <c r="C1081" s="616"/>
      <c r="D1081" s="617"/>
      <c r="E1081" s="617"/>
      <c r="F1081" s="617"/>
      <c r="G1081" s="618"/>
      <c r="H1081" s="618"/>
      <c r="I1081" s="647"/>
      <c r="J1081" s="647"/>
      <c r="K1081" s="647"/>
      <c r="L1081" s="647"/>
      <c r="M1081" s="647"/>
      <c r="N1081" s="647"/>
      <c r="O1081" s="647"/>
      <c r="P1081" s="647"/>
      <c r="Q1081" s="647"/>
      <c r="R1081" s="647"/>
      <c r="S1081" s="647"/>
      <c r="T1081" s="647"/>
      <c r="U1081" s="647"/>
      <c r="V1081" s="647"/>
      <c r="W1081" s="647"/>
      <c r="X1081" s="647"/>
      <c r="Y1081" s="647"/>
      <c r="Z1081" s="647"/>
      <c r="AA1081" s="647"/>
      <c r="AB1081" s="647"/>
      <c r="AC1081" s="647"/>
      <c r="AD1081" s="647"/>
      <c r="AE1081" s="606"/>
      <c r="AF1081" s="606"/>
      <c r="AG1081" s="606"/>
      <c r="AH1081" s="606"/>
    </row>
    <row r="1082" spans="1:34" s="612" customFormat="1" hidden="1" outlineLevel="2" x14ac:dyDescent="0.2">
      <c r="A1082" s="606"/>
      <c r="B1082" s="606"/>
      <c r="C1082" s="607"/>
      <c r="D1082" s="608"/>
      <c r="E1082" s="608"/>
      <c r="F1082" s="608"/>
      <c r="G1082" s="608"/>
      <c r="H1082" s="609"/>
      <c r="I1082" s="637"/>
      <c r="J1082" s="637"/>
      <c r="K1082" s="637"/>
      <c r="L1082" s="637"/>
      <c r="M1082" s="637"/>
      <c r="N1082" s="637"/>
      <c r="O1082" s="637"/>
      <c r="P1082" s="637"/>
      <c r="Q1082" s="637"/>
      <c r="R1082" s="637"/>
      <c r="S1082" s="637"/>
      <c r="T1082" s="637"/>
      <c r="U1082" s="637"/>
      <c r="V1082" s="637"/>
      <c r="W1082" s="637"/>
      <c r="X1082" s="637"/>
      <c r="Y1082" s="637"/>
      <c r="Z1082" s="637"/>
      <c r="AA1082" s="637"/>
      <c r="AB1082" s="637"/>
      <c r="AC1082" s="637"/>
      <c r="AD1082" s="647"/>
      <c r="AE1082" s="606"/>
      <c r="AF1082" s="606"/>
      <c r="AG1082" s="606"/>
      <c r="AH1082" s="606"/>
    </row>
    <row r="1083" spans="1:34" s="612" customFormat="1" hidden="1" outlineLevel="2" x14ac:dyDescent="0.2">
      <c r="A1083" s="606"/>
      <c r="B1083" s="606"/>
      <c r="C1083" s="607"/>
      <c r="D1083" s="608"/>
      <c r="E1083" s="608"/>
      <c r="F1083" s="608"/>
      <c r="G1083" s="608"/>
      <c r="H1083" s="609"/>
      <c r="I1083" s="637"/>
      <c r="J1083" s="637"/>
      <c r="K1083" s="637"/>
      <c r="L1083" s="637"/>
      <c r="M1083" s="637"/>
      <c r="N1083" s="637"/>
      <c r="O1083" s="637"/>
      <c r="P1083" s="637"/>
      <c r="Q1083" s="637"/>
      <c r="R1083" s="637"/>
      <c r="S1083" s="637"/>
      <c r="T1083" s="637"/>
      <c r="U1083" s="637"/>
      <c r="V1083" s="637"/>
      <c r="W1083" s="637"/>
      <c r="X1083" s="637"/>
      <c r="Y1083" s="637"/>
      <c r="Z1083" s="637"/>
      <c r="AA1083" s="637"/>
      <c r="AB1083" s="637"/>
      <c r="AC1083" s="637"/>
      <c r="AD1083" s="647"/>
      <c r="AE1083" s="606"/>
      <c r="AF1083" s="606"/>
      <c r="AG1083" s="606"/>
      <c r="AH1083" s="606"/>
    </row>
    <row r="1084" spans="1:34" s="612" customFormat="1" hidden="1" outlineLevel="2" x14ac:dyDescent="0.2">
      <c r="A1084" s="606"/>
      <c r="B1084" s="606"/>
      <c r="C1084" s="607"/>
      <c r="D1084" s="608"/>
      <c r="E1084" s="608"/>
      <c r="F1084" s="608"/>
      <c r="G1084" s="608"/>
      <c r="H1084" s="609"/>
      <c r="I1084" s="637"/>
      <c r="J1084" s="637"/>
      <c r="K1084" s="637"/>
      <c r="L1084" s="637"/>
      <c r="M1084" s="637"/>
      <c r="N1084" s="637"/>
      <c r="O1084" s="637"/>
      <c r="P1084" s="637"/>
      <c r="Q1084" s="637"/>
      <c r="R1084" s="637"/>
      <c r="S1084" s="637"/>
      <c r="T1084" s="637"/>
      <c r="U1084" s="637"/>
      <c r="V1084" s="637"/>
      <c r="W1084" s="637"/>
      <c r="X1084" s="637"/>
      <c r="Y1084" s="637"/>
      <c r="Z1084" s="637"/>
      <c r="AA1084" s="637"/>
      <c r="AB1084" s="637"/>
      <c r="AC1084" s="637"/>
      <c r="AD1084" s="647"/>
      <c r="AE1084" s="606"/>
      <c r="AF1084" s="606"/>
      <c r="AG1084" s="606"/>
      <c r="AH1084" s="606"/>
    </row>
    <row r="1085" spans="1:34" s="612" customFormat="1" hidden="1" outlineLevel="2" x14ac:dyDescent="0.2">
      <c r="A1085" s="606"/>
      <c r="B1085" s="606"/>
      <c r="C1085" s="607"/>
      <c r="D1085" s="608"/>
      <c r="E1085" s="608"/>
      <c r="F1085" s="608"/>
      <c r="G1085" s="608"/>
      <c r="H1085" s="609"/>
      <c r="I1085" s="637"/>
      <c r="J1085" s="637"/>
      <c r="K1085" s="637"/>
      <c r="L1085" s="637"/>
      <c r="M1085" s="637"/>
      <c r="N1085" s="637"/>
      <c r="O1085" s="637"/>
      <c r="P1085" s="637"/>
      <c r="Q1085" s="637"/>
      <c r="R1085" s="637"/>
      <c r="S1085" s="637"/>
      <c r="T1085" s="637"/>
      <c r="U1085" s="637"/>
      <c r="V1085" s="637"/>
      <c r="W1085" s="637"/>
      <c r="X1085" s="637"/>
      <c r="Y1085" s="637"/>
      <c r="Z1085" s="637"/>
      <c r="AA1085" s="637"/>
      <c r="AB1085" s="637"/>
      <c r="AC1085" s="637"/>
      <c r="AD1085" s="647"/>
      <c r="AE1085" s="606"/>
      <c r="AF1085" s="606"/>
      <c r="AG1085" s="606"/>
      <c r="AH1085" s="606"/>
    </row>
    <row r="1086" spans="1:34" s="612" customFormat="1" hidden="1" outlineLevel="2" x14ac:dyDescent="0.2">
      <c r="A1086" s="606"/>
      <c r="B1086" s="606"/>
      <c r="C1086" s="607"/>
      <c r="D1086" s="608"/>
      <c r="E1086" s="608"/>
      <c r="F1086" s="608"/>
      <c r="G1086" s="608"/>
      <c r="H1086" s="609"/>
      <c r="I1086" s="637"/>
      <c r="J1086" s="637"/>
      <c r="K1086" s="637"/>
      <c r="L1086" s="637"/>
      <c r="M1086" s="637"/>
      <c r="N1086" s="637"/>
      <c r="O1086" s="637"/>
      <c r="P1086" s="637"/>
      <c r="Q1086" s="637"/>
      <c r="R1086" s="637"/>
      <c r="S1086" s="637"/>
      <c r="T1086" s="637"/>
      <c r="U1086" s="637"/>
      <c r="V1086" s="637"/>
      <c r="W1086" s="637"/>
      <c r="X1086" s="637"/>
      <c r="Y1086" s="637"/>
      <c r="Z1086" s="637"/>
      <c r="AA1086" s="637"/>
      <c r="AB1086" s="637"/>
      <c r="AC1086" s="637"/>
      <c r="AD1086" s="647"/>
      <c r="AE1086" s="606"/>
      <c r="AF1086" s="606"/>
      <c r="AG1086" s="606"/>
      <c r="AH1086" s="606"/>
    </row>
    <row r="1087" spans="1:34" s="612" customFormat="1" hidden="1" outlineLevel="2" x14ac:dyDescent="0.2">
      <c r="A1087" s="606"/>
      <c r="B1087" s="606"/>
      <c r="C1087" s="607"/>
      <c r="D1087" s="608"/>
      <c r="E1087" s="608"/>
      <c r="F1087" s="608"/>
      <c r="G1087" s="608"/>
      <c r="H1087" s="609"/>
      <c r="I1087" s="637"/>
      <c r="J1087" s="637"/>
      <c r="K1087" s="637"/>
      <c r="L1087" s="637"/>
      <c r="M1087" s="637"/>
      <c r="N1087" s="637"/>
      <c r="O1087" s="637"/>
      <c r="P1087" s="637"/>
      <c r="Q1087" s="637"/>
      <c r="R1087" s="637"/>
      <c r="S1087" s="637"/>
      <c r="T1087" s="637"/>
      <c r="U1087" s="637"/>
      <c r="V1087" s="637"/>
      <c r="W1087" s="637"/>
      <c r="X1087" s="637"/>
      <c r="Y1087" s="637"/>
      <c r="Z1087" s="637"/>
      <c r="AA1087" s="637"/>
      <c r="AB1087" s="637"/>
      <c r="AC1087" s="637"/>
      <c r="AD1087" s="647"/>
      <c r="AE1087" s="606"/>
      <c r="AF1087" s="606"/>
      <c r="AG1087" s="606"/>
      <c r="AH1087" s="606"/>
    </row>
    <row r="1088" spans="1:34" s="612" customFormat="1" hidden="1" outlineLevel="2" x14ac:dyDescent="0.2">
      <c r="A1088" s="606"/>
      <c r="B1088" s="606"/>
      <c r="C1088" s="607"/>
      <c r="D1088" s="608"/>
      <c r="E1088" s="608"/>
      <c r="F1088" s="608"/>
      <c r="G1088" s="608"/>
      <c r="H1088" s="609"/>
      <c r="I1088" s="637"/>
      <c r="J1088" s="637"/>
      <c r="K1088" s="637"/>
      <c r="L1088" s="637"/>
      <c r="M1088" s="637"/>
      <c r="N1088" s="637"/>
      <c r="O1088" s="637"/>
      <c r="P1088" s="637"/>
      <c r="Q1088" s="637"/>
      <c r="R1088" s="637"/>
      <c r="S1088" s="637"/>
      <c r="T1088" s="637"/>
      <c r="U1088" s="637"/>
      <c r="V1088" s="637"/>
      <c r="W1088" s="637"/>
      <c r="X1088" s="637"/>
      <c r="Y1088" s="637"/>
      <c r="Z1088" s="637"/>
      <c r="AA1088" s="637"/>
      <c r="AB1088" s="637"/>
      <c r="AC1088" s="637"/>
      <c r="AD1088" s="647"/>
      <c r="AE1088" s="606"/>
      <c r="AF1088" s="606"/>
      <c r="AG1088" s="606"/>
      <c r="AH1088" s="606"/>
    </row>
    <row r="1089" spans="1:34" s="612" customFormat="1" hidden="1" outlineLevel="2" x14ac:dyDescent="0.2">
      <c r="A1089" s="606"/>
      <c r="B1089" s="606"/>
      <c r="C1089" s="607"/>
      <c r="D1089" s="608"/>
      <c r="E1089" s="608"/>
      <c r="F1089" s="608"/>
      <c r="G1089" s="608"/>
      <c r="H1089" s="609"/>
      <c r="I1089" s="637"/>
      <c r="J1089" s="637"/>
      <c r="K1089" s="637"/>
      <c r="L1089" s="637"/>
      <c r="M1089" s="637"/>
      <c r="N1089" s="637"/>
      <c r="O1089" s="637"/>
      <c r="P1089" s="637"/>
      <c r="Q1089" s="637"/>
      <c r="R1089" s="637"/>
      <c r="S1089" s="637"/>
      <c r="T1089" s="637"/>
      <c r="U1089" s="637"/>
      <c r="V1089" s="637"/>
      <c r="W1089" s="637"/>
      <c r="X1089" s="637"/>
      <c r="Y1089" s="637"/>
      <c r="Z1089" s="637"/>
      <c r="AA1089" s="637"/>
      <c r="AB1089" s="637"/>
      <c r="AC1089" s="637"/>
      <c r="AD1089" s="647"/>
      <c r="AE1089" s="606"/>
      <c r="AF1089" s="606"/>
      <c r="AG1089" s="606"/>
      <c r="AH1089" s="606"/>
    </row>
    <row r="1090" spans="1:34" s="612" customFormat="1" hidden="1" outlineLevel="2" x14ac:dyDescent="0.2">
      <c r="A1090" s="606"/>
      <c r="B1090" s="606"/>
      <c r="C1090" s="607"/>
      <c r="D1090" s="608"/>
      <c r="E1090" s="608"/>
      <c r="F1090" s="608"/>
      <c r="G1090" s="608"/>
      <c r="H1090" s="609"/>
      <c r="I1090" s="637"/>
      <c r="J1090" s="637"/>
      <c r="K1090" s="637"/>
      <c r="L1090" s="637"/>
      <c r="M1090" s="637"/>
      <c r="N1090" s="637"/>
      <c r="O1090" s="637"/>
      <c r="P1090" s="637"/>
      <c r="Q1090" s="637"/>
      <c r="R1090" s="637"/>
      <c r="S1090" s="637"/>
      <c r="T1090" s="637"/>
      <c r="U1090" s="637"/>
      <c r="V1090" s="637"/>
      <c r="W1090" s="637"/>
      <c r="X1090" s="637"/>
      <c r="Y1090" s="637"/>
      <c r="Z1090" s="637"/>
      <c r="AA1090" s="637"/>
      <c r="AB1090" s="637"/>
      <c r="AC1090" s="637"/>
      <c r="AD1090" s="647"/>
      <c r="AE1090" s="606"/>
      <c r="AF1090" s="606"/>
      <c r="AG1090" s="606"/>
      <c r="AH1090" s="606"/>
    </row>
    <row r="1091" spans="1:34" s="612" customFormat="1" hidden="1" outlineLevel="2" x14ac:dyDescent="0.2">
      <c r="A1091" s="606"/>
      <c r="B1091" s="606"/>
      <c r="C1091" s="607"/>
      <c r="D1091" s="608"/>
      <c r="E1091" s="608"/>
      <c r="F1091" s="608"/>
      <c r="G1091" s="608"/>
      <c r="H1091" s="609"/>
      <c r="I1091" s="637"/>
      <c r="J1091" s="637"/>
      <c r="K1091" s="637"/>
      <c r="L1091" s="637"/>
      <c r="M1091" s="637"/>
      <c r="N1091" s="637"/>
      <c r="O1091" s="637"/>
      <c r="P1091" s="637"/>
      <c r="Q1091" s="637"/>
      <c r="R1091" s="637"/>
      <c r="S1091" s="637"/>
      <c r="T1091" s="637"/>
      <c r="U1091" s="637"/>
      <c r="V1091" s="637"/>
      <c r="W1091" s="637"/>
      <c r="X1091" s="637"/>
      <c r="Y1091" s="637"/>
      <c r="Z1091" s="637"/>
      <c r="AA1091" s="637"/>
      <c r="AB1091" s="637"/>
      <c r="AC1091" s="637"/>
      <c r="AD1091" s="647"/>
      <c r="AE1091" s="606"/>
      <c r="AF1091" s="606"/>
      <c r="AG1091" s="606"/>
      <c r="AH1091" s="606"/>
    </row>
    <row r="1092" spans="1:34" s="612" customFormat="1" hidden="1" outlineLevel="2" x14ac:dyDescent="0.2">
      <c r="A1092" s="606"/>
      <c r="B1092" s="606"/>
      <c r="C1092" s="607"/>
      <c r="D1092" s="608"/>
      <c r="E1092" s="608"/>
      <c r="F1092" s="608"/>
      <c r="G1092" s="608"/>
      <c r="H1092" s="609"/>
      <c r="I1092" s="637"/>
      <c r="J1092" s="637"/>
      <c r="K1092" s="637"/>
      <c r="L1092" s="637"/>
      <c r="M1092" s="637"/>
      <c r="N1092" s="637"/>
      <c r="O1092" s="637"/>
      <c r="P1092" s="637"/>
      <c r="Q1092" s="637"/>
      <c r="R1092" s="637"/>
      <c r="S1092" s="637"/>
      <c r="T1092" s="637"/>
      <c r="U1092" s="637"/>
      <c r="V1092" s="637"/>
      <c r="W1092" s="637"/>
      <c r="X1092" s="637"/>
      <c r="Y1092" s="637"/>
      <c r="Z1092" s="637"/>
      <c r="AA1092" s="637"/>
      <c r="AB1092" s="637"/>
      <c r="AC1092" s="637"/>
      <c r="AD1092" s="647"/>
      <c r="AE1092" s="606"/>
      <c r="AF1092" s="606"/>
      <c r="AG1092" s="606"/>
      <c r="AH1092" s="606"/>
    </row>
    <row r="1093" spans="1:34" s="612" customFormat="1" hidden="1" outlineLevel="3" x14ac:dyDescent="0.2">
      <c r="A1093" s="606"/>
      <c r="B1093" s="606"/>
      <c r="C1093" s="607"/>
      <c r="D1093" s="608"/>
      <c r="E1093" s="608"/>
      <c r="F1093" s="608"/>
      <c r="G1093" s="608"/>
      <c r="H1093" s="609"/>
      <c r="I1093" s="637"/>
      <c r="J1093" s="637"/>
      <c r="K1093" s="637"/>
      <c r="L1093" s="637"/>
      <c r="M1093" s="637"/>
      <c r="N1093" s="637"/>
      <c r="O1093" s="637"/>
      <c r="P1093" s="637"/>
      <c r="Q1093" s="637"/>
      <c r="R1093" s="637"/>
      <c r="S1093" s="637"/>
      <c r="T1093" s="637"/>
      <c r="U1093" s="637"/>
      <c r="V1093" s="637"/>
      <c r="W1093" s="637"/>
      <c r="X1093" s="637"/>
      <c r="Y1093" s="637"/>
      <c r="Z1093" s="637"/>
      <c r="AA1093" s="637"/>
      <c r="AB1093" s="637"/>
      <c r="AC1093" s="637"/>
      <c r="AD1093" s="647"/>
      <c r="AE1093" s="606"/>
      <c r="AF1093" s="606"/>
      <c r="AG1093" s="606"/>
      <c r="AH1093" s="606"/>
    </row>
    <row r="1094" spans="1:34" s="612" customFormat="1" hidden="1" outlineLevel="3" x14ac:dyDescent="0.2">
      <c r="A1094" s="606"/>
      <c r="B1094" s="606"/>
      <c r="C1094" s="607"/>
      <c r="D1094" s="608"/>
      <c r="E1094" s="608"/>
      <c r="F1094" s="608"/>
      <c r="G1094" s="608"/>
      <c r="H1094" s="609"/>
      <c r="I1094" s="637"/>
      <c r="J1094" s="637"/>
      <c r="K1094" s="637"/>
      <c r="L1094" s="637"/>
      <c r="M1094" s="637"/>
      <c r="N1094" s="637"/>
      <c r="O1094" s="637"/>
      <c r="P1094" s="637"/>
      <c r="Q1094" s="637"/>
      <c r="R1094" s="637"/>
      <c r="S1094" s="637"/>
      <c r="T1094" s="637"/>
      <c r="U1094" s="637"/>
      <c r="V1094" s="637"/>
      <c r="W1094" s="637"/>
      <c r="X1094" s="637"/>
      <c r="Y1094" s="637"/>
      <c r="Z1094" s="637"/>
      <c r="AA1094" s="637"/>
      <c r="AB1094" s="637"/>
      <c r="AC1094" s="637"/>
      <c r="AD1094" s="647"/>
      <c r="AE1094" s="606"/>
      <c r="AF1094" s="606"/>
      <c r="AG1094" s="606"/>
      <c r="AH1094" s="606"/>
    </row>
    <row r="1095" spans="1:34" s="612" customFormat="1" hidden="1" outlineLevel="3" x14ac:dyDescent="0.2">
      <c r="A1095" s="606"/>
      <c r="B1095" s="606"/>
      <c r="C1095" s="607"/>
      <c r="D1095" s="608"/>
      <c r="E1095" s="608"/>
      <c r="F1095" s="608"/>
      <c r="G1095" s="608"/>
      <c r="H1095" s="609"/>
      <c r="I1095" s="637"/>
      <c r="J1095" s="637"/>
      <c r="K1095" s="637"/>
      <c r="L1095" s="637"/>
      <c r="M1095" s="637"/>
      <c r="N1095" s="637"/>
      <c r="O1095" s="637"/>
      <c r="P1095" s="637"/>
      <c r="Q1095" s="637"/>
      <c r="R1095" s="637"/>
      <c r="S1095" s="637"/>
      <c r="T1095" s="637"/>
      <c r="U1095" s="637"/>
      <c r="V1095" s="637"/>
      <c r="W1095" s="637"/>
      <c r="X1095" s="637"/>
      <c r="Y1095" s="637"/>
      <c r="Z1095" s="637"/>
      <c r="AA1095" s="637"/>
      <c r="AB1095" s="637"/>
      <c r="AC1095" s="637"/>
      <c r="AD1095" s="647"/>
      <c r="AE1095" s="606"/>
      <c r="AF1095" s="606"/>
      <c r="AG1095" s="606"/>
      <c r="AH1095" s="606"/>
    </row>
    <row r="1096" spans="1:34" s="612" customFormat="1" hidden="1" outlineLevel="3" x14ac:dyDescent="0.2">
      <c r="A1096" s="606"/>
      <c r="B1096" s="606"/>
      <c r="C1096" s="607"/>
      <c r="D1096" s="608"/>
      <c r="E1096" s="608"/>
      <c r="F1096" s="608"/>
      <c r="G1096" s="608"/>
      <c r="H1096" s="609"/>
      <c r="I1096" s="637"/>
      <c r="J1096" s="637"/>
      <c r="K1096" s="637"/>
      <c r="L1096" s="637"/>
      <c r="M1096" s="637"/>
      <c r="N1096" s="637"/>
      <c r="O1096" s="637"/>
      <c r="P1096" s="637"/>
      <c r="Q1096" s="637"/>
      <c r="R1096" s="637"/>
      <c r="S1096" s="637"/>
      <c r="T1096" s="637"/>
      <c r="U1096" s="637"/>
      <c r="V1096" s="637"/>
      <c r="W1096" s="637"/>
      <c r="X1096" s="637"/>
      <c r="Y1096" s="637"/>
      <c r="Z1096" s="637"/>
      <c r="AA1096" s="637"/>
      <c r="AB1096" s="637"/>
      <c r="AC1096" s="637"/>
      <c r="AD1096" s="647"/>
      <c r="AE1096" s="606"/>
      <c r="AF1096" s="606"/>
      <c r="AG1096" s="606"/>
      <c r="AH1096" s="606"/>
    </row>
    <row r="1097" spans="1:34" s="612" customFormat="1" hidden="1" outlineLevel="3" x14ac:dyDescent="0.2">
      <c r="A1097" s="606"/>
      <c r="B1097" s="606"/>
      <c r="C1097" s="607"/>
      <c r="D1097" s="608"/>
      <c r="E1097" s="608"/>
      <c r="F1097" s="608"/>
      <c r="G1097" s="608"/>
      <c r="H1097" s="609"/>
      <c r="I1097" s="637"/>
      <c r="J1097" s="637"/>
      <c r="K1097" s="637"/>
      <c r="L1097" s="637"/>
      <c r="M1097" s="637"/>
      <c r="N1097" s="637"/>
      <c r="O1097" s="637"/>
      <c r="P1097" s="637"/>
      <c r="Q1097" s="637"/>
      <c r="R1097" s="637"/>
      <c r="S1097" s="637"/>
      <c r="T1097" s="637"/>
      <c r="U1097" s="637"/>
      <c r="V1097" s="637"/>
      <c r="W1097" s="637"/>
      <c r="X1097" s="637"/>
      <c r="Y1097" s="637"/>
      <c r="Z1097" s="637"/>
      <c r="AA1097" s="637"/>
      <c r="AB1097" s="637"/>
      <c r="AC1097" s="637"/>
      <c r="AD1097" s="647"/>
      <c r="AE1097" s="606"/>
      <c r="AF1097" s="606"/>
      <c r="AG1097" s="606"/>
      <c r="AH1097" s="606"/>
    </row>
    <row r="1098" spans="1:34" s="612" customFormat="1" hidden="1" outlineLevel="3" x14ac:dyDescent="0.2">
      <c r="A1098" s="606"/>
      <c r="B1098" s="606"/>
      <c r="C1098" s="607"/>
      <c r="D1098" s="608"/>
      <c r="E1098" s="608"/>
      <c r="F1098" s="608"/>
      <c r="G1098" s="608"/>
      <c r="H1098" s="609"/>
      <c r="I1098" s="637"/>
      <c r="J1098" s="637"/>
      <c r="K1098" s="637"/>
      <c r="L1098" s="637"/>
      <c r="M1098" s="637"/>
      <c r="N1098" s="637"/>
      <c r="O1098" s="637"/>
      <c r="P1098" s="637"/>
      <c r="Q1098" s="637"/>
      <c r="R1098" s="637"/>
      <c r="S1098" s="637"/>
      <c r="T1098" s="637"/>
      <c r="U1098" s="637"/>
      <c r="V1098" s="637"/>
      <c r="W1098" s="637"/>
      <c r="X1098" s="637"/>
      <c r="Y1098" s="637"/>
      <c r="Z1098" s="637"/>
      <c r="AA1098" s="637"/>
      <c r="AB1098" s="637"/>
      <c r="AC1098" s="637"/>
      <c r="AD1098" s="647"/>
      <c r="AE1098" s="606"/>
      <c r="AF1098" s="606"/>
      <c r="AG1098" s="606"/>
      <c r="AH1098" s="606"/>
    </row>
    <row r="1099" spans="1:34" s="612" customFormat="1" hidden="1" outlineLevel="3" x14ac:dyDescent="0.2">
      <c r="A1099" s="606"/>
      <c r="B1099" s="606"/>
      <c r="C1099" s="607"/>
      <c r="D1099" s="608"/>
      <c r="E1099" s="608"/>
      <c r="F1099" s="608"/>
      <c r="G1099" s="608"/>
      <c r="H1099" s="609"/>
      <c r="I1099" s="637"/>
      <c r="J1099" s="637"/>
      <c r="K1099" s="637"/>
      <c r="L1099" s="637"/>
      <c r="M1099" s="637"/>
      <c r="N1099" s="637"/>
      <c r="O1099" s="637"/>
      <c r="P1099" s="637"/>
      <c r="Q1099" s="637"/>
      <c r="R1099" s="637"/>
      <c r="S1099" s="637"/>
      <c r="T1099" s="637"/>
      <c r="U1099" s="637"/>
      <c r="V1099" s="637"/>
      <c r="W1099" s="637"/>
      <c r="X1099" s="637"/>
      <c r="Y1099" s="637"/>
      <c r="Z1099" s="637"/>
      <c r="AA1099" s="637"/>
      <c r="AB1099" s="637"/>
      <c r="AC1099" s="637"/>
      <c r="AD1099" s="647"/>
      <c r="AE1099" s="606"/>
      <c r="AF1099" s="606"/>
      <c r="AG1099" s="606"/>
      <c r="AH1099" s="606"/>
    </row>
    <row r="1100" spans="1:34" s="612" customFormat="1" hidden="1" outlineLevel="3" x14ac:dyDescent="0.2">
      <c r="A1100" s="606"/>
      <c r="B1100" s="606"/>
      <c r="C1100" s="607"/>
      <c r="D1100" s="608"/>
      <c r="E1100" s="608"/>
      <c r="F1100" s="608"/>
      <c r="G1100" s="608"/>
      <c r="H1100" s="609"/>
      <c r="I1100" s="637"/>
      <c r="J1100" s="637"/>
      <c r="K1100" s="637"/>
      <c r="L1100" s="637"/>
      <c r="M1100" s="637"/>
      <c r="N1100" s="637"/>
      <c r="O1100" s="637"/>
      <c r="P1100" s="637"/>
      <c r="Q1100" s="637"/>
      <c r="R1100" s="637"/>
      <c r="S1100" s="637"/>
      <c r="T1100" s="637"/>
      <c r="U1100" s="637"/>
      <c r="V1100" s="637"/>
      <c r="W1100" s="637"/>
      <c r="X1100" s="637"/>
      <c r="Y1100" s="637"/>
      <c r="Z1100" s="637"/>
      <c r="AA1100" s="637"/>
      <c r="AB1100" s="637"/>
      <c r="AC1100" s="637"/>
      <c r="AD1100" s="647"/>
      <c r="AE1100" s="606"/>
      <c r="AF1100" s="606"/>
      <c r="AG1100" s="606"/>
      <c r="AH1100" s="606"/>
    </row>
    <row r="1101" spans="1:34" s="612" customFormat="1" hidden="1" outlineLevel="3" x14ac:dyDescent="0.2">
      <c r="A1101" s="606"/>
      <c r="B1101" s="606"/>
      <c r="C1101" s="607"/>
      <c r="D1101" s="608"/>
      <c r="E1101" s="608"/>
      <c r="F1101" s="608"/>
      <c r="G1101" s="608"/>
      <c r="H1101" s="609"/>
      <c r="I1101" s="637"/>
      <c r="J1101" s="637"/>
      <c r="K1101" s="637"/>
      <c r="L1101" s="637"/>
      <c r="M1101" s="637"/>
      <c r="N1101" s="637"/>
      <c r="O1101" s="637"/>
      <c r="P1101" s="637"/>
      <c r="Q1101" s="637"/>
      <c r="R1101" s="637"/>
      <c r="S1101" s="637"/>
      <c r="T1101" s="637"/>
      <c r="U1101" s="637"/>
      <c r="V1101" s="637"/>
      <c r="W1101" s="637"/>
      <c r="X1101" s="637"/>
      <c r="Y1101" s="637"/>
      <c r="Z1101" s="637"/>
      <c r="AA1101" s="637"/>
      <c r="AB1101" s="637"/>
      <c r="AC1101" s="637"/>
      <c r="AD1101" s="647"/>
      <c r="AE1101" s="606"/>
      <c r="AF1101" s="606"/>
      <c r="AG1101" s="606"/>
      <c r="AH1101" s="606"/>
    </row>
    <row r="1102" spans="1:34" s="612" customFormat="1" hidden="1" outlineLevel="3" x14ac:dyDescent="0.2">
      <c r="A1102" s="606"/>
      <c r="B1102" s="606"/>
      <c r="C1102" s="607"/>
      <c r="D1102" s="608"/>
      <c r="E1102" s="608"/>
      <c r="F1102" s="608"/>
      <c r="G1102" s="608"/>
      <c r="H1102" s="609"/>
      <c r="I1102" s="637"/>
      <c r="J1102" s="637"/>
      <c r="K1102" s="637"/>
      <c r="L1102" s="637"/>
      <c r="M1102" s="637"/>
      <c r="N1102" s="637"/>
      <c r="O1102" s="637"/>
      <c r="P1102" s="637"/>
      <c r="Q1102" s="637"/>
      <c r="R1102" s="637"/>
      <c r="S1102" s="637"/>
      <c r="T1102" s="637"/>
      <c r="U1102" s="637"/>
      <c r="V1102" s="637"/>
      <c r="W1102" s="637"/>
      <c r="X1102" s="637"/>
      <c r="Y1102" s="637"/>
      <c r="Z1102" s="637"/>
      <c r="AA1102" s="637"/>
      <c r="AB1102" s="637"/>
      <c r="AC1102" s="637"/>
      <c r="AD1102" s="647"/>
      <c r="AE1102" s="606"/>
      <c r="AF1102" s="606"/>
      <c r="AG1102" s="606"/>
      <c r="AH1102" s="606"/>
    </row>
    <row r="1103" spans="1:34" s="612" customFormat="1" hidden="1" outlineLevel="3" x14ac:dyDescent="0.2">
      <c r="A1103" s="606"/>
      <c r="B1103" s="606"/>
      <c r="C1103" s="607"/>
      <c r="D1103" s="608"/>
      <c r="E1103" s="608"/>
      <c r="F1103" s="608"/>
      <c r="G1103" s="608"/>
      <c r="H1103" s="609"/>
      <c r="I1103" s="637"/>
      <c r="J1103" s="637"/>
      <c r="K1103" s="637"/>
      <c r="L1103" s="637"/>
      <c r="M1103" s="637"/>
      <c r="N1103" s="637"/>
      <c r="O1103" s="637"/>
      <c r="P1103" s="637"/>
      <c r="Q1103" s="637"/>
      <c r="R1103" s="637"/>
      <c r="S1103" s="637"/>
      <c r="T1103" s="637"/>
      <c r="U1103" s="637"/>
      <c r="V1103" s="637"/>
      <c r="W1103" s="637"/>
      <c r="X1103" s="637"/>
      <c r="Y1103" s="637"/>
      <c r="Z1103" s="637"/>
      <c r="AA1103" s="637"/>
      <c r="AB1103" s="637"/>
      <c r="AC1103" s="637"/>
      <c r="AD1103" s="647"/>
      <c r="AE1103" s="606"/>
      <c r="AF1103" s="606"/>
      <c r="AG1103" s="606"/>
      <c r="AH1103" s="606"/>
    </row>
    <row r="1104" spans="1:34" s="612" customFormat="1" hidden="1" outlineLevel="3" x14ac:dyDescent="0.2">
      <c r="A1104" s="606"/>
      <c r="B1104" s="606"/>
      <c r="C1104" s="607"/>
      <c r="D1104" s="608"/>
      <c r="E1104" s="608"/>
      <c r="F1104" s="608"/>
      <c r="G1104" s="608"/>
      <c r="H1104" s="609"/>
      <c r="I1104" s="637"/>
      <c r="J1104" s="637"/>
      <c r="K1104" s="637"/>
      <c r="L1104" s="637"/>
      <c r="M1104" s="637"/>
      <c r="N1104" s="637"/>
      <c r="O1104" s="637"/>
      <c r="P1104" s="637"/>
      <c r="Q1104" s="637"/>
      <c r="R1104" s="637"/>
      <c r="S1104" s="637"/>
      <c r="T1104" s="637"/>
      <c r="U1104" s="637"/>
      <c r="V1104" s="637"/>
      <c r="W1104" s="637"/>
      <c r="X1104" s="637"/>
      <c r="Y1104" s="637"/>
      <c r="Z1104" s="637"/>
      <c r="AA1104" s="637"/>
      <c r="AB1104" s="637"/>
      <c r="AC1104" s="637"/>
      <c r="AD1104" s="647"/>
      <c r="AE1104" s="606"/>
      <c r="AF1104" s="606"/>
      <c r="AG1104" s="606"/>
      <c r="AH1104" s="606"/>
    </row>
    <row r="1105" spans="1:34" s="612" customFormat="1" hidden="1" outlineLevel="3" x14ac:dyDescent="0.2">
      <c r="A1105" s="606"/>
      <c r="B1105" s="606"/>
      <c r="C1105" s="607"/>
      <c r="D1105" s="608"/>
      <c r="E1105" s="608"/>
      <c r="F1105" s="608"/>
      <c r="G1105" s="608"/>
      <c r="H1105" s="609"/>
      <c r="I1105" s="637"/>
      <c r="J1105" s="637"/>
      <c r="K1105" s="637"/>
      <c r="L1105" s="637"/>
      <c r="M1105" s="637"/>
      <c r="N1105" s="637"/>
      <c r="O1105" s="637"/>
      <c r="P1105" s="637"/>
      <c r="Q1105" s="637"/>
      <c r="R1105" s="637"/>
      <c r="S1105" s="637"/>
      <c r="T1105" s="637"/>
      <c r="U1105" s="637"/>
      <c r="V1105" s="637"/>
      <c r="W1105" s="637"/>
      <c r="X1105" s="637"/>
      <c r="Y1105" s="637"/>
      <c r="Z1105" s="637"/>
      <c r="AA1105" s="637"/>
      <c r="AB1105" s="637"/>
      <c r="AC1105" s="637"/>
      <c r="AD1105" s="647"/>
      <c r="AE1105" s="606"/>
      <c r="AF1105" s="606"/>
      <c r="AG1105" s="606"/>
      <c r="AH1105" s="606"/>
    </row>
    <row r="1106" spans="1:34" s="612" customFormat="1" hidden="1" outlineLevel="3" x14ac:dyDescent="0.2">
      <c r="A1106" s="606"/>
      <c r="B1106" s="606"/>
      <c r="C1106" s="607"/>
      <c r="D1106" s="608"/>
      <c r="E1106" s="608"/>
      <c r="F1106" s="608"/>
      <c r="G1106" s="608"/>
      <c r="H1106" s="609"/>
      <c r="I1106" s="637"/>
      <c r="J1106" s="637"/>
      <c r="K1106" s="637"/>
      <c r="L1106" s="637"/>
      <c r="M1106" s="637"/>
      <c r="N1106" s="637"/>
      <c r="O1106" s="637"/>
      <c r="P1106" s="637"/>
      <c r="Q1106" s="637"/>
      <c r="R1106" s="637"/>
      <c r="S1106" s="637"/>
      <c r="T1106" s="637"/>
      <c r="U1106" s="637"/>
      <c r="V1106" s="637"/>
      <c r="W1106" s="637"/>
      <c r="X1106" s="637"/>
      <c r="Y1106" s="637"/>
      <c r="Z1106" s="637"/>
      <c r="AA1106" s="637"/>
      <c r="AB1106" s="637"/>
      <c r="AC1106" s="637"/>
      <c r="AD1106" s="647"/>
      <c r="AE1106" s="606"/>
      <c r="AF1106" s="606"/>
      <c r="AG1106" s="606"/>
      <c r="AH1106" s="606"/>
    </row>
    <row r="1107" spans="1:34" s="612" customFormat="1" hidden="1" outlineLevel="3" x14ac:dyDescent="0.2">
      <c r="A1107" s="606"/>
      <c r="B1107" s="606"/>
      <c r="C1107" s="607"/>
      <c r="D1107" s="608"/>
      <c r="E1107" s="608"/>
      <c r="F1107" s="608"/>
      <c r="G1107" s="608"/>
      <c r="H1107" s="609"/>
      <c r="I1107" s="637"/>
      <c r="J1107" s="637"/>
      <c r="K1107" s="637"/>
      <c r="L1107" s="637"/>
      <c r="M1107" s="637"/>
      <c r="N1107" s="637"/>
      <c r="O1107" s="637"/>
      <c r="P1107" s="637"/>
      <c r="Q1107" s="637"/>
      <c r="R1107" s="637"/>
      <c r="S1107" s="637"/>
      <c r="T1107" s="637"/>
      <c r="U1107" s="637"/>
      <c r="V1107" s="637"/>
      <c r="W1107" s="637"/>
      <c r="X1107" s="637"/>
      <c r="Y1107" s="637"/>
      <c r="Z1107" s="637"/>
      <c r="AA1107" s="637"/>
      <c r="AB1107" s="637"/>
      <c r="AC1107" s="637"/>
      <c r="AD1107" s="647"/>
      <c r="AE1107" s="606"/>
      <c r="AF1107" s="606"/>
      <c r="AG1107" s="606"/>
      <c r="AH1107" s="606"/>
    </row>
    <row r="1108" spans="1:34" s="612" customFormat="1" hidden="1" outlineLevel="3" x14ac:dyDescent="0.2">
      <c r="A1108" s="606"/>
      <c r="B1108" s="606"/>
      <c r="C1108" s="607"/>
      <c r="D1108" s="608"/>
      <c r="E1108" s="608"/>
      <c r="F1108" s="608"/>
      <c r="G1108" s="608"/>
      <c r="H1108" s="609"/>
      <c r="I1108" s="637"/>
      <c r="J1108" s="637"/>
      <c r="K1108" s="637"/>
      <c r="L1108" s="637"/>
      <c r="M1108" s="637"/>
      <c r="N1108" s="637"/>
      <c r="O1108" s="637"/>
      <c r="P1108" s="637"/>
      <c r="Q1108" s="637"/>
      <c r="R1108" s="637"/>
      <c r="S1108" s="637"/>
      <c r="T1108" s="637"/>
      <c r="U1108" s="637"/>
      <c r="V1108" s="637"/>
      <c r="W1108" s="637"/>
      <c r="X1108" s="637"/>
      <c r="Y1108" s="637"/>
      <c r="Z1108" s="637"/>
      <c r="AA1108" s="637"/>
      <c r="AB1108" s="637"/>
      <c r="AC1108" s="637"/>
      <c r="AD1108" s="647"/>
      <c r="AE1108" s="606"/>
      <c r="AF1108" s="606"/>
      <c r="AG1108" s="606"/>
      <c r="AH1108" s="606"/>
    </row>
    <row r="1109" spans="1:34" s="612" customFormat="1" hidden="1" outlineLevel="3" x14ac:dyDescent="0.2">
      <c r="A1109" s="606"/>
      <c r="B1109" s="606"/>
      <c r="C1109" s="607"/>
      <c r="D1109" s="608"/>
      <c r="E1109" s="608"/>
      <c r="F1109" s="608"/>
      <c r="G1109" s="608"/>
      <c r="H1109" s="609"/>
      <c r="I1109" s="637"/>
      <c r="J1109" s="637"/>
      <c r="K1109" s="637"/>
      <c r="L1109" s="637"/>
      <c r="M1109" s="637"/>
      <c r="N1109" s="637"/>
      <c r="O1109" s="637"/>
      <c r="P1109" s="637"/>
      <c r="Q1109" s="637"/>
      <c r="R1109" s="637"/>
      <c r="S1109" s="637"/>
      <c r="T1109" s="637"/>
      <c r="U1109" s="637"/>
      <c r="V1109" s="637"/>
      <c r="W1109" s="637"/>
      <c r="X1109" s="637"/>
      <c r="Y1109" s="637"/>
      <c r="Z1109" s="637"/>
      <c r="AA1109" s="637"/>
      <c r="AB1109" s="637"/>
      <c r="AC1109" s="637"/>
      <c r="AD1109" s="647"/>
      <c r="AE1109" s="606"/>
      <c r="AF1109" s="606"/>
      <c r="AG1109" s="606"/>
      <c r="AH1109" s="606"/>
    </row>
    <row r="1110" spans="1:34" s="612" customFormat="1" hidden="1" outlineLevel="3" x14ac:dyDescent="0.2">
      <c r="A1110" s="606"/>
      <c r="B1110" s="606"/>
      <c r="C1110" s="607"/>
      <c r="D1110" s="608"/>
      <c r="E1110" s="608"/>
      <c r="F1110" s="608"/>
      <c r="G1110" s="608"/>
      <c r="H1110" s="609"/>
      <c r="I1110" s="637"/>
      <c r="J1110" s="637"/>
      <c r="K1110" s="637"/>
      <c r="L1110" s="637"/>
      <c r="M1110" s="637"/>
      <c r="N1110" s="637"/>
      <c r="O1110" s="637"/>
      <c r="P1110" s="637"/>
      <c r="Q1110" s="637"/>
      <c r="R1110" s="637"/>
      <c r="S1110" s="637"/>
      <c r="T1110" s="637"/>
      <c r="U1110" s="637"/>
      <c r="V1110" s="637"/>
      <c r="W1110" s="637"/>
      <c r="X1110" s="637"/>
      <c r="Y1110" s="637"/>
      <c r="Z1110" s="637"/>
      <c r="AA1110" s="637"/>
      <c r="AB1110" s="637"/>
      <c r="AC1110" s="637"/>
      <c r="AD1110" s="647"/>
      <c r="AE1110" s="606"/>
      <c r="AF1110" s="606"/>
      <c r="AG1110" s="606"/>
      <c r="AH1110" s="606"/>
    </row>
    <row r="1111" spans="1:34" s="612" customFormat="1" hidden="1" outlineLevel="3" x14ac:dyDescent="0.2">
      <c r="A1111" s="606"/>
      <c r="B1111" s="606"/>
      <c r="C1111" s="607"/>
      <c r="D1111" s="608"/>
      <c r="E1111" s="608"/>
      <c r="F1111" s="608"/>
      <c r="G1111" s="608"/>
      <c r="H1111" s="609"/>
      <c r="I1111" s="637"/>
      <c r="J1111" s="637"/>
      <c r="K1111" s="637"/>
      <c r="L1111" s="637"/>
      <c r="M1111" s="637"/>
      <c r="N1111" s="637"/>
      <c r="O1111" s="637"/>
      <c r="P1111" s="637"/>
      <c r="Q1111" s="637"/>
      <c r="R1111" s="637"/>
      <c r="S1111" s="637"/>
      <c r="T1111" s="637"/>
      <c r="U1111" s="637"/>
      <c r="V1111" s="637"/>
      <c r="W1111" s="637"/>
      <c r="X1111" s="637"/>
      <c r="Y1111" s="637"/>
      <c r="Z1111" s="637"/>
      <c r="AA1111" s="637"/>
      <c r="AB1111" s="637"/>
      <c r="AC1111" s="637"/>
      <c r="AD1111" s="647"/>
      <c r="AE1111" s="606"/>
      <c r="AF1111" s="606"/>
      <c r="AG1111" s="606"/>
      <c r="AH1111" s="606"/>
    </row>
    <row r="1112" spans="1:34" s="612" customFormat="1" hidden="1" outlineLevel="3" x14ac:dyDescent="0.2">
      <c r="A1112" s="606"/>
      <c r="B1112" s="606"/>
      <c r="C1112" s="607"/>
      <c r="D1112" s="608"/>
      <c r="E1112" s="608"/>
      <c r="F1112" s="608"/>
      <c r="G1112" s="608"/>
      <c r="H1112" s="609"/>
      <c r="I1112" s="637"/>
      <c r="J1112" s="637"/>
      <c r="K1112" s="637"/>
      <c r="L1112" s="637"/>
      <c r="M1112" s="637"/>
      <c r="N1112" s="637"/>
      <c r="O1112" s="637"/>
      <c r="P1112" s="637"/>
      <c r="Q1112" s="637"/>
      <c r="R1112" s="637"/>
      <c r="S1112" s="637"/>
      <c r="T1112" s="637"/>
      <c r="U1112" s="637"/>
      <c r="V1112" s="637"/>
      <c r="W1112" s="637"/>
      <c r="X1112" s="637"/>
      <c r="Y1112" s="637"/>
      <c r="Z1112" s="637"/>
      <c r="AA1112" s="637"/>
      <c r="AB1112" s="637"/>
      <c r="AC1112" s="637"/>
      <c r="AD1112" s="647"/>
      <c r="AE1112" s="606"/>
      <c r="AF1112" s="606"/>
      <c r="AG1112" s="606"/>
      <c r="AH1112" s="606"/>
    </row>
    <row r="1113" spans="1:34" s="612" customFormat="1" hidden="1" outlineLevel="3" x14ac:dyDescent="0.2">
      <c r="A1113" s="606"/>
      <c r="B1113" s="606"/>
      <c r="C1113" s="607"/>
      <c r="D1113" s="608"/>
      <c r="E1113" s="608"/>
      <c r="F1113" s="608"/>
      <c r="G1113" s="608"/>
      <c r="H1113" s="609"/>
      <c r="I1113" s="637"/>
      <c r="J1113" s="637"/>
      <c r="K1113" s="637"/>
      <c r="L1113" s="637"/>
      <c r="M1113" s="637"/>
      <c r="N1113" s="637"/>
      <c r="O1113" s="637"/>
      <c r="P1113" s="637"/>
      <c r="Q1113" s="637"/>
      <c r="R1113" s="637"/>
      <c r="S1113" s="637"/>
      <c r="T1113" s="637"/>
      <c r="U1113" s="637"/>
      <c r="V1113" s="637"/>
      <c r="W1113" s="637"/>
      <c r="X1113" s="637"/>
      <c r="Y1113" s="637"/>
      <c r="Z1113" s="637"/>
      <c r="AA1113" s="637"/>
      <c r="AB1113" s="637"/>
      <c r="AC1113" s="637"/>
      <c r="AD1113" s="647"/>
      <c r="AE1113" s="606"/>
      <c r="AF1113" s="606"/>
      <c r="AG1113" s="606"/>
      <c r="AH1113" s="606"/>
    </row>
    <row r="1114" spans="1:34" s="612" customFormat="1" hidden="1" outlineLevel="3" x14ac:dyDescent="0.2">
      <c r="A1114" s="606"/>
      <c r="B1114" s="606"/>
      <c r="C1114" s="607"/>
      <c r="D1114" s="608"/>
      <c r="E1114" s="608"/>
      <c r="F1114" s="608"/>
      <c r="G1114" s="608"/>
      <c r="H1114" s="609"/>
      <c r="I1114" s="637"/>
      <c r="J1114" s="637"/>
      <c r="K1114" s="637"/>
      <c r="L1114" s="637"/>
      <c r="M1114" s="637"/>
      <c r="N1114" s="637"/>
      <c r="O1114" s="637"/>
      <c r="P1114" s="637"/>
      <c r="Q1114" s="637"/>
      <c r="R1114" s="637"/>
      <c r="S1114" s="637"/>
      <c r="T1114" s="637"/>
      <c r="U1114" s="637"/>
      <c r="V1114" s="637"/>
      <c r="W1114" s="637"/>
      <c r="X1114" s="637"/>
      <c r="Y1114" s="637"/>
      <c r="Z1114" s="637"/>
      <c r="AA1114" s="637"/>
      <c r="AB1114" s="637"/>
      <c r="AC1114" s="637"/>
      <c r="AD1114" s="647"/>
      <c r="AE1114" s="606"/>
      <c r="AF1114" s="606"/>
      <c r="AG1114" s="606"/>
      <c r="AH1114" s="606"/>
    </row>
    <row r="1115" spans="1:34" s="612" customFormat="1" hidden="1" outlineLevel="3" x14ac:dyDescent="0.2">
      <c r="A1115" s="606"/>
      <c r="B1115" s="606"/>
      <c r="C1115" s="607"/>
      <c r="D1115" s="608"/>
      <c r="E1115" s="608"/>
      <c r="F1115" s="608"/>
      <c r="G1115" s="608"/>
      <c r="H1115" s="609"/>
      <c r="I1115" s="637"/>
      <c r="J1115" s="637"/>
      <c r="K1115" s="637"/>
      <c r="L1115" s="637"/>
      <c r="M1115" s="637"/>
      <c r="N1115" s="637"/>
      <c r="O1115" s="637"/>
      <c r="P1115" s="637"/>
      <c r="Q1115" s="637"/>
      <c r="R1115" s="637"/>
      <c r="S1115" s="637"/>
      <c r="T1115" s="637"/>
      <c r="U1115" s="637"/>
      <c r="V1115" s="637"/>
      <c r="W1115" s="637"/>
      <c r="X1115" s="637"/>
      <c r="Y1115" s="637"/>
      <c r="Z1115" s="637"/>
      <c r="AA1115" s="637"/>
      <c r="AB1115" s="637"/>
      <c r="AC1115" s="637"/>
      <c r="AD1115" s="647"/>
      <c r="AE1115" s="606"/>
      <c r="AF1115" s="606"/>
      <c r="AG1115" s="606"/>
      <c r="AH1115" s="606"/>
    </row>
    <row r="1116" spans="1:34" s="612" customFormat="1" hidden="1" outlineLevel="3" x14ac:dyDescent="0.2">
      <c r="A1116" s="606"/>
      <c r="B1116" s="606"/>
      <c r="C1116" s="607"/>
      <c r="D1116" s="608"/>
      <c r="E1116" s="608"/>
      <c r="F1116" s="608"/>
      <c r="G1116" s="608"/>
      <c r="H1116" s="609"/>
      <c r="I1116" s="637"/>
      <c r="J1116" s="637"/>
      <c r="K1116" s="637"/>
      <c r="L1116" s="637"/>
      <c r="M1116" s="637"/>
      <c r="N1116" s="637"/>
      <c r="O1116" s="637"/>
      <c r="P1116" s="637"/>
      <c r="Q1116" s="637"/>
      <c r="R1116" s="637"/>
      <c r="S1116" s="637"/>
      <c r="T1116" s="637"/>
      <c r="U1116" s="637"/>
      <c r="V1116" s="637"/>
      <c r="W1116" s="637"/>
      <c r="X1116" s="637"/>
      <c r="Y1116" s="637"/>
      <c r="Z1116" s="637"/>
      <c r="AA1116" s="637"/>
      <c r="AB1116" s="637"/>
      <c r="AC1116" s="637"/>
      <c r="AD1116" s="647"/>
      <c r="AE1116" s="606"/>
      <c r="AF1116" s="606"/>
      <c r="AG1116" s="606"/>
      <c r="AH1116" s="606"/>
    </row>
    <row r="1117" spans="1:34" s="612" customFormat="1" hidden="1" outlineLevel="3" x14ac:dyDescent="0.2">
      <c r="A1117" s="606"/>
      <c r="B1117" s="606"/>
      <c r="C1117" s="607"/>
      <c r="D1117" s="608"/>
      <c r="E1117" s="608"/>
      <c r="F1117" s="608"/>
      <c r="G1117" s="608"/>
      <c r="H1117" s="609"/>
      <c r="I1117" s="637"/>
      <c r="J1117" s="637"/>
      <c r="K1117" s="637"/>
      <c r="L1117" s="637"/>
      <c r="M1117" s="637"/>
      <c r="N1117" s="637"/>
      <c r="O1117" s="637"/>
      <c r="P1117" s="637"/>
      <c r="Q1117" s="637"/>
      <c r="R1117" s="637"/>
      <c r="S1117" s="637"/>
      <c r="T1117" s="637"/>
      <c r="U1117" s="637"/>
      <c r="V1117" s="637"/>
      <c r="W1117" s="637"/>
      <c r="X1117" s="637"/>
      <c r="Y1117" s="637"/>
      <c r="Z1117" s="637"/>
      <c r="AA1117" s="637"/>
      <c r="AB1117" s="637"/>
      <c r="AC1117" s="637"/>
      <c r="AD1117" s="647"/>
      <c r="AE1117" s="606"/>
      <c r="AF1117" s="606"/>
      <c r="AG1117" s="606"/>
      <c r="AH1117" s="606"/>
    </row>
    <row r="1118" spans="1:34" s="612" customFormat="1" hidden="1" outlineLevel="3" x14ac:dyDescent="0.2">
      <c r="A1118" s="606"/>
      <c r="B1118" s="606"/>
      <c r="C1118" s="607"/>
      <c r="D1118" s="608"/>
      <c r="E1118" s="608"/>
      <c r="F1118" s="608"/>
      <c r="G1118" s="608"/>
      <c r="H1118" s="609"/>
      <c r="I1118" s="637"/>
      <c r="J1118" s="637"/>
      <c r="K1118" s="637"/>
      <c r="L1118" s="637"/>
      <c r="M1118" s="637"/>
      <c r="N1118" s="637"/>
      <c r="O1118" s="637"/>
      <c r="P1118" s="637"/>
      <c r="Q1118" s="637"/>
      <c r="R1118" s="637"/>
      <c r="S1118" s="637"/>
      <c r="T1118" s="637"/>
      <c r="U1118" s="637"/>
      <c r="V1118" s="637"/>
      <c r="W1118" s="637"/>
      <c r="X1118" s="637"/>
      <c r="Y1118" s="637"/>
      <c r="Z1118" s="637"/>
      <c r="AA1118" s="637"/>
      <c r="AB1118" s="637"/>
      <c r="AC1118" s="637"/>
      <c r="AD1118" s="647"/>
      <c r="AE1118" s="606"/>
      <c r="AF1118" s="606"/>
      <c r="AG1118" s="606"/>
      <c r="AH1118" s="606"/>
    </row>
    <row r="1119" spans="1:34" s="612" customFormat="1" hidden="1" outlineLevel="3" x14ac:dyDescent="0.2">
      <c r="A1119" s="606"/>
      <c r="B1119" s="606"/>
      <c r="C1119" s="607"/>
      <c r="D1119" s="608"/>
      <c r="E1119" s="608"/>
      <c r="F1119" s="608"/>
      <c r="G1119" s="608"/>
      <c r="H1119" s="609"/>
      <c r="I1119" s="637"/>
      <c r="J1119" s="637"/>
      <c r="K1119" s="637"/>
      <c r="L1119" s="637"/>
      <c r="M1119" s="637"/>
      <c r="N1119" s="637"/>
      <c r="O1119" s="637"/>
      <c r="P1119" s="637"/>
      <c r="Q1119" s="637"/>
      <c r="R1119" s="637"/>
      <c r="S1119" s="637"/>
      <c r="T1119" s="637"/>
      <c r="U1119" s="637"/>
      <c r="V1119" s="637"/>
      <c r="W1119" s="637"/>
      <c r="X1119" s="637"/>
      <c r="Y1119" s="637"/>
      <c r="Z1119" s="637"/>
      <c r="AA1119" s="637"/>
      <c r="AB1119" s="637"/>
      <c r="AC1119" s="637"/>
      <c r="AD1119" s="647"/>
      <c r="AE1119" s="606"/>
      <c r="AF1119" s="606"/>
      <c r="AG1119" s="606"/>
      <c r="AH1119" s="606"/>
    </row>
    <row r="1120" spans="1:34" s="612" customFormat="1" hidden="1" outlineLevel="3" x14ac:dyDescent="0.2">
      <c r="A1120" s="606"/>
      <c r="B1120" s="606"/>
      <c r="C1120" s="607"/>
      <c r="D1120" s="608"/>
      <c r="E1120" s="608"/>
      <c r="F1120" s="608"/>
      <c r="G1120" s="608"/>
      <c r="H1120" s="609"/>
      <c r="I1120" s="637"/>
      <c r="J1120" s="637"/>
      <c r="K1120" s="637"/>
      <c r="L1120" s="637"/>
      <c r="M1120" s="637"/>
      <c r="N1120" s="637"/>
      <c r="O1120" s="637"/>
      <c r="P1120" s="637"/>
      <c r="Q1120" s="637"/>
      <c r="R1120" s="637"/>
      <c r="S1120" s="637"/>
      <c r="T1120" s="637"/>
      <c r="U1120" s="637"/>
      <c r="V1120" s="637"/>
      <c r="W1120" s="637"/>
      <c r="X1120" s="637"/>
      <c r="Y1120" s="637"/>
      <c r="Z1120" s="637"/>
      <c r="AA1120" s="637"/>
      <c r="AB1120" s="637"/>
      <c r="AC1120" s="637"/>
      <c r="AD1120" s="647"/>
      <c r="AE1120" s="606"/>
      <c r="AF1120" s="606"/>
      <c r="AG1120" s="606"/>
      <c r="AH1120" s="606"/>
    </row>
    <row r="1121" spans="1:34" s="612" customFormat="1" hidden="1" outlineLevel="3" x14ac:dyDescent="0.2">
      <c r="A1121" s="606"/>
      <c r="B1121" s="606"/>
      <c r="C1121" s="607"/>
      <c r="D1121" s="608"/>
      <c r="E1121" s="608"/>
      <c r="F1121" s="608"/>
      <c r="G1121" s="608"/>
      <c r="H1121" s="609"/>
      <c r="I1121" s="637"/>
      <c r="J1121" s="637"/>
      <c r="K1121" s="637"/>
      <c r="L1121" s="637"/>
      <c r="M1121" s="637"/>
      <c r="N1121" s="637"/>
      <c r="O1121" s="637"/>
      <c r="P1121" s="637"/>
      <c r="Q1121" s="637"/>
      <c r="R1121" s="637"/>
      <c r="S1121" s="637"/>
      <c r="T1121" s="637"/>
      <c r="U1121" s="637"/>
      <c r="V1121" s="637"/>
      <c r="W1121" s="637"/>
      <c r="X1121" s="637"/>
      <c r="Y1121" s="637"/>
      <c r="Z1121" s="637"/>
      <c r="AA1121" s="637"/>
      <c r="AB1121" s="637"/>
      <c r="AC1121" s="637"/>
      <c r="AD1121" s="647"/>
      <c r="AE1121" s="606"/>
      <c r="AF1121" s="606"/>
      <c r="AG1121" s="606"/>
      <c r="AH1121" s="606"/>
    </row>
    <row r="1122" spans="1:34" s="612" customFormat="1" hidden="1" outlineLevel="3" x14ac:dyDescent="0.2">
      <c r="A1122" s="606"/>
      <c r="B1122" s="606"/>
      <c r="C1122" s="607"/>
      <c r="D1122" s="608"/>
      <c r="E1122" s="608"/>
      <c r="F1122" s="608"/>
      <c r="G1122" s="608"/>
      <c r="H1122" s="609"/>
      <c r="I1122" s="637"/>
      <c r="J1122" s="637"/>
      <c r="K1122" s="637"/>
      <c r="L1122" s="637"/>
      <c r="M1122" s="637"/>
      <c r="N1122" s="637"/>
      <c r="O1122" s="637"/>
      <c r="P1122" s="637"/>
      <c r="Q1122" s="637"/>
      <c r="R1122" s="637"/>
      <c r="S1122" s="637"/>
      <c r="T1122" s="637"/>
      <c r="U1122" s="637"/>
      <c r="V1122" s="637"/>
      <c r="W1122" s="637"/>
      <c r="X1122" s="637"/>
      <c r="Y1122" s="637"/>
      <c r="Z1122" s="637"/>
      <c r="AA1122" s="637"/>
      <c r="AB1122" s="637"/>
      <c r="AC1122" s="637"/>
      <c r="AD1122" s="647"/>
      <c r="AE1122" s="606"/>
      <c r="AF1122" s="606"/>
      <c r="AG1122" s="606"/>
      <c r="AH1122" s="606"/>
    </row>
    <row r="1123" spans="1:34" s="612" customFormat="1" hidden="1" outlineLevel="3" x14ac:dyDescent="0.2">
      <c r="A1123" s="606"/>
      <c r="B1123" s="606"/>
      <c r="C1123" s="607"/>
      <c r="D1123" s="608"/>
      <c r="E1123" s="608"/>
      <c r="F1123" s="608"/>
      <c r="G1123" s="608"/>
      <c r="H1123" s="609"/>
      <c r="I1123" s="637"/>
      <c r="J1123" s="637"/>
      <c r="K1123" s="637"/>
      <c r="L1123" s="637"/>
      <c r="M1123" s="637"/>
      <c r="N1123" s="637"/>
      <c r="O1123" s="637"/>
      <c r="P1123" s="637"/>
      <c r="Q1123" s="637"/>
      <c r="R1123" s="637"/>
      <c r="S1123" s="637"/>
      <c r="T1123" s="637"/>
      <c r="U1123" s="637"/>
      <c r="V1123" s="637"/>
      <c r="W1123" s="637"/>
      <c r="X1123" s="637"/>
      <c r="Y1123" s="637"/>
      <c r="Z1123" s="637"/>
      <c r="AA1123" s="637"/>
      <c r="AB1123" s="637"/>
      <c r="AC1123" s="637"/>
      <c r="AD1123" s="647"/>
      <c r="AE1123" s="606"/>
      <c r="AF1123" s="606"/>
      <c r="AG1123" s="606"/>
      <c r="AH1123" s="606"/>
    </row>
    <row r="1124" spans="1:34" s="612" customFormat="1" hidden="1" outlineLevel="3" x14ac:dyDescent="0.2">
      <c r="A1124" s="606"/>
      <c r="B1124" s="606"/>
      <c r="C1124" s="607"/>
      <c r="D1124" s="608"/>
      <c r="E1124" s="608"/>
      <c r="F1124" s="608"/>
      <c r="G1124" s="608"/>
      <c r="H1124" s="609"/>
      <c r="I1124" s="637"/>
      <c r="J1124" s="637"/>
      <c r="K1124" s="637"/>
      <c r="L1124" s="637"/>
      <c r="M1124" s="637"/>
      <c r="N1124" s="637"/>
      <c r="O1124" s="637"/>
      <c r="P1124" s="637"/>
      <c r="Q1124" s="637"/>
      <c r="R1124" s="637"/>
      <c r="S1124" s="637"/>
      <c r="T1124" s="637"/>
      <c r="U1124" s="637"/>
      <c r="V1124" s="637"/>
      <c r="W1124" s="637"/>
      <c r="X1124" s="637"/>
      <c r="Y1124" s="637"/>
      <c r="Z1124" s="637"/>
      <c r="AA1124" s="637"/>
      <c r="AB1124" s="637"/>
      <c r="AC1124" s="637"/>
      <c r="AD1124" s="647"/>
      <c r="AE1124" s="606"/>
      <c r="AF1124" s="606"/>
      <c r="AG1124" s="606"/>
      <c r="AH1124" s="606"/>
    </row>
    <row r="1125" spans="1:34" s="612" customFormat="1" hidden="1" outlineLevel="3" x14ac:dyDescent="0.2">
      <c r="A1125" s="606"/>
      <c r="B1125" s="606"/>
      <c r="C1125" s="607"/>
      <c r="D1125" s="608"/>
      <c r="E1125" s="608"/>
      <c r="F1125" s="608"/>
      <c r="G1125" s="608"/>
      <c r="H1125" s="609"/>
      <c r="I1125" s="637"/>
      <c r="J1125" s="637"/>
      <c r="K1125" s="637"/>
      <c r="L1125" s="637"/>
      <c r="M1125" s="637"/>
      <c r="N1125" s="637"/>
      <c r="O1125" s="637"/>
      <c r="P1125" s="637"/>
      <c r="Q1125" s="637"/>
      <c r="R1125" s="637"/>
      <c r="S1125" s="637"/>
      <c r="T1125" s="637"/>
      <c r="U1125" s="637"/>
      <c r="V1125" s="637"/>
      <c r="W1125" s="637"/>
      <c r="X1125" s="637"/>
      <c r="Y1125" s="637"/>
      <c r="Z1125" s="637"/>
      <c r="AA1125" s="637"/>
      <c r="AB1125" s="637"/>
      <c r="AC1125" s="637"/>
      <c r="AD1125" s="647"/>
      <c r="AE1125" s="606"/>
      <c r="AF1125" s="606"/>
      <c r="AG1125" s="606"/>
      <c r="AH1125" s="606"/>
    </row>
    <row r="1126" spans="1:34" s="612" customFormat="1" hidden="1" outlineLevel="3" x14ac:dyDescent="0.2">
      <c r="A1126" s="606"/>
      <c r="B1126" s="606"/>
      <c r="C1126" s="607"/>
      <c r="D1126" s="608"/>
      <c r="E1126" s="608"/>
      <c r="F1126" s="608"/>
      <c r="G1126" s="608"/>
      <c r="H1126" s="609"/>
      <c r="I1126" s="637"/>
      <c r="J1126" s="637"/>
      <c r="K1126" s="637"/>
      <c r="L1126" s="637"/>
      <c r="M1126" s="637"/>
      <c r="N1126" s="637"/>
      <c r="O1126" s="637"/>
      <c r="P1126" s="637"/>
      <c r="Q1126" s="637"/>
      <c r="R1126" s="637"/>
      <c r="S1126" s="637"/>
      <c r="T1126" s="637"/>
      <c r="U1126" s="637"/>
      <c r="V1126" s="637"/>
      <c r="W1126" s="637"/>
      <c r="X1126" s="637"/>
      <c r="Y1126" s="637"/>
      <c r="Z1126" s="637"/>
      <c r="AA1126" s="637"/>
      <c r="AB1126" s="637"/>
      <c r="AC1126" s="637"/>
      <c r="AD1126" s="647"/>
      <c r="AE1126" s="606"/>
      <c r="AF1126" s="606"/>
      <c r="AG1126" s="606"/>
      <c r="AH1126" s="606"/>
    </row>
    <row r="1127" spans="1:34" s="612" customFormat="1" hidden="1" outlineLevel="3" x14ac:dyDescent="0.2">
      <c r="A1127" s="606"/>
      <c r="B1127" s="606"/>
      <c r="C1127" s="607"/>
      <c r="D1127" s="608"/>
      <c r="E1127" s="608"/>
      <c r="F1127" s="608"/>
      <c r="G1127" s="608"/>
      <c r="H1127" s="609"/>
      <c r="I1127" s="637"/>
      <c r="J1127" s="637"/>
      <c r="K1127" s="637"/>
      <c r="L1127" s="637"/>
      <c r="M1127" s="637"/>
      <c r="N1127" s="637"/>
      <c r="O1127" s="637"/>
      <c r="P1127" s="637"/>
      <c r="Q1127" s="637"/>
      <c r="R1127" s="637"/>
      <c r="S1127" s="637"/>
      <c r="T1127" s="637"/>
      <c r="U1127" s="637"/>
      <c r="V1127" s="637"/>
      <c r="W1127" s="637"/>
      <c r="X1127" s="637"/>
      <c r="Y1127" s="637"/>
      <c r="Z1127" s="637"/>
      <c r="AA1127" s="637"/>
      <c r="AB1127" s="637"/>
      <c r="AC1127" s="637"/>
      <c r="AD1127" s="647"/>
      <c r="AE1127" s="606"/>
      <c r="AF1127" s="606"/>
      <c r="AG1127" s="606"/>
      <c r="AH1127" s="606"/>
    </row>
    <row r="1128" spans="1:34" s="612" customFormat="1" hidden="1" outlineLevel="3" x14ac:dyDescent="0.2">
      <c r="A1128" s="606"/>
      <c r="B1128" s="606"/>
      <c r="C1128" s="607"/>
      <c r="D1128" s="608"/>
      <c r="E1128" s="608"/>
      <c r="F1128" s="608"/>
      <c r="G1128" s="608"/>
      <c r="H1128" s="609"/>
      <c r="I1128" s="637"/>
      <c r="J1128" s="637"/>
      <c r="K1128" s="637"/>
      <c r="L1128" s="637"/>
      <c r="M1128" s="637"/>
      <c r="N1128" s="637"/>
      <c r="O1128" s="637"/>
      <c r="P1128" s="637"/>
      <c r="Q1128" s="637"/>
      <c r="R1128" s="637"/>
      <c r="S1128" s="637"/>
      <c r="T1128" s="637"/>
      <c r="U1128" s="637"/>
      <c r="V1128" s="637"/>
      <c r="W1128" s="637"/>
      <c r="X1128" s="637"/>
      <c r="Y1128" s="637"/>
      <c r="Z1128" s="637"/>
      <c r="AA1128" s="637"/>
      <c r="AB1128" s="637"/>
      <c r="AC1128" s="637"/>
      <c r="AD1128" s="647"/>
      <c r="AE1128" s="606"/>
      <c r="AF1128" s="606"/>
      <c r="AG1128" s="606"/>
      <c r="AH1128" s="606"/>
    </row>
    <row r="1129" spans="1:34" s="612" customFormat="1" hidden="1" outlineLevel="3" x14ac:dyDescent="0.2">
      <c r="A1129" s="606"/>
      <c r="B1129" s="606"/>
      <c r="C1129" s="607"/>
      <c r="D1129" s="608"/>
      <c r="E1129" s="608"/>
      <c r="F1129" s="608"/>
      <c r="G1129" s="608"/>
      <c r="H1129" s="609"/>
      <c r="I1129" s="637"/>
      <c r="J1129" s="637"/>
      <c r="K1129" s="637"/>
      <c r="L1129" s="637"/>
      <c r="M1129" s="637"/>
      <c r="N1129" s="637"/>
      <c r="O1129" s="637"/>
      <c r="P1129" s="637"/>
      <c r="Q1129" s="637"/>
      <c r="R1129" s="637"/>
      <c r="S1129" s="637"/>
      <c r="T1129" s="637"/>
      <c r="U1129" s="637"/>
      <c r="V1129" s="637"/>
      <c r="W1129" s="637"/>
      <c r="X1129" s="637"/>
      <c r="Y1129" s="637"/>
      <c r="Z1129" s="637"/>
      <c r="AA1129" s="637"/>
      <c r="AB1129" s="637"/>
      <c r="AC1129" s="637"/>
      <c r="AD1129" s="647"/>
      <c r="AE1129" s="606"/>
      <c r="AF1129" s="606"/>
      <c r="AG1129" s="606"/>
      <c r="AH1129" s="606"/>
    </row>
    <row r="1130" spans="1:34" s="612" customFormat="1" hidden="1" outlineLevel="3" x14ac:dyDescent="0.2">
      <c r="A1130" s="606"/>
      <c r="B1130" s="606"/>
      <c r="C1130" s="607"/>
      <c r="D1130" s="608"/>
      <c r="E1130" s="608"/>
      <c r="F1130" s="608"/>
      <c r="G1130" s="608"/>
      <c r="H1130" s="609"/>
      <c r="I1130" s="637"/>
      <c r="J1130" s="637"/>
      <c r="K1130" s="637"/>
      <c r="L1130" s="637"/>
      <c r="M1130" s="637"/>
      <c r="N1130" s="637"/>
      <c r="O1130" s="637"/>
      <c r="P1130" s="637"/>
      <c r="Q1130" s="637"/>
      <c r="R1130" s="637"/>
      <c r="S1130" s="637"/>
      <c r="T1130" s="637"/>
      <c r="U1130" s="637"/>
      <c r="V1130" s="637"/>
      <c r="W1130" s="637"/>
      <c r="X1130" s="637"/>
      <c r="Y1130" s="637"/>
      <c r="Z1130" s="637"/>
      <c r="AA1130" s="637"/>
      <c r="AB1130" s="637"/>
      <c r="AC1130" s="637"/>
      <c r="AD1130" s="647"/>
      <c r="AE1130" s="606"/>
      <c r="AF1130" s="606"/>
      <c r="AG1130" s="606"/>
      <c r="AH1130" s="606"/>
    </row>
    <row r="1131" spans="1:34" s="612" customFormat="1" hidden="1" outlineLevel="3" x14ac:dyDescent="0.2">
      <c r="A1131" s="606"/>
      <c r="B1131" s="606"/>
      <c r="C1131" s="607"/>
      <c r="D1131" s="608"/>
      <c r="E1131" s="608"/>
      <c r="F1131" s="608"/>
      <c r="G1131" s="608"/>
      <c r="H1131" s="609"/>
      <c r="I1131" s="637"/>
      <c r="J1131" s="637"/>
      <c r="K1131" s="637"/>
      <c r="L1131" s="637"/>
      <c r="M1131" s="637"/>
      <c r="N1131" s="637"/>
      <c r="O1131" s="637"/>
      <c r="P1131" s="637"/>
      <c r="Q1131" s="637"/>
      <c r="R1131" s="637"/>
      <c r="S1131" s="637"/>
      <c r="T1131" s="637"/>
      <c r="U1131" s="637"/>
      <c r="V1131" s="637"/>
      <c r="W1131" s="637"/>
      <c r="X1131" s="637"/>
      <c r="Y1131" s="637"/>
      <c r="Z1131" s="637"/>
      <c r="AA1131" s="637"/>
      <c r="AB1131" s="637"/>
      <c r="AC1131" s="637"/>
      <c r="AD1131" s="647"/>
      <c r="AE1131" s="606"/>
      <c r="AF1131" s="606"/>
      <c r="AG1131" s="606"/>
      <c r="AH1131" s="606"/>
    </row>
    <row r="1132" spans="1:34" s="612" customFormat="1" hidden="1" outlineLevel="3" x14ac:dyDescent="0.2">
      <c r="A1132" s="606"/>
      <c r="B1132" s="606"/>
      <c r="C1132" s="607"/>
      <c r="D1132" s="608"/>
      <c r="E1132" s="608"/>
      <c r="F1132" s="608"/>
      <c r="G1132" s="608"/>
      <c r="H1132" s="609"/>
      <c r="I1132" s="637"/>
      <c r="J1132" s="637"/>
      <c r="K1132" s="637"/>
      <c r="L1132" s="637"/>
      <c r="M1132" s="637"/>
      <c r="N1132" s="637"/>
      <c r="O1132" s="637"/>
      <c r="P1132" s="637"/>
      <c r="Q1132" s="637"/>
      <c r="R1132" s="637"/>
      <c r="S1132" s="637"/>
      <c r="T1132" s="637"/>
      <c r="U1132" s="637"/>
      <c r="V1132" s="637"/>
      <c r="W1132" s="637"/>
      <c r="X1132" s="637"/>
      <c r="Y1132" s="637"/>
      <c r="Z1132" s="637"/>
      <c r="AA1132" s="637"/>
      <c r="AB1132" s="637"/>
      <c r="AC1132" s="637"/>
      <c r="AD1132" s="647"/>
      <c r="AE1132" s="606"/>
      <c r="AF1132" s="606"/>
      <c r="AG1132" s="606"/>
      <c r="AH1132" s="606"/>
    </row>
    <row r="1133" spans="1:34" s="612" customFormat="1" hidden="1" outlineLevel="3" x14ac:dyDescent="0.2">
      <c r="A1133" s="606"/>
      <c r="B1133" s="606"/>
      <c r="C1133" s="607"/>
      <c r="D1133" s="608"/>
      <c r="E1133" s="608"/>
      <c r="F1133" s="608"/>
      <c r="G1133" s="608"/>
      <c r="H1133" s="609"/>
      <c r="I1133" s="637"/>
      <c r="J1133" s="637"/>
      <c r="K1133" s="637"/>
      <c r="L1133" s="637"/>
      <c r="M1133" s="637"/>
      <c r="N1133" s="637"/>
      <c r="O1133" s="637"/>
      <c r="P1133" s="637"/>
      <c r="Q1133" s="637"/>
      <c r="R1133" s="637"/>
      <c r="S1133" s="637"/>
      <c r="T1133" s="637"/>
      <c r="U1133" s="637"/>
      <c r="V1133" s="637"/>
      <c r="W1133" s="637"/>
      <c r="X1133" s="637"/>
      <c r="Y1133" s="637"/>
      <c r="Z1133" s="637"/>
      <c r="AA1133" s="637"/>
      <c r="AB1133" s="637"/>
      <c r="AC1133" s="637"/>
      <c r="AD1133" s="647"/>
      <c r="AE1133" s="606"/>
      <c r="AF1133" s="606"/>
      <c r="AG1133" s="606"/>
      <c r="AH1133" s="606"/>
    </row>
    <row r="1134" spans="1:34" s="612" customFormat="1" hidden="1" outlineLevel="3" x14ac:dyDescent="0.2">
      <c r="A1134" s="606"/>
      <c r="B1134" s="606"/>
      <c r="C1134" s="607"/>
      <c r="D1134" s="608"/>
      <c r="E1134" s="608"/>
      <c r="F1134" s="608"/>
      <c r="G1134" s="608"/>
      <c r="H1134" s="609"/>
      <c r="I1134" s="637"/>
      <c r="J1134" s="637"/>
      <c r="K1134" s="637"/>
      <c r="L1134" s="637"/>
      <c r="M1134" s="637"/>
      <c r="N1134" s="637"/>
      <c r="O1134" s="637"/>
      <c r="P1134" s="637"/>
      <c r="Q1134" s="637"/>
      <c r="R1134" s="637"/>
      <c r="S1134" s="637"/>
      <c r="T1134" s="637"/>
      <c r="U1134" s="637"/>
      <c r="V1134" s="637"/>
      <c r="W1134" s="637"/>
      <c r="X1134" s="637"/>
      <c r="Y1134" s="637"/>
      <c r="Z1134" s="637"/>
      <c r="AA1134" s="637"/>
      <c r="AB1134" s="637"/>
      <c r="AC1134" s="637"/>
      <c r="AD1134" s="647"/>
      <c r="AE1134" s="606"/>
      <c r="AF1134" s="606"/>
      <c r="AG1134" s="606"/>
      <c r="AH1134" s="606"/>
    </row>
    <row r="1135" spans="1:34" s="612" customFormat="1" hidden="1" outlineLevel="3" x14ac:dyDescent="0.2">
      <c r="A1135" s="606"/>
      <c r="B1135" s="606"/>
      <c r="C1135" s="607"/>
      <c r="D1135" s="608"/>
      <c r="E1135" s="608"/>
      <c r="F1135" s="608"/>
      <c r="G1135" s="608"/>
      <c r="H1135" s="609"/>
      <c r="I1135" s="637"/>
      <c r="J1135" s="637"/>
      <c r="K1135" s="637"/>
      <c r="L1135" s="637"/>
      <c r="M1135" s="637"/>
      <c r="N1135" s="637"/>
      <c r="O1135" s="637"/>
      <c r="P1135" s="637"/>
      <c r="Q1135" s="637"/>
      <c r="R1135" s="637"/>
      <c r="S1135" s="637"/>
      <c r="T1135" s="637"/>
      <c r="U1135" s="637"/>
      <c r="V1135" s="637"/>
      <c r="W1135" s="637"/>
      <c r="X1135" s="637"/>
      <c r="Y1135" s="637"/>
      <c r="Z1135" s="637"/>
      <c r="AA1135" s="637"/>
      <c r="AB1135" s="637"/>
      <c r="AC1135" s="637"/>
      <c r="AD1135" s="647"/>
      <c r="AE1135" s="606"/>
      <c r="AF1135" s="606"/>
      <c r="AG1135" s="606"/>
      <c r="AH1135" s="606"/>
    </row>
    <row r="1136" spans="1:34" s="612" customFormat="1" hidden="1" outlineLevel="3" x14ac:dyDescent="0.2">
      <c r="A1136" s="606"/>
      <c r="B1136" s="606"/>
      <c r="C1136" s="607"/>
      <c r="D1136" s="608"/>
      <c r="E1136" s="608"/>
      <c r="F1136" s="608"/>
      <c r="G1136" s="608"/>
      <c r="H1136" s="609"/>
      <c r="I1136" s="637"/>
      <c r="J1136" s="637"/>
      <c r="K1136" s="637"/>
      <c r="L1136" s="637"/>
      <c r="M1136" s="637"/>
      <c r="N1136" s="637"/>
      <c r="O1136" s="637"/>
      <c r="P1136" s="637"/>
      <c r="Q1136" s="637"/>
      <c r="R1136" s="637"/>
      <c r="S1136" s="637"/>
      <c r="T1136" s="637"/>
      <c r="U1136" s="637"/>
      <c r="V1136" s="637"/>
      <c r="W1136" s="637"/>
      <c r="X1136" s="637"/>
      <c r="Y1136" s="637"/>
      <c r="Z1136" s="637"/>
      <c r="AA1136" s="637"/>
      <c r="AB1136" s="637"/>
      <c r="AC1136" s="637"/>
      <c r="AD1136" s="647"/>
      <c r="AE1136" s="606"/>
      <c r="AF1136" s="606"/>
      <c r="AG1136" s="606"/>
      <c r="AH1136" s="606"/>
    </row>
    <row r="1137" spans="1:34" s="612" customFormat="1" hidden="1" outlineLevel="3" x14ac:dyDescent="0.2">
      <c r="A1137" s="606"/>
      <c r="B1137" s="606"/>
      <c r="C1137" s="607"/>
      <c r="D1137" s="608"/>
      <c r="E1137" s="608"/>
      <c r="F1137" s="608"/>
      <c r="G1137" s="608"/>
      <c r="H1137" s="609"/>
      <c r="I1137" s="637"/>
      <c r="J1137" s="637"/>
      <c r="K1137" s="637"/>
      <c r="L1137" s="637"/>
      <c r="M1137" s="637"/>
      <c r="N1137" s="637"/>
      <c r="O1137" s="637"/>
      <c r="P1137" s="637"/>
      <c r="Q1137" s="637"/>
      <c r="R1137" s="637"/>
      <c r="S1137" s="637"/>
      <c r="T1137" s="637"/>
      <c r="U1137" s="637"/>
      <c r="V1137" s="637"/>
      <c r="W1137" s="637"/>
      <c r="X1137" s="637"/>
      <c r="Y1137" s="637"/>
      <c r="Z1137" s="637"/>
      <c r="AA1137" s="637"/>
      <c r="AB1137" s="637"/>
      <c r="AC1137" s="637"/>
      <c r="AD1137" s="647"/>
      <c r="AE1137" s="606"/>
      <c r="AF1137" s="606"/>
      <c r="AG1137" s="606"/>
      <c r="AH1137" s="606"/>
    </row>
    <row r="1138" spans="1:34" s="612" customFormat="1" hidden="1" outlineLevel="3" x14ac:dyDescent="0.2">
      <c r="A1138" s="606"/>
      <c r="B1138" s="606"/>
      <c r="C1138" s="607"/>
      <c r="D1138" s="608"/>
      <c r="E1138" s="608"/>
      <c r="F1138" s="608"/>
      <c r="G1138" s="608"/>
      <c r="H1138" s="609"/>
      <c r="I1138" s="637"/>
      <c r="J1138" s="637"/>
      <c r="K1138" s="637"/>
      <c r="L1138" s="637"/>
      <c r="M1138" s="637"/>
      <c r="N1138" s="637"/>
      <c r="O1138" s="637"/>
      <c r="P1138" s="637"/>
      <c r="Q1138" s="637"/>
      <c r="R1138" s="637"/>
      <c r="S1138" s="637"/>
      <c r="T1138" s="637"/>
      <c r="U1138" s="637"/>
      <c r="V1138" s="637"/>
      <c r="W1138" s="637"/>
      <c r="X1138" s="637"/>
      <c r="Y1138" s="637"/>
      <c r="Z1138" s="637"/>
      <c r="AA1138" s="637"/>
      <c r="AB1138" s="637"/>
      <c r="AC1138" s="637"/>
      <c r="AD1138" s="647"/>
      <c r="AE1138" s="606"/>
      <c r="AF1138" s="606"/>
      <c r="AG1138" s="606"/>
      <c r="AH1138" s="606"/>
    </row>
    <row r="1139" spans="1:34" s="612" customFormat="1" hidden="1" outlineLevel="3" x14ac:dyDescent="0.2">
      <c r="A1139" s="606"/>
      <c r="B1139" s="606"/>
      <c r="C1139" s="607"/>
      <c r="D1139" s="608"/>
      <c r="E1139" s="608"/>
      <c r="F1139" s="608"/>
      <c r="G1139" s="608"/>
      <c r="H1139" s="609"/>
      <c r="I1139" s="637"/>
      <c r="J1139" s="637"/>
      <c r="K1139" s="637"/>
      <c r="L1139" s="637"/>
      <c r="M1139" s="637"/>
      <c r="N1139" s="637"/>
      <c r="O1139" s="637"/>
      <c r="P1139" s="637"/>
      <c r="Q1139" s="637"/>
      <c r="R1139" s="637"/>
      <c r="S1139" s="637"/>
      <c r="T1139" s="637"/>
      <c r="U1139" s="637"/>
      <c r="V1139" s="637"/>
      <c r="W1139" s="637"/>
      <c r="X1139" s="637"/>
      <c r="Y1139" s="637"/>
      <c r="Z1139" s="637"/>
      <c r="AA1139" s="637"/>
      <c r="AB1139" s="637"/>
      <c r="AC1139" s="637"/>
      <c r="AD1139" s="647"/>
      <c r="AE1139" s="606"/>
      <c r="AF1139" s="606"/>
      <c r="AG1139" s="606"/>
      <c r="AH1139" s="606"/>
    </row>
    <row r="1140" spans="1:34" s="612" customFormat="1" hidden="1" outlineLevel="3" x14ac:dyDescent="0.2">
      <c r="A1140" s="606"/>
      <c r="B1140" s="606"/>
      <c r="C1140" s="607"/>
      <c r="D1140" s="608"/>
      <c r="E1140" s="608"/>
      <c r="F1140" s="608"/>
      <c r="G1140" s="608"/>
      <c r="H1140" s="609"/>
      <c r="I1140" s="637"/>
      <c r="J1140" s="637"/>
      <c r="K1140" s="637"/>
      <c r="L1140" s="637"/>
      <c r="M1140" s="637"/>
      <c r="N1140" s="637"/>
      <c r="O1140" s="637"/>
      <c r="P1140" s="637"/>
      <c r="Q1140" s="637"/>
      <c r="R1140" s="637"/>
      <c r="S1140" s="637"/>
      <c r="T1140" s="637"/>
      <c r="U1140" s="637"/>
      <c r="V1140" s="637"/>
      <c r="W1140" s="637"/>
      <c r="X1140" s="637"/>
      <c r="Y1140" s="637"/>
      <c r="Z1140" s="637"/>
      <c r="AA1140" s="637"/>
      <c r="AB1140" s="637"/>
      <c r="AC1140" s="637"/>
      <c r="AD1140" s="647"/>
      <c r="AE1140" s="606"/>
      <c r="AF1140" s="606"/>
      <c r="AG1140" s="606"/>
      <c r="AH1140" s="606"/>
    </row>
    <row r="1141" spans="1:34" s="612" customFormat="1" hidden="1" outlineLevel="3" x14ac:dyDescent="0.2">
      <c r="A1141" s="606"/>
      <c r="B1141" s="606"/>
      <c r="C1141" s="607"/>
      <c r="D1141" s="608"/>
      <c r="E1141" s="608"/>
      <c r="F1141" s="608"/>
      <c r="G1141" s="608"/>
      <c r="H1141" s="609"/>
      <c r="I1141" s="637"/>
      <c r="J1141" s="637"/>
      <c r="K1141" s="637"/>
      <c r="L1141" s="637"/>
      <c r="M1141" s="637"/>
      <c r="N1141" s="637"/>
      <c r="O1141" s="637"/>
      <c r="P1141" s="637"/>
      <c r="Q1141" s="637"/>
      <c r="R1141" s="637"/>
      <c r="S1141" s="637"/>
      <c r="T1141" s="637"/>
      <c r="U1141" s="637"/>
      <c r="V1141" s="637"/>
      <c r="W1141" s="637"/>
      <c r="X1141" s="637"/>
      <c r="Y1141" s="637"/>
      <c r="Z1141" s="637"/>
      <c r="AA1141" s="637"/>
      <c r="AB1141" s="637"/>
      <c r="AC1141" s="637"/>
      <c r="AD1141" s="647"/>
      <c r="AE1141" s="606"/>
      <c r="AF1141" s="606"/>
      <c r="AG1141" s="606"/>
      <c r="AH1141" s="606"/>
    </row>
    <row r="1142" spans="1:34" s="612" customFormat="1" hidden="1" outlineLevel="3" x14ac:dyDescent="0.2">
      <c r="A1142" s="606"/>
      <c r="B1142" s="606"/>
      <c r="C1142" s="607"/>
      <c r="D1142" s="608"/>
      <c r="E1142" s="608"/>
      <c r="F1142" s="608"/>
      <c r="G1142" s="608"/>
      <c r="H1142" s="609"/>
      <c r="I1142" s="637"/>
      <c r="J1142" s="637"/>
      <c r="K1142" s="637"/>
      <c r="L1142" s="637"/>
      <c r="M1142" s="637"/>
      <c r="N1142" s="637"/>
      <c r="O1142" s="637"/>
      <c r="P1142" s="637"/>
      <c r="Q1142" s="637"/>
      <c r="R1142" s="637"/>
      <c r="S1142" s="637"/>
      <c r="T1142" s="637"/>
      <c r="U1142" s="637"/>
      <c r="V1142" s="637"/>
      <c r="W1142" s="637"/>
      <c r="X1142" s="637"/>
      <c r="Y1142" s="637"/>
      <c r="Z1142" s="637"/>
      <c r="AA1142" s="637"/>
      <c r="AB1142" s="637"/>
      <c r="AC1142" s="637"/>
      <c r="AD1142" s="647"/>
      <c r="AE1142" s="606"/>
      <c r="AF1142" s="606"/>
      <c r="AG1142" s="606"/>
      <c r="AH1142" s="606"/>
    </row>
    <row r="1143" spans="1:34" s="612" customFormat="1" hidden="1" outlineLevel="3" x14ac:dyDescent="0.2">
      <c r="A1143" s="606"/>
      <c r="B1143" s="606"/>
      <c r="C1143" s="607"/>
      <c r="D1143" s="608"/>
      <c r="E1143" s="608"/>
      <c r="F1143" s="608"/>
      <c r="G1143" s="608"/>
      <c r="H1143" s="609"/>
      <c r="I1143" s="637"/>
      <c r="J1143" s="637"/>
      <c r="K1143" s="637"/>
      <c r="L1143" s="637"/>
      <c r="M1143" s="637"/>
      <c r="N1143" s="637"/>
      <c r="O1143" s="637"/>
      <c r="P1143" s="637"/>
      <c r="Q1143" s="637"/>
      <c r="R1143" s="637"/>
      <c r="S1143" s="637"/>
      <c r="T1143" s="637"/>
      <c r="U1143" s="637"/>
      <c r="V1143" s="637"/>
      <c r="W1143" s="637"/>
      <c r="X1143" s="637"/>
      <c r="Y1143" s="637"/>
      <c r="Z1143" s="637"/>
      <c r="AA1143" s="637"/>
      <c r="AB1143" s="637"/>
      <c r="AC1143" s="637"/>
      <c r="AD1143" s="647"/>
      <c r="AE1143" s="606"/>
      <c r="AF1143" s="606"/>
      <c r="AG1143" s="606"/>
      <c r="AH1143" s="606"/>
    </row>
    <row r="1144" spans="1:34" s="612" customFormat="1" hidden="1" outlineLevel="3" x14ac:dyDescent="0.2">
      <c r="A1144" s="606"/>
      <c r="B1144" s="606"/>
      <c r="C1144" s="607"/>
      <c r="D1144" s="608"/>
      <c r="E1144" s="608"/>
      <c r="F1144" s="608"/>
      <c r="G1144" s="608"/>
      <c r="H1144" s="609"/>
      <c r="I1144" s="637"/>
      <c r="J1144" s="637"/>
      <c r="K1144" s="637"/>
      <c r="L1144" s="637"/>
      <c r="M1144" s="637"/>
      <c r="N1144" s="637"/>
      <c r="O1144" s="637"/>
      <c r="P1144" s="637"/>
      <c r="Q1144" s="637"/>
      <c r="R1144" s="637"/>
      <c r="S1144" s="637"/>
      <c r="T1144" s="637"/>
      <c r="U1144" s="637"/>
      <c r="V1144" s="637"/>
      <c r="W1144" s="637"/>
      <c r="X1144" s="637"/>
      <c r="Y1144" s="637"/>
      <c r="Z1144" s="637"/>
      <c r="AA1144" s="637"/>
      <c r="AB1144" s="637"/>
      <c r="AC1144" s="637"/>
      <c r="AD1144" s="647"/>
      <c r="AE1144" s="606"/>
      <c r="AF1144" s="606"/>
      <c r="AG1144" s="606"/>
      <c r="AH1144" s="606"/>
    </row>
    <row r="1145" spans="1:34" s="612" customFormat="1" hidden="1" outlineLevel="3" x14ac:dyDescent="0.2">
      <c r="A1145" s="606"/>
      <c r="B1145" s="606"/>
      <c r="C1145" s="607"/>
      <c r="D1145" s="608"/>
      <c r="E1145" s="608"/>
      <c r="F1145" s="608"/>
      <c r="G1145" s="608"/>
      <c r="H1145" s="609"/>
      <c r="I1145" s="637"/>
      <c r="J1145" s="637"/>
      <c r="K1145" s="637"/>
      <c r="L1145" s="637"/>
      <c r="M1145" s="637"/>
      <c r="N1145" s="637"/>
      <c r="O1145" s="637"/>
      <c r="P1145" s="637"/>
      <c r="Q1145" s="637"/>
      <c r="R1145" s="637"/>
      <c r="S1145" s="637"/>
      <c r="T1145" s="637"/>
      <c r="U1145" s="637"/>
      <c r="V1145" s="637"/>
      <c r="W1145" s="637"/>
      <c r="X1145" s="637"/>
      <c r="Y1145" s="637"/>
      <c r="Z1145" s="637"/>
      <c r="AA1145" s="637"/>
      <c r="AB1145" s="637"/>
      <c r="AC1145" s="637"/>
      <c r="AD1145" s="647"/>
      <c r="AE1145" s="606"/>
      <c r="AF1145" s="606"/>
      <c r="AG1145" s="606"/>
      <c r="AH1145" s="606"/>
    </row>
    <row r="1146" spans="1:34" s="612" customFormat="1" hidden="1" outlineLevel="3" x14ac:dyDescent="0.2">
      <c r="A1146" s="606"/>
      <c r="B1146" s="606"/>
      <c r="C1146" s="607"/>
      <c r="D1146" s="608"/>
      <c r="E1146" s="608"/>
      <c r="F1146" s="608"/>
      <c r="G1146" s="608"/>
      <c r="H1146" s="609"/>
      <c r="I1146" s="637"/>
      <c r="J1146" s="637"/>
      <c r="K1146" s="637"/>
      <c r="L1146" s="637"/>
      <c r="M1146" s="637"/>
      <c r="N1146" s="637"/>
      <c r="O1146" s="637"/>
      <c r="P1146" s="637"/>
      <c r="Q1146" s="637"/>
      <c r="R1146" s="637"/>
      <c r="S1146" s="637"/>
      <c r="T1146" s="637"/>
      <c r="U1146" s="637"/>
      <c r="V1146" s="637"/>
      <c r="W1146" s="637"/>
      <c r="X1146" s="637"/>
      <c r="Y1146" s="637"/>
      <c r="Z1146" s="637"/>
      <c r="AA1146" s="637"/>
      <c r="AB1146" s="637"/>
      <c r="AC1146" s="637"/>
      <c r="AD1146" s="647"/>
      <c r="AE1146" s="606"/>
      <c r="AF1146" s="606"/>
      <c r="AG1146" s="606"/>
      <c r="AH1146" s="606"/>
    </row>
    <row r="1147" spans="1:34" s="612" customFormat="1" hidden="1" outlineLevel="3" x14ac:dyDescent="0.2">
      <c r="A1147" s="606"/>
      <c r="B1147" s="606"/>
      <c r="C1147" s="607"/>
      <c r="D1147" s="608"/>
      <c r="E1147" s="608"/>
      <c r="F1147" s="608"/>
      <c r="G1147" s="608"/>
      <c r="H1147" s="609"/>
      <c r="I1147" s="637"/>
      <c r="J1147" s="637"/>
      <c r="K1147" s="637"/>
      <c r="L1147" s="637"/>
      <c r="M1147" s="637"/>
      <c r="N1147" s="637"/>
      <c r="O1147" s="637"/>
      <c r="P1147" s="637"/>
      <c r="Q1147" s="637"/>
      <c r="R1147" s="637"/>
      <c r="S1147" s="637"/>
      <c r="T1147" s="637"/>
      <c r="U1147" s="637"/>
      <c r="V1147" s="637"/>
      <c r="W1147" s="637"/>
      <c r="X1147" s="637"/>
      <c r="Y1147" s="637"/>
      <c r="Z1147" s="637"/>
      <c r="AA1147" s="637"/>
      <c r="AB1147" s="637"/>
      <c r="AC1147" s="637"/>
      <c r="AD1147" s="647"/>
      <c r="AE1147" s="606"/>
      <c r="AF1147" s="606"/>
      <c r="AG1147" s="606"/>
      <c r="AH1147" s="606"/>
    </row>
    <row r="1148" spans="1:34" s="612" customFormat="1" hidden="1" outlineLevel="3" x14ac:dyDescent="0.2">
      <c r="A1148" s="606"/>
      <c r="B1148" s="606"/>
      <c r="C1148" s="607"/>
      <c r="D1148" s="608"/>
      <c r="E1148" s="608"/>
      <c r="F1148" s="608"/>
      <c r="G1148" s="608"/>
      <c r="H1148" s="609"/>
      <c r="I1148" s="637"/>
      <c r="J1148" s="637"/>
      <c r="K1148" s="637"/>
      <c r="L1148" s="637"/>
      <c r="M1148" s="637"/>
      <c r="N1148" s="637"/>
      <c r="O1148" s="637"/>
      <c r="P1148" s="637"/>
      <c r="Q1148" s="637"/>
      <c r="R1148" s="637"/>
      <c r="S1148" s="637"/>
      <c r="T1148" s="637"/>
      <c r="U1148" s="637"/>
      <c r="V1148" s="637"/>
      <c r="W1148" s="637"/>
      <c r="X1148" s="637"/>
      <c r="Y1148" s="637"/>
      <c r="Z1148" s="637"/>
      <c r="AA1148" s="637"/>
      <c r="AB1148" s="637"/>
      <c r="AC1148" s="637"/>
      <c r="AD1148" s="647"/>
      <c r="AE1148" s="606"/>
      <c r="AF1148" s="606"/>
      <c r="AG1148" s="606"/>
      <c r="AH1148" s="606"/>
    </row>
    <row r="1149" spans="1:34" s="612" customFormat="1" hidden="1" outlineLevel="3" x14ac:dyDescent="0.2">
      <c r="A1149" s="606"/>
      <c r="B1149" s="606"/>
      <c r="C1149" s="607"/>
      <c r="D1149" s="608"/>
      <c r="E1149" s="608"/>
      <c r="F1149" s="608"/>
      <c r="G1149" s="608"/>
      <c r="H1149" s="609"/>
      <c r="I1149" s="637"/>
      <c r="J1149" s="637"/>
      <c r="K1149" s="637"/>
      <c r="L1149" s="637"/>
      <c r="M1149" s="637"/>
      <c r="N1149" s="637"/>
      <c r="O1149" s="637"/>
      <c r="P1149" s="637"/>
      <c r="Q1149" s="637"/>
      <c r="R1149" s="637"/>
      <c r="S1149" s="637"/>
      <c r="T1149" s="637"/>
      <c r="U1149" s="637"/>
      <c r="V1149" s="637"/>
      <c r="W1149" s="637"/>
      <c r="X1149" s="637"/>
      <c r="Y1149" s="637"/>
      <c r="Z1149" s="637"/>
      <c r="AA1149" s="637"/>
      <c r="AB1149" s="637"/>
      <c r="AC1149" s="637"/>
      <c r="AD1149" s="647"/>
      <c r="AE1149" s="606"/>
      <c r="AF1149" s="606"/>
      <c r="AG1149" s="606"/>
      <c r="AH1149" s="606"/>
    </row>
    <row r="1150" spans="1:34" s="612" customFormat="1" hidden="1" outlineLevel="3" x14ac:dyDescent="0.2">
      <c r="A1150" s="606"/>
      <c r="B1150" s="606"/>
      <c r="C1150" s="607"/>
      <c r="D1150" s="608"/>
      <c r="E1150" s="608"/>
      <c r="F1150" s="608"/>
      <c r="G1150" s="608"/>
      <c r="H1150" s="609"/>
      <c r="I1150" s="637"/>
      <c r="J1150" s="637"/>
      <c r="K1150" s="637"/>
      <c r="L1150" s="637"/>
      <c r="M1150" s="637"/>
      <c r="N1150" s="637"/>
      <c r="O1150" s="637"/>
      <c r="P1150" s="637"/>
      <c r="Q1150" s="637"/>
      <c r="R1150" s="637"/>
      <c r="S1150" s="637"/>
      <c r="T1150" s="637"/>
      <c r="U1150" s="637"/>
      <c r="V1150" s="637"/>
      <c r="W1150" s="637"/>
      <c r="X1150" s="637"/>
      <c r="Y1150" s="637"/>
      <c r="Z1150" s="637"/>
      <c r="AA1150" s="637"/>
      <c r="AB1150" s="637"/>
      <c r="AC1150" s="637"/>
      <c r="AD1150" s="647"/>
      <c r="AE1150" s="606"/>
      <c r="AF1150" s="606"/>
      <c r="AG1150" s="606"/>
      <c r="AH1150" s="606"/>
    </row>
    <row r="1151" spans="1:34" s="612" customFormat="1" hidden="1" outlineLevel="3" x14ac:dyDescent="0.2">
      <c r="A1151" s="606"/>
      <c r="B1151" s="606"/>
      <c r="C1151" s="607"/>
      <c r="D1151" s="608"/>
      <c r="E1151" s="608"/>
      <c r="F1151" s="608"/>
      <c r="G1151" s="608"/>
      <c r="H1151" s="609"/>
      <c r="I1151" s="637"/>
      <c r="J1151" s="637"/>
      <c r="K1151" s="637"/>
      <c r="L1151" s="637"/>
      <c r="M1151" s="637"/>
      <c r="N1151" s="637"/>
      <c r="O1151" s="637"/>
      <c r="P1151" s="637"/>
      <c r="Q1151" s="637"/>
      <c r="R1151" s="637"/>
      <c r="S1151" s="637"/>
      <c r="T1151" s="637"/>
      <c r="U1151" s="637"/>
      <c r="V1151" s="637"/>
      <c r="W1151" s="637"/>
      <c r="X1151" s="637"/>
      <c r="Y1151" s="637"/>
      <c r="Z1151" s="637"/>
      <c r="AA1151" s="637"/>
      <c r="AB1151" s="637"/>
      <c r="AC1151" s="637"/>
      <c r="AD1151" s="647"/>
      <c r="AE1151" s="606"/>
      <c r="AF1151" s="606"/>
      <c r="AG1151" s="606"/>
      <c r="AH1151" s="606"/>
    </row>
    <row r="1152" spans="1:34" s="612" customFormat="1" hidden="1" outlineLevel="3" x14ac:dyDescent="0.2">
      <c r="A1152" s="606"/>
      <c r="B1152" s="606"/>
      <c r="C1152" s="607"/>
      <c r="D1152" s="608"/>
      <c r="E1152" s="608"/>
      <c r="F1152" s="608"/>
      <c r="G1152" s="608"/>
      <c r="H1152" s="609"/>
      <c r="I1152" s="637"/>
      <c r="J1152" s="637"/>
      <c r="K1152" s="637"/>
      <c r="L1152" s="637"/>
      <c r="M1152" s="637"/>
      <c r="N1152" s="637"/>
      <c r="O1152" s="637"/>
      <c r="P1152" s="637"/>
      <c r="Q1152" s="637"/>
      <c r="R1152" s="637"/>
      <c r="S1152" s="637"/>
      <c r="T1152" s="637"/>
      <c r="U1152" s="637"/>
      <c r="V1152" s="637"/>
      <c r="W1152" s="637"/>
      <c r="X1152" s="637"/>
      <c r="Y1152" s="637"/>
      <c r="Z1152" s="637"/>
      <c r="AA1152" s="637"/>
      <c r="AB1152" s="637"/>
      <c r="AC1152" s="637"/>
      <c r="AD1152" s="647"/>
      <c r="AE1152" s="606"/>
      <c r="AF1152" s="606"/>
      <c r="AG1152" s="606"/>
      <c r="AH1152" s="606"/>
    </row>
    <row r="1153" spans="1:34" s="612" customFormat="1" hidden="1" outlineLevel="3" x14ac:dyDescent="0.2">
      <c r="A1153" s="606"/>
      <c r="B1153" s="606"/>
      <c r="C1153" s="607"/>
      <c r="D1153" s="608"/>
      <c r="E1153" s="608"/>
      <c r="F1153" s="608"/>
      <c r="G1153" s="608"/>
      <c r="H1153" s="609"/>
      <c r="I1153" s="637"/>
      <c r="J1153" s="637"/>
      <c r="K1153" s="637"/>
      <c r="L1153" s="637"/>
      <c r="M1153" s="637"/>
      <c r="N1153" s="637"/>
      <c r="O1153" s="637"/>
      <c r="P1153" s="637"/>
      <c r="Q1153" s="637"/>
      <c r="R1153" s="637"/>
      <c r="S1153" s="637"/>
      <c r="T1153" s="637"/>
      <c r="U1153" s="637"/>
      <c r="V1153" s="637"/>
      <c r="W1153" s="637"/>
      <c r="X1153" s="637"/>
      <c r="Y1153" s="637"/>
      <c r="Z1153" s="637"/>
      <c r="AA1153" s="637"/>
      <c r="AB1153" s="637"/>
      <c r="AC1153" s="637"/>
      <c r="AD1153" s="647"/>
      <c r="AE1153" s="606"/>
      <c r="AF1153" s="606"/>
      <c r="AG1153" s="606"/>
      <c r="AH1153" s="606"/>
    </row>
    <row r="1154" spans="1:34" s="612" customFormat="1" hidden="1" outlineLevel="3" x14ac:dyDescent="0.2">
      <c r="A1154" s="606"/>
      <c r="B1154" s="606"/>
      <c r="C1154" s="607"/>
      <c r="D1154" s="608"/>
      <c r="E1154" s="608"/>
      <c r="F1154" s="608"/>
      <c r="G1154" s="608"/>
      <c r="H1154" s="609"/>
      <c r="I1154" s="637"/>
      <c r="J1154" s="637"/>
      <c r="K1154" s="637"/>
      <c r="L1154" s="637"/>
      <c r="M1154" s="637"/>
      <c r="N1154" s="637"/>
      <c r="O1154" s="637"/>
      <c r="P1154" s="637"/>
      <c r="Q1154" s="637"/>
      <c r="R1154" s="637"/>
      <c r="S1154" s="637"/>
      <c r="T1154" s="637"/>
      <c r="U1154" s="637"/>
      <c r="V1154" s="637"/>
      <c r="W1154" s="637"/>
      <c r="X1154" s="637"/>
      <c r="Y1154" s="637"/>
      <c r="Z1154" s="637"/>
      <c r="AA1154" s="637"/>
      <c r="AB1154" s="637"/>
      <c r="AC1154" s="637"/>
      <c r="AD1154" s="647"/>
      <c r="AE1154" s="606"/>
      <c r="AF1154" s="606"/>
      <c r="AG1154" s="606"/>
      <c r="AH1154" s="606"/>
    </row>
    <row r="1155" spans="1:34" s="612" customFormat="1" hidden="1" outlineLevel="3" x14ac:dyDescent="0.2">
      <c r="A1155" s="606"/>
      <c r="B1155" s="606"/>
      <c r="C1155" s="607"/>
      <c r="D1155" s="608"/>
      <c r="E1155" s="608"/>
      <c r="F1155" s="608"/>
      <c r="G1155" s="608"/>
      <c r="H1155" s="609"/>
      <c r="I1155" s="637"/>
      <c r="J1155" s="637"/>
      <c r="K1155" s="637"/>
      <c r="L1155" s="637"/>
      <c r="M1155" s="637"/>
      <c r="N1155" s="637"/>
      <c r="O1155" s="637"/>
      <c r="P1155" s="637"/>
      <c r="Q1155" s="637"/>
      <c r="R1155" s="637"/>
      <c r="S1155" s="637"/>
      <c r="T1155" s="637"/>
      <c r="U1155" s="637"/>
      <c r="V1155" s="637"/>
      <c r="W1155" s="637"/>
      <c r="X1155" s="637"/>
      <c r="Y1155" s="637"/>
      <c r="Z1155" s="637"/>
      <c r="AA1155" s="637"/>
      <c r="AB1155" s="637"/>
      <c r="AC1155" s="637"/>
      <c r="AD1155" s="647"/>
      <c r="AE1155" s="606"/>
      <c r="AF1155" s="606"/>
      <c r="AG1155" s="606"/>
      <c r="AH1155" s="606"/>
    </row>
    <row r="1156" spans="1:34" s="612" customFormat="1" hidden="1" outlineLevel="3" x14ac:dyDescent="0.2">
      <c r="A1156" s="606"/>
      <c r="B1156" s="606"/>
      <c r="C1156" s="607"/>
      <c r="D1156" s="608"/>
      <c r="E1156" s="608"/>
      <c r="F1156" s="608"/>
      <c r="G1156" s="608"/>
      <c r="H1156" s="609"/>
      <c r="I1156" s="637"/>
      <c r="J1156" s="637"/>
      <c r="K1156" s="637"/>
      <c r="L1156" s="637"/>
      <c r="M1156" s="637"/>
      <c r="N1156" s="637"/>
      <c r="O1156" s="637"/>
      <c r="P1156" s="637"/>
      <c r="Q1156" s="637"/>
      <c r="R1156" s="637"/>
      <c r="S1156" s="637"/>
      <c r="T1156" s="637"/>
      <c r="U1156" s="637"/>
      <c r="V1156" s="637"/>
      <c r="W1156" s="637"/>
      <c r="X1156" s="637"/>
      <c r="Y1156" s="637"/>
      <c r="Z1156" s="637"/>
      <c r="AA1156" s="637"/>
      <c r="AB1156" s="637"/>
      <c r="AC1156" s="637"/>
      <c r="AD1156" s="647"/>
      <c r="AE1156" s="606"/>
      <c r="AF1156" s="606"/>
      <c r="AG1156" s="606"/>
      <c r="AH1156" s="606"/>
    </row>
    <row r="1157" spans="1:34" s="612" customFormat="1" hidden="1" outlineLevel="3" x14ac:dyDescent="0.2">
      <c r="A1157" s="606"/>
      <c r="B1157" s="606"/>
      <c r="C1157" s="607"/>
      <c r="D1157" s="608"/>
      <c r="E1157" s="608"/>
      <c r="F1157" s="608"/>
      <c r="G1157" s="608"/>
      <c r="H1157" s="609"/>
      <c r="I1157" s="637"/>
      <c r="J1157" s="637"/>
      <c r="K1157" s="637"/>
      <c r="L1157" s="637"/>
      <c r="M1157" s="637"/>
      <c r="N1157" s="637"/>
      <c r="O1157" s="637"/>
      <c r="P1157" s="637"/>
      <c r="Q1157" s="637"/>
      <c r="R1157" s="637"/>
      <c r="S1157" s="637"/>
      <c r="T1157" s="637"/>
      <c r="U1157" s="637"/>
      <c r="V1157" s="637"/>
      <c r="W1157" s="637"/>
      <c r="X1157" s="637"/>
      <c r="Y1157" s="637"/>
      <c r="Z1157" s="637"/>
      <c r="AA1157" s="637"/>
      <c r="AB1157" s="637"/>
      <c r="AC1157" s="637"/>
      <c r="AD1157" s="647"/>
      <c r="AE1157" s="606"/>
      <c r="AF1157" s="606"/>
      <c r="AG1157" s="606"/>
      <c r="AH1157" s="606"/>
    </row>
    <row r="1158" spans="1:34" s="612" customFormat="1" hidden="1" outlineLevel="3" x14ac:dyDescent="0.2">
      <c r="A1158" s="606"/>
      <c r="B1158" s="606"/>
      <c r="C1158" s="607"/>
      <c r="D1158" s="608"/>
      <c r="E1158" s="608"/>
      <c r="F1158" s="608"/>
      <c r="G1158" s="608"/>
      <c r="H1158" s="609"/>
      <c r="I1158" s="637"/>
      <c r="J1158" s="637"/>
      <c r="K1158" s="637"/>
      <c r="L1158" s="637"/>
      <c r="M1158" s="637"/>
      <c r="N1158" s="637"/>
      <c r="O1158" s="637"/>
      <c r="P1158" s="637"/>
      <c r="Q1158" s="637"/>
      <c r="R1158" s="637"/>
      <c r="S1158" s="637"/>
      <c r="T1158" s="637"/>
      <c r="U1158" s="637"/>
      <c r="V1158" s="637"/>
      <c r="W1158" s="637"/>
      <c r="X1158" s="637"/>
      <c r="Y1158" s="637"/>
      <c r="Z1158" s="637"/>
      <c r="AA1158" s="637"/>
      <c r="AB1158" s="637"/>
      <c r="AC1158" s="637"/>
      <c r="AD1158" s="647"/>
      <c r="AE1158" s="606"/>
      <c r="AF1158" s="606"/>
      <c r="AG1158" s="606"/>
      <c r="AH1158" s="606"/>
    </row>
    <row r="1159" spans="1:34" s="612" customFormat="1" hidden="1" outlineLevel="3" x14ac:dyDescent="0.2">
      <c r="A1159" s="606"/>
      <c r="B1159" s="606"/>
      <c r="C1159" s="607"/>
      <c r="D1159" s="608"/>
      <c r="E1159" s="608"/>
      <c r="F1159" s="608"/>
      <c r="G1159" s="608"/>
      <c r="H1159" s="609"/>
      <c r="I1159" s="637"/>
      <c r="J1159" s="637"/>
      <c r="K1159" s="637"/>
      <c r="L1159" s="637"/>
      <c r="M1159" s="637"/>
      <c r="N1159" s="637"/>
      <c r="O1159" s="637"/>
      <c r="P1159" s="637"/>
      <c r="Q1159" s="637"/>
      <c r="R1159" s="637"/>
      <c r="S1159" s="637"/>
      <c r="T1159" s="637"/>
      <c r="U1159" s="637"/>
      <c r="V1159" s="637"/>
      <c r="W1159" s="637"/>
      <c r="X1159" s="637"/>
      <c r="Y1159" s="637"/>
      <c r="Z1159" s="637"/>
      <c r="AA1159" s="637"/>
      <c r="AB1159" s="637"/>
      <c r="AC1159" s="637"/>
      <c r="AD1159" s="647"/>
      <c r="AE1159" s="606"/>
      <c r="AF1159" s="606"/>
      <c r="AG1159" s="606"/>
      <c r="AH1159" s="606"/>
    </row>
    <row r="1160" spans="1:34" s="612" customFormat="1" hidden="1" outlineLevel="3" x14ac:dyDescent="0.2">
      <c r="A1160" s="606"/>
      <c r="B1160" s="606"/>
      <c r="C1160" s="607"/>
      <c r="D1160" s="608"/>
      <c r="E1160" s="608"/>
      <c r="F1160" s="608"/>
      <c r="G1160" s="608"/>
      <c r="H1160" s="609"/>
      <c r="I1160" s="637"/>
      <c r="J1160" s="637"/>
      <c r="K1160" s="637"/>
      <c r="L1160" s="637"/>
      <c r="M1160" s="637"/>
      <c r="N1160" s="637"/>
      <c r="O1160" s="637"/>
      <c r="P1160" s="637"/>
      <c r="Q1160" s="637"/>
      <c r="R1160" s="637"/>
      <c r="S1160" s="637"/>
      <c r="T1160" s="637"/>
      <c r="U1160" s="637"/>
      <c r="V1160" s="637"/>
      <c r="W1160" s="637"/>
      <c r="X1160" s="637"/>
      <c r="Y1160" s="637"/>
      <c r="Z1160" s="637"/>
      <c r="AA1160" s="637"/>
      <c r="AB1160" s="637"/>
      <c r="AC1160" s="637"/>
      <c r="AD1160" s="647"/>
      <c r="AE1160" s="606"/>
      <c r="AF1160" s="606"/>
      <c r="AG1160" s="606"/>
      <c r="AH1160" s="606"/>
    </row>
    <row r="1161" spans="1:34" s="612" customFormat="1" hidden="1" outlineLevel="3" x14ac:dyDescent="0.2">
      <c r="A1161" s="606"/>
      <c r="B1161" s="606"/>
      <c r="C1161" s="607"/>
      <c r="D1161" s="608"/>
      <c r="E1161" s="608"/>
      <c r="F1161" s="608"/>
      <c r="G1161" s="608"/>
      <c r="H1161" s="609"/>
      <c r="I1161" s="637"/>
      <c r="J1161" s="637"/>
      <c r="K1161" s="637"/>
      <c r="L1161" s="637"/>
      <c r="M1161" s="637"/>
      <c r="N1161" s="637"/>
      <c r="O1161" s="637"/>
      <c r="P1161" s="637"/>
      <c r="Q1161" s="637"/>
      <c r="R1161" s="637"/>
      <c r="S1161" s="637"/>
      <c r="T1161" s="637"/>
      <c r="U1161" s="637"/>
      <c r="V1161" s="637"/>
      <c r="W1161" s="637"/>
      <c r="X1161" s="637"/>
      <c r="Y1161" s="637"/>
      <c r="Z1161" s="637"/>
      <c r="AA1161" s="637"/>
      <c r="AB1161" s="637"/>
      <c r="AC1161" s="637"/>
      <c r="AD1161" s="647"/>
      <c r="AE1161" s="606"/>
      <c r="AF1161" s="606"/>
      <c r="AG1161" s="606"/>
      <c r="AH1161" s="606"/>
    </row>
    <row r="1162" spans="1:34" s="612" customFormat="1" hidden="1" outlineLevel="3" x14ac:dyDescent="0.2">
      <c r="A1162" s="606"/>
      <c r="B1162" s="606"/>
      <c r="C1162" s="607"/>
      <c r="D1162" s="608"/>
      <c r="E1162" s="608"/>
      <c r="F1162" s="608"/>
      <c r="G1162" s="608"/>
      <c r="H1162" s="609"/>
      <c r="I1162" s="637"/>
      <c r="J1162" s="637"/>
      <c r="K1162" s="637"/>
      <c r="L1162" s="637"/>
      <c r="M1162" s="637"/>
      <c r="N1162" s="637"/>
      <c r="O1162" s="637"/>
      <c r="P1162" s="637"/>
      <c r="Q1162" s="637"/>
      <c r="R1162" s="637"/>
      <c r="S1162" s="637"/>
      <c r="T1162" s="637"/>
      <c r="U1162" s="637"/>
      <c r="V1162" s="637"/>
      <c r="W1162" s="637"/>
      <c r="X1162" s="637"/>
      <c r="Y1162" s="637"/>
      <c r="Z1162" s="637"/>
      <c r="AA1162" s="637"/>
      <c r="AB1162" s="637"/>
      <c r="AC1162" s="637"/>
      <c r="AD1162" s="647"/>
      <c r="AE1162" s="606"/>
      <c r="AF1162" s="606"/>
      <c r="AG1162" s="606"/>
      <c r="AH1162" s="606"/>
    </row>
    <row r="1163" spans="1:34" s="612" customFormat="1" hidden="1" outlineLevel="3" x14ac:dyDescent="0.2">
      <c r="A1163" s="606"/>
      <c r="B1163" s="606"/>
      <c r="C1163" s="607"/>
      <c r="D1163" s="608"/>
      <c r="E1163" s="608"/>
      <c r="F1163" s="608"/>
      <c r="G1163" s="608"/>
      <c r="H1163" s="609"/>
      <c r="I1163" s="637"/>
      <c r="J1163" s="637"/>
      <c r="K1163" s="637"/>
      <c r="L1163" s="637"/>
      <c r="M1163" s="637"/>
      <c r="N1163" s="637"/>
      <c r="O1163" s="637"/>
      <c r="P1163" s="637"/>
      <c r="Q1163" s="637"/>
      <c r="R1163" s="637"/>
      <c r="S1163" s="637"/>
      <c r="T1163" s="637"/>
      <c r="U1163" s="637"/>
      <c r="V1163" s="637"/>
      <c r="W1163" s="637"/>
      <c r="X1163" s="637"/>
      <c r="Y1163" s="637"/>
      <c r="Z1163" s="637"/>
      <c r="AA1163" s="637"/>
      <c r="AB1163" s="637"/>
      <c r="AC1163" s="637"/>
      <c r="AD1163" s="647"/>
      <c r="AE1163" s="606"/>
      <c r="AF1163" s="606"/>
      <c r="AG1163" s="606"/>
      <c r="AH1163" s="606"/>
    </row>
    <row r="1164" spans="1:34" s="612" customFormat="1" hidden="1" outlineLevel="3" x14ac:dyDescent="0.2">
      <c r="A1164" s="606"/>
      <c r="B1164" s="606"/>
      <c r="C1164" s="607"/>
      <c r="D1164" s="608"/>
      <c r="E1164" s="608"/>
      <c r="F1164" s="608"/>
      <c r="G1164" s="608"/>
      <c r="H1164" s="609"/>
      <c r="I1164" s="637"/>
      <c r="J1164" s="637"/>
      <c r="K1164" s="637"/>
      <c r="L1164" s="637"/>
      <c r="M1164" s="637"/>
      <c r="N1164" s="637"/>
      <c r="O1164" s="637"/>
      <c r="P1164" s="637"/>
      <c r="Q1164" s="637"/>
      <c r="R1164" s="637"/>
      <c r="S1164" s="637"/>
      <c r="T1164" s="637"/>
      <c r="U1164" s="637"/>
      <c r="V1164" s="637"/>
      <c r="W1164" s="637"/>
      <c r="X1164" s="637"/>
      <c r="Y1164" s="637"/>
      <c r="Z1164" s="637"/>
      <c r="AA1164" s="637"/>
      <c r="AB1164" s="637"/>
      <c r="AC1164" s="637"/>
      <c r="AD1164" s="647"/>
      <c r="AE1164" s="606"/>
      <c r="AF1164" s="606"/>
      <c r="AG1164" s="606"/>
      <c r="AH1164" s="606"/>
    </row>
    <row r="1165" spans="1:34" s="612" customFormat="1" hidden="1" outlineLevel="3" x14ac:dyDescent="0.2">
      <c r="A1165" s="606"/>
      <c r="B1165" s="606"/>
      <c r="C1165" s="607"/>
      <c r="D1165" s="608"/>
      <c r="E1165" s="608"/>
      <c r="F1165" s="608"/>
      <c r="G1165" s="608"/>
      <c r="H1165" s="609"/>
      <c r="I1165" s="637"/>
      <c r="J1165" s="637"/>
      <c r="K1165" s="637"/>
      <c r="L1165" s="637"/>
      <c r="M1165" s="637"/>
      <c r="N1165" s="637"/>
      <c r="O1165" s="637"/>
      <c r="P1165" s="637"/>
      <c r="Q1165" s="637"/>
      <c r="R1165" s="637"/>
      <c r="S1165" s="637"/>
      <c r="T1165" s="637"/>
      <c r="U1165" s="637"/>
      <c r="V1165" s="637"/>
      <c r="W1165" s="637"/>
      <c r="X1165" s="637"/>
      <c r="Y1165" s="637"/>
      <c r="Z1165" s="637"/>
      <c r="AA1165" s="637"/>
      <c r="AB1165" s="637"/>
      <c r="AC1165" s="637"/>
      <c r="AD1165" s="647"/>
      <c r="AE1165" s="606"/>
      <c r="AF1165" s="606"/>
      <c r="AG1165" s="606"/>
      <c r="AH1165" s="606"/>
    </row>
    <row r="1166" spans="1:34" s="612" customFormat="1" hidden="1" outlineLevel="3" x14ac:dyDescent="0.2">
      <c r="A1166" s="606"/>
      <c r="B1166" s="606"/>
      <c r="C1166" s="607"/>
      <c r="D1166" s="608"/>
      <c r="E1166" s="608"/>
      <c r="F1166" s="608"/>
      <c r="G1166" s="608"/>
      <c r="H1166" s="609"/>
      <c r="I1166" s="637"/>
      <c r="J1166" s="637"/>
      <c r="K1166" s="637"/>
      <c r="L1166" s="637"/>
      <c r="M1166" s="637"/>
      <c r="N1166" s="637"/>
      <c r="O1166" s="637"/>
      <c r="P1166" s="637"/>
      <c r="Q1166" s="637"/>
      <c r="R1166" s="637"/>
      <c r="S1166" s="637"/>
      <c r="T1166" s="637"/>
      <c r="U1166" s="637"/>
      <c r="V1166" s="637"/>
      <c r="W1166" s="637"/>
      <c r="X1166" s="637"/>
      <c r="Y1166" s="637"/>
      <c r="Z1166" s="637"/>
      <c r="AA1166" s="637"/>
      <c r="AB1166" s="637"/>
      <c r="AC1166" s="637"/>
      <c r="AD1166" s="647"/>
      <c r="AE1166" s="606"/>
      <c r="AF1166" s="606"/>
      <c r="AG1166" s="606"/>
      <c r="AH1166" s="606"/>
    </row>
    <row r="1167" spans="1:34" s="612" customFormat="1" hidden="1" outlineLevel="3" x14ac:dyDescent="0.2">
      <c r="A1167" s="606"/>
      <c r="B1167" s="606"/>
      <c r="C1167" s="607"/>
      <c r="D1167" s="608"/>
      <c r="E1167" s="608"/>
      <c r="F1167" s="608"/>
      <c r="G1167" s="608"/>
      <c r="H1167" s="609"/>
      <c r="I1167" s="637"/>
      <c r="J1167" s="637"/>
      <c r="K1167" s="637"/>
      <c r="L1167" s="637"/>
      <c r="M1167" s="637"/>
      <c r="N1167" s="637"/>
      <c r="O1167" s="637"/>
      <c r="P1167" s="637"/>
      <c r="Q1167" s="637"/>
      <c r="R1167" s="637"/>
      <c r="S1167" s="637"/>
      <c r="T1167" s="637"/>
      <c r="U1167" s="637"/>
      <c r="V1167" s="637"/>
      <c r="W1167" s="637"/>
      <c r="X1167" s="637"/>
      <c r="Y1167" s="637"/>
      <c r="Z1167" s="637"/>
      <c r="AA1167" s="637"/>
      <c r="AB1167" s="637"/>
      <c r="AC1167" s="637"/>
      <c r="AD1167" s="647"/>
      <c r="AE1167" s="606"/>
      <c r="AF1167" s="606"/>
      <c r="AG1167" s="606"/>
      <c r="AH1167" s="606"/>
    </row>
    <row r="1168" spans="1:34" s="612" customFormat="1" hidden="1" outlineLevel="3" x14ac:dyDescent="0.2">
      <c r="A1168" s="606"/>
      <c r="B1168" s="606"/>
      <c r="C1168" s="607"/>
      <c r="D1168" s="608"/>
      <c r="E1168" s="608"/>
      <c r="F1168" s="608"/>
      <c r="G1168" s="608"/>
      <c r="H1168" s="609"/>
      <c r="I1168" s="637"/>
      <c r="J1168" s="637"/>
      <c r="K1168" s="637"/>
      <c r="L1168" s="637"/>
      <c r="M1168" s="637"/>
      <c r="N1168" s="637"/>
      <c r="O1168" s="637"/>
      <c r="P1168" s="637"/>
      <c r="Q1168" s="637"/>
      <c r="R1168" s="637"/>
      <c r="S1168" s="637"/>
      <c r="T1168" s="637"/>
      <c r="U1168" s="637"/>
      <c r="V1168" s="637"/>
      <c r="W1168" s="637"/>
      <c r="X1168" s="637"/>
      <c r="Y1168" s="637"/>
      <c r="Z1168" s="637"/>
      <c r="AA1168" s="637"/>
      <c r="AB1168" s="637"/>
      <c r="AC1168" s="637"/>
      <c r="AD1168" s="647"/>
      <c r="AE1168" s="606"/>
      <c r="AF1168" s="606"/>
      <c r="AG1168" s="606"/>
      <c r="AH1168" s="606"/>
    </row>
    <row r="1169" spans="1:34" s="612" customFormat="1" hidden="1" outlineLevel="3" x14ac:dyDescent="0.2">
      <c r="A1169" s="606"/>
      <c r="B1169" s="606"/>
      <c r="C1169" s="607"/>
      <c r="D1169" s="608"/>
      <c r="E1169" s="608"/>
      <c r="F1169" s="608"/>
      <c r="G1169" s="608"/>
      <c r="H1169" s="609"/>
      <c r="I1169" s="637"/>
      <c r="J1169" s="637"/>
      <c r="K1169" s="637"/>
      <c r="L1169" s="637"/>
      <c r="M1169" s="637"/>
      <c r="N1169" s="637"/>
      <c r="O1169" s="637"/>
      <c r="P1169" s="637"/>
      <c r="Q1169" s="637"/>
      <c r="R1169" s="637"/>
      <c r="S1169" s="637"/>
      <c r="T1169" s="637"/>
      <c r="U1169" s="637"/>
      <c r="V1169" s="637"/>
      <c r="W1169" s="637"/>
      <c r="X1169" s="637"/>
      <c r="Y1169" s="637"/>
      <c r="Z1169" s="637"/>
      <c r="AA1169" s="637"/>
      <c r="AB1169" s="637"/>
      <c r="AC1169" s="637"/>
      <c r="AD1169" s="647"/>
      <c r="AE1169" s="606"/>
      <c r="AF1169" s="606"/>
      <c r="AG1169" s="606"/>
      <c r="AH1169" s="606"/>
    </row>
    <row r="1170" spans="1:34" s="612" customFormat="1" hidden="1" outlineLevel="3" x14ac:dyDescent="0.2">
      <c r="A1170" s="606"/>
      <c r="B1170" s="606"/>
      <c r="C1170" s="607"/>
      <c r="D1170" s="608"/>
      <c r="E1170" s="608"/>
      <c r="F1170" s="608"/>
      <c r="G1170" s="608"/>
      <c r="H1170" s="609"/>
      <c r="I1170" s="637"/>
      <c r="J1170" s="637"/>
      <c r="K1170" s="637"/>
      <c r="L1170" s="637"/>
      <c r="M1170" s="637"/>
      <c r="N1170" s="637"/>
      <c r="O1170" s="637"/>
      <c r="P1170" s="637"/>
      <c r="Q1170" s="637"/>
      <c r="R1170" s="637"/>
      <c r="S1170" s="637"/>
      <c r="T1170" s="637"/>
      <c r="U1170" s="637"/>
      <c r="V1170" s="637"/>
      <c r="W1170" s="637"/>
      <c r="X1170" s="637"/>
      <c r="Y1170" s="637"/>
      <c r="Z1170" s="637"/>
      <c r="AA1170" s="637"/>
      <c r="AB1170" s="637"/>
      <c r="AC1170" s="637"/>
      <c r="AD1170" s="647"/>
      <c r="AE1170" s="606"/>
      <c r="AF1170" s="606"/>
      <c r="AG1170" s="606"/>
      <c r="AH1170" s="606"/>
    </row>
    <row r="1171" spans="1:34" s="612" customFormat="1" hidden="1" outlineLevel="3" x14ac:dyDescent="0.2">
      <c r="A1171" s="606"/>
      <c r="B1171" s="606"/>
      <c r="C1171" s="607"/>
      <c r="D1171" s="608"/>
      <c r="E1171" s="608"/>
      <c r="F1171" s="608"/>
      <c r="G1171" s="608"/>
      <c r="H1171" s="609"/>
      <c r="I1171" s="637"/>
      <c r="J1171" s="637"/>
      <c r="K1171" s="637"/>
      <c r="L1171" s="637"/>
      <c r="M1171" s="637"/>
      <c r="N1171" s="637"/>
      <c r="O1171" s="637"/>
      <c r="P1171" s="637"/>
      <c r="Q1171" s="637"/>
      <c r="R1171" s="637"/>
      <c r="S1171" s="637"/>
      <c r="T1171" s="637"/>
      <c r="U1171" s="637"/>
      <c r="V1171" s="637"/>
      <c r="W1171" s="637"/>
      <c r="X1171" s="637"/>
      <c r="Y1171" s="637"/>
      <c r="Z1171" s="637"/>
      <c r="AA1171" s="637"/>
      <c r="AB1171" s="637"/>
      <c r="AC1171" s="637"/>
      <c r="AD1171" s="647"/>
      <c r="AE1171" s="606"/>
      <c r="AF1171" s="606"/>
      <c r="AG1171" s="606"/>
      <c r="AH1171" s="606"/>
    </row>
    <row r="1172" spans="1:34" s="612" customFormat="1" hidden="1" outlineLevel="3" x14ac:dyDescent="0.2">
      <c r="A1172" s="606"/>
      <c r="B1172" s="606"/>
      <c r="C1172" s="607"/>
      <c r="D1172" s="608"/>
      <c r="E1172" s="608"/>
      <c r="F1172" s="608"/>
      <c r="G1172" s="608"/>
      <c r="H1172" s="609"/>
      <c r="I1172" s="637"/>
      <c r="J1172" s="637"/>
      <c r="K1172" s="637"/>
      <c r="L1172" s="637"/>
      <c r="M1172" s="637"/>
      <c r="N1172" s="637"/>
      <c r="O1172" s="637"/>
      <c r="P1172" s="637"/>
      <c r="Q1172" s="637"/>
      <c r="R1172" s="637"/>
      <c r="S1172" s="637"/>
      <c r="T1172" s="637"/>
      <c r="U1172" s="637"/>
      <c r="V1172" s="637"/>
      <c r="W1172" s="637"/>
      <c r="X1172" s="637"/>
      <c r="Y1172" s="637"/>
      <c r="Z1172" s="637"/>
      <c r="AA1172" s="637"/>
      <c r="AB1172" s="637"/>
      <c r="AC1172" s="637"/>
      <c r="AD1172" s="647"/>
      <c r="AE1172" s="606"/>
      <c r="AF1172" s="606"/>
      <c r="AG1172" s="606"/>
      <c r="AH1172" s="606"/>
    </row>
    <row r="1173" spans="1:34" s="612" customFormat="1" hidden="1" outlineLevel="3" x14ac:dyDescent="0.2">
      <c r="A1173" s="606"/>
      <c r="B1173" s="606"/>
      <c r="C1173" s="607"/>
      <c r="D1173" s="608"/>
      <c r="E1173" s="608"/>
      <c r="F1173" s="608"/>
      <c r="G1173" s="608"/>
      <c r="H1173" s="609"/>
      <c r="I1173" s="637"/>
      <c r="J1173" s="637"/>
      <c r="K1173" s="637"/>
      <c r="L1173" s="637"/>
      <c r="M1173" s="637"/>
      <c r="N1173" s="637"/>
      <c r="O1173" s="637"/>
      <c r="P1173" s="637"/>
      <c r="Q1173" s="637"/>
      <c r="R1173" s="637"/>
      <c r="S1173" s="637"/>
      <c r="T1173" s="637"/>
      <c r="U1173" s="637"/>
      <c r="V1173" s="637"/>
      <c r="W1173" s="637"/>
      <c r="X1173" s="637"/>
      <c r="Y1173" s="637"/>
      <c r="Z1173" s="637"/>
      <c r="AA1173" s="637"/>
      <c r="AB1173" s="637"/>
      <c r="AC1173" s="637"/>
      <c r="AD1173" s="647"/>
      <c r="AE1173" s="606"/>
      <c r="AF1173" s="606"/>
      <c r="AG1173" s="606"/>
      <c r="AH1173" s="606"/>
    </row>
    <row r="1174" spans="1:34" s="612" customFormat="1" hidden="1" outlineLevel="3" x14ac:dyDescent="0.2">
      <c r="A1174" s="606"/>
      <c r="B1174" s="606"/>
      <c r="C1174" s="607"/>
      <c r="D1174" s="608"/>
      <c r="E1174" s="608"/>
      <c r="F1174" s="608"/>
      <c r="G1174" s="608"/>
      <c r="H1174" s="609"/>
      <c r="I1174" s="637"/>
      <c r="J1174" s="637"/>
      <c r="K1174" s="637"/>
      <c r="L1174" s="637"/>
      <c r="M1174" s="637"/>
      <c r="N1174" s="637"/>
      <c r="O1174" s="637"/>
      <c r="P1174" s="637"/>
      <c r="Q1174" s="637"/>
      <c r="R1174" s="637"/>
      <c r="S1174" s="637"/>
      <c r="T1174" s="637"/>
      <c r="U1174" s="637"/>
      <c r="V1174" s="637"/>
      <c r="W1174" s="637"/>
      <c r="X1174" s="637"/>
      <c r="Y1174" s="637"/>
      <c r="Z1174" s="637"/>
      <c r="AA1174" s="637"/>
      <c r="AB1174" s="637"/>
      <c r="AC1174" s="637"/>
      <c r="AD1174" s="647"/>
      <c r="AE1174" s="606"/>
      <c r="AF1174" s="606"/>
      <c r="AG1174" s="606"/>
      <c r="AH1174" s="606"/>
    </row>
    <row r="1175" spans="1:34" s="612" customFormat="1" hidden="1" outlineLevel="3" x14ac:dyDescent="0.2">
      <c r="A1175" s="606"/>
      <c r="B1175" s="606"/>
      <c r="C1175" s="607"/>
      <c r="D1175" s="608"/>
      <c r="E1175" s="608"/>
      <c r="F1175" s="608"/>
      <c r="G1175" s="608"/>
      <c r="H1175" s="609"/>
      <c r="I1175" s="637"/>
      <c r="J1175" s="637"/>
      <c r="K1175" s="637"/>
      <c r="L1175" s="637"/>
      <c r="M1175" s="637"/>
      <c r="N1175" s="637"/>
      <c r="O1175" s="637"/>
      <c r="P1175" s="637"/>
      <c r="Q1175" s="637"/>
      <c r="R1175" s="637"/>
      <c r="S1175" s="637"/>
      <c r="T1175" s="637"/>
      <c r="U1175" s="637"/>
      <c r="V1175" s="637"/>
      <c r="W1175" s="637"/>
      <c r="X1175" s="637"/>
      <c r="Y1175" s="637"/>
      <c r="Z1175" s="637"/>
      <c r="AA1175" s="637"/>
      <c r="AB1175" s="637"/>
      <c r="AC1175" s="637"/>
      <c r="AD1175" s="647"/>
      <c r="AE1175" s="606"/>
      <c r="AF1175" s="606"/>
      <c r="AG1175" s="606"/>
      <c r="AH1175" s="606"/>
    </row>
    <row r="1176" spans="1:34" s="612" customFormat="1" hidden="1" outlineLevel="3" x14ac:dyDescent="0.2">
      <c r="A1176" s="606"/>
      <c r="B1176" s="606"/>
      <c r="C1176" s="607"/>
      <c r="D1176" s="608"/>
      <c r="E1176" s="608"/>
      <c r="F1176" s="608"/>
      <c r="G1176" s="608"/>
      <c r="H1176" s="609"/>
      <c r="I1176" s="637"/>
      <c r="J1176" s="637"/>
      <c r="K1176" s="637"/>
      <c r="L1176" s="637"/>
      <c r="M1176" s="637"/>
      <c r="N1176" s="637"/>
      <c r="O1176" s="637"/>
      <c r="P1176" s="637"/>
      <c r="Q1176" s="637"/>
      <c r="R1176" s="637"/>
      <c r="S1176" s="637"/>
      <c r="T1176" s="637"/>
      <c r="U1176" s="637"/>
      <c r="V1176" s="637"/>
      <c r="W1176" s="637"/>
      <c r="X1176" s="637"/>
      <c r="Y1176" s="637"/>
      <c r="Z1176" s="637"/>
      <c r="AA1176" s="637"/>
      <c r="AB1176" s="637"/>
      <c r="AC1176" s="637"/>
      <c r="AD1176" s="647"/>
      <c r="AE1176" s="606"/>
      <c r="AF1176" s="606"/>
      <c r="AG1176" s="606"/>
      <c r="AH1176" s="606"/>
    </row>
    <row r="1177" spans="1:34" s="612" customFormat="1" hidden="1" outlineLevel="3" x14ac:dyDescent="0.2">
      <c r="A1177" s="606"/>
      <c r="B1177" s="606"/>
      <c r="C1177" s="607"/>
      <c r="D1177" s="608"/>
      <c r="E1177" s="608"/>
      <c r="F1177" s="608"/>
      <c r="G1177" s="608"/>
      <c r="H1177" s="609"/>
      <c r="I1177" s="637"/>
      <c r="J1177" s="637"/>
      <c r="K1177" s="637"/>
      <c r="L1177" s="637"/>
      <c r="M1177" s="637"/>
      <c r="N1177" s="637"/>
      <c r="O1177" s="637"/>
      <c r="P1177" s="637"/>
      <c r="Q1177" s="637"/>
      <c r="R1177" s="637"/>
      <c r="S1177" s="637"/>
      <c r="T1177" s="637"/>
      <c r="U1177" s="637"/>
      <c r="V1177" s="637"/>
      <c r="W1177" s="637"/>
      <c r="X1177" s="637"/>
      <c r="Y1177" s="637"/>
      <c r="Z1177" s="637"/>
      <c r="AA1177" s="637"/>
      <c r="AB1177" s="637"/>
      <c r="AC1177" s="637"/>
      <c r="AD1177" s="647"/>
      <c r="AE1177" s="606"/>
      <c r="AF1177" s="606"/>
      <c r="AG1177" s="606"/>
      <c r="AH1177" s="606"/>
    </row>
    <row r="1178" spans="1:34" s="612" customFormat="1" hidden="1" outlineLevel="3" x14ac:dyDescent="0.2">
      <c r="A1178" s="606"/>
      <c r="B1178" s="606"/>
      <c r="C1178" s="607"/>
      <c r="D1178" s="608"/>
      <c r="E1178" s="608"/>
      <c r="F1178" s="608"/>
      <c r="G1178" s="608"/>
      <c r="H1178" s="609"/>
      <c r="I1178" s="637"/>
      <c r="J1178" s="637"/>
      <c r="K1178" s="637"/>
      <c r="L1178" s="637"/>
      <c r="M1178" s="637"/>
      <c r="N1178" s="637"/>
      <c r="O1178" s="637"/>
      <c r="P1178" s="637"/>
      <c r="Q1178" s="637"/>
      <c r="R1178" s="637"/>
      <c r="S1178" s="637"/>
      <c r="T1178" s="637"/>
      <c r="U1178" s="637"/>
      <c r="V1178" s="637"/>
      <c r="W1178" s="637"/>
      <c r="X1178" s="637"/>
      <c r="Y1178" s="637"/>
      <c r="Z1178" s="637"/>
      <c r="AA1178" s="637"/>
      <c r="AB1178" s="637"/>
      <c r="AC1178" s="637"/>
      <c r="AD1178" s="647"/>
      <c r="AE1178" s="606"/>
      <c r="AF1178" s="606"/>
      <c r="AG1178" s="606"/>
      <c r="AH1178" s="606"/>
    </row>
    <row r="1179" spans="1:34" s="612" customFormat="1" hidden="1" outlineLevel="3" x14ac:dyDescent="0.2">
      <c r="A1179" s="606"/>
      <c r="B1179" s="606"/>
      <c r="C1179" s="607"/>
      <c r="D1179" s="608"/>
      <c r="E1179" s="608"/>
      <c r="F1179" s="608"/>
      <c r="G1179" s="608"/>
      <c r="H1179" s="609"/>
      <c r="I1179" s="637"/>
      <c r="J1179" s="637"/>
      <c r="K1179" s="637"/>
      <c r="L1179" s="637"/>
      <c r="M1179" s="637"/>
      <c r="N1179" s="637"/>
      <c r="O1179" s="637"/>
      <c r="P1179" s="637"/>
      <c r="Q1179" s="637"/>
      <c r="R1179" s="637"/>
      <c r="S1179" s="637"/>
      <c r="T1179" s="637"/>
      <c r="U1179" s="637"/>
      <c r="V1179" s="637"/>
      <c r="W1179" s="637"/>
      <c r="X1179" s="637"/>
      <c r="Y1179" s="637"/>
      <c r="Z1179" s="637"/>
      <c r="AA1179" s="637"/>
      <c r="AB1179" s="637"/>
      <c r="AC1179" s="637"/>
      <c r="AD1179" s="647"/>
      <c r="AE1179" s="606"/>
      <c r="AF1179" s="606"/>
      <c r="AG1179" s="606"/>
      <c r="AH1179" s="606"/>
    </row>
    <row r="1180" spans="1:34" s="612" customFormat="1" hidden="1" outlineLevel="3" x14ac:dyDescent="0.2">
      <c r="A1180" s="606"/>
      <c r="B1180" s="606"/>
      <c r="C1180" s="607"/>
      <c r="D1180" s="608"/>
      <c r="E1180" s="608"/>
      <c r="F1180" s="608"/>
      <c r="G1180" s="608"/>
      <c r="H1180" s="609"/>
      <c r="I1180" s="637"/>
      <c r="J1180" s="637"/>
      <c r="K1180" s="637"/>
      <c r="L1180" s="637"/>
      <c r="M1180" s="637"/>
      <c r="N1180" s="637"/>
      <c r="O1180" s="637"/>
      <c r="P1180" s="637"/>
      <c r="Q1180" s="637"/>
      <c r="R1180" s="637"/>
      <c r="S1180" s="637"/>
      <c r="T1180" s="637"/>
      <c r="U1180" s="637"/>
      <c r="V1180" s="637"/>
      <c r="W1180" s="637"/>
      <c r="X1180" s="637"/>
      <c r="Y1180" s="637"/>
      <c r="Z1180" s="637"/>
      <c r="AA1180" s="637"/>
      <c r="AB1180" s="637"/>
      <c r="AC1180" s="637"/>
      <c r="AD1180" s="647"/>
      <c r="AE1180" s="606"/>
      <c r="AF1180" s="606"/>
      <c r="AG1180" s="606"/>
      <c r="AH1180" s="606"/>
    </row>
    <row r="1181" spans="1:34" s="612" customFormat="1" hidden="1" outlineLevel="3" x14ac:dyDescent="0.2">
      <c r="A1181" s="606"/>
      <c r="B1181" s="606"/>
      <c r="C1181" s="607"/>
      <c r="D1181" s="608"/>
      <c r="E1181" s="608"/>
      <c r="F1181" s="608"/>
      <c r="G1181" s="608"/>
      <c r="H1181" s="609"/>
      <c r="I1181" s="637"/>
      <c r="J1181" s="637"/>
      <c r="K1181" s="637"/>
      <c r="L1181" s="637"/>
      <c r="M1181" s="637"/>
      <c r="N1181" s="637"/>
      <c r="O1181" s="637"/>
      <c r="P1181" s="637"/>
      <c r="Q1181" s="637"/>
      <c r="R1181" s="637"/>
      <c r="S1181" s="637"/>
      <c r="T1181" s="637"/>
      <c r="U1181" s="637"/>
      <c r="V1181" s="637"/>
      <c r="W1181" s="637"/>
      <c r="X1181" s="637"/>
      <c r="Y1181" s="637"/>
      <c r="Z1181" s="637"/>
      <c r="AA1181" s="637"/>
      <c r="AB1181" s="637"/>
      <c r="AC1181" s="637"/>
      <c r="AD1181" s="647"/>
      <c r="AE1181" s="606"/>
      <c r="AF1181" s="606"/>
      <c r="AG1181" s="606"/>
      <c r="AH1181" s="606"/>
    </row>
    <row r="1182" spans="1:34" s="612" customFormat="1" hidden="1" outlineLevel="2" collapsed="1" x14ac:dyDescent="0.2">
      <c r="A1182" s="606"/>
      <c r="B1182" s="606"/>
      <c r="C1182" s="638"/>
      <c r="D1182" s="608"/>
      <c r="E1182" s="608"/>
      <c r="F1182" s="608"/>
      <c r="G1182" s="608"/>
      <c r="H1182" s="609"/>
      <c r="I1182" s="639"/>
      <c r="J1182" s="639"/>
      <c r="K1182" s="639"/>
      <c r="L1182" s="639"/>
      <c r="M1182" s="639"/>
      <c r="N1182" s="639"/>
      <c r="O1182" s="639"/>
      <c r="P1182" s="639"/>
      <c r="Q1182" s="639"/>
      <c r="R1182" s="639"/>
      <c r="S1182" s="639"/>
      <c r="T1182" s="639"/>
      <c r="U1182" s="639"/>
      <c r="V1182" s="639"/>
      <c r="W1182" s="639"/>
      <c r="X1182" s="639"/>
      <c r="Y1182" s="639"/>
      <c r="Z1182" s="639"/>
      <c r="AA1182" s="639"/>
      <c r="AB1182" s="639"/>
      <c r="AC1182" s="639"/>
      <c r="AD1182" s="606"/>
      <c r="AE1182" s="606"/>
      <c r="AF1182" s="606"/>
      <c r="AG1182" s="606"/>
    </row>
    <row r="1183" spans="1:34" s="612" customFormat="1" outlineLevel="1" collapsed="1" x14ac:dyDescent="0.2">
      <c r="A1183" s="606"/>
      <c r="B1183" s="606"/>
      <c r="C1183" s="613"/>
      <c r="D1183" s="609"/>
      <c r="E1183" s="609"/>
      <c r="F1183" s="609"/>
      <c r="G1183" s="609"/>
      <c r="H1183" s="609"/>
      <c r="I1183" s="609"/>
      <c r="J1183" s="609"/>
      <c r="K1183" s="617"/>
      <c r="L1183" s="617"/>
      <c r="M1183" s="617"/>
      <c r="N1183" s="622"/>
      <c r="O1183" s="622"/>
      <c r="P1183" s="622"/>
      <c r="Q1183" s="622"/>
      <c r="R1183" s="622"/>
      <c r="S1183" s="606"/>
      <c r="T1183" s="606"/>
      <c r="U1183" s="606"/>
      <c r="V1183" s="606"/>
      <c r="W1183" s="606"/>
      <c r="X1183" s="606"/>
      <c r="Y1183" s="606"/>
      <c r="Z1183" s="606"/>
      <c r="AA1183" s="606"/>
      <c r="AB1183" s="606"/>
      <c r="AC1183" s="606"/>
      <c r="AD1183" s="606"/>
      <c r="AE1183" s="606"/>
      <c r="AF1183" s="606"/>
      <c r="AG1183" s="606"/>
      <c r="AH1183" s="606"/>
    </row>
    <row r="1184" spans="1:34" s="612" customFormat="1" x14ac:dyDescent="0.2">
      <c r="A1184" s="606"/>
      <c r="B1184" s="606"/>
      <c r="C1184" s="623"/>
      <c r="D1184" s="617"/>
      <c r="E1184" s="617"/>
      <c r="F1184" s="617"/>
      <c r="G1184" s="618"/>
      <c r="H1184" s="618"/>
      <c r="I1184" s="618"/>
      <c r="J1184" s="617"/>
      <c r="K1184" s="617"/>
      <c r="L1184" s="617"/>
      <c r="M1184" s="617"/>
      <c r="N1184" s="622"/>
      <c r="O1184" s="622"/>
      <c r="P1184" s="622"/>
      <c r="Q1184" s="622"/>
      <c r="R1184" s="622"/>
      <c r="S1184" s="606"/>
      <c r="T1184" s="606"/>
      <c r="U1184" s="606"/>
      <c r="V1184" s="606"/>
      <c r="W1184" s="606"/>
      <c r="X1184" s="606"/>
      <c r="Y1184" s="606"/>
      <c r="Z1184" s="606"/>
      <c r="AA1184" s="606"/>
      <c r="AB1184" s="606"/>
      <c r="AC1184" s="606"/>
      <c r="AD1184" s="606"/>
      <c r="AE1184" s="606"/>
      <c r="AF1184" s="606"/>
      <c r="AG1184" s="606"/>
      <c r="AH1184" s="606"/>
    </row>
    <row r="1185" spans="1:34" ht="12.75" x14ac:dyDescent="0.2">
      <c r="A1185" s="11"/>
      <c r="B1185" s="12" t="s">
        <v>8</v>
      </c>
      <c r="C1185" s="11"/>
      <c r="D1185" s="11"/>
      <c r="E1185" s="11"/>
      <c r="F1185" s="11"/>
      <c r="G1185" s="13"/>
      <c r="H1185" s="13"/>
      <c r="I1185" s="13"/>
      <c r="J1185" s="13"/>
      <c r="K1185" s="13"/>
      <c r="L1185" s="13"/>
      <c r="M1185" s="13"/>
      <c r="N1185" s="14"/>
      <c r="O1185" s="15"/>
      <c r="P1185" s="14"/>
      <c r="Q1185" s="15"/>
      <c r="R1185" s="14"/>
      <c r="S1185" s="14"/>
      <c r="T1185" s="14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</row>
    <row r="1186" spans="1:34" ht="12" hidden="1" customHeight="1" x14ac:dyDescent="0.2"/>
  </sheetData>
  <sheetProtection formatColumns="0" formatRows="0"/>
  <hyperlinks>
    <hyperlink ref="I1" location="'Pricing model'!A51" display="Back to Index" xr:uid="{00000000-0004-0000-1A00-000000000000}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0">
    <tabColor theme="7" tint="0.79998168889431442"/>
  </sheetPr>
  <dimension ref="A1:AS258"/>
  <sheetViews>
    <sheetView showGridLines="0" zoomScaleNormal="100" workbookViewId="0">
      <selection activeCell="A156" sqref="A156:AD257"/>
    </sheetView>
  </sheetViews>
  <sheetFormatPr defaultColWidth="0" defaultRowHeight="11.25" zeroHeight="1" outlineLevelRow="2" outlineLevelCol="1" x14ac:dyDescent="0.2"/>
  <cols>
    <col min="1" max="2" width="1.42578125" style="18" customWidth="1"/>
    <col min="3" max="3" width="39.85546875" style="18" customWidth="1"/>
    <col min="4" max="4" width="16.42578125" style="18" customWidth="1"/>
    <col min="5" max="5" width="12.28515625" style="18" customWidth="1"/>
    <col min="6" max="6" width="10" style="18" customWidth="1"/>
    <col min="7" max="7" width="3.140625" style="18" customWidth="1"/>
    <col min="8" max="20" width="10.140625" style="18" customWidth="1"/>
    <col min="21" max="21" width="9.28515625" style="18" customWidth="1"/>
    <col min="22" max="27" width="9.28515625" style="18" hidden="1" customWidth="1" outlineLevel="1"/>
    <col min="28" max="28" width="9.28515625" style="18" customWidth="1" collapsed="1"/>
    <col min="29" max="30" width="2.140625" style="18" customWidth="1"/>
    <col min="31" max="32" width="8" style="18" hidden="1" customWidth="1"/>
    <col min="33" max="42" width="9.28515625" style="18" hidden="1" customWidth="1"/>
    <col min="43" max="45" width="0" style="18" hidden="1" customWidth="1"/>
    <col min="46" max="16384" width="8" style="18" hidden="1"/>
  </cols>
  <sheetData>
    <row r="1" spans="1:32" ht="15.75" x14ac:dyDescent="0.25">
      <c r="A1" s="1"/>
      <c r="B1" s="2" t="str">
        <f>'Calculations&gt;&gt;'!B1</f>
        <v>AER pricing model - TasNetworks 2022–23</v>
      </c>
      <c r="C1" s="2"/>
      <c r="D1" s="2"/>
      <c r="E1" s="2"/>
      <c r="F1" s="3"/>
      <c r="G1" s="4"/>
      <c r="H1" s="160" t="s">
        <v>0</v>
      </c>
      <c r="I1" s="111"/>
      <c r="J1" s="112"/>
      <c r="K1" s="112"/>
      <c r="L1" s="51"/>
      <c r="O1" s="111"/>
      <c r="P1" s="113"/>
      <c r="R1" s="114"/>
      <c r="S1" s="113"/>
      <c r="T1" s="113"/>
      <c r="U1" s="3"/>
      <c r="V1" s="3"/>
      <c r="W1" s="3"/>
      <c r="X1" s="5"/>
      <c r="Y1" s="5"/>
      <c r="Z1" s="5"/>
      <c r="AA1" s="5"/>
      <c r="AB1" s="5"/>
      <c r="AC1" s="1"/>
    </row>
    <row r="2" spans="1:32" ht="13.5" thickBot="1" x14ac:dyDescent="0.25">
      <c r="A2" s="6"/>
      <c r="B2" s="7" t="str">
        <f>'Calculations&gt;&gt;'!C12</f>
        <v>Side constraints revenue</v>
      </c>
      <c r="C2" s="7"/>
      <c r="D2" s="7"/>
      <c r="E2" s="7"/>
      <c r="F2" s="292"/>
      <c r="G2" s="292"/>
      <c r="H2" s="292"/>
      <c r="I2" s="292"/>
      <c r="J2" s="1"/>
      <c r="K2" s="1"/>
      <c r="L2" s="1"/>
      <c r="M2" s="1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32" x14ac:dyDescent="0.2">
      <c r="A3" s="27"/>
      <c r="B3" s="296" t="str">
        <f>'Calculations&gt;&gt;'!D12</f>
        <v>Calculates permissable percentage and revenue for side constraint mechanism</v>
      </c>
      <c r="C3" s="27"/>
      <c r="D3" s="28"/>
      <c r="E3" s="28"/>
      <c r="F3" s="293"/>
      <c r="G3" s="293"/>
      <c r="H3" s="293"/>
      <c r="I3" s="293"/>
      <c r="J3" s="291"/>
      <c r="K3" s="287"/>
      <c r="L3" s="287"/>
      <c r="M3" s="287"/>
      <c r="N3" s="30"/>
      <c r="O3" s="30"/>
      <c r="P3" s="30"/>
      <c r="Q3" s="30"/>
      <c r="R3" s="30"/>
      <c r="S3" s="30"/>
      <c r="T3" s="31"/>
      <c r="U3" s="31"/>
      <c r="V3" s="31"/>
      <c r="W3" s="31"/>
      <c r="X3" s="31"/>
      <c r="Y3" s="31"/>
      <c r="Z3" s="31"/>
      <c r="AA3" s="31"/>
      <c r="AB3" s="31"/>
      <c r="AC3" s="31"/>
    </row>
    <row r="4" spans="1:32" x14ac:dyDescent="0.2">
      <c r="A4" s="9"/>
      <c r="B4" s="9"/>
      <c r="C4" s="9"/>
      <c r="D4" s="10"/>
      <c r="E4" s="10"/>
      <c r="F4" s="294"/>
      <c r="G4" s="294"/>
      <c r="H4" s="288"/>
      <c r="I4" s="288"/>
      <c r="J4" s="288"/>
      <c r="K4" s="288"/>
      <c r="L4" s="288"/>
      <c r="M4" s="295"/>
      <c r="P4" s="50"/>
      <c r="Q4" s="50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spans="1:32" s="35" customFormat="1" x14ac:dyDescent="0.2">
      <c r="A5" s="11"/>
      <c r="B5" s="12" t="s">
        <v>658</v>
      </c>
      <c r="C5" s="11"/>
      <c r="D5" s="32" t="s">
        <v>3</v>
      </c>
      <c r="E5" s="32" t="s">
        <v>253</v>
      </c>
      <c r="F5" s="344"/>
      <c r="G5" s="344"/>
      <c r="H5" s="35" t="str">
        <f>RCP_firstyear</f>
        <v>2019–20</v>
      </c>
      <c r="I5" s="35" t="str">
        <f>RCP_secondyear</f>
        <v>2020–21</v>
      </c>
      <c r="J5" s="35" t="str">
        <f>RCP_thirdyear</f>
        <v>2021–22</v>
      </c>
      <c r="K5" s="35" t="str">
        <f>RCP_fourthyear</f>
        <v>2022–23</v>
      </c>
      <c r="L5" s="35" t="str">
        <f>RCP_lastyear</f>
        <v>2023–24</v>
      </c>
      <c r="M5" s="33"/>
      <c r="N5" s="33"/>
      <c r="O5" s="33"/>
      <c r="P5" s="33"/>
      <c r="Q5" s="33"/>
    </row>
    <row r="6" spans="1:32" outlineLevel="1" x14ac:dyDescent="0.2">
      <c r="A6" s="9"/>
      <c r="B6" s="9"/>
      <c r="C6" s="9"/>
      <c r="D6" s="10"/>
      <c r="E6" s="10"/>
      <c r="F6" s="93"/>
      <c r="G6" s="93"/>
      <c r="H6" s="93"/>
      <c r="I6" s="10"/>
      <c r="J6" s="10"/>
      <c r="K6" s="10"/>
      <c r="L6" s="10"/>
      <c r="M6" s="134"/>
      <c r="N6" s="135"/>
      <c r="O6" s="135"/>
      <c r="P6" s="50"/>
      <c r="Q6" s="50"/>
      <c r="R6" s="50"/>
      <c r="S6" s="50"/>
      <c r="T6" s="50"/>
      <c r="U6" s="50"/>
      <c r="V6" s="9"/>
      <c r="W6" s="9"/>
      <c r="X6" s="9"/>
      <c r="Y6" s="9"/>
      <c r="Z6" s="9"/>
      <c r="AA6" s="9"/>
    </row>
    <row r="7" spans="1:32" outlineLevel="1" x14ac:dyDescent="0.2">
      <c r="A7" s="9"/>
      <c r="B7" s="9"/>
      <c r="C7" s="316" t="str">
        <f>TAR!C7</f>
        <v>Inflation</v>
      </c>
      <c r="D7" s="556" t="s">
        <v>312</v>
      </c>
      <c r="E7" s="165" t="str">
        <f>TAR!E7</f>
        <v>Per cent</v>
      </c>
      <c r="F7" s="20"/>
      <c r="G7" s="20"/>
      <c r="H7" s="209"/>
      <c r="I7" s="210">
        <f>TAR!N7*cancelfutureyear2</f>
        <v>1.8404907975460238E-2</v>
      </c>
      <c r="J7" s="210">
        <f>TAR!O7*cancelfutureyear3</f>
        <v>8.6058519793459354E-3</v>
      </c>
      <c r="K7" s="210">
        <f>TAR!P7*cancelfutureyear4</f>
        <v>3.4982935153583528E-2</v>
      </c>
      <c r="L7" s="210">
        <f>TAR!Q7*cancelfutureyear5</f>
        <v>0</v>
      </c>
      <c r="M7" s="50"/>
      <c r="N7" s="50"/>
      <c r="O7" s="50"/>
      <c r="P7" s="50"/>
      <c r="Q7" s="50"/>
      <c r="R7" s="50"/>
      <c r="S7" s="50"/>
      <c r="T7" s="50"/>
      <c r="U7" s="50"/>
      <c r="V7" s="9"/>
      <c r="W7" s="9"/>
      <c r="X7" s="9"/>
      <c r="Y7" s="9"/>
      <c r="Z7" s="9"/>
      <c r="AA7" s="9"/>
    </row>
    <row r="8" spans="1:32" outlineLevel="1" x14ac:dyDescent="0.2">
      <c r="A8" s="9"/>
      <c r="B8" s="9"/>
      <c r="C8" s="492" t="str">
        <f>TAR!C8&amp;" (if X&gt;0, X=0)"</f>
        <v>X-factor (if X&gt;0, X=0)</v>
      </c>
      <c r="D8" s="556" t="s">
        <v>312</v>
      </c>
      <c r="E8" s="165" t="str">
        <f>TAR!E8</f>
        <v>Per cent</v>
      </c>
      <c r="F8" s="20"/>
      <c r="G8" s="20"/>
      <c r="H8" s="209"/>
      <c r="I8" s="210">
        <f>IF(TAR!N8&gt;0,0,TAR!N8)*cancelfutureyear2</f>
        <v>-1.4130548336114239E-2</v>
      </c>
      <c r="J8" s="210">
        <f>IF(TAR!O8&gt;0,0,TAR!O8)*cancelfutureyear3</f>
        <v>-1.0875956896914439E-2</v>
      </c>
      <c r="K8" s="210">
        <f>IF(TAR!P8&gt;0,0,TAR!P8)*cancelfutureyear4</f>
        <v>-8.2127024447308968E-3</v>
      </c>
      <c r="L8" s="210">
        <f>IF(TAR!Q8&gt;0,0,TAR!Q8)*cancelfutureyear5</f>
        <v>0</v>
      </c>
      <c r="M8" s="50"/>
      <c r="N8" s="50"/>
      <c r="O8" s="50"/>
      <c r="P8" s="50"/>
      <c r="Q8" s="50"/>
      <c r="R8" s="50"/>
      <c r="S8" s="50"/>
      <c r="T8" s="50"/>
      <c r="U8" s="50"/>
      <c r="V8" s="9"/>
      <c r="W8" s="9"/>
      <c r="X8" s="9"/>
      <c r="Y8" s="9"/>
      <c r="Z8" s="9"/>
      <c r="AA8" s="9"/>
    </row>
    <row r="9" spans="1:32" outlineLevel="1" x14ac:dyDescent="0.2">
      <c r="A9" s="9"/>
      <c r="B9" s="9"/>
      <c r="C9" s="492" t="str">
        <f>TAR!C9</f>
        <v>S factor (STPIS 1.2)</v>
      </c>
      <c r="D9" s="556" t="s">
        <v>312</v>
      </c>
      <c r="E9" s="165" t="str">
        <f>TAR!E9</f>
        <v>Per cent</v>
      </c>
      <c r="F9" s="20"/>
      <c r="G9" s="343"/>
      <c r="H9" s="209"/>
      <c r="I9" s="210">
        <f>TAR!N9*cancelfutureyear2</f>
        <v>2.4363429288367655E-3</v>
      </c>
      <c r="J9" s="210">
        <f>TAR!O9*cancelfutureyear3</f>
        <v>1.6328688179711337E-2</v>
      </c>
      <c r="K9" s="210">
        <f>TAR!P9*cancelfutureyear4</f>
        <v>-6.9560159287476164E-3</v>
      </c>
      <c r="L9" s="210">
        <f>TAR!Q9*cancelfutureyear5</f>
        <v>0</v>
      </c>
      <c r="M9" s="50"/>
      <c r="N9" s="50"/>
      <c r="O9" s="50"/>
      <c r="P9" s="50"/>
      <c r="Q9" s="50"/>
      <c r="R9" s="50"/>
      <c r="S9" s="50"/>
      <c r="T9" s="50"/>
      <c r="U9" s="50"/>
      <c r="V9" s="9"/>
      <c r="W9" s="9"/>
      <c r="X9" s="9"/>
      <c r="Y9" s="9"/>
      <c r="Z9" s="9"/>
      <c r="AA9" s="9"/>
    </row>
    <row r="10" spans="1:32" outlineLevel="1" x14ac:dyDescent="0.2">
      <c r="A10" s="9"/>
      <c r="B10" s="9"/>
      <c r="C10" s="492" t="str">
        <f>C9&amp;" transition"</f>
        <v>S factor (STPIS 1.2) transition</v>
      </c>
      <c r="D10" s="556" t="s">
        <v>312</v>
      </c>
      <c r="E10" s="165" t="str">
        <f>E9</f>
        <v>Per cent</v>
      </c>
      <c r="F10" s="20"/>
      <c r="G10" s="20"/>
      <c r="H10" s="209"/>
      <c r="I10" s="210" cm="1">
        <f t="array" ref="I10">IF(AND(I9=0,H9&lt;&gt;0,DNSP&lt;&gt;Lookups!G140:H140),(1+H9)*(1+G9)-1,0)*cancelfutureyear2</f>
        <v>0</v>
      </c>
      <c r="J10" s="210" cm="1">
        <f t="array" ref="J10">IF(AND(J9=0,I9&lt;&gt;0,DNSP&lt;&gt;Lookups!H140:I140),(1+I9)*(1+H9)-1,0)*cancelfutureyear3</f>
        <v>0</v>
      </c>
      <c r="K10" s="210" cm="1">
        <f t="array" ref="K10">IF(AND(K9=0,J9&lt;&gt;0,DNSP&lt;&gt;Lookups!I140:J140),(1+J9)*(1+I9)-1,0)*cancelfutureyear4</f>
        <v>0</v>
      </c>
      <c r="L10" s="210" cm="1">
        <f t="array" ref="L10">IF(AND(L9=0,K9&lt;&gt;0,DNSP&lt;&gt;Lookups!J140:K140),(1+K9)*(1+J9)-1,0)*cancelfutureyear5</f>
        <v>0</v>
      </c>
      <c r="M10" s="50"/>
      <c r="N10" s="50"/>
      <c r="O10" s="50"/>
      <c r="P10" s="50"/>
      <c r="Q10" s="50"/>
      <c r="R10" s="50"/>
      <c r="S10" s="50"/>
      <c r="T10" s="50"/>
      <c r="U10" s="50"/>
      <c r="V10" s="9"/>
      <c r="W10" s="9"/>
      <c r="X10" s="9"/>
      <c r="Y10" s="9"/>
      <c r="Z10" s="9"/>
      <c r="AA10" s="9"/>
    </row>
    <row r="11" spans="1:32" outlineLevel="2" x14ac:dyDescent="0.2">
      <c r="A11" s="19"/>
      <c r="B11" s="19"/>
      <c r="C11" s="555"/>
      <c r="D11" s="512"/>
      <c r="E11" s="529"/>
      <c r="F11" s="20"/>
      <c r="G11" s="20"/>
      <c r="H11" s="211"/>
      <c r="I11" s="211"/>
      <c r="J11" s="211"/>
      <c r="K11" s="211"/>
      <c r="L11" s="211"/>
      <c r="M11" s="94"/>
      <c r="N11" s="94"/>
      <c r="O11" s="94"/>
      <c r="P11" s="94"/>
      <c r="Q11" s="94"/>
      <c r="R11" s="94"/>
      <c r="S11" s="94"/>
      <c r="T11" s="94"/>
      <c r="U11" s="94"/>
      <c r="V11" s="19"/>
      <c r="W11" s="19"/>
      <c r="X11" s="19"/>
      <c r="Y11" s="19"/>
      <c r="Z11" s="19"/>
      <c r="AA11" s="19"/>
    </row>
    <row r="12" spans="1:32" outlineLevel="2" x14ac:dyDescent="0.2">
      <c r="A12" s="19"/>
      <c r="B12" s="19"/>
      <c r="C12" s="208" t="s">
        <v>254</v>
      </c>
      <c r="D12" s="512"/>
      <c r="E12" s="530"/>
      <c r="F12" s="20"/>
      <c r="G12" s="20"/>
      <c r="H12" s="212"/>
      <c r="I12" s="212"/>
      <c r="J12" s="212"/>
      <c r="K12" s="212"/>
      <c r="L12" s="212"/>
      <c r="M12" s="94"/>
      <c r="N12" s="94"/>
      <c r="O12" s="94"/>
      <c r="P12" s="94"/>
      <c r="Q12" s="94"/>
      <c r="R12" s="94"/>
      <c r="S12" s="94"/>
      <c r="T12" s="94"/>
      <c r="U12" s="94"/>
      <c r="V12" s="19"/>
      <c r="W12" s="19"/>
      <c r="X12" s="19"/>
      <c r="Y12" s="19"/>
      <c r="Z12" s="19"/>
      <c r="AA12" s="19"/>
    </row>
    <row r="13" spans="1:32" outlineLevel="2" x14ac:dyDescent="0.2">
      <c r="A13" s="9"/>
      <c r="B13" s="9"/>
      <c r="C13" s="492" t="str">
        <f>TAR!C11</f>
        <v>I factor</v>
      </c>
      <c r="D13" s="556" t="s">
        <v>105</v>
      </c>
      <c r="E13" s="165" t="s">
        <v>19</v>
      </c>
      <c r="F13" s="20"/>
      <c r="G13" s="20"/>
      <c r="H13" s="209"/>
      <c r="I13" s="210">
        <f>IFERROR((TAR!N11-TAR!M11)/$J$38,0)*cancelfutureyear2</f>
        <v>0</v>
      </c>
      <c r="J13" s="210">
        <f>IFERROR((TAR!O11-TAR!N11)/$J$38,0)*cancelfutureyear3</f>
        <v>0</v>
      </c>
      <c r="K13" s="210">
        <f>IFERROR((TAR!P11-TAR!O11)/$J$38,0)*cancelfutureyear4</f>
        <v>0</v>
      </c>
      <c r="L13" s="210">
        <f>IFERROR((TAR!Q11-TAR!P11)/$J$38,0)*cancelfutureyear5</f>
        <v>0</v>
      </c>
      <c r="M13" s="50"/>
      <c r="N13" s="50"/>
      <c r="O13" s="50"/>
      <c r="P13" s="50"/>
      <c r="Q13" s="50"/>
      <c r="R13" s="50"/>
      <c r="S13" s="50"/>
      <c r="T13" s="50"/>
      <c r="U13" s="50"/>
      <c r="V13" s="9"/>
      <c r="W13" s="9"/>
      <c r="X13" s="9"/>
      <c r="Y13" s="9"/>
      <c r="Z13" s="9"/>
      <c r="AA13" s="9"/>
    </row>
    <row r="14" spans="1:32" outlineLevel="2" x14ac:dyDescent="0.2">
      <c r="A14" s="9"/>
      <c r="B14" s="9"/>
      <c r="C14" s="492" t="str">
        <f>TAR!C12</f>
        <v>C factor</v>
      </c>
      <c r="D14" s="556" t="s">
        <v>105</v>
      </c>
      <c r="E14" s="165" t="s">
        <v>19</v>
      </c>
      <c r="F14" s="20"/>
      <c r="G14" s="20"/>
      <c r="H14" s="209"/>
      <c r="I14" s="210">
        <f>IFERROR((TAR!N12-TAR!M12)/$J$38,0)*cancelfutureyear2</f>
        <v>0</v>
      </c>
      <c r="J14" s="210">
        <f>IFERROR((TAR!O12-TAR!N12)/$J$38,0)*cancelfutureyear3</f>
        <v>0</v>
      </c>
      <c r="K14" s="210">
        <f>IFERROR((TAR!P12-TAR!O12)/$J$38,0)*cancelfutureyear4</f>
        <v>0</v>
      </c>
      <c r="L14" s="210">
        <f>IFERROR((TAR!Q12-TAR!P12)/$J$38,0)*cancelfutureyear5</f>
        <v>0</v>
      </c>
      <c r="M14" s="50"/>
      <c r="N14" s="50"/>
      <c r="O14" s="50"/>
      <c r="P14" s="50"/>
      <c r="Q14" s="50"/>
      <c r="R14" s="50"/>
      <c r="S14" s="50"/>
      <c r="T14" s="50"/>
      <c r="U14" s="50"/>
      <c r="V14" s="9"/>
      <c r="W14" s="9"/>
      <c r="X14" s="9"/>
      <c r="Y14" s="9"/>
      <c r="Z14" s="9"/>
      <c r="AA14" s="9"/>
    </row>
    <row r="15" spans="1:32" outlineLevel="2" x14ac:dyDescent="0.2">
      <c r="A15" s="9"/>
      <c r="B15" s="9"/>
      <c r="C15" s="492" t="str">
        <f>TAR!C13</f>
        <v>B factor</v>
      </c>
      <c r="D15" s="556" t="s">
        <v>105</v>
      </c>
      <c r="E15" s="165" t="s">
        <v>19</v>
      </c>
      <c r="F15" s="20"/>
      <c r="G15" s="20"/>
      <c r="H15" s="209"/>
      <c r="I15" s="210">
        <f>IFERROR((TAR!N13-TAR!M13)/$J$38,0)*cancelfutureyear2</f>
        <v>-3.9739201500231254E-2</v>
      </c>
      <c r="J15" s="210">
        <f>IFERROR((TAR!O13-TAR!N13)/$J$38,0)*cancelfutureyear3</f>
        <v>2.001840146840194E-2</v>
      </c>
      <c r="K15" s="210">
        <f>IFERROR((TAR!P13-TAR!O13)/$J$38,0)*cancelfutureyear4</f>
        <v>-3.0860891115785331E-3</v>
      </c>
      <c r="L15" s="210">
        <f>IFERROR((TAR!Q13-TAR!P13)/$J$38,0)*cancelfutureyear5</f>
        <v>0</v>
      </c>
      <c r="M15" s="50"/>
      <c r="N15" s="50"/>
      <c r="O15" s="50"/>
      <c r="P15" s="50"/>
      <c r="Q15" s="50"/>
      <c r="R15" s="50"/>
      <c r="S15" s="50"/>
      <c r="T15" s="50"/>
      <c r="U15" s="50"/>
      <c r="V15" s="9"/>
      <c r="W15" s="9"/>
      <c r="X15" s="9"/>
      <c r="Y15" s="9"/>
      <c r="Z15" s="9"/>
      <c r="AA15" s="9"/>
    </row>
    <row r="16" spans="1:32" outlineLevel="2" x14ac:dyDescent="0.2">
      <c r="A16" s="9"/>
      <c r="B16" s="9"/>
      <c r="C16" s="515" t="s">
        <v>255</v>
      </c>
      <c r="D16" s="557" t="s">
        <v>105</v>
      </c>
      <c r="E16" s="165" t="s">
        <v>19</v>
      </c>
      <c r="F16" s="20"/>
      <c r="G16" s="20"/>
      <c r="H16" s="209"/>
      <c r="I16" s="210">
        <f>((1+I7)*(1-I8)*(1+I9)/(1+I10)*(1+2%)+I13+I14+I15-1)*cancelfutureyear2</f>
        <v>1.6278805770774563E-2</v>
      </c>
      <c r="J16" s="210">
        <f>((1+J7)*(1-J8)*(1+J9)/(1+J10)*(1+2%)+J13+J14+J15-1)*cancelfutureyear3</f>
        <v>7.6966610788622214E-2</v>
      </c>
      <c r="K16" s="210">
        <f>((1+K7)*(1-K8)*(1+K9)/(1+K10)*(1+2%)+K13+K14+K15-1)*cancelfutureyear4</f>
        <v>5.3862858119005264E-2</v>
      </c>
      <c r="L16" s="210">
        <f>((1+L7)*(1-L8)*(1+L9)/(1+L10)*(1+2%)+L13+L14+L15-1)*cancelfutureyear5</f>
        <v>0</v>
      </c>
      <c r="M16" s="50"/>
      <c r="N16" s="50"/>
      <c r="O16" s="50"/>
      <c r="P16" s="50"/>
      <c r="Q16" s="50"/>
      <c r="R16" s="50"/>
      <c r="S16" s="50"/>
      <c r="T16" s="50"/>
      <c r="U16" s="50"/>
      <c r="V16" s="9"/>
      <c r="W16" s="9"/>
      <c r="X16" s="9"/>
      <c r="Y16" s="9"/>
      <c r="Z16" s="9"/>
      <c r="AA16" s="9"/>
    </row>
    <row r="17" spans="1:30" outlineLevel="1" x14ac:dyDescent="0.2">
      <c r="A17" s="19"/>
      <c r="B17" s="19"/>
      <c r="C17" s="555"/>
      <c r="D17" s="512"/>
      <c r="E17" s="529"/>
      <c r="F17" s="20"/>
      <c r="G17" s="20"/>
      <c r="H17" s="211"/>
      <c r="I17" s="211"/>
      <c r="J17" s="211"/>
      <c r="K17" s="211"/>
      <c r="L17" s="211"/>
      <c r="M17" s="94"/>
      <c r="N17" s="94"/>
      <c r="O17" s="94"/>
      <c r="P17" s="94"/>
      <c r="Q17" s="94"/>
      <c r="R17" s="94"/>
      <c r="S17" s="94"/>
      <c r="T17" s="94"/>
      <c r="U17" s="94"/>
      <c r="V17" s="19"/>
      <c r="W17" s="19"/>
      <c r="X17" s="19"/>
      <c r="Y17" s="19"/>
      <c r="Z17" s="19"/>
      <c r="AA17" s="19"/>
    </row>
    <row r="18" spans="1:30" outlineLevel="1" x14ac:dyDescent="0.2">
      <c r="A18" s="19"/>
      <c r="B18" s="19"/>
      <c r="C18" s="208" t="s">
        <v>256</v>
      </c>
      <c r="D18" s="512"/>
      <c r="E18" s="530"/>
      <c r="F18" s="20"/>
      <c r="G18" s="20"/>
      <c r="H18" s="212"/>
      <c r="I18" s="212"/>
      <c r="J18" s="212"/>
      <c r="K18" s="212"/>
      <c r="L18" s="212"/>
      <c r="M18" s="94"/>
      <c r="N18" s="94"/>
      <c r="O18" s="94"/>
      <c r="P18" s="94"/>
      <c r="Q18" s="94"/>
      <c r="R18" s="94"/>
      <c r="S18" s="94"/>
      <c r="T18" s="94"/>
      <c r="U18" s="94"/>
      <c r="V18" s="19"/>
      <c r="W18" s="19"/>
      <c r="X18" s="19"/>
      <c r="Y18" s="19"/>
      <c r="Z18" s="19"/>
      <c r="AA18" s="19"/>
    </row>
    <row r="19" spans="1:30" outlineLevel="1" x14ac:dyDescent="0.2">
      <c r="A19" s="9"/>
      <c r="B19" s="9"/>
      <c r="C19" s="492" t="str">
        <f>TAR!C11</f>
        <v>I factor</v>
      </c>
      <c r="D19" s="556" t="s">
        <v>105</v>
      </c>
      <c r="E19" s="165" t="s">
        <v>19</v>
      </c>
      <c r="F19" s="20"/>
      <c r="G19" s="20"/>
      <c r="H19" s="209"/>
      <c r="I19" s="210">
        <f>IFERROR(TAR!N11/$J$38,0)*cancelfutureyear2</f>
        <v>0</v>
      </c>
      <c r="J19" s="210">
        <f>IFERROR(TAR!O11/$J$38,0)*cancelfutureyear3</f>
        <v>0</v>
      </c>
      <c r="K19" s="210">
        <f>IFERROR(TAR!P11/$J$38,0)*cancelfutureyear4</f>
        <v>0</v>
      </c>
      <c r="L19" s="210">
        <f>IFERROR(TAR!Q11/$J$38,0)*cancelfutureyear5</f>
        <v>0</v>
      </c>
      <c r="M19" s="50"/>
      <c r="N19" s="50"/>
      <c r="O19" s="50"/>
      <c r="P19" s="50"/>
      <c r="Q19" s="50"/>
      <c r="R19" s="50"/>
      <c r="S19" s="50"/>
      <c r="T19" s="50"/>
      <c r="U19" s="50"/>
      <c r="V19" s="9"/>
      <c r="W19" s="9"/>
      <c r="X19" s="9"/>
      <c r="Y19" s="9"/>
      <c r="Z19" s="9"/>
      <c r="AA19" s="9"/>
    </row>
    <row r="20" spans="1:30" outlineLevel="1" x14ac:dyDescent="0.2">
      <c r="A20" s="9"/>
      <c r="B20" s="9"/>
      <c r="C20" s="492" t="str">
        <f>TAR!C12</f>
        <v>C factor</v>
      </c>
      <c r="D20" s="556" t="s">
        <v>105</v>
      </c>
      <c r="E20" s="165" t="s">
        <v>19</v>
      </c>
      <c r="F20" s="20"/>
      <c r="G20" s="20"/>
      <c r="H20" s="209"/>
      <c r="I20" s="210">
        <f>IFERROR(TAR!N12/$J$38,0)*cancelfutureyear2</f>
        <v>0</v>
      </c>
      <c r="J20" s="210">
        <f>IFERROR(TAR!O12/$J$38,0)*cancelfutureyear3</f>
        <v>0</v>
      </c>
      <c r="K20" s="210">
        <f>IFERROR(TAR!P12/$J$38,0)*cancelfutureyear4</f>
        <v>0</v>
      </c>
      <c r="L20" s="210">
        <f>IFERROR(TAR!Q12/$J$38,0)*cancelfutureyear5</f>
        <v>0</v>
      </c>
      <c r="M20" s="50"/>
      <c r="N20" s="50"/>
      <c r="O20" s="50"/>
      <c r="P20" s="50"/>
      <c r="Q20" s="50"/>
      <c r="R20" s="50"/>
      <c r="S20" s="50"/>
      <c r="T20" s="50"/>
      <c r="U20" s="50"/>
      <c r="V20" s="9"/>
      <c r="W20" s="9"/>
      <c r="X20" s="9"/>
      <c r="Y20" s="9"/>
      <c r="Z20" s="9"/>
      <c r="AA20" s="9"/>
    </row>
    <row r="21" spans="1:30" outlineLevel="1" x14ac:dyDescent="0.2">
      <c r="A21" s="9"/>
      <c r="B21" s="9"/>
      <c r="C21" s="492" t="str">
        <f>TAR!C13</f>
        <v>B factor</v>
      </c>
      <c r="D21" s="556" t="s">
        <v>105</v>
      </c>
      <c r="E21" s="165" t="s">
        <v>19</v>
      </c>
      <c r="F21" s="20"/>
      <c r="G21" s="20"/>
      <c r="H21" s="209"/>
      <c r="I21" s="210">
        <f>IFERROR(TAR!N13/$J$38,0)*cancelfutureyear2</f>
        <v>-4.2292015614254629E-2</v>
      </c>
      <c r="J21" s="210">
        <f>IFERROR(TAR!O13/$J$38,0)*cancelfutureyear3</f>
        <v>-2.2273614145852685E-2</v>
      </c>
      <c r="K21" s="210">
        <f>IFERROR(TAR!P13/$J$38,0)*cancelfutureyear4</f>
        <v>-2.535970325743122E-2</v>
      </c>
      <c r="L21" s="210">
        <f>IFERROR(TAR!Q13/$J$38,0)*cancelfutureyear5</f>
        <v>0</v>
      </c>
      <c r="M21" s="50"/>
      <c r="N21" s="50"/>
      <c r="O21" s="50"/>
      <c r="P21" s="50"/>
      <c r="Q21" s="50"/>
      <c r="R21" s="50"/>
      <c r="S21" s="50"/>
      <c r="T21" s="50"/>
      <c r="U21" s="50"/>
      <c r="V21" s="9"/>
      <c r="W21" s="9"/>
      <c r="X21" s="9"/>
      <c r="Y21" s="9"/>
      <c r="Z21" s="9"/>
      <c r="AA21" s="9"/>
    </row>
    <row r="22" spans="1:30" outlineLevel="1" x14ac:dyDescent="0.2">
      <c r="A22" s="9"/>
      <c r="B22" s="9"/>
      <c r="C22" s="515" t="s">
        <v>255</v>
      </c>
      <c r="D22" s="557" t="s">
        <v>105</v>
      </c>
      <c r="E22" s="165" t="s">
        <v>19</v>
      </c>
      <c r="F22" s="20"/>
      <c r="G22" s="20"/>
      <c r="H22" s="209"/>
      <c r="I22" s="210">
        <f>((1+I7)*(1-I8)*(1+I9)/(1+I10)*(1+2%)+I19+I20+I21-1)*cancelfutureyear2</f>
        <v>1.3725991656751368E-2</v>
      </c>
      <c r="J22" s="210">
        <f>((1+J7)*(1-J8)*(1+J9)/(1+J10)*(1+2%)+J19+J20+J21-1)*cancelfutureyear3</f>
        <v>3.4674595174367662E-2</v>
      </c>
      <c r="K22" s="210">
        <f>((1+K7)*(1-K8)*(1+K9)/(1+K10)*(1+2%)+K19+K20+K21-1)*cancelfutureyear4</f>
        <v>3.1589243973152437E-2</v>
      </c>
      <c r="L22" s="210">
        <f>((1+L7)*(1-L8)*(1+L9)/(1+L10)*(1+2%)+L19+L20+L21-1)*cancelfutureyear5</f>
        <v>0</v>
      </c>
      <c r="M22" s="50"/>
      <c r="N22" s="50"/>
      <c r="O22" s="50"/>
      <c r="P22" s="50"/>
      <c r="Q22" s="50"/>
      <c r="R22" s="50"/>
      <c r="S22" s="50"/>
      <c r="T22" s="50"/>
      <c r="U22" s="50"/>
      <c r="V22" s="9"/>
      <c r="W22" s="9"/>
      <c r="X22" s="9"/>
      <c r="Y22" s="9"/>
      <c r="Z22" s="9"/>
      <c r="AA22" s="9"/>
    </row>
    <row r="23" spans="1:30" outlineLevel="1" x14ac:dyDescent="0.2">
      <c r="A23" s="9"/>
      <c r="B23" s="9"/>
      <c r="C23" s="9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50"/>
      <c r="O23" s="50"/>
      <c r="P23" s="50"/>
      <c r="Q23" s="50"/>
      <c r="R23" s="50"/>
      <c r="S23" s="50"/>
      <c r="T23" s="50"/>
      <c r="U23" s="50"/>
      <c r="V23" s="9"/>
      <c r="W23" s="9"/>
      <c r="X23" s="9"/>
      <c r="Y23" s="9"/>
      <c r="Z23" s="9"/>
      <c r="AA23" s="9"/>
    </row>
    <row r="24" spans="1:30" x14ac:dyDescent="0.2">
      <c r="A24" s="9"/>
      <c r="B24" s="9"/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50"/>
      <c r="O24" s="50"/>
      <c r="P24" s="50"/>
      <c r="Q24" s="50"/>
      <c r="R24" s="50"/>
      <c r="S24" s="50"/>
      <c r="T24" s="50"/>
      <c r="U24" s="50"/>
      <c r="V24" s="9"/>
      <c r="W24" s="9"/>
      <c r="X24" s="9"/>
      <c r="Y24" s="9"/>
      <c r="Z24" s="9"/>
      <c r="AA24" s="9"/>
    </row>
    <row r="25" spans="1:30" x14ac:dyDescent="0.2">
      <c r="A25" s="11"/>
      <c r="B25" s="12" t="s">
        <v>659</v>
      </c>
      <c r="C25" s="11"/>
      <c r="D25" s="32" t="s">
        <v>253</v>
      </c>
      <c r="E25" s="32"/>
      <c r="F25" s="689"/>
      <c r="G25" s="689"/>
      <c r="H25" s="689"/>
      <c r="I25" s="34"/>
      <c r="J25" s="344" t="str">
        <f>currentyear&amp;" SC revenue"</f>
        <v>2021–22 SC revenue</v>
      </c>
      <c r="K25" s="80"/>
      <c r="L25" s="80"/>
      <c r="M25" s="34"/>
      <c r="N25" s="33" t="str">
        <f>forecastyear</f>
        <v>2022–23</v>
      </c>
      <c r="O25" s="34"/>
      <c r="P25" s="34"/>
      <c r="Q25" s="33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</row>
    <row r="26" spans="1:30" outlineLevel="1" x14ac:dyDescent="0.2">
      <c r="A26" s="9"/>
      <c r="B26" s="9"/>
      <c r="C26" s="9"/>
      <c r="D26" s="10"/>
      <c r="E26" s="10"/>
      <c r="F26" s="10"/>
      <c r="G26" s="10"/>
      <c r="H26" s="10"/>
      <c r="I26" s="10"/>
      <c r="J26" s="10"/>
      <c r="K26" s="93"/>
      <c r="L26" s="93"/>
      <c r="M26" s="10"/>
      <c r="N26" s="50"/>
      <c r="O26" s="50"/>
      <c r="P26" s="50"/>
      <c r="Q26" s="50"/>
      <c r="R26" s="50"/>
      <c r="S26" s="50"/>
      <c r="T26" s="50"/>
      <c r="U26" s="50"/>
      <c r="V26" s="9"/>
      <c r="W26" s="9"/>
      <c r="X26" s="9"/>
      <c r="Y26" s="9"/>
      <c r="Z26" s="9"/>
      <c r="AA26" s="9"/>
    </row>
    <row r="27" spans="1:30" outlineLevel="1" x14ac:dyDescent="0.2">
      <c r="A27" s="9"/>
      <c r="B27" s="9"/>
      <c r="C27" s="492" t="str">
        <f>Tariffs!C7</f>
        <v>Residential</v>
      </c>
      <c r="D27" s="458" t="str">
        <f t="shared" ref="D27:D38" si="0">IF(C27=0,0,revenueunits)</f>
        <v>$millions</v>
      </c>
      <c r="E27" s="10"/>
      <c r="F27" s="20"/>
      <c r="G27" s="20"/>
      <c r="H27" s="20"/>
      <c r="I27" s="10"/>
      <c r="J27" s="236">
        <f t="shared" ref="J27:J37" si="1">(SUMIF($D$43:$D$117,$C27,F$43:F$117)*revenuemultiplier)+J143</f>
        <v>124.32944209581481</v>
      </c>
      <c r="K27" s="242"/>
      <c r="L27" s="242"/>
      <c r="M27" s="347"/>
      <c r="N27" s="236">
        <f>'Rev. summary'!P7*$AB$42</f>
        <v>121.08100033978971</v>
      </c>
      <c r="O27" s="62"/>
      <c r="P27" s="20"/>
      <c r="Q27" s="50"/>
      <c r="R27" s="50"/>
      <c r="S27" s="50"/>
      <c r="T27" s="50"/>
      <c r="U27" s="50"/>
      <c r="V27" s="9"/>
      <c r="W27" s="9"/>
      <c r="X27" s="9"/>
      <c r="Y27" s="9"/>
      <c r="Z27" s="9"/>
      <c r="AA27" s="9"/>
    </row>
    <row r="28" spans="1:30" outlineLevel="1" x14ac:dyDescent="0.2">
      <c r="A28" s="9"/>
      <c r="B28" s="9"/>
      <c r="C28" s="492" t="str">
        <f>Tariffs!C8</f>
        <v>Small Business LV</v>
      </c>
      <c r="D28" s="458" t="str">
        <f t="shared" si="0"/>
        <v>$millions</v>
      </c>
      <c r="E28" s="10"/>
      <c r="F28" s="20"/>
      <c r="G28" s="20"/>
      <c r="H28" s="20"/>
      <c r="I28" s="10"/>
      <c r="J28" s="236">
        <f t="shared" si="1"/>
        <v>60.37320918739556</v>
      </c>
      <c r="K28" s="242"/>
      <c r="L28" s="242"/>
      <c r="M28" s="347"/>
      <c r="N28" s="236">
        <f>'Rev. summary'!P8*$AB$42</f>
        <v>60.650901070362487</v>
      </c>
      <c r="O28" s="62"/>
      <c r="P28" s="20"/>
      <c r="Q28" s="50"/>
      <c r="R28" s="50"/>
      <c r="S28" s="50"/>
      <c r="T28" s="50"/>
      <c r="U28" s="50"/>
      <c r="V28" s="9"/>
      <c r="W28" s="9"/>
      <c r="X28" s="9"/>
      <c r="Y28" s="9"/>
      <c r="Z28" s="9"/>
      <c r="AA28" s="9"/>
    </row>
    <row r="29" spans="1:30" outlineLevel="1" x14ac:dyDescent="0.2">
      <c r="A29" s="9"/>
      <c r="B29" s="9"/>
      <c r="C29" s="492" t="str">
        <f>Tariffs!C9</f>
        <v>Large Business LV</v>
      </c>
      <c r="D29" s="458" t="str">
        <f t="shared" si="0"/>
        <v>$millions</v>
      </c>
      <c r="E29" s="10"/>
      <c r="F29" s="20"/>
      <c r="G29" s="20"/>
      <c r="H29" s="20"/>
      <c r="I29" s="10"/>
      <c r="J29" s="236">
        <f t="shared" si="1"/>
        <v>15.052423603779976</v>
      </c>
      <c r="K29" s="242"/>
      <c r="L29" s="242"/>
      <c r="M29" s="347"/>
      <c r="N29" s="236">
        <f>'Rev. summary'!P9*$AB$42</f>
        <v>14.889905497366902</v>
      </c>
      <c r="O29" s="62"/>
      <c r="P29" s="20"/>
      <c r="Q29" s="50"/>
      <c r="R29" s="50"/>
      <c r="S29" s="50"/>
      <c r="T29" s="50"/>
      <c r="U29" s="50"/>
      <c r="V29" s="9"/>
      <c r="W29" s="9"/>
      <c r="X29" s="9"/>
      <c r="Y29" s="9"/>
      <c r="Z29" s="9"/>
      <c r="AA29" s="9"/>
    </row>
    <row r="30" spans="1:30" outlineLevel="1" x14ac:dyDescent="0.2">
      <c r="A30" s="9"/>
      <c r="B30" s="9"/>
      <c r="C30" s="492" t="str">
        <f>Tariffs!C10</f>
        <v>Irrigation</v>
      </c>
      <c r="D30" s="458" t="str">
        <f t="shared" si="0"/>
        <v>$millions</v>
      </c>
      <c r="E30" s="10"/>
      <c r="F30" s="20"/>
      <c r="G30" s="20"/>
      <c r="H30" s="20"/>
      <c r="I30" s="10"/>
      <c r="J30" s="236">
        <f t="shared" si="1"/>
        <v>7.7458591598476003</v>
      </c>
      <c r="K30" s="242"/>
      <c r="L30" s="242"/>
      <c r="M30" s="347"/>
      <c r="N30" s="236">
        <f>'Rev. summary'!P10*$AB$42</f>
        <v>7.8995566499676313</v>
      </c>
      <c r="O30" s="62"/>
      <c r="P30" s="20"/>
      <c r="Q30" s="50"/>
      <c r="R30" s="50"/>
      <c r="S30" s="50"/>
      <c r="T30" s="50"/>
      <c r="U30" s="50"/>
      <c r="V30" s="9"/>
      <c r="W30" s="9"/>
      <c r="X30" s="9"/>
      <c r="Y30" s="9"/>
      <c r="Z30" s="9"/>
      <c r="AA30" s="9"/>
    </row>
    <row r="31" spans="1:30" outlineLevel="1" x14ac:dyDescent="0.2">
      <c r="A31" s="9"/>
      <c r="B31" s="9"/>
      <c r="C31" s="492" t="str">
        <f>Tariffs!C11</f>
        <v>Large Business HV</v>
      </c>
      <c r="D31" s="458" t="str">
        <f t="shared" si="0"/>
        <v>$millions</v>
      </c>
      <c r="E31" s="10"/>
      <c r="F31" s="20"/>
      <c r="G31" s="20"/>
      <c r="H31" s="20"/>
      <c r="I31" s="10"/>
      <c r="J31" s="236">
        <f t="shared" si="1"/>
        <v>7.5846577024876485</v>
      </c>
      <c r="K31" s="242"/>
      <c r="L31" s="242"/>
      <c r="M31" s="347"/>
      <c r="N31" s="236">
        <f>'Rev. summary'!P11*$AB$42</f>
        <v>7.5421503559610885</v>
      </c>
      <c r="O31" s="62"/>
      <c r="P31" s="20"/>
      <c r="Q31" s="50"/>
      <c r="R31" s="50"/>
      <c r="S31" s="50"/>
      <c r="T31" s="50"/>
      <c r="U31" s="50"/>
      <c r="V31" s="9"/>
      <c r="W31" s="9"/>
      <c r="X31" s="9"/>
      <c r="Y31" s="9"/>
      <c r="Z31" s="9"/>
      <c r="AA31" s="9"/>
    </row>
    <row r="32" spans="1:30" outlineLevel="1" x14ac:dyDescent="0.2">
      <c r="A32" s="9"/>
      <c r="B32" s="9"/>
      <c r="C32" s="492" t="str">
        <f>Tariffs!C12</f>
        <v>Uncontrolled energy</v>
      </c>
      <c r="D32" s="458" t="str">
        <f t="shared" si="0"/>
        <v>$millions</v>
      </c>
      <c r="E32" s="10"/>
      <c r="F32" s="20"/>
      <c r="G32" s="20"/>
      <c r="H32" s="20"/>
      <c r="I32" s="10"/>
      <c r="J32" s="236">
        <f t="shared" si="1"/>
        <v>36.427157011790648</v>
      </c>
      <c r="K32" s="242"/>
      <c r="L32" s="242"/>
      <c r="M32" s="347"/>
      <c r="N32" s="236">
        <f>'Rev. summary'!P12*$AB$42</f>
        <v>38.266316198077284</v>
      </c>
      <c r="O32" s="62"/>
      <c r="P32" s="20"/>
      <c r="Q32" s="50"/>
      <c r="R32" s="50"/>
      <c r="S32" s="50"/>
      <c r="T32" s="50"/>
      <c r="U32" s="50"/>
      <c r="V32" s="9"/>
      <c r="W32" s="9"/>
      <c r="X32" s="9"/>
      <c r="Y32" s="9"/>
      <c r="Z32" s="9"/>
      <c r="AA32" s="9"/>
    </row>
    <row r="33" spans="1:32" outlineLevel="1" x14ac:dyDescent="0.2">
      <c r="A33" s="9"/>
      <c r="B33" s="9"/>
      <c r="C33" s="492" t="str">
        <f>Tariffs!C13</f>
        <v>Controlled energy</v>
      </c>
      <c r="D33" s="458" t="str">
        <f t="shared" si="0"/>
        <v>$millions</v>
      </c>
      <c r="E33" s="10"/>
      <c r="F33" s="20"/>
      <c r="G33" s="20"/>
      <c r="H33" s="20"/>
      <c r="I33" s="10"/>
      <c r="J33" s="236">
        <f t="shared" si="1"/>
        <v>1.2582633124761378</v>
      </c>
      <c r="K33" s="242"/>
      <c r="L33" s="242"/>
      <c r="M33" s="347"/>
      <c r="N33" s="236">
        <f>'Rev. summary'!P13*$AB$42</f>
        <v>1.27983897711229</v>
      </c>
      <c r="O33" s="62"/>
      <c r="P33" s="20"/>
      <c r="Q33" s="50"/>
      <c r="R33" s="50"/>
      <c r="S33" s="50"/>
      <c r="T33" s="50"/>
      <c r="U33" s="50"/>
      <c r="V33" s="9"/>
      <c r="W33" s="9"/>
      <c r="X33" s="9"/>
      <c r="Y33" s="9"/>
      <c r="Z33" s="9"/>
      <c r="AA33" s="9"/>
    </row>
    <row r="34" spans="1:32" outlineLevel="1" x14ac:dyDescent="0.2">
      <c r="A34" s="9"/>
      <c r="B34" s="9"/>
      <c r="C34" s="492" t="str">
        <f>Tariffs!C14</f>
        <v>Unmetered supplies</v>
      </c>
      <c r="D34" s="458" t="str">
        <f t="shared" si="0"/>
        <v>$millions</v>
      </c>
      <c r="E34" s="10"/>
      <c r="F34" s="20"/>
      <c r="G34" s="20"/>
      <c r="H34" s="20"/>
      <c r="I34" s="10"/>
      <c r="J34" s="236">
        <f t="shared" si="1"/>
        <v>0.89704047658678732</v>
      </c>
      <c r="K34" s="242"/>
      <c r="L34" s="242"/>
      <c r="M34" s="347"/>
      <c r="N34" s="236">
        <f>'Rev. summary'!P14*$AB$42</f>
        <v>0.89914586951200737</v>
      </c>
      <c r="O34" s="62"/>
      <c r="P34" s="20"/>
      <c r="Q34" s="50"/>
      <c r="R34" s="50"/>
      <c r="S34" s="50"/>
      <c r="T34" s="50"/>
      <c r="U34" s="50"/>
      <c r="V34" s="9"/>
      <c r="W34" s="9"/>
      <c r="X34" s="9"/>
      <c r="Y34" s="9"/>
      <c r="Z34" s="9"/>
      <c r="AA34" s="9"/>
    </row>
    <row r="35" spans="1:32" outlineLevel="1" x14ac:dyDescent="0.2">
      <c r="A35" s="9"/>
      <c r="B35" s="9"/>
      <c r="C35" s="492" t="str">
        <f>Tariffs!C15</f>
        <v>Street lighting</v>
      </c>
      <c r="D35" s="458" t="str">
        <f t="shared" si="0"/>
        <v>$millions</v>
      </c>
      <c r="E35" s="10"/>
      <c r="F35" s="20"/>
      <c r="G35" s="20"/>
      <c r="H35" s="20"/>
      <c r="I35" s="10"/>
      <c r="J35" s="236">
        <f t="shared" si="1"/>
        <v>1.0988173733721671</v>
      </c>
      <c r="K35" s="242"/>
      <c r="L35" s="242"/>
      <c r="M35" s="347"/>
      <c r="N35" s="236">
        <f>'Rev. summary'!P15*$AB$42</f>
        <v>1.1120561369067714</v>
      </c>
      <c r="O35" s="62"/>
      <c r="P35" s="20"/>
      <c r="Q35" s="50"/>
      <c r="R35" s="50"/>
      <c r="S35" s="50"/>
      <c r="T35" s="50"/>
      <c r="U35" s="50"/>
      <c r="V35" s="9"/>
      <c r="W35" s="9"/>
      <c r="X35" s="9"/>
      <c r="Y35" s="9"/>
      <c r="Z35" s="9"/>
      <c r="AA35" s="9"/>
    </row>
    <row r="36" spans="1:32" outlineLevel="1" x14ac:dyDescent="0.2">
      <c r="A36" s="9"/>
      <c r="B36" s="9"/>
      <c r="C36" s="492" t="str">
        <f>Tariffs!C16</f>
        <v>ITC</v>
      </c>
      <c r="D36" s="458" t="str">
        <f t="shared" si="0"/>
        <v>$millions</v>
      </c>
      <c r="E36" s="10"/>
      <c r="F36" s="20"/>
      <c r="G36" s="20"/>
      <c r="H36" s="20"/>
      <c r="I36" s="10"/>
      <c r="J36" s="236">
        <f t="shared" si="1"/>
        <v>2.2084127867498635</v>
      </c>
      <c r="K36" s="242"/>
      <c r="L36" s="242"/>
      <c r="M36" s="347"/>
      <c r="N36" s="236">
        <f>'Rev. summary'!P16*$AB$42</f>
        <v>2.1968218274795355</v>
      </c>
      <c r="O36" s="62"/>
      <c r="P36" s="20"/>
      <c r="Q36" s="50"/>
      <c r="R36" s="50"/>
      <c r="S36" s="50"/>
      <c r="T36" s="50"/>
      <c r="U36" s="50"/>
      <c r="V36" s="9"/>
      <c r="W36" s="9"/>
      <c r="X36" s="9"/>
      <c r="Y36" s="9"/>
      <c r="Z36" s="9"/>
      <c r="AA36" s="9"/>
    </row>
    <row r="37" spans="1:32" outlineLevel="1" x14ac:dyDescent="0.2">
      <c r="A37" s="9"/>
      <c r="B37" s="9"/>
      <c r="C37" s="492">
        <f>Tariffs!C17</f>
        <v>0</v>
      </c>
      <c r="D37" s="458">
        <f t="shared" si="0"/>
        <v>0</v>
      </c>
      <c r="E37" s="10"/>
      <c r="F37" s="20"/>
      <c r="G37" s="20"/>
      <c r="H37" s="20"/>
      <c r="I37" s="10"/>
      <c r="J37" s="236">
        <f t="shared" si="1"/>
        <v>0</v>
      </c>
      <c r="K37" s="242"/>
      <c r="L37" s="242"/>
      <c r="M37" s="347"/>
      <c r="N37" s="236">
        <f>'Rev. summary'!P17*$AB$42</f>
        <v>0</v>
      </c>
      <c r="O37" s="62"/>
      <c r="P37" s="20"/>
      <c r="Q37" s="50"/>
      <c r="R37" s="50"/>
      <c r="S37" s="50"/>
      <c r="T37" s="50"/>
      <c r="U37" s="50"/>
      <c r="V37" s="9"/>
      <c r="W37" s="9"/>
      <c r="X37" s="9"/>
      <c r="Y37" s="9"/>
      <c r="Z37" s="9"/>
      <c r="AA37" s="9"/>
    </row>
    <row r="38" spans="1:32" outlineLevel="1" x14ac:dyDescent="0.2">
      <c r="A38" s="9"/>
      <c r="B38" s="9"/>
      <c r="C38" s="515" t="s">
        <v>240</v>
      </c>
      <c r="D38" s="458" t="str">
        <f t="shared" si="0"/>
        <v>$millions</v>
      </c>
      <c r="E38" s="10"/>
      <c r="F38" s="20"/>
      <c r="G38" s="20"/>
      <c r="H38" s="20"/>
      <c r="I38" s="10"/>
      <c r="J38" s="236">
        <f>SUM(J27:J37)</f>
        <v>256.9752827103012</v>
      </c>
      <c r="K38" s="242"/>
      <c r="L38" s="242"/>
      <c r="M38" s="347"/>
      <c r="N38" s="236">
        <f>SUM(N27:N37)</f>
        <v>255.81769292253571</v>
      </c>
      <c r="O38" s="20"/>
      <c r="P38" s="20"/>
      <c r="Q38" s="50"/>
      <c r="R38" s="50"/>
      <c r="S38" s="50"/>
      <c r="T38" s="50"/>
      <c r="U38" s="50"/>
      <c r="V38" s="9"/>
      <c r="W38" s="9"/>
      <c r="X38" s="9"/>
      <c r="Y38" s="9"/>
      <c r="Z38" s="9"/>
      <c r="AA38" s="9"/>
    </row>
    <row r="39" spans="1:32" x14ac:dyDescent="0.2">
      <c r="A39" s="9"/>
      <c r="B39" s="9"/>
      <c r="C39" s="9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50"/>
      <c r="O39" s="50"/>
      <c r="P39" s="50"/>
      <c r="Q39" s="50"/>
      <c r="R39" s="50"/>
      <c r="S39" s="50"/>
      <c r="T39" s="50"/>
      <c r="U39" s="50"/>
      <c r="V39" s="9"/>
      <c r="W39" s="9"/>
      <c r="X39" s="9"/>
      <c r="Y39" s="9"/>
      <c r="Z39" s="9"/>
      <c r="AA39" s="9"/>
    </row>
    <row r="40" spans="1:32" ht="12.75" x14ac:dyDescent="0.2">
      <c r="A40" s="11"/>
      <c r="B40" s="12" t="s">
        <v>692</v>
      </c>
      <c r="C40" s="11"/>
      <c r="D40" s="32" t="s">
        <v>199</v>
      </c>
      <c r="E40" s="32"/>
      <c r="F40" s="33" t="s">
        <v>240</v>
      </c>
      <c r="G40" s="33"/>
      <c r="H40" s="169" t="str">
        <f>'Prop. revenue'!I5</f>
        <v>Service</v>
      </c>
      <c r="I40" s="169" t="str">
        <f>'Prop. revenue'!J5</f>
        <v>All energy</v>
      </c>
      <c r="J40" s="169" t="str">
        <f>'Prop. revenue'!K5</f>
        <v>Peak energy</v>
      </c>
      <c r="K40" s="169" t="str">
        <f>'Prop. revenue'!L5</f>
        <v>Shoulder energy</v>
      </c>
      <c r="L40" s="169" t="str">
        <f>'Prop. revenue'!M5</f>
        <v>Off-peak energy</v>
      </c>
      <c r="M40" s="169" t="str">
        <f>'Prop. revenue'!N5</f>
        <v>All demand</v>
      </c>
      <c r="N40" s="169" t="str">
        <f>'Prop. revenue'!O5</f>
        <v>Peak demand</v>
      </c>
      <c r="O40" s="169" t="str">
        <f>'Prop. revenue'!P5</f>
        <v>Off-peak demand</v>
      </c>
      <c r="P40" s="169" t="str">
        <f>'Prop. revenue'!Q5</f>
        <v>Specified demand</v>
      </c>
      <c r="Q40" s="169" t="str">
        <f>'Prop. revenue'!R5</f>
        <v>Excess daily demand</v>
      </c>
      <c r="R40" s="169" t="str">
        <f>'Prop. revenue'!S5</f>
        <v>Daily demand connection</v>
      </c>
      <c r="S40" s="169" t="str">
        <f>'Prop. revenue'!T5</f>
        <v>Excess daily demand connection</v>
      </c>
      <c r="T40" s="169" t="str">
        <f>'Prop. revenue'!U5</f>
        <v>All demand (lamps)</v>
      </c>
      <c r="U40" s="169">
        <f>'Prop. revenue'!V5</f>
        <v>0</v>
      </c>
      <c r="V40" s="169">
        <f>'Prop. revenue'!W5</f>
        <v>0</v>
      </c>
      <c r="W40" s="169">
        <f>'Prop. revenue'!X5</f>
        <v>0</v>
      </c>
      <c r="X40" s="169">
        <f>'Prop. revenue'!Y5</f>
        <v>0</v>
      </c>
      <c r="Y40" s="169">
        <f>'Prop. revenue'!Z5</f>
        <v>0</v>
      </c>
      <c r="Z40" s="169">
        <f>'Prop. revenue'!AA5</f>
        <v>0</v>
      </c>
      <c r="AA40" s="169">
        <f>'Prop. revenue'!AB5</f>
        <v>0</v>
      </c>
      <c r="AB40" s="64"/>
      <c r="AC40" s="15"/>
      <c r="AD40" s="15"/>
      <c r="AE40" s="15"/>
      <c r="AF40" s="15"/>
    </row>
    <row r="41" spans="1:32" outlineLevel="1" x14ac:dyDescent="0.2">
      <c r="A41" s="19"/>
      <c r="B41" s="19"/>
      <c r="C41" s="36"/>
      <c r="D41" s="20"/>
      <c r="E41" s="20"/>
      <c r="F41" s="22" t="str">
        <f>dollars</f>
        <v>$dollars</v>
      </c>
      <c r="G41" s="22"/>
      <c r="H41" s="170" t="str">
        <f>'Prop. revenue'!I6</f>
        <v>$dollars</v>
      </c>
      <c r="I41" s="170" t="str">
        <f>'Prop. revenue'!J6</f>
        <v>$dollars</v>
      </c>
      <c r="J41" s="170" t="str">
        <f>'Prop. revenue'!K6</f>
        <v>$dollars</v>
      </c>
      <c r="K41" s="170" t="str">
        <f>'Prop. revenue'!L6</f>
        <v>$dollars</v>
      </c>
      <c r="L41" s="170" t="str">
        <f>'Prop. revenue'!M6</f>
        <v>$dollars</v>
      </c>
      <c r="M41" s="170" t="str">
        <f>'Prop. revenue'!N6</f>
        <v>$dollars</v>
      </c>
      <c r="N41" s="170" t="str">
        <f>'Prop. revenue'!O6</f>
        <v>$dollars</v>
      </c>
      <c r="O41" s="170" t="str">
        <f>'Prop. revenue'!P6</f>
        <v>$dollars</v>
      </c>
      <c r="P41" s="170" t="str">
        <f>'Prop. revenue'!Q6</f>
        <v>$dollars</v>
      </c>
      <c r="Q41" s="170" t="str">
        <f>'Prop. revenue'!R6</f>
        <v>$dollars</v>
      </c>
      <c r="R41" s="170" t="str">
        <f>'Prop. revenue'!S6</f>
        <v>$dollars</v>
      </c>
      <c r="S41" s="170" t="str">
        <f>'Prop. revenue'!T6</f>
        <v>$dollars</v>
      </c>
      <c r="T41" s="170" t="str">
        <f>'Prop. revenue'!U6</f>
        <v>$dollars</v>
      </c>
      <c r="U41" s="170">
        <f>'Prop. revenue'!V6</f>
        <v>0</v>
      </c>
      <c r="V41" s="170">
        <f>'Prop. revenue'!W6</f>
        <v>0</v>
      </c>
      <c r="W41" s="170">
        <f>'Prop. revenue'!X6</f>
        <v>0</v>
      </c>
      <c r="X41" s="170">
        <f>'Prop. revenue'!Y6</f>
        <v>0</v>
      </c>
      <c r="Y41" s="170">
        <f>'Prop. revenue'!Z6</f>
        <v>0</v>
      </c>
      <c r="Z41" s="170">
        <f>'Prop. revenue'!AA6</f>
        <v>0</v>
      </c>
      <c r="AA41" s="170">
        <f>'Prop. revenue'!AB6</f>
        <v>0</v>
      </c>
      <c r="AB41" s="19"/>
      <c r="AC41" s="19"/>
      <c r="AD41" s="19"/>
      <c r="AE41" s="19"/>
      <c r="AF41" s="19"/>
    </row>
    <row r="42" spans="1:32" outlineLevel="1" x14ac:dyDescent="0.2">
      <c r="A42" s="19"/>
      <c r="B42" s="19"/>
      <c r="C42" s="65"/>
      <c r="D42" s="20"/>
      <c r="E42" s="20"/>
      <c r="F42" s="22"/>
      <c r="G42" s="22"/>
      <c r="H42" s="197">
        <f>'Prop. revenue'!I7</f>
        <v>3.65</v>
      </c>
      <c r="I42" s="197">
        <f>'Prop. revenue'!J7</f>
        <v>0.01</v>
      </c>
      <c r="J42" s="197">
        <f>'Prop. revenue'!K7</f>
        <v>0.01</v>
      </c>
      <c r="K42" s="197">
        <f>'Prop. revenue'!L7</f>
        <v>0.01</v>
      </c>
      <c r="L42" s="197">
        <f>'Prop. revenue'!M7</f>
        <v>0.01</v>
      </c>
      <c r="M42" s="197">
        <f>'Prop. revenue'!N7</f>
        <v>0.01</v>
      </c>
      <c r="N42" s="197">
        <f>'Prop. revenue'!O7</f>
        <v>0.01</v>
      </c>
      <c r="O42" s="197">
        <f>'Prop. revenue'!P7</f>
        <v>0.01</v>
      </c>
      <c r="P42" s="197">
        <f>'Prop. revenue'!Q7</f>
        <v>0.01</v>
      </c>
      <c r="Q42" s="197">
        <f>'Prop. revenue'!R7</f>
        <v>0.01</v>
      </c>
      <c r="R42" s="197">
        <f>'Prop. revenue'!S7</f>
        <v>0.01</v>
      </c>
      <c r="S42" s="197">
        <f>'Prop. revenue'!T7</f>
        <v>0.01</v>
      </c>
      <c r="T42" s="197">
        <f>'Prop. revenue'!U7</f>
        <v>3.65</v>
      </c>
      <c r="U42" s="197">
        <f>'Prop. revenue'!V7</f>
        <v>0</v>
      </c>
      <c r="V42" s="197">
        <f>'Prop. revenue'!W7</f>
        <v>0</v>
      </c>
      <c r="W42" s="197">
        <f>'Prop. revenue'!X7</f>
        <v>0</v>
      </c>
      <c r="X42" s="197">
        <f>'Prop. revenue'!Y7</f>
        <v>0</v>
      </c>
      <c r="Y42" s="197">
        <f>'Prop. revenue'!Z7</f>
        <v>0</v>
      </c>
      <c r="Z42" s="197">
        <f>'Prop. revenue'!AA7</f>
        <v>0</v>
      </c>
      <c r="AA42" s="197">
        <f>'Prop. revenue'!AB7</f>
        <v>0</v>
      </c>
      <c r="AB42" s="339">
        <f>IF(forecastyear=RCP_firstyear,0,1)</f>
        <v>1</v>
      </c>
      <c r="AC42" s="19"/>
      <c r="AD42" s="19"/>
      <c r="AE42" s="19"/>
      <c r="AF42" s="19"/>
    </row>
    <row r="43" spans="1:32" outlineLevel="1" x14ac:dyDescent="0.2">
      <c r="A43" s="19"/>
      <c r="B43" s="19"/>
      <c r="C43" s="506" t="str">
        <f>Tariffs!C46</f>
        <v>Residential time of use consumption</v>
      </c>
      <c r="D43" s="505" t="str">
        <f>Tariffs!D46</f>
        <v>Residential</v>
      </c>
      <c r="E43" s="20"/>
      <c r="F43" s="213">
        <f t="shared" ref="F43:F74" si="2">SUM(H43:AA43)</f>
        <v>37004211.071069963</v>
      </c>
      <c r="G43" s="22"/>
      <c r="H43" s="198">
        <f>Qty!M8*'Hist. prices'!I8*H$42*$AB$42</f>
        <v>12789751.960449999</v>
      </c>
      <c r="I43" s="198">
        <f>Qty!N8*'Hist. prices'!J8*I$42*$AB$42</f>
        <v>0</v>
      </c>
      <c r="J43" s="198">
        <f>Qty!O8*'Hist. prices'!K8*J$42*$AB$42</f>
        <v>16797468.585310861</v>
      </c>
      <c r="K43" s="198">
        <f>Qty!P8*'Hist. prices'!L8*K$42*$AB$42</f>
        <v>0</v>
      </c>
      <c r="L43" s="198">
        <f>Qty!Q8*'Hist. prices'!M8*L$42*$AB$42</f>
        <v>7416990.5253091035</v>
      </c>
      <c r="M43" s="198">
        <f>Qty!R8*'Hist. prices'!N8*M$42*$AB$42</f>
        <v>0</v>
      </c>
      <c r="N43" s="198">
        <f>Qty!S8*'Hist. prices'!O8*N$42*$AB$42</f>
        <v>0</v>
      </c>
      <c r="O43" s="198">
        <f>Qty!T8*'Hist. prices'!P8*O$42*$AB$42</f>
        <v>0</v>
      </c>
      <c r="P43" s="198">
        <f>Qty!U8*'Hist. prices'!Q8*P$42*$AB$42</f>
        <v>0</v>
      </c>
      <c r="Q43" s="198">
        <f>Qty!V8*'Hist. prices'!R8*Q$42*$AB$42</f>
        <v>0</v>
      </c>
      <c r="R43" s="198">
        <f>Qty!W8*'Hist. prices'!S8*R$42*$AB$42</f>
        <v>0</v>
      </c>
      <c r="S43" s="198">
        <f>Qty!X8*'Hist. prices'!T8*S$42*$AB$42</f>
        <v>0</v>
      </c>
      <c r="T43" s="198">
        <f>Qty!Y8*'Hist. prices'!U8*T$42*$AB$42</f>
        <v>0</v>
      </c>
      <c r="U43" s="198">
        <f>Qty!Z8*'Hist. prices'!V8*U$42*$AB$42</f>
        <v>0</v>
      </c>
      <c r="V43" s="198">
        <f>Qty!AA8*'Hist. prices'!W8*V$42*$AB$42</f>
        <v>0</v>
      </c>
      <c r="W43" s="198">
        <f>Qty!AB8*'Hist. prices'!X8*W$42*$AB$42</f>
        <v>0</v>
      </c>
      <c r="X43" s="198">
        <f>Qty!AC8*'Hist. prices'!Y8*X$42*$AB$42</f>
        <v>0</v>
      </c>
      <c r="Y43" s="198">
        <f>Qty!AD8*'Hist. prices'!Z8*Y$42*$AB$42</f>
        <v>0</v>
      </c>
      <c r="Z43" s="198">
        <f>Qty!AE8*'Hist. prices'!AA8*Z$42*$AB$42</f>
        <v>0</v>
      </c>
      <c r="AA43" s="198">
        <f>Qty!AF8*'Hist. prices'!AB8*AA$42*$AB$42</f>
        <v>0</v>
      </c>
      <c r="AB43" s="68"/>
      <c r="AC43" s="19"/>
      <c r="AD43" s="19"/>
      <c r="AE43" s="19"/>
      <c r="AF43" s="19"/>
    </row>
    <row r="44" spans="1:32" s="59" customFormat="1" outlineLevel="1" x14ac:dyDescent="0.2">
      <c r="A44" s="57"/>
      <c r="B44" s="57"/>
      <c r="C44" s="506" t="str">
        <f>Tariffs!C47</f>
        <v>Residential general light and power</v>
      </c>
      <c r="D44" s="505" t="str">
        <f>Tariffs!D47</f>
        <v>Residential</v>
      </c>
      <c r="E44" s="58"/>
      <c r="F44" s="213">
        <f t="shared" si="2"/>
        <v>87325231.024744853</v>
      </c>
      <c r="G44" s="58"/>
      <c r="H44" s="198">
        <f>Qty!M9*'Hist. prices'!I9*H$42*$AB$42</f>
        <v>39805341.4208</v>
      </c>
      <c r="I44" s="198">
        <f>Qty!N9*'Hist. prices'!J9*I$42*$AB$42</f>
        <v>47519889.603944853</v>
      </c>
      <c r="J44" s="198">
        <f>Qty!O9*'Hist. prices'!K9*J$42*$AB$42</f>
        <v>0</v>
      </c>
      <c r="K44" s="198">
        <f>Qty!P9*'Hist. prices'!L9*K$42*$AB$42</f>
        <v>0</v>
      </c>
      <c r="L44" s="198">
        <f>Qty!Q9*'Hist. prices'!M9*L$42*$AB$42</f>
        <v>0</v>
      </c>
      <c r="M44" s="198">
        <f>Qty!R9*'Hist. prices'!N9*M$42*$AB$42</f>
        <v>0</v>
      </c>
      <c r="N44" s="198">
        <f>Qty!S9*'Hist. prices'!O9*N$42*$AB$42</f>
        <v>0</v>
      </c>
      <c r="O44" s="198">
        <f>Qty!T9*'Hist. prices'!P9*O$42*$AB$42</f>
        <v>0</v>
      </c>
      <c r="P44" s="198">
        <f>Qty!U9*'Hist. prices'!Q9*P$42*$AB$42</f>
        <v>0</v>
      </c>
      <c r="Q44" s="198">
        <f>Qty!V9*'Hist. prices'!R9*Q$42*$AB$42</f>
        <v>0</v>
      </c>
      <c r="R44" s="198">
        <f>Qty!W9*'Hist. prices'!S9*R$42*$AB$42</f>
        <v>0</v>
      </c>
      <c r="S44" s="198">
        <f>Qty!X9*'Hist. prices'!T9*S$42*$AB$42</f>
        <v>0</v>
      </c>
      <c r="T44" s="198">
        <f>Qty!Y9*'Hist. prices'!U9*T$42*$AB$42</f>
        <v>0</v>
      </c>
      <c r="U44" s="198">
        <f>Qty!Z9*'Hist. prices'!V9*U$42*$AB$42</f>
        <v>0</v>
      </c>
      <c r="V44" s="198">
        <f>Qty!AA9*'Hist. prices'!W9*V$42*$AB$42</f>
        <v>0</v>
      </c>
      <c r="W44" s="198">
        <f>Qty!AB9*'Hist. prices'!X9*W$42*$AB$42</f>
        <v>0</v>
      </c>
      <c r="X44" s="198">
        <f>Qty!AC9*'Hist. prices'!Y9*X$42*$AB$42</f>
        <v>0</v>
      </c>
      <c r="Y44" s="198">
        <f>Qty!AD9*'Hist. prices'!Z9*Y$42*$AB$42</f>
        <v>0</v>
      </c>
      <c r="Z44" s="198">
        <f>Qty!AE9*'Hist. prices'!AA9*Z$42*$AB$42</f>
        <v>0</v>
      </c>
      <c r="AA44" s="198">
        <f>Qty!AF9*'Hist. prices'!AB9*AA$42*$AB$42</f>
        <v>0</v>
      </c>
      <c r="AB44" s="68"/>
      <c r="AC44" s="57"/>
      <c r="AD44" s="57"/>
      <c r="AE44" s="57"/>
      <c r="AF44" s="57"/>
    </row>
    <row r="45" spans="1:32" outlineLevel="1" x14ac:dyDescent="0.2">
      <c r="A45" s="19"/>
      <c r="B45" s="19"/>
      <c r="C45" s="506" t="str">
        <f>Tariffs!C48</f>
        <v>Residential time of use demand</v>
      </c>
      <c r="D45" s="505" t="str">
        <f>Tariffs!D48</f>
        <v>Residential</v>
      </c>
      <c r="E45" s="58"/>
      <c r="F45" s="213">
        <f t="shared" si="2"/>
        <v>0</v>
      </c>
      <c r="G45" s="58"/>
      <c r="H45" s="198">
        <f>Qty!M10*'Hist. prices'!I10*H$42*$AB$42</f>
        <v>0</v>
      </c>
      <c r="I45" s="198">
        <f>Qty!N10*'Hist. prices'!J10*I$42*$AB$42</f>
        <v>0</v>
      </c>
      <c r="J45" s="198">
        <f>Qty!O10*'Hist. prices'!K10*J$42*$AB$42</f>
        <v>0</v>
      </c>
      <c r="K45" s="198">
        <f>Qty!P10*'Hist. prices'!L10*K$42*$AB$42</f>
        <v>0</v>
      </c>
      <c r="L45" s="198">
        <f>Qty!Q10*'Hist. prices'!M10*L$42*$AB$42</f>
        <v>0</v>
      </c>
      <c r="M45" s="198">
        <f>Qty!R10*'Hist. prices'!N10*M$42*$AB$42</f>
        <v>0</v>
      </c>
      <c r="N45" s="198">
        <f>Qty!S10*'Hist. prices'!O10*N$42*$AB$42</f>
        <v>0</v>
      </c>
      <c r="O45" s="198">
        <f>Qty!T10*'Hist. prices'!P10*O$42*$AB$42</f>
        <v>0</v>
      </c>
      <c r="P45" s="198">
        <f>Qty!U10*'Hist. prices'!Q10*P$42*$AB$42</f>
        <v>0</v>
      </c>
      <c r="Q45" s="198">
        <f>Qty!V10*'Hist. prices'!R10*Q$42*$AB$42</f>
        <v>0</v>
      </c>
      <c r="R45" s="198">
        <f>Qty!W10*'Hist. prices'!S10*R$42*$AB$42</f>
        <v>0</v>
      </c>
      <c r="S45" s="198">
        <f>Qty!X10*'Hist. prices'!T10*S$42*$AB$42</f>
        <v>0</v>
      </c>
      <c r="T45" s="198">
        <f>Qty!Y10*'Hist. prices'!U10*T$42*$AB$42</f>
        <v>0</v>
      </c>
      <c r="U45" s="198">
        <f>Qty!Z10*'Hist. prices'!V10*U$42*$AB$42</f>
        <v>0</v>
      </c>
      <c r="V45" s="198">
        <f>Qty!AA10*'Hist. prices'!W10*V$42*$AB$42</f>
        <v>0</v>
      </c>
      <c r="W45" s="198">
        <f>Qty!AB10*'Hist. prices'!X10*W$42*$AB$42</f>
        <v>0</v>
      </c>
      <c r="X45" s="198">
        <f>Qty!AC10*'Hist. prices'!Y10*X$42*$AB$42</f>
        <v>0</v>
      </c>
      <c r="Y45" s="198">
        <f>Qty!AD10*'Hist. prices'!Z10*Y$42*$AB$42</f>
        <v>0</v>
      </c>
      <c r="Z45" s="198">
        <f>Qty!AE10*'Hist. prices'!AA10*Z$42*$AB$42</f>
        <v>0</v>
      </c>
      <c r="AA45" s="198">
        <f>Qty!AF10*'Hist. prices'!AB10*AA$42*$AB$42</f>
        <v>0</v>
      </c>
      <c r="AB45" s="68"/>
      <c r="AC45" s="19"/>
      <c r="AD45" s="19"/>
      <c r="AE45" s="19"/>
      <c r="AF45" s="19"/>
    </row>
    <row r="46" spans="1:32" outlineLevel="1" x14ac:dyDescent="0.2">
      <c r="A46" s="19"/>
      <c r="B46" s="19"/>
      <c r="C46" s="506" t="str">
        <f>Tariffs!C49</f>
        <v>Residential time of use demand DER</v>
      </c>
      <c r="D46" s="505" t="str">
        <f>Tariffs!D49</f>
        <v>Residential</v>
      </c>
      <c r="E46" s="58"/>
      <c r="F46" s="213">
        <f t="shared" si="2"/>
        <v>0</v>
      </c>
      <c r="G46" s="58"/>
      <c r="H46" s="198">
        <f>Qty!M11*'Hist. prices'!I11*H$42*$AB$42</f>
        <v>0</v>
      </c>
      <c r="I46" s="198">
        <f>Qty!N11*'Hist. prices'!J11*I$42*$AB$42</f>
        <v>0</v>
      </c>
      <c r="J46" s="198">
        <f>Qty!O11*'Hist. prices'!K11*J$42*$AB$42</f>
        <v>0</v>
      </c>
      <c r="K46" s="198">
        <f>Qty!P11*'Hist. prices'!L11*K$42*$AB$42</f>
        <v>0</v>
      </c>
      <c r="L46" s="198">
        <f>Qty!Q11*'Hist. prices'!M11*L$42*$AB$42</f>
        <v>0</v>
      </c>
      <c r="M46" s="198">
        <f>Qty!R11*'Hist. prices'!N11*M$42*$AB$42</f>
        <v>0</v>
      </c>
      <c r="N46" s="198">
        <f>Qty!S11*'Hist. prices'!O11*N$42*$AB$42</f>
        <v>0</v>
      </c>
      <c r="O46" s="198">
        <f>Qty!T11*'Hist. prices'!P11*O$42*$AB$42</f>
        <v>0</v>
      </c>
      <c r="P46" s="198">
        <f>Qty!U11*'Hist. prices'!Q11*P$42*$AB$42</f>
        <v>0</v>
      </c>
      <c r="Q46" s="198">
        <f>Qty!V11*'Hist. prices'!R11*Q$42*$AB$42</f>
        <v>0</v>
      </c>
      <c r="R46" s="198">
        <f>Qty!W11*'Hist. prices'!S11*R$42*$AB$42</f>
        <v>0</v>
      </c>
      <c r="S46" s="198">
        <f>Qty!X11*'Hist. prices'!T11*S$42*$AB$42</f>
        <v>0</v>
      </c>
      <c r="T46" s="198">
        <f>Qty!Y11*'Hist. prices'!U11*T$42*$AB$42</f>
        <v>0</v>
      </c>
      <c r="U46" s="198">
        <f>Qty!Z11*'Hist. prices'!V11*U$42*$AB$42</f>
        <v>0</v>
      </c>
      <c r="V46" s="198">
        <f>Qty!AA11*'Hist. prices'!W11*V$42*$AB$42</f>
        <v>0</v>
      </c>
      <c r="W46" s="198">
        <f>Qty!AB11*'Hist. prices'!X11*W$42*$AB$42</f>
        <v>0</v>
      </c>
      <c r="X46" s="198">
        <f>Qty!AC11*'Hist. prices'!Y11*X$42*$AB$42</f>
        <v>0</v>
      </c>
      <c r="Y46" s="198">
        <f>Qty!AD11*'Hist. prices'!Z11*Y$42*$AB$42</f>
        <v>0</v>
      </c>
      <c r="Z46" s="198">
        <f>Qty!AE11*'Hist. prices'!AA11*Z$42*$AB$42</f>
        <v>0</v>
      </c>
      <c r="AA46" s="198">
        <f>Qty!AF11*'Hist. prices'!AB11*AA$42*$AB$42</f>
        <v>0</v>
      </c>
      <c r="AB46" s="68"/>
      <c r="AC46" s="19"/>
      <c r="AD46" s="19"/>
      <c r="AE46" s="19"/>
      <c r="AF46" s="19"/>
    </row>
    <row r="47" spans="1:32" outlineLevel="1" x14ac:dyDescent="0.2">
      <c r="A47" s="19"/>
      <c r="B47" s="19"/>
      <c r="C47" s="506" t="str">
        <f>Tariffs!C50</f>
        <v>Residential pay as you go</v>
      </c>
      <c r="D47" s="505" t="str">
        <f>Tariffs!D50</f>
        <v>Residential</v>
      </c>
      <c r="E47" s="58"/>
      <c r="F47" s="213">
        <f t="shared" si="2"/>
        <v>0</v>
      </c>
      <c r="G47" s="58"/>
      <c r="H47" s="198">
        <f>Qty!M12*'Hist. prices'!I12*H$42*$AB$42</f>
        <v>0</v>
      </c>
      <c r="I47" s="198">
        <f>Qty!N12*'Hist. prices'!J12*I$42*$AB$42</f>
        <v>0</v>
      </c>
      <c r="J47" s="198">
        <f>Qty!O12*'Hist. prices'!K12*J$42*$AB$42</f>
        <v>0</v>
      </c>
      <c r="K47" s="198">
        <f>Qty!P12*'Hist. prices'!L12*K$42*$AB$42</f>
        <v>0</v>
      </c>
      <c r="L47" s="198">
        <f>Qty!Q12*'Hist. prices'!M12*L$42*$AB$42</f>
        <v>0</v>
      </c>
      <c r="M47" s="198">
        <f>Qty!R12*'Hist. prices'!N12*M$42*$AB$42</f>
        <v>0</v>
      </c>
      <c r="N47" s="198">
        <f>Qty!S12*'Hist. prices'!O12*N$42*$AB$42</f>
        <v>0</v>
      </c>
      <c r="O47" s="198">
        <f>Qty!T12*'Hist. prices'!P12*O$42*$AB$42</f>
        <v>0</v>
      </c>
      <c r="P47" s="198">
        <f>Qty!U12*'Hist. prices'!Q12*P$42*$AB$42</f>
        <v>0</v>
      </c>
      <c r="Q47" s="198">
        <f>Qty!V12*'Hist. prices'!R12*Q$42*$AB$42</f>
        <v>0</v>
      </c>
      <c r="R47" s="198">
        <f>Qty!W12*'Hist. prices'!S12*R$42*$AB$42</f>
        <v>0</v>
      </c>
      <c r="S47" s="198">
        <f>Qty!X12*'Hist. prices'!T12*S$42*$AB$42</f>
        <v>0</v>
      </c>
      <c r="T47" s="198">
        <f>Qty!Y12*'Hist. prices'!U12*T$42*$AB$42</f>
        <v>0</v>
      </c>
      <c r="U47" s="198">
        <f>Qty!Z12*'Hist. prices'!V12*U$42*$AB$42</f>
        <v>0</v>
      </c>
      <c r="V47" s="198">
        <f>Qty!AA12*'Hist. prices'!W12*V$42*$AB$42</f>
        <v>0</v>
      </c>
      <c r="W47" s="198">
        <f>Qty!AB12*'Hist. prices'!X12*W$42*$AB$42</f>
        <v>0</v>
      </c>
      <c r="X47" s="198">
        <f>Qty!AC12*'Hist. prices'!Y12*X$42*$AB$42</f>
        <v>0</v>
      </c>
      <c r="Y47" s="198">
        <f>Qty!AD12*'Hist. prices'!Z12*Y$42*$AB$42</f>
        <v>0</v>
      </c>
      <c r="Z47" s="198">
        <f>Qty!AE12*'Hist. prices'!AA12*Z$42*$AB$42</f>
        <v>0</v>
      </c>
      <c r="AA47" s="198">
        <f>Qty!AF12*'Hist. prices'!AB12*AA$42*$AB$42</f>
        <v>0</v>
      </c>
      <c r="AB47" s="68"/>
      <c r="AC47" s="19"/>
      <c r="AD47" s="19"/>
      <c r="AE47" s="19"/>
      <c r="AF47" s="19"/>
    </row>
    <row r="48" spans="1:32" outlineLevel="1" x14ac:dyDescent="0.2">
      <c r="A48" s="19"/>
      <c r="B48" s="19"/>
      <c r="C48" s="506" t="str">
        <f>Tariffs!C51</f>
        <v>Residential pay as you go time of use</v>
      </c>
      <c r="D48" s="505" t="str">
        <f>Tariffs!D51</f>
        <v>Residential</v>
      </c>
      <c r="E48" s="58"/>
      <c r="F48" s="213">
        <f t="shared" si="2"/>
        <v>0</v>
      </c>
      <c r="G48" s="58"/>
      <c r="H48" s="198">
        <f>Qty!M13*'Hist. prices'!I13*H$42*$AB$42</f>
        <v>0</v>
      </c>
      <c r="I48" s="198">
        <f>Qty!N13*'Hist. prices'!J13*I$42*$AB$42</f>
        <v>0</v>
      </c>
      <c r="J48" s="198">
        <f>Qty!O13*'Hist. prices'!K13*J$42*$AB$42</f>
        <v>0</v>
      </c>
      <c r="K48" s="198">
        <f>Qty!P13*'Hist. prices'!L13*K$42*$AB$42</f>
        <v>0</v>
      </c>
      <c r="L48" s="198">
        <f>Qty!Q13*'Hist. prices'!M13*L$42*$AB$42</f>
        <v>0</v>
      </c>
      <c r="M48" s="198">
        <f>Qty!R13*'Hist. prices'!N13*M$42*$AB$42</f>
        <v>0</v>
      </c>
      <c r="N48" s="198">
        <f>Qty!S13*'Hist. prices'!O13*N$42*$AB$42</f>
        <v>0</v>
      </c>
      <c r="O48" s="198">
        <f>Qty!T13*'Hist. prices'!P13*O$42*$AB$42</f>
        <v>0</v>
      </c>
      <c r="P48" s="198">
        <f>Qty!U13*'Hist. prices'!Q13*P$42*$AB$42</f>
        <v>0</v>
      </c>
      <c r="Q48" s="198">
        <f>Qty!V13*'Hist. prices'!R13*Q$42*$AB$42</f>
        <v>0</v>
      </c>
      <c r="R48" s="198">
        <f>Qty!W13*'Hist. prices'!S13*R$42*$AB$42</f>
        <v>0</v>
      </c>
      <c r="S48" s="198">
        <f>Qty!X13*'Hist. prices'!T13*S$42*$AB$42</f>
        <v>0</v>
      </c>
      <c r="T48" s="198">
        <f>Qty!Y13*'Hist. prices'!U13*T$42*$AB$42</f>
        <v>0</v>
      </c>
      <c r="U48" s="198">
        <f>Qty!Z13*'Hist. prices'!V13*U$42*$AB$42</f>
        <v>0</v>
      </c>
      <c r="V48" s="198">
        <f>Qty!AA13*'Hist. prices'!W13*V$42*$AB$42</f>
        <v>0</v>
      </c>
      <c r="W48" s="198">
        <f>Qty!AB13*'Hist. prices'!X13*W$42*$AB$42</f>
        <v>0</v>
      </c>
      <c r="X48" s="198">
        <f>Qty!AC13*'Hist. prices'!Y13*X$42*$AB$42</f>
        <v>0</v>
      </c>
      <c r="Y48" s="198">
        <f>Qty!AD13*'Hist. prices'!Z13*Y$42*$AB$42</f>
        <v>0</v>
      </c>
      <c r="Z48" s="198">
        <f>Qty!AE13*'Hist. prices'!AA13*Z$42*$AB$42</f>
        <v>0</v>
      </c>
      <c r="AA48" s="198">
        <f>Qty!AF13*'Hist. prices'!AB13*AA$42*$AB$42</f>
        <v>0</v>
      </c>
      <c r="AB48" s="68"/>
      <c r="AC48" s="19"/>
      <c r="AD48" s="19"/>
      <c r="AE48" s="19"/>
      <c r="AF48" s="19"/>
    </row>
    <row r="49" spans="1:32" outlineLevel="1" x14ac:dyDescent="0.2">
      <c r="A49" s="19"/>
      <c r="B49" s="19"/>
      <c r="C49" s="506" t="str">
        <f>Tariffs!C52</f>
        <v>Small business time of use consumption</v>
      </c>
      <c r="D49" s="505" t="str">
        <f>Tariffs!D52</f>
        <v>Small Business LV</v>
      </c>
      <c r="E49" s="58"/>
      <c r="F49" s="213">
        <f t="shared" si="2"/>
        <v>29727023.652810495</v>
      </c>
      <c r="G49" s="58"/>
      <c r="H49" s="198">
        <f>Qty!M14*'Hist. prices'!I14*H$42*$AB$42</f>
        <v>2197511.4554500002</v>
      </c>
      <c r="I49" s="198">
        <f>Qty!N14*'Hist. prices'!J14*I$42*$AB$42</f>
        <v>0</v>
      </c>
      <c r="J49" s="198">
        <f>Qty!O14*'Hist. prices'!K14*J$42*$AB$42</f>
        <v>22480624.495180789</v>
      </c>
      <c r="K49" s="198">
        <f>Qty!P14*'Hist. prices'!L14*K$42*$AB$42</f>
        <v>3385197.8182426072</v>
      </c>
      <c r="L49" s="198">
        <f>Qty!Q14*'Hist. prices'!M14*L$42*$AB$42</f>
        <v>1663689.8839370969</v>
      </c>
      <c r="M49" s="198">
        <f>Qty!R14*'Hist. prices'!N14*M$42*$AB$42</f>
        <v>0</v>
      </c>
      <c r="N49" s="198">
        <f>Qty!S14*'Hist. prices'!O14*N$42*$AB$42</f>
        <v>0</v>
      </c>
      <c r="O49" s="198">
        <f>Qty!T14*'Hist. prices'!P14*O$42*$AB$42</f>
        <v>0</v>
      </c>
      <c r="P49" s="198">
        <f>Qty!U14*'Hist. prices'!Q14*P$42*$AB$42</f>
        <v>0</v>
      </c>
      <c r="Q49" s="198">
        <f>Qty!V14*'Hist. prices'!R14*Q$42*$AB$42</f>
        <v>0</v>
      </c>
      <c r="R49" s="198">
        <f>Qty!W14*'Hist. prices'!S14*R$42*$AB$42</f>
        <v>0</v>
      </c>
      <c r="S49" s="198">
        <f>Qty!X14*'Hist. prices'!T14*S$42*$AB$42</f>
        <v>0</v>
      </c>
      <c r="T49" s="198">
        <f>Qty!Y14*'Hist. prices'!U14*T$42*$AB$42</f>
        <v>0</v>
      </c>
      <c r="U49" s="198">
        <f>Qty!Z14*'Hist. prices'!V14*U$42*$AB$42</f>
        <v>0</v>
      </c>
      <c r="V49" s="198">
        <f>Qty!AA14*'Hist. prices'!W14*V$42*$AB$42</f>
        <v>0</v>
      </c>
      <c r="W49" s="198">
        <f>Qty!AB14*'Hist. prices'!X14*W$42*$AB$42</f>
        <v>0</v>
      </c>
      <c r="X49" s="198">
        <f>Qty!AC14*'Hist. prices'!Y14*X$42*$AB$42</f>
        <v>0</v>
      </c>
      <c r="Y49" s="198">
        <f>Qty!AD14*'Hist. prices'!Z14*Y$42*$AB$42</f>
        <v>0</v>
      </c>
      <c r="Z49" s="198">
        <f>Qty!AE14*'Hist. prices'!AA14*Z$42*$AB$42</f>
        <v>0</v>
      </c>
      <c r="AA49" s="198">
        <f>Qty!AF14*'Hist. prices'!AB14*AA$42*$AB$42</f>
        <v>0</v>
      </c>
      <c r="AB49" s="68"/>
      <c r="AC49" s="19"/>
      <c r="AD49" s="19"/>
      <c r="AE49" s="19"/>
      <c r="AF49" s="19"/>
    </row>
    <row r="50" spans="1:32" outlineLevel="1" x14ac:dyDescent="0.2">
      <c r="A50" s="19"/>
      <c r="B50" s="19"/>
      <c r="C50" s="506" t="str">
        <f>Tariffs!C53</f>
        <v>Small business general light and power</v>
      </c>
      <c r="D50" s="505" t="str">
        <f>Tariffs!D53</f>
        <v>Small Business LV</v>
      </c>
      <c r="E50" s="58"/>
      <c r="F50" s="213">
        <f t="shared" si="2"/>
        <v>22382449.491445601</v>
      </c>
      <c r="G50" s="58"/>
      <c r="H50" s="198">
        <f>Qty!M15*'Hist. prices'!I15*H$42*$AB$42</f>
        <v>5065508.3541999999</v>
      </c>
      <c r="I50" s="198">
        <f>Qty!N15*'Hist. prices'!J15*I$42*$AB$42</f>
        <v>17316941.137245599</v>
      </c>
      <c r="J50" s="198">
        <f>Qty!O15*'Hist. prices'!K15*J$42*$AB$42</f>
        <v>0</v>
      </c>
      <c r="K50" s="198">
        <f>Qty!P15*'Hist. prices'!L15*K$42*$AB$42</f>
        <v>0</v>
      </c>
      <c r="L50" s="198">
        <f>Qty!Q15*'Hist. prices'!M15*L$42*$AB$42</f>
        <v>0</v>
      </c>
      <c r="M50" s="198">
        <f>Qty!R15*'Hist. prices'!N15*M$42*$AB$42</f>
        <v>0</v>
      </c>
      <c r="N50" s="198">
        <f>Qty!S15*'Hist. prices'!O15*N$42*$AB$42</f>
        <v>0</v>
      </c>
      <c r="O50" s="198">
        <f>Qty!T15*'Hist. prices'!P15*O$42*$AB$42</f>
        <v>0</v>
      </c>
      <c r="P50" s="198">
        <f>Qty!U15*'Hist. prices'!Q15*P$42*$AB$42</f>
        <v>0</v>
      </c>
      <c r="Q50" s="198">
        <f>Qty!V15*'Hist. prices'!R15*Q$42*$AB$42</f>
        <v>0</v>
      </c>
      <c r="R50" s="198">
        <f>Qty!W15*'Hist. prices'!S15*R$42*$AB$42</f>
        <v>0</v>
      </c>
      <c r="S50" s="198">
        <f>Qty!X15*'Hist. prices'!T15*S$42*$AB$42</f>
        <v>0</v>
      </c>
      <c r="T50" s="198">
        <f>Qty!Y15*'Hist. prices'!U15*T$42*$AB$42</f>
        <v>0</v>
      </c>
      <c r="U50" s="198">
        <f>Qty!Z15*'Hist. prices'!V15*U$42*$AB$42</f>
        <v>0</v>
      </c>
      <c r="V50" s="198">
        <f>Qty!AA15*'Hist. prices'!W15*V$42*$AB$42</f>
        <v>0</v>
      </c>
      <c r="W50" s="198">
        <f>Qty!AB15*'Hist. prices'!X15*W$42*$AB$42</f>
        <v>0</v>
      </c>
      <c r="X50" s="198">
        <f>Qty!AC15*'Hist. prices'!Y15*X$42*$AB$42</f>
        <v>0</v>
      </c>
      <c r="Y50" s="198">
        <f>Qty!AD15*'Hist. prices'!Z15*Y$42*$AB$42</f>
        <v>0</v>
      </c>
      <c r="Z50" s="198">
        <f>Qty!AE15*'Hist. prices'!AA15*Z$42*$AB$42</f>
        <v>0</v>
      </c>
      <c r="AA50" s="198">
        <f>Qty!AF15*'Hist. prices'!AB15*AA$42*$AB$42</f>
        <v>0</v>
      </c>
      <c r="AB50" s="68"/>
      <c r="AC50" s="19"/>
      <c r="AD50" s="19"/>
      <c r="AE50" s="19"/>
      <c r="AF50" s="19"/>
    </row>
    <row r="51" spans="1:32" outlineLevel="1" x14ac:dyDescent="0.2">
      <c r="A51" s="19"/>
      <c r="B51" s="19"/>
      <c r="C51" s="506" t="str">
        <f>Tariffs!C54</f>
        <v>Small business time of use demand</v>
      </c>
      <c r="D51" s="505" t="str">
        <f>Tariffs!D54</f>
        <v>Small Business LV</v>
      </c>
      <c r="E51" s="58"/>
      <c r="F51" s="213">
        <f t="shared" si="2"/>
        <v>7062672.6967388093</v>
      </c>
      <c r="G51" s="58"/>
      <c r="H51" s="198">
        <f>Qty!M16*'Hist. prices'!I16*H$42*$AB$42</f>
        <v>266775.67489999998</v>
      </c>
      <c r="I51" s="198">
        <f>Qty!N16*'Hist. prices'!J16*I$42*$AB$42</f>
        <v>0</v>
      </c>
      <c r="J51" s="198">
        <f>Qty!O16*'Hist. prices'!K16*J$42*$AB$42</f>
        <v>0</v>
      </c>
      <c r="K51" s="198">
        <f>Qty!P16*'Hist. prices'!L16*K$42*$AB$42</f>
        <v>0</v>
      </c>
      <c r="L51" s="198">
        <f>Qty!Q16*'Hist. prices'!M16*L$42*$AB$42</f>
        <v>0</v>
      </c>
      <c r="M51" s="198">
        <f>Qty!R16*'Hist. prices'!N16*M$42*$AB$42</f>
        <v>0</v>
      </c>
      <c r="N51" s="198">
        <f>Qty!S16*'Hist. prices'!O16*N$42*$AB$42</f>
        <v>5473708.5723592509</v>
      </c>
      <c r="O51" s="198">
        <f>Qty!T16*'Hist. prices'!P16*O$42*$AB$42</f>
        <v>1322188.4494795585</v>
      </c>
      <c r="P51" s="198">
        <f>Qty!U16*'Hist. prices'!Q16*P$42*$AB$42</f>
        <v>0</v>
      </c>
      <c r="Q51" s="198">
        <f>Qty!V16*'Hist. prices'!R16*Q$42*$AB$42</f>
        <v>0</v>
      </c>
      <c r="R51" s="198">
        <f>Qty!W16*'Hist. prices'!S16*R$42*$AB$42</f>
        <v>0</v>
      </c>
      <c r="S51" s="198">
        <f>Qty!X16*'Hist. prices'!T16*S$42*$AB$42</f>
        <v>0</v>
      </c>
      <c r="T51" s="198">
        <f>Qty!Y16*'Hist. prices'!U16*T$42*$AB$42</f>
        <v>0</v>
      </c>
      <c r="U51" s="198">
        <f>Qty!Z16*'Hist. prices'!V16*U$42*$AB$42</f>
        <v>0</v>
      </c>
      <c r="V51" s="198">
        <f>Qty!AA16*'Hist. prices'!W16*V$42*$AB$42</f>
        <v>0</v>
      </c>
      <c r="W51" s="198">
        <f>Qty!AB16*'Hist. prices'!X16*W$42*$AB$42</f>
        <v>0</v>
      </c>
      <c r="X51" s="198">
        <f>Qty!AC16*'Hist. prices'!Y16*X$42*$AB$42</f>
        <v>0</v>
      </c>
      <c r="Y51" s="198">
        <f>Qty!AD16*'Hist. prices'!Z16*Y$42*$AB$42</f>
        <v>0</v>
      </c>
      <c r="Z51" s="198">
        <f>Qty!AE16*'Hist. prices'!AA16*Z$42*$AB$42</f>
        <v>0</v>
      </c>
      <c r="AA51" s="198">
        <f>Qty!AF16*'Hist. prices'!AB16*AA$42*$AB$42</f>
        <v>0</v>
      </c>
      <c r="AB51" s="68"/>
      <c r="AC51" s="19"/>
      <c r="AD51" s="19"/>
      <c r="AE51" s="19"/>
      <c r="AF51" s="19"/>
    </row>
    <row r="52" spans="1:32" outlineLevel="1" x14ac:dyDescent="0.2">
      <c r="A52" s="19"/>
      <c r="B52" s="19"/>
      <c r="C52" s="506" t="str">
        <f>Tariffs!C55</f>
        <v>Small business time of use demand DER</v>
      </c>
      <c r="D52" s="505" t="str">
        <f>Tariffs!D55</f>
        <v>Small Business LV</v>
      </c>
      <c r="E52" s="58"/>
      <c r="F52" s="213">
        <f t="shared" si="2"/>
        <v>1201063.3464006546</v>
      </c>
      <c r="G52" s="58"/>
      <c r="H52" s="198">
        <f>Qty!M17*'Hist. prices'!I17*H$42*$AB$42</f>
        <v>26149.023399999998</v>
      </c>
      <c r="I52" s="198">
        <f>Qty!N17*'Hist. prices'!J17*I$42*$AB$42</f>
        <v>0</v>
      </c>
      <c r="J52" s="198">
        <f>Qty!O17*'Hist. prices'!K17*J$42*$AB$42</f>
        <v>0</v>
      </c>
      <c r="K52" s="198">
        <f>Qty!P17*'Hist. prices'!L17*K$42*$AB$42</f>
        <v>0</v>
      </c>
      <c r="L52" s="198">
        <f>Qty!Q17*'Hist. prices'!M17*L$42*$AB$42</f>
        <v>0</v>
      </c>
      <c r="M52" s="198">
        <f>Qty!R17*'Hist. prices'!N17*M$42*$AB$42</f>
        <v>0</v>
      </c>
      <c r="N52" s="198">
        <f>Qty!S17*'Hist. prices'!O17*N$42*$AB$42</f>
        <v>941951.10101765674</v>
      </c>
      <c r="O52" s="198">
        <f>Qty!T17*'Hist. prices'!P17*O$42*$AB$42</f>
        <v>232963.22198299799</v>
      </c>
      <c r="P52" s="198">
        <f>Qty!U17*'Hist. prices'!Q17*P$42*$AB$42</f>
        <v>0</v>
      </c>
      <c r="Q52" s="198">
        <f>Qty!V17*'Hist. prices'!R17*Q$42*$AB$42</f>
        <v>0</v>
      </c>
      <c r="R52" s="198">
        <f>Qty!W17*'Hist. prices'!S17*R$42*$AB$42</f>
        <v>0</v>
      </c>
      <c r="S52" s="198">
        <f>Qty!X17*'Hist. prices'!T17*S$42*$AB$42</f>
        <v>0</v>
      </c>
      <c r="T52" s="198">
        <f>Qty!Y17*'Hist. prices'!U17*T$42*$AB$42</f>
        <v>0</v>
      </c>
      <c r="U52" s="198">
        <f>Qty!Z17*'Hist. prices'!V17*U$42*$AB$42</f>
        <v>0</v>
      </c>
      <c r="V52" s="198">
        <f>Qty!AA17*'Hist. prices'!W17*V$42*$AB$42</f>
        <v>0</v>
      </c>
      <c r="W52" s="198">
        <f>Qty!AB17*'Hist. prices'!X17*W$42*$AB$42</f>
        <v>0</v>
      </c>
      <c r="X52" s="198">
        <f>Qty!AC17*'Hist. prices'!Y17*X$42*$AB$42</f>
        <v>0</v>
      </c>
      <c r="Y52" s="198">
        <f>Qty!AD17*'Hist. prices'!Z17*Y$42*$AB$42</f>
        <v>0</v>
      </c>
      <c r="Z52" s="198">
        <f>Qty!AE17*'Hist. prices'!AA17*Z$42*$AB$42</f>
        <v>0</v>
      </c>
      <c r="AA52" s="198">
        <f>Qty!AF17*'Hist. prices'!AB17*AA$42*$AB$42</f>
        <v>0</v>
      </c>
      <c r="AB52" s="68"/>
      <c r="AC52" s="19"/>
      <c r="AD52" s="19"/>
      <c r="AE52" s="19"/>
      <c r="AF52" s="19"/>
    </row>
    <row r="53" spans="1:32" outlineLevel="1" x14ac:dyDescent="0.2">
      <c r="A53" s="19"/>
      <c r="B53" s="19"/>
      <c r="C53" s="506" t="str">
        <f>Tariffs!C56</f>
        <v>Large business kVA demand</v>
      </c>
      <c r="D53" s="505" t="str">
        <f>Tariffs!D56</f>
        <v>Large Business LV</v>
      </c>
      <c r="E53" s="58"/>
      <c r="F53" s="213">
        <f t="shared" si="2"/>
        <v>8814145.696238257</v>
      </c>
      <c r="G53" s="58"/>
      <c r="H53" s="198">
        <f>Qty!M18*'Hist. prices'!I18*H$42*$AB$42</f>
        <v>664785.44999999995</v>
      </c>
      <c r="I53" s="198">
        <f>Qty!N18*'Hist. prices'!J18*I$42*$AB$42</f>
        <v>3560303.2573765712</v>
      </c>
      <c r="J53" s="198">
        <f>Qty!O18*'Hist. prices'!K18*J$42*$AB$42</f>
        <v>0</v>
      </c>
      <c r="K53" s="198">
        <f>Qty!P18*'Hist. prices'!L18*K$42*$AB$42</f>
        <v>0</v>
      </c>
      <c r="L53" s="198">
        <f>Qty!Q18*'Hist. prices'!M18*L$42*$AB$42</f>
        <v>0</v>
      </c>
      <c r="M53" s="198">
        <f>Qty!R18*'Hist. prices'!N18*M$42*$AB$42</f>
        <v>4589056.9888616856</v>
      </c>
      <c r="N53" s="198">
        <f>Qty!S18*'Hist. prices'!O18*N$42*$AB$42</f>
        <v>0</v>
      </c>
      <c r="O53" s="198">
        <f>Qty!T18*'Hist. prices'!P18*O$42*$AB$42</f>
        <v>0</v>
      </c>
      <c r="P53" s="198">
        <f>Qty!U18*'Hist. prices'!Q18*P$42*$AB$42</f>
        <v>0</v>
      </c>
      <c r="Q53" s="198">
        <f>Qty!V18*'Hist. prices'!R18*Q$42*$AB$42</f>
        <v>0</v>
      </c>
      <c r="R53" s="198">
        <f>Qty!W18*'Hist. prices'!S18*R$42*$AB$42</f>
        <v>0</v>
      </c>
      <c r="S53" s="198">
        <f>Qty!X18*'Hist. prices'!T18*S$42*$AB$42</f>
        <v>0</v>
      </c>
      <c r="T53" s="198">
        <f>Qty!Y18*'Hist. prices'!U18*T$42*$AB$42</f>
        <v>0</v>
      </c>
      <c r="U53" s="198">
        <f>Qty!Z18*'Hist. prices'!V18*U$42*$AB$42</f>
        <v>0</v>
      </c>
      <c r="V53" s="198">
        <f>Qty!AA18*'Hist. prices'!W18*V$42*$AB$42</f>
        <v>0</v>
      </c>
      <c r="W53" s="198">
        <f>Qty!AB18*'Hist. prices'!X18*W$42*$AB$42</f>
        <v>0</v>
      </c>
      <c r="X53" s="198">
        <f>Qty!AC18*'Hist. prices'!Y18*X$42*$AB$42</f>
        <v>0</v>
      </c>
      <c r="Y53" s="198">
        <f>Qty!AD18*'Hist. prices'!Z18*Y$42*$AB$42</f>
        <v>0</v>
      </c>
      <c r="Z53" s="198">
        <f>Qty!AE18*'Hist. prices'!AA18*Z$42*$AB$42</f>
        <v>0</v>
      </c>
      <c r="AA53" s="198">
        <f>Qty!AF18*'Hist. prices'!AB18*AA$42*$AB$42</f>
        <v>0</v>
      </c>
      <c r="AB53" s="68"/>
      <c r="AC53" s="19"/>
      <c r="AD53" s="19"/>
      <c r="AE53" s="19"/>
      <c r="AF53" s="19"/>
    </row>
    <row r="54" spans="1:32" outlineLevel="1" x14ac:dyDescent="0.2">
      <c r="A54" s="19"/>
      <c r="B54" s="19"/>
      <c r="C54" s="506" t="str">
        <f>Tariffs!C57</f>
        <v>Large business time of use demand</v>
      </c>
      <c r="D54" s="505" t="str">
        <f>Tariffs!D57</f>
        <v>Large Business LV</v>
      </c>
      <c r="E54" s="58"/>
      <c r="F54" s="213">
        <f t="shared" si="2"/>
        <v>6238277.9075417202</v>
      </c>
      <c r="G54" s="58"/>
      <c r="H54" s="198">
        <f>Qty!M19*'Hist. prices'!I19*H$42*$AB$42</f>
        <v>392436.53899999999</v>
      </c>
      <c r="I54" s="198">
        <f>Qty!N19*'Hist. prices'!J19*I$42*$AB$42</f>
        <v>0</v>
      </c>
      <c r="J54" s="198">
        <f>Qty!O19*'Hist. prices'!K19*J$42*$AB$42</f>
        <v>0</v>
      </c>
      <c r="K54" s="198">
        <f>Qty!P19*'Hist. prices'!L19*K$42*$AB$42</f>
        <v>0</v>
      </c>
      <c r="L54" s="198">
        <f>Qty!Q19*'Hist. prices'!M19*L$42*$AB$42</f>
        <v>0</v>
      </c>
      <c r="M54" s="198">
        <f>Qty!R19*'Hist. prices'!N19*M$42*$AB$42</f>
        <v>0</v>
      </c>
      <c r="N54" s="198">
        <f>Qty!S19*'Hist. prices'!O19*N$42*$AB$42</f>
        <v>4364666.6426775968</v>
      </c>
      <c r="O54" s="198">
        <f>Qty!T19*'Hist. prices'!P19*O$42*$AB$42</f>
        <v>1481174.725864124</v>
      </c>
      <c r="P54" s="198">
        <f>Qty!U19*'Hist. prices'!Q19*P$42*$AB$42</f>
        <v>0</v>
      </c>
      <c r="Q54" s="198">
        <f>Qty!V19*'Hist. prices'!R19*Q$42*$AB$42</f>
        <v>0</v>
      </c>
      <c r="R54" s="198">
        <f>Qty!W19*'Hist. prices'!S19*R$42*$AB$42</f>
        <v>0</v>
      </c>
      <c r="S54" s="198">
        <f>Qty!X19*'Hist. prices'!T19*S$42*$AB$42</f>
        <v>0</v>
      </c>
      <c r="T54" s="198">
        <f>Qty!Y19*'Hist. prices'!U19*T$42*$AB$42</f>
        <v>0</v>
      </c>
      <c r="U54" s="198">
        <f>Qty!Z19*'Hist. prices'!V19*U$42*$AB$42</f>
        <v>0</v>
      </c>
      <c r="V54" s="198">
        <f>Qty!AA19*'Hist. prices'!W19*V$42*$AB$42</f>
        <v>0</v>
      </c>
      <c r="W54" s="198">
        <f>Qty!AB19*'Hist. prices'!X19*W$42*$AB$42</f>
        <v>0</v>
      </c>
      <c r="X54" s="198">
        <f>Qty!AC19*'Hist. prices'!Y19*X$42*$AB$42</f>
        <v>0</v>
      </c>
      <c r="Y54" s="198">
        <f>Qty!AD19*'Hist. prices'!Z19*Y$42*$AB$42</f>
        <v>0</v>
      </c>
      <c r="Z54" s="198">
        <f>Qty!AE19*'Hist. prices'!AA19*Z$42*$AB$42</f>
        <v>0</v>
      </c>
      <c r="AA54" s="198">
        <f>Qty!AF19*'Hist. prices'!AB19*AA$42*$AB$42</f>
        <v>0</v>
      </c>
      <c r="AB54" s="68"/>
      <c r="AC54" s="19"/>
      <c r="AD54" s="19"/>
      <c r="AE54" s="19"/>
      <c r="AF54" s="19"/>
    </row>
    <row r="55" spans="1:32" outlineLevel="1" x14ac:dyDescent="0.2">
      <c r="A55" s="19"/>
      <c r="B55" s="19"/>
      <c r="C55" s="506" t="str">
        <f>Tariffs!C58</f>
        <v>Irrigation time of use consumption</v>
      </c>
      <c r="D55" s="505" t="str">
        <f>Tariffs!D58</f>
        <v>Irrigation</v>
      </c>
      <c r="E55" s="58"/>
      <c r="F55" s="213">
        <f t="shared" si="2"/>
        <v>7745859.1598476004</v>
      </c>
      <c r="G55" s="58"/>
      <c r="H55" s="198">
        <f>Qty!M20*'Hist. prices'!I20*H$42*$AB$42</f>
        <v>3712946.8488000003</v>
      </c>
      <c r="I55" s="198">
        <f>Qty!N20*'Hist. prices'!J20*I$42*$AB$42</f>
        <v>0</v>
      </c>
      <c r="J55" s="198">
        <f>Qty!O20*'Hist. prices'!K20*J$42*$AB$42</f>
        <v>627069.06577167381</v>
      </c>
      <c r="K55" s="198">
        <f>Qty!P20*'Hist. prices'!L20*K$42*$AB$42</f>
        <v>2426769.7744645569</v>
      </c>
      <c r="L55" s="198">
        <f>Qty!Q20*'Hist. prices'!M20*L$42*$AB$42</f>
        <v>979073.47081136866</v>
      </c>
      <c r="M55" s="198">
        <f>Qty!R20*'Hist. prices'!N20*M$42*$AB$42</f>
        <v>0</v>
      </c>
      <c r="N55" s="198">
        <f>Qty!S20*'Hist. prices'!O20*N$42*$AB$42</f>
        <v>0</v>
      </c>
      <c r="O55" s="198">
        <f>Qty!T20*'Hist. prices'!P20*O$42*$AB$42</f>
        <v>0</v>
      </c>
      <c r="P55" s="198">
        <f>Qty!U20*'Hist. prices'!Q20*P$42*$AB$42</f>
        <v>0</v>
      </c>
      <c r="Q55" s="198">
        <f>Qty!V20*'Hist. prices'!R20*Q$42*$AB$42</f>
        <v>0</v>
      </c>
      <c r="R55" s="198">
        <f>Qty!W20*'Hist. prices'!S20*R$42*$AB$42</f>
        <v>0</v>
      </c>
      <c r="S55" s="198">
        <f>Qty!X20*'Hist. prices'!T20*S$42*$AB$42</f>
        <v>0</v>
      </c>
      <c r="T55" s="198">
        <f>Qty!Y20*'Hist. prices'!U20*T$42*$AB$42</f>
        <v>0</v>
      </c>
      <c r="U55" s="198">
        <f>Qty!Z20*'Hist. prices'!V20*U$42*$AB$42</f>
        <v>0</v>
      </c>
      <c r="V55" s="198">
        <f>Qty!AA20*'Hist. prices'!W20*V$42*$AB$42</f>
        <v>0</v>
      </c>
      <c r="W55" s="198">
        <f>Qty!AB20*'Hist. prices'!X20*W$42*$AB$42</f>
        <v>0</v>
      </c>
      <c r="X55" s="198">
        <f>Qty!AC20*'Hist. prices'!Y20*X$42*$AB$42</f>
        <v>0</v>
      </c>
      <c r="Y55" s="198">
        <f>Qty!AD20*'Hist. prices'!Z20*Y$42*$AB$42</f>
        <v>0</v>
      </c>
      <c r="Z55" s="198">
        <f>Qty!AE20*'Hist. prices'!AA20*Z$42*$AB$42</f>
        <v>0</v>
      </c>
      <c r="AA55" s="198">
        <f>Qty!AF20*'Hist. prices'!AB20*AA$42*$AB$42</f>
        <v>0</v>
      </c>
      <c r="AB55" s="68"/>
      <c r="AC55" s="19"/>
      <c r="AD55" s="19"/>
      <c r="AE55" s="19"/>
      <c r="AF55" s="19"/>
    </row>
    <row r="56" spans="1:32" outlineLevel="1" x14ac:dyDescent="0.2">
      <c r="A56" s="19"/>
      <c r="B56" s="19"/>
      <c r="C56" s="506" t="str">
        <f>Tariffs!C59</f>
        <v>Business HV kVA specified demand &lt;2MVA</v>
      </c>
      <c r="D56" s="505" t="str">
        <f>Tariffs!D59</f>
        <v>Large Business HV</v>
      </c>
      <c r="E56" s="58"/>
      <c r="F56" s="213">
        <f t="shared" si="2"/>
        <v>4900039.1094937436</v>
      </c>
      <c r="G56" s="58"/>
      <c r="H56" s="198">
        <f>Qty!M21*'Hist. prices'!I21*H$42*$AB$42</f>
        <v>139355.31735000003</v>
      </c>
      <c r="I56" s="198">
        <f>Qty!N21*'Hist. prices'!J21*I$42*$AB$42</f>
        <v>0</v>
      </c>
      <c r="J56" s="198">
        <f>Qty!O21*'Hist. prices'!K21*J$42*$AB$42</f>
        <v>260712.61208558601</v>
      </c>
      <c r="K56" s="198">
        <f>Qty!P21*'Hist. prices'!L21*K$42*$AB$42</f>
        <v>189659.24015809406</v>
      </c>
      <c r="L56" s="198">
        <f>Qty!Q21*'Hist. prices'!M21*L$42*$AB$42</f>
        <v>58387.6752128933</v>
      </c>
      <c r="M56" s="198">
        <f>Qty!R21*'Hist. prices'!N21*M$42*$AB$42</f>
        <v>0</v>
      </c>
      <c r="N56" s="198">
        <f>Qty!S21*'Hist. prices'!O21*N$42*$AB$42</f>
        <v>0</v>
      </c>
      <c r="O56" s="198">
        <f>Qty!T21*'Hist. prices'!P21*O$42*$AB$42</f>
        <v>0</v>
      </c>
      <c r="P56" s="198">
        <f>Qty!U21*'Hist. prices'!Q21*P$42*$AB$42</f>
        <v>4006144.9754441869</v>
      </c>
      <c r="Q56" s="198">
        <f>Qty!V21*'Hist. prices'!R21*Q$42*$AB$42</f>
        <v>245779.28924298289</v>
      </c>
      <c r="R56" s="198">
        <f>Qty!W21*'Hist. prices'!S21*R$42*$AB$42</f>
        <v>0</v>
      </c>
      <c r="S56" s="198">
        <f>Qty!X21*'Hist. prices'!T21*S$42*$AB$42</f>
        <v>0</v>
      </c>
      <c r="T56" s="198">
        <f>Qty!Y21*'Hist. prices'!U21*T$42*$AB$42</f>
        <v>0</v>
      </c>
      <c r="U56" s="198">
        <f>Qty!Z21*'Hist. prices'!V21*U$42*$AB$42</f>
        <v>0</v>
      </c>
      <c r="V56" s="198">
        <f>Qty!AA21*'Hist. prices'!W21*V$42*$AB$42</f>
        <v>0</v>
      </c>
      <c r="W56" s="198">
        <f>Qty!AB21*'Hist. prices'!X21*W$42*$AB$42</f>
        <v>0</v>
      </c>
      <c r="X56" s="198">
        <f>Qty!AC21*'Hist. prices'!Y21*X$42*$AB$42</f>
        <v>0</v>
      </c>
      <c r="Y56" s="198">
        <f>Qty!AD21*'Hist. prices'!Z21*Y$42*$AB$42</f>
        <v>0</v>
      </c>
      <c r="Z56" s="198">
        <f>Qty!AE21*'Hist. prices'!AA21*Z$42*$AB$42</f>
        <v>0</v>
      </c>
      <c r="AA56" s="198">
        <f>Qty!AF21*'Hist. prices'!AB21*AA$42*$AB$42</f>
        <v>0</v>
      </c>
      <c r="AB56" s="68"/>
      <c r="AC56" s="19"/>
      <c r="AD56" s="19"/>
      <c r="AE56" s="19"/>
      <c r="AF56" s="19"/>
    </row>
    <row r="57" spans="1:32" outlineLevel="1" x14ac:dyDescent="0.2">
      <c r="A57" s="19"/>
      <c r="B57" s="19"/>
      <c r="C57" s="506" t="str">
        <f>Tariffs!C60</f>
        <v>Business HV kVA specified demand &gt;2MVA</v>
      </c>
      <c r="D57" s="505" t="str">
        <f>Tariffs!D60</f>
        <v>Large Business HV</v>
      </c>
      <c r="E57" s="58"/>
      <c r="F57" s="213">
        <f t="shared" si="2"/>
        <v>0</v>
      </c>
      <c r="G57" s="58"/>
      <c r="H57" s="198">
        <f>Qty!M22*'Hist. prices'!I22*H$42*$AB$42</f>
        <v>0</v>
      </c>
      <c r="I57" s="198">
        <f>Qty!N22*'Hist. prices'!J22*I$42*$AB$42</f>
        <v>0</v>
      </c>
      <c r="J57" s="198">
        <f>Qty!O22*'Hist. prices'!K22*J$42*$AB$42</f>
        <v>0</v>
      </c>
      <c r="K57" s="198">
        <f>Qty!P22*'Hist. prices'!L22*K$42*$AB$42</f>
        <v>0</v>
      </c>
      <c r="L57" s="198">
        <f>Qty!Q22*'Hist. prices'!M22*L$42*$AB$42</f>
        <v>0</v>
      </c>
      <c r="M57" s="198">
        <f>Qty!R22*'Hist. prices'!N22*M$42*$AB$42</f>
        <v>0</v>
      </c>
      <c r="N57" s="198">
        <f>Qty!S22*'Hist. prices'!O22*N$42*$AB$42</f>
        <v>0</v>
      </c>
      <c r="O57" s="198">
        <f>Qty!T22*'Hist. prices'!P22*O$42*$AB$42</f>
        <v>0</v>
      </c>
      <c r="P57" s="198">
        <f>Qty!U22*'Hist. prices'!Q22*P$42*$AB$42</f>
        <v>0</v>
      </c>
      <c r="Q57" s="198">
        <f>Qty!V22*'Hist. prices'!R22*Q$42*$AB$42</f>
        <v>0</v>
      </c>
      <c r="R57" s="198">
        <f>Qty!W22*'Hist. prices'!S22*R$42*$AB$42</f>
        <v>0</v>
      </c>
      <c r="S57" s="198">
        <f>Qty!X22*'Hist. prices'!T22*S$42*$AB$42</f>
        <v>0</v>
      </c>
      <c r="T57" s="198">
        <f>Qty!Y22*'Hist. prices'!U22*T$42*$AB$42</f>
        <v>0</v>
      </c>
      <c r="U57" s="198">
        <f>Qty!Z22*'Hist. prices'!V22*U$42*$AB$42</f>
        <v>0</v>
      </c>
      <c r="V57" s="198">
        <f>Qty!AA22*'Hist. prices'!W22*V$42*$AB$42</f>
        <v>0</v>
      </c>
      <c r="W57" s="198">
        <f>Qty!AB22*'Hist. prices'!X22*W$42*$AB$42</f>
        <v>0</v>
      </c>
      <c r="X57" s="198">
        <f>Qty!AC22*'Hist. prices'!Y22*X$42*$AB$42</f>
        <v>0</v>
      </c>
      <c r="Y57" s="198">
        <f>Qty!AD22*'Hist. prices'!Z22*Y$42*$AB$42</f>
        <v>0</v>
      </c>
      <c r="Z57" s="198">
        <f>Qty!AE22*'Hist. prices'!AA22*Z$42*$AB$42</f>
        <v>0</v>
      </c>
      <c r="AA57" s="198">
        <f>Qty!AF22*'Hist. prices'!AB22*AA$42*$AB$42</f>
        <v>0</v>
      </c>
      <c r="AB57" s="68"/>
      <c r="AC57" s="19"/>
      <c r="AD57" s="19"/>
      <c r="AE57" s="19"/>
      <c r="AF57" s="19"/>
    </row>
    <row r="58" spans="1:32" outlineLevel="1" x14ac:dyDescent="0.2">
      <c r="A58" s="19"/>
      <c r="B58" s="19"/>
      <c r="C58" s="506" t="str">
        <f>Tariffs!C61</f>
        <v>Uncontrolled low voltage heating and hot water</v>
      </c>
      <c r="D58" s="505" t="str">
        <f>Tariffs!D61</f>
        <v>Uncontrolled energy</v>
      </c>
      <c r="E58" s="58"/>
      <c r="F58" s="213">
        <f t="shared" si="2"/>
        <v>36427157.011790648</v>
      </c>
      <c r="G58" s="58"/>
      <c r="H58" s="198">
        <f>Qty!M23*'Hist. prices'!I23*H$42*$AB$42</f>
        <v>4688317.4965500003</v>
      </c>
      <c r="I58" s="198">
        <f>Qty!N23*'Hist. prices'!J23*I$42*$AB$42</f>
        <v>31738839.515240647</v>
      </c>
      <c r="J58" s="198">
        <f>Qty!O23*'Hist. prices'!K23*J$42*$AB$42</f>
        <v>0</v>
      </c>
      <c r="K58" s="198">
        <f>Qty!P23*'Hist. prices'!L23*K$42*$AB$42</f>
        <v>0</v>
      </c>
      <c r="L58" s="198">
        <f>Qty!Q23*'Hist. prices'!M23*L$42*$AB$42</f>
        <v>0</v>
      </c>
      <c r="M58" s="198">
        <f>Qty!R23*'Hist. prices'!N23*M$42*$AB$42</f>
        <v>0</v>
      </c>
      <c r="N58" s="198">
        <f>Qty!S23*'Hist. prices'!O23*N$42*$AB$42</f>
        <v>0</v>
      </c>
      <c r="O58" s="198">
        <f>Qty!T23*'Hist. prices'!P23*O$42*$AB$42</f>
        <v>0</v>
      </c>
      <c r="P58" s="198">
        <f>Qty!U23*'Hist. prices'!Q23*P$42*$AB$42</f>
        <v>0</v>
      </c>
      <c r="Q58" s="198">
        <f>Qty!V23*'Hist. prices'!R23*Q$42*$AB$42</f>
        <v>0</v>
      </c>
      <c r="R58" s="198">
        <f>Qty!W23*'Hist. prices'!S23*R$42*$AB$42</f>
        <v>0</v>
      </c>
      <c r="S58" s="198">
        <f>Qty!X23*'Hist. prices'!T23*S$42*$AB$42</f>
        <v>0</v>
      </c>
      <c r="T58" s="198">
        <f>Qty!Y23*'Hist. prices'!U23*T$42*$AB$42</f>
        <v>0</v>
      </c>
      <c r="U58" s="198">
        <f>Qty!Z23*'Hist. prices'!V23*U$42*$AB$42</f>
        <v>0</v>
      </c>
      <c r="V58" s="198">
        <f>Qty!AA23*'Hist. prices'!W23*V$42*$AB$42</f>
        <v>0</v>
      </c>
      <c r="W58" s="198">
        <f>Qty!AB23*'Hist. prices'!X23*W$42*$AB$42</f>
        <v>0</v>
      </c>
      <c r="X58" s="198">
        <f>Qty!AC23*'Hist. prices'!Y23*X$42*$AB$42</f>
        <v>0</v>
      </c>
      <c r="Y58" s="198">
        <f>Qty!AD23*'Hist. prices'!Z23*Y$42*$AB$42</f>
        <v>0</v>
      </c>
      <c r="Z58" s="198">
        <f>Qty!AE23*'Hist. prices'!AA23*Z$42*$AB$42</f>
        <v>0</v>
      </c>
      <c r="AA58" s="198">
        <f>Qty!AF23*'Hist. prices'!AB23*AA$42*$AB$42</f>
        <v>0</v>
      </c>
      <c r="AB58" s="68"/>
      <c r="AC58" s="19"/>
      <c r="AD58" s="19"/>
      <c r="AE58" s="19"/>
      <c r="AF58" s="19"/>
    </row>
    <row r="59" spans="1:32" outlineLevel="1" x14ac:dyDescent="0.2">
      <c r="A59" s="19"/>
      <c r="B59" s="19"/>
      <c r="C59" s="506" t="str">
        <f>Tariffs!C62</f>
        <v>Controlled low voltage night period only</v>
      </c>
      <c r="D59" s="505" t="str">
        <f>Tariffs!D62</f>
        <v>Controlled energy</v>
      </c>
      <c r="E59" s="58"/>
      <c r="F59" s="213">
        <f t="shared" si="2"/>
        <v>56976.600840106476</v>
      </c>
      <c r="G59" s="58"/>
      <c r="H59" s="198">
        <f>Qty!M24*'Hist. prices'!I24*H$42*$AB$42</f>
        <v>36843.775679920938</v>
      </c>
      <c r="I59" s="198">
        <f>Qty!N24*'Hist. prices'!J24*I$42*$AB$42</f>
        <v>20132.825160185534</v>
      </c>
      <c r="J59" s="198">
        <f>Qty!O24*'Hist. prices'!K24*J$42*$AB$42</f>
        <v>0</v>
      </c>
      <c r="K59" s="198">
        <f>Qty!P24*'Hist. prices'!L24*K$42*$AB$42</f>
        <v>0</v>
      </c>
      <c r="L59" s="198">
        <f>Qty!Q24*'Hist. prices'!M24*L$42*$AB$42</f>
        <v>0</v>
      </c>
      <c r="M59" s="198">
        <f>Qty!R24*'Hist. prices'!N24*M$42*$AB$42</f>
        <v>0</v>
      </c>
      <c r="N59" s="198">
        <f>Qty!S24*'Hist. prices'!O24*N$42*$AB$42</f>
        <v>0</v>
      </c>
      <c r="O59" s="198">
        <f>Qty!T24*'Hist. prices'!P24*O$42*$AB$42</f>
        <v>0</v>
      </c>
      <c r="P59" s="198">
        <f>Qty!U24*'Hist. prices'!Q24*P$42*$AB$42</f>
        <v>0</v>
      </c>
      <c r="Q59" s="198">
        <f>Qty!V24*'Hist. prices'!R24*Q$42*$AB$42</f>
        <v>0</v>
      </c>
      <c r="R59" s="198">
        <f>Qty!W24*'Hist. prices'!S24*R$42*$AB$42</f>
        <v>0</v>
      </c>
      <c r="S59" s="198">
        <f>Qty!X24*'Hist. prices'!T24*S$42*$AB$42</f>
        <v>0</v>
      </c>
      <c r="T59" s="198">
        <f>Qty!Y24*'Hist. prices'!U24*T$42*$AB$42</f>
        <v>0</v>
      </c>
      <c r="U59" s="198">
        <f>Qty!Z24*'Hist. prices'!V24*U$42*$AB$42</f>
        <v>0</v>
      </c>
      <c r="V59" s="198">
        <f>Qty!AA24*'Hist. prices'!W24*V$42*$AB$42</f>
        <v>0</v>
      </c>
      <c r="W59" s="198">
        <f>Qty!AB24*'Hist. prices'!X24*W$42*$AB$42</f>
        <v>0</v>
      </c>
      <c r="X59" s="198">
        <f>Qty!AC24*'Hist. prices'!Y24*X$42*$AB$42</f>
        <v>0</v>
      </c>
      <c r="Y59" s="198">
        <f>Qty!AD24*'Hist. prices'!Z24*Y$42*$AB$42</f>
        <v>0</v>
      </c>
      <c r="Z59" s="198">
        <f>Qty!AE24*'Hist. prices'!AA24*Z$42*$AB$42</f>
        <v>0</v>
      </c>
      <c r="AA59" s="198">
        <f>Qty!AF24*'Hist. prices'!AB24*AA$42*$AB$42</f>
        <v>0</v>
      </c>
      <c r="AB59" s="68"/>
      <c r="AC59" s="19"/>
      <c r="AD59" s="19"/>
      <c r="AE59" s="19"/>
      <c r="AF59" s="19"/>
    </row>
    <row r="60" spans="1:32" outlineLevel="1" x14ac:dyDescent="0.2">
      <c r="A60" s="19"/>
      <c r="B60" s="19"/>
      <c r="C60" s="506" t="str">
        <f>Tariffs!C63</f>
        <v>Controlled low voltage off peak with afternoon boost</v>
      </c>
      <c r="D60" s="505" t="str">
        <f>Tariffs!D63</f>
        <v>Controlled energy</v>
      </c>
      <c r="E60" s="58"/>
      <c r="F60" s="213">
        <f t="shared" si="2"/>
        <v>1201286.7116360315</v>
      </c>
      <c r="G60" s="58"/>
      <c r="H60" s="198">
        <f>Qty!M25*'Hist. prices'!I25*H$42*$AB$42</f>
        <v>859815.65719117806</v>
      </c>
      <c r="I60" s="198">
        <f>Qty!N25*'Hist. prices'!J25*I$42*$AB$42</f>
        <v>341471.05444485345</v>
      </c>
      <c r="J60" s="198">
        <f>Qty!O25*'Hist. prices'!K25*J$42*$AB$42</f>
        <v>0</v>
      </c>
      <c r="K60" s="198">
        <f>Qty!P25*'Hist. prices'!L25*K$42*$AB$42</f>
        <v>0</v>
      </c>
      <c r="L60" s="198">
        <f>Qty!Q25*'Hist. prices'!M25*L$42*$AB$42</f>
        <v>0</v>
      </c>
      <c r="M60" s="198">
        <f>Qty!R25*'Hist. prices'!N25*M$42*$AB$42</f>
        <v>0</v>
      </c>
      <c r="N60" s="198">
        <f>Qty!S25*'Hist. prices'!O25*N$42*$AB$42</f>
        <v>0</v>
      </c>
      <c r="O60" s="198">
        <f>Qty!T25*'Hist. prices'!P25*O$42*$AB$42</f>
        <v>0</v>
      </c>
      <c r="P60" s="198">
        <f>Qty!U25*'Hist. prices'!Q25*P$42*$AB$42</f>
        <v>0</v>
      </c>
      <c r="Q60" s="198">
        <f>Qty!V25*'Hist. prices'!R25*Q$42*$AB$42</f>
        <v>0</v>
      </c>
      <c r="R60" s="198">
        <f>Qty!W25*'Hist. prices'!S25*R$42*$AB$42</f>
        <v>0</v>
      </c>
      <c r="S60" s="198">
        <f>Qty!X25*'Hist. prices'!T25*S$42*$AB$42</f>
        <v>0</v>
      </c>
      <c r="T60" s="198">
        <f>Qty!Y25*'Hist. prices'!U25*T$42*$AB$42</f>
        <v>0</v>
      </c>
      <c r="U60" s="198">
        <f>Qty!Z25*'Hist. prices'!V25*U$42*$AB$42</f>
        <v>0</v>
      </c>
      <c r="V60" s="198">
        <f>Qty!AA25*'Hist. prices'!W25*V$42*$AB$42</f>
        <v>0</v>
      </c>
      <c r="W60" s="198">
        <f>Qty!AB25*'Hist. prices'!X25*W$42*$AB$42</f>
        <v>0</v>
      </c>
      <c r="X60" s="198">
        <f>Qty!AC25*'Hist. prices'!Y25*X$42*$AB$42</f>
        <v>0</v>
      </c>
      <c r="Y60" s="198">
        <f>Qty!AD25*'Hist. prices'!Z25*Y$42*$AB$42</f>
        <v>0</v>
      </c>
      <c r="Z60" s="198">
        <f>Qty!AE25*'Hist. prices'!AA25*Z$42*$AB$42</f>
        <v>0</v>
      </c>
      <c r="AA60" s="198">
        <f>Qty!AF25*'Hist. prices'!AB25*AA$42*$AB$42</f>
        <v>0</v>
      </c>
      <c r="AB60" s="68"/>
      <c r="AC60" s="19"/>
      <c r="AD60" s="19"/>
      <c r="AE60" s="19"/>
      <c r="AF60" s="19"/>
    </row>
    <row r="61" spans="1:32" outlineLevel="1" x14ac:dyDescent="0.2">
      <c r="A61" s="19"/>
      <c r="B61" s="19"/>
      <c r="C61" s="506" t="str">
        <f>Tariffs!C64</f>
        <v>Unmetered supply general</v>
      </c>
      <c r="D61" s="505" t="str">
        <f>Tariffs!D64</f>
        <v>Unmetered supplies</v>
      </c>
      <c r="E61" s="58"/>
      <c r="F61" s="213">
        <f t="shared" si="2"/>
        <v>897040.47658678738</v>
      </c>
      <c r="G61" s="58"/>
      <c r="H61" s="198">
        <f>Qty!M26*'Hist. prices'!I26*H$42*$AB$42</f>
        <v>342850.64659999998</v>
      </c>
      <c r="I61" s="198">
        <f>Qty!N26*'Hist. prices'!J26*I$42*$AB$42</f>
        <v>554189.8299867874</v>
      </c>
      <c r="J61" s="198">
        <f>Qty!O26*'Hist. prices'!K26*J$42*$AB$42</f>
        <v>0</v>
      </c>
      <c r="K61" s="198">
        <f>Qty!P26*'Hist. prices'!L26*K$42*$AB$42</f>
        <v>0</v>
      </c>
      <c r="L61" s="198">
        <f>Qty!Q26*'Hist. prices'!M26*L$42*$AB$42</f>
        <v>0</v>
      </c>
      <c r="M61" s="198">
        <f>Qty!R26*'Hist. prices'!N26*M$42*$AB$42</f>
        <v>0</v>
      </c>
      <c r="N61" s="198">
        <f>Qty!S26*'Hist. prices'!O26*N$42*$AB$42</f>
        <v>0</v>
      </c>
      <c r="O61" s="198">
        <f>Qty!T26*'Hist. prices'!P26*O$42*$AB$42</f>
        <v>0</v>
      </c>
      <c r="P61" s="198">
        <f>Qty!U26*'Hist. prices'!Q26*P$42*$AB$42</f>
        <v>0</v>
      </c>
      <c r="Q61" s="198">
        <f>Qty!V26*'Hist. prices'!R26*Q$42*$AB$42</f>
        <v>0</v>
      </c>
      <c r="R61" s="198">
        <f>Qty!W26*'Hist. prices'!S26*R$42*$AB$42</f>
        <v>0</v>
      </c>
      <c r="S61" s="198">
        <f>Qty!X26*'Hist. prices'!T26*S$42*$AB$42</f>
        <v>0</v>
      </c>
      <c r="T61" s="198">
        <f>Qty!Y26*'Hist. prices'!U26*T$42*$AB$42</f>
        <v>0</v>
      </c>
      <c r="U61" s="198">
        <f>Qty!Z26*'Hist. prices'!V26*U$42*$AB$42</f>
        <v>0</v>
      </c>
      <c r="V61" s="198">
        <f>Qty!AA26*'Hist. prices'!W26*V$42*$AB$42</f>
        <v>0</v>
      </c>
      <c r="W61" s="198">
        <f>Qty!AB26*'Hist. prices'!X26*W$42*$AB$42</f>
        <v>0</v>
      </c>
      <c r="X61" s="198">
        <f>Qty!AC26*'Hist. prices'!Y26*X$42*$AB$42</f>
        <v>0</v>
      </c>
      <c r="Y61" s="198">
        <f>Qty!AD26*'Hist. prices'!Z26*Y$42*$AB$42</f>
        <v>0</v>
      </c>
      <c r="Z61" s="198">
        <f>Qty!AE26*'Hist. prices'!AA26*Z$42*$AB$42</f>
        <v>0</v>
      </c>
      <c r="AA61" s="198">
        <f>Qty!AF26*'Hist. prices'!AB26*AA$42*$AB$42</f>
        <v>0</v>
      </c>
      <c r="AB61" s="68"/>
      <c r="AC61" s="19"/>
      <c r="AD61" s="19"/>
      <c r="AE61" s="19"/>
      <c r="AF61" s="19"/>
    </row>
    <row r="62" spans="1:32" outlineLevel="1" x14ac:dyDescent="0.2">
      <c r="A62" s="19"/>
      <c r="B62" s="19"/>
      <c r="C62" s="506" t="str">
        <f>Tariffs!C65</f>
        <v>Street lighting</v>
      </c>
      <c r="D62" s="505" t="str">
        <f>Tariffs!D65</f>
        <v>Street lighting</v>
      </c>
      <c r="E62" s="58"/>
      <c r="F62" s="213">
        <f t="shared" si="2"/>
        <v>1098817.3733721671</v>
      </c>
      <c r="G62" s="58"/>
      <c r="H62" s="198">
        <f>Qty!M27*'Hist. prices'!I27*H$42*$AB$42</f>
        <v>0</v>
      </c>
      <c r="I62" s="198">
        <f>Qty!N27*'Hist. prices'!J27*I$42*$AB$42</f>
        <v>0</v>
      </c>
      <c r="J62" s="198">
        <f>Qty!O27*'Hist. prices'!K27*J$42*$AB$42</f>
        <v>0</v>
      </c>
      <c r="K62" s="198">
        <f>Qty!P27*'Hist. prices'!L27*K$42*$AB$42</f>
        <v>0</v>
      </c>
      <c r="L62" s="198">
        <f>Qty!Q27*'Hist. prices'!M27*L$42*$AB$42</f>
        <v>0</v>
      </c>
      <c r="M62" s="198">
        <f>Qty!R27*'Hist. prices'!N27*M$42*$AB$42</f>
        <v>0</v>
      </c>
      <c r="N62" s="198">
        <f>Qty!S27*'Hist. prices'!O27*N$42*$AB$42</f>
        <v>0</v>
      </c>
      <c r="O62" s="198">
        <f>Qty!T27*'Hist. prices'!P27*O$42*$AB$42</f>
        <v>0</v>
      </c>
      <c r="P62" s="198">
        <f>Qty!U27*'Hist. prices'!Q27*P$42*$AB$42</f>
        <v>0</v>
      </c>
      <c r="Q62" s="198">
        <f>Qty!V27*'Hist. prices'!R27*Q$42*$AB$42</f>
        <v>0</v>
      </c>
      <c r="R62" s="198">
        <f>Qty!W27*'Hist. prices'!S27*R$42*$AB$42</f>
        <v>0</v>
      </c>
      <c r="S62" s="198">
        <f>Qty!X27*'Hist. prices'!T27*S$42*$AB$42</f>
        <v>0</v>
      </c>
      <c r="T62" s="198">
        <f>Qty!Y27*'Hist. prices'!U27*T$42*$AB$42</f>
        <v>1098817.3733721671</v>
      </c>
      <c r="U62" s="198">
        <f>Qty!Z27*'Hist. prices'!V27*U$42*$AB$42</f>
        <v>0</v>
      </c>
      <c r="V62" s="198">
        <f>Qty!AA27*'Hist. prices'!W27*V$42*$AB$42</f>
        <v>0</v>
      </c>
      <c r="W62" s="198">
        <f>Qty!AB27*'Hist. prices'!X27*W$42*$AB$42</f>
        <v>0</v>
      </c>
      <c r="X62" s="198">
        <f>Qty!AC27*'Hist. prices'!Y27*X$42*$AB$42</f>
        <v>0</v>
      </c>
      <c r="Y62" s="198">
        <f>Qty!AD27*'Hist. prices'!Z27*Y$42*$AB$42</f>
        <v>0</v>
      </c>
      <c r="Z62" s="198">
        <f>Qty!AE27*'Hist. prices'!AA27*Z$42*$AB$42</f>
        <v>0</v>
      </c>
      <c r="AA62" s="198">
        <f>Qty!AF27*'Hist. prices'!AB27*AA$42*$AB$42</f>
        <v>0</v>
      </c>
      <c r="AB62" s="68"/>
      <c r="AC62" s="19"/>
      <c r="AD62" s="19"/>
      <c r="AE62" s="19"/>
      <c r="AF62" s="19"/>
    </row>
    <row r="63" spans="1:32" outlineLevel="1" x14ac:dyDescent="0.2">
      <c r="A63" s="19"/>
      <c r="B63" s="19"/>
      <c r="C63" s="506">
        <f>Tariffs!C66</f>
        <v>0</v>
      </c>
      <c r="D63" s="505">
        <f>Tariffs!D66</f>
        <v>0</v>
      </c>
      <c r="E63" s="58"/>
      <c r="F63" s="213">
        <f t="shared" si="2"/>
        <v>0</v>
      </c>
      <c r="G63" s="58"/>
      <c r="H63" s="198">
        <f>Qty!M28*'Hist. prices'!I28*H$42*$AB$42</f>
        <v>0</v>
      </c>
      <c r="I63" s="198">
        <f>Qty!N28*'Hist. prices'!J28*I$42*$AB$42</f>
        <v>0</v>
      </c>
      <c r="J63" s="198">
        <f>Qty!O28*'Hist. prices'!K28*J$42*$AB$42</f>
        <v>0</v>
      </c>
      <c r="K63" s="198">
        <f>Qty!P28*'Hist. prices'!L28*K$42*$AB$42</f>
        <v>0</v>
      </c>
      <c r="L63" s="198">
        <f>Qty!Q28*'Hist. prices'!M28*L$42*$AB$42</f>
        <v>0</v>
      </c>
      <c r="M63" s="198">
        <f>Qty!R28*'Hist. prices'!N28*M$42*$AB$42</f>
        <v>0</v>
      </c>
      <c r="N63" s="198">
        <f>Qty!S28*'Hist. prices'!O28*N$42*$AB$42</f>
        <v>0</v>
      </c>
      <c r="O63" s="198">
        <f>Qty!T28*'Hist. prices'!P28*O$42*$AB$42</f>
        <v>0</v>
      </c>
      <c r="P63" s="198">
        <f>Qty!U28*'Hist. prices'!Q28*P$42*$AB$42</f>
        <v>0</v>
      </c>
      <c r="Q63" s="198">
        <f>Qty!V28*'Hist. prices'!R28*Q$42*$AB$42</f>
        <v>0</v>
      </c>
      <c r="R63" s="198">
        <f>Qty!W28*'Hist. prices'!S28*R$42*$AB$42</f>
        <v>0</v>
      </c>
      <c r="S63" s="198">
        <f>Qty!X28*'Hist. prices'!T28*S$42*$AB$42</f>
        <v>0</v>
      </c>
      <c r="T63" s="198">
        <f>Qty!Y28*'Hist. prices'!U28*T$42*$AB$42</f>
        <v>0</v>
      </c>
      <c r="U63" s="198">
        <f>Qty!Z28*'Hist. prices'!V28*U$42*$AB$42</f>
        <v>0</v>
      </c>
      <c r="V63" s="198">
        <f>Qty!AA28*'Hist. prices'!W28*V$42*$AB$42</f>
        <v>0</v>
      </c>
      <c r="W63" s="198">
        <f>Qty!AB28*'Hist. prices'!X28*W$42*$AB$42</f>
        <v>0</v>
      </c>
      <c r="X63" s="198">
        <f>Qty!AC28*'Hist. prices'!Y28*X$42*$AB$42</f>
        <v>0</v>
      </c>
      <c r="Y63" s="198">
        <f>Qty!AD28*'Hist. prices'!Z28*Y$42*$AB$42</f>
        <v>0</v>
      </c>
      <c r="Z63" s="198">
        <f>Qty!AE28*'Hist. prices'!AA28*Z$42*$AB$42</f>
        <v>0</v>
      </c>
      <c r="AA63" s="198">
        <f>Qty!AF28*'Hist. prices'!AB28*AA$42*$AB$42</f>
        <v>0</v>
      </c>
      <c r="AB63" s="68"/>
      <c r="AC63" s="19"/>
      <c r="AD63" s="19"/>
      <c r="AE63" s="19"/>
      <c r="AF63" s="19"/>
    </row>
    <row r="64" spans="1:32" hidden="1" outlineLevel="2" x14ac:dyDescent="0.2">
      <c r="A64" s="19"/>
      <c r="B64" s="19"/>
      <c r="C64" s="506">
        <f>Tariffs!C67</f>
        <v>0</v>
      </c>
      <c r="D64" s="505">
        <f>Tariffs!D67</f>
        <v>0</v>
      </c>
      <c r="E64" s="58"/>
      <c r="F64" s="213">
        <f t="shared" si="2"/>
        <v>0</v>
      </c>
      <c r="G64" s="58"/>
      <c r="H64" s="198">
        <f>Qty!M29*'Hist. prices'!I29*H$42*$AB$42</f>
        <v>0</v>
      </c>
      <c r="I64" s="198">
        <f>Qty!N29*'Hist. prices'!J29*I$42*$AB$42</f>
        <v>0</v>
      </c>
      <c r="J64" s="198">
        <f>Qty!O29*'Hist. prices'!K29*J$42*$AB$42</f>
        <v>0</v>
      </c>
      <c r="K64" s="198">
        <f>Qty!P29*'Hist. prices'!L29*K$42*$AB$42</f>
        <v>0</v>
      </c>
      <c r="L64" s="198">
        <f>Qty!Q29*'Hist. prices'!M29*L$42*$AB$42</f>
        <v>0</v>
      </c>
      <c r="M64" s="198">
        <f>Qty!R29*'Hist. prices'!N29*M$42*$AB$42</f>
        <v>0</v>
      </c>
      <c r="N64" s="198">
        <f>Qty!S29*'Hist. prices'!O29*N$42*$AB$42</f>
        <v>0</v>
      </c>
      <c r="O64" s="198">
        <f>Qty!T29*'Hist. prices'!P29*O$42*$AB$42</f>
        <v>0</v>
      </c>
      <c r="P64" s="198">
        <f>Qty!U29*'Hist. prices'!Q29*P$42*$AB$42</f>
        <v>0</v>
      </c>
      <c r="Q64" s="198">
        <f>Qty!V29*'Hist. prices'!R29*Q$42*$AB$42</f>
        <v>0</v>
      </c>
      <c r="R64" s="198">
        <f>Qty!W29*'Hist. prices'!S29*R$42*$AB$42</f>
        <v>0</v>
      </c>
      <c r="S64" s="198">
        <f>Qty!X29*'Hist. prices'!T29*S$42*$AB$42</f>
        <v>0</v>
      </c>
      <c r="T64" s="198">
        <f>Qty!Y29*'Hist. prices'!U29*T$42*$AB$42</f>
        <v>0</v>
      </c>
      <c r="U64" s="198">
        <f>Qty!Z29*'Hist. prices'!V29*U$42*$AB$42</f>
        <v>0</v>
      </c>
      <c r="V64" s="198">
        <f>Qty!AA29*'Hist. prices'!W29*V$42*$AB$42</f>
        <v>0</v>
      </c>
      <c r="W64" s="198">
        <f>Qty!AB29*'Hist. prices'!X29*W$42*$AB$42</f>
        <v>0</v>
      </c>
      <c r="X64" s="198">
        <f>Qty!AC29*'Hist. prices'!Y29*X$42*$AB$42</f>
        <v>0</v>
      </c>
      <c r="Y64" s="198">
        <f>Qty!AD29*'Hist. prices'!Z29*Y$42*$AB$42</f>
        <v>0</v>
      </c>
      <c r="Z64" s="198">
        <f>Qty!AE29*'Hist. prices'!AA29*Z$42*$AB$42</f>
        <v>0</v>
      </c>
      <c r="AA64" s="198">
        <f>Qty!AF29*'Hist. prices'!AB29*AA$42*$AB$42</f>
        <v>0</v>
      </c>
      <c r="AB64" s="68"/>
      <c r="AC64" s="19"/>
      <c r="AD64" s="19"/>
      <c r="AE64" s="19"/>
      <c r="AF64" s="19"/>
    </row>
    <row r="65" spans="1:32" hidden="1" outlineLevel="2" x14ac:dyDescent="0.2">
      <c r="A65" s="19"/>
      <c r="B65" s="19"/>
      <c r="C65" s="506">
        <f>Tariffs!C68</f>
        <v>0</v>
      </c>
      <c r="D65" s="505">
        <f>Tariffs!D68</f>
        <v>0</v>
      </c>
      <c r="E65" s="58"/>
      <c r="F65" s="213">
        <f t="shared" si="2"/>
        <v>0</v>
      </c>
      <c r="G65" s="58"/>
      <c r="H65" s="198">
        <f>Qty!M30*'Hist. prices'!I30*H$42*$AB$42</f>
        <v>0</v>
      </c>
      <c r="I65" s="198">
        <f>Qty!N30*'Hist. prices'!J30*I$42*$AB$42</f>
        <v>0</v>
      </c>
      <c r="J65" s="198">
        <f>Qty!O30*'Hist. prices'!K30*J$42*$AB$42</f>
        <v>0</v>
      </c>
      <c r="K65" s="198">
        <f>Qty!P30*'Hist. prices'!L30*K$42*$AB$42</f>
        <v>0</v>
      </c>
      <c r="L65" s="198">
        <f>Qty!Q30*'Hist. prices'!M30*L$42*$AB$42</f>
        <v>0</v>
      </c>
      <c r="M65" s="198">
        <f>Qty!R30*'Hist. prices'!N30*M$42*$AB$42</f>
        <v>0</v>
      </c>
      <c r="N65" s="198">
        <f>Qty!S30*'Hist. prices'!O30*N$42*$AB$42</f>
        <v>0</v>
      </c>
      <c r="O65" s="198">
        <f>Qty!T30*'Hist. prices'!P30*O$42*$AB$42</f>
        <v>0</v>
      </c>
      <c r="P65" s="198">
        <f>Qty!U30*'Hist. prices'!Q30*P$42*$AB$42</f>
        <v>0</v>
      </c>
      <c r="Q65" s="198">
        <f>Qty!V30*'Hist. prices'!R30*Q$42*$AB$42</f>
        <v>0</v>
      </c>
      <c r="R65" s="198">
        <f>Qty!W30*'Hist. prices'!S30*R$42*$AB$42</f>
        <v>0</v>
      </c>
      <c r="S65" s="198">
        <f>Qty!X30*'Hist. prices'!T30*S$42*$AB$42</f>
        <v>0</v>
      </c>
      <c r="T65" s="198">
        <f>Qty!Y30*'Hist. prices'!U30*T$42*$AB$42</f>
        <v>0</v>
      </c>
      <c r="U65" s="198">
        <f>Qty!Z30*'Hist. prices'!V30*U$42*$AB$42</f>
        <v>0</v>
      </c>
      <c r="V65" s="198">
        <f>Qty!AA30*'Hist. prices'!W30*V$42*$AB$42</f>
        <v>0</v>
      </c>
      <c r="W65" s="198">
        <f>Qty!AB30*'Hist. prices'!X30*W$42*$AB$42</f>
        <v>0</v>
      </c>
      <c r="X65" s="198">
        <f>Qty!AC30*'Hist. prices'!Y30*X$42*$AB$42</f>
        <v>0</v>
      </c>
      <c r="Y65" s="198">
        <f>Qty!AD30*'Hist. prices'!Z30*Y$42*$AB$42</f>
        <v>0</v>
      </c>
      <c r="Z65" s="198">
        <f>Qty!AE30*'Hist. prices'!AA30*Z$42*$AB$42</f>
        <v>0</v>
      </c>
      <c r="AA65" s="198">
        <f>Qty!AF30*'Hist. prices'!AB30*AA$42*$AB$42</f>
        <v>0</v>
      </c>
      <c r="AB65" s="68"/>
      <c r="AC65" s="19"/>
      <c r="AD65" s="19"/>
      <c r="AE65" s="19"/>
      <c r="AF65" s="19"/>
    </row>
    <row r="66" spans="1:32" hidden="1" outlineLevel="2" x14ac:dyDescent="0.2">
      <c r="A66" s="19"/>
      <c r="B66" s="19"/>
      <c r="C66" s="506">
        <f>Tariffs!C69</f>
        <v>0</v>
      </c>
      <c r="D66" s="505">
        <f>Tariffs!D69</f>
        <v>0</v>
      </c>
      <c r="E66" s="58"/>
      <c r="F66" s="213">
        <f t="shared" si="2"/>
        <v>0</v>
      </c>
      <c r="G66" s="58"/>
      <c r="H66" s="198">
        <f>Qty!M31*'Hist. prices'!I31*H$42*$AB$42</f>
        <v>0</v>
      </c>
      <c r="I66" s="198">
        <f>Qty!N31*'Hist. prices'!J31*I$42*$AB$42</f>
        <v>0</v>
      </c>
      <c r="J66" s="198">
        <f>Qty!O31*'Hist. prices'!K31*J$42*$AB$42</f>
        <v>0</v>
      </c>
      <c r="K66" s="198">
        <f>Qty!P31*'Hist. prices'!L31*K$42*$AB$42</f>
        <v>0</v>
      </c>
      <c r="L66" s="198">
        <f>Qty!Q31*'Hist. prices'!M31*L$42*$AB$42</f>
        <v>0</v>
      </c>
      <c r="M66" s="198">
        <f>Qty!R31*'Hist. prices'!N31*M$42*$AB$42</f>
        <v>0</v>
      </c>
      <c r="N66" s="198">
        <f>Qty!S31*'Hist. prices'!O31*N$42*$AB$42</f>
        <v>0</v>
      </c>
      <c r="O66" s="198">
        <f>Qty!T31*'Hist. prices'!P31*O$42*$AB$42</f>
        <v>0</v>
      </c>
      <c r="P66" s="198">
        <f>Qty!U31*'Hist. prices'!Q31*P$42*$AB$42</f>
        <v>0</v>
      </c>
      <c r="Q66" s="198">
        <f>Qty!V31*'Hist. prices'!R31*Q$42*$AB$42</f>
        <v>0</v>
      </c>
      <c r="R66" s="198">
        <f>Qty!W31*'Hist. prices'!S31*R$42*$AB$42</f>
        <v>0</v>
      </c>
      <c r="S66" s="198">
        <f>Qty!X31*'Hist. prices'!T31*S$42*$AB$42</f>
        <v>0</v>
      </c>
      <c r="T66" s="198">
        <f>Qty!Y31*'Hist. prices'!U31*T$42*$AB$42</f>
        <v>0</v>
      </c>
      <c r="U66" s="198">
        <f>Qty!Z31*'Hist. prices'!V31*U$42*$AB$42</f>
        <v>0</v>
      </c>
      <c r="V66" s="198">
        <f>Qty!AA31*'Hist. prices'!W31*V$42*$AB$42</f>
        <v>0</v>
      </c>
      <c r="W66" s="198">
        <f>Qty!AB31*'Hist. prices'!X31*W$42*$AB$42</f>
        <v>0</v>
      </c>
      <c r="X66" s="198">
        <f>Qty!AC31*'Hist. prices'!Y31*X$42*$AB$42</f>
        <v>0</v>
      </c>
      <c r="Y66" s="198">
        <f>Qty!AD31*'Hist. prices'!Z31*Y$42*$AB$42</f>
        <v>0</v>
      </c>
      <c r="Z66" s="198">
        <f>Qty!AE31*'Hist. prices'!AA31*Z$42*$AB$42</f>
        <v>0</v>
      </c>
      <c r="AA66" s="198">
        <f>Qty!AF31*'Hist. prices'!AB31*AA$42*$AB$42</f>
        <v>0</v>
      </c>
      <c r="AB66" s="68"/>
      <c r="AC66" s="19"/>
      <c r="AD66" s="19"/>
      <c r="AE66" s="19"/>
      <c r="AF66" s="19"/>
    </row>
    <row r="67" spans="1:32" hidden="1" outlineLevel="2" x14ac:dyDescent="0.2">
      <c r="A67" s="19"/>
      <c r="B67" s="19"/>
      <c r="C67" s="506">
        <f>Tariffs!C70</f>
        <v>0</v>
      </c>
      <c r="D67" s="505">
        <f>Tariffs!D70</f>
        <v>0</v>
      </c>
      <c r="E67" s="58"/>
      <c r="F67" s="213">
        <f t="shared" si="2"/>
        <v>0</v>
      </c>
      <c r="G67" s="58"/>
      <c r="H67" s="198">
        <f>Qty!M32*'Hist. prices'!I32*H$42*$AB$42</f>
        <v>0</v>
      </c>
      <c r="I67" s="198">
        <f>Qty!N32*'Hist. prices'!J32*I$42*$AB$42</f>
        <v>0</v>
      </c>
      <c r="J67" s="198">
        <f>Qty!O32*'Hist. prices'!K32*J$42*$AB$42</f>
        <v>0</v>
      </c>
      <c r="K67" s="198">
        <f>Qty!P32*'Hist. prices'!L32*K$42*$AB$42</f>
        <v>0</v>
      </c>
      <c r="L67" s="198">
        <f>Qty!Q32*'Hist. prices'!M32*L$42*$AB$42</f>
        <v>0</v>
      </c>
      <c r="M67" s="198">
        <f>Qty!R32*'Hist. prices'!N32*M$42*$AB$42</f>
        <v>0</v>
      </c>
      <c r="N67" s="198">
        <f>Qty!S32*'Hist. prices'!O32*N$42*$AB$42</f>
        <v>0</v>
      </c>
      <c r="O67" s="198">
        <f>Qty!T32*'Hist. prices'!P32*O$42*$AB$42</f>
        <v>0</v>
      </c>
      <c r="P67" s="198">
        <f>Qty!U32*'Hist. prices'!Q32*P$42*$AB$42</f>
        <v>0</v>
      </c>
      <c r="Q67" s="198">
        <f>Qty!V32*'Hist. prices'!R32*Q$42*$AB$42</f>
        <v>0</v>
      </c>
      <c r="R67" s="198">
        <f>Qty!W32*'Hist. prices'!S32*R$42*$AB$42</f>
        <v>0</v>
      </c>
      <c r="S67" s="198">
        <f>Qty!X32*'Hist. prices'!T32*S$42*$AB$42</f>
        <v>0</v>
      </c>
      <c r="T67" s="198">
        <f>Qty!Y32*'Hist. prices'!U32*T$42*$AB$42</f>
        <v>0</v>
      </c>
      <c r="U67" s="198">
        <f>Qty!Z32*'Hist. prices'!V32*U$42*$AB$42</f>
        <v>0</v>
      </c>
      <c r="V67" s="198">
        <f>Qty!AA32*'Hist. prices'!W32*V$42*$AB$42</f>
        <v>0</v>
      </c>
      <c r="W67" s="198">
        <f>Qty!AB32*'Hist. prices'!X32*W$42*$AB$42</f>
        <v>0</v>
      </c>
      <c r="X67" s="198">
        <f>Qty!AC32*'Hist. prices'!Y32*X$42*$AB$42</f>
        <v>0</v>
      </c>
      <c r="Y67" s="198">
        <f>Qty!AD32*'Hist. prices'!Z32*Y$42*$AB$42</f>
        <v>0</v>
      </c>
      <c r="Z67" s="198">
        <f>Qty!AE32*'Hist. prices'!AA32*Z$42*$AB$42</f>
        <v>0</v>
      </c>
      <c r="AA67" s="198">
        <f>Qty!AF32*'Hist. prices'!AB32*AA$42*$AB$42</f>
        <v>0</v>
      </c>
      <c r="AB67" s="68"/>
      <c r="AC67" s="19"/>
      <c r="AD67" s="19"/>
      <c r="AE67" s="19"/>
      <c r="AF67" s="19"/>
    </row>
    <row r="68" spans="1:32" hidden="1" outlineLevel="2" x14ac:dyDescent="0.2">
      <c r="A68" s="19"/>
      <c r="B68" s="19"/>
      <c r="C68" s="506">
        <f>Tariffs!C71</f>
        <v>0</v>
      </c>
      <c r="D68" s="505">
        <f>Tariffs!D71</f>
        <v>0</v>
      </c>
      <c r="E68" s="58"/>
      <c r="F68" s="213">
        <f t="shared" si="2"/>
        <v>0</v>
      </c>
      <c r="G68" s="58"/>
      <c r="H68" s="198">
        <f>Qty!M33*'Hist. prices'!I33*H$42*$AB$42</f>
        <v>0</v>
      </c>
      <c r="I68" s="198">
        <f>Qty!N33*'Hist. prices'!J33*I$42*$AB$42</f>
        <v>0</v>
      </c>
      <c r="J68" s="198">
        <f>Qty!O33*'Hist. prices'!K33*J$42*$AB$42</f>
        <v>0</v>
      </c>
      <c r="K68" s="198">
        <f>Qty!P33*'Hist. prices'!L33*K$42*$AB$42</f>
        <v>0</v>
      </c>
      <c r="L68" s="198">
        <f>Qty!Q33*'Hist. prices'!M33*L$42*$AB$42</f>
        <v>0</v>
      </c>
      <c r="M68" s="198">
        <f>Qty!R33*'Hist. prices'!N33*M$42*$AB$42</f>
        <v>0</v>
      </c>
      <c r="N68" s="198">
        <f>Qty!S33*'Hist. prices'!O33*N$42*$AB$42</f>
        <v>0</v>
      </c>
      <c r="O68" s="198">
        <f>Qty!T33*'Hist. prices'!P33*O$42*$AB$42</f>
        <v>0</v>
      </c>
      <c r="P68" s="198">
        <f>Qty!U33*'Hist. prices'!Q33*P$42*$AB$42</f>
        <v>0</v>
      </c>
      <c r="Q68" s="198">
        <f>Qty!V33*'Hist. prices'!R33*Q$42*$AB$42</f>
        <v>0</v>
      </c>
      <c r="R68" s="198">
        <f>Qty!W33*'Hist. prices'!S33*R$42*$AB$42</f>
        <v>0</v>
      </c>
      <c r="S68" s="198">
        <f>Qty!X33*'Hist. prices'!T33*S$42*$AB$42</f>
        <v>0</v>
      </c>
      <c r="T68" s="198">
        <f>Qty!Y33*'Hist. prices'!U33*T$42*$AB$42</f>
        <v>0</v>
      </c>
      <c r="U68" s="198">
        <f>Qty!Z33*'Hist. prices'!V33*U$42*$AB$42</f>
        <v>0</v>
      </c>
      <c r="V68" s="198">
        <f>Qty!AA33*'Hist. prices'!W33*V$42*$AB$42</f>
        <v>0</v>
      </c>
      <c r="W68" s="198">
        <f>Qty!AB33*'Hist. prices'!X33*W$42*$AB$42</f>
        <v>0</v>
      </c>
      <c r="X68" s="198">
        <f>Qty!AC33*'Hist. prices'!Y33*X$42*$AB$42</f>
        <v>0</v>
      </c>
      <c r="Y68" s="198">
        <f>Qty!AD33*'Hist. prices'!Z33*Y$42*$AB$42</f>
        <v>0</v>
      </c>
      <c r="Z68" s="198">
        <f>Qty!AE33*'Hist. prices'!AA33*Z$42*$AB$42</f>
        <v>0</v>
      </c>
      <c r="AA68" s="198">
        <f>Qty!AF33*'Hist. prices'!AB33*AA$42*$AB$42</f>
        <v>0</v>
      </c>
      <c r="AB68" s="68"/>
      <c r="AC68" s="19"/>
      <c r="AD68" s="19"/>
      <c r="AE68" s="19"/>
      <c r="AF68" s="19"/>
    </row>
    <row r="69" spans="1:32" hidden="1" outlineLevel="2" x14ac:dyDescent="0.2">
      <c r="A69" s="19"/>
      <c r="B69" s="19"/>
      <c r="C69" s="506">
        <f>Tariffs!C72</f>
        <v>0</v>
      </c>
      <c r="D69" s="505">
        <f>Tariffs!D72</f>
        <v>0</v>
      </c>
      <c r="E69" s="58"/>
      <c r="F69" s="213">
        <f t="shared" si="2"/>
        <v>0</v>
      </c>
      <c r="G69" s="58"/>
      <c r="H69" s="198">
        <f>Qty!M34*'Hist. prices'!I34*H$42*$AB$42</f>
        <v>0</v>
      </c>
      <c r="I69" s="198">
        <f>Qty!N34*'Hist. prices'!J34*I$42*$AB$42</f>
        <v>0</v>
      </c>
      <c r="J69" s="198">
        <f>Qty!O34*'Hist. prices'!K34*J$42*$AB$42</f>
        <v>0</v>
      </c>
      <c r="K69" s="198">
        <f>Qty!P34*'Hist. prices'!L34*K$42*$AB$42</f>
        <v>0</v>
      </c>
      <c r="L69" s="198">
        <f>Qty!Q34*'Hist. prices'!M34*L$42*$AB$42</f>
        <v>0</v>
      </c>
      <c r="M69" s="198">
        <f>Qty!R34*'Hist. prices'!N34*M$42*$AB$42</f>
        <v>0</v>
      </c>
      <c r="N69" s="198">
        <f>Qty!S34*'Hist. prices'!O34*N$42*$AB$42</f>
        <v>0</v>
      </c>
      <c r="O69" s="198">
        <f>Qty!T34*'Hist. prices'!P34*O$42*$AB$42</f>
        <v>0</v>
      </c>
      <c r="P69" s="198">
        <f>Qty!U34*'Hist. prices'!Q34*P$42*$AB$42</f>
        <v>0</v>
      </c>
      <c r="Q69" s="198">
        <f>Qty!V34*'Hist. prices'!R34*Q$42*$AB$42</f>
        <v>0</v>
      </c>
      <c r="R69" s="198">
        <f>Qty!W34*'Hist. prices'!S34*R$42*$AB$42</f>
        <v>0</v>
      </c>
      <c r="S69" s="198">
        <f>Qty!X34*'Hist. prices'!T34*S$42*$AB$42</f>
        <v>0</v>
      </c>
      <c r="T69" s="198">
        <f>Qty!Y34*'Hist. prices'!U34*T$42*$AB$42</f>
        <v>0</v>
      </c>
      <c r="U69" s="198">
        <f>Qty!Z34*'Hist. prices'!V34*U$42*$AB$42</f>
        <v>0</v>
      </c>
      <c r="V69" s="198">
        <f>Qty!AA34*'Hist. prices'!W34*V$42*$AB$42</f>
        <v>0</v>
      </c>
      <c r="W69" s="198">
        <f>Qty!AB34*'Hist. prices'!X34*W$42*$AB$42</f>
        <v>0</v>
      </c>
      <c r="X69" s="198">
        <f>Qty!AC34*'Hist. prices'!Y34*X$42*$AB$42</f>
        <v>0</v>
      </c>
      <c r="Y69" s="198">
        <f>Qty!AD34*'Hist. prices'!Z34*Y$42*$AB$42</f>
        <v>0</v>
      </c>
      <c r="Z69" s="198">
        <f>Qty!AE34*'Hist. prices'!AA34*Z$42*$AB$42</f>
        <v>0</v>
      </c>
      <c r="AA69" s="198">
        <f>Qty!AF34*'Hist. prices'!AB34*AA$42*$AB$42</f>
        <v>0</v>
      </c>
      <c r="AB69" s="68"/>
      <c r="AC69" s="19"/>
      <c r="AD69" s="19"/>
      <c r="AE69" s="19"/>
      <c r="AF69" s="19"/>
    </row>
    <row r="70" spans="1:32" hidden="1" outlineLevel="2" x14ac:dyDescent="0.2">
      <c r="A70" s="19"/>
      <c r="B70" s="19"/>
      <c r="C70" s="506">
        <f>Tariffs!C73</f>
        <v>0</v>
      </c>
      <c r="D70" s="505">
        <f>Tariffs!D73</f>
        <v>0</v>
      </c>
      <c r="E70" s="58"/>
      <c r="F70" s="213">
        <f t="shared" si="2"/>
        <v>0</v>
      </c>
      <c r="G70" s="58"/>
      <c r="H70" s="198">
        <f>Qty!M35*'Hist. prices'!I35*H$42*$AB$42</f>
        <v>0</v>
      </c>
      <c r="I70" s="198">
        <f>Qty!N35*'Hist. prices'!J35*I$42*$AB$42</f>
        <v>0</v>
      </c>
      <c r="J70" s="198">
        <f>Qty!O35*'Hist. prices'!K35*J$42*$AB$42</f>
        <v>0</v>
      </c>
      <c r="K70" s="198">
        <f>Qty!P35*'Hist. prices'!L35*K$42*$AB$42</f>
        <v>0</v>
      </c>
      <c r="L70" s="198">
        <f>Qty!Q35*'Hist. prices'!M35*L$42*$AB$42</f>
        <v>0</v>
      </c>
      <c r="M70" s="198">
        <f>Qty!R35*'Hist. prices'!N35*M$42*$AB$42</f>
        <v>0</v>
      </c>
      <c r="N70" s="198">
        <f>Qty!S35*'Hist. prices'!O35*N$42*$AB$42</f>
        <v>0</v>
      </c>
      <c r="O70" s="198">
        <f>Qty!T35*'Hist. prices'!P35*O$42*$AB$42</f>
        <v>0</v>
      </c>
      <c r="P70" s="198">
        <f>Qty!U35*'Hist. prices'!Q35*P$42*$AB$42</f>
        <v>0</v>
      </c>
      <c r="Q70" s="198">
        <f>Qty!V35*'Hist. prices'!R35*Q$42*$AB$42</f>
        <v>0</v>
      </c>
      <c r="R70" s="198">
        <f>Qty!W35*'Hist. prices'!S35*R$42*$AB$42</f>
        <v>0</v>
      </c>
      <c r="S70" s="198">
        <f>Qty!X35*'Hist. prices'!T35*S$42*$AB$42</f>
        <v>0</v>
      </c>
      <c r="T70" s="198">
        <f>Qty!Y35*'Hist. prices'!U35*T$42*$AB$42</f>
        <v>0</v>
      </c>
      <c r="U70" s="198">
        <f>Qty!Z35*'Hist. prices'!V35*U$42*$AB$42</f>
        <v>0</v>
      </c>
      <c r="V70" s="198">
        <f>Qty!AA35*'Hist. prices'!W35*V$42*$AB$42</f>
        <v>0</v>
      </c>
      <c r="W70" s="198">
        <f>Qty!AB35*'Hist. prices'!X35*W$42*$AB$42</f>
        <v>0</v>
      </c>
      <c r="X70" s="198">
        <f>Qty!AC35*'Hist. prices'!Y35*X$42*$AB$42</f>
        <v>0</v>
      </c>
      <c r="Y70" s="198">
        <f>Qty!AD35*'Hist. prices'!Z35*Y$42*$AB$42</f>
        <v>0</v>
      </c>
      <c r="Z70" s="198">
        <f>Qty!AE35*'Hist. prices'!AA35*Z$42*$AB$42</f>
        <v>0</v>
      </c>
      <c r="AA70" s="198">
        <f>Qty!AF35*'Hist. prices'!AB35*AA$42*$AB$42</f>
        <v>0</v>
      </c>
      <c r="AB70" s="68"/>
      <c r="AC70" s="19"/>
      <c r="AD70" s="19"/>
      <c r="AE70" s="19"/>
      <c r="AF70" s="19"/>
    </row>
    <row r="71" spans="1:32" hidden="1" outlineLevel="2" x14ac:dyDescent="0.2">
      <c r="A71" s="19"/>
      <c r="B71" s="19"/>
      <c r="C71" s="506">
        <f>Tariffs!C74</f>
        <v>0</v>
      </c>
      <c r="D71" s="505">
        <f>Tariffs!D74</f>
        <v>0</v>
      </c>
      <c r="E71" s="58"/>
      <c r="F71" s="213">
        <f t="shared" si="2"/>
        <v>0</v>
      </c>
      <c r="G71" s="58"/>
      <c r="H71" s="198">
        <f>Qty!M36*'Hist. prices'!I36*H$42*$AB$42</f>
        <v>0</v>
      </c>
      <c r="I71" s="198">
        <f>Qty!N36*'Hist. prices'!J36*I$42*$AB$42</f>
        <v>0</v>
      </c>
      <c r="J71" s="198">
        <f>Qty!O36*'Hist. prices'!K36*J$42*$AB$42</f>
        <v>0</v>
      </c>
      <c r="K71" s="198">
        <f>Qty!P36*'Hist. prices'!L36*K$42*$AB$42</f>
        <v>0</v>
      </c>
      <c r="L71" s="198">
        <f>Qty!Q36*'Hist. prices'!M36*L$42*$AB$42</f>
        <v>0</v>
      </c>
      <c r="M71" s="198">
        <f>Qty!R36*'Hist. prices'!N36*M$42*$AB$42</f>
        <v>0</v>
      </c>
      <c r="N71" s="198">
        <f>Qty!S36*'Hist. prices'!O36*N$42*$AB$42</f>
        <v>0</v>
      </c>
      <c r="O71" s="198">
        <f>Qty!T36*'Hist. prices'!P36*O$42*$AB$42</f>
        <v>0</v>
      </c>
      <c r="P71" s="198">
        <f>Qty!U36*'Hist. prices'!Q36*P$42*$AB$42</f>
        <v>0</v>
      </c>
      <c r="Q71" s="198">
        <f>Qty!V36*'Hist. prices'!R36*Q$42*$AB$42</f>
        <v>0</v>
      </c>
      <c r="R71" s="198">
        <f>Qty!W36*'Hist. prices'!S36*R$42*$AB$42</f>
        <v>0</v>
      </c>
      <c r="S71" s="198">
        <f>Qty!X36*'Hist. prices'!T36*S$42*$AB$42</f>
        <v>0</v>
      </c>
      <c r="T71" s="198">
        <f>Qty!Y36*'Hist. prices'!U36*T$42*$AB$42</f>
        <v>0</v>
      </c>
      <c r="U71" s="198">
        <f>Qty!Z36*'Hist. prices'!V36*U$42*$AB$42</f>
        <v>0</v>
      </c>
      <c r="V71" s="198">
        <f>Qty!AA36*'Hist. prices'!W36*V$42*$AB$42</f>
        <v>0</v>
      </c>
      <c r="W71" s="198">
        <f>Qty!AB36*'Hist. prices'!X36*W$42*$AB$42</f>
        <v>0</v>
      </c>
      <c r="X71" s="198">
        <f>Qty!AC36*'Hist. prices'!Y36*X$42*$AB$42</f>
        <v>0</v>
      </c>
      <c r="Y71" s="198">
        <f>Qty!AD36*'Hist. prices'!Z36*Y$42*$AB$42</f>
        <v>0</v>
      </c>
      <c r="Z71" s="198">
        <f>Qty!AE36*'Hist. prices'!AA36*Z$42*$AB$42</f>
        <v>0</v>
      </c>
      <c r="AA71" s="198">
        <f>Qty!AF36*'Hist. prices'!AB36*AA$42*$AB$42</f>
        <v>0</v>
      </c>
      <c r="AB71" s="68"/>
      <c r="AC71" s="19"/>
      <c r="AD71" s="19"/>
      <c r="AE71" s="19"/>
      <c r="AF71" s="19"/>
    </row>
    <row r="72" spans="1:32" hidden="1" outlineLevel="2" x14ac:dyDescent="0.2">
      <c r="A72" s="19"/>
      <c r="B72" s="19"/>
      <c r="C72" s="506">
        <f>Tariffs!C75</f>
        <v>0</v>
      </c>
      <c r="D72" s="505">
        <f>Tariffs!D75</f>
        <v>0</v>
      </c>
      <c r="E72" s="58"/>
      <c r="F72" s="213">
        <f t="shared" si="2"/>
        <v>0</v>
      </c>
      <c r="G72" s="58"/>
      <c r="H72" s="198">
        <f>Qty!M37*'Hist. prices'!I37*H$42*$AB$42</f>
        <v>0</v>
      </c>
      <c r="I72" s="198">
        <f>Qty!N37*'Hist. prices'!J37*I$42*$AB$42</f>
        <v>0</v>
      </c>
      <c r="J72" s="198">
        <f>Qty!O37*'Hist. prices'!K37*J$42*$AB$42</f>
        <v>0</v>
      </c>
      <c r="K72" s="198">
        <f>Qty!P37*'Hist. prices'!L37*K$42*$AB$42</f>
        <v>0</v>
      </c>
      <c r="L72" s="198">
        <f>Qty!Q37*'Hist. prices'!M37*L$42*$AB$42</f>
        <v>0</v>
      </c>
      <c r="M72" s="198">
        <f>Qty!R37*'Hist. prices'!N37*M$42*$AB$42</f>
        <v>0</v>
      </c>
      <c r="N72" s="198">
        <f>Qty!S37*'Hist. prices'!O37*N$42*$AB$42</f>
        <v>0</v>
      </c>
      <c r="O72" s="198">
        <f>Qty!T37*'Hist. prices'!P37*O$42*$AB$42</f>
        <v>0</v>
      </c>
      <c r="P72" s="198">
        <f>Qty!U37*'Hist. prices'!Q37*P$42*$AB$42</f>
        <v>0</v>
      </c>
      <c r="Q72" s="198">
        <f>Qty!V37*'Hist. prices'!R37*Q$42*$AB$42</f>
        <v>0</v>
      </c>
      <c r="R72" s="198">
        <f>Qty!W37*'Hist. prices'!S37*R$42*$AB$42</f>
        <v>0</v>
      </c>
      <c r="S72" s="198">
        <f>Qty!X37*'Hist. prices'!T37*S$42*$AB$42</f>
        <v>0</v>
      </c>
      <c r="T72" s="198">
        <f>Qty!Y37*'Hist. prices'!U37*T$42*$AB$42</f>
        <v>0</v>
      </c>
      <c r="U72" s="198">
        <f>Qty!Z37*'Hist. prices'!V37*U$42*$AB$42</f>
        <v>0</v>
      </c>
      <c r="V72" s="198">
        <f>Qty!AA37*'Hist. prices'!W37*V$42*$AB$42</f>
        <v>0</v>
      </c>
      <c r="W72" s="198">
        <f>Qty!AB37*'Hist. prices'!X37*W$42*$AB$42</f>
        <v>0</v>
      </c>
      <c r="X72" s="198">
        <f>Qty!AC37*'Hist. prices'!Y37*X$42*$AB$42</f>
        <v>0</v>
      </c>
      <c r="Y72" s="198">
        <f>Qty!AD37*'Hist. prices'!Z37*Y$42*$AB$42</f>
        <v>0</v>
      </c>
      <c r="Z72" s="198">
        <f>Qty!AE37*'Hist. prices'!AA37*Z$42*$AB$42</f>
        <v>0</v>
      </c>
      <c r="AA72" s="198">
        <f>Qty!AF37*'Hist. prices'!AB37*AA$42*$AB$42</f>
        <v>0</v>
      </c>
      <c r="AB72" s="68"/>
      <c r="AC72" s="19"/>
      <c r="AD72" s="19"/>
      <c r="AE72" s="19"/>
      <c r="AF72" s="19"/>
    </row>
    <row r="73" spans="1:32" hidden="1" outlineLevel="2" x14ac:dyDescent="0.2">
      <c r="A73" s="19"/>
      <c r="B73" s="19"/>
      <c r="C73" s="506">
        <f>Tariffs!C76</f>
        <v>0</v>
      </c>
      <c r="D73" s="505">
        <f>Tariffs!D76</f>
        <v>0</v>
      </c>
      <c r="E73" s="58"/>
      <c r="F73" s="213">
        <f t="shared" si="2"/>
        <v>0</v>
      </c>
      <c r="G73" s="58"/>
      <c r="H73" s="198">
        <f>Qty!M38*'Hist. prices'!I38*H$42*$AB$42</f>
        <v>0</v>
      </c>
      <c r="I73" s="198">
        <f>Qty!N38*'Hist. prices'!J38*I$42*$AB$42</f>
        <v>0</v>
      </c>
      <c r="J73" s="198">
        <f>Qty!O38*'Hist. prices'!K38*J$42*$AB$42</f>
        <v>0</v>
      </c>
      <c r="K73" s="198">
        <f>Qty!P38*'Hist. prices'!L38*K$42*$AB$42</f>
        <v>0</v>
      </c>
      <c r="L73" s="198">
        <f>Qty!Q38*'Hist. prices'!M38*L$42*$AB$42</f>
        <v>0</v>
      </c>
      <c r="M73" s="198">
        <f>Qty!R38*'Hist. prices'!N38*M$42*$AB$42</f>
        <v>0</v>
      </c>
      <c r="N73" s="198">
        <f>Qty!S38*'Hist. prices'!O38*N$42*$AB$42</f>
        <v>0</v>
      </c>
      <c r="O73" s="198">
        <f>Qty!T38*'Hist. prices'!P38*O$42*$AB$42</f>
        <v>0</v>
      </c>
      <c r="P73" s="198">
        <f>Qty!U38*'Hist. prices'!Q38*P$42*$AB$42</f>
        <v>0</v>
      </c>
      <c r="Q73" s="198">
        <f>Qty!V38*'Hist. prices'!R38*Q$42*$AB$42</f>
        <v>0</v>
      </c>
      <c r="R73" s="198">
        <f>Qty!W38*'Hist. prices'!S38*R$42*$AB$42</f>
        <v>0</v>
      </c>
      <c r="S73" s="198">
        <f>Qty!X38*'Hist. prices'!T38*S$42*$AB$42</f>
        <v>0</v>
      </c>
      <c r="T73" s="198">
        <f>Qty!Y38*'Hist. prices'!U38*T$42*$AB$42</f>
        <v>0</v>
      </c>
      <c r="U73" s="198">
        <f>Qty!Z38*'Hist. prices'!V38*U$42*$AB$42</f>
        <v>0</v>
      </c>
      <c r="V73" s="198">
        <f>Qty!AA38*'Hist. prices'!W38*V$42*$AB$42</f>
        <v>0</v>
      </c>
      <c r="W73" s="198">
        <f>Qty!AB38*'Hist. prices'!X38*W$42*$AB$42</f>
        <v>0</v>
      </c>
      <c r="X73" s="198">
        <f>Qty!AC38*'Hist. prices'!Y38*X$42*$AB$42</f>
        <v>0</v>
      </c>
      <c r="Y73" s="198">
        <f>Qty!AD38*'Hist. prices'!Z38*Y$42*$AB$42</f>
        <v>0</v>
      </c>
      <c r="Z73" s="198">
        <f>Qty!AE38*'Hist. prices'!AA38*Z$42*$AB$42</f>
        <v>0</v>
      </c>
      <c r="AA73" s="198">
        <f>Qty!AF38*'Hist. prices'!AB38*AA$42*$AB$42</f>
        <v>0</v>
      </c>
      <c r="AB73" s="68"/>
      <c r="AC73" s="19"/>
      <c r="AD73" s="19"/>
      <c r="AE73" s="19"/>
      <c r="AF73" s="19"/>
    </row>
    <row r="74" spans="1:32" hidden="1" outlineLevel="2" x14ac:dyDescent="0.2">
      <c r="A74" s="19"/>
      <c r="B74" s="19"/>
      <c r="C74" s="506">
        <f>Tariffs!C77</f>
        <v>0</v>
      </c>
      <c r="D74" s="505">
        <f>Tariffs!D77</f>
        <v>0</v>
      </c>
      <c r="E74" s="58"/>
      <c r="F74" s="213">
        <f t="shared" si="2"/>
        <v>0</v>
      </c>
      <c r="G74" s="58"/>
      <c r="H74" s="198">
        <f>Qty!M39*'Hist. prices'!I39*H$42*$AB$42</f>
        <v>0</v>
      </c>
      <c r="I74" s="198">
        <f>Qty!N39*'Hist. prices'!J39*I$42*$AB$42</f>
        <v>0</v>
      </c>
      <c r="J74" s="198">
        <f>Qty!O39*'Hist. prices'!K39*J$42*$AB$42</f>
        <v>0</v>
      </c>
      <c r="K74" s="198">
        <f>Qty!P39*'Hist. prices'!L39*K$42*$AB$42</f>
        <v>0</v>
      </c>
      <c r="L74" s="198">
        <f>Qty!Q39*'Hist. prices'!M39*L$42*$AB$42</f>
        <v>0</v>
      </c>
      <c r="M74" s="198">
        <f>Qty!R39*'Hist. prices'!N39*M$42*$AB$42</f>
        <v>0</v>
      </c>
      <c r="N74" s="198">
        <f>Qty!S39*'Hist. prices'!O39*N$42*$AB$42</f>
        <v>0</v>
      </c>
      <c r="O74" s="198">
        <f>Qty!T39*'Hist. prices'!P39*O$42*$AB$42</f>
        <v>0</v>
      </c>
      <c r="P74" s="198">
        <f>Qty!U39*'Hist. prices'!Q39*P$42*$AB$42</f>
        <v>0</v>
      </c>
      <c r="Q74" s="198">
        <f>Qty!V39*'Hist. prices'!R39*Q$42*$AB$42</f>
        <v>0</v>
      </c>
      <c r="R74" s="198">
        <f>Qty!W39*'Hist. prices'!S39*R$42*$AB$42</f>
        <v>0</v>
      </c>
      <c r="S74" s="198">
        <f>Qty!X39*'Hist. prices'!T39*S$42*$AB$42</f>
        <v>0</v>
      </c>
      <c r="T74" s="198">
        <f>Qty!Y39*'Hist. prices'!U39*T$42*$AB$42</f>
        <v>0</v>
      </c>
      <c r="U74" s="198">
        <f>Qty!Z39*'Hist. prices'!V39*U$42*$AB$42</f>
        <v>0</v>
      </c>
      <c r="V74" s="198">
        <f>Qty!AA39*'Hist. prices'!W39*V$42*$AB$42</f>
        <v>0</v>
      </c>
      <c r="W74" s="198">
        <f>Qty!AB39*'Hist. prices'!X39*W$42*$AB$42</f>
        <v>0</v>
      </c>
      <c r="X74" s="198">
        <f>Qty!AC39*'Hist. prices'!Y39*X$42*$AB$42</f>
        <v>0</v>
      </c>
      <c r="Y74" s="198">
        <f>Qty!AD39*'Hist. prices'!Z39*Y$42*$AB$42</f>
        <v>0</v>
      </c>
      <c r="Z74" s="198">
        <f>Qty!AE39*'Hist. prices'!AA39*Z$42*$AB$42</f>
        <v>0</v>
      </c>
      <c r="AA74" s="198">
        <f>Qty!AF39*'Hist. prices'!AB39*AA$42*$AB$42</f>
        <v>0</v>
      </c>
      <c r="AB74" s="68"/>
      <c r="AC74" s="19"/>
      <c r="AD74" s="19"/>
      <c r="AE74" s="19"/>
      <c r="AF74" s="19"/>
    </row>
    <row r="75" spans="1:32" hidden="1" outlineLevel="2" x14ac:dyDescent="0.2">
      <c r="A75" s="19"/>
      <c r="B75" s="19"/>
      <c r="C75" s="506">
        <f>Tariffs!C78</f>
        <v>0</v>
      </c>
      <c r="D75" s="505">
        <f>Tariffs!D78</f>
        <v>0</v>
      </c>
      <c r="E75" s="58"/>
      <c r="F75" s="213">
        <f t="shared" ref="F75:F106" si="3">SUM(H75:AA75)</f>
        <v>0</v>
      </c>
      <c r="G75" s="58"/>
      <c r="H75" s="198">
        <f>Qty!M40*'Hist. prices'!I40*H$42*$AB$42</f>
        <v>0</v>
      </c>
      <c r="I75" s="198">
        <f>Qty!N40*'Hist. prices'!J40*I$42*$AB$42</f>
        <v>0</v>
      </c>
      <c r="J75" s="198">
        <f>Qty!O40*'Hist. prices'!K40*J$42*$AB$42</f>
        <v>0</v>
      </c>
      <c r="K75" s="198">
        <f>Qty!P40*'Hist. prices'!L40*K$42*$AB$42</f>
        <v>0</v>
      </c>
      <c r="L75" s="198">
        <f>Qty!Q40*'Hist. prices'!M40*L$42*$AB$42</f>
        <v>0</v>
      </c>
      <c r="M75" s="198">
        <f>Qty!R40*'Hist. prices'!N40*M$42*$AB$42</f>
        <v>0</v>
      </c>
      <c r="N75" s="198">
        <f>Qty!S40*'Hist. prices'!O40*N$42*$AB$42</f>
        <v>0</v>
      </c>
      <c r="O75" s="198">
        <f>Qty!T40*'Hist. prices'!P40*O$42*$AB$42</f>
        <v>0</v>
      </c>
      <c r="P75" s="198">
        <f>Qty!U40*'Hist. prices'!Q40*P$42*$AB$42</f>
        <v>0</v>
      </c>
      <c r="Q75" s="198">
        <f>Qty!V40*'Hist. prices'!R40*Q$42*$AB$42</f>
        <v>0</v>
      </c>
      <c r="R75" s="198">
        <f>Qty!W40*'Hist. prices'!S40*R$42*$AB$42</f>
        <v>0</v>
      </c>
      <c r="S75" s="198">
        <f>Qty!X40*'Hist. prices'!T40*S$42*$AB$42</f>
        <v>0</v>
      </c>
      <c r="T75" s="198">
        <f>Qty!Y40*'Hist. prices'!U40*T$42*$AB$42</f>
        <v>0</v>
      </c>
      <c r="U75" s="198">
        <f>Qty!Z40*'Hist. prices'!V40*U$42*$AB$42</f>
        <v>0</v>
      </c>
      <c r="V75" s="198">
        <f>Qty!AA40*'Hist. prices'!W40*V$42*$AB$42</f>
        <v>0</v>
      </c>
      <c r="W75" s="198">
        <f>Qty!AB40*'Hist. prices'!X40*W$42*$AB$42</f>
        <v>0</v>
      </c>
      <c r="X75" s="198">
        <f>Qty!AC40*'Hist. prices'!Y40*X$42*$AB$42</f>
        <v>0</v>
      </c>
      <c r="Y75" s="198">
        <f>Qty!AD40*'Hist. prices'!Z40*Y$42*$AB$42</f>
        <v>0</v>
      </c>
      <c r="Z75" s="198">
        <f>Qty!AE40*'Hist. prices'!AA40*Z$42*$AB$42</f>
        <v>0</v>
      </c>
      <c r="AA75" s="198">
        <f>Qty!AF40*'Hist. prices'!AB40*AA$42*$AB$42</f>
        <v>0</v>
      </c>
      <c r="AB75" s="68"/>
      <c r="AC75" s="19"/>
      <c r="AD75" s="19"/>
      <c r="AE75" s="19"/>
      <c r="AF75" s="19"/>
    </row>
    <row r="76" spans="1:32" hidden="1" outlineLevel="2" x14ac:dyDescent="0.2">
      <c r="A76" s="19"/>
      <c r="B76" s="19"/>
      <c r="C76" s="506">
        <f>Tariffs!C79</f>
        <v>0</v>
      </c>
      <c r="D76" s="505">
        <f>Tariffs!D79</f>
        <v>0</v>
      </c>
      <c r="E76" s="58"/>
      <c r="F76" s="213">
        <f t="shared" si="3"/>
        <v>0</v>
      </c>
      <c r="G76" s="58"/>
      <c r="H76" s="198">
        <f>Qty!M41*'Hist. prices'!I41*H$42*$AB$42</f>
        <v>0</v>
      </c>
      <c r="I76" s="198">
        <f>Qty!N41*'Hist. prices'!J41*I$42*$AB$42</f>
        <v>0</v>
      </c>
      <c r="J76" s="198">
        <f>Qty!O41*'Hist. prices'!K41*J$42*$AB$42</f>
        <v>0</v>
      </c>
      <c r="K76" s="198">
        <f>Qty!P41*'Hist. prices'!L41*K$42*$AB$42</f>
        <v>0</v>
      </c>
      <c r="L76" s="198">
        <f>Qty!Q41*'Hist. prices'!M41*L$42*$AB$42</f>
        <v>0</v>
      </c>
      <c r="M76" s="198">
        <f>Qty!R41*'Hist. prices'!N41*M$42*$AB$42</f>
        <v>0</v>
      </c>
      <c r="N76" s="198">
        <f>Qty!S41*'Hist. prices'!O41*N$42*$AB$42</f>
        <v>0</v>
      </c>
      <c r="O76" s="198">
        <f>Qty!T41*'Hist. prices'!P41*O$42*$AB$42</f>
        <v>0</v>
      </c>
      <c r="P76" s="198">
        <f>Qty!U41*'Hist. prices'!Q41*P$42*$AB$42</f>
        <v>0</v>
      </c>
      <c r="Q76" s="198">
        <f>Qty!V41*'Hist. prices'!R41*Q$42*$AB$42</f>
        <v>0</v>
      </c>
      <c r="R76" s="198">
        <f>Qty!W41*'Hist. prices'!S41*R$42*$AB$42</f>
        <v>0</v>
      </c>
      <c r="S76" s="198">
        <f>Qty!X41*'Hist. prices'!T41*S$42*$AB$42</f>
        <v>0</v>
      </c>
      <c r="T76" s="198">
        <f>Qty!Y41*'Hist. prices'!U41*T$42*$AB$42</f>
        <v>0</v>
      </c>
      <c r="U76" s="198">
        <f>Qty!Z41*'Hist. prices'!V41*U$42*$AB$42</f>
        <v>0</v>
      </c>
      <c r="V76" s="198">
        <f>Qty!AA41*'Hist. prices'!W41*V$42*$AB$42</f>
        <v>0</v>
      </c>
      <c r="W76" s="198">
        <f>Qty!AB41*'Hist. prices'!X41*W$42*$AB$42</f>
        <v>0</v>
      </c>
      <c r="X76" s="198">
        <f>Qty!AC41*'Hist. prices'!Y41*X$42*$AB$42</f>
        <v>0</v>
      </c>
      <c r="Y76" s="198">
        <f>Qty!AD41*'Hist. prices'!Z41*Y$42*$AB$42</f>
        <v>0</v>
      </c>
      <c r="Z76" s="198">
        <f>Qty!AE41*'Hist. prices'!AA41*Z$42*$AB$42</f>
        <v>0</v>
      </c>
      <c r="AA76" s="198">
        <f>Qty!AF41*'Hist. prices'!AB41*AA$42*$AB$42</f>
        <v>0</v>
      </c>
      <c r="AB76" s="68"/>
      <c r="AC76" s="19"/>
      <c r="AD76" s="19"/>
      <c r="AE76" s="19"/>
      <c r="AF76" s="19"/>
    </row>
    <row r="77" spans="1:32" hidden="1" outlineLevel="2" x14ac:dyDescent="0.2">
      <c r="A77" s="19"/>
      <c r="B77" s="19"/>
      <c r="C77" s="506">
        <f>Tariffs!C80</f>
        <v>0</v>
      </c>
      <c r="D77" s="505">
        <f>Tariffs!D80</f>
        <v>0</v>
      </c>
      <c r="E77" s="58"/>
      <c r="F77" s="213">
        <f t="shared" si="3"/>
        <v>0</v>
      </c>
      <c r="G77" s="58"/>
      <c r="H77" s="198">
        <f>Qty!M42*'Hist. prices'!I42*H$42*$AB$42</f>
        <v>0</v>
      </c>
      <c r="I77" s="198">
        <f>Qty!N42*'Hist. prices'!J42*I$42*$AB$42</f>
        <v>0</v>
      </c>
      <c r="J77" s="198">
        <f>Qty!O42*'Hist. prices'!K42*J$42*$AB$42</f>
        <v>0</v>
      </c>
      <c r="K77" s="198">
        <f>Qty!P42*'Hist. prices'!L42*K$42*$AB$42</f>
        <v>0</v>
      </c>
      <c r="L77" s="198">
        <f>Qty!Q42*'Hist. prices'!M42*L$42*$AB$42</f>
        <v>0</v>
      </c>
      <c r="M77" s="198">
        <f>Qty!R42*'Hist. prices'!N42*M$42*$AB$42</f>
        <v>0</v>
      </c>
      <c r="N77" s="198">
        <f>Qty!S42*'Hist. prices'!O42*N$42*$AB$42</f>
        <v>0</v>
      </c>
      <c r="O77" s="198">
        <f>Qty!T42*'Hist. prices'!P42*O$42*$AB$42</f>
        <v>0</v>
      </c>
      <c r="P77" s="198">
        <f>Qty!U42*'Hist. prices'!Q42*P$42*$AB$42</f>
        <v>0</v>
      </c>
      <c r="Q77" s="198">
        <f>Qty!V42*'Hist. prices'!R42*Q$42*$AB$42</f>
        <v>0</v>
      </c>
      <c r="R77" s="198">
        <f>Qty!W42*'Hist. prices'!S42*R$42*$AB$42</f>
        <v>0</v>
      </c>
      <c r="S77" s="198">
        <f>Qty!X42*'Hist. prices'!T42*S$42*$AB$42</f>
        <v>0</v>
      </c>
      <c r="T77" s="198">
        <f>Qty!Y42*'Hist. prices'!U42*T$42*$AB$42</f>
        <v>0</v>
      </c>
      <c r="U77" s="198">
        <f>Qty!Z42*'Hist. prices'!V42*U$42*$AB$42</f>
        <v>0</v>
      </c>
      <c r="V77" s="198">
        <f>Qty!AA42*'Hist. prices'!W42*V$42*$AB$42</f>
        <v>0</v>
      </c>
      <c r="W77" s="198">
        <f>Qty!AB42*'Hist. prices'!X42*W$42*$AB$42</f>
        <v>0</v>
      </c>
      <c r="X77" s="198">
        <f>Qty!AC42*'Hist. prices'!Y42*X$42*$AB$42</f>
        <v>0</v>
      </c>
      <c r="Y77" s="198">
        <f>Qty!AD42*'Hist. prices'!Z42*Y$42*$AB$42</f>
        <v>0</v>
      </c>
      <c r="Z77" s="198">
        <f>Qty!AE42*'Hist. prices'!AA42*Z$42*$AB$42</f>
        <v>0</v>
      </c>
      <c r="AA77" s="198">
        <f>Qty!AF42*'Hist. prices'!AB42*AA$42*$AB$42</f>
        <v>0</v>
      </c>
      <c r="AB77" s="68"/>
      <c r="AC77" s="19"/>
      <c r="AD77" s="19"/>
      <c r="AE77" s="19"/>
      <c r="AF77" s="19"/>
    </row>
    <row r="78" spans="1:32" hidden="1" outlineLevel="2" x14ac:dyDescent="0.2">
      <c r="A78" s="19"/>
      <c r="B78" s="19"/>
      <c r="C78" s="506">
        <f>Tariffs!C81</f>
        <v>0</v>
      </c>
      <c r="D78" s="505">
        <f>Tariffs!D81</f>
        <v>0</v>
      </c>
      <c r="E78" s="58"/>
      <c r="F78" s="213">
        <f t="shared" si="3"/>
        <v>0</v>
      </c>
      <c r="G78" s="58"/>
      <c r="H78" s="198">
        <f>Qty!M43*'Hist. prices'!I43*H$42*$AB$42</f>
        <v>0</v>
      </c>
      <c r="I78" s="198">
        <f>Qty!N43*'Hist. prices'!J43*I$42*$AB$42</f>
        <v>0</v>
      </c>
      <c r="J78" s="198">
        <f>Qty!O43*'Hist. prices'!K43*J$42*$AB$42</f>
        <v>0</v>
      </c>
      <c r="K78" s="198">
        <f>Qty!P43*'Hist. prices'!L43*K$42*$AB$42</f>
        <v>0</v>
      </c>
      <c r="L78" s="198">
        <f>Qty!Q43*'Hist. prices'!M43*L$42*$AB$42</f>
        <v>0</v>
      </c>
      <c r="M78" s="198">
        <f>Qty!R43*'Hist. prices'!N43*M$42*$AB$42</f>
        <v>0</v>
      </c>
      <c r="N78" s="198">
        <f>Qty!S43*'Hist. prices'!O43*N$42*$AB$42</f>
        <v>0</v>
      </c>
      <c r="O78" s="198">
        <f>Qty!T43*'Hist. prices'!P43*O$42*$AB$42</f>
        <v>0</v>
      </c>
      <c r="P78" s="198">
        <f>Qty!U43*'Hist. prices'!Q43*P$42*$AB$42</f>
        <v>0</v>
      </c>
      <c r="Q78" s="198">
        <f>Qty!V43*'Hist. prices'!R43*Q$42*$AB$42</f>
        <v>0</v>
      </c>
      <c r="R78" s="198">
        <f>Qty!W43*'Hist. prices'!S43*R$42*$AB$42</f>
        <v>0</v>
      </c>
      <c r="S78" s="198">
        <f>Qty!X43*'Hist. prices'!T43*S$42*$AB$42</f>
        <v>0</v>
      </c>
      <c r="T78" s="198">
        <f>Qty!Y43*'Hist. prices'!U43*T$42*$AB$42</f>
        <v>0</v>
      </c>
      <c r="U78" s="198">
        <f>Qty!Z43*'Hist. prices'!V43*U$42*$AB$42</f>
        <v>0</v>
      </c>
      <c r="V78" s="198">
        <f>Qty!AA43*'Hist. prices'!W43*V$42*$AB$42</f>
        <v>0</v>
      </c>
      <c r="W78" s="198">
        <f>Qty!AB43*'Hist. prices'!X43*W$42*$AB$42</f>
        <v>0</v>
      </c>
      <c r="X78" s="198">
        <f>Qty!AC43*'Hist. prices'!Y43*X$42*$AB$42</f>
        <v>0</v>
      </c>
      <c r="Y78" s="198">
        <f>Qty!AD43*'Hist. prices'!Z43*Y$42*$AB$42</f>
        <v>0</v>
      </c>
      <c r="Z78" s="198">
        <f>Qty!AE43*'Hist. prices'!AA43*Z$42*$AB$42</f>
        <v>0</v>
      </c>
      <c r="AA78" s="198">
        <f>Qty!AF43*'Hist. prices'!AB43*AA$42*$AB$42</f>
        <v>0</v>
      </c>
      <c r="AB78" s="68"/>
      <c r="AC78" s="19"/>
      <c r="AD78" s="19"/>
      <c r="AE78" s="19"/>
      <c r="AF78" s="19"/>
    </row>
    <row r="79" spans="1:32" hidden="1" outlineLevel="2" x14ac:dyDescent="0.2">
      <c r="A79" s="19"/>
      <c r="B79" s="19"/>
      <c r="C79" s="506">
        <f>Tariffs!C82</f>
        <v>0</v>
      </c>
      <c r="D79" s="505">
        <f>Tariffs!D82</f>
        <v>0</v>
      </c>
      <c r="E79" s="58"/>
      <c r="F79" s="213">
        <f t="shared" si="3"/>
        <v>0</v>
      </c>
      <c r="G79" s="58"/>
      <c r="H79" s="198">
        <f>Qty!M44*'Hist. prices'!I44*H$42*$AB$42</f>
        <v>0</v>
      </c>
      <c r="I79" s="198">
        <f>Qty!N44*'Hist. prices'!J44*I$42*$AB$42</f>
        <v>0</v>
      </c>
      <c r="J79" s="198">
        <f>Qty!O44*'Hist. prices'!K44*J$42*$AB$42</f>
        <v>0</v>
      </c>
      <c r="K79" s="198">
        <f>Qty!P44*'Hist. prices'!L44*K$42*$AB$42</f>
        <v>0</v>
      </c>
      <c r="L79" s="198">
        <f>Qty!Q44*'Hist. prices'!M44*L$42*$AB$42</f>
        <v>0</v>
      </c>
      <c r="M79" s="198">
        <f>Qty!R44*'Hist. prices'!N44*M$42*$AB$42</f>
        <v>0</v>
      </c>
      <c r="N79" s="198">
        <f>Qty!S44*'Hist. prices'!O44*N$42*$AB$42</f>
        <v>0</v>
      </c>
      <c r="O79" s="198">
        <f>Qty!T44*'Hist. prices'!P44*O$42*$AB$42</f>
        <v>0</v>
      </c>
      <c r="P79" s="198">
        <f>Qty!U44*'Hist. prices'!Q44*P$42*$AB$42</f>
        <v>0</v>
      </c>
      <c r="Q79" s="198">
        <f>Qty!V44*'Hist. prices'!R44*Q$42*$AB$42</f>
        <v>0</v>
      </c>
      <c r="R79" s="198">
        <f>Qty!W44*'Hist. prices'!S44*R$42*$AB$42</f>
        <v>0</v>
      </c>
      <c r="S79" s="198">
        <f>Qty!X44*'Hist. prices'!T44*S$42*$AB$42</f>
        <v>0</v>
      </c>
      <c r="T79" s="198">
        <f>Qty!Y44*'Hist. prices'!U44*T$42*$AB$42</f>
        <v>0</v>
      </c>
      <c r="U79" s="198">
        <f>Qty!Z44*'Hist. prices'!V44*U$42*$AB$42</f>
        <v>0</v>
      </c>
      <c r="V79" s="198">
        <f>Qty!AA44*'Hist. prices'!W44*V$42*$AB$42</f>
        <v>0</v>
      </c>
      <c r="W79" s="198">
        <f>Qty!AB44*'Hist. prices'!X44*W$42*$AB$42</f>
        <v>0</v>
      </c>
      <c r="X79" s="198">
        <f>Qty!AC44*'Hist. prices'!Y44*X$42*$AB$42</f>
        <v>0</v>
      </c>
      <c r="Y79" s="198">
        <f>Qty!AD44*'Hist. prices'!Z44*Y$42*$AB$42</f>
        <v>0</v>
      </c>
      <c r="Z79" s="198">
        <f>Qty!AE44*'Hist. prices'!AA44*Z$42*$AB$42</f>
        <v>0</v>
      </c>
      <c r="AA79" s="198">
        <f>Qty!AF44*'Hist. prices'!AB44*AA$42*$AB$42</f>
        <v>0</v>
      </c>
      <c r="AB79" s="68"/>
      <c r="AC79" s="19"/>
      <c r="AD79" s="19"/>
      <c r="AE79" s="19"/>
      <c r="AF79" s="19"/>
    </row>
    <row r="80" spans="1:32" hidden="1" outlineLevel="2" x14ac:dyDescent="0.2">
      <c r="A80" s="19"/>
      <c r="B80" s="19"/>
      <c r="C80" s="506">
        <f>Tariffs!C83</f>
        <v>0</v>
      </c>
      <c r="D80" s="505">
        <f>Tariffs!D83</f>
        <v>0</v>
      </c>
      <c r="E80" s="58"/>
      <c r="F80" s="213">
        <f t="shared" si="3"/>
        <v>0</v>
      </c>
      <c r="G80" s="58"/>
      <c r="H80" s="198">
        <f>Qty!M45*'Hist. prices'!I45*H$42*$AB$42</f>
        <v>0</v>
      </c>
      <c r="I80" s="198">
        <f>Qty!N45*'Hist. prices'!J45*I$42*$AB$42</f>
        <v>0</v>
      </c>
      <c r="J80" s="198">
        <f>Qty!O45*'Hist. prices'!K45*J$42*$AB$42</f>
        <v>0</v>
      </c>
      <c r="K80" s="198">
        <f>Qty!P45*'Hist. prices'!L45*K$42*$AB$42</f>
        <v>0</v>
      </c>
      <c r="L80" s="198">
        <f>Qty!Q45*'Hist. prices'!M45*L$42*$AB$42</f>
        <v>0</v>
      </c>
      <c r="M80" s="198">
        <f>Qty!R45*'Hist. prices'!N45*M$42*$AB$42</f>
        <v>0</v>
      </c>
      <c r="N80" s="198">
        <f>Qty!S45*'Hist. prices'!O45*N$42*$AB$42</f>
        <v>0</v>
      </c>
      <c r="O80" s="198">
        <f>Qty!T45*'Hist. prices'!P45*O$42*$AB$42</f>
        <v>0</v>
      </c>
      <c r="P80" s="198">
        <f>Qty!U45*'Hist. prices'!Q45*P$42*$AB$42</f>
        <v>0</v>
      </c>
      <c r="Q80" s="198">
        <f>Qty!V45*'Hist. prices'!R45*Q$42*$AB$42</f>
        <v>0</v>
      </c>
      <c r="R80" s="198">
        <f>Qty!W45*'Hist. prices'!S45*R$42*$AB$42</f>
        <v>0</v>
      </c>
      <c r="S80" s="198">
        <f>Qty!X45*'Hist. prices'!T45*S$42*$AB$42</f>
        <v>0</v>
      </c>
      <c r="T80" s="198">
        <f>Qty!Y45*'Hist. prices'!U45*T$42*$AB$42</f>
        <v>0</v>
      </c>
      <c r="U80" s="198">
        <f>Qty!Z45*'Hist. prices'!V45*U$42*$AB$42</f>
        <v>0</v>
      </c>
      <c r="V80" s="198">
        <f>Qty!AA45*'Hist. prices'!W45*V$42*$AB$42</f>
        <v>0</v>
      </c>
      <c r="W80" s="198">
        <f>Qty!AB45*'Hist. prices'!X45*W$42*$AB$42</f>
        <v>0</v>
      </c>
      <c r="X80" s="198">
        <f>Qty!AC45*'Hist. prices'!Y45*X$42*$AB$42</f>
        <v>0</v>
      </c>
      <c r="Y80" s="198">
        <f>Qty!AD45*'Hist. prices'!Z45*Y$42*$AB$42</f>
        <v>0</v>
      </c>
      <c r="Z80" s="198">
        <f>Qty!AE45*'Hist. prices'!AA45*Z$42*$AB$42</f>
        <v>0</v>
      </c>
      <c r="AA80" s="198">
        <f>Qty!AF45*'Hist. prices'!AB45*AA$42*$AB$42</f>
        <v>0</v>
      </c>
      <c r="AB80" s="68"/>
      <c r="AC80" s="19"/>
      <c r="AD80" s="19"/>
      <c r="AE80" s="19"/>
      <c r="AF80" s="19"/>
    </row>
    <row r="81" spans="1:32" hidden="1" outlineLevel="2" x14ac:dyDescent="0.2">
      <c r="A81" s="19"/>
      <c r="B81" s="19"/>
      <c r="C81" s="506">
        <f>Tariffs!C84</f>
        <v>0</v>
      </c>
      <c r="D81" s="505">
        <f>Tariffs!D84</f>
        <v>0</v>
      </c>
      <c r="E81" s="58"/>
      <c r="F81" s="213">
        <f t="shared" si="3"/>
        <v>0</v>
      </c>
      <c r="G81" s="58"/>
      <c r="H81" s="198">
        <f>Qty!M46*'Hist. prices'!I46*H$42*$AB$42</f>
        <v>0</v>
      </c>
      <c r="I81" s="198">
        <f>Qty!N46*'Hist. prices'!J46*I$42*$AB$42</f>
        <v>0</v>
      </c>
      <c r="J81" s="198">
        <f>Qty!O46*'Hist. prices'!K46*J$42*$AB$42</f>
        <v>0</v>
      </c>
      <c r="K81" s="198">
        <f>Qty!P46*'Hist. prices'!L46*K$42*$AB$42</f>
        <v>0</v>
      </c>
      <c r="L81" s="198">
        <f>Qty!Q46*'Hist. prices'!M46*L$42*$AB$42</f>
        <v>0</v>
      </c>
      <c r="M81" s="198">
        <f>Qty!R46*'Hist. prices'!N46*M$42*$AB$42</f>
        <v>0</v>
      </c>
      <c r="N81" s="198">
        <f>Qty!S46*'Hist. prices'!O46*N$42*$AB$42</f>
        <v>0</v>
      </c>
      <c r="O81" s="198">
        <f>Qty!T46*'Hist. prices'!P46*O$42*$AB$42</f>
        <v>0</v>
      </c>
      <c r="P81" s="198">
        <f>Qty!U46*'Hist. prices'!Q46*P$42*$AB$42</f>
        <v>0</v>
      </c>
      <c r="Q81" s="198">
        <f>Qty!V46*'Hist. prices'!R46*Q$42*$AB$42</f>
        <v>0</v>
      </c>
      <c r="R81" s="198">
        <f>Qty!W46*'Hist. prices'!S46*R$42*$AB$42</f>
        <v>0</v>
      </c>
      <c r="S81" s="198">
        <f>Qty!X46*'Hist. prices'!T46*S$42*$AB$42</f>
        <v>0</v>
      </c>
      <c r="T81" s="198">
        <f>Qty!Y46*'Hist. prices'!U46*T$42*$AB$42</f>
        <v>0</v>
      </c>
      <c r="U81" s="198">
        <f>Qty!Z46*'Hist. prices'!V46*U$42*$AB$42</f>
        <v>0</v>
      </c>
      <c r="V81" s="198">
        <f>Qty!AA46*'Hist. prices'!W46*V$42*$AB$42</f>
        <v>0</v>
      </c>
      <c r="W81" s="198">
        <f>Qty!AB46*'Hist. prices'!X46*W$42*$AB$42</f>
        <v>0</v>
      </c>
      <c r="X81" s="198">
        <f>Qty!AC46*'Hist. prices'!Y46*X$42*$AB$42</f>
        <v>0</v>
      </c>
      <c r="Y81" s="198">
        <f>Qty!AD46*'Hist. prices'!Z46*Y$42*$AB$42</f>
        <v>0</v>
      </c>
      <c r="Z81" s="198">
        <f>Qty!AE46*'Hist. prices'!AA46*Z$42*$AB$42</f>
        <v>0</v>
      </c>
      <c r="AA81" s="198">
        <f>Qty!AF46*'Hist. prices'!AB46*AA$42*$AB$42</f>
        <v>0</v>
      </c>
      <c r="AB81" s="68"/>
      <c r="AC81" s="19"/>
      <c r="AD81" s="19"/>
      <c r="AE81" s="19"/>
      <c r="AF81" s="19"/>
    </row>
    <row r="82" spans="1:32" hidden="1" outlineLevel="2" x14ac:dyDescent="0.2">
      <c r="A82" s="19"/>
      <c r="B82" s="19"/>
      <c r="C82" s="506">
        <f>Tariffs!C85</f>
        <v>0</v>
      </c>
      <c r="D82" s="505">
        <f>Tariffs!D85</f>
        <v>0</v>
      </c>
      <c r="E82" s="58"/>
      <c r="F82" s="213">
        <f t="shared" si="3"/>
        <v>0</v>
      </c>
      <c r="G82" s="58"/>
      <c r="H82" s="198">
        <f>Qty!M47*'Hist. prices'!I47*H$42*$AB$42</f>
        <v>0</v>
      </c>
      <c r="I82" s="198">
        <f>Qty!N47*'Hist. prices'!J47*I$42*$AB$42</f>
        <v>0</v>
      </c>
      <c r="J82" s="198">
        <f>Qty!O47*'Hist. prices'!K47*J$42*$AB$42</f>
        <v>0</v>
      </c>
      <c r="K82" s="198">
        <f>Qty!P47*'Hist. prices'!L47*K$42*$AB$42</f>
        <v>0</v>
      </c>
      <c r="L82" s="198">
        <f>Qty!Q47*'Hist. prices'!M47*L$42*$AB$42</f>
        <v>0</v>
      </c>
      <c r="M82" s="198">
        <f>Qty!R47*'Hist. prices'!N47*M$42*$AB$42</f>
        <v>0</v>
      </c>
      <c r="N82" s="198">
        <f>Qty!S47*'Hist. prices'!O47*N$42*$AB$42</f>
        <v>0</v>
      </c>
      <c r="O82" s="198">
        <f>Qty!T47*'Hist. prices'!P47*O$42*$AB$42</f>
        <v>0</v>
      </c>
      <c r="P82" s="198">
        <f>Qty!U47*'Hist. prices'!Q47*P$42*$AB$42</f>
        <v>0</v>
      </c>
      <c r="Q82" s="198">
        <f>Qty!V47*'Hist. prices'!R47*Q$42*$AB$42</f>
        <v>0</v>
      </c>
      <c r="R82" s="198">
        <f>Qty!W47*'Hist. prices'!S47*R$42*$AB$42</f>
        <v>0</v>
      </c>
      <c r="S82" s="198">
        <f>Qty!X47*'Hist. prices'!T47*S$42*$AB$42</f>
        <v>0</v>
      </c>
      <c r="T82" s="198">
        <f>Qty!Y47*'Hist. prices'!U47*T$42*$AB$42</f>
        <v>0</v>
      </c>
      <c r="U82" s="198">
        <f>Qty!Z47*'Hist. prices'!V47*U$42*$AB$42</f>
        <v>0</v>
      </c>
      <c r="V82" s="198">
        <f>Qty!AA47*'Hist. prices'!W47*V$42*$AB$42</f>
        <v>0</v>
      </c>
      <c r="W82" s="198">
        <f>Qty!AB47*'Hist. prices'!X47*W$42*$AB$42</f>
        <v>0</v>
      </c>
      <c r="X82" s="198">
        <f>Qty!AC47*'Hist. prices'!Y47*X$42*$AB$42</f>
        <v>0</v>
      </c>
      <c r="Y82" s="198">
        <f>Qty!AD47*'Hist. prices'!Z47*Y$42*$AB$42</f>
        <v>0</v>
      </c>
      <c r="Z82" s="198">
        <f>Qty!AE47*'Hist. prices'!AA47*Z$42*$AB$42</f>
        <v>0</v>
      </c>
      <c r="AA82" s="198">
        <f>Qty!AF47*'Hist. prices'!AB47*AA$42*$AB$42</f>
        <v>0</v>
      </c>
      <c r="AB82" s="68"/>
      <c r="AC82" s="19"/>
      <c r="AD82" s="19"/>
      <c r="AE82" s="19"/>
      <c r="AF82" s="19"/>
    </row>
    <row r="83" spans="1:32" hidden="1" outlineLevel="2" x14ac:dyDescent="0.2">
      <c r="A83" s="19"/>
      <c r="B83" s="19"/>
      <c r="C83" s="506">
        <f>Tariffs!C86</f>
        <v>0</v>
      </c>
      <c r="D83" s="505">
        <f>Tariffs!D86</f>
        <v>0</v>
      </c>
      <c r="E83" s="58"/>
      <c r="F83" s="213">
        <f t="shared" si="3"/>
        <v>0</v>
      </c>
      <c r="G83" s="58"/>
      <c r="H83" s="198">
        <f>Qty!M48*'Hist. prices'!I48*H$42*$AB$42</f>
        <v>0</v>
      </c>
      <c r="I83" s="198">
        <f>Qty!N48*'Hist. prices'!J48*I$42*$AB$42</f>
        <v>0</v>
      </c>
      <c r="J83" s="198">
        <f>Qty!O48*'Hist. prices'!K48*J$42*$AB$42</f>
        <v>0</v>
      </c>
      <c r="K83" s="198">
        <f>Qty!P48*'Hist. prices'!L48*K$42*$AB$42</f>
        <v>0</v>
      </c>
      <c r="L83" s="198">
        <f>Qty!Q48*'Hist. prices'!M48*L$42*$AB$42</f>
        <v>0</v>
      </c>
      <c r="M83" s="198">
        <f>Qty!R48*'Hist. prices'!N48*M$42*$AB$42</f>
        <v>0</v>
      </c>
      <c r="N83" s="198">
        <f>Qty!S48*'Hist. prices'!O48*N$42*$AB$42</f>
        <v>0</v>
      </c>
      <c r="O83" s="198">
        <f>Qty!T48*'Hist. prices'!P48*O$42*$AB$42</f>
        <v>0</v>
      </c>
      <c r="P83" s="198">
        <f>Qty!U48*'Hist. prices'!Q48*P$42*$AB$42</f>
        <v>0</v>
      </c>
      <c r="Q83" s="198">
        <f>Qty!V48*'Hist. prices'!R48*Q$42*$AB$42</f>
        <v>0</v>
      </c>
      <c r="R83" s="198">
        <f>Qty!W48*'Hist. prices'!S48*R$42*$AB$42</f>
        <v>0</v>
      </c>
      <c r="S83" s="198">
        <f>Qty!X48*'Hist. prices'!T48*S$42*$AB$42</f>
        <v>0</v>
      </c>
      <c r="T83" s="198">
        <f>Qty!Y48*'Hist. prices'!U48*T$42*$AB$42</f>
        <v>0</v>
      </c>
      <c r="U83" s="198">
        <f>Qty!Z48*'Hist. prices'!V48*U$42*$AB$42</f>
        <v>0</v>
      </c>
      <c r="V83" s="198">
        <f>Qty!AA48*'Hist. prices'!W48*V$42*$AB$42</f>
        <v>0</v>
      </c>
      <c r="W83" s="198">
        <f>Qty!AB48*'Hist. prices'!X48*W$42*$AB$42</f>
        <v>0</v>
      </c>
      <c r="X83" s="198">
        <f>Qty!AC48*'Hist. prices'!Y48*X$42*$AB$42</f>
        <v>0</v>
      </c>
      <c r="Y83" s="198">
        <f>Qty!AD48*'Hist. prices'!Z48*Y$42*$AB$42</f>
        <v>0</v>
      </c>
      <c r="Z83" s="198">
        <f>Qty!AE48*'Hist. prices'!AA48*Z$42*$AB$42</f>
        <v>0</v>
      </c>
      <c r="AA83" s="198">
        <f>Qty!AF48*'Hist. prices'!AB48*AA$42*$AB$42</f>
        <v>0</v>
      </c>
      <c r="AB83" s="68"/>
      <c r="AC83" s="19"/>
      <c r="AD83" s="19"/>
      <c r="AE83" s="19"/>
      <c r="AF83" s="19"/>
    </row>
    <row r="84" spans="1:32" hidden="1" outlineLevel="2" x14ac:dyDescent="0.2">
      <c r="A84" s="19"/>
      <c r="B84" s="19"/>
      <c r="C84" s="506">
        <f>Tariffs!C87</f>
        <v>0</v>
      </c>
      <c r="D84" s="505">
        <f>Tariffs!D87</f>
        <v>0</v>
      </c>
      <c r="E84" s="58"/>
      <c r="F84" s="213">
        <f t="shared" si="3"/>
        <v>0</v>
      </c>
      <c r="G84" s="58"/>
      <c r="H84" s="198">
        <f>Qty!M49*'Hist. prices'!I49*H$42*$AB$42</f>
        <v>0</v>
      </c>
      <c r="I84" s="198">
        <f>Qty!N49*'Hist. prices'!J49*I$42*$AB$42</f>
        <v>0</v>
      </c>
      <c r="J84" s="198">
        <f>Qty!O49*'Hist. prices'!K49*J$42*$AB$42</f>
        <v>0</v>
      </c>
      <c r="K84" s="198">
        <f>Qty!P49*'Hist. prices'!L49*K$42*$AB$42</f>
        <v>0</v>
      </c>
      <c r="L84" s="198">
        <f>Qty!Q49*'Hist. prices'!M49*L$42*$AB$42</f>
        <v>0</v>
      </c>
      <c r="M84" s="198">
        <f>Qty!R49*'Hist. prices'!N49*M$42*$AB$42</f>
        <v>0</v>
      </c>
      <c r="N84" s="198">
        <f>Qty!S49*'Hist. prices'!O49*N$42*$AB$42</f>
        <v>0</v>
      </c>
      <c r="O84" s="198">
        <f>Qty!T49*'Hist. prices'!P49*O$42*$AB$42</f>
        <v>0</v>
      </c>
      <c r="P84" s="198">
        <f>Qty!U49*'Hist. prices'!Q49*P$42*$AB$42</f>
        <v>0</v>
      </c>
      <c r="Q84" s="198">
        <f>Qty!V49*'Hist. prices'!R49*Q$42*$AB$42</f>
        <v>0</v>
      </c>
      <c r="R84" s="198">
        <f>Qty!W49*'Hist. prices'!S49*R$42*$AB$42</f>
        <v>0</v>
      </c>
      <c r="S84" s="198">
        <f>Qty!X49*'Hist. prices'!T49*S$42*$AB$42</f>
        <v>0</v>
      </c>
      <c r="T84" s="198">
        <f>Qty!Y49*'Hist. prices'!U49*T$42*$AB$42</f>
        <v>0</v>
      </c>
      <c r="U84" s="198">
        <f>Qty!Z49*'Hist. prices'!V49*U$42*$AB$42</f>
        <v>0</v>
      </c>
      <c r="V84" s="198">
        <f>Qty!AA49*'Hist. prices'!W49*V$42*$AB$42</f>
        <v>0</v>
      </c>
      <c r="W84" s="198">
        <f>Qty!AB49*'Hist. prices'!X49*W$42*$AB$42</f>
        <v>0</v>
      </c>
      <c r="X84" s="198">
        <f>Qty!AC49*'Hist. prices'!Y49*X$42*$AB$42</f>
        <v>0</v>
      </c>
      <c r="Y84" s="198">
        <f>Qty!AD49*'Hist. prices'!Z49*Y$42*$AB$42</f>
        <v>0</v>
      </c>
      <c r="Z84" s="198">
        <f>Qty!AE49*'Hist. prices'!AA49*Z$42*$AB$42</f>
        <v>0</v>
      </c>
      <c r="AA84" s="198">
        <f>Qty!AF49*'Hist. prices'!AB49*AA$42*$AB$42</f>
        <v>0</v>
      </c>
      <c r="AB84" s="68"/>
      <c r="AC84" s="19"/>
      <c r="AD84" s="19"/>
      <c r="AE84" s="19"/>
      <c r="AF84" s="19"/>
    </row>
    <row r="85" spans="1:32" hidden="1" outlineLevel="2" x14ac:dyDescent="0.2">
      <c r="A85" s="19"/>
      <c r="B85" s="19"/>
      <c r="C85" s="506">
        <f>Tariffs!C88</f>
        <v>0</v>
      </c>
      <c r="D85" s="505">
        <f>Tariffs!D88</f>
        <v>0</v>
      </c>
      <c r="E85" s="58"/>
      <c r="F85" s="213">
        <f t="shared" si="3"/>
        <v>0</v>
      </c>
      <c r="G85" s="58"/>
      <c r="H85" s="198">
        <f>Qty!M50*'Hist. prices'!I50*H$42*$AB$42</f>
        <v>0</v>
      </c>
      <c r="I85" s="198">
        <f>Qty!N50*'Hist. prices'!J50*I$42*$AB$42</f>
        <v>0</v>
      </c>
      <c r="J85" s="198">
        <f>Qty!O50*'Hist. prices'!K50*J$42*$AB$42</f>
        <v>0</v>
      </c>
      <c r="K85" s="198">
        <f>Qty!P50*'Hist. prices'!L50*K$42*$AB$42</f>
        <v>0</v>
      </c>
      <c r="L85" s="198">
        <f>Qty!Q50*'Hist. prices'!M50*L$42*$AB$42</f>
        <v>0</v>
      </c>
      <c r="M85" s="198">
        <f>Qty!R50*'Hist. prices'!N50*M$42*$AB$42</f>
        <v>0</v>
      </c>
      <c r="N85" s="198">
        <f>Qty!S50*'Hist. prices'!O50*N$42*$AB$42</f>
        <v>0</v>
      </c>
      <c r="O85" s="198">
        <f>Qty!T50*'Hist. prices'!P50*O$42*$AB$42</f>
        <v>0</v>
      </c>
      <c r="P85" s="198">
        <f>Qty!U50*'Hist. prices'!Q50*P$42*$AB$42</f>
        <v>0</v>
      </c>
      <c r="Q85" s="198">
        <f>Qty!V50*'Hist. prices'!R50*Q$42*$AB$42</f>
        <v>0</v>
      </c>
      <c r="R85" s="198">
        <f>Qty!W50*'Hist. prices'!S50*R$42*$AB$42</f>
        <v>0</v>
      </c>
      <c r="S85" s="198">
        <f>Qty!X50*'Hist. prices'!T50*S$42*$AB$42</f>
        <v>0</v>
      </c>
      <c r="T85" s="198">
        <f>Qty!Y50*'Hist. prices'!U50*T$42*$AB$42</f>
        <v>0</v>
      </c>
      <c r="U85" s="198">
        <f>Qty!Z50*'Hist. prices'!V50*U$42*$AB$42</f>
        <v>0</v>
      </c>
      <c r="V85" s="198">
        <f>Qty!AA50*'Hist. prices'!W50*V$42*$AB$42</f>
        <v>0</v>
      </c>
      <c r="W85" s="198">
        <f>Qty!AB50*'Hist. prices'!X50*W$42*$AB$42</f>
        <v>0</v>
      </c>
      <c r="X85" s="198">
        <f>Qty!AC50*'Hist. prices'!Y50*X$42*$AB$42</f>
        <v>0</v>
      </c>
      <c r="Y85" s="198">
        <f>Qty!AD50*'Hist. prices'!Z50*Y$42*$AB$42</f>
        <v>0</v>
      </c>
      <c r="Z85" s="198">
        <f>Qty!AE50*'Hist. prices'!AA50*Z$42*$AB$42</f>
        <v>0</v>
      </c>
      <c r="AA85" s="198">
        <f>Qty!AF50*'Hist. prices'!AB50*AA$42*$AB$42</f>
        <v>0</v>
      </c>
      <c r="AB85" s="68"/>
      <c r="AC85" s="19"/>
      <c r="AD85" s="19"/>
      <c r="AE85" s="19"/>
      <c r="AF85" s="19"/>
    </row>
    <row r="86" spans="1:32" hidden="1" outlineLevel="2" x14ac:dyDescent="0.2">
      <c r="A86" s="19"/>
      <c r="B86" s="19"/>
      <c r="C86" s="506">
        <f>Tariffs!C89</f>
        <v>0</v>
      </c>
      <c r="D86" s="505">
        <f>Tariffs!D89</f>
        <v>0</v>
      </c>
      <c r="E86" s="58"/>
      <c r="F86" s="213">
        <f t="shared" si="3"/>
        <v>0</v>
      </c>
      <c r="G86" s="58"/>
      <c r="H86" s="198">
        <f>Qty!M51*'Hist. prices'!I51*H$42*$AB$42</f>
        <v>0</v>
      </c>
      <c r="I86" s="198">
        <f>Qty!N51*'Hist. prices'!J51*I$42*$AB$42</f>
        <v>0</v>
      </c>
      <c r="J86" s="198">
        <f>Qty!O51*'Hist. prices'!K51*J$42*$AB$42</f>
        <v>0</v>
      </c>
      <c r="K86" s="198">
        <f>Qty!P51*'Hist. prices'!L51*K$42*$AB$42</f>
        <v>0</v>
      </c>
      <c r="L86" s="198">
        <f>Qty!Q51*'Hist. prices'!M51*L$42*$AB$42</f>
        <v>0</v>
      </c>
      <c r="M86" s="198">
        <f>Qty!R51*'Hist. prices'!N51*M$42*$AB$42</f>
        <v>0</v>
      </c>
      <c r="N86" s="198">
        <f>Qty!S51*'Hist. prices'!O51*N$42*$AB$42</f>
        <v>0</v>
      </c>
      <c r="O86" s="198">
        <f>Qty!T51*'Hist. prices'!P51*O$42*$AB$42</f>
        <v>0</v>
      </c>
      <c r="P86" s="198">
        <f>Qty!U51*'Hist. prices'!Q51*P$42*$AB$42</f>
        <v>0</v>
      </c>
      <c r="Q86" s="198">
        <f>Qty!V51*'Hist. prices'!R51*Q$42*$AB$42</f>
        <v>0</v>
      </c>
      <c r="R86" s="198">
        <f>Qty!W51*'Hist. prices'!S51*R$42*$AB$42</f>
        <v>0</v>
      </c>
      <c r="S86" s="198">
        <f>Qty!X51*'Hist. prices'!T51*S$42*$AB$42</f>
        <v>0</v>
      </c>
      <c r="T86" s="198">
        <f>Qty!Y51*'Hist. prices'!U51*T$42*$AB$42</f>
        <v>0</v>
      </c>
      <c r="U86" s="198">
        <f>Qty!Z51*'Hist. prices'!V51*U$42*$AB$42</f>
        <v>0</v>
      </c>
      <c r="V86" s="198">
        <f>Qty!AA51*'Hist. prices'!W51*V$42*$AB$42</f>
        <v>0</v>
      </c>
      <c r="W86" s="198">
        <f>Qty!AB51*'Hist. prices'!X51*W$42*$AB$42</f>
        <v>0</v>
      </c>
      <c r="X86" s="198">
        <f>Qty!AC51*'Hist. prices'!Y51*X$42*$AB$42</f>
        <v>0</v>
      </c>
      <c r="Y86" s="198">
        <f>Qty!AD51*'Hist. prices'!Z51*Y$42*$AB$42</f>
        <v>0</v>
      </c>
      <c r="Z86" s="198">
        <f>Qty!AE51*'Hist. prices'!AA51*Z$42*$AB$42</f>
        <v>0</v>
      </c>
      <c r="AA86" s="198">
        <f>Qty!AF51*'Hist. prices'!AB51*AA$42*$AB$42</f>
        <v>0</v>
      </c>
      <c r="AB86" s="68"/>
      <c r="AC86" s="19"/>
      <c r="AD86" s="19"/>
      <c r="AE86" s="19"/>
      <c r="AF86" s="19"/>
    </row>
    <row r="87" spans="1:32" hidden="1" outlineLevel="2" x14ac:dyDescent="0.2">
      <c r="A87" s="19"/>
      <c r="B87" s="19"/>
      <c r="C87" s="506">
        <f>Tariffs!C90</f>
        <v>0</v>
      </c>
      <c r="D87" s="505">
        <f>Tariffs!D90</f>
        <v>0</v>
      </c>
      <c r="E87" s="58"/>
      <c r="F87" s="213">
        <f t="shared" si="3"/>
        <v>0</v>
      </c>
      <c r="G87" s="58"/>
      <c r="H87" s="198">
        <f>Qty!M52*'Hist. prices'!I52*H$42*$AB$42</f>
        <v>0</v>
      </c>
      <c r="I87" s="198">
        <f>Qty!N52*'Hist. prices'!J52*I$42*$AB$42</f>
        <v>0</v>
      </c>
      <c r="J87" s="198">
        <f>Qty!O52*'Hist. prices'!K52*J$42*$AB$42</f>
        <v>0</v>
      </c>
      <c r="K87" s="198">
        <f>Qty!P52*'Hist. prices'!L52*K$42*$AB$42</f>
        <v>0</v>
      </c>
      <c r="L87" s="198">
        <f>Qty!Q52*'Hist. prices'!M52*L$42*$AB$42</f>
        <v>0</v>
      </c>
      <c r="M87" s="198">
        <f>Qty!R52*'Hist. prices'!N52*M$42*$AB$42</f>
        <v>0</v>
      </c>
      <c r="N87" s="198">
        <f>Qty!S52*'Hist. prices'!O52*N$42*$AB$42</f>
        <v>0</v>
      </c>
      <c r="O87" s="198">
        <f>Qty!T52*'Hist. prices'!P52*O$42*$AB$42</f>
        <v>0</v>
      </c>
      <c r="P87" s="198">
        <f>Qty!U52*'Hist. prices'!Q52*P$42*$AB$42</f>
        <v>0</v>
      </c>
      <c r="Q87" s="198">
        <f>Qty!V52*'Hist. prices'!R52*Q$42*$AB$42</f>
        <v>0</v>
      </c>
      <c r="R87" s="198">
        <f>Qty!W52*'Hist. prices'!S52*R$42*$AB$42</f>
        <v>0</v>
      </c>
      <c r="S87" s="198">
        <f>Qty!X52*'Hist. prices'!T52*S$42*$AB$42</f>
        <v>0</v>
      </c>
      <c r="T87" s="198">
        <f>Qty!Y52*'Hist. prices'!U52*T$42*$AB$42</f>
        <v>0</v>
      </c>
      <c r="U87" s="198">
        <f>Qty!Z52*'Hist. prices'!V52*U$42*$AB$42</f>
        <v>0</v>
      </c>
      <c r="V87" s="198">
        <f>Qty!AA52*'Hist. prices'!W52*V$42*$AB$42</f>
        <v>0</v>
      </c>
      <c r="W87" s="198">
        <f>Qty!AB52*'Hist. prices'!X52*W$42*$AB$42</f>
        <v>0</v>
      </c>
      <c r="X87" s="198">
        <f>Qty!AC52*'Hist. prices'!Y52*X$42*$AB$42</f>
        <v>0</v>
      </c>
      <c r="Y87" s="198">
        <f>Qty!AD52*'Hist. prices'!Z52*Y$42*$AB$42</f>
        <v>0</v>
      </c>
      <c r="Z87" s="198">
        <f>Qty!AE52*'Hist. prices'!AA52*Z$42*$AB$42</f>
        <v>0</v>
      </c>
      <c r="AA87" s="198">
        <f>Qty!AF52*'Hist. prices'!AB52*AA$42*$AB$42</f>
        <v>0</v>
      </c>
      <c r="AB87" s="68"/>
      <c r="AC87" s="19"/>
      <c r="AD87" s="19"/>
      <c r="AE87" s="19"/>
      <c r="AF87" s="19"/>
    </row>
    <row r="88" spans="1:32" hidden="1" outlineLevel="2" x14ac:dyDescent="0.2">
      <c r="A88" s="19"/>
      <c r="B88" s="19"/>
      <c r="C88" s="506">
        <f>Tariffs!C91</f>
        <v>0</v>
      </c>
      <c r="D88" s="505">
        <f>Tariffs!D91</f>
        <v>0</v>
      </c>
      <c r="E88" s="58"/>
      <c r="F88" s="213">
        <f t="shared" si="3"/>
        <v>0</v>
      </c>
      <c r="G88" s="58"/>
      <c r="H88" s="198">
        <f>Qty!M53*'Hist. prices'!I53*H$42*$AB$42</f>
        <v>0</v>
      </c>
      <c r="I88" s="198">
        <f>Qty!N53*'Hist. prices'!J53*I$42*$AB$42</f>
        <v>0</v>
      </c>
      <c r="J88" s="198">
        <f>Qty!O53*'Hist. prices'!K53*J$42*$AB$42</f>
        <v>0</v>
      </c>
      <c r="K88" s="198">
        <f>Qty!P53*'Hist. prices'!L53*K$42*$AB$42</f>
        <v>0</v>
      </c>
      <c r="L88" s="198">
        <f>Qty!Q53*'Hist. prices'!M53*L$42*$AB$42</f>
        <v>0</v>
      </c>
      <c r="M88" s="198">
        <f>Qty!R53*'Hist. prices'!N53*M$42*$AB$42</f>
        <v>0</v>
      </c>
      <c r="N88" s="198">
        <f>Qty!S53*'Hist. prices'!O53*N$42*$AB$42</f>
        <v>0</v>
      </c>
      <c r="O88" s="198">
        <f>Qty!T53*'Hist. prices'!P53*O$42*$AB$42</f>
        <v>0</v>
      </c>
      <c r="P88" s="198">
        <f>Qty!U53*'Hist. prices'!Q53*P$42*$AB$42</f>
        <v>0</v>
      </c>
      <c r="Q88" s="198">
        <f>Qty!V53*'Hist. prices'!R53*Q$42*$AB$42</f>
        <v>0</v>
      </c>
      <c r="R88" s="198">
        <f>Qty!W53*'Hist. prices'!S53*R$42*$AB$42</f>
        <v>0</v>
      </c>
      <c r="S88" s="198">
        <f>Qty!X53*'Hist. prices'!T53*S$42*$AB$42</f>
        <v>0</v>
      </c>
      <c r="T88" s="198">
        <f>Qty!Y53*'Hist. prices'!U53*T$42*$AB$42</f>
        <v>0</v>
      </c>
      <c r="U88" s="198">
        <f>Qty!Z53*'Hist. prices'!V53*U$42*$AB$42</f>
        <v>0</v>
      </c>
      <c r="V88" s="198">
        <f>Qty!AA53*'Hist. prices'!W53*V$42*$AB$42</f>
        <v>0</v>
      </c>
      <c r="W88" s="198">
        <f>Qty!AB53*'Hist. prices'!X53*W$42*$AB$42</f>
        <v>0</v>
      </c>
      <c r="X88" s="198">
        <f>Qty!AC53*'Hist. prices'!Y53*X$42*$AB$42</f>
        <v>0</v>
      </c>
      <c r="Y88" s="198">
        <f>Qty!AD53*'Hist. prices'!Z53*Y$42*$AB$42</f>
        <v>0</v>
      </c>
      <c r="Z88" s="198">
        <f>Qty!AE53*'Hist. prices'!AA53*Z$42*$AB$42</f>
        <v>0</v>
      </c>
      <c r="AA88" s="198">
        <f>Qty!AF53*'Hist. prices'!AB53*AA$42*$AB$42</f>
        <v>0</v>
      </c>
      <c r="AB88" s="68"/>
      <c r="AC88" s="19"/>
      <c r="AD88" s="19"/>
      <c r="AE88" s="19"/>
      <c r="AF88" s="19"/>
    </row>
    <row r="89" spans="1:32" hidden="1" outlineLevel="2" x14ac:dyDescent="0.2">
      <c r="A89" s="19"/>
      <c r="B89" s="19"/>
      <c r="C89" s="506">
        <f>Tariffs!C92</f>
        <v>0</v>
      </c>
      <c r="D89" s="505">
        <f>Tariffs!D92</f>
        <v>0</v>
      </c>
      <c r="E89" s="58"/>
      <c r="F89" s="213">
        <f t="shared" si="3"/>
        <v>0</v>
      </c>
      <c r="G89" s="58"/>
      <c r="H89" s="198">
        <f>Qty!M54*'Hist. prices'!I54*H$42*$AB$42</f>
        <v>0</v>
      </c>
      <c r="I89" s="198">
        <f>Qty!N54*'Hist. prices'!J54*I$42*$AB$42</f>
        <v>0</v>
      </c>
      <c r="J89" s="198">
        <f>Qty!O54*'Hist. prices'!K54*J$42*$AB$42</f>
        <v>0</v>
      </c>
      <c r="K89" s="198">
        <f>Qty!P54*'Hist. prices'!L54*K$42*$AB$42</f>
        <v>0</v>
      </c>
      <c r="L89" s="198">
        <f>Qty!Q54*'Hist. prices'!M54*L$42*$AB$42</f>
        <v>0</v>
      </c>
      <c r="M89" s="198">
        <f>Qty!R54*'Hist. prices'!N54*M$42*$AB$42</f>
        <v>0</v>
      </c>
      <c r="N89" s="198">
        <f>Qty!S54*'Hist. prices'!O54*N$42*$AB$42</f>
        <v>0</v>
      </c>
      <c r="O89" s="198">
        <f>Qty!T54*'Hist. prices'!P54*O$42*$AB$42</f>
        <v>0</v>
      </c>
      <c r="P89" s="198">
        <f>Qty!U54*'Hist. prices'!Q54*P$42*$AB$42</f>
        <v>0</v>
      </c>
      <c r="Q89" s="198">
        <f>Qty!V54*'Hist. prices'!R54*Q$42*$AB$42</f>
        <v>0</v>
      </c>
      <c r="R89" s="198">
        <f>Qty!W54*'Hist. prices'!S54*R$42*$AB$42</f>
        <v>0</v>
      </c>
      <c r="S89" s="198">
        <f>Qty!X54*'Hist. prices'!T54*S$42*$AB$42</f>
        <v>0</v>
      </c>
      <c r="T89" s="198">
        <f>Qty!Y54*'Hist. prices'!U54*T$42*$AB$42</f>
        <v>0</v>
      </c>
      <c r="U89" s="198">
        <f>Qty!Z54*'Hist. prices'!V54*U$42*$AB$42</f>
        <v>0</v>
      </c>
      <c r="V89" s="198">
        <f>Qty!AA54*'Hist. prices'!W54*V$42*$AB$42</f>
        <v>0</v>
      </c>
      <c r="W89" s="198">
        <f>Qty!AB54*'Hist. prices'!X54*W$42*$AB$42</f>
        <v>0</v>
      </c>
      <c r="X89" s="198">
        <f>Qty!AC54*'Hist. prices'!Y54*X$42*$AB$42</f>
        <v>0</v>
      </c>
      <c r="Y89" s="198">
        <f>Qty!AD54*'Hist. prices'!Z54*Y$42*$AB$42</f>
        <v>0</v>
      </c>
      <c r="Z89" s="198">
        <f>Qty!AE54*'Hist. prices'!AA54*Z$42*$AB$42</f>
        <v>0</v>
      </c>
      <c r="AA89" s="198">
        <f>Qty!AF54*'Hist. prices'!AB54*AA$42*$AB$42</f>
        <v>0</v>
      </c>
      <c r="AB89" s="68"/>
      <c r="AC89" s="19"/>
      <c r="AD89" s="19"/>
      <c r="AE89" s="19"/>
      <c r="AF89" s="19"/>
    </row>
    <row r="90" spans="1:32" hidden="1" outlineLevel="2" x14ac:dyDescent="0.2">
      <c r="A90" s="19"/>
      <c r="B90" s="19"/>
      <c r="C90" s="506">
        <f>Tariffs!C93</f>
        <v>0</v>
      </c>
      <c r="D90" s="505">
        <f>Tariffs!D93</f>
        <v>0</v>
      </c>
      <c r="E90" s="58"/>
      <c r="F90" s="213">
        <f t="shared" si="3"/>
        <v>0</v>
      </c>
      <c r="G90" s="58"/>
      <c r="H90" s="198">
        <f>Qty!M55*'Hist. prices'!I55*H$42*$AB$42</f>
        <v>0</v>
      </c>
      <c r="I90" s="198">
        <f>Qty!N55*'Hist. prices'!J55*I$42*$AB$42</f>
        <v>0</v>
      </c>
      <c r="J90" s="198">
        <f>Qty!O55*'Hist. prices'!K55*J$42*$AB$42</f>
        <v>0</v>
      </c>
      <c r="K90" s="198">
        <f>Qty!P55*'Hist. prices'!L55*K$42*$AB$42</f>
        <v>0</v>
      </c>
      <c r="L90" s="198">
        <f>Qty!Q55*'Hist. prices'!M55*L$42*$AB$42</f>
        <v>0</v>
      </c>
      <c r="M90" s="198">
        <f>Qty!R55*'Hist. prices'!N55*M$42*$AB$42</f>
        <v>0</v>
      </c>
      <c r="N90" s="198">
        <f>Qty!S55*'Hist. prices'!O55*N$42*$AB$42</f>
        <v>0</v>
      </c>
      <c r="O90" s="198">
        <f>Qty!T55*'Hist. prices'!P55*O$42*$AB$42</f>
        <v>0</v>
      </c>
      <c r="P90" s="198">
        <f>Qty!U55*'Hist. prices'!Q55*P$42*$AB$42</f>
        <v>0</v>
      </c>
      <c r="Q90" s="198">
        <f>Qty!V55*'Hist. prices'!R55*Q$42*$AB$42</f>
        <v>0</v>
      </c>
      <c r="R90" s="198">
        <f>Qty!W55*'Hist. prices'!S55*R$42*$AB$42</f>
        <v>0</v>
      </c>
      <c r="S90" s="198">
        <f>Qty!X55*'Hist. prices'!T55*S$42*$AB$42</f>
        <v>0</v>
      </c>
      <c r="T90" s="198">
        <f>Qty!Y55*'Hist. prices'!U55*T$42*$AB$42</f>
        <v>0</v>
      </c>
      <c r="U90" s="198">
        <f>Qty!Z55*'Hist. prices'!V55*U$42*$AB$42</f>
        <v>0</v>
      </c>
      <c r="V90" s="198">
        <f>Qty!AA55*'Hist. prices'!W55*V$42*$AB$42</f>
        <v>0</v>
      </c>
      <c r="W90" s="198">
        <f>Qty!AB55*'Hist. prices'!X55*W$42*$AB$42</f>
        <v>0</v>
      </c>
      <c r="X90" s="198">
        <f>Qty!AC55*'Hist. prices'!Y55*X$42*$AB$42</f>
        <v>0</v>
      </c>
      <c r="Y90" s="198">
        <f>Qty!AD55*'Hist. prices'!Z55*Y$42*$AB$42</f>
        <v>0</v>
      </c>
      <c r="Z90" s="198">
        <f>Qty!AE55*'Hist. prices'!AA55*Z$42*$AB$42</f>
        <v>0</v>
      </c>
      <c r="AA90" s="198">
        <f>Qty!AF55*'Hist. prices'!AB55*AA$42*$AB$42</f>
        <v>0</v>
      </c>
      <c r="AB90" s="68"/>
      <c r="AC90" s="19"/>
      <c r="AD90" s="19"/>
      <c r="AE90" s="19"/>
      <c r="AF90" s="19"/>
    </row>
    <row r="91" spans="1:32" hidden="1" outlineLevel="2" x14ac:dyDescent="0.2">
      <c r="A91" s="19"/>
      <c r="B91" s="19"/>
      <c r="C91" s="506">
        <f>Tariffs!C94</f>
        <v>0</v>
      </c>
      <c r="D91" s="505">
        <f>Tariffs!D94</f>
        <v>0</v>
      </c>
      <c r="E91" s="58"/>
      <c r="F91" s="213">
        <f t="shared" si="3"/>
        <v>0</v>
      </c>
      <c r="G91" s="58"/>
      <c r="H91" s="198">
        <f>Qty!M56*'Hist. prices'!I56*H$42*$AB$42</f>
        <v>0</v>
      </c>
      <c r="I91" s="198">
        <f>Qty!N56*'Hist. prices'!J56*I$42*$AB$42</f>
        <v>0</v>
      </c>
      <c r="J91" s="198">
        <f>Qty!O56*'Hist. prices'!K56*J$42*$AB$42</f>
        <v>0</v>
      </c>
      <c r="K91" s="198">
        <f>Qty!P56*'Hist. prices'!L56*K$42*$AB$42</f>
        <v>0</v>
      </c>
      <c r="L91" s="198">
        <f>Qty!Q56*'Hist. prices'!M56*L$42*$AB$42</f>
        <v>0</v>
      </c>
      <c r="M91" s="198">
        <f>Qty!R56*'Hist. prices'!N56*M$42*$AB$42</f>
        <v>0</v>
      </c>
      <c r="N91" s="198">
        <f>Qty!S56*'Hist. prices'!O56*N$42*$AB$42</f>
        <v>0</v>
      </c>
      <c r="O91" s="198">
        <f>Qty!T56*'Hist. prices'!P56*O$42*$AB$42</f>
        <v>0</v>
      </c>
      <c r="P91" s="198">
        <f>Qty!U56*'Hist. prices'!Q56*P$42*$AB$42</f>
        <v>0</v>
      </c>
      <c r="Q91" s="198">
        <f>Qty!V56*'Hist. prices'!R56*Q$42*$AB$42</f>
        <v>0</v>
      </c>
      <c r="R91" s="198">
        <f>Qty!W56*'Hist. prices'!S56*R$42*$AB$42</f>
        <v>0</v>
      </c>
      <c r="S91" s="198">
        <f>Qty!X56*'Hist. prices'!T56*S$42*$AB$42</f>
        <v>0</v>
      </c>
      <c r="T91" s="198">
        <f>Qty!Y56*'Hist. prices'!U56*T$42*$AB$42</f>
        <v>0</v>
      </c>
      <c r="U91" s="198">
        <f>Qty!Z56*'Hist. prices'!V56*U$42*$AB$42</f>
        <v>0</v>
      </c>
      <c r="V91" s="198">
        <f>Qty!AA56*'Hist. prices'!W56*V$42*$AB$42</f>
        <v>0</v>
      </c>
      <c r="W91" s="198">
        <f>Qty!AB56*'Hist. prices'!X56*W$42*$AB$42</f>
        <v>0</v>
      </c>
      <c r="X91" s="198">
        <f>Qty!AC56*'Hist. prices'!Y56*X$42*$AB$42</f>
        <v>0</v>
      </c>
      <c r="Y91" s="198">
        <f>Qty!AD56*'Hist. prices'!Z56*Y$42*$AB$42</f>
        <v>0</v>
      </c>
      <c r="Z91" s="198">
        <f>Qty!AE56*'Hist. prices'!AA56*Z$42*$AB$42</f>
        <v>0</v>
      </c>
      <c r="AA91" s="198">
        <f>Qty!AF56*'Hist. prices'!AB56*AA$42*$AB$42</f>
        <v>0</v>
      </c>
      <c r="AB91" s="68"/>
      <c r="AC91" s="19"/>
      <c r="AD91" s="19"/>
      <c r="AE91" s="19"/>
      <c r="AF91" s="19"/>
    </row>
    <row r="92" spans="1:32" hidden="1" outlineLevel="2" x14ac:dyDescent="0.2">
      <c r="A92" s="19"/>
      <c r="B92" s="19"/>
      <c r="C92" s="506">
        <f>Tariffs!C95</f>
        <v>0</v>
      </c>
      <c r="D92" s="505">
        <f>Tariffs!D95</f>
        <v>0</v>
      </c>
      <c r="E92" s="58"/>
      <c r="F92" s="213">
        <f t="shared" si="3"/>
        <v>0</v>
      </c>
      <c r="G92" s="58"/>
      <c r="H92" s="198">
        <f>Qty!M57*'Hist. prices'!I57*H$42*$AB$42</f>
        <v>0</v>
      </c>
      <c r="I92" s="198">
        <f>Qty!N57*'Hist. prices'!J57*I$42*$AB$42</f>
        <v>0</v>
      </c>
      <c r="J92" s="198">
        <f>Qty!O57*'Hist. prices'!K57*J$42*$AB$42</f>
        <v>0</v>
      </c>
      <c r="K92" s="198">
        <f>Qty!P57*'Hist. prices'!L57*K$42*$AB$42</f>
        <v>0</v>
      </c>
      <c r="L92" s="198">
        <f>Qty!Q57*'Hist. prices'!M57*L$42*$AB$42</f>
        <v>0</v>
      </c>
      <c r="M92" s="198">
        <f>Qty!R57*'Hist. prices'!N57*M$42*$AB$42</f>
        <v>0</v>
      </c>
      <c r="N92" s="198">
        <f>Qty!S57*'Hist. prices'!O57*N$42*$AB$42</f>
        <v>0</v>
      </c>
      <c r="O92" s="198">
        <f>Qty!T57*'Hist. prices'!P57*O$42*$AB$42</f>
        <v>0</v>
      </c>
      <c r="P92" s="198">
        <f>Qty!U57*'Hist. prices'!Q57*P$42*$AB$42</f>
        <v>0</v>
      </c>
      <c r="Q92" s="198">
        <f>Qty!V57*'Hist. prices'!R57*Q$42*$AB$42</f>
        <v>0</v>
      </c>
      <c r="R92" s="198">
        <f>Qty!W57*'Hist. prices'!S57*R$42*$AB$42</f>
        <v>0</v>
      </c>
      <c r="S92" s="198">
        <f>Qty!X57*'Hist. prices'!T57*S$42*$AB$42</f>
        <v>0</v>
      </c>
      <c r="T92" s="198">
        <f>Qty!Y57*'Hist. prices'!U57*T$42*$AB$42</f>
        <v>0</v>
      </c>
      <c r="U92" s="198">
        <f>Qty!Z57*'Hist. prices'!V57*U$42*$AB$42</f>
        <v>0</v>
      </c>
      <c r="V92" s="198">
        <f>Qty!AA57*'Hist. prices'!W57*V$42*$AB$42</f>
        <v>0</v>
      </c>
      <c r="W92" s="198">
        <f>Qty!AB57*'Hist. prices'!X57*W$42*$AB$42</f>
        <v>0</v>
      </c>
      <c r="X92" s="198">
        <f>Qty!AC57*'Hist. prices'!Y57*X$42*$AB$42</f>
        <v>0</v>
      </c>
      <c r="Y92" s="198">
        <f>Qty!AD57*'Hist. prices'!Z57*Y$42*$AB$42</f>
        <v>0</v>
      </c>
      <c r="Z92" s="198">
        <f>Qty!AE57*'Hist. prices'!AA57*Z$42*$AB$42</f>
        <v>0</v>
      </c>
      <c r="AA92" s="198">
        <f>Qty!AF57*'Hist. prices'!AB57*AA$42*$AB$42</f>
        <v>0</v>
      </c>
      <c r="AB92" s="68"/>
      <c r="AC92" s="19"/>
      <c r="AD92" s="19"/>
      <c r="AE92" s="19"/>
      <c r="AF92" s="19"/>
    </row>
    <row r="93" spans="1:32" hidden="1" outlineLevel="2" x14ac:dyDescent="0.2">
      <c r="A93" s="19"/>
      <c r="B93" s="19"/>
      <c r="C93" s="506">
        <f>Tariffs!C96</f>
        <v>0</v>
      </c>
      <c r="D93" s="505">
        <f>Tariffs!D96</f>
        <v>0</v>
      </c>
      <c r="E93" s="58"/>
      <c r="F93" s="213">
        <f t="shared" si="3"/>
        <v>0</v>
      </c>
      <c r="G93" s="58"/>
      <c r="H93" s="198">
        <f>Qty!M58*'Hist. prices'!I58*H$42*$AB$42</f>
        <v>0</v>
      </c>
      <c r="I93" s="198">
        <f>Qty!N58*'Hist. prices'!J58*I$42*$AB$42</f>
        <v>0</v>
      </c>
      <c r="J93" s="198">
        <f>Qty!O58*'Hist. prices'!K58*J$42*$AB$42</f>
        <v>0</v>
      </c>
      <c r="K93" s="198">
        <f>Qty!P58*'Hist. prices'!L58*K$42*$AB$42</f>
        <v>0</v>
      </c>
      <c r="L93" s="198">
        <f>Qty!Q58*'Hist. prices'!M58*L$42*$AB$42</f>
        <v>0</v>
      </c>
      <c r="M93" s="198">
        <f>Qty!R58*'Hist. prices'!N58*M$42*$AB$42</f>
        <v>0</v>
      </c>
      <c r="N93" s="198">
        <f>Qty!S58*'Hist. prices'!O58*N$42*$AB$42</f>
        <v>0</v>
      </c>
      <c r="O93" s="198">
        <f>Qty!T58*'Hist. prices'!P58*O$42*$AB$42</f>
        <v>0</v>
      </c>
      <c r="P93" s="198">
        <f>Qty!U58*'Hist. prices'!Q58*P$42*$AB$42</f>
        <v>0</v>
      </c>
      <c r="Q93" s="198">
        <f>Qty!V58*'Hist. prices'!R58*Q$42*$AB$42</f>
        <v>0</v>
      </c>
      <c r="R93" s="198">
        <f>Qty!W58*'Hist. prices'!S58*R$42*$AB$42</f>
        <v>0</v>
      </c>
      <c r="S93" s="198">
        <f>Qty!X58*'Hist. prices'!T58*S$42*$AB$42</f>
        <v>0</v>
      </c>
      <c r="T93" s="198">
        <f>Qty!Y58*'Hist. prices'!U58*T$42*$AB$42</f>
        <v>0</v>
      </c>
      <c r="U93" s="198">
        <f>Qty!Z58*'Hist. prices'!V58*U$42*$AB$42</f>
        <v>0</v>
      </c>
      <c r="V93" s="198">
        <f>Qty!AA58*'Hist. prices'!W58*V$42*$AB$42</f>
        <v>0</v>
      </c>
      <c r="W93" s="198">
        <f>Qty!AB58*'Hist. prices'!X58*W$42*$AB$42</f>
        <v>0</v>
      </c>
      <c r="X93" s="198">
        <f>Qty!AC58*'Hist. prices'!Y58*X$42*$AB$42</f>
        <v>0</v>
      </c>
      <c r="Y93" s="198">
        <f>Qty!AD58*'Hist. prices'!Z58*Y$42*$AB$42</f>
        <v>0</v>
      </c>
      <c r="Z93" s="198">
        <f>Qty!AE58*'Hist. prices'!AA58*Z$42*$AB$42</f>
        <v>0</v>
      </c>
      <c r="AA93" s="198">
        <f>Qty!AF58*'Hist. prices'!AB58*AA$42*$AB$42</f>
        <v>0</v>
      </c>
      <c r="AB93" s="68"/>
      <c r="AC93" s="19"/>
      <c r="AD93" s="19"/>
      <c r="AE93" s="19"/>
      <c r="AF93" s="19"/>
    </row>
    <row r="94" spans="1:32" hidden="1" outlineLevel="2" x14ac:dyDescent="0.2">
      <c r="A94" s="19"/>
      <c r="B94" s="19"/>
      <c r="C94" s="506">
        <f>Tariffs!C97</f>
        <v>0</v>
      </c>
      <c r="D94" s="505">
        <f>Tariffs!D97</f>
        <v>0</v>
      </c>
      <c r="E94" s="58"/>
      <c r="F94" s="213">
        <f t="shared" si="3"/>
        <v>0</v>
      </c>
      <c r="G94" s="58"/>
      <c r="H94" s="198">
        <f>Qty!M59*'Hist. prices'!I59*H$42*$AB$42</f>
        <v>0</v>
      </c>
      <c r="I94" s="198">
        <f>Qty!N59*'Hist. prices'!J59*I$42*$AB$42</f>
        <v>0</v>
      </c>
      <c r="J94" s="198">
        <f>Qty!O59*'Hist. prices'!K59*J$42*$AB$42</f>
        <v>0</v>
      </c>
      <c r="K94" s="198">
        <f>Qty!P59*'Hist. prices'!L59*K$42*$AB$42</f>
        <v>0</v>
      </c>
      <c r="L94" s="198">
        <f>Qty!Q59*'Hist. prices'!M59*L$42*$AB$42</f>
        <v>0</v>
      </c>
      <c r="M94" s="198">
        <f>Qty!R59*'Hist. prices'!N59*M$42*$AB$42</f>
        <v>0</v>
      </c>
      <c r="N94" s="198">
        <f>Qty!S59*'Hist. prices'!O59*N$42*$AB$42</f>
        <v>0</v>
      </c>
      <c r="O94" s="198">
        <f>Qty!T59*'Hist. prices'!P59*O$42*$AB$42</f>
        <v>0</v>
      </c>
      <c r="P94" s="198">
        <f>Qty!U59*'Hist. prices'!Q59*P$42*$AB$42</f>
        <v>0</v>
      </c>
      <c r="Q94" s="198">
        <f>Qty!V59*'Hist. prices'!R59*Q$42*$AB$42</f>
        <v>0</v>
      </c>
      <c r="R94" s="198">
        <f>Qty!W59*'Hist. prices'!S59*R$42*$AB$42</f>
        <v>0</v>
      </c>
      <c r="S94" s="198">
        <f>Qty!X59*'Hist. prices'!T59*S$42*$AB$42</f>
        <v>0</v>
      </c>
      <c r="T94" s="198">
        <f>Qty!Y59*'Hist. prices'!U59*T$42*$AB$42</f>
        <v>0</v>
      </c>
      <c r="U94" s="198">
        <f>Qty!Z59*'Hist. prices'!V59*U$42*$AB$42</f>
        <v>0</v>
      </c>
      <c r="V94" s="198">
        <f>Qty!AA59*'Hist. prices'!W59*V$42*$AB$42</f>
        <v>0</v>
      </c>
      <c r="W94" s="198">
        <f>Qty!AB59*'Hist. prices'!X59*W$42*$AB$42</f>
        <v>0</v>
      </c>
      <c r="X94" s="198">
        <f>Qty!AC59*'Hist. prices'!Y59*X$42*$AB$42</f>
        <v>0</v>
      </c>
      <c r="Y94" s="198">
        <f>Qty!AD59*'Hist. prices'!Z59*Y$42*$AB$42</f>
        <v>0</v>
      </c>
      <c r="Z94" s="198">
        <f>Qty!AE59*'Hist. prices'!AA59*Z$42*$AB$42</f>
        <v>0</v>
      </c>
      <c r="AA94" s="198">
        <f>Qty!AF59*'Hist. prices'!AB59*AA$42*$AB$42</f>
        <v>0</v>
      </c>
      <c r="AB94" s="68"/>
      <c r="AC94" s="19"/>
      <c r="AD94" s="19"/>
      <c r="AE94" s="19"/>
      <c r="AF94" s="19"/>
    </row>
    <row r="95" spans="1:32" hidden="1" outlineLevel="2" x14ac:dyDescent="0.2">
      <c r="A95" s="19"/>
      <c r="B95" s="19"/>
      <c r="C95" s="506">
        <f>Tariffs!C98</f>
        <v>0</v>
      </c>
      <c r="D95" s="505">
        <f>Tariffs!D98</f>
        <v>0</v>
      </c>
      <c r="E95" s="58"/>
      <c r="F95" s="213">
        <f t="shared" si="3"/>
        <v>0</v>
      </c>
      <c r="G95" s="58"/>
      <c r="H95" s="198">
        <f>Qty!M60*'Hist. prices'!I60*H$42*$AB$42</f>
        <v>0</v>
      </c>
      <c r="I95" s="198">
        <f>Qty!N60*'Hist. prices'!J60*I$42*$AB$42</f>
        <v>0</v>
      </c>
      <c r="J95" s="198">
        <f>Qty!O60*'Hist. prices'!K60*J$42*$AB$42</f>
        <v>0</v>
      </c>
      <c r="K95" s="198">
        <f>Qty!P60*'Hist. prices'!L60*K$42*$AB$42</f>
        <v>0</v>
      </c>
      <c r="L95" s="198">
        <f>Qty!Q60*'Hist. prices'!M60*L$42*$AB$42</f>
        <v>0</v>
      </c>
      <c r="M95" s="198">
        <f>Qty!R60*'Hist. prices'!N60*M$42*$AB$42</f>
        <v>0</v>
      </c>
      <c r="N95" s="198">
        <f>Qty!S60*'Hist. prices'!O60*N$42*$AB$42</f>
        <v>0</v>
      </c>
      <c r="O95" s="198">
        <f>Qty!T60*'Hist. prices'!P60*O$42*$AB$42</f>
        <v>0</v>
      </c>
      <c r="P95" s="198">
        <f>Qty!U60*'Hist. prices'!Q60*P$42*$AB$42</f>
        <v>0</v>
      </c>
      <c r="Q95" s="198">
        <f>Qty!V60*'Hist. prices'!R60*Q$42*$AB$42</f>
        <v>0</v>
      </c>
      <c r="R95" s="198">
        <f>Qty!W60*'Hist. prices'!S60*R$42*$AB$42</f>
        <v>0</v>
      </c>
      <c r="S95" s="198">
        <f>Qty!X60*'Hist. prices'!T60*S$42*$AB$42</f>
        <v>0</v>
      </c>
      <c r="T95" s="198">
        <f>Qty!Y60*'Hist. prices'!U60*T$42*$AB$42</f>
        <v>0</v>
      </c>
      <c r="U95" s="198">
        <f>Qty!Z60*'Hist. prices'!V60*U$42*$AB$42</f>
        <v>0</v>
      </c>
      <c r="V95" s="198">
        <f>Qty!AA60*'Hist. prices'!W60*V$42*$AB$42</f>
        <v>0</v>
      </c>
      <c r="W95" s="198">
        <f>Qty!AB60*'Hist. prices'!X60*W$42*$AB$42</f>
        <v>0</v>
      </c>
      <c r="X95" s="198">
        <f>Qty!AC60*'Hist. prices'!Y60*X$42*$AB$42</f>
        <v>0</v>
      </c>
      <c r="Y95" s="198">
        <f>Qty!AD60*'Hist. prices'!Z60*Y$42*$AB$42</f>
        <v>0</v>
      </c>
      <c r="Z95" s="198">
        <f>Qty!AE60*'Hist. prices'!AA60*Z$42*$AB$42</f>
        <v>0</v>
      </c>
      <c r="AA95" s="198">
        <f>Qty!AF60*'Hist. prices'!AB60*AA$42*$AB$42</f>
        <v>0</v>
      </c>
      <c r="AB95" s="68"/>
      <c r="AC95" s="19"/>
      <c r="AD95" s="19"/>
      <c r="AE95" s="19"/>
      <c r="AF95" s="19"/>
    </row>
    <row r="96" spans="1:32" hidden="1" outlineLevel="2" x14ac:dyDescent="0.2">
      <c r="A96" s="19"/>
      <c r="B96" s="19"/>
      <c r="C96" s="506">
        <f>Tariffs!C99</f>
        <v>0</v>
      </c>
      <c r="D96" s="505">
        <f>Tariffs!D99</f>
        <v>0</v>
      </c>
      <c r="E96" s="58"/>
      <c r="F96" s="213">
        <f t="shared" si="3"/>
        <v>0</v>
      </c>
      <c r="G96" s="58"/>
      <c r="H96" s="198">
        <f>Qty!M61*'Hist. prices'!I61*H$42*$AB$42</f>
        <v>0</v>
      </c>
      <c r="I96" s="198">
        <f>Qty!N61*'Hist. prices'!J61*I$42*$AB$42</f>
        <v>0</v>
      </c>
      <c r="J96" s="198">
        <f>Qty!O61*'Hist. prices'!K61*J$42*$AB$42</f>
        <v>0</v>
      </c>
      <c r="K96" s="198">
        <f>Qty!P61*'Hist. prices'!L61*K$42*$AB$42</f>
        <v>0</v>
      </c>
      <c r="L96" s="198">
        <f>Qty!Q61*'Hist. prices'!M61*L$42*$AB$42</f>
        <v>0</v>
      </c>
      <c r="M96" s="198">
        <f>Qty!R61*'Hist. prices'!N61*M$42*$AB$42</f>
        <v>0</v>
      </c>
      <c r="N96" s="198">
        <f>Qty!S61*'Hist. prices'!O61*N$42*$AB$42</f>
        <v>0</v>
      </c>
      <c r="O96" s="198">
        <f>Qty!T61*'Hist. prices'!P61*O$42*$AB$42</f>
        <v>0</v>
      </c>
      <c r="P96" s="198">
        <f>Qty!U61*'Hist. prices'!Q61*P$42*$AB$42</f>
        <v>0</v>
      </c>
      <c r="Q96" s="198">
        <f>Qty!V61*'Hist. prices'!R61*Q$42*$AB$42</f>
        <v>0</v>
      </c>
      <c r="R96" s="198">
        <f>Qty!W61*'Hist. prices'!S61*R$42*$AB$42</f>
        <v>0</v>
      </c>
      <c r="S96" s="198">
        <f>Qty!X61*'Hist. prices'!T61*S$42*$AB$42</f>
        <v>0</v>
      </c>
      <c r="T96" s="198">
        <f>Qty!Y61*'Hist. prices'!U61*T$42*$AB$42</f>
        <v>0</v>
      </c>
      <c r="U96" s="198">
        <f>Qty!Z61*'Hist. prices'!V61*U$42*$AB$42</f>
        <v>0</v>
      </c>
      <c r="V96" s="198">
        <f>Qty!AA61*'Hist. prices'!W61*V$42*$AB$42</f>
        <v>0</v>
      </c>
      <c r="W96" s="198">
        <f>Qty!AB61*'Hist. prices'!X61*W$42*$AB$42</f>
        <v>0</v>
      </c>
      <c r="X96" s="198">
        <f>Qty!AC61*'Hist. prices'!Y61*X$42*$AB$42</f>
        <v>0</v>
      </c>
      <c r="Y96" s="198">
        <f>Qty!AD61*'Hist. prices'!Z61*Y$42*$AB$42</f>
        <v>0</v>
      </c>
      <c r="Z96" s="198">
        <f>Qty!AE61*'Hist. prices'!AA61*Z$42*$AB$42</f>
        <v>0</v>
      </c>
      <c r="AA96" s="198">
        <f>Qty!AF61*'Hist. prices'!AB61*AA$42*$AB$42</f>
        <v>0</v>
      </c>
      <c r="AB96" s="68"/>
      <c r="AC96" s="19"/>
      <c r="AD96" s="19"/>
      <c r="AE96" s="19"/>
      <c r="AF96" s="19"/>
    </row>
    <row r="97" spans="1:32" hidden="1" outlineLevel="2" x14ac:dyDescent="0.2">
      <c r="A97" s="19"/>
      <c r="B97" s="19"/>
      <c r="C97" s="506">
        <f>Tariffs!C100</f>
        <v>0</v>
      </c>
      <c r="D97" s="505">
        <f>Tariffs!D100</f>
        <v>0</v>
      </c>
      <c r="E97" s="58"/>
      <c r="F97" s="213">
        <f t="shared" si="3"/>
        <v>0</v>
      </c>
      <c r="G97" s="58"/>
      <c r="H97" s="198">
        <f>Qty!M62*'Hist. prices'!I62*H$42*$AB$42</f>
        <v>0</v>
      </c>
      <c r="I97" s="198">
        <f>Qty!N62*'Hist. prices'!J62*I$42*$AB$42</f>
        <v>0</v>
      </c>
      <c r="J97" s="198">
        <f>Qty!O62*'Hist. prices'!K62*J$42*$AB$42</f>
        <v>0</v>
      </c>
      <c r="K97" s="198">
        <f>Qty!P62*'Hist. prices'!L62*K$42*$AB$42</f>
        <v>0</v>
      </c>
      <c r="L97" s="198">
        <f>Qty!Q62*'Hist. prices'!M62*L$42*$AB$42</f>
        <v>0</v>
      </c>
      <c r="M97" s="198">
        <f>Qty!R62*'Hist. prices'!N62*M$42*$AB$42</f>
        <v>0</v>
      </c>
      <c r="N97" s="198">
        <f>Qty!S62*'Hist. prices'!O62*N$42*$AB$42</f>
        <v>0</v>
      </c>
      <c r="O97" s="198">
        <f>Qty!T62*'Hist. prices'!P62*O$42*$AB$42</f>
        <v>0</v>
      </c>
      <c r="P97" s="198">
        <f>Qty!U62*'Hist. prices'!Q62*P$42*$AB$42</f>
        <v>0</v>
      </c>
      <c r="Q97" s="198">
        <f>Qty!V62*'Hist. prices'!R62*Q$42*$AB$42</f>
        <v>0</v>
      </c>
      <c r="R97" s="198">
        <f>Qty!W62*'Hist. prices'!S62*R$42*$AB$42</f>
        <v>0</v>
      </c>
      <c r="S97" s="198">
        <f>Qty!X62*'Hist. prices'!T62*S$42*$AB$42</f>
        <v>0</v>
      </c>
      <c r="T97" s="198">
        <f>Qty!Y62*'Hist. prices'!U62*T$42*$AB$42</f>
        <v>0</v>
      </c>
      <c r="U97" s="198">
        <f>Qty!Z62*'Hist. prices'!V62*U$42*$AB$42</f>
        <v>0</v>
      </c>
      <c r="V97" s="198">
        <f>Qty!AA62*'Hist. prices'!W62*V$42*$AB$42</f>
        <v>0</v>
      </c>
      <c r="W97" s="198">
        <f>Qty!AB62*'Hist. prices'!X62*W$42*$AB$42</f>
        <v>0</v>
      </c>
      <c r="X97" s="198">
        <f>Qty!AC62*'Hist. prices'!Y62*X$42*$AB$42</f>
        <v>0</v>
      </c>
      <c r="Y97" s="198">
        <f>Qty!AD62*'Hist. prices'!Z62*Y$42*$AB$42</f>
        <v>0</v>
      </c>
      <c r="Z97" s="198">
        <f>Qty!AE62*'Hist. prices'!AA62*Z$42*$AB$42</f>
        <v>0</v>
      </c>
      <c r="AA97" s="198">
        <f>Qty!AF62*'Hist. prices'!AB62*AA$42*$AB$42</f>
        <v>0</v>
      </c>
      <c r="AB97" s="68"/>
      <c r="AC97" s="19"/>
      <c r="AD97" s="19"/>
      <c r="AE97" s="19"/>
      <c r="AF97" s="19"/>
    </row>
    <row r="98" spans="1:32" hidden="1" outlineLevel="2" x14ac:dyDescent="0.2">
      <c r="A98" s="19"/>
      <c r="B98" s="19"/>
      <c r="C98" s="506">
        <f>Tariffs!C101</f>
        <v>0</v>
      </c>
      <c r="D98" s="505">
        <f>Tariffs!D101</f>
        <v>0</v>
      </c>
      <c r="E98" s="58"/>
      <c r="F98" s="213">
        <f t="shared" si="3"/>
        <v>0</v>
      </c>
      <c r="G98" s="58"/>
      <c r="H98" s="198">
        <f>Qty!M63*'Hist. prices'!I63*H$42*$AB$42</f>
        <v>0</v>
      </c>
      <c r="I98" s="198">
        <f>Qty!N63*'Hist. prices'!J63*I$42*$AB$42</f>
        <v>0</v>
      </c>
      <c r="J98" s="198">
        <f>Qty!O63*'Hist. prices'!K63*J$42*$AB$42</f>
        <v>0</v>
      </c>
      <c r="K98" s="198">
        <f>Qty!P63*'Hist. prices'!L63*K$42*$AB$42</f>
        <v>0</v>
      </c>
      <c r="L98" s="198">
        <f>Qty!Q63*'Hist. prices'!M63*L$42*$AB$42</f>
        <v>0</v>
      </c>
      <c r="M98" s="198">
        <f>Qty!R63*'Hist. prices'!N63*M$42*$AB$42</f>
        <v>0</v>
      </c>
      <c r="N98" s="198">
        <f>Qty!S63*'Hist. prices'!O63*N$42*$AB$42</f>
        <v>0</v>
      </c>
      <c r="O98" s="198">
        <f>Qty!T63*'Hist. prices'!P63*O$42*$AB$42</f>
        <v>0</v>
      </c>
      <c r="P98" s="198">
        <f>Qty!U63*'Hist. prices'!Q63*P$42*$AB$42</f>
        <v>0</v>
      </c>
      <c r="Q98" s="198">
        <f>Qty!V63*'Hist. prices'!R63*Q$42*$AB$42</f>
        <v>0</v>
      </c>
      <c r="R98" s="198">
        <f>Qty!W63*'Hist. prices'!S63*R$42*$AB$42</f>
        <v>0</v>
      </c>
      <c r="S98" s="198">
        <f>Qty!X63*'Hist. prices'!T63*S$42*$AB$42</f>
        <v>0</v>
      </c>
      <c r="T98" s="198">
        <f>Qty!Y63*'Hist. prices'!U63*T$42*$AB$42</f>
        <v>0</v>
      </c>
      <c r="U98" s="198">
        <f>Qty!Z63*'Hist. prices'!V63*U$42*$AB$42</f>
        <v>0</v>
      </c>
      <c r="V98" s="198">
        <f>Qty!AA63*'Hist. prices'!W63*V$42*$AB$42</f>
        <v>0</v>
      </c>
      <c r="W98" s="198">
        <f>Qty!AB63*'Hist. prices'!X63*W$42*$AB$42</f>
        <v>0</v>
      </c>
      <c r="X98" s="198">
        <f>Qty!AC63*'Hist. prices'!Y63*X$42*$AB$42</f>
        <v>0</v>
      </c>
      <c r="Y98" s="198">
        <f>Qty!AD63*'Hist. prices'!Z63*Y$42*$AB$42</f>
        <v>0</v>
      </c>
      <c r="Z98" s="198">
        <f>Qty!AE63*'Hist. prices'!AA63*Z$42*$AB$42</f>
        <v>0</v>
      </c>
      <c r="AA98" s="198">
        <f>Qty!AF63*'Hist. prices'!AB63*AA$42*$AB$42</f>
        <v>0</v>
      </c>
      <c r="AB98" s="68"/>
      <c r="AC98" s="19"/>
      <c r="AD98" s="19"/>
      <c r="AE98" s="19"/>
      <c r="AF98" s="19"/>
    </row>
    <row r="99" spans="1:32" hidden="1" outlineLevel="2" x14ac:dyDescent="0.2">
      <c r="A99" s="19"/>
      <c r="B99" s="19"/>
      <c r="C99" s="506">
        <f>Tariffs!C102</f>
        <v>0</v>
      </c>
      <c r="D99" s="505">
        <f>Tariffs!D102</f>
        <v>0</v>
      </c>
      <c r="E99" s="58"/>
      <c r="F99" s="213">
        <f t="shared" si="3"/>
        <v>0</v>
      </c>
      <c r="G99" s="58"/>
      <c r="H99" s="198">
        <f>Qty!M64*'Hist. prices'!I64*H$42*$AB$42</f>
        <v>0</v>
      </c>
      <c r="I99" s="198">
        <f>Qty!N64*'Hist. prices'!J64*I$42*$AB$42</f>
        <v>0</v>
      </c>
      <c r="J99" s="198">
        <f>Qty!O64*'Hist. prices'!K64*J$42*$AB$42</f>
        <v>0</v>
      </c>
      <c r="K99" s="198">
        <f>Qty!P64*'Hist. prices'!L64*K$42*$AB$42</f>
        <v>0</v>
      </c>
      <c r="L99" s="198">
        <f>Qty!Q64*'Hist. prices'!M64*L$42*$AB$42</f>
        <v>0</v>
      </c>
      <c r="M99" s="198">
        <f>Qty!R64*'Hist. prices'!N64*M$42*$AB$42</f>
        <v>0</v>
      </c>
      <c r="N99" s="198">
        <f>Qty!S64*'Hist. prices'!O64*N$42*$AB$42</f>
        <v>0</v>
      </c>
      <c r="O99" s="198">
        <f>Qty!T64*'Hist. prices'!P64*O$42*$AB$42</f>
        <v>0</v>
      </c>
      <c r="P99" s="198">
        <f>Qty!U64*'Hist. prices'!Q64*P$42*$AB$42</f>
        <v>0</v>
      </c>
      <c r="Q99" s="198">
        <f>Qty!V64*'Hist. prices'!R64*Q$42*$AB$42</f>
        <v>0</v>
      </c>
      <c r="R99" s="198">
        <f>Qty!W64*'Hist. prices'!S64*R$42*$AB$42</f>
        <v>0</v>
      </c>
      <c r="S99" s="198">
        <f>Qty!X64*'Hist. prices'!T64*S$42*$AB$42</f>
        <v>0</v>
      </c>
      <c r="T99" s="198">
        <f>Qty!Y64*'Hist. prices'!U64*T$42*$AB$42</f>
        <v>0</v>
      </c>
      <c r="U99" s="198">
        <f>Qty!Z64*'Hist. prices'!V64*U$42*$AB$42</f>
        <v>0</v>
      </c>
      <c r="V99" s="198">
        <f>Qty!AA64*'Hist. prices'!W64*V$42*$AB$42</f>
        <v>0</v>
      </c>
      <c r="W99" s="198">
        <f>Qty!AB64*'Hist. prices'!X64*W$42*$AB$42</f>
        <v>0</v>
      </c>
      <c r="X99" s="198">
        <f>Qty!AC64*'Hist. prices'!Y64*X$42*$AB$42</f>
        <v>0</v>
      </c>
      <c r="Y99" s="198">
        <f>Qty!AD64*'Hist. prices'!Z64*Y$42*$AB$42</f>
        <v>0</v>
      </c>
      <c r="Z99" s="198">
        <f>Qty!AE64*'Hist. prices'!AA64*Z$42*$AB$42</f>
        <v>0</v>
      </c>
      <c r="AA99" s="198">
        <f>Qty!AF64*'Hist. prices'!AB64*AA$42*$AB$42</f>
        <v>0</v>
      </c>
      <c r="AB99" s="68"/>
      <c r="AC99" s="19"/>
      <c r="AD99" s="19"/>
      <c r="AE99" s="19"/>
      <c r="AF99" s="19"/>
    </row>
    <row r="100" spans="1:32" hidden="1" outlineLevel="2" x14ac:dyDescent="0.2">
      <c r="A100" s="19"/>
      <c r="B100" s="19"/>
      <c r="C100" s="506">
        <f>Tariffs!C103</f>
        <v>0</v>
      </c>
      <c r="D100" s="505">
        <f>Tariffs!D103</f>
        <v>0</v>
      </c>
      <c r="E100" s="58"/>
      <c r="F100" s="213">
        <f t="shared" si="3"/>
        <v>0</v>
      </c>
      <c r="G100" s="58"/>
      <c r="H100" s="198">
        <f>Qty!M65*'Hist. prices'!I65*H$42*$AB$42</f>
        <v>0</v>
      </c>
      <c r="I100" s="198">
        <f>Qty!N65*'Hist. prices'!J65*I$42*$AB$42</f>
        <v>0</v>
      </c>
      <c r="J100" s="198">
        <f>Qty!O65*'Hist. prices'!K65*J$42*$AB$42</f>
        <v>0</v>
      </c>
      <c r="K100" s="198">
        <f>Qty!P65*'Hist. prices'!L65*K$42*$AB$42</f>
        <v>0</v>
      </c>
      <c r="L100" s="198">
        <f>Qty!Q65*'Hist. prices'!M65*L$42*$AB$42</f>
        <v>0</v>
      </c>
      <c r="M100" s="198">
        <f>Qty!R65*'Hist. prices'!N65*M$42*$AB$42</f>
        <v>0</v>
      </c>
      <c r="N100" s="198">
        <f>Qty!S65*'Hist. prices'!O65*N$42*$AB$42</f>
        <v>0</v>
      </c>
      <c r="O100" s="198">
        <f>Qty!T65*'Hist. prices'!P65*O$42*$AB$42</f>
        <v>0</v>
      </c>
      <c r="P100" s="198">
        <f>Qty!U65*'Hist. prices'!Q65*P$42*$AB$42</f>
        <v>0</v>
      </c>
      <c r="Q100" s="198">
        <f>Qty!V65*'Hist. prices'!R65*Q$42*$AB$42</f>
        <v>0</v>
      </c>
      <c r="R100" s="198">
        <f>Qty!W65*'Hist. prices'!S65*R$42*$AB$42</f>
        <v>0</v>
      </c>
      <c r="S100" s="198">
        <f>Qty!X65*'Hist. prices'!T65*S$42*$AB$42</f>
        <v>0</v>
      </c>
      <c r="T100" s="198">
        <f>Qty!Y65*'Hist. prices'!U65*T$42*$AB$42</f>
        <v>0</v>
      </c>
      <c r="U100" s="198">
        <f>Qty!Z65*'Hist. prices'!V65*U$42*$AB$42</f>
        <v>0</v>
      </c>
      <c r="V100" s="198">
        <f>Qty!AA65*'Hist. prices'!W65*V$42*$AB$42</f>
        <v>0</v>
      </c>
      <c r="W100" s="198">
        <f>Qty!AB65*'Hist. prices'!X65*W$42*$AB$42</f>
        <v>0</v>
      </c>
      <c r="X100" s="198">
        <f>Qty!AC65*'Hist. prices'!Y65*X$42*$AB$42</f>
        <v>0</v>
      </c>
      <c r="Y100" s="198">
        <f>Qty!AD65*'Hist. prices'!Z65*Y$42*$AB$42</f>
        <v>0</v>
      </c>
      <c r="Z100" s="198">
        <f>Qty!AE65*'Hist. prices'!AA65*Z$42*$AB$42</f>
        <v>0</v>
      </c>
      <c r="AA100" s="198">
        <f>Qty!AF65*'Hist. prices'!AB65*AA$42*$AB$42</f>
        <v>0</v>
      </c>
      <c r="AB100" s="68"/>
      <c r="AC100" s="19"/>
      <c r="AD100" s="19"/>
      <c r="AE100" s="19"/>
      <c r="AF100" s="19"/>
    </row>
    <row r="101" spans="1:32" hidden="1" outlineLevel="2" x14ac:dyDescent="0.2">
      <c r="A101" s="19"/>
      <c r="B101" s="19"/>
      <c r="C101" s="506">
        <f>Tariffs!C104</f>
        <v>0</v>
      </c>
      <c r="D101" s="505">
        <f>Tariffs!D104</f>
        <v>0</v>
      </c>
      <c r="E101" s="58"/>
      <c r="F101" s="213">
        <f t="shared" si="3"/>
        <v>0</v>
      </c>
      <c r="G101" s="58"/>
      <c r="H101" s="198">
        <f>Qty!M66*'Hist. prices'!I66*H$42*$AB$42</f>
        <v>0</v>
      </c>
      <c r="I101" s="198">
        <f>Qty!N66*'Hist. prices'!J66*I$42*$AB$42</f>
        <v>0</v>
      </c>
      <c r="J101" s="198">
        <f>Qty!O66*'Hist. prices'!K66*J$42*$AB$42</f>
        <v>0</v>
      </c>
      <c r="K101" s="198">
        <f>Qty!P66*'Hist. prices'!L66*K$42*$AB$42</f>
        <v>0</v>
      </c>
      <c r="L101" s="198">
        <f>Qty!Q66*'Hist. prices'!M66*L$42*$AB$42</f>
        <v>0</v>
      </c>
      <c r="M101" s="198">
        <f>Qty!R66*'Hist. prices'!N66*M$42*$AB$42</f>
        <v>0</v>
      </c>
      <c r="N101" s="198">
        <f>Qty!S66*'Hist. prices'!O66*N$42*$AB$42</f>
        <v>0</v>
      </c>
      <c r="O101" s="198">
        <f>Qty!T66*'Hist. prices'!P66*O$42*$AB$42</f>
        <v>0</v>
      </c>
      <c r="P101" s="198">
        <f>Qty!U66*'Hist. prices'!Q66*P$42*$AB$42</f>
        <v>0</v>
      </c>
      <c r="Q101" s="198">
        <f>Qty!V66*'Hist. prices'!R66*Q$42*$AB$42</f>
        <v>0</v>
      </c>
      <c r="R101" s="198">
        <f>Qty!W66*'Hist. prices'!S66*R$42*$AB$42</f>
        <v>0</v>
      </c>
      <c r="S101" s="198">
        <f>Qty!X66*'Hist. prices'!T66*S$42*$AB$42</f>
        <v>0</v>
      </c>
      <c r="T101" s="198">
        <f>Qty!Y66*'Hist. prices'!U66*T$42*$AB$42</f>
        <v>0</v>
      </c>
      <c r="U101" s="198">
        <f>Qty!Z66*'Hist. prices'!V66*U$42*$AB$42</f>
        <v>0</v>
      </c>
      <c r="V101" s="198">
        <f>Qty!AA66*'Hist. prices'!W66*V$42*$AB$42</f>
        <v>0</v>
      </c>
      <c r="W101" s="198">
        <f>Qty!AB66*'Hist. prices'!X66*W$42*$AB$42</f>
        <v>0</v>
      </c>
      <c r="X101" s="198">
        <f>Qty!AC66*'Hist. prices'!Y66*X$42*$AB$42</f>
        <v>0</v>
      </c>
      <c r="Y101" s="198">
        <f>Qty!AD66*'Hist. prices'!Z66*Y$42*$AB$42</f>
        <v>0</v>
      </c>
      <c r="Z101" s="198">
        <f>Qty!AE66*'Hist. prices'!AA66*Z$42*$AB$42</f>
        <v>0</v>
      </c>
      <c r="AA101" s="198">
        <f>Qty!AF66*'Hist. prices'!AB66*AA$42*$AB$42</f>
        <v>0</v>
      </c>
      <c r="AB101" s="68"/>
      <c r="AC101" s="19"/>
      <c r="AD101" s="19"/>
      <c r="AE101" s="19"/>
      <c r="AF101" s="19"/>
    </row>
    <row r="102" spans="1:32" hidden="1" outlineLevel="2" x14ac:dyDescent="0.2">
      <c r="A102" s="19"/>
      <c r="B102" s="19"/>
      <c r="C102" s="506">
        <f>Tariffs!C105</f>
        <v>0</v>
      </c>
      <c r="D102" s="505">
        <f>Tariffs!D105</f>
        <v>0</v>
      </c>
      <c r="E102" s="58"/>
      <c r="F102" s="213">
        <f t="shared" si="3"/>
        <v>0</v>
      </c>
      <c r="G102" s="58"/>
      <c r="H102" s="198">
        <f>Qty!M67*'Hist. prices'!I67*H$42*$AB$42</f>
        <v>0</v>
      </c>
      <c r="I102" s="198">
        <f>Qty!N67*'Hist. prices'!J67*I$42*$AB$42</f>
        <v>0</v>
      </c>
      <c r="J102" s="198">
        <f>Qty!O67*'Hist. prices'!K67*J$42*$AB$42</f>
        <v>0</v>
      </c>
      <c r="K102" s="198">
        <f>Qty!P67*'Hist. prices'!L67*K$42*$AB$42</f>
        <v>0</v>
      </c>
      <c r="L102" s="198">
        <f>Qty!Q67*'Hist. prices'!M67*L$42*$AB$42</f>
        <v>0</v>
      </c>
      <c r="M102" s="198">
        <f>Qty!R67*'Hist. prices'!N67*M$42*$AB$42</f>
        <v>0</v>
      </c>
      <c r="N102" s="198">
        <f>Qty!S67*'Hist. prices'!O67*N$42*$AB$42</f>
        <v>0</v>
      </c>
      <c r="O102" s="198">
        <f>Qty!T67*'Hist. prices'!P67*O$42*$AB$42</f>
        <v>0</v>
      </c>
      <c r="P102" s="198">
        <f>Qty!U67*'Hist. prices'!Q67*P$42*$AB$42</f>
        <v>0</v>
      </c>
      <c r="Q102" s="198">
        <f>Qty!V67*'Hist. prices'!R67*Q$42*$AB$42</f>
        <v>0</v>
      </c>
      <c r="R102" s="198">
        <f>Qty!W67*'Hist. prices'!S67*R$42*$AB$42</f>
        <v>0</v>
      </c>
      <c r="S102" s="198">
        <f>Qty!X67*'Hist. prices'!T67*S$42*$AB$42</f>
        <v>0</v>
      </c>
      <c r="T102" s="198">
        <f>Qty!Y67*'Hist. prices'!U67*T$42*$AB$42</f>
        <v>0</v>
      </c>
      <c r="U102" s="198">
        <f>Qty!Z67*'Hist. prices'!V67*U$42*$AB$42</f>
        <v>0</v>
      </c>
      <c r="V102" s="198">
        <f>Qty!AA67*'Hist. prices'!W67*V$42*$AB$42</f>
        <v>0</v>
      </c>
      <c r="W102" s="198">
        <f>Qty!AB67*'Hist. prices'!X67*W$42*$AB$42</f>
        <v>0</v>
      </c>
      <c r="X102" s="198">
        <f>Qty!AC67*'Hist. prices'!Y67*X$42*$AB$42</f>
        <v>0</v>
      </c>
      <c r="Y102" s="198">
        <f>Qty!AD67*'Hist. prices'!Z67*Y$42*$AB$42</f>
        <v>0</v>
      </c>
      <c r="Z102" s="198">
        <f>Qty!AE67*'Hist. prices'!AA67*Z$42*$AB$42</f>
        <v>0</v>
      </c>
      <c r="AA102" s="198">
        <f>Qty!AF67*'Hist. prices'!AB67*AA$42*$AB$42</f>
        <v>0</v>
      </c>
      <c r="AB102" s="68"/>
      <c r="AC102" s="19"/>
      <c r="AD102" s="19"/>
      <c r="AE102" s="19"/>
      <c r="AF102" s="19"/>
    </row>
    <row r="103" spans="1:32" hidden="1" outlineLevel="2" x14ac:dyDescent="0.2">
      <c r="A103" s="19"/>
      <c r="B103" s="19"/>
      <c r="C103" s="506">
        <f>Tariffs!C106</f>
        <v>0</v>
      </c>
      <c r="D103" s="505">
        <f>Tariffs!D106</f>
        <v>0</v>
      </c>
      <c r="E103" s="58"/>
      <c r="F103" s="213">
        <f t="shared" si="3"/>
        <v>0</v>
      </c>
      <c r="G103" s="58"/>
      <c r="H103" s="198">
        <f>Qty!M68*'Hist. prices'!I68*H$42*$AB$42</f>
        <v>0</v>
      </c>
      <c r="I103" s="198">
        <f>Qty!N68*'Hist. prices'!J68*I$42*$AB$42</f>
        <v>0</v>
      </c>
      <c r="J103" s="198">
        <f>Qty!O68*'Hist. prices'!K68*J$42*$AB$42</f>
        <v>0</v>
      </c>
      <c r="K103" s="198">
        <f>Qty!P68*'Hist. prices'!L68*K$42*$AB$42</f>
        <v>0</v>
      </c>
      <c r="L103" s="198">
        <f>Qty!Q68*'Hist. prices'!M68*L$42*$AB$42</f>
        <v>0</v>
      </c>
      <c r="M103" s="198">
        <f>Qty!R68*'Hist. prices'!N68*M$42*$AB$42</f>
        <v>0</v>
      </c>
      <c r="N103" s="198">
        <f>Qty!S68*'Hist. prices'!O68*N$42*$AB$42</f>
        <v>0</v>
      </c>
      <c r="O103" s="198">
        <f>Qty!T68*'Hist. prices'!P68*O$42*$AB$42</f>
        <v>0</v>
      </c>
      <c r="P103" s="198">
        <f>Qty!U68*'Hist. prices'!Q68*P$42*$AB$42</f>
        <v>0</v>
      </c>
      <c r="Q103" s="198">
        <f>Qty!V68*'Hist. prices'!R68*Q$42*$AB$42</f>
        <v>0</v>
      </c>
      <c r="R103" s="198">
        <f>Qty!W68*'Hist. prices'!S68*R$42*$AB$42</f>
        <v>0</v>
      </c>
      <c r="S103" s="198">
        <f>Qty!X68*'Hist. prices'!T68*S$42*$AB$42</f>
        <v>0</v>
      </c>
      <c r="T103" s="198">
        <f>Qty!Y68*'Hist. prices'!U68*T$42*$AB$42</f>
        <v>0</v>
      </c>
      <c r="U103" s="198">
        <f>Qty!Z68*'Hist. prices'!V68*U$42*$AB$42</f>
        <v>0</v>
      </c>
      <c r="V103" s="198">
        <f>Qty!AA68*'Hist. prices'!W68*V$42*$AB$42</f>
        <v>0</v>
      </c>
      <c r="W103" s="198">
        <f>Qty!AB68*'Hist. prices'!X68*W$42*$AB$42</f>
        <v>0</v>
      </c>
      <c r="X103" s="198">
        <f>Qty!AC68*'Hist. prices'!Y68*X$42*$AB$42</f>
        <v>0</v>
      </c>
      <c r="Y103" s="198">
        <f>Qty!AD68*'Hist. prices'!Z68*Y$42*$AB$42</f>
        <v>0</v>
      </c>
      <c r="Z103" s="198">
        <f>Qty!AE68*'Hist. prices'!AA68*Z$42*$AB$42</f>
        <v>0</v>
      </c>
      <c r="AA103" s="198">
        <f>Qty!AF68*'Hist. prices'!AB68*AA$42*$AB$42</f>
        <v>0</v>
      </c>
      <c r="AB103" s="68"/>
      <c r="AC103" s="19"/>
      <c r="AD103" s="19"/>
      <c r="AE103" s="19"/>
      <c r="AF103" s="19"/>
    </row>
    <row r="104" spans="1:32" hidden="1" outlineLevel="2" x14ac:dyDescent="0.2">
      <c r="A104" s="19"/>
      <c r="B104" s="19"/>
      <c r="C104" s="506">
        <f>Tariffs!C107</f>
        <v>0</v>
      </c>
      <c r="D104" s="505">
        <f>Tariffs!D107</f>
        <v>0</v>
      </c>
      <c r="E104" s="58"/>
      <c r="F104" s="213">
        <f t="shared" si="3"/>
        <v>0</v>
      </c>
      <c r="G104" s="58"/>
      <c r="H104" s="198">
        <f>Qty!M69*'Hist. prices'!I69*H$42*$AB$42</f>
        <v>0</v>
      </c>
      <c r="I104" s="198">
        <f>Qty!N69*'Hist. prices'!J69*I$42*$AB$42</f>
        <v>0</v>
      </c>
      <c r="J104" s="198">
        <f>Qty!O69*'Hist. prices'!K69*J$42*$AB$42</f>
        <v>0</v>
      </c>
      <c r="K104" s="198">
        <f>Qty!P69*'Hist. prices'!L69*K$42*$AB$42</f>
        <v>0</v>
      </c>
      <c r="L104" s="198">
        <f>Qty!Q69*'Hist. prices'!M69*L$42*$AB$42</f>
        <v>0</v>
      </c>
      <c r="M104" s="198">
        <f>Qty!R69*'Hist. prices'!N69*M$42*$AB$42</f>
        <v>0</v>
      </c>
      <c r="N104" s="198">
        <f>Qty!S69*'Hist. prices'!O69*N$42*$AB$42</f>
        <v>0</v>
      </c>
      <c r="O104" s="198">
        <f>Qty!T69*'Hist. prices'!P69*O$42*$AB$42</f>
        <v>0</v>
      </c>
      <c r="P104" s="198">
        <f>Qty!U69*'Hist. prices'!Q69*P$42*$AB$42</f>
        <v>0</v>
      </c>
      <c r="Q104" s="198">
        <f>Qty!V69*'Hist. prices'!R69*Q$42*$AB$42</f>
        <v>0</v>
      </c>
      <c r="R104" s="198">
        <f>Qty!W69*'Hist. prices'!S69*R$42*$AB$42</f>
        <v>0</v>
      </c>
      <c r="S104" s="198">
        <f>Qty!X69*'Hist. prices'!T69*S$42*$AB$42</f>
        <v>0</v>
      </c>
      <c r="T104" s="198">
        <f>Qty!Y69*'Hist. prices'!U69*T$42*$AB$42</f>
        <v>0</v>
      </c>
      <c r="U104" s="198">
        <f>Qty!Z69*'Hist. prices'!V69*U$42*$AB$42</f>
        <v>0</v>
      </c>
      <c r="V104" s="198">
        <f>Qty!AA69*'Hist. prices'!W69*V$42*$AB$42</f>
        <v>0</v>
      </c>
      <c r="W104" s="198">
        <f>Qty!AB69*'Hist. prices'!X69*W$42*$AB$42</f>
        <v>0</v>
      </c>
      <c r="X104" s="198">
        <f>Qty!AC69*'Hist. prices'!Y69*X$42*$AB$42</f>
        <v>0</v>
      </c>
      <c r="Y104" s="198">
        <f>Qty!AD69*'Hist. prices'!Z69*Y$42*$AB$42</f>
        <v>0</v>
      </c>
      <c r="Z104" s="198">
        <f>Qty!AE69*'Hist. prices'!AA69*Z$42*$AB$42</f>
        <v>0</v>
      </c>
      <c r="AA104" s="198">
        <f>Qty!AF69*'Hist. prices'!AB69*AA$42*$AB$42</f>
        <v>0</v>
      </c>
      <c r="AB104" s="68"/>
      <c r="AC104" s="19"/>
      <c r="AD104" s="19"/>
      <c r="AE104" s="19"/>
      <c r="AF104" s="19"/>
    </row>
    <row r="105" spans="1:32" hidden="1" outlineLevel="2" x14ac:dyDescent="0.2">
      <c r="A105" s="19"/>
      <c r="B105" s="19"/>
      <c r="C105" s="506">
        <f>Tariffs!C108</f>
        <v>0</v>
      </c>
      <c r="D105" s="505">
        <f>Tariffs!D108</f>
        <v>0</v>
      </c>
      <c r="E105" s="58"/>
      <c r="F105" s="213">
        <f t="shared" si="3"/>
        <v>0</v>
      </c>
      <c r="G105" s="58"/>
      <c r="H105" s="198">
        <f>Qty!M70*'Hist. prices'!I70*H$42*$AB$42</f>
        <v>0</v>
      </c>
      <c r="I105" s="198">
        <f>Qty!N70*'Hist. prices'!J70*I$42*$AB$42</f>
        <v>0</v>
      </c>
      <c r="J105" s="198">
        <f>Qty!O70*'Hist. prices'!K70*J$42*$AB$42</f>
        <v>0</v>
      </c>
      <c r="K105" s="198">
        <f>Qty!P70*'Hist. prices'!L70*K$42*$AB$42</f>
        <v>0</v>
      </c>
      <c r="L105" s="198">
        <f>Qty!Q70*'Hist. prices'!M70*L$42*$AB$42</f>
        <v>0</v>
      </c>
      <c r="M105" s="198">
        <f>Qty!R70*'Hist. prices'!N70*M$42*$AB$42</f>
        <v>0</v>
      </c>
      <c r="N105" s="198">
        <f>Qty!S70*'Hist. prices'!O70*N$42*$AB$42</f>
        <v>0</v>
      </c>
      <c r="O105" s="198">
        <f>Qty!T70*'Hist. prices'!P70*O$42*$AB$42</f>
        <v>0</v>
      </c>
      <c r="P105" s="198">
        <f>Qty!U70*'Hist. prices'!Q70*P$42*$AB$42</f>
        <v>0</v>
      </c>
      <c r="Q105" s="198">
        <f>Qty!V70*'Hist. prices'!R70*Q$42*$AB$42</f>
        <v>0</v>
      </c>
      <c r="R105" s="198">
        <f>Qty!W70*'Hist. prices'!S70*R$42*$AB$42</f>
        <v>0</v>
      </c>
      <c r="S105" s="198">
        <f>Qty!X70*'Hist. prices'!T70*S$42*$AB$42</f>
        <v>0</v>
      </c>
      <c r="T105" s="198">
        <f>Qty!Y70*'Hist. prices'!U70*T$42*$AB$42</f>
        <v>0</v>
      </c>
      <c r="U105" s="198">
        <f>Qty!Z70*'Hist. prices'!V70*U$42*$AB$42</f>
        <v>0</v>
      </c>
      <c r="V105" s="198">
        <f>Qty!AA70*'Hist. prices'!W70*V$42*$AB$42</f>
        <v>0</v>
      </c>
      <c r="W105" s="198">
        <f>Qty!AB70*'Hist. prices'!X70*W$42*$AB$42</f>
        <v>0</v>
      </c>
      <c r="X105" s="198">
        <f>Qty!AC70*'Hist. prices'!Y70*X$42*$AB$42</f>
        <v>0</v>
      </c>
      <c r="Y105" s="198">
        <f>Qty!AD70*'Hist. prices'!Z70*Y$42*$AB$42</f>
        <v>0</v>
      </c>
      <c r="Z105" s="198">
        <f>Qty!AE70*'Hist. prices'!AA70*Z$42*$AB$42</f>
        <v>0</v>
      </c>
      <c r="AA105" s="198">
        <f>Qty!AF70*'Hist. prices'!AB70*AA$42*$AB$42</f>
        <v>0</v>
      </c>
      <c r="AB105" s="68"/>
      <c r="AC105" s="19"/>
      <c r="AD105" s="19"/>
      <c r="AE105" s="19"/>
      <c r="AF105" s="19"/>
    </row>
    <row r="106" spans="1:32" hidden="1" outlineLevel="2" x14ac:dyDescent="0.2">
      <c r="A106" s="19"/>
      <c r="B106" s="19"/>
      <c r="C106" s="506">
        <f>Tariffs!C109</f>
        <v>0</v>
      </c>
      <c r="D106" s="505">
        <f>Tariffs!D109</f>
        <v>0</v>
      </c>
      <c r="E106" s="58"/>
      <c r="F106" s="213">
        <f t="shared" si="3"/>
        <v>0</v>
      </c>
      <c r="G106" s="58"/>
      <c r="H106" s="198">
        <f>Qty!M71*'Hist. prices'!I71*H$42*$AB$42</f>
        <v>0</v>
      </c>
      <c r="I106" s="198">
        <f>Qty!N71*'Hist. prices'!J71*I$42*$AB$42</f>
        <v>0</v>
      </c>
      <c r="J106" s="198">
        <f>Qty!O71*'Hist. prices'!K71*J$42*$AB$42</f>
        <v>0</v>
      </c>
      <c r="K106" s="198">
        <f>Qty!P71*'Hist. prices'!L71*K$42*$AB$42</f>
        <v>0</v>
      </c>
      <c r="L106" s="198">
        <f>Qty!Q71*'Hist. prices'!M71*L$42*$AB$42</f>
        <v>0</v>
      </c>
      <c r="M106" s="198">
        <f>Qty!R71*'Hist. prices'!N71*M$42*$AB$42</f>
        <v>0</v>
      </c>
      <c r="N106" s="198">
        <f>Qty!S71*'Hist. prices'!O71*N$42*$AB$42</f>
        <v>0</v>
      </c>
      <c r="O106" s="198">
        <f>Qty!T71*'Hist. prices'!P71*O$42*$AB$42</f>
        <v>0</v>
      </c>
      <c r="P106" s="198">
        <f>Qty!U71*'Hist. prices'!Q71*P$42*$AB$42</f>
        <v>0</v>
      </c>
      <c r="Q106" s="198">
        <f>Qty!V71*'Hist. prices'!R71*Q$42*$AB$42</f>
        <v>0</v>
      </c>
      <c r="R106" s="198">
        <f>Qty!W71*'Hist. prices'!S71*R$42*$AB$42</f>
        <v>0</v>
      </c>
      <c r="S106" s="198">
        <f>Qty!X71*'Hist. prices'!T71*S$42*$AB$42</f>
        <v>0</v>
      </c>
      <c r="T106" s="198">
        <f>Qty!Y71*'Hist. prices'!U71*T$42*$AB$42</f>
        <v>0</v>
      </c>
      <c r="U106" s="198">
        <f>Qty!Z71*'Hist. prices'!V71*U$42*$AB$42</f>
        <v>0</v>
      </c>
      <c r="V106" s="198">
        <f>Qty!AA71*'Hist. prices'!W71*V$42*$AB$42</f>
        <v>0</v>
      </c>
      <c r="W106" s="198">
        <f>Qty!AB71*'Hist. prices'!X71*W$42*$AB$42</f>
        <v>0</v>
      </c>
      <c r="X106" s="198">
        <f>Qty!AC71*'Hist. prices'!Y71*X$42*$AB$42</f>
        <v>0</v>
      </c>
      <c r="Y106" s="198">
        <f>Qty!AD71*'Hist. prices'!Z71*Y$42*$AB$42</f>
        <v>0</v>
      </c>
      <c r="Z106" s="198">
        <f>Qty!AE71*'Hist. prices'!AA71*Z$42*$AB$42</f>
        <v>0</v>
      </c>
      <c r="AA106" s="198">
        <f>Qty!AF71*'Hist. prices'!AB71*AA$42*$AB$42</f>
        <v>0</v>
      </c>
      <c r="AB106" s="68"/>
      <c r="AC106" s="19"/>
      <c r="AD106" s="19"/>
      <c r="AE106" s="19"/>
      <c r="AF106" s="19"/>
    </row>
    <row r="107" spans="1:32" hidden="1" outlineLevel="2" x14ac:dyDescent="0.2">
      <c r="A107" s="19"/>
      <c r="B107" s="19"/>
      <c r="C107" s="506">
        <f>Tariffs!C110</f>
        <v>0</v>
      </c>
      <c r="D107" s="505">
        <f>Tariffs!D110</f>
        <v>0</v>
      </c>
      <c r="E107" s="58"/>
      <c r="F107" s="213">
        <f t="shared" ref="F107:F117" si="4">SUM(H107:AA107)</f>
        <v>0</v>
      </c>
      <c r="G107" s="58"/>
      <c r="H107" s="198">
        <f>Qty!M72*'Hist. prices'!I72*H$42*$AB$42</f>
        <v>0</v>
      </c>
      <c r="I107" s="198">
        <f>Qty!N72*'Hist. prices'!J72*I$42*$AB$42</f>
        <v>0</v>
      </c>
      <c r="J107" s="198">
        <f>Qty!O72*'Hist. prices'!K72*J$42*$AB$42</f>
        <v>0</v>
      </c>
      <c r="K107" s="198">
        <f>Qty!P72*'Hist. prices'!L72*K$42*$AB$42</f>
        <v>0</v>
      </c>
      <c r="L107" s="198">
        <f>Qty!Q72*'Hist. prices'!M72*L$42*$AB$42</f>
        <v>0</v>
      </c>
      <c r="M107" s="198">
        <f>Qty!R72*'Hist. prices'!N72*M$42*$AB$42</f>
        <v>0</v>
      </c>
      <c r="N107" s="198">
        <f>Qty!S72*'Hist. prices'!O72*N$42*$AB$42</f>
        <v>0</v>
      </c>
      <c r="O107" s="198">
        <f>Qty!T72*'Hist. prices'!P72*O$42*$AB$42</f>
        <v>0</v>
      </c>
      <c r="P107" s="198">
        <f>Qty!U72*'Hist. prices'!Q72*P$42*$AB$42</f>
        <v>0</v>
      </c>
      <c r="Q107" s="198">
        <f>Qty!V72*'Hist. prices'!R72*Q$42*$AB$42</f>
        <v>0</v>
      </c>
      <c r="R107" s="198">
        <f>Qty!W72*'Hist. prices'!S72*R$42*$AB$42</f>
        <v>0</v>
      </c>
      <c r="S107" s="198">
        <f>Qty!X72*'Hist. prices'!T72*S$42*$AB$42</f>
        <v>0</v>
      </c>
      <c r="T107" s="198">
        <f>Qty!Y72*'Hist. prices'!U72*T$42*$AB$42</f>
        <v>0</v>
      </c>
      <c r="U107" s="198">
        <f>Qty!Z72*'Hist. prices'!V72*U$42*$AB$42</f>
        <v>0</v>
      </c>
      <c r="V107" s="198">
        <f>Qty!AA72*'Hist. prices'!W72*V$42*$AB$42</f>
        <v>0</v>
      </c>
      <c r="W107" s="198">
        <f>Qty!AB72*'Hist. prices'!X72*W$42*$AB$42</f>
        <v>0</v>
      </c>
      <c r="X107" s="198">
        <f>Qty!AC72*'Hist. prices'!Y72*X$42*$AB$42</f>
        <v>0</v>
      </c>
      <c r="Y107" s="198">
        <f>Qty!AD72*'Hist. prices'!Z72*Y$42*$AB$42</f>
        <v>0</v>
      </c>
      <c r="Z107" s="198">
        <f>Qty!AE72*'Hist. prices'!AA72*Z$42*$AB$42</f>
        <v>0</v>
      </c>
      <c r="AA107" s="198">
        <f>Qty!AF72*'Hist. prices'!AB72*AA$42*$AB$42</f>
        <v>0</v>
      </c>
      <c r="AB107" s="68"/>
      <c r="AC107" s="19"/>
      <c r="AD107" s="19"/>
      <c r="AE107" s="19"/>
      <c r="AF107" s="19"/>
    </row>
    <row r="108" spans="1:32" hidden="1" outlineLevel="2" x14ac:dyDescent="0.2">
      <c r="A108" s="19"/>
      <c r="B108" s="19"/>
      <c r="C108" s="506">
        <f>Tariffs!C111</f>
        <v>0</v>
      </c>
      <c r="D108" s="505">
        <f>Tariffs!D111</f>
        <v>0</v>
      </c>
      <c r="E108" s="58"/>
      <c r="F108" s="213">
        <f t="shared" si="4"/>
        <v>0</v>
      </c>
      <c r="G108" s="58"/>
      <c r="H108" s="198">
        <f>Qty!M73*'Hist. prices'!I73*H$42*$AB$42</f>
        <v>0</v>
      </c>
      <c r="I108" s="198">
        <f>Qty!N73*'Hist. prices'!J73*I$42*$AB$42</f>
        <v>0</v>
      </c>
      <c r="J108" s="198">
        <f>Qty!O73*'Hist. prices'!K73*J$42*$AB$42</f>
        <v>0</v>
      </c>
      <c r="K108" s="198">
        <f>Qty!P73*'Hist. prices'!L73*K$42*$AB$42</f>
        <v>0</v>
      </c>
      <c r="L108" s="198">
        <f>Qty!Q73*'Hist. prices'!M73*L$42*$AB$42</f>
        <v>0</v>
      </c>
      <c r="M108" s="198">
        <f>Qty!R73*'Hist. prices'!N73*M$42*$AB$42</f>
        <v>0</v>
      </c>
      <c r="N108" s="198">
        <f>Qty!S73*'Hist. prices'!O73*N$42*$AB$42</f>
        <v>0</v>
      </c>
      <c r="O108" s="198">
        <f>Qty!T73*'Hist. prices'!P73*O$42*$AB$42</f>
        <v>0</v>
      </c>
      <c r="P108" s="198">
        <f>Qty!U73*'Hist. prices'!Q73*P$42*$AB$42</f>
        <v>0</v>
      </c>
      <c r="Q108" s="198">
        <f>Qty!V73*'Hist. prices'!R73*Q$42*$AB$42</f>
        <v>0</v>
      </c>
      <c r="R108" s="198">
        <f>Qty!W73*'Hist. prices'!S73*R$42*$AB$42</f>
        <v>0</v>
      </c>
      <c r="S108" s="198">
        <f>Qty!X73*'Hist. prices'!T73*S$42*$AB$42</f>
        <v>0</v>
      </c>
      <c r="T108" s="198">
        <f>Qty!Y73*'Hist. prices'!U73*T$42*$AB$42</f>
        <v>0</v>
      </c>
      <c r="U108" s="198">
        <f>Qty!Z73*'Hist. prices'!V73*U$42*$AB$42</f>
        <v>0</v>
      </c>
      <c r="V108" s="198">
        <f>Qty!AA73*'Hist. prices'!W73*V$42*$AB$42</f>
        <v>0</v>
      </c>
      <c r="W108" s="198">
        <f>Qty!AB73*'Hist. prices'!X73*W$42*$AB$42</f>
        <v>0</v>
      </c>
      <c r="X108" s="198">
        <f>Qty!AC73*'Hist. prices'!Y73*X$42*$AB$42</f>
        <v>0</v>
      </c>
      <c r="Y108" s="198">
        <f>Qty!AD73*'Hist. prices'!Z73*Y$42*$AB$42</f>
        <v>0</v>
      </c>
      <c r="Z108" s="198">
        <f>Qty!AE73*'Hist. prices'!AA73*Z$42*$AB$42</f>
        <v>0</v>
      </c>
      <c r="AA108" s="198">
        <f>Qty!AF73*'Hist. prices'!AB73*AA$42*$AB$42</f>
        <v>0</v>
      </c>
      <c r="AB108" s="68"/>
      <c r="AC108" s="19"/>
      <c r="AD108" s="19"/>
      <c r="AE108" s="19"/>
      <c r="AF108" s="19"/>
    </row>
    <row r="109" spans="1:32" hidden="1" outlineLevel="2" x14ac:dyDescent="0.2">
      <c r="A109" s="19"/>
      <c r="B109" s="19"/>
      <c r="C109" s="506">
        <f>Tariffs!C112</f>
        <v>0</v>
      </c>
      <c r="D109" s="505">
        <f>Tariffs!D112</f>
        <v>0</v>
      </c>
      <c r="E109" s="58"/>
      <c r="F109" s="213">
        <f t="shared" si="4"/>
        <v>0</v>
      </c>
      <c r="G109" s="58"/>
      <c r="H109" s="198">
        <f>Qty!M74*'Hist. prices'!I74*H$42*$AB$42</f>
        <v>0</v>
      </c>
      <c r="I109" s="198">
        <f>Qty!N74*'Hist. prices'!J74*I$42*$AB$42</f>
        <v>0</v>
      </c>
      <c r="J109" s="198">
        <f>Qty!O74*'Hist. prices'!K74*J$42*$AB$42</f>
        <v>0</v>
      </c>
      <c r="K109" s="198">
        <f>Qty!P74*'Hist. prices'!L74*K$42*$AB$42</f>
        <v>0</v>
      </c>
      <c r="L109" s="198">
        <f>Qty!Q74*'Hist. prices'!M74*L$42*$AB$42</f>
        <v>0</v>
      </c>
      <c r="M109" s="198">
        <f>Qty!R74*'Hist. prices'!N74*M$42*$AB$42</f>
        <v>0</v>
      </c>
      <c r="N109" s="198">
        <f>Qty!S74*'Hist. prices'!O74*N$42*$AB$42</f>
        <v>0</v>
      </c>
      <c r="O109" s="198">
        <f>Qty!T74*'Hist. prices'!P74*O$42*$AB$42</f>
        <v>0</v>
      </c>
      <c r="P109" s="198">
        <f>Qty!U74*'Hist. prices'!Q74*P$42*$AB$42</f>
        <v>0</v>
      </c>
      <c r="Q109" s="198">
        <f>Qty!V74*'Hist. prices'!R74*Q$42*$AB$42</f>
        <v>0</v>
      </c>
      <c r="R109" s="198">
        <f>Qty!W74*'Hist. prices'!S74*R$42*$AB$42</f>
        <v>0</v>
      </c>
      <c r="S109" s="198">
        <f>Qty!X74*'Hist. prices'!T74*S$42*$AB$42</f>
        <v>0</v>
      </c>
      <c r="T109" s="198">
        <f>Qty!Y74*'Hist. prices'!U74*T$42*$AB$42</f>
        <v>0</v>
      </c>
      <c r="U109" s="198">
        <f>Qty!Z74*'Hist. prices'!V74*U$42*$AB$42</f>
        <v>0</v>
      </c>
      <c r="V109" s="198">
        <f>Qty!AA74*'Hist. prices'!W74*V$42*$AB$42</f>
        <v>0</v>
      </c>
      <c r="W109" s="198">
        <f>Qty!AB74*'Hist. prices'!X74*W$42*$AB$42</f>
        <v>0</v>
      </c>
      <c r="X109" s="198">
        <f>Qty!AC74*'Hist. prices'!Y74*X$42*$AB$42</f>
        <v>0</v>
      </c>
      <c r="Y109" s="198">
        <f>Qty!AD74*'Hist. prices'!Z74*Y$42*$AB$42</f>
        <v>0</v>
      </c>
      <c r="Z109" s="198">
        <f>Qty!AE74*'Hist. prices'!AA74*Z$42*$AB$42</f>
        <v>0</v>
      </c>
      <c r="AA109" s="198">
        <f>Qty!AF74*'Hist. prices'!AB74*AA$42*$AB$42</f>
        <v>0</v>
      </c>
      <c r="AB109" s="68"/>
      <c r="AC109" s="19"/>
      <c r="AD109" s="19"/>
      <c r="AE109" s="19"/>
      <c r="AF109" s="19"/>
    </row>
    <row r="110" spans="1:32" hidden="1" outlineLevel="2" x14ac:dyDescent="0.2">
      <c r="A110" s="19"/>
      <c r="B110" s="19"/>
      <c r="C110" s="506">
        <f>Tariffs!C113</f>
        <v>0</v>
      </c>
      <c r="D110" s="505">
        <f>Tariffs!D113</f>
        <v>0</v>
      </c>
      <c r="E110" s="58"/>
      <c r="F110" s="213">
        <f t="shared" si="4"/>
        <v>0</v>
      </c>
      <c r="G110" s="58"/>
      <c r="H110" s="198">
        <f>Qty!M75*'Hist. prices'!I75*H$42*$AB$42</f>
        <v>0</v>
      </c>
      <c r="I110" s="198">
        <f>Qty!N75*'Hist. prices'!J75*I$42*$AB$42</f>
        <v>0</v>
      </c>
      <c r="J110" s="198">
        <f>Qty!O75*'Hist. prices'!K75*J$42*$AB$42</f>
        <v>0</v>
      </c>
      <c r="K110" s="198">
        <f>Qty!P75*'Hist. prices'!L75*K$42*$AB$42</f>
        <v>0</v>
      </c>
      <c r="L110" s="198">
        <f>Qty!Q75*'Hist. prices'!M75*L$42*$AB$42</f>
        <v>0</v>
      </c>
      <c r="M110" s="198">
        <f>Qty!R75*'Hist. prices'!N75*M$42*$AB$42</f>
        <v>0</v>
      </c>
      <c r="N110" s="198">
        <f>Qty!S75*'Hist. prices'!O75*N$42*$AB$42</f>
        <v>0</v>
      </c>
      <c r="O110" s="198">
        <f>Qty!T75*'Hist. prices'!P75*O$42*$AB$42</f>
        <v>0</v>
      </c>
      <c r="P110" s="198">
        <f>Qty!U75*'Hist. prices'!Q75*P$42*$AB$42</f>
        <v>0</v>
      </c>
      <c r="Q110" s="198">
        <f>Qty!V75*'Hist. prices'!R75*Q$42*$AB$42</f>
        <v>0</v>
      </c>
      <c r="R110" s="198">
        <f>Qty!W75*'Hist. prices'!S75*R$42*$AB$42</f>
        <v>0</v>
      </c>
      <c r="S110" s="198">
        <f>Qty!X75*'Hist. prices'!T75*S$42*$AB$42</f>
        <v>0</v>
      </c>
      <c r="T110" s="198">
        <f>Qty!Y75*'Hist. prices'!U75*T$42*$AB$42</f>
        <v>0</v>
      </c>
      <c r="U110" s="198">
        <f>Qty!Z75*'Hist. prices'!V75*U$42*$AB$42</f>
        <v>0</v>
      </c>
      <c r="V110" s="198">
        <f>Qty!AA75*'Hist. prices'!W75*V$42*$AB$42</f>
        <v>0</v>
      </c>
      <c r="W110" s="198">
        <f>Qty!AB75*'Hist. prices'!X75*W$42*$AB$42</f>
        <v>0</v>
      </c>
      <c r="X110" s="198">
        <f>Qty!AC75*'Hist. prices'!Y75*X$42*$AB$42</f>
        <v>0</v>
      </c>
      <c r="Y110" s="198">
        <f>Qty!AD75*'Hist. prices'!Z75*Y$42*$AB$42</f>
        <v>0</v>
      </c>
      <c r="Z110" s="198">
        <f>Qty!AE75*'Hist. prices'!AA75*Z$42*$AB$42</f>
        <v>0</v>
      </c>
      <c r="AA110" s="198">
        <f>Qty!AF75*'Hist. prices'!AB75*AA$42*$AB$42</f>
        <v>0</v>
      </c>
      <c r="AB110" s="68"/>
      <c r="AC110" s="19"/>
      <c r="AD110" s="19"/>
      <c r="AE110" s="19"/>
      <c r="AF110" s="19"/>
    </row>
    <row r="111" spans="1:32" hidden="1" outlineLevel="2" x14ac:dyDescent="0.2">
      <c r="A111" s="19"/>
      <c r="B111" s="19"/>
      <c r="C111" s="506">
        <f>Tariffs!C114</f>
        <v>0</v>
      </c>
      <c r="D111" s="505">
        <f>Tariffs!D114</f>
        <v>0</v>
      </c>
      <c r="E111" s="58"/>
      <c r="F111" s="213">
        <f t="shared" si="4"/>
        <v>0</v>
      </c>
      <c r="G111" s="58"/>
      <c r="H111" s="198">
        <f>Qty!M76*'Hist. prices'!I76*H$42*$AB$42</f>
        <v>0</v>
      </c>
      <c r="I111" s="198">
        <f>Qty!N76*'Hist. prices'!J76*I$42*$AB$42</f>
        <v>0</v>
      </c>
      <c r="J111" s="198">
        <f>Qty!O76*'Hist. prices'!K76*J$42*$AB$42</f>
        <v>0</v>
      </c>
      <c r="K111" s="198">
        <f>Qty!P76*'Hist. prices'!L76*K$42*$AB$42</f>
        <v>0</v>
      </c>
      <c r="L111" s="198">
        <f>Qty!Q76*'Hist. prices'!M76*L$42*$AB$42</f>
        <v>0</v>
      </c>
      <c r="M111" s="198">
        <f>Qty!R76*'Hist. prices'!N76*M$42*$AB$42</f>
        <v>0</v>
      </c>
      <c r="N111" s="198">
        <f>Qty!S76*'Hist. prices'!O76*N$42*$AB$42</f>
        <v>0</v>
      </c>
      <c r="O111" s="198">
        <f>Qty!T76*'Hist. prices'!P76*O$42*$AB$42</f>
        <v>0</v>
      </c>
      <c r="P111" s="198">
        <f>Qty!U76*'Hist. prices'!Q76*P$42*$AB$42</f>
        <v>0</v>
      </c>
      <c r="Q111" s="198">
        <f>Qty!V76*'Hist. prices'!R76*Q$42*$AB$42</f>
        <v>0</v>
      </c>
      <c r="R111" s="198">
        <f>Qty!W76*'Hist. prices'!S76*R$42*$AB$42</f>
        <v>0</v>
      </c>
      <c r="S111" s="198">
        <f>Qty!X76*'Hist. prices'!T76*S$42*$AB$42</f>
        <v>0</v>
      </c>
      <c r="T111" s="198">
        <f>Qty!Y76*'Hist. prices'!U76*T$42*$AB$42</f>
        <v>0</v>
      </c>
      <c r="U111" s="198">
        <f>Qty!Z76*'Hist. prices'!V76*U$42*$AB$42</f>
        <v>0</v>
      </c>
      <c r="V111" s="198">
        <f>Qty!AA76*'Hist. prices'!W76*V$42*$AB$42</f>
        <v>0</v>
      </c>
      <c r="W111" s="198">
        <f>Qty!AB76*'Hist. prices'!X76*W$42*$AB$42</f>
        <v>0</v>
      </c>
      <c r="X111" s="198">
        <f>Qty!AC76*'Hist. prices'!Y76*X$42*$AB$42</f>
        <v>0</v>
      </c>
      <c r="Y111" s="198">
        <f>Qty!AD76*'Hist. prices'!Z76*Y$42*$AB$42</f>
        <v>0</v>
      </c>
      <c r="Z111" s="198">
        <f>Qty!AE76*'Hist. prices'!AA76*Z$42*$AB$42</f>
        <v>0</v>
      </c>
      <c r="AA111" s="198">
        <f>Qty!AF76*'Hist. prices'!AB76*AA$42*$AB$42</f>
        <v>0</v>
      </c>
      <c r="AB111" s="68"/>
      <c r="AC111" s="19"/>
      <c r="AD111" s="19"/>
      <c r="AE111" s="19"/>
      <c r="AF111" s="19"/>
    </row>
    <row r="112" spans="1:32" hidden="1" outlineLevel="2" x14ac:dyDescent="0.2">
      <c r="A112" s="19"/>
      <c r="B112" s="19"/>
      <c r="C112" s="506">
        <f>Tariffs!C115</f>
        <v>0</v>
      </c>
      <c r="D112" s="505">
        <f>Tariffs!D115</f>
        <v>0</v>
      </c>
      <c r="E112" s="58"/>
      <c r="F112" s="213">
        <f t="shared" si="4"/>
        <v>0</v>
      </c>
      <c r="G112" s="58"/>
      <c r="H112" s="198">
        <f>Qty!M77*'Hist. prices'!I77*H$42*$AB$42</f>
        <v>0</v>
      </c>
      <c r="I112" s="198">
        <f>Qty!N77*'Hist. prices'!J77*I$42*$AB$42</f>
        <v>0</v>
      </c>
      <c r="J112" s="198">
        <f>Qty!O77*'Hist. prices'!K77*J$42*$AB$42</f>
        <v>0</v>
      </c>
      <c r="K112" s="198">
        <f>Qty!P77*'Hist. prices'!L77*K$42*$AB$42</f>
        <v>0</v>
      </c>
      <c r="L112" s="198">
        <f>Qty!Q77*'Hist. prices'!M77*L$42*$AB$42</f>
        <v>0</v>
      </c>
      <c r="M112" s="198">
        <f>Qty!R77*'Hist. prices'!N77*M$42*$AB$42</f>
        <v>0</v>
      </c>
      <c r="N112" s="198">
        <f>Qty!S77*'Hist. prices'!O77*N$42*$AB$42</f>
        <v>0</v>
      </c>
      <c r="O112" s="198">
        <f>Qty!T77*'Hist. prices'!P77*O$42*$AB$42</f>
        <v>0</v>
      </c>
      <c r="P112" s="198">
        <f>Qty!U77*'Hist. prices'!Q77*P$42*$AB$42</f>
        <v>0</v>
      </c>
      <c r="Q112" s="198">
        <f>Qty!V77*'Hist. prices'!R77*Q$42*$AB$42</f>
        <v>0</v>
      </c>
      <c r="R112" s="198">
        <f>Qty!W77*'Hist. prices'!S77*R$42*$AB$42</f>
        <v>0</v>
      </c>
      <c r="S112" s="198">
        <f>Qty!X77*'Hist. prices'!T77*S$42*$AB$42</f>
        <v>0</v>
      </c>
      <c r="T112" s="198">
        <f>Qty!Y77*'Hist. prices'!U77*T$42*$AB$42</f>
        <v>0</v>
      </c>
      <c r="U112" s="198">
        <f>Qty!Z77*'Hist. prices'!V77*U$42*$AB$42</f>
        <v>0</v>
      </c>
      <c r="V112" s="198">
        <f>Qty!AA77*'Hist. prices'!W77*V$42*$AB$42</f>
        <v>0</v>
      </c>
      <c r="W112" s="198">
        <f>Qty!AB77*'Hist. prices'!X77*W$42*$AB$42</f>
        <v>0</v>
      </c>
      <c r="X112" s="198">
        <f>Qty!AC77*'Hist. prices'!Y77*X$42*$AB$42</f>
        <v>0</v>
      </c>
      <c r="Y112" s="198">
        <f>Qty!AD77*'Hist. prices'!Z77*Y$42*$AB$42</f>
        <v>0</v>
      </c>
      <c r="Z112" s="198">
        <f>Qty!AE77*'Hist. prices'!AA77*Z$42*$AB$42</f>
        <v>0</v>
      </c>
      <c r="AA112" s="198">
        <f>Qty!AF77*'Hist. prices'!AB77*AA$42*$AB$42</f>
        <v>0</v>
      </c>
      <c r="AB112" s="68"/>
      <c r="AC112" s="19"/>
      <c r="AD112" s="19"/>
      <c r="AE112" s="19"/>
      <c r="AF112" s="19"/>
    </row>
    <row r="113" spans="1:32" hidden="1" outlineLevel="2" x14ac:dyDescent="0.2">
      <c r="A113" s="19"/>
      <c r="B113" s="19"/>
      <c r="C113" s="506">
        <f>Tariffs!C116</f>
        <v>0</v>
      </c>
      <c r="D113" s="505">
        <f>Tariffs!D116</f>
        <v>0</v>
      </c>
      <c r="E113" s="58"/>
      <c r="F113" s="213">
        <f t="shared" si="4"/>
        <v>0</v>
      </c>
      <c r="G113" s="58"/>
      <c r="H113" s="198">
        <f>Qty!M78*'Hist. prices'!I78*H$42*$AB$42</f>
        <v>0</v>
      </c>
      <c r="I113" s="198">
        <f>Qty!N78*'Hist. prices'!J78*I$42*$AB$42</f>
        <v>0</v>
      </c>
      <c r="J113" s="198">
        <f>Qty!O78*'Hist. prices'!K78*J$42*$AB$42</f>
        <v>0</v>
      </c>
      <c r="K113" s="198">
        <f>Qty!P78*'Hist. prices'!L78*K$42*$AB$42</f>
        <v>0</v>
      </c>
      <c r="L113" s="198">
        <f>Qty!Q78*'Hist. prices'!M78*L$42*$AB$42</f>
        <v>0</v>
      </c>
      <c r="M113" s="198">
        <f>Qty!R78*'Hist. prices'!N78*M$42*$AB$42</f>
        <v>0</v>
      </c>
      <c r="N113" s="198">
        <f>Qty!S78*'Hist. prices'!O78*N$42*$AB$42</f>
        <v>0</v>
      </c>
      <c r="O113" s="198">
        <f>Qty!T78*'Hist. prices'!P78*O$42*$AB$42</f>
        <v>0</v>
      </c>
      <c r="P113" s="198">
        <f>Qty!U78*'Hist. prices'!Q78*P$42*$AB$42</f>
        <v>0</v>
      </c>
      <c r="Q113" s="198">
        <f>Qty!V78*'Hist. prices'!R78*Q$42*$AB$42</f>
        <v>0</v>
      </c>
      <c r="R113" s="198">
        <f>Qty!W78*'Hist. prices'!S78*R$42*$AB$42</f>
        <v>0</v>
      </c>
      <c r="S113" s="198">
        <f>Qty!X78*'Hist. prices'!T78*S$42*$AB$42</f>
        <v>0</v>
      </c>
      <c r="T113" s="198">
        <f>Qty!Y78*'Hist. prices'!U78*T$42*$AB$42</f>
        <v>0</v>
      </c>
      <c r="U113" s="198">
        <f>Qty!Z78*'Hist. prices'!V78*U$42*$AB$42</f>
        <v>0</v>
      </c>
      <c r="V113" s="198">
        <f>Qty!AA78*'Hist. prices'!W78*V$42*$AB$42</f>
        <v>0</v>
      </c>
      <c r="W113" s="198">
        <f>Qty!AB78*'Hist. prices'!X78*W$42*$AB$42</f>
        <v>0</v>
      </c>
      <c r="X113" s="198">
        <f>Qty!AC78*'Hist. prices'!Y78*X$42*$AB$42</f>
        <v>0</v>
      </c>
      <c r="Y113" s="198">
        <f>Qty!AD78*'Hist. prices'!Z78*Y$42*$AB$42</f>
        <v>0</v>
      </c>
      <c r="Z113" s="198">
        <f>Qty!AE78*'Hist. prices'!AA78*Z$42*$AB$42</f>
        <v>0</v>
      </c>
      <c r="AA113" s="198">
        <f>Qty!AF78*'Hist. prices'!AB78*AA$42*$AB$42</f>
        <v>0</v>
      </c>
      <c r="AB113" s="68"/>
      <c r="AC113" s="19"/>
      <c r="AD113" s="19"/>
      <c r="AE113" s="19"/>
      <c r="AF113" s="19"/>
    </row>
    <row r="114" spans="1:32" hidden="1" outlineLevel="2" x14ac:dyDescent="0.2">
      <c r="A114" s="19"/>
      <c r="B114" s="19"/>
      <c r="C114" s="506">
        <f>Tariffs!C117</f>
        <v>0</v>
      </c>
      <c r="D114" s="505">
        <f>Tariffs!D117</f>
        <v>0</v>
      </c>
      <c r="E114" s="58"/>
      <c r="F114" s="213">
        <f t="shared" si="4"/>
        <v>0</v>
      </c>
      <c r="G114" s="58"/>
      <c r="H114" s="198">
        <f>Qty!M79*'Hist. prices'!I79*H$42*$AB$42</f>
        <v>0</v>
      </c>
      <c r="I114" s="198">
        <f>Qty!N79*'Hist. prices'!J79*I$42*$AB$42</f>
        <v>0</v>
      </c>
      <c r="J114" s="198">
        <f>Qty!O79*'Hist. prices'!K79*J$42*$AB$42</f>
        <v>0</v>
      </c>
      <c r="K114" s="198">
        <f>Qty!P79*'Hist. prices'!L79*K$42*$AB$42</f>
        <v>0</v>
      </c>
      <c r="L114" s="198">
        <f>Qty!Q79*'Hist. prices'!M79*L$42*$AB$42</f>
        <v>0</v>
      </c>
      <c r="M114" s="198">
        <f>Qty!R79*'Hist. prices'!N79*M$42*$AB$42</f>
        <v>0</v>
      </c>
      <c r="N114" s="198">
        <f>Qty!S79*'Hist. prices'!O79*N$42*$AB$42</f>
        <v>0</v>
      </c>
      <c r="O114" s="198">
        <f>Qty!T79*'Hist. prices'!P79*O$42*$AB$42</f>
        <v>0</v>
      </c>
      <c r="P114" s="198">
        <f>Qty!U79*'Hist. prices'!Q79*P$42*$AB$42</f>
        <v>0</v>
      </c>
      <c r="Q114" s="198">
        <f>Qty!V79*'Hist. prices'!R79*Q$42*$AB$42</f>
        <v>0</v>
      </c>
      <c r="R114" s="198">
        <f>Qty!W79*'Hist. prices'!S79*R$42*$AB$42</f>
        <v>0</v>
      </c>
      <c r="S114" s="198">
        <f>Qty!X79*'Hist. prices'!T79*S$42*$AB$42</f>
        <v>0</v>
      </c>
      <c r="T114" s="198">
        <f>Qty!Y79*'Hist. prices'!U79*T$42*$AB$42</f>
        <v>0</v>
      </c>
      <c r="U114" s="198">
        <f>Qty!Z79*'Hist. prices'!V79*U$42*$AB$42</f>
        <v>0</v>
      </c>
      <c r="V114" s="198">
        <f>Qty!AA79*'Hist. prices'!W79*V$42*$AB$42</f>
        <v>0</v>
      </c>
      <c r="W114" s="198">
        <f>Qty!AB79*'Hist. prices'!X79*W$42*$AB$42</f>
        <v>0</v>
      </c>
      <c r="X114" s="198">
        <f>Qty!AC79*'Hist. prices'!Y79*X$42*$AB$42</f>
        <v>0</v>
      </c>
      <c r="Y114" s="198">
        <f>Qty!AD79*'Hist. prices'!Z79*Y$42*$AB$42</f>
        <v>0</v>
      </c>
      <c r="Z114" s="198">
        <f>Qty!AE79*'Hist. prices'!AA79*Z$42*$AB$42</f>
        <v>0</v>
      </c>
      <c r="AA114" s="198">
        <f>Qty!AF79*'Hist. prices'!AB79*AA$42*$AB$42</f>
        <v>0</v>
      </c>
      <c r="AB114" s="68"/>
      <c r="AC114" s="19"/>
      <c r="AD114" s="19"/>
      <c r="AE114" s="19"/>
      <c r="AF114" s="19"/>
    </row>
    <row r="115" spans="1:32" hidden="1" outlineLevel="2" x14ac:dyDescent="0.2">
      <c r="A115" s="19"/>
      <c r="B115" s="19"/>
      <c r="C115" s="506">
        <f>Tariffs!C118</f>
        <v>0</v>
      </c>
      <c r="D115" s="505">
        <f>Tariffs!D118</f>
        <v>0</v>
      </c>
      <c r="E115" s="58"/>
      <c r="F115" s="213">
        <f t="shared" si="4"/>
        <v>0</v>
      </c>
      <c r="G115" s="58"/>
      <c r="H115" s="198">
        <f>Qty!M80*'Hist. prices'!I80*H$42*$AB$42</f>
        <v>0</v>
      </c>
      <c r="I115" s="198">
        <f>Qty!N80*'Hist. prices'!J80*I$42*$AB$42</f>
        <v>0</v>
      </c>
      <c r="J115" s="198">
        <f>Qty!O80*'Hist. prices'!K80*J$42*$AB$42</f>
        <v>0</v>
      </c>
      <c r="K115" s="198">
        <f>Qty!P80*'Hist. prices'!L80*K$42*$AB$42</f>
        <v>0</v>
      </c>
      <c r="L115" s="198">
        <f>Qty!Q80*'Hist. prices'!M80*L$42*$AB$42</f>
        <v>0</v>
      </c>
      <c r="M115" s="198">
        <f>Qty!R80*'Hist. prices'!N80*M$42*$AB$42</f>
        <v>0</v>
      </c>
      <c r="N115" s="198">
        <f>Qty!S80*'Hist. prices'!O80*N$42*$AB$42</f>
        <v>0</v>
      </c>
      <c r="O115" s="198">
        <f>Qty!T80*'Hist. prices'!P80*O$42*$AB$42</f>
        <v>0</v>
      </c>
      <c r="P115" s="198">
        <f>Qty!U80*'Hist. prices'!Q80*P$42*$AB$42</f>
        <v>0</v>
      </c>
      <c r="Q115" s="198">
        <f>Qty!V80*'Hist. prices'!R80*Q$42*$AB$42</f>
        <v>0</v>
      </c>
      <c r="R115" s="198">
        <f>Qty!W80*'Hist. prices'!S80*R$42*$AB$42</f>
        <v>0</v>
      </c>
      <c r="S115" s="198">
        <f>Qty!X80*'Hist. prices'!T80*S$42*$AB$42</f>
        <v>0</v>
      </c>
      <c r="T115" s="198">
        <f>Qty!Y80*'Hist. prices'!U80*T$42*$AB$42</f>
        <v>0</v>
      </c>
      <c r="U115" s="198">
        <f>Qty!Z80*'Hist. prices'!V80*U$42*$AB$42</f>
        <v>0</v>
      </c>
      <c r="V115" s="198">
        <f>Qty!AA80*'Hist. prices'!W80*V$42*$AB$42</f>
        <v>0</v>
      </c>
      <c r="W115" s="198">
        <f>Qty!AB80*'Hist. prices'!X80*W$42*$AB$42</f>
        <v>0</v>
      </c>
      <c r="X115" s="198">
        <f>Qty!AC80*'Hist. prices'!Y80*X$42*$AB$42</f>
        <v>0</v>
      </c>
      <c r="Y115" s="198">
        <f>Qty!AD80*'Hist. prices'!Z80*Y$42*$AB$42</f>
        <v>0</v>
      </c>
      <c r="Z115" s="198">
        <f>Qty!AE80*'Hist. prices'!AA80*Z$42*$AB$42</f>
        <v>0</v>
      </c>
      <c r="AA115" s="198">
        <f>Qty!AF80*'Hist. prices'!AB80*AA$42*$AB$42</f>
        <v>0</v>
      </c>
      <c r="AB115" s="68"/>
      <c r="AC115" s="19"/>
      <c r="AD115" s="19"/>
      <c r="AE115" s="19"/>
      <c r="AF115" s="19"/>
    </row>
    <row r="116" spans="1:32" hidden="1" outlineLevel="2" x14ac:dyDescent="0.2">
      <c r="A116" s="19"/>
      <c r="B116" s="19"/>
      <c r="C116" s="506">
        <f>Tariffs!C119</f>
        <v>0</v>
      </c>
      <c r="D116" s="505">
        <f>Tariffs!D119</f>
        <v>0</v>
      </c>
      <c r="E116" s="58"/>
      <c r="F116" s="213">
        <f t="shared" si="4"/>
        <v>0</v>
      </c>
      <c r="G116" s="58"/>
      <c r="H116" s="198">
        <f>Qty!M81*'Hist. prices'!I81*H$42*$AB$42</f>
        <v>0</v>
      </c>
      <c r="I116" s="198">
        <f>Qty!N81*'Hist. prices'!J81*I$42*$AB$42</f>
        <v>0</v>
      </c>
      <c r="J116" s="198">
        <f>Qty!O81*'Hist. prices'!K81*J$42*$AB$42</f>
        <v>0</v>
      </c>
      <c r="K116" s="198">
        <f>Qty!P81*'Hist. prices'!L81*K$42*$AB$42</f>
        <v>0</v>
      </c>
      <c r="L116" s="198">
        <f>Qty!Q81*'Hist. prices'!M81*L$42*$AB$42</f>
        <v>0</v>
      </c>
      <c r="M116" s="198">
        <f>Qty!R81*'Hist. prices'!N81*M$42*$AB$42</f>
        <v>0</v>
      </c>
      <c r="N116" s="198">
        <f>Qty!S81*'Hist. prices'!O81*N$42*$AB$42</f>
        <v>0</v>
      </c>
      <c r="O116" s="198">
        <f>Qty!T81*'Hist. prices'!P81*O$42*$AB$42</f>
        <v>0</v>
      </c>
      <c r="P116" s="198">
        <f>Qty!U81*'Hist. prices'!Q81*P$42*$AB$42</f>
        <v>0</v>
      </c>
      <c r="Q116" s="198">
        <f>Qty!V81*'Hist. prices'!R81*Q$42*$AB$42</f>
        <v>0</v>
      </c>
      <c r="R116" s="198">
        <f>Qty!W81*'Hist. prices'!S81*R$42*$AB$42</f>
        <v>0</v>
      </c>
      <c r="S116" s="198">
        <f>Qty!X81*'Hist. prices'!T81*S$42*$AB$42</f>
        <v>0</v>
      </c>
      <c r="T116" s="198">
        <f>Qty!Y81*'Hist. prices'!U81*T$42*$AB$42</f>
        <v>0</v>
      </c>
      <c r="U116" s="198">
        <f>Qty!Z81*'Hist. prices'!V81*U$42*$AB$42</f>
        <v>0</v>
      </c>
      <c r="V116" s="198">
        <f>Qty!AA81*'Hist. prices'!W81*V$42*$AB$42</f>
        <v>0</v>
      </c>
      <c r="W116" s="198">
        <f>Qty!AB81*'Hist. prices'!X81*W$42*$AB$42</f>
        <v>0</v>
      </c>
      <c r="X116" s="198">
        <f>Qty!AC81*'Hist. prices'!Y81*X$42*$AB$42</f>
        <v>0</v>
      </c>
      <c r="Y116" s="198">
        <f>Qty!AD81*'Hist. prices'!Z81*Y$42*$AB$42</f>
        <v>0</v>
      </c>
      <c r="Z116" s="198">
        <f>Qty!AE81*'Hist. prices'!AA81*Z$42*$AB$42</f>
        <v>0</v>
      </c>
      <c r="AA116" s="198">
        <f>Qty!AF81*'Hist. prices'!AB81*AA$42*$AB$42</f>
        <v>0</v>
      </c>
      <c r="AB116" s="68"/>
      <c r="AC116" s="19"/>
      <c r="AD116" s="19"/>
      <c r="AE116" s="19"/>
      <c r="AF116" s="19"/>
    </row>
    <row r="117" spans="1:32" hidden="1" outlineLevel="2" x14ac:dyDescent="0.2">
      <c r="A117" s="19"/>
      <c r="B117" s="19"/>
      <c r="C117" s="506">
        <f>Tariffs!C120</f>
        <v>0</v>
      </c>
      <c r="D117" s="505">
        <f>Tariffs!D120</f>
        <v>0</v>
      </c>
      <c r="E117" s="58"/>
      <c r="F117" s="213">
        <f t="shared" si="4"/>
        <v>0</v>
      </c>
      <c r="G117" s="58"/>
      <c r="H117" s="198">
        <f>Qty!M82*'Hist. prices'!I82*H$42*$AB$42</f>
        <v>0</v>
      </c>
      <c r="I117" s="198">
        <f>Qty!N82*'Hist. prices'!J82*I$42*$AB$42</f>
        <v>0</v>
      </c>
      <c r="J117" s="198">
        <f>Qty!O82*'Hist. prices'!K82*J$42*$AB$42</f>
        <v>0</v>
      </c>
      <c r="K117" s="198">
        <f>Qty!P82*'Hist. prices'!L82*K$42*$AB$42</f>
        <v>0</v>
      </c>
      <c r="L117" s="198">
        <f>Qty!Q82*'Hist. prices'!M82*L$42*$AB$42</f>
        <v>0</v>
      </c>
      <c r="M117" s="198">
        <f>Qty!R82*'Hist. prices'!N82*M$42*$AB$42</f>
        <v>0</v>
      </c>
      <c r="N117" s="198">
        <f>Qty!S82*'Hist. prices'!O82*N$42*$AB$42</f>
        <v>0</v>
      </c>
      <c r="O117" s="198">
        <f>Qty!T82*'Hist. prices'!P82*O$42*$AB$42</f>
        <v>0</v>
      </c>
      <c r="P117" s="198">
        <f>Qty!U82*'Hist. prices'!Q82*P$42*$AB$42</f>
        <v>0</v>
      </c>
      <c r="Q117" s="198">
        <f>Qty!V82*'Hist. prices'!R82*Q$42*$AB$42</f>
        <v>0</v>
      </c>
      <c r="R117" s="198">
        <f>Qty!W82*'Hist. prices'!S82*R$42*$AB$42</f>
        <v>0</v>
      </c>
      <c r="S117" s="198">
        <f>Qty!X82*'Hist. prices'!T82*S$42*$AB$42</f>
        <v>0</v>
      </c>
      <c r="T117" s="198">
        <f>Qty!Y82*'Hist. prices'!U82*T$42*$AB$42</f>
        <v>0</v>
      </c>
      <c r="U117" s="198">
        <f>Qty!Z82*'Hist. prices'!V82*U$42*$AB$42</f>
        <v>0</v>
      </c>
      <c r="V117" s="198">
        <f>Qty!AA82*'Hist. prices'!W82*V$42*$AB$42</f>
        <v>0</v>
      </c>
      <c r="W117" s="198">
        <f>Qty!AB82*'Hist. prices'!X82*W$42*$AB$42</f>
        <v>0</v>
      </c>
      <c r="X117" s="198">
        <f>Qty!AC82*'Hist. prices'!Y82*X$42*$AB$42</f>
        <v>0</v>
      </c>
      <c r="Y117" s="198">
        <f>Qty!AD82*'Hist. prices'!Z82*Y$42*$AB$42</f>
        <v>0</v>
      </c>
      <c r="Z117" s="198">
        <f>Qty!AE82*'Hist. prices'!AA82*Z$42*$AB$42</f>
        <v>0</v>
      </c>
      <c r="AA117" s="198">
        <f>Qty!AF82*'Hist. prices'!AB82*AA$42*$AB$42</f>
        <v>0</v>
      </c>
      <c r="AB117" s="68"/>
      <c r="AC117" s="19"/>
      <c r="AD117" s="19"/>
      <c r="AE117" s="19"/>
      <c r="AF117" s="19"/>
    </row>
    <row r="118" spans="1:32" outlineLevel="1" collapsed="1" x14ac:dyDescent="0.2">
      <c r="A118" s="19"/>
      <c r="B118" s="19"/>
      <c r="C118" s="560"/>
      <c r="D118" s="559"/>
      <c r="E118" s="58"/>
      <c r="F118" s="58"/>
      <c r="G118" s="58"/>
      <c r="H118" s="67"/>
      <c r="I118" s="67"/>
      <c r="J118" s="68"/>
      <c r="K118" s="68"/>
      <c r="L118" s="68"/>
      <c r="M118" s="69"/>
      <c r="N118" s="69"/>
      <c r="O118" s="69"/>
      <c r="P118" s="69"/>
      <c r="Q118" s="69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19"/>
      <c r="AD118" s="19"/>
      <c r="AE118" s="19"/>
      <c r="AF118" s="19"/>
    </row>
    <row r="119" spans="1:32" x14ac:dyDescent="0.2">
      <c r="A119" s="19"/>
      <c r="B119" s="19"/>
      <c r="C119" s="66"/>
      <c r="D119" s="58"/>
      <c r="E119" s="58"/>
      <c r="F119" s="58"/>
      <c r="G119" s="58"/>
      <c r="H119" s="67"/>
      <c r="I119" s="67"/>
      <c r="J119" s="68"/>
      <c r="K119" s="68"/>
      <c r="L119" s="68"/>
      <c r="M119" s="69"/>
      <c r="N119" s="69"/>
      <c r="O119" s="69"/>
      <c r="P119" s="69"/>
      <c r="Q119" s="69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19"/>
      <c r="AD119" s="19"/>
      <c r="AE119" s="19"/>
      <c r="AF119" s="19"/>
    </row>
    <row r="120" spans="1:32" s="35" customFormat="1" x14ac:dyDescent="0.2">
      <c r="A120" s="11"/>
      <c r="B120" s="12" t="s">
        <v>660</v>
      </c>
      <c r="C120" s="11"/>
      <c r="D120" s="32" t="s">
        <v>3</v>
      </c>
      <c r="E120" s="32" t="s">
        <v>253</v>
      </c>
      <c r="F120" s="344"/>
      <c r="G120" s="344"/>
      <c r="H120" s="35" t="str">
        <f>RCP_firstyear</f>
        <v>2019–20</v>
      </c>
      <c r="I120" s="35" t="str">
        <f>RCP_secondyear</f>
        <v>2020–21</v>
      </c>
      <c r="J120" s="35" t="str">
        <f>RCP_thirdyear</f>
        <v>2021–22</v>
      </c>
      <c r="K120" s="35" t="str">
        <f>RCP_fourthyear</f>
        <v>2022–23</v>
      </c>
      <c r="L120" s="35" t="str">
        <f>RCP_lastyear</f>
        <v>2023–24</v>
      </c>
      <c r="M120" s="33"/>
      <c r="N120" s="33"/>
      <c r="O120" s="33"/>
      <c r="P120" s="33"/>
      <c r="Q120" s="33"/>
    </row>
    <row r="121" spans="1:32" hidden="1" outlineLevel="1" x14ac:dyDescent="0.2">
      <c r="A121" s="9"/>
      <c r="B121" s="9"/>
      <c r="C121" s="9"/>
      <c r="D121" s="10"/>
      <c r="E121" s="10"/>
      <c r="F121" s="93"/>
      <c r="G121" s="93"/>
      <c r="H121" s="93"/>
      <c r="I121" s="10"/>
      <c r="J121" s="10"/>
      <c r="K121" s="10"/>
      <c r="L121" s="10"/>
      <c r="M121" s="10"/>
      <c r="N121" s="50"/>
      <c r="O121" s="50"/>
      <c r="P121" s="50"/>
      <c r="Q121" s="50"/>
      <c r="R121" s="50"/>
      <c r="S121" s="50"/>
      <c r="T121" s="50"/>
      <c r="U121" s="50"/>
      <c r="V121" s="9"/>
      <c r="W121" s="9"/>
      <c r="X121" s="9"/>
      <c r="Y121" s="9"/>
      <c r="Z121" s="9"/>
      <c r="AA121" s="9"/>
    </row>
    <row r="122" spans="1:32" hidden="1" outlineLevel="1" x14ac:dyDescent="0.2">
      <c r="A122" s="9"/>
      <c r="B122" s="9"/>
      <c r="C122" s="492" t="str">
        <f>C7</f>
        <v>Inflation</v>
      </c>
      <c r="D122" s="557" t="str">
        <f>D7</f>
        <v>'TAR'!</v>
      </c>
      <c r="E122" s="165" t="s">
        <v>19</v>
      </c>
      <c r="F122" s="20"/>
      <c r="G122" s="20"/>
      <c r="H122" s="95"/>
      <c r="I122" s="214">
        <f>TAR!N7</f>
        <v>1.8404907975460238E-2</v>
      </c>
      <c r="J122" s="214">
        <f>TAR!O7</f>
        <v>8.6058519793459354E-3</v>
      </c>
      <c r="K122" s="214">
        <f>TAR!P7</f>
        <v>3.4982935153583528E-2</v>
      </c>
      <c r="L122" s="214">
        <f>TAR!Q7</f>
        <v>0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9"/>
      <c r="W122" s="9"/>
      <c r="X122" s="9"/>
      <c r="Y122" s="9"/>
      <c r="Z122" s="9"/>
      <c r="AA122" s="9"/>
    </row>
    <row r="123" spans="1:32" hidden="1" outlineLevel="1" x14ac:dyDescent="0.2">
      <c r="A123" s="9"/>
      <c r="B123" s="9"/>
      <c r="C123" s="492" t="s">
        <v>101</v>
      </c>
      <c r="D123" s="557" t="str">
        <f>D122</f>
        <v>'TAR'!</v>
      </c>
      <c r="E123" s="165" t="s">
        <v>19</v>
      </c>
      <c r="F123" s="20"/>
      <c r="G123" s="20"/>
      <c r="H123" s="95"/>
      <c r="I123" s="214">
        <f>TAR!N36</f>
        <v>0</v>
      </c>
      <c r="J123" s="214">
        <f>TAR!O36</f>
        <v>0</v>
      </c>
      <c r="K123" s="214">
        <f>TAR!P36</f>
        <v>0</v>
      </c>
      <c r="L123" s="214">
        <f>TAR!Q36</f>
        <v>0</v>
      </c>
      <c r="M123" s="50"/>
      <c r="N123" s="50"/>
      <c r="O123" s="50"/>
      <c r="P123" s="50"/>
      <c r="Q123" s="50"/>
      <c r="R123" s="50"/>
      <c r="S123" s="50"/>
      <c r="T123" s="50"/>
      <c r="U123" s="50"/>
      <c r="V123" s="9"/>
      <c r="W123" s="9"/>
      <c r="X123" s="9"/>
      <c r="Y123" s="9"/>
      <c r="Z123" s="9"/>
      <c r="AA123" s="9"/>
    </row>
    <row r="124" spans="1:32" hidden="1" outlineLevel="1" x14ac:dyDescent="0.2">
      <c r="A124" s="19"/>
      <c r="B124" s="19"/>
      <c r="C124" s="561"/>
      <c r="D124" s="512"/>
      <c r="E124" s="529"/>
      <c r="F124" s="20"/>
      <c r="G124" s="20"/>
      <c r="H124" s="52"/>
      <c r="I124" s="52"/>
      <c r="J124" s="52"/>
      <c r="K124" s="52"/>
      <c r="L124" s="52"/>
      <c r="M124" s="94"/>
      <c r="N124" s="94"/>
      <c r="O124" s="94"/>
      <c r="P124" s="94"/>
      <c r="Q124" s="94"/>
      <c r="R124" s="94"/>
      <c r="S124" s="94"/>
      <c r="T124" s="94"/>
      <c r="U124" s="94"/>
      <c r="V124" s="19"/>
      <c r="W124" s="19"/>
      <c r="X124" s="19"/>
      <c r="Y124" s="19"/>
      <c r="Z124" s="19"/>
      <c r="AA124" s="19"/>
    </row>
    <row r="125" spans="1:32" hidden="1" outlineLevel="1" x14ac:dyDescent="0.2">
      <c r="A125" s="9"/>
      <c r="B125" s="9"/>
      <c r="C125" s="492" t="s">
        <v>227</v>
      </c>
      <c r="D125" s="557" t="s">
        <v>105</v>
      </c>
      <c r="E125" s="165" t="s">
        <v>19</v>
      </c>
      <c r="F125" s="20"/>
      <c r="G125" s="20"/>
      <c r="H125" s="95"/>
      <c r="I125" s="199">
        <f>IFERROR((TAR!N37-TAR!M37)/$I$137,0)</f>
        <v>0</v>
      </c>
      <c r="J125" s="199">
        <f>IFERROR((TAR!O37-TAR!N37)/$I$137,0)</f>
        <v>0</v>
      </c>
      <c r="K125" s="199">
        <f>IFERROR((TAR!P37-TAR!O37)/$I$137,0)</f>
        <v>0</v>
      </c>
      <c r="L125" s="199">
        <f>IFERROR((TAR!Q37-TAR!P37)/$I$137,0)</f>
        <v>0</v>
      </c>
      <c r="M125" s="50"/>
      <c r="N125" s="50"/>
      <c r="O125" s="50"/>
      <c r="P125" s="50"/>
      <c r="Q125" s="50"/>
      <c r="R125" s="50"/>
      <c r="S125" s="50"/>
      <c r="T125" s="50"/>
      <c r="U125" s="50"/>
      <c r="V125" s="9"/>
      <c r="W125" s="9"/>
      <c r="X125" s="9"/>
      <c r="Y125" s="9"/>
      <c r="Z125" s="9"/>
      <c r="AA125" s="9"/>
    </row>
    <row r="126" spans="1:32" hidden="1" outlineLevel="1" x14ac:dyDescent="0.2">
      <c r="A126" s="9"/>
      <c r="B126" s="9"/>
      <c r="C126" s="492" t="s">
        <v>226</v>
      </c>
      <c r="D126" s="557" t="s">
        <v>105</v>
      </c>
      <c r="E126" s="165" t="s">
        <v>19</v>
      </c>
      <c r="F126" s="20"/>
      <c r="G126" s="20"/>
      <c r="H126" s="95"/>
      <c r="I126" s="199">
        <f>IFERROR((TAR!N38-TAR!M38)/$I$137,0)</f>
        <v>0</v>
      </c>
      <c r="J126" s="199">
        <f>IFERROR((TAR!O38-TAR!N38)/$I$137,0)</f>
        <v>0</v>
      </c>
      <c r="K126" s="199">
        <f>IFERROR((TAR!P38-TAR!O38)/$I$137,0)</f>
        <v>0</v>
      </c>
      <c r="L126" s="199">
        <f>IFERROR((TAR!Q38-TAR!P38)/$I$137,0)</f>
        <v>0</v>
      </c>
      <c r="M126" s="50"/>
      <c r="N126" s="50"/>
      <c r="O126" s="50"/>
      <c r="P126" s="50"/>
      <c r="Q126" s="50"/>
      <c r="R126" s="50"/>
      <c r="S126" s="50"/>
      <c r="T126" s="50"/>
      <c r="U126" s="50"/>
      <c r="V126" s="9"/>
      <c r="W126" s="9"/>
      <c r="X126" s="9"/>
      <c r="Y126" s="9"/>
      <c r="Z126" s="9"/>
      <c r="AA126" s="9"/>
    </row>
    <row r="127" spans="1:32" hidden="1" outlineLevel="1" x14ac:dyDescent="0.2">
      <c r="A127" s="9"/>
      <c r="B127" s="9"/>
      <c r="C127" s="515" t="s">
        <v>255</v>
      </c>
      <c r="D127" s="557" t="s">
        <v>105</v>
      </c>
      <c r="E127" s="165" t="s">
        <v>19</v>
      </c>
      <c r="F127" s="20"/>
      <c r="G127" s="20"/>
      <c r="H127" s="95"/>
      <c r="I127" s="214">
        <f>(1+I122)*(1-I123)*(1+2%)+I125+I126-1</f>
        <v>3.8773006134969368E-2</v>
      </c>
      <c r="J127" s="214">
        <f>(1+J122)*(1-J123)*(1+2%)+J125+J126-1</f>
        <v>2.8777969018932925E-2</v>
      </c>
      <c r="K127" s="214">
        <f>(1+K122)*(1-K123)*(1+2%)+K125+K126-1</f>
        <v>5.5682593856655194E-2</v>
      </c>
      <c r="L127" s="214">
        <f>(1+L122)*(1-L123)*(1+2%)+L125+L126-1</f>
        <v>2.0000000000000018E-2</v>
      </c>
      <c r="M127" s="50"/>
      <c r="N127" s="50"/>
      <c r="O127" s="50"/>
      <c r="P127" s="50"/>
      <c r="Q127" s="50"/>
      <c r="R127" s="50"/>
      <c r="S127" s="50"/>
      <c r="T127" s="50"/>
      <c r="U127" s="50"/>
      <c r="V127" s="9"/>
      <c r="W127" s="9"/>
      <c r="X127" s="9"/>
      <c r="Y127" s="9"/>
      <c r="Z127" s="9"/>
      <c r="AA127" s="9"/>
    </row>
    <row r="128" spans="1:32" hidden="1" outlineLevel="1" x14ac:dyDescent="0.2">
      <c r="A128" s="19"/>
      <c r="B128" s="19"/>
      <c r="C128" s="555"/>
      <c r="D128" s="512"/>
      <c r="E128" s="529"/>
      <c r="F128" s="20"/>
      <c r="G128" s="20"/>
      <c r="H128" s="52"/>
      <c r="I128" s="52"/>
      <c r="J128" s="52"/>
      <c r="K128" s="52"/>
      <c r="L128" s="52"/>
      <c r="M128" s="94"/>
      <c r="N128" s="94"/>
      <c r="O128" s="94"/>
      <c r="P128" s="94"/>
      <c r="Q128" s="94"/>
      <c r="R128" s="94"/>
      <c r="S128" s="94"/>
      <c r="T128" s="94"/>
      <c r="U128" s="94"/>
      <c r="V128" s="19"/>
      <c r="W128" s="19"/>
      <c r="X128" s="19"/>
      <c r="Y128" s="19"/>
      <c r="Z128" s="19"/>
      <c r="AA128" s="19"/>
    </row>
    <row r="129" spans="1:32" hidden="1" outlineLevel="1" x14ac:dyDescent="0.2">
      <c r="A129" s="19"/>
      <c r="B129" s="19"/>
      <c r="C129" s="208" t="s">
        <v>260</v>
      </c>
      <c r="D129" s="512"/>
      <c r="E129" s="530"/>
      <c r="F129" s="20"/>
      <c r="G129" s="20"/>
      <c r="H129" s="20"/>
      <c r="I129" s="215" t="str">
        <f>currentyear&amp;" SC revenue"</f>
        <v>2021–22 SC revenue</v>
      </c>
      <c r="J129" s="20"/>
      <c r="K129" s="215" t="str">
        <f>forecastyear</f>
        <v>2022–23</v>
      </c>
      <c r="L129" s="20"/>
      <c r="M129" s="94"/>
      <c r="N129" s="94"/>
      <c r="O129" s="94"/>
      <c r="P129" s="94"/>
      <c r="Q129" s="94"/>
      <c r="R129" s="94"/>
      <c r="S129" s="94"/>
      <c r="T129" s="94"/>
      <c r="U129" s="94"/>
      <c r="V129" s="19"/>
      <c r="W129" s="19"/>
      <c r="X129" s="19"/>
      <c r="Y129" s="19"/>
      <c r="Z129" s="19"/>
      <c r="AA129" s="19"/>
    </row>
    <row r="130" spans="1:32" hidden="1" outlineLevel="1" x14ac:dyDescent="0.2">
      <c r="A130" s="9"/>
      <c r="B130" s="9"/>
      <c r="C130" s="492">
        <f>'Rev. summary'!C125</f>
        <v>0</v>
      </c>
      <c r="D130" s="557"/>
      <c r="E130" s="458">
        <f t="shared" ref="E130:E137" si="5">IF(C130=0,0,revenueunits)</f>
        <v>0</v>
      </c>
      <c r="F130" s="20"/>
      <c r="G130" s="20"/>
      <c r="H130" s="20"/>
      <c r="I130" s="236">
        <f>INDEX(Metering!$K42:$R42,1,MATCH(currentyear,Metering!$K$39:$R$39,0))*INDEX(Metering!$K51:$R51,1,MATCH(forecastyear,Metering!$K$39:$R$39,0))*revenuemultiplier*$AB$42</f>
        <v>0</v>
      </c>
      <c r="J130" s="242"/>
      <c r="K130" s="236">
        <f>'Rev. summary'!Q125*$AB$42</f>
        <v>0</v>
      </c>
      <c r="L130" s="20"/>
      <c r="M130" s="50"/>
      <c r="N130" s="50"/>
      <c r="O130" s="50"/>
      <c r="P130" s="50"/>
      <c r="Q130" s="50"/>
      <c r="R130" s="50"/>
      <c r="S130" s="50"/>
      <c r="T130" s="50"/>
      <c r="U130" s="50"/>
      <c r="V130" s="9"/>
      <c r="W130" s="9"/>
      <c r="X130" s="9"/>
      <c r="Y130" s="9"/>
      <c r="Z130" s="9"/>
      <c r="AA130" s="9"/>
    </row>
    <row r="131" spans="1:32" hidden="1" outlineLevel="1" x14ac:dyDescent="0.2">
      <c r="A131" s="9"/>
      <c r="B131" s="9"/>
      <c r="C131" s="492">
        <f>'Rev. summary'!C126</f>
        <v>0</v>
      </c>
      <c r="D131" s="557"/>
      <c r="E131" s="458">
        <f t="shared" si="5"/>
        <v>0</v>
      </c>
      <c r="F131" s="20"/>
      <c r="G131" s="20"/>
      <c r="H131" s="20"/>
      <c r="I131" s="236">
        <f>INDEX(Metering!$K43:$R43,1,MATCH(currentyear,Metering!$K$39:$R$39,0))*INDEX(Metering!$K52:$R52,1,MATCH(forecastyear,Metering!$K$39:$R$39,0))*revenuemultiplier*$AB$42</f>
        <v>0</v>
      </c>
      <c r="J131" s="242"/>
      <c r="K131" s="236">
        <f>'Rev. summary'!Q126*$AB$42</f>
        <v>0</v>
      </c>
      <c r="L131" s="20"/>
      <c r="M131" s="50"/>
      <c r="N131" s="50"/>
      <c r="O131" s="50"/>
      <c r="P131" s="50"/>
      <c r="Q131" s="50"/>
      <c r="R131" s="50"/>
      <c r="S131" s="50"/>
      <c r="T131" s="50"/>
      <c r="U131" s="50"/>
      <c r="V131" s="9"/>
      <c r="W131" s="9"/>
      <c r="X131" s="9"/>
      <c r="Y131" s="9"/>
      <c r="Z131" s="9"/>
      <c r="AA131" s="9"/>
    </row>
    <row r="132" spans="1:32" hidden="1" outlineLevel="1" x14ac:dyDescent="0.2">
      <c r="A132" s="9"/>
      <c r="B132" s="9"/>
      <c r="C132" s="492">
        <f>'Rev. summary'!C127</f>
        <v>0</v>
      </c>
      <c r="D132" s="557"/>
      <c r="E132" s="458">
        <f t="shared" si="5"/>
        <v>0</v>
      </c>
      <c r="F132" s="20"/>
      <c r="G132" s="20"/>
      <c r="H132" s="20"/>
      <c r="I132" s="236">
        <f>INDEX(Metering!$K44:$R44,1,MATCH(currentyear,Metering!$K$39:$R$39,0))*INDEX(Metering!$K53:$R53,1,MATCH(forecastyear,Metering!$K$39:$R$39,0))*revenuemultiplier*$AB$42</f>
        <v>0</v>
      </c>
      <c r="J132" s="242"/>
      <c r="K132" s="236">
        <f>'Rev. summary'!Q127*$AB$42</f>
        <v>0</v>
      </c>
      <c r="L132" s="20"/>
      <c r="M132" s="50"/>
      <c r="N132" s="50"/>
      <c r="O132" s="50"/>
      <c r="P132" s="50"/>
      <c r="Q132" s="50"/>
      <c r="R132" s="50"/>
      <c r="S132" s="50"/>
      <c r="T132" s="50"/>
      <c r="U132" s="50"/>
      <c r="V132" s="9"/>
      <c r="W132" s="9"/>
      <c r="X132" s="9"/>
      <c r="Y132" s="9"/>
      <c r="Z132" s="9"/>
      <c r="AA132" s="9"/>
    </row>
    <row r="133" spans="1:32" hidden="1" outlineLevel="1" x14ac:dyDescent="0.2">
      <c r="A133" s="9"/>
      <c r="B133" s="9"/>
      <c r="C133" s="492">
        <f>'Rev. summary'!C128</f>
        <v>0</v>
      </c>
      <c r="D133" s="557"/>
      <c r="E133" s="458">
        <f t="shared" si="5"/>
        <v>0</v>
      </c>
      <c r="F133" s="20"/>
      <c r="G133" s="20"/>
      <c r="H133" s="20"/>
      <c r="I133" s="236">
        <f>INDEX(Metering!$K45:$R45,1,MATCH(currentyear,Metering!$K$39:$R$39,0))*INDEX(Metering!$K54:$R54,1,MATCH(forecastyear,Metering!$K$39:$R$39,0))*revenuemultiplier*$AB$42</f>
        <v>0</v>
      </c>
      <c r="J133" s="242"/>
      <c r="K133" s="236">
        <f>'Rev. summary'!Q128*$AB$42</f>
        <v>0</v>
      </c>
      <c r="L133" s="20"/>
      <c r="M133" s="50"/>
      <c r="N133" s="50"/>
      <c r="O133" s="50"/>
      <c r="P133" s="50"/>
      <c r="Q133" s="50"/>
      <c r="R133" s="50"/>
      <c r="S133" s="50"/>
      <c r="T133" s="50"/>
      <c r="U133" s="50"/>
      <c r="V133" s="9"/>
      <c r="W133" s="9"/>
      <c r="X133" s="9"/>
      <c r="Y133" s="9"/>
      <c r="Z133" s="9"/>
      <c r="AA133" s="9"/>
    </row>
    <row r="134" spans="1:32" hidden="1" outlineLevel="1" x14ac:dyDescent="0.2">
      <c r="A134" s="9"/>
      <c r="B134" s="9"/>
      <c r="C134" s="492">
        <f>'Rev. summary'!C129</f>
        <v>0</v>
      </c>
      <c r="D134" s="557"/>
      <c r="E134" s="458">
        <f t="shared" si="5"/>
        <v>0</v>
      </c>
      <c r="F134" s="20"/>
      <c r="G134" s="20"/>
      <c r="H134" s="20"/>
      <c r="I134" s="236">
        <f>INDEX(Metering!$K46:$R46,1,MATCH(currentyear,Metering!$K$39:$R$39,0))*INDEX(Metering!$K55:$R55,1,MATCH(forecastyear,Metering!$K$39:$R$39,0))*revenuemultiplier*$AB$42</f>
        <v>0</v>
      </c>
      <c r="J134" s="242"/>
      <c r="K134" s="236">
        <f>'Rev. summary'!Q129*$AB$42</f>
        <v>0</v>
      </c>
      <c r="L134" s="20"/>
      <c r="M134" s="50"/>
      <c r="N134" s="50"/>
      <c r="O134" s="50"/>
      <c r="P134" s="50"/>
      <c r="Q134" s="50"/>
      <c r="R134" s="50"/>
      <c r="S134" s="50"/>
      <c r="T134" s="50"/>
      <c r="U134" s="50"/>
      <c r="V134" s="9"/>
      <c r="W134" s="9"/>
      <c r="X134" s="9"/>
      <c r="Y134" s="9"/>
      <c r="Z134" s="9"/>
      <c r="AA134" s="9"/>
    </row>
    <row r="135" spans="1:32" hidden="1" outlineLevel="1" x14ac:dyDescent="0.2">
      <c r="A135" s="9"/>
      <c r="B135" s="9"/>
      <c r="C135" s="492">
        <f>'Rev. summary'!C130</f>
        <v>0</v>
      </c>
      <c r="D135" s="557"/>
      <c r="E135" s="458">
        <f t="shared" si="5"/>
        <v>0</v>
      </c>
      <c r="F135" s="20"/>
      <c r="G135" s="20"/>
      <c r="H135" s="20"/>
      <c r="I135" s="236">
        <f>INDEX(Metering!$K47:$R47,1,MATCH(currentyear,Metering!$K$39:$R$39,0))*INDEX(Metering!$K56:$R56,1,MATCH(forecastyear,Metering!$K$39:$R$39,0))*revenuemultiplier*$AB$42</f>
        <v>0</v>
      </c>
      <c r="J135" s="242"/>
      <c r="K135" s="236">
        <f>'Rev. summary'!Q130*$AB$42</f>
        <v>0</v>
      </c>
      <c r="L135" s="20"/>
      <c r="M135" s="50"/>
      <c r="N135" s="50"/>
      <c r="O135" s="50"/>
      <c r="P135" s="50"/>
      <c r="Q135" s="50"/>
      <c r="R135" s="50"/>
      <c r="S135" s="50"/>
      <c r="T135" s="50"/>
      <c r="U135" s="50"/>
      <c r="V135" s="9"/>
      <c r="W135" s="9"/>
      <c r="X135" s="9"/>
      <c r="Y135" s="9"/>
      <c r="Z135" s="9"/>
      <c r="AA135" s="9"/>
    </row>
    <row r="136" spans="1:32" hidden="1" outlineLevel="1" x14ac:dyDescent="0.2">
      <c r="A136" s="9"/>
      <c r="B136" s="9"/>
      <c r="C136" s="492">
        <f>'Rev. summary'!C131</f>
        <v>0</v>
      </c>
      <c r="D136" s="557"/>
      <c r="E136" s="458">
        <f t="shared" si="5"/>
        <v>0</v>
      </c>
      <c r="F136" s="20"/>
      <c r="G136" s="20"/>
      <c r="H136" s="20"/>
      <c r="I136" s="236">
        <f>INDEX(Metering!$K48:$R48,1,MATCH(currentyear,Metering!$K$39:$R$39,0))*INDEX(Metering!$K57:$R57,1,MATCH(forecastyear,Metering!$K$39:$R$39,0))*revenuemultiplier*$AB$42</f>
        <v>0</v>
      </c>
      <c r="J136" s="242"/>
      <c r="K136" s="236">
        <f>'Rev. summary'!Q131*$AB$42</f>
        <v>0</v>
      </c>
      <c r="L136" s="20"/>
      <c r="M136" s="50"/>
      <c r="N136" s="50"/>
      <c r="O136" s="50"/>
      <c r="P136" s="50"/>
      <c r="Q136" s="50"/>
      <c r="R136" s="50"/>
      <c r="S136" s="50"/>
      <c r="T136" s="50"/>
      <c r="U136" s="50"/>
      <c r="V136" s="9"/>
      <c r="W136" s="9"/>
      <c r="X136" s="9"/>
      <c r="Y136" s="9"/>
      <c r="Z136" s="9"/>
      <c r="AA136" s="9"/>
    </row>
    <row r="137" spans="1:32" hidden="1" outlineLevel="1" x14ac:dyDescent="0.2">
      <c r="A137" s="9"/>
      <c r="B137" s="9"/>
      <c r="C137" s="515" t="s">
        <v>240</v>
      </c>
      <c r="D137" s="512"/>
      <c r="E137" s="458" t="str">
        <f t="shared" si="5"/>
        <v>$millions</v>
      </c>
      <c r="F137" s="20"/>
      <c r="G137" s="20"/>
      <c r="H137" s="20"/>
      <c r="I137" s="236">
        <f>SUM(I130:I136)</f>
        <v>0</v>
      </c>
      <c r="J137" s="242"/>
      <c r="K137" s="236">
        <f>SUM(K130:K136)</f>
        <v>0</v>
      </c>
      <c r="L137" s="20"/>
      <c r="M137" s="50"/>
      <c r="N137" s="50"/>
      <c r="O137" s="50"/>
      <c r="P137" s="50"/>
      <c r="Q137" s="50"/>
      <c r="R137" s="50"/>
      <c r="S137" s="50"/>
      <c r="T137" s="50"/>
      <c r="U137" s="50"/>
      <c r="V137" s="9"/>
      <c r="W137" s="9"/>
      <c r="X137" s="9"/>
      <c r="Y137" s="9"/>
      <c r="Z137" s="9"/>
      <c r="AA137" s="9"/>
    </row>
    <row r="138" spans="1:32" collapsed="1" x14ac:dyDescent="0.2">
      <c r="A138" s="9"/>
      <c r="B138" s="9"/>
      <c r="C138" s="9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50"/>
      <c r="O138" s="50"/>
      <c r="P138" s="50"/>
      <c r="Q138" s="50"/>
      <c r="R138" s="50"/>
      <c r="S138" s="50"/>
      <c r="T138" s="50"/>
      <c r="U138" s="50"/>
      <c r="V138" s="9"/>
      <c r="W138" s="9"/>
      <c r="X138" s="9"/>
      <c r="Y138" s="9"/>
      <c r="Z138" s="9"/>
      <c r="AA138" s="9"/>
    </row>
    <row r="139" spans="1:32" ht="12.75" x14ac:dyDescent="0.2">
      <c r="A139" s="11"/>
      <c r="B139" s="12" t="s">
        <v>693</v>
      </c>
      <c r="C139" s="11"/>
      <c r="D139" s="32" t="str">
        <f>D40</f>
        <v>Tariff class</v>
      </c>
      <c r="E139" s="32"/>
      <c r="F139" s="183" t="str">
        <f t="shared" ref="F139:AA139" si="6">F40</f>
        <v>Total</v>
      </c>
      <c r="G139" s="183">
        <f t="shared" si="6"/>
        <v>0</v>
      </c>
      <c r="H139" s="183" t="str">
        <f t="shared" si="6"/>
        <v>Service</v>
      </c>
      <c r="I139" s="183" t="str">
        <f t="shared" si="6"/>
        <v>All energy</v>
      </c>
      <c r="J139" s="183" t="str">
        <f t="shared" si="6"/>
        <v>Peak energy</v>
      </c>
      <c r="K139" s="183" t="str">
        <f t="shared" si="6"/>
        <v>Shoulder energy</v>
      </c>
      <c r="L139" s="183" t="str">
        <f t="shared" si="6"/>
        <v>Off-peak energy</v>
      </c>
      <c r="M139" s="183" t="str">
        <f t="shared" si="6"/>
        <v>All demand</v>
      </c>
      <c r="N139" s="183" t="str">
        <f t="shared" si="6"/>
        <v>Peak demand</v>
      </c>
      <c r="O139" s="183" t="str">
        <f t="shared" si="6"/>
        <v>Off-peak demand</v>
      </c>
      <c r="P139" s="183" t="str">
        <f t="shared" si="6"/>
        <v>Specified demand</v>
      </c>
      <c r="Q139" s="183" t="str">
        <f t="shared" si="6"/>
        <v>Excess daily demand</v>
      </c>
      <c r="R139" s="183" t="str">
        <f t="shared" si="6"/>
        <v>Daily demand connection</v>
      </c>
      <c r="S139" s="183" t="str">
        <f t="shared" si="6"/>
        <v>Excess daily demand connection</v>
      </c>
      <c r="T139" s="183" t="str">
        <f t="shared" si="6"/>
        <v>All demand (lamps)</v>
      </c>
      <c r="U139" s="183">
        <f t="shared" si="6"/>
        <v>0</v>
      </c>
      <c r="V139" s="183">
        <f t="shared" si="6"/>
        <v>0</v>
      </c>
      <c r="W139" s="183">
        <f t="shared" si="6"/>
        <v>0</v>
      </c>
      <c r="X139" s="183">
        <f t="shared" si="6"/>
        <v>0</v>
      </c>
      <c r="Y139" s="183">
        <f t="shared" si="6"/>
        <v>0</v>
      </c>
      <c r="Z139" s="183">
        <f t="shared" si="6"/>
        <v>0</v>
      </c>
      <c r="AA139" s="183">
        <f t="shared" si="6"/>
        <v>0</v>
      </c>
      <c r="AB139" s="32"/>
      <c r="AC139" s="15"/>
      <c r="AD139" s="15"/>
      <c r="AE139" s="15"/>
      <c r="AF139" s="15"/>
    </row>
    <row r="140" spans="1:32" outlineLevel="1" x14ac:dyDescent="0.2">
      <c r="A140" s="19"/>
      <c r="B140" s="19"/>
      <c r="C140" s="36"/>
      <c r="D140" s="20"/>
      <c r="E140" s="20"/>
      <c r="F140" s="170" t="str">
        <f t="shared" ref="F140:AA140" si="7">F41</f>
        <v>$dollars</v>
      </c>
      <c r="G140" s="170">
        <f t="shared" si="7"/>
        <v>0</v>
      </c>
      <c r="H140" s="170" t="str">
        <f t="shared" si="7"/>
        <v>$dollars</v>
      </c>
      <c r="I140" s="170" t="str">
        <f t="shared" si="7"/>
        <v>$dollars</v>
      </c>
      <c r="J140" s="170" t="str">
        <f t="shared" si="7"/>
        <v>$dollars</v>
      </c>
      <c r="K140" s="170" t="str">
        <f t="shared" si="7"/>
        <v>$dollars</v>
      </c>
      <c r="L140" s="170" t="str">
        <f t="shared" si="7"/>
        <v>$dollars</v>
      </c>
      <c r="M140" s="170" t="str">
        <f t="shared" si="7"/>
        <v>$dollars</v>
      </c>
      <c r="N140" s="170" t="str">
        <f t="shared" si="7"/>
        <v>$dollars</v>
      </c>
      <c r="O140" s="170" t="str">
        <f t="shared" si="7"/>
        <v>$dollars</v>
      </c>
      <c r="P140" s="170" t="str">
        <f t="shared" si="7"/>
        <v>$dollars</v>
      </c>
      <c r="Q140" s="170" t="str">
        <f t="shared" si="7"/>
        <v>$dollars</v>
      </c>
      <c r="R140" s="170" t="str">
        <f t="shared" si="7"/>
        <v>$dollars</v>
      </c>
      <c r="S140" s="170" t="str">
        <f t="shared" si="7"/>
        <v>$dollars</v>
      </c>
      <c r="T140" s="170" t="str">
        <f t="shared" si="7"/>
        <v>$dollars</v>
      </c>
      <c r="U140" s="170">
        <f t="shared" si="7"/>
        <v>0</v>
      </c>
      <c r="V140" s="170">
        <f t="shared" si="7"/>
        <v>0</v>
      </c>
      <c r="W140" s="170">
        <f t="shared" si="7"/>
        <v>0</v>
      </c>
      <c r="X140" s="170">
        <f t="shared" si="7"/>
        <v>0</v>
      </c>
      <c r="Y140" s="170">
        <f t="shared" si="7"/>
        <v>0</v>
      </c>
      <c r="Z140" s="170">
        <f t="shared" si="7"/>
        <v>0</v>
      </c>
      <c r="AA140" s="170">
        <f t="shared" si="7"/>
        <v>0</v>
      </c>
      <c r="AB140" s="22"/>
      <c r="AC140" s="19"/>
      <c r="AD140" s="19"/>
      <c r="AE140" s="19"/>
      <c r="AF140" s="19"/>
    </row>
    <row r="141" spans="1:32" outlineLevel="1" x14ac:dyDescent="0.2">
      <c r="A141" s="19"/>
      <c r="B141" s="19"/>
      <c r="C141" s="65"/>
      <c r="D141" s="20"/>
      <c r="E141" s="20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19"/>
      <c r="AD141" s="19"/>
      <c r="AE141" s="19"/>
      <c r="AF141" s="19"/>
    </row>
    <row r="142" spans="1:32" outlineLevel="1" x14ac:dyDescent="0.2">
      <c r="A142" s="19"/>
      <c r="B142" s="19"/>
      <c r="C142" s="65"/>
      <c r="D142" s="20"/>
      <c r="E142" s="20"/>
      <c r="F142" s="22"/>
      <c r="G142" s="22"/>
      <c r="H142" s="22"/>
      <c r="I142" s="22"/>
      <c r="J142" s="22" t="str">
        <f>J25</f>
        <v>2021–22 SC revenue</v>
      </c>
      <c r="K142" s="22"/>
      <c r="L142" s="22"/>
      <c r="M142" s="22"/>
      <c r="N142" s="22" t="str">
        <f>N25</f>
        <v>2022–23</v>
      </c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19"/>
      <c r="AD142" s="19"/>
      <c r="AE142" s="19"/>
      <c r="AF142" s="19"/>
    </row>
    <row r="143" spans="1:32" outlineLevel="1" x14ac:dyDescent="0.2">
      <c r="A143" s="9"/>
      <c r="B143" s="9"/>
      <c r="C143" s="492" t="s">
        <v>216</v>
      </c>
      <c r="D143" s="458" t="s">
        <v>15</v>
      </c>
      <c r="E143" s="10"/>
      <c r="F143" s="20"/>
      <c r="G143" s="20"/>
      <c r="H143" s="20"/>
      <c r="I143" s="10"/>
      <c r="J143" s="236">
        <v>0</v>
      </c>
      <c r="K143" s="242"/>
      <c r="L143" s="242"/>
      <c r="M143" s="347"/>
      <c r="N143" s="236">
        <v>0</v>
      </c>
      <c r="O143" s="62"/>
      <c r="P143" s="20"/>
      <c r="Q143" s="50"/>
      <c r="R143" s="50"/>
      <c r="S143" s="50"/>
      <c r="T143" s="50"/>
      <c r="U143" s="50"/>
      <c r="V143" s="9"/>
      <c r="W143" s="9"/>
      <c r="X143" s="9"/>
      <c r="Y143" s="9"/>
      <c r="Z143" s="9"/>
      <c r="AA143" s="9"/>
    </row>
    <row r="144" spans="1:32" outlineLevel="1" x14ac:dyDescent="0.2">
      <c r="A144" s="9"/>
      <c r="B144" s="9"/>
      <c r="C144" s="492" t="s">
        <v>897</v>
      </c>
      <c r="D144" s="458" t="s">
        <v>15</v>
      </c>
      <c r="E144" s="10"/>
      <c r="F144" s="20"/>
      <c r="G144" s="20"/>
      <c r="H144" s="20"/>
      <c r="I144" s="10"/>
      <c r="J144" s="236">
        <v>0</v>
      </c>
      <c r="K144" s="242"/>
      <c r="L144" s="242"/>
      <c r="M144" s="347"/>
      <c r="N144" s="236">
        <v>0</v>
      </c>
      <c r="O144" s="62"/>
      <c r="P144" s="20"/>
      <c r="Q144" s="50"/>
      <c r="R144" s="50"/>
      <c r="S144" s="50"/>
      <c r="T144" s="50"/>
      <c r="U144" s="50"/>
      <c r="V144" s="9"/>
      <c r="W144" s="9"/>
      <c r="X144" s="9"/>
      <c r="Y144" s="9"/>
      <c r="Z144" s="9"/>
      <c r="AA144" s="9"/>
    </row>
    <row r="145" spans="1:32" outlineLevel="1" x14ac:dyDescent="0.2">
      <c r="A145" s="9"/>
      <c r="B145" s="9"/>
      <c r="C145" s="492" t="s">
        <v>898</v>
      </c>
      <c r="D145" s="458" t="s">
        <v>15</v>
      </c>
      <c r="E145" s="10"/>
      <c r="F145" s="20"/>
      <c r="G145" s="20"/>
      <c r="H145" s="20"/>
      <c r="I145" s="10"/>
      <c r="J145" s="236">
        <v>0</v>
      </c>
      <c r="K145" s="242"/>
      <c r="L145" s="242"/>
      <c r="M145" s="347"/>
      <c r="N145" s="236">
        <v>0</v>
      </c>
      <c r="O145" s="62"/>
      <c r="P145" s="20"/>
      <c r="Q145" s="50"/>
      <c r="R145" s="50"/>
      <c r="S145" s="50"/>
      <c r="T145" s="50"/>
      <c r="U145" s="50"/>
      <c r="V145" s="9"/>
      <c r="W145" s="9"/>
      <c r="X145" s="9"/>
      <c r="Y145" s="9"/>
      <c r="Z145" s="9"/>
      <c r="AA145" s="9"/>
    </row>
    <row r="146" spans="1:32" outlineLevel="1" x14ac:dyDescent="0.2">
      <c r="A146" s="9"/>
      <c r="B146" s="9"/>
      <c r="C146" s="492" t="s">
        <v>861</v>
      </c>
      <c r="D146" s="458" t="s">
        <v>15</v>
      </c>
      <c r="E146" s="10"/>
      <c r="F146" s="20"/>
      <c r="G146" s="20"/>
      <c r="H146" s="20"/>
      <c r="I146" s="10"/>
      <c r="J146" s="236">
        <v>0</v>
      </c>
      <c r="K146" s="242"/>
      <c r="L146" s="242"/>
      <c r="M146" s="347"/>
      <c r="N146" s="236">
        <v>0</v>
      </c>
      <c r="O146" s="62"/>
      <c r="P146" s="20"/>
      <c r="Q146" s="50"/>
      <c r="R146" s="50"/>
      <c r="S146" s="50"/>
      <c r="T146" s="50"/>
      <c r="U146" s="50"/>
      <c r="V146" s="9"/>
      <c r="W146" s="9"/>
      <c r="X146" s="9"/>
      <c r="Y146" s="9"/>
      <c r="Z146" s="9"/>
      <c r="AA146" s="9"/>
    </row>
    <row r="147" spans="1:32" outlineLevel="1" x14ac:dyDescent="0.2">
      <c r="A147" s="9"/>
      <c r="B147" s="9"/>
      <c r="C147" s="492" t="s">
        <v>899</v>
      </c>
      <c r="D147" s="458" t="s">
        <v>15</v>
      </c>
      <c r="E147" s="10"/>
      <c r="F147" s="20"/>
      <c r="G147" s="20"/>
      <c r="H147" s="20"/>
      <c r="I147" s="10"/>
      <c r="J147" s="236">
        <v>2.684618592993905</v>
      </c>
      <c r="K147" s="242"/>
      <c r="L147" s="242"/>
      <c r="M147" s="347"/>
      <c r="N147" s="236">
        <v>2.6664023734453277</v>
      </c>
      <c r="O147" s="62"/>
      <c r="P147" s="20"/>
      <c r="Q147" s="50"/>
      <c r="R147" s="50"/>
      <c r="S147" s="50"/>
      <c r="T147" s="50"/>
      <c r="U147" s="50"/>
      <c r="V147" s="9"/>
      <c r="W147" s="9"/>
      <c r="X147" s="9"/>
      <c r="Y147" s="9"/>
      <c r="Z147" s="9"/>
      <c r="AA147" s="9"/>
    </row>
    <row r="148" spans="1:32" outlineLevel="1" x14ac:dyDescent="0.2">
      <c r="A148" s="9"/>
      <c r="B148" s="9"/>
      <c r="C148" s="492" t="s">
        <v>862</v>
      </c>
      <c r="D148" s="458" t="s">
        <v>15</v>
      </c>
      <c r="E148" s="10"/>
      <c r="F148" s="20"/>
      <c r="G148" s="20"/>
      <c r="H148" s="20"/>
      <c r="I148" s="10"/>
      <c r="J148" s="236">
        <v>0</v>
      </c>
      <c r="K148" s="242"/>
      <c r="L148" s="242"/>
      <c r="M148" s="347"/>
      <c r="N148" s="236">
        <v>0</v>
      </c>
      <c r="O148" s="62"/>
      <c r="P148" s="20"/>
      <c r="Q148" s="50"/>
      <c r="R148" s="50"/>
      <c r="S148" s="50"/>
      <c r="T148" s="50"/>
      <c r="U148" s="50"/>
      <c r="V148" s="9"/>
      <c r="W148" s="9"/>
      <c r="X148" s="9"/>
      <c r="Y148" s="9"/>
      <c r="Z148" s="9"/>
      <c r="AA148" s="9"/>
    </row>
    <row r="149" spans="1:32" outlineLevel="1" x14ac:dyDescent="0.2">
      <c r="A149" s="9"/>
      <c r="B149" s="9"/>
      <c r="C149" s="492" t="s">
        <v>863</v>
      </c>
      <c r="D149" s="458" t="s">
        <v>15</v>
      </c>
      <c r="E149" s="10"/>
      <c r="F149" s="20"/>
      <c r="G149" s="20"/>
      <c r="H149" s="20"/>
      <c r="I149" s="10"/>
      <c r="J149" s="236">
        <v>0</v>
      </c>
      <c r="K149" s="242"/>
      <c r="L149" s="242"/>
      <c r="M149" s="347"/>
      <c r="N149" s="236">
        <v>0</v>
      </c>
      <c r="O149" s="62"/>
      <c r="P149" s="20"/>
      <c r="Q149" s="50"/>
      <c r="R149" s="50"/>
      <c r="S149" s="50"/>
      <c r="T149" s="50"/>
      <c r="U149" s="50"/>
      <c r="V149" s="9"/>
      <c r="W149" s="9"/>
      <c r="X149" s="9"/>
      <c r="Y149" s="9"/>
      <c r="Z149" s="9"/>
      <c r="AA149" s="9"/>
    </row>
    <row r="150" spans="1:32" outlineLevel="1" x14ac:dyDescent="0.2">
      <c r="A150" s="9"/>
      <c r="B150" s="9"/>
      <c r="C150" s="492" t="s">
        <v>900</v>
      </c>
      <c r="D150" s="458" t="s">
        <v>15</v>
      </c>
      <c r="E150" s="10"/>
      <c r="F150" s="20"/>
      <c r="G150" s="20"/>
      <c r="H150" s="20"/>
      <c r="I150" s="10"/>
      <c r="J150" s="236">
        <v>0</v>
      </c>
      <c r="K150" s="242"/>
      <c r="L150" s="242"/>
      <c r="M150" s="347"/>
      <c r="N150" s="236">
        <v>0</v>
      </c>
      <c r="O150" s="62"/>
      <c r="P150" s="20"/>
      <c r="Q150" s="50"/>
      <c r="R150" s="50"/>
      <c r="S150" s="50"/>
      <c r="T150" s="50"/>
      <c r="U150" s="50"/>
      <c r="V150" s="9"/>
      <c r="W150" s="9"/>
      <c r="X150" s="9"/>
      <c r="Y150" s="9"/>
      <c r="Z150" s="9"/>
      <c r="AA150" s="9"/>
    </row>
    <row r="151" spans="1:32" outlineLevel="1" x14ac:dyDescent="0.2">
      <c r="A151" s="9"/>
      <c r="B151" s="9"/>
      <c r="C151" s="492" t="s">
        <v>901</v>
      </c>
      <c r="D151" s="458" t="s">
        <v>15</v>
      </c>
      <c r="E151" s="10"/>
      <c r="F151" s="20"/>
      <c r="G151" s="20"/>
      <c r="H151" s="20"/>
      <c r="I151" s="10"/>
      <c r="J151" s="236">
        <v>0</v>
      </c>
      <c r="K151" s="242"/>
      <c r="L151" s="242"/>
      <c r="M151" s="347"/>
      <c r="N151" s="236">
        <v>0</v>
      </c>
      <c r="O151" s="62"/>
      <c r="P151" s="20"/>
      <c r="Q151" s="50"/>
      <c r="R151" s="50"/>
      <c r="S151" s="50"/>
      <c r="T151" s="50"/>
      <c r="U151" s="50"/>
      <c r="V151" s="9"/>
      <c r="W151" s="9"/>
      <c r="X151" s="9"/>
      <c r="Y151" s="9"/>
      <c r="Z151" s="9"/>
      <c r="AA151" s="9"/>
    </row>
    <row r="152" spans="1:32" outlineLevel="1" x14ac:dyDescent="0.2">
      <c r="A152" s="9"/>
      <c r="B152" s="9"/>
      <c r="C152" s="492" t="s">
        <v>864</v>
      </c>
      <c r="D152" s="458" t="s">
        <v>15</v>
      </c>
      <c r="E152" s="10"/>
      <c r="F152" s="20"/>
      <c r="G152" s="20"/>
      <c r="H152" s="20"/>
      <c r="I152" s="10"/>
      <c r="J152" s="236">
        <v>2.2084127867498635</v>
      </c>
      <c r="K152" s="242"/>
      <c r="L152" s="242"/>
      <c r="M152" s="347"/>
      <c r="N152" s="236">
        <v>2.1968218274795355</v>
      </c>
      <c r="O152" s="62"/>
      <c r="P152" s="20"/>
      <c r="Q152" s="50"/>
      <c r="R152" s="50"/>
      <c r="S152" s="50"/>
      <c r="T152" s="50"/>
      <c r="U152" s="50"/>
      <c r="V152" s="9"/>
      <c r="W152" s="9"/>
      <c r="X152" s="9"/>
      <c r="Y152" s="9"/>
      <c r="Z152" s="9"/>
      <c r="AA152" s="9"/>
    </row>
    <row r="153" spans="1:32" outlineLevel="1" x14ac:dyDescent="0.2">
      <c r="A153" s="9"/>
      <c r="B153" s="9"/>
      <c r="C153" s="492">
        <v>0</v>
      </c>
      <c r="D153" s="458">
        <v>0</v>
      </c>
      <c r="E153" s="10"/>
      <c r="F153" s="20"/>
      <c r="G153" s="20"/>
      <c r="H153" s="20"/>
      <c r="I153" s="10"/>
      <c r="J153" s="236">
        <v>0</v>
      </c>
      <c r="K153" s="242"/>
      <c r="L153" s="242"/>
      <c r="M153" s="347"/>
      <c r="N153" s="236">
        <v>0</v>
      </c>
      <c r="O153" s="62"/>
      <c r="P153" s="20"/>
      <c r="Q153" s="50"/>
      <c r="R153" s="50"/>
      <c r="S153" s="50"/>
      <c r="T153" s="50"/>
      <c r="U153" s="50"/>
      <c r="V153" s="9"/>
      <c r="W153" s="9"/>
      <c r="X153" s="9"/>
      <c r="Y153" s="9"/>
      <c r="Z153" s="9"/>
      <c r="AA153" s="9"/>
    </row>
    <row r="154" spans="1:32" outlineLevel="1" x14ac:dyDescent="0.2">
      <c r="A154" s="9"/>
      <c r="B154" s="9"/>
      <c r="C154" s="515" t="s">
        <v>240</v>
      </c>
      <c r="D154" s="458" t="s">
        <v>15</v>
      </c>
      <c r="E154" s="10"/>
      <c r="F154" s="20"/>
      <c r="G154" s="20"/>
      <c r="H154" s="20"/>
      <c r="I154" s="10"/>
      <c r="J154" s="236">
        <v>4.8930313797437686</v>
      </c>
      <c r="K154" s="242"/>
      <c r="L154" s="242"/>
      <c r="M154" s="347"/>
      <c r="N154" s="236">
        <v>4.8632242009248632</v>
      </c>
      <c r="O154" s="20"/>
      <c r="P154" s="20"/>
      <c r="Q154" s="50"/>
      <c r="R154" s="50"/>
      <c r="S154" s="50"/>
      <c r="T154" s="50"/>
      <c r="U154" s="50"/>
      <c r="V154" s="9"/>
      <c r="W154" s="9"/>
      <c r="X154" s="9"/>
      <c r="Y154" s="9"/>
      <c r="Z154" s="9"/>
      <c r="AA154" s="9"/>
    </row>
    <row r="155" spans="1:32" x14ac:dyDescent="0.2">
      <c r="A155" s="9"/>
      <c r="B155" s="9"/>
      <c r="C155" s="9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50"/>
      <c r="O155" s="50"/>
      <c r="P155" s="50"/>
      <c r="Q155" s="50"/>
      <c r="R155" s="50"/>
      <c r="S155" s="50"/>
      <c r="T155" s="50"/>
      <c r="U155" s="50"/>
      <c r="V155" s="9"/>
      <c r="W155" s="9"/>
      <c r="X155" s="9"/>
      <c r="Y155" s="9"/>
      <c r="Z155" s="9"/>
      <c r="AA155" s="9"/>
    </row>
    <row r="156" spans="1:32" outlineLevel="1" x14ac:dyDescent="0.2">
      <c r="A156" s="606"/>
      <c r="B156" s="606"/>
      <c r="C156" s="607"/>
      <c r="D156" s="608"/>
      <c r="E156" s="609"/>
      <c r="F156" s="364"/>
      <c r="G156" s="609"/>
      <c r="H156" s="637"/>
      <c r="I156" s="637"/>
      <c r="J156" s="637"/>
      <c r="K156" s="637"/>
      <c r="L156" s="637"/>
      <c r="M156" s="637"/>
      <c r="N156" s="637"/>
      <c r="O156" s="637"/>
      <c r="P156" s="637"/>
      <c r="Q156" s="637"/>
      <c r="R156" s="637"/>
      <c r="S156" s="637"/>
      <c r="T156" s="637"/>
      <c r="U156" s="637"/>
      <c r="V156" s="637"/>
      <c r="W156" s="637"/>
      <c r="X156" s="637"/>
      <c r="Y156" s="637"/>
      <c r="Z156" s="637"/>
      <c r="AA156" s="637"/>
      <c r="AB156" s="640"/>
      <c r="AC156" s="606"/>
      <c r="AD156" s="606"/>
      <c r="AE156" s="19"/>
      <c r="AF156" s="19"/>
    </row>
    <row r="157" spans="1:32" outlineLevel="1" x14ac:dyDescent="0.2">
      <c r="A157" s="606"/>
      <c r="B157" s="606"/>
      <c r="C157" s="607"/>
      <c r="D157" s="608"/>
      <c r="E157" s="609"/>
      <c r="F157" s="364"/>
      <c r="G157" s="609"/>
      <c r="H157" s="637"/>
      <c r="I157" s="637"/>
      <c r="J157" s="637"/>
      <c r="K157" s="637"/>
      <c r="L157" s="637"/>
      <c r="M157" s="637"/>
      <c r="N157" s="637"/>
      <c r="O157" s="637"/>
      <c r="P157" s="637"/>
      <c r="Q157" s="637"/>
      <c r="R157" s="637"/>
      <c r="S157" s="637"/>
      <c r="T157" s="637"/>
      <c r="U157" s="637"/>
      <c r="V157" s="637"/>
      <c r="W157" s="637"/>
      <c r="X157" s="637"/>
      <c r="Y157" s="637"/>
      <c r="Z157" s="637"/>
      <c r="AA157" s="637"/>
      <c r="AB157" s="640"/>
      <c r="AC157" s="606"/>
      <c r="AD157" s="606"/>
      <c r="AE157" s="19"/>
      <c r="AF157" s="19"/>
    </row>
    <row r="158" spans="1:32" outlineLevel="1" x14ac:dyDescent="0.2">
      <c r="A158" s="606"/>
      <c r="B158" s="606"/>
      <c r="C158" s="607"/>
      <c r="D158" s="608"/>
      <c r="E158" s="609"/>
      <c r="F158" s="364"/>
      <c r="G158" s="609"/>
      <c r="H158" s="637"/>
      <c r="I158" s="637"/>
      <c r="J158" s="637"/>
      <c r="K158" s="637"/>
      <c r="L158" s="637"/>
      <c r="M158" s="637"/>
      <c r="N158" s="637"/>
      <c r="O158" s="637"/>
      <c r="P158" s="637"/>
      <c r="Q158" s="637"/>
      <c r="R158" s="637"/>
      <c r="S158" s="637"/>
      <c r="T158" s="637"/>
      <c r="U158" s="637"/>
      <c r="V158" s="637"/>
      <c r="W158" s="637"/>
      <c r="X158" s="637"/>
      <c r="Y158" s="637"/>
      <c r="Z158" s="637"/>
      <c r="AA158" s="637"/>
      <c r="AB158" s="640"/>
      <c r="AC158" s="606"/>
      <c r="AD158" s="606"/>
      <c r="AE158" s="19"/>
      <c r="AF158" s="19"/>
    </row>
    <row r="159" spans="1:32" outlineLevel="1" x14ac:dyDescent="0.2">
      <c r="A159" s="606"/>
      <c r="B159" s="606"/>
      <c r="C159" s="607"/>
      <c r="D159" s="608"/>
      <c r="E159" s="609"/>
      <c r="F159" s="364"/>
      <c r="G159" s="609"/>
      <c r="H159" s="637"/>
      <c r="I159" s="637"/>
      <c r="J159" s="637"/>
      <c r="K159" s="637"/>
      <c r="L159" s="637"/>
      <c r="M159" s="637"/>
      <c r="N159" s="637"/>
      <c r="O159" s="637"/>
      <c r="P159" s="637"/>
      <c r="Q159" s="637"/>
      <c r="R159" s="637"/>
      <c r="S159" s="637"/>
      <c r="T159" s="637"/>
      <c r="U159" s="637"/>
      <c r="V159" s="637"/>
      <c r="W159" s="637"/>
      <c r="X159" s="637"/>
      <c r="Y159" s="637"/>
      <c r="Z159" s="637"/>
      <c r="AA159" s="637"/>
      <c r="AB159" s="640"/>
      <c r="AC159" s="606"/>
      <c r="AD159" s="606"/>
      <c r="AE159" s="19"/>
      <c r="AF159" s="19"/>
    </row>
    <row r="160" spans="1:32" outlineLevel="1" x14ac:dyDescent="0.2">
      <c r="A160" s="606"/>
      <c r="B160" s="606"/>
      <c r="C160" s="607"/>
      <c r="D160" s="608"/>
      <c r="E160" s="609"/>
      <c r="F160" s="364"/>
      <c r="G160" s="609"/>
      <c r="H160" s="637"/>
      <c r="I160" s="637"/>
      <c r="J160" s="637"/>
      <c r="K160" s="637"/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7"/>
      <c r="Y160" s="637"/>
      <c r="Z160" s="637"/>
      <c r="AA160" s="637"/>
      <c r="AB160" s="640"/>
      <c r="AC160" s="606"/>
      <c r="AD160" s="606"/>
      <c r="AE160" s="19"/>
      <c r="AF160" s="19"/>
    </row>
    <row r="161" spans="1:32" outlineLevel="1" x14ac:dyDescent="0.2">
      <c r="A161" s="606"/>
      <c r="B161" s="606"/>
      <c r="C161" s="607"/>
      <c r="D161" s="608"/>
      <c r="E161" s="609"/>
      <c r="F161" s="364"/>
      <c r="G161" s="609"/>
      <c r="H161" s="637"/>
      <c r="I161" s="637"/>
      <c r="J161" s="637"/>
      <c r="K161" s="637"/>
      <c r="L161" s="637"/>
      <c r="M161" s="637"/>
      <c r="N161" s="637"/>
      <c r="O161" s="637"/>
      <c r="P161" s="637"/>
      <c r="Q161" s="637"/>
      <c r="R161" s="637"/>
      <c r="S161" s="637"/>
      <c r="T161" s="637"/>
      <c r="U161" s="637"/>
      <c r="V161" s="637"/>
      <c r="W161" s="637"/>
      <c r="X161" s="637"/>
      <c r="Y161" s="637"/>
      <c r="Z161" s="637"/>
      <c r="AA161" s="637"/>
      <c r="AB161" s="640"/>
      <c r="AC161" s="606"/>
      <c r="AD161" s="606"/>
      <c r="AE161" s="19"/>
      <c r="AF161" s="19"/>
    </row>
    <row r="162" spans="1:32" outlineLevel="1" x14ac:dyDescent="0.2">
      <c r="A162" s="606"/>
      <c r="B162" s="606"/>
      <c r="C162" s="607"/>
      <c r="D162" s="608"/>
      <c r="E162" s="609"/>
      <c r="F162" s="364"/>
      <c r="G162" s="609"/>
      <c r="H162" s="637"/>
      <c r="I162" s="637"/>
      <c r="J162" s="637"/>
      <c r="K162" s="637"/>
      <c r="L162" s="637"/>
      <c r="M162" s="637"/>
      <c r="N162" s="637"/>
      <c r="O162" s="637"/>
      <c r="P162" s="637"/>
      <c r="Q162" s="637"/>
      <c r="R162" s="637"/>
      <c r="S162" s="637"/>
      <c r="T162" s="637"/>
      <c r="U162" s="637"/>
      <c r="V162" s="637"/>
      <c r="W162" s="637"/>
      <c r="X162" s="637"/>
      <c r="Y162" s="637"/>
      <c r="Z162" s="637"/>
      <c r="AA162" s="637"/>
      <c r="AB162" s="640"/>
      <c r="AC162" s="606"/>
      <c r="AD162" s="606"/>
      <c r="AE162" s="19"/>
      <c r="AF162" s="19"/>
    </row>
    <row r="163" spans="1:32" outlineLevel="1" x14ac:dyDescent="0.2">
      <c r="A163" s="606"/>
      <c r="B163" s="606"/>
      <c r="C163" s="607"/>
      <c r="D163" s="608"/>
      <c r="E163" s="609"/>
      <c r="F163" s="364"/>
      <c r="G163" s="609"/>
      <c r="H163" s="637"/>
      <c r="I163" s="637"/>
      <c r="J163" s="637"/>
      <c r="K163" s="637"/>
      <c r="L163" s="637"/>
      <c r="M163" s="637"/>
      <c r="N163" s="637"/>
      <c r="O163" s="637"/>
      <c r="P163" s="637"/>
      <c r="Q163" s="637"/>
      <c r="R163" s="637"/>
      <c r="S163" s="637"/>
      <c r="T163" s="637"/>
      <c r="U163" s="637"/>
      <c r="V163" s="637"/>
      <c r="W163" s="637"/>
      <c r="X163" s="637"/>
      <c r="Y163" s="637"/>
      <c r="Z163" s="637"/>
      <c r="AA163" s="637"/>
      <c r="AB163" s="640"/>
      <c r="AC163" s="606"/>
      <c r="AD163" s="606"/>
      <c r="AE163" s="19"/>
      <c r="AF163" s="19"/>
    </row>
    <row r="164" spans="1:32" outlineLevel="1" x14ac:dyDescent="0.2">
      <c r="A164" s="606"/>
      <c r="B164" s="606"/>
      <c r="C164" s="607"/>
      <c r="D164" s="608"/>
      <c r="E164" s="609"/>
      <c r="F164" s="364"/>
      <c r="G164" s="609"/>
      <c r="H164" s="637"/>
      <c r="I164" s="637"/>
      <c r="J164" s="637"/>
      <c r="K164" s="637"/>
      <c r="L164" s="637"/>
      <c r="M164" s="637"/>
      <c r="N164" s="637"/>
      <c r="O164" s="637"/>
      <c r="P164" s="637"/>
      <c r="Q164" s="637"/>
      <c r="R164" s="637"/>
      <c r="S164" s="637"/>
      <c r="T164" s="637"/>
      <c r="U164" s="637"/>
      <c r="V164" s="637"/>
      <c r="W164" s="637"/>
      <c r="X164" s="637"/>
      <c r="Y164" s="637"/>
      <c r="Z164" s="637"/>
      <c r="AA164" s="637"/>
      <c r="AB164" s="640"/>
      <c r="AC164" s="606"/>
      <c r="AD164" s="606"/>
      <c r="AE164" s="19"/>
      <c r="AF164" s="19"/>
    </row>
    <row r="165" spans="1:32" outlineLevel="1" x14ac:dyDescent="0.2">
      <c r="A165" s="606"/>
      <c r="B165" s="606"/>
      <c r="C165" s="607"/>
      <c r="D165" s="608"/>
      <c r="E165" s="609"/>
      <c r="F165" s="364"/>
      <c r="G165" s="609"/>
      <c r="H165" s="637"/>
      <c r="I165" s="637"/>
      <c r="J165" s="637"/>
      <c r="K165" s="637"/>
      <c r="L165" s="637"/>
      <c r="M165" s="637"/>
      <c r="N165" s="637"/>
      <c r="O165" s="637"/>
      <c r="P165" s="637"/>
      <c r="Q165" s="637"/>
      <c r="R165" s="637"/>
      <c r="S165" s="637"/>
      <c r="T165" s="637"/>
      <c r="U165" s="637"/>
      <c r="V165" s="637"/>
      <c r="W165" s="637"/>
      <c r="X165" s="637"/>
      <c r="Y165" s="637"/>
      <c r="Z165" s="637"/>
      <c r="AA165" s="637"/>
      <c r="AB165" s="640"/>
      <c r="AC165" s="606"/>
      <c r="AD165" s="606"/>
      <c r="AE165" s="19"/>
      <c r="AF165" s="19"/>
    </row>
    <row r="166" spans="1:32" outlineLevel="1" x14ac:dyDescent="0.2">
      <c r="A166" s="606"/>
      <c r="B166" s="606"/>
      <c r="C166" s="607"/>
      <c r="D166" s="608"/>
      <c r="E166" s="609"/>
      <c r="F166" s="364"/>
      <c r="G166" s="609"/>
      <c r="H166" s="637"/>
      <c r="I166" s="637"/>
      <c r="J166" s="637"/>
      <c r="K166" s="637"/>
      <c r="L166" s="637"/>
      <c r="M166" s="637"/>
      <c r="N166" s="637"/>
      <c r="O166" s="637"/>
      <c r="P166" s="637"/>
      <c r="Q166" s="637"/>
      <c r="R166" s="637"/>
      <c r="S166" s="637"/>
      <c r="T166" s="637"/>
      <c r="U166" s="637"/>
      <c r="V166" s="637"/>
      <c r="W166" s="637"/>
      <c r="X166" s="637"/>
      <c r="Y166" s="637"/>
      <c r="Z166" s="637"/>
      <c r="AA166" s="637"/>
      <c r="AB166" s="640"/>
      <c r="AC166" s="606"/>
      <c r="AD166" s="606"/>
      <c r="AE166" s="19"/>
      <c r="AF166" s="19"/>
    </row>
    <row r="167" spans="1:32" outlineLevel="1" x14ac:dyDescent="0.2">
      <c r="A167" s="606"/>
      <c r="B167" s="606"/>
      <c r="C167" s="607"/>
      <c r="D167" s="608"/>
      <c r="E167" s="609"/>
      <c r="F167" s="364"/>
      <c r="G167" s="609"/>
      <c r="H167" s="637"/>
      <c r="I167" s="637"/>
      <c r="J167" s="637"/>
      <c r="K167" s="637"/>
      <c r="L167" s="637"/>
      <c r="M167" s="637"/>
      <c r="N167" s="637"/>
      <c r="O167" s="637"/>
      <c r="P167" s="637"/>
      <c r="Q167" s="637"/>
      <c r="R167" s="637"/>
      <c r="S167" s="637"/>
      <c r="T167" s="637"/>
      <c r="U167" s="637"/>
      <c r="V167" s="637"/>
      <c r="W167" s="637"/>
      <c r="X167" s="637"/>
      <c r="Y167" s="637"/>
      <c r="Z167" s="637"/>
      <c r="AA167" s="637"/>
      <c r="AB167" s="640"/>
      <c r="AC167" s="606"/>
      <c r="AD167" s="606"/>
      <c r="AE167" s="19"/>
      <c r="AF167" s="19"/>
    </row>
    <row r="168" spans="1:32" outlineLevel="1" x14ac:dyDescent="0.2">
      <c r="A168" s="606"/>
      <c r="B168" s="606"/>
      <c r="C168" s="607"/>
      <c r="D168" s="608"/>
      <c r="E168" s="609"/>
      <c r="F168" s="364"/>
      <c r="G168" s="609"/>
      <c r="H168" s="637"/>
      <c r="I168" s="637"/>
      <c r="J168" s="637"/>
      <c r="K168" s="637"/>
      <c r="L168" s="637"/>
      <c r="M168" s="637"/>
      <c r="N168" s="637"/>
      <c r="O168" s="637"/>
      <c r="P168" s="637"/>
      <c r="Q168" s="637"/>
      <c r="R168" s="637"/>
      <c r="S168" s="637"/>
      <c r="T168" s="637"/>
      <c r="U168" s="637"/>
      <c r="V168" s="637"/>
      <c r="W168" s="637"/>
      <c r="X168" s="637"/>
      <c r="Y168" s="637"/>
      <c r="Z168" s="637"/>
      <c r="AA168" s="637"/>
      <c r="AB168" s="640"/>
      <c r="AC168" s="606"/>
      <c r="AD168" s="606"/>
      <c r="AE168" s="19"/>
      <c r="AF168" s="19"/>
    </row>
    <row r="169" spans="1:32" outlineLevel="1" x14ac:dyDescent="0.2">
      <c r="A169" s="606"/>
      <c r="B169" s="606"/>
      <c r="C169" s="607"/>
      <c r="D169" s="608"/>
      <c r="E169" s="609"/>
      <c r="F169" s="364"/>
      <c r="G169" s="609"/>
      <c r="H169" s="637"/>
      <c r="I169" s="637"/>
      <c r="J169" s="637"/>
      <c r="K169" s="637"/>
      <c r="L169" s="637"/>
      <c r="M169" s="637"/>
      <c r="N169" s="637"/>
      <c r="O169" s="637"/>
      <c r="P169" s="637"/>
      <c r="Q169" s="637"/>
      <c r="R169" s="637"/>
      <c r="S169" s="637"/>
      <c r="T169" s="637"/>
      <c r="U169" s="637"/>
      <c r="V169" s="637"/>
      <c r="W169" s="637"/>
      <c r="X169" s="637"/>
      <c r="Y169" s="637"/>
      <c r="Z169" s="637"/>
      <c r="AA169" s="637"/>
      <c r="AB169" s="640"/>
      <c r="AC169" s="606"/>
      <c r="AD169" s="606"/>
      <c r="AE169" s="19"/>
      <c r="AF169" s="19"/>
    </row>
    <row r="170" spans="1:32" outlineLevel="1" x14ac:dyDescent="0.2">
      <c r="A170" s="606"/>
      <c r="B170" s="606"/>
      <c r="C170" s="607"/>
      <c r="D170" s="608"/>
      <c r="E170" s="609"/>
      <c r="F170" s="364"/>
      <c r="G170" s="609"/>
      <c r="H170" s="637"/>
      <c r="I170" s="637"/>
      <c r="J170" s="637"/>
      <c r="K170" s="637"/>
      <c r="L170" s="637"/>
      <c r="M170" s="637"/>
      <c r="N170" s="637"/>
      <c r="O170" s="637"/>
      <c r="P170" s="637"/>
      <c r="Q170" s="637"/>
      <c r="R170" s="637"/>
      <c r="S170" s="637"/>
      <c r="T170" s="637"/>
      <c r="U170" s="637"/>
      <c r="V170" s="637"/>
      <c r="W170" s="637"/>
      <c r="X170" s="637"/>
      <c r="Y170" s="637"/>
      <c r="Z170" s="637"/>
      <c r="AA170" s="637"/>
      <c r="AB170" s="640"/>
      <c r="AC170" s="606"/>
      <c r="AD170" s="606"/>
      <c r="AE170" s="19"/>
      <c r="AF170" s="19"/>
    </row>
    <row r="171" spans="1:32" outlineLevel="1" x14ac:dyDescent="0.2">
      <c r="A171" s="606"/>
      <c r="B171" s="606"/>
      <c r="C171" s="607"/>
      <c r="D171" s="608"/>
      <c r="E171" s="609"/>
      <c r="F171" s="364"/>
      <c r="G171" s="609"/>
      <c r="H171" s="637"/>
      <c r="I171" s="637"/>
      <c r="J171" s="637"/>
      <c r="K171" s="637"/>
      <c r="L171" s="637"/>
      <c r="M171" s="637"/>
      <c r="N171" s="637"/>
      <c r="O171" s="637"/>
      <c r="P171" s="637"/>
      <c r="Q171" s="637"/>
      <c r="R171" s="637"/>
      <c r="S171" s="637"/>
      <c r="T171" s="637"/>
      <c r="U171" s="637"/>
      <c r="V171" s="637"/>
      <c r="W171" s="637"/>
      <c r="X171" s="637"/>
      <c r="Y171" s="637"/>
      <c r="Z171" s="637"/>
      <c r="AA171" s="637"/>
      <c r="AB171" s="640"/>
      <c r="AC171" s="606"/>
      <c r="AD171" s="606"/>
      <c r="AE171" s="19"/>
      <c r="AF171" s="19"/>
    </row>
    <row r="172" spans="1:32" outlineLevel="1" x14ac:dyDescent="0.2">
      <c r="A172" s="606"/>
      <c r="B172" s="606"/>
      <c r="C172" s="607"/>
      <c r="D172" s="608"/>
      <c r="E172" s="609"/>
      <c r="F172" s="364"/>
      <c r="G172" s="609"/>
      <c r="H172" s="637"/>
      <c r="I172" s="637"/>
      <c r="J172" s="637"/>
      <c r="K172" s="637"/>
      <c r="L172" s="637"/>
      <c r="M172" s="637"/>
      <c r="N172" s="637"/>
      <c r="O172" s="637"/>
      <c r="P172" s="637"/>
      <c r="Q172" s="637"/>
      <c r="R172" s="637"/>
      <c r="S172" s="637"/>
      <c r="T172" s="637"/>
      <c r="U172" s="637"/>
      <c r="V172" s="637"/>
      <c r="W172" s="637"/>
      <c r="X172" s="637"/>
      <c r="Y172" s="637"/>
      <c r="Z172" s="637"/>
      <c r="AA172" s="637"/>
      <c r="AB172" s="640"/>
      <c r="AC172" s="606"/>
      <c r="AD172" s="606"/>
      <c r="AE172" s="19"/>
      <c r="AF172" s="19"/>
    </row>
    <row r="173" spans="1:32" outlineLevel="1" x14ac:dyDescent="0.2">
      <c r="A173" s="606"/>
      <c r="B173" s="606"/>
      <c r="C173" s="607"/>
      <c r="D173" s="608"/>
      <c r="E173" s="609"/>
      <c r="F173" s="364"/>
      <c r="G173" s="609"/>
      <c r="H173" s="637"/>
      <c r="I173" s="637"/>
      <c r="J173" s="637"/>
      <c r="K173" s="637"/>
      <c r="L173" s="637"/>
      <c r="M173" s="637"/>
      <c r="N173" s="637"/>
      <c r="O173" s="637"/>
      <c r="P173" s="637"/>
      <c r="Q173" s="637"/>
      <c r="R173" s="637"/>
      <c r="S173" s="637"/>
      <c r="T173" s="637"/>
      <c r="U173" s="637"/>
      <c r="V173" s="637"/>
      <c r="W173" s="637"/>
      <c r="X173" s="637"/>
      <c r="Y173" s="637"/>
      <c r="Z173" s="637"/>
      <c r="AA173" s="637"/>
      <c r="AB173" s="640"/>
      <c r="AC173" s="606"/>
      <c r="AD173" s="606"/>
      <c r="AE173" s="19"/>
      <c r="AF173" s="19"/>
    </row>
    <row r="174" spans="1:32" outlineLevel="1" x14ac:dyDescent="0.2">
      <c r="A174" s="606"/>
      <c r="B174" s="606"/>
      <c r="C174" s="607"/>
      <c r="D174" s="608"/>
      <c r="E174" s="609"/>
      <c r="F174" s="364"/>
      <c r="G174" s="609"/>
      <c r="H174" s="637"/>
      <c r="I174" s="637"/>
      <c r="J174" s="637"/>
      <c r="K174" s="637"/>
      <c r="L174" s="637"/>
      <c r="M174" s="637"/>
      <c r="N174" s="637"/>
      <c r="O174" s="637"/>
      <c r="P174" s="637"/>
      <c r="Q174" s="637"/>
      <c r="R174" s="637"/>
      <c r="S174" s="637"/>
      <c r="T174" s="637"/>
      <c r="U174" s="637"/>
      <c r="V174" s="637"/>
      <c r="W174" s="637"/>
      <c r="X174" s="637"/>
      <c r="Y174" s="637"/>
      <c r="Z174" s="637"/>
      <c r="AA174" s="637"/>
      <c r="AB174" s="640"/>
      <c r="AC174" s="606"/>
      <c r="AD174" s="606"/>
      <c r="AE174" s="19"/>
      <c r="AF174" s="19"/>
    </row>
    <row r="175" spans="1:32" outlineLevel="1" x14ac:dyDescent="0.2">
      <c r="A175" s="606"/>
      <c r="B175" s="606"/>
      <c r="C175" s="607"/>
      <c r="D175" s="608"/>
      <c r="E175" s="609"/>
      <c r="F175" s="364"/>
      <c r="G175" s="609"/>
      <c r="H175" s="637"/>
      <c r="I175" s="637"/>
      <c r="J175" s="637"/>
      <c r="K175" s="637"/>
      <c r="L175" s="637"/>
      <c r="M175" s="637"/>
      <c r="N175" s="637"/>
      <c r="O175" s="637"/>
      <c r="P175" s="637"/>
      <c r="Q175" s="637"/>
      <c r="R175" s="637"/>
      <c r="S175" s="637"/>
      <c r="T175" s="637"/>
      <c r="U175" s="637"/>
      <c r="V175" s="637"/>
      <c r="W175" s="637"/>
      <c r="X175" s="637"/>
      <c r="Y175" s="637"/>
      <c r="Z175" s="637"/>
      <c r="AA175" s="637"/>
      <c r="AB175" s="640"/>
      <c r="AC175" s="606"/>
      <c r="AD175" s="606"/>
      <c r="AE175" s="19"/>
      <c r="AF175" s="19"/>
    </row>
    <row r="176" spans="1:32" outlineLevel="1" x14ac:dyDescent="0.2">
      <c r="A176" s="606"/>
      <c r="B176" s="606"/>
      <c r="C176" s="607"/>
      <c r="D176" s="608"/>
      <c r="E176" s="609"/>
      <c r="F176" s="364"/>
      <c r="G176" s="609"/>
      <c r="H176" s="637"/>
      <c r="I176" s="637"/>
      <c r="J176" s="637"/>
      <c r="K176" s="637"/>
      <c r="L176" s="637"/>
      <c r="M176" s="637"/>
      <c r="N176" s="637"/>
      <c r="O176" s="637"/>
      <c r="P176" s="637"/>
      <c r="Q176" s="637"/>
      <c r="R176" s="637"/>
      <c r="S176" s="637"/>
      <c r="T176" s="637"/>
      <c r="U176" s="637"/>
      <c r="V176" s="637"/>
      <c r="W176" s="637"/>
      <c r="X176" s="637"/>
      <c r="Y176" s="637"/>
      <c r="Z176" s="637"/>
      <c r="AA176" s="637"/>
      <c r="AB176" s="640"/>
      <c r="AC176" s="606"/>
      <c r="AD176" s="606"/>
      <c r="AE176" s="19"/>
      <c r="AF176" s="19"/>
    </row>
    <row r="177" spans="1:32" outlineLevel="1" x14ac:dyDescent="0.2">
      <c r="A177" s="606"/>
      <c r="B177" s="606"/>
      <c r="C177" s="607"/>
      <c r="D177" s="608"/>
      <c r="E177" s="609"/>
      <c r="F177" s="364"/>
      <c r="G177" s="609"/>
      <c r="H177" s="637"/>
      <c r="I177" s="637"/>
      <c r="J177" s="637"/>
      <c r="K177" s="637"/>
      <c r="L177" s="637"/>
      <c r="M177" s="637"/>
      <c r="N177" s="637"/>
      <c r="O177" s="637"/>
      <c r="P177" s="637"/>
      <c r="Q177" s="637"/>
      <c r="R177" s="637"/>
      <c r="S177" s="637"/>
      <c r="T177" s="637"/>
      <c r="U177" s="637"/>
      <c r="V177" s="637"/>
      <c r="W177" s="637"/>
      <c r="X177" s="637"/>
      <c r="Y177" s="637"/>
      <c r="Z177" s="637"/>
      <c r="AA177" s="637"/>
      <c r="AB177" s="640"/>
      <c r="AC177" s="606"/>
      <c r="AD177" s="606"/>
      <c r="AE177" s="19"/>
      <c r="AF177" s="19"/>
    </row>
    <row r="178" spans="1:32" outlineLevel="1" x14ac:dyDescent="0.2">
      <c r="A178" s="606"/>
      <c r="B178" s="606"/>
      <c r="C178" s="607"/>
      <c r="D178" s="608"/>
      <c r="E178" s="609"/>
      <c r="F178" s="364"/>
      <c r="G178" s="609"/>
      <c r="H178" s="637"/>
      <c r="I178" s="637"/>
      <c r="J178" s="637"/>
      <c r="K178" s="637"/>
      <c r="L178" s="637"/>
      <c r="M178" s="637"/>
      <c r="N178" s="637"/>
      <c r="O178" s="637"/>
      <c r="P178" s="637"/>
      <c r="Q178" s="637"/>
      <c r="R178" s="637"/>
      <c r="S178" s="637"/>
      <c r="T178" s="637"/>
      <c r="U178" s="637"/>
      <c r="V178" s="637"/>
      <c r="W178" s="637"/>
      <c r="X178" s="637"/>
      <c r="Y178" s="637"/>
      <c r="Z178" s="637"/>
      <c r="AA178" s="637"/>
      <c r="AB178" s="640"/>
      <c r="AC178" s="606"/>
      <c r="AD178" s="606"/>
      <c r="AE178" s="19"/>
      <c r="AF178" s="19"/>
    </row>
    <row r="179" spans="1:32" outlineLevel="1" x14ac:dyDescent="0.2">
      <c r="A179" s="606"/>
      <c r="B179" s="606"/>
      <c r="C179" s="607"/>
      <c r="D179" s="608"/>
      <c r="E179" s="609"/>
      <c r="F179" s="364"/>
      <c r="G179" s="609"/>
      <c r="H179" s="637"/>
      <c r="I179" s="637"/>
      <c r="J179" s="637"/>
      <c r="K179" s="637"/>
      <c r="L179" s="637"/>
      <c r="M179" s="637"/>
      <c r="N179" s="637"/>
      <c r="O179" s="637"/>
      <c r="P179" s="637"/>
      <c r="Q179" s="637"/>
      <c r="R179" s="637"/>
      <c r="S179" s="637"/>
      <c r="T179" s="637"/>
      <c r="U179" s="637"/>
      <c r="V179" s="637"/>
      <c r="W179" s="637"/>
      <c r="X179" s="637"/>
      <c r="Y179" s="637"/>
      <c r="Z179" s="637"/>
      <c r="AA179" s="637"/>
      <c r="AB179" s="640"/>
      <c r="AC179" s="606"/>
      <c r="AD179" s="606"/>
      <c r="AE179" s="19"/>
      <c r="AF179" s="19"/>
    </row>
    <row r="180" spans="1:32" outlineLevel="1" x14ac:dyDescent="0.2">
      <c r="A180" s="606"/>
      <c r="B180" s="606"/>
      <c r="C180" s="607"/>
      <c r="D180" s="608"/>
      <c r="E180" s="609"/>
      <c r="F180" s="364"/>
      <c r="G180" s="609"/>
      <c r="H180" s="637"/>
      <c r="I180" s="637"/>
      <c r="J180" s="637"/>
      <c r="K180" s="637"/>
      <c r="L180" s="637"/>
      <c r="M180" s="637"/>
      <c r="N180" s="637"/>
      <c r="O180" s="637"/>
      <c r="P180" s="637"/>
      <c r="Q180" s="637"/>
      <c r="R180" s="637"/>
      <c r="S180" s="637"/>
      <c r="T180" s="637"/>
      <c r="U180" s="637"/>
      <c r="V180" s="637"/>
      <c r="W180" s="637"/>
      <c r="X180" s="637"/>
      <c r="Y180" s="637"/>
      <c r="Z180" s="637"/>
      <c r="AA180" s="637"/>
      <c r="AB180" s="640"/>
      <c r="AC180" s="606"/>
      <c r="AD180" s="606"/>
      <c r="AE180" s="19"/>
      <c r="AF180" s="19"/>
    </row>
    <row r="181" spans="1:32" outlineLevel="1" x14ac:dyDescent="0.2">
      <c r="A181" s="606"/>
      <c r="B181" s="606"/>
      <c r="C181" s="607"/>
      <c r="D181" s="608"/>
      <c r="E181" s="609"/>
      <c r="F181" s="364"/>
      <c r="G181" s="609"/>
      <c r="H181" s="637"/>
      <c r="I181" s="637"/>
      <c r="J181" s="637"/>
      <c r="K181" s="637"/>
      <c r="L181" s="637"/>
      <c r="M181" s="637"/>
      <c r="N181" s="637"/>
      <c r="O181" s="637"/>
      <c r="P181" s="637"/>
      <c r="Q181" s="637"/>
      <c r="R181" s="637"/>
      <c r="S181" s="637"/>
      <c r="T181" s="637"/>
      <c r="U181" s="637"/>
      <c r="V181" s="637"/>
      <c r="W181" s="637"/>
      <c r="X181" s="637"/>
      <c r="Y181" s="637"/>
      <c r="Z181" s="637"/>
      <c r="AA181" s="637"/>
      <c r="AB181" s="640"/>
      <c r="AC181" s="606"/>
      <c r="AD181" s="606"/>
      <c r="AE181" s="19"/>
      <c r="AF181" s="19"/>
    </row>
    <row r="182" spans="1:32" outlineLevel="1" x14ac:dyDescent="0.2">
      <c r="A182" s="606"/>
      <c r="B182" s="606"/>
      <c r="C182" s="607"/>
      <c r="D182" s="608"/>
      <c r="E182" s="609"/>
      <c r="F182" s="364"/>
      <c r="G182" s="609"/>
      <c r="H182" s="637"/>
      <c r="I182" s="637"/>
      <c r="J182" s="637"/>
      <c r="K182" s="637"/>
      <c r="L182" s="637"/>
      <c r="M182" s="637"/>
      <c r="N182" s="637"/>
      <c r="O182" s="637"/>
      <c r="P182" s="637"/>
      <c r="Q182" s="637"/>
      <c r="R182" s="637"/>
      <c r="S182" s="637"/>
      <c r="T182" s="637"/>
      <c r="U182" s="637"/>
      <c r="V182" s="637"/>
      <c r="W182" s="637"/>
      <c r="X182" s="637"/>
      <c r="Y182" s="637"/>
      <c r="Z182" s="637"/>
      <c r="AA182" s="637"/>
      <c r="AB182" s="640"/>
      <c r="AC182" s="606"/>
      <c r="AD182" s="606"/>
      <c r="AE182" s="19"/>
      <c r="AF182" s="19"/>
    </row>
    <row r="183" spans="1:32" outlineLevel="1" x14ac:dyDescent="0.2">
      <c r="A183" s="606"/>
      <c r="B183" s="606"/>
      <c r="C183" s="607"/>
      <c r="D183" s="608"/>
      <c r="E183" s="609"/>
      <c r="F183" s="364"/>
      <c r="G183" s="609"/>
      <c r="H183" s="637"/>
      <c r="I183" s="637"/>
      <c r="J183" s="637"/>
      <c r="K183" s="637"/>
      <c r="L183" s="637"/>
      <c r="M183" s="637"/>
      <c r="N183" s="637"/>
      <c r="O183" s="637"/>
      <c r="P183" s="637"/>
      <c r="Q183" s="637"/>
      <c r="R183" s="637"/>
      <c r="S183" s="637"/>
      <c r="T183" s="637"/>
      <c r="U183" s="637"/>
      <c r="V183" s="637"/>
      <c r="W183" s="637"/>
      <c r="X183" s="637"/>
      <c r="Y183" s="637"/>
      <c r="Z183" s="637"/>
      <c r="AA183" s="637"/>
      <c r="AB183" s="640"/>
      <c r="AC183" s="606"/>
      <c r="AD183" s="606"/>
      <c r="AE183" s="19"/>
      <c r="AF183" s="19"/>
    </row>
    <row r="184" spans="1:32" outlineLevel="1" x14ac:dyDescent="0.2">
      <c r="A184" s="606"/>
      <c r="B184" s="606"/>
      <c r="C184" s="607"/>
      <c r="D184" s="608"/>
      <c r="E184" s="609"/>
      <c r="F184" s="364"/>
      <c r="G184" s="609"/>
      <c r="H184" s="637"/>
      <c r="I184" s="637"/>
      <c r="J184" s="637"/>
      <c r="K184" s="637"/>
      <c r="L184" s="637"/>
      <c r="M184" s="637"/>
      <c r="N184" s="637"/>
      <c r="O184" s="637"/>
      <c r="P184" s="637"/>
      <c r="Q184" s="637"/>
      <c r="R184" s="637"/>
      <c r="S184" s="637"/>
      <c r="T184" s="637"/>
      <c r="U184" s="637"/>
      <c r="V184" s="637"/>
      <c r="W184" s="637"/>
      <c r="X184" s="637"/>
      <c r="Y184" s="637"/>
      <c r="Z184" s="637"/>
      <c r="AA184" s="637"/>
      <c r="AB184" s="640"/>
      <c r="AC184" s="606"/>
      <c r="AD184" s="606"/>
      <c r="AE184" s="19"/>
      <c r="AF184" s="19"/>
    </row>
    <row r="185" spans="1:32" outlineLevel="1" x14ac:dyDescent="0.2">
      <c r="A185" s="606"/>
      <c r="B185" s="606"/>
      <c r="C185" s="607"/>
      <c r="D185" s="608"/>
      <c r="E185" s="609"/>
      <c r="F185" s="364"/>
      <c r="G185" s="609"/>
      <c r="H185" s="637"/>
      <c r="I185" s="637"/>
      <c r="J185" s="637"/>
      <c r="K185" s="637"/>
      <c r="L185" s="637"/>
      <c r="M185" s="637"/>
      <c r="N185" s="637"/>
      <c r="O185" s="637"/>
      <c r="P185" s="637"/>
      <c r="Q185" s="637"/>
      <c r="R185" s="637"/>
      <c r="S185" s="637"/>
      <c r="T185" s="637"/>
      <c r="U185" s="637"/>
      <c r="V185" s="637"/>
      <c r="W185" s="637"/>
      <c r="X185" s="637"/>
      <c r="Y185" s="637"/>
      <c r="Z185" s="637"/>
      <c r="AA185" s="637"/>
      <c r="AB185" s="640"/>
      <c r="AC185" s="606"/>
      <c r="AD185" s="606"/>
      <c r="AE185" s="19"/>
      <c r="AF185" s="19"/>
    </row>
    <row r="186" spans="1:32" outlineLevel="1" x14ac:dyDescent="0.2">
      <c r="A186" s="606"/>
      <c r="B186" s="606"/>
      <c r="C186" s="607"/>
      <c r="D186" s="608"/>
      <c r="E186" s="609"/>
      <c r="F186" s="364"/>
      <c r="G186" s="609"/>
      <c r="H186" s="637"/>
      <c r="I186" s="637"/>
      <c r="J186" s="637"/>
      <c r="K186" s="637"/>
      <c r="L186" s="637"/>
      <c r="M186" s="637"/>
      <c r="N186" s="637"/>
      <c r="O186" s="637"/>
      <c r="P186" s="637"/>
      <c r="Q186" s="637"/>
      <c r="R186" s="637"/>
      <c r="S186" s="637"/>
      <c r="T186" s="637"/>
      <c r="U186" s="637"/>
      <c r="V186" s="637"/>
      <c r="W186" s="637"/>
      <c r="X186" s="637"/>
      <c r="Y186" s="637"/>
      <c r="Z186" s="637"/>
      <c r="AA186" s="637"/>
      <c r="AB186" s="640"/>
      <c r="AC186" s="606"/>
      <c r="AD186" s="606"/>
      <c r="AE186" s="19"/>
      <c r="AF186" s="19"/>
    </row>
    <row r="187" spans="1:32" outlineLevel="1" x14ac:dyDescent="0.2">
      <c r="A187" s="606"/>
      <c r="B187" s="606"/>
      <c r="C187" s="607"/>
      <c r="D187" s="608"/>
      <c r="E187" s="609"/>
      <c r="F187" s="364"/>
      <c r="G187" s="609"/>
      <c r="H187" s="637"/>
      <c r="I187" s="637"/>
      <c r="J187" s="637"/>
      <c r="K187" s="637"/>
      <c r="L187" s="637"/>
      <c r="M187" s="637"/>
      <c r="N187" s="637"/>
      <c r="O187" s="637"/>
      <c r="P187" s="637"/>
      <c r="Q187" s="637"/>
      <c r="R187" s="637"/>
      <c r="S187" s="637"/>
      <c r="T187" s="637"/>
      <c r="U187" s="637"/>
      <c r="V187" s="637"/>
      <c r="W187" s="637"/>
      <c r="X187" s="637"/>
      <c r="Y187" s="637"/>
      <c r="Z187" s="637"/>
      <c r="AA187" s="637"/>
      <c r="AB187" s="640"/>
      <c r="AC187" s="606"/>
      <c r="AD187" s="606"/>
      <c r="AE187" s="19"/>
      <c r="AF187" s="19"/>
    </row>
    <row r="188" spans="1:32" hidden="1" outlineLevel="2" x14ac:dyDescent="0.2">
      <c r="A188" s="606"/>
      <c r="B188" s="606"/>
      <c r="C188" s="607"/>
      <c r="D188" s="608"/>
      <c r="E188" s="609"/>
      <c r="F188" s="364"/>
      <c r="G188" s="609"/>
      <c r="H188" s="637"/>
      <c r="I188" s="637"/>
      <c r="J188" s="637"/>
      <c r="K188" s="637"/>
      <c r="L188" s="637"/>
      <c r="M188" s="637"/>
      <c r="N188" s="637"/>
      <c r="O188" s="637"/>
      <c r="P188" s="637"/>
      <c r="Q188" s="637"/>
      <c r="R188" s="637"/>
      <c r="S188" s="637"/>
      <c r="T188" s="637"/>
      <c r="U188" s="637"/>
      <c r="V188" s="637"/>
      <c r="W188" s="637"/>
      <c r="X188" s="637"/>
      <c r="Y188" s="637"/>
      <c r="Z188" s="637"/>
      <c r="AA188" s="637"/>
      <c r="AB188" s="640"/>
      <c r="AC188" s="606"/>
      <c r="AD188" s="606"/>
      <c r="AE188" s="19"/>
      <c r="AF188" s="19"/>
    </row>
    <row r="189" spans="1:32" hidden="1" outlineLevel="2" x14ac:dyDescent="0.2">
      <c r="A189" s="606"/>
      <c r="B189" s="606"/>
      <c r="C189" s="607"/>
      <c r="D189" s="608"/>
      <c r="E189" s="609"/>
      <c r="F189" s="364"/>
      <c r="G189" s="609"/>
      <c r="H189" s="637"/>
      <c r="I189" s="637"/>
      <c r="J189" s="637"/>
      <c r="K189" s="637"/>
      <c r="L189" s="637"/>
      <c r="M189" s="637"/>
      <c r="N189" s="637"/>
      <c r="O189" s="637"/>
      <c r="P189" s="637"/>
      <c r="Q189" s="637"/>
      <c r="R189" s="637"/>
      <c r="S189" s="637"/>
      <c r="T189" s="637"/>
      <c r="U189" s="637"/>
      <c r="V189" s="637"/>
      <c r="W189" s="637"/>
      <c r="X189" s="637"/>
      <c r="Y189" s="637"/>
      <c r="Z189" s="637"/>
      <c r="AA189" s="637"/>
      <c r="AB189" s="640"/>
      <c r="AC189" s="606"/>
      <c r="AD189" s="606"/>
      <c r="AE189" s="19"/>
      <c r="AF189" s="19"/>
    </row>
    <row r="190" spans="1:32" hidden="1" outlineLevel="2" x14ac:dyDescent="0.2">
      <c r="A190" s="606"/>
      <c r="B190" s="606"/>
      <c r="C190" s="607"/>
      <c r="D190" s="608"/>
      <c r="E190" s="609"/>
      <c r="F190" s="364"/>
      <c r="G190" s="609"/>
      <c r="H190" s="637"/>
      <c r="I190" s="637"/>
      <c r="J190" s="637"/>
      <c r="K190" s="637"/>
      <c r="L190" s="637"/>
      <c r="M190" s="637"/>
      <c r="N190" s="637"/>
      <c r="O190" s="637"/>
      <c r="P190" s="637"/>
      <c r="Q190" s="637"/>
      <c r="R190" s="637"/>
      <c r="S190" s="637"/>
      <c r="T190" s="637"/>
      <c r="U190" s="637"/>
      <c r="V190" s="637"/>
      <c r="W190" s="637"/>
      <c r="X190" s="637"/>
      <c r="Y190" s="637"/>
      <c r="Z190" s="637"/>
      <c r="AA190" s="637"/>
      <c r="AB190" s="640"/>
      <c r="AC190" s="606"/>
      <c r="AD190" s="606"/>
      <c r="AE190" s="19"/>
      <c r="AF190" s="19"/>
    </row>
    <row r="191" spans="1:32" hidden="1" outlineLevel="2" x14ac:dyDescent="0.2">
      <c r="A191" s="606"/>
      <c r="B191" s="606"/>
      <c r="C191" s="607"/>
      <c r="D191" s="608"/>
      <c r="E191" s="609"/>
      <c r="F191" s="364"/>
      <c r="G191" s="609"/>
      <c r="H191" s="637"/>
      <c r="I191" s="637"/>
      <c r="J191" s="637"/>
      <c r="K191" s="637"/>
      <c r="L191" s="637"/>
      <c r="M191" s="637"/>
      <c r="N191" s="637"/>
      <c r="O191" s="637"/>
      <c r="P191" s="637"/>
      <c r="Q191" s="637"/>
      <c r="R191" s="637"/>
      <c r="S191" s="637"/>
      <c r="T191" s="637"/>
      <c r="U191" s="637"/>
      <c r="V191" s="637"/>
      <c r="W191" s="637"/>
      <c r="X191" s="637"/>
      <c r="Y191" s="637"/>
      <c r="Z191" s="637"/>
      <c r="AA191" s="637"/>
      <c r="AB191" s="640"/>
      <c r="AC191" s="606"/>
      <c r="AD191" s="606"/>
      <c r="AE191" s="19"/>
      <c r="AF191" s="19"/>
    </row>
    <row r="192" spans="1:32" hidden="1" outlineLevel="2" x14ac:dyDescent="0.2">
      <c r="A192" s="606"/>
      <c r="B192" s="606"/>
      <c r="C192" s="607"/>
      <c r="D192" s="608"/>
      <c r="E192" s="609"/>
      <c r="F192" s="364"/>
      <c r="G192" s="609"/>
      <c r="H192" s="637"/>
      <c r="I192" s="637"/>
      <c r="J192" s="637"/>
      <c r="K192" s="637"/>
      <c r="L192" s="637"/>
      <c r="M192" s="637"/>
      <c r="N192" s="637"/>
      <c r="O192" s="637"/>
      <c r="P192" s="637"/>
      <c r="Q192" s="637"/>
      <c r="R192" s="637"/>
      <c r="S192" s="637"/>
      <c r="T192" s="637"/>
      <c r="U192" s="637"/>
      <c r="V192" s="637"/>
      <c r="W192" s="637"/>
      <c r="X192" s="637"/>
      <c r="Y192" s="637"/>
      <c r="Z192" s="637"/>
      <c r="AA192" s="637"/>
      <c r="AB192" s="640"/>
      <c r="AC192" s="606"/>
      <c r="AD192" s="606"/>
      <c r="AE192" s="19"/>
      <c r="AF192" s="19"/>
    </row>
    <row r="193" spans="1:32" hidden="1" outlineLevel="2" x14ac:dyDescent="0.2">
      <c r="A193" s="606"/>
      <c r="B193" s="606"/>
      <c r="C193" s="607"/>
      <c r="D193" s="608"/>
      <c r="E193" s="609"/>
      <c r="F193" s="364"/>
      <c r="G193" s="609"/>
      <c r="H193" s="637"/>
      <c r="I193" s="637"/>
      <c r="J193" s="637"/>
      <c r="K193" s="637"/>
      <c r="L193" s="637"/>
      <c r="M193" s="637"/>
      <c r="N193" s="637"/>
      <c r="O193" s="637"/>
      <c r="P193" s="637"/>
      <c r="Q193" s="637"/>
      <c r="R193" s="637"/>
      <c r="S193" s="637"/>
      <c r="T193" s="637"/>
      <c r="U193" s="637"/>
      <c r="V193" s="637"/>
      <c r="W193" s="637"/>
      <c r="X193" s="637"/>
      <c r="Y193" s="637"/>
      <c r="Z193" s="637"/>
      <c r="AA193" s="637"/>
      <c r="AB193" s="640"/>
      <c r="AC193" s="606"/>
      <c r="AD193" s="606"/>
      <c r="AE193" s="19"/>
      <c r="AF193" s="19"/>
    </row>
    <row r="194" spans="1:32" hidden="1" outlineLevel="2" x14ac:dyDescent="0.2">
      <c r="A194" s="606"/>
      <c r="B194" s="606"/>
      <c r="C194" s="607"/>
      <c r="D194" s="608"/>
      <c r="E194" s="609"/>
      <c r="F194" s="364"/>
      <c r="G194" s="609"/>
      <c r="H194" s="637"/>
      <c r="I194" s="637"/>
      <c r="J194" s="637"/>
      <c r="K194" s="637"/>
      <c r="L194" s="637"/>
      <c r="M194" s="637"/>
      <c r="N194" s="637"/>
      <c r="O194" s="637"/>
      <c r="P194" s="637"/>
      <c r="Q194" s="637"/>
      <c r="R194" s="637"/>
      <c r="S194" s="637"/>
      <c r="T194" s="637"/>
      <c r="U194" s="637"/>
      <c r="V194" s="637"/>
      <c r="W194" s="637"/>
      <c r="X194" s="637"/>
      <c r="Y194" s="637"/>
      <c r="Z194" s="637"/>
      <c r="AA194" s="637"/>
      <c r="AB194" s="640"/>
      <c r="AC194" s="606"/>
      <c r="AD194" s="606"/>
      <c r="AE194" s="19"/>
      <c r="AF194" s="19"/>
    </row>
    <row r="195" spans="1:32" hidden="1" outlineLevel="2" x14ac:dyDescent="0.2">
      <c r="A195" s="606"/>
      <c r="B195" s="606"/>
      <c r="C195" s="607"/>
      <c r="D195" s="608"/>
      <c r="E195" s="609"/>
      <c r="F195" s="364"/>
      <c r="G195" s="609"/>
      <c r="H195" s="637"/>
      <c r="I195" s="637"/>
      <c r="J195" s="637"/>
      <c r="K195" s="637"/>
      <c r="L195" s="637"/>
      <c r="M195" s="637"/>
      <c r="N195" s="637"/>
      <c r="O195" s="637"/>
      <c r="P195" s="637"/>
      <c r="Q195" s="637"/>
      <c r="R195" s="637"/>
      <c r="S195" s="637"/>
      <c r="T195" s="637"/>
      <c r="U195" s="637"/>
      <c r="V195" s="637"/>
      <c r="W195" s="637"/>
      <c r="X195" s="637"/>
      <c r="Y195" s="637"/>
      <c r="Z195" s="637"/>
      <c r="AA195" s="637"/>
      <c r="AB195" s="640"/>
      <c r="AC195" s="606"/>
      <c r="AD195" s="606"/>
      <c r="AE195" s="19"/>
      <c r="AF195" s="19"/>
    </row>
    <row r="196" spans="1:32" hidden="1" outlineLevel="2" x14ac:dyDescent="0.2">
      <c r="A196" s="606"/>
      <c r="B196" s="606"/>
      <c r="C196" s="607"/>
      <c r="D196" s="608"/>
      <c r="E196" s="609"/>
      <c r="F196" s="364"/>
      <c r="G196" s="609"/>
      <c r="H196" s="637"/>
      <c r="I196" s="637"/>
      <c r="J196" s="637"/>
      <c r="K196" s="637"/>
      <c r="L196" s="637"/>
      <c r="M196" s="637"/>
      <c r="N196" s="637"/>
      <c r="O196" s="637"/>
      <c r="P196" s="637"/>
      <c r="Q196" s="637"/>
      <c r="R196" s="637"/>
      <c r="S196" s="637"/>
      <c r="T196" s="637"/>
      <c r="U196" s="637"/>
      <c r="V196" s="637"/>
      <c r="W196" s="637"/>
      <c r="X196" s="637"/>
      <c r="Y196" s="637"/>
      <c r="Z196" s="637"/>
      <c r="AA196" s="637"/>
      <c r="AB196" s="640"/>
      <c r="AC196" s="606"/>
      <c r="AD196" s="606"/>
      <c r="AE196" s="19"/>
      <c r="AF196" s="19"/>
    </row>
    <row r="197" spans="1:32" hidden="1" outlineLevel="2" x14ac:dyDescent="0.2">
      <c r="A197" s="606"/>
      <c r="B197" s="606"/>
      <c r="C197" s="607"/>
      <c r="D197" s="608"/>
      <c r="E197" s="609"/>
      <c r="F197" s="364"/>
      <c r="G197" s="609"/>
      <c r="H197" s="637"/>
      <c r="I197" s="637"/>
      <c r="J197" s="637"/>
      <c r="K197" s="637"/>
      <c r="L197" s="637"/>
      <c r="M197" s="637"/>
      <c r="N197" s="637"/>
      <c r="O197" s="637"/>
      <c r="P197" s="637"/>
      <c r="Q197" s="637"/>
      <c r="R197" s="637"/>
      <c r="S197" s="637"/>
      <c r="T197" s="637"/>
      <c r="U197" s="637"/>
      <c r="V197" s="637"/>
      <c r="W197" s="637"/>
      <c r="X197" s="637"/>
      <c r="Y197" s="637"/>
      <c r="Z197" s="637"/>
      <c r="AA197" s="637"/>
      <c r="AB197" s="640"/>
      <c r="AC197" s="606"/>
      <c r="AD197" s="606"/>
      <c r="AE197" s="19"/>
      <c r="AF197" s="19"/>
    </row>
    <row r="198" spans="1:32" hidden="1" outlineLevel="2" x14ac:dyDescent="0.2">
      <c r="A198" s="606"/>
      <c r="B198" s="606"/>
      <c r="C198" s="607"/>
      <c r="D198" s="608"/>
      <c r="E198" s="609"/>
      <c r="F198" s="364"/>
      <c r="G198" s="609"/>
      <c r="H198" s="637"/>
      <c r="I198" s="637"/>
      <c r="J198" s="637"/>
      <c r="K198" s="637"/>
      <c r="L198" s="637"/>
      <c r="M198" s="637"/>
      <c r="N198" s="637"/>
      <c r="O198" s="637"/>
      <c r="P198" s="637"/>
      <c r="Q198" s="637"/>
      <c r="R198" s="637"/>
      <c r="S198" s="637"/>
      <c r="T198" s="637"/>
      <c r="U198" s="637"/>
      <c r="V198" s="637"/>
      <c r="W198" s="637"/>
      <c r="X198" s="637"/>
      <c r="Y198" s="637"/>
      <c r="Z198" s="637"/>
      <c r="AA198" s="637"/>
      <c r="AB198" s="640"/>
      <c r="AC198" s="606"/>
      <c r="AD198" s="606"/>
      <c r="AE198" s="19"/>
      <c r="AF198" s="19"/>
    </row>
    <row r="199" spans="1:32" hidden="1" outlineLevel="2" x14ac:dyDescent="0.2">
      <c r="A199" s="606"/>
      <c r="B199" s="606"/>
      <c r="C199" s="607"/>
      <c r="D199" s="608"/>
      <c r="E199" s="609"/>
      <c r="F199" s="364"/>
      <c r="G199" s="609"/>
      <c r="H199" s="637"/>
      <c r="I199" s="637"/>
      <c r="J199" s="637"/>
      <c r="K199" s="637"/>
      <c r="L199" s="637"/>
      <c r="M199" s="637"/>
      <c r="N199" s="637"/>
      <c r="O199" s="637"/>
      <c r="P199" s="637"/>
      <c r="Q199" s="637"/>
      <c r="R199" s="637"/>
      <c r="S199" s="637"/>
      <c r="T199" s="637"/>
      <c r="U199" s="637"/>
      <c r="V199" s="637"/>
      <c r="W199" s="637"/>
      <c r="X199" s="637"/>
      <c r="Y199" s="637"/>
      <c r="Z199" s="637"/>
      <c r="AA199" s="637"/>
      <c r="AB199" s="640"/>
      <c r="AC199" s="606"/>
      <c r="AD199" s="606"/>
      <c r="AE199" s="19"/>
      <c r="AF199" s="19"/>
    </row>
    <row r="200" spans="1:32" hidden="1" outlineLevel="2" x14ac:dyDescent="0.2">
      <c r="A200" s="606"/>
      <c r="B200" s="606"/>
      <c r="C200" s="607"/>
      <c r="D200" s="608"/>
      <c r="E200" s="609"/>
      <c r="F200" s="364"/>
      <c r="G200" s="609"/>
      <c r="H200" s="637"/>
      <c r="I200" s="637"/>
      <c r="J200" s="637"/>
      <c r="K200" s="637"/>
      <c r="L200" s="637"/>
      <c r="M200" s="637"/>
      <c r="N200" s="637"/>
      <c r="O200" s="637"/>
      <c r="P200" s="637"/>
      <c r="Q200" s="637"/>
      <c r="R200" s="637"/>
      <c r="S200" s="637"/>
      <c r="T200" s="637"/>
      <c r="U200" s="637"/>
      <c r="V200" s="637"/>
      <c r="W200" s="637"/>
      <c r="X200" s="637"/>
      <c r="Y200" s="637"/>
      <c r="Z200" s="637"/>
      <c r="AA200" s="637"/>
      <c r="AB200" s="640"/>
      <c r="AC200" s="606"/>
      <c r="AD200" s="606"/>
      <c r="AE200" s="19"/>
      <c r="AF200" s="19"/>
    </row>
    <row r="201" spans="1:32" hidden="1" outlineLevel="2" x14ac:dyDescent="0.2">
      <c r="A201" s="606"/>
      <c r="B201" s="606"/>
      <c r="C201" s="607"/>
      <c r="D201" s="608"/>
      <c r="E201" s="609"/>
      <c r="F201" s="364"/>
      <c r="G201" s="609"/>
      <c r="H201" s="637"/>
      <c r="I201" s="637"/>
      <c r="J201" s="637"/>
      <c r="K201" s="637"/>
      <c r="L201" s="637"/>
      <c r="M201" s="637"/>
      <c r="N201" s="637"/>
      <c r="O201" s="637"/>
      <c r="P201" s="637"/>
      <c r="Q201" s="637"/>
      <c r="R201" s="637"/>
      <c r="S201" s="637"/>
      <c r="T201" s="637"/>
      <c r="U201" s="637"/>
      <c r="V201" s="637"/>
      <c r="W201" s="637"/>
      <c r="X201" s="637"/>
      <c r="Y201" s="637"/>
      <c r="Z201" s="637"/>
      <c r="AA201" s="637"/>
      <c r="AB201" s="640"/>
      <c r="AC201" s="606"/>
      <c r="AD201" s="606"/>
      <c r="AE201" s="19"/>
      <c r="AF201" s="19"/>
    </row>
    <row r="202" spans="1:32" hidden="1" outlineLevel="2" x14ac:dyDescent="0.2">
      <c r="A202" s="606"/>
      <c r="B202" s="606"/>
      <c r="C202" s="607"/>
      <c r="D202" s="608"/>
      <c r="E202" s="609"/>
      <c r="F202" s="364"/>
      <c r="G202" s="609"/>
      <c r="H202" s="637"/>
      <c r="I202" s="637"/>
      <c r="J202" s="637"/>
      <c r="K202" s="637"/>
      <c r="L202" s="637"/>
      <c r="M202" s="637"/>
      <c r="N202" s="637"/>
      <c r="O202" s="637"/>
      <c r="P202" s="637"/>
      <c r="Q202" s="637"/>
      <c r="R202" s="637"/>
      <c r="S202" s="637"/>
      <c r="T202" s="637"/>
      <c r="U202" s="637"/>
      <c r="V202" s="637"/>
      <c r="W202" s="637"/>
      <c r="X202" s="637"/>
      <c r="Y202" s="637"/>
      <c r="Z202" s="637"/>
      <c r="AA202" s="637"/>
      <c r="AB202" s="640"/>
      <c r="AC202" s="606"/>
      <c r="AD202" s="606"/>
      <c r="AE202" s="19"/>
      <c r="AF202" s="19"/>
    </row>
    <row r="203" spans="1:32" hidden="1" outlineLevel="2" x14ac:dyDescent="0.2">
      <c r="A203" s="606"/>
      <c r="B203" s="606"/>
      <c r="C203" s="607"/>
      <c r="D203" s="608"/>
      <c r="E203" s="609"/>
      <c r="F203" s="364"/>
      <c r="G203" s="609"/>
      <c r="H203" s="637"/>
      <c r="I203" s="637"/>
      <c r="J203" s="637"/>
      <c r="K203" s="637"/>
      <c r="L203" s="637"/>
      <c r="M203" s="637"/>
      <c r="N203" s="637"/>
      <c r="O203" s="637"/>
      <c r="P203" s="637"/>
      <c r="Q203" s="637"/>
      <c r="R203" s="637"/>
      <c r="S203" s="637"/>
      <c r="T203" s="637"/>
      <c r="U203" s="637"/>
      <c r="V203" s="637"/>
      <c r="W203" s="637"/>
      <c r="X203" s="637"/>
      <c r="Y203" s="637"/>
      <c r="Z203" s="637"/>
      <c r="AA203" s="637"/>
      <c r="AB203" s="640"/>
      <c r="AC203" s="606"/>
      <c r="AD203" s="606"/>
      <c r="AE203" s="19"/>
      <c r="AF203" s="19"/>
    </row>
    <row r="204" spans="1:32" hidden="1" outlineLevel="2" x14ac:dyDescent="0.2">
      <c r="A204" s="606"/>
      <c r="B204" s="606"/>
      <c r="C204" s="607"/>
      <c r="D204" s="608"/>
      <c r="E204" s="609"/>
      <c r="F204" s="364"/>
      <c r="G204" s="609"/>
      <c r="H204" s="637"/>
      <c r="I204" s="637"/>
      <c r="J204" s="637"/>
      <c r="K204" s="637"/>
      <c r="L204" s="637"/>
      <c r="M204" s="637"/>
      <c r="N204" s="637"/>
      <c r="O204" s="637"/>
      <c r="P204" s="637"/>
      <c r="Q204" s="637"/>
      <c r="R204" s="637"/>
      <c r="S204" s="637"/>
      <c r="T204" s="637"/>
      <c r="U204" s="637"/>
      <c r="V204" s="637"/>
      <c r="W204" s="637"/>
      <c r="X204" s="637"/>
      <c r="Y204" s="637"/>
      <c r="Z204" s="637"/>
      <c r="AA204" s="637"/>
      <c r="AB204" s="640"/>
      <c r="AC204" s="606"/>
      <c r="AD204" s="606"/>
      <c r="AE204" s="19"/>
      <c r="AF204" s="19"/>
    </row>
    <row r="205" spans="1:32" hidden="1" outlineLevel="2" x14ac:dyDescent="0.2">
      <c r="A205" s="606"/>
      <c r="B205" s="606"/>
      <c r="C205" s="607"/>
      <c r="D205" s="608"/>
      <c r="E205" s="609"/>
      <c r="F205" s="364"/>
      <c r="G205" s="609"/>
      <c r="H205" s="637"/>
      <c r="I205" s="637"/>
      <c r="J205" s="637"/>
      <c r="K205" s="637"/>
      <c r="L205" s="637"/>
      <c r="M205" s="637"/>
      <c r="N205" s="637"/>
      <c r="O205" s="637"/>
      <c r="P205" s="637"/>
      <c r="Q205" s="637"/>
      <c r="R205" s="637"/>
      <c r="S205" s="637"/>
      <c r="T205" s="637"/>
      <c r="U205" s="637"/>
      <c r="V205" s="637"/>
      <c r="W205" s="637"/>
      <c r="X205" s="637"/>
      <c r="Y205" s="637"/>
      <c r="Z205" s="637"/>
      <c r="AA205" s="637"/>
      <c r="AB205" s="640"/>
      <c r="AC205" s="606"/>
      <c r="AD205" s="606"/>
      <c r="AE205" s="19"/>
      <c r="AF205" s="19"/>
    </row>
    <row r="206" spans="1:32" hidden="1" outlineLevel="2" x14ac:dyDescent="0.2">
      <c r="A206" s="606"/>
      <c r="B206" s="606"/>
      <c r="C206" s="607"/>
      <c r="D206" s="608"/>
      <c r="E206" s="609"/>
      <c r="F206" s="364"/>
      <c r="G206" s="609"/>
      <c r="H206" s="637"/>
      <c r="I206" s="637"/>
      <c r="J206" s="637"/>
      <c r="K206" s="637"/>
      <c r="L206" s="637"/>
      <c r="M206" s="637"/>
      <c r="N206" s="637"/>
      <c r="O206" s="637"/>
      <c r="P206" s="637"/>
      <c r="Q206" s="637"/>
      <c r="R206" s="637"/>
      <c r="S206" s="637"/>
      <c r="T206" s="637"/>
      <c r="U206" s="637"/>
      <c r="V206" s="637"/>
      <c r="W206" s="637"/>
      <c r="X206" s="637"/>
      <c r="Y206" s="637"/>
      <c r="Z206" s="637"/>
      <c r="AA206" s="637"/>
      <c r="AB206" s="640"/>
      <c r="AC206" s="606"/>
      <c r="AD206" s="606"/>
      <c r="AE206" s="19"/>
      <c r="AF206" s="19"/>
    </row>
    <row r="207" spans="1:32" hidden="1" outlineLevel="2" x14ac:dyDescent="0.2">
      <c r="A207" s="606"/>
      <c r="B207" s="606"/>
      <c r="C207" s="607"/>
      <c r="D207" s="608"/>
      <c r="E207" s="609"/>
      <c r="F207" s="364"/>
      <c r="G207" s="609"/>
      <c r="H207" s="637"/>
      <c r="I207" s="637"/>
      <c r="J207" s="637"/>
      <c r="K207" s="637"/>
      <c r="L207" s="637"/>
      <c r="M207" s="637"/>
      <c r="N207" s="637"/>
      <c r="O207" s="637"/>
      <c r="P207" s="637"/>
      <c r="Q207" s="637"/>
      <c r="R207" s="637"/>
      <c r="S207" s="637"/>
      <c r="T207" s="637"/>
      <c r="U207" s="637"/>
      <c r="V207" s="637"/>
      <c r="W207" s="637"/>
      <c r="X207" s="637"/>
      <c r="Y207" s="637"/>
      <c r="Z207" s="637"/>
      <c r="AA207" s="637"/>
      <c r="AB207" s="640"/>
      <c r="AC207" s="606"/>
      <c r="AD207" s="606"/>
      <c r="AE207" s="19"/>
      <c r="AF207" s="19"/>
    </row>
    <row r="208" spans="1:32" hidden="1" outlineLevel="2" x14ac:dyDescent="0.2">
      <c r="A208" s="606"/>
      <c r="B208" s="606"/>
      <c r="C208" s="607"/>
      <c r="D208" s="608"/>
      <c r="E208" s="609"/>
      <c r="F208" s="364"/>
      <c r="G208" s="609"/>
      <c r="H208" s="637"/>
      <c r="I208" s="637"/>
      <c r="J208" s="637"/>
      <c r="K208" s="637"/>
      <c r="L208" s="637"/>
      <c r="M208" s="637"/>
      <c r="N208" s="637"/>
      <c r="O208" s="637"/>
      <c r="P208" s="637"/>
      <c r="Q208" s="637"/>
      <c r="R208" s="637"/>
      <c r="S208" s="637"/>
      <c r="T208" s="637"/>
      <c r="U208" s="637"/>
      <c r="V208" s="637"/>
      <c r="W208" s="637"/>
      <c r="X208" s="637"/>
      <c r="Y208" s="637"/>
      <c r="Z208" s="637"/>
      <c r="AA208" s="637"/>
      <c r="AB208" s="640"/>
      <c r="AC208" s="606"/>
      <c r="AD208" s="606"/>
      <c r="AE208" s="19"/>
      <c r="AF208" s="19"/>
    </row>
    <row r="209" spans="1:32" hidden="1" outlineLevel="2" x14ac:dyDescent="0.2">
      <c r="A209" s="606"/>
      <c r="B209" s="606"/>
      <c r="C209" s="607"/>
      <c r="D209" s="608"/>
      <c r="E209" s="609"/>
      <c r="F209" s="364"/>
      <c r="G209" s="609"/>
      <c r="H209" s="637"/>
      <c r="I209" s="637"/>
      <c r="J209" s="637"/>
      <c r="K209" s="637"/>
      <c r="L209" s="637"/>
      <c r="M209" s="637"/>
      <c r="N209" s="637"/>
      <c r="O209" s="637"/>
      <c r="P209" s="637"/>
      <c r="Q209" s="637"/>
      <c r="R209" s="637"/>
      <c r="S209" s="637"/>
      <c r="T209" s="637"/>
      <c r="U209" s="637"/>
      <c r="V209" s="637"/>
      <c r="W209" s="637"/>
      <c r="X209" s="637"/>
      <c r="Y209" s="637"/>
      <c r="Z209" s="637"/>
      <c r="AA209" s="637"/>
      <c r="AB209" s="640"/>
      <c r="AC209" s="606"/>
      <c r="AD209" s="606"/>
      <c r="AE209" s="19"/>
      <c r="AF209" s="19"/>
    </row>
    <row r="210" spans="1:32" hidden="1" outlineLevel="2" x14ac:dyDescent="0.2">
      <c r="A210" s="606"/>
      <c r="B210" s="606"/>
      <c r="C210" s="607"/>
      <c r="D210" s="608"/>
      <c r="E210" s="609"/>
      <c r="F210" s="364"/>
      <c r="G210" s="609"/>
      <c r="H210" s="637"/>
      <c r="I210" s="637"/>
      <c r="J210" s="637"/>
      <c r="K210" s="637"/>
      <c r="L210" s="637"/>
      <c r="M210" s="637"/>
      <c r="N210" s="637"/>
      <c r="O210" s="637"/>
      <c r="P210" s="637"/>
      <c r="Q210" s="637"/>
      <c r="R210" s="637"/>
      <c r="S210" s="637"/>
      <c r="T210" s="637"/>
      <c r="U210" s="637"/>
      <c r="V210" s="637"/>
      <c r="W210" s="637"/>
      <c r="X210" s="637"/>
      <c r="Y210" s="637"/>
      <c r="Z210" s="637"/>
      <c r="AA210" s="637"/>
      <c r="AB210" s="640"/>
      <c r="AC210" s="606"/>
      <c r="AD210" s="606"/>
      <c r="AE210" s="19"/>
      <c r="AF210" s="19"/>
    </row>
    <row r="211" spans="1:32" hidden="1" outlineLevel="2" x14ac:dyDescent="0.2">
      <c r="A211" s="606"/>
      <c r="B211" s="606"/>
      <c r="C211" s="607"/>
      <c r="D211" s="608"/>
      <c r="E211" s="609"/>
      <c r="F211" s="364"/>
      <c r="G211" s="609"/>
      <c r="H211" s="637"/>
      <c r="I211" s="637"/>
      <c r="J211" s="637"/>
      <c r="K211" s="637"/>
      <c r="L211" s="637"/>
      <c r="M211" s="637"/>
      <c r="N211" s="637"/>
      <c r="O211" s="637"/>
      <c r="P211" s="637"/>
      <c r="Q211" s="637"/>
      <c r="R211" s="637"/>
      <c r="S211" s="637"/>
      <c r="T211" s="637"/>
      <c r="U211" s="637"/>
      <c r="V211" s="637"/>
      <c r="W211" s="637"/>
      <c r="X211" s="637"/>
      <c r="Y211" s="637"/>
      <c r="Z211" s="637"/>
      <c r="AA211" s="637"/>
      <c r="AB211" s="640"/>
      <c r="AC211" s="606"/>
      <c r="AD211" s="606"/>
      <c r="AE211" s="19"/>
      <c r="AF211" s="19"/>
    </row>
    <row r="212" spans="1:32" hidden="1" outlineLevel="2" x14ac:dyDescent="0.2">
      <c r="A212" s="606"/>
      <c r="B212" s="606"/>
      <c r="C212" s="607"/>
      <c r="D212" s="608"/>
      <c r="E212" s="609"/>
      <c r="F212" s="364"/>
      <c r="G212" s="609"/>
      <c r="H212" s="637"/>
      <c r="I212" s="637"/>
      <c r="J212" s="637"/>
      <c r="K212" s="637"/>
      <c r="L212" s="637"/>
      <c r="M212" s="637"/>
      <c r="N212" s="637"/>
      <c r="O212" s="637"/>
      <c r="P212" s="637"/>
      <c r="Q212" s="637"/>
      <c r="R212" s="637"/>
      <c r="S212" s="637"/>
      <c r="T212" s="637"/>
      <c r="U212" s="637"/>
      <c r="V212" s="637"/>
      <c r="W212" s="637"/>
      <c r="X212" s="637"/>
      <c r="Y212" s="637"/>
      <c r="Z212" s="637"/>
      <c r="AA212" s="637"/>
      <c r="AB212" s="640"/>
      <c r="AC212" s="606"/>
      <c r="AD212" s="606"/>
      <c r="AE212" s="19"/>
      <c r="AF212" s="19"/>
    </row>
    <row r="213" spans="1:32" hidden="1" outlineLevel="2" x14ac:dyDescent="0.2">
      <c r="A213" s="606"/>
      <c r="B213" s="606"/>
      <c r="C213" s="607"/>
      <c r="D213" s="608"/>
      <c r="E213" s="609"/>
      <c r="F213" s="364"/>
      <c r="G213" s="609"/>
      <c r="H213" s="637"/>
      <c r="I213" s="637"/>
      <c r="J213" s="637"/>
      <c r="K213" s="637"/>
      <c r="L213" s="637"/>
      <c r="M213" s="637"/>
      <c r="N213" s="637"/>
      <c r="O213" s="637"/>
      <c r="P213" s="637"/>
      <c r="Q213" s="637"/>
      <c r="R213" s="637"/>
      <c r="S213" s="637"/>
      <c r="T213" s="637"/>
      <c r="U213" s="637"/>
      <c r="V213" s="637"/>
      <c r="W213" s="637"/>
      <c r="X213" s="637"/>
      <c r="Y213" s="637"/>
      <c r="Z213" s="637"/>
      <c r="AA213" s="637"/>
      <c r="AB213" s="640"/>
      <c r="AC213" s="606"/>
      <c r="AD213" s="606"/>
      <c r="AE213" s="19"/>
      <c r="AF213" s="19"/>
    </row>
    <row r="214" spans="1:32" hidden="1" outlineLevel="2" x14ac:dyDescent="0.2">
      <c r="A214" s="606"/>
      <c r="B214" s="606"/>
      <c r="C214" s="607"/>
      <c r="D214" s="608"/>
      <c r="E214" s="609"/>
      <c r="F214" s="364"/>
      <c r="G214" s="609"/>
      <c r="H214" s="637"/>
      <c r="I214" s="637"/>
      <c r="J214" s="637"/>
      <c r="K214" s="637"/>
      <c r="L214" s="637"/>
      <c r="M214" s="637"/>
      <c r="N214" s="637"/>
      <c r="O214" s="637"/>
      <c r="P214" s="637"/>
      <c r="Q214" s="637"/>
      <c r="R214" s="637"/>
      <c r="S214" s="637"/>
      <c r="T214" s="637"/>
      <c r="U214" s="637"/>
      <c r="V214" s="637"/>
      <c r="W214" s="637"/>
      <c r="X214" s="637"/>
      <c r="Y214" s="637"/>
      <c r="Z214" s="637"/>
      <c r="AA214" s="637"/>
      <c r="AB214" s="640"/>
      <c r="AC214" s="606"/>
      <c r="AD214" s="606"/>
      <c r="AE214" s="19"/>
      <c r="AF214" s="19"/>
    </row>
    <row r="215" spans="1:32" hidden="1" outlineLevel="2" x14ac:dyDescent="0.2">
      <c r="A215" s="606"/>
      <c r="B215" s="606"/>
      <c r="C215" s="607"/>
      <c r="D215" s="608"/>
      <c r="E215" s="609"/>
      <c r="F215" s="364"/>
      <c r="G215" s="609"/>
      <c r="H215" s="637"/>
      <c r="I215" s="637"/>
      <c r="J215" s="637"/>
      <c r="K215" s="637"/>
      <c r="L215" s="637"/>
      <c r="M215" s="637"/>
      <c r="N215" s="637"/>
      <c r="O215" s="637"/>
      <c r="P215" s="637"/>
      <c r="Q215" s="637"/>
      <c r="R215" s="637"/>
      <c r="S215" s="637"/>
      <c r="T215" s="637"/>
      <c r="U215" s="637"/>
      <c r="V215" s="637"/>
      <c r="W215" s="637"/>
      <c r="X215" s="637"/>
      <c r="Y215" s="637"/>
      <c r="Z215" s="637"/>
      <c r="AA215" s="637"/>
      <c r="AB215" s="640"/>
      <c r="AC215" s="606"/>
      <c r="AD215" s="606"/>
      <c r="AE215" s="19"/>
      <c r="AF215" s="19"/>
    </row>
    <row r="216" spans="1:32" hidden="1" outlineLevel="2" x14ac:dyDescent="0.2">
      <c r="A216" s="606"/>
      <c r="B216" s="606"/>
      <c r="C216" s="607"/>
      <c r="D216" s="608"/>
      <c r="E216" s="609"/>
      <c r="F216" s="364"/>
      <c r="G216" s="609"/>
      <c r="H216" s="637"/>
      <c r="I216" s="637"/>
      <c r="J216" s="637"/>
      <c r="K216" s="637"/>
      <c r="L216" s="637"/>
      <c r="M216" s="637"/>
      <c r="N216" s="637"/>
      <c r="O216" s="637"/>
      <c r="P216" s="637"/>
      <c r="Q216" s="637"/>
      <c r="R216" s="637"/>
      <c r="S216" s="637"/>
      <c r="T216" s="637"/>
      <c r="U216" s="637"/>
      <c r="V216" s="637"/>
      <c r="W216" s="637"/>
      <c r="X216" s="637"/>
      <c r="Y216" s="637"/>
      <c r="Z216" s="637"/>
      <c r="AA216" s="637"/>
      <c r="AB216" s="640"/>
      <c r="AC216" s="606"/>
      <c r="AD216" s="606"/>
      <c r="AE216" s="19"/>
      <c r="AF216" s="19"/>
    </row>
    <row r="217" spans="1:32" hidden="1" outlineLevel="2" x14ac:dyDescent="0.2">
      <c r="A217" s="606"/>
      <c r="B217" s="606"/>
      <c r="C217" s="607"/>
      <c r="D217" s="608"/>
      <c r="E217" s="609"/>
      <c r="F217" s="364"/>
      <c r="G217" s="609"/>
      <c r="H217" s="637"/>
      <c r="I217" s="637"/>
      <c r="J217" s="637"/>
      <c r="K217" s="637"/>
      <c r="L217" s="637"/>
      <c r="M217" s="637"/>
      <c r="N217" s="637"/>
      <c r="O217" s="637"/>
      <c r="P217" s="637"/>
      <c r="Q217" s="637"/>
      <c r="R217" s="637"/>
      <c r="S217" s="637"/>
      <c r="T217" s="637"/>
      <c r="U217" s="637"/>
      <c r="V217" s="637"/>
      <c r="W217" s="637"/>
      <c r="X217" s="637"/>
      <c r="Y217" s="637"/>
      <c r="Z217" s="637"/>
      <c r="AA217" s="637"/>
      <c r="AB217" s="640"/>
      <c r="AC217" s="606"/>
      <c r="AD217" s="606"/>
      <c r="AE217" s="19"/>
      <c r="AF217" s="19"/>
    </row>
    <row r="218" spans="1:32" hidden="1" outlineLevel="2" x14ac:dyDescent="0.2">
      <c r="A218" s="606"/>
      <c r="B218" s="606"/>
      <c r="C218" s="607"/>
      <c r="D218" s="608"/>
      <c r="E218" s="609"/>
      <c r="F218" s="364"/>
      <c r="G218" s="609"/>
      <c r="H218" s="637"/>
      <c r="I218" s="637"/>
      <c r="J218" s="637"/>
      <c r="K218" s="637"/>
      <c r="L218" s="637"/>
      <c r="M218" s="637"/>
      <c r="N218" s="637"/>
      <c r="O218" s="637"/>
      <c r="P218" s="637"/>
      <c r="Q218" s="637"/>
      <c r="R218" s="637"/>
      <c r="S218" s="637"/>
      <c r="T218" s="637"/>
      <c r="U218" s="637"/>
      <c r="V218" s="637"/>
      <c r="W218" s="637"/>
      <c r="X218" s="637"/>
      <c r="Y218" s="637"/>
      <c r="Z218" s="637"/>
      <c r="AA218" s="637"/>
      <c r="AB218" s="640"/>
      <c r="AC218" s="606"/>
      <c r="AD218" s="606"/>
      <c r="AE218" s="19"/>
      <c r="AF218" s="19"/>
    </row>
    <row r="219" spans="1:32" hidden="1" outlineLevel="2" x14ac:dyDescent="0.2">
      <c r="A219" s="606"/>
      <c r="B219" s="606"/>
      <c r="C219" s="607"/>
      <c r="D219" s="608"/>
      <c r="E219" s="609"/>
      <c r="F219" s="364"/>
      <c r="G219" s="609"/>
      <c r="H219" s="637"/>
      <c r="I219" s="637"/>
      <c r="J219" s="637"/>
      <c r="K219" s="637"/>
      <c r="L219" s="637"/>
      <c r="M219" s="637"/>
      <c r="N219" s="637"/>
      <c r="O219" s="637"/>
      <c r="P219" s="637"/>
      <c r="Q219" s="637"/>
      <c r="R219" s="637"/>
      <c r="S219" s="637"/>
      <c r="T219" s="637"/>
      <c r="U219" s="637"/>
      <c r="V219" s="637"/>
      <c r="W219" s="637"/>
      <c r="X219" s="637"/>
      <c r="Y219" s="637"/>
      <c r="Z219" s="637"/>
      <c r="AA219" s="637"/>
      <c r="AB219" s="640"/>
      <c r="AC219" s="606"/>
      <c r="AD219" s="606"/>
      <c r="AE219" s="19"/>
      <c r="AF219" s="19"/>
    </row>
    <row r="220" spans="1:32" hidden="1" outlineLevel="2" x14ac:dyDescent="0.2">
      <c r="A220" s="606"/>
      <c r="B220" s="606"/>
      <c r="C220" s="607"/>
      <c r="D220" s="608"/>
      <c r="E220" s="609"/>
      <c r="F220" s="364"/>
      <c r="G220" s="609"/>
      <c r="H220" s="637"/>
      <c r="I220" s="637"/>
      <c r="J220" s="637"/>
      <c r="K220" s="637"/>
      <c r="L220" s="637"/>
      <c r="M220" s="637"/>
      <c r="N220" s="637"/>
      <c r="O220" s="637"/>
      <c r="P220" s="637"/>
      <c r="Q220" s="637"/>
      <c r="R220" s="637"/>
      <c r="S220" s="637"/>
      <c r="T220" s="637"/>
      <c r="U220" s="637"/>
      <c r="V220" s="637"/>
      <c r="W220" s="637"/>
      <c r="X220" s="637"/>
      <c r="Y220" s="637"/>
      <c r="Z220" s="637"/>
      <c r="AA220" s="637"/>
      <c r="AB220" s="640"/>
      <c r="AC220" s="606"/>
      <c r="AD220" s="606"/>
      <c r="AE220" s="19"/>
      <c r="AF220" s="19"/>
    </row>
    <row r="221" spans="1:32" hidden="1" outlineLevel="2" x14ac:dyDescent="0.2">
      <c r="A221" s="606"/>
      <c r="B221" s="606"/>
      <c r="C221" s="607"/>
      <c r="D221" s="608"/>
      <c r="E221" s="609"/>
      <c r="F221" s="364"/>
      <c r="G221" s="609"/>
      <c r="H221" s="637"/>
      <c r="I221" s="637"/>
      <c r="J221" s="637"/>
      <c r="K221" s="637"/>
      <c r="L221" s="637"/>
      <c r="M221" s="637"/>
      <c r="N221" s="637"/>
      <c r="O221" s="637"/>
      <c r="P221" s="637"/>
      <c r="Q221" s="637"/>
      <c r="R221" s="637"/>
      <c r="S221" s="637"/>
      <c r="T221" s="637"/>
      <c r="U221" s="637"/>
      <c r="V221" s="637"/>
      <c r="W221" s="637"/>
      <c r="X221" s="637"/>
      <c r="Y221" s="637"/>
      <c r="Z221" s="637"/>
      <c r="AA221" s="637"/>
      <c r="AB221" s="640"/>
      <c r="AC221" s="606"/>
      <c r="AD221" s="606"/>
      <c r="AE221" s="19"/>
      <c r="AF221" s="19"/>
    </row>
    <row r="222" spans="1:32" hidden="1" outlineLevel="2" x14ac:dyDescent="0.2">
      <c r="A222" s="606"/>
      <c r="B222" s="606"/>
      <c r="C222" s="607"/>
      <c r="D222" s="608"/>
      <c r="E222" s="609"/>
      <c r="F222" s="364"/>
      <c r="G222" s="609"/>
      <c r="H222" s="637"/>
      <c r="I222" s="637"/>
      <c r="J222" s="637"/>
      <c r="K222" s="637"/>
      <c r="L222" s="637"/>
      <c r="M222" s="637"/>
      <c r="N222" s="637"/>
      <c r="O222" s="637"/>
      <c r="P222" s="637"/>
      <c r="Q222" s="637"/>
      <c r="R222" s="637"/>
      <c r="S222" s="637"/>
      <c r="T222" s="637"/>
      <c r="U222" s="637"/>
      <c r="V222" s="637"/>
      <c r="W222" s="637"/>
      <c r="X222" s="637"/>
      <c r="Y222" s="637"/>
      <c r="Z222" s="637"/>
      <c r="AA222" s="637"/>
      <c r="AB222" s="640"/>
      <c r="AC222" s="606"/>
      <c r="AD222" s="606"/>
      <c r="AE222" s="19"/>
      <c r="AF222" s="19"/>
    </row>
    <row r="223" spans="1:32" hidden="1" outlineLevel="2" x14ac:dyDescent="0.2">
      <c r="A223" s="606"/>
      <c r="B223" s="606"/>
      <c r="C223" s="607"/>
      <c r="D223" s="608"/>
      <c r="E223" s="609"/>
      <c r="F223" s="364"/>
      <c r="G223" s="609"/>
      <c r="H223" s="637"/>
      <c r="I223" s="637"/>
      <c r="J223" s="637"/>
      <c r="K223" s="637"/>
      <c r="L223" s="637"/>
      <c r="M223" s="637"/>
      <c r="N223" s="637"/>
      <c r="O223" s="637"/>
      <c r="P223" s="637"/>
      <c r="Q223" s="637"/>
      <c r="R223" s="637"/>
      <c r="S223" s="637"/>
      <c r="T223" s="637"/>
      <c r="U223" s="637"/>
      <c r="V223" s="637"/>
      <c r="W223" s="637"/>
      <c r="X223" s="637"/>
      <c r="Y223" s="637"/>
      <c r="Z223" s="637"/>
      <c r="AA223" s="637"/>
      <c r="AB223" s="640"/>
      <c r="AC223" s="606"/>
      <c r="AD223" s="606"/>
      <c r="AE223" s="19"/>
      <c r="AF223" s="19"/>
    </row>
    <row r="224" spans="1:32" hidden="1" outlineLevel="2" x14ac:dyDescent="0.2">
      <c r="A224" s="606"/>
      <c r="B224" s="606"/>
      <c r="C224" s="607"/>
      <c r="D224" s="608"/>
      <c r="E224" s="609"/>
      <c r="F224" s="364"/>
      <c r="G224" s="609"/>
      <c r="H224" s="637"/>
      <c r="I224" s="637"/>
      <c r="J224" s="637"/>
      <c r="K224" s="637"/>
      <c r="L224" s="637"/>
      <c r="M224" s="637"/>
      <c r="N224" s="637"/>
      <c r="O224" s="637"/>
      <c r="P224" s="637"/>
      <c r="Q224" s="637"/>
      <c r="R224" s="637"/>
      <c r="S224" s="637"/>
      <c r="T224" s="637"/>
      <c r="U224" s="637"/>
      <c r="V224" s="637"/>
      <c r="W224" s="637"/>
      <c r="X224" s="637"/>
      <c r="Y224" s="637"/>
      <c r="Z224" s="637"/>
      <c r="AA224" s="637"/>
      <c r="AB224" s="640"/>
      <c r="AC224" s="606"/>
      <c r="AD224" s="606"/>
      <c r="AE224" s="19"/>
      <c r="AF224" s="19"/>
    </row>
    <row r="225" spans="1:32" hidden="1" outlineLevel="2" x14ac:dyDescent="0.2">
      <c r="A225" s="606"/>
      <c r="B225" s="606"/>
      <c r="C225" s="607"/>
      <c r="D225" s="608"/>
      <c r="E225" s="609"/>
      <c r="F225" s="364"/>
      <c r="G225" s="609"/>
      <c r="H225" s="637"/>
      <c r="I225" s="637"/>
      <c r="J225" s="637"/>
      <c r="K225" s="637"/>
      <c r="L225" s="637"/>
      <c r="M225" s="637"/>
      <c r="N225" s="637"/>
      <c r="O225" s="637"/>
      <c r="P225" s="637"/>
      <c r="Q225" s="637"/>
      <c r="R225" s="637"/>
      <c r="S225" s="637"/>
      <c r="T225" s="637"/>
      <c r="U225" s="637"/>
      <c r="V225" s="637"/>
      <c r="W225" s="637"/>
      <c r="X225" s="637"/>
      <c r="Y225" s="637"/>
      <c r="Z225" s="637"/>
      <c r="AA225" s="637"/>
      <c r="AB225" s="640"/>
      <c r="AC225" s="606"/>
      <c r="AD225" s="606"/>
      <c r="AE225" s="19"/>
      <c r="AF225" s="19"/>
    </row>
    <row r="226" spans="1:32" hidden="1" outlineLevel="2" x14ac:dyDescent="0.2">
      <c r="A226" s="606"/>
      <c r="B226" s="606"/>
      <c r="C226" s="607"/>
      <c r="D226" s="608"/>
      <c r="E226" s="609"/>
      <c r="F226" s="364"/>
      <c r="G226" s="609"/>
      <c r="H226" s="637"/>
      <c r="I226" s="637"/>
      <c r="J226" s="637"/>
      <c r="K226" s="637"/>
      <c r="L226" s="637"/>
      <c r="M226" s="637"/>
      <c r="N226" s="637"/>
      <c r="O226" s="637"/>
      <c r="P226" s="637"/>
      <c r="Q226" s="637"/>
      <c r="R226" s="637"/>
      <c r="S226" s="637"/>
      <c r="T226" s="637"/>
      <c r="U226" s="637"/>
      <c r="V226" s="637"/>
      <c r="W226" s="637"/>
      <c r="X226" s="637"/>
      <c r="Y226" s="637"/>
      <c r="Z226" s="637"/>
      <c r="AA226" s="637"/>
      <c r="AB226" s="640"/>
      <c r="AC226" s="606"/>
      <c r="AD226" s="606"/>
      <c r="AE226" s="19"/>
      <c r="AF226" s="19"/>
    </row>
    <row r="227" spans="1:32" hidden="1" outlineLevel="2" x14ac:dyDescent="0.2">
      <c r="A227" s="606"/>
      <c r="B227" s="606"/>
      <c r="C227" s="607"/>
      <c r="D227" s="608"/>
      <c r="E227" s="609"/>
      <c r="F227" s="364"/>
      <c r="G227" s="609"/>
      <c r="H227" s="637"/>
      <c r="I227" s="637"/>
      <c r="J227" s="637"/>
      <c r="K227" s="637"/>
      <c r="L227" s="637"/>
      <c r="M227" s="637"/>
      <c r="N227" s="637"/>
      <c r="O227" s="637"/>
      <c r="P227" s="637"/>
      <c r="Q227" s="637"/>
      <c r="R227" s="637"/>
      <c r="S227" s="637"/>
      <c r="T227" s="637"/>
      <c r="U227" s="637"/>
      <c r="V227" s="637"/>
      <c r="W227" s="637"/>
      <c r="X227" s="637"/>
      <c r="Y227" s="637"/>
      <c r="Z227" s="637"/>
      <c r="AA227" s="637"/>
      <c r="AB227" s="640"/>
      <c r="AC227" s="606"/>
      <c r="AD227" s="606"/>
      <c r="AE227" s="19"/>
      <c r="AF227" s="19"/>
    </row>
    <row r="228" spans="1:32" hidden="1" outlineLevel="2" x14ac:dyDescent="0.2">
      <c r="A228" s="606"/>
      <c r="B228" s="606"/>
      <c r="C228" s="607"/>
      <c r="D228" s="608"/>
      <c r="E228" s="609"/>
      <c r="F228" s="364"/>
      <c r="G228" s="609"/>
      <c r="H228" s="637"/>
      <c r="I228" s="637"/>
      <c r="J228" s="637"/>
      <c r="K228" s="637"/>
      <c r="L228" s="637"/>
      <c r="M228" s="637"/>
      <c r="N228" s="637"/>
      <c r="O228" s="637"/>
      <c r="P228" s="637"/>
      <c r="Q228" s="637"/>
      <c r="R228" s="637"/>
      <c r="S228" s="637"/>
      <c r="T228" s="637"/>
      <c r="U228" s="637"/>
      <c r="V228" s="637"/>
      <c r="W228" s="637"/>
      <c r="X228" s="637"/>
      <c r="Y228" s="637"/>
      <c r="Z228" s="637"/>
      <c r="AA228" s="637"/>
      <c r="AB228" s="640"/>
      <c r="AC228" s="606"/>
      <c r="AD228" s="606"/>
      <c r="AE228" s="19"/>
      <c r="AF228" s="19"/>
    </row>
    <row r="229" spans="1:32" hidden="1" outlineLevel="2" x14ac:dyDescent="0.2">
      <c r="A229" s="606"/>
      <c r="B229" s="606"/>
      <c r="C229" s="607"/>
      <c r="D229" s="608"/>
      <c r="E229" s="609"/>
      <c r="F229" s="364"/>
      <c r="G229" s="609"/>
      <c r="H229" s="637"/>
      <c r="I229" s="637"/>
      <c r="J229" s="637"/>
      <c r="K229" s="637"/>
      <c r="L229" s="637"/>
      <c r="M229" s="637"/>
      <c r="N229" s="637"/>
      <c r="O229" s="637"/>
      <c r="P229" s="637"/>
      <c r="Q229" s="637"/>
      <c r="R229" s="637"/>
      <c r="S229" s="637"/>
      <c r="T229" s="637"/>
      <c r="U229" s="637"/>
      <c r="V229" s="637"/>
      <c r="W229" s="637"/>
      <c r="X229" s="637"/>
      <c r="Y229" s="637"/>
      <c r="Z229" s="637"/>
      <c r="AA229" s="637"/>
      <c r="AB229" s="640"/>
      <c r="AC229" s="606"/>
      <c r="AD229" s="606"/>
      <c r="AE229" s="19"/>
      <c r="AF229" s="19"/>
    </row>
    <row r="230" spans="1:32" hidden="1" outlineLevel="2" x14ac:dyDescent="0.2">
      <c r="A230" s="606"/>
      <c r="B230" s="606"/>
      <c r="C230" s="607"/>
      <c r="D230" s="608"/>
      <c r="E230" s="609"/>
      <c r="F230" s="364"/>
      <c r="G230" s="609"/>
      <c r="H230" s="637"/>
      <c r="I230" s="637"/>
      <c r="J230" s="637"/>
      <c r="K230" s="637"/>
      <c r="L230" s="637"/>
      <c r="M230" s="637"/>
      <c r="N230" s="637"/>
      <c r="O230" s="637"/>
      <c r="P230" s="637"/>
      <c r="Q230" s="637"/>
      <c r="R230" s="637"/>
      <c r="S230" s="637"/>
      <c r="T230" s="637"/>
      <c r="U230" s="637"/>
      <c r="V230" s="637"/>
      <c r="W230" s="637"/>
      <c r="X230" s="637"/>
      <c r="Y230" s="637"/>
      <c r="Z230" s="637"/>
      <c r="AA230" s="637"/>
      <c r="AB230" s="640"/>
      <c r="AC230" s="606"/>
      <c r="AD230" s="606"/>
      <c r="AE230" s="19"/>
      <c r="AF230" s="19"/>
    </row>
    <row r="231" spans="1:32" hidden="1" outlineLevel="2" x14ac:dyDescent="0.2">
      <c r="A231" s="606"/>
      <c r="B231" s="606"/>
      <c r="C231" s="607"/>
      <c r="D231" s="608"/>
      <c r="E231" s="609"/>
      <c r="F231" s="364"/>
      <c r="G231" s="609"/>
      <c r="H231" s="637"/>
      <c r="I231" s="637"/>
      <c r="J231" s="637"/>
      <c r="K231" s="637"/>
      <c r="L231" s="637"/>
      <c r="M231" s="637"/>
      <c r="N231" s="637"/>
      <c r="O231" s="637"/>
      <c r="P231" s="637"/>
      <c r="Q231" s="637"/>
      <c r="R231" s="637"/>
      <c r="S231" s="637"/>
      <c r="T231" s="637"/>
      <c r="U231" s="637"/>
      <c r="V231" s="637"/>
      <c r="W231" s="637"/>
      <c r="X231" s="637"/>
      <c r="Y231" s="637"/>
      <c r="Z231" s="637"/>
      <c r="AA231" s="637"/>
      <c r="AB231" s="640"/>
      <c r="AC231" s="606"/>
      <c r="AD231" s="606"/>
      <c r="AE231" s="19"/>
      <c r="AF231" s="19"/>
    </row>
    <row r="232" spans="1:32" hidden="1" outlineLevel="2" x14ac:dyDescent="0.2">
      <c r="A232" s="606"/>
      <c r="B232" s="606"/>
      <c r="C232" s="607"/>
      <c r="D232" s="608"/>
      <c r="E232" s="609"/>
      <c r="F232" s="364"/>
      <c r="G232" s="609"/>
      <c r="H232" s="637"/>
      <c r="I232" s="637"/>
      <c r="J232" s="637"/>
      <c r="K232" s="637"/>
      <c r="L232" s="637"/>
      <c r="M232" s="637"/>
      <c r="N232" s="637"/>
      <c r="O232" s="637"/>
      <c r="P232" s="637"/>
      <c r="Q232" s="637"/>
      <c r="R232" s="637"/>
      <c r="S232" s="637"/>
      <c r="T232" s="637"/>
      <c r="U232" s="637"/>
      <c r="V232" s="637"/>
      <c r="W232" s="637"/>
      <c r="X232" s="637"/>
      <c r="Y232" s="637"/>
      <c r="Z232" s="637"/>
      <c r="AA232" s="637"/>
      <c r="AB232" s="640"/>
      <c r="AC232" s="606"/>
      <c r="AD232" s="606"/>
      <c r="AE232" s="19"/>
      <c r="AF232" s="19"/>
    </row>
    <row r="233" spans="1:32" hidden="1" outlineLevel="2" x14ac:dyDescent="0.2">
      <c r="A233" s="606"/>
      <c r="B233" s="606"/>
      <c r="C233" s="607"/>
      <c r="D233" s="608"/>
      <c r="E233" s="609"/>
      <c r="F233" s="364"/>
      <c r="G233" s="609"/>
      <c r="H233" s="637"/>
      <c r="I233" s="637"/>
      <c r="J233" s="637"/>
      <c r="K233" s="637"/>
      <c r="L233" s="637"/>
      <c r="M233" s="637"/>
      <c r="N233" s="637"/>
      <c r="O233" s="637"/>
      <c r="P233" s="637"/>
      <c r="Q233" s="637"/>
      <c r="R233" s="637"/>
      <c r="S233" s="637"/>
      <c r="T233" s="637"/>
      <c r="U233" s="637"/>
      <c r="V233" s="637"/>
      <c r="W233" s="637"/>
      <c r="X233" s="637"/>
      <c r="Y233" s="637"/>
      <c r="Z233" s="637"/>
      <c r="AA233" s="637"/>
      <c r="AB233" s="640"/>
      <c r="AC233" s="606"/>
      <c r="AD233" s="606"/>
      <c r="AE233" s="19"/>
      <c r="AF233" s="19"/>
    </row>
    <row r="234" spans="1:32" hidden="1" outlineLevel="2" x14ac:dyDescent="0.2">
      <c r="A234" s="606"/>
      <c r="B234" s="606"/>
      <c r="C234" s="607"/>
      <c r="D234" s="608"/>
      <c r="E234" s="609"/>
      <c r="F234" s="364"/>
      <c r="G234" s="609"/>
      <c r="H234" s="637"/>
      <c r="I234" s="637"/>
      <c r="J234" s="637"/>
      <c r="K234" s="637"/>
      <c r="L234" s="637"/>
      <c r="M234" s="637"/>
      <c r="N234" s="637"/>
      <c r="O234" s="637"/>
      <c r="P234" s="637"/>
      <c r="Q234" s="637"/>
      <c r="R234" s="637"/>
      <c r="S234" s="637"/>
      <c r="T234" s="637"/>
      <c r="U234" s="637"/>
      <c r="V234" s="637"/>
      <c r="W234" s="637"/>
      <c r="X234" s="637"/>
      <c r="Y234" s="637"/>
      <c r="Z234" s="637"/>
      <c r="AA234" s="637"/>
      <c r="AB234" s="640"/>
      <c r="AC234" s="606"/>
      <c r="AD234" s="606"/>
      <c r="AE234" s="19"/>
      <c r="AF234" s="19"/>
    </row>
    <row r="235" spans="1:32" hidden="1" outlineLevel="2" x14ac:dyDescent="0.2">
      <c r="A235" s="606"/>
      <c r="B235" s="606"/>
      <c r="C235" s="607"/>
      <c r="D235" s="608"/>
      <c r="E235" s="609"/>
      <c r="F235" s="364"/>
      <c r="G235" s="609"/>
      <c r="H235" s="637"/>
      <c r="I235" s="637"/>
      <c r="J235" s="637"/>
      <c r="K235" s="637"/>
      <c r="L235" s="637"/>
      <c r="M235" s="637"/>
      <c r="N235" s="637"/>
      <c r="O235" s="637"/>
      <c r="P235" s="637"/>
      <c r="Q235" s="637"/>
      <c r="R235" s="637"/>
      <c r="S235" s="637"/>
      <c r="T235" s="637"/>
      <c r="U235" s="637"/>
      <c r="V235" s="637"/>
      <c r="W235" s="637"/>
      <c r="X235" s="637"/>
      <c r="Y235" s="637"/>
      <c r="Z235" s="637"/>
      <c r="AA235" s="637"/>
      <c r="AB235" s="640"/>
      <c r="AC235" s="606"/>
      <c r="AD235" s="606"/>
      <c r="AE235" s="19"/>
      <c r="AF235" s="19"/>
    </row>
    <row r="236" spans="1:32" hidden="1" outlineLevel="2" x14ac:dyDescent="0.2">
      <c r="A236" s="606"/>
      <c r="B236" s="606"/>
      <c r="C236" s="607"/>
      <c r="D236" s="608"/>
      <c r="E236" s="609"/>
      <c r="F236" s="364"/>
      <c r="G236" s="609"/>
      <c r="H236" s="637"/>
      <c r="I236" s="637"/>
      <c r="J236" s="637"/>
      <c r="K236" s="637"/>
      <c r="L236" s="637"/>
      <c r="M236" s="637"/>
      <c r="N236" s="637"/>
      <c r="O236" s="637"/>
      <c r="P236" s="637"/>
      <c r="Q236" s="637"/>
      <c r="R236" s="637"/>
      <c r="S236" s="637"/>
      <c r="T236" s="637"/>
      <c r="U236" s="637"/>
      <c r="V236" s="637"/>
      <c r="W236" s="637"/>
      <c r="X236" s="637"/>
      <c r="Y236" s="637"/>
      <c r="Z236" s="637"/>
      <c r="AA236" s="637"/>
      <c r="AB236" s="640"/>
      <c r="AC236" s="606"/>
      <c r="AD236" s="606"/>
      <c r="AE236" s="19"/>
      <c r="AF236" s="19"/>
    </row>
    <row r="237" spans="1:32" hidden="1" outlineLevel="2" x14ac:dyDescent="0.2">
      <c r="A237" s="606"/>
      <c r="B237" s="606"/>
      <c r="C237" s="607"/>
      <c r="D237" s="608"/>
      <c r="E237" s="609"/>
      <c r="F237" s="364"/>
      <c r="G237" s="609"/>
      <c r="H237" s="637"/>
      <c r="I237" s="637"/>
      <c r="J237" s="637"/>
      <c r="K237" s="637"/>
      <c r="L237" s="637"/>
      <c r="M237" s="637"/>
      <c r="N237" s="637"/>
      <c r="O237" s="637"/>
      <c r="P237" s="637"/>
      <c r="Q237" s="637"/>
      <c r="R237" s="637"/>
      <c r="S237" s="637"/>
      <c r="T237" s="637"/>
      <c r="U237" s="637"/>
      <c r="V237" s="637"/>
      <c r="W237" s="637"/>
      <c r="X237" s="637"/>
      <c r="Y237" s="637"/>
      <c r="Z237" s="637"/>
      <c r="AA237" s="637"/>
      <c r="AB237" s="640"/>
      <c r="AC237" s="606"/>
      <c r="AD237" s="606"/>
      <c r="AE237" s="19"/>
      <c r="AF237" s="19"/>
    </row>
    <row r="238" spans="1:32" hidden="1" outlineLevel="2" x14ac:dyDescent="0.2">
      <c r="A238" s="606"/>
      <c r="B238" s="606"/>
      <c r="C238" s="607"/>
      <c r="D238" s="608"/>
      <c r="E238" s="609"/>
      <c r="F238" s="364"/>
      <c r="G238" s="609"/>
      <c r="H238" s="637"/>
      <c r="I238" s="637"/>
      <c r="J238" s="637"/>
      <c r="K238" s="637"/>
      <c r="L238" s="637"/>
      <c r="M238" s="637"/>
      <c r="N238" s="637"/>
      <c r="O238" s="637"/>
      <c r="P238" s="637"/>
      <c r="Q238" s="637"/>
      <c r="R238" s="637"/>
      <c r="S238" s="637"/>
      <c r="T238" s="637"/>
      <c r="U238" s="637"/>
      <c r="V238" s="637"/>
      <c r="W238" s="637"/>
      <c r="X238" s="637"/>
      <c r="Y238" s="637"/>
      <c r="Z238" s="637"/>
      <c r="AA238" s="637"/>
      <c r="AB238" s="640"/>
      <c r="AC238" s="606"/>
      <c r="AD238" s="606"/>
      <c r="AE238" s="19"/>
      <c r="AF238" s="19"/>
    </row>
    <row r="239" spans="1:32" hidden="1" outlineLevel="2" x14ac:dyDescent="0.2">
      <c r="A239" s="606"/>
      <c r="B239" s="606"/>
      <c r="C239" s="607"/>
      <c r="D239" s="608"/>
      <c r="E239" s="609"/>
      <c r="F239" s="364"/>
      <c r="G239" s="609"/>
      <c r="H239" s="637"/>
      <c r="I239" s="637"/>
      <c r="J239" s="637"/>
      <c r="K239" s="637"/>
      <c r="L239" s="637"/>
      <c r="M239" s="637"/>
      <c r="N239" s="637"/>
      <c r="O239" s="637"/>
      <c r="P239" s="637"/>
      <c r="Q239" s="637"/>
      <c r="R239" s="637"/>
      <c r="S239" s="637"/>
      <c r="T239" s="637"/>
      <c r="U239" s="637"/>
      <c r="V239" s="637"/>
      <c r="W239" s="637"/>
      <c r="X239" s="637"/>
      <c r="Y239" s="637"/>
      <c r="Z239" s="637"/>
      <c r="AA239" s="637"/>
      <c r="AB239" s="640"/>
      <c r="AC239" s="606"/>
      <c r="AD239" s="606"/>
      <c r="AE239" s="19"/>
      <c r="AF239" s="19"/>
    </row>
    <row r="240" spans="1:32" hidden="1" outlineLevel="2" x14ac:dyDescent="0.2">
      <c r="A240" s="606"/>
      <c r="B240" s="606"/>
      <c r="C240" s="607"/>
      <c r="D240" s="608"/>
      <c r="E240" s="609"/>
      <c r="F240" s="364"/>
      <c r="G240" s="609"/>
      <c r="H240" s="637"/>
      <c r="I240" s="637"/>
      <c r="J240" s="637"/>
      <c r="K240" s="637"/>
      <c r="L240" s="637"/>
      <c r="M240" s="637"/>
      <c r="N240" s="637"/>
      <c r="O240" s="637"/>
      <c r="P240" s="637"/>
      <c r="Q240" s="637"/>
      <c r="R240" s="637"/>
      <c r="S240" s="637"/>
      <c r="T240" s="637"/>
      <c r="U240" s="637"/>
      <c r="V240" s="637"/>
      <c r="W240" s="637"/>
      <c r="X240" s="637"/>
      <c r="Y240" s="637"/>
      <c r="Z240" s="637"/>
      <c r="AA240" s="637"/>
      <c r="AB240" s="640"/>
      <c r="AC240" s="606"/>
      <c r="AD240" s="606"/>
      <c r="AE240" s="19"/>
      <c r="AF240" s="19"/>
    </row>
    <row r="241" spans="1:32" hidden="1" outlineLevel="2" x14ac:dyDescent="0.2">
      <c r="A241" s="606"/>
      <c r="B241" s="606"/>
      <c r="C241" s="607"/>
      <c r="D241" s="608"/>
      <c r="E241" s="609"/>
      <c r="F241" s="364"/>
      <c r="G241" s="609"/>
      <c r="H241" s="637"/>
      <c r="I241" s="637"/>
      <c r="J241" s="637"/>
      <c r="K241" s="637"/>
      <c r="L241" s="637"/>
      <c r="M241" s="637"/>
      <c r="N241" s="637"/>
      <c r="O241" s="637"/>
      <c r="P241" s="637"/>
      <c r="Q241" s="637"/>
      <c r="R241" s="637"/>
      <c r="S241" s="637"/>
      <c r="T241" s="637"/>
      <c r="U241" s="637"/>
      <c r="V241" s="637"/>
      <c r="W241" s="637"/>
      <c r="X241" s="637"/>
      <c r="Y241" s="637"/>
      <c r="Z241" s="637"/>
      <c r="AA241" s="637"/>
      <c r="AB241" s="640"/>
      <c r="AC241" s="606"/>
      <c r="AD241" s="606"/>
      <c r="AE241" s="19"/>
      <c r="AF241" s="19"/>
    </row>
    <row r="242" spans="1:32" hidden="1" outlineLevel="2" x14ac:dyDescent="0.2">
      <c r="A242" s="606"/>
      <c r="B242" s="606"/>
      <c r="C242" s="607"/>
      <c r="D242" s="608"/>
      <c r="E242" s="609"/>
      <c r="F242" s="364"/>
      <c r="G242" s="609"/>
      <c r="H242" s="637"/>
      <c r="I242" s="637"/>
      <c r="J242" s="637"/>
      <c r="K242" s="637"/>
      <c r="L242" s="637"/>
      <c r="M242" s="637"/>
      <c r="N242" s="637"/>
      <c r="O242" s="637"/>
      <c r="P242" s="637"/>
      <c r="Q242" s="637"/>
      <c r="R242" s="637"/>
      <c r="S242" s="637"/>
      <c r="T242" s="637"/>
      <c r="U242" s="637"/>
      <c r="V242" s="637"/>
      <c r="W242" s="637"/>
      <c r="X242" s="637"/>
      <c r="Y242" s="637"/>
      <c r="Z242" s="637"/>
      <c r="AA242" s="637"/>
      <c r="AB242" s="640"/>
      <c r="AC242" s="606"/>
      <c r="AD242" s="606"/>
      <c r="AE242" s="19"/>
      <c r="AF242" s="19"/>
    </row>
    <row r="243" spans="1:32" hidden="1" outlineLevel="2" x14ac:dyDescent="0.2">
      <c r="A243" s="606"/>
      <c r="B243" s="606"/>
      <c r="C243" s="607"/>
      <c r="D243" s="608"/>
      <c r="E243" s="609"/>
      <c r="F243" s="364"/>
      <c r="G243" s="609"/>
      <c r="H243" s="637"/>
      <c r="I243" s="637"/>
      <c r="J243" s="637"/>
      <c r="K243" s="637"/>
      <c r="L243" s="637"/>
      <c r="M243" s="637"/>
      <c r="N243" s="637"/>
      <c r="O243" s="637"/>
      <c r="P243" s="637"/>
      <c r="Q243" s="637"/>
      <c r="R243" s="637"/>
      <c r="S243" s="637"/>
      <c r="T243" s="637"/>
      <c r="U243" s="637"/>
      <c r="V243" s="637"/>
      <c r="W243" s="637"/>
      <c r="X243" s="637"/>
      <c r="Y243" s="637"/>
      <c r="Z243" s="637"/>
      <c r="AA243" s="637"/>
      <c r="AB243" s="640"/>
      <c r="AC243" s="606"/>
      <c r="AD243" s="606"/>
      <c r="AE243" s="19"/>
      <c r="AF243" s="19"/>
    </row>
    <row r="244" spans="1:32" hidden="1" outlineLevel="2" x14ac:dyDescent="0.2">
      <c r="A244" s="606"/>
      <c r="B244" s="606"/>
      <c r="C244" s="607"/>
      <c r="D244" s="608"/>
      <c r="E244" s="609"/>
      <c r="F244" s="364"/>
      <c r="G244" s="609"/>
      <c r="H244" s="637"/>
      <c r="I244" s="637"/>
      <c r="J244" s="637"/>
      <c r="K244" s="637"/>
      <c r="L244" s="637"/>
      <c r="M244" s="637"/>
      <c r="N244" s="637"/>
      <c r="O244" s="637"/>
      <c r="P244" s="637"/>
      <c r="Q244" s="637"/>
      <c r="R244" s="637"/>
      <c r="S244" s="637"/>
      <c r="T244" s="637"/>
      <c r="U244" s="637"/>
      <c r="V244" s="637"/>
      <c r="W244" s="637"/>
      <c r="X244" s="637"/>
      <c r="Y244" s="637"/>
      <c r="Z244" s="637"/>
      <c r="AA244" s="637"/>
      <c r="AB244" s="640"/>
      <c r="AC244" s="606"/>
      <c r="AD244" s="606"/>
      <c r="AE244" s="19"/>
      <c r="AF244" s="19"/>
    </row>
    <row r="245" spans="1:32" hidden="1" outlineLevel="2" x14ac:dyDescent="0.2">
      <c r="A245" s="606"/>
      <c r="B245" s="606"/>
      <c r="C245" s="607"/>
      <c r="D245" s="608"/>
      <c r="E245" s="609"/>
      <c r="F245" s="364"/>
      <c r="G245" s="609"/>
      <c r="H245" s="637"/>
      <c r="I245" s="637"/>
      <c r="J245" s="637"/>
      <c r="K245" s="637"/>
      <c r="L245" s="637"/>
      <c r="M245" s="637"/>
      <c r="N245" s="637"/>
      <c r="O245" s="637"/>
      <c r="P245" s="637"/>
      <c r="Q245" s="637"/>
      <c r="R245" s="637"/>
      <c r="S245" s="637"/>
      <c r="T245" s="637"/>
      <c r="U245" s="637"/>
      <c r="V245" s="637"/>
      <c r="W245" s="637"/>
      <c r="X245" s="637"/>
      <c r="Y245" s="637"/>
      <c r="Z245" s="637"/>
      <c r="AA245" s="637"/>
      <c r="AB245" s="640"/>
      <c r="AC245" s="606"/>
      <c r="AD245" s="606"/>
      <c r="AE245" s="19"/>
      <c r="AF245" s="19"/>
    </row>
    <row r="246" spans="1:32" hidden="1" outlineLevel="2" x14ac:dyDescent="0.2">
      <c r="A246" s="606"/>
      <c r="B246" s="606"/>
      <c r="C246" s="607"/>
      <c r="D246" s="608"/>
      <c r="E246" s="609"/>
      <c r="F246" s="364"/>
      <c r="G246" s="609"/>
      <c r="H246" s="637"/>
      <c r="I246" s="637"/>
      <c r="J246" s="637"/>
      <c r="K246" s="637"/>
      <c r="L246" s="637"/>
      <c r="M246" s="637"/>
      <c r="N246" s="637"/>
      <c r="O246" s="637"/>
      <c r="P246" s="637"/>
      <c r="Q246" s="637"/>
      <c r="R246" s="637"/>
      <c r="S246" s="637"/>
      <c r="T246" s="637"/>
      <c r="U246" s="637"/>
      <c r="V246" s="637"/>
      <c r="W246" s="637"/>
      <c r="X246" s="637"/>
      <c r="Y246" s="637"/>
      <c r="Z246" s="637"/>
      <c r="AA246" s="637"/>
      <c r="AB246" s="640"/>
      <c r="AC246" s="606"/>
      <c r="AD246" s="606"/>
      <c r="AE246" s="19"/>
      <c r="AF246" s="19"/>
    </row>
    <row r="247" spans="1:32" hidden="1" outlineLevel="2" x14ac:dyDescent="0.2">
      <c r="A247" s="606"/>
      <c r="B247" s="606"/>
      <c r="C247" s="607"/>
      <c r="D247" s="608"/>
      <c r="E247" s="609"/>
      <c r="F247" s="364"/>
      <c r="G247" s="609"/>
      <c r="H247" s="637"/>
      <c r="I247" s="637"/>
      <c r="J247" s="637"/>
      <c r="K247" s="637"/>
      <c r="L247" s="637"/>
      <c r="M247" s="637"/>
      <c r="N247" s="637"/>
      <c r="O247" s="637"/>
      <c r="P247" s="637"/>
      <c r="Q247" s="637"/>
      <c r="R247" s="637"/>
      <c r="S247" s="637"/>
      <c r="T247" s="637"/>
      <c r="U247" s="637"/>
      <c r="V247" s="637"/>
      <c r="W247" s="637"/>
      <c r="X247" s="637"/>
      <c r="Y247" s="637"/>
      <c r="Z247" s="637"/>
      <c r="AA247" s="637"/>
      <c r="AB247" s="640"/>
      <c r="AC247" s="606"/>
      <c r="AD247" s="606"/>
      <c r="AE247" s="19"/>
      <c r="AF247" s="19"/>
    </row>
    <row r="248" spans="1:32" hidden="1" outlineLevel="2" x14ac:dyDescent="0.2">
      <c r="A248" s="606"/>
      <c r="B248" s="606"/>
      <c r="C248" s="607"/>
      <c r="D248" s="608"/>
      <c r="E248" s="609"/>
      <c r="F248" s="364"/>
      <c r="G248" s="609"/>
      <c r="H248" s="637"/>
      <c r="I248" s="637"/>
      <c r="J248" s="637"/>
      <c r="K248" s="637"/>
      <c r="L248" s="637"/>
      <c r="M248" s="637"/>
      <c r="N248" s="637"/>
      <c r="O248" s="637"/>
      <c r="P248" s="637"/>
      <c r="Q248" s="637"/>
      <c r="R248" s="637"/>
      <c r="S248" s="637"/>
      <c r="T248" s="637"/>
      <c r="U248" s="637"/>
      <c r="V248" s="637"/>
      <c r="W248" s="637"/>
      <c r="X248" s="637"/>
      <c r="Y248" s="637"/>
      <c r="Z248" s="637"/>
      <c r="AA248" s="637"/>
      <c r="AB248" s="640"/>
      <c r="AC248" s="606"/>
      <c r="AD248" s="606"/>
      <c r="AE248" s="19"/>
      <c r="AF248" s="19"/>
    </row>
    <row r="249" spans="1:32" hidden="1" outlineLevel="2" x14ac:dyDescent="0.2">
      <c r="A249" s="606"/>
      <c r="B249" s="606"/>
      <c r="C249" s="607"/>
      <c r="D249" s="608"/>
      <c r="E249" s="609"/>
      <c r="F249" s="364"/>
      <c r="G249" s="609"/>
      <c r="H249" s="637"/>
      <c r="I249" s="637"/>
      <c r="J249" s="637"/>
      <c r="K249" s="637"/>
      <c r="L249" s="637"/>
      <c r="M249" s="637"/>
      <c r="N249" s="637"/>
      <c r="O249" s="637"/>
      <c r="P249" s="637"/>
      <c r="Q249" s="637"/>
      <c r="R249" s="637"/>
      <c r="S249" s="637"/>
      <c r="T249" s="637"/>
      <c r="U249" s="637"/>
      <c r="V249" s="637"/>
      <c r="W249" s="637"/>
      <c r="X249" s="637"/>
      <c r="Y249" s="637"/>
      <c r="Z249" s="637"/>
      <c r="AA249" s="637"/>
      <c r="AB249" s="640"/>
      <c r="AC249" s="606"/>
      <c r="AD249" s="606"/>
      <c r="AE249" s="19"/>
      <c r="AF249" s="19"/>
    </row>
    <row r="250" spans="1:32" hidden="1" outlineLevel="2" x14ac:dyDescent="0.2">
      <c r="A250" s="606"/>
      <c r="B250" s="606"/>
      <c r="C250" s="607"/>
      <c r="D250" s="608"/>
      <c r="E250" s="609"/>
      <c r="F250" s="364"/>
      <c r="G250" s="609"/>
      <c r="H250" s="637"/>
      <c r="I250" s="637"/>
      <c r="J250" s="637"/>
      <c r="K250" s="637"/>
      <c r="L250" s="637"/>
      <c r="M250" s="637"/>
      <c r="N250" s="637"/>
      <c r="O250" s="637"/>
      <c r="P250" s="637"/>
      <c r="Q250" s="637"/>
      <c r="R250" s="637"/>
      <c r="S250" s="637"/>
      <c r="T250" s="637"/>
      <c r="U250" s="637"/>
      <c r="V250" s="637"/>
      <c r="W250" s="637"/>
      <c r="X250" s="637"/>
      <c r="Y250" s="637"/>
      <c r="Z250" s="637"/>
      <c r="AA250" s="637"/>
      <c r="AB250" s="640"/>
      <c r="AC250" s="606"/>
      <c r="AD250" s="606"/>
      <c r="AE250" s="19"/>
      <c r="AF250" s="19"/>
    </row>
    <row r="251" spans="1:32" hidden="1" outlineLevel="2" x14ac:dyDescent="0.2">
      <c r="A251" s="606"/>
      <c r="B251" s="606"/>
      <c r="C251" s="607"/>
      <c r="D251" s="608"/>
      <c r="E251" s="609"/>
      <c r="F251" s="364"/>
      <c r="G251" s="609"/>
      <c r="H251" s="637"/>
      <c r="I251" s="637"/>
      <c r="J251" s="637"/>
      <c r="K251" s="637"/>
      <c r="L251" s="637"/>
      <c r="M251" s="637"/>
      <c r="N251" s="637"/>
      <c r="O251" s="637"/>
      <c r="P251" s="637"/>
      <c r="Q251" s="637"/>
      <c r="R251" s="637"/>
      <c r="S251" s="637"/>
      <c r="T251" s="637"/>
      <c r="U251" s="637"/>
      <c r="V251" s="637"/>
      <c r="W251" s="637"/>
      <c r="X251" s="637"/>
      <c r="Y251" s="637"/>
      <c r="Z251" s="637"/>
      <c r="AA251" s="637"/>
      <c r="AB251" s="640"/>
      <c r="AC251" s="606"/>
      <c r="AD251" s="606"/>
      <c r="AE251" s="19"/>
      <c r="AF251" s="19"/>
    </row>
    <row r="252" spans="1:32" hidden="1" outlineLevel="2" x14ac:dyDescent="0.2">
      <c r="A252" s="606"/>
      <c r="B252" s="606"/>
      <c r="C252" s="607"/>
      <c r="D252" s="608"/>
      <c r="E252" s="609"/>
      <c r="F252" s="364"/>
      <c r="G252" s="609"/>
      <c r="H252" s="637"/>
      <c r="I252" s="637"/>
      <c r="J252" s="637"/>
      <c r="K252" s="637"/>
      <c r="L252" s="637"/>
      <c r="M252" s="637"/>
      <c r="N252" s="637"/>
      <c r="O252" s="637"/>
      <c r="P252" s="637"/>
      <c r="Q252" s="637"/>
      <c r="R252" s="637"/>
      <c r="S252" s="637"/>
      <c r="T252" s="637"/>
      <c r="U252" s="637"/>
      <c r="V252" s="637"/>
      <c r="W252" s="637"/>
      <c r="X252" s="637"/>
      <c r="Y252" s="637"/>
      <c r="Z252" s="637"/>
      <c r="AA252" s="637"/>
      <c r="AB252" s="640"/>
      <c r="AC252" s="606"/>
      <c r="AD252" s="606"/>
      <c r="AE252" s="19"/>
      <c r="AF252" s="19"/>
    </row>
    <row r="253" spans="1:32" hidden="1" outlineLevel="2" x14ac:dyDescent="0.2">
      <c r="A253" s="606"/>
      <c r="B253" s="606"/>
      <c r="C253" s="607"/>
      <c r="D253" s="608"/>
      <c r="E253" s="609"/>
      <c r="F253" s="364"/>
      <c r="G253" s="609"/>
      <c r="H253" s="637"/>
      <c r="I253" s="637"/>
      <c r="J253" s="637"/>
      <c r="K253" s="637"/>
      <c r="L253" s="637"/>
      <c r="M253" s="637"/>
      <c r="N253" s="637"/>
      <c r="O253" s="637"/>
      <c r="P253" s="637"/>
      <c r="Q253" s="637"/>
      <c r="R253" s="637"/>
      <c r="S253" s="637"/>
      <c r="T253" s="637"/>
      <c r="U253" s="637"/>
      <c r="V253" s="637"/>
      <c r="W253" s="637"/>
      <c r="X253" s="637"/>
      <c r="Y253" s="637"/>
      <c r="Z253" s="637"/>
      <c r="AA253" s="637"/>
      <c r="AB253" s="640"/>
      <c r="AC253" s="606"/>
      <c r="AD253" s="606"/>
      <c r="AE253" s="19"/>
      <c r="AF253" s="19"/>
    </row>
    <row r="254" spans="1:32" hidden="1" outlineLevel="2" x14ac:dyDescent="0.2">
      <c r="A254" s="606"/>
      <c r="B254" s="606"/>
      <c r="C254" s="607"/>
      <c r="D254" s="608"/>
      <c r="E254" s="609"/>
      <c r="F254" s="364"/>
      <c r="G254" s="609"/>
      <c r="H254" s="637"/>
      <c r="I254" s="637"/>
      <c r="J254" s="637"/>
      <c r="K254" s="637"/>
      <c r="L254" s="637"/>
      <c r="M254" s="637"/>
      <c r="N254" s="637"/>
      <c r="O254" s="637"/>
      <c r="P254" s="637"/>
      <c r="Q254" s="637"/>
      <c r="R254" s="637"/>
      <c r="S254" s="637"/>
      <c r="T254" s="637"/>
      <c r="U254" s="637"/>
      <c r="V254" s="637"/>
      <c r="W254" s="637"/>
      <c r="X254" s="637"/>
      <c r="Y254" s="637"/>
      <c r="Z254" s="637"/>
      <c r="AA254" s="637"/>
      <c r="AB254" s="640"/>
      <c r="AC254" s="606"/>
      <c r="AD254" s="606"/>
      <c r="AE254" s="19"/>
      <c r="AF254" s="19"/>
    </row>
    <row r="255" spans="1:32" hidden="1" outlineLevel="2" x14ac:dyDescent="0.2">
      <c r="A255" s="606"/>
      <c r="B255" s="606"/>
      <c r="C255" s="607"/>
      <c r="D255" s="608"/>
      <c r="E255" s="609"/>
      <c r="F255" s="364"/>
      <c r="G255" s="609"/>
      <c r="H255" s="637"/>
      <c r="I255" s="637"/>
      <c r="J255" s="637"/>
      <c r="K255" s="637"/>
      <c r="L255" s="637"/>
      <c r="M255" s="637"/>
      <c r="N255" s="637"/>
      <c r="O255" s="637"/>
      <c r="P255" s="637"/>
      <c r="Q255" s="637"/>
      <c r="R255" s="637"/>
      <c r="S255" s="637"/>
      <c r="T255" s="637"/>
      <c r="U255" s="637"/>
      <c r="V255" s="637"/>
      <c r="W255" s="637"/>
      <c r="X255" s="637"/>
      <c r="Y255" s="637"/>
      <c r="Z255" s="637"/>
      <c r="AA255" s="637"/>
      <c r="AB255" s="640"/>
      <c r="AC255" s="606"/>
      <c r="AD255" s="606"/>
      <c r="AE255" s="19"/>
      <c r="AF255" s="19"/>
    </row>
    <row r="256" spans="1:32" outlineLevel="1" collapsed="1" x14ac:dyDescent="0.2">
      <c r="A256" s="606"/>
      <c r="B256" s="606"/>
      <c r="C256" s="613"/>
      <c r="D256" s="609"/>
      <c r="E256" s="609"/>
      <c r="F256" s="609"/>
      <c r="G256" s="609"/>
      <c r="H256" s="641"/>
      <c r="I256" s="641"/>
      <c r="J256" s="640"/>
      <c r="K256" s="640"/>
      <c r="L256" s="640"/>
      <c r="M256" s="642"/>
      <c r="N256" s="642"/>
      <c r="O256" s="642"/>
      <c r="P256" s="642"/>
      <c r="Q256" s="642"/>
      <c r="R256" s="640"/>
      <c r="S256" s="640"/>
      <c r="T256" s="640"/>
      <c r="U256" s="640"/>
      <c r="V256" s="640"/>
      <c r="W256" s="640"/>
      <c r="X256" s="640"/>
      <c r="Y256" s="640"/>
      <c r="Z256" s="640"/>
      <c r="AA256" s="640"/>
      <c r="AB256" s="640"/>
      <c r="AC256" s="606"/>
      <c r="AD256" s="606"/>
      <c r="AE256" s="19"/>
      <c r="AF256" s="19"/>
    </row>
    <row r="257" spans="1:32" x14ac:dyDescent="0.2">
      <c r="A257" s="606"/>
      <c r="B257" s="606"/>
      <c r="C257" s="613"/>
      <c r="D257" s="609"/>
      <c r="E257" s="609"/>
      <c r="F257" s="609"/>
      <c r="G257" s="609"/>
      <c r="H257" s="641"/>
      <c r="I257" s="641"/>
      <c r="J257" s="640"/>
      <c r="K257" s="640"/>
      <c r="L257" s="640"/>
      <c r="M257" s="642"/>
      <c r="N257" s="642"/>
      <c r="O257" s="642"/>
      <c r="P257" s="642"/>
      <c r="Q257" s="642"/>
      <c r="R257" s="640"/>
      <c r="S257" s="640"/>
      <c r="T257" s="640"/>
      <c r="U257" s="640"/>
      <c r="V257" s="640"/>
      <c r="W257" s="640"/>
      <c r="X257" s="640"/>
      <c r="Y257" s="640"/>
      <c r="Z257" s="640"/>
      <c r="AA257" s="640"/>
      <c r="AB257" s="640"/>
      <c r="AC257" s="606"/>
      <c r="AD257" s="606"/>
      <c r="AE257" s="19"/>
      <c r="AF257" s="19"/>
    </row>
    <row r="258" spans="1:32" ht="12.75" x14ac:dyDescent="0.2">
      <c r="A258" s="11"/>
      <c r="B258" s="12" t="s">
        <v>8</v>
      </c>
      <c r="C258" s="11"/>
      <c r="D258" s="11"/>
      <c r="E258" s="11"/>
      <c r="F258" s="13"/>
      <c r="G258" s="13"/>
      <c r="H258" s="13"/>
      <c r="I258" s="13"/>
      <c r="J258" s="13"/>
      <c r="K258" s="13"/>
      <c r="L258" s="13"/>
      <c r="M258" s="14"/>
      <c r="N258" s="15"/>
      <c r="O258" s="14"/>
      <c r="P258" s="15"/>
      <c r="Q258" s="14"/>
      <c r="R258" s="14"/>
      <c r="S258" s="14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</row>
  </sheetData>
  <sheetProtection formatColumns="0" formatRows="0"/>
  <mergeCells count="1">
    <mergeCell ref="F25:H25"/>
  </mergeCells>
  <conditionalFormatting sqref="H1:L24">
    <cfRule type="expression" dxfId="0" priority="1">
      <formula>H$5=forecastyear</formula>
    </cfRule>
  </conditionalFormatting>
  <hyperlinks>
    <hyperlink ref="H1" location="'Pricing model'!A51" display="Back to Index" xr:uid="{00000000-0004-0000-1B00-000000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0000000}">
          <x14:formula1>
            <xm:f>Lookups!$G$8:$G$16</xm:f>
          </x14:formula1>
          <xm:sqref>E13:E16 E125:E127 E122:E123 E19:E22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">
    <tabColor theme="7" tint="0.79998168889431442"/>
  </sheetPr>
  <dimension ref="A1:AU641"/>
  <sheetViews>
    <sheetView showGridLines="0" zoomScaleNormal="100" workbookViewId="0">
      <pane xSplit="7" ySplit="6" topLeftCell="H218" activePane="bottomRight" state="frozen"/>
      <selection pane="topRight" activeCell="G1" sqref="G1"/>
      <selection pane="bottomLeft" activeCell="A7" sqref="A7"/>
      <selection pane="bottomRight" activeCell="A332" sqref="A332:U640"/>
    </sheetView>
  </sheetViews>
  <sheetFormatPr defaultColWidth="0" defaultRowHeight="11.25" zeroHeight="1" outlineLevelRow="3" x14ac:dyDescent="0.2"/>
  <cols>
    <col min="1" max="2" width="1.42578125" style="18" customWidth="1"/>
    <col min="3" max="3" width="37.140625" style="18" customWidth="1"/>
    <col min="4" max="4" width="16.85546875" style="18" customWidth="1"/>
    <col min="5" max="5" width="13.7109375" style="18" customWidth="1"/>
    <col min="6" max="6" width="15.28515625" style="18" customWidth="1"/>
    <col min="7" max="7" width="17.140625" style="18" hidden="1" customWidth="1"/>
    <col min="8" max="8" width="3.140625" style="18" customWidth="1"/>
    <col min="9" max="9" width="10.140625" style="375" customWidth="1"/>
    <col min="10" max="10" width="4.28515625" style="375" customWidth="1"/>
    <col min="11" max="15" width="9.28515625" style="375" customWidth="1"/>
    <col min="16" max="16" width="4.42578125" style="375" customWidth="1"/>
    <col min="17" max="17" width="9.85546875" style="375" customWidth="1"/>
    <col min="18" max="18" width="9.28515625" style="375" customWidth="1"/>
    <col min="19" max="19" width="9.28515625" style="18" customWidth="1"/>
    <col min="20" max="21" width="2.5703125" style="18" customWidth="1"/>
    <col min="22" max="24" width="8" style="18" hidden="1" customWidth="1"/>
    <col min="25" max="40" width="9.28515625" style="18" hidden="1" customWidth="1"/>
    <col min="41" max="47" width="0" style="18" hidden="1" customWidth="1"/>
    <col min="48" max="16384" width="8" style="18" hidden="1"/>
  </cols>
  <sheetData>
    <row r="1" spans="1:24" ht="15.75" x14ac:dyDescent="0.25">
      <c r="A1" s="1"/>
      <c r="B1" s="2" t="str">
        <f>'Calculations&gt;&gt;'!B1</f>
        <v>AER pricing model - TasNetworks 2022–23</v>
      </c>
      <c r="C1" s="2"/>
      <c r="D1" s="2"/>
      <c r="E1" s="2"/>
      <c r="F1" s="2"/>
      <c r="G1" s="3"/>
      <c r="H1" s="4"/>
      <c r="I1" s="372" t="s">
        <v>0</v>
      </c>
      <c r="J1" s="373"/>
      <c r="K1" s="374"/>
      <c r="L1" s="374"/>
      <c r="M1" s="345"/>
      <c r="P1" s="373"/>
      <c r="Q1" s="376"/>
      <c r="S1" s="114"/>
      <c r="T1" s="5"/>
      <c r="U1" s="1"/>
    </row>
    <row r="2" spans="1:24" ht="13.5" thickBot="1" x14ac:dyDescent="0.25">
      <c r="A2" s="6"/>
      <c r="B2" s="7" t="str">
        <f>'Calculations&gt;&gt;'!C13</f>
        <v>Total quantities</v>
      </c>
      <c r="C2" s="7"/>
      <c r="D2" s="7"/>
      <c r="E2" s="73"/>
      <c r="F2" s="73"/>
      <c r="G2" s="8"/>
      <c r="H2" s="8"/>
      <c r="I2" s="377"/>
      <c r="J2" s="377"/>
      <c r="K2" s="378"/>
      <c r="L2" s="378"/>
      <c r="M2" s="378"/>
      <c r="N2" s="378"/>
      <c r="O2" s="378"/>
      <c r="P2" s="378"/>
      <c r="Q2" s="378"/>
      <c r="R2" s="378"/>
      <c r="S2" s="115"/>
      <c r="T2" s="6"/>
      <c r="U2" s="6"/>
    </row>
    <row r="3" spans="1:24" x14ac:dyDescent="0.2">
      <c r="A3" s="27"/>
      <c r="B3" s="296" t="str">
        <f>'Calculations&gt;&gt;'!D13</f>
        <v>Calculates demand for each charging component, tariff, and tariff class</v>
      </c>
      <c r="C3" s="27"/>
      <c r="D3" s="28"/>
      <c r="E3" s="28"/>
      <c r="F3" s="28"/>
      <c r="G3" s="28"/>
      <c r="H3" s="28"/>
      <c r="I3" s="379"/>
      <c r="J3" s="379"/>
      <c r="K3" s="380"/>
      <c r="L3" s="381"/>
      <c r="M3" s="381"/>
      <c r="N3" s="381"/>
      <c r="O3" s="381"/>
      <c r="P3" s="381"/>
      <c r="Q3" s="381"/>
      <c r="R3" s="381"/>
      <c r="S3" s="30"/>
      <c r="T3" s="31"/>
      <c r="U3" s="31"/>
    </row>
    <row r="4" spans="1:24" x14ac:dyDescent="0.2">
      <c r="A4" s="9"/>
      <c r="B4" s="9"/>
      <c r="C4" s="9"/>
      <c r="D4" s="10"/>
      <c r="E4" s="10"/>
      <c r="F4" s="10"/>
      <c r="G4" s="50"/>
      <c r="H4" s="50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9"/>
      <c r="T4" s="9"/>
      <c r="U4" s="9"/>
      <c r="V4" s="9"/>
      <c r="W4" s="9"/>
      <c r="X4" s="9"/>
    </row>
    <row r="5" spans="1:24" ht="12.75" x14ac:dyDescent="0.2">
      <c r="A5" s="11"/>
      <c r="B5" s="12" t="s">
        <v>661</v>
      </c>
      <c r="C5" s="11"/>
      <c r="D5" s="32"/>
      <c r="E5" s="32"/>
      <c r="F5" s="32"/>
      <c r="G5" s="63"/>
      <c r="H5" s="33"/>
      <c r="I5" s="383" t="s">
        <v>208</v>
      </c>
      <c r="J5" s="383"/>
      <c r="K5" s="383" t="s">
        <v>209</v>
      </c>
      <c r="L5" s="383" t="s">
        <v>212</v>
      </c>
      <c r="M5" s="383" t="s">
        <v>213</v>
      </c>
      <c r="N5" s="383" t="s">
        <v>214</v>
      </c>
      <c r="O5" s="383" t="s">
        <v>240</v>
      </c>
      <c r="P5" s="383"/>
      <c r="Q5" s="383" t="s">
        <v>215</v>
      </c>
      <c r="R5" s="383" t="s">
        <v>241</v>
      </c>
      <c r="S5" s="33"/>
      <c r="T5" s="15"/>
      <c r="U5" s="15"/>
      <c r="V5" s="15"/>
      <c r="W5" s="15"/>
      <c r="X5" s="15"/>
    </row>
    <row r="6" spans="1:24" x14ac:dyDescent="0.2">
      <c r="A6" s="19"/>
      <c r="B6" s="19"/>
      <c r="C6" s="36"/>
      <c r="D6" s="20"/>
      <c r="E6" s="20"/>
      <c r="F6" s="20"/>
      <c r="G6" s="22"/>
      <c r="H6" s="22"/>
      <c r="I6" s="384" t="s">
        <v>242</v>
      </c>
      <c r="J6" s="384"/>
      <c r="K6" s="384" t="str">
        <f>consoutputs</f>
        <v>GWh</v>
      </c>
      <c r="L6" s="384" t="str">
        <f>consoutputs</f>
        <v>GWh</v>
      </c>
      <c r="M6" s="384" t="str">
        <f>consoutputs</f>
        <v>GWh</v>
      </c>
      <c r="N6" s="384" t="str">
        <f>consoutputs</f>
        <v>GWh</v>
      </c>
      <c r="O6" s="384" t="str">
        <f>consoutputs</f>
        <v>GWh</v>
      </c>
      <c r="P6" s="384"/>
      <c r="Q6" s="384" t="str">
        <f>consoutputs</f>
        <v>GWh</v>
      </c>
      <c r="R6" s="384" t="str">
        <f>consoutputs</f>
        <v>GWh</v>
      </c>
      <c r="S6" s="22"/>
      <c r="T6" s="19"/>
      <c r="U6" s="19"/>
      <c r="V6" s="19"/>
      <c r="W6" s="19"/>
      <c r="X6" s="19"/>
    </row>
    <row r="7" spans="1:24" outlineLevel="1" x14ac:dyDescent="0.2">
      <c r="A7" s="19"/>
      <c r="B7" s="19"/>
      <c r="C7" s="167" t="str">
        <f>"Forecast "&amp;forecastyear</f>
        <v>Forecast 2022–23</v>
      </c>
      <c r="D7" s="20"/>
      <c r="E7" s="20"/>
      <c r="F7" s="20"/>
      <c r="G7" s="22"/>
      <c r="H7" s="22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22"/>
      <c r="T7" s="19"/>
      <c r="U7" s="19"/>
      <c r="V7" s="19"/>
      <c r="W7" s="19"/>
      <c r="X7" s="19"/>
    </row>
    <row r="8" spans="1:24" outlineLevel="2" x14ac:dyDescent="0.2">
      <c r="A8" s="19"/>
      <c r="B8" s="19"/>
      <c r="C8" s="506" t="str">
        <f>Tariffs!C7</f>
        <v>Residential</v>
      </c>
      <c r="D8" s="87"/>
      <c r="E8" s="20"/>
      <c r="F8" s="20"/>
      <c r="G8" s="22"/>
      <c r="H8" s="22"/>
      <c r="I8" s="238">
        <f t="shared" ref="I8:I18" si="0">SUMIF($D$53:$D$127,$C8,I$53:I$127)+I290</f>
        <v>267817</v>
      </c>
      <c r="J8" s="239"/>
      <c r="K8" s="238">
        <f t="shared" ref="K8:N18" si="1">SUMIF($D$53:$D$127,$C8,K$53:K$127)+K290</f>
        <v>727.49371714551205</v>
      </c>
      <c r="L8" s="238">
        <f t="shared" si="1"/>
        <v>148.78182980789072</v>
      </c>
      <c r="M8" s="238">
        <f t="shared" si="1"/>
        <v>0</v>
      </c>
      <c r="N8" s="238">
        <f t="shared" si="1"/>
        <v>336.8297241284788</v>
      </c>
      <c r="O8" s="238">
        <f>SUM(K8:N8)</f>
        <v>1213.1052710818817</v>
      </c>
      <c r="P8" s="239"/>
      <c r="Q8" s="238">
        <f t="shared" ref="Q8:Q18" si="2">SUMIF($D$53:$D$127,$C8,Q$53:Q$127)+Q290</f>
        <v>0</v>
      </c>
      <c r="R8" s="238">
        <f>O8-Q8</f>
        <v>1213.1052710818817</v>
      </c>
      <c r="S8" s="89"/>
      <c r="T8" s="19"/>
      <c r="U8" s="19"/>
      <c r="V8" s="19"/>
      <c r="W8" s="19"/>
      <c r="X8" s="19"/>
    </row>
    <row r="9" spans="1:24" s="59" customFormat="1" outlineLevel="2" x14ac:dyDescent="0.2">
      <c r="A9" s="57"/>
      <c r="B9" s="57"/>
      <c r="C9" s="506" t="str">
        <f>Tariffs!C8</f>
        <v>Small Business LV</v>
      </c>
      <c r="D9" s="87"/>
      <c r="E9" s="58"/>
      <c r="F9" s="58"/>
      <c r="G9" s="58"/>
      <c r="H9" s="58"/>
      <c r="I9" s="238">
        <f t="shared" si="0"/>
        <v>36281</v>
      </c>
      <c r="J9" s="239"/>
      <c r="K9" s="238">
        <f t="shared" si="1"/>
        <v>421.47867681362487</v>
      </c>
      <c r="L9" s="238">
        <f t="shared" si="1"/>
        <v>286.59643670551742</v>
      </c>
      <c r="M9" s="238">
        <f t="shared" si="1"/>
        <v>71.918373024062177</v>
      </c>
      <c r="N9" s="238">
        <f t="shared" si="1"/>
        <v>141.47022822594363</v>
      </c>
      <c r="O9" s="238">
        <f t="shared" ref="O9:O18" si="3">SUM(K9:N9)</f>
        <v>921.46371476914805</v>
      </c>
      <c r="P9" s="239"/>
      <c r="Q9" s="238">
        <f t="shared" si="2"/>
        <v>0</v>
      </c>
      <c r="R9" s="238">
        <f t="shared" ref="R9:R18" si="4">O9-Q9</f>
        <v>921.46371476914805</v>
      </c>
      <c r="S9" s="90"/>
      <c r="T9" s="57"/>
      <c r="U9" s="57"/>
      <c r="V9" s="57"/>
      <c r="W9" s="57"/>
      <c r="X9" s="57"/>
    </row>
    <row r="10" spans="1:24" outlineLevel="2" x14ac:dyDescent="0.2">
      <c r="A10" s="19"/>
      <c r="B10" s="19"/>
      <c r="C10" s="506" t="str">
        <f>Tariffs!C9</f>
        <v>Large Business LV</v>
      </c>
      <c r="D10" s="87"/>
      <c r="E10" s="58"/>
      <c r="F10" s="58"/>
      <c r="G10" s="58"/>
      <c r="H10" s="58"/>
      <c r="I10" s="238">
        <f t="shared" si="0"/>
        <v>745</v>
      </c>
      <c r="J10" s="239"/>
      <c r="K10" s="238">
        <f t="shared" si="1"/>
        <v>446.66575577670125</v>
      </c>
      <c r="L10" s="238">
        <f t="shared" si="1"/>
        <v>0</v>
      </c>
      <c r="M10" s="238">
        <f t="shared" si="1"/>
        <v>0</v>
      </c>
      <c r="N10" s="238">
        <f t="shared" si="1"/>
        <v>0</v>
      </c>
      <c r="O10" s="238">
        <f t="shared" si="3"/>
        <v>446.66575577670125</v>
      </c>
      <c r="P10" s="239"/>
      <c r="Q10" s="238">
        <f t="shared" si="2"/>
        <v>0</v>
      </c>
      <c r="R10" s="238">
        <f t="shared" si="4"/>
        <v>446.66575577670125</v>
      </c>
      <c r="S10" s="90"/>
      <c r="T10" s="19"/>
      <c r="U10" s="19"/>
      <c r="V10" s="19"/>
      <c r="W10" s="19"/>
      <c r="X10" s="19"/>
    </row>
    <row r="11" spans="1:24" outlineLevel="2" x14ac:dyDescent="0.2">
      <c r="A11" s="19"/>
      <c r="B11" s="19"/>
      <c r="C11" s="506" t="str">
        <f>Tariffs!C10</f>
        <v>Irrigation</v>
      </c>
      <c r="D11" s="87"/>
      <c r="E11" s="58"/>
      <c r="F11" s="58"/>
      <c r="G11" s="58"/>
      <c r="H11" s="58"/>
      <c r="I11" s="238">
        <f t="shared" si="0"/>
        <v>4034</v>
      </c>
      <c r="J11" s="239"/>
      <c r="K11" s="238">
        <f t="shared" si="1"/>
        <v>0</v>
      </c>
      <c r="L11" s="238">
        <f t="shared" si="1"/>
        <v>8.598232082430739</v>
      </c>
      <c r="M11" s="238">
        <f t="shared" si="1"/>
        <v>55.44367773508241</v>
      </c>
      <c r="N11" s="238">
        <f t="shared" si="1"/>
        <v>89.494832798114132</v>
      </c>
      <c r="O11" s="238">
        <f t="shared" si="3"/>
        <v>153.53674261562728</v>
      </c>
      <c r="P11" s="239"/>
      <c r="Q11" s="238">
        <f t="shared" si="2"/>
        <v>0</v>
      </c>
      <c r="R11" s="238">
        <f t="shared" si="4"/>
        <v>153.53674261562728</v>
      </c>
      <c r="S11" s="90"/>
      <c r="T11" s="19"/>
      <c r="U11" s="19"/>
      <c r="V11" s="19"/>
      <c r="W11" s="19"/>
      <c r="X11" s="19"/>
    </row>
    <row r="12" spans="1:24" outlineLevel="2" x14ac:dyDescent="0.2">
      <c r="A12" s="19"/>
      <c r="B12" s="19"/>
      <c r="C12" s="506" t="str">
        <f>Tariffs!C11</f>
        <v>Large Business HV</v>
      </c>
      <c r="D12" s="87"/>
      <c r="E12" s="58"/>
      <c r="F12" s="58"/>
      <c r="G12" s="58"/>
      <c r="H12" s="58"/>
      <c r="I12" s="238">
        <f t="shared" si="0"/>
        <v>126</v>
      </c>
      <c r="J12" s="239"/>
      <c r="K12" s="238">
        <f t="shared" si="1"/>
        <v>0</v>
      </c>
      <c r="L12" s="238">
        <f t="shared" si="1"/>
        <v>132.71855089109457</v>
      </c>
      <c r="M12" s="238">
        <f t="shared" si="1"/>
        <v>168.44090607106344</v>
      </c>
      <c r="N12" s="238">
        <f t="shared" si="1"/>
        <v>217.61150540803948</v>
      </c>
      <c r="O12" s="238">
        <f t="shared" si="3"/>
        <v>518.77096237019748</v>
      </c>
      <c r="P12" s="239"/>
      <c r="Q12" s="238">
        <f t="shared" si="2"/>
        <v>0</v>
      </c>
      <c r="R12" s="238">
        <f t="shared" si="4"/>
        <v>518.77096237019748</v>
      </c>
      <c r="S12" s="90"/>
      <c r="T12" s="19"/>
      <c r="U12" s="19"/>
      <c r="V12" s="19"/>
      <c r="W12" s="19"/>
      <c r="X12" s="19"/>
    </row>
    <row r="13" spans="1:24" outlineLevel="2" x14ac:dyDescent="0.2">
      <c r="A13" s="19"/>
      <c r="B13" s="19"/>
      <c r="C13" s="506" t="str">
        <f>Tariffs!C12</f>
        <v>Uncontrolled energy</v>
      </c>
      <c r="D13" s="87"/>
      <c r="E13" s="58"/>
      <c r="F13" s="58"/>
      <c r="G13" s="58"/>
      <c r="H13" s="58"/>
      <c r="I13" s="238">
        <f t="shared" si="0"/>
        <v>197277</v>
      </c>
      <c r="J13" s="239"/>
      <c r="K13" s="238">
        <f t="shared" si="1"/>
        <v>866.70779670236607</v>
      </c>
      <c r="L13" s="238">
        <f t="shared" si="1"/>
        <v>0</v>
      </c>
      <c r="M13" s="238">
        <f t="shared" si="1"/>
        <v>0</v>
      </c>
      <c r="N13" s="238">
        <f t="shared" si="1"/>
        <v>0</v>
      </c>
      <c r="O13" s="238">
        <f t="shared" si="3"/>
        <v>866.70779670236607</v>
      </c>
      <c r="P13" s="239"/>
      <c r="Q13" s="238">
        <f t="shared" si="2"/>
        <v>0</v>
      </c>
      <c r="R13" s="238">
        <f t="shared" si="4"/>
        <v>866.70779670236607</v>
      </c>
      <c r="S13" s="90"/>
      <c r="T13" s="19"/>
      <c r="U13" s="19"/>
      <c r="V13" s="19"/>
      <c r="W13" s="19"/>
      <c r="X13" s="19"/>
    </row>
    <row r="14" spans="1:24" outlineLevel="2" x14ac:dyDescent="0.2">
      <c r="A14" s="19"/>
      <c r="B14" s="19"/>
      <c r="C14" s="506" t="str">
        <f>Tariffs!C13</f>
        <v>Controlled energy</v>
      </c>
      <c r="D14" s="87"/>
      <c r="E14" s="58"/>
      <c r="F14" s="58"/>
      <c r="G14" s="58"/>
      <c r="H14" s="58"/>
      <c r="I14" s="238">
        <f t="shared" si="0"/>
        <v>19803.31467914725</v>
      </c>
      <c r="J14" s="239"/>
      <c r="K14" s="238">
        <f t="shared" si="1"/>
        <v>35.567730272019105</v>
      </c>
      <c r="L14" s="238">
        <f t="shared" si="1"/>
        <v>0</v>
      </c>
      <c r="M14" s="238">
        <f t="shared" si="1"/>
        <v>0</v>
      </c>
      <c r="N14" s="238">
        <f t="shared" si="1"/>
        <v>0</v>
      </c>
      <c r="O14" s="238">
        <f t="shared" si="3"/>
        <v>35.567730272019105</v>
      </c>
      <c r="P14" s="239"/>
      <c r="Q14" s="238">
        <f t="shared" si="2"/>
        <v>0</v>
      </c>
      <c r="R14" s="238">
        <f t="shared" si="4"/>
        <v>35.567730272019105</v>
      </c>
      <c r="S14" s="90"/>
      <c r="T14" s="19"/>
      <c r="U14" s="19"/>
      <c r="V14" s="19"/>
      <c r="W14" s="19"/>
      <c r="X14" s="19"/>
    </row>
    <row r="15" spans="1:24" outlineLevel="2" x14ac:dyDescent="0.2">
      <c r="A15" s="19"/>
      <c r="B15" s="19"/>
      <c r="C15" s="506" t="str">
        <f>Tariffs!C14</f>
        <v>Unmetered supplies</v>
      </c>
      <c r="D15" s="87"/>
      <c r="E15" s="58"/>
      <c r="F15" s="58"/>
      <c r="G15" s="58"/>
      <c r="H15" s="58"/>
      <c r="I15" s="238">
        <f t="shared" si="0"/>
        <v>1793</v>
      </c>
      <c r="J15" s="239"/>
      <c r="K15" s="238">
        <f t="shared" si="1"/>
        <v>6.9343071820168589</v>
      </c>
      <c r="L15" s="238">
        <f t="shared" si="1"/>
        <v>0</v>
      </c>
      <c r="M15" s="238">
        <f t="shared" si="1"/>
        <v>0</v>
      </c>
      <c r="N15" s="238">
        <f t="shared" si="1"/>
        <v>0</v>
      </c>
      <c r="O15" s="238">
        <f t="shared" si="3"/>
        <v>6.9343071820168589</v>
      </c>
      <c r="P15" s="239"/>
      <c r="Q15" s="238">
        <f t="shared" si="2"/>
        <v>0</v>
      </c>
      <c r="R15" s="238">
        <f t="shared" si="4"/>
        <v>6.9343071820168589</v>
      </c>
      <c r="S15" s="90"/>
      <c r="T15" s="19"/>
      <c r="U15" s="19"/>
      <c r="V15" s="19"/>
      <c r="W15" s="19"/>
      <c r="X15" s="19"/>
    </row>
    <row r="16" spans="1:24" outlineLevel="2" x14ac:dyDescent="0.2">
      <c r="A16" s="19"/>
      <c r="B16" s="19"/>
      <c r="C16" s="506" t="str">
        <f>Tariffs!C15</f>
        <v>Street lighting</v>
      </c>
      <c r="D16" s="87"/>
      <c r="E16" s="58"/>
      <c r="F16" s="58"/>
      <c r="G16" s="58"/>
      <c r="H16" s="58"/>
      <c r="I16" s="238">
        <f t="shared" si="0"/>
        <v>0</v>
      </c>
      <c r="J16" s="239"/>
      <c r="K16" s="238">
        <f t="shared" si="1"/>
        <v>0</v>
      </c>
      <c r="L16" s="238">
        <f t="shared" si="1"/>
        <v>0</v>
      </c>
      <c r="M16" s="238">
        <f t="shared" si="1"/>
        <v>0</v>
      </c>
      <c r="N16" s="238">
        <f t="shared" si="1"/>
        <v>0</v>
      </c>
      <c r="O16" s="238">
        <f t="shared" si="3"/>
        <v>0</v>
      </c>
      <c r="P16" s="239"/>
      <c r="Q16" s="238">
        <f t="shared" si="2"/>
        <v>0</v>
      </c>
      <c r="R16" s="238">
        <f t="shared" si="4"/>
        <v>0</v>
      </c>
      <c r="S16" s="90"/>
      <c r="T16" s="19"/>
      <c r="U16" s="19"/>
      <c r="V16" s="19"/>
      <c r="W16" s="19"/>
      <c r="X16" s="19"/>
    </row>
    <row r="17" spans="1:24" outlineLevel="2" x14ac:dyDescent="0.2">
      <c r="A17" s="19"/>
      <c r="B17" s="19"/>
      <c r="C17" s="506" t="str">
        <f>Tariffs!C16</f>
        <v>ITC</v>
      </c>
      <c r="D17" s="87"/>
      <c r="E17" s="58"/>
      <c r="F17" s="58"/>
      <c r="G17" s="58"/>
      <c r="H17" s="58"/>
      <c r="I17" s="238">
        <f t="shared" si="0"/>
        <v>10</v>
      </c>
      <c r="J17" s="239"/>
      <c r="K17" s="238">
        <f t="shared" si="1"/>
        <v>369.7839127735715</v>
      </c>
      <c r="L17" s="238">
        <f t="shared" si="1"/>
        <v>7.9377061428169089</v>
      </c>
      <c r="M17" s="238">
        <f t="shared" si="1"/>
        <v>9.9144898728572759</v>
      </c>
      <c r="N17" s="238">
        <f t="shared" si="1"/>
        <v>13.23537836526163</v>
      </c>
      <c r="O17" s="238">
        <f t="shared" si="3"/>
        <v>400.87148715450735</v>
      </c>
      <c r="P17" s="239"/>
      <c r="Q17" s="238">
        <f t="shared" si="2"/>
        <v>0</v>
      </c>
      <c r="R17" s="238">
        <f t="shared" si="4"/>
        <v>400.87148715450735</v>
      </c>
      <c r="S17" s="90"/>
      <c r="T17" s="19"/>
      <c r="U17" s="19"/>
      <c r="V17" s="19"/>
      <c r="W17" s="19"/>
      <c r="X17" s="19"/>
    </row>
    <row r="18" spans="1:24" outlineLevel="2" x14ac:dyDescent="0.2">
      <c r="A18" s="19"/>
      <c r="B18" s="19"/>
      <c r="C18" s="506">
        <f>Tariffs!C17</f>
        <v>0</v>
      </c>
      <c r="D18" s="87"/>
      <c r="E18" s="58"/>
      <c r="F18" s="58"/>
      <c r="G18" s="58"/>
      <c r="H18" s="58"/>
      <c r="I18" s="238">
        <f t="shared" si="0"/>
        <v>0</v>
      </c>
      <c r="J18" s="239"/>
      <c r="K18" s="238">
        <f t="shared" si="1"/>
        <v>0</v>
      </c>
      <c r="L18" s="238">
        <f t="shared" si="1"/>
        <v>0</v>
      </c>
      <c r="M18" s="238">
        <f t="shared" si="1"/>
        <v>0</v>
      </c>
      <c r="N18" s="238">
        <f t="shared" si="1"/>
        <v>0</v>
      </c>
      <c r="O18" s="238">
        <f t="shared" si="3"/>
        <v>0</v>
      </c>
      <c r="P18" s="239"/>
      <c r="Q18" s="238">
        <f t="shared" si="2"/>
        <v>0</v>
      </c>
      <c r="R18" s="238">
        <f t="shared" si="4"/>
        <v>0</v>
      </c>
      <c r="S18" s="90"/>
      <c r="T18" s="19"/>
      <c r="U18" s="19"/>
      <c r="V18" s="19"/>
      <c r="W18" s="19"/>
      <c r="X18" s="19"/>
    </row>
    <row r="19" spans="1:24" outlineLevel="2" x14ac:dyDescent="0.2">
      <c r="A19" s="19"/>
      <c r="B19" s="19"/>
      <c r="C19" s="539" t="s">
        <v>240</v>
      </c>
      <c r="D19" s="87"/>
      <c r="E19" s="58"/>
      <c r="F19" s="58"/>
      <c r="G19" s="58"/>
      <c r="H19" s="58"/>
      <c r="I19" s="238">
        <f>SUM(I8:I18)</f>
        <v>527886.31467914721</v>
      </c>
      <c r="J19" s="239"/>
      <c r="K19" s="238">
        <f t="shared" ref="K19:R19" si="5">SUM(K8:K18)</f>
        <v>2874.6318966658114</v>
      </c>
      <c r="L19" s="238">
        <f t="shared" si="5"/>
        <v>584.63275562975025</v>
      </c>
      <c r="M19" s="238">
        <f t="shared" si="5"/>
        <v>305.71744670306532</v>
      </c>
      <c r="N19" s="238">
        <f t="shared" si="5"/>
        <v>798.64166892583773</v>
      </c>
      <c r="O19" s="238">
        <f t="shared" si="5"/>
        <v>4563.6237679244641</v>
      </c>
      <c r="P19" s="239"/>
      <c r="Q19" s="238">
        <f t="shared" si="5"/>
        <v>0</v>
      </c>
      <c r="R19" s="238">
        <f t="shared" si="5"/>
        <v>4563.6237679244641</v>
      </c>
      <c r="S19" s="88"/>
      <c r="T19" s="19"/>
      <c r="U19" s="19"/>
      <c r="V19" s="19"/>
      <c r="W19" s="19"/>
      <c r="X19" s="19"/>
    </row>
    <row r="20" spans="1:24" outlineLevel="1" x14ac:dyDescent="0.2">
      <c r="A20" s="19"/>
      <c r="B20" s="19"/>
      <c r="C20" s="217"/>
      <c r="D20" s="58"/>
      <c r="E20" s="58"/>
      <c r="F20" s="58"/>
      <c r="G20" s="58"/>
      <c r="H20" s="58"/>
      <c r="I20" s="385"/>
      <c r="J20" s="385"/>
      <c r="K20" s="240"/>
      <c r="L20" s="240"/>
      <c r="M20" s="240"/>
      <c r="N20" s="241"/>
      <c r="O20" s="241"/>
      <c r="P20" s="241"/>
      <c r="Q20" s="241"/>
      <c r="R20" s="241"/>
      <c r="S20" s="88"/>
      <c r="T20" s="19"/>
      <c r="U20" s="19"/>
      <c r="V20" s="19"/>
      <c r="W20" s="19"/>
      <c r="X20" s="19"/>
    </row>
    <row r="21" spans="1:24" outlineLevel="1" x14ac:dyDescent="0.2">
      <c r="A21" s="19"/>
      <c r="B21" s="19"/>
      <c r="C21" s="167" t="str">
        <f>"Estimate "&amp;currentyear</f>
        <v>Estimate 2021–22</v>
      </c>
      <c r="D21" s="20"/>
      <c r="E21" s="20"/>
      <c r="F21" s="20"/>
      <c r="G21" s="22"/>
      <c r="H21" s="22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88"/>
      <c r="T21" s="19"/>
      <c r="U21" s="19"/>
      <c r="V21" s="19"/>
      <c r="W21" s="19"/>
      <c r="X21" s="19"/>
    </row>
    <row r="22" spans="1:24" outlineLevel="2" x14ac:dyDescent="0.2">
      <c r="A22" s="19"/>
      <c r="B22" s="19"/>
      <c r="C22" s="506" t="str">
        <f>C8</f>
        <v>Residential</v>
      </c>
      <c r="D22" s="87"/>
      <c r="E22" s="20"/>
      <c r="F22" s="20"/>
      <c r="G22" s="22"/>
      <c r="H22" s="22"/>
      <c r="I22" s="238">
        <f t="shared" ref="I22:I32" si="6">SUMIF($D$131:$D$205,$C22,I$131:I$205)+I304</f>
        <v>264425.88081540703</v>
      </c>
      <c r="J22" s="239"/>
      <c r="K22" s="238">
        <f t="shared" ref="K22:N32" si="7">SUMIF($D$131:$D$205,$C22,K$131:K$205)+K304</f>
        <v>757.97343139075542</v>
      </c>
      <c r="L22" s="238">
        <f t="shared" si="7"/>
        <v>125.33035819116792</v>
      </c>
      <c r="M22" s="238">
        <f t="shared" si="7"/>
        <v>0</v>
      </c>
      <c r="N22" s="238">
        <f t="shared" si="7"/>
        <v>283.73753723128112</v>
      </c>
      <c r="O22" s="238">
        <f>SUM(K22:N22)</f>
        <v>1167.0413268132045</v>
      </c>
      <c r="P22" s="239"/>
      <c r="Q22" s="238">
        <f t="shared" ref="Q22:Q32" si="8">SUMIF($D$131:$D$205,$C22,Q$131:Q$205)+Q304</f>
        <v>0</v>
      </c>
      <c r="R22" s="238">
        <f>O22-Q22</f>
        <v>1167.0413268132045</v>
      </c>
      <c r="S22" s="89"/>
      <c r="T22" s="19"/>
      <c r="U22" s="19"/>
      <c r="V22" s="19"/>
      <c r="W22" s="19"/>
      <c r="X22" s="19"/>
    </row>
    <row r="23" spans="1:24" s="59" customFormat="1" outlineLevel="2" x14ac:dyDescent="0.2">
      <c r="A23" s="57"/>
      <c r="B23" s="57"/>
      <c r="C23" s="506" t="str">
        <f t="shared" ref="C23:C32" si="9">C9</f>
        <v>Small Business LV</v>
      </c>
      <c r="D23" s="87"/>
      <c r="E23" s="58"/>
      <c r="F23" s="58"/>
      <c r="G23" s="58"/>
      <c r="H23" s="58"/>
      <c r="I23" s="238">
        <f t="shared" si="6"/>
        <v>36011</v>
      </c>
      <c r="J23" s="239"/>
      <c r="K23" s="238">
        <f t="shared" si="7"/>
        <v>422.24934749625828</v>
      </c>
      <c r="L23" s="238">
        <f t="shared" si="7"/>
        <v>275.61872481443299</v>
      </c>
      <c r="M23" s="238">
        <f t="shared" si="7"/>
        <v>69.163631242171448</v>
      </c>
      <c r="N23" s="238">
        <f t="shared" si="7"/>
        <v>136.05139111658303</v>
      </c>
      <c r="O23" s="238">
        <f t="shared" ref="O23:O32" si="10">SUM(K23:N23)</f>
        <v>903.08309466944593</v>
      </c>
      <c r="P23" s="239"/>
      <c r="Q23" s="238">
        <f t="shared" si="8"/>
        <v>0</v>
      </c>
      <c r="R23" s="238">
        <f t="shared" ref="R23:R32" si="11">O23-Q23</f>
        <v>903.08309466944593</v>
      </c>
      <c r="S23" s="90"/>
      <c r="T23" s="57"/>
      <c r="U23" s="57"/>
      <c r="V23" s="57"/>
      <c r="W23" s="57"/>
      <c r="X23" s="57"/>
    </row>
    <row r="24" spans="1:24" outlineLevel="2" x14ac:dyDescent="0.2">
      <c r="A24" s="19"/>
      <c r="B24" s="19"/>
      <c r="C24" s="506" t="str">
        <f t="shared" si="9"/>
        <v>Large Business LV</v>
      </c>
      <c r="D24" s="87"/>
      <c r="E24" s="58"/>
      <c r="F24" s="58"/>
      <c r="G24" s="58"/>
      <c r="H24" s="58"/>
      <c r="I24" s="238">
        <f t="shared" si="6"/>
        <v>765</v>
      </c>
      <c r="J24" s="239"/>
      <c r="K24" s="238">
        <f t="shared" si="7"/>
        <v>454.90171920561403</v>
      </c>
      <c r="L24" s="238">
        <f t="shared" si="7"/>
        <v>0</v>
      </c>
      <c r="M24" s="238">
        <f t="shared" si="7"/>
        <v>0</v>
      </c>
      <c r="N24" s="238">
        <f t="shared" si="7"/>
        <v>0</v>
      </c>
      <c r="O24" s="238">
        <f t="shared" si="10"/>
        <v>454.90171920561403</v>
      </c>
      <c r="P24" s="239"/>
      <c r="Q24" s="238">
        <f t="shared" si="8"/>
        <v>0</v>
      </c>
      <c r="R24" s="238">
        <f t="shared" si="11"/>
        <v>454.90171920561403</v>
      </c>
      <c r="S24" s="90"/>
      <c r="T24" s="19"/>
      <c r="U24" s="19"/>
      <c r="V24" s="19"/>
      <c r="W24" s="19"/>
      <c r="X24" s="19"/>
    </row>
    <row r="25" spans="1:24" outlineLevel="2" x14ac:dyDescent="0.2">
      <c r="A25" s="19"/>
      <c r="B25" s="19"/>
      <c r="C25" s="506" t="str">
        <f t="shared" si="9"/>
        <v>Irrigation</v>
      </c>
      <c r="D25" s="87"/>
      <c r="E25" s="58"/>
      <c r="F25" s="58"/>
      <c r="G25" s="58"/>
      <c r="H25" s="58"/>
      <c r="I25" s="238">
        <f t="shared" si="6"/>
        <v>3990</v>
      </c>
      <c r="J25" s="239"/>
      <c r="K25" s="238">
        <f t="shared" si="7"/>
        <v>0</v>
      </c>
      <c r="L25" s="238">
        <f t="shared" si="7"/>
        <v>11.02449008170278</v>
      </c>
      <c r="M25" s="238">
        <f t="shared" si="7"/>
        <v>49.138415684475945</v>
      </c>
      <c r="N25" s="238">
        <f t="shared" si="7"/>
        <v>74.091570939021281</v>
      </c>
      <c r="O25" s="238">
        <f t="shared" si="10"/>
        <v>134.25447670520001</v>
      </c>
      <c r="P25" s="239"/>
      <c r="Q25" s="238">
        <f t="shared" si="8"/>
        <v>0</v>
      </c>
      <c r="R25" s="238">
        <f t="shared" si="11"/>
        <v>134.25447670520001</v>
      </c>
      <c r="S25" s="90"/>
      <c r="T25" s="19"/>
      <c r="U25" s="19"/>
      <c r="V25" s="19"/>
      <c r="W25" s="19"/>
      <c r="X25" s="19"/>
    </row>
    <row r="26" spans="1:24" outlineLevel="2" x14ac:dyDescent="0.2">
      <c r="A26" s="19"/>
      <c r="B26" s="19"/>
      <c r="C26" s="506" t="str">
        <f t="shared" si="9"/>
        <v>Large Business HV</v>
      </c>
      <c r="D26" s="87"/>
      <c r="E26" s="58"/>
      <c r="F26" s="58"/>
      <c r="G26" s="58"/>
      <c r="H26" s="58"/>
      <c r="I26" s="238">
        <f t="shared" si="6"/>
        <v>126.0027397260274</v>
      </c>
      <c r="J26" s="239"/>
      <c r="K26" s="238">
        <f t="shared" si="7"/>
        <v>0</v>
      </c>
      <c r="L26" s="238">
        <f t="shared" si="7"/>
        <v>133.3319452198956</v>
      </c>
      <c r="M26" s="238">
        <f t="shared" si="7"/>
        <v>171.67230774671046</v>
      </c>
      <c r="N26" s="238">
        <f t="shared" si="7"/>
        <v>222.33092456851776</v>
      </c>
      <c r="O26" s="238">
        <f t="shared" si="10"/>
        <v>527.33517753512376</v>
      </c>
      <c r="P26" s="239"/>
      <c r="Q26" s="238">
        <f t="shared" si="8"/>
        <v>0</v>
      </c>
      <c r="R26" s="238">
        <f t="shared" si="11"/>
        <v>527.33517753512376</v>
      </c>
      <c r="S26" s="90"/>
      <c r="T26" s="19"/>
      <c r="U26" s="19"/>
      <c r="V26" s="19"/>
      <c r="W26" s="19"/>
      <c r="X26" s="19"/>
    </row>
    <row r="27" spans="1:24" outlineLevel="2" x14ac:dyDescent="0.2">
      <c r="A27" s="19"/>
      <c r="B27" s="19"/>
      <c r="C27" s="506" t="str">
        <f t="shared" si="9"/>
        <v>Uncontrolled energy</v>
      </c>
      <c r="D27" s="87"/>
      <c r="E27" s="58"/>
      <c r="F27" s="58"/>
      <c r="G27" s="58"/>
      <c r="H27" s="58"/>
      <c r="I27" s="238">
        <f t="shared" si="6"/>
        <v>203265.28727857553</v>
      </c>
      <c r="J27" s="239"/>
      <c r="K27" s="238">
        <f t="shared" si="7"/>
        <v>896.87328040335819</v>
      </c>
      <c r="L27" s="238">
        <f t="shared" si="7"/>
        <v>0</v>
      </c>
      <c r="M27" s="238">
        <f t="shared" si="7"/>
        <v>0</v>
      </c>
      <c r="N27" s="238">
        <f t="shared" si="7"/>
        <v>0</v>
      </c>
      <c r="O27" s="238">
        <f t="shared" si="10"/>
        <v>896.87328040335819</v>
      </c>
      <c r="P27" s="239"/>
      <c r="Q27" s="238">
        <f t="shared" si="8"/>
        <v>0</v>
      </c>
      <c r="R27" s="238">
        <f t="shared" si="11"/>
        <v>896.87328040335819</v>
      </c>
      <c r="S27" s="90"/>
      <c r="T27" s="19"/>
      <c r="U27" s="19"/>
      <c r="V27" s="19"/>
      <c r="W27" s="19"/>
      <c r="X27" s="19"/>
    </row>
    <row r="28" spans="1:24" outlineLevel="2" x14ac:dyDescent="0.2">
      <c r="A28" s="19"/>
      <c r="B28" s="19"/>
      <c r="C28" s="506" t="str">
        <f t="shared" si="9"/>
        <v>Controlled energy</v>
      </c>
      <c r="D28" s="87"/>
      <c r="E28" s="58"/>
      <c r="F28" s="58"/>
      <c r="G28" s="58"/>
      <c r="H28" s="58"/>
      <c r="I28" s="238">
        <f t="shared" si="6"/>
        <v>19803.31467914725</v>
      </c>
      <c r="J28" s="239"/>
      <c r="K28" s="238">
        <f t="shared" si="7"/>
        <v>35.710994277585499</v>
      </c>
      <c r="L28" s="238">
        <f t="shared" si="7"/>
        <v>0</v>
      </c>
      <c r="M28" s="238">
        <f t="shared" si="7"/>
        <v>0</v>
      </c>
      <c r="N28" s="238">
        <f t="shared" si="7"/>
        <v>0</v>
      </c>
      <c r="O28" s="238">
        <f t="shared" si="10"/>
        <v>35.710994277585499</v>
      </c>
      <c r="P28" s="239"/>
      <c r="Q28" s="238">
        <f t="shared" si="8"/>
        <v>0</v>
      </c>
      <c r="R28" s="238">
        <f t="shared" si="11"/>
        <v>35.710994277585499</v>
      </c>
      <c r="S28" s="90"/>
      <c r="T28" s="19"/>
      <c r="U28" s="19"/>
      <c r="V28" s="19"/>
      <c r="W28" s="19"/>
      <c r="X28" s="19"/>
    </row>
    <row r="29" spans="1:24" outlineLevel="2" x14ac:dyDescent="0.2">
      <c r="A29" s="19"/>
      <c r="B29" s="19"/>
      <c r="C29" s="506" t="str">
        <f t="shared" si="9"/>
        <v>Unmetered supplies</v>
      </c>
      <c r="D29" s="87"/>
      <c r="E29" s="58"/>
      <c r="F29" s="58"/>
      <c r="G29" s="58"/>
      <c r="H29" s="58"/>
      <c r="I29" s="238">
        <f t="shared" si="6"/>
        <v>1826</v>
      </c>
      <c r="J29" s="239"/>
      <c r="K29" s="238">
        <f t="shared" si="7"/>
        <v>7.0871027519397698</v>
      </c>
      <c r="L29" s="238">
        <f t="shared" si="7"/>
        <v>0</v>
      </c>
      <c r="M29" s="238">
        <f t="shared" si="7"/>
        <v>0</v>
      </c>
      <c r="N29" s="238">
        <f t="shared" si="7"/>
        <v>0</v>
      </c>
      <c r="O29" s="238">
        <f t="shared" si="10"/>
        <v>7.0871027519397698</v>
      </c>
      <c r="P29" s="239"/>
      <c r="Q29" s="238">
        <f t="shared" si="8"/>
        <v>0</v>
      </c>
      <c r="R29" s="238">
        <f t="shared" si="11"/>
        <v>7.0871027519397698</v>
      </c>
      <c r="S29" s="90"/>
      <c r="T29" s="19"/>
      <c r="U29" s="19"/>
      <c r="V29" s="19"/>
      <c r="W29" s="19"/>
      <c r="X29" s="19"/>
    </row>
    <row r="30" spans="1:24" outlineLevel="2" x14ac:dyDescent="0.2">
      <c r="A30" s="19"/>
      <c r="B30" s="19"/>
      <c r="C30" s="506" t="str">
        <f t="shared" si="9"/>
        <v>Street lighting</v>
      </c>
      <c r="D30" s="87"/>
      <c r="E30" s="58"/>
      <c r="F30" s="58"/>
      <c r="G30" s="58"/>
      <c r="H30" s="58"/>
      <c r="I30" s="238">
        <f t="shared" si="6"/>
        <v>0</v>
      </c>
      <c r="J30" s="239"/>
      <c r="K30" s="238">
        <f t="shared" si="7"/>
        <v>0</v>
      </c>
      <c r="L30" s="238">
        <f t="shared" si="7"/>
        <v>0</v>
      </c>
      <c r="M30" s="238">
        <f t="shared" si="7"/>
        <v>0</v>
      </c>
      <c r="N30" s="238">
        <f t="shared" si="7"/>
        <v>0</v>
      </c>
      <c r="O30" s="238">
        <f t="shared" si="10"/>
        <v>0</v>
      </c>
      <c r="P30" s="239"/>
      <c r="Q30" s="238">
        <f t="shared" si="8"/>
        <v>0</v>
      </c>
      <c r="R30" s="238">
        <f t="shared" si="11"/>
        <v>0</v>
      </c>
      <c r="S30" s="90"/>
      <c r="T30" s="19"/>
      <c r="U30" s="19"/>
      <c r="V30" s="19"/>
      <c r="W30" s="19"/>
      <c r="X30" s="19"/>
    </row>
    <row r="31" spans="1:24" outlineLevel="2" x14ac:dyDescent="0.2">
      <c r="A31" s="19"/>
      <c r="B31" s="19"/>
      <c r="C31" s="506" t="str">
        <f t="shared" si="9"/>
        <v>ITC</v>
      </c>
      <c r="D31" s="87"/>
      <c r="E31" s="58"/>
      <c r="F31" s="58"/>
      <c r="G31" s="58"/>
      <c r="H31" s="58"/>
      <c r="I31" s="238">
        <f t="shared" si="6"/>
        <v>10</v>
      </c>
      <c r="J31" s="239"/>
      <c r="K31" s="238">
        <f t="shared" si="7"/>
        <v>369.18225548586253</v>
      </c>
      <c r="L31" s="238">
        <f t="shared" si="7"/>
        <v>7.9247910900427172</v>
      </c>
      <c r="M31" s="238">
        <f t="shared" si="7"/>
        <v>9.8983584921241885</v>
      </c>
      <c r="N31" s="238">
        <f t="shared" si="7"/>
        <v>13.213843729562317</v>
      </c>
      <c r="O31" s="238">
        <f t="shared" si="10"/>
        <v>400.21924879759177</v>
      </c>
      <c r="P31" s="239"/>
      <c r="Q31" s="238">
        <f t="shared" si="8"/>
        <v>0</v>
      </c>
      <c r="R31" s="238">
        <f t="shared" si="11"/>
        <v>400.21924879759177</v>
      </c>
      <c r="S31" s="90"/>
      <c r="T31" s="19"/>
      <c r="U31" s="19"/>
      <c r="V31" s="19"/>
      <c r="W31" s="19"/>
      <c r="X31" s="19"/>
    </row>
    <row r="32" spans="1:24" outlineLevel="2" x14ac:dyDescent="0.2">
      <c r="A32" s="19"/>
      <c r="B32" s="19"/>
      <c r="C32" s="506">
        <f t="shared" si="9"/>
        <v>0</v>
      </c>
      <c r="D32" s="87"/>
      <c r="E32" s="58"/>
      <c r="F32" s="58"/>
      <c r="G32" s="58"/>
      <c r="H32" s="58"/>
      <c r="I32" s="238">
        <f t="shared" si="6"/>
        <v>0</v>
      </c>
      <c r="J32" s="239"/>
      <c r="K32" s="238">
        <f t="shared" si="7"/>
        <v>0</v>
      </c>
      <c r="L32" s="238">
        <f t="shared" si="7"/>
        <v>0</v>
      </c>
      <c r="M32" s="238">
        <f t="shared" si="7"/>
        <v>0</v>
      </c>
      <c r="N32" s="238">
        <f t="shared" si="7"/>
        <v>0</v>
      </c>
      <c r="O32" s="238">
        <f t="shared" si="10"/>
        <v>0</v>
      </c>
      <c r="P32" s="239"/>
      <c r="Q32" s="238">
        <f t="shared" si="8"/>
        <v>0</v>
      </c>
      <c r="R32" s="238">
        <f t="shared" si="11"/>
        <v>0</v>
      </c>
      <c r="S32" s="90"/>
      <c r="T32" s="19"/>
      <c r="U32" s="19"/>
      <c r="V32" s="19"/>
      <c r="W32" s="19"/>
      <c r="X32" s="19"/>
    </row>
    <row r="33" spans="1:24" outlineLevel="2" x14ac:dyDescent="0.2">
      <c r="A33" s="19"/>
      <c r="B33" s="19"/>
      <c r="C33" s="539" t="str">
        <f>C19</f>
        <v>Total</v>
      </c>
      <c r="D33" s="87"/>
      <c r="E33" s="58"/>
      <c r="F33" s="58"/>
      <c r="G33" s="58"/>
      <c r="H33" s="58"/>
      <c r="I33" s="238">
        <f>SUM(I22:I32)</f>
        <v>530222.48551285581</v>
      </c>
      <c r="J33" s="239"/>
      <c r="K33" s="238">
        <f t="shared" ref="K33:R33" si="12">SUM(K22:K32)</f>
        <v>2943.9781310113735</v>
      </c>
      <c r="L33" s="238">
        <f t="shared" si="12"/>
        <v>553.23030939724197</v>
      </c>
      <c r="M33" s="238">
        <f t="shared" si="12"/>
        <v>299.87271316548208</v>
      </c>
      <c r="N33" s="238">
        <f t="shared" si="12"/>
        <v>729.42526758496547</v>
      </c>
      <c r="O33" s="238">
        <f t="shared" si="12"/>
        <v>4526.5064211590625</v>
      </c>
      <c r="P33" s="239"/>
      <c r="Q33" s="238">
        <f t="shared" si="12"/>
        <v>0</v>
      </c>
      <c r="R33" s="238">
        <f t="shared" si="12"/>
        <v>4526.5064211590625</v>
      </c>
      <c r="S33" s="88"/>
      <c r="T33" s="19"/>
      <c r="U33" s="19"/>
      <c r="V33" s="19"/>
      <c r="W33" s="19"/>
      <c r="X33" s="19"/>
    </row>
    <row r="34" spans="1:24" outlineLevel="1" x14ac:dyDescent="0.2">
      <c r="A34" s="19"/>
      <c r="B34" s="19"/>
      <c r="C34" s="217"/>
      <c r="D34" s="58"/>
      <c r="E34" s="58"/>
      <c r="F34" s="58"/>
      <c r="G34" s="58"/>
      <c r="H34" s="58"/>
      <c r="I34" s="385"/>
      <c r="J34" s="385"/>
      <c r="K34" s="240"/>
      <c r="L34" s="240"/>
      <c r="M34" s="240"/>
      <c r="N34" s="241"/>
      <c r="O34" s="241"/>
      <c r="P34" s="241"/>
      <c r="Q34" s="241"/>
      <c r="R34" s="241"/>
      <c r="S34" s="88"/>
      <c r="T34" s="19"/>
      <c r="U34" s="19"/>
      <c r="V34" s="19"/>
      <c r="W34" s="19"/>
      <c r="X34" s="19"/>
    </row>
    <row r="35" spans="1:24" outlineLevel="1" x14ac:dyDescent="0.2">
      <c r="A35" s="19"/>
      <c r="B35" s="19"/>
      <c r="C35" s="167" t="str">
        <f>"Actual "&amp;previousyear</f>
        <v>Actual 2020–21</v>
      </c>
      <c r="D35" s="20"/>
      <c r="E35" s="20"/>
      <c r="F35" s="20"/>
      <c r="G35" s="22"/>
      <c r="H35" s="22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88"/>
      <c r="T35" s="19"/>
      <c r="U35" s="19"/>
      <c r="V35" s="19"/>
      <c r="W35" s="19"/>
      <c r="X35" s="19"/>
    </row>
    <row r="36" spans="1:24" outlineLevel="2" x14ac:dyDescent="0.2">
      <c r="A36" s="19"/>
      <c r="B36" s="19"/>
      <c r="C36" s="506" t="str">
        <f>C8</f>
        <v>Residential</v>
      </c>
      <c r="D36" s="87"/>
      <c r="E36" s="20"/>
      <c r="F36" s="20"/>
      <c r="G36" s="22"/>
      <c r="H36" s="22"/>
      <c r="I36" s="238">
        <f t="shared" ref="I36:I46" si="13">SUMIF($D$209:$D$283,$C36,I$209:I$283)+I318</f>
        <v>265376.92328767123</v>
      </c>
      <c r="J36" s="239"/>
      <c r="K36" s="238">
        <f t="shared" ref="K36:N46" si="14">SUMIF($D$209:$D$283,$C36,K$209:K$283)+K318</f>
        <v>843.61620445699975</v>
      </c>
      <c r="L36" s="238">
        <f t="shared" si="14"/>
        <v>84.440497558743175</v>
      </c>
      <c r="M36" s="238">
        <f t="shared" si="14"/>
        <v>0</v>
      </c>
      <c r="N36" s="238">
        <f t="shared" si="14"/>
        <v>195.08779369925577</v>
      </c>
      <c r="O36" s="238">
        <f>SUM(K36:N36)</f>
        <v>1123.1444957149988</v>
      </c>
      <c r="P36" s="239"/>
      <c r="Q36" s="238">
        <f t="shared" ref="Q36:Q46" si="15">SUMIF($D$209:$D$283,$C36,Q$209:Q$283)+Q318</f>
        <v>0</v>
      </c>
      <c r="R36" s="238">
        <f>O36-Q36</f>
        <v>1123.1444957149988</v>
      </c>
      <c r="S36" s="89"/>
      <c r="T36" s="19"/>
      <c r="U36" s="19"/>
      <c r="V36" s="19"/>
      <c r="W36" s="19"/>
      <c r="X36" s="19"/>
    </row>
    <row r="37" spans="1:24" s="59" customFormat="1" outlineLevel="2" x14ac:dyDescent="0.2">
      <c r="A37" s="57"/>
      <c r="B37" s="57"/>
      <c r="C37" s="506" t="str">
        <f t="shared" ref="C37:C46" si="16">C9</f>
        <v>Small Business LV</v>
      </c>
      <c r="D37" s="87"/>
      <c r="E37" s="58"/>
      <c r="F37" s="58"/>
      <c r="G37" s="58"/>
      <c r="H37" s="58"/>
      <c r="I37" s="238">
        <f t="shared" si="13"/>
        <v>35733.715068493148</v>
      </c>
      <c r="J37" s="239"/>
      <c r="K37" s="238">
        <f t="shared" si="14"/>
        <v>250.62116919399995</v>
      </c>
      <c r="L37" s="238">
        <f t="shared" si="14"/>
        <v>259.15545458300005</v>
      </c>
      <c r="M37" s="238">
        <f t="shared" si="14"/>
        <v>65.008259273999997</v>
      </c>
      <c r="N37" s="238">
        <f t="shared" si="14"/>
        <v>128.707308918</v>
      </c>
      <c r="O37" s="238">
        <f t="shared" ref="O37:O46" si="17">SUM(K37:N37)</f>
        <v>703.49219196899992</v>
      </c>
      <c r="P37" s="239"/>
      <c r="Q37" s="238">
        <f t="shared" si="15"/>
        <v>0</v>
      </c>
      <c r="R37" s="238">
        <f t="shared" ref="R37:R46" si="18">O37-Q37</f>
        <v>703.49219196899992</v>
      </c>
      <c r="S37" s="90"/>
      <c r="T37" s="57"/>
      <c r="U37" s="57"/>
      <c r="V37" s="57"/>
      <c r="W37" s="57"/>
      <c r="X37" s="57"/>
    </row>
    <row r="38" spans="1:24" outlineLevel="2" x14ac:dyDescent="0.2">
      <c r="A38" s="19"/>
      <c r="B38" s="19"/>
      <c r="C38" s="506" t="str">
        <f t="shared" si="16"/>
        <v>Large Business LV</v>
      </c>
      <c r="D38" s="87"/>
      <c r="E38" s="58"/>
      <c r="F38" s="58"/>
      <c r="G38" s="58"/>
      <c r="H38" s="58"/>
      <c r="I38" s="238">
        <f t="shared" si="13"/>
        <v>790.10684931506853</v>
      </c>
      <c r="J38" s="239"/>
      <c r="K38" s="238">
        <f t="shared" si="14"/>
        <v>0</v>
      </c>
      <c r="L38" s="238">
        <f t="shared" si="14"/>
        <v>0</v>
      </c>
      <c r="M38" s="238">
        <f t="shared" si="14"/>
        <v>0</v>
      </c>
      <c r="N38" s="238">
        <f t="shared" si="14"/>
        <v>0</v>
      </c>
      <c r="O38" s="238">
        <f t="shared" si="17"/>
        <v>0</v>
      </c>
      <c r="P38" s="239"/>
      <c r="Q38" s="238">
        <f t="shared" si="15"/>
        <v>0</v>
      </c>
      <c r="R38" s="238">
        <f t="shared" si="18"/>
        <v>0</v>
      </c>
      <c r="S38" s="90"/>
      <c r="T38" s="19"/>
      <c r="U38" s="19"/>
      <c r="V38" s="19"/>
      <c r="W38" s="19"/>
      <c r="X38" s="19"/>
    </row>
    <row r="39" spans="1:24" outlineLevel="2" x14ac:dyDescent="0.2">
      <c r="A39" s="19"/>
      <c r="B39" s="19"/>
      <c r="C39" s="506" t="str">
        <f t="shared" si="16"/>
        <v>Irrigation</v>
      </c>
      <c r="D39" s="87"/>
      <c r="E39" s="58"/>
      <c r="F39" s="58"/>
      <c r="G39" s="58"/>
      <c r="H39" s="58"/>
      <c r="I39" s="238">
        <f t="shared" si="13"/>
        <v>3945.682191780822</v>
      </c>
      <c r="J39" s="239"/>
      <c r="K39" s="238">
        <f t="shared" si="14"/>
        <v>0</v>
      </c>
      <c r="L39" s="238">
        <f t="shared" si="14"/>
        <v>10.269904280999999</v>
      </c>
      <c r="M39" s="238">
        <f t="shared" si="14"/>
        <v>45.775071849999982</v>
      </c>
      <c r="N39" s="238">
        <f t="shared" si="14"/>
        <v>69.020275398999985</v>
      </c>
      <c r="O39" s="238">
        <f t="shared" si="17"/>
        <v>125.06525152999997</v>
      </c>
      <c r="P39" s="239"/>
      <c r="Q39" s="238">
        <f t="shared" si="15"/>
        <v>0</v>
      </c>
      <c r="R39" s="238">
        <f t="shared" si="18"/>
        <v>125.06525152999997</v>
      </c>
      <c r="S39" s="90"/>
      <c r="T39" s="19"/>
      <c r="U39" s="19"/>
      <c r="V39" s="19"/>
      <c r="W39" s="19"/>
      <c r="X39" s="19"/>
    </row>
    <row r="40" spans="1:24" outlineLevel="2" x14ac:dyDescent="0.2">
      <c r="A40" s="19"/>
      <c r="B40" s="19"/>
      <c r="C40" s="506" t="str">
        <f t="shared" si="16"/>
        <v>Large Business HV</v>
      </c>
      <c r="D40" s="87"/>
      <c r="E40" s="58"/>
      <c r="F40" s="58"/>
      <c r="G40" s="58"/>
      <c r="H40" s="58"/>
      <c r="I40" s="238">
        <f t="shared" si="13"/>
        <v>126.64931506849315</v>
      </c>
      <c r="J40" s="239"/>
      <c r="K40" s="238">
        <f t="shared" si="14"/>
        <v>0</v>
      </c>
      <c r="L40" s="238">
        <f t="shared" si="14"/>
        <v>127.38950868644258</v>
      </c>
      <c r="M40" s="238">
        <f t="shared" si="14"/>
        <v>162.28550272493891</v>
      </c>
      <c r="N40" s="238">
        <f t="shared" si="14"/>
        <v>213.5239113136185</v>
      </c>
      <c r="O40" s="238">
        <f t="shared" si="17"/>
        <v>503.19892272499999</v>
      </c>
      <c r="P40" s="239"/>
      <c r="Q40" s="238">
        <f t="shared" si="15"/>
        <v>0</v>
      </c>
      <c r="R40" s="238">
        <f t="shared" si="18"/>
        <v>503.19892272499999</v>
      </c>
      <c r="S40" s="90"/>
      <c r="T40" s="19"/>
      <c r="U40" s="19"/>
      <c r="V40" s="19"/>
      <c r="W40" s="19"/>
      <c r="X40" s="19"/>
    </row>
    <row r="41" spans="1:24" outlineLevel="2" x14ac:dyDescent="0.2">
      <c r="A41" s="19"/>
      <c r="B41" s="19"/>
      <c r="C41" s="506" t="str">
        <f t="shared" si="16"/>
        <v>Uncontrolled energy</v>
      </c>
      <c r="D41" s="87"/>
      <c r="E41" s="58"/>
      <c r="F41" s="58"/>
      <c r="G41" s="58"/>
      <c r="H41" s="58"/>
      <c r="I41" s="238">
        <f t="shared" si="13"/>
        <v>217804.9917808219</v>
      </c>
      <c r="J41" s="239"/>
      <c r="K41" s="238">
        <f t="shared" si="14"/>
        <v>994.9700362320001</v>
      </c>
      <c r="L41" s="238">
        <f t="shared" si="14"/>
        <v>0</v>
      </c>
      <c r="M41" s="238">
        <f t="shared" si="14"/>
        <v>0</v>
      </c>
      <c r="N41" s="238">
        <f t="shared" si="14"/>
        <v>0</v>
      </c>
      <c r="O41" s="238">
        <f t="shared" si="17"/>
        <v>994.9700362320001</v>
      </c>
      <c r="P41" s="239"/>
      <c r="Q41" s="238">
        <f t="shared" si="15"/>
        <v>0</v>
      </c>
      <c r="R41" s="238">
        <f t="shared" si="18"/>
        <v>994.9700362320001</v>
      </c>
      <c r="S41" s="90"/>
      <c r="T41" s="19"/>
      <c r="U41" s="19"/>
      <c r="V41" s="19"/>
      <c r="W41" s="19"/>
      <c r="X41" s="19"/>
    </row>
    <row r="42" spans="1:24" outlineLevel="2" x14ac:dyDescent="0.2">
      <c r="A42" s="19"/>
      <c r="B42" s="19"/>
      <c r="C42" s="506" t="str">
        <f t="shared" si="16"/>
        <v>Controlled energy</v>
      </c>
      <c r="D42" s="87"/>
      <c r="E42" s="58"/>
      <c r="F42" s="58"/>
      <c r="G42" s="58"/>
      <c r="H42" s="58"/>
      <c r="I42" s="238">
        <f t="shared" si="13"/>
        <v>21295.032876712328</v>
      </c>
      <c r="J42" s="239"/>
      <c r="K42" s="238">
        <f t="shared" si="14"/>
        <v>39.181717529000004</v>
      </c>
      <c r="L42" s="238">
        <f t="shared" si="14"/>
        <v>0</v>
      </c>
      <c r="M42" s="238">
        <f t="shared" si="14"/>
        <v>0</v>
      </c>
      <c r="N42" s="238">
        <f t="shared" si="14"/>
        <v>0</v>
      </c>
      <c r="O42" s="238">
        <f t="shared" si="17"/>
        <v>39.181717529000004</v>
      </c>
      <c r="P42" s="239"/>
      <c r="Q42" s="238">
        <f t="shared" si="15"/>
        <v>0</v>
      </c>
      <c r="R42" s="238">
        <f t="shared" si="18"/>
        <v>39.181717529000004</v>
      </c>
      <c r="S42" s="90"/>
      <c r="T42" s="19"/>
      <c r="U42" s="19"/>
      <c r="V42" s="19"/>
      <c r="W42" s="19"/>
      <c r="X42" s="19"/>
    </row>
    <row r="43" spans="1:24" outlineLevel="2" x14ac:dyDescent="0.2">
      <c r="A43" s="19"/>
      <c r="B43" s="19"/>
      <c r="C43" s="506" t="str">
        <f t="shared" si="16"/>
        <v>Unmetered supplies</v>
      </c>
      <c r="D43" s="87"/>
      <c r="E43" s="58"/>
      <c r="F43" s="58"/>
      <c r="G43" s="58"/>
      <c r="H43" s="58"/>
      <c r="I43" s="238">
        <f t="shared" si="13"/>
        <v>1878.027397260274</v>
      </c>
      <c r="J43" s="239"/>
      <c r="K43" s="238">
        <f t="shared" si="14"/>
        <v>7.0839318629999983</v>
      </c>
      <c r="L43" s="238">
        <f t="shared" si="14"/>
        <v>0</v>
      </c>
      <c r="M43" s="238">
        <f t="shared" si="14"/>
        <v>0</v>
      </c>
      <c r="N43" s="238">
        <f t="shared" si="14"/>
        <v>0</v>
      </c>
      <c r="O43" s="238">
        <f t="shared" si="17"/>
        <v>7.0839318629999983</v>
      </c>
      <c r="P43" s="239"/>
      <c r="Q43" s="238">
        <f t="shared" si="15"/>
        <v>0</v>
      </c>
      <c r="R43" s="238">
        <f t="shared" si="18"/>
        <v>7.0839318629999983</v>
      </c>
      <c r="S43" s="90"/>
      <c r="T43" s="19"/>
      <c r="U43" s="19"/>
      <c r="V43" s="19"/>
      <c r="W43" s="19"/>
      <c r="X43" s="19"/>
    </row>
    <row r="44" spans="1:24" outlineLevel="2" x14ac:dyDescent="0.2">
      <c r="A44" s="19"/>
      <c r="B44" s="19"/>
      <c r="C44" s="506" t="str">
        <f t="shared" si="16"/>
        <v>Street lighting</v>
      </c>
      <c r="D44" s="87"/>
      <c r="E44" s="58"/>
      <c r="F44" s="58"/>
      <c r="G44" s="58"/>
      <c r="H44" s="58"/>
      <c r="I44" s="238">
        <f t="shared" si="13"/>
        <v>0</v>
      </c>
      <c r="J44" s="239"/>
      <c r="K44" s="238">
        <f t="shared" si="14"/>
        <v>0</v>
      </c>
      <c r="L44" s="238">
        <f t="shared" si="14"/>
        <v>0</v>
      </c>
      <c r="M44" s="238">
        <f t="shared" si="14"/>
        <v>0</v>
      </c>
      <c r="N44" s="238">
        <f t="shared" si="14"/>
        <v>0</v>
      </c>
      <c r="O44" s="238">
        <f t="shared" si="17"/>
        <v>0</v>
      </c>
      <c r="P44" s="239"/>
      <c r="Q44" s="238">
        <f t="shared" si="15"/>
        <v>0</v>
      </c>
      <c r="R44" s="238">
        <f t="shared" si="18"/>
        <v>0</v>
      </c>
      <c r="S44" s="90"/>
      <c r="T44" s="19"/>
      <c r="U44" s="19"/>
      <c r="V44" s="19"/>
      <c r="W44" s="19"/>
      <c r="X44" s="19"/>
    </row>
    <row r="45" spans="1:24" outlineLevel="2" x14ac:dyDescent="0.2">
      <c r="A45" s="19"/>
      <c r="B45" s="19"/>
      <c r="C45" s="506" t="str">
        <f t="shared" si="16"/>
        <v>ITC</v>
      </c>
      <c r="D45" s="87"/>
      <c r="E45" s="58"/>
      <c r="F45" s="58"/>
      <c r="G45" s="58"/>
      <c r="H45" s="58"/>
      <c r="I45" s="238">
        <f t="shared" si="13"/>
        <v>10</v>
      </c>
      <c r="J45" s="239"/>
      <c r="K45" s="238">
        <f t="shared" si="14"/>
        <v>338.17577822485117</v>
      </c>
      <c r="L45" s="238">
        <f t="shared" si="14"/>
        <v>7.6518503762171344</v>
      </c>
      <c r="M45" s="238">
        <f t="shared" si="14"/>
        <v>9.626327101881559</v>
      </c>
      <c r="N45" s="238">
        <f t="shared" si="14"/>
        <v>12.699759856050218</v>
      </c>
      <c r="O45" s="238">
        <f t="shared" si="17"/>
        <v>368.15371555900003</v>
      </c>
      <c r="P45" s="239"/>
      <c r="Q45" s="238">
        <f t="shared" si="15"/>
        <v>0</v>
      </c>
      <c r="R45" s="238">
        <f t="shared" si="18"/>
        <v>368.15371555900003</v>
      </c>
      <c r="S45" s="90"/>
      <c r="T45" s="19"/>
      <c r="U45" s="19"/>
      <c r="V45" s="19"/>
      <c r="W45" s="19"/>
      <c r="X45" s="19"/>
    </row>
    <row r="46" spans="1:24" outlineLevel="2" x14ac:dyDescent="0.2">
      <c r="A46" s="19"/>
      <c r="B46" s="19"/>
      <c r="C46" s="506">
        <f t="shared" si="16"/>
        <v>0</v>
      </c>
      <c r="D46" s="87"/>
      <c r="E46" s="58"/>
      <c r="F46" s="58"/>
      <c r="G46" s="58"/>
      <c r="H46" s="58"/>
      <c r="I46" s="238">
        <f t="shared" si="13"/>
        <v>0</v>
      </c>
      <c r="J46" s="239"/>
      <c r="K46" s="238">
        <f t="shared" si="14"/>
        <v>0</v>
      </c>
      <c r="L46" s="238">
        <f t="shared" si="14"/>
        <v>0</v>
      </c>
      <c r="M46" s="238">
        <f t="shared" si="14"/>
        <v>0</v>
      </c>
      <c r="N46" s="238">
        <f t="shared" si="14"/>
        <v>0</v>
      </c>
      <c r="O46" s="238">
        <f t="shared" si="17"/>
        <v>0</v>
      </c>
      <c r="P46" s="239"/>
      <c r="Q46" s="238">
        <f t="shared" si="15"/>
        <v>0</v>
      </c>
      <c r="R46" s="238">
        <f t="shared" si="18"/>
        <v>0</v>
      </c>
      <c r="S46" s="90"/>
      <c r="T46" s="19"/>
      <c r="U46" s="19"/>
      <c r="V46" s="19"/>
      <c r="W46" s="19"/>
      <c r="X46" s="19"/>
    </row>
    <row r="47" spans="1:24" outlineLevel="2" x14ac:dyDescent="0.2">
      <c r="A47" s="19"/>
      <c r="B47" s="19"/>
      <c r="C47" s="539" t="str">
        <f>C19</f>
        <v>Total</v>
      </c>
      <c r="D47" s="87"/>
      <c r="E47" s="58"/>
      <c r="F47" s="58"/>
      <c r="G47" s="58"/>
      <c r="H47" s="58"/>
      <c r="I47" s="238">
        <f>SUM(I36:I46)</f>
        <v>546961.12876712321</v>
      </c>
      <c r="J47" s="239"/>
      <c r="K47" s="238">
        <f>SUM(K36:K46)</f>
        <v>2473.6488374998507</v>
      </c>
      <c r="L47" s="238">
        <f>SUM(L36:L46)</f>
        <v>488.9072154854029</v>
      </c>
      <c r="M47" s="238">
        <f>SUM(M36:M46)</f>
        <v>282.69516095082042</v>
      </c>
      <c r="N47" s="238">
        <f>SUM(N36:N46)</f>
        <v>619.03904918592445</v>
      </c>
      <c r="O47" s="238">
        <f>SUM(O36:O46)</f>
        <v>3864.2902631219986</v>
      </c>
      <c r="P47" s="239"/>
      <c r="Q47" s="238">
        <f>SUM(Q36:Q46)</f>
        <v>0</v>
      </c>
      <c r="R47" s="238">
        <f>SUM(R36:R46)</f>
        <v>3864.2902631219986</v>
      </c>
      <c r="S47" s="19"/>
      <c r="T47" s="19"/>
      <c r="U47" s="19"/>
      <c r="V47" s="19"/>
      <c r="W47" s="19"/>
      <c r="X47" s="19"/>
    </row>
    <row r="48" spans="1:24" outlineLevel="1" x14ac:dyDescent="0.2">
      <c r="A48" s="19"/>
      <c r="B48" s="19"/>
      <c r="C48" s="66"/>
      <c r="D48" s="58"/>
      <c r="E48" s="58"/>
      <c r="F48" s="58"/>
      <c r="G48" s="58"/>
      <c r="H48" s="58"/>
      <c r="I48" s="318"/>
      <c r="J48" s="318"/>
      <c r="K48" s="242"/>
      <c r="L48" s="242"/>
      <c r="M48" s="242"/>
      <c r="N48" s="243"/>
      <c r="O48" s="243"/>
      <c r="P48" s="243"/>
      <c r="Q48" s="243"/>
      <c r="R48" s="243"/>
      <c r="S48" s="19"/>
      <c r="T48" s="19"/>
      <c r="U48" s="19"/>
      <c r="V48" s="19"/>
      <c r="W48" s="19"/>
      <c r="X48" s="19"/>
    </row>
    <row r="49" spans="1:24" x14ac:dyDescent="0.2">
      <c r="A49" s="19"/>
      <c r="B49" s="19"/>
      <c r="C49" s="36"/>
      <c r="D49" s="20"/>
      <c r="E49" s="20"/>
      <c r="F49" s="20"/>
      <c r="G49" s="22"/>
      <c r="H49" s="22"/>
      <c r="I49" s="384"/>
      <c r="J49" s="242"/>
      <c r="K49" s="242"/>
      <c r="L49" s="242"/>
      <c r="M49" s="242"/>
      <c r="N49" s="243"/>
      <c r="O49" s="243"/>
      <c r="P49" s="243"/>
      <c r="Q49" s="243"/>
      <c r="R49" s="243"/>
      <c r="S49" s="19"/>
      <c r="T49" s="19"/>
      <c r="U49" s="19"/>
      <c r="V49" s="19"/>
      <c r="W49" s="19"/>
      <c r="X49" s="19"/>
    </row>
    <row r="50" spans="1:24" ht="12.75" x14ac:dyDescent="0.2">
      <c r="A50" s="11"/>
      <c r="B50" s="12" t="s">
        <v>694</v>
      </c>
      <c r="C50" s="11"/>
      <c r="D50" s="32" t="s">
        <v>199</v>
      </c>
      <c r="E50" s="32" t="str">
        <f>tariffid1</f>
        <v>Code</v>
      </c>
      <c r="F50" s="32" t="str">
        <f>tariffid2</f>
        <v>Trans. Node</v>
      </c>
      <c r="G50" s="33" t="str">
        <f>tariffid3</f>
        <v>Other identifier</v>
      </c>
      <c r="H50" s="33"/>
      <c r="I50" s="383" t="str">
        <f>I5</f>
        <v>Fixed</v>
      </c>
      <c r="J50" s="383">
        <f t="shared" ref="J50:R50" si="19">J5</f>
        <v>0</v>
      </c>
      <c r="K50" s="383" t="str">
        <f t="shared" si="19"/>
        <v>Anytime</v>
      </c>
      <c r="L50" s="383" t="str">
        <f t="shared" si="19"/>
        <v>Peak</v>
      </c>
      <c r="M50" s="383" t="str">
        <f t="shared" si="19"/>
        <v>Shoulder</v>
      </c>
      <c r="N50" s="383" t="str">
        <f t="shared" si="19"/>
        <v>Off-peak</v>
      </c>
      <c r="O50" s="383" t="str">
        <f t="shared" si="19"/>
        <v>Total</v>
      </c>
      <c r="P50" s="383">
        <f t="shared" si="19"/>
        <v>0</v>
      </c>
      <c r="Q50" s="383" t="str">
        <f t="shared" si="19"/>
        <v>Export</v>
      </c>
      <c r="R50" s="383" t="str">
        <f t="shared" si="19"/>
        <v>Net</v>
      </c>
      <c r="S50" s="33"/>
      <c r="T50" s="15"/>
      <c r="U50" s="15"/>
      <c r="V50" s="15"/>
      <c r="W50" s="15"/>
      <c r="X50" s="15"/>
    </row>
    <row r="51" spans="1:24" outlineLevel="1" x14ac:dyDescent="0.2">
      <c r="A51" s="19"/>
      <c r="B51" s="19"/>
      <c r="C51" s="36"/>
      <c r="D51" s="20"/>
      <c r="E51" s="20"/>
      <c r="F51" s="20"/>
      <c r="G51" s="22"/>
      <c r="H51" s="22"/>
      <c r="I51" s="384" t="str">
        <f>I6</f>
        <v>units</v>
      </c>
      <c r="J51" s="384">
        <f t="shared" ref="J51:R51" si="20">J6</f>
        <v>0</v>
      </c>
      <c r="K51" s="384" t="str">
        <f t="shared" si="20"/>
        <v>GWh</v>
      </c>
      <c r="L51" s="384" t="str">
        <f t="shared" si="20"/>
        <v>GWh</v>
      </c>
      <c r="M51" s="384" t="str">
        <f t="shared" si="20"/>
        <v>GWh</v>
      </c>
      <c r="N51" s="384" t="str">
        <f t="shared" si="20"/>
        <v>GWh</v>
      </c>
      <c r="O51" s="384" t="str">
        <f t="shared" si="20"/>
        <v>GWh</v>
      </c>
      <c r="P51" s="384">
        <f t="shared" si="20"/>
        <v>0</v>
      </c>
      <c r="Q51" s="384" t="str">
        <f t="shared" si="20"/>
        <v>GWh</v>
      </c>
      <c r="R51" s="384" t="str">
        <f t="shared" si="20"/>
        <v>GWh</v>
      </c>
      <c r="S51" s="22"/>
      <c r="T51" s="19"/>
      <c r="U51" s="19"/>
      <c r="V51" s="19"/>
      <c r="W51" s="19"/>
      <c r="X51" s="19"/>
    </row>
    <row r="52" spans="1:24" outlineLevel="1" x14ac:dyDescent="0.2">
      <c r="A52" s="19"/>
      <c r="B52" s="19"/>
      <c r="C52" s="167" t="str">
        <f>"Forecast "&amp;forecastyear</f>
        <v>Forecast 2022–23</v>
      </c>
      <c r="D52" s="20"/>
      <c r="E52" s="20"/>
      <c r="F52" s="20"/>
      <c r="G52" s="22"/>
      <c r="H52" s="22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22"/>
      <c r="T52" s="19"/>
      <c r="U52" s="19"/>
      <c r="V52" s="19"/>
      <c r="W52" s="19"/>
      <c r="X52" s="19"/>
    </row>
    <row r="53" spans="1:24" outlineLevel="2" x14ac:dyDescent="0.2">
      <c r="A53" s="19"/>
      <c r="B53" s="19"/>
      <c r="C53" s="506" t="str">
        <f>Qty!C8</f>
        <v>Residential time of use consumption</v>
      </c>
      <c r="D53" s="505" t="str">
        <f>Qty!D8</f>
        <v>Residential</v>
      </c>
      <c r="E53" s="505" t="str">
        <f>Qty!E8</f>
        <v>TAS93</v>
      </c>
      <c r="F53" s="505">
        <f>Qty!F8</f>
        <v>0</v>
      </c>
      <c r="G53" s="505">
        <f>Qty!G8</f>
        <v>0</v>
      </c>
      <c r="H53" s="22"/>
      <c r="I53" s="238">
        <f>Qty!M8</f>
        <v>60833</v>
      </c>
      <c r="J53" s="239"/>
      <c r="K53" s="238">
        <f>SUMIF(Qty!$M$7:$AF$7,K$50,Qty!$M8:$AF8)*consmultiplier</f>
        <v>0</v>
      </c>
      <c r="L53" s="238">
        <f>SUMIF(Qty!$M$7:$AF$7,L$50,Qty!$M8:$AF8)*consmultiplier</f>
        <v>148.78182980789072</v>
      </c>
      <c r="M53" s="238">
        <f>SUMIF(Qty!$M$7:$AF$7,M$50,Qty!$M8:$AF8)*consmultiplier</f>
        <v>0</v>
      </c>
      <c r="N53" s="238">
        <f>SUMIF(Qty!$M$7:$AF$7,N$50,Qty!$M8:$AF8)*consmultiplier</f>
        <v>336.8297241284788</v>
      </c>
      <c r="O53" s="238">
        <f>SUM(K53:N53)</f>
        <v>485.61155393636955</v>
      </c>
      <c r="P53" s="239"/>
      <c r="Q53" s="238">
        <f>SUMIF(Qty!$M$7:$AF$7,Q$50,Qty!$M8:$AF8)*consmultiplier</f>
        <v>0</v>
      </c>
      <c r="R53" s="238">
        <f>O53-Q53</f>
        <v>485.61155393636955</v>
      </c>
      <c r="S53" s="89"/>
      <c r="T53" s="19"/>
      <c r="U53" s="19"/>
      <c r="V53" s="19"/>
      <c r="W53" s="19"/>
      <c r="X53" s="19"/>
    </row>
    <row r="54" spans="1:24" s="59" customFormat="1" outlineLevel="2" x14ac:dyDescent="0.2">
      <c r="A54" s="57"/>
      <c r="B54" s="57"/>
      <c r="C54" s="506" t="str">
        <f>Qty!C9</f>
        <v>Residential general light and power</v>
      </c>
      <c r="D54" s="505" t="str">
        <f>Qty!D9</f>
        <v>Residential</v>
      </c>
      <c r="E54" s="505" t="str">
        <f>Qty!E9</f>
        <v>TAS31</v>
      </c>
      <c r="F54" s="505">
        <f>Qty!F9</f>
        <v>0</v>
      </c>
      <c r="G54" s="505">
        <f>Qty!G9</f>
        <v>0</v>
      </c>
      <c r="H54" s="58"/>
      <c r="I54" s="238">
        <f>Qty!M9</f>
        <v>206984</v>
      </c>
      <c r="J54" s="239"/>
      <c r="K54" s="238">
        <f>SUMIF(Qty!$M$7:$AF$7,K$50,Qty!$M9:$AF9)*consmultiplier</f>
        <v>727.49371714551205</v>
      </c>
      <c r="L54" s="238">
        <f>SUMIF(Qty!$M$7:$AF$7,L$50,Qty!$M9:$AF9)*consmultiplier</f>
        <v>0</v>
      </c>
      <c r="M54" s="238">
        <f>SUMIF(Qty!$M$7:$AF$7,M$50,Qty!$M9:$AF9)*consmultiplier</f>
        <v>0</v>
      </c>
      <c r="N54" s="238">
        <f>SUMIF(Qty!$M$7:$AF$7,N$50,Qty!$M9:$AF9)*consmultiplier</f>
        <v>0</v>
      </c>
      <c r="O54" s="238">
        <f t="shared" ref="O54:O117" si="21">SUM(K54:N54)</f>
        <v>727.49371714551205</v>
      </c>
      <c r="P54" s="239"/>
      <c r="Q54" s="238">
        <f>SUMIF(Qty!$M$7:$AF$7,Q$50,Qty!$M9:$AF9)*consmultiplier</f>
        <v>0</v>
      </c>
      <c r="R54" s="238">
        <f t="shared" ref="R54:R117" si="22">O54-Q54</f>
        <v>727.49371714551205</v>
      </c>
      <c r="S54" s="90"/>
      <c r="T54" s="57"/>
      <c r="U54" s="57"/>
      <c r="V54" s="57"/>
      <c r="W54" s="57"/>
      <c r="X54" s="57"/>
    </row>
    <row r="55" spans="1:24" outlineLevel="2" x14ac:dyDescent="0.2">
      <c r="A55" s="19"/>
      <c r="B55" s="19"/>
      <c r="C55" s="506" t="str">
        <f>Qty!C10</f>
        <v>Residential time of use demand</v>
      </c>
      <c r="D55" s="505" t="str">
        <f>Qty!D10</f>
        <v>Residential</v>
      </c>
      <c r="E55" s="505" t="str">
        <f>Qty!E10</f>
        <v>TAS87</v>
      </c>
      <c r="F55" s="505">
        <f>Qty!F10</f>
        <v>0</v>
      </c>
      <c r="G55" s="505">
        <f>Qty!G10</f>
        <v>0</v>
      </c>
      <c r="H55" s="58"/>
      <c r="I55" s="238">
        <f>Qty!M10</f>
        <v>0</v>
      </c>
      <c r="J55" s="239"/>
      <c r="K55" s="238">
        <f>SUMIF(Qty!$M$7:$AF$7,K$50,Qty!$M10:$AF10)*consmultiplier</f>
        <v>0</v>
      </c>
      <c r="L55" s="238">
        <f>SUMIF(Qty!$M$7:$AF$7,L$50,Qty!$M10:$AF10)*consmultiplier</f>
        <v>0</v>
      </c>
      <c r="M55" s="238">
        <f>SUMIF(Qty!$M$7:$AF$7,M$50,Qty!$M10:$AF10)*consmultiplier</f>
        <v>0</v>
      </c>
      <c r="N55" s="238">
        <f>SUMIF(Qty!$M$7:$AF$7,N$50,Qty!$M10:$AF10)*consmultiplier</f>
        <v>0</v>
      </c>
      <c r="O55" s="238">
        <f t="shared" si="21"/>
        <v>0</v>
      </c>
      <c r="P55" s="239"/>
      <c r="Q55" s="238">
        <f>SUMIF(Qty!$M$7:$AF$7,Q$50,Qty!$M10:$AF10)*consmultiplier</f>
        <v>0</v>
      </c>
      <c r="R55" s="238">
        <f t="shared" si="22"/>
        <v>0</v>
      </c>
      <c r="S55" s="90"/>
      <c r="T55" s="19"/>
      <c r="U55" s="19"/>
      <c r="V55" s="19"/>
      <c r="W55" s="19"/>
      <c r="X55" s="19"/>
    </row>
    <row r="56" spans="1:24" outlineLevel="2" x14ac:dyDescent="0.2">
      <c r="A56" s="19"/>
      <c r="B56" s="19"/>
      <c r="C56" s="506" t="str">
        <f>Qty!C11</f>
        <v>Residential time of use demand DER</v>
      </c>
      <c r="D56" s="505" t="str">
        <f>Qty!D11</f>
        <v>Residential</v>
      </c>
      <c r="E56" s="505" t="str">
        <f>Qty!E11</f>
        <v>TAS97</v>
      </c>
      <c r="F56" s="505">
        <f>Qty!F11</f>
        <v>0</v>
      </c>
      <c r="G56" s="505">
        <f>Qty!G11</f>
        <v>0</v>
      </c>
      <c r="H56" s="58"/>
      <c r="I56" s="238">
        <f>Qty!M11</f>
        <v>0</v>
      </c>
      <c r="J56" s="239"/>
      <c r="K56" s="238">
        <f>SUMIF(Qty!$M$7:$AF$7,K$50,Qty!$M11:$AF11)*consmultiplier</f>
        <v>0</v>
      </c>
      <c r="L56" s="238">
        <f>SUMIF(Qty!$M$7:$AF$7,L$50,Qty!$M11:$AF11)*consmultiplier</f>
        <v>0</v>
      </c>
      <c r="M56" s="238">
        <f>SUMIF(Qty!$M$7:$AF$7,M$50,Qty!$M11:$AF11)*consmultiplier</f>
        <v>0</v>
      </c>
      <c r="N56" s="238">
        <f>SUMIF(Qty!$M$7:$AF$7,N$50,Qty!$M11:$AF11)*consmultiplier</f>
        <v>0</v>
      </c>
      <c r="O56" s="238">
        <f t="shared" si="21"/>
        <v>0</v>
      </c>
      <c r="P56" s="239"/>
      <c r="Q56" s="238">
        <f>SUMIF(Qty!$M$7:$AF$7,Q$50,Qty!$M11:$AF11)*consmultiplier</f>
        <v>0</v>
      </c>
      <c r="R56" s="238">
        <f t="shared" si="22"/>
        <v>0</v>
      </c>
      <c r="S56" s="90"/>
      <c r="T56" s="19"/>
      <c r="U56" s="19"/>
      <c r="V56" s="19"/>
      <c r="W56" s="19"/>
      <c r="X56" s="19"/>
    </row>
    <row r="57" spans="1:24" outlineLevel="2" x14ac:dyDescent="0.2">
      <c r="A57" s="19"/>
      <c r="B57" s="19"/>
      <c r="C57" s="506" t="str">
        <f>Qty!C12</f>
        <v>Residential pay as you go</v>
      </c>
      <c r="D57" s="505" t="str">
        <f>Qty!D12</f>
        <v>Residential</v>
      </c>
      <c r="E57" s="505" t="str">
        <f>Qty!E12</f>
        <v>TAS101</v>
      </c>
      <c r="F57" s="505">
        <f>Qty!F12</f>
        <v>0</v>
      </c>
      <c r="G57" s="505">
        <f>Qty!G12</f>
        <v>0</v>
      </c>
      <c r="H57" s="58"/>
      <c r="I57" s="238">
        <f>Qty!M12</f>
        <v>0</v>
      </c>
      <c r="J57" s="239"/>
      <c r="K57" s="238">
        <f>SUMIF(Qty!$M$7:$AF$7,K$50,Qty!$M12:$AF12)*consmultiplier</f>
        <v>0</v>
      </c>
      <c r="L57" s="238">
        <f>SUMIF(Qty!$M$7:$AF$7,L$50,Qty!$M12:$AF12)*consmultiplier</f>
        <v>0</v>
      </c>
      <c r="M57" s="238">
        <f>SUMIF(Qty!$M$7:$AF$7,M$50,Qty!$M12:$AF12)*consmultiplier</f>
        <v>0</v>
      </c>
      <c r="N57" s="238">
        <f>SUMIF(Qty!$M$7:$AF$7,N$50,Qty!$M12:$AF12)*consmultiplier</f>
        <v>0</v>
      </c>
      <c r="O57" s="238">
        <f t="shared" si="21"/>
        <v>0</v>
      </c>
      <c r="P57" s="239"/>
      <c r="Q57" s="238">
        <f>SUMIF(Qty!$M$7:$AF$7,Q$50,Qty!$M12:$AF12)*consmultiplier</f>
        <v>0</v>
      </c>
      <c r="R57" s="238">
        <f t="shared" si="22"/>
        <v>0</v>
      </c>
      <c r="S57" s="90"/>
      <c r="T57" s="19"/>
      <c r="U57" s="19"/>
      <c r="V57" s="19"/>
      <c r="W57" s="19"/>
      <c r="X57" s="19"/>
    </row>
    <row r="58" spans="1:24" outlineLevel="2" x14ac:dyDescent="0.2">
      <c r="A58" s="19"/>
      <c r="B58" s="19"/>
      <c r="C58" s="506" t="str">
        <f>Qty!C13</f>
        <v>Residential pay as you go time of use</v>
      </c>
      <c r="D58" s="505" t="str">
        <f>Qty!D13</f>
        <v>Residential</v>
      </c>
      <c r="E58" s="505" t="str">
        <f>Qty!E13</f>
        <v>TAS92</v>
      </c>
      <c r="F58" s="505">
        <f>Qty!F13</f>
        <v>0</v>
      </c>
      <c r="G58" s="505">
        <f>Qty!G13</f>
        <v>0</v>
      </c>
      <c r="H58" s="58"/>
      <c r="I58" s="238">
        <f>Qty!M13</f>
        <v>0</v>
      </c>
      <c r="J58" s="239"/>
      <c r="K58" s="238">
        <f>SUMIF(Qty!$M$7:$AF$7,K$50,Qty!$M13:$AF13)*consmultiplier</f>
        <v>0</v>
      </c>
      <c r="L58" s="238">
        <f>SUMIF(Qty!$M$7:$AF$7,L$50,Qty!$M13:$AF13)*consmultiplier</f>
        <v>0</v>
      </c>
      <c r="M58" s="238">
        <f>SUMIF(Qty!$M$7:$AF$7,M$50,Qty!$M13:$AF13)*consmultiplier</f>
        <v>0</v>
      </c>
      <c r="N58" s="238">
        <f>SUMIF(Qty!$M$7:$AF$7,N$50,Qty!$M13:$AF13)*consmultiplier</f>
        <v>0</v>
      </c>
      <c r="O58" s="238">
        <f t="shared" si="21"/>
        <v>0</v>
      </c>
      <c r="P58" s="239"/>
      <c r="Q58" s="238">
        <f>SUMIF(Qty!$M$7:$AF$7,Q$50,Qty!$M13:$AF13)*consmultiplier</f>
        <v>0</v>
      </c>
      <c r="R58" s="238">
        <f t="shared" si="22"/>
        <v>0</v>
      </c>
      <c r="S58" s="90"/>
      <c r="T58" s="19"/>
      <c r="U58" s="19"/>
      <c r="V58" s="19"/>
      <c r="W58" s="19"/>
      <c r="X58" s="19"/>
    </row>
    <row r="59" spans="1:24" outlineLevel="2" x14ac:dyDescent="0.2">
      <c r="A59" s="19"/>
      <c r="B59" s="19"/>
      <c r="C59" s="506" t="str">
        <f>Qty!C14</f>
        <v>Small business time of use consumption</v>
      </c>
      <c r="D59" s="505" t="str">
        <f>Qty!D14</f>
        <v>Small Business LV</v>
      </c>
      <c r="E59" s="505" t="str">
        <f>Qty!E14</f>
        <v>TAS94</v>
      </c>
      <c r="F59" s="505">
        <f>Qty!F14</f>
        <v>0</v>
      </c>
      <c r="G59" s="505">
        <f>Qty!G14</f>
        <v>0</v>
      </c>
      <c r="H59" s="58"/>
      <c r="I59" s="238">
        <f>Qty!M14</f>
        <v>8737</v>
      </c>
      <c r="J59" s="239"/>
      <c r="K59" s="238">
        <f>SUMIF(Qty!$M$7:$AF$7,K$50,Qty!$M14:$AF14)*consmultiplier</f>
        <v>0</v>
      </c>
      <c r="L59" s="238">
        <f>SUMIF(Qty!$M$7:$AF$7,L$50,Qty!$M14:$AF14)*consmultiplier</f>
        <v>286.59643670551742</v>
      </c>
      <c r="M59" s="238">
        <f>SUMIF(Qty!$M$7:$AF$7,M$50,Qty!$M14:$AF14)*consmultiplier</f>
        <v>71.918373024062177</v>
      </c>
      <c r="N59" s="238">
        <f>SUMIF(Qty!$M$7:$AF$7,N$50,Qty!$M14:$AF14)*consmultiplier</f>
        <v>141.47022822594363</v>
      </c>
      <c r="O59" s="238">
        <f t="shared" si="21"/>
        <v>499.98503795552324</v>
      </c>
      <c r="P59" s="239"/>
      <c r="Q59" s="238">
        <f>SUMIF(Qty!$M$7:$AF$7,Q$50,Qty!$M14:$AF14)*consmultiplier</f>
        <v>0</v>
      </c>
      <c r="R59" s="238">
        <f t="shared" si="22"/>
        <v>499.98503795552324</v>
      </c>
      <c r="S59" s="90"/>
      <c r="T59" s="19"/>
      <c r="U59" s="19"/>
      <c r="V59" s="19"/>
      <c r="W59" s="19"/>
      <c r="X59" s="19"/>
    </row>
    <row r="60" spans="1:24" outlineLevel="2" x14ac:dyDescent="0.2">
      <c r="A60" s="19"/>
      <c r="B60" s="19"/>
      <c r="C60" s="506" t="str">
        <f>Qty!C15</f>
        <v>Small business general light and power</v>
      </c>
      <c r="D60" s="505" t="str">
        <f>Qty!D15</f>
        <v>Small Business LV</v>
      </c>
      <c r="E60" s="505" t="str">
        <f>Qty!E15</f>
        <v>TAS22</v>
      </c>
      <c r="F60" s="505">
        <f>Qty!F15</f>
        <v>0</v>
      </c>
      <c r="G60" s="505">
        <f>Qty!G15</f>
        <v>0</v>
      </c>
      <c r="H60" s="58"/>
      <c r="I60" s="238">
        <f>Qty!M15</f>
        <v>26491</v>
      </c>
      <c r="J60" s="239"/>
      <c r="K60" s="238">
        <f>SUMIF(Qty!$M$7:$AF$7,K$50,Qty!$M15:$AF15)*consmultiplier</f>
        <v>239.84683015575621</v>
      </c>
      <c r="L60" s="238">
        <f>SUMIF(Qty!$M$7:$AF$7,L$50,Qty!$M15:$AF15)*consmultiplier</f>
        <v>0</v>
      </c>
      <c r="M60" s="238">
        <f>SUMIF(Qty!$M$7:$AF$7,M$50,Qty!$M15:$AF15)*consmultiplier</f>
        <v>0</v>
      </c>
      <c r="N60" s="238">
        <f>SUMIF(Qty!$M$7:$AF$7,N$50,Qty!$M15:$AF15)*consmultiplier</f>
        <v>0</v>
      </c>
      <c r="O60" s="238">
        <f t="shared" si="21"/>
        <v>239.84683015575621</v>
      </c>
      <c r="P60" s="239"/>
      <c r="Q60" s="238">
        <f>SUMIF(Qty!$M$7:$AF$7,Q$50,Qty!$M15:$AF15)*consmultiplier</f>
        <v>0</v>
      </c>
      <c r="R60" s="238">
        <f t="shared" si="22"/>
        <v>239.84683015575621</v>
      </c>
      <c r="S60" s="90"/>
      <c r="T60" s="19"/>
      <c r="U60" s="19"/>
      <c r="V60" s="19"/>
      <c r="W60" s="19"/>
      <c r="X60" s="19"/>
    </row>
    <row r="61" spans="1:24" outlineLevel="2" x14ac:dyDescent="0.2">
      <c r="A61" s="19"/>
      <c r="B61" s="19"/>
      <c r="C61" s="506" t="str">
        <f>Qty!C16</f>
        <v>Small business time of use demand</v>
      </c>
      <c r="D61" s="505" t="str">
        <f>Qty!D16</f>
        <v>Small Business LV</v>
      </c>
      <c r="E61" s="505" t="str">
        <f>Qty!E16</f>
        <v>TAS88</v>
      </c>
      <c r="F61" s="505">
        <f>Qty!F16</f>
        <v>0</v>
      </c>
      <c r="G61" s="505">
        <f>Qty!G16</f>
        <v>0</v>
      </c>
      <c r="H61" s="58"/>
      <c r="I61" s="238">
        <f>Qty!M16</f>
        <v>959</v>
      </c>
      <c r="J61" s="239"/>
      <c r="K61" s="238">
        <f>SUMIF(Qty!$M$7:$AF$7,K$50,Qty!$M16:$AF16)*consmultiplier</f>
        <v>156.73807142478734</v>
      </c>
      <c r="L61" s="238">
        <f>SUMIF(Qty!$M$7:$AF$7,L$50,Qty!$M16:$AF16)*consmultiplier</f>
        <v>0</v>
      </c>
      <c r="M61" s="238">
        <f>SUMIF(Qty!$M$7:$AF$7,M$50,Qty!$M16:$AF16)*consmultiplier</f>
        <v>0</v>
      </c>
      <c r="N61" s="238">
        <f>SUMIF(Qty!$M$7:$AF$7,N$50,Qty!$M16:$AF16)*consmultiplier</f>
        <v>0</v>
      </c>
      <c r="O61" s="238">
        <f t="shared" si="21"/>
        <v>156.73807142478734</v>
      </c>
      <c r="P61" s="239"/>
      <c r="Q61" s="238">
        <f>SUMIF(Qty!$M$7:$AF$7,Q$50,Qty!$M16:$AF16)*consmultiplier</f>
        <v>0</v>
      </c>
      <c r="R61" s="238">
        <f t="shared" si="22"/>
        <v>156.73807142478734</v>
      </c>
      <c r="S61" s="90"/>
      <c r="T61" s="19"/>
      <c r="U61" s="19"/>
      <c r="V61" s="19"/>
      <c r="W61" s="19"/>
      <c r="X61" s="19"/>
    </row>
    <row r="62" spans="1:24" outlineLevel="2" x14ac:dyDescent="0.2">
      <c r="A62" s="19"/>
      <c r="B62" s="19"/>
      <c r="C62" s="506" t="str">
        <f>Qty!C17</f>
        <v>Small business time of use demand DER</v>
      </c>
      <c r="D62" s="505" t="str">
        <f>Qty!D17</f>
        <v>Small Business LV</v>
      </c>
      <c r="E62" s="505" t="str">
        <f>Qty!E17</f>
        <v>TAS98</v>
      </c>
      <c r="F62" s="505">
        <f>Qty!F17</f>
        <v>0</v>
      </c>
      <c r="G62" s="505">
        <f>Qty!G17</f>
        <v>0</v>
      </c>
      <c r="H62" s="58"/>
      <c r="I62" s="238">
        <f>Qty!M17</f>
        <v>94</v>
      </c>
      <c r="J62" s="239"/>
      <c r="K62" s="238">
        <f>SUMIF(Qty!$M$7:$AF$7,K$50,Qty!$M17:$AF17)*consmultiplier</f>
        <v>24.893775233081339</v>
      </c>
      <c r="L62" s="238">
        <f>SUMIF(Qty!$M$7:$AF$7,L$50,Qty!$M17:$AF17)*consmultiplier</f>
        <v>0</v>
      </c>
      <c r="M62" s="238">
        <f>SUMIF(Qty!$M$7:$AF$7,M$50,Qty!$M17:$AF17)*consmultiplier</f>
        <v>0</v>
      </c>
      <c r="N62" s="238">
        <f>SUMIF(Qty!$M$7:$AF$7,N$50,Qty!$M17:$AF17)*consmultiplier</f>
        <v>0</v>
      </c>
      <c r="O62" s="238">
        <f t="shared" si="21"/>
        <v>24.893775233081339</v>
      </c>
      <c r="P62" s="239"/>
      <c r="Q62" s="238">
        <f>SUMIF(Qty!$M$7:$AF$7,Q$50,Qty!$M17:$AF17)*consmultiplier</f>
        <v>0</v>
      </c>
      <c r="R62" s="238">
        <f t="shared" si="22"/>
        <v>24.893775233081339</v>
      </c>
      <c r="S62" s="90"/>
      <c r="T62" s="19"/>
      <c r="U62" s="19"/>
      <c r="V62" s="19"/>
      <c r="W62" s="19"/>
      <c r="X62" s="19"/>
    </row>
    <row r="63" spans="1:24" outlineLevel="2" x14ac:dyDescent="0.2">
      <c r="A63" s="19"/>
      <c r="B63" s="19"/>
      <c r="C63" s="506" t="str">
        <f>Qty!C18</f>
        <v>Large business kVA demand</v>
      </c>
      <c r="D63" s="505" t="str">
        <f>Qty!D18</f>
        <v>Large Business LV</v>
      </c>
      <c r="E63" s="505" t="str">
        <f>Qty!E18</f>
        <v>TAS82</v>
      </c>
      <c r="F63" s="505">
        <f>Qty!F18</f>
        <v>0</v>
      </c>
      <c r="G63" s="505">
        <f>Qty!G18</f>
        <v>0</v>
      </c>
      <c r="H63" s="58"/>
      <c r="I63" s="238">
        <f>Qty!M18</f>
        <v>525</v>
      </c>
      <c r="J63" s="239"/>
      <c r="K63" s="238">
        <f>SUMIF(Qty!$M$7:$AF$7,K$50,Qty!$M18:$AF18)*consmultiplier</f>
        <v>199.68049676817563</v>
      </c>
      <c r="L63" s="238">
        <f>SUMIF(Qty!$M$7:$AF$7,L$50,Qty!$M18:$AF18)*consmultiplier</f>
        <v>0</v>
      </c>
      <c r="M63" s="238">
        <f>SUMIF(Qty!$M$7:$AF$7,M$50,Qty!$M18:$AF18)*consmultiplier</f>
        <v>0</v>
      </c>
      <c r="N63" s="238">
        <f>SUMIF(Qty!$M$7:$AF$7,N$50,Qty!$M18:$AF18)*consmultiplier</f>
        <v>0</v>
      </c>
      <c r="O63" s="238">
        <f t="shared" si="21"/>
        <v>199.68049676817563</v>
      </c>
      <c r="P63" s="239"/>
      <c r="Q63" s="238">
        <f>SUMIF(Qty!$M$7:$AF$7,Q$50,Qty!$M18:$AF18)*consmultiplier</f>
        <v>0</v>
      </c>
      <c r="R63" s="238">
        <f t="shared" si="22"/>
        <v>199.68049676817563</v>
      </c>
      <c r="S63" s="90"/>
      <c r="T63" s="19"/>
      <c r="U63" s="19"/>
      <c r="V63" s="19"/>
      <c r="W63" s="19"/>
      <c r="X63" s="19"/>
    </row>
    <row r="64" spans="1:24" outlineLevel="2" x14ac:dyDescent="0.2">
      <c r="A64" s="19"/>
      <c r="B64" s="19"/>
      <c r="C64" s="506" t="str">
        <f>Qty!C19</f>
        <v>Large business time of use demand</v>
      </c>
      <c r="D64" s="505" t="str">
        <f>Qty!D19</f>
        <v>Large Business LV</v>
      </c>
      <c r="E64" s="505" t="str">
        <f>Qty!E19</f>
        <v>TAS89</v>
      </c>
      <c r="F64" s="505">
        <f>Qty!F19</f>
        <v>0</v>
      </c>
      <c r="G64" s="505">
        <f>Qty!G19</f>
        <v>0</v>
      </c>
      <c r="H64" s="58"/>
      <c r="I64" s="238">
        <f>Qty!M19</f>
        <v>220</v>
      </c>
      <c r="J64" s="239"/>
      <c r="K64" s="238">
        <f>SUMIF(Qty!$M$7:$AF$7,K$50,Qty!$M19:$AF19)*consmultiplier</f>
        <v>246.98525900852562</v>
      </c>
      <c r="L64" s="238">
        <f>SUMIF(Qty!$M$7:$AF$7,L$50,Qty!$M19:$AF19)*consmultiplier</f>
        <v>0</v>
      </c>
      <c r="M64" s="238">
        <f>SUMIF(Qty!$M$7:$AF$7,M$50,Qty!$M19:$AF19)*consmultiplier</f>
        <v>0</v>
      </c>
      <c r="N64" s="238">
        <f>SUMIF(Qty!$M$7:$AF$7,N$50,Qty!$M19:$AF19)*consmultiplier</f>
        <v>0</v>
      </c>
      <c r="O64" s="238">
        <f t="shared" si="21"/>
        <v>246.98525900852562</v>
      </c>
      <c r="P64" s="239"/>
      <c r="Q64" s="238">
        <f>SUMIF(Qty!$M$7:$AF$7,Q$50,Qty!$M19:$AF19)*consmultiplier</f>
        <v>0</v>
      </c>
      <c r="R64" s="238">
        <f t="shared" si="22"/>
        <v>246.98525900852562</v>
      </c>
      <c r="S64" s="90"/>
      <c r="T64" s="19"/>
      <c r="U64" s="19"/>
      <c r="V64" s="19"/>
      <c r="W64" s="19"/>
      <c r="X64" s="19"/>
    </row>
    <row r="65" spans="1:24" outlineLevel="2" x14ac:dyDescent="0.2">
      <c r="A65" s="19"/>
      <c r="B65" s="19"/>
      <c r="C65" s="506" t="str">
        <f>Qty!C20</f>
        <v>Irrigation time of use consumption</v>
      </c>
      <c r="D65" s="505" t="str">
        <f>Qty!D20</f>
        <v>Irrigation</v>
      </c>
      <c r="E65" s="505" t="str">
        <f>Qty!E20</f>
        <v>TAS75</v>
      </c>
      <c r="F65" s="505">
        <f>Qty!F20</f>
        <v>0</v>
      </c>
      <c r="G65" s="505">
        <f>Qty!G20</f>
        <v>0</v>
      </c>
      <c r="H65" s="58"/>
      <c r="I65" s="238">
        <f>Qty!M20</f>
        <v>4034</v>
      </c>
      <c r="J65" s="239"/>
      <c r="K65" s="238">
        <f>SUMIF(Qty!$M$7:$AF$7,K$50,Qty!$M20:$AF20)*consmultiplier</f>
        <v>0</v>
      </c>
      <c r="L65" s="238">
        <f>SUMIF(Qty!$M$7:$AF$7,L$50,Qty!$M20:$AF20)*consmultiplier</f>
        <v>8.598232082430739</v>
      </c>
      <c r="M65" s="238">
        <f>SUMIF(Qty!$M$7:$AF$7,M$50,Qty!$M20:$AF20)*consmultiplier</f>
        <v>55.44367773508241</v>
      </c>
      <c r="N65" s="238">
        <f>SUMIF(Qty!$M$7:$AF$7,N$50,Qty!$M20:$AF20)*consmultiplier</f>
        <v>89.494832798114132</v>
      </c>
      <c r="O65" s="238">
        <f t="shared" si="21"/>
        <v>153.53674261562728</v>
      </c>
      <c r="P65" s="239"/>
      <c r="Q65" s="238">
        <f>SUMIF(Qty!$M$7:$AF$7,Q$50,Qty!$M20:$AF20)*consmultiplier</f>
        <v>0</v>
      </c>
      <c r="R65" s="238">
        <f t="shared" si="22"/>
        <v>153.53674261562728</v>
      </c>
      <c r="S65" s="90"/>
      <c r="T65" s="19"/>
      <c r="U65" s="19"/>
      <c r="V65" s="19"/>
      <c r="W65" s="19"/>
      <c r="X65" s="19"/>
    </row>
    <row r="66" spans="1:24" outlineLevel="2" x14ac:dyDescent="0.2">
      <c r="A66" s="19"/>
      <c r="B66" s="19"/>
      <c r="C66" s="506" t="str">
        <f>Qty!C21</f>
        <v>Business HV kVA specified demand &lt;2MVA</v>
      </c>
      <c r="D66" s="505" t="str">
        <f>Qty!D21</f>
        <v>Large Business HV</v>
      </c>
      <c r="E66" s="505" t="str">
        <f>Qty!E21</f>
        <v>TASSDM</v>
      </c>
      <c r="F66" s="505">
        <f>Qty!F21</f>
        <v>0</v>
      </c>
      <c r="G66" s="505">
        <f>Qty!G21</f>
        <v>0</v>
      </c>
      <c r="H66" s="58"/>
      <c r="I66" s="238">
        <f>Qty!M21</f>
        <v>109</v>
      </c>
      <c r="J66" s="239"/>
      <c r="K66" s="238">
        <f>SUMIF(Qty!$M$7:$AF$7,K$50,Qty!$M21:$AF21)*consmultiplier</f>
        <v>0</v>
      </c>
      <c r="L66" s="238">
        <f>SUMIF(Qty!$M$7:$AF$7,L$50,Qty!$M21:$AF21)*consmultiplier</f>
        <v>84.373013619930745</v>
      </c>
      <c r="M66" s="238">
        <f>SUMIF(Qty!$M$7:$AF$7,M$50,Qty!$M21:$AF21)*consmultiplier</f>
        <v>102.51850819356434</v>
      </c>
      <c r="N66" s="238">
        <f>SUMIF(Qty!$M$7:$AF$7,N$50,Qty!$M21:$AF21)*consmultiplier</f>
        <v>126.92972872368108</v>
      </c>
      <c r="O66" s="238">
        <f t="shared" si="21"/>
        <v>313.82125053717618</v>
      </c>
      <c r="P66" s="239"/>
      <c r="Q66" s="238">
        <f>SUMIF(Qty!$M$7:$AF$7,Q$50,Qty!$M21:$AF21)*consmultiplier</f>
        <v>0</v>
      </c>
      <c r="R66" s="238">
        <f t="shared" si="22"/>
        <v>313.82125053717618</v>
      </c>
      <c r="S66" s="90"/>
      <c r="T66" s="19"/>
      <c r="U66" s="19"/>
      <c r="V66" s="19"/>
      <c r="W66" s="19"/>
      <c r="X66" s="19"/>
    </row>
    <row r="67" spans="1:24" outlineLevel="2" x14ac:dyDescent="0.2">
      <c r="A67" s="19"/>
      <c r="B67" s="19"/>
      <c r="C67" s="506" t="str">
        <f>Qty!C22</f>
        <v>Business HV kVA specified demand &gt;2MVA</v>
      </c>
      <c r="D67" s="505" t="str">
        <f>Qty!D22</f>
        <v>Large Business HV</v>
      </c>
      <c r="E67" s="505" t="str">
        <f>Qty!E22</f>
        <v>TAS15*</v>
      </c>
      <c r="F67" s="505">
        <f>Qty!F22</f>
        <v>0</v>
      </c>
      <c r="G67" s="505">
        <f>Qty!G22</f>
        <v>0</v>
      </c>
      <c r="H67" s="58"/>
      <c r="I67" s="238">
        <f>Qty!M22</f>
        <v>0</v>
      </c>
      <c r="J67" s="239"/>
      <c r="K67" s="238">
        <f>SUMIF(Qty!$M$7:$AF$7,K$50,Qty!$M22:$AF22)*consmultiplier</f>
        <v>0</v>
      </c>
      <c r="L67" s="238">
        <f>SUMIF(Qty!$M$7:$AF$7,L$50,Qty!$M22:$AF22)*consmultiplier</f>
        <v>0</v>
      </c>
      <c r="M67" s="238">
        <f>SUMIF(Qty!$M$7:$AF$7,M$50,Qty!$M22:$AF22)*consmultiplier</f>
        <v>0</v>
      </c>
      <c r="N67" s="238">
        <f>SUMIF(Qty!$M$7:$AF$7,N$50,Qty!$M22:$AF22)*consmultiplier</f>
        <v>0</v>
      </c>
      <c r="O67" s="238">
        <f t="shared" si="21"/>
        <v>0</v>
      </c>
      <c r="P67" s="239"/>
      <c r="Q67" s="238">
        <f>SUMIF(Qty!$M$7:$AF$7,Q$50,Qty!$M22:$AF22)*consmultiplier</f>
        <v>0</v>
      </c>
      <c r="R67" s="238">
        <f t="shared" si="22"/>
        <v>0</v>
      </c>
      <c r="S67" s="90"/>
      <c r="T67" s="19"/>
      <c r="U67" s="19"/>
      <c r="V67" s="19"/>
      <c r="W67" s="19"/>
      <c r="X67" s="19"/>
    </row>
    <row r="68" spans="1:24" outlineLevel="2" x14ac:dyDescent="0.2">
      <c r="A68" s="19"/>
      <c r="B68" s="19"/>
      <c r="C68" s="506" t="str">
        <f>Qty!C23</f>
        <v>Uncontrolled low voltage heating and hot water</v>
      </c>
      <c r="D68" s="505" t="str">
        <f>Qty!D23</f>
        <v>Uncontrolled energy</v>
      </c>
      <c r="E68" s="505" t="str">
        <f>Qty!E23</f>
        <v>TAS41</v>
      </c>
      <c r="F68" s="505">
        <f>Qty!F23</f>
        <v>0</v>
      </c>
      <c r="G68" s="505">
        <f>Qty!G23</f>
        <v>0</v>
      </c>
      <c r="H68" s="58"/>
      <c r="I68" s="238">
        <f>Qty!M23</f>
        <v>197277</v>
      </c>
      <c r="J68" s="239"/>
      <c r="K68" s="238">
        <f>SUMIF(Qty!$M$7:$AF$7,K$50,Qty!$M23:$AF23)*consmultiplier</f>
        <v>866.70779670236607</v>
      </c>
      <c r="L68" s="238">
        <f>SUMIF(Qty!$M$7:$AF$7,L$50,Qty!$M23:$AF23)*consmultiplier</f>
        <v>0</v>
      </c>
      <c r="M68" s="238">
        <f>SUMIF(Qty!$M$7:$AF$7,M$50,Qty!$M23:$AF23)*consmultiplier</f>
        <v>0</v>
      </c>
      <c r="N68" s="238">
        <f>SUMIF(Qty!$M$7:$AF$7,N$50,Qty!$M23:$AF23)*consmultiplier</f>
        <v>0</v>
      </c>
      <c r="O68" s="238">
        <f t="shared" si="21"/>
        <v>866.70779670236607</v>
      </c>
      <c r="P68" s="239"/>
      <c r="Q68" s="238">
        <f>SUMIF(Qty!$M$7:$AF$7,Q$50,Qty!$M23:$AF23)*consmultiplier</f>
        <v>0</v>
      </c>
      <c r="R68" s="238">
        <f t="shared" si="22"/>
        <v>866.70779670236607</v>
      </c>
      <c r="S68" s="90"/>
      <c r="T68" s="19"/>
      <c r="U68" s="19"/>
      <c r="V68" s="19"/>
      <c r="W68" s="19"/>
      <c r="X68" s="19"/>
    </row>
    <row r="69" spans="1:24" outlineLevel="2" x14ac:dyDescent="0.2">
      <c r="A69" s="19"/>
      <c r="B69" s="19"/>
      <c r="C69" s="506" t="str">
        <f>Qty!C24</f>
        <v>Controlled low voltage night period only</v>
      </c>
      <c r="D69" s="505" t="str">
        <f>Qty!D24</f>
        <v>Controlled energy</v>
      </c>
      <c r="E69" s="505" t="str">
        <f>Qty!E24</f>
        <v>TAS63</v>
      </c>
      <c r="F69" s="505">
        <f>Qty!F24</f>
        <v>0</v>
      </c>
      <c r="G69" s="505">
        <f>Qty!G24</f>
        <v>0</v>
      </c>
      <c r="H69" s="58"/>
      <c r="I69" s="238">
        <f>Qty!M24</f>
        <v>813.71907438827566</v>
      </c>
      <c r="J69" s="239"/>
      <c r="K69" s="238">
        <f>SUMIF(Qty!$M$7:$AF$7,K$50,Qty!$M24:$AF24)*consmultiplier</f>
        <v>2.1883505608897313</v>
      </c>
      <c r="L69" s="238">
        <f>SUMIF(Qty!$M$7:$AF$7,L$50,Qty!$M24:$AF24)*consmultiplier</f>
        <v>0</v>
      </c>
      <c r="M69" s="238">
        <f>SUMIF(Qty!$M$7:$AF$7,M$50,Qty!$M24:$AF24)*consmultiplier</f>
        <v>0</v>
      </c>
      <c r="N69" s="238">
        <f>SUMIF(Qty!$M$7:$AF$7,N$50,Qty!$M24:$AF24)*consmultiplier</f>
        <v>0</v>
      </c>
      <c r="O69" s="238">
        <f t="shared" si="21"/>
        <v>2.1883505608897313</v>
      </c>
      <c r="P69" s="239"/>
      <c r="Q69" s="238">
        <f>SUMIF(Qty!$M$7:$AF$7,Q$50,Qty!$M24:$AF24)*consmultiplier</f>
        <v>0</v>
      </c>
      <c r="R69" s="238">
        <f t="shared" si="22"/>
        <v>2.1883505608897313</v>
      </c>
      <c r="S69" s="90"/>
      <c r="T69" s="19"/>
      <c r="U69" s="19"/>
      <c r="V69" s="19"/>
      <c r="W69" s="19"/>
      <c r="X69" s="19"/>
    </row>
    <row r="70" spans="1:24" ht="22.5" outlineLevel="2" x14ac:dyDescent="0.2">
      <c r="A70" s="19"/>
      <c r="B70" s="19"/>
      <c r="C70" s="506" t="str">
        <f>Qty!C25</f>
        <v>Controlled low voltage off peak with afternoon boost</v>
      </c>
      <c r="D70" s="505" t="str">
        <f>Qty!D25</f>
        <v>Controlled energy</v>
      </c>
      <c r="E70" s="505" t="str">
        <f>Qty!E25</f>
        <v>TAS61</v>
      </c>
      <c r="F70" s="505">
        <f>Qty!F25</f>
        <v>0</v>
      </c>
      <c r="G70" s="505">
        <f>Qty!G25</f>
        <v>0</v>
      </c>
      <c r="H70" s="58"/>
      <c r="I70" s="238">
        <f>Qty!M25</f>
        <v>18989.595604758975</v>
      </c>
      <c r="J70" s="239"/>
      <c r="K70" s="238">
        <f>SUMIF(Qty!$M$7:$AF$7,K$50,Qty!$M25:$AF25)*consmultiplier</f>
        <v>33.379379711129374</v>
      </c>
      <c r="L70" s="238">
        <f>SUMIF(Qty!$M$7:$AF$7,L$50,Qty!$M25:$AF25)*consmultiplier</f>
        <v>0</v>
      </c>
      <c r="M70" s="238">
        <f>SUMIF(Qty!$M$7:$AF$7,M$50,Qty!$M25:$AF25)*consmultiplier</f>
        <v>0</v>
      </c>
      <c r="N70" s="238">
        <f>SUMIF(Qty!$M$7:$AF$7,N$50,Qty!$M25:$AF25)*consmultiplier</f>
        <v>0</v>
      </c>
      <c r="O70" s="238">
        <f t="shared" si="21"/>
        <v>33.379379711129374</v>
      </c>
      <c r="P70" s="239"/>
      <c r="Q70" s="238">
        <f>SUMIF(Qty!$M$7:$AF$7,Q$50,Qty!$M25:$AF25)*consmultiplier</f>
        <v>0</v>
      </c>
      <c r="R70" s="238">
        <f t="shared" si="22"/>
        <v>33.379379711129374</v>
      </c>
      <c r="S70" s="90"/>
      <c r="T70" s="19"/>
      <c r="U70" s="19"/>
      <c r="V70" s="19"/>
      <c r="W70" s="19"/>
      <c r="X70" s="19"/>
    </row>
    <row r="71" spans="1:24" outlineLevel="2" x14ac:dyDescent="0.2">
      <c r="A71" s="19"/>
      <c r="B71" s="19"/>
      <c r="C71" s="506" t="str">
        <f>Qty!C26</f>
        <v>Unmetered supply general</v>
      </c>
      <c r="D71" s="505" t="str">
        <f>Qty!D26</f>
        <v>Unmetered supplies</v>
      </c>
      <c r="E71" s="505" t="str">
        <f>Qty!E26</f>
        <v>TASUMS</v>
      </c>
      <c r="F71" s="505">
        <f>Qty!F26</f>
        <v>0</v>
      </c>
      <c r="G71" s="505">
        <f>Qty!G26</f>
        <v>0</v>
      </c>
      <c r="H71" s="58"/>
      <c r="I71" s="238">
        <f>Qty!M26</f>
        <v>1793</v>
      </c>
      <c r="J71" s="239"/>
      <c r="K71" s="238">
        <f>SUMIF(Qty!$M$7:$AF$7,K$50,Qty!$M26:$AF26)*consmultiplier</f>
        <v>6.9343071820168589</v>
      </c>
      <c r="L71" s="238">
        <f>SUMIF(Qty!$M$7:$AF$7,L$50,Qty!$M26:$AF26)*consmultiplier</f>
        <v>0</v>
      </c>
      <c r="M71" s="238">
        <f>SUMIF(Qty!$M$7:$AF$7,M$50,Qty!$M26:$AF26)*consmultiplier</f>
        <v>0</v>
      </c>
      <c r="N71" s="238">
        <f>SUMIF(Qty!$M$7:$AF$7,N$50,Qty!$M26:$AF26)*consmultiplier</f>
        <v>0</v>
      </c>
      <c r="O71" s="238">
        <f t="shared" si="21"/>
        <v>6.9343071820168589</v>
      </c>
      <c r="P71" s="239"/>
      <c r="Q71" s="238">
        <f>SUMIF(Qty!$M$7:$AF$7,Q$50,Qty!$M26:$AF26)*consmultiplier</f>
        <v>0</v>
      </c>
      <c r="R71" s="238">
        <f t="shared" si="22"/>
        <v>6.9343071820168589</v>
      </c>
      <c r="S71" s="90"/>
      <c r="T71" s="19"/>
      <c r="U71" s="19"/>
      <c r="V71" s="19"/>
      <c r="W71" s="19"/>
      <c r="X71" s="19"/>
    </row>
    <row r="72" spans="1:24" outlineLevel="2" x14ac:dyDescent="0.2">
      <c r="A72" s="19"/>
      <c r="B72" s="19"/>
      <c r="C72" s="506" t="str">
        <f>Qty!C27</f>
        <v>Street lighting</v>
      </c>
      <c r="D72" s="505" t="str">
        <f>Qty!D27</f>
        <v>Street lighting</v>
      </c>
      <c r="E72" s="505" t="str">
        <f>Qty!E27</f>
        <v>TASUMSSL</v>
      </c>
      <c r="F72" s="505">
        <f>Qty!F27</f>
        <v>0</v>
      </c>
      <c r="G72" s="505">
        <f>Qty!G27</f>
        <v>0</v>
      </c>
      <c r="H72" s="58"/>
      <c r="I72" s="238">
        <f>Qty!M27</f>
        <v>0</v>
      </c>
      <c r="J72" s="239"/>
      <c r="K72" s="238">
        <f>SUMIF(Qty!$M$7:$AF$7,K$50,Qty!$M27:$AF27)*consmultiplier</f>
        <v>0</v>
      </c>
      <c r="L72" s="238">
        <f>SUMIF(Qty!$M$7:$AF$7,L$50,Qty!$M27:$AF27)*consmultiplier</f>
        <v>0</v>
      </c>
      <c r="M72" s="238">
        <f>SUMIF(Qty!$M$7:$AF$7,M$50,Qty!$M27:$AF27)*consmultiplier</f>
        <v>0</v>
      </c>
      <c r="N72" s="238">
        <f>SUMIF(Qty!$M$7:$AF$7,N$50,Qty!$M27:$AF27)*consmultiplier</f>
        <v>0</v>
      </c>
      <c r="O72" s="238">
        <f t="shared" si="21"/>
        <v>0</v>
      </c>
      <c r="P72" s="239"/>
      <c r="Q72" s="238">
        <f>SUMIF(Qty!$M$7:$AF$7,Q$50,Qty!$M27:$AF27)*consmultiplier</f>
        <v>0</v>
      </c>
      <c r="R72" s="238">
        <f t="shared" si="22"/>
        <v>0</v>
      </c>
      <c r="S72" s="90"/>
      <c r="T72" s="19"/>
      <c r="U72" s="19"/>
      <c r="V72" s="19"/>
      <c r="W72" s="19"/>
      <c r="X72" s="19"/>
    </row>
    <row r="73" spans="1:24" outlineLevel="2" x14ac:dyDescent="0.2">
      <c r="A73" s="19"/>
      <c r="B73" s="19"/>
      <c r="C73" s="506">
        <f>Qty!C28</f>
        <v>0</v>
      </c>
      <c r="D73" s="505">
        <f>Qty!D28</f>
        <v>0</v>
      </c>
      <c r="E73" s="505">
        <f>Qty!E28</f>
        <v>0</v>
      </c>
      <c r="F73" s="505">
        <f>Qty!F28</f>
        <v>0</v>
      </c>
      <c r="G73" s="505">
        <f>Qty!G28</f>
        <v>0</v>
      </c>
      <c r="H73" s="58"/>
      <c r="I73" s="238">
        <f>Qty!M28</f>
        <v>0</v>
      </c>
      <c r="J73" s="239"/>
      <c r="K73" s="238">
        <f>SUMIF(Qty!$M$7:$AF$7,K$50,Qty!$M28:$AF28)*consmultiplier</f>
        <v>0</v>
      </c>
      <c r="L73" s="238">
        <f>SUMIF(Qty!$M$7:$AF$7,L$50,Qty!$M28:$AF28)*consmultiplier</f>
        <v>0</v>
      </c>
      <c r="M73" s="238">
        <f>SUMIF(Qty!$M$7:$AF$7,M$50,Qty!$M28:$AF28)*consmultiplier</f>
        <v>0</v>
      </c>
      <c r="N73" s="238">
        <f>SUMIF(Qty!$M$7:$AF$7,N$50,Qty!$M28:$AF28)*consmultiplier</f>
        <v>0</v>
      </c>
      <c r="O73" s="238">
        <f t="shared" si="21"/>
        <v>0</v>
      </c>
      <c r="P73" s="239"/>
      <c r="Q73" s="238">
        <f>SUMIF(Qty!$M$7:$AF$7,Q$50,Qty!$M28:$AF28)*consmultiplier</f>
        <v>0</v>
      </c>
      <c r="R73" s="238">
        <f t="shared" si="22"/>
        <v>0</v>
      </c>
      <c r="S73" s="90"/>
      <c r="T73" s="19"/>
      <c r="U73" s="19"/>
      <c r="V73" s="19"/>
      <c r="W73" s="19"/>
      <c r="X73" s="19"/>
    </row>
    <row r="74" spans="1:24" hidden="1" outlineLevel="3" x14ac:dyDescent="0.2">
      <c r="A74" s="19"/>
      <c r="B74" s="19"/>
      <c r="C74" s="506">
        <f>Qty!C29</f>
        <v>0</v>
      </c>
      <c r="D74" s="505">
        <f>Qty!D29</f>
        <v>0</v>
      </c>
      <c r="E74" s="505">
        <f>Qty!E29</f>
        <v>0</v>
      </c>
      <c r="F74" s="505">
        <f>Qty!F29</f>
        <v>0</v>
      </c>
      <c r="G74" s="505">
        <f>Qty!G29</f>
        <v>0</v>
      </c>
      <c r="H74" s="58"/>
      <c r="I74" s="238">
        <f>Qty!M29</f>
        <v>0</v>
      </c>
      <c r="J74" s="239"/>
      <c r="K74" s="238">
        <f>SUMIF(Qty!$M$7:$AF$7,K$50,Qty!$M29:$AF29)*consmultiplier</f>
        <v>0</v>
      </c>
      <c r="L74" s="238">
        <f>SUMIF(Qty!$M$7:$AF$7,L$50,Qty!$M29:$AF29)*consmultiplier</f>
        <v>0</v>
      </c>
      <c r="M74" s="238">
        <f>SUMIF(Qty!$M$7:$AF$7,M$50,Qty!$M29:$AF29)*consmultiplier</f>
        <v>0</v>
      </c>
      <c r="N74" s="238">
        <f>SUMIF(Qty!$M$7:$AF$7,N$50,Qty!$M29:$AF29)*consmultiplier</f>
        <v>0</v>
      </c>
      <c r="O74" s="238">
        <f t="shared" si="21"/>
        <v>0</v>
      </c>
      <c r="P74" s="239"/>
      <c r="Q74" s="238">
        <f>SUMIF(Qty!$M$7:$AF$7,Q$50,Qty!$M29:$AF29)*consmultiplier</f>
        <v>0</v>
      </c>
      <c r="R74" s="238">
        <f t="shared" si="22"/>
        <v>0</v>
      </c>
      <c r="S74" s="90"/>
      <c r="T74" s="19"/>
      <c r="U74" s="19"/>
      <c r="V74" s="19"/>
      <c r="W74" s="19"/>
      <c r="X74" s="19"/>
    </row>
    <row r="75" spans="1:24" hidden="1" outlineLevel="3" x14ac:dyDescent="0.2">
      <c r="A75" s="19"/>
      <c r="B75" s="19"/>
      <c r="C75" s="506">
        <f>Qty!C30</f>
        <v>0</v>
      </c>
      <c r="D75" s="505">
        <f>Qty!D30</f>
        <v>0</v>
      </c>
      <c r="E75" s="505">
        <f>Qty!E30</f>
        <v>0</v>
      </c>
      <c r="F75" s="505">
        <f>Qty!F30</f>
        <v>0</v>
      </c>
      <c r="G75" s="505">
        <f>Qty!G30</f>
        <v>0</v>
      </c>
      <c r="H75" s="58"/>
      <c r="I75" s="238">
        <f>Qty!M30</f>
        <v>0</v>
      </c>
      <c r="J75" s="239"/>
      <c r="K75" s="238">
        <f>SUMIF(Qty!$M$7:$AF$7,K$50,Qty!$M30:$AF30)*consmultiplier</f>
        <v>0</v>
      </c>
      <c r="L75" s="238">
        <f>SUMIF(Qty!$M$7:$AF$7,L$50,Qty!$M30:$AF30)*consmultiplier</f>
        <v>0</v>
      </c>
      <c r="M75" s="238">
        <f>SUMIF(Qty!$M$7:$AF$7,M$50,Qty!$M30:$AF30)*consmultiplier</f>
        <v>0</v>
      </c>
      <c r="N75" s="238">
        <f>SUMIF(Qty!$M$7:$AF$7,N$50,Qty!$M30:$AF30)*consmultiplier</f>
        <v>0</v>
      </c>
      <c r="O75" s="238">
        <f t="shared" si="21"/>
        <v>0</v>
      </c>
      <c r="P75" s="239"/>
      <c r="Q75" s="238">
        <f>SUMIF(Qty!$M$7:$AF$7,Q$50,Qty!$M30:$AF30)*consmultiplier</f>
        <v>0</v>
      </c>
      <c r="R75" s="238">
        <f t="shared" si="22"/>
        <v>0</v>
      </c>
      <c r="S75" s="90"/>
      <c r="T75" s="19"/>
      <c r="U75" s="19"/>
      <c r="V75" s="19"/>
      <c r="W75" s="19"/>
      <c r="X75" s="19"/>
    </row>
    <row r="76" spans="1:24" hidden="1" outlineLevel="3" x14ac:dyDescent="0.2">
      <c r="A76" s="19"/>
      <c r="B76" s="19"/>
      <c r="C76" s="506">
        <f>Qty!C31</f>
        <v>0</v>
      </c>
      <c r="D76" s="505">
        <f>Qty!D31</f>
        <v>0</v>
      </c>
      <c r="E76" s="505">
        <f>Qty!E31</f>
        <v>0</v>
      </c>
      <c r="F76" s="505">
        <f>Qty!F31</f>
        <v>0</v>
      </c>
      <c r="G76" s="505">
        <f>Qty!G31</f>
        <v>0</v>
      </c>
      <c r="H76" s="58"/>
      <c r="I76" s="238">
        <f>Qty!M31</f>
        <v>0</v>
      </c>
      <c r="J76" s="239"/>
      <c r="K76" s="238">
        <f>SUMIF(Qty!$M$7:$AF$7,K$50,Qty!$M31:$AF31)*consmultiplier</f>
        <v>0</v>
      </c>
      <c r="L76" s="238">
        <f>SUMIF(Qty!$M$7:$AF$7,L$50,Qty!$M31:$AF31)*consmultiplier</f>
        <v>0</v>
      </c>
      <c r="M76" s="238">
        <f>SUMIF(Qty!$M$7:$AF$7,M$50,Qty!$M31:$AF31)*consmultiplier</f>
        <v>0</v>
      </c>
      <c r="N76" s="238">
        <f>SUMIF(Qty!$M$7:$AF$7,N$50,Qty!$M31:$AF31)*consmultiplier</f>
        <v>0</v>
      </c>
      <c r="O76" s="238">
        <f t="shared" si="21"/>
        <v>0</v>
      </c>
      <c r="P76" s="239"/>
      <c r="Q76" s="238">
        <f>SUMIF(Qty!$M$7:$AF$7,Q$50,Qty!$M31:$AF31)*consmultiplier</f>
        <v>0</v>
      </c>
      <c r="R76" s="238">
        <f t="shared" si="22"/>
        <v>0</v>
      </c>
      <c r="S76" s="90"/>
      <c r="T76" s="19"/>
      <c r="U76" s="19"/>
      <c r="V76" s="19"/>
      <c r="W76" s="19"/>
      <c r="X76" s="19"/>
    </row>
    <row r="77" spans="1:24" hidden="1" outlineLevel="3" x14ac:dyDescent="0.2">
      <c r="A77" s="19"/>
      <c r="B77" s="19"/>
      <c r="C77" s="506">
        <f>Qty!C32</f>
        <v>0</v>
      </c>
      <c r="D77" s="505">
        <f>Qty!D32</f>
        <v>0</v>
      </c>
      <c r="E77" s="505">
        <f>Qty!E32</f>
        <v>0</v>
      </c>
      <c r="F77" s="505">
        <f>Qty!F32</f>
        <v>0</v>
      </c>
      <c r="G77" s="505">
        <f>Qty!G32</f>
        <v>0</v>
      </c>
      <c r="H77" s="58"/>
      <c r="I77" s="238">
        <f>Qty!M32</f>
        <v>0</v>
      </c>
      <c r="J77" s="239"/>
      <c r="K77" s="238">
        <f>SUMIF(Qty!$M$7:$AF$7,K$50,Qty!$M32:$AF32)*consmultiplier</f>
        <v>0</v>
      </c>
      <c r="L77" s="238">
        <f>SUMIF(Qty!$M$7:$AF$7,L$50,Qty!$M32:$AF32)*consmultiplier</f>
        <v>0</v>
      </c>
      <c r="M77" s="238">
        <f>SUMIF(Qty!$M$7:$AF$7,M$50,Qty!$M32:$AF32)*consmultiplier</f>
        <v>0</v>
      </c>
      <c r="N77" s="238">
        <f>SUMIF(Qty!$M$7:$AF$7,N$50,Qty!$M32:$AF32)*consmultiplier</f>
        <v>0</v>
      </c>
      <c r="O77" s="238">
        <f t="shared" si="21"/>
        <v>0</v>
      </c>
      <c r="P77" s="239"/>
      <c r="Q77" s="238">
        <f>SUMIF(Qty!$M$7:$AF$7,Q$50,Qty!$M32:$AF32)*consmultiplier</f>
        <v>0</v>
      </c>
      <c r="R77" s="238">
        <f t="shared" si="22"/>
        <v>0</v>
      </c>
      <c r="S77" s="90"/>
      <c r="T77" s="19"/>
      <c r="U77" s="19"/>
      <c r="V77" s="19"/>
      <c r="W77" s="19"/>
      <c r="X77" s="19"/>
    </row>
    <row r="78" spans="1:24" hidden="1" outlineLevel="3" x14ac:dyDescent="0.2">
      <c r="A78" s="19"/>
      <c r="B78" s="19"/>
      <c r="C78" s="506">
        <f>Qty!C33</f>
        <v>0</v>
      </c>
      <c r="D78" s="505">
        <f>Qty!D33</f>
        <v>0</v>
      </c>
      <c r="E78" s="505">
        <f>Qty!E33</f>
        <v>0</v>
      </c>
      <c r="F78" s="505">
        <f>Qty!F33</f>
        <v>0</v>
      </c>
      <c r="G78" s="505">
        <f>Qty!G33</f>
        <v>0</v>
      </c>
      <c r="H78" s="58"/>
      <c r="I78" s="238">
        <f>Qty!M33</f>
        <v>0</v>
      </c>
      <c r="J78" s="239"/>
      <c r="K78" s="238">
        <f>SUMIF(Qty!$M$7:$AF$7,K$50,Qty!$M33:$AF33)*consmultiplier</f>
        <v>0</v>
      </c>
      <c r="L78" s="238">
        <f>SUMIF(Qty!$M$7:$AF$7,L$50,Qty!$M33:$AF33)*consmultiplier</f>
        <v>0</v>
      </c>
      <c r="M78" s="238">
        <f>SUMIF(Qty!$M$7:$AF$7,M$50,Qty!$M33:$AF33)*consmultiplier</f>
        <v>0</v>
      </c>
      <c r="N78" s="238">
        <f>SUMIF(Qty!$M$7:$AF$7,N$50,Qty!$M33:$AF33)*consmultiplier</f>
        <v>0</v>
      </c>
      <c r="O78" s="238">
        <f t="shared" si="21"/>
        <v>0</v>
      </c>
      <c r="P78" s="239"/>
      <c r="Q78" s="238">
        <f>SUMIF(Qty!$M$7:$AF$7,Q$50,Qty!$M33:$AF33)*consmultiplier</f>
        <v>0</v>
      </c>
      <c r="R78" s="238">
        <f t="shared" si="22"/>
        <v>0</v>
      </c>
      <c r="S78" s="90"/>
      <c r="T78" s="19"/>
      <c r="U78" s="19"/>
      <c r="V78" s="19"/>
      <c r="W78" s="19"/>
      <c r="X78" s="19"/>
    </row>
    <row r="79" spans="1:24" hidden="1" outlineLevel="3" x14ac:dyDescent="0.2">
      <c r="A79" s="19"/>
      <c r="B79" s="19"/>
      <c r="C79" s="506">
        <f>Qty!C34</f>
        <v>0</v>
      </c>
      <c r="D79" s="505">
        <f>Qty!D34</f>
        <v>0</v>
      </c>
      <c r="E79" s="505">
        <f>Qty!E34</f>
        <v>0</v>
      </c>
      <c r="F79" s="505">
        <f>Qty!F34</f>
        <v>0</v>
      </c>
      <c r="G79" s="505">
        <f>Qty!G34</f>
        <v>0</v>
      </c>
      <c r="H79" s="58"/>
      <c r="I79" s="238">
        <f>Qty!M34</f>
        <v>0</v>
      </c>
      <c r="J79" s="239"/>
      <c r="K79" s="238">
        <f>SUMIF(Qty!$M$7:$AF$7,K$50,Qty!$M34:$AF34)*consmultiplier</f>
        <v>0</v>
      </c>
      <c r="L79" s="238">
        <f>SUMIF(Qty!$M$7:$AF$7,L$50,Qty!$M34:$AF34)*consmultiplier</f>
        <v>0</v>
      </c>
      <c r="M79" s="238">
        <f>SUMIF(Qty!$M$7:$AF$7,M$50,Qty!$M34:$AF34)*consmultiplier</f>
        <v>0</v>
      </c>
      <c r="N79" s="238">
        <f>SUMIF(Qty!$M$7:$AF$7,N$50,Qty!$M34:$AF34)*consmultiplier</f>
        <v>0</v>
      </c>
      <c r="O79" s="238">
        <f t="shared" si="21"/>
        <v>0</v>
      </c>
      <c r="P79" s="239"/>
      <c r="Q79" s="238">
        <f>SUMIF(Qty!$M$7:$AF$7,Q$50,Qty!$M34:$AF34)*consmultiplier</f>
        <v>0</v>
      </c>
      <c r="R79" s="238">
        <f t="shared" si="22"/>
        <v>0</v>
      </c>
      <c r="S79" s="90"/>
      <c r="T79" s="19"/>
      <c r="U79" s="19"/>
      <c r="V79" s="19"/>
      <c r="W79" s="19"/>
      <c r="X79" s="19"/>
    </row>
    <row r="80" spans="1:24" hidden="1" outlineLevel="3" x14ac:dyDescent="0.2">
      <c r="A80" s="19"/>
      <c r="B80" s="19"/>
      <c r="C80" s="506">
        <f>Qty!C35</f>
        <v>0</v>
      </c>
      <c r="D80" s="505">
        <f>Qty!D35</f>
        <v>0</v>
      </c>
      <c r="E80" s="505">
        <f>Qty!E35</f>
        <v>0</v>
      </c>
      <c r="F80" s="505">
        <f>Qty!F35</f>
        <v>0</v>
      </c>
      <c r="G80" s="505">
        <f>Qty!G35</f>
        <v>0</v>
      </c>
      <c r="H80" s="58"/>
      <c r="I80" s="238">
        <f>Qty!M35</f>
        <v>0</v>
      </c>
      <c r="J80" s="239"/>
      <c r="K80" s="238">
        <f>SUMIF(Qty!$M$7:$AF$7,K$50,Qty!$M35:$AF35)*consmultiplier</f>
        <v>0</v>
      </c>
      <c r="L80" s="238">
        <f>SUMIF(Qty!$M$7:$AF$7,L$50,Qty!$M35:$AF35)*consmultiplier</f>
        <v>0</v>
      </c>
      <c r="M80" s="238">
        <f>SUMIF(Qty!$M$7:$AF$7,M$50,Qty!$M35:$AF35)*consmultiplier</f>
        <v>0</v>
      </c>
      <c r="N80" s="238">
        <f>SUMIF(Qty!$M$7:$AF$7,N$50,Qty!$M35:$AF35)*consmultiplier</f>
        <v>0</v>
      </c>
      <c r="O80" s="238">
        <f t="shared" si="21"/>
        <v>0</v>
      </c>
      <c r="P80" s="239"/>
      <c r="Q80" s="238">
        <f>SUMIF(Qty!$M$7:$AF$7,Q$50,Qty!$M35:$AF35)*consmultiplier</f>
        <v>0</v>
      </c>
      <c r="R80" s="238">
        <f t="shared" si="22"/>
        <v>0</v>
      </c>
      <c r="S80" s="90"/>
      <c r="T80" s="19"/>
      <c r="U80" s="19"/>
      <c r="V80" s="19"/>
      <c r="W80" s="19"/>
      <c r="X80" s="19"/>
    </row>
    <row r="81" spans="1:24" hidden="1" outlineLevel="3" x14ac:dyDescent="0.2">
      <c r="A81" s="19"/>
      <c r="B81" s="19"/>
      <c r="C81" s="506">
        <f>Qty!C36</f>
        <v>0</v>
      </c>
      <c r="D81" s="505">
        <f>Qty!D36</f>
        <v>0</v>
      </c>
      <c r="E81" s="505">
        <f>Qty!E36</f>
        <v>0</v>
      </c>
      <c r="F81" s="505">
        <f>Qty!F36</f>
        <v>0</v>
      </c>
      <c r="G81" s="505">
        <f>Qty!G36</f>
        <v>0</v>
      </c>
      <c r="H81" s="58"/>
      <c r="I81" s="238">
        <f>Qty!M36</f>
        <v>0</v>
      </c>
      <c r="J81" s="239"/>
      <c r="K81" s="238">
        <f>SUMIF(Qty!$M$7:$AF$7,K$50,Qty!$M36:$AF36)*consmultiplier</f>
        <v>0</v>
      </c>
      <c r="L81" s="238">
        <f>SUMIF(Qty!$M$7:$AF$7,L$50,Qty!$M36:$AF36)*consmultiplier</f>
        <v>0</v>
      </c>
      <c r="M81" s="238">
        <f>SUMIF(Qty!$M$7:$AF$7,M$50,Qty!$M36:$AF36)*consmultiplier</f>
        <v>0</v>
      </c>
      <c r="N81" s="238">
        <f>SUMIF(Qty!$M$7:$AF$7,N$50,Qty!$M36:$AF36)*consmultiplier</f>
        <v>0</v>
      </c>
      <c r="O81" s="238">
        <f t="shared" si="21"/>
        <v>0</v>
      </c>
      <c r="P81" s="239"/>
      <c r="Q81" s="238">
        <f>SUMIF(Qty!$M$7:$AF$7,Q$50,Qty!$M36:$AF36)*consmultiplier</f>
        <v>0</v>
      </c>
      <c r="R81" s="238">
        <f t="shared" si="22"/>
        <v>0</v>
      </c>
      <c r="S81" s="90"/>
      <c r="T81" s="19"/>
      <c r="U81" s="19"/>
      <c r="V81" s="19"/>
      <c r="W81" s="19"/>
      <c r="X81" s="19"/>
    </row>
    <row r="82" spans="1:24" hidden="1" outlineLevel="3" x14ac:dyDescent="0.2">
      <c r="A82" s="19"/>
      <c r="B82" s="19"/>
      <c r="C82" s="506">
        <f>Qty!C37</f>
        <v>0</v>
      </c>
      <c r="D82" s="505">
        <f>Qty!D37</f>
        <v>0</v>
      </c>
      <c r="E82" s="505">
        <f>Qty!E37</f>
        <v>0</v>
      </c>
      <c r="F82" s="505">
        <f>Qty!F37</f>
        <v>0</v>
      </c>
      <c r="G82" s="505">
        <f>Qty!G37</f>
        <v>0</v>
      </c>
      <c r="H82" s="58"/>
      <c r="I82" s="238">
        <f>Qty!M37</f>
        <v>0</v>
      </c>
      <c r="J82" s="239"/>
      <c r="K82" s="238">
        <f>SUMIF(Qty!$M$7:$AF$7,K$50,Qty!$M37:$AF37)*consmultiplier</f>
        <v>0</v>
      </c>
      <c r="L82" s="238">
        <f>SUMIF(Qty!$M$7:$AF$7,L$50,Qty!$M37:$AF37)*consmultiplier</f>
        <v>0</v>
      </c>
      <c r="M82" s="238">
        <f>SUMIF(Qty!$M$7:$AF$7,M$50,Qty!$M37:$AF37)*consmultiplier</f>
        <v>0</v>
      </c>
      <c r="N82" s="238">
        <f>SUMIF(Qty!$M$7:$AF$7,N$50,Qty!$M37:$AF37)*consmultiplier</f>
        <v>0</v>
      </c>
      <c r="O82" s="238">
        <f t="shared" si="21"/>
        <v>0</v>
      </c>
      <c r="P82" s="239"/>
      <c r="Q82" s="238">
        <f>SUMIF(Qty!$M$7:$AF$7,Q$50,Qty!$M37:$AF37)*consmultiplier</f>
        <v>0</v>
      </c>
      <c r="R82" s="238">
        <f t="shared" si="22"/>
        <v>0</v>
      </c>
      <c r="S82" s="90"/>
      <c r="T82" s="19"/>
      <c r="U82" s="19"/>
      <c r="V82" s="19"/>
      <c r="W82" s="19"/>
      <c r="X82" s="19"/>
    </row>
    <row r="83" spans="1:24" hidden="1" outlineLevel="3" x14ac:dyDescent="0.2">
      <c r="A83" s="19"/>
      <c r="B83" s="19"/>
      <c r="C83" s="506">
        <f>Qty!C38</f>
        <v>0</v>
      </c>
      <c r="D83" s="505">
        <f>Qty!D38</f>
        <v>0</v>
      </c>
      <c r="E83" s="505">
        <f>Qty!E38</f>
        <v>0</v>
      </c>
      <c r="F83" s="505">
        <f>Qty!F38</f>
        <v>0</v>
      </c>
      <c r="G83" s="505">
        <f>Qty!G38</f>
        <v>0</v>
      </c>
      <c r="H83" s="58"/>
      <c r="I83" s="238">
        <f>Qty!M38</f>
        <v>0</v>
      </c>
      <c r="J83" s="239"/>
      <c r="K83" s="238">
        <f>SUMIF(Qty!$M$7:$AF$7,K$50,Qty!$M38:$AF38)*consmultiplier</f>
        <v>0</v>
      </c>
      <c r="L83" s="238">
        <f>SUMIF(Qty!$M$7:$AF$7,L$50,Qty!$M38:$AF38)*consmultiplier</f>
        <v>0</v>
      </c>
      <c r="M83" s="238">
        <f>SUMIF(Qty!$M$7:$AF$7,M$50,Qty!$M38:$AF38)*consmultiplier</f>
        <v>0</v>
      </c>
      <c r="N83" s="238">
        <f>SUMIF(Qty!$M$7:$AF$7,N$50,Qty!$M38:$AF38)*consmultiplier</f>
        <v>0</v>
      </c>
      <c r="O83" s="238">
        <f t="shared" si="21"/>
        <v>0</v>
      </c>
      <c r="P83" s="239"/>
      <c r="Q83" s="238">
        <f>SUMIF(Qty!$M$7:$AF$7,Q$50,Qty!$M38:$AF38)*consmultiplier</f>
        <v>0</v>
      </c>
      <c r="R83" s="238">
        <f t="shared" si="22"/>
        <v>0</v>
      </c>
      <c r="S83" s="90"/>
      <c r="T83" s="19"/>
      <c r="U83" s="19"/>
      <c r="V83" s="19"/>
      <c r="W83" s="19"/>
      <c r="X83" s="19"/>
    </row>
    <row r="84" spans="1:24" hidden="1" outlineLevel="3" x14ac:dyDescent="0.2">
      <c r="A84" s="19"/>
      <c r="B84" s="19"/>
      <c r="C84" s="506">
        <f>Qty!C39</f>
        <v>0</v>
      </c>
      <c r="D84" s="505">
        <f>Qty!D39</f>
        <v>0</v>
      </c>
      <c r="E84" s="505">
        <f>Qty!E39</f>
        <v>0</v>
      </c>
      <c r="F84" s="505">
        <f>Qty!F39</f>
        <v>0</v>
      </c>
      <c r="G84" s="505">
        <f>Qty!G39</f>
        <v>0</v>
      </c>
      <c r="H84" s="58"/>
      <c r="I84" s="238">
        <f>Qty!M39</f>
        <v>0</v>
      </c>
      <c r="J84" s="239"/>
      <c r="K84" s="238">
        <f>SUMIF(Qty!$M$7:$AF$7,K$50,Qty!$M39:$AF39)*consmultiplier</f>
        <v>0</v>
      </c>
      <c r="L84" s="238">
        <f>SUMIF(Qty!$M$7:$AF$7,L$50,Qty!$M39:$AF39)*consmultiplier</f>
        <v>0</v>
      </c>
      <c r="M84" s="238">
        <f>SUMIF(Qty!$M$7:$AF$7,M$50,Qty!$M39:$AF39)*consmultiplier</f>
        <v>0</v>
      </c>
      <c r="N84" s="238">
        <f>SUMIF(Qty!$M$7:$AF$7,N$50,Qty!$M39:$AF39)*consmultiplier</f>
        <v>0</v>
      </c>
      <c r="O84" s="238">
        <f t="shared" si="21"/>
        <v>0</v>
      </c>
      <c r="P84" s="239"/>
      <c r="Q84" s="238">
        <f>SUMIF(Qty!$M$7:$AF$7,Q$50,Qty!$M39:$AF39)*consmultiplier</f>
        <v>0</v>
      </c>
      <c r="R84" s="238">
        <f t="shared" si="22"/>
        <v>0</v>
      </c>
      <c r="S84" s="90"/>
      <c r="T84" s="19"/>
      <c r="U84" s="19"/>
      <c r="V84" s="19"/>
      <c r="W84" s="19"/>
      <c r="X84" s="19"/>
    </row>
    <row r="85" spans="1:24" hidden="1" outlineLevel="3" x14ac:dyDescent="0.2">
      <c r="A85" s="19"/>
      <c r="B85" s="19"/>
      <c r="C85" s="506">
        <f>Qty!C40</f>
        <v>0</v>
      </c>
      <c r="D85" s="505">
        <f>Qty!D40</f>
        <v>0</v>
      </c>
      <c r="E85" s="505">
        <f>Qty!E40</f>
        <v>0</v>
      </c>
      <c r="F85" s="505">
        <f>Qty!F40</f>
        <v>0</v>
      </c>
      <c r="G85" s="505">
        <f>Qty!G40</f>
        <v>0</v>
      </c>
      <c r="H85" s="58"/>
      <c r="I85" s="238">
        <f>Qty!M40</f>
        <v>0</v>
      </c>
      <c r="J85" s="239"/>
      <c r="K85" s="238">
        <f>SUMIF(Qty!$M$7:$AF$7,K$50,Qty!$M40:$AF40)*consmultiplier</f>
        <v>0</v>
      </c>
      <c r="L85" s="238">
        <f>SUMIF(Qty!$M$7:$AF$7,L$50,Qty!$M40:$AF40)*consmultiplier</f>
        <v>0</v>
      </c>
      <c r="M85" s="238">
        <f>SUMIF(Qty!$M$7:$AF$7,M$50,Qty!$M40:$AF40)*consmultiplier</f>
        <v>0</v>
      </c>
      <c r="N85" s="238">
        <f>SUMIF(Qty!$M$7:$AF$7,N$50,Qty!$M40:$AF40)*consmultiplier</f>
        <v>0</v>
      </c>
      <c r="O85" s="238">
        <f t="shared" si="21"/>
        <v>0</v>
      </c>
      <c r="P85" s="239"/>
      <c r="Q85" s="238">
        <f>SUMIF(Qty!$M$7:$AF$7,Q$50,Qty!$M40:$AF40)*consmultiplier</f>
        <v>0</v>
      </c>
      <c r="R85" s="238">
        <f t="shared" si="22"/>
        <v>0</v>
      </c>
      <c r="S85" s="90"/>
      <c r="T85" s="19"/>
      <c r="U85" s="19"/>
      <c r="V85" s="19"/>
      <c r="W85" s="19"/>
      <c r="X85" s="19"/>
    </row>
    <row r="86" spans="1:24" hidden="1" outlineLevel="3" x14ac:dyDescent="0.2">
      <c r="A86" s="19"/>
      <c r="B86" s="19"/>
      <c r="C86" s="506">
        <f>Qty!C41</f>
        <v>0</v>
      </c>
      <c r="D86" s="505">
        <f>Qty!D41</f>
        <v>0</v>
      </c>
      <c r="E86" s="505">
        <f>Qty!E41</f>
        <v>0</v>
      </c>
      <c r="F86" s="505">
        <f>Qty!F41</f>
        <v>0</v>
      </c>
      <c r="G86" s="505">
        <f>Qty!G41</f>
        <v>0</v>
      </c>
      <c r="H86" s="58"/>
      <c r="I86" s="238">
        <f>Qty!M41</f>
        <v>0</v>
      </c>
      <c r="J86" s="239"/>
      <c r="K86" s="238">
        <f>SUMIF(Qty!$M$7:$AF$7,K$50,Qty!$M41:$AF41)*consmultiplier</f>
        <v>0</v>
      </c>
      <c r="L86" s="238">
        <f>SUMIF(Qty!$M$7:$AF$7,L$50,Qty!$M41:$AF41)*consmultiplier</f>
        <v>0</v>
      </c>
      <c r="M86" s="238">
        <f>SUMIF(Qty!$M$7:$AF$7,M$50,Qty!$M41:$AF41)*consmultiplier</f>
        <v>0</v>
      </c>
      <c r="N86" s="238">
        <f>SUMIF(Qty!$M$7:$AF$7,N$50,Qty!$M41:$AF41)*consmultiplier</f>
        <v>0</v>
      </c>
      <c r="O86" s="238">
        <f t="shared" si="21"/>
        <v>0</v>
      </c>
      <c r="P86" s="239"/>
      <c r="Q86" s="238">
        <f>SUMIF(Qty!$M$7:$AF$7,Q$50,Qty!$M41:$AF41)*consmultiplier</f>
        <v>0</v>
      </c>
      <c r="R86" s="238">
        <f t="shared" si="22"/>
        <v>0</v>
      </c>
      <c r="S86" s="90"/>
      <c r="T86" s="19"/>
      <c r="U86" s="19"/>
      <c r="V86" s="19"/>
      <c r="W86" s="19"/>
      <c r="X86" s="19"/>
    </row>
    <row r="87" spans="1:24" hidden="1" outlineLevel="3" x14ac:dyDescent="0.2">
      <c r="A87" s="19"/>
      <c r="B87" s="19"/>
      <c r="C87" s="506">
        <f>Qty!C42</f>
        <v>0</v>
      </c>
      <c r="D87" s="505">
        <f>Qty!D42</f>
        <v>0</v>
      </c>
      <c r="E87" s="505">
        <f>Qty!E42</f>
        <v>0</v>
      </c>
      <c r="F87" s="505">
        <f>Qty!F42</f>
        <v>0</v>
      </c>
      <c r="G87" s="505">
        <f>Qty!G42</f>
        <v>0</v>
      </c>
      <c r="H87" s="58"/>
      <c r="I87" s="238">
        <f>Qty!M42</f>
        <v>0</v>
      </c>
      <c r="J87" s="239"/>
      <c r="K87" s="238">
        <f>SUMIF(Qty!$M$7:$AF$7,K$50,Qty!$M42:$AF42)*consmultiplier</f>
        <v>0</v>
      </c>
      <c r="L87" s="238">
        <f>SUMIF(Qty!$M$7:$AF$7,L$50,Qty!$M42:$AF42)*consmultiplier</f>
        <v>0</v>
      </c>
      <c r="M87" s="238">
        <f>SUMIF(Qty!$M$7:$AF$7,M$50,Qty!$M42:$AF42)*consmultiplier</f>
        <v>0</v>
      </c>
      <c r="N87" s="238">
        <f>SUMIF(Qty!$M$7:$AF$7,N$50,Qty!$M42:$AF42)*consmultiplier</f>
        <v>0</v>
      </c>
      <c r="O87" s="238">
        <f t="shared" si="21"/>
        <v>0</v>
      </c>
      <c r="P87" s="239"/>
      <c r="Q87" s="238">
        <f>SUMIF(Qty!$M$7:$AF$7,Q$50,Qty!$M42:$AF42)*consmultiplier</f>
        <v>0</v>
      </c>
      <c r="R87" s="238">
        <f t="shared" si="22"/>
        <v>0</v>
      </c>
      <c r="S87" s="90"/>
      <c r="T87" s="19"/>
      <c r="U87" s="19"/>
      <c r="V87" s="19"/>
      <c r="W87" s="19"/>
      <c r="X87" s="19"/>
    </row>
    <row r="88" spans="1:24" hidden="1" outlineLevel="3" x14ac:dyDescent="0.2">
      <c r="A88" s="19"/>
      <c r="B88" s="19"/>
      <c r="C88" s="506">
        <f>Qty!C43</f>
        <v>0</v>
      </c>
      <c r="D88" s="505">
        <f>Qty!D43</f>
        <v>0</v>
      </c>
      <c r="E88" s="505">
        <f>Qty!E43</f>
        <v>0</v>
      </c>
      <c r="F88" s="505">
        <f>Qty!F43</f>
        <v>0</v>
      </c>
      <c r="G88" s="505">
        <f>Qty!G43</f>
        <v>0</v>
      </c>
      <c r="H88" s="58"/>
      <c r="I88" s="238">
        <f>Qty!M43</f>
        <v>0</v>
      </c>
      <c r="J88" s="239"/>
      <c r="K88" s="238">
        <f>SUMIF(Qty!$M$7:$AF$7,K$50,Qty!$M43:$AF43)*consmultiplier</f>
        <v>0</v>
      </c>
      <c r="L88" s="238">
        <f>SUMIF(Qty!$M$7:$AF$7,L$50,Qty!$M43:$AF43)*consmultiplier</f>
        <v>0</v>
      </c>
      <c r="M88" s="238">
        <f>SUMIF(Qty!$M$7:$AF$7,M$50,Qty!$M43:$AF43)*consmultiplier</f>
        <v>0</v>
      </c>
      <c r="N88" s="238">
        <f>SUMIF(Qty!$M$7:$AF$7,N$50,Qty!$M43:$AF43)*consmultiplier</f>
        <v>0</v>
      </c>
      <c r="O88" s="238">
        <f t="shared" si="21"/>
        <v>0</v>
      </c>
      <c r="P88" s="239"/>
      <c r="Q88" s="238">
        <f>SUMIF(Qty!$M$7:$AF$7,Q$50,Qty!$M43:$AF43)*consmultiplier</f>
        <v>0</v>
      </c>
      <c r="R88" s="238">
        <f t="shared" si="22"/>
        <v>0</v>
      </c>
      <c r="S88" s="90"/>
      <c r="T88" s="19"/>
      <c r="U88" s="19"/>
      <c r="V88" s="19"/>
      <c r="W88" s="19"/>
      <c r="X88" s="19"/>
    </row>
    <row r="89" spans="1:24" hidden="1" outlineLevel="3" x14ac:dyDescent="0.2">
      <c r="A89" s="19"/>
      <c r="B89" s="19"/>
      <c r="C89" s="506">
        <f>Qty!C44</f>
        <v>0</v>
      </c>
      <c r="D89" s="505">
        <f>Qty!D44</f>
        <v>0</v>
      </c>
      <c r="E89" s="505">
        <f>Qty!E44</f>
        <v>0</v>
      </c>
      <c r="F89" s="505">
        <f>Qty!F44</f>
        <v>0</v>
      </c>
      <c r="G89" s="505">
        <f>Qty!G44</f>
        <v>0</v>
      </c>
      <c r="H89" s="58"/>
      <c r="I89" s="238">
        <f>Qty!M44</f>
        <v>0</v>
      </c>
      <c r="J89" s="239"/>
      <c r="K89" s="238">
        <f>SUMIF(Qty!$M$7:$AF$7,K$50,Qty!$M44:$AF44)*consmultiplier</f>
        <v>0</v>
      </c>
      <c r="L89" s="238">
        <f>SUMIF(Qty!$M$7:$AF$7,L$50,Qty!$M44:$AF44)*consmultiplier</f>
        <v>0</v>
      </c>
      <c r="M89" s="238">
        <f>SUMIF(Qty!$M$7:$AF$7,M$50,Qty!$M44:$AF44)*consmultiplier</f>
        <v>0</v>
      </c>
      <c r="N89" s="238">
        <f>SUMIF(Qty!$M$7:$AF$7,N$50,Qty!$M44:$AF44)*consmultiplier</f>
        <v>0</v>
      </c>
      <c r="O89" s="238">
        <f t="shared" si="21"/>
        <v>0</v>
      </c>
      <c r="P89" s="239"/>
      <c r="Q89" s="238">
        <f>SUMIF(Qty!$M$7:$AF$7,Q$50,Qty!$M44:$AF44)*consmultiplier</f>
        <v>0</v>
      </c>
      <c r="R89" s="238">
        <f t="shared" si="22"/>
        <v>0</v>
      </c>
      <c r="S89" s="90"/>
      <c r="T89" s="19"/>
      <c r="U89" s="19"/>
      <c r="V89" s="19"/>
      <c r="W89" s="19"/>
      <c r="X89" s="19"/>
    </row>
    <row r="90" spans="1:24" hidden="1" outlineLevel="3" x14ac:dyDescent="0.2">
      <c r="A90" s="19"/>
      <c r="B90" s="19"/>
      <c r="C90" s="506">
        <f>Qty!C45</f>
        <v>0</v>
      </c>
      <c r="D90" s="505">
        <f>Qty!D45</f>
        <v>0</v>
      </c>
      <c r="E90" s="505">
        <f>Qty!E45</f>
        <v>0</v>
      </c>
      <c r="F90" s="505">
        <f>Qty!F45</f>
        <v>0</v>
      </c>
      <c r="G90" s="505">
        <f>Qty!G45</f>
        <v>0</v>
      </c>
      <c r="H90" s="58"/>
      <c r="I90" s="238">
        <f>Qty!M45</f>
        <v>0</v>
      </c>
      <c r="J90" s="239"/>
      <c r="K90" s="238">
        <f>SUMIF(Qty!$M$7:$AF$7,K$50,Qty!$M45:$AF45)*consmultiplier</f>
        <v>0</v>
      </c>
      <c r="L90" s="238">
        <f>SUMIF(Qty!$M$7:$AF$7,L$50,Qty!$M45:$AF45)*consmultiplier</f>
        <v>0</v>
      </c>
      <c r="M90" s="238">
        <f>SUMIF(Qty!$M$7:$AF$7,M$50,Qty!$M45:$AF45)*consmultiplier</f>
        <v>0</v>
      </c>
      <c r="N90" s="238">
        <f>SUMIF(Qty!$M$7:$AF$7,N$50,Qty!$M45:$AF45)*consmultiplier</f>
        <v>0</v>
      </c>
      <c r="O90" s="238">
        <f t="shared" si="21"/>
        <v>0</v>
      </c>
      <c r="P90" s="239"/>
      <c r="Q90" s="238">
        <f>SUMIF(Qty!$M$7:$AF$7,Q$50,Qty!$M45:$AF45)*consmultiplier</f>
        <v>0</v>
      </c>
      <c r="R90" s="238">
        <f t="shared" si="22"/>
        <v>0</v>
      </c>
      <c r="S90" s="90"/>
      <c r="T90" s="19"/>
      <c r="U90" s="19"/>
      <c r="V90" s="19"/>
      <c r="W90" s="19"/>
      <c r="X90" s="19"/>
    </row>
    <row r="91" spans="1:24" hidden="1" outlineLevel="3" x14ac:dyDescent="0.2">
      <c r="A91" s="19"/>
      <c r="B91" s="19"/>
      <c r="C91" s="506">
        <f>Qty!C46</f>
        <v>0</v>
      </c>
      <c r="D91" s="505">
        <f>Qty!D46</f>
        <v>0</v>
      </c>
      <c r="E91" s="505">
        <f>Qty!E46</f>
        <v>0</v>
      </c>
      <c r="F91" s="505">
        <f>Qty!F46</f>
        <v>0</v>
      </c>
      <c r="G91" s="505">
        <f>Qty!G46</f>
        <v>0</v>
      </c>
      <c r="H91" s="58"/>
      <c r="I91" s="238">
        <f>Qty!M46</f>
        <v>0</v>
      </c>
      <c r="J91" s="239"/>
      <c r="K91" s="238">
        <f>SUMIF(Qty!$M$7:$AF$7,K$50,Qty!$M46:$AF46)*consmultiplier</f>
        <v>0</v>
      </c>
      <c r="L91" s="238">
        <f>SUMIF(Qty!$M$7:$AF$7,L$50,Qty!$M46:$AF46)*consmultiplier</f>
        <v>0</v>
      </c>
      <c r="M91" s="238">
        <f>SUMIF(Qty!$M$7:$AF$7,M$50,Qty!$M46:$AF46)*consmultiplier</f>
        <v>0</v>
      </c>
      <c r="N91" s="238">
        <f>SUMIF(Qty!$M$7:$AF$7,N$50,Qty!$M46:$AF46)*consmultiplier</f>
        <v>0</v>
      </c>
      <c r="O91" s="238">
        <f t="shared" si="21"/>
        <v>0</v>
      </c>
      <c r="P91" s="239"/>
      <c r="Q91" s="238">
        <f>SUMIF(Qty!$M$7:$AF$7,Q$50,Qty!$M46:$AF46)*consmultiplier</f>
        <v>0</v>
      </c>
      <c r="R91" s="238">
        <f t="shared" si="22"/>
        <v>0</v>
      </c>
      <c r="S91" s="90"/>
      <c r="T91" s="19"/>
      <c r="U91" s="19"/>
      <c r="V91" s="19"/>
      <c r="W91" s="19"/>
      <c r="X91" s="19"/>
    </row>
    <row r="92" spans="1:24" hidden="1" outlineLevel="3" x14ac:dyDescent="0.2">
      <c r="A92" s="19"/>
      <c r="B92" s="19"/>
      <c r="C92" s="506">
        <f>Qty!C47</f>
        <v>0</v>
      </c>
      <c r="D92" s="505">
        <f>Qty!D47</f>
        <v>0</v>
      </c>
      <c r="E92" s="505">
        <f>Qty!E47</f>
        <v>0</v>
      </c>
      <c r="F92" s="505">
        <f>Qty!F47</f>
        <v>0</v>
      </c>
      <c r="G92" s="505">
        <f>Qty!G47</f>
        <v>0</v>
      </c>
      <c r="H92" s="58"/>
      <c r="I92" s="238">
        <f>Qty!M47</f>
        <v>0</v>
      </c>
      <c r="J92" s="239"/>
      <c r="K92" s="238">
        <f>SUMIF(Qty!$M$7:$AF$7,K$50,Qty!$M47:$AF47)*consmultiplier</f>
        <v>0</v>
      </c>
      <c r="L92" s="238">
        <f>SUMIF(Qty!$M$7:$AF$7,L$50,Qty!$M47:$AF47)*consmultiplier</f>
        <v>0</v>
      </c>
      <c r="M92" s="238">
        <f>SUMIF(Qty!$M$7:$AF$7,M$50,Qty!$M47:$AF47)*consmultiplier</f>
        <v>0</v>
      </c>
      <c r="N92" s="238">
        <f>SUMIF(Qty!$M$7:$AF$7,N$50,Qty!$M47:$AF47)*consmultiplier</f>
        <v>0</v>
      </c>
      <c r="O92" s="238">
        <f t="shared" si="21"/>
        <v>0</v>
      </c>
      <c r="P92" s="239"/>
      <c r="Q92" s="238">
        <f>SUMIF(Qty!$M$7:$AF$7,Q$50,Qty!$M47:$AF47)*consmultiplier</f>
        <v>0</v>
      </c>
      <c r="R92" s="238">
        <f t="shared" si="22"/>
        <v>0</v>
      </c>
      <c r="S92" s="90"/>
      <c r="T92" s="19"/>
      <c r="U92" s="19"/>
      <c r="V92" s="19"/>
      <c r="W92" s="19"/>
      <c r="X92" s="19"/>
    </row>
    <row r="93" spans="1:24" hidden="1" outlineLevel="3" x14ac:dyDescent="0.2">
      <c r="A93" s="19"/>
      <c r="B93" s="19"/>
      <c r="C93" s="506">
        <f>Qty!C48</f>
        <v>0</v>
      </c>
      <c r="D93" s="505">
        <f>Qty!D48</f>
        <v>0</v>
      </c>
      <c r="E93" s="505">
        <f>Qty!E48</f>
        <v>0</v>
      </c>
      <c r="F93" s="505">
        <f>Qty!F48</f>
        <v>0</v>
      </c>
      <c r="G93" s="505">
        <f>Qty!G48</f>
        <v>0</v>
      </c>
      <c r="H93" s="58"/>
      <c r="I93" s="238">
        <f>Qty!M48</f>
        <v>0</v>
      </c>
      <c r="J93" s="239"/>
      <c r="K93" s="238">
        <f>SUMIF(Qty!$M$7:$AF$7,K$50,Qty!$M48:$AF48)*consmultiplier</f>
        <v>0</v>
      </c>
      <c r="L93" s="238">
        <f>SUMIF(Qty!$M$7:$AF$7,L$50,Qty!$M48:$AF48)*consmultiplier</f>
        <v>0</v>
      </c>
      <c r="M93" s="238">
        <f>SUMIF(Qty!$M$7:$AF$7,M$50,Qty!$M48:$AF48)*consmultiplier</f>
        <v>0</v>
      </c>
      <c r="N93" s="238">
        <f>SUMIF(Qty!$M$7:$AF$7,N$50,Qty!$M48:$AF48)*consmultiplier</f>
        <v>0</v>
      </c>
      <c r="O93" s="238">
        <f t="shared" si="21"/>
        <v>0</v>
      </c>
      <c r="P93" s="239"/>
      <c r="Q93" s="238">
        <f>SUMIF(Qty!$M$7:$AF$7,Q$50,Qty!$M48:$AF48)*consmultiplier</f>
        <v>0</v>
      </c>
      <c r="R93" s="238">
        <f t="shared" si="22"/>
        <v>0</v>
      </c>
      <c r="S93" s="90"/>
      <c r="T93" s="19"/>
      <c r="U93" s="19"/>
      <c r="V93" s="19"/>
      <c r="W93" s="19"/>
      <c r="X93" s="19"/>
    </row>
    <row r="94" spans="1:24" hidden="1" outlineLevel="3" x14ac:dyDescent="0.2">
      <c r="A94" s="19"/>
      <c r="B94" s="19"/>
      <c r="C94" s="506">
        <f>Qty!C49</f>
        <v>0</v>
      </c>
      <c r="D94" s="505">
        <f>Qty!D49</f>
        <v>0</v>
      </c>
      <c r="E94" s="505">
        <f>Qty!E49</f>
        <v>0</v>
      </c>
      <c r="F94" s="505">
        <f>Qty!F49</f>
        <v>0</v>
      </c>
      <c r="G94" s="505">
        <f>Qty!G49</f>
        <v>0</v>
      </c>
      <c r="H94" s="58"/>
      <c r="I94" s="238">
        <f>Qty!M49</f>
        <v>0</v>
      </c>
      <c r="J94" s="239"/>
      <c r="K94" s="238">
        <f>SUMIF(Qty!$M$7:$AF$7,K$50,Qty!$M49:$AF49)*consmultiplier</f>
        <v>0</v>
      </c>
      <c r="L94" s="238">
        <f>SUMIF(Qty!$M$7:$AF$7,L$50,Qty!$M49:$AF49)*consmultiplier</f>
        <v>0</v>
      </c>
      <c r="M94" s="238">
        <f>SUMIF(Qty!$M$7:$AF$7,M$50,Qty!$M49:$AF49)*consmultiplier</f>
        <v>0</v>
      </c>
      <c r="N94" s="238">
        <f>SUMIF(Qty!$M$7:$AF$7,N$50,Qty!$M49:$AF49)*consmultiplier</f>
        <v>0</v>
      </c>
      <c r="O94" s="238">
        <f t="shared" si="21"/>
        <v>0</v>
      </c>
      <c r="P94" s="239"/>
      <c r="Q94" s="238">
        <f>SUMIF(Qty!$M$7:$AF$7,Q$50,Qty!$M49:$AF49)*consmultiplier</f>
        <v>0</v>
      </c>
      <c r="R94" s="238">
        <f t="shared" si="22"/>
        <v>0</v>
      </c>
      <c r="S94" s="90"/>
      <c r="T94" s="19"/>
      <c r="U94" s="19"/>
      <c r="V94" s="19"/>
      <c r="W94" s="19"/>
      <c r="X94" s="19"/>
    </row>
    <row r="95" spans="1:24" hidden="1" outlineLevel="3" x14ac:dyDescent="0.2">
      <c r="A95" s="19"/>
      <c r="B95" s="19"/>
      <c r="C95" s="506">
        <f>Qty!C50</f>
        <v>0</v>
      </c>
      <c r="D95" s="505">
        <f>Qty!D50</f>
        <v>0</v>
      </c>
      <c r="E95" s="505">
        <f>Qty!E50</f>
        <v>0</v>
      </c>
      <c r="F95" s="505">
        <f>Qty!F50</f>
        <v>0</v>
      </c>
      <c r="G95" s="505">
        <f>Qty!G50</f>
        <v>0</v>
      </c>
      <c r="H95" s="58"/>
      <c r="I95" s="238">
        <f>Qty!M50</f>
        <v>0</v>
      </c>
      <c r="J95" s="239"/>
      <c r="K95" s="238">
        <f>SUMIF(Qty!$M$7:$AF$7,K$50,Qty!$M50:$AF50)*consmultiplier</f>
        <v>0</v>
      </c>
      <c r="L95" s="238">
        <f>SUMIF(Qty!$M$7:$AF$7,L$50,Qty!$M50:$AF50)*consmultiplier</f>
        <v>0</v>
      </c>
      <c r="M95" s="238">
        <f>SUMIF(Qty!$M$7:$AF$7,M$50,Qty!$M50:$AF50)*consmultiplier</f>
        <v>0</v>
      </c>
      <c r="N95" s="238">
        <f>SUMIF(Qty!$M$7:$AF$7,N$50,Qty!$M50:$AF50)*consmultiplier</f>
        <v>0</v>
      </c>
      <c r="O95" s="238">
        <f t="shared" si="21"/>
        <v>0</v>
      </c>
      <c r="P95" s="239"/>
      <c r="Q95" s="238">
        <f>SUMIF(Qty!$M$7:$AF$7,Q$50,Qty!$M50:$AF50)*consmultiplier</f>
        <v>0</v>
      </c>
      <c r="R95" s="238">
        <f t="shared" si="22"/>
        <v>0</v>
      </c>
      <c r="S95" s="90"/>
      <c r="T95" s="19"/>
      <c r="U95" s="19"/>
      <c r="V95" s="19"/>
      <c r="W95" s="19"/>
      <c r="X95" s="19"/>
    </row>
    <row r="96" spans="1:24" hidden="1" outlineLevel="3" x14ac:dyDescent="0.2">
      <c r="A96" s="19"/>
      <c r="B96" s="19"/>
      <c r="C96" s="506">
        <f>Qty!C51</f>
        <v>0</v>
      </c>
      <c r="D96" s="505">
        <f>Qty!D51</f>
        <v>0</v>
      </c>
      <c r="E96" s="505">
        <f>Qty!E51</f>
        <v>0</v>
      </c>
      <c r="F96" s="505">
        <f>Qty!F51</f>
        <v>0</v>
      </c>
      <c r="G96" s="505">
        <f>Qty!G51</f>
        <v>0</v>
      </c>
      <c r="H96" s="58"/>
      <c r="I96" s="238">
        <f>Qty!M51</f>
        <v>0</v>
      </c>
      <c r="J96" s="239"/>
      <c r="K96" s="238">
        <f>SUMIF(Qty!$M$7:$AF$7,K$50,Qty!$M51:$AF51)*consmultiplier</f>
        <v>0</v>
      </c>
      <c r="L96" s="238">
        <f>SUMIF(Qty!$M$7:$AF$7,L$50,Qty!$M51:$AF51)*consmultiplier</f>
        <v>0</v>
      </c>
      <c r="M96" s="238">
        <f>SUMIF(Qty!$M$7:$AF$7,M$50,Qty!$M51:$AF51)*consmultiplier</f>
        <v>0</v>
      </c>
      <c r="N96" s="238">
        <f>SUMIF(Qty!$M$7:$AF$7,N$50,Qty!$M51:$AF51)*consmultiplier</f>
        <v>0</v>
      </c>
      <c r="O96" s="238">
        <f t="shared" si="21"/>
        <v>0</v>
      </c>
      <c r="P96" s="239"/>
      <c r="Q96" s="238">
        <f>SUMIF(Qty!$M$7:$AF$7,Q$50,Qty!$M51:$AF51)*consmultiplier</f>
        <v>0</v>
      </c>
      <c r="R96" s="238">
        <f t="shared" si="22"/>
        <v>0</v>
      </c>
      <c r="S96" s="90"/>
      <c r="T96" s="19"/>
      <c r="U96" s="19"/>
      <c r="V96" s="19"/>
      <c r="W96" s="19"/>
      <c r="X96" s="19"/>
    </row>
    <row r="97" spans="1:24" hidden="1" outlineLevel="3" x14ac:dyDescent="0.2">
      <c r="A97" s="19"/>
      <c r="B97" s="19"/>
      <c r="C97" s="506">
        <f>Qty!C52</f>
        <v>0</v>
      </c>
      <c r="D97" s="505">
        <f>Qty!D52</f>
        <v>0</v>
      </c>
      <c r="E97" s="505">
        <f>Qty!E52</f>
        <v>0</v>
      </c>
      <c r="F97" s="505">
        <f>Qty!F52</f>
        <v>0</v>
      </c>
      <c r="G97" s="505">
        <f>Qty!G52</f>
        <v>0</v>
      </c>
      <c r="H97" s="58"/>
      <c r="I97" s="238">
        <f>Qty!M52</f>
        <v>0</v>
      </c>
      <c r="J97" s="239"/>
      <c r="K97" s="238">
        <f>SUMIF(Qty!$M$7:$AF$7,K$50,Qty!$M52:$AF52)*consmultiplier</f>
        <v>0</v>
      </c>
      <c r="L97" s="238">
        <f>SUMIF(Qty!$M$7:$AF$7,L$50,Qty!$M52:$AF52)*consmultiplier</f>
        <v>0</v>
      </c>
      <c r="M97" s="238">
        <f>SUMIF(Qty!$M$7:$AF$7,M$50,Qty!$M52:$AF52)*consmultiplier</f>
        <v>0</v>
      </c>
      <c r="N97" s="238">
        <f>SUMIF(Qty!$M$7:$AF$7,N$50,Qty!$M52:$AF52)*consmultiplier</f>
        <v>0</v>
      </c>
      <c r="O97" s="238">
        <f t="shared" si="21"/>
        <v>0</v>
      </c>
      <c r="P97" s="239"/>
      <c r="Q97" s="238">
        <f>SUMIF(Qty!$M$7:$AF$7,Q$50,Qty!$M52:$AF52)*consmultiplier</f>
        <v>0</v>
      </c>
      <c r="R97" s="238">
        <f t="shared" si="22"/>
        <v>0</v>
      </c>
      <c r="S97" s="90"/>
      <c r="T97" s="19"/>
      <c r="U97" s="19"/>
      <c r="V97" s="19"/>
      <c r="W97" s="19"/>
      <c r="X97" s="19"/>
    </row>
    <row r="98" spans="1:24" hidden="1" outlineLevel="3" x14ac:dyDescent="0.2">
      <c r="A98" s="19"/>
      <c r="B98" s="19"/>
      <c r="C98" s="506">
        <f>Qty!C53</f>
        <v>0</v>
      </c>
      <c r="D98" s="505">
        <f>Qty!D53</f>
        <v>0</v>
      </c>
      <c r="E98" s="505">
        <f>Qty!E53</f>
        <v>0</v>
      </c>
      <c r="F98" s="505">
        <f>Qty!F53</f>
        <v>0</v>
      </c>
      <c r="G98" s="505">
        <f>Qty!G53</f>
        <v>0</v>
      </c>
      <c r="H98" s="58"/>
      <c r="I98" s="238">
        <f>Qty!M53</f>
        <v>0</v>
      </c>
      <c r="J98" s="239"/>
      <c r="K98" s="238">
        <f>SUMIF(Qty!$M$7:$AF$7,K$50,Qty!$M53:$AF53)*consmultiplier</f>
        <v>0</v>
      </c>
      <c r="L98" s="238">
        <f>SUMIF(Qty!$M$7:$AF$7,L$50,Qty!$M53:$AF53)*consmultiplier</f>
        <v>0</v>
      </c>
      <c r="M98" s="238">
        <f>SUMIF(Qty!$M$7:$AF$7,M$50,Qty!$M53:$AF53)*consmultiplier</f>
        <v>0</v>
      </c>
      <c r="N98" s="238">
        <f>SUMIF(Qty!$M$7:$AF$7,N$50,Qty!$M53:$AF53)*consmultiplier</f>
        <v>0</v>
      </c>
      <c r="O98" s="238">
        <f t="shared" si="21"/>
        <v>0</v>
      </c>
      <c r="P98" s="239"/>
      <c r="Q98" s="238">
        <f>SUMIF(Qty!$M$7:$AF$7,Q$50,Qty!$M53:$AF53)*consmultiplier</f>
        <v>0</v>
      </c>
      <c r="R98" s="238">
        <f t="shared" si="22"/>
        <v>0</v>
      </c>
      <c r="S98" s="90"/>
      <c r="T98" s="19"/>
      <c r="U98" s="19"/>
      <c r="V98" s="19"/>
      <c r="W98" s="19"/>
      <c r="X98" s="19"/>
    </row>
    <row r="99" spans="1:24" hidden="1" outlineLevel="3" x14ac:dyDescent="0.2">
      <c r="A99" s="19"/>
      <c r="B99" s="19"/>
      <c r="C99" s="506">
        <f>Qty!C54</f>
        <v>0</v>
      </c>
      <c r="D99" s="505">
        <f>Qty!D54</f>
        <v>0</v>
      </c>
      <c r="E99" s="505">
        <f>Qty!E54</f>
        <v>0</v>
      </c>
      <c r="F99" s="505">
        <f>Qty!F54</f>
        <v>0</v>
      </c>
      <c r="G99" s="505">
        <f>Qty!G54</f>
        <v>0</v>
      </c>
      <c r="H99" s="58"/>
      <c r="I99" s="238">
        <f>Qty!M54</f>
        <v>0</v>
      </c>
      <c r="J99" s="239"/>
      <c r="K99" s="238">
        <f>SUMIF(Qty!$M$7:$AF$7,K$50,Qty!$M54:$AF54)*consmultiplier</f>
        <v>0</v>
      </c>
      <c r="L99" s="238">
        <f>SUMIF(Qty!$M$7:$AF$7,L$50,Qty!$M54:$AF54)*consmultiplier</f>
        <v>0</v>
      </c>
      <c r="M99" s="238">
        <f>SUMIF(Qty!$M$7:$AF$7,M$50,Qty!$M54:$AF54)*consmultiplier</f>
        <v>0</v>
      </c>
      <c r="N99" s="238">
        <f>SUMIF(Qty!$M$7:$AF$7,N$50,Qty!$M54:$AF54)*consmultiplier</f>
        <v>0</v>
      </c>
      <c r="O99" s="238">
        <f t="shared" si="21"/>
        <v>0</v>
      </c>
      <c r="P99" s="239"/>
      <c r="Q99" s="238">
        <f>SUMIF(Qty!$M$7:$AF$7,Q$50,Qty!$M54:$AF54)*consmultiplier</f>
        <v>0</v>
      </c>
      <c r="R99" s="238">
        <f t="shared" si="22"/>
        <v>0</v>
      </c>
      <c r="S99" s="90"/>
      <c r="T99" s="19"/>
      <c r="U99" s="19"/>
      <c r="V99" s="19"/>
      <c r="W99" s="19"/>
      <c r="X99" s="19"/>
    </row>
    <row r="100" spans="1:24" hidden="1" outlineLevel="3" x14ac:dyDescent="0.2">
      <c r="A100" s="19"/>
      <c r="B100" s="19"/>
      <c r="C100" s="506">
        <f>Qty!C55</f>
        <v>0</v>
      </c>
      <c r="D100" s="505">
        <f>Qty!D55</f>
        <v>0</v>
      </c>
      <c r="E100" s="505">
        <f>Qty!E55</f>
        <v>0</v>
      </c>
      <c r="F100" s="505">
        <f>Qty!F55</f>
        <v>0</v>
      </c>
      <c r="G100" s="505">
        <f>Qty!G55</f>
        <v>0</v>
      </c>
      <c r="H100" s="58"/>
      <c r="I100" s="238">
        <f>Qty!M55</f>
        <v>0</v>
      </c>
      <c r="J100" s="239"/>
      <c r="K100" s="238">
        <f>SUMIF(Qty!$M$7:$AF$7,K$50,Qty!$M55:$AF55)*consmultiplier</f>
        <v>0</v>
      </c>
      <c r="L100" s="238">
        <f>SUMIF(Qty!$M$7:$AF$7,L$50,Qty!$M55:$AF55)*consmultiplier</f>
        <v>0</v>
      </c>
      <c r="M100" s="238">
        <f>SUMIF(Qty!$M$7:$AF$7,M$50,Qty!$M55:$AF55)*consmultiplier</f>
        <v>0</v>
      </c>
      <c r="N100" s="238">
        <f>SUMIF(Qty!$M$7:$AF$7,N$50,Qty!$M55:$AF55)*consmultiplier</f>
        <v>0</v>
      </c>
      <c r="O100" s="238">
        <f t="shared" si="21"/>
        <v>0</v>
      </c>
      <c r="P100" s="239"/>
      <c r="Q100" s="238">
        <f>SUMIF(Qty!$M$7:$AF$7,Q$50,Qty!$M55:$AF55)*consmultiplier</f>
        <v>0</v>
      </c>
      <c r="R100" s="238">
        <f t="shared" si="22"/>
        <v>0</v>
      </c>
      <c r="S100" s="90"/>
      <c r="T100" s="19"/>
      <c r="U100" s="19"/>
      <c r="V100" s="19"/>
      <c r="W100" s="19"/>
      <c r="X100" s="19"/>
    </row>
    <row r="101" spans="1:24" hidden="1" outlineLevel="3" x14ac:dyDescent="0.2">
      <c r="A101" s="19"/>
      <c r="B101" s="19"/>
      <c r="C101" s="506">
        <f>Qty!C56</f>
        <v>0</v>
      </c>
      <c r="D101" s="505">
        <f>Qty!D56</f>
        <v>0</v>
      </c>
      <c r="E101" s="505">
        <f>Qty!E56</f>
        <v>0</v>
      </c>
      <c r="F101" s="505">
        <f>Qty!F56</f>
        <v>0</v>
      </c>
      <c r="G101" s="505">
        <f>Qty!G56</f>
        <v>0</v>
      </c>
      <c r="H101" s="58"/>
      <c r="I101" s="238">
        <f>Qty!M56</f>
        <v>0</v>
      </c>
      <c r="J101" s="239"/>
      <c r="K101" s="238">
        <f>SUMIF(Qty!$M$7:$AF$7,K$50,Qty!$M56:$AF56)*consmultiplier</f>
        <v>0</v>
      </c>
      <c r="L101" s="238">
        <f>SUMIF(Qty!$M$7:$AF$7,L$50,Qty!$M56:$AF56)*consmultiplier</f>
        <v>0</v>
      </c>
      <c r="M101" s="238">
        <f>SUMIF(Qty!$M$7:$AF$7,M$50,Qty!$M56:$AF56)*consmultiplier</f>
        <v>0</v>
      </c>
      <c r="N101" s="238">
        <f>SUMIF(Qty!$M$7:$AF$7,N$50,Qty!$M56:$AF56)*consmultiplier</f>
        <v>0</v>
      </c>
      <c r="O101" s="238">
        <f t="shared" si="21"/>
        <v>0</v>
      </c>
      <c r="P101" s="239"/>
      <c r="Q101" s="238">
        <f>SUMIF(Qty!$M$7:$AF$7,Q$50,Qty!$M56:$AF56)*consmultiplier</f>
        <v>0</v>
      </c>
      <c r="R101" s="238">
        <f t="shared" si="22"/>
        <v>0</v>
      </c>
      <c r="S101" s="90"/>
      <c r="T101" s="19"/>
      <c r="U101" s="19"/>
      <c r="V101" s="19"/>
      <c r="W101" s="19"/>
      <c r="X101" s="19"/>
    </row>
    <row r="102" spans="1:24" hidden="1" outlineLevel="3" x14ac:dyDescent="0.2">
      <c r="A102" s="19"/>
      <c r="B102" s="19"/>
      <c r="C102" s="506">
        <f>Qty!C57</f>
        <v>0</v>
      </c>
      <c r="D102" s="505">
        <f>Qty!D57</f>
        <v>0</v>
      </c>
      <c r="E102" s="505">
        <f>Qty!E57</f>
        <v>0</v>
      </c>
      <c r="F102" s="505">
        <f>Qty!F57</f>
        <v>0</v>
      </c>
      <c r="G102" s="505">
        <f>Qty!G57</f>
        <v>0</v>
      </c>
      <c r="H102" s="58"/>
      <c r="I102" s="238">
        <f>Qty!M57</f>
        <v>0</v>
      </c>
      <c r="J102" s="239"/>
      <c r="K102" s="238">
        <f>SUMIF(Qty!$M$7:$AF$7,K$50,Qty!$M57:$AF57)*consmultiplier</f>
        <v>0</v>
      </c>
      <c r="L102" s="238">
        <f>SUMIF(Qty!$M$7:$AF$7,L$50,Qty!$M57:$AF57)*consmultiplier</f>
        <v>0</v>
      </c>
      <c r="M102" s="238">
        <f>SUMIF(Qty!$M$7:$AF$7,M$50,Qty!$M57:$AF57)*consmultiplier</f>
        <v>0</v>
      </c>
      <c r="N102" s="238">
        <f>SUMIF(Qty!$M$7:$AF$7,N$50,Qty!$M57:$AF57)*consmultiplier</f>
        <v>0</v>
      </c>
      <c r="O102" s="238">
        <f t="shared" si="21"/>
        <v>0</v>
      </c>
      <c r="P102" s="239"/>
      <c r="Q102" s="238">
        <f>SUMIF(Qty!$M$7:$AF$7,Q$50,Qty!$M57:$AF57)*consmultiplier</f>
        <v>0</v>
      </c>
      <c r="R102" s="238">
        <f t="shared" si="22"/>
        <v>0</v>
      </c>
      <c r="S102" s="90"/>
      <c r="T102" s="19"/>
      <c r="U102" s="19"/>
      <c r="V102" s="19"/>
      <c r="W102" s="19"/>
      <c r="X102" s="19"/>
    </row>
    <row r="103" spans="1:24" hidden="1" outlineLevel="3" x14ac:dyDescent="0.2">
      <c r="A103" s="19"/>
      <c r="B103" s="19"/>
      <c r="C103" s="506">
        <f>Qty!C58</f>
        <v>0</v>
      </c>
      <c r="D103" s="505">
        <f>Qty!D58</f>
        <v>0</v>
      </c>
      <c r="E103" s="505">
        <f>Qty!E58</f>
        <v>0</v>
      </c>
      <c r="F103" s="505">
        <f>Qty!F58</f>
        <v>0</v>
      </c>
      <c r="G103" s="505">
        <f>Qty!G58</f>
        <v>0</v>
      </c>
      <c r="H103" s="58"/>
      <c r="I103" s="238">
        <f>Qty!M58</f>
        <v>0</v>
      </c>
      <c r="J103" s="239"/>
      <c r="K103" s="238">
        <f>SUMIF(Qty!$M$7:$AF$7,K$50,Qty!$M58:$AF58)*consmultiplier</f>
        <v>0</v>
      </c>
      <c r="L103" s="238">
        <f>SUMIF(Qty!$M$7:$AF$7,L$50,Qty!$M58:$AF58)*consmultiplier</f>
        <v>0</v>
      </c>
      <c r="M103" s="238">
        <f>SUMIF(Qty!$M$7:$AF$7,M$50,Qty!$M58:$AF58)*consmultiplier</f>
        <v>0</v>
      </c>
      <c r="N103" s="238">
        <f>SUMIF(Qty!$M$7:$AF$7,N$50,Qty!$M58:$AF58)*consmultiplier</f>
        <v>0</v>
      </c>
      <c r="O103" s="238">
        <f t="shared" si="21"/>
        <v>0</v>
      </c>
      <c r="P103" s="239"/>
      <c r="Q103" s="238">
        <f>SUMIF(Qty!$M$7:$AF$7,Q$50,Qty!$M58:$AF58)*consmultiplier</f>
        <v>0</v>
      </c>
      <c r="R103" s="238">
        <f t="shared" si="22"/>
        <v>0</v>
      </c>
      <c r="S103" s="90"/>
      <c r="T103" s="19"/>
      <c r="U103" s="19"/>
      <c r="V103" s="19"/>
      <c r="W103" s="19"/>
      <c r="X103" s="19"/>
    </row>
    <row r="104" spans="1:24" hidden="1" outlineLevel="3" x14ac:dyDescent="0.2">
      <c r="A104" s="19"/>
      <c r="B104" s="19"/>
      <c r="C104" s="506">
        <f>Qty!C59</f>
        <v>0</v>
      </c>
      <c r="D104" s="505">
        <f>Qty!D59</f>
        <v>0</v>
      </c>
      <c r="E104" s="505">
        <f>Qty!E59</f>
        <v>0</v>
      </c>
      <c r="F104" s="505">
        <f>Qty!F59</f>
        <v>0</v>
      </c>
      <c r="G104" s="505">
        <f>Qty!G59</f>
        <v>0</v>
      </c>
      <c r="H104" s="58"/>
      <c r="I104" s="238">
        <f>Qty!M59</f>
        <v>0</v>
      </c>
      <c r="J104" s="239"/>
      <c r="K104" s="238">
        <f>SUMIF(Qty!$M$7:$AF$7,K$50,Qty!$M59:$AF59)*consmultiplier</f>
        <v>0</v>
      </c>
      <c r="L104" s="238">
        <f>SUMIF(Qty!$M$7:$AF$7,L$50,Qty!$M59:$AF59)*consmultiplier</f>
        <v>0</v>
      </c>
      <c r="M104" s="238">
        <f>SUMIF(Qty!$M$7:$AF$7,M$50,Qty!$M59:$AF59)*consmultiplier</f>
        <v>0</v>
      </c>
      <c r="N104" s="238">
        <f>SUMIF(Qty!$M$7:$AF$7,N$50,Qty!$M59:$AF59)*consmultiplier</f>
        <v>0</v>
      </c>
      <c r="O104" s="238">
        <f t="shared" si="21"/>
        <v>0</v>
      </c>
      <c r="P104" s="239"/>
      <c r="Q104" s="238">
        <f>SUMIF(Qty!$M$7:$AF$7,Q$50,Qty!$M59:$AF59)*consmultiplier</f>
        <v>0</v>
      </c>
      <c r="R104" s="238">
        <f t="shared" si="22"/>
        <v>0</v>
      </c>
      <c r="S104" s="90"/>
      <c r="T104" s="19"/>
      <c r="U104" s="19"/>
      <c r="V104" s="19"/>
      <c r="W104" s="19"/>
      <c r="X104" s="19"/>
    </row>
    <row r="105" spans="1:24" hidden="1" outlineLevel="3" x14ac:dyDescent="0.2">
      <c r="A105" s="19"/>
      <c r="B105" s="19"/>
      <c r="C105" s="506">
        <f>Qty!C60</f>
        <v>0</v>
      </c>
      <c r="D105" s="505">
        <f>Qty!D60</f>
        <v>0</v>
      </c>
      <c r="E105" s="505">
        <f>Qty!E60</f>
        <v>0</v>
      </c>
      <c r="F105" s="505">
        <f>Qty!F60</f>
        <v>0</v>
      </c>
      <c r="G105" s="505">
        <f>Qty!G60</f>
        <v>0</v>
      </c>
      <c r="H105" s="58"/>
      <c r="I105" s="238">
        <f>Qty!M60</f>
        <v>0</v>
      </c>
      <c r="J105" s="239"/>
      <c r="K105" s="238">
        <f>SUMIF(Qty!$M$7:$AF$7,K$50,Qty!$M60:$AF60)*consmultiplier</f>
        <v>0</v>
      </c>
      <c r="L105" s="238">
        <f>SUMIF(Qty!$M$7:$AF$7,L$50,Qty!$M60:$AF60)*consmultiplier</f>
        <v>0</v>
      </c>
      <c r="M105" s="238">
        <f>SUMIF(Qty!$M$7:$AF$7,M$50,Qty!$M60:$AF60)*consmultiplier</f>
        <v>0</v>
      </c>
      <c r="N105" s="238">
        <f>SUMIF(Qty!$M$7:$AF$7,N$50,Qty!$M60:$AF60)*consmultiplier</f>
        <v>0</v>
      </c>
      <c r="O105" s="238">
        <f t="shared" si="21"/>
        <v>0</v>
      </c>
      <c r="P105" s="239"/>
      <c r="Q105" s="238">
        <f>SUMIF(Qty!$M$7:$AF$7,Q$50,Qty!$M60:$AF60)*consmultiplier</f>
        <v>0</v>
      </c>
      <c r="R105" s="238">
        <f t="shared" si="22"/>
        <v>0</v>
      </c>
      <c r="S105" s="90"/>
      <c r="T105" s="19"/>
      <c r="U105" s="19"/>
      <c r="V105" s="19"/>
      <c r="W105" s="19"/>
      <c r="X105" s="19"/>
    </row>
    <row r="106" spans="1:24" hidden="1" outlineLevel="3" x14ac:dyDescent="0.2">
      <c r="A106" s="19"/>
      <c r="B106" s="19"/>
      <c r="C106" s="506">
        <f>Qty!C61</f>
        <v>0</v>
      </c>
      <c r="D106" s="505">
        <f>Qty!D61</f>
        <v>0</v>
      </c>
      <c r="E106" s="505">
        <f>Qty!E61</f>
        <v>0</v>
      </c>
      <c r="F106" s="505">
        <f>Qty!F61</f>
        <v>0</v>
      </c>
      <c r="G106" s="505">
        <f>Qty!G61</f>
        <v>0</v>
      </c>
      <c r="H106" s="58"/>
      <c r="I106" s="238">
        <f>Qty!M61</f>
        <v>0</v>
      </c>
      <c r="J106" s="239"/>
      <c r="K106" s="238">
        <f>SUMIF(Qty!$M$7:$AF$7,K$50,Qty!$M61:$AF61)*consmultiplier</f>
        <v>0</v>
      </c>
      <c r="L106" s="238">
        <f>SUMIF(Qty!$M$7:$AF$7,L$50,Qty!$M61:$AF61)*consmultiplier</f>
        <v>0</v>
      </c>
      <c r="M106" s="238">
        <f>SUMIF(Qty!$M$7:$AF$7,M$50,Qty!$M61:$AF61)*consmultiplier</f>
        <v>0</v>
      </c>
      <c r="N106" s="238">
        <f>SUMIF(Qty!$M$7:$AF$7,N$50,Qty!$M61:$AF61)*consmultiplier</f>
        <v>0</v>
      </c>
      <c r="O106" s="238">
        <f t="shared" si="21"/>
        <v>0</v>
      </c>
      <c r="P106" s="239"/>
      <c r="Q106" s="238">
        <f>SUMIF(Qty!$M$7:$AF$7,Q$50,Qty!$M61:$AF61)*consmultiplier</f>
        <v>0</v>
      </c>
      <c r="R106" s="238">
        <f t="shared" si="22"/>
        <v>0</v>
      </c>
      <c r="S106" s="90"/>
      <c r="T106" s="19"/>
      <c r="U106" s="19"/>
      <c r="V106" s="19"/>
      <c r="W106" s="19"/>
      <c r="X106" s="19"/>
    </row>
    <row r="107" spans="1:24" hidden="1" outlineLevel="3" x14ac:dyDescent="0.2">
      <c r="A107" s="19"/>
      <c r="B107" s="19"/>
      <c r="C107" s="506">
        <f>Qty!C62</f>
        <v>0</v>
      </c>
      <c r="D107" s="505">
        <f>Qty!D62</f>
        <v>0</v>
      </c>
      <c r="E107" s="505">
        <f>Qty!E62</f>
        <v>0</v>
      </c>
      <c r="F107" s="505">
        <f>Qty!F62</f>
        <v>0</v>
      </c>
      <c r="G107" s="505">
        <f>Qty!G62</f>
        <v>0</v>
      </c>
      <c r="H107" s="58"/>
      <c r="I107" s="238">
        <f>Qty!M62</f>
        <v>0</v>
      </c>
      <c r="J107" s="239"/>
      <c r="K107" s="238">
        <f>SUMIF(Qty!$M$7:$AF$7,K$50,Qty!$M62:$AF62)*consmultiplier</f>
        <v>0</v>
      </c>
      <c r="L107" s="238">
        <f>SUMIF(Qty!$M$7:$AF$7,L$50,Qty!$M62:$AF62)*consmultiplier</f>
        <v>0</v>
      </c>
      <c r="M107" s="238">
        <f>SUMIF(Qty!$M$7:$AF$7,M$50,Qty!$M62:$AF62)*consmultiplier</f>
        <v>0</v>
      </c>
      <c r="N107" s="238">
        <f>SUMIF(Qty!$M$7:$AF$7,N$50,Qty!$M62:$AF62)*consmultiplier</f>
        <v>0</v>
      </c>
      <c r="O107" s="238">
        <f t="shared" si="21"/>
        <v>0</v>
      </c>
      <c r="P107" s="239"/>
      <c r="Q107" s="238">
        <f>SUMIF(Qty!$M$7:$AF$7,Q$50,Qty!$M62:$AF62)*consmultiplier</f>
        <v>0</v>
      </c>
      <c r="R107" s="238">
        <f t="shared" si="22"/>
        <v>0</v>
      </c>
      <c r="S107" s="90"/>
      <c r="T107" s="19"/>
      <c r="U107" s="19"/>
      <c r="V107" s="19"/>
      <c r="W107" s="19"/>
      <c r="X107" s="19"/>
    </row>
    <row r="108" spans="1:24" hidden="1" outlineLevel="3" x14ac:dyDescent="0.2">
      <c r="A108" s="19"/>
      <c r="B108" s="19"/>
      <c r="C108" s="506">
        <f>Qty!C63</f>
        <v>0</v>
      </c>
      <c r="D108" s="505">
        <f>Qty!D63</f>
        <v>0</v>
      </c>
      <c r="E108" s="505">
        <f>Qty!E63</f>
        <v>0</v>
      </c>
      <c r="F108" s="505">
        <f>Qty!F63</f>
        <v>0</v>
      </c>
      <c r="G108" s="505">
        <f>Qty!G63</f>
        <v>0</v>
      </c>
      <c r="H108" s="58"/>
      <c r="I108" s="238">
        <f>Qty!M63</f>
        <v>0</v>
      </c>
      <c r="J108" s="239"/>
      <c r="K108" s="238">
        <f>SUMIF(Qty!$M$7:$AF$7,K$50,Qty!$M63:$AF63)*consmultiplier</f>
        <v>0</v>
      </c>
      <c r="L108" s="238">
        <f>SUMIF(Qty!$M$7:$AF$7,L$50,Qty!$M63:$AF63)*consmultiplier</f>
        <v>0</v>
      </c>
      <c r="M108" s="238">
        <f>SUMIF(Qty!$M$7:$AF$7,M$50,Qty!$M63:$AF63)*consmultiplier</f>
        <v>0</v>
      </c>
      <c r="N108" s="238">
        <f>SUMIF(Qty!$M$7:$AF$7,N$50,Qty!$M63:$AF63)*consmultiplier</f>
        <v>0</v>
      </c>
      <c r="O108" s="238">
        <f t="shared" si="21"/>
        <v>0</v>
      </c>
      <c r="P108" s="239"/>
      <c r="Q108" s="238">
        <f>SUMIF(Qty!$M$7:$AF$7,Q$50,Qty!$M63:$AF63)*consmultiplier</f>
        <v>0</v>
      </c>
      <c r="R108" s="238">
        <f t="shared" si="22"/>
        <v>0</v>
      </c>
      <c r="S108" s="90"/>
      <c r="T108" s="19"/>
      <c r="U108" s="19"/>
      <c r="V108" s="19"/>
      <c r="W108" s="19"/>
      <c r="X108" s="19"/>
    </row>
    <row r="109" spans="1:24" hidden="1" outlineLevel="3" x14ac:dyDescent="0.2">
      <c r="A109" s="19"/>
      <c r="B109" s="19"/>
      <c r="C109" s="506">
        <f>Qty!C64</f>
        <v>0</v>
      </c>
      <c r="D109" s="505">
        <f>Qty!D64</f>
        <v>0</v>
      </c>
      <c r="E109" s="505">
        <f>Qty!E64</f>
        <v>0</v>
      </c>
      <c r="F109" s="505">
        <f>Qty!F64</f>
        <v>0</v>
      </c>
      <c r="G109" s="505">
        <f>Qty!G64</f>
        <v>0</v>
      </c>
      <c r="H109" s="58"/>
      <c r="I109" s="238">
        <f>Qty!M64</f>
        <v>0</v>
      </c>
      <c r="J109" s="239"/>
      <c r="K109" s="238">
        <f>SUMIF(Qty!$M$7:$AF$7,K$50,Qty!$M64:$AF64)*consmultiplier</f>
        <v>0</v>
      </c>
      <c r="L109" s="238">
        <f>SUMIF(Qty!$M$7:$AF$7,L$50,Qty!$M64:$AF64)*consmultiplier</f>
        <v>0</v>
      </c>
      <c r="M109" s="238">
        <f>SUMIF(Qty!$M$7:$AF$7,M$50,Qty!$M64:$AF64)*consmultiplier</f>
        <v>0</v>
      </c>
      <c r="N109" s="238">
        <f>SUMIF(Qty!$M$7:$AF$7,N$50,Qty!$M64:$AF64)*consmultiplier</f>
        <v>0</v>
      </c>
      <c r="O109" s="238">
        <f t="shared" si="21"/>
        <v>0</v>
      </c>
      <c r="P109" s="239"/>
      <c r="Q109" s="238">
        <f>SUMIF(Qty!$M$7:$AF$7,Q$50,Qty!$M64:$AF64)*consmultiplier</f>
        <v>0</v>
      </c>
      <c r="R109" s="238">
        <f t="shared" si="22"/>
        <v>0</v>
      </c>
      <c r="S109" s="90"/>
      <c r="T109" s="19"/>
      <c r="U109" s="19"/>
      <c r="V109" s="19"/>
      <c r="W109" s="19"/>
      <c r="X109" s="19"/>
    </row>
    <row r="110" spans="1:24" hidden="1" outlineLevel="3" x14ac:dyDescent="0.2">
      <c r="A110" s="19"/>
      <c r="B110" s="19"/>
      <c r="C110" s="506">
        <f>Qty!C65</f>
        <v>0</v>
      </c>
      <c r="D110" s="505">
        <f>Qty!D65</f>
        <v>0</v>
      </c>
      <c r="E110" s="505">
        <f>Qty!E65</f>
        <v>0</v>
      </c>
      <c r="F110" s="505">
        <f>Qty!F65</f>
        <v>0</v>
      </c>
      <c r="G110" s="505">
        <f>Qty!G65</f>
        <v>0</v>
      </c>
      <c r="H110" s="58"/>
      <c r="I110" s="238">
        <f>Qty!M65</f>
        <v>0</v>
      </c>
      <c r="J110" s="239"/>
      <c r="K110" s="238">
        <f>SUMIF(Qty!$M$7:$AF$7,K$50,Qty!$M65:$AF65)*consmultiplier</f>
        <v>0</v>
      </c>
      <c r="L110" s="238">
        <f>SUMIF(Qty!$M$7:$AF$7,L$50,Qty!$M65:$AF65)*consmultiplier</f>
        <v>0</v>
      </c>
      <c r="M110" s="238">
        <f>SUMIF(Qty!$M$7:$AF$7,M$50,Qty!$M65:$AF65)*consmultiplier</f>
        <v>0</v>
      </c>
      <c r="N110" s="238">
        <f>SUMIF(Qty!$M$7:$AF$7,N$50,Qty!$M65:$AF65)*consmultiplier</f>
        <v>0</v>
      </c>
      <c r="O110" s="238">
        <f t="shared" si="21"/>
        <v>0</v>
      </c>
      <c r="P110" s="239"/>
      <c r="Q110" s="238">
        <f>SUMIF(Qty!$M$7:$AF$7,Q$50,Qty!$M65:$AF65)*consmultiplier</f>
        <v>0</v>
      </c>
      <c r="R110" s="238">
        <f t="shared" si="22"/>
        <v>0</v>
      </c>
      <c r="S110" s="90"/>
      <c r="T110" s="19"/>
      <c r="U110" s="19"/>
      <c r="V110" s="19"/>
      <c r="W110" s="19"/>
      <c r="X110" s="19"/>
    </row>
    <row r="111" spans="1:24" hidden="1" outlineLevel="3" x14ac:dyDescent="0.2">
      <c r="A111" s="19"/>
      <c r="B111" s="19"/>
      <c r="C111" s="506">
        <f>Qty!C66</f>
        <v>0</v>
      </c>
      <c r="D111" s="505">
        <f>Qty!D66</f>
        <v>0</v>
      </c>
      <c r="E111" s="505">
        <f>Qty!E66</f>
        <v>0</v>
      </c>
      <c r="F111" s="505">
        <f>Qty!F66</f>
        <v>0</v>
      </c>
      <c r="G111" s="505">
        <f>Qty!G66</f>
        <v>0</v>
      </c>
      <c r="H111" s="58"/>
      <c r="I111" s="238">
        <f>Qty!M66</f>
        <v>0</v>
      </c>
      <c r="J111" s="239"/>
      <c r="K111" s="238">
        <f>SUMIF(Qty!$M$7:$AF$7,K$50,Qty!$M66:$AF66)*consmultiplier</f>
        <v>0</v>
      </c>
      <c r="L111" s="238">
        <f>SUMIF(Qty!$M$7:$AF$7,L$50,Qty!$M66:$AF66)*consmultiplier</f>
        <v>0</v>
      </c>
      <c r="M111" s="238">
        <f>SUMIF(Qty!$M$7:$AF$7,M$50,Qty!$M66:$AF66)*consmultiplier</f>
        <v>0</v>
      </c>
      <c r="N111" s="238">
        <f>SUMIF(Qty!$M$7:$AF$7,N$50,Qty!$M66:$AF66)*consmultiplier</f>
        <v>0</v>
      </c>
      <c r="O111" s="238">
        <f t="shared" si="21"/>
        <v>0</v>
      </c>
      <c r="P111" s="239"/>
      <c r="Q111" s="238">
        <f>SUMIF(Qty!$M$7:$AF$7,Q$50,Qty!$M66:$AF66)*consmultiplier</f>
        <v>0</v>
      </c>
      <c r="R111" s="238">
        <f t="shared" si="22"/>
        <v>0</v>
      </c>
      <c r="S111" s="90"/>
      <c r="T111" s="19"/>
      <c r="U111" s="19"/>
      <c r="V111" s="19"/>
      <c r="W111" s="19"/>
      <c r="X111" s="19"/>
    </row>
    <row r="112" spans="1:24" hidden="1" outlineLevel="3" x14ac:dyDescent="0.2">
      <c r="A112" s="19"/>
      <c r="B112" s="19"/>
      <c r="C112" s="506">
        <f>Qty!C67</f>
        <v>0</v>
      </c>
      <c r="D112" s="505">
        <f>Qty!D67</f>
        <v>0</v>
      </c>
      <c r="E112" s="505">
        <f>Qty!E67</f>
        <v>0</v>
      </c>
      <c r="F112" s="505">
        <f>Qty!F67</f>
        <v>0</v>
      </c>
      <c r="G112" s="505">
        <f>Qty!G67</f>
        <v>0</v>
      </c>
      <c r="H112" s="58"/>
      <c r="I112" s="238">
        <f>Qty!M67</f>
        <v>0</v>
      </c>
      <c r="J112" s="239"/>
      <c r="K112" s="238">
        <f>SUMIF(Qty!$M$7:$AF$7,K$50,Qty!$M67:$AF67)*consmultiplier</f>
        <v>0</v>
      </c>
      <c r="L112" s="238">
        <f>SUMIF(Qty!$M$7:$AF$7,L$50,Qty!$M67:$AF67)*consmultiplier</f>
        <v>0</v>
      </c>
      <c r="M112" s="238">
        <f>SUMIF(Qty!$M$7:$AF$7,M$50,Qty!$M67:$AF67)*consmultiplier</f>
        <v>0</v>
      </c>
      <c r="N112" s="238">
        <f>SUMIF(Qty!$M$7:$AF$7,N$50,Qty!$M67:$AF67)*consmultiplier</f>
        <v>0</v>
      </c>
      <c r="O112" s="238">
        <f t="shared" si="21"/>
        <v>0</v>
      </c>
      <c r="P112" s="239"/>
      <c r="Q112" s="238">
        <f>SUMIF(Qty!$M$7:$AF$7,Q$50,Qty!$M67:$AF67)*consmultiplier</f>
        <v>0</v>
      </c>
      <c r="R112" s="238">
        <f t="shared" si="22"/>
        <v>0</v>
      </c>
      <c r="S112" s="90"/>
      <c r="T112" s="19"/>
      <c r="U112" s="19"/>
      <c r="V112" s="19"/>
      <c r="W112" s="19"/>
      <c r="X112" s="19"/>
    </row>
    <row r="113" spans="1:24" hidden="1" outlineLevel="3" x14ac:dyDescent="0.2">
      <c r="A113" s="19"/>
      <c r="B113" s="19"/>
      <c r="C113" s="506">
        <f>Qty!C68</f>
        <v>0</v>
      </c>
      <c r="D113" s="505">
        <f>Qty!D68</f>
        <v>0</v>
      </c>
      <c r="E113" s="505">
        <f>Qty!E68</f>
        <v>0</v>
      </c>
      <c r="F113" s="505">
        <f>Qty!F68</f>
        <v>0</v>
      </c>
      <c r="G113" s="505">
        <f>Qty!G68</f>
        <v>0</v>
      </c>
      <c r="H113" s="58"/>
      <c r="I113" s="238">
        <f>Qty!M68</f>
        <v>0</v>
      </c>
      <c r="J113" s="239"/>
      <c r="K113" s="238">
        <f>SUMIF(Qty!$M$7:$AF$7,K$50,Qty!$M68:$AF68)*consmultiplier</f>
        <v>0</v>
      </c>
      <c r="L113" s="238">
        <f>SUMIF(Qty!$M$7:$AF$7,L$50,Qty!$M68:$AF68)*consmultiplier</f>
        <v>0</v>
      </c>
      <c r="M113" s="238">
        <f>SUMIF(Qty!$M$7:$AF$7,M$50,Qty!$M68:$AF68)*consmultiplier</f>
        <v>0</v>
      </c>
      <c r="N113" s="238">
        <f>SUMIF(Qty!$M$7:$AF$7,N$50,Qty!$M68:$AF68)*consmultiplier</f>
        <v>0</v>
      </c>
      <c r="O113" s="238">
        <f t="shared" si="21"/>
        <v>0</v>
      </c>
      <c r="P113" s="239"/>
      <c r="Q113" s="238">
        <f>SUMIF(Qty!$M$7:$AF$7,Q$50,Qty!$M68:$AF68)*consmultiplier</f>
        <v>0</v>
      </c>
      <c r="R113" s="238">
        <f t="shared" si="22"/>
        <v>0</v>
      </c>
      <c r="S113" s="90"/>
      <c r="T113" s="19"/>
      <c r="U113" s="19"/>
      <c r="V113" s="19"/>
      <c r="W113" s="19"/>
      <c r="X113" s="19"/>
    </row>
    <row r="114" spans="1:24" hidden="1" outlineLevel="3" x14ac:dyDescent="0.2">
      <c r="A114" s="19"/>
      <c r="B114" s="19"/>
      <c r="C114" s="506">
        <f>Qty!C69</f>
        <v>0</v>
      </c>
      <c r="D114" s="505">
        <f>Qty!D69</f>
        <v>0</v>
      </c>
      <c r="E114" s="505">
        <f>Qty!E69</f>
        <v>0</v>
      </c>
      <c r="F114" s="505">
        <f>Qty!F69</f>
        <v>0</v>
      </c>
      <c r="G114" s="505">
        <f>Qty!G69</f>
        <v>0</v>
      </c>
      <c r="H114" s="58"/>
      <c r="I114" s="238">
        <f>Qty!M69</f>
        <v>0</v>
      </c>
      <c r="J114" s="239"/>
      <c r="K114" s="238">
        <f>SUMIF(Qty!$M$7:$AF$7,K$50,Qty!$M69:$AF69)*consmultiplier</f>
        <v>0</v>
      </c>
      <c r="L114" s="238">
        <f>SUMIF(Qty!$M$7:$AF$7,L$50,Qty!$M69:$AF69)*consmultiplier</f>
        <v>0</v>
      </c>
      <c r="M114" s="238">
        <f>SUMIF(Qty!$M$7:$AF$7,M$50,Qty!$M69:$AF69)*consmultiplier</f>
        <v>0</v>
      </c>
      <c r="N114" s="238">
        <f>SUMIF(Qty!$M$7:$AF$7,N$50,Qty!$M69:$AF69)*consmultiplier</f>
        <v>0</v>
      </c>
      <c r="O114" s="238">
        <f t="shared" si="21"/>
        <v>0</v>
      </c>
      <c r="P114" s="239"/>
      <c r="Q114" s="238">
        <f>SUMIF(Qty!$M$7:$AF$7,Q$50,Qty!$M69:$AF69)*consmultiplier</f>
        <v>0</v>
      </c>
      <c r="R114" s="238">
        <f t="shared" si="22"/>
        <v>0</v>
      </c>
      <c r="S114" s="90"/>
      <c r="T114" s="19"/>
      <c r="U114" s="19"/>
      <c r="V114" s="19"/>
      <c r="W114" s="19"/>
      <c r="X114" s="19"/>
    </row>
    <row r="115" spans="1:24" hidden="1" outlineLevel="3" x14ac:dyDescent="0.2">
      <c r="A115" s="19"/>
      <c r="B115" s="19"/>
      <c r="C115" s="506">
        <f>Qty!C70</f>
        <v>0</v>
      </c>
      <c r="D115" s="505">
        <f>Qty!D70</f>
        <v>0</v>
      </c>
      <c r="E115" s="505">
        <f>Qty!E70</f>
        <v>0</v>
      </c>
      <c r="F115" s="505">
        <f>Qty!F70</f>
        <v>0</v>
      </c>
      <c r="G115" s="505">
        <f>Qty!G70</f>
        <v>0</v>
      </c>
      <c r="H115" s="58"/>
      <c r="I115" s="238">
        <f>Qty!M70</f>
        <v>0</v>
      </c>
      <c r="J115" s="239"/>
      <c r="K115" s="238">
        <f>SUMIF(Qty!$M$7:$AF$7,K$50,Qty!$M70:$AF70)*consmultiplier</f>
        <v>0</v>
      </c>
      <c r="L115" s="238">
        <f>SUMIF(Qty!$M$7:$AF$7,L$50,Qty!$M70:$AF70)*consmultiplier</f>
        <v>0</v>
      </c>
      <c r="M115" s="238">
        <f>SUMIF(Qty!$M$7:$AF$7,M$50,Qty!$M70:$AF70)*consmultiplier</f>
        <v>0</v>
      </c>
      <c r="N115" s="238">
        <f>SUMIF(Qty!$M$7:$AF$7,N$50,Qty!$M70:$AF70)*consmultiplier</f>
        <v>0</v>
      </c>
      <c r="O115" s="238">
        <f t="shared" si="21"/>
        <v>0</v>
      </c>
      <c r="P115" s="239"/>
      <c r="Q115" s="238">
        <f>SUMIF(Qty!$M$7:$AF$7,Q$50,Qty!$M70:$AF70)*consmultiplier</f>
        <v>0</v>
      </c>
      <c r="R115" s="238">
        <f t="shared" si="22"/>
        <v>0</v>
      </c>
      <c r="S115" s="90"/>
      <c r="T115" s="19"/>
      <c r="U115" s="19"/>
      <c r="V115" s="19"/>
      <c r="W115" s="19"/>
      <c r="X115" s="19"/>
    </row>
    <row r="116" spans="1:24" hidden="1" outlineLevel="3" x14ac:dyDescent="0.2">
      <c r="A116" s="19"/>
      <c r="B116" s="19"/>
      <c r="C116" s="506">
        <f>Qty!C71</f>
        <v>0</v>
      </c>
      <c r="D116" s="505">
        <f>Qty!D71</f>
        <v>0</v>
      </c>
      <c r="E116" s="505">
        <f>Qty!E71</f>
        <v>0</v>
      </c>
      <c r="F116" s="505">
        <f>Qty!F71</f>
        <v>0</v>
      </c>
      <c r="G116" s="505">
        <f>Qty!G71</f>
        <v>0</v>
      </c>
      <c r="H116" s="58"/>
      <c r="I116" s="238">
        <f>Qty!M71</f>
        <v>0</v>
      </c>
      <c r="J116" s="239"/>
      <c r="K116" s="238">
        <f>SUMIF(Qty!$M$7:$AF$7,K$50,Qty!$M71:$AF71)*consmultiplier</f>
        <v>0</v>
      </c>
      <c r="L116" s="238">
        <f>SUMIF(Qty!$M$7:$AF$7,L$50,Qty!$M71:$AF71)*consmultiplier</f>
        <v>0</v>
      </c>
      <c r="M116" s="238">
        <f>SUMIF(Qty!$M$7:$AF$7,M$50,Qty!$M71:$AF71)*consmultiplier</f>
        <v>0</v>
      </c>
      <c r="N116" s="238">
        <f>SUMIF(Qty!$M$7:$AF$7,N$50,Qty!$M71:$AF71)*consmultiplier</f>
        <v>0</v>
      </c>
      <c r="O116" s="238">
        <f t="shared" si="21"/>
        <v>0</v>
      </c>
      <c r="P116" s="239"/>
      <c r="Q116" s="238">
        <f>SUMIF(Qty!$M$7:$AF$7,Q$50,Qty!$M71:$AF71)*consmultiplier</f>
        <v>0</v>
      </c>
      <c r="R116" s="238">
        <f t="shared" si="22"/>
        <v>0</v>
      </c>
      <c r="S116" s="90"/>
      <c r="T116" s="19"/>
      <c r="U116" s="19"/>
      <c r="V116" s="19"/>
      <c r="W116" s="19"/>
      <c r="X116" s="19"/>
    </row>
    <row r="117" spans="1:24" hidden="1" outlineLevel="3" x14ac:dyDescent="0.2">
      <c r="A117" s="19"/>
      <c r="B117" s="19"/>
      <c r="C117" s="506">
        <f>Qty!C72</f>
        <v>0</v>
      </c>
      <c r="D117" s="505">
        <f>Qty!D72</f>
        <v>0</v>
      </c>
      <c r="E117" s="505">
        <f>Qty!E72</f>
        <v>0</v>
      </c>
      <c r="F117" s="505">
        <f>Qty!F72</f>
        <v>0</v>
      </c>
      <c r="G117" s="505">
        <f>Qty!G72</f>
        <v>0</v>
      </c>
      <c r="H117" s="58"/>
      <c r="I117" s="238">
        <f>Qty!M72</f>
        <v>0</v>
      </c>
      <c r="J117" s="239"/>
      <c r="K117" s="238">
        <f>SUMIF(Qty!$M$7:$AF$7,K$50,Qty!$M72:$AF72)*consmultiplier</f>
        <v>0</v>
      </c>
      <c r="L117" s="238">
        <f>SUMIF(Qty!$M$7:$AF$7,L$50,Qty!$M72:$AF72)*consmultiplier</f>
        <v>0</v>
      </c>
      <c r="M117" s="238">
        <f>SUMIF(Qty!$M$7:$AF$7,M$50,Qty!$M72:$AF72)*consmultiplier</f>
        <v>0</v>
      </c>
      <c r="N117" s="238">
        <f>SUMIF(Qty!$M$7:$AF$7,N$50,Qty!$M72:$AF72)*consmultiplier</f>
        <v>0</v>
      </c>
      <c r="O117" s="238">
        <f t="shared" si="21"/>
        <v>0</v>
      </c>
      <c r="P117" s="239"/>
      <c r="Q117" s="238">
        <f>SUMIF(Qty!$M$7:$AF$7,Q$50,Qty!$M72:$AF72)*consmultiplier</f>
        <v>0</v>
      </c>
      <c r="R117" s="238">
        <f t="shared" si="22"/>
        <v>0</v>
      </c>
      <c r="S117" s="90"/>
      <c r="T117" s="19"/>
      <c r="U117" s="19"/>
      <c r="V117" s="19"/>
      <c r="W117" s="19"/>
      <c r="X117" s="19"/>
    </row>
    <row r="118" spans="1:24" hidden="1" outlineLevel="3" x14ac:dyDescent="0.2">
      <c r="A118" s="19"/>
      <c r="B118" s="19"/>
      <c r="C118" s="506">
        <f>Qty!C73</f>
        <v>0</v>
      </c>
      <c r="D118" s="505">
        <f>Qty!D73</f>
        <v>0</v>
      </c>
      <c r="E118" s="505">
        <f>Qty!E73</f>
        <v>0</v>
      </c>
      <c r="F118" s="505">
        <f>Qty!F73</f>
        <v>0</v>
      </c>
      <c r="G118" s="505">
        <f>Qty!G73</f>
        <v>0</v>
      </c>
      <c r="H118" s="58"/>
      <c r="I118" s="238">
        <f>Qty!M73</f>
        <v>0</v>
      </c>
      <c r="J118" s="239"/>
      <c r="K118" s="238">
        <f>SUMIF(Qty!$M$7:$AF$7,K$50,Qty!$M73:$AF73)*consmultiplier</f>
        <v>0</v>
      </c>
      <c r="L118" s="238">
        <f>SUMIF(Qty!$M$7:$AF$7,L$50,Qty!$M73:$AF73)*consmultiplier</f>
        <v>0</v>
      </c>
      <c r="M118" s="238">
        <f>SUMIF(Qty!$M$7:$AF$7,M$50,Qty!$M73:$AF73)*consmultiplier</f>
        <v>0</v>
      </c>
      <c r="N118" s="238">
        <f>SUMIF(Qty!$M$7:$AF$7,N$50,Qty!$M73:$AF73)*consmultiplier</f>
        <v>0</v>
      </c>
      <c r="O118" s="238">
        <f t="shared" ref="O118:O127" si="23">SUM(K118:N118)</f>
        <v>0</v>
      </c>
      <c r="P118" s="239"/>
      <c r="Q118" s="238">
        <f>SUMIF(Qty!$M$7:$AF$7,Q$50,Qty!$M73:$AF73)*consmultiplier</f>
        <v>0</v>
      </c>
      <c r="R118" s="238">
        <f t="shared" ref="R118:R127" si="24">O118-Q118</f>
        <v>0</v>
      </c>
      <c r="S118" s="90"/>
      <c r="T118" s="19"/>
      <c r="U118" s="19"/>
      <c r="V118" s="19"/>
      <c r="W118" s="19"/>
      <c r="X118" s="19"/>
    </row>
    <row r="119" spans="1:24" hidden="1" outlineLevel="3" x14ac:dyDescent="0.2">
      <c r="A119" s="19"/>
      <c r="B119" s="19"/>
      <c r="C119" s="506">
        <f>Qty!C74</f>
        <v>0</v>
      </c>
      <c r="D119" s="505">
        <f>Qty!D74</f>
        <v>0</v>
      </c>
      <c r="E119" s="505">
        <f>Qty!E74</f>
        <v>0</v>
      </c>
      <c r="F119" s="505">
        <f>Qty!F74</f>
        <v>0</v>
      </c>
      <c r="G119" s="505">
        <f>Qty!G74</f>
        <v>0</v>
      </c>
      <c r="H119" s="58"/>
      <c r="I119" s="238">
        <f>Qty!M74</f>
        <v>0</v>
      </c>
      <c r="J119" s="239"/>
      <c r="K119" s="238">
        <f>SUMIF(Qty!$M$7:$AF$7,K$50,Qty!$M74:$AF74)*consmultiplier</f>
        <v>0</v>
      </c>
      <c r="L119" s="238">
        <f>SUMIF(Qty!$M$7:$AF$7,L$50,Qty!$M74:$AF74)*consmultiplier</f>
        <v>0</v>
      </c>
      <c r="M119" s="238">
        <f>SUMIF(Qty!$M$7:$AF$7,M$50,Qty!$M74:$AF74)*consmultiplier</f>
        <v>0</v>
      </c>
      <c r="N119" s="238">
        <f>SUMIF(Qty!$M$7:$AF$7,N$50,Qty!$M74:$AF74)*consmultiplier</f>
        <v>0</v>
      </c>
      <c r="O119" s="238">
        <f t="shared" si="23"/>
        <v>0</v>
      </c>
      <c r="P119" s="239"/>
      <c r="Q119" s="238">
        <f>SUMIF(Qty!$M$7:$AF$7,Q$50,Qty!$M74:$AF74)*consmultiplier</f>
        <v>0</v>
      </c>
      <c r="R119" s="238">
        <f t="shared" si="24"/>
        <v>0</v>
      </c>
      <c r="S119" s="90"/>
      <c r="T119" s="19"/>
      <c r="U119" s="19"/>
      <c r="V119" s="19"/>
      <c r="W119" s="19"/>
      <c r="X119" s="19"/>
    </row>
    <row r="120" spans="1:24" hidden="1" outlineLevel="3" x14ac:dyDescent="0.2">
      <c r="A120" s="19"/>
      <c r="B120" s="19"/>
      <c r="C120" s="506">
        <f>Qty!C75</f>
        <v>0</v>
      </c>
      <c r="D120" s="505">
        <f>Qty!D75</f>
        <v>0</v>
      </c>
      <c r="E120" s="505">
        <f>Qty!E75</f>
        <v>0</v>
      </c>
      <c r="F120" s="505">
        <f>Qty!F75</f>
        <v>0</v>
      </c>
      <c r="G120" s="505">
        <f>Qty!G75</f>
        <v>0</v>
      </c>
      <c r="H120" s="58"/>
      <c r="I120" s="238">
        <f>Qty!M75</f>
        <v>0</v>
      </c>
      <c r="J120" s="239"/>
      <c r="K120" s="238">
        <f>SUMIF(Qty!$M$7:$AF$7,K$50,Qty!$M75:$AF75)*consmultiplier</f>
        <v>0</v>
      </c>
      <c r="L120" s="238">
        <f>SUMIF(Qty!$M$7:$AF$7,L$50,Qty!$M75:$AF75)*consmultiplier</f>
        <v>0</v>
      </c>
      <c r="M120" s="238">
        <f>SUMIF(Qty!$M$7:$AF$7,M$50,Qty!$M75:$AF75)*consmultiplier</f>
        <v>0</v>
      </c>
      <c r="N120" s="238">
        <f>SUMIF(Qty!$M$7:$AF$7,N$50,Qty!$M75:$AF75)*consmultiplier</f>
        <v>0</v>
      </c>
      <c r="O120" s="238">
        <f t="shared" si="23"/>
        <v>0</v>
      </c>
      <c r="P120" s="239"/>
      <c r="Q120" s="238">
        <f>SUMIF(Qty!$M$7:$AF$7,Q$50,Qty!$M75:$AF75)*consmultiplier</f>
        <v>0</v>
      </c>
      <c r="R120" s="238">
        <f t="shared" si="24"/>
        <v>0</v>
      </c>
      <c r="S120" s="90"/>
      <c r="T120" s="19"/>
      <c r="U120" s="19"/>
      <c r="V120" s="19"/>
      <c r="W120" s="19"/>
      <c r="X120" s="19"/>
    </row>
    <row r="121" spans="1:24" hidden="1" outlineLevel="3" x14ac:dyDescent="0.2">
      <c r="A121" s="19"/>
      <c r="B121" s="19"/>
      <c r="C121" s="506">
        <f>Qty!C76</f>
        <v>0</v>
      </c>
      <c r="D121" s="505">
        <f>Qty!D76</f>
        <v>0</v>
      </c>
      <c r="E121" s="505">
        <f>Qty!E76</f>
        <v>0</v>
      </c>
      <c r="F121" s="505">
        <f>Qty!F76</f>
        <v>0</v>
      </c>
      <c r="G121" s="505">
        <f>Qty!G76</f>
        <v>0</v>
      </c>
      <c r="H121" s="58"/>
      <c r="I121" s="238">
        <f>Qty!M76</f>
        <v>0</v>
      </c>
      <c r="J121" s="239"/>
      <c r="K121" s="238">
        <f>SUMIF(Qty!$M$7:$AF$7,K$50,Qty!$M76:$AF76)*consmultiplier</f>
        <v>0</v>
      </c>
      <c r="L121" s="238">
        <f>SUMIF(Qty!$M$7:$AF$7,L$50,Qty!$M76:$AF76)*consmultiplier</f>
        <v>0</v>
      </c>
      <c r="M121" s="238">
        <f>SUMIF(Qty!$M$7:$AF$7,M$50,Qty!$M76:$AF76)*consmultiplier</f>
        <v>0</v>
      </c>
      <c r="N121" s="238">
        <f>SUMIF(Qty!$M$7:$AF$7,N$50,Qty!$M76:$AF76)*consmultiplier</f>
        <v>0</v>
      </c>
      <c r="O121" s="238">
        <f t="shared" si="23"/>
        <v>0</v>
      </c>
      <c r="P121" s="239"/>
      <c r="Q121" s="238">
        <f>SUMIF(Qty!$M$7:$AF$7,Q$50,Qty!$M76:$AF76)*consmultiplier</f>
        <v>0</v>
      </c>
      <c r="R121" s="238">
        <f t="shared" si="24"/>
        <v>0</v>
      </c>
      <c r="S121" s="90"/>
      <c r="T121" s="19"/>
      <c r="U121" s="19"/>
      <c r="V121" s="19"/>
      <c r="W121" s="19"/>
      <c r="X121" s="19"/>
    </row>
    <row r="122" spans="1:24" hidden="1" outlineLevel="3" x14ac:dyDescent="0.2">
      <c r="A122" s="19"/>
      <c r="B122" s="19"/>
      <c r="C122" s="506">
        <f>Qty!C77</f>
        <v>0</v>
      </c>
      <c r="D122" s="505">
        <f>Qty!D77</f>
        <v>0</v>
      </c>
      <c r="E122" s="505">
        <f>Qty!E77</f>
        <v>0</v>
      </c>
      <c r="F122" s="505">
        <f>Qty!F77</f>
        <v>0</v>
      </c>
      <c r="G122" s="505">
        <f>Qty!G77</f>
        <v>0</v>
      </c>
      <c r="H122" s="58"/>
      <c r="I122" s="238">
        <f>Qty!M77</f>
        <v>0</v>
      </c>
      <c r="J122" s="239"/>
      <c r="K122" s="238">
        <f>SUMIF(Qty!$M$7:$AF$7,K$50,Qty!$M77:$AF77)*consmultiplier</f>
        <v>0</v>
      </c>
      <c r="L122" s="238">
        <f>SUMIF(Qty!$M$7:$AF$7,L$50,Qty!$M77:$AF77)*consmultiplier</f>
        <v>0</v>
      </c>
      <c r="M122" s="238">
        <f>SUMIF(Qty!$M$7:$AF$7,M$50,Qty!$M77:$AF77)*consmultiplier</f>
        <v>0</v>
      </c>
      <c r="N122" s="238">
        <f>SUMIF(Qty!$M$7:$AF$7,N$50,Qty!$M77:$AF77)*consmultiplier</f>
        <v>0</v>
      </c>
      <c r="O122" s="238">
        <f t="shared" si="23"/>
        <v>0</v>
      </c>
      <c r="P122" s="239"/>
      <c r="Q122" s="238">
        <f>SUMIF(Qty!$M$7:$AF$7,Q$50,Qty!$M77:$AF77)*consmultiplier</f>
        <v>0</v>
      </c>
      <c r="R122" s="238">
        <f t="shared" si="24"/>
        <v>0</v>
      </c>
      <c r="S122" s="90"/>
      <c r="T122" s="19"/>
      <c r="U122" s="19"/>
      <c r="V122" s="19"/>
      <c r="W122" s="19"/>
      <c r="X122" s="19"/>
    </row>
    <row r="123" spans="1:24" hidden="1" outlineLevel="3" x14ac:dyDescent="0.2">
      <c r="A123" s="19"/>
      <c r="B123" s="19"/>
      <c r="C123" s="506">
        <f>Qty!C78</f>
        <v>0</v>
      </c>
      <c r="D123" s="505">
        <f>Qty!D78</f>
        <v>0</v>
      </c>
      <c r="E123" s="505">
        <f>Qty!E78</f>
        <v>0</v>
      </c>
      <c r="F123" s="505">
        <f>Qty!F78</f>
        <v>0</v>
      </c>
      <c r="G123" s="505">
        <f>Qty!G78</f>
        <v>0</v>
      </c>
      <c r="H123" s="58"/>
      <c r="I123" s="238">
        <f>Qty!M78</f>
        <v>0</v>
      </c>
      <c r="J123" s="239"/>
      <c r="K123" s="238">
        <f>SUMIF(Qty!$M$7:$AF$7,K$50,Qty!$M78:$AF78)*consmultiplier</f>
        <v>0</v>
      </c>
      <c r="L123" s="238">
        <f>SUMIF(Qty!$M$7:$AF$7,L$50,Qty!$M78:$AF78)*consmultiplier</f>
        <v>0</v>
      </c>
      <c r="M123" s="238">
        <f>SUMIF(Qty!$M$7:$AF$7,M$50,Qty!$M78:$AF78)*consmultiplier</f>
        <v>0</v>
      </c>
      <c r="N123" s="238">
        <f>SUMIF(Qty!$M$7:$AF$7,N$50,Qty!$M78:$AF78)*consmultiplier</f>
        <v>0</v>
      </c>
      <c r="O123" s="238">
        <f t="shared" si="23"/>
        <v>0</v>
      </c>
      <c r="P123" s="239"/>
      <c r="Q123" s="238">
        <f>SUMIF(Qty!$M$7:$AF$7,Q$50,Qty!$M78:$AF78)*consmultiplier</f>
        <v>0</v>
      </c>
      <c r="R123" s="238">
        <f t="shared" si="24"/>
        <v>0</v>
      </c>
      <c r="S123" s="90"/>
      <c r="T123" s="19"/>
      <c r="U123" s="19"/>
      <c r="V123" s="19"/>
      <c r="W123" s="19"/>
      <c r="X123" s="19"/>
    </row>
    <row r="124" spans="1:24" hidden="1" outlineLevel="3" x14ac:dyDescent="0.2">
      <c r="A124" s="19"/>
      <c r="B124" s="19"/>
      <c r="C124" s="506">
        <f>Qty!C79</f>
        <v>0</v>
      </c>
      <c r="D124" s="505">
        <f>Qty!D79</f>
        <v>0</v>
      </c>
      <c r="E124" s="505">
        <f>Qty!E79</f>
        <v>0</v>
      </c>
      <c r="F124" s="505">
        <f>Qty!F79</f>
        <v>0</v>
      </c>
      <c r="G124" s="505">
        <f>Qty!G79</f>
        <v>0</v>
      </c>
      <c r="H124" s="58"/>
      <c r="I124" s="238">
        <f>Qty!M79</f>
        <v>0</v>
      </c>
      <c r="J124" s="239"/>
      <c r="K124" s="238">
        <f>SUMIF(Qty!$M$7:$AF$7,K$50,Qty!$M79:$AF79)*consmultiplier</f>
        <v>0</v>
      </c>
      <c r="L124" s="238">
        <f>SUMIF(Qty!$M$7:$AF$7,L$50,Qty!$M79:$AF79)*consmultiplier</f>
        <v>0</v>
      </c>
      <c r="M124" s="238">
        <f>SUMIF(Qty!$M$7:$AF$7,M$50,Qty!$M79:$AF79)*consmultiplier</f>
        <v>0</v>
      </c>
      <c r="N124" s="238">
        <f>SUMIF(Qty!$M$7:$AF$7,N$50,Qty!$M79:$AF79)*consmultiplier</f>
        <v>0</v>
      </c>
      <c r="O124" s="238">
        <f t="shared" si="23"/>
        <v>0</v>
      </c>
      <c r="P124" s="239"/>
      <c r="Q124" s="238">
        <f>SUMIF(Qty!$M$7:$AF$7,Q$50,Qty!$M79:$AF79)*consmultiplier</f>
        <v>0</v>
      </c>
      <c r="R124" s="238">
        <f t="shared" si="24"/>
        <v>0</v>
      </c>
      <c r="S124" s="90"/>
      <c r="T124" s="19"/>
      <c r="U124" s="19"/>
      <c r="V124" s="19"/>
      <c r="W124" s="19"/>
      <c r="X124" s="19"/>
    </row>
    <row r="125" spans="1:24" hidden="1" outlineLevel="3" x14ac:dyDescent="0.2">
      <c r="A125" s="19"/>
      <c r="B125" s="19"/>
      <c r="C125" s="506">
        <f>Qty!C80</f>
        <v>0</v>
      </c>
      <c r="D125" s="505">
        <f>Qty!D80</f>
        <v>0</v>
      </c>
      <c r="E125" s="505">
        <f>Qty!E80</f>
        <v>0</v>
      </c>
      <c r="F125" s="505">
        <f>Qty!F80</f>
        <v>0</v>
      </c>
      <c r="G125" s="505">
        <f>Qty!G80</f>
        <v>0</v>
      </c>
      <c r="H125" s="58"/>
      <c r="I125" s="238">
        <f>Qty!M80</f>
        <v>0</v>
      </c>
      <c r="J125" s="239"/>
      <c r="K125" s="238">
        <f>SUMIF(Qty!$M$7:$AF$7,K$50,Qty!$M80:$AF80)*consmultiplier</f>
        <v>0</v>
      </c>
      <c r="L125" s="238">
        <f>SUMIF(Qty!$M$7:$AF$7,L$50,Qty!$M80:$AF80)*consmultiplier</f>
        <v>0</v>
      </c>
      <c r="M125" s="238">
        <f>SUMIF(Qty!$M$7:$AF$7,M$50,Qty!$M80:$AF80)*consmultiplier</f>
        <v>0</v>
      </c>
      <c r="N125" s="238">
        <f>SUMIF(Qty!$M$7:$AF$7,N$50,Qty!$M80:$AF80)*consmultiplier</f>
        <v>0</v>
      </c>
      <c r="O125" s="238">
        <f t="shared" si="23"/>
        <v>0</v>
      </c>
      <c r="P125" s="239"/>
      <c r="Q125" s="238">
        <f>SUMIF(Qty!$M$7:$AF$7,Q$50,Qty!$M80:$AF80)*consmultiplier</f>
        <v>0</v>
      </c>
      <c r="R125" s="238">
        <f t="shared" si="24"/>
        <v>0</v>
      </c>
      <c r="S125" s="90"/>
      <c r="T125" s="19"/>
      <c r="U125" s="19"/>
      <c r="V125" s="19"/>
      <c r="W125" s="19"/>
      <c r="X125" s="19"/>
    </row>
    <row r="126" spans="1:24" hidden="1" outlineLevel="3" x14ac:dyDescent="0.2">
      <c r="A126" s="19"/>
      <c r="B126" s="19"/>
      <c r="C126" s="506">
        <f>Qty!C81</f>
        <v>0</v>
      </c>
      <c r="D126" s="505">
        <f>Qty!D81</f>
        <v>0</v>
      </c>
      <c r="E126" s="505">
        <f>Qty!E81</f>
        <v>0</v>
      </c>
      <c r="F126" s="505">
        <f>Qty!F81</f>
        <v>0</v>
      </c>
      <c r="G126" s="505">
        <f>Qty!G81</f>
        <v>0</v>
      </c>
      <c r="H126" s="58"/>
      <c r="I126" s="238">
        <f>Qty!M81</f>
        <v>0</v>
      </c>
      <c r="J126" s="239"/>
      <c r="K126" s="238">
        <f>SUMIF(Qty!$M$7:$AF$7,K$50,Qty!$M81:$AF81)*consmultiplier</f>
        <v>0</v>
      </c>
      <c r="L126" s="238">
        <f>SUMIF(Qty!$M$7:$AF$7,L$50,Qty!$M81:$AF81)*consmultiplier</f>
        <v>0</v>
      </c>
      <c r="M126" s="238">
        <f>SUMIF(Qty!$M$7:$AF$7,M$50,Qty!$M81:$AF81)*consmultiplier</f>
        <v>0</v>
      </c>
      <c r="N126" s="238">
        <f>SUMIF(Qty!$M$7:$AF$7,N$50,Qty!$M81:$AF81)*consmultiplier</f>
        <v>0</v>
      </c>
      <c r="O126" s="238">
        <f t="shared" si="23"/>
        <v>0</v>
      </c>
      <c r="P126" s="239"/>
      <c r="Q126" s="238">
        <f>SUMIF(Qty!$M$7:$AF$7,Q$50,Qty!$M81:$AF81)*consmultiplier</f>
        <v>0</v>
      </c>
      <c r="R126" s="238">
        <f t="shared" si="24"/>
        <v>0</v>
      </c>
      <c r="S126" s="90"/>
      <c r="T126" s="19"/>
      <c r="U126" s="19"/>
      <c r="V126" s="19"/>
      <c r="W126" s="19"/>
      <c r="X126" s="19"/>
    </row>
    <row r="127" spans="1:24" hidden="1" outlineLevel="3" x14ac:dyDescent="0.2">
      <c r="A127" s="19"/>
      <c r="B127" s="19"/>
      <c r="C127" s="506">
        <f>Qty!C82</f>
        <v>0</v>
      </c>
      <c r="D127" s="505">
        <f>Qty!D82</f>
        <v>0</v>
      </c>
      <c r="E127" s="505">
        <f>Qty!E82</f>
        <v>0</v>
      </c>
      <c r="F127" s="505">
        <f>Qty!F82</f>
        <v>0</v>
      </c>
      <c r="G127" s="505">
        <f>Qty!G82</f>
        <v>0</v>
      </c>
      <c r="H127" s="58"/>
      <c r="I127" s="238">
        <f>Qty!M82</f>
        <v>0</v>
      </c>
      <c r="J127" s="239"/>
      <c r="K127" s="238">
        <f>SUMIF(Qty!$M$7:$AF$7,K$50,Qty!$M82:$AF82)*consmultiplier</f>
        <v>0</v>
      </c>
      <c r="L127" s="238">
        <f>SUMIF(Qty!$M$7:$AF$7,L$50,Qty!$M82:$AF82)*consmultiplier</f>
        <v>0</v>
      </c>
      <c r="M127" s="238">
        <f>SUMIF(Qty!$M$7:$AF$7,M$50,Qty!$M82:$AF82)*consmultiplier</f>
        <v>0</v>
      </c>
      <c r="N127" s="238">
        <f>SUMIF(Qty!$M$7:$AF$7,N$50,Qty!$M82:$AF82)*consmultiplier</f>
        <v>0</v>
      </c>
      <c r="O127" s="238">
        <f t="shared" si="23"/>
        <v>0</v>
      </c>
      <c r="P127" s="239"/>
      <c r="Q127" s="238">
        <f>SUMIF(Qty!$M$7:$AF$7,Q$50,Qty!$M82:$AF82)*consmultiplier</f>
        <v>0</v>
      </c>
      <c r="R127" s="238">
        <f t="shared" si="24"/>
        <v>0</v>
      </c>
      <c r="S127" s="90"/>
      <c r="T127" s="19"/>
      <c r="U127" s="19"/>
      <c r="V127" s="19"/>
      <c r="W127" s="19"/>
      <c r="X127" s="19"/>
    </row>
    <row r="128" spans="1:24" outlineLevel="2" collapsed="1" x14ac:dyDescent="0.2">
      <c r="A128" s="19"/>
      <c r="B128" s="19"/>
      <c r="C128" s="60"/>
      <c r="D128" s="61"/>
      <c r="E128" s="58"/>
      <c r="F128" s="58"/>
      <c r="G128" s="58"/>
      <c r="H128" s="58"/>
      <c r="I128" s="385"/>
      <c r="J128" s="385"/>
      <c r="K128" s="240"/>
      <c r="L128" s="240"/>
      <c r="M128" s="240"/>
      <c r="N128" s="241"/>
      <c r="O128" s="241"/>
      <c r="P128" s="241"/>
      <c r="Q128" s="241"/>
      <c r="R128" s="241"/>
      <c r="S128" s="88"/>
      <c r="T128" s="19"/>
      <c r="U128" s="19"/>
      <c r="V128" s="19"/>
      <c r="W128" s="19"/>
      <c r="X128" s="19"/>
    </row>
    <row r="129" spans="1:24" outlineLevel="1" x14ac:dyDescent="0.2">
      <c r="A129" s="19"/>
      <c r="B129" s="19"/>
      <c r="C129" s="66"/>
      <c r="D129" s="58"/>
      <c r="E129" s="58"/>
      <c r="F129" s="58"/>
      <c r="G129" s="58"/>
      <c r="H129" s="58"/>
      <c r="I129" s="385"/>
      <c r="J129" s="385"/>
      <c r="K129" s="240"/>
      <c r="L129" s="240"/>
      <c r="M129" s="240"/>
      <c r="N129" s="241"/>
      <c r="O129" s="241"/>
      <c r="P129" s="241"/>
      <c r="Q129" s="241"/>
      <c r="R129" s="241"/>
      <c r="S129" s="88"/>
      <c r="T129" s="19"/>
      <c r="U129" s="19"/>
      <c r="V129" s="19"/>
      <c r="W129" s="19"/>
      <c r="X129" s="19"/>
    </row>
    <row r="130" spans="1:24" outlineLevel="1" x14ac:dyDescent="0.2">
      <c r="A130" s="19"/>
      <c r="B130" s="19"/>
      <c r="C130" s="167" t="str">
        <f>"Estimate "&amp;currentyear</f>
        <v>Estimate 2021–22</v>
      </c>
      <c r="D130" s="20"/>
      <c r="E130" s="20"/>
      <c r="F130" s="20"/>
      <c r="G130" s="22"/>
      <c r="H130" s="22"/>
      <c r="I130" s="240"/>
      <c r="J130" s="240"/>
      <c r="K130" s="240"/>
      <c r="L130" s="240"/>
      <c r="M130" s="240"/>
      <c r="N130" s="240"/>
      <c r="O130" s="240"/>
      <c r="P130" s="240"/>
      <c r="Q130" s="240"/>
      <c r="R130" s="240"/>
      <c r="S130" s="88"/>
      <c r="T130" s="19"/>
      <c r="U130" s="19"/>
      <c r="V130" s="19"/>
      <c r="W130" s="19"/>
      <c r="X130" s="19"/>
    </row>
    <row r="131" spans="1:24" outlineLevel="2" x14ac:dyDescent="0.2">
      <c r="A131" s="19"/>
      <c r="B131" s="19"/>
      <c r="C131" s="506" t="str">
        <f>Qty!C87</f>
        <v>Residential time of use consumption</v>
      </c>
      <c r="D131" s="505" t="str">
        <f>Qty!D87</f>
        <v>Residential</v>
      </c>
      <c r="E131" s="505" t="str">
        <f>Qty!E87</f>
        <v>TAS93</v>
      </c>
      <c r="F131" s="505">
        <f>Qty!F87</f>
        <v>0</v>
      </c>
      <c r="G131" s="505">
        <f>Qty!G87</f>
        <v>0</v>
      </c>
      <c r="H131" s="22"/>
      <c r="I131" s="238">
        <f>Qty!M87</f>
        <v>50784.043879690267</v>
      </c>
      <c r="J131" s="239"/>
      <c r="K131" s="238">
        <f>SUMIF(Qty!$M$7:$AF$7,K$50,Qty!$M87:$AF87)*consmultiplier</f>
        <v>0</v>
      </c>
      <c r="L131" s="238">
        <f>SUMIF(Qty!$M$7:$AF$7,L$50,Qty!$M87:$AF87)*consmultiplier</f>
        <v>125.33035819116792</v>
      </c>
      <c r="M131" s="238">
        <f>SUMIF(Qty!$M$7:$AF$7,M$50,Qty!$M87:$AF87)*consmultiplier</f>
        <v>0</v>
      </c>
      <c r="N131" s="238">
        <f>SUMIF(Qty!$M$7:$AF$7,N$50,Qty!$M87:$AF87)*consmultiplier</f>
        <v>283.73753723128112</v>
      </c>
      <c r="O131" s="238">
        <f>SUM(K131:N131)</f>
        <v>409.06789542244906</v>
      </c>
      <c r="P131" s="239"/>
      <c r="Q131" s="238">
        <f>SUMIF(Qty!$M$7:$AF$7,Q$50,Qty!$M87:$AF87)*consmultiplier</f>
        <v>0</v>
      </c>
      <c r="R131" s="238">
        <f>O131-Q131</f>
        <v>409.06789542244906</v>
      </c>
      <c r="S131" s="89"/>
      <c r="T131" s="19"/>
      <c r="U131" s="19"/>
      <c r="V131" s="19"/>
      <c r="W131" s="19"/>
      <c r="X131" s="19"/>
    </row>
    <row r="132" spans="1:24" s="59" customFormat="1" outlineLevel="2" x14ac:dyDescent="0.2">
      <c r="A132" s="57"/>
      <c r="B132" s="57"/>
      <c r="C132" s="506" t="str">
        <f>Qty!C88</f>
        <v>Residential general light and power</v>
      </c>
      <c r="D132" s="505" t="str">
        <f>Qty!D88</f>
        <v>Residential</v>
      </c>
      <c r="E132" s="505" t="str">
        <f>Qty!E88</f>
        <v>TAS31</v>
      </c>
      <c r="F132" s="505">
        <f>Qty!F88</f>
        <v>0</v>
      </c>
      <c r="G132" s="505">
        <f>Qty!G88</f>
        <v>0</v>
      </c>
      <c r="H132" s="58"/>
      <c r="I132" s="238">
        <f>Qty!M88</f>
        <v>213630.14716923854</v>
      </c>
      <c r="J132" s="239"/>
      <c r="K132" s="238">
        <f>SUMIF(Qty!$M$7:$AF$7,K$50,Qty!$M88:$AF88)*consmultiplier</f>
        <v>757.74308864330794</v>
      </c>
      <c r="L132" s="238">
        <f>SUMIF(Qty!$M$7:$AF$7,L$50,Qty!$M88:$AF88)*consmultiplier</f>
        <v>0</v>
      </c>
      <c r="M132" s="238">
        <f>SUMIF(Qty!$M$7:$AF$7,M$50,Qty!$M88:$AF88)*consmultiplier</f>
        <v>0</v>
      </c>
      <c r="N132" s="238">
        <f>SUMIF(Qty!$M$7:$AF$7,N$50,Qty!$M88:$AF88)*consmultiplier</f>
        <v>0</v>
      </c>
      <c r="O132" s="238">
        <f t="shared" ref="O132:O195" si="25">SUM(K132:N132)</f>
        <v>757.74308864330794</v>
      </c>
      <c r="P132" s="239"/>
      <c r="Q132" s="238">
        <f>SUMIF(Qty!$M$7:$AF$7,Q$50,Qty!$M88:$AF88)*consmultiplier</f>
        <v>0</v>
      </c>
      <c r="R132" s="238">
        <f t="shared" ref="R132:R195" si="26">O132-Q132</f>
        <v>757.74308864330794</v>
      </c>
      <c r="S132" s="90"/>
      <c r="T132" s="57"/>
      <c r="U132" s="57"/>
      <c r="V132" s="57"/>
      <c r="W132" s="57"/>
      <c r="X132" s="57"/>
    </row>
    <row r="133" spans="1:24" outlineLevel="2" x14ac:dyDescent="0.2">
      <c r="A133" s="19"/>
      <c r="B133" s="19"/>
      <c r="C133" s="506" t="str">
        <f>Qty!C89</f>
        <v>Residential time of use demand</v>
      </c>
      <c r="D133" s="505" t="str">
        <f>Qty!D89</f>
        <v>Residential</v>
      </c>
      <c r="E133" s="505" t="str">
        <f>Qty!E89</f>
        <v>TAS87</v>
      </c>
      <c r="F133" s="505">
        <f>Qty!F89</f>
        <v>0</v>
      </c>
      <c r="G133" s="505">
        <f>Qty!G89</f>
        <v>0</v>
      </c>
      <c r="H133" s="58"/>
      <c r="I133" s="238">
        <f>Qty!M89</f>
        <v>1</v>
      </c>
      <c r="J133" s="239"/>
      <c r="K133" s="238">
        <f>SUMIF(Qty!$M$7:$AF$7,K$50,Qty!$M89:$AF89)*consmultiplier</f>
        <v>0.15196746404936426</v>
      </c>
      <c r="L133" s="238">
        <f>SUMIF(Qty!$M$7:$AF$7,L$50,Qty!$M89:$AF89)*consmultiplier</f>
        <v>0</v>
      </c>
      <c r="M133" s="238">
        <f>SUMIF(Qty!$M$7:$AF$7,M$50,Qty!$M89:$AF89)*consmultiplier</f>
        <v>0</v>
      </c>
      <c r="N133" s="238">
        <f>SUMIF(Qty!$M$7:$AF$7,N$50,Qty!$M89:$AF89)*consmultiplier</f>
        <v>0</v>
      </c>
      <c r="O133" s="238">
        <f t="shared" si="25"/>
        <v>0.15196746404936426</v>
      </c>
      <c r="P133" s="239"/>
      <c r="Q133" s="238">
        <f>SUMIF(Qty!$M$7:$AF$7,Q$50,Qty!$M89:$AF89)*consmultiplier</f>
        <v>0</v>
      </c>
      <c r="R133" s="238">
        <f t="shared" si="26"/>
        <v>0.15196746404936426</v>
      </c>
      <c r="S133" s="90"/>
      <c r="T133" s="19"/>
      <c r="U133" s="19"/>
      <c r="V133" s="19"/>
      <c r="W133" s="19"/>
      <c r="X133" s="19"/>
    </row>
    <row r="134" spans="1:24" outlineLevel="2" x14ac:dyDescent="0.2">
      <c r="A134" s="19"/>
      <c r="B134" s="19"/>
      <c r="C134" s="506" t="str">
        <f>Qty!C90</f>
        <v>Residential time of use demand DER</v>
      </c>
      <c r="D134" s="505" t="str">
        <f>Qty!D90</f>
        <v>Residential</v>
      </c>
      <c r="E134" s="505" t="str">
        <f>Qty!E90</f>
        <v>TAS97</v>
      </c>
      <c r="F134" s="505">
        <f>Qty!F90</f>
        <v>0</v>
      </c>
      <c r="G134" s="505">
        <f>Qty!G90</f>
        <v>0</v>
      </c>
      <c r="H134" s="58"/>
      <c r="I134" s="238">
        <f>Qty!M90</f>
        <v>0</v>
      </c>
      <c r="J134" s="239"/>
      <c r="K134" s="238">
        <f>SUMIF(Qty!$M$7:$AF$7,K$50,Qty!$M90:$AF90)*consmultiplier</f>
        <v>0</v>
      </c>
      <c r="L134" s="238">
        <f>SUMIF(Qty!$M$7:$AF$7,L$50,Qty!$M90:$AF90)*consmultiplier</f>
        <v>0</v>
      </c>
      <c r="M134" s="238">
        <f>SUMIF(Qty!$M$7:$AF$7,M$50,Qty!$M90:$AF90)*consmultiplier</f>
        <v>0</v>
      </c>
      <c r="N134" s="238">
        <f>SUMIF(Qty!$M$7:$AF$7,N$50,Qty!$M90:$AF90)*consmultiplier</f>
        <v>0</v>
      </c>
      <c r="O134" s="238">
        <f t="shared" si="25"/>
        <v>0</v>
      </c>
      <c r="P134" s="239"/>
      <c r="Q134" s="238">
        <f>SUMIF(Qty!$M$7:$AF$7,Q$50,Qty!$M90:$AF90)*consmultiplier</f>
        <v>0</v>
      </c>
      <c r="R134" s="238">
        <f t="shared" si="26"/>
        <v>0</v>
      </c>
      <c r="S134" s="90"/>
      <c r="T134" s="19"/>
      <c r="U134" s="19"/>
      <c r="V134" s="19"/>
      <c r="W134" s="19"/>
      <c r="X134" s="19"/>
    </row>
    <row r="135" spans="1:24" outlineLevel="2" x14ac:dyDescent="0.2">
      <c r="A135" s="19"/>
      <c r="B135" s="19"/>
      <c r="C135" s="506" t="str">
        <f>Qty!C91</f>
        <v>Residential pay as you go</v>
      </c>
      <c r="D135" s="505" t="str">
        <f>Qty!D91</f>
        <v>Residential</v>
      </c>
      <c r="E135" s="505" t="str">
        <f>Qty!E91</f>
        <v>TAS101</v>
      </c>
      <c r="F135" s="505">
        <f>Qty!F91</f>
        <v>0</v>
      </c>
      <c r="G135" s="505">
        <f>Qty!G91</f>
        <v>0</v>
      </c>
      <c r="H135" s="58"/>
      <c r="I135" s="238">
        <f>Qty!M91</f>
        <v>10.689766478182589</v>
      </c>
      <c r="J135" s="239"/>
      <c r="K135" s="238">
        <f>SUMIF(Qty!$M$7:$AF$7,K$50,Qty!$M91:$AF91)*consmultiplier</f>
        <v>7.8375283398124856E-2</v>
      </c>
      <c r="L135" s="238">
        <f>SUMIF(Qty!$M$7:$AF$7,L$50,Qty!$M91:$AF91)*consmultiplier</f>
        <v>0</v>
      </c>
      <c r="M135" s="238">
        <f>SUMIF(Qty!$M$7:$AF$7,M$50,Qty!$M91:$AF91)*consmultiplier</f>
        <v>0</v>
      </c>
      <c r="N135" s="238">
        <f>SUMIF(Qty!$M$7:$AF$7,N$50,Qty!$M91:$AF91)*consmultiplier</f>
        <v>0</v>
      </c>
      <c r="O135" s="238">
        <f t="shared" si="25"/>
        <v>7.8375283398124856E-2</v>
      </c>
      <c r="P135" s="239"/>
      <c r="Q135" s="238">
        <f>SUMIF(Qty!$M$7:$AF$7,Q$50,Qty!$M91:$AF91)*consmultiplier</f>
        <v>0</v>
      </c>
      <c r="R135" s="238">
        <f t="shared" si="26"/>
        <v>7.8375283398124856E-2</v>
      </c>
      <c r="S135" s="90"/>
      <c r="T135" s="19"/>
      <c r="U135" s="19"/>
      <c r="V135" s="19"/>
      <c r="W135" s="19"/>
      <c r="X135" s="19"/>
    </row>
    <row r="136" spans="1:24" outlineLevel="2" x14ac:dyDescent="0.2">
      <c r="A136" s="19"/>
      <c r="B136" s="19"/>
      <c r="C136" s="506" t="str">
        <f>Qty!C92</f>
        <v>Residential pay as you go time of use</v>
      </c>
      <c r="D136" s="505" t="str">
        <f>Qty!D92</f>
        <v>Residential</v>
      </c>
      <c r="E136" s="505" t="str">
        <f>Qty!E92</f>
        <v>TAS92</v>
      </c>
      <c r="F136" s="505">
        <f>Qty!F92</f>
        <v>0</v>
      </c>
      <c r="G136" s="505">
        <f>Qty!G92</f>
        <v>0</v>
      </c>
      <c r="H136" s="58"/>
      <c r="I136" s="238">
        <f>Qty!M92</f>
        <v>0</v>
      </c>
      <c r="J136" s="239"/>
      <c r="K136" s="238">
        <f>SUMIF(Qty!$M$7:$AF$7,K$50,Qty!$M92:$AF92)*consmultiplier</f>
        <v>0</v>
      </c>
      <c r="L136" s="238">
        <f>SUMIF(Qty!$M$7:$AF$7,L$50,Qty!$M92:$AF92)*consmultiplier</f>
        <v>0</v>
      </c>
      <c r="M136" s="238">
        <f>SUMIF(Qty!$M$7:$AF$7,M$50,Qty!$M92:$AF92)*consmultiplier</f>
        <v>0</v>
      </c>
      <c r="N136" s="238">
        <f>SUMIF(Qty!$M$7:$AF$7,N$50,Qty!$M92:$AF92)*consmultiplier</f>
        <v>0</v>
      </c>
      <c r="O136" s="238">
        <f t="shared" si="25"/>
        <v>0</v>
      </c>
      <c r="P136" s="239"/>
      <c r="Q136" s="238">
        <f>SUMIF(Qty!$M$7:$AF$7,Q$50,Qty!$M92:$AF92)*consmultiplier</f>
        <v>0</v>
      </c>
      <c r="R136" s="238">
        <f t="shared" si="26"/>
        <v>0</v>
      </c>
      <c r="S136" s="90"/>
      <c r="T136" s="19"/>
      <c r="U136" s="19"/>
      <c r="V136" s="19"/>
      <c r="W136" s="19"/>
      <c r="X136" s="19"/>
    </row>
    <row r="137" spans="1:24" outlineLevel="2" x14ac:dyDescent="0.2">
      <c r="A137" s="19"/>
      <c r="B137" s="19"/>
      <c r="C137" s="506" t="str">
        <f>Qty!C93</f>
        <v>Small business time of use consumption</v>
      </c>
      <c r="D137" s="505" t="str">
        <f>Qty!D93</f>
        <v>Small Business LV</v>
      </c>
      <c r="E137" s="505" t="str">
        <f>Qty!E93</f>
        <v>TAS94</v>
      </c>
      <c r="F137" s="505">
        <f>Qty!F93</f>
        <v>0</v>
      </c>
      <c r="G137" s="505">
        <f>Qty!G93</f>
        <v>0</v>
      </c>
      <c r="H137" s="58"/>
      <c r="I137" s="238">
        <f>Qty!M93</f>
        <v>7954</v>
      </c>
      <c r="J137" s="239"/>
      <c r="K137" s="238">
        <f>SUMIF(Qty!$M$7:$AF$7,K$50,Qty!$M93:$AF93)*consmultiplier</f>
        <v>0</v>
      </c>
      <c r="L137" s="238">
        <f>SUMIF(Qty!$M$7:$AF$7,L$50,Qty!$M93:$AF93)*consmultiplier</f>
        <v>275.61872481443299</v>
      </c>
      <c r="M137" s="238">
        <f>SUMIF(Qty!$M$7:$AF$7,M$50,Qty!$M93:$AF93)*consmultiplier</f>
        <v>69.163631242171448</v>
      </c>
      <c r="N137" s="238">
        <f>SUMIF(Qty!$M$7:$AF$7,N$50,Qty!$M93:$AF93)*consmultiplier</f>
        <v>136.05139111658303</v>
      </c>
      <c r="O137" s="238">
        <f t="shared" si="25"/>
        <v>480.83374717318748</v>
      </c>
      <c r="P137" s="239"/>
      <c r="Q137" s="238">
        <f>SUMIF(Qty!$M$7:$AF$7,Q$50,Qty!$M93:$AF93)*consmultiplier</f>
        <v>0</v>
      </c>
      <c r="R137" s="238">
        <f t="shared" si="26"/>
        <v>480.83374717318748</v>
      </c>
      <c r="S137" s="90"/>
      <c r="T137" s="19"/>
      <c r="U137" s="19"/>
      <c r="V137" s="19"/>
      <c r="W137" s="19"/>
      <c r="X137" s="19"/>
    </row>
    <row r="138" spans="1:24" outlineLevel="2" x14ac:dyDescent="0.2">
      <c r="A138" s="19"/>
      <c r="B138" s="19"/>
      <c r="C138" s="506" t="str">
        <f>Qty!C94</f>
        <v>Small business general light and power</v>
      </c>
      <c r="D138" s="505" t="str">
        <f>Qty!D94</f>
        <v>Small Business LV</v>
      </c>
      <c r="E138" s="505" t="str">
        <f>Qty!E94</f>
        <v>TAS22</v>
      </c>
      <c r="F138" s="505">
        <f>Qty!F94</f>
        <v>0</v>
      </c>
      <c r="G138" s="505">
        <f>Qty!G94</f>
        <v>0</v>
      </c>
      <c r="H138" s="58"/>
      <c r="I138" s="238">
        <f>Qty!M94</f>
        <v>27077</v>
      </c>
      <c r="J138" s="239"/>
      <c r="K138" s="238">
        <f>SUMIF(Qty!$M$7:$AF$7,K$50,Qty!$M94:$AF94)*consmultiplier</f>
        <v>249.68027615447809</v>
      </c>
      <c r="L138" s="238">
        <f>SUMIF(Qty!$M$7:$AF$7,L$50,Qty!$M94:$AF94)*consmultiplier</f>
        <v>0</v>
      </c>
      <c r="M138" s="238">
        <f>SUMIF(Qty!$M$7:$AF$7,M$50,Qty!$M94:$AF94)*consmultiplier</f>
        <v>0</v>
      </c>
      <c r="N138" s="238">
        <f>SUMIF(Qty!$M$7:$AF$7,N$50,Qty!$M94:$AF94)*consmultiplier</f>
        <v>0</v>
      </c>
      <c r="O138" s="238">
        <f t="shared" si="25"/>
        <v>249.68027615447809</v>
      </c>
      <c r="P138" s="239"/>
      <c r="Q138" s="238">
        <f>SUMIF(Qty!$M$7:$AF$7,Q$50,Qty!$M94:$AF94)*consmultiplier</f>
        <v>0</v>
      </c>
      <c r="R138" s="238">
        <f t="shared" si="26"/>
        <v>249.68027615447809</v>
      </c>
      <c r="S138" s="90"/>
      <c r="T138" s="19"/>
      <c r="U138" s="19"/>
      <c r="V138" s="19"/>
      <c r="W138" s="19"/>
      <c r="X138" s="19"/>
    </row>
    <row r="139" spans="1:24" outlineLevel="2" x14ac:dyDescent="0.2">
      <c r="A139" s="19"/>
      <c r="B139" s="19"/>
      <c r="C139" s="506" t="str">
        <f>Qty!C95</f>
        <v>Small business time of use demand</v>
      </c>
      <c r="D139" s="505" t="str">
        <f>Qty!D95</f>
        <v>Small Business LV</v>
      </c>
      <c r="E139" s="505" t="str">
        <f>Qty!E95</f>
        <v>TAS88</v>
      </c>
      <c r="F139" s="505">
        <f>Qty!F95</f>
        <v>0</v>
      </c>
      <c r="G139" s="505">
        <f>Qty!G95</f>
        <v>0</v>
      </c>
      <c r="H139" s="58"/>
      <c r="I139" s="238">
        <f>Qty!M95</f>
        <v>894</v>
      </c>
      <c r="J139" s="239"/>
      <c r="K139" s="238">
        <f>SUMIF(Qty!$M$7:$AF$7,K$50,Qty!$M95:$AF95)*consmultiplier</f>
        <v>149.32133176552614</v>
      </c>
      <c r="L139" s="238">
        <f>SUMIF(Qty!$M$7:$AF$7,L$50,Qty!$M95:$AF95)*consmultiplier</f>
        <v>0</v>
      </c>
      <c r="M139" s="238">
        <f>SUMIF(Qty!$M$7:$AF$7,M$50,Qty!$M95:$AF95)*consmultiplier</f>
        <v>0</v>
      </c>
      <c r="N139" s="238">
        <f>SUMIF(Qty!$M$7:$AF$7,N$50,Qty!$M95:$AF95)*consmultiplier</f>
        <v>0</v>
      </c>
      <c r="O139" s="238">
        <f t="shared" si="25"/>
        <v>149.32133176552614</v>
      </c>
      <c r="P139" s="239"/>
      <c r="Q139" s="238">
        <f>SUMIF(Qty!$M$7:$AF$7,Q$50,Qty!$M95:$AF95)*consmultiplier</f>
        <v>0</v>
      </c>
      <c r="R139" s="238">
        <f t="shared" si="26"/>
        <v>149.32133176552614</v>
      </c>
      <c r="S139" s="90"/>
      <c r="T139" s="19"/>
      <c r="U139" s="19"/>
      <c r="V139" s="19"/>
      <c r="W139" s="19"/>
      <c r="X139" s="19"/>
    </row>
    <row r="140" spans="1:24" outlineLevel="2" x14ac:dyDescent="0.2">
      <c r="A140" s="19"/>
      <c r="B140" s="19"/>
      <c r="C140" s="506" t="str">
        <f>Qty!C96</f>
        <v>Small business time of use demand DER</v>
      </c>
      <c r="D140" s="505" t="str">
        <f>Qty!D96</f>
        <v>Small Business LV</v>
      </c>
      <c r="E140" s="505" t="str">
        <f>Qty!E96</f>
        <v>TAS98</v>
      </c>
      <c r="F140" s="505">
        <f>Qty!F96</f>
        <v>0</v>
      </c>
      <c r="G140" s="505">
        <f>Qty!G96</f>
        <v>0</v>
      </c>
      <c r="H140" s="58"/>
      <c r="I140" s="238">
        <f>Qty!M96</f>
        <v>86</v>
      </c>
      <c r="J140" s="239"/>
      <c r="K140" s="238">
        <f>SUMIF(Qty!$M$7:$AF$7,K$50,Qty!$M96:$AF96)*consmultiplier</f>
        <v>23.247739576254038</v>
      </c>
      <c r="L140" s="238">
        <f>SUMIF(Qty!$M$7:$AF$7,L$50,Qty!$M96:$AF96)*consmultiplier</f>
        <v>0</v>
      </c>
      <c r="M140" s="238">
        <f>SUMIF(Qty!$M$7:$AF$7,M$50,Qty!$M96:$AF96)*consmultiplier</f>
        <v>0</v>
      </c>
      <c r="N140" s="238">
        <f>SUMIF(Qty!$M$7:$AF$7,N$50,Qty!$M96:$AF96)*consmultiplier</f>
        <v>0</v>
      </c>
      <c r="O140" s="238">
        <f t="shared" si="25"/>
        <v>23.247739576254038</v>
      </c>
      <c r="P140" s="239"/>
      <c r="Q140" s="238">
        <f>SUMIF(Qty!$M$7:$AF$7,Q$50,Qty!$M96:$AF96)*consmultiplier</f>
        <v>0</v>
      </c>
      <c r="R140" s="238">
        <f t="shared" si="26"/>
        <v>23.247739576254038</v>
      </c>
      <c r="S140" s="90"/>
      <c r="T140" s="19"/>
      <c r="U140" s="19"/>
      <c r="V140" s="19"/>
      <c r="W140" s="19"/>
      <c r="X140" s="19"/>
    </row>
    <row r="141" spans="1:24" outlineLevel="2" x14ac:dyDescent="0.2">
      <c r="A141" s="19"/>
      <c r="B141" s="19"/>
      <c r="C141" s="506" t="str">
        <f>Qty!C97</f>
        <v>Large business kVA demand</v>
      </c>
      <c r="D141" s="505" t="str">
        <f>Qty!D97</f>
        <v>Large Business LV</v>
      </c>
      <c r="E141" s="505" t="str">
        <f>Qty!E97</f>
        <v>TAS82</v>
      </c>
      <c r="F141" s="505">
        <f>Qty!F97</f>
        <v>0</v>
      </c>
      <c r="G141" s="505">
        <f>Qty!G97</f>
        <v>0</v>
      </c>
      <c r="H141" s="58"/>
      <c r="I141" s="238">
        <f>Qty!M97</f>
        <v>549</v>
      </c>
      <c r="J141" s="239"/>
      <c r="K141" s="238">
        <f>SUMIF(Qty!$M$7:$AF$7,K$50,Qty!$M97:$AF97)*consmultiplier</f>
        <v>215.36467832059608</v>
      </c>
      <c r="L141" s="238">
        <f>SUMIF(Qty!$M$7:$AF$7,L$50,Qty!$M97:$AF97)*consmultiplier</f>
        <v>0</v>
      </c>
      <c r="M141" s="238">
        <f>SUMIF(Qty!$M$7:$AF$7,M$50,Qty!$M97:$AF97)*consmultiplier</f>
        <v>0</v>
      </c>
      <c r="N141" s="238">
        <f>SUMIF(Qty!$M$7:$AF$7,N$50,Qty!$M97:$AF97)*consmultiplier</f>
        <v>0</v>
      </c>
      <c r="O141" s="238">
        <f t="shared" si="25"/>
        <v>215.36467832059608</v>
      </c>
      <c r="P141" s="239"/>
      <c r="Q141" s="238">
        <f>SUMIF(Qty!$M$7:$AF$7,Q$50,Qty!$M97:$AF97)*consmultiplier</f>
        <v>0</v>
      </c>
      <c r="R141" s="238">
        <f t="shared" si="26"/>
        <v>215.36467832059608</v>
      </c>
      <c r="S141" s="90"/>
      <c r="T141" s="19"/>
      <c r="U141" s="19"/>
      <c r="V141" s="19"/>
      <c r="W141" s="19"/>
      <c r="X141" s="19"/>
    </row>
    <row r="142" spans="1:24" outlineLevel="2" x14ac:dyDescent="0.2">
      <c r="A142" s="19"/>
      <c r="B142" s="19"/>
      <c r="C142" s="506" t="str">
        <f>Qty!C98</f>
        <v>Large business time of use demand</v>
      </c>
      <c r="D142" s="505" t="str">
        <f>Qty!D98</f>
        <v>Large Business LV</v>
      </c>
      <c r="E142" s="505" t="str">
        <f>Qty!E98</f>
        <v>TAS89</v>
      </c>
      <c r="F142" s="505">
        <f>Qty!F98</f>
        <v>0</v>
      </c>
      <c r="G142" s="505">
        <f>Qty!G98</f>
        <v>0</v>
      </c>
      <c r="H142" s="58"/>
      <c r="I142" s="238">
        <f>Qty!M98</f>
        <v>216</v>
      </c>
      <c r="J142" s="239"/>
      <c r="K142" s="238">
        <f>SUMIF(Qty!$M$7:$AF$7,K$50,Qty!$M98:$AF98)*consmultiplier</f>
        <v>239.53704088501794</v>
      </c>
      <c r="L142" s="238">
        <f>SUMIF(Qty!$M$7:$AF$7,L$50,Qty!$M98:$AF98)*consmultiplier</f>
        <v>0</v>
      </c>
      <c r="M142" s="238">
        <f>SUMIF(Qty!$M$7:$AF$7,M$50,Qty!$M98:$AF98)*consmultiplier</f>
        <v>0</v>
      </c>
      <c r="N142" s="238">
        <f>SUMIF(Qty!$M$7:$AF$7,N$50,Qty!$M98:$AF98)*consmultiplier</f>
        <v>0</v>
      </c>
      <c r="O142" s="238">
        <f t="shared" si="25"/>
        <v>239.53704088501794</v>
      </c>
      <c r="P142" s="239"/>
      <c r="Q142" s="238">
        <f>SUMIF(Qty!$M$7:$AF$7,Q$50,Qty!$M98:$AF98)*consmultiplier</f>
        <v>0</v>
      </c>
      <c r="R142" s="238">
        <f t="shared" si="26"/>
        <v>239.53704088501794</v>
      </c>
      <c r="S142" s="90"/>
      <c r="T142" s="19"/>
      <c r="U142" s="19"/>
      <c r="V142" s="19"/>
      <c r="W142" s="19"/>
      <c r="X142" s="19"/>
    </row>
    <row r="143" spans="1:24" outlineLevel="2" x14ac:dyDescent="0.2">
      <c r="A143" s="19"/>
      <c r="B143" s="19"/>
      <c r="C143" s="506" t="str">
        <f>Qty!C99</f>
        <v>Irrigation time of use consumption</v>
      </c>
      <c r="D143" s="505" t="str">
        <f>Qty!D99</f>
        <v>Irrigation</v>
      </c>
      <c r="E143" s="505" t="str">
        <f>Qty!E99</f>
        <v>TAS75</v>
      </c>
      <c r="F143" s="505">
        <f>Qty!F99</f>
        <v>0</v>
      </c>
      <c r="G143" s="505">
        <f>Qty!G99</f>
        <v>0</v>
      </c>
      <c r="H143" s="58"/>
      <c r="I143" s="238">
        <f>Qty!M99</f>
        <v>3990</v>
      </c>
      <c r="J143" s="239"/>
      <c r="K143" s="238">
        <f>SUMIF(Qty!$M$7:$AF$7,K$50,Qty!$M99:$AF99)*consmultiplier</f>
        <v>0</v>
      </c>
      <c r="L143" s="238">
        <f>SUMIF(Qty!$M$7:$AF$7,L$50,Qty!$M99:$AF99)*consmultiplier</f>
        <v>11.02449008170278</v>
      </c>
      <c r="M143" s="238">
        <f>SUMIF(Qty!$M$7:$AF$7,M$50,Qty!$M99:$AF99)*consmultiplier</f>
        <v>49.138415684475945</v>
      </c>
      <c r="N143" s="238">
        <f>SUMIF(Qty!$M$7:$AF$7,N$50,Qty!$M99:$AF99)*consmultiplier</f>
        <v>74.091570939021281</v>
      </c>
      <c r="O143" s="238">
        <f t="shared" si="25"/>
        <v>134.25447670520001</v>
      </c>
      <c r="P143" s="239"/>
      <c r="Q143" s="238">
        <f>SUMIF(Qty!$M$7:$AF$7,Q$50,Qty!$M99:$AF99)*consmultiplier</f>
        <v>0</v>
      </c>
      <c r="R143" s="238">
        <f t="shared" si="26"/>
        <v>134.25447670520001</v>
      </c>
      <c r="S143" s="90"/>
      <c r="T143" s="19"/>
      <c r="U143" s="19"/>
      <c r="V143" s="19"/>
      <c r="W143" s="19"/>
      <c r="X143" s="19"/>
    </row>
    <row r="144" spans="1:24" outlineLevel="2" x14ac:dyDescent="0.2">
      <c r="A144" s="19"/>
      <c r="B144" s="19"/>
      <c r="C144" s="506" t="str">
        <f>Qty!C100</f>
        <v>Business HV kVA specified demand &lt;2MVA</v>
      </c>
      <c r="D144" s="505" t="str">
        <f>Qty!D100</f>
        <v>Large Business HV</v>
      </c>
      <c r="E144" s="505" t="str">
        <f>Qty!E100</f>
        <v>TASSDM</v>
      </c>
      <c r="F144" s="505">
        <f>Qty!F100</f>
        <v>0</v>
      </c>
      <c r="G144" s="505">
        <f>Qty!G100</f>
        <v>0</v>
      </c>
      <c r="H144" s="58"/>
      <c r="I144" s="238">
        <f>Qty!M100</f>
        <v>108</v>
      </c>
      <c r="J144" s="239"/>
      <c r="K144" s="238">
        <f>SUMIF(Qty!$M$7:$AF$7,K$50,Qty!$M100:$AF100)*consmultiplier</f>
        <v>0</v>
      </c>
      <c r="L144" s="238">
        <f>SUMIF(Qty!$M$7:$AF$7,L$50,Qty!$M100:$AF100)*consmultiplier</f>
        <v>83.297689207564204</v>
      </c>
      <c r="M144" s="238">
        <f>SUMIF(Qty!$M$7:$AF$7,M$50,Qty!$M100:$AF100)*consmultiplier</f>
        <v>101.2119215273996</v>
      </c>
      <c r="N144" s="238">
        <f>SUMIF(Qty!$M$7:$AF$7,N$50,Qty!$M100:$AF100)*consmultiplier</f>
        <v>125.31202384275224</v>
      </c>
      <c r="O144" s="238">
        <f t="shared" si="25"/>
        <v>309.82163457771605</v>
      </c>
      <c r="P144" s="239"/>
      <c r="Q144" s="238">
        <f>SUMIF(Qty!$M$7:$AF$7,Q$50,Qty!$M100:$AF100)*consmultiplier</f>
        <v>0</v>
      </c>
      <c r="R144" s="238">
        <f t="shared" si="26"/>
        <v>309.82163457771605</v>
      </c>
      <c r="S144" s="90"/>
      <c r="T144" s="19"/>
      <c r="U144" s="19"/>
      <c r="V144" s="19"/>
      <c r="W144" s="19"/>
      <c r="X144" s="19"/>
    </row>
    <row r="145" spans="1:24" outlineLevel="2" x14ac:dyDescent="0.2">
      <c r="A145" s="19"/>
      <c r="B145" s="19"/>
      <c r="C145" s="506" t="str">
        <f>Qty!C101</f>
        <v>Business HV kVA specified demand &gt;2MVA</v>
      </c>
      <c r="D145" s="505" t="str">
        <f>Qty!D101</f>
        <v>Large Business HV</v>
      </c>
      <c r="E145" s="505" t="str">
        <f>Qty!E101</f>
        <v>TAS15*</v>
      </c>
      <c r="F145" s="505">
        <f>Qty!F101</f>
        <v>0</v>
      </c>
      <c r="G145" s="505">
        <f>Qty!G101</f>
        <v>0</v>
      </c>
      <c r="H145" s="58"/>
      <c r="I145" s="238">
        <f>Qty!M101</f>
        <v>0</v>
      </c>
      <c r="J145" s="239"/>
      <c r="K145" s="238">
        <f>SUMIF(Qty!$M$7:$AF$7,K$50,Qty!$M101:$AF101)*consmultiplier</f>
        <v>0</v>
      </c>
      <c r="L145" s="238">
        <f>SUMIF(Qty!$M$7:$AF$7,L$50,Qty!$M101:$AF101)*consmultiplier</f>
        <v>0</v>
      </c>
      <c r="M145" s="238">
        <f>SUMIF(Qty!$M$7:$AF$7,M$50,Qty!$M101:$AF101)*consmultiplier</f>
        <v>0</v>
      </c>
      <c r="N145" s="238">
        <f>SUMIF(Qty!$M$7:$AF$7,N$50,Qty!$M101:$AF101)*consmultiplier</f>
        <v>0</v>
      </c>
      <c r="O145" s="238">
        <f t="shared" si="25"/>
        <v>0</v>
      </c>
      <c r="P145" s="239"/>
      <c r="Q145" s="238">
        <f>SUMIF(Qty!$M$7:$AF$7,Q$50,Qty!$M101:$AF101)*consmultiplier</f>
        <v>0</v>
      </c>
      <c r="R145" s="238">
        <f t="shared" si="26"/>
        <v>0</v>
      </c>
      <c r="S145" s="90"/>
      <c r="T145" s="19"/>
      <c r="U145" s="19"/>
      <c r="V145" s="19"/>
      <c r="W145" s="19"/>
      <c r="X145" s="19"/>
    </row>
    <row r="146" spans="1:24" outlineLevel="2" x14ac:dyDescent="0.2">
      <c r="A146" s="19"/>
      <c r="B146" s="19"/>
      <c r="C146" s="506" t="str">
        <f>Qty!C102</f>
        <v>Uncontrolled low voltage heating and hot water</v>
      </c>
      <c r="D146" s="505" t="str">
        <f>Qty!D102</f>
        <v>Uncontrolled energy</v>
      </c>
      <c r="E146" s="505" t="str">
        <f>Qty!E102</f>
        <v>TAS41</v>
      </c>
      <c r="F146" s="505">
        <f>Qty!F102</f>
        <v>0</v>
      </c>
      <c r="G146" s="505">
        <f>Qty!G102</f>
        <v>0</v>
      </c>
      <c r="H146" s="58"/>
      <c r="I146" s="238">
        <f>Qty!M102</f>
        <v>203265.28727857553</v>
      </c>
      <c r="J146" s="239"/>
      <c r="K146" s="238">
        <f>SUMIF(Qty!$M$7:$AF$7,K$50,Qty!$M102:$AF102)*consmultiplier</f>
        <v>896.87328040335819</v>
      </c>
      <c r="L146" s="238">
        <f>SUMIF(Qty!$M$7:$AF$7,L$50,Qty!$M102:$AF102)*consmultiplier</f>
        <v>0</v>
      </c>
      <c r="M146" s="238">
        <f>SUMIF(Qty!$M$7:$AF$7,M$50,Qty!$M102:$AF102)*consmultiplier</f>
        <v>0</v>
      </c>
      <c r="N146" s="238">
        <f>SUMIF(Qty!$M$7:$AF$7,N$50,Qty!$M102:$AF102)*consmultiplier</f>
        <v>0</v>
      </c>
      <c r="O146" s="238">
        <f t="shared" si="25"/>
        <v>896.87328040335819</v>
      </c>
      <c r="P146" s="239"/>
      <c r="Q146" s="238">
        <f>SUMIF(Qty!$M$7:$AF$7,Q$50,Qty!$M102:$AF102)*consmultiplier</f>
        <v>0</v>
      </c>
      <c r="R146" s="238">
        <f t="shared" si="26"/>
        <v>896.87328040335819</v>
      </c>
      <c r="S146" s="90"/>
      <c r="T146" s="19"/>
      <c r="U146" s="19"/>
      <c r="V146" s="19"/>
      <c r="W146" s="19"/>
      <c r="X146" s="19"/>
    </row>
    <row r="147" spans="1:24" outlineLevel="2" x14ac:dyDescent="0.2">
      <c r="A147" s="19"/>
      <c r="B147" s="19"/>
      <c r="C147" s="506" t="str">
        <f>Qty!C103</f>
        <v>Controlled low voltage night period only</v>
      </c>
      <c r="D147" s="505" t="str">
        <f>Qty!D103</f>
        <v>Controlled energy</v>
      </c>
      <c r="E147" s="505" t="str">
        <f>Qty!E103</f>
        <v>TAS63</v>
      </c>
      <c r="F147" s="505">
        <f>Qty!F103</f>
        <v>0</v>
      </c>
      <c r="G147" s="505">
        <f>Qty!G103</f>
        <v>0</v>
      </c>
      <c r="H147" s="58"/>
      <c r="I147" s="238">
        <f>Qty!M103</f>
        <v>521.71907438827566</v>
      </c>
      <c r="J147" s="239"/>
      <c r="K147" s="238">
        <f>SUMIF(Qty!$M$7:$AF$7,K$50,Qty!$M103:$AF103)*consmultiplier</f>
        <v>1.4129721698296409</v>
      </c>
      <c r="L147" s="238">
        <f>SUMIF(Qty!$M$7:$AF$7,L$50,Qty!$M103:$AF103)*consmultiplier</f>
        <v>0</v>
      </c>
      <c r="M147" s="238">
        <f>SUMIF(Qty!$M$7:$AF$7,M$50,Qty!$M103:$AF103)*consmultiplier</f>
        <v>0</v>
      </c>
      <c r="N147" s="238">
        <f>SUMIF(Qty!$M$7:$AF$7,N$50,Qty!$M103:$AF103)*consmultiplier</f>
        <v>0</v>
      </c>
      <c r="O147" s="238">
        <f t="shared" si="25"/>
        <v>1.4129721698296409</v>
      </c>
      <c r="P147" s="239"/>
      <c r="Q147" s="238">
        <f>SUMIF(Qty!$M$7:$AF$7,Q$50,Qty!$M103:$AF103)*consmultiplier</f>
        <v>0</v>
      </c>
      <c r="R147" s="238">
        <f t="shared" si="26"/>
        <v>1.4129721698296409</v>
      </c>
      <c r="S147" s="90"/>
      <c r="T147" s="19"/>
      <c r="U147" s="19"/>
      <c r="V147" s="19"/>
      <c r="W147" s="19"/>
      <c r="X147" s="19"/>
    </row>
    <row r="148" spans="1:24" ht="22.5" outlineLevel="2" x14ac:dyDescent="0.2">
      <c r="A148" s="19"/>
      <c r="B148" s="19"/>
      <c r="C148" s="506" t="str">
        <f>Qty!C104</f>
        <v>Controlled low voltage off peak with afternoon boost</v>
      </c>
      <c r="D148" s="505" t="str">
        <f>Qty!D104</f>
        <v>Controlled energy</v>
      </c>
      <c r="E148" s="505" t="str">
        <f>Qty!E104</f>
        <v>TAS61</v>
      </c>
      <c r="F148" s="505">
        <f>Qty!F104</f>
        <v>0</v>
      </c>
      <c r="G148" s="505">
        <f>Qty!G104</f>
        <v>0</v>
      </c>
      <c r="H148" s="58"/>
      <c r="I148" s="238">
        <f>Qty!M104</f>
        <v>19281.595604758975</v>
      </c>
      <c r="J148" s="239"/>
      <c r="K148" s="238">
        <f>SUMIF(Qty!$M$7:$AF$7,K$50,Qty!$M104:$AF104)*consmultiplier</f>
        <v>34.298022107755855</v>
      </c>
      <c r="L148" s="238">
        <f>SUMIF(Qty!$M$7:$AF$7,L$50,Qty!$M104:$AF104)*consmultiplier</f>
        <v>0</v>
      </c>
      <c r="M148" s="238">
        <f>SUMIF(Qty!$M$7:$AF$7,M$50,Qty!$M104:$AF104)*consmultiplier</f>
        <v>0</v>
      </c>
      <c r="N148" s="238">
        <f>SUMIF(Qty!$M$7:$AF$7,N$50,Qty!$M104:$AF104)*consmultiplier</f>
        <v>0</v>
      </c>
      <c r="O148" s="238">
        <f t="shared" si="25"/>
        <v>34.298022107755855</v>
      </c>
      <c r="P148" s="239"/>
      <c r="Q148" s="238">
        <f>SUMIF(Qty!$M$7:$AF$7,Q$50,Qty!$M104:$AF104)*consmultiplier</f>
        <v>0</v>
      </c>
      <c r="R148" s="238">
        <f t="shared" si="26"/>
        <v>34.298022107755855</v>
      </c>
      <c r="S148" s="90"/>
      <c r="T148" s="19"/>
      <c r="U148" s="19"/>
      <c r="V148" s="19"/>
      <c r="W148" s="19"/>
      <c r="X148" s="19"/>
    </row>
    <row r="149" spans="1:24" outlineLevel="2" x14ac:dyDescent="0.2">
      <c r="A149" s="19"/>
      <c r="B149" s="19"/>
      <c r="C149" s="506" t="str">
        <f>Qty!C105</f>
        <v>Unmetered supply general</v>
      </c>
      <c r="D149" s="505" t="str">
        <f>Qty!D105</f>
        <v>Unmetered supplies</v>
      </c>
      <c r="E149" s="505" t="str">
        <f>Qty!E105</f>
        <v>TASUMS</v>
      </c>
      <c r="F149" s="505">
        <f>Qty!F105</f>
        <v>0</v>
      </c>
      <c r="G149" s="505">
        <f>Qty!G105</f>
        <v>0</v>
      </c>
      <c r="H149" s="58"/>
      <c r="I149" s="238">
        <f>Qty!M105</f>
        <v>1826</v>
      </c>
      <c r="J149" s="239"/>
      <c r="K149" s="238">
        <f>SUMIF(Qty!$M$7:$AF$7,K$50,Qty!$M105:$AF105)*consmultiplier</f>
        <v>7.0871027519397698</v>
      </c>
      <c r="L149" s="238">
        <f>SUMIF(Qty!$M$7:$AF$7,L$50,Qty!$M105:$AF105)*consmultiplier</f>
        <v>0</v>
      </c>
      <c r="M149" s="238">
        <f>SUMIF(Qty!$M$7:$AF$7,M$50,Qty!$M105:$AF105)*consmultiplier</f>
        <v>0</v>
      </c>
      <c r="N149" s="238">
        <f>SUMIF(Qty!$M$7:$AF$7,N$50,Qty!$M105:$AF105)*consmultiplier</f>
        <v>0</v>
      </c>
      <c r="O149" s="238">
        <f t="shared" si="25"/>
        <v>7.0871027519397698</v>
      </c>
      <c r="P149" s="239"/>
      <c r="Q149" s="238">
        <f>SUMIF(Qty!$M$7:$AF$7,Q$50,Qty!$M105:$AF105)*consmultiplier</f>
        <v>0</v>
      </c>
      <c r="R149" s="238">
        <f t="shared" si="26"/>
        <v>7.0871027519397698</v>
      </c>
      <c r="S149" s="90"/>
      <c r="T149" s="19"/>
      <c r="U149" s="19"/>
      <c r="V149" s="19"/>
      <c r="W149" s="19"/>
      <c r="X149" s="19"/>
    </row>
    <row r="150" spans="1:24" outlineLevel="2" x14ac:dyDescent="0.2">
      <c r="A150" s="19"/>
      <c r="B150" s="19"/>
      <c r="C150" s="506" t="str">
        <f>Qty!C106</f>
        <v>Street lighting</v>
      </c>
      <c r="D150" s="505" t="str">
        <f>Qty!D106</f>
        <v>Street lighting</v>
      </c>
      <c r="E150" s="505" t="str">
        <f>Qty!E106</f>
        <v>TASUMSSL</v>
      </c>
      <c r="F150" s="505">
        <f>Qty!F106</f>
        <v>0</v>
      </c>
      <c r="G150" s="505">
        <f>Qty!G106</f>
        <v>0</v>
      </c>
      <c r="H150" s="58"/>
      <c r="I150" s="238">
        <f>Qty!M106</f>
        <v>0</v>
      </c>
      <c r="J150" s="239"/>
      <c r="K150" s="238">
        <f>SUMIF(Qty!$M$7:$AF$7,K$50,Qty!$M106:$AF106)*consmultiplier</f>
        <v>0</v>
      </c>
      <c r="L150" s="238">
        <f>SUMIF(Qty!$M$7:$AF$7,L$50,Qty!$M106:$AF106)*consmultiplier</f>
        <v>0</v>
      </c>
      <c r="M150" s="238">
        <f>SUMIF(Qty!$M$7:$AF$7,M$50,Qty!$M106:$AF106)*consmultiplier</f>
        <v>0</v>
      </c>
      <c r="N150" s="238">
        <f>SUMIF(Qty!$M$7:$AF$7,N$50,Qty!$M106:$AF106)*consmultiplier</f>
        <v>0</v>
      </c>
      <c r="O150" s="238">
        <f t="shared" si="25"/>
        <v>0</v>
      </c>
      <c r="P150" s="239"/>
      <c r="Q150" s="238">
        <f>SUMIF(Qty!$M$7:$AF$7,Q$50,Qty!$M106:$AF106)*consmultiplier</f>
        <v>0</v>
      </c>
      <c r="R150" s="238">
        <f t="shared" si="26"/>
        <v>0</v>
      </c>
      <c r="S150" s="90"/>
      <c r="T150" s="19"/>
      <c r="U150" s="19"/>
      <c r="V150" s="19"/>
      <c r="W150" s="19"/>
      <c r="X150" s="19"/>
    </row>
    <row r="151" spans="1:24" outlineLevel="2" x14ac:dyDescent="0.2">
      <c r="A151" s="19"/>
      <c r="B151" s="19"/>
      <c r="C151" s="506">
        <f>Qty!C107</f>
        <v>0</v>
      </c>
      <c r="D151" s="505">
        <f>Qty!D107</f>
        <v>0</v>
      </c>
      <c r="E151" s="505">
        <f>Qty!E107</f>
        <v>0</v>
      </c>
      <c r="F151" s="505">
        <f>Qty!F107</f>
        <v>0</v>
      </c>
      <c r="G151" s="505">
        <f>Qty!G107</f>
        <v>0</v>
      </c>
      <c r="H151" s="58"/>
      <c r="I151" s="238">
        <f>Qty!M107</f>
        <v>0</v>
      </c>
      <c r="J151" s="239"/>
      <c r="K151" s="238">
        <f>SUMIF(Qty!$M$7:$AF$7,K$50,Qty!$M107:$AF107)*consmultiplier</f>
        <v>0</v>
      </c>
      <c r="L151" s="238">
        <f>SUMIF(Qty!$M$7:$AF$7,L$50,Qty!$M107:$AF107)*consmultiplier</f>
        <v>0</v>
      </c>
      <c r="M151" s="238">
        <f>SUMIF(Qty!$M$7:$AF$7,M$50,Qty!$M107:$AF107)*consmultiplier</f>
        <v>0</v>
      </c>
      <c r="N151" s="238">
        <f>SUMIF(Qty!$M$7:$AF$7,N$50,Qty!$M107:$AF107)*consmultiplier</f>
        <v>0</v>
      </c>
      <c r="O151" s="238">
        <f t="shared" si="25"/>
        <v>0</v>
      </c>
      <c r="P151" s="239"/>
      <c r="Q151" s="238">
        <f>SUMIF(Qty!$M$7:$AF$7,Q$50,Qty!$M107:$AF107)*consmultiplier</f>
        <v>0</v>
      </c>
      <c r="R151" s="238">
        <f t="shared" si="26"/>
        <v>0</v>
      </c>
      <c r="S151" s="90"/>
      <c r="T151" s="19"/>
      <c r="U151" s="19"/>
      <c r="V151" s="19"/>
      <c r="W151" s="19"/>
      <c r="X151" s="19"/>
    </row>
    <row r="152" spans="1:24" hidden="1" outlineLevel="3" x14ac:dyDescent="0.2">
      <c r="A152" s="19"/>
      <c r="B152" s="19"/>
      <c r="C152" s="506">
        <f>Qty!C108</f>
        <v>0</v>
      </c>
      <c r="D152" s="505">
        <f>Qty!D108</f>
        <v>0</v>
      </c>
      <c r="E152" s="505">
        <f>Qty!E108</f>
        <v>0</v>
      </c>
      <c r="F152" s="505">
        <f>Qty!F108</f>
        <v>0</v>
      </c>
      <c r="G152" s="505">
        <f>Qty!G108</f>
        <v>0</v>
      </c>
      <c r="H152" s="58"/>
      <c r="I152" s="238">
        <f>Qty!M108</f>
        <v>0</v>
      </c>
      <c r="J152" s="239"/>
      <c r="K152" s="238">
        <f>SUMIF(Qty!$M$7:$AF$7,K$50,Qty!$M108:$AF108)*consmultiplier</f>
        <v>0</v>
      </c>
      <c r="L152" s="238">
        <f>SUMIF(Qty!$M$7:$AF$7,L$50,Qty!$M108:$AF108)*consmultiplier</f>
        <v>0</v>
      </c>
      <c r="M152" s="238">
        <f>SUMIF(Qty!$M$7:$AF$7,M$50,Qty!$M108:$AF108)*consmultiplier</f>
        <v>0</v>
      </c>
      <c r="N152" s="238">
        <f>SUMIF(Qty!$M$7:$AF$7,N$50,Qty!$M108:$AF108)*consmultiplier</f>
        <v>0</v>
      </c>
      <c r="O152" s="238">
        <f t="shared" si="25"/>
        <v>0</v>
      </c>
      <c r="P152" s="239"/>
      <c r="Q152" s="238">
        <f>SUMIF(Qty!$M$7:$AF$7,Q$50,Qty!$M108:$AF108)*consmultiplier</f>
        <v>0</v>
      </c>
      <c r="R152" s="238">
        <f t="shared" si="26"/>
        <v>0</v>
      </c>
      <c r="S152" s="90"/>
      <c r="T152" s="19"/>
      <c r="U152" s="19"/>
      <c r="V152" s="19"/>
      <c r="W152" s="19"/>
      <c r="X152" s="19"/>
    </row>
    <row r="153" spans="1:24" hidden="1" outlineLevel="3" x14ac:dyDescent="0.2">
      <c r="A153" s="19"/>
      <c r="B153" s="19"/>
      <c r="C153" s="506">
        <f>Qty!C109</f>
        <v>0</v>
      </c>
      <c r="D153" s="505">
        <f>Qty!D109</f>
        <v>0</v>
      </c>
      <c r="E153" s="505">
        <f>Qty!E109</f>
        <v>0</v>
      </c>
      <c r="F153" s="505">
        <f>Qty!F109</f>
        <v>0</v>
      </c>
      <c r="G153" s="505">
        <f>Qty!G109</f>
        <v>0</v>
      </c>
      <c r="H153" s="58"/>
      <c r="I153" s="238">
        <f>Qty!M109</f>
        <v>0</v>
      </c>
      <c r="J153" s="239"/>
      <c r="K153" s="238">
        <f>SUMIF(Qty!$M$7:$AF$7,K$50,Qty!$M109:$AF109)*consmultiplier</f>
        <v>0</v>
      </c>
      <c r="L153" s="238">
        <f>SUMIF(Qty!$M$7:$AF$7,L$50,Qty!$M109:$AF109)*consmultiplier</f>
        <v>0</v>
      </c>
      <c r="M153" s="238">
        <f>SUMIF(Qty!$M$7:$AF$7,M$50,Qty!$M109:$AF109)*consmultiplier</f>
        <v>0</v>
      </c>
      <c r="N153" s="238">
        <f>SUMIF(Qty!$M$7:$AF$7,N$50,Qty!$M109:$AF109)*consmultiplier</f>
        <v>0</v>
      </c>
      <c r="O153" s="238">
        <f t="shared" si="25"/>
        <v>0</v>
      </c>
      <c r="P153" s="239"/>
      <c r="Q153" s="238">
        <f>SUMIF(Qty!$M$7:$AF$7,Q$50,Qty!$M109:$AF109)*consmultiplier</f>
        <v>0</v>
      </c>
      <c r="R153" s="238">
        <f t="shared" si="26"/>
        <v>0</v>
      </c>
      <c r="S153" s="90"/>
      <c r="T153" s="19"/>
      <c r="U153" s="19"/>
      <c r="V153" s="19"/>
      <c r="W153" s="19"/>
      <c r="X153" s="19"/>
    </row>
    <row r="154" spans="1:24" hidden="1" outlineLevel="3" x14ac:dyDescent="0.2">
      <c r="A154" s="19"/>
      <c r="B154" s="19"/>
      <c r="C154" s="506">
        <f>Qty!C110</f>
        <v>0</v>
      </c>
      <c r="D154" s="505">
        <f>Qty!D110</f>
        <v>0</v>
      </c>
      <c r="E154" s="505">
        <f>Qty!E110</f>
        <v>0</v>
      </c>
      <c r="F154" s="505">
        <f>Qty!F110</f>
        <v>0</v>
      </c>
      <c r="G154" s="505">
        <f>Qty!G110</f>
        <v>0</v>
      </c>
      <c r="H154" s="58"/>
      <c r="I154" s="238">
        <f>Qty!M110</f>
        <v>0</v>
      </c>
      <c r="J154" s="239"/>
      <c r="K154" s="238">
        <f>SUMIF(Qty!$M$7:$AF$7,K$50,Qty!$M110:$AF110)*consmultiplier</f>
        <v>0</v>
      </c>
      <c r="L154" s="238">
        <f>SUMIF(Qty!$M$7:$AF$7,L$50,Qty!$M110:$AF110)*consmultiplier</f>
        <v>0</v>
      </c>
      <c r="M154" s="238">
        <f>SUMIF(Qty!$M$7:$AF$7,M$50,Qty!$M110:$AF110)*consmultiplier</f>
        <v>0</v>
      </c>
      <c r="N154" s="238">
        <f>SUMIF(Qty!$M$7:$AF$7,N$50,Qty!$M110:$AF110)*consmultiplier</f>
        <v>0</v>
      </c>
      <c r="O154" s="238">
        <f t="shared" si="25"/>
        <v>0</v>
      </c>
      <c r="P154" s="239"/>
      <c r="Q154" s="238">
        <f>SUMIF(Qty!$M$7:$AF$7,Q$50,Qty!$M110:$AF110)*consmultiplier</f>
        <v>0</v>
      </c>
      <c r="R154" s="238">
        <f t="shared" si="26"/>
        <v>0</v>
      </c>
      <c r="S154" s="90"/>
      <c r="T154" s="19"/>
      <c r="U154" s="19"/>
      <c r="V154" s="19"/>
      <c r="W154" s="19"/>
      <c r="X154" s="19"/>
    </row>
    <row r="155" spans="1:24" hidden="1" outlineLevel="3" x14ac:dyDescent="0.2">
      <c r="A155" s="19"/>
      <c r="B155" s="19"/>
      <c r="C155" s="506">
        <f>Qty!C111</f>
        <v>0</v>
      </c>
      <c r="D155" s="505">
        <f>Qty!D111</f>
        <v>0</v>
      </c>
      <c r="E155" s="505">
        <f>Qty!E111</f>
        <v>0</v>
      </c>
      <c r="F155" s="505">
        <f>Qty!F111</f>
        <v>0</v>
      </c>
      <c r="G155" s="505">
        <f>Qty!G111</f>
        <v>0</v>
      </c>
      <c r="H155" s="58"/>
      <c r="I155" s="238">
        <f>Qty!M111</f>
        <v>0</v>
      </c>
      <c r="J155" s="239"/>
      <c r="K155" s="238">
        <f>SUMIF(Qty!$M$7:$AF$7,K$50,Qty!$M111:$AF111)*consmultiplier</f>
        <v>0</v>
      </c>
      <c r="L155" s="238">
        <f>SUMIF(Qty!$M$7:$AF$7,L$50,Qty!$M111:$AF111)*consmultiplier</f>
        <v>0</v>
      </c>
      <c r="M155" s="238">
        <f>SUMIF(Qty!$M$7:$AF$7,M$50,Qty!$M111:$AF111)*consmultiplier</f>
        <v>0</v>
      </c>
      <c r="N155" s="238">
        <f>SUMIF(Qty!$M$7:$AF$7,N$50,Qty!$M111:$AF111)*consmultiplier</f>
        <v>0</v>
      </c>
      <c r="O155" s="238">
        <f t="shared" si="25"/>
        <v>0</v>
      </c>
      <c r="P155" s="239"/>
      <c r="Q155" s="238">
        <f>SUMIF(Qty!$M$7:$AF$7,Q$50,Qty!$M111:$AF111)*consmultiplier</f>
        <v>0</v>
      </c>
      <c r="R155" s="238">
        <f t="shared" si="26"/>
        <v>0</v>
      </c>
      <c r="S155" s="90"/>
      <c r="T155" s="19"/>
      <c r="U155" s="19"/>
      <c r="V155" s="19"/>
      <c r="W155" s="19"/>
      <c r="X155" s="19"/>
    </row>
    <row r="156" spans="1:24" hidden="1" outlineLevel="3" x14ac:dyDescent="0.2">
      <c r="A156" s="19"/>
      <c r="B156" s="19"/>
      <c r="C156" s="506">
        <f>Qty!C112</f>
        <v>0</v>
      </c>
      <c r="D156" s="505">
        <f>Qty!D112</f>
        <v>0</v>
      </c>
      <c r="E156" s="505">
        <f>Qty!E112</f>
        <v>0</v>
      </c>
      <c r="F156" s="505">
        <f>Qty!F112</f>
        <v>0</v>
      </c>
      <c r="G156" s="505">
        <f>Qty!G112</f>
        <v>0</v>
      </c>
      <c r="H156" s="58"/>
      <c r="I156" s="238">
        <f>Qty!M112</f>
        <v>0</v>
      </c>
      <c r="J156" s="239"/>
      <c r="K156" s="238">
        <f>SUMIF(Qty!$M$7:$AF$7,K$50,Qty!$M112:$AF112)*consmultiplier</f>
        <v>0</v>
      </c>
      <c r="L156" s="238">
        <f>SUMIF(Qty!$M$7:$AF$7,L$50,Qty!$M112:$AF112)*consmultiplier</f>
        <v>0</v>
      </c>
      <c r="M156" s="238">
        <f>SUMIF(Qty!$M$7:$AF$7,M$50,Qty!$M112:$AF112)*consmultiplier</f>
        <v>0</v>
      </c>
      <c r="N156" s="238">
        <f>SUMIF(Qty!$M$7:$AF$7,N$50,Qty!$M112:$AF112)*consmultiplier</f>
        <v>0</v>
      </c>
      <c r="O156" s="238">
        <f t="shared" si="25"/>
        <v>0</v>
      </c>
      <c r="P156" s="239"/>
      <c r="Q156" s="238">
        <f>SUMIF(Qty!$M$7:$AF$7,Q$50,Qty!$M112:$AF112)*consmultiplier</f>
        <v>0</v>
      </c>
      <c r="R156" s="238">
        <f t="shared" si="26"/>
        <v>0</v>
      </c>
      <c r="S156" s="90"/>
      <c r="T156" s="19"/>
      <c r="U156" s="19"/>
      <c r="V156" s="19"/>
      <c r="W156" s="19"/>
      <c r="X156" s="19"/>
    </row>
    <row r="157" spans="1:24" hidden="1" outlineLevel="3" x14ac:dyDescent="0.2">
      <c r="A157" s="19"/>
      <c r="B157" s="19"/>
      <c r="C157" s="506">
        <f>Qty!C113</f>
        <v>0</v>
      </c>
      <c r="D157" s="505">
        <f>Qty!D113</f>
        <v>0</v>
      </c>
      <c r="E157" s="505">
        <f>Qty!E113</f>
        <v>0</v>
      </c>
      <c r="F157" s="505">
        <f>Qty!F113</f>
        <v>0</v>
      </c>
      <c r="G157" s="505">
        <f>Qty!G113</f>
        <v>0</v>
      </c>
      <c r="H157" s="58"/>
      <c r="I157" s="238">
        <f>Qty!M113</f>
        <v>0</v>
      </c>
      <c r="J157" s="239"/>
      <c r="K157" s="238">
        <f>SUMIF(Qty!$M$7:$AF$7,K$50,Qty!$M113:$AF113)*consmultiplier</f>
        <v>0</v>
      </c>
      <c r="L157" s="238">
        <f>SUMIF(Qty!$M$7:$AF$7,L$50,Qty!$M113:$AF113)*consmultiplier</f>
        <v>0</v>
      </c>
      <c r="M157" s="238">
        <f>SUMIF(Qty!$M$7:$AF$7,M$50,Qty!$M113:$AF113)*consmultiplier</f>
        <v>0</v>
      </c>
      <c r="N157" s="238">
        <f>SUMIF(Qty!$M$7:$AF$7,N$50,Qty!$M113:$AF113)*consmultiplier</f>
        <v>0</v>
      </c>
      <c r="O157" s="238">
        <f t="shared" si="25"/>
        <v>0</v>
      </c>
      <c r="P157" s="239"/>
      <c r="Q157" s="238">
        <f>SUMIF(Qty!$M$7:$AF$7,Q$50,Qty!$M113:$AF113)*consmultiplier</f>
        <v>0</v>
      </c>
      <c r="R157" s="238">
        <f t="shared" si="26"/>
        <v>0</v>
      </c>
      <c r="S157" s="90"/>
      <c r="T157" s="19"/>
      <c r="U157" s="19"/>
      <c r="V157" s="19"/>
      <c r="W157" s="19"/>
      <c r="X157" s="19"/>
    </row>
    <row r="158" spans="1:24" hidden="1" outlineLevel="3" x14ac:dyDescent="0.2">
      <c r="A158" s="19"/>
      <c r="B158" s="19"/>
      <c r="C158" s="506">
        <f>Qty!C114</f>
        <v>0</v>
      </c>
      <c r="D158" s="505">
        <f>Qty!D114</f>
        <v>0</v>
      </c>
      <c r="E158" s="505">
        <f>Qty!E114</f>
        <v>0</v>
      </c>
      <c r="F158" s="505">
        <f>Qty!F114</f>
        <v>0</v>
      </c>
      <c r="G158" s="505">
        <f>Qty!G114</f>
        <v>0</v>
      </c>
      <c r="H158" s="58"/>
      <c r="I158" s="238">
        <f>Qty!M114</f>
        <v>0</v>
      </c>
      <c r="J158" s="239"/>
      <c r="K158" s="238">
        <f>SUMIF(Qty!$M$7:$AF$7,K$50,Qty!$M114:$AF114)*consmultiplier</f>
        <v>0</v>
      </c>
      <c r="L158" s="238">
        <f>SUMIF(Qty!$M$7:$AF$7,L$50,Qty!$M114:$AF114)*consmultiplier</f>
        <v>0</v>
      </c>
      <c r="M158" s="238">
        <f>SUMIF(Qty!$M$7:$AF$7,M$50,Qty!$M114:$AF114)*consmultiplier</f>
        <v>0</v>
      </c>
      <c r="N158" s="238">
        <f>SUMIF(Qty!$M$7:$AF$7,N$50,Qty!$M114:$AF114)*consmultiplier</f>
        <v>0</v>
      </c>
      <c r="O158" s="238">
        <f t="shared" si="25"/>
        <v>0</v>
      </c>
      <c r="P158" s="239"/>
      <c r="Q158" s="238">
        <f>SUMIF(Qty!$M$7:$AF$7,Q$50,Qty!$M114:$AF114)*consmultiplier</f>
        <v>0</v>
      </c>
      <c r="R158" s="238">
        <f t="shared" si="26"/>
        <v>0</v>
      </c>
      <c r="S158" s="90"/>
      <c r="T158" s="19"/>
      <c r="U158" s="19"/>
      <c r="V158" s="19"/>
      <c r="W158" s="19"/>
      <c r="X158" s="19"/>
    </row>
    <row r="159" spans="1:24" hidden="1" outlineLevel="3" x14ac:dyDescent="0.2">
      <c r="A159" s="19"/>
      <c r="B159" s="19"/>
      <c r="C159" s="506">
        <f>Qty!C115</f>
        <v>0</v>
      </c>
      <c r="D159" s="505">
        <f>Qty!D115</f>
        <v>0</v>
      </c>
      <c r="E159" s="505">
        <f>Qty!E115</f>
        <v>0</v>
      </c>
      <c r="F159" s="505">
        <f>Qty!F115</f>
        <v>0</v>
      </c>
      <c r="G159" s="505">
        <f>Qty!G115</f>
        <v>0</v>
      </c>
      <c r="H159" s="58"/>
      <c r="I159" s="238">
        <f>Qty!M115</f>
        <v>0</v>
      </c>
      <c r="J159" s="239"/>
      <c r="K159" s="238">
        <f>SUMIF(Qty!$M$7:$AF$7,K$50,Qty!$M115:$AF115)*consmultiplier</f>
        <v>0</v>
      </c>
      <c r="L159" s="238">
        <f>SUMIF(Qty!$M$7:$AF$7,L$50,Qty!$M115:$AF115)*consmultiplier</f>
        <v>0</v>
      </c>
      <c r="M159" s="238">
        <f>SUMIF(Qty!$M$7:$AF$7,M$50,Qty!$M115:$AF115)*consmultiplier</f>
        <v>0</v>
      </c>
      <c r="N159" s="238">
        <f>SUMIF(Qty!$M$7:$AF$7,N$50,Qty!$M115:$AF115)*consmultiplier</f>
        <v>0</v>
      </c>
      <c r="O159" s="238">
        <f t="shared" si="25"/>
        <v>0</v>
      </c>
      <c r="P159" s="239"/>
      <c r="Q159" s="238">
        <f>SUMIF(Qty!$M$7:$AF$7,Q$50,Qty!$M115:$AF115)*consmultiplier</f>
        <v>0</v>
      </c>
      <c r="R159" s="238">
        <f t="shared" si="26"/>
        <v>0</v>
      </c>
      <c r="S159" s="90"/>
      <c r="T159" s="19"/>
      <c r="U159" s="19"/>
      <c r="V159" s="19"/>
      <c r="W159" s="19"/>
      <c r="X159" s="19"/>
    </row>
    <row r="160" spans="1:24" hidden="1" outlineLevel="3" x14ac:dyDescent="0.2">
      <c r="A160" s="19"/>
      <c r="B160" s="19"/>
      <c r="C160" s="506">
        <f>Qty!C116</f>
        <v>0</v>
      </c>
      <c r="D160" s="505">
        <f>Qty!D116</f>
        <v>0</v>
      </c>
      <c r="E160" s="505">
        <f>Qty!E116</f>
        <v>0</v>
      </c>
      <c r="F160" s="505">
        <f>Qty!F116</f>
        <v>0</v>
      </c>
      <c r="G160" s="505">
        <f>Qty!G116</f>
        <v>0</v>
      </c>
      <c r="H160" s="58"/>
      <c r="I160" s="238">
        <f>Qty!M116</f>
        <v>0</v>
      </c>
      <c r="J160" s="239"/>
      <c r="K160" s="238">
        <f>SUMIF(Qty!$M$7:$AF$7,K$50,Qty!$M116:$AF116)*consmultiplier</f>
        <v>0</v>
      </c>
      <c r="L160" s="238">
        <f>SUMIF(Qty!$M$7:$AF$7,L$50,Qty!$M116:$AF116)*consmultiplier</f>
        <v>0</v>
      </c>
      <c r="M160" s="238">
        <f>SUMIF(Qty!$M$7:$AF$7,M$50,Qty!$M116:$AF116)*consmultiplier</f>
        <v>0</v>
      </c>
      <c r="N160" s="238">
        <f>SUMIF(Qty!$M$7:$AF$7,N$50,Qty!$M116:$AF116)*consmultiplier</f>
        <v>0</v>
      </c>
      <c r="O160" s="238">
        <f t="shared" si="25"/>
        <v>0</v>
      </c>
      <c r="P160" s="239"/>
      <c r="Q160" s="238">
        <f>SUMIF(Qty!$M$7:$AF$7,Q$50,Qty!$M116:$AF116)*consmultiplier</f>
        <v>0</v>
      </c>
      <c r="R160" s="238">
        <f t="shared" si="26"/>
        <v>0</v>
      </c>
      <c r="S160" s="90"/>
      <c r="T160" s="19"/>
      <c r="U160" s="19"/>
      <c r="V160" s="19"/>
      <c r="W160" s="19"/>
      <c r="X160" s="19"/>
    </row>
    <row r="161" spans="1:24" hidden="1" outlineLevel="3" x14ac:dyDescent="0.2">
      <c r="A161" s="19"/>
      <c r="B161" s="19"/>
      <c r="C161" s="506">
        <f>Qty!C117</f>
        <v>0</v>
      </c>
      <c r="D161" s="505">
        <f>Qty!D117</f>
        <v>0</v>
      </c>
      <c r="E161" s="505">
        <f>Qty!E117</f>
        <v>0</v>
      </c>
      <c r="F161" s="505">
        <f>Qty!F117</f>
        <v>0</v>
      </c>
      <c r="G161" s="505">
        <f>Qty!G117</f>
        <v>0</v>
      </c>
      <c r="H161" s="58"/>
      <c r="I161" s="238">
        <f>Qty!M117</f>
        <v>0</v>
      </c>
      <c r="J161" s="239"/>
      <c r="K161" s="238">
        <f>SUMIF(Qty!$M$7:$AF$7,K$50,Qty!$M117:$AF117)*consmultiplier</f>
        <v>0</v>
      </c>
      <c r="L161" s="238">
        <f>SUMIF(Qty!$M$7:$AF$7,L$50,Qty!$M117:$AF117)*consmultiplier</f>
        <v>0</v>
      </c>
      <c r="M161" s="238">
        <f>SUMIF(Qty!$M$7:$AF$7,M$50,Qty!$M117:$AF117)*consmultiplier</f>
        <v>0</v>
      </c>
      <c r="N161" s="238">
        <f>SUMIF(Qty!$M$7:$AF$7,N$50,Qty!$M117:$AF117)*consmultiplier</f>
        <v>0</v>
      </c>
      <c r="O161" s="238">
        <f t="shared" si="25"/>
        <v>0</v>
      </c>
      <c r="P161" s="239"/>
      <c r="Q161" s="238">
        <f>SUMIF(Qty!$M$7:$AF$7,Q$50,Qty!$M117:$AF117)*consmultiplier</f>
        <v>0</v>
      </c>
      <c r="R161" s="238">
        <f t="shared" si="26"/>
        <v>0</v>
      </c>
      <c r="S161" s="90"/>
      <c r="T161" s="19"/>
      <c r="U161" s="19"/>
      <c r="V161" s="19"/>
      <c r="W161" s="19"/>
      <c r="X161" s="19"/>
    </row>
    <row r="162" spans="1:24" hidden="1" outlineLevel="3" x14ac:dyDescent="0.2">
      <c r="A162" s="19"/>
      <c r="B162" s="19"/>
      <c r="C162" s="506">
        <f>Qty!C118</f>
        <v>0</v>
      </c>
      <c r="D162" s="505">
        <f>Qty!D118</f>
        <v>0</v>
      </c>
      <c r="E162" s="505">
        <f>Qty!E118</f>
        <v>0</v>
      </c>
      <c r="F162" s="505">
        <f>Qty!F118</f>
        <v>0</v>
      </c>
      <c r="G162" s="505">
        <f>Qty!G118</f>
        <v>0</v>
      </c>
      <c r="H162" s="58"/>
      <c r="I162" s="238">
        <f>Qty!M118</f>
        <v>0</v>
      </c>
      <c r="J162" s="239"/>
      <c r="K162" s="238">
        <f>SUMIF(Qty!$M$7:$AF$7,K$50,Qty!$M118:$AF118)*consmultiplier</f>
        <v>0</v>
      </c>
      <c r="L162" s="238">
        <f>SUMIF(Qty!$M$7:$AF$7,L$50,Qty!$M118:$AF118)*consmultiplier</f>
        <v>0</v>
      </c>
      <c r="M162" s="238">
        <f>SUMIF(Qty!$M$7:$AF$7,M$50,Qty!$M118:$AF118)*consmultiplier</f>
        <v>0</v>
      </c>
      <c r="N162" s="238">
        <f>SUMIF(Qty!$M$7:$AF$7,N$50,Qty!$M118:$AF118)*consmultiplier</f>
        <v>0</v>
      </c>
      <c r="O162" s="238">
        <f t="shared" si="25"/>
        <v>0</v>
      </c>
      <c r="P162" s="239"/>
      <c r="Q162" s="238">
        <f>SUMIF(Qty!$M$7:$AF$7,Q$50,Qty!$M118:$AF118)*consmultiplier</f>
        <v>0</v>
      </c>
      <c r="R162" s="238">
        <f t="shared" si="26"/>
        <v>0</v>
      </c>
      <c r="S162" s="90"/>
      <c r="T162" s="19"/>
      <c r="U162" s="19"/>
      <c r="V162" s="19"/>
      <c r="W162" s="19"/>
      <c r="X162" s="19"/>
    </row>
    <row r="163" spans="1:24" hidden="1" outlineLevel="3" x14ac:dyDescent="0.2">
      <c r="A163" s="19"/>
      <c r="B163" s="19"/>
      <c r="C163" s="506">
        <f>Qty!C119</f>
        <v>0</v>
      </c>
      <c r="D163" s="505">
        <f>Qty!D119</f>
        <v>0</v>
      </c>
      <c r="E163" s="505">
        <f>Qty!E119</f>
        <v>0</v>
      </c>
      <c r="F163" s="505">
        <f>Qty!F119</f>
        <v>0</v>
      </c>
      <c r="G163" s="505">
        <f>Qty!G119</f>
        <v>0</v>
      </c>
      <c r="H163" s="58"/>
      <c r="I163" s="238">
        <f>Qty!M119</f>
        <v>0</v>
      </c>
      <c r="J163" s="239"/>
      <c r="K163" s="238">
        <f>SUMIF(Qty!$M$7:$AF$7,K$50,Qty!$M119:$AF119)*consmultiplier</f>
        <v>0</v>
      </c>
      <c r="L163" s="238">
        <f>SUMIF(Qty!$M$7:$AF$7,L$50,Qty!$M119:$AF119)*consmultiplier</f>
        <v>0</v>
      </c>
      <c r="M163" s="238">
        <f>SUMIF(Qty!$M$7:$AF$7,M$50,Qty!$M119:$AF119)*consmultiplier</f>
        <v>0</v>
      </c>
      <c r="N163" s="238">
        <f>SUMIF(Qty!$M$7:$AF$7,N$50,Qty!$M119:$AF119)*consmultiplier</f>
        <v>0</v>
      </c>
      <c r="O163" s="238">
        <f t="shared" si="25"/>
        <v>0</v>
      </c>
      <c r="P163" s="239"/>
      <c r="Q163" s="238">
        <f>SUMIF(Qty!$M$7:$AF$7,Q$50,Qty!$M119:$AF119)*consmultiplier</f>
        <v>0</v>
      </c>
      <c r="R163" s="238">
        <f t="shared" si="26"/>
        <v>0</v>
      </c>
      <c r="S163" s="90"/>
      <c r="T163" s="19"/>
      <c r="U163" s="19"/>
      <c r="V163" s="19"/>
      <c r="W163" s="19"/>
      <c r="X163" s="19"/>
    </row>
    <row r="164" spans="1:24" hidden="1" outlineLevel="3" x14ac:dyDescent="0.2">
      <c r="A164" s="19"/>
      <c r="B164" s="19"/>
      <c r="C164" s="506">
        <f>Qty!C120</f>
        <v>0</v>
      </c>
      <c r="D164" s="505">
        <f>Qty!D120</f>
        <v>0</v>
      </c>
      <c r="E164" s="505">
        <f>Qty!E120</f>
        <v>0</v>
      </c>
      <c r="F164" s="505">
        <f>Qty!F120</f>
        <v>0</v>
      </c>
      <c r="G164" s="505">
        <f>Qty!G120</f>
        <v>0</v>
      </c>
      <c r="H164" s="58"/>
      <c r="I164" s="238">
        <f>Qty!M120</f>
        <v>0</v>
      </c>
      <c r="J164" s="239"/>
      <c r="K164" s="238">
        <f>SUMIF(Qty!$M$7:$AF$7,K$50,Qty!$M120:$AF120)*consmultiplier</f>
        <v>0</v>
      </c>
      <c r="L164" s="238">
        <f>SUMIF(Qty!$M$7:$AF$7,L$50,Qty!$M120:$AF120)*consmultiplier</f>
        <v>0</v>
      </c>
      <c r="M164" s="238">
        <f>SUMIF(Qty!$M$7:$AF$7,M$50,Qty!$M120:$AF120)*consmultiplier</f>
        <v>0</v>
      </c>
      <c r="N164" s="238">
        <f>SUMIF(Qty!$M$7:$AF$7,N$50,Qty!$M120:$AF120)*consmultiplier</f>
        <v>0</v>
      </c>
      <c r="O164" s="238">
        <f t="shared" si="25"/>
        <v>0</v>
      </c>
      <c r="P164" s="239"/>
      <c r="Q164" s="238">
        <f>SUMIF(Qty!$M$7:$AF$7,Q$50,Qty!$M120:$AF120)*consmultiplier</f>
        <v>0</v>
      </c>
      <c r="R164" s="238">
        <f t="shared" si="26"/>
        <v>0</v>
      </c>
      <c r="S164" s="90"/>
      <c r="T164" s="19"/>
      <c r="U164" s="19"/>
      <c r="V164" s="19"/>
      <c r="W164" s="19"/>
      <c r="X164" s="19"/>
    </row>
    <row r="165" spans="1:24" hidden="1" outlineLevel="3" x14ac:dyDescent="0.2">
      <c r="A165" s="19"/>
      <c r="B165" s="19"/>
      <c r="C165" s="506">
        <f>Qty!C121</f>
        <v>0</v>
      </c>
      <c r="D165" s="505">
        <f>Qty!D121</f>
        <v>0</v>
      </c>
      <c r="E165" s="505">
        <f>Qty!E121</f>
        <v>0</v>
      </c>
      <c r="F165" s="505">
        <f>Qty!F121</f>
        <v>0</v>
      </c>
      <c r="G165" s="505">
        <f>Qty!G121</f>
        <v>0</v>
      </c>
      <c r="H165" s="58"/>
      <c r="I165" s="238">
        <f>Qty!M121</f>
        <v>0</v>
      </c>
      <c r="J165" s="239"/>
      <c r="K165" s="238">
        <f>SUMIF(Qty!$M$7:$AF$7,K$50,Qty!$M121:$AF121)*consmultiplier</f>
        <v>0</v>
      </c>
      <c r="L165" s="238">
        <f>SUMIF(Qty!$M$7:$AF$7,L$50,Qty!$M121:$AF121)*consmultiplier</f>
        <v>0</v>
      </c>
      <c r="M165" s="238">
        <f>SUMIF(Qty!$M$7:$AF$7,M$50,Qty!$M121:$AF121)*consmultiplier</f>
        <v>0</v>
      </c>
      <c r="N165" s="238">
        <f>SUMIF(Qty!$M$7:$AF$7,N$50,Qty!$M121:$AF121)*consmultiplier</f>
        <v>0</v>
      </c>
      <c r="O165" s="238">
        <f t="shared" si="25"/>
        <v>0</v>
      </c>
      <c r="P165" s="239"/>
      <c r="Q165" s="238">
        <f>SUMIF(Qty!$M$7:$AF$7,Q$50,Qty!$M121:$AF121)*consmultiplier</f>
        <v>0</v>
      </c>
      <c r="R165" s="238">
        <f t="shared" si="26"/>
        <v>0</v>
      </c>
      <c r="S165" s="90"/>
      <c r="T165" s="19"/>
      <c r="U165" s="19"/>
      <c r="V165" s="19"/>
      <c r="W165" s="19"/>
      <c r="X165" s="19"/>
    </row>
    <row r="166" spans="1:24" hidden="1" outlineLevel="3" x14ac:dyDescent="0.2">
      <c r="A166" s="19"/>
      <c r="B166" s="19"/>
      <c r="C166" s="506">
        <f>Qty!C122</f>
        <v>0</v>
      </c>
      <c r="D166" s="505">
        <f>Qty!D122</f>
        <v>0</v>
      </c>
      <c r="E166" s="505">
        <f>Qty!E122</f>
        <v>0</v>
      </c>
      <c r="F166" s="505">
        <f>Qty!F122</f>
        <v>0</v>
      </c>
      <c r="G166" s="505">
        <f>Qty!G122</f>
        <v>0</v>
      </c>
      <c r="H166" s="58"/>
      <c r="I166" s="238">
        <f>Qty!M122</f>
        <v>0</v>
      </c>
      <c r="J166" s="239"/>
      <c r="K166" s="238">
        <f>SUMIF(Qty!$M$7:$AF$7,K$50,Qty!$M122:$AF122)*consmultiplier</f>
        <v>0</v>
      </c>
      <c r="L166" s="238">
        <f>SUMIF(Qty!$M$7:$AF$7,L$50,Qty!$M122:$AF122)*consmultiplier</f>
        <v>0</v>
      </c>
      <c r="M166" s="238">
        <f>SUMIF(Qty!$M$7:$AF$7,M$50,Qty!$M122:$AF122)*consmultiplier</f>
        <v>0</v>
      </c>
      <c r="N166" s="238">
        <f>SUMIF(Qty!$M$7:$AF$7,N$50,Qty!$M122:$AF122)*consmultiplier</f>
        <v>0</v>
      </c>
      <c r="O166" s="238">
        <f t="shared" si="25"/>
        <v>0</v>
      </c>
      <c r="P166" s="239"/>
      <c r="Q166" s="238">
        <f>SUMIF(Qty!$M$7:$AF$7,Q$50,Qty!$M122:$AF122)*consmultiplier</f>
        <v>0</v>
      </c>
      <c r="R166" s="238">
        <f t="shared" si="26"/>
        <v>0</v>
      </c>
      <c r="S166" s="90"/>
      <c r="T166" s="19"/>
      <c r="U166" s="19"/>
      <c r="V166" s="19"/>
      <c r="W166" s="19"/>
      <c r="X166" s="19"/>
    </row>
    <row r="167" spans="1:24" hidden="1" outlineLevel="3" x14ac:dyDescent="0.2">
      <c r="A167" s="19"/>
      <c r="B167" s="19"/>
      <c r="C167" s="506">
        <f>Qty!C123</f>
        <v>0</v>
      </c>
      <c r="D167" s="505">
        <f>Qty!D123</f>
        <v>0</v>
      </c>
      <c r="E167" s="505">
        <f>Qty!E123</f>
        <v>0</v>
      </c>
      <c r="F167" s="505">
        <f>Qty!F123</f>
        <v>0</v>
      </c>
      <c r="G167" s="505">
        <f>Qty!G123</f>
        <v>0</v>
      </c>
      <c r="H167" s="58"/>
      <c r="I167" s="238">
        <f>Qty!M123</f>
        <v>0</v>
      </c>
      <c r="J167" s="239"/>
      <c r="K167" s="238">
        <f>SUMIF(Qty!$M$7:$AF$7,K$50,Qty!$M123:$AF123)*consmultiplier</f>
        <v>0</v>
      </c>
      <c r="L167" s="238">
        <f>SUMIF(Qty!$M$7:$AF$7,L$50,Qty!$M123:$AF123)*consmultiplier</f>
        <v>0</v>
      </c>
      <c r="M167" s="238">
        <f>SUMIF(Qty!$M$7:$AF$7,M$50,Qty!$M123:$AF123)*consmultiplier</f>
        <v>0</v>
      </c>
      <c r="N167" s="238">
        <f>SUMIF(Qty!$M$7:$AF$7,N$50,Qty!$M123:$AF123)*consmultiplier</f>
        <v>0</v>
      </c>
      <c r="O167" s="238">
        <f t="shared" si="25"/>
        <v>0</v>
      </c>
      <c r="P167" s="239"/>
      <c r="Q167" s="238">
        <f>SUMIF(Qty!$M$7:$AF$7,Q$50,Qty!$M123:$AF123)*consmultiplier</f>
        <v>0</v>
      </c>
      <c r="R167" s="238">
        <f t="shared" si="26"/>
        <v>0</v>
      </c>
      <c r="S167" s="90"/>
      <c r="T167" s="19"/>
      <c r="U167" s="19"/>
      <c r="V167" s="19"/>
      <c r="W167" s="19"/>
      <c r="X167" s="19"/>
    </row>
    <row r="168" spans="1:24" hidden="1" outlineLevel="3" x14ac:dyDescent="0.2">
      <c r="A168" s="19"/>
      <c r="B168" s="19"/>
      <c r="C168" s="506">
        <f>Qty!C124</f>
        <v>0</v>
      </c>
      <c r="D168" s="505">
        <f>Qty!D124</f>
        <v>0</v>
      </c>
      <c r="E168" s="505">
        <f>Qty!E124</f>
        <v>0</v>
      </c>
      <c r="F168" s="505">
        <f>Qty!F124</f>
        <v>0</v>
      </c>
      <c r="G168" s="505">
        <f>Qty!G124</f>
        <v>0</v>
      </c>
      <c r="H168" s="58"/>
      <c r="I168" s="238">
        <f>Qty!M124</f>
        <v>0</v>
      </c>
      <c r="J168" s="239"/>
      <c r="K168" s="238">
        <f>SUMIF(Qty!$M$7:$AF$7,K$50,Qty!$M124:$AF124)*consmultiplier</f>
        <v>0</v>
      </c>
      <c r="L168" s="238">
        <f>SUMIF(Qty!$M$7:$AF$7,L$50,Qty!$M124:$AF124)*consmultiplier</f>
        <v>0</v>
      </c>
      <c r="M168" s="238">
        <f>SUMIF(Qty!$M$7:$AF$7,M$50,Qty!$M124:$AF124)*consmultiplier</f>
        <v>0</v>
      </c>
      <c r="N168" s="238">
        <f>SUMIF(Qty!$M$7:$AF$7,N$50,Qty!$M124:$AF124)*consmultiplier</f>
        <v>0</v>
      </c>
      <c r="O168" s="238">
        <f t="shared" si="25"/>
        <v>0</v>
      </c>
      <c r="P168" s="239"/>
      <c r="Q168" s="238">
        <f>SUMIF(Qty!$M$7:$AF$7,Q$50,Qty!$M124:$AF124)*consmultiplier</f>
        <v>0</v>
      </c>
      <c r="R168" s="238">
        <f t="shared" si="26"/>
        <v>0</v>
      </c>
      <c r="S168" s="90"/>
      <c r="T168" s="19"/>
      <c r="U168" s="19"/>
      <c r="V168" s="19"/>
      <c r="W168" s="19"/>
      <c r="X168" s="19"/>
    </row>
    <row r="169" spans="1:24" hidden="1" outlineLevel="3" x14ac:dyDescent="0.2">
      <c r="A169" s="19"/>
      <c r="B169" s="19"/>
      <c r="C169" s="506">
        <f>Qty!C125</f>
        <v>0</v>
      </c>
      <c r="D169" s="505">
        <f>Qty!D125</f>
        <v>0</v>
      </c>
      <c r="E169" s="505">
        <f>Qty!E125</f>
        <v>0</v>
      </c>
      <c r="F169" s="505">
        <f>Qty!F125</f>
        <v>0</v>
      </c>
      <c r="G169" s="505">
        <f>Qty!G125</f>
        <v>0</v>
      </c>
      <c r="H169" s="58"/>
      <c r="I169" s="238">
        <f>Qty!M125</f>
        <v>0</v>
      </c>
      <c r="J169" s="239"/>
      <c r="K169" s="238">
        <f>SUMIF(Qty!$M$7:$AF$7,K$50,Qty!$M125:$AF125)*consmultiplier</f>
        <v>0</v>
      </c>
      <c r="L169" s="238">
        <f>SUMIF(Qty!$M$7:$AF$7,L$50,Qty!$M125:$AF125)*consmultiplier</f>
        <v>0</v>
      </c>
      <c r="M169" s="238">
        <f>SUMIF(Qty!$M$7:$AF$7,M$50,Qty!$M125:$AF125)*consmultiplier</f>
        <v>0</v>
      </c>
      <c r="N169" s="238">
        <f>SUMIF(Qty!$M$7:$AF$7,N$50,Qty!$M125:$AF125)*consmultiplier</f>
        <v>0</v>
      </c>
      <c r="O169" s="238">
        <f t="shared" si="25"/>
        <v>0</v>
      </c>
      <c r="P169" s="239"/>
      <c r="Q169" s="238">
        <f>SUMIF(Qty!$M$7:$AF$7,Q$50,Qty!$M125:$AF125)*consmultiplier</f>
        <v>0</v>
      </c>
      <c r="R169" s="238">
        <f t="shared" si="26"/>
        <v>0</v>
      </c>
      <c r="S169" s="90"/>
      <c r="T169" s="19"/>
      <c r="U169" s="19"/>
      <c r="V169" s="19"/>
      <c r="W169" s="19"/>
      <c r="X169" s="19"/>
    </row>
    <row r="170" spans="1:24" hidden="1" outlineLevel="3" x14ac:dyDescent="0.2">
      <c r="A170" s="19"/>
      <c r="B170" s="19"/>
      <c r="C170" s="506">
        <f>Qty!C126</f>
        <v>0</v>
      </c>
      <c r="D170" s="505">
        <f>Qty!D126</f>
        <v>0</v>
      </c>
      <c r="E170" s="505">
        <f>Qty!E126</f>
        <v>0</v>
      </c>
      <c r="F170" s="505">
        <f>Qty!F126</f>
        <v>0</v>
      </c>
      <c r="G170" s="505">
        <f>Qty!G126</f>
        <v>0</v>
      </c>
      <c r="H170" s="58"/>
      <c r="I170" s="238">
        <f>Qty!M126</f>
        <v>0</v>
      </c>
      <c r="J170" s="239"/>
      <c r="K170" s="238">
        <f>SUMIF(Qty!$M$7:$AF$7,K$50,Qty!$M126:$AF126)*consmultiplier</f>
        <v>0</v>
      </c>
      <c r="L170" s="238">
        <f>SUMIF(Qty!$M$7:$AF$7,L$50,Qty!$M126:$AF126)*consmultiplier</f>
        <v>0</v>
      </c>
      <c r="M170" s="238">
        <f>SUMIF(Qty!$M$7:$AF$7,M$50,Qty!$M126:$AF126)*consmultiplier</f>
        <v>0</v>
      </c>
      <c r="N170" s="238">
        <f>SUMIF(Qty!$M$7:$AF$7,N$50,Qty!$M126:$AF126)*consmultiplier</f>
        <v>0</v>
      </c>
      <c r="O170" s="238">
        <f t="shared" si="25"/>
        <v>0</v>
      </c>
      <c r="P170" s="239"/>
      <c r="Q170" s="238">
        <f>SUMIF(Qty!$M$7:$AF$7,Q$50,Qty!$M126:$AF126)*consmultiplier</f>
        <v>0</v>
      </c>
      <c r="R170" s="238">
        <f t="shared" si="26"/>
        <v>0</v>
      </c>
      <c r="S170" s="90"/>
      <c r="T170" s="19"/>
      <c r="U170" s="19"/>
      <c r="V170" s="19"/>
      <c r="W170" s="19"/>
      <c r="X170" s="19"/>
    </row>
    <row r="171" spans="1:24" hidden="1" outlineLevel="3" x14ac:dyDescent="0.2">
      <c r="A171" s="19"/>
      <c r="B171" s="19"/>
      <c r="C171" s="506">
        <f>Qty!C127</f>
        <v>0</v>
      </c>
      <c r="D171" s="505">
        <f>Qty!D127</f>
        <v>0</v>
      </c>
      <c r="E171" s="505">
        <f>Qty!E127</f>
        <v>0</v>
      </c>
      <c r="F171" s="505">
        <f>Qty!F127</f>
        <v>0</v>
      </c>
      <c r="G171" s="505">
        <f>Qty!G127</f>
        <v>0</v>
      </c>
      <c r="H171" s="58"/>
      <c r="I171" s="238">
        <f>Qty!M127</f>
        <v>0</v>
      </c>
      <c r="J171" s="239"/>
      <c r="K171" s="238">
        <f>SUMIF(Qty!$M$7:$AF$7,K$50,Qty!$M127:$AF127)*consmultiplier</f>
        <v>0</v>
      </c>
      <c r="L171" s="238">
        <f>SUMIF(Qty!$M$7:$AF$7,L$50,Qty!$M127:$AF127)*consmultiplier</f>
        <v>0</v>
      </c>
      <c r="M171" s="238">
        <f>SUMIF(Qty!$M$7:$AF$7,M$50,Qty!$M127:$AF127)*consmultiplier</f>
        <v>0</v>
      </c>
      <c r="N171" s="238">
        <f>SUMIF(Qty!$M$7:$AF$7,N$50,Qty!$M127:$AF127)*consmultiplier</f>
        <v>0</v>
      </c>
      <c r="O171" s="238">
        <f t="shared" si="25"/>
        <v>0</v>
      </c>
      <c r="P171" s="239"/>
      <c r="Q171" s="238">
        <f>SUMIF(Qty!$M$7:$AF$7,Q$50,Qty!$M127:$AF127)*consmultiplier</f>
        <v>0</v>
      </c>
      <c r="R171" s="238">
        <f t="shared" si="26"/>
        <v>0</v>
      </c>
      <c r="S171" s="90"/>
      <c r="T171" s="19"/>
      <c r="U171" s="19"/>
      <c r="V171" s="19"/>
      <c r="W171" s="19"/>
      <c r="X171" s="19"/>
    </row>
    <row r="172" spans="1:24" hidden="1" outlineLevel="3" x14ac:dyDescent="0.2">
      <c r="A172" s="19"/>
      <c r="B172" s="19"/>
      <c r="C172" s="506">
        <f>Qty!C128</f>
        <v>0</v>
      </c>
      <c r="D172" s="505">
        <f>Qty!D128</f>
        <v>0</v>
      </c>
      <c r="E172" s="505">
        <f>Qty!E128</f>
        <v>0</v>
      </c>
      <c r="F172" s="505">
        <f>Qty!F128</f>
        <v>0</v>
      </c>
      <c r="G172" s="505">
        <f>Qty!G128</f>
        <v>0</v>
      </c>
      <c r="H172" s="58"/>
      <c r="I172" s="238">
        <f>Qty!M128</f>
        <v>0</v>
      </c>
      <c r="J172" s="239"/>
      <c r="K172" s="238">
        <f>SUMIF(Qty!$M$7:$AF$7,K$50,Qty!$M128:$AF128)*consmultiplier</f>
        <v>0</v>
      </c>
      <c r="L172" s="238">
        <f>SUMIF(Qty!$M$7:$AF$7,L$50,Qty!$M128:$AF128)*consmultiplier</f>
        <v>0</v>
      </c>
      <c r="M172" s="238">
        <f>SUMIF(Qty!$M$7:$AF$7,M$50,Qty!$M128:$AF128)*consmultiplier</f>
        <v>0</v>
      </c>
      <c r="N172" s="238">
        <f>SUMIF(Qty!$M$7:$AF$7,N$50,Qty!$M128:$AF128)*consmultiplier</f>
        <v>0</v>
      </c>
      <c r="O172" s="238">
        <f t="shared" si="25"/>
        <v>0</v>
      </c>
      <c r="P172" s="239"/>
      <c r="Q172" s="238">
        <f>SUMIF(Qty!$M$7:$AF$7,Q$50,Qty!$M128:$AF128)*consmultiplier</f>
        <v>0</v>
      </c>
      <c r="R172" s="238">
        <f t="shared" si="26"/>
        <v>0</v>
      </c>
      <c r="S172" s="90"/>
      <c r="T172" s="19"/>
      <c r="U172" s="19"/>
      <c r="V172" s="19"/>
      <c r="W172" s="19"/>
      <c r="X172" s="19"/>
    </row>
    <row r="173" spans="1:24" hidden="1" outlineLevel="3" x14ac:dyDescent="0.2">
      <c r="A173" s="19"/>
      <c r="B173" s="19"/>
      <c r="C173" s="506">
        <f>Qty!C129</f>
        <v>0</v>
      </c>
      <c r="D173" s="505">
        <f>Qty!D129</f>
        <v>0</v>
      </c>
      <c r="E173" s="505">
        <f>Qty!E129</f>
        <v>0</v>
      </c>
      <c r="F173" s="505">
        <f>Qty!F129</f>
        <v>0</v>
      </c>
      <c r="G173" s="505">
        <f>Qty!G129</f>
        <v>0</v>
      </c>
      <c r="H173" s="58"/>
      <c r="I173" s="238">
        <f>Qty!M129</f>
        <v>0</v>
      </c>
      <c r="J173" s="239"/>
      <c r="K173" s="238">
        <f>SUMIF(Qty!$M$7:$AF$7,K$50,Qty!$M129:$AF129)*consmultiplier</f>
        <v>0</v>
      </c>
      <c r="L173" s="238">
        <f>SUMIF(Qty!$M$7:$AF$7,L$50,Qty!$M129:$AF129)*consmultiplier</f>
        <v>0</v>
      </c>
      <c r="M173" s="238">
        <f>SUMIF(Qty!$M$7:$AF$7,M$50,Qty!$M129:$AF129)*consmultiplier</f>
        <v>0</v>
      </c>
      <c r="N173" s="238">
        <f>SUMIF(Qty!$M$7:$AF$7,N$50,Qty!$M129:$AF129)*consmultiplier</f>
        <v>0</v>
      </c>
      <c r="O173" s="238">
        <f t="shared" si="25"/>
        <v>0</v>
      </c>
      <c r="P173" s="239"/>
      <c r="Q173" s="238">
        <f>SUMIF(Qty!$M$7:$AF$7,Q$50,Qty!$M129:$AF129)*consmultiplier</f>
        <v>0</v>
      </c>
      <c r="R173" s="238">
        <f t="shared" si="26"/>
        <v>0</v>
      </c>
      <c r="S173" s="90"/>
      <c r="T173" s="19"/>
      <c r="U173" s="19"/>
      <c r="V173" s="19"/>
      <c r="W173" s="19"/>
      <c r="X173" s="19"/>
    </row>
    <row r="174" spans="1:24" hidden="1" outlineLevel="3" x14ac:dyDescent="0.2">
      <c r="A174" s="19"/>
      <c r="B174" s="19"/>
      <c r="C174" s="506">
        <f>Qty!C130</f>
        <v>0</v>
      </c>
      <c r="D174" s="505">
        <f>Qty!D130</f>
        <v>0</v>
      </c>
      <c r="E174" s="505">
        <f>Qty!E130</f>
        <v>0</v>
      </c>
      <c r="F174" s="505">
        <f>Qty!F130</f>
        <v>0</v>
      </c>
      <c r="G174" s="505">
        <f>Qty!G130</f>
        <v>0</v>
      </c>
      <c r="H174" s="58"/>
      <c r="I174" s="238">
        <f>Qty!M130</f>
        <v>0</v>
      </c>
      <c r="J174" s="239"/>
      <c r="K174" s="238">
        <f>SUMIF(Qty!$M$7:$AF$7,K$50,Qty!$M130:$AF130)*consmultiplier</f>
        <v>0</v>
      </c>
      <c r="L174" s="238">
        <f>SUMIF(Qty!$M$7:$AF$7,L$50,Qty!$M130:$AF130)*consmultiplier</f>
        <v>0</v>
      </c>
      <c r="M174" s="238">
        <f>SUMIF(Qty!$M$7:$AF$7,M$50,Qty!$M130:$AF130)*consmultiplier</f>
        <v>0</v>
      </c>
      <c r="N174" s="238">
        <f>SUMIF(Qty!$M$7:$AF$7,N$50,Qty!$M130:$AF130)*consmultiplier</f>
        <v>0</v>
      </c>
      <c r="O174" s="238">
        <f t="shared" si="25"/>
        <v>0</v>
      </c>
      <c r="P174" s="239"/>
      <c r="Q174" s="238">
        <f>SUMIF(Qty!$M$7:$AF$7,Q$50,Qty!$M130:$AF130)*consmultiplier</f>
        <v>0</v>
      </c>
      <c r="R174" s="238">
        <f t="shared" si="26"/>
        <v>0</v>
      </c>
      <c r="S174" s="90"/>
      <c r="T174" s="19"/>
      <c r="U174" s="19"/>
      <c r="V174" s="19"/>
      <c r="W174" s="19"/>
      <c r="X174" s="19"/>
    </row>
    <row r="175" spans="1:24" hidden="1" outlineLevel="3" x14ac:dyDescent="0.2">
      <c r="A175" s="19"/>
      <c r="B175" s="19"/>
      <c r="C175" s="506">
        <f>Qty!C131</f>
        <v>0</v>
      </c>
      <c r="D175" s="505">
        <f>Qty!D131</f>
        <v>0</v>
      </c>
      <c r="E175" s="505">
        <f>Qty!E131</f>
        <v>0</v>
      </c>
      <c r="F175" s="505">
        <f>Qty!F131</f>
        <v>0</v>
      </c>
      <c r="G175" s="505">
        <f>Qty!G131</f>
        <v>0</v>
      </c>
      <c r="H175" s="58"/>
      <c r="I175" s="238">
        <f>Qty!M131</f>
        <v>0</v>
      </c>
      <c r="J175" s="239"/>
      <c r="K175" s="238">
        <f>SUMIF(Qty!$M$7:$AF$7,K$50,Qty!$M131:$AF131)*consmultiplier</f>
        <v>0</v>
      </c>
      <c r="L175" s="238">
        <f>SUMIF(Qty!$M$7:$AF$7,L$50,Qty!$M131:$AF131)*consmultiplier</f>
        <v>0</v>
      </c>
      <c r="M175" s="238">
        <f>SUMIF(Qty!$M$7:$AF$7,M$50,Qty!$M131:$AF131)*consmultiplier</f>
        <v>0</v>
      </c>
      <c r="N175" s="238">
        <f>SUMIF(Qty!$M$7:$AF$7,N$50,Qty!$M131:$AF131)*consmultiplier</f>
        <v>0</v>
      </c>
      <c r="O175" s="238">
        <f t="shared" si="25"/>
        <v>0</v>
      </c>
      <c r="P175" s="239"/>
      <c r="Q175" s="238">
        <f>SUMIF(Qty!$M$7:$AF$7,Q$50,Qty!$M131:$AF131)*consmultiplier</f>
        <v>0</v>
      </c>
      <c r="R175" s="238">
        <f t="shared" si="26"/>
        <v>0</v>
      </c>
      <c r="S175" s="90"/>
      <c r="T175" s="19"/>
      <c r="U175" s="19"/>
      <c r="V175" s="19"/>
      <c r="W175" s="19"/>
      <c r="X175" s="19"/>
    </row>
    <row r="176" spans="1:24" hidden="1" outlineLevel="3" x14ac:dyDescent="0.2">
      <c r="A176" s="19"/>
      <c r="B176" s="19"/>
      <c r="C176" s="506">
        <f>Qty!C132</f>
        <v>0</v>
      </c>
      <c r="D176" s="505">
        <f>Qty!D132</f>
        <v>0</v>
      </c>
      <c r="E176" s="505">
        <f>Qty!E132</f>
        <v>0</v>
      </c>
      <c r="F176" s="505">
        <f>Qty!F132</f>
        <v>0</v>
      </c>
      <c r="G176" s="505">
        <f>Qty!G132</f>
        <v>0</v>
      </c>
      <c r="H176" s="58"/>
      <c r="I176" s="238">
        <f>Qty!M132</f>
        <v>0</v>
      </c>
      <c r="J176" s="239"/>
      <c r="K176" s="238">
        <f>SUMIF(Qty!$M$7:$AF$7,K$50,Qty!$M132:$AF132)*consmultiplier</f>
        <v>0</v>
      </c>
      <c r="L176" s="238">
        <f>SUMIF(Qty!$M$7:$AF$7,L$50,Qty!$M132:$AF132)*consmultiplier</f>
        <v>0</v>
      </c>
      <c r="M176" s="238">
        <f>SUMIF(Qty!$M$7:$AF$7,M$50,Qty!$M132:$AF132)*consmultiplier</f>
        <v>0</v>
      </c>
      <c r="N176" s="238">
        <f>SUMIF(Qty!$M$7:$AF$7,N$50,Qty!$M132:$AF132)*consmultiplier</f>
        <v>0</v>
      </c>
      <c r="O176" s="238">
        <f t="shared" si="25"/>
        <v>0</v>
      </c>
      <c r="P176" s="239"/>
      <c r="Q176" s="238">
        <f>SUMIF(Qty!$M$7:$AF$7,Q$50,Qty!$M132:$AF132)*consmultiplier</f>
        <v>0</v>
      </c>
      <c r="R176" s="238">
        <f t="shared" si="26"/>
        <v>0</v>
      </c>
      <c r="S176" s="90"/>
      <c r="T176" s="19"/>
      <c r="U176" s="19"/>
      <c r="V176" s="19"/>
      <c r="W176" s="19"/>
      <c r="X176" s="19"/>
    </row>
    <row r="177" spans="1:24" hidden="1" outlineLevel="3" x14ac:dyDescent="0.2">
      <c r="A177" s="19"/>
      <c r="B177" s="19"/>
      <c r="C177" s="506">
        <f>Qty!C133</f>
        <v>0</v>
      </c>
      <c r="D177" s="505">
        <f>Qty!D133</f>
        <v>0</v>
      </c>
      <c r="E177" s="505">
        <f>Qty!E133</f>
        <v>0</v>
      </c>
      <c r="F177" s="505">
        <f>Qty!F133</f>
        <v>0</v>
      </c>
      <c r="G177" s="505">
        <f>Qty!G133</f>
        <v>0</v>
      </c>
      <c r="H177" s="58"/>
      <c r="I177" s="238">
        <f>Qty!M133</f>
        <v>0</v>
      </c>
      <c r="J177" s="239"/>
      <c r="K177" s="238">
        <f>SUMIF(Qty!$M$7:$AF$7,K$50,Qty!$M133:$AF133)*consmultiplier</f>
        <v>0</v>
      </c>
      <c r="L177" s="238">
        <f>SUMIF(Qty!$M$7:$AF$7,L$50,Qty!$M133:$AF133)*consmultiplier</f>
        <v>0</v>
      </c>
      <c r="M177" s="238">
        <f>SUMIF(Qty!$M$7:$AF$7,M$50,Qty!$M133:$AF133)*consmultiplier</f>
        <v>0</v>
      </c>
      <c r="N177" s="238">
        <f>SUMIF(Qty!$M$7:$AF$7,N$50,Qty!$M133:$AF133)*consmultiplier</f>
        <v>0</v>
      </c>
      <c r="O177" s="238">
        <f t="shared" si="25"/>
        <v>0</v>
      </c>
      <c r="P177" s="239"/>
      <c r="Q177" s="238">
        <f>SUMIF(Qty!$M$7:$AF$7,Q$50,Qty!$M133:$AF133)*consmultiplier</f>
        <v>0</v>
      </c>
      <c r="R177" s="238">
        <f t="shared" si="26"/>
        <v>0</v>
      </c>
      <c r="S177" s="90"/>
      <c r="T177" s="19"/>
      <c r="U177" s="19"/>
      <c r="V177" s="19"/>
      <c r="W177" s="19"/>
      <c r="X177" s="19"/>
    </row>
    <row r="178" spans="1:24" hidden="1" outlineLevel="3" x14ac:dyDescent="0.2">
      <c r="A178" s="19"/>
      <c r="B178" s="19"/>
      <c r="C178" s="506">
        <f>Qty!C134</f>
        <v>0</v>
      </c>
      <c r="D178" s="505">
        <f>Qty!D134</f>
        <v>0</v>
      </c>
      <c r="E178" s="505">
        <f>Qty!E134</f>
        <v>0</v>
      </c>
      <c r="F178" s="505">
        <f>Qty!F134</f>
        <v>0</v>
      </c>
      <c r="G178" s="505">
        <f>Qty!G134</f>
        <v>0</v>
      </c>
      <c r="H178" s="58"/>
      <c r="I178" s="238">
        <f>Qty!M134</f>
        <v>0</v>
      </c>
      <c r="J178" s="239"/>
      <c r="K178" s="238">
        <f>SUMIF(Qty!$M$7:$AF$7,K$50,Qty!$M134:$AF134)*consmultiplier</f>
        <v>0</v>
      </c>
      <c r="L178" s="238">
        <f>SUMIF(Qty!$M$7:$AF$7,L$50,Qty!$M134:$AF134)*consmultiplier</f>
        <v>0</v>
      </c>
      <c r="M178" s="238">
        <f>SUMIF(Qty!$M$7:$AF$7,M$50,Qty!$M134:$AF134)*consmultiplier</f>
        <v>0</v>
      </c>
      <c r="N178" s="238">
        <f>SUMIF(Qty!$M$7:$AF$7,N$50,Qty!$M134:$AF134)*consmultiplier</f>
        <v>0</v>
      </c>
      <c r="O178" s="238">
        <f t="shared" si="25"/>
        <v>0</v>
      </c>
      <c r="P178" s="239"/>
      <c r="Q178" s="238">
        <f>SUMIF(Qty!$M$7:$AF$7,Q$50,Qty!$M134:$AF134)*consmultiplier</f>
        <v>0</v>
      </c>
      <c r="R178" s="238">
        <f t="shared" si="26"/>
        <v>0</v>
      </c>
      <c r="S178" s="90"/>
      <c r="T178" s="19"/>
      <c r="U178" s="19"/>
      <c r="V178" s="19"/>
      <c r="W178" s="19"/>
      <c r="X178" s="19"/>
    </row>
    <row r="179" spans="1:24" hidden="1" outlineLevel="3" x14ac:dyDescent="0.2">
      <c r="A179" s="19"/>
      <c r="B179" s="19"/>
      <c r="C179" s="506">
        <f>Qty!C135</f>
        <v>0</v>
      </c>
      <c r="D179" s="505">
        <f>Qty!D135</f>
        <v>0</v>
      </c>
      <c r="E179" s="505">
        <f>Qty!E135</f>
        <v>0</v>
      </c>
      <c r="F179" s="505">
        <f>Qty!F135</f>
        <v>0</v>
      </c>
      <c r="G179" s="505">
        <f>Qty!G135</f>
        <v>0</v>
      </c>
      <c r="H179" s="58"/>
      <c r="I179" s="238">
        <f>Qty!M135</f>
        <v>0</v>
      </c>
      <c r="J179" s="239"/>
      <c r="K179" s="238">
        <f>SUMIF(Qty!$M$7:$AF$7,K$50,Qty!$M135:$AF135)*consmultiplier</f>
        <v>0</v>
      </c>
      <c r="L179" s="238">
        <f>SUMIF(Qty!$M$7:$AF$7,L$50,Qty!$M135:$AF135)*consmultiplier</f>
        <v>0</v>
      </c>
      <c r="M179" s="238">
        <f>SUMIF(Qty!$M$7:$AF$7,M$50,Qty!$M135:$AF135)*consmultiplier</f>
        <v>0</v>
      </c>
      <c r="N179" s="238">
        <f>SUMIF(Qty!$M$7:$AF$7,N$50,Qty!$M135:$AF135)*consmultiplier</f>
        <v>0</v>
      </c>
      <c r="O179" s="238">
        <f t="shared" si="25"/>
        <v>0</v>
      </c>
      <c r="P179" s="239"/>
      <c r="Q179" s="238">
        <f>SUMIF(Qty!$M$7:$AF$7,Q$50,Qty!$M135:$AF135)*consmultiplier</f>
        <v>0</v>
      </c>
      <c r="R179" s="238">
        <f t="shared" si="26"/>
        <v>0</v>
      </c>
      <c r="S179" s="90"/>
      <c r="T179" s="19"/>
      <c r="U179" s="19"/>
      <c r="V179" s="19"/>
      <c r="W179" s="19"/>
      <c r="X179" s="19"/>
    </row>
    <row r="180" spans="1:24" hidden="1" outlineLevel="3" x14ac:dyDescent="0.2">
      <c r="A180" s="19"/>
      <c r="B180" s="19"/>
      <c r="C180" s="506">
        <f>Qty!C136</f>
        <v>0</v>
      </c>
      <c r="D180" s="505">
        <f>Qty!D136</f>
        <v>0</v>
      </c>
      <c r="E180" s="505">
        <f>Qty!E136</f>
        <v>0</v>
      </c>
      <c r="F180" s="505">
        <f>Qty!F136</f>
        <v>0</v>
      </c>
      <c r="G180" s="505">
        <f>Qty!G136</f>
        <v>0</v>
      </c>
      <c r="H180" s="58"/>
      <c r="I180" s="238">
        <f>Qty!M136</f>
        <v>0</v>
      </c>
      <c r="J180" s="239"/>
      <c r="K180" s="238">
        <f>SUMIF(Qty!$M$7:$AF$7,K$50,Qty!$M136:$AF136)*consmultiplier</f>
        <v>0</v>
      </c>
      <c r="L180" s="238">
        <f>SUMIF(Qty!$M$7:$AF$7,L$50,Qty!$M136:$AF136)*consmultiplier</f>
        <v>0</v>
      </c>
      <c r="M180" s="238">
        <f>SUMIF(Qty!$M$7:$AF$7,M$50,Qty!$M136:$AF136)*consmultiplier</f>
        <v>0</v>
      </c>
      <c r="N180" s="238">
        <f>SUMIF(Qty!$M$7:$AF$7,N$50,Qty!$M136:$AF136)*consmultiplier</f>
        <v>0</v>
      </c>
      <c r="O180" s="238">
        <f t="shared" si="25"/>
        <v>0</v>
      </c>
      <c r="P180" s="239"/>
      <c r="Q180" s="238">
        <f>SUMIF(Qty!$M$7:$AF$7,Q$50,Qty!$M136:$AF136)*consmultiplier</f>
        <v>0</v>
      </c>
      <c r="R180" s="238">
        <f t="shared" si="26"/>
        <v>0</v>
      </c>
      <c r="S180" s="90"/>
      <c r="T180" s="19"/>
      <c r="U180" s="19"/>
      <c r="V180" s="19"/>
      <c r="W180" s="19"/>
      <c r="X180" s="19"/>
    </row>
    <row r="181" spans="1:24" hidden="1" outlineLevel="3" x14ac:dyDescent="0.2">
      <c r="A181" s="19"/>
      <c r="B181" s="19"/>
      <c r="C181" s="506">
        <f>Qty!C137</f>
        <v>0</v>
      </c>
      <c r="D181" s="505">
        <f>Qty!D137</f>
        <v>0</v>
      </c>
      <c r="E181" s="505">
        <f>Qty!E137</f>
        <v>0</v>
      </c>
      <c r="F181" s="505">
        <f>Qty!F137</f>
        <v>0</v>
      </c>
      <c r="G181" s="505">
        <f>Qty!G137</f>
        <v>0</v>
      </c>
      <c r="H181" s="58"/>
      <c r="I181" s="238">
        <f>Qty!M137</f>
        <v>0</v>
      </c>
      <c r="J181" s="239"/>
      <c r="K181" s="238">
        <f>SUMIF(Qty!$M$7:$AF$7,K$50,Qty!$M137:$AF137)*consmultiplier</f>
        <v>0</v>
      </c>
      <c r="L181" s="238">
        <f>SUMIF(Qty!$M$7:$AF$7,L$50,Qty!$M137:$AF137)*consmultiplier</f>
        <v>0</v>
      </c>
      <c r="M181" s="238">
        <f>SUMIF(Qty!$M$7:$AF$7,M$50,Qty!$M137:$AF137)*consmultiplier</f>
        <v>0</v>
      </c>
      <c r="N181" s="238">
        <f>SUMIF(Qty!$M$7:$AF$7,N$50,Qty!$M137:$AF137)*consmultiplier</f>
        <v>0</v>
      </c>
      <c r="O181" s="238">
        <f t="shared" si="25"/>
        <v>0</v>
      </c>
      <c r="P181" s="239"/>
      <c r="Q181" s="238">
        <f>SUMIF(Qty!$M$7:$AF$7,Q$50,Qty!$M137:$AF137)*consmultiplier</f>
        <v>0</v>
      </c>
      <c r="R181" s="238">
        <f t="shared" si="26"/>
        <v>0</v>
      </c>
      <c r="S181" s="90"/>
      <c r="T181" s="19"/>
      <c r="U181" s="19"/>
      <c r="V181" s="19"/>
      <c r="W181" s="19"/>
      <c r="X181" s="19"/>
    </row>
    <row r="182" spans="1:24" hidden="1" outlineLevel="3" x14ac:dyDescent="0.2">
      <c r="A182" s="19"/>
      <c r="B182" s="19"/>
      <c r="C182" s="506">
        <f>Qty!C138</f>
        <v>0</v>
      </c>
      <c r="D182" s="505">
        <f>Qty!D138</f>
        <v>0</v>
      </c>
      <c r="E182" s="505">
        <f>Qty!E138</f>
        <v>0</v>
      </c>
      <c r="F182" s="505">
        <f>Qty!F138</f>
        <v>0</v>
      </c>
      <c r="G182" s="505">
        <f>Qty!G138</f>
        <v>0</v>
      </c>
      <c r="H182" s="58"/>
      <c r="I182" s="238">
        <f>Qty!M138</f>
        <v>0</v>
      </c>
      <c r="J182" s="239"/>
      <c r="K182" s="238">
        <f>SUMIF(Qty!$M$7:$AF$7,K$50,Qty!$M138:$AF138)*consmultiplier</f>
        <v>0</v>
      </c>
      <c r="L182" s="238">
        <f>SUMIF(Qty!$M$7:$AF$7,L$50,Qty!$M138:$AF138)*consmultiplier</f>
        <v>0</v>
      </c>
      <c r="M182" s="238">
        <f>SUMIF(Qty!$M$7:$AF$7,M$50,Qty!$M138:$AF138)*consmultiplier</f>
        <v>0</v>
      </c>
      <c r="N182" s="238">
        <f>SUMIF(Qty!$M$7:$AF$7,N$50,Qty!$M138:$AF138)*consmultiplier</f>
        <v>0</v>
      </c>
      <c r="O182" s="238">
        <f t="shared" si="25"/>
        <v>0</v>
      </c>
      <c r="P182" s="239"/>
      <c r="Q182" s="238">
        <f>SUMIF(Qty!$M$7:$AF$7,Q$50,Qty!$M138:$AF138)*consmultiplier</f>
        <v>0</v>
      </c>
      <c r="R182" s="238">
        <f t="shared" si="26"/>
        <v>0</v>
      </c>
      <c r="S182" s="90"/>
      <c r="T182" s="19"/>
      <c r="U182" s="19"/>
      <c r="V182" s="19"/>
      <c r="W182" s="19"/>
      <c r="X182" s="19"/>
    </row>
    <row r="183" spans="1:24" hidden="1" outlineLevel="3" x14ac:dyDescent="0.2">
      <c r="A183" s="19"/>
      <c r="B183" s="19"/>
      <c r="C183" s="506">
        <f>Qty!C139</f>
        <v>0</v>
      </c>
      <c r="D183" s="505">
        <f>Qty!D139</f>
        <v>0</v>
      </c>
      <c r="E183" s="505">
        <f>Qty!E139</f>
        <v>0</v>
      </c>
      <c r="F183" s="505">
        <f>Qty!F139</f>
        <v>0</v>
      </c>
      <c r="G183" s="505">
        <f>Qty!G139</f>
        <v>0</v>
      </c>
      <c r="H183" s="58"/>
      <c r="I183" s="238">
        <f>Qty!M139</f>
        <v>0</v>
      </c>
      <c r="J183" s="239"/>
      <c r="K183" s="238">
        <f>SUMIF(Qty!$M$7:$AF$7,K$50,Qty!$M139:$AF139)*consmultiplier</f>
        <v>0</v>
      </c>
      <c r="L183" s="238">
        <f>SUMIF(Qty!$M$7:$AF$7,L$50,Qty!$M139:$AF139)*consmultiplier</f>
        <v>0</v>
      </c>
      <c r="M183" s="238">
        <f>SUMIF(Qty!$M$7:$AF$7,M$50,Qty!$M139:$AF139)*consmultiplier</f>
        <v>0</v>
      </c>
      <c r="N183" s="238">
        <f>SUMIF(Qty!$M$7:$AF$7,N$50,Qty!$M139:$AF139)*consmultiplier</f>
        <v>0</v>
      </c>
      <c r="O183" s="238">
        <f t="shared" si="25"/>
        <v>0</v>
      </c>
      <c r="P183" s="239"/>
      <c r="Q183" s="238">
        <f>SUMIF(Qty!$M$7:$AF$7,Q$50,Qty!$M139:$AF139)*consmultiplier</f>
        <v>0</v>
      </c>
      <c r="R183" s="238">
        <f t="shared" si="26"/>
        <v>0</v>
      </c>
      <c r="S183" s="90"/>
      <c r="T183" s="19"/>
      <c r="U183" s="19"/>
      <c r="V183" s="19"/>
      <c r="W183" s="19"/>
      <c r="X183" s="19"/>
    </row>
    <row r="184" spans="1:24" hidden="1" outlineLevel="3" x14ac:dyDescent="0.2">
      <c r="A184" s="19"/>
      <c r="B184" s="19"/>
      <c r="C184" s="506">
        <f>Qty!C140</f>
        <v>0</v>
      </c>
      <c r="D184" s="505">
        <f>Qty!D140</f>
        <v>0</v>
      </c>
      <c r="E184" s="505">
        <f>Qty!E140</f>
        <v>0</v>
      </c>
      <c r="F184" s="505">
        <f>Qty!F140</f>
        <v>0</v>
      </c>
      <c r="G184" s="505">
        <f>Qty!G140</f>
        <v>0</v>
      </c>
      <c r="H184" s="58"/>
      <c r="I184" s="238">
        <f>Qty!M140</f>
        <v>0</v>
      </c>
      <c r="J184" s="239"/>
      <c r="K184" s="238">
        <f>SUMIF(Qty!$M$7:$AF$7,K$50,Qty!$M140:$AF140)*consmultiplier</f>
        <v>0</v>
      </c>
      <c r="L184" s="238">
        <f>SUMIF(Qty!$M$7:$AF$7,L$50,Qty!$M140:$AF140)*consmultiplier</f>
        <v>0</v>
      </c>
      <c r="M184" s="238">
        <f>SUMIF(Qty!$M$7:$AF$7,M$50,Qty!$M140:$AF140)*consmultiplier</f>
        <v>0</v>
      </c>
      <c r="N184" s="238">
        <f>SUMIF(Qty!$M$7:$AF$7,N$50,Qty!$M140:$AF140)*consmultiplier</f>
        <v>0</v>
      </c>
      <c r="O184" s="238">
        <f t="shared" si="25"/>
        <v>0</v>
      </c>
      <c r="P184" s="239"/>
      <c r="Q184" s="238">
        <f>SUMIF(Qty!$M$7:$AF$7,Q$50,Qty!$M140:$AF140)*consmultiplier</f>
        <v>0</v>
      </c>
      <c r="R184" s="238">
        <f t="shared" si="26"/>
        <v>0</v>
      </c>
      <c r="S184" s="90"/>
      <c r="T184" s="19"/>
      <c r="U184" s="19"/>
      <c r="V184" s="19"/>
      <c r="W184" s="19"/>
      <c r="X184" s="19"/>
    </row>
    <row r="185" spans="1:24" hidden="1" outlineLevel="3" x14ac:dyDescent="0.2">
      <c r="A185" s="19"/>
      <c r="B185" s="19"/>
      <c r="C185" s="506">
        <f>Qty!C141</f>
        <v>0</v>
      </c>
      <c r="D185" s="505">
        <f>Qty!D141</f>
        <v>0</v>
      </c>
      <c r="E185" s="505">
        <f>Qty!E141</f>
        <v>0</v>
      </c>
      <c r="F185" s="505">
        <f>Qty!F141</f>
        <v>0</v>
      </c>
      <c r="G185" s="505">
        <f>Qty!G141</f>
        <v>0</v>
      </c>
      <c r="H185" s="58"/>
      <c r="I185" s="238">
        <f>Qty!M141</f>
        <v>0</v>
      </c>
      <c r="J185" s="239"/>
      <c r="K185" s="238">
        <f>SUMIF(Qty!$M$7:$AF$7,K$50,Qty!$M141:$AF141)*consmultiplier</f>
        <v>0</v>
      </c>
      <c r="L185" s="238">
        <f>SUMIF(Qty!$M$7:$AF$7,L$50,Qty!$M141:$AF141)*consmultiplier</f>
        <v>0</v>
      </c>
      <c r="M185" s="238">
        <f>SUMIF(Qty!$M$7:$AF$7,M$50,Qty!$M141:$AF141)*consmultiplier</f>
        <v>0</v>
      </c>
      <c r="N185" s="238">
        <f>SUMIF(Qty!$M$7:$AF$7,N$50,Qty!$M141:$AF141)*consmultiplier</f>
        <v>0</v>
      </c>
      <c r="O185" s="238">
        <f t="shared" si="25"/>
        <v>0</v>
      </c>
      <c r="P185" s="239"/>
      <c r="Q185" s="238">
        <f>SUMIF(Qty!$M$7:$AF$7,Q$50,Qty!$M141:$AF141)*consmultiplier</f>
        <v>0</v>
      </c>
      <c r="R185" s="238">
        <f t="shared" si="26"/>
        <v>0</v>
      </c>
      <c r="S185" s="90"/>
      <c r="T185" s="19"/>
      <c r="U185" s="19"/>
      <c r="V185" s="19"/>
      <c r="W185" s="19"/>
      <c r="X185" s="19"/>
    </row>
    <row r="186" spans="1:24" hidden="1" outlineLevel="3" x14ac:dyDescent="0.2">
      <c r="A186" s="19"/>
      <c r="B186" s="19"/>
      <c r="C186" s="506">
        <f>Qty!C142</f>
        <v>0</v>
      </c>
      <c r="D186" s="505">
        <f>Qty!D142</f>
        <v>0</v>
      </c>
      <c r="E186" s="505">
        <f>Qty!E142</f>
        <v>0</v>
      </c>
      <c r="F186" s="505">
        <f>Qty!F142</f>
        <v>0</v>
      </c>
      <c r="G186" s="505">
        <f>Qty!G142</f>
        <v>0</v>
      </c>
      <c r="H186" s="58"/>
      <c r="I186" s="238">
        <f>Qty!M142</f>
        <v>0</v>
      </c>
      <c r="J186" s="239"/>
      <c r="K186" s="238">
        <f>SUMIF(Qty!$M$7:$AF$7,K$50,Qty!$M142:$AF142)*consmultiplier</f>
        <v>0</v>
      </c>
      <c r="L186" s="238">
        <f>SUMIF(Qty!$M$7:$AF$7,L$50,Qty!$M142:$AF142)*consmultiplier</f>
        <v>0</v>
      </c>
      <c r="M186" s="238">
        <f>SUMIF(Qty!$M$7:$AF$7,M$50,Qty!$M142:$AF142)*consmultiplier</f>
        <v>0</v>
      </c>
      <c r="N186" s="238">
        <f>SUMIF(Qty!$M$7:$AF$7,N$50,Qty!$M142:$AF142)*consmultiplier</f>
        <v>0</v>
      </c>
      <c r="O186" s="238">
        <f t="shared" si="25"/>
        <v>0</v>
      </c>
      <c r="P186" s="239"/>
      <c r="Q186" s="238">
        <f>SUMIF(Qty!$M$7:$AF$7,Q$50,Qty!$M142:$AF142)*consmultiplier</f>
        <v>0</v>
      </c>
      <c r="R186" s="238">
        <f t="shared" si="26"/>
        <v>0</v>
      </c>
      <c r="S186" s="90"/>
      <c r="T186" s="19"/>
      <c r="U186" s="19"/>
      <c r="V186" s="19"/>
      <c r="W186" s="19"/>
      <c r="X186" s="19"/>
    </row>
    <row r="187" spans="1:24" hidden="1" outlineLevel="3" x14ac:dyDescent="0.2">
      <c r="A187" s="19"/>
      <c r="B187" s="19"/>
      <c r="C187" s="506">
        <f>Qty!C143</f>
        <v>0</v>
      </c>
      <c r="D187" s="505">
        <f>Qty!D143</f>
        <v>0</v>
      </c>
      <c r="E187" s="505">
        <f>Qty!E143</f>
        <v>0</v>
      </c>
      <c r="F187" s="505">
        <f>Qty!F143</f>
        <v>0</v>
      </c>
      <c r="G187" s="505">
        <f>Qty!G143</f>
        <v>0</v>
      </c>
      <c r="H187" s="58"/>
      <c r="I187" s="238">
        <f>Qty!M143</f>
        <v>0</v>
      </c>
      <c r="J187" s="239"/>
      <c r="K187" s="238">
        <f>SUMIF(Qty!$M$7:$AF$7,K$50,Qty!$M143:$AF143)*consmultiplier</f>
        <v>0</v>
      </c>
      <c r="L187" s="238">
        <f>SUMIF(Qty!$M$7:$AF$7,L$50,Qty!$M143:$AF143)*consmultiplier</f>
        <v>0</v>
      </c>
      <c r="M187" s="238">
        <f>SUMIF(Qty!$M$7:$AF$7,M$50,Qty!$M143:$AF143)*consmultiplier</f>
        <v>0</v>
      </c>
      <c r="N187" s="238">
        <f>SUMIF(Qty!$M$7:$AF$7,N$50,Qty!$M143:$AF143)*consmultiplier</f>
        <v>0</v>
      </c>
      <c r="O187" s="238">
        <f t="shared" si="25"/>
        <v>0</v>
      </c>
      <c r="P187" s="239"/>
      <c r="Q187" s="238">
        <f>SUMIF(Qty!$M$7:$AF$7,Q$50,Qty!$M143:$AF143)*consmultiplier</f>
        <v>0</v>
      </c>
      <c r="R187" s="238">
        <f t="shared" si="26"/>
        <v>0</v>
      </c>
      <c r="S187" s="90"/>
      <c r="T187" s="19"/>
      <c r="U187" s="19"/>
      <c r="V187" s="19"/>
      <c r="W187" s="19"/>
      <c r="X187" s="19"/>
    </row>
    <row r="188" spans="1:24" hidden="1" outlineLevel="3" x14ac:dyDescent="0.2">
      <c r="A188" s="19"/>
      <c r="B188" s="19"/>
      <c r="C188" s="506">
        <f>Qty!C144</f>
        <v>0</v>
      </c>
      <c r="D188" s="505">
        <f>Qty!D144</f>
        <v>0</v>
      </c>
      <c r="E188" s="505">
        <f>Qty!E144</f>
        <v>0</v>
      </c>
      <c r="F188" s="505">
        <f>Qty!F144</f>
        <v>0</v>
      </c>
      <c r="G188" s="505">
        <f>Qty!G144</f>
        <v>0</v>
      </c>
      <c r="H188" s="58"/>
      <c r="I188" s="238">
        <f>Qty!M144</f>
        <v>0</v>
      </c>
      <c r="J188" s="239"/>
      <c r="K188" s="238">
        <f>SUMIF(Qty!$M$7:$AF$7,K$50,Qty!$M144:$AF144)*consmultiplier</f>
        <v>0</v>
      </c>
      <c r="L188" s="238">
        <f>SUMIF(Qty!$M$7:$AF$7,L$50,Qty!$M144:$AF144)*consmultiplier</f>
        <v>0</v>
      </c>
      <c r="M188" s="238">
        <f>SUMIF(Qty!$M$7:$AF$7,M$50,Qty!$M144:$AF144)*consmultiplier</f>
        <v>0</v>
      </c>
      <c r="N188" s="238">
        <f>SUMIF(Qty!$M$7:$AF$7,N$50,Qty!$M144:$AF144)*consmultiplier</f>
        <v>0</v>
      </c>
      <c r="O188" s="238">
        <f t="shared" si="25"/>
        <v>0</v>
      </c>
      <c r="P188" s="239"/>
      <c r="Q188" s="238">
        <f>SUMIF(Qty!$M$7:$AF$7,Q$50,Qty!$M144:$AF144)*consmultiplier</f>
        <v>0</v>
      </c>
      <c r="R188" s="238">
        <f t="shared" si="26"/>
        <v>0</v>
      </c>
      <c r="S188" s="90"/>
      <c r="T188" s="19"/>
      <c r="U188" s="19"/>
      <c r="V188" s="19"/>
      <c r="W188" s="19"/>
      <c r="X188" s="19"/>
    </row>
    <row r="189" spans="1:24" hidden="1" outlineLevel="3" x14ac:dyDescent="0.2">
      <c r="A189" s="19"/>
      <c r="B189" s="19"/>
      <c r="C189" s="506">
        <f>Qty!C145</f>
        <v>0</v>
      </c>
      <c r="D189" s="505">
        <f>Qty!D145</f>
        <v>0</v>
      </c>
      <c r="E189" s="505">
        <f>Qty!E145</f>
        <v>0</v>
      </c>
      <c r="F189" s="505">
        <f>Qty!F145</f>
        <v>0</v>
      </c>
      <c r="G189" s="505">
        <f>Qty!G145</f>
        <v>0</v>
      </c>
      <c r="H189" s="58"/>
      <c r="I189" s="238">
        <f>Qty!M145</f>
        <v>0</v>
      </c>
      <c r="J189" s="239"/>
      <c r="K189" s="238">
        <f>SUMIF(Qty!$M$7:$AF$7,K$50,Qty!$M145:$AF145)*consmultiplier</f>
        <v>0</v>
      </c>
      <c r="L189" s="238">
        <f>SUMIF(Qty!$M$7:$AF$7,L$50,Qty!$M145:$AF145)*consmultiplier</f>
        <v>0</v>
      </c>
      <c r="M189" s="238">
        <f>SUMIF(Qty!$M$7:$AF$7,M$50,Qty!$M145:$AF145)*consmultiplier</f>
        <v>0</v>
      </c>
      <c r="N189" s="238">
        <f>SUMIF(Qty!$M$7:$AF$7,N$50,Qty!$M145:$AF145)*consmultiplier</f>
        <v>0</v>
      </c>
      <c r="O189" s="238">
        <f t="shared" si="25"/>
        <v>0</v>
      </c>
      <c r="P189" s="239"/>
      <c r="Q189" s="238">
        <f>SUMIF(Qty!$M$7:$AF$7,Q$50,Qty!$M145:$AF145)*consmultiplier</f>
        <v>0</v>
      </c>
      <c r="R189" s="238">
        <f t="shared" si="26"/>
        <v>0</v>
      </c>
      <c r="S189" s="90"/>
      <c r="T189" s="19"/>
      <c r="U189" s="19"/>
      <c r="V189" s="19"/>
      <c r="W189" s="19"/>
      <c r="X189" s="19"/>
    </row>
    <row r="190" spans="1:24" hidden="1" outlineLevel="3" x14ac:dyDescent="0.2">
      <c r="A190" s="19"/>
      <c r="B190" s="19"/>
      <c r="C190" s="506">
        <f>Qty!C146</f>
        <v>0</v>
      </c>
      <c r="D190" s="505">
        <f>Qty!D146</f>
        <v>0</v>
      </c>
      <c r="E190" s="505">
        <f>Qty!E146</f>
        <v>0</v>
      </c>
      <c r="F190" s="505">
        <f>Qty!F146</f>
        <v>0</v>
      </c>
      <c r="G190" s="505">
        <f>Qty!G146</f>
        <v>0</v>
      </c>
      <c r="H190" s="58"/>
      <c r="I190" s="238">
        <f>Qty!M146</f>
        <v>0</v>
      </c>
      <c r="J190" s="239"/>
      <c r="K190" s="238">
        <f>SUMIF(Qty!$M$7:$AF$7,K$50,Qty!$M146:$AF146)*consmultiplier</f>
        <v>0</v>
      </c>
      <c r="L190" s="238">
        <f>SUMIF(Qty!$M$7:$AF$7,L$50,Qty!$M146:$AF146)*consmultiplier</f>
        <v>0</v>
      </c>
      <c r="M190" s="238">
        <f>SUMIF(Qty!$M$7:$AF$7,M$50,Qty!$M146:$AF146)*consmultiplier</f>
        <v>0</v>
      </c>
      <c r="N190" s="238">
        <f>SUMIF(Qty!$M$7:$AF$7,N$50,Qty!$M146:$AF146)*consmultiplier</f>
        <v>0</v>
      </c>
      <c r="O190" s="238">
        <f t="shared" si="25"/>
        <v>0</v>
      </c>
      <c r="P190" s="239"/>
      <c r="Q190" s="238">
        <f>SUMIF(Qty!$M$7:$AF$7,Q$50,Qty!$M146:$AF146)*consmultiplier</f>
        <v>0</v>
      </c>
      <c r="R190" s="238">
        <f t="shared" si="26"/>
        <v>0</v>
      </c>
      <c r="S190" s="90"/>
      <c r="T190" s="19"/>
      <c r="U190" s="19"/>
      <c r="V190" s="19"/>
      <c r="W190" s="19"/>
      <c r="X190" s="19"/>
    </row>
    <row r="191" spans="1:24" hidden="1" outlineLevel="3" x14ac:dyDescent="0.2">
      <c r="A191" s="19"/>
      <c r="B191" s="19"/>
      <c r="C191" s="506">
        <f>Qty!C147</f>
        <v>0</v>
      </c>
      <c r="D191" s="505">
        <f>Qty!D147</f>
        <v>0</v>
      </c>
      <c r="E191" s="505">
        <f>Qty!E147</f>
        <v>0</v>
      </c>
      <c r="F191" s="505">
        <f>Qty!F147</f>
        <v>0</v>
      </c>
      <c r="G191" s="505">
        <f>Qty!G147</f>
        <v>0</v>
      </c>
      <c r="H191" s="58"/>
      <c r="I191" s="238">
        <f>Qty!M147</f>
        <v>0</v>
      </c>
      <c r="J191" s="239"/>
      <c r="K191" s="238">
        <f>SUMIF(Qty!$M$7:$AF$7,K$50,Qty!$M147:$AF147)*consmultiplier</f>
        <v>0</v>
      </c>
      <c r="L191" s="238">
        <f>SUMIF(Qty!$M$7:$AF$7,L$50,Qty!$M147:$AF147)*consmultiplier</f>
        <v>0</v>
      </c>
      <c r="M191" s="238">
        <f>SUMIF(Qty!$M$7:$AF$7,M$50,Qty!$M147:$AF147)*consmultiplier</f>
        <v>0</v>
      </c>
      <c r="N191" s="238">
        <f>SUMIF(Qty!$M$7:$AF$7,N$50,Qty!$M147:$AF147)*consmultiplier</f>
        <v>0</v>
      </c>
      <c r="O191" s="238">
        <f t="shared" si="25"/>
        <v>0</v>
      </c>
      <c r="P191" s="239"/>
      <c r="Q191" s="238">
        <f>SUMIF(Qty!$M$7:$AF$7,Q$50,Qty!$M147:$AF147)*consmultiplier</f>
        <v>0</v>
      </c>
      <c r="R191" s="238">
        <f t="shared" si="26"/>
        <v>0</v>
      </c>
      <c r="S191" s="90"/>
      <c r="T191" s="19"/>
      <c r="U191" s="19"/>
      <c r="V191" s="19"/>
      <c r="W191" s="19"/>
      <c r="X191" s="19"/>
    </row>
    <row r="192" spans="1:24" hidden="1" outlineLevel="3" x14ac:dyDescent="0.2">
      <c r="A192" s="19"/>
      <c r="B192" s="19"/>
      <c r="C192" s="506">
        <f>Qty!C148</f>
        <v>0</v>
      </c>
      <c r="D192" s="505">
        <f>Qty!D148</f>
        <v>0</v>
      </c>
      <c r="E192" s="505">
        <f>Qty!E148</f>
        <v>0</v>
      </c>
      <c r="F192" s="505">
        <f>Qty!F148</f>
        <v>0</v>
      </c>
      <c r="G192" s="505">
        <f>Qty!G148</f>
        <v>0</v>
      </c>
      <c r="H192" s="58"/>
      <c r="I192" s="238">
        <f>Qty!M148</f>
        <v>0</v>
      </c>
      <c r="J192" s="239"/>
      <c r="K192" s="238">
        <f>SUMIF(Qty!$M$7:$AF$7,K$50,Qty!$M148:$AF148)*consmultiplier</f>
        <v>0</v>
      </c>
      <c r="L192" s="238">
        <f>SUMIF(Qty!$M$7:$AF$7,L$50,Qty!$M148:$AF148)*consmultiplier</f>
        <v>0</v>
      </c>
      <c r="M192" s="238">
        <f>SUMIF(Qty!$M$7:$AF$7,M$50,Qty!$M148:$AF148)*consmultiplier</f>
        <v>0</v>
      </c>
      <c r="N192" s="238">
        <f>SUMIF(Qty!$M$7:$AF$7,N$50,Qty!$M148:$AF148)*consmultiplier</f>
        <v>0</v>
      </c>
      <c r="O192" s="238">
        <f t="shared" si="25"/>
        <v>0</v>
      </c>
      <c r="P192" s="239"/>
      <c r="Q192" s="238">
        <f>SUMIF(Qty!$M$7:$AF$7,Q$50,Qty!$M148:$AF148)*consmultiplier</f>
        <v>0</v>
      </c>
      <c r="R192" s="238">
        <f t="shared" si="26"/>
        <v>0</v>
      </c>
      <c r="S192" s="90"/>
      <c r="T192" s="19"/>
      <c r="U192" s="19"/>
      <c r="V192" s="19"/>
      <c r="W192" s="19"/>
      <c r="X192" s="19"/>
    </row>
    <row r="193" spans="1:24" hidden="1" outlineLevel="3" x14ac:dyDescent="0.2">
      <c r="A193" s="19"/>
      <c r="B193" s="19"/>
      <c r="C193" s="506">
        <f>Qty!C149</f>
        <v>0</v>
      </c>
      <c r="D193" s="505">
        <f>Qty!D149</f>
        <v>0</v>
      </c>
      <c r="E193" s="505">
        <f>Qty!E149</f>
        <v>0</v>
      </c>
      <c r="F193" s="505">
        <f>Qty!F149</f>
        <v>0</v>
      </c>
      <c r="G193" s="505">
        <f>Qty!G149</f>
        <v>0</v>
      </c>
      <c r="H193" s="58"/>
      <c r="I193" s="238">
        <f>Qty!M149</f>
        <v>0</v>
      </c>
      <c r="J193" s="239"/>
      <c r="K193" s="238">
        <f>SUMIF(Qty!$M$7:$AF$7,K$50,Qty!$M149:$AF149)*consmultiplier</f>
        <v>0</v>
      </c>
      <c r="L193" s="238">
        <f>SUMIF(Qty!$M$7:$AF$7,L$50,Qty!$M149:$AF149)*consmultiplier</f>
        <v>0</v>
      </c>
      <c r="M193" s="238">
        <f>SUMIF(Qty!$M$7:$AF$7,M$50,Qty!$M149:$AF149)*consmultiplier</f>
        <v>0</v>
      </c>
      <c r="N193" s="238">
        <f>SUMIF(Qty!$M$7:$AF$7,N$50,Qty!$M149:$AF149)*consmultiplier</f>
        <v>0</v>
      </c>
      <c r="O193" s="238">
        <f t="shared" si="25"/>
        <v>0</v>
      </c>
      <c r="P193" s="239"/>
      <c r="Q193" s="238">
        <f>SUMIF(Qty!$M$7:$AF$7,Q$50,Qty!$M149:$AF149)*consmultiplier</f>
        <v>0</v>
      </c>
      <c r="R193" s="238">
        <f t="shared" si="26"/>
        <v>0</v>
      </c>
      <c r="S193" s="90"/>
      <c r="T193" s="19"/>
      <c r="U193" s="19"/>
      <c r="V193" s="19"/>
      <c r="W193" s="19"/>
      <c r="X193" s="19"/>
    </row>
    <row r="194" spans="1:24" hidden="1" outlineLevel="3" x14ac:dyDescent="0.2">
      <c r="A194" s="19"/>
      <c r="B194" s="19"/>
      <c r="C194" s="506">
        <f>Qty!C150</f>
        <v>0</v>
      </c>
      <c r="D194" s="505">
        <f>Qty!D150</f>
        <v>0</v>
      </c>
      <c r="E194" s="505">
        <f>Qty!E150</f>
        <v>0</v>
      </c>
      <c r="F194" s="505">
        <f>Qty!F150</f>
        <v>0</v>
      </c>
      <c r="G194" s="505">
        <f>Qty!G150</f>
        <v>0</v>
      </c>
      <c r="H194" s="58"/>
      <c r="I194" s="238">
        <f>Qty!M150</f>
        <v>0</v>
      </c>
      <c r="J194" s="239"/>
      <c r="K194" s="238">
        <f>SUMIF(Qty!$M$7:$AF$7,K$50,Qty!$M150:$AF150)*consmultiplier</f>
        <v>0</v>
      </c>
      <c r="L194" s="238">
        <f>SUMIF(Qty!$M$7:$AF$7,L$50,Qty!$M150:$AF150)*consmultiplier</f>
        <v>0</v>
      </c>
      <c r="M194" s="238">
        <f>SUMIF(Qty!$M$7:$AF$7,M$50,Qty!$M150:$AF150)*consmultiplier</f>
        <v>0</v>
      </c>
      <c r="N194" s="238">
        <f>SUMIF(Qty!$M$7:$AF$7,N$50,Qty!$M150:$AF150)*consmultiplier</f>
        <v>0</v>
      </c>
      <c r="O194" s="238">
        <f t="shared" si="25"/>
        <v>0</v>
      </c>
      <c r="P194" s="239"/>
      <c r="Q194" s="238">
        <f>SUMIF(Qty!$M$7:$AF$7,Q$50,Qty!$M150:$AF150)*consmultiplier</f>
        <v>0</v>
      </c>
      <c r="R194" s="238">
        <f t="shared" si="26"/>
        <v>0</v>
      </c>
      <c r="S194" s="90"/>
      <c r="T194" s="19"/>
      <c r="U194" s="19"/>
      <c r="V194" s="19"/>
      <c r="W194" s="19"/>
      <c r="X194" s="19"/>
    </row>
    <row r="195" spans="1:24" hidden="1" outlineLevel="3" x14ac:dyDescent="0.2">
      <c r="A195" s="19"/>
      <c r="B195" s="19"/>
      <c r="C195" s="506">
        <f>Qty!C151</f>
        <v>0</v>
      </c>
      <c r="D195" s="505">
        <f>Qty!D151</f>
        <v>0</v>
      </c>
      <c r="E195" s="505">
        <f>Qty!E151</f>
        <v>0</v>
      </c>
      <c r="F195" s="505">
        <f>Qty!F151</f>
        <v>0</v>
      </c>
      <c r="G195" s="505">
        <f>Qty!G151</f>
        <v>0</v>
      </c>
      <c r="H195" s="58"/>
      <c r="I195" s="238">
        <f>Qty!M151</f>
        <v>0</v>
      </c>
      <c r="J195" s="239"/>
      <c r="K195" s="238">
        <f>SUMIF(Qty!$M$7:$AF$7,K$50,Qty!$M151:$AF151)*consmultiplier</f>
        <v>0</v>
      </c>
      <c r="L195" s="238">
        <f>SUMIF(Qty!$M$7:$AF$7,L$50,Qty!$M151:$AF151)*consmultiplier</f>
        <v>0</v>
      </c>
      <c r="M195" s="238">
        <f>SUMIF(Qty!$M$7:$AF$7,M$50,Qty!$M151:$AF151)*consmultiplier</f>
        <v>0</v>
      </c>
      <c r="N195" s="238">
        <f>SUMIF(Qty!$M$7:$AF$7,N$50,Qty!$M151:$AF151)*consmultiplier</f>
        <v>0</v>
      </c>
      <c r="O195" s="238">
        <f t="shared" si="25"/>
        <v>0</v>
      </c>
      <c r="P195" s="239"/>
      <c r="Q195" s="238">
        <f>SUMIF(Qty!$M$7:$AF$7,Q$50,Qty!$M151:$AF151)*consmultiplier</f>
        <v>0</v>
      </c>
      <c r="R195" s="238">
        <f t="shared" si="26"/>
        <v>0</v>
      </c>
      <c r="S195" s="90"/>
      <c r="T195" s="19"/>
      <c r="U195" s="19"/>
      <c r="V195" s="19"/>
      <c r="W195" s="19"/>
      <c r="X195" s="19"/>
    </row>
    <row r="196" spans="1:24" hidden="1" outlineLevel="3" x14ac:dyDescent="0.2">
      <c r="A196" s="19"/>
      <c r="B196" s="19"/>
      <c r="C196" s="506">
        <f>Qty!C152</f>
        <v>0</v>
      </c>
      <c r="D196" s="505">
        <f>Qty!D152</f>
        <v>0</v>
      </c>
      <c r="E196" s="505">
        <f>Qty!E152</f>
        <v>0</v>
      </c>
      <c r="F196" s="505">
        <f>Qty!F152</f>
        <v>0</v>
      </c>
      <c r="G196" s="505">
        <f>Qty!G152</f>
        <v>0</v>
      </c>
      <c r="H196" s="58"/>
      <c r="I196" s="238">
        <f>Qty!M152</f>
        <v>0</v>
      </c>
      <c r="J196" s="239"/>
      <c r="K196" s="238">
        <f>SUMIF(Qty!$M$7:$AF$7,K$50,Qty!$M152:$AF152)*consmultiplier</f>
        <v>0</v>
      </c>
      <c r="L196" s="238">
        <f>SUMIF(Qty!$M$7:$AF$7,L$50,Qty!$M152:$AF152)*consmultiplier</f>
        <v>0</v>
      </c>
      <c r="M196" s="238">
        <f>SUMIF(Qty!$M$7:$AF$7,M$50,Qty!$M152:$AF152)*consmultiplier</f>
        <v>0</v>
      </c>
      <c r="N196" s="238">
        <f>SUMIF(Qty!$M$7:$AF$7,N$50,Qty!$M152:$AF152)*consmultiplier</f>
        <v>0</v>
      </c>
      <c r="O196" s="238">
        <f t="shared" ref="O196:O205" si="27">SUM(K196:N196)</f>
        <v>0</v>
      </c>
      <c r="P196" s="239"/>
      <c r="Q196" s="238">
        <f>SUMIF(Qty!$M$7:$AF$7,Q$50,Qty!$M152:$AF152)*consmultiplier</f>
        <v>0</v>
      </c>
      <c r="R196" s="238">
        <f t="shared" ref="R196:R205" si="28">O196-Q196</f>
        <v>0</v>
      </c>
      <c r="S196" s="90"/>
      <c r="T196" s="19"/>
      <c r="U196" s="19"/>
      <c r="V196" s="19"/>
      <c r="W196" s="19"/>
      <c r="X196" s="19"/>
    </row>
    <row r="197" spans="1:24" hidden="1" outlineLevel="3" x14ac:dyDescent="0.2">
      <c r="A197" s="19"/>
      <c r="B197" s="19"/>
      <c r="C197" s="506">
        <f>Qty!C153</f>
        <v>0</v>
      </c>
      <c r="D197" s="505">
        <f>Qty!D153</f>
        <v>0</v>
      </c>
      <c r="E197" s="505">
        <f>Qty!E153</f>
        <v>0</v>
      </c>
      <c r="F197" s="505">
        <f>Qty!F153</f>
        <v>0</v>
      </c>
      <c r="G197" s="505">
        <f>Qty!G153</f>
        <v>0</v>
      </c>
      <c r="H197" s="58"/>
      <c r="I197" s="238">
        <f>Qty!M153</f>
        <v>0</v>
      </c>
      <c r="J197" s="239"/>
      <c r="K197" s="238">
        <f>SUMIF(Qty!$M$7:$AF$7,K$50,Qty!$M153:$AF153)*consmultiplier</f>
        <v>0</v>
      </c>
      <c r="L197" s="238">
        <f>SUMIF(Qty!$M$7:$AF$7,L$50,Qty!$M153:$AF153)*consmultiplier</f>
        <v>0</v>
      </c>
      <c r="M197" s="238">
        <f>SUMIF(Qty!$M$7:$AF$7,M$50,Qty!$M153:$AF153)*consmultiplier</f>
        <v>0</v>
      </c>
      <c r="N197" s="238">
        <f>SUMIF(Qty!$M$7:$AF$7,N$50,Qty!$M153:$AF153)*consmultiplier</f>
        <v>0</v>
      </c>
      <c r="O197" s="238">
        <f t="shared" si="27"/>
        <v>0</v>
      </c>
      <c r="P197" s="239"/>
      <c r="Q197" s="238">
        <f>SUMIF(Qty!$M$7:$AF$7,Q$50,Qty!$M153:$AF153)*consmultiplier</f>
        <v>0</v>
      </c>
      <c r="R197" s="238">
        <f t="shared" si="28"/>
        <v>0</v>
      </c>
      <c r="S197" s="90"/>
      <c r="T197" s="19"/>
      <c r="U197" s="19"/>
      <c r="V197" s="19"/>
      <c r="W197" s="19"/>
      <c r="X197" s="19"/>
    </row>
    <row r="198" spans="1:24" hidden="1" outlineLevel="3" x14ac:dyDescent="0.2">
      <c r="A198" s="19"/>
      <c r="B198" s="19"/>
      <c r="C198" s="506">
        <f>Qty!C154</f>
        <v>0</v>
      </c>
      <c r="D198" s="505">
        <f>Qty!D154</f>
        <v>0</v>
      </c>
      <c r="E198" s="505">
        <f>Qty!E154</f>
        <v>0</v>
      </c>
      <c r="F198" s="505">
        <f>Qty!F154</f>
        <v>0</v>
      </c>
      <c r="G198" s="505">
        <f>Qty!G154</f>
        <v>0</v>
      </c>
      <c r="H198" s="58"/>
      <c r="I198" s="238">
        <f>Qty!M154</f>
        <v>0</v>
      </c>
      <c r="J198" s="239"/>
      <c r="K198" s="238">
        <f>SUMIF(Qty!$M$7:$AF$7,K$50,Qty!$M154:$AF154)*consmultiplier</f>
        <v>0</v>
      </c>
      <c r="L198" s="238">
        <f>SUMIF(Qty!$M$7:$AF$7,L$50,Qty!$M154:$AF154)*consmultiplier</f>
        <v>0</v>
      </c>
      <c r="M198" s="238">
        <f>SUMIF(Qty!$M$7:$AF$7,M$50,Qty!$M154:$AF154)*consmultiplier</f>
        <v>0</v>
      </c>
      <c r="N198" s="238">
        <f>SUMIF(Qty!$M$7:$AF$7,N$50,Qty!$M154:$AF154)*consmultiplier</f>
        <v>0</v>
      </c>
      <c r="O198" s="238">
        <f t="shared" si="27"/>
        <v>0</v>
      </c>
      <c r="P198" s="239"/>
      <c r="Q198" s="238">
        <f>SUMIF(Qty!$M$7:$AF$7,Q$50,Qty!$M154:$AF154)*consmultiplier</f>
        <v>0</v>
      </c>
      <c r="R198" s="238">
        <f t="shared" si="28"/>
        <v>0</v>
      </c>
      <c r="S198" s="90"/>
      <c r="T198" s="19"/>
      <c r="U198" s="19"/>
      <c r="V198" s="19"/>
      <c r="W198" s="19"/>
      <c r="X198" s="19"/>
    </row>
    <row r="199" spans="1:24" hidden="1" outlineLevel="3" x14ac:dyDescent="0.2">
      <c r="A199" s="19"/>
      <c r="B199" s="19"/>
      <c r="C199" s="506">
        <f>Qty!C155</f>
        <v>0</v>
      </c>
      <c r="D199" s="505">
        <f>Qty!D155</f>
        <v>0</v>
      </c>
      <c r="E199" s="505">
        <f>Qty!E155</f>
        <v>0</v>
      </c>
      <c r="F199" s="505">
        <f>Qty!F155</f>
        <v>0</v>
      </c>
      <c r="G199" s="505">
        <f>Qty!G155</f>
        <v>0</v>
      </c>
      <c r="H199" s="58"/>
      <c r="I199" s="238">
        <f>Qty!M155</f>
        <v>0</v>
      </c>
      <c r="J199" s="239"/>
      <c r="K199" s="238">
        <f>SUMIF(Qty!$M$7:$AF$7,K$50,Qty!$M155:$AF155)*consmultiplier</f>
        <v>0</v>
      </c>
      <c r="L199" s="238">
        <f>SUMIF(Qty!$M$7:$AF$7,L$50,Qty!$M155:$AF155)*consmultiplier</f>
        <v>0</v>
      </c>
      <c r="M199" s="238">
        <f>SUMIF(Qty!$M$7:$AF$7,M$50,Qty!$M155:$AF155)*consmultiplier</f>
        <v>0</v>
      </c>
      <c r="N199" s="238">
        <f>SUMIF(Qty!$M$7:$AF$7,N$50,Qty!$M155:$AF155)*consmultiplier</f>
        <v>0</v>
      </c>
      <c r="O199" s="238">
        <f t="shared" si="27"/>
        <v>0</v>
      </c>
      <c r="P199" s="239"/>
      <c r="Q199" s="238">
        <f>SUMIF(Qty!$M$7:$AF$7,Q$50,Qty!$M155:$AF155)*consmultiplier</f>
        <v>0</v>
      </c>
      <c r="R199" s="238">
        <f t="shared" si="28"/>
        <v>0</v>
      </c>
      <c r="S199" s="90"/>
      <c r="T199" s="19"/>
      <c r="U199" s="19"/>
      <c r="V199" s="19"/>
      <c r="W199" s="19"/>
      <c r="X199" s="19"/>
    </row>
    <row r="200" spans="1:24" hidden="1" outlineLevel="3" x14ac:dyDescent="0.2">
      <c r="A200" s="19"/>
      <c r="B200" s="19"/>
      <c r="C200" s="506">
        <f>Qty!C156</f>
        <v>0</v>
      </c>
      <c r="D200" s="505">
        <f>Qty!D156</f>
        <v>0</v>
      </c>
      <c r="E200" s="505">
        <f>Qty!E156</f>
        <v>0</v>
      </c>
      <c r="F200" s="505">
        <f>Qty!F156</f>
        <v>0</v>
      </c>
      <c r="G200" s="505">
        <f>Qty!G156</f>
        <v>0</v>
      </c>
      <c r="H200" s="58"/>
      <c r="I200" s="238">
        <f>Qty!M156</f>
        <v>0</v>
      </c>
      <c r="J200" s="239"/>
      <c r="K200" s="238">
        <f>SUMIF(Qty!$M$7:$AF$7,K$50,Qty!$M156:$AF156)*consmultiplier</f>
        <v>0</v>
      </c>
      <c r="L200" s="238">
        <f>SUMIF(Qty!$M$7:$AF$7,L$50,Qty!$M156:$AF156)*consmultiplier</f>
        <v>0</v>
      </c>
      <c r="M200" s="238">
        <f>SUMIF(Qty!$M$7:$AF$7,M$50,Qty!$M156:$AF156)*consmultiplier</f>
        <v>0</v>
      </c>
      <c r="N200" s="238">
        <f>SUMIF(Qty!$M$7:$AF$7,N$50,Qty!$M156:$AF156)*consmultiplier</f>
        <v>0</v>
      </c>
      <c r="O200" s="238">
        <f t="shared" si="27"/>
        <v>0</v>
      </c>
      <c r="P200" s="239"/>
      <c r="Q200" s="238">
        <f>SUMIF(Qty!$M$7:$AF$7,Q$50,Qty!$M156:$AF156)*consmultiplier</f>
        <v>0</v>
      </c>
      <c r="R200" s="238">
        <f t="shared" si="28"/>
        <v>0</v>
      </c>
      <c r="S200" s="90"/>
      <c r="T200" s="19"/>
      <c r="U200" s="19"/>
      <c r="V200" s="19"/>
      <c r="W200" s="19"/>
      <c r="X200" s="19"/>
    </row>
    <row r="201" spans="1:24" hidden="1" outlineLevel="3" x14ac:dyDescent="0.2">
      <c r="A201" s="19"/>
      <c r="B201" s="19"/>
      <c r="C201" s="506">
        <f>Qty!C157</f>
        <v>0</v>
      </c>
      <c r="D201" s="505">
        <f>Qty!D157</f>
        <v>0</v>
      </c>
      <c r="E201" s="505">
        <f>Qty!E157</f>
        <v>0</v>
      </c>
      <c r="F201" s="505">
        <f>Qty!F157</f>
        <v>0</v>
      </c>
      <c r="G201" s="505">
        <f>Qty!G157</f>
        <v>0</v>
      </c>
      <c r="H201" s="58"/>
      <c r="I201" s="238">
        <f>Qty!M157</f>
        <v>0</v>
      </c>
      <c r="J201" s="239"/>
      <c r="K201" s="238">
        <f>SUMIF(Qty!$M$7:$AF$7,K$50,Qty!$M157:$AF157)*consmultiplier</f>
        <v>0</v>
      </c>
      <c r="L201" s="238">
        <f>SUMIF(Qty!$M$7:$AF$7,L$50,Qty!$M157:$AF157)*consmultiplier</f>
        <v>0</v>
      </c>
      <c r="M201" s="238">
        <f>SUMIF(Qty!$M$7:$AF$7,M$50,Qty!$M157:$AF157)*consmultiplier</f>
        <v>0</v>
      </c>
      <c r="N201" s="238">
        <f>SUMIF(Qty!$M$7:$AF$7,N$50,Qty!$M157:$AF157)*consmultiplier</f>
        <v>0</v>
      </c>
      <c r="O201" s="238">
        <f t="shared" si="27"/>
        <v>0</v>
      </c>
      <c r="P201" s="239"/>
      <c r="Q201" s="238">
        <f>SUMIF(Qty!$M$7:$AF$7,Q$50,Qty!$M157:$AF157)*consmultiplier</f>
        <v>0</v>
      </c>
      <c r="R201" s="238">
        <f t="shared" si="28"/>
        <v>0</v>
      </c>
      <c r="S201" s="90"/>
      <c r="T201" s="19"/>
      <c r="U201" s="19"/>
      <c r="V201" s="19"/>
      <c r="W201" s="19"/>
      <c r="X201" s="19"/>
    </row>
    <row r="202" spans="1:24" hidden="1" outlineLevel="3" x14ac:dyDescent="0.2">
      <c r="A202" s="19"/>
      <c r="B202" s="19"/>
      <c r="C202" s="506">
        <f>Qty!C158</f>
        <v>0</v>
      </c>
      <c r="D202" s="505">
        <f>Qty!D158</f>
        <v>0</v>
      </c>
      <c r="E202" s="505">
        <f>Qty!E158</f>
        <v>0</v>
      </c>
      <c r="F202" s="505">
        <f>Qty!F158</f>
        <v>0</v>
      </c>
      <c r="G202" s="505">
        <f>Qty!G158</f>
        <v>0</v>
      </c>
      <c r="H202" s="58"/>
      <c r="I202" s="238">
        <f>Qty!M158</f>
        <v>0</v>
      </c>
      <c r="J202" s="239"/>
      <c r="K202" s="238">
        <f>SUMIF(Qty!$M$7:$AF$7,K$50,Qty!$M158:$AF158)*consmultiplier</f>
        <v>0</v>
      </c>
      <c r="L202" s="238">
        <f>SUMIF(Qty!$M$7:$AF$7,L$50,Qty!$M158:$AF158)*consmultiplier</f>
        <v>0</v>
      </c>
      <c r="M202" s="238">
        <f>SUMIF(Qty!$M$7:$AF$7,M$50,Qty!$M158:$AF158)*consmultiplier</f>
        <v>0</v>
      </c>
      <c r="N202" s="238">
        <f>SUMIF(Qty!$M$7:$AF$7,N$50,Qty!$M158:$AF158)*consmultiplier</f>
        <v>0</v>
      </c>
      <c r="O202" s="238">
        <f t="shared" si="27"/>
        <v>0</v>
      </c>
      <c r="P202" s="239"/>
      <c r="Q202" s="238">
        <f>SUMIF(Qty!$M$7:$AF$7,Q$50,Qty!$M158:$AF158)*consmultiplier</f>
        <v>0</v>
      </c>
      <c r="R202" s="238">
        <f t="shared" si="28"/>
        <v>0</v>
      </c>
      <c r="S202" s="90"/>
      <c r="T202" s="19"/>
      <c r="U202" s="19"/>
      <c r="V202" s="19"/>
      <c r="W202" s="19"/>
      <c r="X202" s="19"/>
    </row>
    <row r="203" spans="1:24" hidden="1" outlineLevel="3" x14ac:dyDescent="0.2">
      <c r="A203" s="19"/>
      <c r="B203" s="19"/>
      <c r="C203" s="506">
        <f>Qty!C159</f>
        <v>0</v>
      </c>
      <c r="D203" s="505">
        <f>Qty!D159</f>
        <v>0</v>
      </c>
      <c r="E203" s="505">
        <f>Qty!E159</f>
        <v>0</v>
      </c>
      <c r="F203" s="505">
        <f>Qty!F159</f>
        <v>0</v>
      </c>
      <c r="G203" s="505">
        <f>Qty!G159</f>
        <v>0</v>
      </c>
      <c r="H203" s="58"/>
      <c r="I203" s="238">
        <f>Qty!M159</f>
        <v>0</v>
      </c>
      <c r="J203" s="239"/>
      <c r="K203" s="238">
        <f>SUMIF(Qty!$M$7:$AF$7,K$50,Qty!$M159:$AF159)*consmultiplier</f>
        <v>0</v>
      </c>
      <c r="L203" s="238">
        <f>SUMIF(Qty!$M$7:$AF$7,L$50,Qty!$M159:$AF159)*consmultiplier</f>
        <v>0</v>
      </c>
      <c r="M203" s="238">
        <f>SUMIF(Qty!$M$7:$AF$7,M$50,Qty!$M159:$AF159)*consmultiplier</f>
        <v>0</v>
      </c>
      <c r="N203" s="238">
        <f>SUMIF(Qty!$M$7:$AF$7,N$50,Qty!$M159:$AF159)*consmultiplier</f>
        <v>0</v>
      </c>
      <c r="O203" s="238">
        <f t="shared" si="27"/>
        <v>0</v>
      </c>
      <c r="P203" s="239"/>
      <c r="Q203" s="238">
        <f>SUMIF(Qty!$M$7:$AF$7,Q$50,Qty!$M159:$AF159)*consmultiplier</f>
        <v>0</v>
      </c>
      <c r="R203" s="238">
        <f t="shared" si="28"/>
        <v>0</v>
      </c>
      <c r="S203" s="90"/>
      <c r="T203" s="19"/>
      <c r="U203" s="19"/>
      <c r="V203" s="19"/>
      <c r="W203" s="19"/>
      <c r="X203" s="19"/>
    </row>
    <row r="204" spans="1:24" hidden="1" outlineLevel="3" x14ac:dyDescent="0.2">
      <c r="A204" s="19"/>
      <c r="B204" s="19"/>
      <c r="C204" s="506">
        <f>Qty!C160</f>
        <v>0</v>
      </c>
      <c r="D204" s="505">
        <f>Qty!D160</f>
        <v>0</v>
      </c>
      <c r="E204" s="505">
        <f>Qty!E160</f>
        <v>0</v>
      </c>
      <c r="F204" s="505">
        <f>Qty!F160</f>
        <v>0</v>
      </c>
      <c r="G204" s="505">
        <f>Qty!G160</f>
        <v>0</v>
      </c>
      <c r="H204" s="58"/>
      <c r="I204" s="238">
        <f>Qty!M160</f>
        <v>0</v>
      </c>
      <c r="J204" s="239"/>
      <c r="K204" s="238">
        <f>SUMIF(Qty!$M$7:$AF$7,K$50,Qty!$M160:$AF160)*consmultiplier</f>
        <v>0</v>
      </c>
      <c r="L204" s="238">
        <f>SUMIF(Qty!$M$7:$AF$7,L$50,Qty!$M160:$AF160)*consmultiplier</f>
        <v>0</v>
      </c>
      <c r="M204" s="238">
        <f>SUMIF(Qty!$M$7:$AF$7,M$50,Qty!$M160:$AF160)*consmultiplier</f>
        <v>0</v>
      </c>
      <c r="N204" s="238">
        <f>SUMIF(Qty!$M$7:$AF$7,N$50,Qty!$M160:$AF160)*consmultiplier</f>
        <v>0</v>
      </c>
      <c r="O204" s="238">
        <f t="shared" si="27"/>
        <v>0</v>
      </c>
      <c r="P204" s="239"/>
      <c r="Q204" s="238">
        <f>SUMIF(Qty!$M$7:$AF$7,Q$50,Qty!$M160:$AF160)*consmultiplier</f>
        <v>0</v>
      </c>
      <c r="R204" s="238">
        <f t="shared" si="28"/>
        <v>0</v>
      </c>
      <c r="S204" s="90"/>
      <c r="T204" s="19"/>
      <c r="U204" s="19"/>
      <c r="V204" s="19"/>
      <c r="W204" s="19"/>
      <c r="X204" s="19"/>
    </row>
    <row r="205" spans="1:24" hidden="1" outlineLevel="3" x14ac:dyDescent="0.2">
      <c r="A205" s="19"/>
      <c r="B205" s="19"/>
      <c r="C205" s="506">
        <f>Qty!C161</f>
        <v>0</v>
      </c>
      <c r="D205" s="505">
        <f>Qty!D161</f>
        <v>0</v>
      </c>
      <c r="E205" s="505">
        <f>Qty!E161</f>
        <v>0</v>
      </c>
      <c r="F205" s="505">
        <f>Qty!F161</f>
        <v>0</v>
      </c>
      <c r="G205" s="505">
        <f>Qty!G161</f>
        <v>0</v>
      </c>
      <c r="H205" s="58"/>
      <c r="I205" s="238">
        <f>Qty!M161</f>
        <v>0</v>
      </c>
      <c r="J205" s="239"/>
      <c r="K205" s="238">
        <f>SUMIF(Qty!$M$7:$AF$7,K$50,Qty!$M161:$AF161)*consmultiplier</f>
        <v>0</v>
      </c>
      <c r="L205" s="238">
        <f>SUMIF(Qty!$M$7:$AF$7,L$50,Qty!$M161:$AF161)*consmultiplier</f>
        <v>0</v>
      </c>
      <c r="M205" s="238">
        <f>SUMIF(Qty!$M$7:$AF$7,M$50,Qty!$M161:$AF161)*consmultiplier</f>
        <v>0</v>
      </c>
      <c r="N205" s="238">
        <f>SUMIF(Qty!$M$7:$AF$7,N$50,Qty!$M161:$AF161)*consmultiplier</f>
        <v>0</v>
      </c>
      <c r="O205" s="238">
        <f t="shared" si="27"/>
        <v>0</v>
      </c>
      <c r="P205" s="239"/>
      <c r="Q205" s="238">
        <f>SUMIF(Qty!$M$7:$AF$7,Q$50,Qty!$M161:$AF161)*consmultiplier</f>
        <v>0</v>
      </c>
      <c r="R205" s="238">
        <f t="shared" si="28"/>
        <v>0</v>
      </c>
      <c r="S205" s="90"/>
      <c r="T205" s="19"/>
      <c r="U205" s="19"/>
      <c r="V205" s="19"/>
      <c r="W205" s="19"/>
      <c r="X205" s="19"/>
    </row>
    <row r="206" spans="1:24" outlineLevel="2" collapsed="1" x14ac:dyDescent="0.2">
      <c r="A206" s="19"/>
      <c r="B206" s="19"/>
      <c r="C206" s="66"/>
      <c r="D206" s="58"/>
      <c r="E206" s="58"/>
      <c r="F206" s="58"/>
      <c r="G206" s="58"/>
      <c r="H206" s="58"/>
      <c r="I206" s="385"/>
      <c r="J206" s="385"/>
      <c r="K206" s="240"/>
      <c r="L206" s="240"/>
      <c r="M206" s="240"/>
      <c r="N206" s="241"/>
      <c r="O206" s="241"/>
      <c r="P206" s="241"/>
      <c r="Q206" s="241"/>
      <c r="R206" s="241"/>
      <c r="S206" s="88"/>
      <c r="T206" s="19"/>
      <c r="U206" s="19"/>
      <c r="V206" s="19"/>
      <c r="W206" s="19"/>
      <c r="X206" s="19"/>
    </row>
    <row r="207" spans="1:24" outlineLevel="1" x14ac:dyDescent="0.2">
      <c r="A207" s="19"/>
      <c r="B207" s="19"/>
      <c r="C207" s="66"/>
      <c r="D207" s="58"/>
      <c r="E207" s="58"/>
      <c r="F207" s="58"/>
      <c r="G207" s="58"/>
      <c r="H207" s="58"/>
      <c r="I207" s="385"/>
      <c r="J207" s="385"/>
      <c r="K207" s="240"/>
      <c r="L207" s="240"/>
      <c r="M207" s="240"/>
      <c r="N207" s="241"/>
      <c r="O207" s="241"/>
      <c r="P207" s="241"/>
      <c r="Q207" s="241"/>
      <c r="R207" s="241"/>
      <c r="S207" s="88"/>
      <c r="T207" s="19"/>
      <c r="U207" s="19"/>
      <c r="V207" s="19"/>
      <c r="W207" s="19"/>
      <c r="X207" s="19"/>
    </row>
    <row r="208" spans="1:24" outlineLevel="1" x14ac:dyDescent="0.2">
      <c r="A208" s="19"/>
      <c r="B208" s="19"/>
      <c r="C208" s="167" t="str">
        <f>"Actual "&amp;previousyear</f>
        <v>Actual 2020–21</v>
      </c>
      <c r="D208" s="20"/>
      <c r="E208" s="20"/>
      <c r="F208" s="20"/>
      <c r="G208" s="22"/>
      <c r="H208" s="22"/>
      <c r="I208" s="240"/>
      <c r="J208" s="240"/>
      <c r="K208" s="240"/>
      <c r="L208" s="240"/>
      <c r="M208" s="240"/>
      <c r="N208" s="240"/>
      <c r="O208" s="240"/>
      <c r="P208" s="240"/>
      <c r="Q208" s="240"/>
      <c r="R208" s="240"/>
      <c r="S208" s="88"/>
      <c r="T208" s="19"/>
      <c r="U208" s="19"/>
      <c r="V208" s="19"/>
      <c r="W208" s="19"/>
      <c r="X208" s="19"/>
    </row>
    <row r="209" spans="1:24" outlineLevel="2" x14ac:dyDescent="0.2">
      <c r="A209" s="19"/>
      <c r="B209" s="19"/>
      <c r="C209" s="506" t="str">
        <f>Qty!C166</f>
        <v>Residential time of use consumption</v>
      </c>
      <c r="D209" s="505" t="str">
        <f>Qty!D166</f>
        <v>Residential</v>
      </c>
      <c r="E209" s="505" t="str">
        <f>Qty!E166</f>
        <v>TAS93</v>
      </c>
      <c r="F209" s="505">
        <f>Qty!F166</f>
        <v>0</v>
      </c>
      <c r="G209" s="505">
        <f>Qty!G166</f>
        <v>0</v>
      </c>
      <c r="H209" s="22"/>
      <c r="I209" s="238">
        <f>Qty!M166</f>
        <v>34068.071232876711</v>
      </c>
      <c r="J209" s="239"/>
      <c r="K209" s="238">
        <f>SUMIF(Qty!$M$7:$AF$7,K$50,Qty!$M166:$AF166)*consmultiplier</f>
        <v>0</v>
      </c>
      <c r="L209" s="238">
        <f>SUMIF(Qty!$M$7:$AF$7,L$50,Qty!$M166:$AF166)*consmultiplier</f>
        <v>84.440497558743175</v>
      </c>
      <c r="M209" s="238">
        <f>SUMIF(Qty!$M$7:$AF$7,M$50,Qty!$M166:$AF166)*consmultiplier</f>
        <v>0</v>
      </c>
      <c r="N209" s="238">
        <f>SUMIF(Qty!$M$7:$AF$7,N$50,Qty!$M166:$AF166)*consmultiplier</f>
        <v>195.08779369925577</v>
      </c>
      <c r="O209" s="238">
        <f>SUM(K209:N209)</f>
        <v>279.52829125799894</v>
      </c>
      <c r="P209" s="239"/>
      <c r="Q209" s="238">
        <f>SUMIF(Qty!$M$7:$AF$7,Q$50,Qty!$M166:$AF166)*consmultiplier</f>
        <v>0</v>
      </c>
      <c r="R209" s="238">
        <f>O209-Q209</f>
        <v>279.52829125799894</v>
      </c>
      <c r="S209" s="89"/>
      <c r="T209" s="19"/>
      <c r="U209" s="19"/>
      <c r="V209" s="19"/>
      <c r="W209" s="19"/>
      <c r="X209" s="19"/>
    </row>
    <row r="210" spans="1:24" s="59" customFormat="1" outlineLevel="2" x14ac:dyDescent="0.2">
      <c r="A210" s="57"/>
      <c r="B210" s="57"/>
      <c r="C210" s="506" t="str">
        <f>Qty!C167</f>
        <v>Residential general light and power</v>
      </c>
      <c r="D210" s="505" t="str">
        <f>Qty!D167</f>
        <v>Residential</v>
      </c>
      <c r="E210" s="505" t="str">
        <f>Qty!E167</f>
        <v>TAS31</v>
      </c>
      <c r="F210" s="505">
        <f>Qty!F167</f>
        <v>0</v>
      </c>
      <c r="G210" s="505">
        <f>Qty!G167</f>
        <v>0</v>
      </c>
      <c r="H210" s="58"/>
      <c r="I210" s="238">
        <f>Qty!M167</f>
        <v>231256.7095890411</v>
      </c>
      <c r="J210" s="239"/>
      <c r="K210" s="238">
        <f>SUMIF(Qty!$M$7:$AF$7,K$50,Qty!$M167:$AF167)*consmultiplier</f>
        <v>843.50245045699978</v>
      </c>
      <c r="L210" s="238">
        <f>SUMIF(Qty!$M$7:$AF$7,L$50,Qty!$M167:$AF167)*consmultiplier</f>
        <v>0</v>
      </c>
      <c r="M210" s="238">
        <f>SUMIF(Qty!$M$7:$AF$7,M$50,Qty!$M167:$AF167)*consmultiplier</f>
        <v>0</v>
      </c>
      <c r="N210" s="238">
        <f>SUMIF(Qty!$M$7:$AF$7,N$50,Qty!$M167:$AF167)*consmultiplier</f>
        <v>0</v>
      </c>
      <c r="O210" s="238">
        <f t="shared" ref="O210:O273" si="29">SUM(K210:N210)</f>
        <v>843.50245045699978</v>
      </c>
      <c r="P210" s="239"/>
      <c r="Q210" s="238">
        <f>SUMIF(Qty!$M$7:$AF$7,Q$50,Qty!$M167:$AF167)*consmultiplier</f>
        <v>0</v>
      </c>
      <c r="R210" s="238">
        <f t="shared" ref="R210:R273" si="30">O210-Q210</f>
        <v>843.50245045699978</v>
      </c>
      <c r="S210" s="90"/>
      <c r="T210" s="57"/>
      <c r="U210" s="57"/>
      <c r="V210" s="57"/>
      <c r="W210" s="57"/>
      <c r="X210" s="57"/>
    </row>
    <row r="211" spans="1:24" outlineLevel="2" x14ac:dyDescent="0.2">
      <c r="A211" s="19"/>
      <c r="B211" s="19"/>
      <c r="C211" s="506" t="str">
        <f>Qty!C168</f>
        <v>Residential time of use demand</v>
      </c>
      <c r="D211" s="505" t="str">
        <f>Qty!D168</f>
        <v>Residential</v>
      </c>
      <c r="E211" s="505" t="str">
        <f>Qty!E168</f>
        <v>TAS87</v>
      </c>
      <c r="F211" s="505">
        <f>Qty!F168</f>
        <v>0</v>
      </c>
      <c r="G211" s="505">
        <f>Qty!G168</f>
        <v>0</v>
      </c>
      <c r="H211" s="58"/>
      <c r="I211" s="238">
        <f>Qty!M168</f>
        <v>1.0191780821917809</v>
      </c>
      <c r="J211" s="239"/>
      <c r="K211" s="238">
        <f>SUMIF(Qty!$M$7:$AF$7,K$50,Qty!$M168:$AF168)*consmultiplier</f>
        <v>0</v>
      </c>
      <c r="L211" s="238">
        <f>SUMIF(Qty!$M$7:$AF$7,L$50,Qty!$M168:$AF168)*consmultiplier</f>
        <v>0</v>
      </c>
      <c r="M211" s="238">
        <f>SUMIF(Qty!$M$7:$AF$7,M$50,Qty!$M168:$AF168)*consmultiplier</f>
        <v>0</v>
      </c>
      <c r="N211" s="238">
        <f>SUMIF(Qty!$M$7:$AF$7,N$50,Qty!$M168:$AF168)*consmultiplier</f>
        <v>0</v>
      </c>
      <c r="O211" s="238">
        <f t="shared" si="29"/>
        <v>0</v>
      </c>
      <c r="P211" s="239"/>
      <c r="Q211" s="238">
        <f>SUMIF(Qty!$M$7:$AF$7,Q$50,Qty!$M168:$AF168)*consmultiplier</f>
        <v>0</v>
      </c>
      <c r="R211" s="238">
        <f t="shared" si="30"/>
        <v>0</v>
      </c>
      <c r="S211" s="90"/>
      <c r="T211" s="19"/>
      <c r="U211" s="19"/>
      <c r="V211" s="19"/>
      <c r="W211" s="19"/>
      <c r="X211" s="19"/>
    </row>
    <row r="212" spans="1:24" outlineLevel="2" x14ac:dyDescent="0.2">
      <c r="A212" s="19"/>
      <c r="B212" s="19"/>
      <c r="C212" s="506" t="str">
        <f>Qty!C169</f>
        <v>Residential time of use demand DER</v>
      </c>
      <c r="D212" s="505" t="str">
        <f>Qty!D169</f>
        <v>Residential</v>
      </c>
      <c r="E212" s="505" t="str">
        <f>Qty!E169</f>
        <v>TAS97</v>
      </c>
      <c r="F212" s="505">
        <f>Qty!F169</f>
        <v>0</v>
      </c>
      <c r="G212" s="505">
        <f>Qty!G169</f>
        <v>0</v>
      </c>
      <c r="H212" s="58"/>
      <c r="I212" s="238">
        <f>Qty!M169</f>
        <v>0</v>
      </c>
      <c r="J212" s="239"/>
      <c r="K212" s="238">
        <f>SUMIF(Qty!$M$7:$AF$7,K$50,Qty!$M169:$AF169)*consmultiplier</f>
        <v>0</v>
      </c>
      <c r="L212" s="238">
        <f>SUMIF(Qty!$M$7:$AF$7,L$50,Qty!$M169:$AF169)*consmultiplier</f>
        <v>0</v>
      </c>
      <c r="M212" s="238">
        <f>SUMIF(Qty!$M$7:$AF$7,M$50,Qty!$M169:$AF169)*consmultiplier</f>
        <v>0</v>
      </c>
      <c r="N212" s="238">
        <f>SUMIF(Qty!$M$7:$AF$7,N$50,Qty!$M169:$AF169)*consmultiplier</f>
        <v>0</v>
      </c>
      <c r="O212" s="238">
        <f t="shared" si="29"/>
        <v>0</v>
      </c>
      <c r="P212" s="239"/>
      <c r="Q212" s="238">
        <f>SUMIF(Qty!$M$7:$AF$7,Q$50,Qty!$M169:$AF169)*consmultiplier</f>
        <v>0</v>
      </c>
      <c r="R212" s="238">
        <f t="shared" si="30"/>
        <v>0</v>
      </c>
      <c r="S212" s="90"/>
      <c r="T212" s="19"/>
      <c r="U212" s="19"/>
      <c r="V212" s="19"/>
      <c r="W212" s="19"/>
      <c r="X212" s="19"/>
    </row>
    <row r="213" spans="1:24" outlineLevel="2" x14ac:dyDescent="0.2">
      <c r="A213" s="19"/>
      <c r="B213" s="19"/>
      <c r="C213" s="506" t="str">
        <f>Qty!C170</f>
        <v>Residential pay as you go</v>
      </c>
      <c r="D213" s="505" t="str">
        <f>Qty!D170</f>
        <v>Residential</v>
      </c>
      <c r="E213" s="505" t="str">
        <f>Qty!E170</f>
        <v>TAS101</v>
      </c>
      <c r="F213" s="505">
        <f>Qty!F170</f>
        <v>0</v>
      </c>
      <c r="G213" s="505">
        <f>Qty!G170</f>
        <v>0</v>
      </c>
      <c r="H213" s="58"/>
      <c r="I213" s="238">
        <f>Qty!M170</f>
        <v>51.123287671232873</v>
      </c>
      <c r="J213" s="239"/>
      <c r="K213" s="238">
        <f>SUMIF(Qty!$M$7:$AF$7,K$50,Qty!$M170:$AF170)*consmultiplier</f>
        <v>0.11375399999999999</v>
      </c>
      <c r="L213" s="238">
        <f>SUMIF(Qty!$M$7:$AF$7,L$50,Qty!$M170:$AF170)*consmultiplier</f>
        <v>0</v>
      </c>
      <c r="M213" s="238">
        <f>SUMIF(Qty!$M$7:$AF$7,M$50,Qty!$M170:$AF170)*consmultiplier</f>
        <v>0</v>
      </c>
      <c r="N213" s="238">
        <f>SUMIF(Qty!$M$7:$AF$7,N$50,Qty!$M170:$AF170)*consmultiplier</f>
        <v>0</v>
      </c>
      <c r="O213" s="238">
        <f t="shared" si="29"/>
        <v>0.11375399999999999</v>
      </c>
      <c r="P213" s="239"/>
      <c r="Q213" s="238">
        <f>SUMIF(Qty!$M$7:$AF$7,Q$50,Qty!$M170:$AF170)*consmultiplier</f>
        <v>0</v>
      </c>
      <c r="R213" s="238">
        <f t="shared" si="30"/>
        <v>0.11375399999999999</v>
      </c>
      <c r="S213" s="90"/>
      <c r="T213" s="19"/>
      <c r="U213" s="19"/>
      <c r="V213" s="19"/>
      <c r="W213" s="19"/>
      <c r="X213" s="19"/>
    </row>
    <row r="214" spans="1:24" outlineLevel="2" x14ac:dyDescent="0.2">
      <c r="A214" s="19"/>
      <c r="B214" s="19"/>
      <c r="C214" s="506" t="str">
        <f>Qty!C171</f>
        <v>Residential pay as you go time of use</v>
      </c>
      <c r="D214" s="505" t="str">
        <f>Qty!D171</f>
        <v>Residential</v>
      </c>
      <c r="E214" s="505" t="str">
        <f>Qty!E171</f>
        <v>TAS92</v>
      </c>
      <c r="F214" s="505">
        <f>Qty!F171</f>
        <v>0</v>
      </c>
      <c r="G214" s="505">
        <f>Qty!G171</f>
        <v>0</v>
      </c>
      <c r="H214" s="58"/>
      <c r="I214" s="238">
        <f>Qty!M171</f>
        <v>0</v>
      </c>
      <c r="J214" s="239"/>
      <c r="K214" s="238">
        <f>SUMIF(Qty!$M$7:$AF$7,K$50,Qty!$M171:$AF171)*consmultiplier</f>
        <v>0</v>
      </c>
      <c r="L214" s="238">
        <f>SUMIF(Qty!$M$7:$AF$7,L$50,Qty!$M171:$AF171)*consmultiplier</f>
        <v>0</v>
      </c>
      <c r="M214" s="238">
        <f>SUMIF(Qty!$M$7:$AF$7,M$50,Qty!$M171:$AF171)*consmultiplier</f>
        <v>0</v>
      </c>
      <c r="N214" s="238">
        <f>SUMIF(Qty!$M$7:$AF$7,N$50,Qty!$M171:$AF171)*consmultiplier</f>
        <v>0</v>
      </c>
      <c r="O214" s="238">
        <f t="shared" si="29"/>
        <v>0</v>
      </c>
      <c r="P214" s="239"/>
      <c r="Q214" s="238">
        <f>SUMIF(Qty!$M$7:$AF$7,Q$50,Qty!$M171:$AF171)*consmultiplier</f>
        <v>0</v>
      </c>
      <c r="R214" s="238">
        <f t="shared" si="30"/>
        <v>0</v>
      </c>
      <c r="S214" s="90"/>
      <c r="T214" s="19"/>
      <c r="U214" s="19"/>
      <c r="V214" s="19"/>
      <c r="W214" s="19"/>
      <c r="X214" s="19"/>
    </row>
    <row r="215" spans="1:24" outlineLevel="2" x14ac:dyDescent="0.2">
      <c r="A215" s="19"/>
      <c r="B215" s="19"/>
      <c r="C215" s="506" t="str">
        <f>Qty!C172</f>
        <v>Small business time of use consumption</v>
      </c>
      <c r="D215" s="505" t="str">
        <f>Qty!D172</f>
        <v>Small Business LV</v>
      </c>
      <c r="E215" s="505" t="str">
        <f>Qty!E172</f>
        <v>TAS94</v>
      </c>
      <c r="F215" s="505">
        <f>Qty!F172</f>
        <v>0</v>
      </c>
      <c r="G215" s="505">
        <f>Qty!G172</f>
        <v>0</v>
      </c>
      <c r="H215" s="58"/>
      <c r="I215" s="238">
        <f>Qty!M172</f>
        <v>7102.6520547945202</v>
      </c>
      <c r="J215" s="239"/>
      <c r="K215" s="238">
        <f>SUMIF(Qty!$M$7:$AF$7,K$50,Qty!$M172:$AF172)*consmultiplier</f>
        <v>0</v>
      </c>
      <c r="L215" s="238">
        <f>SUMIF(Qty!$M$7:$AF$7,L$50,Qty!$M172:$AF172)*consmultiplier</f>
        <v>259.15545458300005</v>
      </c>
      <c r="M215" s="238">
        <f>SUMIF(Qty!$M$7:$AF$7,M$50,Qty!$M172:$AF172)*consmultiplier</f>
        <v>65.008259273999997</v>
      </c>
      <c r="N215" s="238">
        <f>SUMIF(Qty!$M$7:$AF$7,N$50,Qty!$M172:$AF172)*consmultiplier</f>
        <v>128.707308918</v>
      </c>
      <c r="O215" s="238">
        <f t="shared" si="29"/>
        <v>452.87102277500003</v>
      </c>
      <c r="P215" s="239"/>
      <c r="Q215" s="238">
        <f>SUMIF(Qty!$M$7:$AF$7,Q$50,Qty!$M172:$AF172)*consmultiplier</f>
        <v>0</v>
      </c>
      <c r="R215" s="238">
        <f t="shared" si="30"/>
        <v>452.87102277500003</v>
      </c>
      <c r="S215" s="90"/>
      <c r="T215" s="19"/>
      <c r="U215" s="19"/>
      <c r="V215" s="19"/>
      <c r="W215" s="19"/>
      <c r="X215" s="19"/>
    </row>
    <row r="216" spans="1:24" outlineLevel="2" x14ac:dyDescent="0.2">
      <c r="A216" s="19"/>
      <c r="B216" s="19"/>
      <c r="C216" s="506" t="str">
        <f>Qty!C173</f>
        <v>Small business general light and power</v>
      </c>
      <c r="D216" s="505" t="str">
        <f>Qty!D173</f>
        <v>Small Business LV</v>
      </c>
      <c r="E216" s="505" t="str">
        <f>Qty!E173</f>
        <v>TAS22</v>
      </c>
      <c r="F216" s="505">
        <f>Qty!F173</f>
        <v>0</v>
      </c>
      <c r="G216" s="505">
        <f>Qty!G173</f>
        <v>0</v>
      </c>
      <c r="H216" s="58"/>
      <c r="I216" s="238">
        <f>Qty!M173</f>
        <v>27744.956164383562</v>
      </c>
      <c r="J216" s="239"/>
      <c r="K216" s="238">
        <f>SUMIF(Qty!$M$7:$AF$7,K$50,Qty!$M173:$AF173)*consmultiplier</f>
        <v>250.62116919399995</v>
      </c>
      <c r="L216" s="238">
        <f>SUMIF(Qty!$M$7:$AF$7,L$50,Qty!$M173:$AF173)*consmultiplier</f>
        <v>0</v>
      </c>
      <c r="M216" s="238">
        <f>SUMIF(Qty!$M$7:$AF$7,M$50,Qty!$M173:$AF173)*consmultiplier</f>
        <v>0</v>
      </c>
      <c r="N216" s="238">
        <f>SUMIF(Qty!$M$7:$AF$7,N$50,Qty!$M173:$AF173)*consmultiplier</f>
        <v>0</v>
      </c>
      <c r="O216" s="238">
        <f t="shared" si="29"/>
        <v>250.62116919399995</v>
      </c>
      <c r="P216" s="239"/>
      <c r="Q216" s="238">
        <f>SUMIF(Qty!$M$7:$AF$7,Q$50,Qty!$M173:$AF173)*consmultiplier</f>
        <v>0</v>
      </c>
      <c r="R216" s="238">
        <f t="shared" si="30"/>
        <v>250.62116919399995</v>
      </c>
      <c r="S216" s="90"/>
      <c r="T216" s="19"/>
      <c r="U216" s="19"/>
      <c r="V216" s="19"/>
      <c r="W216" s="19"/>
      <c r="X216" s="19"/>
    </row>
    <row r="217" spans="1:24" outlineLevel="2" x14ac:dyDescent="0.2">
      <c r="A217" s="19"/>
      <c r="B217" s="19"/>
      <c r="C217" s="506" t="str">
        <f>Qty!C174</f>
        <v>Small business time of use demand</v>
      </c>
      <c r="D217" s="505" t="str">
        <f>Qty!D174</f>
        <v>Small Business LV</v>
      </c>
      <c r="E217" s="505" t="str">
        <f>Qty!E174</f>
        <v>TAS88</v>
      </c>
      <c r="F217" s="505">
        <f>Qty!F174</f>
        <v>0</v>
      </c>
      <c r="G217" s="505">
        <f>Qty!G174</f>
        <v>0</v>
      </c>
      <c r="H217" s="58"/>
      <c r="I217" s="238">
        <f>Qty!M174</f>
        <v>808.99726027397264</v>
      </c>
      <c r="J217" s="239"/>
      <c r="K217" s="238">
        <f>SUMIF(Qty!$M$7:$AF$7,K$50,Qty!$M174:$AF174)*consmultiplier</f>
        <v>0</v>
      </c>
      <c r="L217" s="238">
        <f>SUMIF(Qty!$M$7:$AF$7,L$50,Qty!$M174:$AF174)*consmultiplier</f>
        <v>0</v>
      </c>
      <c r="M217" s="238">
        <f>SUMIF(Qty!$M$7:$AF$7,M$50,Qty!$M174:$AF174)*consmultiplier</f>
        <v>0</v>
      </c>
      <c r="N217" s="238">
        <f>SUMIF(Qty!$M$7:$AF$7,N$50,Qty!$M174:$AF174)*consmultiplier</f>
        <v>0</v>
      </c>
      <c r="O217" s="238">
        <f t="shared" si="29"/>
        <v>0</v>
      </c>
      <c r="P217" s="239"/>
      <c r="Q217" s="238">
        <f>SUMIF(Qty!$M$7:$AF$7,Q$50,Qty!$M174:$AF174)*consmultiplier</f>
        <v>0</v>
      </c>
      <c r="R217" s="238">
        <f t="shared" si="30"/>
        <v>0</v>
      </c>
      <c r="S217" s="90"/>
      <c r="T217" s="19"/>
      <c r="U217" s="19"/>
      <c r="V217" s="19"/>
      <c r="W217" s="19"/>
      <c r="X217" s="19"/>
    </row>
    <row r="218" spans="1:24" outlineLevel="2" x14ac:dyDescent="0.2">
      <c r="A218" s="19"/>
      <c r="B218" s="19"/>
      <c r="C218" s="506" t="str">
        <f>Qty!C175</f>
        <v>Small business time of use demand DER</v>
      </c>
      <c r="D218" s="505" t="str">
        <f>Qty!D175</f>
        <v>Small Business LV</v>
      </c>
      <c r="E218" s="505" t="str">
        <f>Qty!E175</f>
        <v>TAS98</v>
      </c>
      <c r="F218" s="505">
        <f>Qty!F175</f>
        <v>0</v>
      </c>
      <c r="G218" s="505">
        <f>Qty!G175</f>
        <v>0</v>
      </c>
      <c r="H218" s="58"/>
      <c r="I218" s="238">
        <f>Qty!M175</f>
        <v>77.109589041095887</v>
      </c>
      <c r="J218" s="239"/>
      <c r="K218" s="238">
        <f>SUMIF(Qty!$M$7:$AF$7,K$50,Qty!$M175:$AF175)*consmultiplier</f>
        <v>0</v>
      </c>
      <c r="L218" s="238">
        <f>SUMIF(Qty!$M$7:$AF$7,L$50,Qty!$M175:$AF175)*consmultiplier</f>
        <v>0</v>
      </c>
      <c r="M218" s="238">
        <f>SUMIF(Qty!$M$7:$AF$7,M$50,Qty!$M175:$AF175)*consmultiplier</f>
        <v>0</v>
      </c>
      <c r="N218" s="238">
        <f>SUMIF(Qty!$M$7:$AF$7,N$50,Qty!$M175:$AF175)*consmultiplier</f>
        <v>0</v>
      </c>
      <c r="O218" s="238">
        <f t="shared" si="29"/>
        <v>0</v>
      </c>
      <c r="P218" s="239"/>
      <c r="Q218" s="238">
        <f>SUMIF(Qty!$M$7:$AF$7,Q$50,Qty!$M175:$AF175)*consmultiplier</f>
        <v>0</v>
      </c>
      <c r="R218" s="238">
        <f t="shared" si="30"/>
        <v>0</v>
      </c>
      <c r="S218" s="90"/>
      <c r="T218" s="19"/>
      <c r="U218" s="19"/>
      <c r="V218" s="19"/>
      <c r="W218" s="19"/>
      <c r="X218" s="19"/>
    </row>
    <row r="219" spans="1:24" outlineLevel="2" x14ac:dyDescent="0.2">
      <c r="A219" s="19"/>
      <c r="B219" s="19"/>
      <c r="C219" s="506" t="str">
        <f>Qty!C176</f>
        <v>Large business kVA demand</v>
      </c>
      <c r="D219" s="505" t="str">
        <f>Qty!D176</f>
        <v>Large Business LV</v>
      </c>
      <c r="E219" s="505" t="str">
        <f>Qty!E176</f>
        <v>TAS82</v>
      </c>
      <c r="F219" s="505">
        <f>Qty!F176</f>
        <v>0</v>
      </c>
      <c r="G219" s="505">
        <f>Qty!G176</f>
        <v>0</v>
      </c>
      <c r="H219" s="58"/>
      <c r="I219" s="238">
        <f>Qty!M176</f>
        <v>580.52876712328771</v>
      </c>
      <c r="J219" s="239"/>
      <c r="K219" s="238">
        <f>SUMIF(Qty!$M$7:$AF$7,K$50,Qty!$M176:$AF176)*consmultiplier</f>
        <v>0</v>
      </c>
      <c r="L219" s="238">
        <f>SUMIF(Qty!$M$7:$AF$7,L$50,Qty!$M176:$AF176)*consmultiplier</f>
        <v>0</v>
      </c>
      <c r="M219" s="238">
        <f>SUMIF(Qty!$M$7:$AF$7,M$50,Qty!$M176:$AF176)*consmultiplier</f>
        <v>0</v>
      </c>
      <c r="N219" s="238">
        <f>SUMIF(Qty!$M$7:$AF$7,N$50,Qty!$M176:$AF176)*consmultiplier</f>
        <v>0</v>
      </c>
      <c r="O219" s="238">
        <f t="shared" si="29"/>
        <v>0</v>
      </c>
      <c r="P219" s="239"/>
      <c r="Q219" s="238">
        <f>SUMIF(Qty!$M$7:$AF$7,Q$50,Qty!$M176:$AF176)*consmultiplier</f>
        <v>0</v>
      </c>
      <c r="R219" s="238">
        <f t="shared" si="30"/>
        <v>0</v>
      </c>
      <c r="S219" s="90"/>
      <c r="T219" s="19"/>
      <c r="U219" s="19"/>
      <c r="V219" s="19"/>
      <c r="W219" s="19"/>
      <c r="X219" s="19"/>
    </row>
    <row r="220" spans="1:24" outlineLevel="2" x14ac:dyDescent="0.2">
      <c r="A220" s="19"/>
      <c r="B220" s="19"/>
      <c r="C220" s="506" t="str">
        <f>Qty!C177</f>
        <v>Large business time of use demand</v>
      </c>
      <c r="D220" s="505" t="str">
        <f>Qty!D177</f>
        <v>Large Business LV</v>
      </c>
      <c r="E220" s="505" t="str">
        <f>Qty!E177</f>
        <v>TAS89</v>
      </c>
      <c r="F220" s="505">
        <f>Qty!F177</f>
        <v>0</v>
      </c>
      <c r="G220" s="505">
        <f>Qty!G177</f>
        <v>0</v>
      </c>
      <c r="H220" s="58"/>
      <c r="I220" s="238">
        <f>Qty!M177</f>
        <v>209.57808219178082</v>
      </c>
      <c r="J220" s="239"/>
      <c r="K220" s="238">
        <f>SUMIF(Qty!$M$7:$AF$7,K$50,Qty!$M177:$AF177)*consmultiplier</f>
        <v>0</v>
      </c>
      <c r="L220" s="238">
        <f>SUMIF(Qty!$M$7:$AF$7,L$50,Qty!$M177:$AF177)*consmultiplier</f>
        <v>0</v>
      </c>
      <c r="M220" s="238">
        <f>SUMIF(Qty!$M$7:$AF$7,M$50,Qty!$M177:$AF177)*consmultiplier</f>
        <v>0</v>
      </c>
      <c r="N220" s="238">
        <f>SUMIF(Qty!$M$7:$AF$7,N$50,Qty!$M177:$AF177)*consmultiplier</f>
        <v>0</v>
      </c>
      <c r="O220" s="238">
        <f t="shared" si="29"/>
        <v>0</v>
      </c>
      <c r="P220" s="239"/>
      <c r="Q220" s="238">
        <f>SUMIF(Qty!$M$7:$AF$7,Q$50,Qty!$M177:$AF177)*consmultiplier</f>
        <v>0</v>
      </c>
      <c r="R220" s="238">
        <f t="shared" si="30"/>
        <v>0</v>
      </c>
      <c r="S220" s="90"/>
      <c r="T220" s="19"/>
      <c r="U220" s="19"/>
      <c r="V220" s="19"/>
      <c r="W220" s="19"/>
      <c r="X220" s="19"/>
    </row>
    <row r="221" spans="1:24" outlineLevel="2" x14ac:dyDescent="0.2">
      <c r="A221" s="19"/>
      <c r="B221" s="19"/>
      <c r="C221" s="506" t="str">
        <f>Qty!C178</f>
        <v>Irrigation time of use consumption</v>
      </c>
      <c r="D221" s="505" t="str">
        <f>Qty!D178</f>
        <v>Irrigation</v>
      </c>
      <c r="E221" s="505" t="str">
        <f>Qty!E178</f>
        <v>TAS75</v>
      </c>
      <c r="F221" s="505">
        <f>Qty!F178</f>
        <v>0</v>
      </c>
      <c r="G221" s="505">
        <f>Qty!G178</f>
        <v>0</v>
      </c>
      <c r="H221" s="58"/>
      <c r="I221" s="238">
        <f>Qty!M178</f>
        <v>3945.682191780822</v>
      </c>
      <c r="J221" s="239"/>
      <c r="K221" s="238">
        <f>SUMIF(Qty!$M$7:$AF$7,K$50,Qty!$M178:$AF178)*consmultiplier</f>
        <v>0</v>
      </c>
      <c r="L221" s="238">
        <f>SUMIF(Qty!$M$7:$AF$7,L$50,Qty!$M178:$AF178)*consmultiplier</f>
        <v>10.269904280999999</v>
      </c>
      <c r="M221" s="238">
        <f>SUMIF(Qty!$M$7:$AF$7,M$50,Qty!$M178:$AF178)*consmultiplier</f>
        <v>45.775071849999982</v>
      </c>
      <c r="N221" s="238">
        <f>SUMIF(Qty!$M$7:$AF$7,N$50,Qty!$M178:$AF178)*consmultiplier</f>
        <v>69.020275398999985</v>
      </c>
      <c r="O221" s="238">
        <f t="shared" si="29"/>
        <v>125.06525152999997</v>
      </c>
      <c r="P221" s="239"/>
      <c r="Q221" s="238">
        <f>SUMIF(Qty!$M$7:$AF$7,Q$50,Qty!$M178:$AF178)*consmultiplier</f>
        <v>0</v>
      </c>
      <c r="R221" s="238">
        <f t="shared" si="30"/>
        <v>125.06525152999997</v>
      </c>
      <c r="S221" s="90"/>
      <c r="T221" s="19"/>
      <c r="U221" s="19"/>
      <c r="V221" s="19"/>
      <c r="W221" s="19"/>
      <c r="X221" s="19"/>
    </row>
    <row r="222" spans="1:24" outlineLevel="2" x14ac:dyDescent="0.2">
      <c r="A222" s="19"/>
      <c r="B222" s="19"/>
      <c r="C222" s="506" t="str">
        <f>Qty!C179</f>
        <v>Business HV kVA specified demand &lt;2MVA</v>
      </c>
      <c r="D222" s="505" t="str">
        <f>Qty!D179</f>
        <v>Large Business HV</v>
      </c>
      <c r="E222" s="505" t="str">
        <f>Qty!E179</f>
        <v>TASSDM</v>
      </c>
      <c r="F222" s="505">
        <f>Qty!F179</f>
        <v>0</v>
      </c>
      <c r="G222" s="505">
        <f>Qty!G179</f>
        <v>0</v>
      </c>
      <c r="H222" s="58"/>
      <c r="I222" s="238">
        <f>Qty!M179</f>
        <v>106.64931506849315</v>
      </c>
      <c r="J222" s="239"/>
      <c r="K222" s="238">
        <f>SUMIF(Qty!$M$7:$AF$7,K$50,Qty!$M179:$AF179)*consmultiplier</f>
        <v>0</v>
      </c>
      <c r="L222" s="238">
        <f>SUMIF(Qty!$M$7:$AF$7,L$50,Qty!$M179:$AF179)*consmultiplier</f>
        <v>76.197655104228375</v>
      </c>
      <c r="M222" s="238">
        <f>SUMIF(Qty!$M$7:$AF$7,M$50,Qty!$M179:$AF179)*consmultiplier</f>
        <v>90.284725258759735</v>
      </c>
      <c r="N222" s="238">
        <f>SUMIF(Qty!$M$7:$AF$7,N$50,Qty!$M179:$AF179)*consmultiplier</f>
        <v>115.0579729460119</v>
      </c>
      <c r="O222" s="238">
        <f t="shared" si="29"/>
        <v>281.54035330900001</v>
      </c>
      <c r="P222" s="239"/>
      <c r="Q222" s="238">
        <f>SUMIF(Qty!$M$7:$AF$7,Q$50,Qty!$M179:$AF179)*consmultiplier</f>
        <v>0</v>
      </c>
      <c r="R222" s="238">
        <f t="shared" si="30"/>
        <v>281.54035330900001</v>
      </c>
      <c r="S222" s="90"/>
      <c r="T222" s="19"/>
      <c r="U222" s="19"/>
      <c r="V222" s="19"/>
      <c r="W222" s="19"/>
      <c r="X222" s="19"/>
    </row>
    <row r="223" spans="1:24" outlineLevel="2" x14ac:dyDescent="0.2">
      <c r="A223" s="19"/>
      <c r="B223" s="19"/>
      <c r="C223" s="506" t="str">
        <f>Qty!C180</f>
        <v>Business HV kVA specified demand &gt;2MVA</v>
      </c>
      <c r="D223" s="505" t="str">
        <f>Qty!D180</f>
        <v>Large Business HV</v>
      </c>
      <c r="E223" s="505" t="str">
        <f>Qty!E180</f>
        <v>TAS15*</v>
      </c>
      <c r="F223" s="505">
        <f>Qty!F180</f>
        <v>0</v>
      </c>
      <c r="G223" s="505">
        <f>Qty!G180</f>
        <v>0</v>
      </c>
      <c r="H223" s="58"/>
      <c r="I223" s="238">
        <f>Qty!M180</f>
        <v>0</v>
      </c>
      <c r="J223" s="239"/>
      <c r="K223" s="238">
        <f>SUMIF(Qty!$M$7:$AF$7,K$50,Qty!$M180:$AF180)*consmultiplier</f>
        <v>0</v>
      </c>
      <c r="L223" s="238">
        <f>SUMIF(Qty!$M$7:$AF$7,L$50,Qty!$M180:$AF180)*consmultiplier</f>
        <v>0</v>
      </c>
      <c r="M223" s="238">
        <f>SUMIF(Qty!$M$7:$AF$7,M$50,Qty!$M180:$AF180)*consmultiplier</f>
        <v>0</v>
      </c>
      <c r="N223" s="238">
        <f>SUMIF(Qty!$M$7:$AF$7,N$50,Qty!$M180:$AF180)*consmultiplier</f>
        <v>0</v>
      </c>
      <c r="O223" s="238">
        <f t="shared" si="29"/>
        <v>0</v>
      </c>
      <c r="P223" s="239"/>
      <c r="Q223" s="238">
        <f>SUMIF(Qty!$M$7:$AF$7,Q$50,Qty!$M180:$AF180)*consmultiplier</f>
        <v>0</v>
      </c>
      <c r="R223" s="238">
        <f t="shared" si="30"/>
        <v>0</v>
      </c>
      <c r="S223" s="90"/>
      <c r="T223" s="19"/>
      <c r="U223" s="19"/>
      <c r="V223" s="19"/>
      <c r="W223" s="19"/>
      <c r="X223" s="19"/>
    </row>
    <row r="224" spans="1:24" outlineLevel="2" x14ac:dyDescent="0.2">
      <c r="A224" s="19"/>
      <c r="B224" s="19"/>
      <c r="C224" s="506" t="str">
        <f>Qty!C181</f>
        <v>Uncontrolled low voltage heating and hot water</v>
      </c>
      <c r="D224" s="505" t="str">
        <f>Qty!D181</f>
        <v>Uncontrolled energy</v>
      </c>
      <c r="E224" s="505" t="str">
        <f>Qty!E181</f>
        <v>TAS41</v>
      </c>
      <c r="F224" s="505">
        <f>Qty!F181</f>
        <v>0</v>
      </c>
      <c r="G224" s="505">
        <f>Qty!G181</f>
        <v>0</v>
      </c>
      <c r="H224" s="58"/>
      <c r="I224" s="238">
        <f>Qty!M181</f>
        <v>217804.9917808219</v>
      </c>
      <c r="J224" s="239"/>
      <c r="K224" s="238">
        <f>SUMIF(Qty!$M$7:$AF$7,K$50,Qty!$M181:$AF181)*consmultiplier</f>
        <v>994.9700362320001</v>
      </c>
      <c r="L224" s="238">
        <f>SUMIF(Qty!$M$7:$AF$7,L$50,Qty!$M181:$AF181)*consmultiplier</f>
        <v>0</v>
      </c>
      <c r="M224" s="238">
        <f>SUMIF(Qty!$M$7:$AF$7,M$50,Qty!$M181:$AF181)*consmultiplier</f>
        <v>0</v>
      </c>
      <c r="N224" s="238">
        <f>SUMIF(Qty!$M$7:$AF$7,N$50,Qty!$M181:$AF181)*consmultiplier</f>
        <v>0</v>
      </c>
      <c r="O224" s="238">
        <f t="shared" si="29"/>
        <v>994.9700362320001</v>
      </c>
      <c r="P224" s="239"/>
      <c r="Q224" s="238">
        <f>SUMIF(Qty!$M$7:$AF$7,Q$50,Qty!$M181:$AF181)*consmultiplier</f>
        <v>0</v>
      </c>
      <c r="R224" s="238">
        <f t="shared" si="30"/>
        <v>994.9700362320001</v>
      </c>
      <c r="S224" s="90"/>
      <c r="T224" s="19"/>
      <c r="U224" s="19"/>
      <c r="V224" s="19"/>
      <c r="W224" s="19"/>
      <c r="X224" s="19"/>
    </row>
    <row r="225" spans="1:24" outlineLevel="2" x14ac:dyDescent="0.2">
      <c r="A225" s="19"/>
      <c r="B225" s="19"/>
      <c r="C225" s="506" t="str">
        <f>Qty!C182</f>
        <v>Controlled low voltage night period only</v>
      </c>
      <c r="D225" s="505" t="str">
        <f>Qty!D182</f>
        <v>Controlled energy</v>
      </c>
      <c r="E225" s="505" t="str">
        <f>Qty!E182</f>
        <v>TAS63</v>
      </c>
      <c r="F225" s="505">
        <f>Qty!F182</f>
        <v>0</v>
      </c>
      <c r="G225" s="505">
        <f>Qty!G182</f>
        <v>0</v>
      </c>
      <c r="H225" s="58"/>
      <c r="I225" s="238">
        <f>Qty!M182</f>
        <v>466.47671232876712</v>
      </c>
      <c r="J225" s="239"/>
      <c r="K225" s="238">
        <f>SUMIF(Qty!$M$7:$AF$7,K$50,Qty!$M182:$AF182)*consmultiplier</f>
        <v>1.292001274</v>
      </c>
      <c r="L225" s="238">
        <f>SUMIF(Qty!$M$7:$AF$7,L$50,Qty!$M182:$AF182)*consmultiplier</f>
        <v>0</v>
      </c>
      <c r="M225" s="238">
        <f>SUMIF(Qty!$M$7:$AF$7,M$50,Qty!$M182:$AF182)*consmultiplier</f>
        <v>0</v>
      </c>
      <c r="N225" s="238">
        <f>SUMIF(Qty!$M$7:$AF$7,N$50,Qty!$M182:$AF182)*consmultiplier</f>
        <v>0</v>
      </c>
      <c r="O225" s="238">
        <f t="shared" si="29"/>
        <v>1.292001274</v>
      </c>
      <c r="P225" s="239"/>
      <c r="Q225" s="238">
        <f>SUMIF(Qty!$M$7:$AF$7,Q$50,Qty!$M182:$AF182)*consmultiplier</f>
        <v>0</v>
      </c>
      <c r="R225" s="238">
        <f t="shared" si="30"/>
        <v>1.292001274</v>
      </c>
      <c r="S225" s="90"/>
      <c r="T225" s="19"/>
      <c r="U225" s="19"/>
      <c r="V225" s="19"/>
      <c r="W225" s="19"/>
      <c r="X225" s="19"/>
    </row>
    <row r="226" spans="1:24" ht="22.5" outlineLevel="2" x14ac:dyDescent="0.2">
      <c r="A226" s="19"/>
      <c r="B226" s="19"/>
      <c r="C226" s="506" t="str">
        <f>Qty!C183</f>
        <v>Controlled low voltage off peak with afternoon boost</v>
      </c>
      <c r="D226" s="505" t="str">
        <f>Qty!D183</f>
        <v>Controlled energy</v>
      </c>
      <c r="E226" s="505" t="str">
        <f>Qty!E183</f>
        <v>TAS61</v>
      </c>
      <c r="F226" s="505">
        <f>Qty!F183</f>
        <v>0</v>
      </c>
      <c r="G226" s="505">
        <f>Qty!G183</f>
        <v>0</v>
      </c>
      <c r="H226" s="58"/>
      <c r="I226" s="238">
        <f>Qty!M183</f>
        <v>20828.556164383561</v>
      </c>
      <c r="J226" s="239"/>
      <c r="K226" s="238">
        <f>SUMIF(Qty!$M$7:$AF$7,K$50,Qty!$M183:$AF183)*consmultiplier</f>
        <v>37.889716255000003</v>
      </c>
      <c r="L226" s="238">
        <f>SUMIF(Qty!$M$7:$AF$7,L$50,Qty!$M183:$AF183)*consmultiplier</f>
        <v>0</v>
      </c>
      <c r="M226" s="238">
        <f>SUMIF(Qty!$M$7:$AF$7,M$50,Qty!$M183:$AF183)*consmultiplier</f>
        <v>0</v>
      </c>
      <c r="N226" s="238">
        <f>SUMIF(Qty!$M$7:$AF$7,N$50,Qty!$M183:$AF183)*consmultiplier</f>
        <v>0</v>
      </c>
      <c r="O226" s="238">
        <f t="shared" si="29"/>
        <v>37.889716255000003</v>
      </c>
      <c r="P226" s="239"/>
      <c r="Q226" s="238">
        <f>SUMIF(Qty!$M$7:$AF$7,Q$50,Qty!$M183:$AF183)*consmultiplier</f>
        <v>0</v>
      </c>
      <c r="R226" s="238">
        <f t="shared" si="30"/>
        <v>37.889716255000003</v>
      </c>
      <c r="S226" s="90"/>
      <c r="T226" s="19"/>
      <c r="U226" s="19"/>
      <c r="V226" s="19"/>
      <c r="W226" s="19"/>
      <c r="X226" s="19"/>
    </row>
    <row r="227" spans="1:24" outlineLevel="2" x14ac:dyDescent="0.2">
      <c r="A227" s="19"/>
      <c r="B227" s="19"/>
      <c r="C227" s="506" t="str">
        <f>Qty!C184</f>
        <v>Unmetered supply general</v>
      </c>
      <c r="D227" s="505" t="str">
        <f>Qty!D184</f>
        <v>Unmetered supplies</v>
      </c>
      <c r="E227" s="505" t="str">
        <f>Qty!E184</f>
        <v>TASUMS</v>
      </c>
      <c r="F227" s="505">
        <f>Qty!F184</f>
        <v>0</v>
      </c>
      <c r="G227" s="505">
        <f>Qty!G184</f>
        <v>0</v>
      </c>
      <c r="H227" s="58"/>
      <c r="I227" s="238">
        <f>Qty!M184</f>
        <v>1878.027397260274</v>
      </c>
      <c r="J227" s="239"/>
      <c r="K227" s="238">
        <f>SUMIF(Qty!$M$7:$AF$7,K$50,Qty!$M184:$AF184)*consmultiplier</f>
        <v>7.0839318629999983</v>
      </c>
      <c r="L227" s="238">
        <f>SUMIF(Qty!$M$7:$AF$7,L$50,Qty!$M184:$AF184)*consmultiplier</f>
        <v>0</v>
      </c>
      <c r="M227" s="238">
        <f>SUMIF(Qty!$M$7:$AF$7,M$50,Qty!$M184:$AF184)*consmultiplier</f>
        <v>0</v>
      </c>
      <c r="N227" s="238">
        <f>SUMIF(Qty!$M$7:$AF$7,N$50,Qty!$M184:$AF184)*consmultiplier</f>
        <v>0</v>
      </c>
      <c r="O227" s="238">
        <f t="shared" si="29"/>
        <v>7.0839318629999983</v>
      </c>
      <c r="P227" s="239"/>
      <c r="Q227" s="238">
        <f>SUMIF(Qty!$M$7:$AF$7,Q$50,Qty!$M184:$AF184)*consmultiplier</f>
        <v>0</v>
      </c>
      <c r="R227" s="238">
        <f t="shared" si="30"/>
        <v>7.0839318629999983</v>
      </c>
      <c r="S227" s="90"/>
      <c r="T227" s="19"/>
      <c r="U227" s="19"/>
      <c r="V227" s="19"/>
      <c r="W227" s="19"/>
      <c r="X227" s="19"/>
    </row>
    <row r="228" spans="1:24" outlineLevel="2" x14ac:dyDescent="0.2">
      <c r="A228" s="19"/>
      <c r="B228" s="19"/>
      <c r="C228" s="506" t="str">
        <f>Qty!C185</f>
        <v>Street lighting</v>
      </c>
      <c r="D228" s="505" t="str">
        <f>Qty!D185</f>
        <v>Street lighting</v>
      </c>
      <c r="E228" s="505" t="str">
        <f>Qty!E185</f>
        <v>TASUMSSL</v>
      </c>
      <c r="F228" s="505">
        <f>Qty!F185</f>
        <v>0</v>
      </c>
      <c r="G228" s="505">
        <f>Qty!G185</f>
        <v>0</v>
      </c>
      <c r="H228" s="58"/>
      <c r="I228" s="238">
        <f>Qty!M185</f>
        <v>0</v>
      </c>
      <c r="J228" s="239"/>
      <c r="K228" s="238">
        <f>SUMIF(Qty!$M$7:$AF$7,K$50,Qty!$M185:$AF185)*consmultiplier</f>
        <v>0</v>
      </c>
      <c r="L228" s="238">
        <f>SUMIF(Qty!$M$7:$AF$7,L$50,Qty!$M185:$AF185)*consmultiplier</f>
        <v>0</v>
      </c>
      <c r="M228" s="238">
        <f>SUMIF(Qty!$M$7:$AF$7,M$50,Qty!$M185:$AF185)*consmultiplier</f>
        <v>0</v>
      </c>
      <c r="N228" s="238">
        <f>SUMIF(Qty!$M$7:$AF$7,N$50,Qty!$M185:$AF185)*consmultiplier</f>
        <v>0</v>
      </c>
      <c r="O228" s="238">
        <f t="shared" si="29"/>
        <v>0</v>
      </c>
      <c r="P228" s="239"/>
      <c r="Q228" s="238">
        <f>SUMIF(Qty!$M$7:$AF$7,Q$50,Qty!$M185:$AF185)*consmultiplier</f>
        <v>0</v>
      </c>
      <c r="R228" s="238">
        <f t="shared" si="30"/>
        <v>0</v>
      </c>
      <c r="S228" s="90"/>
      <c r="T228" s="19"/>
      <c r="U228" s="19"/>
      <c r="V228" s="19"/>
      <c r="W228" s="19"/>
      <c r="X228" s="19"/>
    </row>
    <row r="229" spans="1:24" outlineLevel="2" x14ac:dyDescent="0.2">
      <c r="A229" s="19"/>
      <c r="B229" s="19"/>
      <c r="C229" s="506">
        <f>Qty!C186</f>
        <v>0</v>
      </c>
      <c r="D229" s="505">
        <f>Qty!D186</f>
        <v>0</v>
      </c>
      <c r="E229" s="505">
        <f>Qty!E186</f>
        <v>0</v>
      </c>
      <c r="F229" s="505">
        <f>Qty!F186</f>
        <v>0</v>
      </c>
      <c r="G229" s="505">
        <f>Qty!G186</f>
        <v>0</v>
      </c>
      <c r="H229" s="58"/>
      <c r="I229" s="238">
        <f>Qty!M186</f>
        <v>0</v>
      </c>
      <c r="J229" s="239"/>
      <c r="K229" s="238">
        <f>SUMIF(Qty!$M$7:$AF$7,K$50,Qty!$M186:$AF186)*consmultiplier</f>
        <v>0</v>
      </c>
      <c r="L229" s="238">
        <f>SUMIF(Qty!$M$7:$AF$7,L$50,Qty!$M186:$AF186)*consmultiplier</f>
        <v>0</v>
      </c>
      <c r="M229" s="238">
        <f>SUMIF(Qty!$M$7:$AF$7,M$50,Qty!$M186:$AF186)*consmultiplier</f>
        <v>0</v>
      </c>
      <c r="N229" s="238">
        <f>SUMIF(Qty!$M$7:$AF$7,N$50,Qty!$M186:$AF186)*consmultiplier</f>
        <v>0</v>
      </c>
      <c r="O229" s="238">
        <f t="shared" si="29"/>
        <v>0</v>
      </c>
      <c r="P229" s="239"/>
      <c r="Q229" s="238">
        <f>SUMIF(Qty!$M$7:$AF$7,Q$50,Qty!$M186:$AF186)*consmultiplier</f>
        <v>0</v>
      </c>
      <c r="R229" s="238">
        <f t="shared" si="30"/>
        <v>0</v>
      </c>
      <c r="S229" s="90"/>
      <c r="T229" s="19"/>
      <c r="U229" s="19"/>
      <c r="V229" s="19"/>
      <c r="W229" s="19"/>
      <c r="X229" s="19"/>
    </row>
    <row r="230" spans="1:24" hidden="1" outlineLevel="3" x14ac:dyDescent="0.2">
      <c r="A230" s="19"/>
      <c r="B230" s="19"/>
      <c r="C230" s="506">
        <f>Qty!C187</f>
        <v>0</v>
      </c>
      <c r="D230" s="505">
        <f>Qty!D187</f>
        <v>0</v>
      </c>
      <c r="E230" s="505">
        <f>Qty!E187</f>
        <v>0</v>
      </c>
      <c r="F230" s="505">
        <f>Qty!F187</f>
        <v>0</v>
      </c>
      <c r="G230" s="505">
        <f>Qty!G187</f>
        <v>0</v>
      </c>
      <c r="H230" s="58"/>
      <c r="I230" s="238">
        <f>Qty!M187</f>
        <v>0</v>
      </c>
      <c r="J230" s="239"/>
      <c r="K230" s="238">
        <f>SUMIF(Qty!$M$7:$AF$7,K$50,Qty!$M187:$AF187)*consmultiplier</f>
        <v>0</v>
      </c>
      <c r="L230" s="238">
        <f>SUMIF(Qty!$M$7:$AF$7,L$50,Qty!$M187:$AF187)*consmultiplier</f>
        <v>0</v>
      </c>
      <c r="M230" s="238">
        <f>SUMIF(Qty!$M$7:$AF$7,M$50,Qty!$M187:$AF187)*consmultiplier</f>
        <v>0</v>
      </c>
      <c r="N230" s="238">
        <f>SUMIF(Qty!$M$7:$AF$7,N$50,Qty!$M187:$AF187)*consmultiplier</f>
        <v>0</v>
      </c>
      <c r="O230" s="238">
        <f t="shared" si="29"/>
        <v>0</v>
      </c>
      <c r="P230" s="239"/>
      <c r="Q230" s="238">
        <f>SUMIF(Qty!$M$7:$AF$7,Q$50,Qty!$M187:$AF187)*consmultiplier</f>
        <v>0</v>
      </c>
      <c r="R230" s="238">
        <f t="shared" si="30"/>
        <v>0</v>
      </c>
      <c r="S230" s="90"/>
      <c r="T230" s="19"/>
      <c r="U230" s="19"/>
      <c r="V230" s="19"/>
      <c r="W230" s="19"/>
      <c r="X230" s="19"/>
    </row>
    <row r="231" spans="1:24" hidden="1" outlineLevel="3" x14ac:dyDescent="0.2">
      <c r="A231" s="19"/>
      <c r="B231" s="19"/>
      <c r="C231" s="506">
        <f>Qty!C188</f>
        <v>0</v>
      </c>
      <c r="D231" s="505">
        <f>Qty!D188</f>
        <v>0</v>
      </c>
      <c r="E231" s="505">
        <f>Qty!E188</f>
        <v>0</v>
      </c>
      <c r="F231" s="505">
        <f>Qty!F188</f>
        <v>0</v>
      </c>
      <c r="G231" s="505">
        <f>Qty!G188</f>
        <v>0</v>
      </c>
      <c r="H231" s="58"/>
      <c r="I231" s="238">
        <f>Qty!M188</f>
        <v>0</v>
      </c>
      <c r="J231" s="239"/>
      <c r="K231" s="238">
        <f>SUMIF(Qty!$M$7:$AF$7,K$50,Qty!$M188:$AF188)*consmultiplier</f>
        <v>0</v>
      </c>
      <c r="L231" s="238">
        <f>SUMIF(Qty!$M$7:$AF$7,L$50,Qty!$M188:$AF188)*consmultiplier</f>
        <v>0</v>
      </c>
      <c r="M231" s="238">
        <f>SUMIF(Qty!$M$7:$AF$7,M$50,Qty!$M188:$AF188)*consmultiplier</f>
        <v>0</v>
      </c>
      <c r="N231" s="238">
        <f>SUMIF(Qty!$M$7:$AF$7,N$50,Qty!$M188:$AF188)*consmultiplier</f>
        <v>0</v>
      </c>
      <c r="O231" s="238">
        <f t="shared" si="29"/>
        <v>0</v>
      </c>
      <c r="P231" s="239"/>
      <c r="Q231" s="238">
        <f>SUMIF(Qty!$M$7:$AF$7,Q$50,Qty!$M188:$AF188)*consmultiplier</f>
        <v>0</v>
      </c>
      <c r="R231" s="238">
        <f t="shared" si="30"/>
        <v>0</v>
      </c>
      <c r="S231" s="90"/>
      <c r="T231" s="19"/>
      <c r="U231" s="19"/>
      <c r="V231" s="19"/>
      <c r="W231" s="19"/>
      <c r="X231" s="19"/>
    </row>
    <row r="232" spans="1:24" hidden="1" outlineLevel="3" x14ac:dyDescent="0.2">
      <c r="A232" s="19"/>
      <c r="B232" s="19"/>
      <c r="C232" s="506">
        <f>Qty!C189</f>
        <v>0</v>
      </c>
      <c r="D232" s="505">
        <f>Qty!D189</f>
        <v>0</v>
      </c>
      <c r="E232" s="505">
        <f>Qty!E189</f>
        <v>0</v>
      </c>
      <c r="F232" s="505">
        <f>Qty!F189</f>
        <v>0</v>
      </c>
      <c r="G232" s="505">
        <f>Qty!G189</f>
        <v>0</v>
      </c>
      <c r="H232" s="58"/>
      <c r="I232" s="238">
        <f>Qty!M189</f>
        <v>0</v>
      </c>
      <c r="J232" s="239"/>
      <c r="K232" s="238">
        <f>SUMIF(Qty!$M$7:$AF$7,K$50,Qty!$M189:$AF189)*consmultiplier</f>
        <v>0</v>
      </c>
      <c r="L232" s="238">
        <f>SUMIF(Qty!$M$7:$AF$7,L$50,Qty!$M189:$AF189)*consmultiplier</f>
        <v>0</v>
      </c>
      <c r="M232" s="238">
        <f>SUMIF(Qty!$M$7:$AF$7,M$50,Qty!$M189:$AF189)*consmultiplier</f>
        <v>0</v>
      </c>
      <c r="N232" s="238">
        <f>SUMIF(Qty!$M$7:$AF$7,N$50,Qty!$M189:$AF189)*consmultiplier</f>
        <v>0</v>
      </c>
      <c r="O232" s="238">
        <f t="shared" si="29"/>
        <v>0</v>
      </c>
      <c r="P232" s="239"/>
      <c r="Q232" s="238">
        <f>SUMIF(Qty!$M$7:$AF$7,Q$50,Qty!$M189:$AF189)*consmultiplier</f>
        <v>0</v>
      </c>
      <c r="R232" s="238">
        <f t="shared" si="30"/>
        <v>0</v>
      </c>
      <c r="S232" s="90"/>
      <c r="T232" s="19"/>
      <c r="U232" s="19"/>
      <c r="V232" s="19"/>
      <c r="W232" s="19"/>
      <c r="X232" s="19"/>
    </row>
    <row r="233" spans="1:24" hidden="1" outlineLevel="3" x14ac:dyDescent="0.2">
      <c r="A233" s="19"/>
      <c r="B233" s="19"/>
      <c r="C233" s="506">
        <f>Qty!C190</f>
        <v>0</v>
      </c>
      <c r="D233" s="505">
        <f>Qty!D190</f>
        <v>0</v>
      </c>
      <c r="E233" s="505">
        <f>Qty!E190</f>
        <v>0</v>
      </c>
      <c r="F233" s="505">
        <f>Qty!F190</f>
        <v>0</v>
      </c>
      <c r="G233" s="505">
        <f>Qty!G190</f>
        <v>0</v>
      </c>
      <c r="H233" s="58"/>
      <c r="I233" s="238">
        <f>Qty!M190</f>
        <v>0</v>
      </c>
      <c r="J233" s="239"/>
      <c r="K233" s="238">
        <f>SUMIF(Qty!$M$7:$AF$7,K$50,Qty!$M190:$AF190)*consmultiplier</f>
        <v>0</v>
      </c>
      <c r="L233" s="238">
        <f>SUMIF(Qty!$M$7:$AF$7,L$50,Qty!$M190:$AF190)*consmultiplier</f>
        <v>0</v>
      </c>
      <c r="M233" s="238">
        <f>SUMIF(Qty!$M$7:$AF$7,M$50,Qty!$M190:$AF190)*consmultiplier</f>
        <v>0</v>
      </c>
      <c r="N233" s="238">
        <f>SUMIF(Qty!$M$7:$AF$7,N$50,Qty!$M190:$AF190)*consmultiplier</f>
        <v>0</v>
      </c>
      <c r="O233" s="238">
        <f t="shared" si="29"/>
        <v>0</v>
      </c>
      <c r="P233" s="239"/>
      <c r="Q233" s="238">
        <f>SUMIF(Qty!$M$7:$AF$7,Q$50,Qty!$M190:$AF190)*consmultiplier</f>
        <v>0</v>
      </c>
      <c r="R233" s="238">
        <f t="shared" si="30"/>
        <v>0</v>
      </c>
      <c r="S233" s="90"/>
      <c r="T233" s="19"/>
      <c r="U233" s="19"/>
      <c r="V233" s="19"/>
      <c r="W233" s="19"/>
      <c r="X233" s="19"/>
    </row>
    <row r="234" spans="1:24" hidden="1" outlineLevel="3" x14ac:dyDescent="0.2">
      <c r="A234" s="19"/>
      <c r="B234" s="19"/>
      <c r="C234" s="506">
        <f>Qty!C191</f>
        <v>0</v>
      </c>
      <c r="D234" s="505">
        <f>Qty!D191</f>
        <v>0</v>
      </c>
      <c r="E234" s="505">
        <f>Qty!E191</f>
        <v>0</v>
      </c>
      <c r="F234" s="505">
        <f>Qty!F191</f>
        <v>0</v>
      </c>
      <c r="G234" s="505">
        <f>Qty!G191</f>
        <v>0</v>
      </c>
      <c r="H234" s="58"/>
      <c r="I234" s="238">
        <f>Qty!M191</f>
        <v>0</v>
      </c>
      <c r="J234" s="239"/>
      <c r="K234" s="238">
        <f>SUMIF(Qty!$M$7:$AF$7,K$50,Qty!$M191:$AF191)*consmultiplier</f>
        <v>0</v>
      </c>
      <c r="L234" s="238">
        <f>SUMIF(Qty!$M$7:$AF$7,L$50,Qty!$M191:$AF191)*consmultiplier</f>
        <v>0</v>
      </c>
      <c r="M234" s="238">
        <f>SUMIF(Qty!$M$7:$AF$7,M$50,Qty!$M191:$AF191)*consmultiplier</f>
        <v>0</v>
      </c>
      <c r="N234" s="238">
        <f>SUMIF(Qty!$M$7:$AF$7,N$50,Qty!$M191:$AF191)*consmultiplier</f>
        <v>0</v>
      </c>
      <c r="O234" s="238">
        <f t="shared" si="29"/>
        <v>0</v>
      </c>
      <c r="P234" s="239"/>
      <c r="Q234" s="238">
        <f>SUMIF(Qty!$M$7:$AF$7,Q$50,Qty!$M191:$AF191)*consmultiplier</f>
        <v>0</v>
      </c>
      <c r="R234" s="238">
        <f t="shared" si="30"/>
        <v>0</v>
      </c>
      <c r="S234" s="90"/>
      <c r="T234" s="19"/>
      <c r="U234" s="19"/>
      <c r="V234" s="19"/>
      <c r="W234" s="19"/>
      <c r="X234" s="19"/>
    </row>
    <row r="235" spans="1:24" hidden="1" outlineLevel="3" x14ac:dyDescent="0.2">
      <c r="A235" s="19"/>
      <c r="B235" s="19"/>
      <c r="C235" s="506">
        <f>Qty!C192</f>
        <v>0</v>
      </c>
      <c r="D235" s="505">
        <f>Qty!D192</f>
        <v>0</v>
      </c>
      <c r="E235" s="505">
        <f>Qty!E192</f>
        <v>0</v>
      </c>
      <c r="F235" s="505">
        <f>Qty!F192</f>
        <v>0</v>
      </c>
      <c r="G235" s="505">
        <f>Qty!G192</f>
        <v>0</v>
      </c>
      <c r="H235" s="58"/>
      <c r="I235" s="238">
        <f>Qty!M192</f>
        <v>0</v>
      </c>
      <c r="J235" s="239"/>
      <c r="K235" s="238">
        <f>SUMIF(Qty!$M$7:$AF$7,K$50,Qty!$M192:$AF192)*consmultiplier</f>
        <v>0</v>
      </c>
      <c r="L235" s="238">
        <f>SUMIF(Qty!$M$7:$AF$7,L$50,Qty!$M192:$AF192)*consmultiplier</f>
        <v>0</v>
      </c>
      <c r="M235" s="238">
        <f>SUMIF(Qty!$M$7:$AF$7,M$50,Qty!$M192:$AF192)*consmultiplier</f>
        <v>0</v>
      </c>
      <c r="N235" s="238">
        <f>SUMIF(Qty!$M$7:$AF$7,N$50,Qty!$M192:$AF192)*consmultiplier</f>
        <v>0</v>
      </c>
      <c r="O235" s="238">
        <f t="shared" si="29"/>
        <v>0</v>
      </c>
      <c r="P235" s="239"/>
      <c r="Q235" s="238">
        <f>SUMIF(Qty!$M$7:$AF$7,Q$50,Qty!$M192:$AF192)*consmultiplier</f>
        <v>0</v>
      </c>
      <c r="R235" s="238">
        <f t="shared" si="30"/>
        <v>0</v>
      </c>
      <c r="S235" s="90"/>
      <c r="T235" s="19"/>
      <c r="U235" s="19"/>
      <c r="V235" s="19"/>
      <c r="W235" s="19"/>
      <c r="X235" s="19"/>
    </row>
    <row r="236" spans="1:24" hidden="1" outlineLevel="3" x14ac:dyDescent="0.2">
      <c r="A236" s="19"/>
      <c r="B236" s="19"/>
      <c r="C236" s="506">
        <f>Qty!C193</f>
        <v>0</v>
      </c>
      <c r="D236" s="505">
        <f>Qty!D193</f>
        <v>0</v>
      </c>
      <c r="E236" s="505">
        <f>Qty!E193</f>
        <v>0</v>
      </c>
      <c r="F236" s="505">
        <f>Qty!F193</f>
        <v>0</v>
      </c>
      <c r="G236" s="505">
        <f>Qty!G193</f>
        <v>0</v>
      </c>
      <c r="H236" s="58"/>
      <c r="I236" s="238">
        <f>Qty!M193</f>
        <v>0</v>
      </c>
      <c r="J236" s="239"/>
      <c r="K236" s="238">
        <f>SUMIF(Qty!$M$7:$AF$7,K$50,Qty!$M193:$AF193)*consmultiplier</f>
        <v>0</v>
      </c>
      <c r="L236" s="238">
        <f>SUMIF(Qty!$M$7:$AF$7,L$50,Qty!$M193:$AF193)*consmultiplier</f>
        <v>0</v>
      </c>
      <c r="M236" s="238">
        <f>SUMIF(Qty!$M$7:$AF$7,M$50,Qty!$M193:$AF193)*consmultiplier</f>
        <v>0</v>
      </c>
      <c r="N236" s="238">
        <f>SUMIF(Qty!$M$7:$AF$7,N$50,Qty!$M193:$AF193)*consmultiplier</f>
        <v>0</v>
      </c>
      <c r="O236" s="238">
        <f t="shared" si="29"/>
        <v>0</v>
      </c>
      <c r="P236" s="239"/>
      <c r="Q236" s="238">
        <f>SUMIF(Qty!$M$7:$AF$7,Q$50,Qty!$M193:$AF193)*consmultiplier</f>
        <v>0</v>
      </c>
      <c r="R236" s="238">
        <f t="shared" si="30"/>
        <v>0</v>
      </c>
      <c r="S236" s="90"/>
      <c r="T236" s="19"/>
      <c r="U236" s="19"/>
      <c r="V236" s="19"/>
      <c r="W236" s="19"/>
      <c r="X236" s="19"/>
    </row>
    <row r="237" spans="1:24" hidden="1" outlineLevel="3" x14ac:dyDescent="0.2">
      <c r="A237" s="19"/>
      <c r="B237" s="19"/>
      <c r="C237" s="506">
        <f>Qty!C194</f>
        <v>0</v>
      </c>
      <c r="D237" s="505">
        <f>Qty!D194</f>
        <v>0</v>
      </c>
      <c r="E237" s="505">
        <f>Qty!E194</f>
        <v>0</v>
      </c>
      <c r="F237" s="505">
        <f>Qty!F194</f>
        <v>0</v>
      </c>
      <c r="G237" s="505">
        <f>Qty!G194</f>
        <v>0</v>
      </c>
      <c r="H237" s="58"/>
      <c r="I237" s="238">
        <f>Qty!M194</f>
        <v>0</v>
      </c>
      <c r="J237" s="239"/>
      <c r="K237" s="238">
        <f>SUMIF(Qty!$M$7:$AF$7,K$50,Qty!$M194:$AF194)*consmultiplier</f>
        <v>0</v>
      </c>
      <c r="L237" s="238">
        <f>SUMIF(Qty!$M$7:$AF$7,L$50,Qty!$M194:$AF194)*consmultiplier</f>
        <v>0</v>
      </c>
      <c r="M237" s="238">
        <f>SUMIF(Qty!$M$7:$AF$7,M$50,Qty!$M194:$AF194)*consmultiplier</f>
        <v>0</v>
      </c>
      <c r="N237" s="238">
        <f>SUMIF(Qty!$M$7:$AF$7,N$50,Qty!$M194:$AF194)*consmultiplier</f>
        <v>0</v>
      </c>
      <c r="O237" s="238">
        <f t="shared" si="29"/>
        <v>0</v>
      </c>
      <c r="P237" s="239"/>
      <c r="Q237" s="238">
        <f>SUMIF(Qty!$M$7:$AF$7,Q$50,Qty!$M194:$AF194)*consmultiplier</f>
        <v>0</v>
      </c>
      <c r="R237" s="238">
        <f t="shared" si="30"/>
        <v>0</v>
      </c>
      <c r="S237" s="90"/>
      <c r="T237" s="19"/>
      <c r="U237" s="19"/>
      <c r="V237" s="19"/>
      <c r="W237" s="19"/>
      <c r="X237" s="19"/>
    </row>
    <row r="238" spans="1:24" hidden="1" outlineLevel="3" x14ac:dyDescent="0.2">
      <c r="A238" s="19"/>
      <c r="B238" s="19"/>
      <c r="C238" s="506">
        <f>Qty!C195</f>
        <v>0</v>
      </c>
      <c r="D238" s="505">
        <f>Qty!D195</f>
        <v>0</v>
      </c>
      <c r="E238" s="505">
        <f>Qty!E195</f>
        <v>0</v>
      </c>
      <c r="F238" s="505">
        <f>Qty!F195</f>
        <v>0</v>
      </c>
      <c r="G238" s="505">
        <f>Qty!G195</f>
        <v>0</v>
      </c>
      <c r="H238" s="58"/>
      <c r="I238" s="238">
        <f>Qty!M195</f>
        <v>0</v>
      </c>
      <c r="J238" s="239"/>
      <c r="K238" s="238">
        <f>SUMIF(Qty!$M$7:$AF$7,K$50,Qty!$M195:$AF195)*consmultiplier</f>
        <v>0</v>
      </c>
      <c r="L238" s="238">
        <f>SUMIF(Qty!$M$7:$AF$7,L$50,Qty!$M195:$AF195)*consmultiplier</f>
        <v>0</v>
      </c>
      <c r="M238" s="238">
        <f>SUMIF(Qty!$M$7:$AF$7,M$50,Qty!$M195:$AF195)*consmultiplier</f>
        <v>0</v>
      </c>
      <c r="N238" s="238">
        <f>SUMIF(Qty!$M$7:$AF$7,N$50,Qty!$M195:$AF195)*consmultiplier</f>
        <v>0</v>
      </c>
      <c r="O238" s="238">
        <f t="shared" si="29"/>
        <v>0</v>
      </c>
      <c r="P238" s="239"/>
      <c r="Q238" s="238">
        <f>SUMIF(Qty!$M$7:$AF$7,Q$50,Qty!$M195:$AF195)*consmultiplier</f>
        <v>0</v>
      </c>
      <c r="R238" s="238">
        <f t="shared" si="30"/>
        <v>0</v>
      </c>
      <c r="S238" s="90"/>
      <c r="T238" s="19"/>
      <c r="U238" s="19"/>
      <c r="V238" s="19"/>
      <c r="W238" s="19"/>
      <c r="X238" s="19"/>
    </row>
    <row r="239" spans="1:24" hidden="1" outlineLevel="3" x14ac:dyDescent="0.2">
      <c r="A239" s="19"/>
      <c r="B239" s="19"/>
      <c r="C239" s="506">
        <f>Qty!C196</f>
        <v>0</v>
      </c>
      <c r="D239" s="505">
        <f>Qty!D196</f>
        <v>0</v>
      </c>
      <c r="E239" s="505">
        <f>Qty!E196</f>
        <v>0</v>
      </c>
      <c r="F239" s="505">
        <f>Qty!F196</f>
        <v>0</v>
      </c>
      <c r="G239" s="505">
        <f>Qty!G196</f>
        <v>0</v>
      </c>
      <c r="H239" s="58"/>
      <c r="I239" s="238">
        <f>Qty!M196</f>
        <v>0</v>
      </c>
      <c r="J239" s="239"/>
      <c r="K239" s="238">
        <f>SUMIF(Qty!$M$7:$AF$7,K$50,Qty!$M196:$AF196)*consmultiplier</f>
        <v>0</v>
      </c>
      <c r="L239" s="238">
        <f>SUMIF(Qty!$M$7:$AF$7,L$50,Qty!$M196:$AF196)*consmultiplier</f>
        <v>0</v>
      </c>
      <c r="M239" s="238">
        <f>SUMIF(Qty!$M$7:$AF$7,M$50,Qty!$M196:$AF196)*consmultiplier</f>
        <v>0</v>
      </c>
      <c r="N239" s="238">
        <f>SUMIF(Qty!$M$7:$AF$7,N$50,Qty!$M196:$AF196)*consmultiplier</f>
        <v>0</v>
      </c>
      <c r="O239" s="238">
        <f t="shared" si="29"/>
        <v>0</v>
      </c>
      <c r="P239" s="239"/>
      <c r="Q239" s="238">
        <f>SUMIF(Qty!$M$7:$AF$7,Q$50,Qty!$M196:$AF196)*consmultiplier</f>
        <v>0</v>
      </c>
      <c r="R239" s="238">
        <f t="shared" si="30"/>
        <v>0</v>
      </c>
      <c r="S239" s="90"/>
      <c r="T239" s="19"/>
      <c r="U239" s="19"/>
      <c r="V239" s="19"/>
      <c r="W239" s="19"/>
      <c r="X239" s="19"/>
    </row>
    <row r="240" spans="1:24" hidden="1" outlineLevel="3" x14ac:dyDescent="0.2">
      <c r="A240" s="19"/>
      <c r="B240" s="19"/>
      <c r="C240" s="506">
        <f>Qty!C197</f>
        <v>0</v>
      </c>
      <c r="D240" s="505">
        <f>Qty!D197</f>
        <v>0</v>
      </c>
      <c r="E240" s="505">
        <f>Qty!E197</f>
        <v>0</v>
      </c>
      <c r="F240" s="505">
        <f>Qty!F197</f>
        <v>0</v>
      </c>
      <c r="G240" s="505">
        <f>Qty!G197</f>
        <v>0</v>
      </c>
      <c r="H240" s="58"/>
      <c r="I240" s="238">
        <f>Qty!M197</f>
        <v>0</v>
      </c>
      <c r="J240" s="239"/>
      <c r="K240" s="238">
        <f>SUMIF(Qty!$M$7:$AF$7,K$50,Qty!$M197:$AF197)*consmultiplier</f>
        <v>0</v>
      </c>
      <c r="L240" s="238">
        <f>SUMIF(Qty!$M$7:$AF$7,L$50,Qty!$M197:$AF197)*consmultiplier</f>
        <v>0</v>
      </c>
      <c r="M240" s="238">
        <f>SUMIF(Qty!$M$7:$AF$7,M$50,Qty!$M197:$AF197)*consmultiplier</f>
        <v>0</v>
      </c>
      <c r="N240" s="238">
        <f>SUMIF(Qty!$M$7:$AF$7,N$50,Qty!$M197:$AF197)*consmultiplier</f>
        <v>0</v>
      </c>
      <c r="O240" s="238">
        <f t="shared" si="29"/>
        <v>0</v>
      </c>
      <c r="P240" s="239"/>
      <c r="Q240" s="238">
        <f>SUMIF(Qty!$M$7:$AF$7,Q$50,Qty!$M197:$AF197)*consmultiplier</f>
        <v>0</v>
      </c>
      <c r="R240" s="238">
        <f t="shared" si="30"/>
        <v>0</v>
      </c>
      <c r="S240" s="90"/>
      <c r="T240" s="19"/>
      <c r="U240" s="19"/>
      <c r="V240" s="19"/>
      <c r="W240" s="19"/>
      <c r="X240" s="19"/>
    </row>
    <row r="241" spans="1:24" hidden="1" outlineLevel="3" x14ac:dyDescent="0.2">
      <c r="A241" s="19"/>
      <c r="B241" s="19"/>
      <c r="C241" s="506">
        <f>Qty!C198</f>
        <v>0</v>
      </c>
      <c r="D241" s="505">
        <f>Qty!D198</f>
        <v>0</v>
      </c>
      <c r="E241" s="505">
        <f>Qty!E198</f>
        <v>0</v>
      </c>
      <c r="F241" s="505">
        <f>Qty!F198</f>
        <v>0</v>
      </c>
      <c r="G241" s="505">
        <f>Qty!G198</f>
        <v>0</v>
      </c>
      <c r="H241" s="58"/>
      <c r="I241" s="238">
        <f>Qty!M198</f>
        <v>0</v>
      </c>
      <c r="J241" s="239"/>
      <c r="K241" s="238">
        <f>SUMIF(Qty!$M$7:$AF$7,K$50,Qty!$M198:$AF198)*consmultiplier</f>
        <v>0</v>
      </c>
      <c r="L241" s="238">
        <f>SUMIF(Qty!$M$7:$AF$7,L$50,Qty!$M198:$AF198)*consmultiplier</f>
        <v>0</v>
      </c>
      <c r="M241" s="238">
        <f>SUMIF(Qty!$M$7:$AF$7,M$50,Qty!$M198:$AF198)*consmultiplier</f>
        <v>0</v>
      </c>
      <c r="N241" s="238">
        <f>SUMIF(Qty!$M$7:$AF$7,N$50,Qty!$M198:$AF198)*consmultiplier</f>
        <v>0</v>
      </c>
      <c r="O241" s="238">
        <f t="shared" si="29"/>
        <v>0</v>
      </c>
      <c r="P241" s="239"/>
      <c r="Q241" s="238">
        <f>SUMIF(Qty!$M$7:$AF$7,Q$50,Qty!$M198:$AF198)*consmultiplier</f>
        <v>0</v>
      </c>
      <c r="R241" s="238">
        <f t="shared" si="30"/>
        <v>0</v>
      </c>
      <c r="S241" s="90"/>
      <c r="T241" s="19"/>
      <c r="U241" s="19"/>
      <c r="V241" s="19"/>
      <c r="W241" s="19"/>
      <c r="X241" s="19"/>
    </row>
    <row r="242" spans="1:24" hidden="1" outlineLevel="3" x14ac:dyDescent="0.2">
      <c r="A242" s="19"/>
      <c r="B242" s="19"/>
      <c r="C242" s="506">
        <f>Qty!C199</f>
        <v>0</v>
      </c>
      <c r="D242" s="505">
        <f>Qty!D199</f>
        <v>0</v>
      </c>
      <c r="E242" s="505">
        <f>Qty!E199</f>
        <v>0</v>
      </c>
      <c r="F242" s="505">
        <f>Qty!F199</f>
        <v>0</v>
      </c>
      <c r="G242" s="505">
        <f>Qty!G199</f>
        <v>0</v>
      </c>
      <c r="H242" s="58"/>
      <c r="I242" s="238">
        <f>Qty!M199</f>
        <v>0</v>
      </c>
      <c r="J242" s="239"/>
      <c r="K242" s="238">
        <f>SUMIF(Qty!$M$7:$AF$7,K$50,Qty!$M199:$AF199)*consmultiplier</f>
        <v>0</v>
      </c>
      <c r="L242" s="238">
        <f>SUMIF(Qty!$M$7:$AF$7,L$50,Qty!$M199:$AF199)*consmultiplier</f>
        <v>0</v>
      </c>
      <c r="M242" s="238">
        <f>SUMIF(Qty!$M$7:$AF$7,M$50,Qty!$M199:$AF199)*consmultiplier</f>
        <v>0</v>
      </c>
      <c r="N242" s="238">
        <f>SUMIF(Qty!$M$7:$AF$7,N$50,Qty!$M199:$AF199)*consmultiplier</f>
        <v>0</v>
      </c>
      <c r="O242" s="238">
        <f t="shared" si="29"/>
        <v>0</v>
      </c>
      <c r="P242" s="239"/>
      <c r="Q242" s="238">
        <f>SUMIF(Qty!$M$7:$AF$7,Q$50,Qty!$M199:$AF199)*consmultiplier</f>
        <v>0</v>
      </c>
      <c r="R242" s="238">
        <f t="shared" si="30"/>
        <v>0</v>
      </c>
      <c r="S242" s="90"/>
      <c r="T242" s="19"/>
      <c r="U242" s="19"/>
      <c r="V242" s="19"/>
      <c r="W242" s="19"/>
      <c r="X242" s="19"/>
    </row>
    <row r="243" spans="1:24" hidden="1" outlineLevel="3" x14ac:dyDescent="0.2">
      <c r="A243" s="19"/>
      <c r="B243" s="19"/>
      <c r="C243" s="506">
        <f>Qty!C200</f>
        <v>0</v>
      </c>
      <c r="D243" s="505">
        <f>Qty!D200</f>
        <v>0</v>
      </c>
      <c r="E243" s="505">
        <f>Qty!E200</f>
        <v>0</v>
      </c>
      <c r="F243" s="505">
        <f>Qty!F200</f>
        <v>0</v>
      </c>
      <c r="G243" s="505">
        <f>Qty!G200</f>
        <v>0</v>
      </c>
      <c r="H243" s="58"/>
      <c r="I243" s="238">
        <f>Qty!M200</f>
        <v>0</v>
      </c>
      <c r="J243" s="239"/>
      <c r="K243" s="238">
        <f>SUMIF(Qty!$M$7:$AF$7,K$50,Qty!$M200:$AF200)*consmultiplier</f>
        <v>0</v>
      </c>
      <c r="L243" s="238">
        <f>SUMIF(Qty!$M$7:$AF$7,L$50,Qty!$M200:$AF200)*consmultiplier</f>
        <v>0</v>
      </c>
      <c r="M243" s="238">
        <f>SUMIF(Qty!$M$7:$AF$7,M$50,Qty!$M200:$AF200)*consmultiplier</f>
        <v>0</v>
      </c>
      <c r="N243" s="238">
        <f>SUMIF(Qty!$M$7:$AF$7,N$50,Qty!$M200:$AF200)*consmultiplier</f>
        <v>0</v>
      </c>
      <c r="O243" s="238">
        <f t="shared" si="29"/>
        <v>0</v>
      </c>
      <c r="P243" s="239"/>
      <c r="Q243" s="238">
        <f>SUMIF(Qty!$M$7:$AF$7,Q$50,Qty!$M200:$AF200)*consmultiplier</f>
        <v>0</v>
      </c>
      <c r="R243" s="238">
        <f t="shared" si="30"/>
        <v>0</v>
      </c>
      <c r="S243" s="90"/>
      <c r="T243" s="19"/>
      <c r="U243" s="19"/>
      <c r="V243" s="19"/>
      <c r="W243" s="19"/>
      <c r="X243" s="19"/>
    </row>
    <row r="244" spans="1:24" hidden="1" outlineLevel="3" x14ac:dyDescent="0.2">
      <c r="A244" s="19"/>
      <c r="B244" s="19"/>
      <c r="C244" s="506">
        <f>Qty!C201</f>
        <v>0</v>
      </c>
      <c r="D244" s="505">
        <f>Qty!D201</f>
        <v>0</v>
      </c>
      <c r="E244" s="505">
        <f>Qty!E201</f>
        <v>0</v>
      </c>
      <c r="F244" s="505">
        <f>Qty!F201</f>
        <v>0</v>
      </c>
      <c r="G244" s="505">
        <f>Qty!G201</f>
        <v>0</v>
      </c>
      <c r="H244" s="58"/>
      <c r="I244" s="238">
        <f>Qty!M201</f>
        <v>0</v>
      </c>
      <c r="J244" s="239"/>
      <c r="K244" s="238">
        <f>SUMIF(Qty!$M$7:$AF$7,K$50,Qty!$M201:$AF201)*consmultiplier</f>
        <v>0</v>
      </c>
      <c r="L244" s="238">
        <f>SUMIF(Qty!$M$7:$AF$7,L$50,Qty!$M201:$AF201)*consmultiplier</f>
        <v>0</v>
      </c>
      <c r="M244" s="238">
        <f>SUMIF(Qty!$M$7:$AF$7,M$50,Qty!$M201:$AF201)*consmultiplier</f>
        <v>0</v>
      </c>
      <c r="N244" s="238">
        <f>SUMIF(Qty!$M$7:$AF$7,N$50,Qty!$M201:$AF201)*consmultiplier</f>
        <v>0</v>
      </c>
      <c r="O244" s="238">
        <f t="shared" si="29"/>
        <v>0</v>
      </c>
      <c r="P244" s="239"/>
      <c r="Q244" s="238">
        <f>SUMIF(Qty!$M$7:$AF$7,Q$50,Qty!$M201:$AF201)*consmultiplier</f>
        <v>0</v>
      </c>
      <c r="R244" s="238">
        <f t="shared" si="30"/>
        <v>0</v>
      </c>
      <c r="S244" s="90"/>
      <c r="T244" s="19"/>
      <c r="U244" s="19"/>
      <c r="V244" s="19"/>
      <c r="W244" s="19"/>
      <c r="X244" s="19"/>
    </row>
    <row r="245" spans="1:24" hidden="1" outlineLevel="3" x14ac:dyDescent="0.2">
      <c r="A245" s="19"/>
      <c r="B245" s="19"/>
      <c r="C245" s="506">
        <f>Qty!C202</f>
        <v>0</v>
      </c>
      <c r="D245" s="505">
        <f>Qty!D202</f>
        <v>0</v>
      </c>
      <c r="E245" s="505">
        <f>Qty!E202</f>
        <v>0</v>
      </c>
      <c r="F245" s="505">
        <f>Qty!F202</f>
        <v>0</v>
      </c>
      <c r="G245" s="505">
        <f>Qty!G202</f>
        <v>0</v>
      </c>
      <c r="H245" s="58"/>
      <c r="I245" s="238">
        <f>Qty!M202</f>
        <v>0</v>
      </c>
      <c r="J245" s="239"/>
      <c r="K245" s="238">
        <f>SUMIF(Qty!$M$7:$AF$7,K$50,Qty!$M202:$AF202)*consmultiplier</f>
        <v>0</v>
      </c>
      <c r="L245" s="238">
        <f>SUMIF(Qty!$M$7:$AF$7,L$50,Qty!$M202:$AF202)*consmultiplier</f>
        <v>0</v>
      </c>
      <c r="M245" s="238">
        <f>SUMIF(Qty!$M$7:$AF$7,M$50,Qty!$M202:$AF202)*consmultiplier</f>
        <v>0</v>
      </c>
      <c r="N245" s="238">
        <f>SUMIF(Qty!$M$7:$AF$7,N$50,Qty!$M202:$AF202)*consmultiplier</f>
        <v>0</v>
      </c>
      <c r="O245" s="238">
        <f t="shared" si="29"/>
        <v>0</v>
      </c>
      <c r="P245" s="239"/>
      <c r="Q245" s="238">
        <f>SUMIF(Qty!$M$7:$AF$7,Q$50,Qty!$M202:$AF202)*consmultiplier</f>
        <v>0</v>
      </c>
      <c r="R245" s="238">
        <f t="shared" si="30"/>
        <v>0</v>
      </c>
      <c r="S245" s="90"/>
      <c r="T245" s="19"/>
      <c r="U245" s="19"/>
      <c r="V245" s="19"/>
      <c r="W245" s="19"/>
      <c r="X245" s="19"/>
    </row>
    <row r="246" spans="1:24" hidden="1" outlineLevel="3" x14ac:dyDescent="0.2">
      <c r="A246" s="19"/>
      <c r="B246" s="19"/>
      <c r="C246" s="506">
        <f>Qty!C203</f>
        <v>0</v>
      </c>
      <c r="D246" s="505">
        <f>Qty!D203</f>
        <v>0</v>
      </c>
      <c r="E246" s="505">
        <f>Qty!E203</f>
        <v>0</v>
      </c>
      <c r="F246" s="505">
        <f>Qty!F203</f>
        <v>0</v>
      </c>
      <c r="G246" s="505">
        <f>Qty!G203</f>
        <v>0</v>
      </c>
      <c r="H246" s="58"/>
      <c r="I246" s="238">
        <f>Qty!M203</f>
        <v>0</v>
      </c>
      <c r="J246" s="239"/>
      <c r="K246" s="238">
        <f>SUMIF(Qty!$M$7:$AF$7,K$50,Qty!$M203:$AF203)*consmultiplier</f>
        <v>0</v>
      </c>
      <c r="L246" s="238">
        <f>SUMIF(Qty!$M$7:$AF$7,L$50,Qty!$M203:$AF203)*consmultiplier</f>
        <v>0</v>
      </c>
      <c r="M246" s="238">
        <f>SUMIF(Qty!$M$7:$AF$7,M$50,Qty!$M203:$AF203)*consmultiplier</f>
        <v>0</v>
      </c>
      <c r="N246" s="238">
        <f>SUMIF(Qty!$M$7:$AF$7,N$50,Qty!$M203:$AF203)*consmultiplier</f>
        <v>0</v>
      </c>
      <c r="O246" s="238">
        <f t="shared" si="29"/>
        <v>0</v>
      </c>
      <c r="P246" s="239"/>
      <c r="Q246" s="238">
        <f>SUMIF(Qty!$M$7:$AF$7,Q$50,Qty!$M203:$AF203)*consmultiplier</f>
        <v>0</v>
      </c>
      <c r="R246" s="238">
        <f t="shared" si="30"/>
        <v>0</v>
      </c>
      <c r="S246" s="90"/>
      <c r="T246" s="19"/>
      <c r="U246" s="19"/>
      <c r="V246" s="19"/>
      <c r="W246" s="19"/>
      <c r="X246" s="19"/>
    </row>
    <row r="247" spans="1:24" hidden="1" outlineLevel="3" x14ac:dyDescent="0.2">
      <c r="A247" s="19"/>
      <c r="B247" s="19"/>
      <c r="C247" s="506">
        <f>Qty!C204</f>
        <v>0</v>
      </c>
      <c r="D247" s="505">
        <f>Qty!D204</f>
        <v>0</v>
      </c>
      <c r="E247" s="505">
        <f>Qty!E204</f>
        <v>0</v>
      </c>
      <c r="F247" s="505">
        <f>Qty!F204</f>
        <v>0</v>
      </c>
      <c r="G247" s="505">
        <f>Qty!G204</f>
        <v>0</v>
      </c>
      <c r="H247" s="58"/>
      <c r="I247" s="238">
        <f>Qty!M204</f>
        <v>0</v>
      </c>
      <c r="J247" s="239"/>
      <c r="K247" s="238">
        <f>SUMIF(Qty!$M$7:$AF$7,K$50,Qty!$M204:$AF204)*consmultiplier</f>
        <v>0</v>
      </c>
      <c r="L247" s="238">
        <f>SUMIF(Qty!$M$7:$AF$7,L$50,Qty!$M204:$AF204)*consmultiplier</f>
        <v>0</v>
      </c>
      <c r="M247" s="238">
        <f>SUMIF(Qty!$M$7:$AF$7,M$50,Qty!$M204:$AF204)*consmultiplier</f>
        <v>0</v>
      </c>
      <c r="N247" s="238">
        <f>SUMIF(Qty!$M$7:$AF$7,N$50,Qty!$M204:$AF204)*consmultiplier</f>
        <v>0</v>
      </c>
      <c r="O247" s="238">
        <f t="shared" si="29"/>
        <v>0</v>
      </c>
      <c r="P247" s="239"/>
      <c r="Q247" s="238">
        <f>SUMIF(Qty!$M$7:$AF$7,Q$50,Qty!$M204:$AF204)*consmultiplier</f>
        <v>0</v>
      </c>
      <c r="R247" s="238">
        <f t="shared" si="30"/>
        <v>0</v>
      </c>
      <c r="S247" s="90"/>
      <c r="T247" s="19"/>
      <c r="U247" s="19"/>
      <c r="V247" s="19"/>
      <c r="W247" s="19"/>
      <c r="X247" s="19"/>
    </row>
    <row r="248" spans="1:24" hidden="1" outlineLevel="3" x14ac:dyDescent="0.2">
      <c r="A248" s="19"/>
      <c r="B248" s="19"/>
      <c r="C248" s="506">
        <f>Qty!C205</f>
        <v>0</v>
      </c>
      <c r="D248" s="505">
        <f>Qty!D205</f>
        <v>0</v>
      </c>
      <c r="E248" s="505">
        <f>Qty!E205</f>
        <v>0</v>
      </c>
      <c r="F248" s="505">
        <f>Qty!F205</f>
        <v>0</v>
      </c>
      <c r="G248" s="505">
        <f>Qty!G205</f>
        <v>0</v>
      </c>
      <c r="H248" s="58"/>
      <c r="I248" s="238">
        <f>Qty!M205</f>
        <v>0</v>
      </c>
      <c r="J248" s="239"/>
      <c r="K248" s="238">
        <f>SUMIF(Qty!$M$7:$AF$7,K$50,Qty!$M205:$AF205)*consmultiplier</f>
        <v>0</v>
      </c>
      <c r="L248" s="238">
        <f>SUMIF(Qty!$M$7:$AF$7,L$50,Qty!$M205:$AF205)*consmultiplier</f>
        <v>0</v>
      </c>
      <c r="M248" s="238">
        <f>SUMIF(Qty!$M$7:$AF$7,M$50,Qty!$M205:$AF205)*consmultiplier</f>
        <v>0</v>
      </c>
      <c r="N248" s="238">
        <f>SUMIF(Qty!$M$7:$AF$7,N$50,Qty!$M205:$AF205)*consmultiplier</f>
        <v>0</v>
      </c>
      <c r="O248" s="238">
        <f t="shared" si="29"/>
        <v>0</v>
      </c>
      <c r="P248" s="239"/>
      <c r="Q248" s="238">
        <f>SUMIF(Qty!$M$7:$AF$7,Q$50,Qty!$M205:$AF205)*consmultiplier</f>
        <v>0</v>
      </c>
      <c r="R248" s="238">
        <f t="shared" si="30"/>
        <v>0</v>
      </c>
      <c r="S248" s="91"/>
      <c r="T248" s="19"/>
      <c r="U248" s="19"/>
      <c r="V248" s="19"/>
      <c r="W248" s="19"/>
      <c r="X248" s="19"/>
    </row>
    <row r="249" spans="1:24" hidden="1" outlineLevel="3" x14ac:dyDescent="0.2">
      <c r="A249" s="19"/>
      <c r="B249" s="19"/>
      <c r="C249" s="506">
        <f>Qty!C206</f>
        <v>0</v>
      </c>
      <c r="D249" s="505">
        <f>Qty!D206</f>
        <v>0</v>
      </c>
      <c r="E249" s="505">
        <f>Qty!E206</f>
        <v>0</v>
      </c>
      <c r="F249" s="505">
        <f>Qty!F206</f>
        <v>0</v>
      </c>
      <c r="G249" s="505">
        <f>Qty!G206</f>
        <v>0</v>
      </c>
      <c r="H249" s="58"/>
      <c r="I249" s="238">
        <f>Qty!M206</f>
        <v>0</v>
      </c>
      <c r="J249" s="239"/>
      <c r="K249" s="238">
        <f>SUMIF(Qty!$M$7:$AF$7,K$50,Qty!$M206:$AF206)*consmultiplier</f>
        <v>0</v>
      </c>
      <c r="L249" s="238">
        <f>SUMIF(Qty!$M$7:$AF$7,L$50,Qty!$M206:$AF206)*consmultiplier</f>
        <v>0</v>
      </c>
      <c r="M249" s="238">
        <f>SUMIF(Qty!$M$7:$AF$7,M$50,Qty!$M206:$AF206)*consmultiplier</f>
        <v>0</v>
      </c>
      <c r="N249" s="238">
        <f>SUMIF(Qty!$M$7:$AF$7,N$50,Qty!$M206:$AF206)*consmultiplier</f>
        <v>0</v>
      </c>
      <c r="O249" s="238">
        <f t="shared" si="29"/>
        <v>0</v>
      </c>
      <c r="P249" s="239"/>
      <c r="Q249" s="238">
        <f>SUMIF(Qty!$M$7:$AF$7,Q$50,Qty!$M206:$AF206)*consmultiplier</f>
        <v>0</v>
      </c>
      <c r="R249" s="238">
        <f t="shared" si="30"/>
        <v>0</v>
      </c>
      <c r="S249" s="91"/>
      <c r="T249" s="19"/>
      <c r="U249" s="19"/>
      <c r="V249" s="19"/>
      <c r="W249" s="19"/>
      <c r="X249" s="19"/>
    </row>
    <row r="250" spans="1:24" hidden="1" outlineLevel="3" x14ac:dyDescent="0.2">
      <c r="A250" s="19"/>
      <c r="B250" s="19"/>
      <c r="C250" s="506">
        <f>Qty!C207</f>
        <v>0</v>
      </c>
      <c r="D250" s="505">
        <f>Qty!D207</f>
        <v>0</v>
      </c>
      <c r="E250" s="505">
        <f>Qty!E207</f>
        <v>0</v>
      </c>
      <c r="F250" s="505">
        <f>Qty!F207</f>
        <v>0</v>
      </c>
      <c r="G250" s="505">
        <f>Qty!G207</f>
        <v>0</v>
      </c>
      <c r="H250" s="58"/>
      <c r="I250" s="238">
        <f>Qty!M207</f>
        <v>0</v>
      </c>
      <c r="J250" s="239"/>
      <c r="K250" s="238">
        <f>SUMIF(Qty!$M$7:$AF$7,K$50,Qty!$M207:$AF207)*consmultiplier</f>
        <v>0</v>
      </c>
      <c r="L250" s="238">
        <f>SUMIF(Qty!$M$7:$AF$7,L$50,Qty!$M207:$AF207)*consmultiplier</f>
        <v>0</v>
      </c>
      <c r="M250" s="238">
        <f>SUMIF(Qty!$M$7:$AF$7,M$50,Qty!$M207:$AF207)*consmultiplier</f>
        <v>0</v>
      </c>
      <c r="N250" s="238">
        <f>SUMIF(Qty!$M$7:$AF$7,N$50,Qty!$M207:$AF207)*consmultiplier</f>
        <v>0</v>
      </c>
      <c r="O250" s="238">
        <f t="shared" si="29"/>
        <v>0</v>
      </c>
      <c r="P250" s="239"/>
      <c r="Q250" s="238">
        <f>SUMIF(Qty!$M$7:$AF$7,Q$50,Qty!$M207:$AF207)*consmultiplier</f>
        <v>0</v>
      </c>
      <c r="R250" s="238">
        <f t="shared" si="30"/>
        <v>0</v>
      </c>
      <c r="S250" s="91"/>
      <c r="T250" s="19"/>
      <c r="U250" s="19"/>
      <c r="V250" s="19"/>
      <c r="W250" s="19"/>
      <c r="X250" s="19"/>
    </row>
    <row r="251" spans="1:24" hidden="1" outlineLevel="3" x14ac:dyDescent="0.2">
      <c r="A251" s="19"/>
      <c r="B251" s="19"/>
      <c r="C251" s="506">
        <f>Qty!C208</f>
        <v>0</v>
      </c>
      <c r="D251" s="505">
        <f>Qty!D208</f>
        <v>0</v>
      </c>
      <c r="E251" s="505">
        <f>Qty!E208</f>
        <v>0</v>
      </c>
      <c r="F251" s="505">
        <f>Qty!F208</f>
        <v>0</v>
      </c>
      <c r="G251" s="505">
        <f>Qty!G208</f>
        <v>0</v>
      </c>
      <c r="H251" s="58"/>
      <c r="I251" s="238">
        <f>Qty!M208</f>
        <v>0</v>
      </c>
      <c r="J251" s="239"/>
      <c r="K251" s="238">
        <f>SUMIF(Qty!$M$7:$AF$7,K$50,Qty!$M208:$AF208)*consmultiplier</f>
        <v>0</v>
      </c>
      <c r="L251" s="238">
        <f>SUMIF(Qty!$M$7:$AF$7,L$50,Qty!$M208:$AF208)*consmultiplier</f>
        <v>0</v>
      </c>
      <c r="M251" s="238">
        <f>SUMIF(Qty!$M$7:$AF$7,M$50,Qty!$M208:$AF208)*consmultiplier</f>
        <v>0</v>
      </c>
      <c r="N251" s="238">
        <f>SUMIF(Qty!$M$7:$AF$7,N$50,Qty!$M208:$AF208)*consmultiplier</f>
        <v>0</v>
      </c>
      <c r="O251" s="238">
        <f t="shared" si="29"/>
        <v>0</v>
      </c>
      <c r="P251" s="239"/>
      <c r="Q251" s="238">
        <f>SUMIF(Qty!$M$7:$AF$7,Q$50,Qty!$M208:$AF208)*consmultiplier</f>
        <v>0</v>
      </c>
      <c r="R251" s="238">
        <f t="shared" si="30"/>
        <v>0</v>
      </c>
      <c r="S251" s="91"/>
      <c r="T251" s="19"/>
      <c r="U251" s="19"/>
      <c r="V251" s="19"/>
      <c r="W251" s="19"/>
      <c r="X251" s="19"/>
    </row>
    <row r="252" spans="1:24" hidden="1" outlineLevel="3" x14ac:dyDescent="0.2">
      <c r="A252" s="19"/>
      <c r="B252" s="19"/>
      <c r="C252" s="506">
        <f>Qty!C209</f>
        <v>0</v>
      </c>
      <c r="D252" s="505">
        <f>Qty!D209</f>
        <v>0</v>
      </c>
      <c r="E252" s="505">
        <f>Qty!E209</f>
        <v>0</v>
      </c>
      <c r="F252" s="505">
        <f>Qty!F209</f>
        <v>0</v>
      </c>
      <c r="G252" s="505">
        <f>Qty!G209</f>
        <v>0</v>
      </c>
      <c r="H252" s="58"/>
      <c r="I252" s="238">
        <f>Qty!M209</f>
        <v>0</v>
      </c>
      <c r="J252" s="239"/>
      <c r="K252" s="238">
        <f>SUMIF(Qty!$M$7:$AF$7,K$50,Qty!$M209:$AF209)*consmultiplier</f>
        <v>0</v>
      </c>
      <c r="L252" s="238">
        <f>SUMIF(Qty!$M$7:$AF$7,L$50,Qty!$M209:$AF209)*consmultiplier</f>
        <v>0</v>
      </c>
      <c r="M252" s="238">
        <f>SUMIF(Qty!$M$7:$AF$7,M$50,Qty!$M209:$AF209)*consmultiplier</f>
        <v>0</v>
      </c>
      <c r="N252" s="238">
        <f>SUMIF(Qty!$M$7:$AF$7,N$50,Qty!$M209:$AF209)*consmultiplier</f>
        <v>0</v>
      </c>
      <c r="O252" s="238">
        <f t="shared" si="29"/>
        <v>0</v>
      </c>
      <c r="P252" s="239"/>
      <c r="Q252" s="238">
        <f>SUMIF(Qty!$M$7:$AF$7,Q$50,Qty!$M209:$AF209)*consmultiplier</f>
        <v>0</v>
      </c>
      <c r="R252" s="238">
        <f t="shared" si="30"/>
        <v>0</v>
      </c>
      <c r="S252" s="91"/>
      <c r="T252" s="19"/>
      <c r="U252" s="19"/>
      <c r="V252" s="19"/>
      <c r="W252" s="19"/>
      <c r="X252" s="19"/>
    </row>
    <row r="253" spans="1:24" hidden="1" outlineLevel="3" x14ac:dyDescent="0.2">
      <c r="A253" s="19"/>
      <c r="B253" s="19"/>
      <c r="C253" s="506">
        <f>Qty!C210</f>
        <v>0</v>
      </c>
      <c r="D253" s="505">
        <f>Qty!D210</f>
        <v>0</v>
      </c>
      <c r="E253" s="505">
        <f>Qty!E210</f>
        <v>0</v>
      </c>
      <c r="F253" s="505">
        <f>Qty!F210</f>
        <v>0</v>
      </c>
      <c r="G253" s="505">
        <f>Qty!G210</f>
        <v>0</v>
      </c>
      <c r="H253" s="58"/>
      <c r="I253" s="238">
        <f>Qty!M210</f>
        <v>0</v>
      </c>
      <c r="J253" s="239"/>
      <c r="K253" s="238">
        <f>SUMIF(Qty!$M$7:$AF$7,K$50,Qty!$M210:$AF210)*consmultiplier</f>
        <v>0</v>
      </c>
      <c r="L253" s="238">
        <f>SUMIF(Qty!$M$7:$AF$7,L$50,Qty!$M210:$AF210)*consmultiplier</f>
        <v>0</v>
      </c>
      <c r="M253" s="238">
        <f>SUMIF(Qty!$M$7:$AF$7,M$50,Qty!$M210:$AF210)*consmultiplier</f>
        <v>0</v>
      </c>
      <c r="N253" s="238">
        <f>SUMIF(Qty!$M$7:$AF$7,N$50,Qty!$M210:$AF210)*consmultiplier</f>
        <v>0</v>
      </c>
      <c r="O253" s="238">
        <f t="shared" si="29"/>
        <v>0</v>
      </c>
      <c r="P253" s="239"/>
      <c r="Q253" s="238">
        <f>SUMIF(Qty!$M$7:$AF$7,Q$50,Qty!$M210:$AF210)*consmultiplier</f>
        <v>0</v>
      </c>
      <c r="R253" s="238">
        <f t="shared" si="30"/>
        <v>0</v>
      </c>
      <c r="S253" s="91"/>
      <c r="T253" s="19"/>
      <c r="U253" s="19"/>
      <c r="V253" s="19"/>
      <c r="W253" s="19"/>
      <c r="X253" s="19"/>
    </row>
    <row r="254" spans="1:24" hidden="1" outlineLevel="3" x14ac:dyDescent="0.2">
      <c r="A254" s="19"/>
      <c r="B254" s="19"/>
      <c r="C254" s="506">
        <f>Qty!C211</f>
        <v>0</v>
      </c>
      <c r="D254" s="505">
        <f>Qty!D211</f>
        <v>0</v>
      </c>
      <c r="E254" s="505">
        <f>Qty!E211</f>
        <v>0</v>
      </c>
      <c r="F254" s="505">
        <f>Qty!F211</f>
        <v>0</v>
      </c>
      <c r="G254" s="505">
        <f>Qty!G211</f>
        <v>0</v>
      </c>
      <c r="H254" s="58"/>
      <c r="I254" s="238">
        <f>Qty!M211</f>
        <v>0</v>
      </c>
      <c r="J254" s="239"/>
      <c r="K254" s="238">
        <f>SUMIF(Qty!$M$7:$AF$7,K$50,Qty!$M211:$AF211)*consmultiplier</f>
        <v>0</v>
      </c>
      <c r="L254" s="238">
        <f>SUMIF(Qty!$M$7:$AF$7,L$50,Qty!$M211:$AF211)*consmultiplier</f>
        <v>0</v>
      </c>
      <c r="M254" s="238">
        <f>SUMIF(Qty!$M$7:$AF$7,M$50,Qty!$M211:$AF211)*consmultiplier</f>
        <v>0</v>
      </c>
      <c r="N254" s="238">
        <f>SUMIF(Qty!$M$7:$AF$7,N$50,Qty!$M211:$AF211)*consmultiplier</f>
        <v>0</v>
      </c>
      <c r="O254" s="238">
        <f t="shared" si="29"/>
        <v>0</v>
      </c>
      <c r="P254" s="239"/>
      <c r="Q254" s="238">
        <f>SUMIF(Qty!$M$7:$AF$7,Q$50,Qty!$M211:$AF211)*consmultiplier</f>
        <v>0</v>
      </c>
      <c r="R254" s="238">
        <f t="shared" si="30"/>
        <v>0</v>
      </c>
      <c r="S254" s="91"/>
      <c r="T254" s="19"/>
      <c r="U254" s="19"/>
      <c r="V254" s="19"/>
      <c r="W254" s="19"/>
      <c r="X254" s="19"/>
    </row>
    <row r="255" spans="1:24" hidden="1" outlineLevel="3" x14ac:dyDescent="0.2">
      <c r="A255" s="19"/>
      <c r="B255" s="19"/>
      <c r="C255" s="506">
        <f>Qty!C212</f>
        <v>0</v>
      </c>
      <c r="D255" s="505">
        <f>Qty!D212</f>
        <v>0</v>
      </c>
      <c r="E255" s="505">
        <f>Qty!E212</f>
        <v>0</v>
      </c>
      <c r="F255" s="505">
        <f>Qty!F212</f>
        <v>0</v>
      </c>
      <c r="G255" s="505">
        <f>Qty!G212</f>
        <v>0</v>
      </c>
      <c r="H255" s="58"/>
      <c r="I255" s="238">
        <f>Qty!M212</f>
        <v>0</v>
      </c>
      <c r="J255" s="239"/>
      <c r="K255" s="238">
        <f>SUMIF(Qty!$M$7:$AF$7,K$50,Qty!$M212:$AF212)*consmultiplier</f>
        <v>0</v>
      </c>
      <c r="L255" s="238">
        <f>SUMIF(Qty!$M$7:$AF$7,L$50,Qty!$M212:$AF212)*consmultiplier</f>
        <v>0</v>
      </c>
      <c r="M255" s="238">
        <f>SUMIF(Qty!$M$7:$AF$7,M$50,Qty!$M212:$AF212)*consmultiplier</f>
        <v>0</v>
      </c>
      <c r="N255" s="238">
        <f>SUMIF(Qty!$M$7:$AF$7,N$50,Qty!$M212:$AF212)*consmultiplier</f>
        <v>0</v>
      </c>
      <c r="O255" s="238">
        <f t="shared" si="29"/>
        <v>0</v>
      </c>
      <c r="P255" s="239"/>
      <c r="Q255" s="238">
        <f>SUMIF(Qty!$M$7:$AF$7,Q$50,Qty!$M212:$AF212)*consmultiplier</f>
        <v>0</v>
      </c>
      <c r="R255" s="238">
        <f t="shared" si="30"/>
        <v>0</v>
      </c>
      <c r="S255" s="91"/>
      <c r="T255" s="19"/>
      <c r="U255" s="19"/>
      <c r="V255" s="19"/>
      <c r="W255" s="19"/>
      <c r="X255" s="19"/>
    </row>
    <row r="256" spans="1:24" hidden="1" outlineLevel="3" x14ac:dyDescent="0.2">
      <c r="A256" s="19"/>
      <c r="B256" s="19"/>
      <c r="C256" s="506">
        <f>Qty!C213</f>
        <v>0</v>
      </c>
      <c r="D256" s="505">
        <f>Qty!D213</f>
        <v>0</v>
      </c>
      <c r="E256" s="505">
        <f>Qty!E213</f>
        <v>0</v>
      </c>
      <c r="F256" s="505">
        <f>Qty!F213</f>
        <v>0</v>
      </c>
      <c r="G256" s="505">
        <f>Qty!G213</f>
        <v>0</v>
      </c>
      <c r="H256" s="58"/>
      <c r="I256" s="238">
        <f>Qty!M213</f>
        <v>0</v>
      </c>
      <c r="J256" s="239"/>
      <c r="K256" s="238">
        <f>SUMIF(Qty!$M$7:$AF$7,K$50,Qty!$M213:$AF213)*consmultiplier</f>
        <v>0</v>
      </c>
      <c r="L256" s="238">
        <f>SUMIF(Qty!$M$7:$AF$7,L$50,Qty!$M213:$AF213)*consmultiplier</f>
        <v>0</v>
      </c>
      <c r="M256" s="238">
        <f>SUMIF(Qty!$M$7:$AF$7,M$50,Qty!$M213:$AF213)*consmultiplier</f>
        <v>0</v>
      </c>
      <c r="N256" s="238">
        <f>SUMIF(Qty!$M$7:$AF$7,N$50,Qty!$M213:$AF213)*consmultiplier</f>
        <v>0</v>
      </c>
      <c r="O256" s="238">
        <f t="shared" si="29"/>
        <v>0</v>
      </c>
      <c r="P256" s="239"/>
      <c r="Q256" s="238">
        <f>SUMIF(Qty!$M$7:$AF$7,Q$50,Qty!$M213:$AF213)*consmultiplier</f>
        <v>0</v>
      </c>
      <c r="R256" s="238">
        <f t="shared" si="30"/>
        <v>0</v>
      </c>
      <c r="S256" s="91"/>
      <c r="T256" s="19"/>
      <c r="U256" s="19"/>
      <c r="V256" s="19"/>
      <c r="W256" s="19"/>
      <c r="X256" s="19"/>
    </row>
    <row r="257" spans="1:24" hidden="1" outlineLevel="3" x14ac:dyDescent="0.2">
      <c r="A257" s="19"/>
      <c r="B257" s="19"/>
      <c r="C257" s="506">
        <f>Qty!C214</f>
        <v>0</v>
      </c>
      <c r="D257" s="505">
        <f>Qty!D214</f>
        <v>0</v>
      </c>
      <c r="E257" s="505">
        <f>Qty!E214</f>
        <v>0</v>
      </c>
      <c r="F257" s="505">
        <f>Qty!F214</f>
        <v>0</v>
      </c>
      <c r="G257" s="505">
        <f>Qty!G214</f>
        <v>0</v>
      </c>
      <c r="H257" s="58"/>
      <c r="I257" s="238">
        <f>Qty!M214</f>
        <v>0</v>
      </c>
      <c r="J257" s="239"/>
      <c r="K257" s="238">
        <f>SUMIF(Qty!$M$7:$AF$7,K$50,Qty!$M214:$AF214)*consmultiplier</f>
        <v>0</v>
      </c>
      <c r="L257" s="238">
        <f>SUMIF(Qty!$M$7:$AF$7,L$50,Qty!$M214:$AF214)*consmultiplier</f>
        <v>0</v>
      </c>
      <c r="M257" s="238">
        <f>SUMIF(Qty!$M$7:$AF$7,M$50,Qty!$M214:$AF214)*consmultiplier</f>
        <v>0</v>
      </c>
      <c r="N257" s="238">
        <f>SUMIF(Qty!$M$7:$AF$7,N$50,Qty!$M214:$AF214)*consmultiplier</f>
        <v>0</v>
      </c>
      <c r="O257" s="238">
        <f t="shared" si="29"/>
        <v>0</v>
      </c>
      <c r="P257" s="239"/>
      <c r="Q257" s="238">
        <f>SUMIF(Qty!$M$7:$AF$7,Q$50,Qty!$M214:$AF214)*consmultiplier</f>
        <v>0</v>
      </c>
      <c r="R257" s="238">
        <f t="shared" si="30"/>
        <v>0</v>
      </c>
      <c r="S257" s="91"/>
      <c r="T257" s="19"/>
      <c r="U257" s="19"/>
      <c r="V257" s="19"/>
      <c r="W257" s="19"/>
      <c r="X257" s="19"/>
    </row>
    <row r="258" spans="1:24" hidden="1" outlineLevel="3" x14ac:dyDescent="0.2">
      <c r="A258" s="19"/>
      <c r="B258" s="19"/>
      <c r="C258" s="506">
        <f>Qty!C215</f>
        <v>0</v>
      </c>
      <c r="D258" s="505">
        <f>Qty!D215</f>
        <v>0</v>
      </c>
      <c r="E258" s="505">
        <f>Qty!E215</f>
        <v>0</v>
      </c>
      <c r="F258" s="505">
        <f>Qty!F215</f>
        <v>0</v>
      </c>
      <c r="G258" s="505">
        <f>Qty!G215</f>
        <v>0</v>
      </c>
      <c r="H258" s="58"/>
      <c r="I258" s="238">
        <f>Qty!M215</f>
        <v>0</v>
      </c>
      <c r="J258" s="239"/>
      <c r="K258" s="238">
        <f>SUMIF(Qty!$M$7:$AF$7,K$50,Qty!$M215:$AF215)*consmultiplier</f>
        <v>0</v>
      </c>
      <c r="L258" s="238">
        <f>SUMIF(Qty!$M$7:$AF$7,L$50,Qty!$M215:$AF215)*consmultiplier</f>
        <v>0</v>
      </c>
      <c r="M258" s="238">
        <f>SUMIF(Qty!$M$7:$AF$7,M$50,Qty!$M215:$AF215)*consmultiplier</f>
        <v>0</v>
      </c>
      <c r="N258" s="238">
        <f>SUMIF(Qty!$M$7:$AF$7,N$50,Qty!$M215:$AF215)*consmultiplier</f>
        <v>0</v>
      </c>
      <c r="O258" s="238">
        <f t="shared" si="29"/>
        <v>0</v>
      </c>
      <c r="P258" s="239"/>
      <c r="Q258" s="238">
        <f>SUMIF(Qty!$M$7:$AF$7,Q$50,Qty!$M215:$AF215)*consmultiplier</f>
        <v>0</v>
      </c>
      <c r="R258" s="238">
        <f t="shared" si="30"/>
        <v>0</v>
      </c>
      <c r="S258" s="91"/>
      <c r="T258" s="19"/>
      <c r="U258" s="19"/>
      <c r="V258" s="19"/>
      <c r="W258" s="19"/>
      <c r="X258" s="19"/>
    </row>
    <row r="259" spans="1:24" hidden="1" outlineLevel="3" x14ac:dyDescent="0.2">
      <c r="A259" s="19"/>
      <c r="B259" s="19"/>
      <c r="C259" s="506">
        <f>Qty!C216</f>
        <v>0</v>
      </c>
      <c r="D259" s="505">
        <f>Qty!D216</f>
        <v>0</v>
      </c>
      <c r="E259" s="505">
        <f>Qty!E216</f>
        <v>0</v>
      </c>
      <c r="F259" s="505">
        <f>Qty!F216</f>
        <v>0</v>
      </c>
      <c r="G259" s="505">
        <f>Qty!G216</f>
        <v>0</v>
      </c>
      <c r="H259" s="58"/>
      <c r="I259" s="238">
        <f>Qty!M216</f>
        <v>0</v>
      </c>
      <c r="J259" s="239"/>
      <c r="K259" s="238">
        <f>SUMIF(Qty!$M$7:$AF$7,K$50,Qty!$M216:$AF216)*consmultiplier</f>
        <v>0</v>
      </c>
      <c r="L259" s="238">
        <f>SUMIF(Qty!$M$7:$AF$7,L$50,Qty!$M216:$AF216)*consmultiplier</f>
        <v>0</v>
      </c>
      <c r="M259" s="238">
        <f>SUMIF(Qty!$M$7:$AF$7,M$50,Qty!$M216:$AF216)*consmultiplier</f>
        <v>0</v>
      </c>
      <c r="N259" s="238">
        <f>SUMIF(Qty!$M$7:$AF$7,N$50,Qty!$M216:$AF216)*consmultiplier</f>
        <v>0</v>
      </c>
      <c r="O259" s="238">
        <f t="shared" si="29"/>
        <v>0</v>
      </c>
      <c r="P259" s="239"/>
      <c r="Q259" s="238">
        <f>SUMIF(Qty!$M$7:$AF$7,Q$50,Qty!$M216:$AF216)*consmultiplier</f>
        <v>0</v>
      </c>
      <c r="R259" s="238">
        <f t="shared" si="30"/>
        <v>0</v>
      </c>
      <c r="S259" s="91"/>
      <c r="T259" s="19"/>
      <c r="U259" s="19"/>
      <c r="V259" s="19"/>
      <c r="W259" s="19"/>
      <c r="X259" s="19"/>
    </row>
    <row r="260" spans="1:24" hidden="1" outlineLevel="3" x14ac:dyDescent="0.2">
      <c r="A260" s="19"/>
      <c r="B260" s="19"/>
      <c r="C260" s="506">
        <f>Qty!C217</f>
        <v>0</v>
      </c>
      <c r="D260" s="505">
        <f>Qty!D217</f>
        <v>0</v>
      </c>
      <c r="E260" s="505">
        <f>Qty!E217</f>
        <v>0</v>
      </c>
      <c r="F260" s="505">
        <f>Qty!F217</f>
        <v>0</v>
      </c>
      <c r="G260" s="505">
        <f>Qty!G217</f>
        <v>0</v>
      </c>
      <c r="H260" s="58"/>
      <c r="I260" s="238">
        <f>Qty!M217</f>
        <v>0</v>
      </c>
      <c r="J260" s="239"/>
      <c r="K260" s="238">
        <f>SUMIF(Qty!$M$7:$AF$7,K$50,Qty!$M217:$AF217)*consmultiplier</f>
        <v>0</v>
      </c>
      <c r="L260" s="238">
        <f>SUMIF(Qty!$M$7:$AF$7,L$50,Qty!$M217:$AF217)*consmultiplier</f>
        <v>0</v>
      </c>
      <c r="M260" s="238">
        <f>SUMIF(Qty!$M$7:$AF$7,M$50,Qty!$M217:$AF217)*consmultiplier</f>
        <v>0</v>
      </c>
      <c r="N260" s="238">
        <f>SUMIF(Qty!$M$7:$AF$7,N$50,Qty!$M217:$AF217)*consmultiplier</f>
        <v>0</v>
      </c>
      <c r="O260" s="238">
        <f t="shared" si="29"/>
        <v>0</v>
      </c>
      <c r="P260" s="239"/>
      <c r="Q260" s="238">
        <f>SUMIF(Qty!$M$7:$AF$7,Q$50,Qty!$M217:$AF217)*consmultiplier</f>
        <v>0</v>
      </c>
      <c r="R260" s="238">
        <f t="shared" si="30"/>
        <v>0</v>
      </c>
      <c r="S260" s="91"/>
      <c r="T260" s="19"/>
      <c r="U260" s="19"/>
      <c r="V260" s="19"/>
      <c r="W260" s="19"/>
      <c r="X260" s="19"/>
    </row>
    <row r="261" spans="1:24" hidden="1" outlineLevel="3" x14ac:dyDescent="0.2">
      <c r="A261" s="19"/>
      <c r="B261" s="19"/>
      <c r="C261" s="506">
        <f>Qty!C218</f>
        <v>0</v>
      </c>
      <c r="D261" s="505">
        <f>Qty!D218</f>
        <v>0</v>
      </c>
      <c r="E261" s="505">
        <f>Qty!E218</f>
        <v>0</v>
      </c>
      <c r="F261" s="505">
        <f>Qty!F218</f>
        <v>0</v>
      </c>
      <c r="G261" s="505">
        <f>Qty!G218</f>
        <v>0</v>
      </c>
      <c r="H261" s="58"/>
      <c r="I261" s="238">
        <f>Qty!M218</f>
        <v>0</v>
      </c>
      <c r="J261" s="239"/>
      <c r="K261" s="238">
        <f>SUMIF(Qty!$M$7:$AF$7,K$50,Qty!$M218:$AF218)*consmultiplier</f>
        <v>0</v>
      </c>
      <c r="L261" s="238">
        <f>SUMIF(Qty!$M$7:$AF$7,L$50,Qty!$M218:$AF218)*consmultiplier</f>
        <v>0</v>
      </c>
      <c r="M261" s="238">
        <f>SUMIF(Qty!$M$7:$AF$7,M$50,Qty!$M218:$AF218)*consmultiplier</f>
        <v>0</v>
      </c>
      <c r="N261" s="238">
        <f>SUMIF(Qty!$M$7:$AF$7,N$50,Qty!$M218:$AF218)*consmultiplier</f>
        <v>0</v>
      </c>
      <c r="O261" s="238">
        <f t="shared" si="29"/>
        <v>0</v>
      </c>
      <c r="P261" s="239"/>
      <c r="Q261" s="238">
        <f>SUMIF(Qty!$M$7:$AF$7,Q$50,Qty!$M218:$AF218)*consmultiplier</f>
        <v>0</v>
      </c>
      <c r="R261" s="238">
        <f t="shared" si="30"/>
        <v>0</v>
      </c>
      <c r="S261" s="91"/>
      <c r="T261" s="19"/>
      <c r="U261" s="19"/>
      <c r="V261" s="19"/>
      <c r="W261" s="19"/>
      <c r="X261" s="19"/>
    </row>
    <row r="262" spans="1:24" hidden="1" outlineLevel="3" x14ac:dyDescent="0.2">
      <c r="A262" s="19"/>
      <c r="B262" s="19"/>
      <c r="C262" s="506">
        <f>Qty!C219</f>
        <v>0</v>
      </c>
      <c r="D262" s="505">
        <f>Qty!D219</f>
        <v>0</v>
      </c>
      <c r="E262" s="505">
        <f>Qty!E219</f>
        <v>0</v>
      </c>
      <c r="F262" s="505">
        <f>Qty!F219</f>
        <v>0</v>
      </c>
      <c r="G262" s="505">
        <f>Qty!G219</f>
        <v>0</v>
      </c>
      <c r="H262" s="58"/>
      <c r="I262" s="238">
        <f>Qty!M219</f>
        <v>0</v>
      </c>
      <c r="J262" s="239"/>
      <c r="K262" s="238">
        <f>SUMIF(Qty!$M$7:$AF$7,K$50,Qty!$M219:$AF219)*consmultiplier</f>
        <v>0</v>
      </c>
      <c r="L262" s="238">
        <f>SUMIF(Qty!$M$7:$AF$7,L$50,Qty!$M219:$AF219)*consmultiplier</f>
        <v>0</v>
      </c>
      <c r="M262" s="238">
        <f>SUMIF(Qty!$M$7:$AF$7,M$50,Qty!$M219:$AF219)*consmultiplier</f>
        <v>0</v>
      </c>
      <c r="N262" s="238">
        <f>SUMIF(Qty!$M$7:$AF$7,N$50,Qty!$M219:$AF219)*consmultiplier</f>
        <v>0</v>
      </c>
      <c r="O262" s="238">
        <f t="shared" si="29"/>
        <v>0</v>
      </c>
      <c r="P262" s="239"/>
      <c r="Q262" s="238">
        <f>SUMIF(Qty!$M$7:$AF$7,Q$50,Qty!$M219:$AF219)*consmultiplier</f>
        <v>0</v>
      </c>
      <c r="R262" s="238">
        <f t="shared" si="30"/>
        <v>0</v>
      </c>
      <c r="S262" s="91"/>
      <c r="T262" s="19"/>
      <c r="U262" s="19"/>
      <c r="V262" s="19"/>
      <c r="W262" s="19"/>
      <c r="X262" s="19"/>
    </row>
    <row r="263" spans="1:24" hidden="1" outlineLevel="3" x14ac:dyDescent="0.2">
      <c r="A263" s="19"/>
      <c r="B263" s="19"/>
      <c r="C263" s="506">
        <f>Qty!C220</f>
        <v>0</v>
      </c>
      <c r="D263" s="505">
        <f>Qty!D220</f>
        <v>0</v>
      </c>
      <c r="E263" s="505">
        <f>Qty!E220</f>
        <v>0</v>
      </c>
      <c r="F263" s="505">
        <f>Qty!F220</f>
        <v>0</v>
      </c>
      <c r="G263" s="505">
        <f>Qty!G220</f>
        <v>0</v>
      </c>
      <c r="H263" s="58"/>
      <c r="I263" s="238">
        <f>Qty!M220</f>
        <v>0</v>
      </c>
      <c r="J263" s="239"/>
      <c r="K263" s="238">
        <f>SUMIF(Qty!$M$7:$AF$7,K$50,Qty!$M220:$AF220)*consmultiplier</f>
        <v>0</v>
      </c>
      <c r="L263" s="238">
        <f>SUMIF(Qty!$M$7:$AF$7,L$50,Qty!$M220:$AF220)*consmultiplier</f>
        <v>0</v>
      </c>
      <c r="M263" s="238">
        <f>SUMIF(Qty!$M$7:$AF$7,M$50,Qty!$M220:$AF220)*consmultiplier</f>
        <v>0</v>
      </c>
      <c r="N263" s="238">
        <f>SUMIF(Qty!$M$7:$AF$7,N$50,Qty!$M220:$AF220)*consmultiplier</f>
        <v>0</v>
      </c>
      <c r="O263" s="238">
        <f t="shared" si="29"/>
        <v>0</v>
      </c>
      <c r="P263" s="239"/>
      <c r="Q263" s="238">
        <f>SUMIF(Qty!$M$7:$AF$7,Q$50,Qty!$M220:$AF220)*consmultiplier</f>
        <v>0</v>
      </c>
      <c r="R263" s="238">
        <f t="shared" si="30"/>
        <v>0</v>
      </c>
      <c r="S263" s="91"/>
      <c r="T263" s="19"/>
      <c r="U263" s="19"/>
      <c r="V263" s="19"/>
      <c r="W263" s="19"/>
      <c r="X263" s="19"/>
    </row>
    <row r="264" spans="1:24" hidden="1" outlineLevel="3" x14ac:dyDescent="0.2">
      <c r="A264" s="19"/>
      <c r="B264" s="19"/>
      <c r="C264" s="506">
        <f>Qty!C221</f>
        <v>0</v>
      </c>
      <c r="D264" s="505">
        <f>Qty!D221</f>
        <v>0</v>
      </c>
      <c r="E264" s="505">
        <f>Qty!E221</f>
        <v>0</v>
      </c>
      <c r="F264" s="505">
        <f>Qty!F221</f>
        <v>0</v>
      </c>
      <c r="G264" s="505">
        <f>Qty!G221</f>
        <v>0</v>
      </c>
      <c r="H264" s="58"/>
      <c r="I264" s="238">
        <f>Qty!M221</f>
        <v>0</v>
      </c>
      <c r="J264" s="239"/>
      <c r="K264" s="238">
        <f>SUMIF(Qty!$M$7:$AF$7,K$50,Qty!$M221:$AF221)*consmultiplier</f>
        <v>0</v>
      </c>
      <c r="L264" s="238">
        <f>SUMIF(Qty!$M$7:$AF$7,L$50,Qty!$M221:$AF221)*consmultiplier</f>
        <v>0</v>
      </c>
      <c r="M264" s="238">
        <f>SUMIF(Qty!$M$7:$AF$7,M$50,Qty!$M221:$AF221)*consmultiplier</f>
        <v>0</v>
      </c>
      <c r="N264" s="238">
        <f>SUMIF(Qty!$M$7:$AF$7,N$50,Qty!$M221:$AF221)*consmultiplier</f>
        <v>0</v>
      </c>
      <c r="O264" s="238">
        <f t="shared" si="29"/>
        <v>0</v>
      </c>
      <c r="P264" s="239"/>
      <c r="Q264" s="238">
        <f>SUMIF(Qty!$M$7:$AF$7,Q$50,Qty!$M221:$AF221)*consmultiplier</f>
        <v>0</v>
      </c>
      <c r="R264" s="238">
        <f t="shared" si="30"/>
        <v>0</v>
      </c>
      <c r="S264" s="91"/>
      <c r="T264" s="19"/>
      <c r="U264" s="19"/>
      <c r="V264" s="19"/>
      <c r="W264" s="19"/>
      <c r="X264" s="19"/>
    </row>
    <row r="265" spans="1:24" hidden="1" outlineLevel="3" x14ac:dyDescent="0.2">
      <c r="A265" s="19"/>
      <c r="B265" s="19"/>
      <c r="C265" s="506">
        <f>Qty!C222</f>
        <v>0</v>
      </c>
      <c r="D265" s="505">
        <f>Qty!D222</f>
        <v>0</v>
      </c>
      <c r="E265" s="505">
        <f>Qty!E222</f>
        <v>0</v>
      </c>
      <c r="F265" s="505">
        <f>Qty!F222</f>
        <v>0</v>
      </c>
      <c r="G265" s="505">
        <f>Qty!G222</f>
        <v>0</v>
      </c>
      <c r="H265" s="58"/>
      <c r="I265" s="238">
        <f>Qty!M222</f>
        <v>0</v>
      </c>
      <c r="J265" s="239"/>
      <c r="K265" s="238">
        <f>SUMIF(Qty!$M$7:$AF$7,K$50,Qty!$M222:$AF222)*consmultiplier</f>
        <v>0</v>
      </c>
      <c r="L265" s="238">
        <f>SUMIF(Qty!$M$7:$AF$7,L$50,Qty!$M222:$AF222)*consmultiplier</f>
        <v>0</v>
      </c>
      <c r="M265" s="238">
        <f>SUMIF(Qty!$M$7:$AF$7,M$50,Qty!$M222:$AF222)*consmultiplier</f>
        <v>0</v>
      </c>
      <c r="N265" s="238">
        <f>SUMIF(Qty!$M$7:$AF$7,N$50,Qty!$M222:$AF222)*consmultiplier</f>
        <v>0</v>
      </c>
      <c r="O265" s="238">
        <f t="shared" si="29"/>
        <v>0</v>
      </c>
      <c r="P265" s="239"/>
      <c r="Q265" s="238">
        <f>SUMIF(Qty!$M$7:$AF$7,Q$50,Qty!$M222:$AF222)*consmultiplier</f>
        <v>0</v>
      </c>
      <c r="R265" s="238">
        <f t="shared" si="30"/>
        <v>0</v>
      </c>
      <c r="S265" s="91"/>
      <c r="T265" s="19"/>
      <c r="U265" s="19"/>
      <c r="V265" s="19"/>
      <c r="W265" s="19"/>
      <c r="X265" s="19"/>
    </row>
    <row r="266" spans="1:24" hidden="1" outlineLevel="3" x14ac:dyDescent="0.2">
      <c r="A266" s="19"/>
      <c r="B266" s="19"/>
      <c r="C266" s="506">
        <f>Qty!C223</f>
        <v>0</v>
      </c>
      <c r="D266" s="505">
        <f>Qty!D223</f>
        <v>0</v>
      </c>
      <c r="E266" s="505">
        <f>Qty!E223</f>
        <v>0</v>
      </c>
      <c r="F266" s="505">
        <f>Qty!F223</f>
        <v>0</v>
      </c>
      <c r="G266" s="505">
        <f>Qty!G223</f>
        <v>0</v>
      </c>
      <c r="H266" s="58"/>
      <c r="I266" s="238">
        <f>Qty!M223</f>
        <v>0</v>
      </c>
      <c r="J266" s="239"/>
      <c r="K266" s="238">
        <f>SUMIF(Qty!$M$7:$AF$7,K$50,Qty!$M223:$AF223)*consmultiplier</f>
        <v>0</v>
      </c>
      <c r="L266" s="238">
        <f>SUMIF(Qty!$M$7:$AF$7,L$50,Qty!$M223:$AF223)*consmultiplier</f>
        <v>0</v>
      </c>
      <c r="M266" s="238">
        <f>SUMIF(Qty!$M$7:$AF$7,M$50,Qty!$M223:$AF223)*consmultiplier</f>
        <v>0</v>
      </c>
      <c r="N266" s="238">
        <f>SUMIF(Qty!$M$7:$AF$7,N$50,Qty!$M223:$AF223)*consmultiplier</f>
        <v>0</v>
      </c>
      <c r="O266" s="238">
        <f t="shared" si="29"/>
        <v>0</v>
      </c>
      <c r="P266" s="239"/>
      <c r="Q266" s="238">
        <f>SUMIF(Qty!$M$7:$AF$7,Q$50,Qty!$M223:$AF223)*consmultiplier</f>
        <v>0</v>
      </c>
      <c r="R266" s="238">
        <f t="shared" si="30"/>
        <v>0</v>
      </c>
      <c r="S266" s="91"/>
      <c r="T266" s="19"/>
      <c r="U266" s="19"/>
      <c r="V266" s="19"/>
      <c r="W266" s="19"/>
      <c r="X266" s="19"/>
    </row>
    <row r="267" spans="1:24" hidden="1" outlineLevel="3" x14ac:dyDescent="0.2">
      <c r="A267" s="19"/>
      <c r="B267" s="19"/>
      <c r="C267" s="506">
        <f>Qty!C224</f>
        <v>0</v>
      </c>
      <c r="D267" s="505">
        <f>Qty!D224</f>
        <v>0</v>
      </c>
      <c r="E267" s="505">
        <f>Qty!E224</f>
        <v>0</v>
      </c>
      <c r="F267" s="505">
        <f>Qty!F224</f>
        <v>0</v>
      </c>
      <c r="G267" s="505">
        <f>Qty!G224</f>
        <v>0</v>
      </c>
      <c r="H267" s="58"/>
      <c r="I267" s="238">
        <f>Qty!M224</f>
        <v>0</v>
      </c>
      <c r="J267" s="239"/>
      <c r="K267" s="238">
        <f>SUMIF(Qty!$M$7:$AF$7,K$50,Qty!$M224:$AF224)*consmultiplier</f>
        <v>0</v>
      </c>
      <c r="L267" s="238">
        <f>SUMIF(Qty!$M$7:$AF$7,L$50,Qty!$M224:$AF224)*consmultiplier</f>
        <v>0</v>
      </c>
      <c r="M267" s="238">
        <f>SUMIF(Qty!$M$7:$AF$7,M$50,Qty!$M224:$AF224)*consmultiplier</f>
        <v>0</v>
      </c>
      <c r="N267" s="238">
        <f>SUMIF(Qty!$M$7:$AF$7,N$50,Qty!$M224:$AF224)*consmultiplier</f>
        <v>0</v>
      </c>
      <c r="O267" s="238">
        <f t="shared" si="29"/>
        <v>0</v>
      </c>
      <c r="P267" s="239"/>
      <c r="Q267" s="238">
        <f>SUMIF(Qty!$M$7:$AF$7,Q$50,Qty!$M224:$AF224)*consmultiplier</f>
        <v>0</v>
      </c>
      <c r="R267" s="238">
        <f t="shared" si="30"/>
        <v>0</v>
      </c>
      <c r="S267" s="91"/>
      <c r="T267" s="19"/>
      <c r="U267" s="19"/>
      <c r="V267" s="19"/>
      <c r="W267" s="19"/>
      <c r="X267" s="19"/>
    </row>
    <row r="268" spans="1:24" hidden="1" outlineLevel="3" x14ac:dyDescent="0.2">
      <c r="A268" s="19"/>
      <c r="B268" s="19"/>
      <c r="C268" s="506">
        <f>Qty!C225</f>
        <v>0</v>
      </c>
      <c r="D268" s="505">
        <f>Qty!D225</f>
        <v>0</v>
      </c>
      <c r="E268" s="505">
        <f>Qty!E225</f>
        <v>0</v>
      </c>
      <c r="F268" s="505">
        <f>Qty!F225</f>
        <v>0</v>
      </c>
      <c r="G268" s="505">
        <f>Qty!G225</f>
        <v>0</v>
      </c>
      <c r="H268" s="58"/>
      <c r="I268" s="238">
        <f>Qty!M225</f>
        <v>0</v>
      </c>
      <c r="J268" s="239"/>
      <c r="K268" s="238">
        <f>SUMIF(Qty!$M$7:$AF$7,K$50,Qty!$M225:$AF225)*consmultiplier</f>
        <v>0</v>
      </c>
      <c r="L268" s="238">
        <f>SUMIF(Qty!$M$7:$AF$7,L$50,Qty!$M225:$AF225)*consmultiplier</f>
        <v>0</v>
      </c>
      <c r="M268" s="238">
        <f>SUMIF(Qty!$M$7:$AF$7,M$50,Qty!$M225:$AF225)*consmultiplier</f>
        <v>0</v>
      </c>
      <c r="N268" s="238">
        <f>SUMIF(Qty!$M$7:$AF$7,N$50,Qty!$M225:$AF225)*consmultiplier</f>
        <v>0</v>
      </c>
      <c r="O268" s="238">
        <f t="shared" si="29"/>
        <v>0</v>
      </c>
      <c r="P268" s="239"/>
      <c r="Q268" s="238">
        <f>SUMIF(Qty!$M$7:$AF$7,Q$50,Qty!$M225:$AF225)*consmultiplier</f>
        <v>0</v>
      </c>
      <c r="R268" s="238">
        <f t="shared" si="30"/>
        <v>0</v>
      </c>
      <c r="S268" s="91"/>
      <c r="T268" s="19"/>
      <c r="U268" s="19"/>
      <c r="V268" s="19"/>
      <c r="W268" s="19"/>
      <c r="X268" s="19"/>
    </row>
    <row r="269" spans="1:24" hidden="1" outlineLevel="3" x14ac:dyDescent="0.2">
      <c r="A269" s="19"/>
      <c r="B269" s="19"/>
      <c r="C269" s="506">
        <f>Qty!C226</f>
        <v>0</v>
      </c>
      <c r="D269" s="505">
        <f>Qty!D226</f>
        <v>0</v>
      </c>
      <c r="E269" s="505">
        <f>Qty!E226</f>
        <v>0</v>
      </c>
      <c r="F269" s="505">
        <f>Qty!F226</f>
        <v>0</v>
      </c>
      <c r="G269" s="505">
        <f>Qty!G226</f>
        <v>0</v>
      </c>
      <c r="H269" s="58"/>
      <c r="I269" s="238">
        <f>Qty!M226</f>
        <v>0</v>
      </c>
      <c r="J269" s="239"/>
      <c r="K269" s="238">
        <f>SUMIF(Qty!$M$7:$AF$7,K$50,Qty!$M226:$AF226)*consmultiplier</f>
        <v>0</v>
      </c>
      <c r="L269" s="238">
        <f>SUMIF(Qty!$M$7:$AF$7,L$50,Qty!$M226:$AF226)*consmultiplier</f>
        <v>0</v>
      </c>
      <c r="M269" s="238">
        <f>SUMIF(Qty!$M$7:$AF$7,M$50,Qty!$M226:$AF226)*consmultiplier</f>
        <v>0</v>
      </c>
      <c r="N269" s="238">
        <f>SUMIF(Qty!$M$7:$AF$7,N$50,Qty!$M226:$AF226)*consmultiplier</f>
        <v>0</v>
      </c>
      <c r="O269" s="238">
        <f t="shared" si="29"/>
        <v>0</v>
      </c>
      <c r="P269" s="239"/>
      <c r="Q269" s="238">
        <f>SUMIF(Qty!$M$7:$AF$7,Q$50,Qty!$M226:$AF226)*consmultiplier</f>
        <v>0</v>
      </c>
      <c r="R269" s="238">
        <f t="shared" si="30"/>
        <v>0</v>
      </c>
      <c r="S269" s="91"/>
      <c r="T269" s="19"/>
      <c r="U269" s="19"/>
      <c r="V269" s="19"/>
      <c r="W269" s="19"/>
      <c r="X269" s="19"/>
    </row>
    <row r="270" spans="1:24" hidden="1" outlineLevel="3" x14ac:dyDescent="0.2">
      <c r="A270" s="19"/>
      <c r="B270" s="19"/>
      <c r="C270" s="506">
        <f>Qty!C227</f>
        <v>0</v>
      </c>
      <c r="D270" s="505">
        <f>Qty!D227</f>
        <v>0</v>
      </c>
      <c r="E270" s="505">
        <f>Qty!E227</f>
        <v>0</v>
      </c>
      <c r="F270" s="505">
        <f>Qty!F227</f>
        <v>0</v>
      </c>
      <c r="G270" s="505">
        <f>Qty!G227</f>
        <v>0</v>
      </c>
      <c r="H270" s="58"/>
      <c r="I270" s="238">
        <f>Qty!M227</f>
        <v>0</v>
      </c>
      <c r="J270" s="239"/>
      <c r="K270" s="238">
        <f>SUMIF(Qty!$M$7:$AF$7,K$50,Qty!$M227:$AF227)*consmultiplier</f>
        <v>0</v>
      </c>
      <c r="L270" s="238">
        <f>SUMIF(Qty!$M$7:$AF$7,L$50,Qty!$M227:$AF227)*consmultiplier</f>
        <v>0</v>
      </c>
      <c r="M270" s="238">
        <f>SUMIF(Qty!$M$7:$AF$7,M$50,Qty!$M227:$AF227)*consmultiplier</f>
        <v>0</v>
      </c>
      <c r="N270" s="238">
        <f>SUMIF(Qty!$M$7:$AF$7,N$50,Qty!$M227:$AF227)*consmultiplier</f>
        <v>0</v>
      </c>
      <c r="O270" s="238">
        <f t="shared" si="29"/>
        <v>0</v>
      </c>
      <c r="P270" s="239"/>
      <c r="Q270" s="238">
        <f>SUMIF(Qty!$M$7:$AF$7,Q$50,Qty!$M227:$AF227)*consmultiplier</f>
        <v>0</v>
      </c>
      <c r="R270" s="238">
        <f t="shared" si="30"/>
        <v>0</v>
      </c>
      <c r="S270" s="91"/>
      <c r="T270" s="19"/>
      <c r="U270" s="19"/>
      <c r="V270" s="19"/>
      <c r="W270" s="19"/>
      <c r="X270" s="19"/>
    </row>
    <row r="271" spans="1:24" hidden="1" outlineLevel="3" x14ac:dyDescent="0.2">
      <c r="A271" s="19"/>
      <c r="B271" s="19"/>
      <c r="C271" s="506">
        <f>Qty!C228</f>
        <v>0</v>
      </c>
      <c r="D271" s="505">
        <f>Qty!D228</f>
        <v>0</v>
      </c>
      <c r="E271" s="505">
        <f>Qty!E228</f>
        <v>0</v>
      </c>
      <c r="F271" s="505">
        <f>Qty!F228</f>
        <v>0</v>
      </c>
      <c r="G271" s="505">
        <f>Qty!G228</f>
        <v>0</v>
      </c>
      <c r="H271" s="58"/>
      <c r="I271" s="238">
        <f>Qty!M228</f>
        <v>0</v>
      </c>
      <c r="J271" s="239"/>
      <c r="K271" s="238">
        <f>SUMIF(Qty!$M$7:$AF$7,K$50,Qty!$M228:$AF228)*consmultiplier</f>
        <v>0</v>
      </c>
      <c r="L271" s="238">
        <f>SUMIF(Qty!$M$7:$AF$7,L$50,Qty!$M228:$AF228)*consmultiplier</f>
        <v>0</v>
      </c>
      <c r="M271" s="238">
        <f>SUMIF(Qty!$M$7:$AF$7,M$50,Qty!$M228:$AF228)*consmultiplier</f>
        <v>0</v>
      </c>
      <c r="N271" s="238">
        <f>SUMIF(Qty!$M$7:$AF$7,N$50,Qty!$M228:$AF228)*consmultiplier</f>
        <v>0</v>
      </c>
      <c r="O271" s="238">
        <f t="shared" si="29"/>
        <v>0</v>
      </c>
      <c r="P271" s="239"/>
      <c r="Q271" s="238">
        <f>SUMIF(Qty!$M$7:$AF$7,Q$50,Qty!$M228:$AF228)*consmultiplier</f>
        <v>0</v>
      </c>
      <c r="R271" s="238">
        <f t="shared" si="30"/>
        <v>0</v>
      </c>
      <c r="S271" s="91"/>
      <c r="T271" s="19"/>
      <c r="U271" s="19"/>
      <c r="V271" s="19"/>
      <c r="W271" s="19"/>
      <c r="X271" s="19"/>
    </row>
    <row r="272" spans="1:24" hidden="1" outlineLevel="3" x14ac:dyDescent="0.2">
      <c r="A272" s="19"/>
      <c r="B272" s="19"/>
      <c r="C272" s="506">
        <f>Qty!C229</f>
        <v>0</v>
      </c>
      <c r="D272" s="505">
        <f>Qty!D229</f>
        <v>0</v>
      </c>
      <c r="E272" s="505">
        <f>Qty!E229</f>
        <v>0</v>
      </c>
      <c r="F272" s="505">
        <f>Qty!F229</f>
        <v>0</v>
      </c>
      <c r="G272" s="505">
        <f>Qty!G229</f>
        <v>0</v>
      </c>
      <c r="H272" s="58"/>
      <c r="I272" s="238">
        <f>Qty!M229</f>
        <v>0</v>
      </c>
      <c r="J272" s="239"/>
      <c r="K272" s="238">
        <f>SUMIF(Qty!$M$7:$AF$7,K$50,Qty!$M229:$AF229)*consmultiplier</f>
        <v>0</v>
      </c>
      <c r="L272" s="238">
        <f>SUMIF(Qty!$M$7:$AF$7,L$50,Qty!$M229:$AF229)*consmultiplier</f>
        <v>0</v>
      </c>
      <c r="M272" s="238">
        <f>SUMIF(Qty!$M$7:$AF$7,M$50,Qty!$M229:$AF229)*consmultiplier</f>
        <v>0</v>
      </c>
      <c r="N272" s="238">
        <f>SUMIF(Qty!$M$7:$AF$7,N$50,Qty!$M229:$AF229)*consmultiplier</f>
        <v>0</v>
      </c>
      <c r="O272" s="238">
        <f t="shared" si="29"/>
        <v>0</v>
      </c>
      <c r="P272" s="239"/>
      <c r="Q272" s="238">
        <f>SUMIF(Qty!$M$7:$AF$7,Q$50,Qty!$M229:$AF229)*consmultiplier</f>
        <v>0</v>
      </c>
      <c r="R272" s="238">
        <f t="shared" si="30"/>
        <v>0</v>
      </c>
      <c r="S272" s="91"/>
      <c r="T272" s="19"/>
      <c r="U272" s="19"/>
      <c r="V272" s="19"/>
      <c r="W272" s="19"/>
      <c r="X272" s="19"/>
    </row>
    <row r="273" spans="1:24" hidden="1" outlineLevel="3" x14ac:dyDescent="0.2">
      <c r="A273" s="19"/>
      <c r="B273" s="19"/>
      <c r="C273" s="506">
        <f>Qty!C230</f>
        <v>0</v>
      </c>
      <c r="D273" s="505">
        <f>Qty!D230</f>
        <v>0</v>
      </c>
      <c r="E273" s="505">
        <f>Qty!E230</f>
        <v>0</v>
      </c>
      <c r="F273" s="505">
        <f>Qty!F230</f>
        <v>0</v>
      </c>
      <c r="G273" s="505">
        <f>Qty!G230</f>
        <v>0</v>
      </c>
      <c r="H273" s="58"/>
      <c r="I273" s="238">
        <f>Qty!M230</f>
        <v>0</v>
      </c>
      <c r="J273" s="239"/>
      <c r="K273" s="238">
        <f>SUMIF(Qty!$M$7:$AF$7,K$50,Qty!$M230:$AF230)*consmultiplier</f>
        <v>0</v>
      </c>
      <c r="L273" s="238">
        <f>SUMIF(Qty!$M$7:$AF$7,L$50,Qty!$M230:$AF230)*consmultiplier</f>
        <v>0</v>
      </c>
      <c r="M273" s="238">
        <f>SUMIF(Qty!$M$7:$AF$7,M$50,Qty!$M230:$AF230)*consmultiplier</f>
        <v>0</v>
      </c>
      <c r="N273" s="238">
        <f>SUMIF(Qty!$M$7:$AF$7,N$50,Qty!$M230:$AF230)*consmultiplier</f>
        <v>0</v>
      </c>
      <c r="O273" s="238">
        <f t="shared" si="29"/>
        <v>0</v>
      </c>
      <c r="P273" s="239"/>
      <c r="Q273" s="238">
        <f>SUMIF(Qty!$M$7:$AF$7,Q$50,Qty!$M230:$AF230)*consmultiplier</f>
        <v>0</v>
      </c>
      <c r="R273" s="238">
        <f t="shared" si="30"/>
        <v>0</v>
      </c>
      <c r="S273" s="91"/>
      <c r="T273" s="19"/>
      <c r="U273" s="19"/>
      <c r="V273" s="19"/>
      <c r="W273" s="19"/>
      <c r="X273" s="19"/>
    </row>
    <row r="274" spans="1:24" hidden="1" outlineLevel="3" x14ac:dyDescent="0.2">
      <c r="A274" s="19"/>
      <c r="B274" s="19"/>
      <c r="C274" s="506">
        <f>Qty!C231</f>
        <v>0</v>
      </c>
      <c r="D274" s="505">
        <f>Qty!D231</f>
        <v>0</v>
      </c>
      <c r="E274" s="505">
        <f>Qty!E231</f>
        <v>0</v>
      </c>
      <c r="F274" s="505">
        <f>Qty!F231</f>
        <v>0</v>
      </c>
      <c r="G274" s="505">
        <f>Qty!G231</f>
        <v>0</v>
      </c>
      <c r="H274" s="58"/>
      <c r="I274" s="238">
        <f>Qty!M231</f>
        <v>0</v>
      </c>
      <c r="J274" s="239"/>
      <c r="K274" s="238">
        <f>SUMIF(Qty!$M$7:$AF$7,K$50,Qty!$M231:$AF231)*consmultiplier</f>
        <v>0</v>
      </c>
      <c r="L274" s="238">
        <f>SUMIF(Qty!$M$7:$AF$7,L$50,Qty!$M231:$AF231)*consmultiplier</f>
        <v>0</v>
      </c>
      <c r="M274" s="238">
        <f>SUMIF(Qty!$M$7:$AF$7,M$50,Qty!$M231:$AF231)*consmultiplier</f>
        <v>0</v>
      </c>
      <c r="N274" s="238">
        <f>SUMIF(Qty!$M$7:$AF$7,N$50,Qty!$M231:$AF231)*consmultiplier</f>
        <v>0</v>
      </c>
      <c r="O274" s="238">
        <f t="shared" ref="O274:O283" si="31">SUM(K274:N274)</f>
        <v>0</v>
      </c>
      <c r="P274" s="239"/>
      <c r="Q274" s="238">
        <f>SUMIF(Qty!$M$7:$AF$7,Q$50,Qty!$M231:$AF231)*consmultiplier</f>
        <v>0</v>
      </c>
      <c r="R274" s="238">
        <f t="shared" ref="R274:R283" si="32">O274-Q274</f>
        <v>0</v>
      </c>
      <c r="S274" s="91"/>
      <c r="T274" s="19"/>
      <c r="U274" s="19"/>
      <c r="V274" s="19"/>
      <c r="W274" s="19"/>
      <c r="X274" s="19"/>
    </row>
    <row r="275" spans="1:24" hidden="1" outlineLevel="3" x14ac:dyDescent="0.2">
      <c r="A275" s="19"/>
      <c r="B275" s="19"/>
      <c r="C275" s="506">
        <f>Qty!C232</f>
        <v>0</v>
      </c>
      <c r="D275" s="505">
        <f>Qty!D232</f>
        <v>0</v>
      </c>
      <c r="E275" s="505">
        <f>Qty!E232</f>
        <v>0</v>
      </c>
      <c r="F275" s="505">
        <f>Qty!F232</f>
        <v>0</v>
      </c>
      <c r="G275" s="505">
        <f>Qty!G232</f>
        <v>0</v>
      </c>
      <c r="H275" s="58"/>
      <c r="I275" s="238">
        <f>Qty!M232</f>
        <v>0</v>
      </c>
      <c r="J275" s="239"/>
      <c r="K275" s="238">
        <f>SUMIF(Qty!$M$7:$AF$7,K$50,Qty!$M232:$AF232)*consmultiplier</f>
        <v>0</v>
      </c>
      <c r="L275" s="238">
        <f>SUMIF(Qty!$M$7:$AF$7,L$50,Qty!$M232:$AF232)*consmultiplier</f>
        <v>0</v>
      </c>
      <c r="M275" s="238">
        <f>SUMIF(Qty!$M$7:$AF$7,M$50,Qty!$M232:$AF232)*consmultiplier</f>
        <v>0</v>
      </c>
      <c r="N275" s="238">
        <f>SUMIF(Qty!$M$7:$AF$7,N$50,Qty!$M232:$AF232)*consmultiplier</f>
        <v>0</v>
      </c>
      <c r="O275" s="238">
        <f t="shared" si="31"/>
        <v>0</v>
      </c>
      <c r="P275" s="239"/>
      <c r="Q275" s="238">
        <f>SUMIF(Qty!$M$7:$AF$7,Q$50,Qty!$M232:$AF232)*consmultiplier</f>
        <v>0</v>
      </c>
      <c r="R275" s="238">
        <f t="shared" si="32"/>
        <v>0</v>
      </c>
      <c r="S275" s="91"/>
      <c r="T275" s="19"/>
      <c r="U275" s="19"/>
      <c r="V275" s="19"/>
      <c r="W275" s="19"/>
      <c r="X275" s="19"/>
    </row>
    <row r="276" spans="1:24" hidden="1" outlineLevel="3" x14ac:dyDescent="0.2">
      <c r="A276" s="19"/>
      <c r="B276" s="19"/>
      <c r="C276" s="506">
        <f>Qty!C233</f>
        <v>0</v>
      </c>
      <c r="D276" s="505">
        <f>Qty!D233</f>
        <v>0</v>
      </c>
      <c r="E276" s="505">
        <f>Qty!E233</f>
        <v>0</v>
      </c>
      <c r="F276" s="505">
        <f>Qty!F233</f>
        <v>0</v>
      </c>
      <c r="G276" s="505">
        <f>Qty!G233</f>
        <v>0</v>
      </c>
      <c r="H276" s="58"/>
      <c r="I276" s="238">
        <f>Qty!M233</f>
        <v>0</v>
      </c>
      <c r="J276" s="239"/>
      <c r="K276" s="238">
        <f>SUMIF(Qty!$M$7:$AF$7,K$50,Qty!$M233:$AF233)*consmultiplier</f>
        <v>0</v>
      </c>
      <c r="L276" s="238">
        <f>SUMIF(Qty!$M$7:$AF$7,L$50,Qty!$M233:$AF233)*consmultiplier</f>
        <v>0</v>
      </c>
      <c r="M276" s="238">
        <f>SUMIF(Qty!$M$7:$AF$7,M$50,Qty!$M233:$AF233)*consmultiplier</f>
        <v>0</v>
      </c>
      <c r="N276" s="238">
        <f>SUMIF(Qty!$M$7:$AF$7,N$50,Qty!$M233:$AF233)*consmultiplier</f>
        <v>0</v>
      </c>
      <c r="O276" s="238">
        <f t="shared" si="31"/>
        <v>0</v>
      </c>
      <c r="P276" s="239"/>
      <c r="Q276" s="238">
        <f>SUMIF(Qty!$M$7:$AF$7,Q$50,Qty!$M233:$AF233)*consmultiplier</f>
        <v>0</v>
      </c>
      <c r="R276" s="238">
        <f t="shared" si="32"/>
        <v>0</v>
      </c>
      <c r="S276" s="91"/>
      <c r="T276" s="19"/>
      <c r="U276" s="19"/>
      <c r="V276" s="19"/>
      <c r="W276" s="19"/>
      <c r="X276" s="19"/>
    </row>
    <row r="277" spans="1:24" hidden="1" outlineLevel="3" x14ac:dyDescent="0.2">
      <c r="A277" s="19"/>
      <c r="B277" s="19"/>
      <c r="C277" s="506">
        <f>Qty!C234</f>
        <v>0</v>
      </c>
      <c r="D277" s="505">
        <f>Qty!D234</f>
        <v>0</v>
      </c>
      <c r="E277" s="505">
        <f>Qty!E234</f>
        <v>0</v>
      </c>
      <c r="F277" s="505">
        <f>Qty!F234</f>
        <v>0</v>
      </c>
      <c r="G277" s="505">
        <f>Qty!G234</f>
        <v>0</v>
      </c>
      <c r="H277" s="58"/>
      <c r="I277" s="238">
        <f>Qty!M234</f>
        <v>0</v>
      </c>
      <c r="J277" s="239"/>
      <c r="K277" s="238">
        <f>SUMIF(Qty!$M$7:$AF$7,K$50,Qty!$M234:$AF234)*consmultiplier</f>
        <v>0</v>
      </c>
      <c r="L277" s="238">
        <f>SUMIF(Qty!$M$7:$AF$7,L$50,Qty!$M234:$AF234)*consmultiplier</f>
        <v>0</v>
      </c>
      <c r="M277" s="238">
        <f>SUMIF(Qty!$M$7:$AF$7,M$50,Qty!$M234:$AF234)*consmultiplier</f>
        <v>0</v>
      </c>
      <c r="N277" s="238">
        <f>SUMIF(Qty!$M$7:$AF$7,N$50,Qty!$M234:$AF234)*consmultiplier</f>
        <v>0</v>
      </c>
      <c r="O277" s="238">
        <f t="shared" si="31"/>
        <v>0</v>
      </c>
      <c r="P277" s="239"/>
      <c r="Q277" s="238">
        <f>SUMIF(Qty!$M$7:$AF$7,Q$50,Qty!$M234:$AF234)*consmultiplier</f>
        <v>0</v>
      </c>
      <c r="R277" s="238">
        <f t="shared" si="32"/>
        <v>0</v>
      </c>
      <c r="S277" s="91"/>
      <c r="T277" s="19"/>
      <c r="U277" s="19"/>
      <c r="V277" s="19"/>
      <c r="W277" s="19"/>
      <c r="X277" s="19"/>
    </row>
    <row r="278" spans="1:24" hidden="1" outlineLevel="3" x14ac:dyDescent="0.2">
      <c r="A278" s="19"/>
      <c r="B278" s="19"/>
      <c r="C278" s="506">
        <f>Qty!C235</f>
        <v>0</v>
      </c>
      <c r="D278" s="505">
        <f>Qty!D235</f>
        <v>0</v>
      </c>
      <c r="E278" s="505">
        <f>Qty!E235</f>
        <v>0</v>
      </c>
      <c r="F278" s="505">
        <f>Qty!F235</f>
        <v>0</v>
      </c>
      <c r="G278" s="505">
        <f>Qty!G235</f>
        <v>0</v>
      </c>
      <c r="H278" s="58"/>
      <c r="I278" s="238">
        <f>Qty!M235</f>
        <v>0</v>
      </c>
      <c r="J278" s="239"/>
      <c r="K278" s="238">
        <f>SUMIF(Qty!$M$7:$AF$7,K$50,Qty!$M235:$AF235)*consmultiplier</f>
        <v>0</v>
      </c>
      <c r="L278" s="238">
        <f>SUMIF(Qty!$M$7:$AF$7,L$50,Qty!$M235:$AF235)*consmultiplier</f>
        <v>0</v>
      </c>
      <c r="M278" s="238">
        <f>SUMIF(Qty!$M$7:$AF$7,M$50,Qty!$M235:$AF235)*consmultiplier</f>
        <v>0</v>
      </c>
      <c r="N278" s="238">
        <f>SUMIF(Qty!$M$7:$AF$7,N$50,Qty!$M235:$AF235)*consmultiplier</f>
        <v>0</v>
      </c>
      <c r="O278" s="238">
        <f t="shared" si="31"/>
        <v>0</v>
      </c>
      <c r="P278" s="239"/>
      <c r="Q278" s="238">
        <f>SUMIF(Qty!$M$7:$AF$7,Q$50,Qty!$M235:$AF235)*consmultiplier</f>
        <v>0</v>
      </c>
      <c r="R278" s="238">
        <f t="shared" si="32"/>
        <v>0</v>
      </c>
      <c r="S278" s="91"/>
      <c r="T278" s="19"/>
      <c r="U278" s="19"/>
      <c r="V278" s="19"/>
      <c r="W278" s="19"/>
      <c r="X278" s="19"/>
    </row>
    <row r="279" spans="1:24" hidden="1" outlineLevel="3" x14ac:dyDescent="0.2">
      <c r="A279" s="19"/>
      <c r="B279" s="19"/>
      <c r="C279" s="506">
        <f>Qty!C236</f>
        <v>0</v>
      </c>
      <c r="D279" s="505">
        <f>Qty!D236</f>
        <v>0</v>
      </c>
      <c r="E279" s="505">
        <f>Qty!E236</f>
        <v>0</v>
      </c>
      <c r="F279" s="505">
        <f>Qty!F236</f>
        <v>0</v>
      </c>
      <c r="G279" s="505">
        <f>Qty!G236</f>
        <v>0</v>
      </c>
      <c r="H279" s="58"/>
      <c r="I279" s="238">
        <f>Qty!M236</f>
        <v>0</v>
      </c>
      <c r="J279" s="239"/>
      <c r="K279" s="238">
        <f>SUMIF(Qty!$M$7:$AF$7,K$50,Qty!$M236:$AF236)*consmultiplier</f>
        <v>0</v>
      </c>
      <c r="L279" s="238">
        <f>SUMIF(Qty!$M$7:$AF$7,L$50,Qty!$M236:$AF236)*consmultiplier</f>
        <v>0</v>
      </c>
      <c r="M279" s="238">
        <f>SUMIF(Qty!$M$7:$AF$7,M$50,Qty!$M236:$AF236)*consmultiplier</f>
        <v>0</v>
      </c>
      <c r="N279" s="238">
        <f>SUMIF(Qty!$M$7:$AF$7,N$50,Qty!$M236:$AF236)*consmultiplier</f>
        <v>0</v>
      </c>
      <c r="O279" s="238">
        <f t="shared" si="31"/>
        <v>0</v>
      </c>
      <c r="P279" s="239"/>
      <c r="Q279" s="238">
        <f>SUMIF(Qty!$M$7:$AF$7,Q$50,Qty!$M236:$AF236)*consmultiplier</f>
        <v>0</v>
      </c>
      <c r="R279" s="238">
        <f t="shared" si="32"/>
        <v>0</v>
      </c>
      <c r="S279" s="91"/>
      <c r="T279" s="19"/>
      <c r="U279" s="19"/>
      <c r="V279" s="19"/>
      <c r="W279" s="19"/>
      <c r="X279" s="19"/>
    </row>
    <row r="280" spans="1:24" hidden="1" outlineLevel="3" x14ac:dyDescent="0.2">
      <c r="A280" s="19"/>
      <c r="B280" s="19"/>
      <c r="C280" s="506">
        <f>Qty!C237</f>
        <v>0</v>
      </c>
      <c r="D280" s="505">
        <f>Qty!D237</f>
        <v>0</v>
      </c>
      <c r="E280" s="505">
        <f>Qty!E237</f>
        <v>0</v>
      </c>
      <c r="F280" s="505">
        <f>Qty!F237</f>
        <v>0</v>
      </c>
      <c r="G280" s="505">
        <f>Qty!G237</f>
        <v>0</v>
      </c>
      <c r="H280" s="58"/>
      <c r="I280" s="238">
        <f>Qty!M237</f>
        <v>0</v>
      </c>
      <c r="J280" s="239"/>
      <c r="K280" s="238">
        <f>SUMIF(Qty!$M$7:$AF$7,K$50,Qty!$M237:$AF237)*consmultiplier</f>
        <v>0</v>
      </c>
      <c r="L280" s="238">
        <f>SUMIF(Qty!$M$7:$AF$7,L$50,Qty!$M237:$AF237)*consmultiplier</f>
        <v>0</v>
      </c>
      <c r="M280" s="238">
        <f>SUMIF(Qty!$M$7:$AF$7,M$50,Qty!$M237:$AF237)*consmultiplier</f>
        <v>0</v>
      </c>
      <c r="N280" s="238">
        <f>SUMIF(Qty!$M$7:$AF$7,N$50,Qty!$M237:$AF237)*consmultiplier</f>
        <v>0</v>
      </c>
      <c r="O280" s="238">
        <f t="shared" si="31"/>
        <v>0</v>
      </c>
      <c r="P280" s="239"/>
      <c r="Q280" s="238">
        <f>SUMIF(Qty!$M$7:$AF$7,Q$50,Qty!$M237:$AF237)*consmultiplier</f>
        <v>0</v>
      </c>
      <c r="R280" s="238">
        <f t="shared" si="32"/>
        <v>0</v>
      </c>
      <c r="S280" s="91"/>
      <c r="T280" s="19"/>
      <c r="U280" s="19"/>
      <c r="V280" s="19"/>
      <c r="W280" s="19"/>
      <c r="X280" s="19"/>
    </row>
    <row r="281" spans="1:24" hidden="1" outlineLevel="3" x14ac:dyDescent="0.2">
      <c r="A281" s="19"/>
      <c r="B281" s="19"/>
      <c r="C281" s="506">
        <f>Qty!C238</f>
        <v>0</v>
      </c>
      <c r="D281" s="505">
        <f>Qty!D238</f>
        <v>0</v>
      </c>
      <c r="E281" s="505">
        <f>Qty!E238</f>
        <v>0</v>
      </c>
      <c r="F281" s="505">
        <f>Qty!F238</f>
        <v>0</v>
      </c>
      <c r="G281" s="505">
        <f>Qty!G238</f>
        <v>0</v>
      </c>
      <c r="H281" s="58"/>
      <c r="I281" s="238">
        <f>Qty!M238</f>
        <v>0</v>
      </c>
      <c r="J281" s="239"/>
      <c r="K281" s="238">
        <f>SUMIF(Qty!$M$7:$AF$7,K$50,Qty!$M238:$AF238)*consmultiplier</f>
        <v>0</v>
      </c>
      <c r="L281" s="238">
        <f>SUMIF(Qty!$M$7:$AF$7,L$50,Qty!$M238:$AF238)*consmultiplier</f>
        <v>0</v>
      </c>
      <c r="M281" s="238">
        <f>SUMIF(Qty!$M$7:$AF$7,M$50,Qty!$M238:$AF238)*consmultiplier</f>
        <v>0</v>
      </c>
      <c r="N281" s="238">
        <f>SUMIF(Qty!$M$7:$AF$7,N$50,Qty!$M238:$AF238)*consmultiplier</f>
        <v>0</v>
      </c>
      <c r="O281" s="238">
        <f t="shared" si="31"/>
        <v>0</v>
      </c>
      <c r="P281" s="239"/>
      <c r="Q281" s="238">
        <f>SUMIF(Qty!$M$7:$AF$7,Q$50,Qty!$M238:$AF238)*consmultiplier</f>
        <v>0</v>
      </c>
      <c r="R281" s="238">
        <f t="shared" si="32"/>
        <v>0</v>
      </c>
      <c r="S281" s="91"/>
      <c r="T281" s="19"/>
      <c r="U281" s="19"/>
      <c r="V281" s="19"/>
      <c r="W281" s="19"/>
      <c r="X281" s="19"/>
    </row>
    <row r="282" spans="1:24" hidden="1" outlineLevel="3" x14ac:dyDescent="0.2">
      <c r="A282" s="19"/>
      <c r="B282" s="19"/>
      <c r="C282" s="506">
        <f>Qty!C239</f>
        <v>0</v>
      </c>
      <c r="D282" s="505">
        <f>Qty!D239</f>
        <v>0</v>
      </c>
      <c r="E282" s="505">
        <f>Qty!E239</f>
        <v>0</v>
      </c>
      <c r="F282" s="505">
        <f>Qty!F239</f>
        <v>0</v>
      </c>
      <c r="G282" s="505">
        <f>Qty!G239</f>
        <v>0</v>
      </c>
      <c r="H282" s="58"/>
      <c r="I282" s="238">
        <f>Qty!M239</f>
        <v>0</v>
      </c>
      <c r="J282" s="239"/>
      <c r="K282" s="238">
        <f>SUMIF(Qty!$M$7:$AF$7,K$50,Qty!$M239:$AF239)*consmultiplier</f>
        <v>0</v>
      </c>
      <c r="L282" s="238">
        <f>SUMIF(Qty!$M$7:$AF$7,L$50,Qty!$M239:$AF239)*consmultiplier</f>
        <v>0</v>
      </c>
      <c r="M282" s="238">
        <f>SUMIF(Qty!$M$7:$AF$7,M$50,Qty!$M239:$AF239)*consmultiplier</f>
        <v>0</v>
      </c>
      <c r="N282" s="238">
        <f>SUMIF(Qty!$M$7:$AF$7,N$50,Qty!$M239:$AF239)*consmultiplier</f>
        <v>0</v>
      </c>
      <c r="O282" s="238">
        <f t="shared" si="31"/>
        <v>0</v>
      </c>
      <c r="P282" s="239"/>
      <c r="Q282" s="238">
        <f>SUMIF(Qty!$M$7:$AF$7,Q$50,Qty!$M239:$AF239)*consmultiplier</f>
        <v>0</v>
      </c>
      <c r="R282" s="238">
        <f t="shared" si="32"/>
        <v>0</v>
      </c>
      <c r="S282" s="91"/>
      <c r="T282" s="19"/>
      <c r="U282" s="19"/>
      <c r="V282" s="19"/>
      <c r="W282" s="19"/>
      <c r="X282" s="19"/>
    </row>
    <row r="283" spans="1:24" hidden="1" outlineLevel="3" x14ac:dyDescent="0.2">
      <c r="A283" s="19"/>
      <c r="B283" s="19"/>
      <c r="C283" s="506">
        <f>Qty!C240</f>
        <v>0</v>
      </c>
      <c r="D283" s="505">
        <f>Qty!D240</f>
        <v>0</v>
      </c>
      <c r="E283" s="505">
        <f>Qty!E240</f>
        <v>0</v>
      </c>
      <c r="F283" s="505">
        <f>Qty!F240</f>
        <v>0</v>
      </c>
      <c r="G283" s="505">
        <f>Qty!G240</f>
        <v>0</v>
      </c>
      <c r="H283" s="58"/>
      <c r="I283" s="238">
        <f>Qty!M240</f>
        <v>0</v>
      </c>
      <c r="J283" s="239"/>
      <c r="K283" s="238">
        <f>SUMIF(Qty!$M$7:$AF$7,K$50,Qty!$M240:$AF240)*consmultiplier</f>
        <v>0</v>
      </c>
      <c r="L283" s="238">
        <f>SUMIF(Qty!$M$7:$AF$7,L$50,Qty!$M240:$AF240)*consmultiplier</f>
        <v>0</v>
      </c>
      <c r="M283" s="238">
        <f>SUMIF(Qty!$M$7:$AF$7,M$50,Qty!$M240:$AF240)*consmultiplier</f>
        <v>0</v>
      </c>
      <c r="N283" s="238">
        <f>SUMIF(Qty!$M$7:$AF$7,N$50,Qty!$M240:$AF240)*consmultiplier</f>
        <v>0</v>
      </c>
      <c r="O283" s="238">
        <f t="shared" si="31"/>
        <v>0</v>
      </c>
      <c r="P283" s="239"/>
      <c r="Q283" s="238">
        <f>SUMIF(Qty!$M$7:$AF$7,Q$50,Qty!$M240:$AF240)*consmultiplier</f>
        <v>0</v>
      </c>
      <c r="R283" s="238">
        <f t="shared" si="32"/>
        <v>0</v>
      </c>
      <c r="S283" s="91"/>
      <c r="T283" s="19"/>
      <c r="U283" s="19"/>
      <c r="V283" s="19"/>
      <c r="W283" s="19"/>
      <c r="X283" s="19"/>
    </row>
    <row r="284" spans="1:24" outlineLevel="2" collapsed="1" x14ac:dyDescent="0.2">
      <c r="A284" s="19"/>
      <c r="B284" s="19"/>
      <c r="C284" s="66"/>
      <c r="D284" s="58"/>
      <c r="E284" s="58"/>
      <c r="F284" s="58"/>
      <c r="G284" s="58"/>
      <c r="H284" s="58"/>
      <c r="I284" s="318"/>
      <c r="J284" s="318"/>
      <c r="K284" s="242"/>
      <c r="L284" s="242"/>
      <c r="M284" s="242"/>
      <c r="N284" s="243"/>
      <c r="O284" s="243"/>
      <c r="P284" s="243"/>
      <c r="Q284" s="243"/>
      <c r="R284" s="243"/>
      <c r="S284" s="19"/>
      <c r="T284" s="19"/>
      <c r="U284" s="19"/>
      <c r="V284" s="19"/>
      <c r="W284" s="19"/>
      <c r="X284" s="19"/>
    </row>
    <row r="285" spans="1:24" outlineLevel="1" x14ac:dyDescent="0.2">
      <c r="A285" s="19"/>
      <c r="B285" s="19"/>
      <c r="C285" s="66"/>
      <c r="D285" s="58"/>
      <c r="E285" s="58"/>
      <c r="F285" s="58"/>
      <c r="G285" s="58"/>
      <c r="H285" s="58"/>
      <c r="I285" s="318"/>
      <c r="J285" s="318"/>
      <c r="K285" s="242"/>
      <c r="L285" s="242"/>
      <c r="M285" s="242"/>
      <c r="N285" s="243"/>
      <c r="O285" s="243"/>
      <c r="P285" s="243"/>
      <c r="Q285" s="243"/>
      <c r="R285" s="243"/>
      <c r="S285" s="19"/>
      <c r="T285" s="19"/>
      <c r="U285" s="19"/>
      <c r="V285" s="19"/>
      <c r="W285" s="19"/>
      <c r="X285" s="19"/>
    </row>
    <row r="286" spans="1:24" x14ac:dyDescent="0.2">
      <c r="A286" s="19"/>
      <c r="B286" s="19"/>
      <c r="C286" s="36"/>
      <c r="D286" s="20"/>
      <c r="E286" s="20"/>
      <c r="F286" s="20"/>
      <c r="G286" s="22"/>
      <c r="H286" s="22"/>
      <c r="I286" s="384"/>
      <c r="J286" s="242"/>
      <c r="K286" s="242"/>
      <c r="L286" s="242"/>
      <c r="M286" s="242"/>
      <c r="N286" s="243"/>
      <c r="O286" s="243"/>
      <c r="P286" s="243"/>
      <c r="Q286" s="243"/>
      <c r="R286" s="243"/>
      <c r="S286" s="19"/>
      <c r="T286" s="19"/>
      <c r="U286" s="19"/>
      <c r="V286" s="19"/>
      <c r="W286" s="19"/>
      <c r="X286" s="19"/>
    </row>
    <row r="287" spans="1:24" ht="12.75" x14ac:dyDescent="0.2">
      <c r="A287" s="11"/>
      <c r="B287" s="12" t="s">
        <v>695</v>
      </c>
      <c r="C287" s="11"/>
      <c r="D287" s="32" t="str">
        <f>D50</f>
        <v>Tariff class</v>
      </c>
      <c r="E287" s="32" t="str">
        <f>tariffid1</f>
        <v>Code</v>
      </c>
      <c r="F287" s="32" t="str">
        <f>tariffid2</f>
        <v>Trans. Node</v>
      </c>
      <c r="G287" s="32" t="str">
        <f>tariffid3</f>
        <v>Other identifier</v>
      </c>
      <c r="H287" s="32"/>
      <c r="I287" s="386" t="str">
        <f t="shared" ref="I287:R287" si="33">I5</f>
        <v>Fixed</v>
      </c>
      <c r="J287" s="386">
        <f t="shared" si="33"/>
        <v>0</v>
      </c>
      <c r="K287" s="386" t="str">
        <f t="shared" si="33"/>
        <v>Anytime</v>
      </c>
      <c r="L287" s="386" t="str">
        <f t="shared" si="33"/>
        <v>Peak</v>
      </c>
      <c r="M287" s="386" t="str">
        <f t="shared" si="33"/>
        <v>Shoulder</v>
      </c>
      <c r="N287" s="386" t="str">
        <f t="shared" si="33"/>
        <v>Off-peak</v>
      </c>
      <c r="O287" s="386" t="str">
        <f t="shared" si="33"/>
        <v>Total</v>
      </c>
      <c r="P287" s="386">
        <f t="shared" si="33"/>
        <v>0</v>
      </c>
      <c r="Q287" s="386" t="str">
        <f t="shared" si="33"/>
        <v>Export</v>
      </c>
      <c r="R287" s="386" t="str">
        <f t="shared" si="33"/>
        <v>Net</v>
      </c>
      <c r="S287" s="32"/>
      <c r="T287" s="15"/>
      <c r="U287" s="15"/>
      <c r="V287" s="15"/>
      <c r="W287" s="15"/>
      <c r="X287" s="15"/>
    </row>
    <row r="288" spans="1:24" outlineLevel="1" x14ac:dyDescent="0.2">
      <c r="A288" s="19"/>
      <c r="B288" s="19"/>
      <c r="C288" s="36"/>
      <c r="D288" s="20"/>
      <c r="E288" s="20"/>
      <c r="F288" s="20"/>
      <c r="G288" s="22"/>
      <c r="H288" s="22"/>
      <c r="I288" s="384" t="str">
        <f t="shared" ref="I288:R288" si="34">I6</f>
        <v>units</v>
      </c>
      <c r="J288" s="384">
        <f t="shared" si="34"/>
        <v>0</v>
      </c>
      <c r="K288" s="384" t="str">
        <f t="shared" si="34"/>
        <v>GWh</v>
      </c>
      <c r="L288" s="384" t="str">
        <f t="shared" si="34"/>
        <v>GWh</v>
      </c>
      <c r="M288" s="384" t="str">
        <f t="shared" si="34"/>
        <v>GWh</v>
      </c>
      <c r="N288" s="384" t="str">
        <f t="shared" si="34"/>
        <v>GWh</v>
      </c>
      <c r="O288" s="384" t="str">
        <f t="shared" si="34"/>
        <v>GWh</v>
      </c>
      <c r="P288" s="384">
        <f t="shared" si="34"/>
        <v>0</v>
      </c>
      <c r="Q288" s="384" t="str">
        <f t="shared" si="34"/>
        <v>GWh</v>
      </c>
      <c r="R288" s="384" t="str">
        <f t="shared" si="34"/>
        <v>GWh</v>
      </c>
      <c r="S288" s="22"/>
      <c r="T288" s="19"/>
      <c r="U288" s="19"/>
      <c r="V288" s="19"/>
      <c r="W288" s="19"/>
      <c r="X288" s="19"/>
    </row>
    <row r="289" spans="1:24" outlineLevel="1" x14ac:dyDescent="0.2">
      <c r="A289" s="19"/>
      <c r="B289" s="19"/>
      <c r="C289" s="167" t="str">
        <f>"Forecast "&amp;forecastyear</f>
        <v>Forecast 2022–23</v>
      </c>
      <c r="D289" s="20"/>
      <c r="E289" s="20"/>
      <c r="F289" s="20"/>
      <c r="G289" s="22"/>
      <c r="H289" s="22"/>
      <c r="I289" s="384"/>
      <c r="J289" s="384"/>
      <c r="K289" s="384"/>
      <c r="L289" s="384"/>
      <c r="M289" s="384"/>
      <c r="N289" s="384"/>
      <c r="O289" s="384"/>
      <c r="P289" s="384"/>
      <c r="Q289" s="384"/>
      <c r="R289" s="384"/>
      <c r="S289" s="22"/>
      <c r="T289" s="19"/>
      <c r="U289" s="19"/>
      <c r="V289" s="19"/>
      <c r="W289" s="19"/>
      <c r="X289" s="19"/>
    </row>
    <row r="290" spans="1:24" outlineLevel="2" x14ac:dyDescent="0.2">
      <c r="A290" s="19"/>
      <c r="B290" s="19"/>
      <c r="C290" s="506" t="s">
        <v>216</v>
      </c>
      <c r="D290" s="87"/>
      <c r="E290" s="20"/>
      <c r="F290" s="20"/>
      <c r="G290" s="22"/>
      <c r="H290" s="22"/>
      <c r="I290" s="238">
        <v>0</v>
      </c>
      <c r="J290" s="239"/>
      <c r="K290" s="238">
        <v>0</v>
      </c>
      <c r="L290" s="238">
        <v>0</v>
      </c>
      <c r="M290" s="238">
        <v>0</v>
      </c>
      <c r="N290" s="238">
        <v>0</v>
      </c>
      <c r="O290" s="238">
        <v>0</v>
      </c>
      <c r="P290" s="239"/>
      <c r="Q290" s="238">
        <v>0</v>
      </c>
      <c r="R290" s="238">
        <v>0</v>
      </c>
      <c r="S290" s="89"/>
      <c r="T290" s="19"/>
      <c r="U290" s="19"/>
      <c r="V290" s="19"/>
      <c r="W290" s="19"/>
      <c r="X290" s="19"/>
    </row>
    <row r="291" spans="1:24" s="59" customFormat="1" outlineLevel="2" x14ac:dyDescent="0.2">
      <c r="A291" s="57"/>
      <c r="B291" s="57"/>
      <c r="C291" s="506" t="s">
        <v>897</v>
      </c>
      <c r="D291" s="87"/>
      <c r="E291" s="58"/>
      <c r="F291" s="58"/>
      <c r="G291" s="58"/>
      <c r="H291" s="58"/>
      <c r="I291" s="238">
        <v>0</v>
      </c>
      <c r="J291" s="239"/>
      <c r="K291" s="238">
        <v>0</v>
      </c>
      <c r="L291" s="238">
        <v>0</v>
      </c>
      <c r="M291" s="238">
        <v>0</v>
      </c>
      <c r="N291" s="238">
        <v>0</v>
      </c>
      <c r="O291" s="238">
        <v>0</v>
      </c>
      <c r="P291" s="239"/>
      <c r="Q291" s="238">
        <v>0</v>
      </c>
      <c r="R291" s="238">
        <v>0</v>
      </c>
      <c r="S291" s="90"/>
      <c r="T291" s="57"/>
      <c r="U291" s="57"/>
      <c r="V291" s="57"/>
      <c r="W291" s="57"/>
      <c r="X291" s="57"/>
    </row>
    <row r="292" spans="1:24" outlineLevel="2" x14ac:dyDescent="0.2">
      <c r="A292" s="19"/>
      <c r="B292" s="19"/>
      <c r="C292" s="506" t="s">
        <v>898</v>
      </c>
      <c r="D292" s="87"/>
      <c r="E292" s="58"/>
      <c r="F292" s="58"/>
      <c r="G292" s="58"/>
      <c r="H292" s="58"/>
      <c r="I292" s="238">
        <v>0</v>
      </c>
      <c r="J292" s="239"/>
      <c r="K292" s="238">
        <v>0</v>
      </c>
      <c r="L292" s="238">
        <v>0</v>
      </c>
      <c r="M292" s="238">
        <v>0</v>
      </c>
      <c r="N292" s="238">
        <v>0</v>
      </c>
      <c r="O292" s="238">
        <v>0</v>
      </c>
      <c r="P292" s="239"/>
      <c r="Q292" s="238">
        <v>0</v>
      </c>
      <c r="R292" s="238">
        <v>0</v>
      </c>
      <c r="S292" s="90"/>
      <c r="T292" s="19"/>
      <c r="U292" s="19"/>
      <c r="V292" s="19"/>
      <c r="W292" s="19"/>
      <c r="X292" s="19"/>
    </row>
    <row r="293" spans="1:24" outlineLevel="2" x14ac:dyDescent="0.2">
      <c r="A293" s="19"/>
      <c r="B293" s="19"/>
      <c r="C293" s="506" t="s">
        <v>861</v>
      </c>
      <c r="D293" s="87"/>
      <c r="E293" s="58"/>
      <c r="F293" s="58"/>
      <c r="G293" s="58"/>
      <c r="H293" s="58"/>
      <c r="I293" s="238">
        <v>0</v>
      </c>
      <c r="J293" s="239"/>
      <c r="K293" s="238">
        <v>0</v>
      </c>
      <c r="L293" s="238">
        <v>0</v>
      </c>
      <c r="M293" s="238">
        <v>0</v>
      </c>
      <c r="N293" s="238">
        <v>0</v>
      </c>
      <c r="O293" s="238">
        <v>0</v>
      </c>
      <c r="P293" s="239"/>
      <c r="Q293" s="238">
        <v>0</v>
      </c>
      <c r="R293" s="238">
        <v>0</v>
      </c>
      <c r="S293" s="90"/>
      <c r="T293" s="19"/>
      <c r="U293" s="19"/>
      <c r="V293" s="19"/>
      <c r="W293" s="19"/>
      <c r="X293" s="19"/>
    </row>
    <row r="294" spans="1:24" outlineLevel="2" x14ac:dyDescent="0.2">
      <c r="A294" s="19"/>
      <c r="B294" s="19"/>
      <c r="C294" s="506" t="s">
        <v>899</v>
      </c>
      <c r="D294" s="87"/>
      <c r="E294" s="58"/>
      <c r="F294" s="58"/>
      <c r="G294" s="58"/>
      <c r="H294" s="58"/>
      <c r="I294" s="238">
        <v>17</v>
      </c>
      <c r="J294" s="239"/>
      <c r="K294" s="238">
        <v>0</v>
      </c>
      <c r="L294" s="238">
        <v>48.34553727116382</v>
      </c>
      <c r="M294" s="238">
        <v>65.922397877499094</v>
      </c>
      <c r="N294" s="238">
        <v>90.681776684358383</v>
      </c>
      <c r="O294" s="238">
        <v>204.9497118330213</v>
      </c>
      <c r="P294" s="239"/>
      <c r="Q294" s="238">
        <v>0</v>
      </c>
      <c r="R294" s="238">
        <v>204.9497118330213</v>
      </c>
      <c r="S294" s="90"/>
      <c r="T294" s="19"/>
      <c r="U294" s="19"/>
      <c r="V294" s="19"/>
      <c r="W294" s="19"/>
      <c r="X294" s="19"/>
    </row>
    <row r="295" spans="1:24" outlineLevel="2" x14ac:dyDescent="0.2">
      <c r="A295" s="19"/>
      <c r="B295" s="19"/>
      <c r="C295" s="506" t="s">
        <v>862</v>
      </c>
      <c r="D295" s="87"/>
      <c r="E295" s="58"/>
      <c r="F295" s="58"/>
      <c r="G295" s="58"/>
      <c r="H295" s="58"/>
      <c r="I295" s="238">
        <v>0</v>
      </c>
      <c r="J295" s="239"/>
      <c r="K295" s="238">
        <v>0</v>
      </c>
      <c r="L295" s="238">
        <v>0</v>
      </c>
      <c r="M295" s="238">
        <v>0</v>
      </c>
      <c r="N295" s="238">
        <v>0</v>
      </c>
      <c r="O295" s="238">
        <v>0</v>
      </c>
      <c r="P295" s="239"/>
      <c r="Q295" s="238">
        <v>0</v>
      </c>
      <c r="R295" s="238">
        <v>0</v>
      </c>
      <c r="S295" s="90"/>
      <c r="T295" s="19"/>
      <c r="U295" s="19"/>
      <c r="V295" s="19"/>
      <c r="W295" s="19"/>
      <c r="X295" s="19"/>
    </row>
    <row r="296" spans="1:24" outlineLevel="2" x14ac:dyDescent="0.2">
      <c r="A296" s="19"/>
      <c r="B296" s="19"/>
      <c r="C296" s="506" t="s">
        <v>863</v>
      </c>
      <c r="D296" s="87"/>
      <c r="E296" s="58"/>
      <c r="F296" s="58"/>
      <c r="G296" s="58"/>
      <c r="H296" s="58"/>
      <c r="I296" s="238">
        <v>0</v>
      </c>
      <c r="J296" s="239"/>
      <c r="K296" s="238">
        <v>0</v>
      </c>
      <c r="L296" s="238">
        <v>0</v>
      </c>
      <c r="M296" s="238">
        <v>0</v>
      </c>
      <c r="N296" s="238">
        <v>0</v>
      </c>
      <c r="O296" s="238">
        <v>0</v>
      </c>
      <c r="P296" s="239"/>
      <c r="Q296" s="238">
        <v>0</v>
      </c>
      <c r="R296" s="238">
        <v>0</v>
      </c>
      <c r="S296" s="90"/>
      <c r="T296" s="19"/>
      <c r="U296" s="19"/>
      <c r="V296" s="19"/>
      <c r="W296" s="19"/>
      <c r="X296" s="19"/>
    </row>
    <row r="297" spans="1:24" outlineLevel="2" x14ac:dyDescent="0.2">
      <c r="A297" s="19"/>
      <c r="B297" s="19"/>
      <c r="C297" s="506" t="s">
        <v>900</v>
      </c>
      <c r="D297" s="87"/>
      <c r="E297" s="58"/>
      <c r="F297" s="58"/>
      <c r="G297" s="58"/>
      <c r="H297" s="58"/>
      <c r="I297" s="238">
        <v>0</v>
      </c>
      <c r="J297" s="239"/>
      <c r="K297" s="238">
        <v>0</v>
      </c>
      <c r="L297" s="238">
        <v>0</v>
      </c>
      <c r="M297" s="238">
        <v>0</v>
      </c>
      <c r="N297" s="238">
        <v>0</v>
      </c>
      <c r="O297" s="238">
        <v>0</v>
      </c>
      <c r="P297" s="239"/>
      <c r="Q297" s="238">
        <v>0</v>
      </c>
      <c r="R297" s="238">
        <v>0</v>
      </c>
      <c r="S297" s="90"/>
      <c r="T297" s="19"/>
      <c r="U297" s="19"/>
      <c r="V297" s="19"/>
      <c r="W297" s="19"/>
      <c r="X297" s="19"/>
    </row>
    <row r="298" spans="1:24" outlineLevel="2" x14ac:dyDescent="0.2">
      <c r="A298" s="19"/>
      <c r="B298" s="19"/>
      <c r="C298" s="506" t="s">
        <v>901</v>
      </c>
      <c r="D298" s="87"/>
      <c r="E298" s="58"/>
      <c r="F298" s="58"/>
      <c r="G298" s="58"/>
      <c r="H298" s="58"/>
      <c r="I298" s="238">
        <v>0</v>
      </c>
      <c r="J298" s="239"/>
      <c r="K298" s="238">
        <v>0</v>
      </c>
      <c r="L298" s="238">
        <v>0</v>
      </c>
      <c r="M298" s="238">
        <v>0</v>
      </c>
      <c r="N298" s="238">
        <v>0</v>
      </c>
      <c r="O298" s="238">
        <v>0</v>
      </c>
      <c r="P298" s="239"/>
      <c r="Q298" s="238">
        <v>0</v>
      </c>
      <c r="R298" s="238">
        <v>0</v>
      </c>
      <c r="S298" s="90"/>
      <c r="T298" s="19"/>
      <c r="U298" s="19"/>
      <c r="V298" s="19"/>
      <c r="W298" s="19"/>
      <c r="X298" s="19"/>
    </row>
    <row r="299" spans="1:24" outlineLevel="2" x14ac:dyDescent="0.2">
      <c r="A299" s="19"/>
      <c r="B299" s="19"/>
      <c r="C299" s="506" t="s">
        <v>864</v>
      </c>
      <c r="D299" s="87"/>
      <c r="E299" s="58"/>
      <c r="F299" s="58"/>
      <c r="G299" s="58"/>
      <c r="H299" s="58"/>
      <c r="I299" s="238">
        <v>10</v>
      </c>
      <c r="J299" s="239"/>
      <c r="K299" s="238">
        <v>369.7839127735715</v>
      </c>
      <c r="L299" s="238">
        <v>7.9377061428169089</v>
      </c>
      <c r="M299" s="238">
        <v>9.9144898728572759</v>
      </c>
      <c r="N299" s="238">
        <v>13.23537836526163</v>
      </c>
      <c r="O299" s="238">
        <v>400.87148715450735</v>
      </c>
      <c r="P299" s="239"/>
      <c r="Q299" s="238">
        <v>0</v>
      </c>
      <c r="R299" s="238">
        <v>400.87148715450735</v>
      </c>
      <c r="S299" s="90"/>
      <c r="T299" s="19"/>
      <c r="U299" s="19"/>
      <c r="V299" s="19"/>
      <c r="W299" s="19"/>
      <c r="X299" s="19"/>
    </row>
    <row r="300" spans="1:24" outlineLevel="2" x14ac:dyDescent="0.2">
      <c r="A300" s="19"/>
      <c r="B300" s="19"/>
      <c r="C300" s="506">
        <v>0</v>
      </c>
      <c r="D300" s="87"/>
      <c r="E300" s="58"/>
      <c r="F300" s="58"/>
      <c r="G300" s="58"/>
      <c r="H300" s="58"/>
      <c r="I300" s="238">
        <v>0</v>
      </c>
      <c r="J300" s="239"/>
      <c r="K300" s="238">
        <v>0</v>
      </c>
      <c r="L300" s="238">
        <v>0</v>
      </c>
      <c r="M300" s="238">
        <v>0</v>
      </c>
      <c r="N300" s="238">
        <v>0</v>
      </c>
      <c r="O300" s="238">
        <v>0</v>
      </c>
      <c r="P300" s="239"/>
      <c r="Q300" s="238">
        <v>0</v>
      </c>
      <c r="R300" s="238">
        <v>0</v>
      </c>
      <c r="S300" s="90"/>
      <c r="T300" s="19"/>
      <c r="U300" s="19"/>
      <c r="V300" s="19"/>
      <c r="W300" s="19"/>
      <c r="X300" s="19"/>
    </row>
    <row r="301" spans="1:24" outlineLevel="2" x14ac:dyDescent="0.2">
      <c r="A301" s="19"/>
      <c r="B301" s="19"/>
      <c r="C301" s="539" t="s">
        <v>240</v>
      </c>
      <c r="D301" s="87"/>
      <c r="E301" s="58"/>
      <c r="F301" s="58"/>
      <c r="G301" s="58"/>
      <c r="H301" s="58"/>
      <c r="I301" s="238">
        <v>27</v>
      </c>
      <c r="J301" s="239"/>
      <c r="K301" s="238">
        <v>369.7839127735715</v>
      </c>
      <c r="L301" s="238">
        <v>56.283243413980728</v>
      </c>
      <c r="M301" s="238">
        <v>75.836887750356368</v>
      </c>
      <c r="N301" s="238">
        <v>103.91715504962001</v>
      </c>
      <c r="O301" s="238">
        <v>605.82119898752865</v>
      </c>
      <c r="P301" s="239"/>
      <c r="Q301" s="238">
        <v>0</v>
      </c>
      <c r="R301" s="238">
        <v>605.82119898752865</v>
      </c>
      <c r="S301" s="88"/>
      <c r="T301" s="19"/>
      <c r="U301" s="19"/>
      <c r="V301" s="19"/>
      <c r="W301" s="19"/>
      <c r="X301" s="19"/>
    </row>
    <row r="302" spans="1:24" outlineLevel="1" x14ac:dyDescent="0.2">
      <c r="A302" s="19"/>
      <c r="B302" s="19"/>
      <c r="C302" s="217"/>
      <c r="D302" s="58"/>
      <c r="E302" s="58"/>
      <c r="F302" s="58"/>
      <c r="G302" s="58"/>
      <c r="H302" s="58"/>
      <c r="I302" s="385"/>
      <c r="J302" s="385"/>
      <c r="K302" s="240"/>
      <c r="L302" s="240"/>
      <c r="M302" s="240"/>
      <c r="N302" s="241"/>
      <c r="O302" s="241"/>
      <c r="P302" s="241"/>
      <c r="Q302" s="241"/>
      <c r="R302" s="241"/>
      <c r="S302" s="88"/>
      <c r="T302" s="19"/>
      <c r="U302" s="19"/>
      <c r="V302" s="19"/>
      <c r="W302" s="19"/>
      <c r="X302" s="19"/>
    </row>
    <row r="303" spans="1:24" outlineLevel="1" x14ac:dyDescent="0.2">
      <c r="A303" s="19"/>
      <c r="B303" s="19"/>
      <c r="C303" s="167" t="s">
        <v>948</v>
      </c>
      <c r="D303" s="20"/>
      <c r="E303" s="20"/>
      <c r="F303" s="20"/>
      <c r="G303" s="22"/>
      <c r="H303" s="22"/>
      <c r="I303" s="240"/>
      <c r="J303" s="240"/>
      <c r="K303" s="240"/>
      <c r="L303" s="240"/>
      <c r="M303" s="240"/>
      <c r="N303" s="240"/>
      <c r="O303" s="240"/>
      <c r="P303" s="240"/>
      <c r="Q303" s="240"/>
      <c r="R303" s="240"/>
      <c r="S303" s="88"/>
      <c r="T303" s="19"/>
      <c r="U303" s="19"/>
      <c r="V303" s="19"/>
      <c r="W303" s="19"/>
      <c r="X303" s="19"/>
    </row>
    <row r="304" spans="1:24" outlineLevel="2" x14ac:dyDescent="0.2">
      <c r="A304" s="19"/>
      <c r="B304" s="19"/>
      <c r="C304" s="506" t="s">
        <v>216</v>
      </c>
      <c r="D304" s="87"/>
      <c r="E304" s="20"/>
      <c r="F304" s="20"/>
      <c r="G304" s="22"/>
      <c r="H304" s="22"/>
      <c r="I304" s="238">
        <v>0</v>
      </c>
      <c r="J304" s="239"/>
      <c r="K304" s="238">
        <v>0</v>
      </c>
      <c r="L304" s="238">
        <v>0</v>
      </c>
      <c r="M304" s="238">
        <v>0</v>
      </c>
      <c r="N304" s="238">
        <v>0</v>
      </c>
      <c r="O304" s="238">
        <v>0</v>
      </c>
      <c r="P304" s="239"/>
      <c r="Q304" s="238">
        <v>0</v>
      </c>
      <c r="R304" s="238">
        <v>0</v>
      </c>
      <c r="S304" s="89"/>
      <c r="T304" s="19"/>
      <c r="U304" s="19"/>
      <c r="V304" s="19"/>
      <c r="W304" s="19"/>
      <c r="X304" s="19"/>
    </row>
    <row r="305" spans="1:24" s="59" customFormat="1" outlineLevel="2" x14ac:dyDescent="0.2">
      <c r="A305" s="57"/>
      <c r="B305" s="57"/>
      <c r="C305" s="506" t="s">
        <v>897</v>
      </c>
      <c r="D305" s="87"/>
      <c r="E305" s="58"/>
      <c r="F305" s="58"/>
      <c r="G305" s="58"/>
      <c r="H305" s="58"/>
      <c r="I305" s="238">
        <v>0</v>
      </c>
      <c r="J305" s="239"/>
      <c r="K305" s="238">
        <v>0</v>
      </c>
      <c r="L305" s="238">
        <v>0</v>
      </c>
      <c r="M305" s="238">
        <v>0</v>
      </c>
      <c r="N305" s="238">
        <v>0</v>
      </c>
      <c r="O305" s="238">
        <v>0</v>
      </c>
      <c r="P305" s="239"/>
      <c r="Q305" s="238">
        <v>0</v>
      </c>
      <c r="R305" s="238">
        <v>0</v>
      </c>
      <c r="S305" s="90"/>
      <c r="T305" s="57"/>
      <c r="U305" s="57"/>
      <c r="V305" s="57"/>
      <c r="W305" s="57"/>
      <c r="X305" s="57"/>
    </row>
    <row r="306" spans="1:24" outlineLevel="2" x14ac:dyDescent="0.2">
      <c r="A306" s="19"/>
      <c r="B306" s="19"/>
      <c r="C306" s="506" t="s">
        <v>898</v>
      </c>
      <c r="D306" s="87"/>
      <c r="E306" s="58"/>
      <c r="F306" s="58"/>
      <c r="G306" s="58"/>
      <c r="H306" s="58"/>
      <c r="I306" s="238">
        <v>0</v>
      </c>
      <c r="J306" s="239"/>
      <c r="K306" s="238">
        <v>0</v>
      </c>
      <c r="L306" s="238">
        <v>0</v>
      </c>
      <c r="M306" s="238">
        <v>0</v>
      </c>
      <c r="N306" s="238">
        <v>0</v>
      </c>
      <c r="O306" s="238">
        <v>0</v>
      </c>
      <c r="P306" s="239"/>
      <c r="Q306" s="238">
        <v>0</v>
      </c>
      <c r="R306" s="238">
        <v>0</v>
      </c>
      <c r="S306" s="90"/>
      <c r="T306" s="19"/>
      <c r="U306" s="19"/>
      <c r="V306" s="19"/>
      <c r="W306" s="19"/>
      <c r="X306" s="19"/>
    </row>
    <row r="307" spans="1:24" outlineLevel="2" x14ac:dyDescent="0.2">
      <c r="A307" s="19"/>
      <c r="B307" s="19"/>
      <c r="C307" s="506" t="s">
        <v>861</v>
      </c>
      <c r="D307" s="87"/>
      <c r="E307" s="58"/>
      <c r="F307" s="58"/>
      <c r="G307" s="58"/>
      <c r="H307" s="58"/>
      <c r="I307" s="238">
        <v>0</v>
      </c>
      <c r="J307" s="239"/>
      <c r="K307" s="238">
        <v>0</v>
      </c>
      <c r="L307" s="238">
        <v>0</v>
      </c>
      <c r="M307" s="238">
        <v>0</v>
      </c>
      <c r="N307" s="238">
        <v>0</v>
      </c>
      <c r="O307" s="238">
        <v>0</v>
      </c>
      <c r="P307" s="239"/>
      <c r="Q307" s="238">
        <v>0</v>
      </c>
      <c r="R307" s="238">
        <v>0</v>
      </c>
      <c r="S307" s="90"/>
      <c r="T307" s="19"/>
      <c r="U307" s="19"/>
      <c r="V307" s="19"/>
      <c r="W307" s="19"/>
      <c r="X307" s="19"/>
    </row>
    <row r="308" spans="1:24" outlineLevel="2" x14ac:dyDescent="0.2">
      <c r="A308" s="19"/>
      <c r="B308" s="19"/>
      <c r="C308" s="506" t="s">
        <v>899</v>
      </c>
      <c r="D308" s="87"/>
      <c r="E308" s="58"/>
      <c r="F308" s="58"/>
      <c r="G308" s="58"/>
      <c r="H308" s="58"/>
      <c r="I308" s="238">
        <v>18.002739726027396</v>
      </c>
      <c r="J308" s="239"/>
      <c r="K308" s="238">
        <v>0</v>
      </c>
      <c r="L308" s="238">
        <v>50.03425601233139</v>
      </c>
      <c r="M308" s="238">
        <v>70.460386219310863</v>
      </c>
      <c r="N308" s="238">
        <v>97.018900725765519</v>
      </c>
      <c r="O308" s="238">
        <v>217.51354295740776</v>
      </c>
      <c r="P308" s="239"/>
      <c r="Q308" s="238">
        <v>0</v>
      </c>
      <c r="R308" s="238">
        <v>217.51354295740776</v>
      </c>
      <c r="S308" s="90"/>
      <c r="T308" s="19"/>
      <c r="U308" s="19"/>
      <c r="V308" s="19"/>
      <c r="W308" s="19"/>
      <c r="X308" s="19"/>
    </row>
    <row r="309" spans="1:24" outlineLevel="2" x14ac:dyDescent="0.2">
      <c r="A309" s="19"/>
      <c r="B309" s="19"/>
      <c r="C309" s="506" t="s">
        <v>862</v>
      </c>
      <c r="D309" s="87"/>
      <c r="E309" s="58"/>
      <c r="F309" s="58"/>
      <c r="G309" s="58"/>
      <c r="H309" s="58"/>
      <c r="I309" s="238">
        <v>0</v>
      </c>
      <c r="J309" s="239"/>
      <c r="K309" s="238">
        <v>0</v>
      </c>
      <c r="L309" s="238">
        <v>0</v>
      </c>
      <c r="M309" s="238">
        <v>0</v>
      </c>
      <c r="N309" s="238">
        <v>0</v>
      </c>
      <c r="O309" s="238">
        <v>0</v>
      </c>
      <c r="P309" s="239"/>
      <c r="Q309" s="238">
        <v>0</v>
      </c>
      <c r="R309" s="238">
        <v>0</v>
      </c>
      <c r="S309" s="90"/>
      <c r="T309" s="19"/>
      <c r="U309" s="19"/>
      <c r="V309" s="19"/>
      <c r="W309" s="19"/>
      <c r="X309" s="19"/>
    </row>
    <row r="310" spans="1:24" outlineLevel="2" x14ac:dyDescent="0.2">
      <c r="A310" s="19"/>
      <c r="B310" s="19"/>
      <c r="C310" s="506" t="s">
        <v>863</v>
      </c>
      <c r="D310" s="87"/>
      <c r="E310" s="58"/>
      <c r="F310" s="58"/>
      <c r="G310" s="58"/>
      <c r="H310" s="58"/>
      <c r="I310" s="238">
        <v>0</v>
      </c>
      <c r="J310" s="239"/>
      <c r="K310" s="238">
        <v>0</v>
      </c>
      <c r="L310" s="238">
        <v>0</v>
      </c>
      <c r="M310" s="238">
        <v>0</v>
      </c>
      <c r="N310" s="238">
        <v>0</v>
      </c>
      <c r="O310" s="238">
        <v>0</v>
      </c>
      <c r="P310" s="239"/>
      <c r="Q310" s="238">
        <v>0</v>
      </c>
      <c r="R310" s="238">
        <v>0</v>
      </c>
      <c r="S310" s="90"/>
      <c r="T310" s="19"/>
      <c r="U310" s="19"/>
      <c r="V310" s="19"/>
      <c r="W310" s="19"/>
      <c r="X310" s="19"/>
    </row>
    <row r="311" spans="1:24" outlineLevel="2" x14ac:dyDescent="0.2">
      <c r="A311" s="19"/>
      <c r="B311" s="19"/>
      <c r="C311" s="506" t="s">
        <v>900</v>
      </c>
      <c r="D311" s="87"/>
      <c r="E311" s="58"/>
      <c r="F311" s="58"/>
      <c r="G311" s="58"/>
      <c r="H311" s="58"/>
      <c r="I311" s="238">
        <v>0</v>
      </c>
      <c r="J311" s="239"/>
      <c r="K311" s="238">
        <v>0</v>
      </c>
      <c r="L311" s="238">
        <v>0</v>
      </c>
      <c r="M311" s="238">
        <v>0</v>
      </c>
      <c r="N311" s="238">
        <v>0</v>
      </c>
      <c r="O311" s="238">
        <v>0</v>
      </c>
      <c r="P311" s="239"/>
      <c r="Q311" s="238">
        <v>0</v>
      </c>
      <c r="R311" s="238">
        <v>0</v>
      </c>
      <c r="S311" s="90"/>
      <c r="T311" s="19"/>
      <c r="U311" s="19"/>
      <c r="V311" s="19"/>
      <c r="W311" s="19"/>
      <c r="X311" s="19"/>
    </row>
    <row r="312" spans="1:24" outlineLevel="2" x14ac:dyDescent="0.2">
      <c r="A312" s="19"/>
      <c r="B312" s="19"/>
      <c r="C312" s="506" t="s">
        <v>901</v>
      </c>
      <c r="D312" s="87"/>
      <c r="E312" s="58"/>
      <c r="F312" s="58"/>
      <c r="G312" s="58"/>
      <c r="H312" s="58"/>
      <c r="I312" s="238">
        <v>0</v>
      </c>
      <c r="J312" s="239"/>
      <c r="K312" s="238">
        <v>0</v>
      </c>
      <c r="L312" s="238">
        <v>0</v>
      </c>
      <c r="M312" s="238">
        <v>0</v>
      </c>
      <c r="N312" s="238">
        <v>0</v>
      </c>
      <c r="O312" s="238">
        <v>0</v>
      </c>
      <c r="P312" s="239"/>
      <c r="Q312" s="238">
        <v>0</v>
      </c>
      <c r="R312" s="238">
        <v>0</v>
      </c>
      <c r="S312" s="90"/>
      <c r="T312" s="19"/>
      <c r="U312" s="19"/>
      <c r="V312" s="19"/>
      <c r="W312" s="19"/>
      <c r="X312" s="19"/>
    </row>
    <row r="313" spans="1:24" outlineLevel="2" x14ac:dyDescent="0.2">
      <c r="A313" s="19"/>
      <c r="B313" s="19"/>
      <c r="C313" s="506" t="s">
        <v>864</v>
      </c>
      <c r="D313" s="87"/>
      <c r="E313" s="58"/>
      <c r="F313" s="58"/>
      <c r="G313" s="58"/>
      <c r="H313" s="58"/>
      <c r="I313" s="238">
        <v>10</v>
      </c>
      <c r="J313" s="239"/>
      <c r="K313" s="238">
        <v>369.18225548586253</v>
      </c>
      <c r="L313" s="238">
        <v>7.9247910900427172</v>
      </c>
      <c r="M313" s="238">
        <v>9.8983584921241885</v>
      </c>
      <c r="N313" s="238">
        <v>13.213843729562317</v>
      </c>
      <c r="O313" s="238">
        <v>400.21924879759177</v>
      </c>
      <c r="P313" s="239"/>
      <c r="Q313" s="238">
        <v>0</v>
      </c>
      <c r="R313" s="238">
        <v>400.21924879759177</v>
      </c>
      <c r="S313" s="90"/>
      <c r="T313" s="19"/>
      <c r="U313" s="19"/>
      <c r="V313" s="19"/>
      <c r="W313" s="19"/>
      <c r="X313" s="19"/>
    </row>
    <row r="314" spans="1:24" outlineLevel="2" x14ac:dyDescent="0.2">
      <c r="A314" s="19"/>
      <c r="B314" s="19"/>
      <c r="C314" s="506">
        <v>0</v>
      </c>
      <c r="D314" s="87"/>
      <c r="E314" s="58"/>
      <c r="F314" s="58"/>
      <c r="G314" s="58"/>
      <c r="H314" s="58"/>
      <c r="I314" s="238">
        <v>0</v>
      </c>
      <c r="J314" s="239"/>
      <c r="K314" s="238">
        <v>0</v>
      </c>
      <c r="L314" s="238">
        <v>0</v>
      </c>
      <c r="M314" s="238">
        <v>0</v>
      </c>
      <c r="N314" s="238">
        <v>0</v>
      </c>
      <c r="O314" s="238">
        <v>0</v>
      </c>
      <c r="P314" s="239"/>
      <c r="Q314" s="238">
        <v>0</v>
      </c>
      <c r="R314" s="238">
        <v>0</v>
      </c>
      <c r="S314" s="90"/>
      <c r="T314" s="19"/>
      <c r="U314" s="19"/>
      <c r="V314" s="19"/>
      <c r="W314" s="19"/>
      <c r="X314" s="19"/>
    </row>
    <row r="315" spans="1:24" outlineLevel="2" x14ac:dyDescent="0.2">
      <c r="A315" s="19"/>
      <c r="B315" s="19"/>
      <c r="C315" s="539" t="s">
        <v>240</v>
      </c>
      <c r="D315" s="87"/>
      <c r="E315" s="58"/>
      <c r="F315" s="58"/>
      <c r="G315" s="58"/>
      <c r="H315" s="58"/>
      <c r="I315" s="238">
        <v>0</v>
      </c>
      <c r="J315" s="239"/>
      <c r="K315" s="238">
        <v>0</v>
      </c>
      <c r="L315" s="238">
        <v>0</v>
      </c>
      <c r="M315" s="238">
        <v>0</v>
      </c>
      <c r="N315" s="238">
        <v>0</v>
      </c>
      <c r="O315" s="238">
        <v>0</v>
      </c>
      <c r="P315" s="239"/>
      <c r="Q315" s="238">
        <v>0</v>
      </c>
      <c r="R315" s="238">
        <v>0</v>
      </c>
      <c r="S315" s="88"/>
      <c r="T315" s="19"/>
      <c r="U315" s="19"/>
      <c r="V315" s="19"/>
      <c r="W315" s="19"/>
      <c r="X315" s="19"/>
    </row>
    <row r="316" spans="1:24" outlineLevel="1" x14ac:dyDescent="0.2">
      <c r="A316" s="19"/>
      <c r="B316" s="19"/>
      <c r="C316" s="217"/>
      <c r="D316" s="58"/>
      <c r="E316" s="58"/>
      <c r="F316" s="58"/>
      <c r="G316" s="58"/>
      <c r="H316" s="58"/>
      <c r="I316" s="385"/>
      <c r="J316" s="385"/>
      <c r="K316" s="240"/>
      <c r="L316" s="240"/>
      <c r="M316" s="240"/>
      <c r="N316" s="241"/>
      <c r="O316" s="241"/>
      <c r="P316" s="241"/>
      <c r="Q316" s="241"/>
      <c r="R316" s="241"/>
      <c r="S316" s="88"/>
      <c r="T316" s="19"/>
      <c r="U316" s="19"/>
      <c r="V316" s="19"/>
      <c r="W316" s="19"/>
      <c r="X316" s="19"/>
    </row>
    <row r="317" spans="1:24" outlineLevel="1" x14ac:dyDescent="0.2">
      <c r="A317" s="19"/>
      <c r="B317" s="19"/>
      <c r="C317" s="167" t="s">
        <v>949</v>
      </c>
      <c r="D317" s="20"/>
      <c r="E317" s="20"/>
      <c r="F317" s="20"/>
      <c r="G317" s="22"/>
      <c r="H317" s="22"/>
      <c r="I317" s="240"/>
      <c r="J317" s="240"/>
      <c r="K317" s="240"/>
      <c r="L317" s="240"/>
      <c r="M317" s="240"/>
      <c r="N317" s="240"/>
      <c r="O317" s="240"/>
      <c r="P317" s="240"/>
      <c r="Q317" s="240"/>
      <c r="R317" s="240"/>
      <c r="S317" s="88"/>
      <c r="T317" s="19"/>
      <c r="U317" s="19"/>
      <c r="V317" s="19"/>
      <c r="W317" s="19"/>
      <c r="X317" s="19"/>
    </row>
    <row r="318" spans="1:24" outlineLevel="2" x14ac:dyDescent="0.2">
      <c r="A318" s="19"/>
      <c r="B318" s="19"/>
      <c r="C318" s="506" t="s">
        <v>216</v>
      </c>
      <c r="D318" s="87"/>
      <c r="E318" s="20"/>
      <c r="F318" s="20"/>
      <c r="G318" s="22"/>
      <c r="H318" s="22"/>
      <c r="I318" s="238">
        <v>0</v>
      </c>
      <c r="J318" s="239"/>
      <c r="K318" s="238">
        <v>0</v>
      </c>
      <c r="L318" s="238">
        <v>0</v>
      </c>
      <c r="M318" s="238">
        <v>0</v>
      </c>
      <c r="N318" s="238">
        <v>0</v>
      </c>
      <c r="O318" s="238">
        <v>0</v>
      </c>
      <c r="P318" s="239"/>
      <c r="Q318" s="238">
        <v>0</v>
      </c>
      <c r="R318" s="238">
        <v>0</v>
      </c>
      <c r="S318" s="89"/>
      <c r="T318" s="19"/>
      <c r="U318" s="19"/>
      <c r="V318" s="19"/>
      <c r="W318" s="19"/>
      <c r="X318" s="19"/>
    </row>
    <row r="319" spans="1:24" s="59" customFormat="1" outlineLevel="2" x14ac:dyDescent="0.2">
      <c r="A319" s="57"/>
      <c r="B319" s="57"/>
      <c r="C319" s="506" t="s">
        <v>897</v>
      </c>
      <c r="D319" s="87"/>
      <c r="E319" s="58"/>
      <c r="F319" s="58"/>
      <c r="G319" s="58"/>
      <c r="H319" s="58"/>
      <c r="I319" s="238">
        <v>0</v>
      </c>
      <c r="J319" s="239"/>
      <c r="K319" s="238">
        <v>0</v>
      </c>
      <c r="L319" s="238">
        <v>0</v>
      </c>
      <c r="M319" s="238">
        <v>0</v>
      </c>
      <c r="N319" s="238">
        <v>0</v>
      </c>
      <c r="O319" s="238">
        <v>0</v>
      </c>
      <c r="P319" s="239"/>
      <c r="Q319" s="238">
        <v>0</v>
      </c>
      <c r="R319" s="238">
        <v>0</v>
      </c>
      <c r="S319" s="90"/>
      <c r="T319" s="57"/>
      <c r="U319" s="57"/>
      <c r="V319" s="57"/>
      <c r="W319" s="57"/>
      <c r="X319" s="57"/>
    </row>
    <row r="320" spans="1:24" outlineLevel="2" x14ac:dyDescent="0.2">
      <c r="A320" s="19"/>
      <c r="B320" s="19"/>
      <c r="C320" s="506" t="s">
        <v>898</v>
      </c>
      <c r="D320" s="87"/>
      <c r="E320" s="58"/>
      <c r="F320" s="58"/>
      <c r="G320" s="58"/>
      <c r="H320" s="58"/>
      <c r="I320" s="238">
        <v>0</v>
      </c>
      <c r="J320" s="239"/>
      <c r="K320" s="238">
        <v>0</v>
      </c>
      <c r="L320" s="238">
        <v>0</v>
      </c>
      <c r="M320" s="238">
        <v>0</v>
      </c>
      <c r="N320" s="238">
        <v>0</v>
      </c>
      <c r="O320" s="238">
        <v>0</v>
      </c>
      <c r="P320" s="239"/>
      <c r="Q320" s="238">
        <v>0</v>
      </c>
      <c r="R320" s="238">
        <v>0</v>
      </c>
      <c r="S320" s="90"/>
      <c r="T320" s="19"/>
      <c r="U320" s="19"/>
      <c r="V320" s="19"/>
      <c r="W320" s="19"/>
      <c r="X320" s="19"/>
    </row>
    <row r="321" spans="1:24" outlineLevel="2" x14ac:dyDescent="0.2">
      <c r="A321" s="19"/>
      <c r="B321" s="19"/>
      <c r="C321" s="506" t="s">
        <v>861</v>
      </c>
      <c r="D321" s="87"/>
      <c r="E321" s="58"/>
      <c r="F321" s="58"/>
      <c r="G321" s="58"/>
      <c r="H321" s="58"/>
      <c r="I321" s="238">
        <v>0</v>
      </c>
      <c r="J321" s="239"/>
      <c r="K321" s="238">
        <v>0</v>
      </c>
      <c r="L321" s="238">
        <v>0</v>
      </c>
      <c r="M321" s="238">
        <v>0</v>
      </c>
      <c r="N321" s="238">
        <v>0</v>
      </c>
      <c r="O321" s="238">
        <v>0</v>
      </c>
      <c r="P321" s="239"/>
      <c r="Q321" s="238">
        <v>0</v>
      </c>
      <c r="R321" s="238">
        <v>0</v>
      </c>
      <c r="S321" s="90"/>
      <c r="T321" s="19"/>
      <c r="U321" s="19"/>
      <c r="V321" s="19"/>
      <c r="W321" s="19"/>
      <c r="X321" s="19"/>
    </row>
    <row r="322" spans="1:24" outlineLevel="2" x14ac:dyDescent="0.2">
      <c r="A322" s="19"/>
      <c r="B322" s="19"/>
      <c r="C322" s="506" t="s">
        <v>899</v>
      </c>
      <c r="D322" s="87"/>
      <c r="E322" s="58"/>
      <c r="F322" s="58"/>
      <c r="G322" s="58"/>
      <c r="H322" s="58"/>
      <c r="I322" s="238">
        <v>20</v>
      </c>
      <c r="J322" s="239"/>
      <c r="K322" s="238">
        <v>0</v>
      </c>
      <c r="L322" s="238">
        <v>51.191853582214208</v>
      </c>
      <c r="M322" s="238">
        <v>72.000777466179173</v>
      </c>
      <c r="N322" s="238">
        <v>98.465938367606597</v>
      </c>
      <c r="O322" s="238">
        <v>221.65856941599998</v>
      </c>
      <c r="P322" s="239"/>
      <c r="Q322" s="238">
        <v>0</v>
      </c>
      <c r="R322" s="238">
        <v>221.65856941599998</v>
      </c>
      <c r="S322" s="90"/>
      <c r="T322" s="19"/>
      <c r="U322" s="19"/>
      <c r="V322" s="19"/>
      <c r="W322" s="19"/>
      <c r="X322" s="19"/>
    </row>
    <row r="323" spans="1:24" outlineLevel="2" x14ac:dyDescent="0.2">
      <c r="A323" s="19"/>
      <c r="B323" s="19"/>
      <c r="C323" s="506" t="s">
        <v>862</v>
      </c>
      <c r="D323" s="87"/>
      <c r="E323" s="58"/>
      <c r="F323" s="58"/>
      <c r="G323" s="58"/>
      <c r="H323" s="58"/>
      <c r="I323" s="238">
        <v>0</v>
      </c>
      <c r="J323" s="239"/>
      <c r="K323" s="238">
        <v>0</v>
      </c>
      <c r="L323" s="238">
        <v>0</v>
      </c>
      <c r="M323" s="238">
        <v>0</v>
      </c>
      <c r="N323" s="238">
        <v>0</v>
      </c>
      <c r="O323" s="238">
        <v>0</v>
      </c>
      <c r="P323" s="239"/>
      <c r="Q323" s="238">
        <v>0</v>
      </c>
      <c r="R323" s="238">
        <v>0</v>
      </c>
      <c r="S323" s="90"/>
      <c r="T323" s="19"/>
      <c r="U323" s="19"/>
      <c r="V323" s="19"/>
      <c r="W323" s="19"/>
      <c r="X323" s="19"/>
    </row>
    <row r="324" spans="1:24" outlineLevel="2" x14ac:dyDescent="0.2">
      <c r="A324" s="19"/>
      <c r="B324" s="19"/>
      <c r="C324" s="506" t="s">
        <v>863</v>
      </c>
      <c r="D324" s="87"/>
      <c r="E324" s="58"/>
      <c r="F324" s="58"/>
      <c r="G324" s="58"/>
      <c r="H324" s="58"/>
      <c r="I324" s="238">
        <v>0</v>
      </c>
      <c r="J324" s="239"/>
      <c r="K324" s="238">
        <v>0</v>
      </c>
      <c r="L324" s="238">
        <v>0</v>
      </c>
      <c r="M324" s="238">
        <v>0</v>
      </c>
      <c r="N324" s="238">
        <v>0</v>
      </c>
      <c r="O324" s="238">
        <v>0</v>
      </c>
      <c r="P324" s="239"/>
      <c r="Q324" s="238">
        <v>0</v>
      </c>
      <c r="R324" s="238">
        <v>0</v>
      </c>
      <c r="S324" s="90"/>
      <c r="T324" s="19"/>
      <c r="U324" s="19"/>
      <c r="V324" s="19"/>
      <c r="W324" s="19"/>
      <c r="X324" s="19"/>
    </row>
    <row r="325" spans="1:24" outlineLevel="2" x14ac:dyDescent="0.2">
      <c r="A325" s="19"/>
      <c r="B325" s="19"/>
      <c r="C325" s="506" t="s">
        <v>900</v>
      </c>
      <c r="D325" s="87"/>
      <c r="E325" s="58"/>
      <c r="F325" s="58"/>
      <c r="G325" s="58"/>
      <c r="H325" s="58"/>
      <c r="I325" s="238">
        <v>0</v>
      </c>
      <c r="J325" s="239"/>
      <c r="K325" s="238">
        <v>0</v>
      </c>
      <c r="L325" s="238">
        <v>0</v>
      </c>
      <c r="M325" s="238">
        <v>0</v>
      </c>
      <c r="N325" s="238">
        <v>0</v>
      </c>
      <c r="O325" s="238">
        <v>0</v>
      </c>
      <c r="P325" s="239"/>
      <c r="Q325" s="238">
        <v>0</v>
      </c>
      <c r="R325" s="238">
        <v>0</v>
      </c>
      <c r="S325" s="90"/>
      <c r="T325" s="19"/>
      <c r="U325" s="19"/>
      <c r="V325" s="19"/>
      <c r="W325" s="19"/>
      <c r="X325" s="19"/>
    </row>
    <row r="326" spans="1:24" outlineLevel="2" x14ac:dyDescent="0.2">
      <c r="A326" s="19"/>
      <c r="B326" s="19"/>
      <c r="C326" s="506" t="s">
        <v>901</v>
      </c>
      <c r="D326" s="87"/>
      <c r="E326" s="58"/>
      <c r="F326" s="58"/>
      <c r="G326" s="58"/>
      <c r="H326" s="58"/>
      <c r="I326" s="238">
        <v>0</v>
      </c>
      <c r="J326" s="239"/>
      <c r="K326" s="238">
        <v>0</v>
      </c>
      <c r="L326" s="238">
        <v>0</v>
      </c>
      <c r="M326" s="238">
        <v>0</v>
      </c>
      <c r="N326" s="238">
        <v>0</v>
      </c>
      <c r="O326" s="238">
        <v>0</v>
      </c>
      <c r="P326" s="239"/>
      <c r="Q326" s="238">
        <v>0</v>
      </c>
      <c r="R326" s="238">
        <v>0</v>
      </c>
      <c r="S326" s="90"/>
      <c r="T326" s="19"/>
      <c r="U326" s="19"/>
      <c r="V326" s="19"/>
      <c r="W326" s="19"/>
      <c r="X326" s="19"/>
    </row>
    <row r="327" spans="1:24" outlineLevel="2" x14ac:dyDescent="0.2">
      <c r="A327" s="19"/>
      <c r="B327" s="19"/>
      <c r="C327" s="506" t="s">
        <v>864</v>
      </c>
      <c r="D327" s="87"/>
      <c r="E327" s="58"/>
      <c r="F327" s="58"/>
      <c r="G327" s="58"/>
      <c r="H327" s="58"/>
      <c r="I327" s="238">
        <v>10</v>
      </c>
      <c r="J327" s="239"/>
      <c r="K327" s="238">
        <v>338.17577822485117</v>
      </c>
      <c r="L327" s="238">
        <v>7.6518503762171344</v>
      </c>
      <c r="M327" s="238">
        <v>9.626327101881559</v>
      </c>
      <c r="N327" s="238">
        <v>12.699759856050218</v>
      </c>
      <c r="O327" s="238">
        <v>368.15371555900003</v>
      </c>
      <c r="P327" s="239"/>
      <c r="Q327" s="238">
        <v>0</v>
      </c>
      <c r="R327" s="238">
        <v>368.15371555900003</v>
      </c>
      <c r="S327" s="90"/>
      <c r="T327" s="19"/>
      <c r="U327" s="19"/>
      <c r="V327" s="19"/>
      <c r="W327" s="19"/>
      <c r="X327" s="19"/>
    </row>
    <row r="328" spans="1:24" outlineLevel="2" x14ac:dyDescent="0.2">
      <c r="A328" s="19"/>
      <c r="B328" s="19"/>
      <c r="C328" s="506">
        <v>0</v>
      </c>
      <c r="D328" s="87"/>
      <c r="E328" s="58"/>
      <c r="F328" s="58"/>
      <c r="G328" s="58"/>
      <c r="H328" s="58"/>
      <c r="I328" s="238">
        <v>0</v>
      </c>
      <c r="J328" s="239"/>
      <c r="K328" s="238">
        <v>0</v>
      </c>
      <c r="L328" s="238">
        <v>0</v>
      </c>
      <c r="M328" s="238">
        <v>0</v>
      </c>
      <c r="N328" s="238">
        <v>0</v>
      </c>
      <c r="O328" s="238">
        <v>0</v>
      </c>
      <c r="P328" s="239"/>
      <c r="Q328" s="238">
        <v>0</v>
      </c>
      <c r="R328" s="238">
        <v>0</v>
      </c>
      <c r="S328" s="90"/>
      <c r="T328" s="19"/>
      <c r="U328" s="19"/>
      <c r="V328" s="19"/>
      <c r="W328" s="19"/>
      <c r="X328" s="19"/>
    </row>
    <row r="329" spans="1:24" outlineLevel="2" x14ac:dyDescent="0.2">
      <c r="A329" s="19"/>
      <c r="B329" s="19"/>
      <c r="C329" s="539" t="s">
        <v>240</v>
      </c>
      <c r="D329" s="87"/>
      <c r="E329" s="58"/>
      <c r="F329" s="58"/>
      <c r="G329" s="58"/>
      <c r="H329" s="58"/>
      <c r="I329" s="238">
        <v>30</v>
      </c>
      <c r="J329" s="239"/>
      <c r="K329" s="238">
        <v>338.17577822485117</v>
      </c>
      <c r="L329" s="238">
        <v>58.843703958431341</v>
      </c>
      <c r="M329" s="238">
        <v>81.62710456806073</v>
      </c>
      <c r="N329" s="238">
        <v>111.16569822365682</v>
      </c>
      <c r="O329" s="238">
        <v>589.81228497500001</v>
      </c>
      <c r="P329" s="239"/>
      <c r="Q329" s="238">
        <v>0</v>
      </c>
      <c r="R329" s="238">
        <v>589.81228497500001</v>
      </c>
      <c r="S329" s="19"/>
      <c r="T329" s="19"/>
      <c r="U329" s="19"/>
      <c r="V329" s="19"/>
      <c r="W329" s="19"/>
      <c r="X329" s="19"/>
    </row>
    <row r="330" spans="1:24" outlineLevel="1" x14ac:dyDescent="0.2">
      <c r="A330" s="19"/>
      <c r="B330" s="19"/>
      <c r="C330" s="321"/>
      <c r="D330" s="66"/>
      <c r="E330" s="58"/>
      <c r="F330" s="58"/>
      <c r="G330" s="58"/>
      <c r="H330" s="58"/>
      <c r="I330" s="240"/>
      <c r="J330" s="240"/>
      <c r="K330" s="240"/>
      <c r="L330" s="240"/>
      <c r="M330" s="240"/>
      <c r="N330" s="240"/>
      <c r="O330" s="240"/>
      <c r="P330" s="240"/>
      <c r="Q330" s="240"/>
      <c r="R330" s="240"/>
      <c r="S330" s="19"/>
      <c r="T330" s="19"/>
      <c r="U330" s="19"/>
      <c r="V330" s="19"/>
      <c r="W330" s="19"/>
      <c r="X330" s="19"/>
    </row>
    <row r="331" spans="1:24" outlineLevel="1" x14ac:dyDescent="0.2">
      <c r="A331" s="19"/>
      <c r="B331" s="19"/>
      <c r="C331" s="167" t="str">
        <f>C7</f>
        <v>Forecast 2022–23</v>
      </c>
      <c r="D331" s="20"/>
      <c r="E331" s="20"/>
      <c r="F331" s="20"/>
      <c r="G331" s="22"/>
      <c r="H331" s="22"/>
      <c r="I331" s="384"/>
      <c r="J331" s="384"/>
      <c r="K331" s="384"/>
      <c r="L331" s="384"/>
      <c r="M331" s="384"/>
      <c r="N331" s="384"/>
      <c r="O331" s="384"/>
      <c r="P331" s="384"/>
      <c r="Q331" s="384"/>
      <c r="R331" s="384"/>
      <c r="S331" s="22"/>
      <c r="T331" s="19"/>
      <c r="U331" s="19"/>
      <c r="V331" s="19"/>
      <c r="W331" s="19"/>
      <c r="X331" s="19"/>
    </row>
    <row r="332" spans="1:24" outlineLevel="2" x14ac:dyDescent="0.2">
      <c r="A332" s="606"/>
      <c r="B332" s="606"/>
      <c r="C332" s="607"/>
      <c r="D332" s="608"/>
      <c r="E332" s="608"/>
      <c r="F332" s="608"/>
      <c r="G332" s="608"/>
      <c r="H332" s="609"/>
      <c r="I332" s="650"/>
      <c r="J332" s="651"/>
      <c r="K332" s="650"/>
      <c r="L332" s="650"/>
      <c r="M332" s="650"/>
      <c r="N332" s="650"/>
      <c r="O332" s="650"/>
      <c r="P332" s="651"/>
      <c r="Q332" s="650"/>
      <c r="R332" s="650"/>
      <c r="S332" s="652"/>
      <c r="T332" s="606"/>
      <c r="U332" s="606"/>
      <c r="V332" s="19"/>
      <c r="W332" s="19"/>
      <c r="X332" s="19"/>
    </row>
    <row r="333" spans="1:24" outlineLevel="2" x14ac:dyDescent="0.2">
      <c r="A333" s="606"/>
      <c r="B333" s="606"/>
      <c r="C333" s="607"/>
      <c r="D333" s="608"/>
      <c r="E333" s="608"/>
      <c r="F333" s="608"/>
      <c r="G333" s="608"/>
      <c r="H333" s="609"/>
      <c r="I333" s="650"/>
      <c r="J333" s="651"/>
      <c r="K333" s="650"/>
      <c r="L333" s="650"/>
      <c r="M333" s="650"/>
      <c r="N333" s="650"/>
      <c r="O333" s="650"/>
      <c r="P333" s="651"/>
      <c r="Q333" s="650"/>
      <c r="R333" s="650"/>
      <c r="S333" s="652"/>
      <c r="T333" s="606"/>
      <c r="U333" s="606"/>
      <c r="V333" s="19"/>
      <c r="W333" s="19"/>
      <c r="X333" s="19"/>
    </row>
    <row r="334" spans="1:24" outlineLevel="2" x14ac:dyDescent="0.2">
      <c r="A334" s="606"/>
      <c r="B334" s="606"/>
      <c r="C334" s="607"/>
      <c r="D334" s="608"/>
      <c r="E334" s="608"/>
      <c r="F334" s="608"/>
      <c r="G334" s="608"/>
      <c r="H334" s="609"/>
      <c r="I334" s="650"/>
      <c r="J334" s="651"/>
      <c r="K334" s="650"/>
      <c r="L334" s="650"/>
      <c r="M334" s="650"/>
      <c r="N334" s="650"/>
      <c r="O334" s="650"/>
      <c r="P334" s="651"/>
      <c r="Q334" s="650"/>
      <c r="R334" s="650"/>
      <c r="S334" s="652"/>
      <c r="T334" s="606"/>
      <c r="U334" s="606"/>
      <c r="V334" s="19"/>
      <c r="W334" s="19"/>
      <c r="X334" s="19"/>
    </row>
    <row r="335" spans="1:24" outlineLevel="2" x14ac:dyDescent="0.2">
      <c r="A335" s="606"/>
      <c r="B335" s="606"/>
      <c r="C335" s="607"/>
      <c r="D335" s="608"/>
      <c r="E335" s="608"/>
      <c r="F335" s="608"/>
      <c r="G335" s="608"/>
      <c r="H335" s="609"/>
      <c r="I335" s="650"/>
      <c r="J335" s="651"/>
      <c r="K335" s="650"/>
      <c r="L335" s="650"/>
      <c r="M335" s="650"/>
      <c r="N335" s="650"/>
      <c r="O335" s="650"/>
      <c r="P335" s="651"/>
      <c r="Q335" s="650"/>
      <c r="R335" s="650"/>
      <c r="S335" s="652"/>
      <c r="T335" s="606"/>
      <c r="U335" s="606"/>
      <c r="V335" s="19"/>
      <c r="W335" s="19"/>
      <c r="X335" s="19"/>
    </row>
    <row r="336" spans="1:24" outlineLevel="2" x14ac:dyDescent="0.2">
      <c r="A336" s="606"/>
      <c r="B336" s="606"/>
      <c r="C336" s="607"/>
      <c r="D336" s="608"/>
      <c r="E336" s="608"/>
      <c r="F336" s="608"/>
      <c r="G336" s="608"/>
      <c r="H336" s="609"/>
      <c r="I336" s="650"/>
      <c r="J336" s="651"/>
      <c r="K336" s="650"/>
      <c r="L336" s="650"/>
      <c r="M336" s="650"/>
      <c r="N336" s="650"/>
      <c r="O336" s="650"/>
      <c r="P336" s="651"/>
      <c r="Q336" s="650"/>
      <c r="R336" s="650"/>
      <c r="S336" s="652"/>
      <c r="T336" s="606"/>
      <c r="U336" s="606"/>
      <c r="V336" s="19"/>
      <c r="W336" s="19"/>
      <c r="X336" s="19"/>
    </row>
    <row r="337" spans="1:24" outlineLevel="2" x14ac:dyDescent="0.2">
      <c r="A337" s="606"/>
      <c r="B337" s="606"/>
      <c r="C337" s="607"/>
      <c r="D337" s="608"/>
      <c r="E337" s="608"/>
      <c r="F337" s="608"/>
      <c r="G337" s="608"/>
      <c r="H337" s="609"/>
      <c r="I337" s="650"/>
      <c r="J337" s="651"/>
      <c r="K337" s="650"/>
      <c r="L337" s="650"/>
      <c r="M337" s="650"/>
      <c r="N337" s="650"/>
      <c r="O337" s="650"/>
      <c r="P337" s="651"/>
      <c r="Q337" s="650"/>
      <c r="R337" s="650"/>
      <c r="S337" s="652"/>
      <c r="T337" s="606"/>
      <c r="U337" s="606"/>
      <c r="V337" s="19"/>
      <c r="W337" s="19"/>
      <c r="X337" s="19"/>
    </row>
    <row r="338" spans="1:24" outlineLevel="2" x14ac:dyDescent="0.2">
      <c r="A338" s="606"/>
      <c r="B338" s="606"/>
      <c r="C338" s="607"/>
      <c r="D338" s="608"/>
      <c r="E338" s="608"/>
      <c r="F338" s="608"/>
      <c r="G338" s="608"/>
      <c r="H338" s="609"/>
      <c r="I338" s="650"/>
      <c r="J338" s="651"/>
      <c r="K338" s="650"/>
      <c r="L338" s="650"/>
      <c r="M338" s="650"/>
      <c r="N338" s="650"/>
      <c r="O338" s="650"/>
      <c r="P338" s="651"/>
      <c r="Q338" s="650"/>
      <c r="R338" s="650"/>
      <c r="S338" s="652"/>
      <c r="T338" s="606"/>
      <c r="U338" s="606"/>
      <c r="V338" s="19"/>
      <c r="W338" s="19"/>
      <c r="X338" s="19"/>
    </row>
    <row r="339" spans="1:24" outlineLevel="2" x14ac:dyDescent="0.2">
      <c r="A339" s="606"/>
      <c r="B339" s="606"/>
      <c r="C339" s="607"/>
      <c r="D339" s="608"/>
      <c r="E339" s="608"/>
      <c r="F339" s="608"/>
      <c r="G339" s="608"/>
      <c r="H339" s="609"/>
      <c r="I339" s="650"/>
      <c r="J339" s="651"/>
      <c r="K339" s="650"/>
      <c r="L339" s="650"/>
      <c r="M339" s="650"/>
      <c r="N339" s="650"/>
      <c r="O339" s="650"/>
      <c r="P339" s="651"/>
      <c r="Q339" s="650"/>
      <c r="R339" s="650"/>
      <c r="S339" s="652"/>
      <c r="T339" s="606"/>
      <c r="U339" s="606"/>
      <c r="V339" s="19"/>
      <c r="W339" s="19"/>
      <c r="X339" s="19"/>
    </row>
    <row r="340" spans="1:24" outlineLevel="2" x14ac:dyDescent="0.2">
      <c r="A340" s="606"/>
      <c r="B340" s="606"/>
      <c r="C340" s="607"/>
      <c r="D340" s="608"/>
      <c r="E340" s="608"/>
      <c r="F340" s="608"/>
      <c r="G340" s="608"/>
      <c r="H340" s="609"/>
      <c r="I340" s="650"/>
      <c r="J340" s="651"/>
      <c r="K340" s="650"/>
      <c r="L340" s="650"/>
      <c r="M340" s="650"/>
      <c r="N340" s="650"/>
      <c r="O340" s="650"/>
      <c r="P340" s="651"/>
      <c r="Q340" s="650"/>
      <c r="R340" s="650"/>
      <c r="S340" s="652"/>
      <c r="T340" s="606"/>
      <c r="U340" s="606"/>
      <c r="V340" s="19"/>
      <c r="W340" s="19"/>
      <c r="X340" s="19"/>
    </row>
    <row r="341" spans="1:24" outlineLevel="2" x14ac:dyDescent="0.2">
      <c r="A341" s="606"/>
      <c r="B341" s="606"/>
      <c r="C341" s="607"/>
      <c r="D341" s="608"/>
      <c r="E341" s="608"/>
      <c r="F341" s="608"/>
      <c r="G341" s="608"/>
      <c r="H341" s="609"/>
      <c r="I341" s="650"/>
      <c r="J341" s="651"/>
      <c r="K341" s="650"/>
      <c r="L341" s="650"/>
      <c r="M341" s="650"/>
      <c r="N341" s="650"/>
      <c r="O341" s="650"/>
      <c r="P341" s="651"/>
      <c r="Q341" s="650"/>
      <c r="R341" s="650"/>
      <c r="S341" s="652"/>
      <c r="T341" s="606"/>
      <c r="U341" s="606"/>
      <c r="V341" s="19"/>
      <c r="W341" s="19"/>
      <c r="X341" s="19"/>
    </row>
    <row r="342" spans="1:24" outlineLevel="2" x14ac:dyDescent="0.2">
      <c r="A342" s="606"/>
      <c r="B342" s="606"/>
      <c r="C342" s="607"/>
      <c r="D342" s="608"/>
      <c r="E342" s="608"/>
      <c r="F342" s="608"/>
      <c r="G342" s="608"/>
      <c r="H342" s="609"/>
      <c r="I342" s="650"/>
      <c r="J342" s="651"/>
      <c r="K342" s="650"/>
      <c r="L342" s="650"/>
      <c r="M342" s="650"/>
      <c r="N342" s="650"/>
      <c r="O342" s="650"/>
      <c r="P342" s="651"/>
      <c r="Q342" s="650"/>
      <c r="R342" s="650"/>
      <c r="S342" s="652"/>
      <c r="T342" s="606"/>
      <c r="U342" s="606"/>
      <c r="V342" s="19"/>
      <c r="W342" s="19"/>
      <c r="X342" s="19"/>
    </row>
    <row r="343" spans="1:24" outlineLevel="2" x14ac:dyDescent="0.2">
      <c r="A343" s="606"/>
      <c r="B343" s="606"/>
      <c r="C343" s="607"/>
      <c r="D343" s="608"/>
      <c r="E343" s="608"/>
      <c r="F343" s="608"/>
      <c r="G343" s="608"/>
      <c r="H343" s="609"/>
      <c r="I343" s="650"/>
      <c r="J343" s="651"/>
      <c r="K343" s="650"/>
      <c r="L343" s="650"/>
      <c r="M343" s="650"/>
      <c r="N343" s="650"/>
      <c r="O343" s="650"/>
      <c r="P343" s="651"/>
      <c r="Q343" s="650"/>
      <c r="R343" s="650"/>
      <c r="S343" s="652"/>
      <c r="T343" s="606"/>
      <c r="U343" s="606"/>
      <c r="V343" s="19"/>
      <c r="W343" s="19"/>
      <c r="X343" s="19"/>
    </row>
    <row r="344" spans="1:24" outlineLevel="2" x14ac:dyDescent="0.2">
      <c r="A344" s="606"/>
      <c r="B344" s="606"/>
      <c r="C344" s="607"/>
      <c r="D344" s="608"/>
      <c r="E344" s="608"/>
      <c r="F344" s="608"/>
      <c r="G344" s="608"/>
      <c r="H344" s="609"/>
      <c r="I344" s="650"/>
      <c r="J344" s="651"/>
      <c r="K344" s="650"/>
      <c r="L344" s="650"/>
      <c r="M344" s="650"/>
      <c r="N344" s="650"/>
      <c r="O344" s="650"/>
      <c r="P344" s="651"/>
      <c r="Q344" s="650"/>
      <c r="R344" s="650"/>
      <c r="S344" s="652"/>
      <c r="T344" s="606"/>
      <c r="U344" s="606"/>
      <c r="V344" s="19"/>
      <c r="W344" s="19"/>
      <c r="X344" s="19"/>
    </row>
    <row r="345" spans="1:24" outlineLevel="2" x14ac:dyDescent="0.2">
      <c r="A345" s="606"/>
      <c r="B345" s="606"/>
      <c r="C345" s="607"/>
      <c r="D345" s="608"/>
      <c r="E345" s="608"/>
      <c r="F345" s="608"/>
      <c r="G345" s="608"/>
      <c r="H345" s="609"/>
      <c r="I345" s="650"/>
      <c r="J345" s="651"/>
      <c r="K345" s="650"/>
      <c r="L345" s="650"/>
      <c r="M345" s="650"/>
      <c r="N345" s="650"/>
      <c r="O345" s="650"/>
      <c r="P345" s="651"/>
      <c r="Q345" s="650"/>
      <c r="R345" s="650"/>
      <c r="S345" s="652"/>
      <c r="T345" s="606"/>
      <c r="U345" s="606"/>
      <c r="V345" s="19"/>
      <c r="W345" s="19"/>
      <c r="X345" s="19"/>
    </row>
    <row r="346" spans="1:24" outlineLevel="2" x14ac:dyDescent="0.2">
      <c r="A346" s="606"/>
      <c r="B346" s="606"/>
      <c r="C346" s="607"/>
      <c r="D346" s="608"/>
      <c r="E346" s="608"/>
      <c r="F346" s="608"/>
      <c r="G346" s="608"/>
      <c r="H346" s="609"/>
      <c r="I346" s="650"/>
      <c r="J346" s="651"/>
      <c r="K346" s="650"/>
      <c r="L346" s="650"/>
      <c r="M346" s="650"/>
      <c r="N346" s="650"/>
      <c r="O346" s="650"/>
      <c r="P346" s="651"/>
      <c r="Q346" s="650"/>
      <c r="R346" s="650"/>
      <c r="S346" s="652"/>
      <c r="T346" s="606"/>
      <c r="U346" s="606"/>
      <c r="V346" s="19"/>
      <c r="W346" s="19"/>
      <c r="X346" s="19"/>
    </row>
    <row r="347" spans="1:24" outlineLevel="2" x14ac:dyDescent="0.2">
      <c r="A347" s="606"/>
      <c r="B347" s="606"/>
      <c r="C347" s="607"/>
      <c r="D347" s="608"/>
      <c r="E347" s="608"/>
      <c r="F347" s="608"/>
      <c r="G347" s="608"/>
      <c r="H347" s="609"/>
      <c r="I347" s="650"/>
      <c r="J347" s="651"/>
      <c r="K347" s="650"/>
      <c r="L347" s="650"/>
      <c r="M347" s="650"/>
      <c r="N347" s="650"/>
      <c r="O347" s="650"/>
      <c r="P347" s="651"/>
      <c r="Q347" s="650"/>
      <c r="R347" s="650"/>
      <c r="S347" s="652"/>
      <c r="T347" s="606"/>
      <c r="U347" s="606"/>
      <c r="V347" s="19"/>
      <c r="W347" s="19"/>
      <c r="X347" s="19"/>
    </row>
    <row r="348" spans="1:24" outlineLevel="2" x14ac:dyDescent="0.2">
      <c r="A348" s="606"/>
      <c r="B348" s="606"/>
      <c r="C348" s="607"/>
      <c r="D348" s="608"/>
      <c r="E348" s="608"/>
      <c r="F348" s="608"/>
      <c r="G348" s="608"/>
      <c r="H348" s="609"/>
      <c r="I348" s="650"/>
      <c r="J348" s="651"/>
      <c r="K348" s="650"/>
      <c r="L348" s="650"/>
      <c r="M348" s="650"/>
      <c r="N348" s="650"/>
      <c r="O348" s="650"/>
      <c r="P348" s="651"/>
      <c r="Q348" s="650"/>
      <c r="R348" s="650"/>
      <c r="S348" s="652"/>
      <c r="T348" s="606"/>
      <c r="U348" s="606"/>
      <c r="V348" s="19"/>
      <c r="W348" s="19"/>
      <c r="X348" s="19"/>
    </row>
    <row r="349" spans="1:24" outlineLevel="2" x14ac:dyDescent="0.2">
      <c r="A349" s="606"/>
      <c r="B349" s="606"/>
      <c r="C349" s="607"/>
      <c r="D349" s="608"/>
      <c r="E349" s="608"/>
      <c r="F349" s="608"/>
      <c r="G349" s="608"/>
      <c r="H349" s="609"/>
      <c r="I349" s="650"/>
      <c r="J349" s="651"/>
      <c r="K349" s="650"/>
      <c r="L349" s="650"/>
      <c r="M349" s="650"/>
      <c r="N349" s="650"/>
      <c r="O349" s="650"/>
      <c r="P349" s="651"/>
      <c r="Q349" s="650"/>
      <c r="R349" s="650"/>
      <c r="S349" s="652"/>
      <c r="T349" s="606"/>
      <c r="U349" s="606"/>
      <c r="V349" s="19"/>
      <c r="W349" s="19"/>
      <c r="X349" s="19"/>
    </row>
    <row r="350" spans="1:24" outlineLevel="2" x14ac:dyDescent="0.2">
      <c r="A350" s="606"/>
      <c r="B350" s="606"/>
      <c r="C350" s="607"/>
      <c r="D350" s="608"/>
      <c r="E350" s="608"/>
      <c r="F350" s="608"/>
      <c r="G350" s="608"/>
      <c r="H350" s="609"/>
      <c r="I350" s="650"/>
      <c r="J350" s="651"/>
      <c r="K350" s="650"/>
      <c r="L350" s="650"/>
      <c r="M350" s="650"/>
      <c r="N350" s="650"/>
      <c r="O350" s="650"/>
      <c r="P350" s="651"/>
      <c r="Q350" s="650"/>
      <c r="R350" s="650"/>
      <c r="S350" s="652"/>
      <c r="T350" s="606"/>
      <c r="U350" s="606"/>
      <c r="V350" s="19"/>
      <c r="W350" s="19"/>
      <c r="X350" s="19"/>
    </row>
    <row r="351" spans="1:24" outlineLevel="2" x14ac:dyDescent="0.2">
      <c r="A351" s="606"/>
      <c r="B351" s="606"/>
      <c r="C351" s="607"/>
      <c r="D351" s="608"/>
      <c r="E351" s="608"/>
      <c r="F351" s="608"/>
      <c r="G351" s="608"/>
      <c r="H351" s="609"/>
      <c r="I351" s="650"/>
      <c r="J351" s="651"/>
      <c r="K351" s="650"/>
      <c r="L351" s="650"/>
      <c r="M351" s="650"/>
      <c r="N351" s="650"/>
      <c r="O351" s="650"/>
      <c r="P351" s="651"/>
      <c r="Q351" s="650"/>
      <c r="R351" s="650"/>
      <c r="S351" s="652"/>
      <c r="T351" s="606"/>
      <c r="U351" s="606"/>
      <c r="V351" s="19"/>
      <c r="W351" s="19"/>
      <c r="X351" s="19"/>
    </row>
    <row r="352" spans="1:24" outlineLevel="2" x14ac:dyDescent="0.2">
      <c r="A352" s="606"/>
      <c r="B352" s="606"/>
      <c r="C352" s="607"/>
      <c r="D352" s="608"/>
      <c r="E352" s="608"/>
      <c r="F352" s="608"/>
      <c r="G352" s="608"/>
      <c r="H352" s="609"/>
      <c r="I352" s="650"/>
      <c r="J352" s="651"/>
      <c r="K352" s="650"/>
      <c r="L352" s="650"/>
      <c r="M352" s="650"/>
      <c r="N352" s="650"/>
      <c r="O352" s="650"/>
      <c r="P352" s="651"/>
      <c r="Q352" s="650"/>
      <c r="R352" s="650"/>
      <c r="S352" s="652"/>
      <c r="T352" s="606"/>
      <c r="U352" s="606"/>
      <c r="V352" s="19"/>
      <c r="W352" s="19"/>
      <c r="X352" s="19"/>
    </row>
    <row r="353" spans="1:24" outlineLevel="2" x14ac:dyDescent="0.2">
      <c r="A353" s="606"/>
      <c r="B353" s="606"/>
      <c r="C353" s="607"/>
      <c r="D353" s="608"/>
      <c r="E353" s="608"/>
      <c r="F353" s="608"/>
      <c r="G353" s="608"/>
      <c r="H353" s="609"/>
      <c r="I353" s="650"/>
      <c r="J353" s="651"/>
      <c r="K353" s="650"/>
      <c r="L353" s="650"/>
      <c r="M353" s="650"/>
      <c r="N353" s="650"/>
      <c r="O353" s="650"/>
      <c r="P353" s="651"/>
      <c r="Q353" s="650"/>
      <c r="R353" s="650"/>
      <c r="S353" s="652"/>
      <c r="T353" s="606"/>
      <c r="U353" s="606"/>
      <c r="V353" s="19"/>
      <c r="W353" s="19"/>
      <c r="X353" s="19"/>
    </row>
    <row r="354" spans="1:24" outlineLevel="2" x14ac:dyDescent="0.2">
      <c r="A354" s="606"/>
      <c r="B354" s="606"/>
      <c r="C354" s="607"/>
      <c r="D354" s="608"/>
      <c r="E354" s="608"/>
      <c r="F354" s="608"/>
      <c r="G354" s="608"/>
      <c r="H354" s="609"/>
      <c r="I354" s="650"/>
      <c r="J354" s="651"/>
      <c r="K354" s="650"/>
      <c r="L354" s="650"/>
      <c r="M354" s="650"/>
      <c r="N354" s="650"/>
      <c r="O354" s="650"/>
      <c r="P354" s="651"/>
      <c r="Q354" s="650"/>
      <c r="R354" s="650"/>
      <c r="S354" s="652"/>
      <c r="T354" s="606"/>
      <c r="U354" s="606"/>
      <c r="V354" s="19"/>
      <c r="W354" s="19"/>
      <c r="X354" s="19"/>
    </row>
    <row r="355" spans="1:24" outlineLevel="2" x14ac:dyDescent="0.2">
      <c r="A355" s="606"/>
      <c r="B355" s="606"/>
      <c r="C355" s="607"/>
      <c r="D355" s="608"/>
      <c r="E355" s="608"/>
      <c r="F355" s="608"/>
      <c r="G355" s="608"/>
      <c r="H355" s="609"/>
      <c r="I355" s="650"/>
      <c r="J355" s="651"/>
      <c r="K355" s="650"/>
      <c r="L355" s="650"/>
      <c r="M355" s="650"/>
      <c r="N355" s="650"/>
      <c r="O355" s="650"/>
      <c r="P355" s="651"/>
      <c r="Q355" s="650"/>
      <c r="R355" s="650"/>
      <c r="S355" s="652"/>
      <c r="T355" s="606"/>
      <c r="U355" s="606"/>
      <c r="V355" s="19"/>
      <c r="W355" s="19"/>
      <c r="X355" s="19"/>
    </row>
    <row r="356" spans="1:24" outlineLevel="2" x14ac:dyDescent="0.2">
      <c r="A356" s="606"/>
      <c r="B356" s="606"/>
      <c r="C356" s="607"/>
      <c r="D356" s="608"/>
      <c r="E356" s="608"/>
      <c r="F356" s="608"/>
      <c r="G356" s="608"/>
      <c r="H356" s="609"/>
      <c r="I356" s="650"/>
      <c r="J356" s="651"/>
      <c r="K356" s="650"/>
      <c r="L356" s="650"/>
      <c r="M356" s="650"/>
      <c r="N356" s="650"/>
      <c r="O356" s="650"/>
      <c r="P356" s="651"/>
      <c r="Q356" s="650"/>
      <c r="R356" s="650"/>
      <c r="S356" s="652"/>
      <c r="T356" s="606"/>
      <c r="U356" s="606"/>
      <c r="V356" s="19"/>
      <c r="W356" s="19"/>
      <c r="X356" s="19"/>
    </row>
    <row r="357" spans="1:24" outlineLevel="2" x14ac:dyDescent="0.2">
      <c r="A357" s="606"/>
      <c r="B357" s="606"/>
      <c r="C357" s="607"/>
      <c r="D357" s="608"/>
      <c r="E357" s="608"/>
      <c r="F357" s="608"/>
      <c r="G357" s="608"/>
      <c r="H357" s="609"/>
      <c r="I357" s="650"/>
      <c r="J357" s="651"/>
      <c r="K357" s="650"/>
      <c r="L357" s="650"/>
      <c r="M357" s="650"/>
      <c r="N357" s="650"/>
      <c r="O357" s="650"/>
      <c r="P357" s="651"/>
      <c r="Q357" s="650"/>
      <c r="R357" s="650"/>
      <c r="S357" s="652"/>
      <c r="T357" s="606"/>
      <c r="U357" s="606"/>
      <c r="V357" s="19"/>
      <c r="W357" s="19"/>
      <c r="X357" s="19"/>
    </row>
    <row r="358" spans="1:24" outlineLevel="2" x14ac:dyDescent="0.2">
      <c r="A358" s="606"/>
      <c r="B358" s="606"/>
      <c r="C358" s="630"/>
      <c r="D358" s="608"/>
      <c r="E358" s="608"/>
      <c r="F358" s="608"/>
      <c r="G358" s="608"/>
      <c r="H358" s="609"/>
      <c r="I358" s="650"/>
      <c r="J358" s="651"/>
      <c r="K358" s="650"/>
      <c r="L358" s="650"/>
      <c r="M358" s="650"/>
      <c r="N358" s="650"/>
      <c r="O358" s="650"/>
      <c r="P358" s="651"/>
      <c r="Q358" s="650"/>
      <c r="R358" s="650"/>
      <c r="S358" s="652"/>
      <c r="T358" s="606"/>
      <c r="U358" s="606"/>
      <c r="V358" s="19"/>
      <c r="W358" s="19"/>
      <c r="X358" s="19"/>
    </row>
    <row r="359" spans="1:24" outlineLevel="2" x14ac:dyDescent="0.2">
      <c r="A359" s="606"/>
      <c r="B359" s="606"/>
      <c r="C359" s="607"/>
      <c r="D359" s="608"/>
      <c r="E359" s="608"/>
      <c r="F359" s="608"/>
      <c r="G359" s="608"/>
      <c r="H359" s="609"/>
      <c r="I359" s="650"/>
      <c r="J359" s="651"/>
      <c r="K359" s="650"/>
      <c r="L359" s="650"/>
      <c r="M359" s="650"/>
      <c r="N359" s="650"/>
      <c r="O359" s="650"/>
      <c r="P359" s="651"/>
      <c r="Q359" s="650"/>
      <c r="R359" s="650"/>
      <c r="S359" s="652"/>
      <c r="T359" s="606"/>
      <c r="U359" s="606"/>
      <c r="V359" s="19"/>
      <c r="W359" s="19"/>
      <c r="X359" s="19"/>
    </row>
    <row r="360" spans="1:24" outlineLevel="2" x14ac:dyDescent="0.2">
      <c r="A360" s="606"/>
      <c r="B360" s="606"/>
      <c r="C360" s="607"/>
      <c r="D360" s="608"/>
      <c r="E360" s="608"/>
      <c r="F360" s="608"/>
      <c r="G360" s="608"/>
      <c r="H360" s="609"/>
      <c r="I360" s="650"/>
      <c r="J360" s="651"/>
      <c r="K360" s="650"/>
      <c r="L360" s="650"/>
      <c r="M360" s="650"/>
      <c r="N360" s="650"/>
      <c r="O360" s="650"/>
      <c r="P360" s="651"/>
      <c r="Q360" s="650"/>
      <c r="R360" s="650"/>
      <c r="S360" s="652"/>
      <c r="T360" s="606"/>
      <c r="U360" s="606"/>
      <c r="V360" s="19"/>
      <c r="W360" s="19"/>
      <c r="X360" s="19"/>
    </row>
    <row r="361" spans="1:24" outlineLevel="2" x14ac:dyDescent="0.2">
      <c r="A361" s="606"/>
      <c r="B361" s="606"/>
      <c r="C361" s="607"/>
      <c r="D361" s="608"/>
      <c r="E361" s="608"/>
      <c r="F361" s="608"/>
      <c r="G361" s="608"/>
      <c r="H361" s="609"/>
      <c r="I361" s="650"/>
      <c r="J361" s="651"/>
      <c r="K361" s="650"/>
      <c r="L361" s="650"/>
      <c r="M361" s="650"/>
      <c r="N361" s="650"/>
      <c r="O361" s="650"/>
      <c r="P361" s="651"/>
      <c r="Q361" s="650"/>
      <c r="R361" s="650"/>
      <c r="S361" s="652"/>
      <c r="T361" s="606"/>
      <c r="U361" s="606"/>
      <c r="V361" s="19"/>
      <c r="W361" s="19"/>
      <c r="X361" s="19"/>
    </row>
    <row r="362" spans="1:24" outlineLevel="2" x14ac:dyDescent="0.2">
      <c r="A362" s="606"/>
      <c r="B362" s="606"/>
      <c r="C362" s="607"/>
      <c r="D362" s="608"/>
      <c r="E362" s="608"/>
      <c r="F362" s="608"/>
      <c r="G362" s="608"/>
      <c r="H362" s="609"/>
      <c r="I362" s="650"/>
      <c r="J362" s="651"/>
      <c r="K362" s="650"/>
      <c r="L362" s="650"/>
      <c r="M362" s="650"/>
      <c r="N362" s="650"/>
      <c r="O362" s="650"/>
      <c r="P362" s="651"/>
      <c r="Q362" s="650"/>
      <c r="R362" s="650"/>
      <c r="S362" s="652"/>
      <c r="T362" s="606"/>
      <c r="U362" s="606"/>
      <c r="V362" s="19"/>
      <c r="W362" s="19"/>
      <c r="X362" s="19"/>
    </row>
    <row r="363" spans="1:24" outlineLevel="2" x14ac:dyDescent="0.2">
      <c r="A363" s="606"/>
      <c r="B363" s="606"/>
      <c r="C363" s="607"/>
      <c r="D363" s="608"/>
      <c r="E363" s="608"/>
      <c r="F363" s="608"/>
      <c r="G363" s="608"/>
      <c r="H363" s="609"/>
      <c r="I363" s="650"/>
      <c r="J363" s="651"/>
      <c r="K363" s="650"/>
      <c r="L363" s="650"/>
      <c r="M363" s="650"/>
      <c r="N363" s="650"/>
      <c r="O363" s="650"/>
      <c r="P363" s="651"/>
      <c r="Q363" s="650"/>
      <c r="R363" s="650"/>
      <c r="S363" s="652"/>
      <c r="T363" s="606"/>
      <c r="U363" s="606"/>
      <c r="V363" s="19"/>
      <c r="W363" s="19"/>
      <c r="X363" s="19"/>
    </row>
    <row r="364" spans="1:24" hidden="1" outlineLevel="3" x14ac:dyDescent="0.2">
      <c r="A364" s="606"/>
      <c r="B364" s="606"/>
      <c r="C364" s="607"/>
      <c r="D364" s="608"/>
      <c r="E364" s="608"/>
      <c r="F364" s="608"/>
      <c r="G364" s="608"/>
      <c r="H364" s="609"/>
      <c r="I364" s="650"/>
      <c r="J364" s="651"/>
      <c r="K364" s="650"/>
      <c r="L364" s="650"/>
      <c r="M364" s="650"/>
      <c r="N364" s="650"/>
      <c r="O364" s="650"/>
      <c r="P364" s="651"/>
      <c r="Q364" s="650"/>
      <c r="R364" s="650"/>
      <c r="S364" s="652"/>
      <c r="T364" s="606"/>
      <c r="U364" s="606"/>
      <c r="V364" s="19"/>
      <c r="W364" s="19"/>
      <c r="X364" s="19"/>
    </row>
    <row r="365" spans="1:24" hidden="1" outlineLevel="3" x14ac:dyDescent="0.2">
      <c r="A365" s="606"/>
      <c r="B365" s="606"/>
      <c r="C365" s="607"/>
      <c r="D365" s="608"/>
      <c r="E365" s="608"/>
      <c r="F365" s="608"/>
      <c r="G365" s="608"/>
      <c r="H365" s="609"/>
      <c r="I365" s="650"/>
      <c r="J365" s="651"/>
      <c r="K365" s="650"/>
      <c r="L365" s="650"/>
      <c r="M365" s="650"/>
      <c r="N365" s="650"/>
      <c r="O365" s="650"/>
      <c r="P365" s="651"/>
      <c r="Q365" s="650"/>
      <c r="R365" s="650"/>
      <c r="S365" s="652"/>
      <c r="T365" s="606"/>
      <c r="U365" s="606"/>
      <c r="V365" s="19"/>
      <c r="W365" s="19"/>
      <c r="X365" s="19"/>
    </row>
    <row r="366" spans="1:24" hidden="1" outlineLevel="3" x14ac:dyDescent="0.2">
      <c r="A366" s="606"/>
      <c r="B366" s="606"/>
      <c r="C366" s="607"/>
      <c r="D366" s="608"/>
      <c r="E366" s="608"/>
      <c r="F366" s="608"/>
      <c r="G366" s="608"/>
      <c r="H366" s="609"/>
      <c r="I366" s="650"/>
      <c r="J366" s="651"/>
      <c r="K366" s="650"/>
      <c r="L366" s="650"/>
      <c r="M366" s="650"/>
      <c r="N366" s="650"/>
      <c r="O366" s="650"/>
      <c r="P366" s="651"/>
      <c r="Q366" s="650"/>
      <c r="R366" s="650"/>
      <c r="S366" s="652"/>
      <c r="T366" s="606"/>
      <c r="U366" s="606"/>
      <c r="V366" s="19"/>
      <c r="W366" s="19"/>
      <c r="X366" s="19"/>
    </row>
    <row r="367" spans="1:24" hidden="1" outlineLevel="3" x14ac:dyDescent="0.2">
      <c r="A367" s="606"/>
      <c r="B367" s="606"/>
      <c r="C367" s="607"/>
      <c r="D367" s="608"/>
      <c r="E367" s="608"/>
      <c r="F367" s="608"/>
      <c r="G367" s="608"/>
      <c r="H367" s="609"/>
      <c r="I367" s="650"/>
      <c r="J367" s="651"/>
      <c r="K367" s="650"/>
      <c r="L367" s="650"/>
      <c r="M367" s="650"/>
      <c r="N367" s="650"/>
      <c r="O367" s="650"/>
      <c r="P367" s="651"/>
      <c r="Q367" s="650"/>
      <c r="R367" s="650"/>
      <c r="S367" s="652"/>
      <c r="T367" s="606"/>
      <c r="U367" s="606"/>
      <c r="V367" s="19"/>
      <c r="W367" s="19"/>
      <c r="X367" s="19"/>
    </row>
    <row r="368" spans="1:24" hidden="1" outlineLevel="3" x14ac:dyDescent="0.2">
      <c r="A368" s="606"/>
      <c r="B368" s="606"/>
      <c r="C368" s="607"/>
      <c r="D368" s="608"/>
      <c r="E368" s="608"/>
      <c r="F368" s="608"/>
      <c r="G368" s="608"/>
      <c r="H368" s="609"/>
      <c r="I368" s="650"/>
      <c r="J368" s="651"/>
      <c r="K368" s="650"/>
      <c r="L368" s="650"/>
      <c r="M368" s="650"/>
      <c r="N368" s="650"/>
      <c r="O368" s="650"/>
      <c r="P368" s="651"/>
      <c r="Q368" s="650"/>
      <c r="R368" s="650"/>
      <c r="S368" s="652"/>
      <c r="T368" s="606"/>
      <c r="U368" s="606"/>
      <c r="V368" s="19"/>
      <c r="W368" s="19"/>
      <c r="X368" s="19"/>
    </row>
    <row r="369" spans="1:24" hidden="1" outlineLevel="3" x14ac:dyDescent="0.2">
      <c r="A369" s="606"/>
      <c r="B369" s="606"/>
      <c r="C369" s="607"/>
      <c r="D369" s="608"/>
      <c r="E369" s="608"/>
      <c r="F369" s="608"/>
      <c r="G369" s="608"/>
      <c r="H369" s="609"/>
      <c r="I369" s="650"/>
      <c r="J369" s="651"/>
      <c r="K369" s="650"/>
      <c r="L369" s="650"/>
      <c r="M369" s="650"/>
      <c r="N369" s="650"/>
      <c r="O369" s="650"/>
      <c r="P369" s="651"/>
      <c r="Q369" s="650"/>
      <c r="R369" s="650"/>
      <c r="S369" s="652"/>
      <c r="T369" s="606"/>
      <c r="U369" s="606"/>
      <c r="V369" s="19"/>
      <c r="W369" s="19"/>
      <c r="X369" s="19"/>
    </row>
    <row r="370" spans="1:24" hidden="1" outlineLevel="3" x14ac:dyDescent="0.2">
      <c r="A370" s="606"/>
      <c r="B370" s="606"/>
      <c r="C370" s="607"/>
      <c r="D370" s="608"/>
      <c r="E370" s="608"/>
      <c r="F370" s="608"/>
      <c r="G370" s="608"/>
      <c r="H370" s="609"/>
      <c r="I370" s="650"/>
      <c r="J370" s="651"/>
      <c r="K370" s="650"/>
      <c r="L370" s="650"/>
      <c r="M370" s="650"/>
      <c r="N370" s="650"/>
      <c r="O370" s="650"/>
      <c r="P370" s="651"/>
      <c r="Q370" s="650"/>
      <c r="R370" s="650"/>
      <c r="S370" s="652"/>
      <c r="T370" s="606"/>
      <c r="U370" s="606"/>
      <c r="V370" s="19"/>
      <c r="W370" s="19"/>
      <c r="X370" s="19"/>
    </row>
    <row r="371" spans="1:24" hidden="1" outlineLevel="3" x14ac:dyDescent="0.2">
      <c r="A371" s="606"/>
      <c r="B371" s="606"/>
      <c r="C371" s="607"/>
      <c r="D371" s="608"/>
      <c r="E371" s="608"/>
      <c r="F371" s="608"/>
      <c r="G371" s="608"/>
      <c r="H371" s="609"/>
      <c r="I371" s="650"/>
      <c r="J371" s="651"/>
      <c r="K371" s="650"/>
      <c r="L371" s="650"/>
      <c r="M371" s="650"/>
      <c r="N371" s="650"/>
      <c r="O371" s="650"/>
      <c r="P371" s="651"/>
      <c r="Q371" s="650"/>
      <c r="R371" s="650"/>
      <c r="S371" s="652"/>
      <c r="T371" s="606"/>
      <c r="U371" s="606"/>
      <c r="V371" s="19"/>
      <c r="W371" s="19"/>
      <c r="X371" s="19"/>
    </row>
    <row r="372" spans="1:24" hidden="1" outlineLevel="3" x14ac:dyDescent="0.2">
      <c r="A372" s="606"/>
      <c r="B372" s="606"/>
      <c r="C372" s="607"/>
      <c r="D372" s="608"/>
      <c r="E372" s="608"/>
      <c r="F372" s="608"/>
      <c r="G372" s="608"/>
      <c r="H372" s="609"/>
      <c r="I372" s="650"/>
      <c r="J372" s="651"/>
      <c r="K372" s="650"/>
      <c r="L372" s="650"/>
      <c r="M372" s="650"/>
      <c r="N372" s="650"/>
      <c r="O372" s="650"/>
      <c r="P372" s="651"/>
      <c r="Q372" s="650"/>
      <c r="R372" s="650"/>
      <c r="S372" s="652"/>
      <c r="T372" s="606"/>
      <c r="U372" s="606"/>
      <c r="V372" s="19"/>
      <c r="W372" s="19"/>
      <c r="X372" s="19"/>
    </row>
    <row r="373" spans="1:24" hidden="1" outlineLevel="3" x14ac:dyDescent="0.2">
      <c r="A373" s="606"/>
      <c r="B373" s="606"/>
      <c r="C373" s="607"/>
      <c r="D373" s="608"/>
      <c r="E373" s="608"/>
      <c r="F373" s="608"/>
      <c r="G373" s="608"/>
      <c r="H373" s="609"/>
      <c r="I373" s="650"/>
      <c r="J373" s="651"/>
      <c r="K373" s="650"/>
      <c r="L373" s="650"/>
      <c r="M373" s="650"/>
      <c r="N373" s="650"/>
      <c r="O373" s="650"/>
      <c r="P373" s="651"/>
      <c r="Q373" s="650"/>
      <c r="R373" s="650"/>
      <c r="S373" s="652"/>
      <c r="T373" s="606"/>
      <c r="U373" s="606"/>
      <c r="V373" s="19"/>
      <c r="W373" s="19"/>
      <c r="X373" s="19"/>
    </row>
    <row r="374" spans="1:24" hidden="1" outlineLevel="3" x14ac:dyDescent="0.2">
      <c r="A374" s="606"/>
      <c r="B374" s="606"/>
      <c r="C374" s="607"/>
      <c r="D374" s="608"/>
      <c r="E374" s="608"/>
      <c r="F374" s="608"/>
      <c r="G374" s="608"/>
      <c r="H374" s="609"/>
      <c r="I374" s="650"/>
      <c r="J374" s="651"/>
      <c r="K374" s="650"/>
      <c r="L374" s="650"/>
      <c r="M374" s="650"/>
      <c r="N374" s="650"/>
      <c r="O374" s="650"/>
      <c r="P374" s="651"/>
      <c r="Q374" s="650"/>
      <c r="R374" s="650"/>
      <c r="S374" s="652"/>
      <c r="T374" s="606"/>
      <c r="U374" s="606"/>
      <c r="V374" s="19"/>
      <c r="W374" s="19"/>
      <c r="X374" s="19"/>
    </row>
    <row r="375" spans="1:24" hidden="1" outlineLevel="3" x14ac:dyDescent="0.2">
      <c r="A375" s="606"/>
      <c r="B375" s="606"/>
      <c r="C375" s="607"/>
      <c r="D375" s="608"/>
      <c r="E375" s="608"/>
      <c r="F375" s="608"/>
      <c r="G375" s="608"/>
      <c r="H375" s="609"/>
      <c r="I375" s="650"/>
      <c r="J375" s="651"/>
      <c r="K375" s="650"/>
      <c r="L375" s="650"/>
      <c r="M375" s="650"/>
      <c r="N375" s="650"/>
      <c r="O375" s="650"/>
      <c r="P375" s="651"/>
      <c r="Q375" s="650"/>
      <c r="R375" s="650"/>
      <c r="S375" s="652"/>
      <c r="T375" s="606"/>
      <c r="U375" s="606"/>
      <c r="V375" s="19"/>
      <c r="W375" s="19"/>
      <c r="X375" s="19"/>
    </row>
    <row r="376" spans="1:24" hidden="1" outlineLevel="3" x14ac:dyDescent="0.2">
      <c r="A376" s="606"/>
      <c r="B376" s="606"/>
      <c r="C376" s="607"/>
      <c r="D376" s="608"/>
      <c r="E376" s="608"/>
      <c r="F376" s="608"/>
      <c r="G376" s="608"/>
      <c r="H376" s="609"/>
      <c r="I376" s="650"/>
      <c r="J376" s="651"/>
      <c r="K376" s="650"/>
      <c r="L376" s="650"/>
      <c r="M376" s="650"/>
      <c r="N376" s="650"/>
      <c r="O376" s="650"/>
      <c r="P376" s="651"/>
      <c r="Q376" s="650"/>
      <c r="R376" s="650"/>
      <c r="S376" s="652"/>
      <c r="T376" s="606"/>
      <c r="U376" s="606"/>
      <c r="V376" s="19"/>
      <c r="W376" s="19"/>
      <c r="X376" s="19"/>
    </row>
    <row r="377" spans="1:24" hidden="1" outlineLevel="3" x14ac:dyDescent="0.2">
      <c r="A377" s="606"/>
      <c r="B377" s="606"/>
      <c r="C377" s="607"/>
      <c r="D377" s="608"/>
      <c r="E377" s="608"/>
      <c r="F377" s="608"/>
      <c r="G377" s="608"/>
      <c r="H377" s="609"/>
      <c r="I377" s="650"/>
      <c r="J377" s="651"/>
      <c r="K377" s="650"/>
      <c r="L377" s="650"/>
      <c r="M377" s="650"/>
      <c r="N377" s="650"/>
      <c r="O377" s="650"/>
      <c r="P377" s="651"/>
      <c r="Q377" s="650"/>
      <c r="R377" s="650"/>
      <c r="S377" s="652"/>
      <c r="T377" s="606"/>
      <c r="U377" s="606"/>
      <c r="V377" s="19"/>
      <c r="W377" s="19"/>
      <c r="X377" s="19"/>
    </row>
    <row r="378" spans="1:24" hidden="1" outlineLevel="3" x14ac:dyDescent="0.2">
      <c r="A378" s="606"/>
      <c r="B378" s="606"/>
      <c r="C378" s="607"/>
      <c r="D378" s="608"/>
      <c r="E378" s="608"/>
      <c r="F378" s="608"/>
      <c r="G378" s="608"/>
      <c r="H378" s="609"/>
      <c r="I378" s="650"/>
      <c r="J378" s="651"/>
      <c r="K378" s="650"/>
      <c r="L378" s="650"/>
      <c r="M378" s="650"/>
      <c r="N378" s="650"/>
      <c r="O378" s="650"/>
      <c r="P378" s="651"/>
      <c r="Q378" s="650"/>
      <c r="R378" s="650"/>
      <c r="S378" s="652"/>
      <c r="T378" s="606"/>
      <c r="U378" s="606"/>
      <c r="V378" s="19"/>
      <c r="W378" s="19"/>
      <c r="X378" s="19"/>
    </row>
    <row r="379" spans="1:24" hidden="1" outlineLevel="3" x14ac:dyDescent="0.2">
      <c r="A379" s="606"/>
      <c r="B379" s="606"/>
      <c r="C379" s="607"/>
      <c r="D379" s="608"/>
      <c r="E379" s="608"/>
      <c r="F379" s="608"/>
      <c r="G379" s="608"/>
      <c r="H379" s="609"/>
      <c r="I379" s="650"/>
      <c r="J379" s="651"/>
      <c r="K379" s="650"/>
      <c r="L379" s="650"/>
      <c r="M379" s="650"/>
      <c r="N379" s="650"/>
      <c r="O379" s="650"/>
      <c r="P379" s="651"/>
      <c r="Q379" s="650"/>
      <c r="R379" s="650"/>
      <c r="S379" s="652"/>
      <c r="T379" s="606"/>
      <c r="U379" s="606"/>
      <c r="V379" s="19"/>
      <c r="W379" s="19"/>
      <c r="X379" s="19"/>
    </row>
    <row r="380" spans="1:24" hidden="1" outlineLevel="3" x14ac:dyDescent="0.2">
      <c r="A380" s="606"/>
      <c r="B380" s="606"/>
      <c r="C380" s="607"/>
      <c r="D380" s="608"/>
      <c r="E380" s="608"/>
      <c r="F380" s="608"/>
      <c r="G380" s="608"/>
      <c r="H380" s="609"/>
      <c r="I380" s="650"/>
      <c r="J380" s="651"/>
      <c r="K380" s="650"/>
      <c r="L380" s="650"/>
      <c r="M380" s="650"/>
      <c r="N380" s="650"/>
      <c r="O380" s="650"/>
      <c r="P380" s="651"/>
      <c r="Q380" s="650"/>
      <c r="R380" s="650"/>
      <c r="S380" s="652"/>
      <c r="T380" s="606"/>
      <c r="U380" s="606"/>
      <c r="V380" s="19"/>
      <c r="W380" s="19"/>
      <c r="X380" s="19"/>
    </row>
    <row r="381" spans="1:24" hidden="1" outlineLevel="3" x14ac:dyDescent="0.2">
      <c r="A381" s="606"/>
      <c r="B381" s="606"/>
      <c r="C381" s="607"/>
      <c r="D381" s="608"/>
      <c r="E381" s="608"/>
      <c r="F381" s="608"/>
      <c r="G381" s="608"/>
      <c r="H381" s="609"/>
      <c r="I381" s="650"/>
      <c r="J381" s="651"/>
      <c r="K381" s="650"/>
      <c r="L381" s="650"/>
      <c r="M381" s="650"/>
      <c r="N381" s="650"/>
      <c r="O381" s="650"/>
      <c r="P381" s="651"/>
      <c r="Q381" s="650"/>
      <c r="R381" s="650"/>
      <c r="S381" s="652"/>
      <c r="T381" s="606"/>
      <c r="U381" s="606"/>
      <c r="V381" s="19"/>
      <c r="W381" s="19"/>
      <c r="X381" s="19"/>
    </row>
    <row r="382" spans="1:24" hidden="1" outlineLevel="3" x14ac:dyDescent="0.2">
      <c r="A382" s="606"/>
      <c r="B382" s="606"/>
      <c r="C382" s="607"/>
      <c r="D382" s="608"/>
      <c r="E382" s="608"/>
      <c r="F382" s="608"/>
      <c r="G382" s="608"/>
      <c r="H382" s="609"/>
      <c r="I382" s="650"/>
      <c r="J382" s="651"/>
      <c r="K382" s="650"/>
      <c r="L382" s="650"/>
      <c r="M382" s="650"/>
      <c r="N382" s="650"/>
      <c r="O382" s="650"/>
      <c r="P382" s="651"/>
      <c r="Q382" s="650"/>
      <c r="R382" s="650"/>
      <c r="S382" s="652"/>
      <c r="T382" s="606"/>
      <c r="U382" s="606"/>
      <c r="V382" s="19"/>
      <c r="W382" s="19"/>
      <c r="X382" s="19"/>
    </row>
    <row r="383" spans="1:24" hidden="1" outlineLevel="3" x14ac:dyDescent="0.2">
      <c r="A383" s="606"/>
      <c r="B383" s="606"/>
      <c r="C383" s="607"/>
      <c r="D383" s="608"/>
      <c r="E383" s="608"/>
      <c r="F383" s="608"/>
      <c r="G383" s="608"/>
      <c r="H383" s="609"/>
      <c r="I383" s="650"/>
      <c r="J383" s="651"/>
      <c r="K383" s="650"/>
      <c r="L383" s="650"/>
      <c r="M383" s="650"/>
      <c r="N383" s="650"/>
      <c r="O383" s="650"/>
      <c r="P383" s="651"/>
      <c r="Q383" s="650"/>
      <c r="R383" s="650"/>
      <c r="S383" s="652"/>
      <c r="T383" s="606"/>
      <c r="U383" s="606"/>
      <c r="V383" s="19"/>
      <c r="W383" s="19"/>
      <c r="X383" s="19"/>
    </row>
    <row r="384" spans="1:24" hidden="1" outlineLevel="3" x14ac:dyDescent="0.2">
      <c r="A384" s="606"/>
      <c r="B384" s="606"/>
      <c r="C384" s="607"/>
      <c r="D384" s="608"/>
      <c r="E384" s="608"/>
      <c r="F384" s="608"/>
      <c r="G384" s="608"/>
      <c r="H384" s="609"/>
      <c r="I384" s="650"/>
      <c r="J384" s="651"/>
      <c r="K384" s="650"/>
      <c r="L384" s="650"/>
      <c r="M384" s="650"/>
      <c r="N384" s="650"/>
      <c r="O384" s="650"/>
      <c r="P384" s="651"/>
      <c r="Q384" s="650"/>
      <c r="R384" s="650"/>
      <c r="S384" s="652"/>
      <c r="T384" s="606"/>
      <c r="U384" s="606"/>
      <c r="V384" s="19"/>
      <c r="W384" s="19"/>
      <c r="X384" s="19"/>
    </row>
    <row r="385" spans="1:24" hidden="1" outlineLevel="3" x14ac:dyDescent="0.2">
      <c r="A385" s="606"/>
      <c r="B385" s="606"/>
      <c r="C385" s="607"/>
      <c r="D385" s="608"/>
      <c r="E385" s="608"/>
      <c r="F385" s="608"/>
      <c r="G385" s="608"/>
      <c r="H385" s="609"/>
      <c r="I385" s="650"/>
      <c r="J385" s="651"/>
      <c r="K385" s="650"/>
      <c r="L385" s="650"/>
      <c r="M385" s="650"/>
      <c r="N385" s="650"/>
      <c r="O385" s="650"/>
      <c r="P385" s="651"/>
      <c r="Q385" s="650"/>
      <c r="R385" s="650"/>
      <c r="S385" s="652"/>
      <c r="T385" s="606"/>
      <c r="U385" s="606"/>
      <c r="V385" s="19"/>
      <c r="W385" s="19"/>
      <c r="X385" s="19"/>
    </row>
    <row r="386" spans="1:24" hidden="1" outlineLevel="3" x14ac:dyDescent="0.2">
      <c r="A386" s="606"/>
      <c r="B386" s="606"/>
      <c r="C386" s="607"/>
      <c r="D386" s="608"/>
      <c r="E386" s="608"/>
      <c r="F386" s="608"/>
      <c r="G386" s="608"/>
      <c r="H386" s="609"/>
      <c r="I386" s="650"/>
      <c r="J386" s="651"/>
      <c r="K386" s="650"/>
      <c r="L386" s="650"/>
      <c r="M386" s="650"/>
      <c r="N386" s="650"/>
      <c r="O386" s="650"/>
      <c r="P386" s="651"/>
      <c r="Q386" s="650"/>
      <c r="R386" s="650"/>
      <c r="S386" s="652"/>
      <c r="T386" s="606"/>
      <c r="U386" s="606"/>
      <c r="V386" s="19"/>
      <c r="W386" s="19"/>
      <c r="X386" s="19"/>
    </row>
    <row r="387" spans="1:24" hidden="1" outlineLevel="3" x14ac:dyDescent="0.2">
      <c r="A387" s="606"/>
      <c r="B387" s="606"/>
      <c r="C387" s="607"/>
      <c r="D387" s="608"/>
      <c r="E387" s="608"/>
      <c r="F387" s="608"/>
      <c r="G387" s="608"/>
      <c r="H387" s="609"/>
      <c r="I387" s="650"/>
      <c r="J387" s="651"/>
      <c r="K387" s="650"/>
      <c r="L387" s="650"/>
      <c r="M387" s="650"/>
      <c r="N387" s="650"/>
      <c r="O387" s="650"/>
      <c r="P387" s="651"/>
      <c r="Q387" s="650"/>
      <c r="R387" s="650"/>
      <c r="S387" s="652"/>
      <c r="T387" s="606"/>
      <c r="U387" s="606"/>
      <c r="V387" s="19"/>
      <c r="W387" s="19"/>
      <c r="X387" s="19"/>
    </row>
    <row r="388" spans="1:24" hidden="1" outlineLevel="3" x14ac:dyDescent="0.2">
      <c r="A388" s="606"/>
      <c r="B388" s="606"/>
      <c r="C388" s="607"/>
      <c r="D388" s="608"/>
      <c r="E388" s="608"/>
      <c r="F388" s="608"/>
      <c r="G388" s="608"/>
      <c r="H388" s="609"/>
      <c r="I388" s="650"/>
      <c r="J388" s="651"/>
      <c r="K388" s="650"/>
      <c r="L388" s="650"/>
      <c r="M388" s="650"/>
      <c r="N388" s="650"/>
      <c r="O388" s="650"/>
      <c r="P388" s="651"/>
      <c r="Q388" s="650"/>
      <c r="R388" s="650"/>
      <c r="S388" s="652"/>
      <c r="T388" s="606"/>
      <c r="U388" s="606"/>
      <c r="V388" s="19"/>
      <c r="W388" s="19"/>
      <c r="X388" s="19"/>
    </row>
    <row r="389" spans="1:24" hidden="1" outlineLevel="3" x14ac:dyDescent="0.2">
      <c r="A389" s="606"/>
      <c r="B389" s="606"/>
      <c r="C389" s="607"/>
      <c r="D389" s="608"/>
      <c r="E389" s="608"/>
      <c r="F389" s="608"/>
      <c r="G389" s="608"/>
      <c r="H389" s="609"/>
      <c r="I389" s="650"/>
      <c r="J389" s="651"/>
      <c r="K389" s="650"/>
      <c r="L389" s="650"/>
      <c r="M389" s="650"/>
      <c r="N389" s="650"/>
      <c r="O389" s="650"/>
      <c r="P389" s="651"/>
      <c r="Q389" s="650"/>
      <c r="R389" s="650"/>
      <c r="S389" s="652"/>
      <c r="T389" s="606"/>
      <c r="U389" s="606"/>
      <c r="V389" s="19"/>
      <c r="W389" s="19"/>
      <c r="X389" s="19"/>
    </row>
    <row r="390" spans="1:24" hidden="1" outlineLevel="3" x14ac:dyDescent="0.2">
      <c r="A390" s="606"/>
      <c r="B390" s="606"/>
      <c r="C390" s="607"/>
      <c r="D390" s="608"/>
      <c r="E390" s="608"/>
      <c r="F390" s="608"/>
      <c r="G390" s="608"/>
      <c r="H390" s="609"/>
      <c r="I390" s="650"/>
      <c r="J390" s="651"/>
      <c r="K390" s="650"/>
      <c r="L390" s="650"/>
      <c r="M390" s="650"/>
      <c r="N390" s="650"/>
      <c r="O390" s="650"/>
      <c r="P390" s="651"/>
      <c r="Q390" s="650"/>
      <c r="R390" s="650"/>
      <c r="S390" s="652"/>
      <c r="T390" s="606"/>
      <c r="U390" s="606"/>
      <c r="V390" s="19"/>
      <c r="W390" s="19"/>
      <c r="X390" s="19"/>
    </row>
    <row r="391" spans="1:24" hidden="1" outlineLevel="3" x14ac:dyDescent="0.2">
      <c r="A391" s="606"/>
      <c r="B391" s="606"/>
      <c r="C391" s="607"/>
      <c r="D391" s="608"/>
      <c r="E391" s="608"/>
      <c r="F391" s="608"/>
      <c r="G391" s="608"/>
      <c r="H391" s="609"/>
      <c r="I391" s="650"/>
      <c r="J391" s="651"/>
      <c r="K391" s="650"/>
      <c r="L391" s="650"/>
      <c r="M391" s="650"/>
      <c r="N391" s="650"/>
      <c r="O391" s="650"/>
      <c r="P391" s="651"/>
      <c r="Q391" s="650"/>
      <c r="R391" s="650"/>
      <c r="S391" s="652"/>
      <c r="T391" s="606"/>
      <c r="U391" s="606"/>
      <c r="V391" s="19"/>
      <c r="W391" s="19"/>
      <c r="X391" s="19"/>
    </row>
    <row r="392" spans="1:24" hidden="1" outlineLevel="3" x14ac:dyDescent="0.2">
      <c r="A392" s="606"/>
      <c r="B392" s="606"/>
      <c r="C392" s="607"/>
      <c r="D392" s="608"/>
      <c r="E392" s="608"/>
      <c r="F392" s="608"/>
      <c r="G392" s="608"/>
      <c r="H392" s="609"/>
      <c r="I392" s="650"/>
      <c r="J392" s="651"/>
      <c r="K392" s="650"/>
      <c r="L392" s="650"/>
      <c r="M392" s="650"/>
      <c r="N392" s="650"/>
      <c r="O392" s="650"/>
      <c r="P392" s="651"/>
      <c r="Q392" s="650"/>
      <c r="R392" s="650"/>
      <c r="S392" s="652"/>
      <c r="T392" s="606"/>
      <c r="U392" s="606"/>
      <c r="V392" s="19"/>
      <c r="W392" s="19"/>
      <c r="X392" s="19"/>
    </row>
    <row r="393" spans="1:24" hidden="1" outlineLevel="3" x14ac:dyDescent="0.2">
      <c r="A393" s="606"/>
      <c r="B393" s="606"/>
      <c r="C393" s="607"/>
      <c r="D393" s="608"/>
      <c r="E393" s="608"/>
      <c r="F393" s="608"/>
      <c r="G393" s="608"/>
      <c r="H393" s="609"/>
      <c r="I393" s="650"/>
      <c r="J393" s="651"/>
      <c r="K393" s="650"/>
      <c r="L393" s="650"/>
      <c r="M393" s="650"/>
      <c r="N393" s="650"/>
      <c r="O393" s="650"/>
      <c r="P393" s="651"/>
      <c r="Q393" s="650"/>
      <c r="R393" s="650"/>
      <c r="S393" s="652"/>
      <c r="T393" s="606"/>
      <c r="U393" s="606"/>
      <c r="V393" s="19"/>
      <c r="W393" s="19"/>
      <c r="X393" s="19"/>
    </row>
    <row r="394" spans="1:24" hidden="1" outlineLevel="3" x14ac:dyDescent="0.2">
      <c r="A394" s="606"/>
      <c r="B394" s="606"/>
      <c r="C394" s="607"/>
      <c r="D394" s="608"/>
      <c r="E394" s="608"/>
      <c r="F394" s="608"/>
      <c r="G394" s="608"/>
      <c r="H394" s="609"/>
      <c r="I394" s="650"/>
      <c r="J394" s="651"/>
      <c r="K394" s="650"/>
      <c r="L394" s="650"/>
      <c r="M394" s="650"/>
      <c r="N394" s="650"/>
      <c r="O394" s="650"/>
      <c r="P394" s="651"/>
      <c r="Q394" s="650"/>
      <c r="R394" s="650"/>
      <c r="S394" s="652"/>
      <c r="T394" s="606"/>
      <c r="U394" s="606"/>
      <c r="V394" s="19"/>
      <c r="W394" s="19"/>
      <c r="X394" s="19"/>
    </row>
    <row r="395" spans="1:24" hidden="1" outlineLevel="3" x14ac:dyDescent="0.2">
      <c r="A395" s="606"/>
      <c r="B395" s="606"/>
      <c r="C395" s="607"/>
      <c r="D395" s="608"/>
      <c r="E395" s="608"/>
      <c r="F395" s="608"/>
      <c r="G395" s="608"/>
      <c r="H395" s="609"/>
      <c r="I395" s="650"/>
      <c r="J395" s="651"/>
      <c r="K395" s="650"/>
      <c r="L395" s="650"/>
      <c r="M395" s="650"/>
      <c r="N395" s="650"/>
      <c r="O395" s="650"/>
      <c r="P395" s="651"/>
      <c r="Q395" s="650"/>
      <c r="R395" s="650"/>
      <c r="S395" s="652"/>
      <c r="T395" s="606"/>
      <c r="U395" s="606"/>
      <c r="V395" s="19"/>
      <c r="W395" s="19"/>
      <c r="X395" s="19"/>
    </row>
    <row r="396" spans="1:24" hidden="1" outlineLevel="3" x14ac:dyDescent="0.2">
      <c r="A396" s="606"/>
      <c r="B396" s="606"/>
      <c r="C396" s="607"/>
      <c r="D396" s="608"/>
      <c r="E396" s="608"/>
      <c r="F396" s="608"/>
      <c r="G396" s="608"/>
      <c r="H396" s="609"/>
      <c r="I396" s="650"/>
      <c r="J396" s="651"/>
      <c r="K396" s="650"/>
      <c r="L396" s="650"/>
      <c r="M396" s="650"/>
      <c r="N396" s="650"/>
      <c r="O396" s="650"/>
      <c r="P396" s="651"/>
      <c r="Q396" s="650"/>
      <c r="R396" s="650"/>
      <c r="S396" s="652"/>
      <c r="T396" s="606"/>
      <c r="U396" s="606"/>
      <c r="V396" s="19"/>
      <c r="W396" s="19"/>
      <c r="X396" s="19"/>
    </row>
    <row r="397" spans="1:24" hidden="1" outlineLevel="3" x14ac:dyDescent="0.2">
      <c r="A397" s="606"/>
      <c r="B397" s="606"/>
      <c r="C397" s="607"/>
      <c r="D397" s="608"/>
      <c r="E397" s="608"/>
      <c r="F397" s="608"/>
      <c r="G397" s="608"/>
      <c r="H397" s="609"/>
      <c r="I397" s="650"/>
      <c r="J397" s="651"/>
      <c r="K397" s="650"/>
      <c r="L397" s="650"/>
      <c r="M397" s="650"/>
      <c r="N397" s="650"/>
      <c r="O397" s="650"/>
      <c r="P397" s="651"/>
      <c r="Q397" s="650"/>
      <c r="R397" s="650"/>
      <c r="S397" s="652"/>
      <c r="T397" s="606"/>
      <c r="U397" s="606"/>
      <c r="V397" s="19"/>
      <c r="W397" s="19"/>
      <c r="X397" s="19"/>
    </row>
    <row r="398" spans="1:24" hidden="1" outlineLevel="3" x14ac:dyDescent="0.2">
      <c r="A398" s="606"/>
      <c r="B398" s="606"/>
      <c r="C398" s="607"/>
      <c r="D398" s="608"/>
      <c r="E398" s="608"/>
      <c r="F398" s="608"/>
      <c r="G398" s="608"/>
      <c r="H398" s="609"/>
      <c r="I398" s="650"/>
      <c r="J398" s="651"/>
      <c r="K398" s="650"/>
      <c r="L398" s="650"/>
      <c r="M398" s="650"/>
      <c r="N398" s="650"/>
      <c r="O398" s="650"/>
      <c r="P398" s="651"/>
      <c r="Q398" s="650"/>
      <c r="R398" s="650"/>
      <c r="S398" s="652"/>
      <c r="T398" s="606"/>
      <c r="U398" s="606"/>
      <c r="V398" s="19"/>
      <c r="W398" s="19"/>
      <c r="X398" s="19"/>
    </row>
    <row r="399" spans="1:24" hidden="1" outlineLevel="3" x14ac:dyDescent="0.2">
      <c r="A399" s="606"/>
      <c r="B399" s="606"/>
      <c r="C399" s="607"/>
      <c r="D399" s="608"/>
      <c r="E399" s="608"/>
      <c r="F399" s="608"/>
      <c r="G399" s="608"/>
      <c r="H399" s="609"/>
      <c r="I399" s="650"/>
      <c r="J399" s="651"/>
      <c r="K399" s="650"/>
      <c r="L399" s="650"/>
      <c r="M399" s="650"/>
      <c r="N399" s="650"/>
      <c r="O399" s="650"/>
      <c r="P399" s="651"/>
      <c r="Q399" s="650"/>
      <c r="R399" s="650"/>
      <c r="S399" s="652"/>
      <c r="T399" s="606"/>
      <c r="U399" s="606"/>
      <c r="V399" s="19"/>
      <c r="W399" s="19"/>
      <c r="X399" s="19"/>
    </row>
    <row r="400" spans="1:24" hidden="1" outlineLevel="3" x14ac:dyDescent="0.2">
      <c r="A400" s="606"/>
      <c r="B400" s="606"/>
      <c r="C400" s="607"/>
      <c r="D400" s="608"/>
      <c r="E400" s="608"/>
      <c r="F400" s="608"/>
      <c r="G400" s="608"/>
      <c r="H400" s="609"/>
      <c r="I400" s="650"/>
      <c r="J400" s="651"/>
      <c r="K400" s="650"/>
      <c r="L400" s="650"/>
      <c r="M400" s="650"/>
      <c r="N400" s="650"/>
      <c r="O400" s="650"/>
      <c r="P400" s="651"/>
      <c r="Q400" s="650"/>
      <c r="R400" s="650"/>
      <c r="S400" s="652"/>
      <c r="T400" s="606"/>
      <c r="U400" s="606"/>
      <c r="V400" s="19"/>
      <c r="W400" s="19"/>
      <c r="X400" s="19"/>
    </row>
    <row r="401" spans="1:24" hidden="1" outlineLevel="3" x14ac:dyDescent="0.2">
      <c r="A401" s="606"/>
      <c r="B401" s="606"/>
      <c r="C401" s="607"/>
      <c r="D401" s="608"/>
      <c r="E401" s="608"/>
      <c r="F401" s="608"/>
      <c r="G401" s="608"/>
      <c r="H401" s="609"/>
      <c r="I401" s="650"/>
      <c r="J401" s="651"/>
      <c r="K401" s="650"/>
      <c r="L401" s="650"/>
      <c r="M401" s="650"/>
      <c r="N401" s="650"/>
      <c r="O401" s="650"/>
      <c r="P401" s="651"/>
      <c r="Q401" s="650"/>
      <c r="R401" s="650"/>
      <c r="S401" s="652"/>
      <c r="T401" s="606"/>
      <c r="U401" s="606"/>
      <c r="V401" s="19"/>
      <c r="W401" s="19"/>
      <c r="X401" s="19"/>
    </row>
    <row r="402" spans="1:24" hidden="1" outlineLevel="3" x14ac:dyDescent="0.2">
      <c r="A402" s="606"/>
      <c r="B402" s="606"/>
      <c r="C402" s="607"/>
      <c r="D402" s="608"/>
      <c r="E402" s="608"/>
      <c r="F402" s="608"/>
      <c r="G402" s="608"/>
      <c r="H402" s="609"/>
      <c r="I402" s="650"/>
      <c r="J402" s="651"/>
      <c r="K402" s="650"/>
      <c r="L402" s="650"/>
      <c r="M402" s="650"/>
      <c r="N402" s="650"/>
      <c r="O402" s="650"/>
      <c r="P402" s="651"/>
      <c r="Q402" s="650"/>
      <c r="R402" s="650"/>
      <c r="S402" s="652"/>
      <c r="T402" s="606"/>
      <c r="U402" s="606"/>
      <c r="V402" s="19"/>
      <c r="W402" s="19"/>
      <c r="X402" s="19"/>
    </row>
    <row r="403" spans="1:24" hidden="1" outlineLevel="3" x14ac:dyDescent="0.2">
      <c r="A403" s="606"/>
      <c r="B403" s="606"/>
      <c r="C403" s="607"/>
      <c r="D403" s="608"/>
      <c r="E403" s="608"/>
      <c r="F403" s="608"/>
      <c r="G403" s="608"/>
      <c r="H403" s="609"/>
      <c r="I403" s="650"/>
      <c r="J403" s="651"/>
      <c r="K403" s="650"/>
      <c r="L403" s="650"/>
      <c r="M403" s="650"/>
      <c r="N403" s="650"/>
      <c r="O403" s="650"/>
      <c r="P403" s="651"/>
      <c r="Q403" s="650"/>
      <c r="R403" s="650"/>
      <c r="S403" s="652"/>
      <c r="T403" s="606"/>
      <c r="U403" s="606"/>
      <c r="V403" s="19"/>
      <c r="W403" s="19"/>
      <c r="X403" s="19"/>
    </row>
    <row r="404" spans="1:24" hidden="1" outlineLevel="3" x14ac:dyDescent="0.2">
      <c r="A404" s="606"/>
      <c r="B404" s="606"/>
      <c r="C404" s="607"/>
      <c r="D404" s="608"/>
      <c r="E404" s="608"/>
      <c r="F404" s="608"/>
      <c r="G404" s="608"/>
      <c r="H404" s="609"/>
      <c r="I404" s="650"/>
      <c r="J404" s="651"/>
      <c r="K404" s="650"/>
      <c r="L404" s="650"/>
      <c r="M404" s="650"/>
      <c r="N404" s="650"/>
      <c r="O404" s="650"/>
      <c r="P404" s="651"/>
      <c r="Q404" s="650"/>
      <c r="R404" s="650"/>
      <c r="S404" s="652"/>
      <c r="T404" s="606"/>
      <c r="U404" s="606"/>
      <c r="V404" s="19"/>
      <c r="W404" s="19"/>
      <c r="X404" s="19"/>
    </row>
    <row r="405" spans="1:24" hidden="1" outlineLevel="3" x14ac:dyDescent="0.2">
      <c r="A405" s="606"/>
      <c r="B405" s="606"/>
      <c r="C405" s="607"/>
      <c r="D405" s="608"/>
      <c r="E405" s="608"/>
      <c r="F405" s="608"/>
      <c r="G405" s="608"/>
      <c r="H405" s="609"/>
      <c r="I405" s="650"/>
      <c r="J405" s="651"/>
      <c r="K405" s="650"/>
      <c r="L405" s="650"/>
      <c r="M405" s="650"/>
      <c r="N405" s="650"/>
      <c r="O405" s="650"/>
      <c r="P405" s="651"/>
      <c r="Q405" s="650"/>
      <c r="R405" s="650"/>
      <c r="S405" s="652"/>
      <c r="T405" s="606"/>
      <c r="U405" s="606"/>
      <c r="V405" s="19"/>
      <c r="W405" s="19"/>
      <c r="X405" s="19"/>
    </row>
    <row r="406" spans="1:24" hidden="1" outlineLevel="3" x14ac:dyDescent="0.2">
      <c r="A406" s="606"/>
      <c r="B406" s="606"/>
      <c r="C406" s="607"/>
      <c r="D406" s="608"/>
      <c r="E406" s="608"/>
      <c r="F406" s="608"/>
      <c r="G406" s="608"/>
      <c r="H406" s="609"/>
      <c r="I406" s="650"/>
      <c r="J406" s="651"/>
      <c r="K406" s="650"/>
      <c r="L406" s="650"/>
      <c r="M406" s="650"/>
      <c r="N406" s="650"/>
      <c r="O406" s="650"/>
      <c r="P406" s="651"/>
      <c r="Q406" s="650"/>
      <c r="R406" s="650"/>
      <c r="S406" s="652"/>
      <c r="T406" s="606"/>
      <c r="U406" s="606"/>
      <c r="V406" s="19"/>
      <c r="W406" s="19"/>
      <c r="X406" s="19"/>
    </row>
    <row r="407" spans="1:24" hidden="1" outlineLevel="3" x14ac:dyDescent="0.2">
      <c r="A407" s="606"/>
      <c r="B407" s="606"/>
      <c r="C407" s="607"/>
      <c r="D407" s="608"/>
      <c r="E407" s="608"/>
      <c r="F407" s="608"/>
      <c r="G407" s="608"/>
      <c r="H407" s="609"/>
      <c r="I407" s="650"/>
      <c r="J407" s="651"/>
      <c r="K407" s="650"/>
      <c r="L407" s="650"/>
      <c r="M407" s="650"/>
      <c r="N407" s="650"/>
      <c r="O407" s="650"/>
      <c r="P407" s="651"/>
      <c r="Q407" s="650"/>
      <c r="R407" s="650"/>
      <c r="S407" s="652"/>
      <c r="T407" s="606"/>
      <c r="U407" s="606"/>
      <c r="V407" s="19"/>
      <c r="W407" s="19"/>
      <c r="X407" s="19"/>
    </row>
    <row r="408" spans="1:24" hidden="1" outlineLevel="3" x14ac:dyDescent="0.2">
      <c r="A408" s="606"/>
      <c r="B408" s="606"/>
      <c r="C408" s="607"/>
      <c r="D408" s="608"/>
      <c r="E408" s="608"/>
      <c r="F408" s="608"/>
      <c r="G408" s="608"/>
      <c r="H408" s="609"/>
      <c r="I408" s="650"/>
      <c r="J408" s="651"/>
      <c r="K408" s="650"/>
      <c r="L408" s="650"/>
      <c r="M408" s="650"/>
      <c r="N408" s="650"/>
      <c r="O408" s="650"/>
      <c r="P408" s="651"/>
      <c r="Q408" s="650"/>
      <c r="R408" s="650"/>
      <c r="S408" s="652"/>
      <c r="T408" s="606"/>
      <c r="U408" s="606"/>
      <c r="V408" s="19"/>
      <c r="W408" s="19"/>
      <c r="X408" s="19"/>
    </row>
    <row r="409" spans="1:24" hidden="1" outlineLevel="3" x14ac:dyDescent="0.2">
      <c r="A409" s="606"/>
      <c r="B409" s="606"/>
      <c r="C409" s="607"/>
      <c r="D409" s="608"/>
      <c r="E409" s="608"/>
      <c r="F409" s="608"/>
      <c r="G409" s="608"/>
      <c r="H409" s="609"/>
      <c r="I409" s="650"/>
      <c r="J409" s="651"/>
      <c r="K409" s="650"/>
      <c r="L409" s="650"/>
      <c r="M409" s="650"/>
      <c r="N409" s="650"/>
      <c r="O409" s="650"/>
      <c r="P409" s="651"/>
      <c r="Q409" s="650"/>
      <c r="R409" s="650"/>
      <c r="S409" s="652"/>
      <c r="T409" s="606"/>
      <c r="U409" s="606"/>
      <c r="V409" s="19"/>
      <c r="W409" s="19"/>
      <c r="X409" s="19"/>
    </row>
    <row r="410" spans="1:24" hidden="1" outlineLevel="3" x14ac:dyDescent="0.2">
      <c r="A410" s="606"/>
      <c r="B410" s="606"/>
      <c r="C410" s="607"/>
      <c r="D410" s="608"/>
      <c r="E410" s="608"/>
      <c r="F410" s="608"/>
      <c r="G410" s="608"/>
      <c r="H410" s="609"/>
      <c r="I410" s="650"/>
      <c r="J410" s="651"/>
      <c r="K410" s="650"/>
      <c r="L410" s="650"/>
      <c r="M410" s="650"/>
      <c r="N410" s="650"/>
      <c r="O410" s="650"/>
      <c r="P410" s="651"/>
      <c r="Q410" s="650"/>
      <c r="R410" s="650"/>
      <c r="S410" s="652"/>
      <c r="T410" s="606"/>
      <c r="U410" s="606"/>
      <c r="V410" s="19"/>
      <c r="W410" s="19"/>
      <c r="X410" s="19"/>
    </row>
    <row r="411" spans="1:24" hidden="1" outlineLevel="3" x14ac:dyDescent="0.2">
      <c r="A411" s="606"/>
      <c r="B411" s="606"/>
      <c r="C411" s="607"/>
      <c r="D411" s="608"/>
      <c r="E411" s="608"/>
      <c r="F411" s="608"/>
      <c r="G411" s="608"/>
      <c r="H411" s="609"/>
      <c r="I411" s="650"/>
      <c r="J411" s="651"/>
      <c r="K411" s="650"/>
      <c r="L411" s="650"/>
      <c r="M411" s="650"/>
      <c r="N411" s="650"/>
      <c r="O411" s="650"/>
      <c r="P411" s="651"/>
      <c r="Q411" s="650"/>
      <c r="R411" s="650"/>
      <c r="S411" s="652"/>
      <c r="T411" s="606"/>
      <c r="U411" s="606"/>
      <c r="V411" s="19"/>
      <c r="W411" s="19"/>
      <c r="X411" s="19"/>
    </row>
    <row r="412" spans="1:24" hidden="1" outlineLevel="3" x14ac:dyDescent="0.2">
      <c r="A412" s="606"/>
      <c r="B412" s="606"/>
      <c r="C412" s="607"/>
      <c r="D412" s="608"/>
      <c r="E412" s="608"/>
      <c r="F412" s="608"/>
      <c r="G412" s="608"/>
      <c r="H412" s="609"/>
      <c r="I412" s="650"/>
      <c r="J412" s="651"/>
      <c r="K412" s="650"/>
      <c r="L412" s="650"/>
      <c r="M412" s="650"/>
      <c r="N412" s="650"/>
      <c r="O412" s="650"/>
      <c r="P412" s="651"/>
      <c r="Q412" s="650"/>
      <c r="R412" s="650"/>
      <c r="S412" s="652"/>
      <c r="T412" s="606"/>
      <c r="U412" s="606"/>
      <c r="V412" s="19"/>
      <c r="W412" s="19"/>
      <c r="X412" s="19"/>
    </row>
    <row r="413" spans="1:24" hidden="1" outlineLevel="3" x14ac:dyDescent="0.2">
      <c r="A413" s="606"/>
      <c r="B413" s="606"/>
      <c r="C413" s="607"/>
      <c r="D413" s="608"/>
      <c r="E413" s="608"/>
      <c r="F413" s="608"/>
      <c r="G413" s="608"/>
      <c r="H413" s="609"/>
      <c r="I413" s="650"/>
      <c r="J413" s="651"/>
      <c r="K413" s="650"/>
      <c r="L413" s="650"/>
      <c r="M413" s="650"/>
      <c r="N413" s="650"/>
      <c r="O413" s="650"/>
      <c r="P413" s="651"/>
      <c r="Q413" s="650"/>
      <c r="R413" s="650"/>
      <c r="S413" s="652"/>
      <c r="T413" s="606"/>
      <c r="U413" s="606"/>
      <c r="V413" s="19"/>
      <c r="W413" s="19"/>
      <c r="X413" s="19"/>
    </row>
    <row r="414" spans="1:24" hidden="1" outlineLevel="3" x14ac:dyDescent="0.2">
      <c r="A414" s="606"/>
      <c r="B414" s="606"/>
      <c r="C414" s="607"/>
      <c r="D414" s="608"/>
      <c r="E414" s="608"/>
      <c r="F414" s="608"/>
      <c r="G414" s="608"/>
      <c r="H414" s="609"/>
      <c r="I414" s="650"/>
      <c r="J414" s="651"/>
      <c r="K414" s="650"/>
      <c r="L414" s="650"/>
      <c r="M414" s="650"/>
      <c r="N414" s="650"/>
      <c r="O414" s="650"/>
      <c r="P414" s="651"/>
      <c r="Q414" s="650"/>
      <c r="R414" s="650"/>
      <c r="S414" s="652"/>
      <c r="T414" s="606"/>
      <c r="U414" s="606"/>
      <c r="V414" s="19"/>
      <c r="W414" s="19"/>
      <c r="X414" s="19"/>
    </row>
    <row r="415" spans="1:24" hidden="1" outlineLevel="3" x14ac:dyDescent="0.2">
      <c r="A415" s="606"/>
      <c r="B415" s="606"/>
      <c r="C415" s="607"/>
      <c r="D415" s="608"/>
      <c r="E415" s="608"/>
      <c r="F415" s="608"/>
      <c r="G415" s="608"/>
      <c r="H415" s="609"/>
      <c r="I415" s="650"/>
      <c r="J415" s="651"/>
      <c r="K415" s="650"/>
      <c r="L415" s="650"/>
      <c r="M415" s="650"/>
      <c r="N415" s="650"/>
      <c r="O415" s="650"/>
      <c r="P415" s="651"/>
      <c r="Q415" s="650"/>
      <c r="R415" s="650"/>
      <c r="S415" s="652"/>
      <c r="T415" s="606"/>
      <c r="U415" s="606"/>
      <c r="V415" s="19"/>
      <c r="W415" s="19"/>
      <c r="X415" s="19"/>
    </row>
    <row r="416" spans="1:24" hidden="1" outlineLevel="3" x14ac:dyDescent="0.2">
      <c r="A416" s="606"/>
      <c r="B416" s="606"/>
      <c r="C416" s="607"/>
      <c r="D416" s="608"/>
      <c r="E416" s="608"/>
      <c r="F416" s="608"/>
      <c r="G416" s="608"/>
      <c r="H416" s="609"/>
      <c r="I416" s="650"/>
      <c r="J416" s="651"/>
      <c r="K416" s="650"/>
      <c r="L416" s="650"/>
      <c r="M416" s="650"/>
      <c r="N416" s="650"/>
      <c r="O416" s="650"/>
      <c r="P416" s="651"/>
      <c r="Q416" s="650"/>
      <c r="R416" s="650"/>
      <c r="S416" s="652"/>
      <c r="T416" s="606"/>
      <c r="U416" s="606"/>
      <c r="V416" s="19"/>
      <c r="W416" s="19"/>
      <c r="X416" s="19"/>
    </row>
    <row r="417" spans="1:24" hidden="1" outlineLevel="3" x14ac:dyDescent="0.2">
      <c r="A417" s="606"/>
      <c r="B417" s="606"/>
      <c r="C417" s="607"/>
      <c r="D417" s="608"/>
      <c r="E417" s="608"/>
      <c r="F417" s="608"/>
      <c r="G417" s="608"/>
      <c r="H417" s="609"/>
      <c r="I417" s="650"/>
      <c r="J417" s="651"/>
      <c r="K417" s="650"/>
      <c r="L417" s="650"/>
      <c r="M417" s="650"/>
      <c r="N417" s="650"/>
      <c r="O417" s="650"/>
      <c r="P417" s="651"/>
      <c r="Q417" s="650"/>
      <c r="R417" s="650"/>
      <c r="S417" s="652"/>
      <c r="T417" s="606"/>
      <c r="U417" s="606"/>
      <c r="V417" s="19"/>
      <c r="W417" s="19"/>
      <c r="X417" s="19"/>
    </row>
    <row r="418" spans="1:24" hidden="1" outlineLevel="3" x14ac:dyDescent="0.2">
      <c r="A418" s="606"/>
      <c r="B418" s="606"/>
      <c r="C418" s="607"/>
      <c r="D418" s="608"/>
      <c r="E418" s="608"/>
      <c r="F418" s="608"/>
      <c r="G418" s="608"/>
      <c r="H418" s="609"/>
      <c r="I418" s="650"/>
      <c r="J418" s="651"/>
      <c r="K418" s="650"/>
      <c r="L418" s="650"/>
      <c r="M418" s="650"/>
      <c r="N418" s="650"/>
      <c r="O418" s="650"/>
      <c r="P418" s="651"/>
      <c r="Q418" s="650"/>
      <c r="R418" s="650"/>
      <c r="S418" s="652"/>
      <c r="T418" s="606"/>
      <c r="U418" s="606"/>
      <c r="V418" s="19"/>
      <c r="W418" s="19"/>
      <c r="X418" s="19"/>
    </row>
    <row r="419" spans="1:24" hidden="1" outlineLevel="3" x14ac:dyDescent="0.2">
      <c r="A419" s="606"/>
      <c r="B419" s="606"/>
      <c r="C419" s="607"/>
      <c r="D419" s="608"/>
      <c r="E419" s="608"/>
      <c r="F419" s="608"/>
      <c r="G419" s="608"/>
      <c r="H419" s="609"/>
      <c r="I419" s="650"/>
      <c r="J419" s="651"/>
      <c r="K419" s="650"/>
      <c r="L419" s="650"/>
      <c r="M419" s="650"/>
      <c r="N419" s="650"/>
      <c r="O419" s="650"/>
      <c r="P419" s="651"/>
      <c r="Q419" s="650"/>
      <c r="R419" s="650"/>
      <c r="S419" s="652"/>
      <c r="T419" s="606"/>
      <c r="U419" s="606"/>
      <c r="V419" s="19"/>
      <c r="W419" s="19"/>
      <c r="X419" s="19"/>
    </row>
    <row r="420" spans="1:24" hidden="1" outlineLevel="3" x14ac:dyDescent="0.2">
      <c r="A420" s="606"/>
      <c r="B420" s="606"/>
      <c r="C420" s="607"/>
      <c r="D420" s="608"/>
      <c r="E420" s="608"/>
      <c r="F420" s="608"/>
      <c r="G420" s="608"/>
      <c r="H420" s="609"/>
      <c r="I420" s="650"/>
      <c r="J420" s="651"/>
      <c r="K420" s="650"/>
      <c r="L420" s="650"/>
      <c r="M420" s="650"/>
      <c r="N420" s="650"/>
      <c r="O420" s="650"/>
      <c r="P420" s="651"/>
      <c r="Q420" s="650"/>
      <c r="R420" s="650"/>
      <c r="S420" s="652"/>
      <c r="T420" s="606"/>
      <c r="U420" s="606"/>
      <c r="V420" s="19"/>
      <c r="W420" s="19"/>
      <c r="X420" s="19"/>
    </row>
    <row r="421" spans="1:24" hidden="1" outlineLevel="3" x14ac:dyDescent="0.2">
      <c r="A421" s="606"/>
      <c r="B421" s="606"/>
      <c r="C421" s="607"/>
      <c r="D421" s="608"/>
      <c r="E421" s="608"/>
      <c r="F421" s="608"/>
      <c r="G421" s="608"/>
      <c r="H421" s="609"/>
      <c r="I421" s="650"/>
      <c r="J421" s="651"/>
      <c r="K421" s="650"/>
      <c r="L421" s="650"/>
      <c r="M421" s="650"/>
      <c r="N421" s="650"/>
      <c r="O421" s="650"/>
      <c r="P421" s="651"/>
      <c r="Q421" s="650"/>
      <c r="R421" s="650"/>
      <c r="S421" s="652"/>
      <c r="T421" s="606"/>
      <c r="U421" s="606"/>
      <c r="V421" s="19"/>
      <c r="W421" s="19"/>
      <c r="X421" s="19"/>
    </row>
    <row r="422" spans="1:24" hidden="1" outlineLevel="3" x14ac:dyDescent="0.2">
      <c r="A422" s="606"/>
      <c r="B422" s="606"/>
      <c r="C422" s="607"/>
      <c r="D422" s="608"/>
      <c r="E422" s="608"/>
      <c r="F422" s="608"/>
      <c r="G422" s="608"/>
      <c r="H422" s="609"/>
      <c r="I422" s="650"/>
      <c r="J422" s="651"/>
      <c r="K422" s="650"/>
      <c r="L422" s="650"/>
      <c r="M422" s="650"/>
      <c r="N422" s="650"/>
      <c r="O422" s="650"/>
      <c r="P422" s="651"/>
      <c r="Q422" s="650"/>
      <c r="R422" s="650"/>
      <c r="S422" s="652"/>
      <c r="T422" s="606"/>
      <c r="U422" s="606"/>
      <c r="V422" s="19"/>
      <c r="W422" s="19"/>
      <c r="X422" s="19"/>
    </row>
    <row r="423" spans="1:24" hidden="1" outlineLevel="3" x14ac:dyDescent="0.2">
      <c r="A423" s="606"/>
      <c r="B423" s="606"/>
      <c r="C423" s="607"/>
      <c r="D423" s="608"/>
      <c r="E423" s="608"/>
      <c r="F423" s="608"/>
      <c r="G423" s="608"/>
      <c r="H423" s="609"/>
      <c r="I423" s="650"/>
      <c r="J423" s="651"/>
      <c r="K423" s="650"/>
      <c r="L423" s="650"/>
      <c r="M423" s="650"/>
      <c r="N423" s="650"/>
      <c r="O423" s="650"/>
      <c r="P423" s="651"/>
      <c r="Q423" s="650"/>
      <c r="R423" s="650"/>
      <c r="S423" s="652"/>
      <c r="T423" s="606"/>
      <c r="U423" s="606"/>
      <c r="V423" s="19"/>
      <c r="W423" s="19"/>
      <c r="X423" s="19"/>
    </row>
    <row r="424" spans="1:24" hidden="1" outlineLevel="3" x14ac:dyDescent="0.2">
      <c r="A424" s="606"/>
      <c r="B424" s="606"/>
      <c r="C424" s="607"/>
      <c r="D424" s="608"/>
      <c r="E424" s="608"/>
      <c r="F424" s="608"/>
      <c r="G424" s="608"/>
      <c r="H424" s="609"/>
      <c r="I424" s="650"/>
      <c r="J424" s="651"/>
      <c r="K424" s="650"/>
      <c r="L424" s="650"/>
      <c r="M424" s="650"/>
      <c r="N424" s="650"/>
      <c r="O424" s="650"/>
      <c r="P424" s="651"/>
      <c r="Q424" s="650"/>
      <c r="R424" s="650"/>
      <c r="S424" s="652"/>
      <c r="T424" s="606"/>
      <c r="U424" s="606"/>
      <c r="V424" s="19"/>
      <c r="W424" s="19"/>
      <c r="X424" s="19"/>
    </row>
    <row r="425" spans="1:24" hidden="1" outlineLevel="3" x14ac:dyDescent="0.2">
      <c r="A425" s="606"/>
      <c r="B425" s="606"/>
      <c r="C425" s="607"/>
      <c r="D425" s="608"/>
      <c r="E425" s="608"/>
      <c r="F425" s="608"/>
      <c r="G425" s="608"/>
      <c r="H425" s="609"/>
      <c r="I425" s="650"/>
      <c r="J425" s="651"/>
      <c r="K425" s="650"/>
      <c r="L425" s="650"/>
      <c r="M425" s="650"/>
      <c r="N425" s="650"/>
      <c r="O425" s="650"/>
      <c r="P425" s="651"/>
      <c r="Q425" s="650"/>
      <c r="R425" s="650"/>
      <c r="S425" s="652"/>
      <c r="T425" s="606"/>
      <c r="U425" s="606"/>
      <c r="V425" s="19"/>
      <c r="W425" s="19"/>
      <c r="X425" s="19"/>
    </row>
    <row r="426" spans="1:24" hidden="1" outlineLevel="3" x14ac:dyDescent="0.2">
      <c r="A426" s="606"/>
      <c r="B426" s="606"/>
      <c r="C426" s="607"/>
      <c r="D426" s="608"/>
      <c r="E426" s="608"/>
      <c r="F426" s="608"/>
      <c r="G426" s="608"/>
      <c r="H426" s="609"/>
      <c r="I426" s="650"/>
      <c r="J426" s="651"/>
      <c r="K426" s="650"/>
      <c r="L426" s="650"/>
      <c r="M426" s="650"/>
      <c r="N426" s="650"/>
      <c r="O426" s="650"/>
      <c r="P426" s="651"/>
      <c r="Q426" s="650"/>
      <c r="R426" s="650"/>
      <c r="S426" s="652"/>
      <c r="T426" s="606"/>
      <c r="U426" s="606"/>
      <c r="V426" s="19"/>
      <c r="W426" s="19"/>
      <c r="X426" s="19"/>
    </row>
    <row r="427" spans="1:24" hidden="1" outlineLevel="3" x14ac:dyDescent="0.2">
      <c r="A427" s="606"/>
      <c r="B427" s="606"/>
      <c r="C427" s="607"/>
      <c r="D427" s="608"/>
      <c r="E427" s="608"/>
      <c r="F427" s="608"/>
      <c r="G427" s="608"/>
      <c r="H427" s="609"/>
      <c r="I427" s="650"/>
      <c r="J427" s="651"/>
      <c r="K427" s="650"/>
      <c r="L427" s="650"/>
      <c r="M427" s="650"/>
      <c r="N427" s="650"/>
      <c r="O427" s="650"/>
      <c r="P427" s="651"/>
      <c r="Q427" s="650"/>
      <c r="R427" s="650"/>
      <c r="S427" s="652"/>
      <c r="T427" s="606"/>
      <c r="U427" s="606"/>
      <c r="V427" s="19"/>
      <c r="W427" s="19"/>
      <c r="X427" s="19"/>
    </row>
    <row r="428" spans="1:24" hidden="1" outlineLevel="3" x14ac:dyDescent="0.2">
      <c r="A428" s="606"/>
      <c r="B428" s="606"/>
      <c r="C428" s="607"/>
      <c r="D428" s="608"/>
      <c r="E428" s="608"/>
      <c r="F428" s="608"/>
      <c r="G428" s="608"/>
      <c r="H428" s="609"/>
      <c r="I428" s="650"/>
      <c r="J428" s="651"/>
      <c r="K428" s="650"/>
      <c r="L428" s="650"/>
      <c r="M428" s="650"/>
      <c r="N428" s="650"/>
      <c r="O428" s="650"/>
      <c r="P428" s="651"/>
      <c r="Q428" s="650"/>
      <c r="R428" s="650"/>
      <c r="S428" s="652"/>
      <c r="T428" s="606"/>
      <c r="U428" s="606"/>
      <c r="V428" s="19"/>
      <c r="W428" s="19"/>
      <c r="X428" s="19"/>
    </row>
    <row r="429" spans="1:24" hidden="1" outlineLevel="3" x14ac:dyDescent="0.2">
      <c r="A429" s="606"/>
      <c r="B429" s="606"/>
      <c r="C429" s="607"/>
      <c r="D429" s="608"/>
      <c r="E429" s="608"/>
      <c r="F429" s="608"/>
      <c r="G429" s="608"/>
      <c r="H429" s="609"/>
      <c r="I429" s="650"/>
      <c r="J429" s="651"/>
      <c r="K429" s="650"/>
      <c r="L429" s="650"/>
      <c r="M429" s="650"/>
      <c r="N429" s="650"/>
      <c r="O429" s="650"/>
      <c r="P429" s="651"/>
      <c r="Q429" s="650"/>
      <c r="R429" s="650"/>
      <c r="S429" s="652"/>
      <c r="T429" s="606"/>
      <c r="U429" s="606"/>
      <c r="V429" s="19"/>
      <c r="W429" s="19"/>
      <c r="X429" s="19"/>
    </row>
    <row r="430" spans="1:24" hidden="1" outlineLevel="3" x14ac:dyDescent="0.2">
      <c r="A430" s="606"/>
      <c r="B430" s="606"/>
      <c r="C430" s="607"/>
      <c r="D430" s="608"/>
      <c r="E430" s="608"/>
      <c r="F430" s="608"/>
      <c r="G430" s="608"/>
      <c r="H430" s="609"/>
      <c r="I430" s="650"/>
      <c r="J430" s="651"/>
      <c r="K430" s="650"/>
      <c r="L430" s="650"/>
      <c r="M430" s="650"/>
      <c r="N430" s="650"/>
      <c r="O430" s="650"/>
      <c r="P430" s="651"/>
      <c r="Q430" s="650"/>
      <c r="R430" s="650"/>
      <c r="S430" s="652"/>
      <c r="T430" s="606"/>
      <c r="U430" s="606"/>
      <c r="V430" s="19"/>
      <c r="W430" s="19"/>
      <c r="X430" s="19"/>
    </row>
    <row r="431" spans="1:24" hidden="1" outlineLevel="3" x14ac:dyDescent="0.2">
      <c r="A431" s="606"/>
      <c r="B431" s="606"/>
      <c r="C431" s="607"/>
      <c r="D431" s="608"/>
      <c r="E431" s="608"/>
      <c r="F431" s="608"/>
      <c r="G431" s="608"/>
      <c r="H431" s="609"/>
      <c r="I431" s="650"/>
      <c r="J431" s="651"/>
      <c r="K431" s="650"/>
      <c r="L431" s="650"/>
      <c r="M431" s="650"/>
      <c r="N431" s="650"/>
      <c r="O431" s="650"/>
      <c r="P431" s="651"/>
      <c r="Q431" s="650"/>
      <c r="R431" s="650"/>
      <c r="S431" s="652"/>
      <c r="T431" s="606"/>
      <c r="U431" s="606"/>
      <c r="V431" s="19"/>
      <c r="W431" s="19"/>
      <c r="X431" s="19"/>
    </row>
    <row r="432" spans="1:24" outlineLevel="2" collapsed="1" x14ac:dyDescent="0.2">
      <c r="A432" s="606"/>
      <c r="B432" s="606"/>
      <c r="C432" s="613"/>
      <c r="D432" s="609"/>
      <c r="E432" s="609"/>
      <c r="F432" s="609"/>
      <c r="G432" s="609"/>
      <c r="H432" s="609"/>
      <c r="I432" s="653"/>
      <c r="J432" s="653"/>
      <c r="K432" s="654"/>
      <c r="L432" s="654"/>
      <c r="M432" s="654"/>
      <c r="N432" s="655"/>
      <c r="O432" s="655"/>
      <c r="P432" s="655"/>
      <c r="Q432" s="655"/>
      <c r="R432" s="655"/>
      <c r="S432" s="647"/>
      <c r="T432" s="606"/>
      <c r="U432" s="606"/>
      <c r="V432" s="19"/>
      <c r="W432" s="19"/>
      <c r="X432" s="19"/>
    </row>
    <row r="433" spans="1:24" outlineLevel="1" x14ac:dyDescent="0.2">
      <c r="A433" s="606"/>
      <c r="B433" s="606"/>
      <c r="C433" s="613"/>
      <c r="D433" s="609"/>
      <c r="E433" s="609"/>
      <c r="F433" s="609"/>
      <c r="G433" s="609"/>
      <c r="H433" s="609"/>
      <c r="I433" s="653"/>
      <c r="J433" s="653"/>
      <c r="K433" s="654"/>
      <c r="L433" s="654"/>
      <c r="M433" s="654"/>
      <c r="N433" s="655"/>
      <c r="O433" s="655"/>
      <c r="P433" s="655"/>
      <c r="Q433" s="655"/>
      <c r="R433" s="655"/>
      <c r="S433" s="647"/>
      <c r="T433" s="606"/>
      <c r="U433" s="606"/>
      <c r="V433" s="19"/>
      <c r="W433" s="19"/>
      <c r="X433" s="19"/>
    </row>
    <row r="434" spans="1:24" outlineLevel="1" x14ac:dyDescent="0.2">
      <c r="A434" s="606"/>
      <c r="B434" s="606"/>
      <c r="C434" s="616"/>
      <c r="D434" s="617"/>
      <c r="E434" s="617"/>
      <c r="F434" s="617"/>
      <c r="G434" s="618"/>
      <c r="H434" s="618"/>
      <c r="I434" s="654"/>
      <c r="J434" s="654"/>
      <c r="K434" s="654"/>
      <c r="L434" s="654"/>
      <c r="M434" s="654"/>
      <c r="N434" s="654"/>
      <c r="O434" s="654"/>
      <c r="P434" s="654"/>
      <c r="Q434" s="654"/>
      <c r="R434" s="654"/>
      <c r="S434" s="647"/>
      <c r="T434" s="606"/>
      <c r="U434" s="606"/>
      <c r="V434" s="19"/>
      <c r="W434" s="19"/>
      <c r="X434" s="19"/>
    </row>
    <row r="435" spans="1:24" ht="11.25" customHeight="1" outlineLevel="2" x14ac:dyDescent="0.2">
      <c r="A435" s="606"/>
      <c r="B435" s="606"/>
      <c r="C435" s="607"/>
      <c r="D435" s="608"/>
      <c r="E435" s="608"/>
      <c r="F435" s="608"/>
      <c r="G435" s="608"/>
      <c r="H435" s="609"/>
      <c r="I435" s="650"/>
      <c r="J435" s="651"/>
      <c r="K435" s="650"/>
      <c r="L435" s="650"/>
      <c r="M435" s="650"/>
      <c r="N435" s="650"/>
      <c r="O435" s="650"/>
      <c r="P435" s="651"/>
      <c r="Q435" s="650"/>
      <c r="R435" s="650"/>
      <c r="S435" s="652"/>
      <c r="T435" s="606"/>
      <c r="U435" s="606"/>
      <c r="V435" s="19"/>
      <c r="W435" s="19"/>
      <c r="X435" s="19"/>
    </row>
    <row r="436" spans="1:24" ht="11.25" customHeight="1" outlineLevel="2" x14ac:dyDescent="0.2">
      <c r="A436" s="606"/>
      <c r="B436" s="606"/>
      <c r="C436" s="607"/>
      <c r="D436" s="608"/>
      <c r="E436" s="608"/>
      <c r="F436" s="608"/>
      <c r="G436" s="608"/>
      <c r="H436" s="609"/>
      <c r="I436" s="650"/>
      <c r="J436" s="651"/>
      <c r="K436" s="650"/>
      <c r="L436" s="650"/>
      <c r="M436" s="650"/>
      <c r="N436" s="650"/>
      <c r="O436" s="650"/>
      <c r="P436" s="651"/>
      <c r="Q436" s="650"/>
      <c r="R436" s="650"/>
      <c r="S436" s="652"/>
      <c r="T436" s="606"/>
      <c r="U436" s="606"/>
      <c r="V436" s="19"/>
      <c r="W436" s="19"/>
      <c r="X436" s="19"/>
    </row>
    <row r="437" spans="1:24" ht="11.25" customHeight="1" outlineLevel="2" x14ac:dyDescent="0.2">
      <c r="A437" s="606"/>
      <c r="B437" s="606"/>
      <c r="C437" s="607"/>
      <c r="D437" s="608"/>
      <c r="E437" s="608"/>
      <c r="F437" s="608"/>
      <c r="G437" s="608"/>
      <c r="H437" s="609"/>
      <c r="I437" s="650"/>
      <c r="J437" s="651"/>
      <c r="K437" s="650"/>
      <c r="L437" s="650"/>
      <c r="M437" s="650"/>
      <c r="N437" s="650"/>
      <c r="O437" s="650"/>
      <c r="P437" s="651"/>
      <c r="Q437" s="650"/>
      <c r="R437" s="650"/>
      <c r="S437" s="652"/>
      <c r="T437" s="606"/>
      <c r="U437" s="606"/>
      <c r="V437" s="19"/>
      <c r="W437" s="19"/>
      <c r="X437" s="19"/>
    </row>
    <row r="438" spans="1:24" ht="11.25" customHeight="1" outlineLevel="2" x14ac:dyDescent="0.2">
      <c r="A438" s="606"/>
      <c r="B438" s="606"/>
      <c r="C438" s="607"/>
      <c r="D438" s="608"/>
      <c r="E438" s="608"/>
      <c r="F438" s="608"/>
      <c r="G438" s="608"/>
      <c r="H438" s="609"/>
      <c r="I438" s="650"/>
      <c r="J438" s="651"/>
      <c r="K438" s="650"/>
      <c r="L438" s="650"/>
      <c r="M438" s="650"/>
      <c r="N438" s="650"/>
      <c r="O438" s="650"/>
      <c r="P438" s="651"/>
      <c r="Q438" s="650"/>
      <c r="R438" s="650"/>
      <c r="S438" s="652"/>
      <c r="T438" s="606"/>
      <c r="U438" s="606"/>
      <c r="V438" s="19"/>
      <c r="W438" s="19"/>
      <c r="X438" s="19"/>
    </row>
    <row r="439" spans="1:24" ht="11.25" customHeight="1" outlineLevel="2" x14ac:dyDescent="0.2">
      <c r="A439" s="606"/>
      <c r="B439" s="606"/>
      <c r="C439" s="607"/>
      <c r="D439" s="608"/>
      <c r="E439" s="608"/>
      <c r="F439" s="608"/>
      <c r="G439" s="608"/>
      <c r="H439" s="609"/>
      <c r="I439" s="650"/>
      <c r="J439" s="651"/>
      <c r="K439" s="650"/>
      <c r="L439" s="650"/>
      <c r="M439" s="650"/>
      <c r="N439" s="650"/>
      <c r="O439" s="650"/>
      <c r="P439" s="651"/>
      <c r="Q439" s="650"/>
      <c r="R439" s="650"/>
      <c r="S439" s="652"/>
      <c r="T439" s="606"/>
      <c r="U439" s="606"/>
      <c r="V439" s="19"/>
      <c r="W439" s="19"/>
      <c r="X439" s="19"/>
    </row>
    <row r="440" spans="1:24" ht="11.25" customHeight="1" outlineLevel="2" x14ac:dyDescent="0.2">
      <c r="A440" s="606"/>
      <c r="B440" s="606"/>
      <c r="C440" s="607"/>
      <c r="D440" s="608"/>
      <c r="E440" s="608"/>
      <c r="F440" s="608"/>
      <c r="G440" s="608"/>
      <c r="H440" s="609"/>
      <c r="I440" s="650"/>
      <c r="J440" s="651"/>
      <c r="K440" s="650"/>
      <c r="L440" s="650"/>
      <c r="M440" s="650"/>
      <c r="N440" s="650"/>
      <c r="O440" s="650"/>
      <c r="P440" s="651"/>
      <c r="Q440" s="650"/>
      <c r="R440" s="650"/>
      <c r="S440" s="652"/>
      <c r="T440" s="606"/>
      <c r="U440" s="606"/>
      <c r="V440" s="19"/>
      <c r="W440" s="19"/>
      <c r="X440" s="19"/>
    </row>
    <row r="441" spans="1:24" ht="11.25" customHeight="1" outlineLevel="2" x14ac:dyDescent="0.2">
      <c r="A441" s="606"/>
      <c r="B441" s="606"/>
      <c r="C441" s="607"/>
      <c r="D441" s="608"/>
      <c r="E441" s="608"/>
      <c r="F441" s="608"/>
      <c r="G441" s="608"/>
      <c r="H441" s="609"/>
      <c r="I441" s="650"/>
      <c r="J441" s="651"/>
      <c r="K441" s="650"/>
      <c r="L441" s="650"/>
      <c r="M441" s="650"/>
      <c r="N441" s="650"/>
      <c r="O441" s="650"/>
      <c r="P441" s="651"/>
      <c r="Q441" s="650"/>
      <c r="R441" s="650"/>
      <c r="S441" s="652"/>
      <c r="T441" s="606"/>
      <c r="U441" s="606"/>
      <c r="V441" s="19"/>
      <c r="W441" s="19"/>
      <c r="X441" s="19"/>
    </row>
    <row r="442" spans="1:24" ht="11.25" customHeight="1" outlineLevel="2" x14ac:dyDescent="0.2">
      <c r="A442" s="606"/>
      <c r="B442" s="606"/>
      <c r="C442" s="607"/>
      <c r="D442" s="608"/>
      <c r="E442" s="608"/>
      <c r="F442" s="608"/>
      <c r="G442" s="608"/>
      <c r="H442" s="609"/>
      <c r="I442" s="650"/>
      <c r="J442" s="651"/>
      <c r="K442" s="650"/>
      <c r="L442" s="650"/>
      <c r="M442" s="650"/>
      <c r="N442" s="650"/>
      <c r="O442" s="650"/>
      <c r="P442" s="651"/>
      <c r="Q442" s="650"/>
      <c r="R442" s="650"/>
      <c r="S442" s="652"/>
      <c r="T442" s="606"/>
      <c r="U442" s="606"/>
      <c r="V442" s="19"/>
      <c r="W442" s="19"/>
      <c r="X442" s="19"/>
    </row>
    <row r="443" spans="1:24" ht="11.25" customHeight="1" outlineLevel="2" x14ac:dyDescent="0.2">
      <c r="A443" s="606"/>
      <c r="B443" s="606"/>
      <c r="C443" s="607"/>
      <c r="D443" s="608"/>
      <c r="E443" s="608"/>
      <c r="F443" s="608"/>
      <c r="G443" s="608"/>
      <c r="H443" s="609"/>
      <c r="I443" s="650"/>
      <c r="J443" s="651"/>
      <c r="K443" s="650"/>
      <c r="L443" s="650"/>
      <c r="M443" s="650"/>
      <c r="N443" s="650"/>
      <c r="O443" s="650"/>
      <c r="P443" s="651"/>
      <c r="Q443" s="650"/>
      <c r="R443" s="650"/>
      <c r="S443" s="652"/>
      <c r="T443" s="606"/>
      <c r="U443" s="606"/>
      <c r="V443" s="19"/>
      <c r="W443" s="19"/>
      <c r="X443" s="19"/>
    </row>
    <row r="444" spans="1:24" ht="11.25" customHeight="1" outlineLevel="2" x14ac:dyDescent="0.2">
      <c r="A444" s="606"/>
      <c r="B444" s="606"/>
      <c r="C444" s="607"/>
      <c r="D444" s="608"/>
      <c r="E444" s="608"/>
      <c r="F444" s="608"/>
      <c r="G444" s="608"/>
      <c r="H444" s="609"/>
      <c r="I444" s="650"/>
      <c r="J444" s="651"/>
      <c r="K444" s="650"/>
      <c r="L444" s="650"/>
      <c r="M444" s="650"/>
      <c r="N444" s="650"/>
      <c r="O444" s="650"/>
      <c r="P444" s="651"/>
      <c r="Q444" s="650"/>
      <c r="R444" s="650"/>
      <c r="S444" s="652"/>
      <c r="T444" s="606"/>
      <c r="U444" s="606"/>
      <c r="V444" s="19"/>
      <c r="W444" s="19"/>
      <c r="X444" s="19"/>
    </row>
    <row r="445" spans="1:24" ht="11.25" customHeight="1" outlineLevel="2" x14ac:dyDescent="0.2">
      <c r="A445" s="606"/>
      <c r="B445" s="606"/>
      <c r="C445" s="607"/>
      <c r="D445" s="608"/>
      <c r="E445" s="608"/>
      <c r="F445" s="608"/>
      <c r="G445" s="608"/>
      <c r="H445" s="609"/>
      <c r="I445" s="650"/>
      <c r="J445" s="651"/>
      <c r="K445" s="650"/>
      <c r="L445" s="650"/>
      <c r="M445" s="650"/>
      <c r="N445" s="650"/>
      <c r="O445" s="650"/>
      <c r="P445" s="651"/>
      <c r="Q445" s="650"/>
      <c r="R445" s="650"/>
      <c r="S445" s="652"/>
      <c r="T445" s="606"/>
      <c r="U445" s="606"/>
      <c r="V445" s="19"/>
      <c r="W445" s="19"/>
      <c r="X445" s="19"/>
    </row>
    <row r="446" spans="1:24" ht="11.25" customHeight="1" outlineLevel="2" x14ac:dyDescent="0.2">
      <c r="A446" s="606"/>
      <c r="B446" s="606"/>
      <c r="C446" s="607"/>
      <c r="D446" s="608"/>
      <c r="E446" s="608"/>
      <c r="F446" s="608"/>
      <c r="G446" s="608"/>
      <c r="H446" s="609"/>
      <c r="I446" s="650"/>
      <c r="J446" s="651"/>
      <c r="K446" s="650"/>
      <c r="L446" s="650"/>
      <c r="M446" s="650"/>
      <c r="N446" s="650"/>
      <c r="O446" s="650"/>
      <c r="P446" s="651"/>
      <c r="Q446" s="650"/>
      <c r="R446" s="650"/>
      <c r="S446" s="652"/>
      <c r="T446" s="606"/>
      <c r="U446" s="606"/>
      <c r="V446" s="19"/>
      <c r="W446" s="19"/>
      <c r="X446" s="19"/>
    </row>
    <row r="447" spans="1:24" ht="11.25" customHeight="1" outlineLevel="2" x14ac:dyDescent="0.2">
      <c r="A447" s="606"/>
      <c r="B447" s="606"/>
      <c r="C447" s="607"/>
      <c r="D447" s="608"/>
      <c r="E447" s="608"/>
      <c r="F447" s="608"/>
      <c r="G447" s="608"/>
      <c r="H447" s="609"/>
      <c r="I447" s="650"/>
      <c r="J447" s="651"/>
      <c r="K447" s="650"/>
      <c r="L447" s="650"/>
      <c r="M447" s="650"/>
      <c r="N447" s="650"/>
      <c r="O447" s="650"/>
      <c r="P447" s="651"/>
      <c r="Q447" s="650"/>
      <c r="R447" s="650"/>
      <c r="S447" s="652"/>
      <c r="T447" s="606"/>
      <c r="U447" s="606"/>
      <c r="V447" s="19"/>
      <c r="W447" s="19"/>
      <c r="X447" s="19"/>
    </row>
    <row r="448" spans="1:24" ht="11.25" customHeight="1" outlineLevel="2" x14ac:dyDescent="0.2">
      <c r="A448" s="606"/>
      <c r="B448" s="606"/>
      <c r="C448" s="607"/>
      <c r="D448" s="608"/>
      <c r="E448" s="608"/>
      <c r="F448" s="608"/>
      <c r="G448" s="608"/>
      <c r="H448" s="609"/>
      <c r="I448" s="650"/>
      <c r="J448" s="651"/>
      <c r="K448" s="650"/>
      <c r="L448" s="650"/>
      <c r="M448" s="650"/>
      <c r="N448" s="650"/>
      <c r="O448" s="650"/>
      <c r="P448" s="651"/>
      <c r="Q448" s="650"/>
      <c r="R448" s="650"/>
      <c r="S448" s="652"/>
      <c r="T448" s="606"/>
      <c r="U448" s="606"/>
      <c r="V448" s="19"/>
      <c r="W448" s="19"/>
      <c r="X448" s="19"/>
    </row>
    <row r="449" spans="1:24" ht="11.25" customHeight="1" outlineLevel="2" x14ac:dyDescent="0.2">
      <c r="A449" s="606"/>
      <c r="B449" s="606"/>
      <c r="C449" s="607"/>
      <c r="D449" s="608"/>
      <c r="E449" s="608"/>
      <c r="F449" s="608"/>
      <c r="G449" s="608"/>
      <c r="H449" s="609"/>
      <c r="I449" s="650"/>
      <c r="J449" s="651"/>
      <c r="K449" s="650"/>
      <c r="L449" s="650"/>
      <c r="M449" s="650"/>
      <c r="N449" s="650"/>
      <c r="O449" s="650"/>
      <c r="P449" s="651"/>
      <c r="Q449" s="650"/>
      <c r="R449" s="650"/>
      <c r="S449" s="652"/>
      <c r="T449" s="606"/>
      <c r="U449" s="606"/>
      <c r="V449" s="19"/>
      <c r="W449" s="19"/>
      <c r="X449" s="19"/>
    </row>
    <row r="450" spans="1:24" ht="11.25" customHeight="1" outlineLevel="2" x14ac:dyDescent="0.2">
      <c r="A450" s="606"/>
      <c r="B450" s="606"/>
      <c r="C450" s="607"/>
      <c r="D450" s="608"/>
      <c r="E450" s="608"/>
      <c r="F450" s="608"/>
      <c r="G450" s="608"/>
      <c r="H450" s="609"/>
      <c r="I450" s="650"/>
      <c r="J450" s="651"/>
      <c r="K450" s="650"/>
      <c r="L450" s="650"/>
      <c r="M450" s="650"/>
      <c r="N450" s="650"/>
      <c r="O450" s="650"/>
      <c r="P450" s="651"/>
      <c r="Q450" s="650"/>
      <c r="R450" s="650"/>
      <c r="S450" s="652"/>
      <c r="T450" s="606"/>
      <c r="U450" s="606"/>
      <c r="V450" s="19"/>
      <c r="W450" s="19"/>
      <c r="X450" s="19"/>
    </row>
    <row r="451" spans="1:24" ht="11.25" customHeight="1" outlineLevel="2" x14ac:dyDescent="0.2">
      <c r="A451" s="606"/>
      <c r="B451" s="606"/>
      <c r="C451" s="607"/>
      <c r="D451" s="608"/>
      <c r="E451" s="608"/>
      <c r="F451" s="608"/>
      <c r="G451" s="608"/>
      <c r="H451" s="609"/>
      <c r="I451" s="650"/>
      <c r="J451" s="651"/>
      <c r="K451" s="650"/>
      <c r="L451" s="650"/>
      <c r="M451" s="650"/>
      <c r="N451" s="650"/>
      <c r="O451" s="650"/>
      <c r="P451" s="651"/>
      <c r="Q451" s="650"/>
      <c r="R451" s="650"/>
      <c r="S451" s="652"/>
      <c r="T451" s="606"/>
      <c r="U451" s="606"/>
      <c r="V451" s="19"/>
      <c r="W451" s="19"/>
      <c r="X451" s="19"/>
    </row>
    <row r="452" spans="1:24" ht="11.25" customHeight="1" outlineLevel="2" x14ac:dyDescent="0.2">
      <c r="A452" s="606"/>
      <c r="B452" s="606"/>
      <c r="C452" s="607"/>
      <c r="D452" s="608"/>
      <c r="E452" s="608"/>
      <c r="F452" s="608"/>
      <c r="G452" s="608"/>
      <c r="H452" s="609"/>
      <c r="I452" s="650"/>
      <c r="J452" s="651"/>
      <c r="K452" s="650"/>
      <c r="L452" s="650"/>
      <c r="M452" s="650"/>
      <c r="N452" s="650"/>
      <c r="O452" s="650"/>
      <c r="P452" s="651"/>
      <c r="Q452" s="650"/>
      <c r="R452" s="650"/>
      <c r="S452" s="652"/>
      <c r="T452" s="606"/>
      <c r="U452" s="606"/>
      <c r="V452" s="19"/>
      <c r="W452" s="19"/>
      <c r="X452" s="19"/>
    </row>
    <row r="453" spans="1:24" ht="11.25" customHeight="1" outlineLevel="2" x14ac:dyDescent="0.2">
      <c r="A453" s="606"/>
      <c r="B453" s="606"/>
      <c r="C453" s="607"/>
      <c r="D453" s="608"/>
      <c r="E453" s="608"/>
      <c r="F453" s="608"/>
      <c r="G453" s="608"/>
      <c r="H453" s="609"/>
      <c r="I453" s="650"/>
      <c r="J453" s="651"/>
      <c r="K453" s="650"/>
      <c r="L453" s="650"/>
      <c r="M453" s="650"/>
      <c r="N453" s="650"/>
      <c r="O453" s="650"/>
      <c r="P453" s="651"/>
      <c r="Q453" s="650"/>
      <c r="R453" s="650"/>
      <c r="S453" s="652"/>
      <c r="T453" s="606"/>
      <c r="U453" s="606"/>
      <c r="V453" s="19"/>
      <c r="W453" s="19"/>
      <c r="X453" s="19"/>
    </row>
    <row r="454" spans="1:24" ht="11.25" customHeight="1" outlineLevel="2" x14ac:dyDescent="0.2">
      <c r="A454" s="606"/>
      <c r="B454" s="606"/>
      <c r="C454" s="607"/>
      <c r="D454" s="608"/>
      <c r="E454" s="608"/>
      <c r="F454" s="608"/>
      <c r="G454" s="608"/>
      <c r="H454" s="609"/>
      <c r="I454" s="650"/>
      <c r="J454" s="651"/>
      <c r="K454" s="650"/>
      <c r="L454" s="650"/>
      <c r="M454" s="650"/>
      <c r="N454" s="650"/>
      <c r="O454" s="650"/>
      <c r="P454" s="651"/>
      <c r="Q454" s="650"/>
      <c r="R454" s="650"/>
      <c r="S454" s="652"/>
      <c r="T454" s="606"/>
      <c r="U454" s="606"/>
      <c r="V454" s="19"/>
      <c r="W454" s="19"/>
      <c r="X454" s="19"/>
    </row>
    <row r="455" spans="1:24" ht="11.25" customHeight="1" outlineLevel="2" x14ac:dyDescent="0.2">
      <c r="A455" s="606"/>
      <c r="B455" s="606"/>
      <c r="C455" s="607"/>
      <c r="D455" s="608"/>
      <c r="E455" s="608"/>
      <c r="F455" s="608"/>
      <c r="G455" s="608"/>
      <c r="H455" s="609"/>
      <c r="I455" s="650"/>
      <c r="J455" s="651"/>
      <c r="K455" s="650"/>
      <c r="L455" s="650"/>
      <c r="M455" s="650"/>
      <c r="N455" s="650"/>
      <c r="O455" s="650"/>
      <c r="P455" s="651"/>
      <c r="Q455" s="650"/>
      <c r="R455" s="650"/>
      <c r="S455" s="652"/>
      <c r="T455" s="606"/>
      <c r="U455" s="606"/>
      <c r="V455" s="19"/>
      <c r="W455" s="19"/>
      <c r="X455" s="19"/>
    </row>
    <row r="456" spans="1:24" ht="11.25" customHeight="1" outlineLevel="2" x14ac:dyDescent="0.2">
      <c r="A456" s="606"/>
      <c r="B456" s="606"/>
      <c r="C456" s="607"/>
      <c r="D456" s="608"/>
      <c r="E456" s="608"/>
      <c r="F456" s="608"/>
      <c r="G456" s="608"/>
      <c r="H456" s="609"/>
      <c r="I456" s="650"/>
      <c r="J456" s="651"/>
      <c r="K456" s="650"/>
      <c r="L456" s="650"/>
      <c r="M456" s="650"/>
      <c r="N456" s="650"/>
      <c r="O456" s="650"/>
      <c r="P456" s="651"/>
      <c r="Q456" s="650"/>
      <c r="R456" s="650"/>
      <c r="S456" s="652"/>
      <c r="T456" s="606"/>
      <c r="U456" s="606"/>
      <c r="V456" s="19"/>
      <c r="W456" s="19"/>
      <c r="X456" s="19"/>
    </row>
    <row r="457" spans="1:24" ht="11.25" customHeight="1" outlineLevel="2" x14ac:dyDescent="0.2">
      <c r="A457" s="606"/>
      <c r="B457" s="606"/>
      <c r="C457" s="607"/>
      <c r="D457" s="608"/>
      <c r="E457" s="608"/>
      <c r="F457" s="608"/>
      <c r="G457" s="608"/>
      <c r="H457" s="609"/>
      <c r="I457" s="650"/>
      <c r="J457" s="651"/>
      <c r="K457" s="650"/>
      <c r="L457" s="650"/>
      <c r="M457" s="650"/>
      <c r="N457" s="650"/>
      <c r="O457" s="650"/>
      <c r="P457" s="651"/>
      <c r="Q457" s="650"/>
      <c r="R457" s="650"/>
      <c r="S457" s="652"/>
      <c r="T457" s="606"/>
      <c r="U457" s="606"/>
      <c r="V457" s="19"/>
      <c r="W457" s="19"/>
      <c r="X457" s="19"/>
    </row>
    <row r="458" spans="1:24" ht="11.25" customHeight="1" outlineLevel="2" x14ac:dyDescent="0.2">
      <c r="A458" s="606"/>
      <c r="B458" s="606"/>
      <c r="C458" s="607"/>
      <c r="D458" s="608"/>
      <c r="E458" s="608"/>
      <c r="F458" s="608"/>
      <c r="G458" s="608"/>
      <c r="H458" s="609"/>
      <c r="I458" s="650"/>
      <c r="J458" s="651"/>
      <c r="K458" s="650"/>
      <c r="L458" s="650"/>
      <c r="M458" s="650"/>
      <c r="N458" s="650"/>
      <c r="O458" s="650"/>
      <c r="P458" s="651"/>
      <c r="Q458" s="650"/>
      <c r="R458" s="650"/>
      <c r="S458" s="652"/>
      <c r="T458" s="606"/>
      <c r="U458" s="606"/>
      <c r="V458" s="19"/>
      <c r="W458" s="19"/>
      <c r="X458" s="19"/>
    </row>
    <row r="459" spans="1:24" ht="11.25" customHeight="1" outlineLevel="2" x14ac:dyDescent="0.2">
      <c r="A459" s="606"/>
      <c r="B459" s="606"/>
      <c r="C459" s="607"/>
      <c r="D459" s="608"/>
      <c r="E459" s="608"/>
      <c r="F459" s="608"/>
      <c r="G459" s="608"/>
      <c r="H459" s="609"/>
      <c r="I459" s="650"/>
      <c r="J459" s="651"/>
      <c r="K459" s="650"/>
      <c r="L459" s="650"/>
      <c r="M459" s="650"/>
      <c r="N459" s="650"/>
      <c r="O459" s="650"/>
      <c r="P459" s="651"/>
      <c r="Q459" s="650"/>
      <c r="R459" s="650"/>
      <c r="S459" s="652"/>
      <c r="T459" s="606"/>
      <c r="U459" s="606"/>
      <c r="V459" s="19"/>
      <c r="W459" s="19"/>
      <c r="X459" s="19"/>
    </row>
    <row r="460" spans="1:24" ht="11.25" customHeight="1" outlineLevel="2" x14ac:dyDescent="0.2">
      <c r="A460" s="606"/>
      <c r="B460" s="606"/>
      <c r="C460" s="607"/>
      <c r="D460" s="608"/>
      <c r="E460" s="608"/>
      <c r="F460" s="608"/>
      <c r="G460" s="608"/>
      <c r="H460" s="609"/>
      <c r="I460" s="650"/>
      <c r="J460" s="651"/>
      <c r="K460" s="650"/>
      <c r="L460" s="650"/>
      <c r="M460" s="650"/>
      <c r="N460" s="650"/>
      <c r="O460" s="650"/>
      <c r="P460" s="651"/>
      <c r="Q460" s="650"/>
      <c r="R460" s="650"/>
      <c r="S460" s="652"/>
      <c r="T460" s="606"/>
      <c r="U460" s="606"/>
      <c r="V460" s="19"/>
      <c r="W460" s="19"/>
      <c r="X460" s="19"/>
    </row>
    <row r="461" spans="1:24" ht="11.25" customHeight="1" outlineLevel="2" x14ac:dyDescent="0.2">
      <c r="A461" s="606"/>
      <c r="B461" s="606"/>
      <c r="C461" s="607"/>
      <c r="D461" s="608"/>
      <c r="E461" s="608"/>
      <c r="F461" s="608"/>
      <c r="G461" s="608"/>
      <c r="H461" s="609"/>
      <c r="I461" s="650"/>
      <c r="J461" s="651"/>
      <c r="K461" s="650"/>
      <c r="L461" s="650"/>
      <c r="M461" s="650"/>
      <c r="N461" s="650"/>
      <c r="O461" s="650"/>
      <c r="P461" s="651"/>
      <c r="Q461" s="650"/>
      <c r="R461" s="650"/>
      <c r="S461" s="652"/>
      <c r="T461" s="606"/>
      <c r="U461" s="606"/>
      <c r="V461" s="19"/>
      <c r="W461" s="19"/>
      <c r="X461" s="19"/>
    </row>
    <row r="462" spans="1:24" ht="11.25" customHeight="1" outlineLevel="2" x14ac:dyDescent="0.2">
      <c r="A462" s="606"/>
      <c r="B462" s="606"/>
      <c r="C462" s="607"/>
      <c r="D462" s="608"/>
      <c r="E462" s="608"/>
      <c r="F462" s="608"/>
      <c r="G462" s="608"/>
      <c r="H462" s="609"/>
      <c r="I462" s="650"/>
      <c r="J462" s="651"/>
      <c r="K462" s="650"/>
      <c r="L462" s="650"/>
      <c r="M462" s="650"/>
      <c r="N462" s="650"/>
      <c r="O462" s="650"/>
      <c r="P462" s="651"/>
      <c r="Q462" s="650"/>
      <c r="R462" s="650"/>
      <c r="S462" s="652"/>
      <c r="T462" s="606"/>
      <c r="U462" s="606"/>
      <c r="V462" s="19"/>
      <c r="W462" s="19"/>
      <c r="X462" s="19"/>
    </row>
    <row r="463" spans="1:24" ht="11.25" customHeight="1" outlineLevel="2" x14ac:dyDescent="0.2">
      <c r="A463" s="606"/>
      <c r="B463" s="606"/>
      <c r="C463" s="607"/>
      <c r="D463" s="608"/>
      <c r="E463" s="608"/>
      <c r="F463" s="608"/>
      <c r="G463" s="608"/>
      <c r="H463" s="609"/>
      <c r="I463" s="650"/>
      <c r="J463" s="651"/>
      <c r="K463" s="650"/>
      <c r="L463" s="650"/>
      <c r="M463" s="650"/>
      <c r="N463" s="650"/>
      <c r="O463" s="650"/>
      <c r="P463" s="651"/>
      <c r="Q463" s="650"/>
      <c r="R463" s="650"/>
      <c r="S463" s="652"/>
      <c r="T463" s="606"/>
      <c r="U463" s="606"/>
      <c r="V463" s="19"/>
      <c r="W463" s="19"/>
      <c r="X463" s="19"/>
    </row>
    <row r="464" spans="1:24" ht="11.25" customHeight="1" outlineLevel="2" x14ac:dyDescent="0.2">
      <c r="A464" s="606"/>
      <c r="B464" s="606"/>
      <c r="C464" s="607"/>
      <c r="D464" s="608"/>
      <c r="E464" s="608"/>
      <c r="F464" s="608"/>
      <c r="G464" s="608"/>
      <c r="H464" s="609"/>
      <c r="I464" s="650"/>
      <c r="J464" s="651"/>
      <c r="K464" s="650"/>
      <c r="L464" s="650"/>
      <c r="M464" s="650"/>
      <c r="N464" s="650"/>
      <c r="O464" s="650"/>
      <c r="P464" s="651"/>
      <c r="Q464" s="650"/>
      <c r="R464" s="650"/>
      <c r="S464" s="652"/>
      <c r="T464" s="606"/>
      <c r="U464" s="606"/>
      <c r="V464" s="19"/>
      <c r="W464" s="19"/>
      <c r="X464" s="19"/>
    </row>
    <row r="465" spans="1:24" ht="11.25" customHeight="1" outlineLevel="2" x14ac:dyDescent="0.2">
      <c r="A465" s="606"/>
      <c r="B465" s="606"/>
      <c r="C465" s="607"/>
      <c r="D465" s="608"/>
      <c r="E465" s="608"/>
      <c r="F465" s="608"/>
      <c r="G465" s="608"/>
      <c r="H465" s="609"/>
      <c r="I465" s="650"/>
      <c r="J465" s="651"/>
      <c r="K465" s="650"/>
      <c r="L465" s="650"/>
      <c r="M465" s="650"/>
      <c r="N465" s="650"/>
      <c r="O465" s="650"/>
      <c r="P465" s="651"/>
      <c r="Q465" s="650"/>
      <c r="R465" s="650"/>
      <c r="S465" s="652"/>
      <c r="T465" s="606"/>
      <c r="U465" s="606"/>
      <c r="V465" s="19"/>
      <c r="W465" s="19"/>
      <c r="X465" s="19"/>
    </row>
    <row r="466" spans="1:24" ht="11.25" customHeight="1" outlineLevel="2" x14ac:dyDescent="0.2">
      <c r="A466" s="606"/>
      <c r="B466" s="606"/>
      <c r="C466" s="607"/>
      <c r="D466" s="608"/>
      <c r="E466" s="608"/>
      <c r="F466" s="608"/>
      <c r="G466" s="608"/>
      <c r="H466" s="609"/>
      <c r="I466" s="650"/>
      <c r="J466" s="651"/>
      <c r="K466" s="650"/>
      <c r="L466" s="650"/>
      <c r="M466" s="650"/>
      <c r="N466" s="650"/>
      <c r="O466" s="650"/>
      <c r="P466" s="651"/>
      <c r="Q466" s="650"/>
      <c r="R466" s="650"/>
      <c r="S466" s="652"/>
      <c r="T466" s="606"/>
      <c r="U466" s="606"/>
      <c r="V466" s="19"/>
      <c r="W466" s="19"/>
      <c r="X466" s="19"/>
    </row>
    <row r="467" spans="1:24" ht="11.25" hidden="1" customHeight="1" outlineLevel="3" x14ac:dyDescent="0.2">
      <c r="A467" s="606"/>
      <c r="B467" s="606"/>
      <c r="C467" s="607"/>
      <c r="D467" s="608"/>
      <c r="E467" s="608"/>
      <c r="F467" s="608"/>
      <c r="G467" s="608"/>
      <c r="H467" s="609"/>
      <c r="I467" s="650"/>
      <c r="J467" s="651"/>
      <c r="K467" s="650"/>
      <c r="L467" s="650"/>
      <c r="M467" s="650"/>
      <c r="N467" s="650"/>
      <c r="O467" s="650"/>
      <c r="P467" s="651"/>
      <c r="Q467" s="650"/>
      <c r="R467" s="650"/>
      <c r="S467" s="652"/>
      <c r="T467" s="606"/>
      <c r="U467" s="606"/>
      <c r="V467" s="19"/>
      <c r="W467" s="19"/>
      <c r="X467" s="19"/>
    </row>
    <row r="468" spans="1:24" ht="11.25" hidden="1" customHeight="1" outlineLevel="3" x14ac:dyDescent="0.2">
      <c r="A468" s="606"/>
      <c r="B468" s="606"/>
      <c r="C468" s="607"/>
      <c r="D468" s="608"/>
      <c r="E468" s="608"/>
      <c r="F468" s="608"/>
      <c r="G468" s="608"/>
      <c r="H468" s="609"/>
      <c r="I468" s="650"/>
      <c r="J468" s="651"/>
      <c r="K468" s="650"/>
      <c r="L468" s="650"/>
      <c r="M468" s="650"/>
      <c r="N468" s="650"/>
      <c r="O468" s="650"/>
      <c r="P468" s="651"/>
      <c r="Q468" s="650"/>
      <c r="R468" s="650"/>
      <c r="S468" s="652"/>
      <c r="T468" s="606"/>
      <c r="U468" s="606"/>
      <c r="V468" s="19"/>
      <c r="W468" s="19"/>
      <c r="X468" s="19"/>
    </row>
    <row r="469" spans="1:24" ht="11.25" hidden="1" customHeight="1" outlineLevel="3" x14ac:dyDescent="0.2">
      <c r="A469" s="606"/>
      <c r="B469" s="606"/>
      <c r="C469" s="607"/>
      <c r="D469" s="608"/>
      <c r="E469" s="608"/>
      <c r="F469" s="608"/>
      <c r="G469" s="608"/>
      <c r="H469" s="609"/>
      <c r="I469" s="650"/>
      <c r="J469" s="651"/>
      <c r="K469" s="650"/>
      <c r="L469" s="650"/>
      <c r="M469" s="650"/>
      <c r="N469" s="650"/>
      <c r="O469" s="650"/>
      <c r="P469" s="651"/>
      <c r="Q469" s="650"/>
      <c r="R469" s="650"/>
      <c r="S469" s="652"/>
      <c r="T469" s="606"/>
      <c r="U469" s="606"/>
      <c r="V469" s="19"/>
      <c r="W469" s="19"/>
      <c r="X469" s="19"/>
    </row>
    <row r="470" spans="1:24" ht="11.25" hidden="1" customHeight="1" outlineLevel="3" x14ac:dyDescent="0.2">
      <c r="A470" s="606"/>
      <c r="B470" s="606"/>
      <c r="C470" s="607"/>
      <c r="D470" s="608"/>
      <c r="E470" s="608"/>
      <c r="F470" s="608"/>
      <c r="G470" s="608"/>
      <c r="H470" s="609"/>
      <c r="I470" s="650"/>
      <c r="J470" s="651"/>
      <c r="K470" s="650"/>
      <c r="L470" s="650"/>
      <c r="M470" s="650"/>
      <c r="N470" s="650"/>
      <c r="O470" s="650"/>
      <c r="P470" s="651"/>
      <c r="Q470" s="650"/>
      <c r="R470" s="650"/>
      <c r="S470" s="652"/>
      <c r="T470" s="606"/>
      <c r="U470" s="606"/>
      <c r="V470" s="19"/>
      <c r="W470" s="19"/>
      <c r="X470" s="19"/>
    </row>
    <row r="471" spans="1:24" ht="11.25" hidden="1" customHeight="1" outlineLevel="3" x14ac:dyDescent="0.2">
      <c r="A471" s="606"/>
      <c r="B471" s="606"/>
      <c r="C471" s="607"/>
      <c r="D471" s="608"/>
      <c r="E471" s="608"/>
      <c r="F471" s="608"/>
      <c r="G471" s="608"/>
      <c r="H471" s="609"/>
      <c r="I471" s="650"/>
      <c r="J471" s="651"/>
      <c r="K471" s="650"/>
      <c r="L471" s="650"/>
      <c r="M471" s="650"/>
      <c r="N471" s="650"/>
      <c r="O471" s="650"/>
      <c r="P471" s="651"/>
      <c r="Q471" s="650"/>
      <c r="R471" s="650"/>
      <c r="S471" s="652"/>
      <c r="T471" s="606"/>
      <c r="U471" s="606"/>
      <c r="V471" s="19"/>
      <c r="W471" s="19"/>
      <c r="X471" s="19"/>
    </row>
    <row r="472" spans="1:24" ht="11.25" hidden="1" customHeight="1" outlineLevel="3" x14ac:dyDescent="0.2">
      <c r="A472" s="606"/>
      <c r="B472" s="606"/>
      <c r="C472" s="607"/>
      <c r="D472" s="608"/>
      <c r="E472" s="608"/>
      <c r="F472" s="608"/>
      <c r="G472" s="608"/>
      <c r="H472" s="609"/>
      <c r="I472" s="650"/>
      <c r="J472" s="651"/>
      <c r="K472" s="650"/>
      <c r="L472" s="650"/>
      <c r="M472" s="650"/>
      <c r="N472" s="650"/>
      <c r="O472" s="650"/>
      <c r="P472" s="651"/>
      <c r="Q472" s="650"/>
      <c r="R472" s="650"/>
      <c r="S472" s="652"/>
      <c r="T472" s="606"/>
      <c r="U472" s="606"/>
      <c r="V472" s="19"/>
      <c r="W472" s="19"/>
      <c r="X472" s="19"/>
    </row>
    <row r="473" spans="1:24" ht="11.25" hidden="1" customHeight="1" outlineLevel="3" x14ac:dyDescent="0.2">
      <c r="A473" s="606"/>
      <c r="B473" s="606"/>
      <c r="C473" s="607"/>
      <c r="D473" s="608"/>
      <c r="E473" s="608"/>
      <c r="F473" s="608"/>
      <c r="G473" s="608"/>
      <c r="H473" s="609"/>
      <c r="I473" s="650"/>
      <c r="J473" s="651"/>
      <c r="K473" s="650"/>
      <c r="L473" s="650"/>
      <c r="M473" s="650"/>
      <c r="N473" s="650"/>
      <c r="O473" s="650"/>
      <c r="P473" s="651"/>
      <c r="Q473" s="650"/>
      <c r="R473" s="650"/>
      <c r="S473" s="652"/>
      <c r="T473" s="606"/>
      <c r="U473" s="606"/>
      <c r="V473" s="19"/>
      <c r="W473" s="19"/>
      <c r="X473" s="19"/>
    </row>
    <row r="474" spans="1:24" ht="11.25" hidden="1" customHeight="1" outlineLevel="3" x14ac:dyDescent="0.2">
      <c r="A474" s="606"/>
      <c r="B474" s="606"/>
      <c r="C474" s="607"/>
      <c r="D474" s="608"/>
      <c r="E474" s="608"/>
      <c r="F474" s="608"/>
      <c r="G474" s="608"/>
      <c r="H474" s="609"/>
      <c r="I474" s="650"/>
      <c r="J474" s="651"/>
      <c r="K474" s="650"/>
      <c r="L474" s="650"/>
      <c r="M474" s="650"/>
      <c r="N474" s="650"/>
      <c r="O474" s="650"/>
      <c r="P474" s="651"/>
      <c r="Q474" s="650"/>
      <c r="R474" s="650"/>
      <c r="S474" s="652"/>
      <c r="T474" s="606"/>
      <c r="U474" s="606"/>
      <c r="V474" s="19"/>
      <c r="W474" s="19"/>
      <c r="X474" s="19"/>
    </row>
    <row r="475" spans="1:24" ht="11.25" hidden="1" customHeight="1" outlineLevel="3" x14ac:dyDescent="0.2">
      <c r="A475" s="606"/>
      <c r="B475" s="606"/>
      <c r="C475" s="607"/>
      <c r="D475" s="608"/>
      <c r="E475" s="608"/>
      <c r="F475" s="608"/>
      <c r="G475" s="608"/>
      <c r="H475" s="609"/>
      <c r="I475" s="650"/>
      <c r="J475" s="651"/>
      <c r="K475" s="650"/>
      <c r="L475" s="650"/>
      <c r="M475" s="650"/>
      <c r="N475" s="650"/>
      <c r="O475" s="650"/>
      <c r="P475" s="651"/>
      <c r="Q475" s="650"/>
      <c r="R475" s="650"/>
      <c r="S475" s="652"/>
      <c r="T475" s="606"/>
      <c r="U475" s="606"/>
      <c r="V475" s="19"/>
      <c r="W475" s="19"/>
      <c r="X475" s="19"/>
    </row>
    <row r="476" spans="1:24" ht="11.25" hidden="1" customHeight="1" outlineLevel="3" x14ac:dyDescent="0.2">
      <c r="A476" s="606"/>
      <c r="B476" s="606"/>
      <c r="C476" s="607"/>
      <c r="D476" s="608"/>
      <c r="E476" s="608"/>
      <c r="F476" s="608"/>
      <c r="G476" s="608"/>
      <c r="H476" s="609"/>
      <c r="I476" s="650"/>
      <c r="J476" s="651"/>
      <c r="K476" s="650"/>
      <c r="L476" s="650"/>
      <c r="M476" s="650"/>
      <c r="N476" s="650"/>
      <c r="O476" s="650"/>
      <c r="P476" s="651"/>
      <c r="Q476" s="650"/>
      <c r="R476" s="650"/>
      <c r="S476" s="652"/>
      <c r="T476" s="606"/>
      <c r="U476" s="606"/>
      <c r="V476" s="19"/>
      <c r="W476" s="19"/>
      <c r="X476" s="19"/>
    </row>
    <row r="477" spans="1:24" ht="11.25" hidden="1" customHeight="1" outlineLevel="3" x14ac:dyDescent="0.2">
      <c r="A477" s="606"/>
      <c r="B477" s="606"/>
      <c r="C477" s="607"/>
      <c r="D477" s="608"/>
      <c r="E477" s="608"/>
      <c r="F477" s="608"/>
      <c r="G477" s="608"/>
      <c r="H477" s="609"/>
      <c r="I477" s="650"/>
      <c r="J477" s="651"/>
      <c r="K477" s="650"/>
      <c r="L477" s="650"/>
      <c r="M477" s="650"/>
      <c r="N477" s="650"/>
      <c r="O477" s="650"/>
      <c r="P477" s="651"/>
      <c r="Q477" s="650"/>
      <c r="R477" s="650"/>
      <c r="S477" s="652"/>
      <c r="T477" s="606"/>
      <c r="U477" s="606"/>
      <c r="V477" s="19"/>
      <c r="W477" s="19"/>
      <c r="X477" s="19"/>
    </row>
    <row r="478" spans="1:24" ht="11.25" hidden="1" customHeight="1" outlineLevel="3" x14ac:dyDescent="0.2">
      <c r="A478" s="606"/>
      <c r="B478" s="606"/>
      <c r="C478" s="607"/>
      <c r="D478" s="608"/>
      <c r="E478" s="608"/>
      <c r="F478" s="608"/>
      <c r="G478" s="608"/>
      <c r="H478" s="609"/>
      <c r="I478" s="650"/>
      <c r="J478" s="651"/>
      <c r="K478" s="650"/>
      <c r="L478" s="650"/>
      <c r="M478" s="650"/>
      <c r="N478" s="650"/>
      <c r="O478" s="650"/>
      <c r="P478" s="651"/>
      <c r="Q478" s="650"/>
      <c r="R478" s="650"/>
      <c r="S478" s="652"/>
      <c r="T478" s="606"/>
      <c r="U478" s="606"/>
      <c r="V478" s="19"/>
      <c r="W478" s="19"/>
      <c r="X478" s="19"/>
    </row>
    <row r="479" spans="1:24" ht="11.25" hidden="1" customHeight="1" outlineLevel="3" x14ac:dyDescent="0.2">
      <c r="A479" s="606"/>
      <c r="B479" s="606"/>
      <c r="C479" s="607"/>
      <c r="D479" s="608"/>
      <c r="E479" s="608"/>
      <c r="F479" s="608"/>
      <c r="G479" s="608"/>
      <c r="H479" s="609"/>
      <c r="I479" s="650"/>
      <c r="J479" s="651"/>
      <c r="K479" s="650"/>
      <c r="L479" s="650"/>
      <c r="M479" s="650"/>
      <c r="N479" s="650"/>
      <c r="O479" s="650"/>
      <c r="P479" s="651"/>
      <c r="Q479" s="650"/>
      <c r="R479" s="650"/>
      <c r="S479" s="652"/>
      <c r="T479" s="606"/>
      <c r="U479" s="606"/>
      <c r="V479" s="19"/>
      <c r="W479" s="19"/>
      <c r="X479" s="19"/>
    </row>
    <row r="480" spans="1:24" ht="11.25" hidden="1" customHeight="1" outlineLevel="3" x14ac:dyDescent="0.2">
      <c r="A480" s="606"/>
      <c r="B480" s="606"/>
      <c r="C480" s="607"/>
      <c r="D480" s="608"/>
      <c r="E480" s="608"/>
      <c r="F480" s="608"/>
      <c r="G480" s="608"/>
      <c r="H480" s="609"/>
      <c r="I480" s="650"/>
      <c r="J480" s="651"/>
      <c r="K480" s="650"/>
      <c r="L480" s="650"/>
      <c r="M480" s="650"/>
      <c r="N480" s="650"/>
      <c r="O480" s="650"/>
      <c r="P480" s="651"/>
      <c r="Q480" s="650"/>
      <c r="R480" s="650"/>
      <c r="S480" s="652"/>
      <c r="T480" s="606"/>
      <c r="U480" s="606"/>
      <c r="V480" s="19"/>
      <c r="W480" s="19"/>
      <c r="X480" s="19"/>
    </row>
    <row r="481" spans="1:24" ht="11.25" hidden="1" customHeight="1" outlineLevel="3" x14ac:dyDescent="0.2">
      <c r="A481" s="606"/>
      <c r="B481" s="606"/>
      <c r="C481" s="607"/>
      <c r="D481" s="608"/>
      <c r="E481" s="608"/>
      <c r="F481" s="608"/>
      <c r="G481" s="608"/>
      <c r="H481" s="609"/>
      <c r="I481" s="650"/>
      <c r="J481" s="651"/>
      <c r="K481" s="650"/>
      <c r="L481" s="650"/>
      <c r="M481" s="650"/>
      <c r="N481" s="650"/>
      <c r="O481" s="650"/>
      <c r="P481" s="651"/>
      <c r="Q481" s="650"/>
      <c r="R481" s="650"/>
      <c r="S481" s="652"/>
      <c r="T481" s="606"/>
      <c r="U481" s="606"/>
      <c r="V481" s="19"/>
      <c r="W481" s="19"/>
      <c r="X481" s="19"/>
    </row>
    <row r="482" spans="1:24" ht="11.25" hidden="1" customHeight="1" outlineLevel="3" x14ac:dyDescent="0.2">
      <c r="A482" s="606"/>
      <c r="B482" s="606"/>
      <c r="C482" s="607"/>
      <c r="D482" s="608"/>
      <c r="E482" s="608"/>
      <c r="F482" s="608"/>
      <c r="G482" s="608"/>
      <c r="H482" s="609"/>
      <c r="I482" s="650"/>
      <c r="J482" s="651"/>
      <c r="K482" s="650"/>
      <c r="L482" s="650"/>
      <c r="M482" s="650"/>
      <c r="N482" s="650"/>
      <c r="O482" s="650"/>
      <c r="P482" s="651"/>
      <c r="Q482" s="650"/>
      <c r="R482" s="650"/>
      <c r="S482" s="652"/>
      <c r="T482" s="606"/>
      <c r="U482" s="606"/>
      <c r="V482" s="19"/>
      <c r="W482" s="19"/>
      <c r="X482" s="19"/>
    </row>
    <row r="483" spans="1:24" ht="11.25" hidden="1" customHeight="1" outlineLevel="3" x14ac:dyDescent="0.2">
      <c r="A483" s="606"/>
      <c r="B483" s="606"/>
      <c r="C483" s="607"/>
      <c r="D483" s="608"/>
      <c r="E483" s="608"/>
      <c r="F483" s="608"/>
      <c r="G483" s="608"/>
      <c r="H483" s="609"/>
      <c r="I483" s="650"/>
      <c r="J483" s="651"/>
      <c r="K483" s="650"/>
      <c r="L483" s="650"/>
      <c r="M483" s="650"/>
      <c r="N483" s="650"/>
      <c r="O483" s="650"/>
      <c r="P483" s="651"/>
      <c r="Q483" s="650"/>
      <c r="R483" s="650"/>
      <c r="S483" s="652"/>
      <c r="T483" s="606"/>
      <c r="U483" s="606"/>
      <c r="V483" s="19"/>
      <c r="W483" s="19"/>
      <c r="X483" s="19"/>
    </row>
    <row r="484" spans="1:24" ht="11.25" hidden="1" customHeight="1" outlineLevel="3" x14ac:dyDescent="0.2">
      <c r="A484" s="606"/>
      <c r="B484" s="606"/>
      <c r="C484" s="607"/>
      <c r="D484" s="608"/>
      <c r="E484" s="608"/>
      <c r="F484" s="608"/>
      <c r="G484" s="608"/>
      <c r="H484" s="609"/>
      <c r="I484" s="650"/>
      <c r="J484" s="651"/>
      <c r="K484" s="650"/>
      <c r="L484" s="650"/>
      <c r="M484" s="650"/>
      <c r="N484" s="650"/>
      <c r="O484" s="650"/>
      <c r="P484" s="651"/>
      <c r="Q484" s="650"/>
      <c r="R484" s="650"/>
      <c r="S484" s="652"/>
      <c r="T484" s="606"/>
      <c r="U484" s="606"/>
      <c r="V484" s="19"/>
      <c r="W484" s="19"/>
      <c r="X484" s="19"/>
    </row>
    <row r="485" spans="1:24" ht="11.25" hidden="1" customHeight="1" outlineLevel="3" x14ac:dyDescent="0.2">
      <c r="A485" s="606"/>
      <c r="B485" s="606"/>
      <c r="C485" s="607"/>
      <c r="D485" s="608"/>
      <c r="E485" s="608"/>
      <c r="F485" s="608"/>
      <c r="G485" s="608"/>
      <c r="H485" s="609"/>
      <c r="I485" s="650"/>
      <c r="J485" s="651"/>
      <c r="K485" s="650"/>
      <c r="L485" s="650"/>
      <c r="M485" s="650"/>
      <c r="N485" s="650"/>
      <c r="O485" s="650"/>
      <c r="P485" s="651"/>
      <c r="Q485" s="650"/>
      <c r="R485" s="650"/>
      <c r="S485" s="652"/>
      <c r="T485" s="606"/>
      <c r="U485" s="606"/>
      <c r="V485" s="19"/>
      <c r="W485" s="19"/>
      <c r="X485" s="19"/>
    </row>
    <row r="486" spans="1:24" ht="11.25" hidden="1" customHeight="1" outlineLevel="3" x14ac:dyDescent="0.2">
      <c r="A486" s="606"/>
      <c r="B486" s="606"/>
      <c r="C486" s="607"/>
      <c r="D486" s="608"/>
      <c r="E486" s="608"/>
      <c r="F486" s="608"/>
      <c r="G486" s="608"/>
      <c r="H486" s="609"/>
      <c r="I486" s="650"/>
      <c r="J486" s="651"/>
      <c r="K486" s="650"/>
      <c r="L486" s="650"/>
      <c r="M486" s="650"/>
      <c r="N486" s="650"/>
      <c r="O486" s="650"/>
      <c r="P486" s="651"/>
      <c r="Q486" s="650"/>
      <c r="R486" s="650"/>
      <c r="S486" s="652"/>
      <c r="T486" s="606"/>
      <c r="U486" s="606"/>
      <c r="V486" s="19"/>
      <c r="W486" s="19"/>
      <c r="X486" s="19"/>
    </row>
    <row r="487" spans="1:24" ht="11.25" hidden="1" customHeight="1" outlineLevel="3" x14ac:dyDescent="0.2">
      <c r="A487" s="606"/>
      <c r="B487" s="606"/>
      <c r="C487" s="607"/>
      <c r="D487" s="608"/>
      <c r="E487" s="608"/>
      <c r="F487" s="608"/>
      <c r="G487" s="608"/>
      <c r="H487" s="609"/>
      <c r="I487" s="650"/>
      <c r="J487" s="651"/>
      <c r="K487" s="650"/>
      <c r="L487" s="650"/>
      <c r="M487" s="650"/>
      <c r="N487" s="650"/>
      <c r="O487" s="650"/>
      <c r="P487" s="651"/>
      <c r="Q487" s="650"/>
      <c r="R487" s="650"/>
      <c r="S487" s="652"/>
      <c r="T487" s="606"/>
      <c r="U487" s="606"/>
      <c r="V487" s="19"/>
      <c r="W487" s="19"/>
      <c r="X487" s="19"/>
    </row>
    <row r="488" spans="1:24" ht="11.25" hidden="1" customHeight="1" outlineLevel="3" x14ac:dyDescent="0.2">
      <c r="A488" s="606"/>
      <c r="B488" s="606"/>
      <c r="C488" s="607"/>
      <c r="D488" s="608"/>
      <c r="E488" s="608"/>
      <c r="F488" s="608"/>
      <c r="G488" s="608"/>
      <c r="H488" s="609"/>
      <c r="I488" s="650"/>
      <c r="J488" s="651"/>
      <c r="K488" s="650"/>
      <c r="L488" s="650"/>
      <c r="M488" s="650"/>
      <c r="N488" s="650"/>
      <c r="O488" s="650"/>
      <c r="P488" s="651"/>
      <c r="Q488" s="650"/>
      <c r="R488" s="650"/>
      <c r="S488" s="652"/>
      <c r="T488" s="606"/>
      <c r="U488" s="606"/>
      <c r="V488" s="19"/>
      <c r="W488" s="19"/>
      <c r="X488" s="19"/>
    </row>
    <row r="489" spans="1:24" ht="11.25" hidden="1" customHeight="1" outlineLevel="3" x14ac:dyDescent="0.2">
      <c r="A489" s="606"/>
      <c r="B489" s="606"/>
      <c r="C489" s="607"/>
      <c r="D489" s="608"/>
      <c r="E489" s="608"/>
      <c r="F489" s="608"/>
      <c r="G489" s="608"/>
      <c r="H489" s="609"/>
      <c r="I489" s="650"/>
      <c r="J489" s="651"/>
      <c r="K489" s="650"/>
      <c r="L489" s="650"/>
      <c r="M489" s="650"/>
      <c r="N489" s="650"/>
      <c r="O489" s="650"/>
      <c r="P489" s="651"/>
      <c r="Q489" s="650"/>
      <c r="R489" s="650"/>
      <c r="S489" s="652"/>
      <c r="T489" s="606"/>
      <c r="U489" s="606"/>
      <c r="V489" s="19"/>
      <c r="W489" s="19"/>
      <c r="X489" s="19"/>
    </row>
    <row r="490" spans="1:24" ht="11.25" hidden="1" customHeight="1" outlineLevel="3" x14ac:dyDescent="0.2">
      <c r="A490" s="606"/>
      <c r="B490" s="606"/>
      <c r="C490" s="607"/>
      <c r="D490" s="608"/>
      <c r="E490" s="608"/>
      <c r="F490" s="608"/>
      <c r="G490" s="608"/>
      <c r="H490" s="609"/>
      <c r="I490" s="650"/>
      <c r="J490" s="651"/>
      <c r="K490" s="650"/>
      <c r="L490" s="650"/>
      <c r="M490" s="650"/>
      <c r="N490" s="650"/>
      <c r="O490" s="650"/>
      <c r="P490" s="651"/>
      <c r="Q490" s="650"/>
      <c r="R490" s="650"/>
      <c r="S490" s="652"/>
      <c r="T490" s="606"/>
      <c r="U490" s="606"/>
      <c r="V490" s="19"/>
      <c r="W490" s="19"/>
      <c r="X490" s="19"/>
    </row>
    <row r="491" spans="1:24" ht="11.25" hidden="1" customHeight="1" outlineLevel="3" x14ac:dyDescent="0.2">
      <c r="A491" s="606"/>
      <c r="B491" s="606"/>
      <c r="C491" s="607"/>
      <c r="D491" s="608"/>
      <c r="E491" s="608"/>
      <c r="F491" s="608"/>
      <c r="G491" s="608"/>
      <c r="H491" s="609"/>
      <c r="I491" s="650"/>
      <c r="J491" s="651"/>
      <c r="K491" s="650"/>
      <c r="L491" s="650"/>
      <c r="M491" s="650"/>
      <c r="N491" s="650"/>
      <c r="O491" s="650"/>
      <c r="P491" s="651"/>
      <c r="Q491" s="650"/>
      <c r="R491" s="650"/>
      <c r="S491" s="652"/>
      <c r="T491" s="606"/>
      <c r="U491" s="606"/>
      <c r="V491" s="19"/>
      <c r="W491" s="19"/>
      <c r="X491" s="19"/>
    </row>
    <row r="492" spans="1:24" ht="11.25" hidden="1" customHeight="1" outlineLevel="3" x14ac:dyDescent="0.2">
      <c r="A492" s="606"/>
      <c r="B492" s="606"/>
      <c r="C492" s="607"/>
      <c r="D492" s="608"/>
      <c r="E492" s="608"/>
      <c r="F492" s="608"/>
      <c r="G492" s="608"/>
      <c r="H492" s="609"/>
      <c r="I492" s="650"/>
      <c r="J492" s="651"/>
      <c r="K492" s="650"/>
      <c r="L492" s="650"/>
      <c r="M492" s="650"/>
      <c r="N492" s="650"/>
      <c r="O492" s="650"/>
      <c r="P492" s="651"/>
      <c r="Q492" s="650"/>
      <c r="R492" s="650"/>
      <c r="S492" s="652"/>
      <c r="T492" s="606"/>
      <c r="U492" s="606"/>
      <c r="V492" s="19"/>
      <c r="W492" s="19"/>
      <c r="X492" s="19"/>
    </row>
    <row r="493" spans="1:24" ht="11.25" hidden="1" customHeight="1" outlineLevel="3" x14ac:dyDescent="0.2">
      <c r="A493" s="606"/>
      <c r="B493" s="606"/>
      <c r="C493" s="607"/>
      <c r="D493" s="608"/>
      <c r="E493" s="608"/>
      <c r="F493" s="608"/>
      <c r="G493" s="608"/>
      <c r="H493" s="609"/>
      <c r="I493" s="650"/>
      <c r="J493" s="651"/>
      <c r="K493" s="650"/>
      <c r="L493" s="650"/>
      <c r="M493" s="650"/>
      <c r="N493" s="650"/>
      <c r="O493" s="650"/>
      <c r="P493" s="651"/>
      <c r="Q493" s="650"/>
      <c r="R493" s="650"/>
      <c r="S493" s="652"/>
      <c r="T493" s="606"/>
      <c r="U493" s="606"/>
      <c r="V493" s="19"/>
      <c r="W493" s="19"/>
      <c r="X493" s="19"/>
    </row>
    <row r="494" spans="1:24" ht="11.25" hidden="1" customHeight="1" outlineLevel="3" x14ac:dyDescent="0.2">
      <c r="A494" s="606"/>
      <c r="B494" s="606"/>
      <c r="C494" s="607"/>
      <c r="D494" s="608"/>
      <c r="E494" s="608"/>
      <c r="F494" s="608"/>
      <c r="G494" s="608"/>
      <c r="H494" s="609"/>
      <c r="I494" s="650"/>
      <c r="J494" s="651"/>
      <c r="K494" s="650"/>
      <c r="L494" s="650"/>
      <c r="M494" s="650"/>
      <c r="N494" s="650"/>
      <c r="O494" s="650"/>
      <c r="P494" s="651"/>
      <c r="Q494" s="650"/>
      <c r="R494" s="650"/>
      <c r="S494" s="652"/>
      <c r="T494" s="606"/>
      <c r="U494" s="606"/>
      <c r="V494" s="19"/>
      <c r="W494" s="19"/>
      <c r="X494" s="19"/>
    </row>
    <row r="495" spans="1:24" ht="11.25" hidden="1" customHeight="1" outlineLevel="3" x14ac:dyDescent="0.2">
      <c r="A495" s="606"/>
      <c r="B495" s="606"/>
      <c r="C495" s="607"/>
      <c r="D495" s="608"/>
      <c r="E495" s="608"/>
      <c r="F495" s="608"/>
      <c r="G495" s="608"/>
      <c r="H495" s="609"/>
      <c r="I495" s="650"/>
      <c r="J495" s="651"/>
      <c r="K495" s="650"/>
      <c r="L495" s="650"/>
      <c r="M495" s="650"/>
      <c r="N495" s="650"/>
      <c r="O495" s="650"/>
      <c r="P495" s="651"/>
      <c r="Q495" s="650"/>
      <c r="R495" s="650"/>
      <c r="S495" s="652"/>
      <c r="T495" s="606"/>
      <c r="U495" s="606"/>
      <c r="V495" s="19"/>
      <c r="W495" s="19"/>
      <c r="X495" s="19"/>
    </row>
    <row r="496" spans="1:24" ht="11.25" hidden="1" customHeight="1" outlineLevel="3" x14ac:dyDescent="0.2">
      <c r="A496" s="606"/>
      <c r="B496" s="606"/>
      <c r="C496" s="607"/>
      <c r="D496" s="608"/>
      <c r="E496" s="608"/>
      <c r="F496" s="608"/>
      <c r="G496" s="608"/>
      <c r="H496" s="609"/>
      <c r="I496" s="650"/>
      <c r="J496" s="651"/>
      <c r="K496" s="650"/>
      <c r="L496" s="650"/>
      <c r="M496" s="650"/>
      <c r="N496" s="650"/>
      <c r="O496" s="650"/>
      <c r="P496" s="651"/>
      <c r="Q496" s="650"/>
      <c r="R496" s="650"/>
      <c r="S496" s="652"/>
      <c r="T496" s="606"/>
      <c r="U496" s="606"/>
      <c r="V496" s="19"/>
      <c r="W496" s="19"/>
      <c r="X496" s="19"/>
    </row>
    <row r="497" spans="1:24" ht="11.25" hidden="1" customHeight="1" outlineLevel="3" x14ac:dyDescent="0.2">
      <c r="A497" s="606"/>
      <c r="B497" s="606"/>
      <c r="C497" s="607"/>
      <c r="D497" s="608"/>
      <c r="E497" s="608"/>
      <c r="F497" s="608"/>
      <c r="G497" s="608"/>
      <c r="H497" s="609"/>
      <c r="I497" s="650"/>
      <c r="J497" s="651"/>
      <c r="K497" s="650"/>
      <c r="L497" s="650"/>
      <c r="M497" s="650"/>
      <c r="N497" s="650"/>
      <c r="O497" s="650"/>
      <c r="P497" s="651"/>
      <c r="Q497" s="650"/>
      <c r="R497" s="650"/>
      <c r="S497" s="652"/>
      <c r="T497" s="606"/>
      <c r="U497" s="606"/>
      <c r="V497" s="19"/>
      <c r="W497" s="19"/>
      <c r="X497" s="19"/>
    </row>
    <row r="498" spans="1:24" ht="11.25" hidden="1" customHeight="1" outlineLevel="3" x14ac:dyDescent="0.2">
      <c r="A498" s="606"/>
      <c r="B498" s="606"/>
      <c r="C498" s="607"/>
      <c r="D498" s="608"/>
      <c r="E498" s="608"/>
      <c r="F498" s="608"/>
      <c r="G498" s="608"/>
      <c r="H498" s="609"/>
      <c r="I498" s="650"/>
      <c r="J498" s="651"/>
      <c r="K498" s="650"/>
      <c r="L498" s="650"/>
      <c r="M498" s="650"/>
      <c r="N498" s="650"/>
      <c r="O498" s="650"/>
      <c r="P498" s="651"/>
      <c r="Q498" s="650"/>
      <c r="R498" s="650"/>
      <c r="S498" s="652"/>
      <c r="T498" s="606"/>
      <c r="U498" s="606"/>
      <c r="V498" s="19"/>
      <c r="W498" s="19"/>
      <c r="X498" s="19"/>
    </row>
    <row r="499" spans="1:24" ht="11.25" hidden="1" customHeight="1" outlineLevel="3" x14ac:dyDescent="0.2">
      <c r="A499" s="606"/>
      <c r="B499" s="606"/>
      <c r="C499" s="607"/>
      <c r="D499" s="608"/>
      <c r="E499" s="608"/>
      <c r="F499" s="608"/>
      <c r="G499" s="608"/>
      <c r="H499" s="609"/>
      <c r="I499" s="650"/>
      <c r="J499" s="651"/>
      <c r="K499" s="650"/>
      <c r="L499" s="650"/>
      <c r="M499" s="650"/>
      <c r="N499" s="650"/>
      <c r="O499" s="650"/>
      <c r="P499" s="651"/>
      <c r="Q499" s="650"/>
      <c r="R499" s="650"/>
      <c r="S499" s="652"/>
      <c r="T499" s="606"/>
      <c r="U499" s="606"/>
      <c r="V499" s="19"/>
      <c r="W499" s="19"/>
      <c r="X499" s="19"/>
    </row>
    <row r="500" spans="1:24" ht="11.25" hidden="1" customHeight="1" outlineLevel="3" x14ac:dyDescent="0.2">
      <c r="A500" s="606"/>
      <c r="B500" s="606"/>
      <c r="C500" s="607"/>
      <c r="D500" s="608"/>
      <c r="E500" s="608"/>
      <c r="F500" s="608"/>
      <c r="G500" s="608"/>
      <c r="H500" s="609"/>
      <c r="I500" s="650"/>
      <c r="J500" s="651"/>
      <c r="K500" s="650"/>
      <c r="L500" s="650"/>
      <c r="M500" s="650"/>
      <c r="N500" s="650"/>
      <c r="O500" s="650"/>
      <c r="P500" s="651"/>
      <c r="Q500" s="650"/>
      <c r="R500" s="650"/>
      <c r="S500" s="652"/>
      <c r="T500" s="606"/>
      <c r="U500" s="606"/>
      <c r="V500" s="19"/>
      <c r="W500" s="19"/>
      <c r="X500" s="19"/>
    </row>
    <row r="501" spans="1:24" ht="11.25" hidden="1" customHeight="1" outlineLevel="3" x14ac:dyDescent="0.2">
      <c r="A501" s="606"/>
      <c r="B501" s="606"/>
      <c r="C501" s="607"/>
      <c r="D501" s="608"/>
      <c r="E501" s="608"/>
      <c r="F501" s="608"/>
      <c r="G501" s="608"/>
      <c r="H501" s="609"/>
      <c r="I501" s="650"/>
      <c r="J501" s="651"/>
      <c r="K501" s="650"/>
      <c r="L501" s="650"/>
      <c r="M501" s="650"/>
      <c r="N501" s="650"/>
      <c r="O501" s="650"/>
      <c r="P501" s="651"/>
      <c r="Q501" s="650"/>
      <c r="R501" s="650"/>
      <c r="S501" s="652"/>
      <c r="T501" s="606"/>
      <c r="U501" s="606"/>
      <c r="V501" s="19"/>
      <c r="W501" s="19"/>
      <c r="X501" s="19"/>
    </row>
    <row r="502" spans="1:24" ht="11.25" hidden="1" customHeight="1" outlineLevel="3" x14ac:dyDescent="0.2">
      <c r="A502" s="606"/>
      <c r="B502" s="606"/>
      <c r="C502" s="607"/>
      <c r="D502" s="608"/>
      <c r="E502" s="608"/>
      <c r="F502" s="608"/>
      <c r="G502" s="608"/>
      <c r="H502" s="609"/>
      <c r="I502" s="650"/>
      <c r="J502" s="651"/>
      <c r="K502" s="650"/>
      <c r="L502" s="650"/>
      <c r="M502" s="650"/>
      <c r="N502" s="650"/>
      <c r="O502" s="650"/>
      <c r="P502" s="651"/>
      <c r="Q502" s="650"/>
      <c r="R502" s="650"/>
      <c r="S502" s="652"/>
      <c r="T502" s="606"/>
      <c r="U502" s="606"/>
      <c r="V502" s="19"/>
      <c r="W502" s="19"/>
      <c r="X502" s="19"/>
    </row>
    <row r="503" spans="1:24" ht="11.25" hidden="1" customHeight="1" outlineLevel="3" x14ac:dyDescent="0.2">
      <c r="A503" s="606"/>
      <c r="B503" s="606"/>
      <c r="C503" s="607"/>
      <c r="D503" s="608"/>
      <c r="E503" s="608"/>
      <c r="F503" s="608"/>
      <c r="G503" s="608"/>
      <c r="H503" s="609"/>
      <c r="I503" s="650"/>
      <c r="J503" s="651"/>
      <c r="K503" s="650"/>
      <c r="L503" s="650"/>
      <c r="M503" s="650"/>
      <c r="N503" s="650"/>
      <c r="O503" s="650"/>
      <c r="P503" s="651"/>
      <c r="Q503" s="650"/>
      <c r="R503" s="650"/>
      <c r="S503" s="652"/>
      <c r="T503" s="606"/>
      <c r="U503" s="606"/>
      <c r="V503" s="19"/>
      <c r="W503" s="19"/>
      <c r="X503" s="19"/>
    </row>
    <row r="504" spans="1:24" ht="11.25" hidden="1" customHeight="1" outlineLevel="3" x14ac:dyDescent="0.2">
      <c r="A504" s="606"/>
      <c r="B504" s="606"/>
      <c r="C504" s="607"/>
      <c r="D504" s="608"/>
      <c r="E504" s="608"/>
      <c r="F504" s="608"/>
      <c r="G504" s="608"/>
      <c r="H504" s="609"/>
      <c r="I504" s="650"/>
      <c r="J504" s="651"/>
      <c r="K504" s="650"/>
      <c r="L504" s="650"/>
      <c r="M504" s="650"/>
      <c r="N504" s="650"/>
      <c r="O504" s="650"/>
      <c r="P504" s="651"/>
      <c r="Q504" s="650"/>
      <c r="R504" s="650"/>
      <c r="S504" s="652"/>
      <c r="T504" s="606"/>
      <c r="U504" s="606"/>
      <c r="V504" s="19"/>
      <c r="W504" s="19"/>
      <c r="X504" s="19"/>
    </row>
    <row r="505" spans="1:24" ht="11.25" hidden="1" customHeight="1" outlineLevel="3" x14ac:dyDescent="0.2">
      <c r="A505" s="606"/>
      <c r="B505" s="606"/>
      <c r="C505" s="607"/>
      <c r="D505" s="608"/>
      <c r="E505" s="608"/>
      <c r="F505" s="608"/>
      <c r="G505" s="608"/>
      <c r="H505" s="609"/>
      <c r="I505" s="650"/>
      <c r="J505" s="651"/>
      <c r="K505" s="650"/>
      <c r="L505" s="650"/>
      <c r="M505" s="650"/>
      <c r="N505" s="650"/>
      <c r="O505" s="650"/>
      <c r="P505" s="651"/>
      <c r="Q505" s="650"/>
      <c r="R505" s="650"/>
      <c r="S505" s="652"/>
      <c r="T505" s="606"/>
      <c r="U505" s="606"/>
      <c r="V505" s="19"/>
      <c r="W505" s="19"/>
      <c r="X505" s="19"/>
    </row>
    <row r="506" spans="1:24" ht="11.25" hidden="1" customHeight="1" outlineLevel="3" x14ac:dyDescent="0.2">
      <c r="A506" s="606"/>
      <c r="B506" s="606"/>
      <c r="C506" s="607"/>
      <c r="D506" s="608"/>
      <c r="E506" s="608"/>
      <c r="F506" s="608"/>
      <c r="G506" s="608"/>
      <c r="H506" s="609"/>
      <c r="I506" s="650"/>
      <c r="J506" s="651"/>
      <c r="K506" s="650"/>
      <c r="L506" s="650"/>
      <c r="M506" s="650"/>
      <c r="N506" s="650"/>
      <c r="O506" s="650"/>
      <c r="P506" s="651"/>
      <c r="Q506" s="650"/>
      <c r="R506" s="650"/>
      <c r="S506" s="652"/>
      <c r="T506" s="606"/>
      <c r="U506" s="606"/>
      <c r="V506" s="19"/>
      <c r="W506" s="19"/>
      <c r="X506" s="19"/>
    </row>
    <row r="507" spans="1:24" ht="11.25" hidden="1" customHeight="1" outlineLevel="3" x14ac:dyDescent="0.2">
      <c r="A507" s="606"/>
      <c r="B507" s="606"/>
      <c r="C507" s="607"/>
      <c r="D507" s="608"/>
      <c r="E507" s="608"/>
      <c r="F507" s="608"/>
      <c r="G507" s="608"/>
      <c r="H507" s="609"/>
      <c r="I507" s="650"/>
      <c r="J507" s="651"/>
      <c r="K507" s="650"/>
      <c r="L507" s="650"/>
      <c r="M507" s="650"/>
      <c r="N507" s="650"/>
      <c r="O507" s="650"/>
      <c r="P507" s="651"/>
      <c r="Q507" s="650"/>
      <c r="R507" s="650"/>
      <c r="S507" s="652"/>
      <c r="T507" s="606"/>
      <c r="U507" s="606"/>
      <c r="V507" s="19"/>
      <c r="W507" s="19"/>
      <c r="X507" s="19"/>
    </row>
    <row r="508" spans="1:24" ht="11.25" hidden="1" customHeight="1" outlineLevel="3" x14ac:dyDescent="0.2">
      <c r="A508" s="606"/>
      <c r="B508" s="606"/>
      <c r="C508" s="607"/>
      <c r="D508" s="608"/>
      <c r="E508" s="608"/>
      <c r="F508" s="608"/>
      <c r="G508" s="608"/>
      <c r="H508" s="609"/>
      <c r="I508" s="650"/>
      <c r="J508" s="651"/>
      <c r="K508" s="650"/>
      <c r="L508" s="650"/>
      <c r="M508" s="650"/>
      <c r="N508" s="650"/>
      <c r="O508" s="650"/>
      <c r="P508" s="651"/>
      <c r="Q508" s="650"/>
      <c r="R508" s="650"/>
      <c r="S508" s="652"/>
      <c r="T508" s="606"/>
      <c r="U508" s="606"/>
      <c r="V508" s="19"/>
      <c r="W508" s="19"/>
      <c r="X508" s="19"/>
    </row>
    <row r="509" spans="1:24" ht="11.25" hidden="1" customHeight="1" outlineLevel="3" x14ac:dyDescent="0.2">
      <c r="A509" s="606"/>
      <c r="B509" s="606"/>
      <c r="C509" s="607"/>
      <c r="D509" s="608"/>
      <c r="E509" s="608"/>
      <c r="F509" s="608"/>
      <c r="G509" s="608"/>
      <c r="H509" s="609"/>
      <c r="I509" s="650"/>
      <c r="J509" s="651"/>
      <c r="K509" s="650"/>
      <c r="L509" s="650"/>
      <c r="M509" s="650"/>
      <c r="N509" s="650"/>
      <c r="O509" s="650"/>
      <c r="P509" s="651"/>
      <c r="Q509" s="650"/>
      <c r="R509" s="650"/>
      <c r="S509" s="652"/>
      <c r="T509" s="606"/>
      <c r="U509" s="606"/>
      <c r="V509" s="19"/>
      <c r="W509" s="19"/>
      <c r="X509" s="19"/>
    </row>
    <row r="510" spans="1:24" ht="11.25" hidden="1" customHeight="1" outlineLevel="3" x14ac:dyDescent="0.2">
      <c r="A510" s="606"/>
      <c r="B510" s="606"/>
      <c r="C510" s="607"/>
      <c r="D510" s="608"/>
      <c r="E510" s="608"/>
      <c r="F510" s="608"/>
      <c r="G510" s="608"/>
      <c r="H510" s="609"/>
      <c r="I510" s="650"/>
      <c r="J510" s="651"/>
      <c r="K510" s="650"/>
      <c r="L510" s="650"/>
      <c r="M510" s="650"/>
      <c r="N510" s="650"/>
      <c r="O510" s="650"/>
      <c r="P510" s="651"/>
      <c r="Q510" s="650"/>
      <c r="R510" s="650"/>
      <c r="S510" s="652"/>
      <c r="T510" s="606"/>
      <c r="U510" s="606"/>
      <c r="V510" s="19"/>
      <c r="W510" s="19"/>
      <c r="X510" s="19"/>
    </row>
    <row r="511" spans="1:24" ht="11.25" hidden="1" customHeight="1" outlineLevel="3" x14ac:dyDescent="0.2">
      <c r="A511" s="606"/>
      <c r="B511" s="606"/>
      <c r="C511" s="607"/>
      <c r="D511" s="608"/>
      <c r="E511" s="608"/>
      <c r="F511" s="608"/>
      <c r="G511" s="608"/>
      <c r="H511" s="609"/>
      <c r="I511" s="650"/>
      <c r="J511" s="651"/>
      <c r="K511" s="650"/>
      <c r="L511" s="650"/>
      <c r="M511" s="650"/>
      <c r="N511" s="650"/>
      <c r="O511" s="650"/>
      <c r="P511" s="651"/>
      <c r="Q511" s="650"/>
      <c r="R511" s="650"/>
      <c r="S511" s="652"/>
      <c r="T511" s="606"/>
      <c r="U511" s="606"/>
      <c r="V511" s="19"/>
      <c r="W511" s="19"/>
      <c r="X511" s="19"/>
    </row>
    <row r="512" spans="1:24" ht="11.25" hidden="1" customHeight="1" outlineLevel="3" x14ac:dyDescent="0.2">
      <c r="A512" s="606"/>
      <c r="B512" s="606"/>
      <c r="C512" s="607"/>
      <c r="D512" s="608"/>
      <c r="E512" s="608"/>
      <c r="F512" s="608"/>
      <c r="G512" s="608"/>
      <c r="H512" s="609"/>
      <c r="I512" s="650"/>
      <c r="J512" s="651"/>
      <c r="K512" s="650"/>
      <c r="L512" s="650"/>
      <c r="M512" s="650"/>
      <c r="N512" s="650"/>
      <c r="O512" s="650"/>
      <c r="P512" s="651"/>
      <c r="Q512" s="650"/>
      <c r="R512" s="650"/>
      <c r="S512" s="652"/>
      <c r="T512" s="606"/>
      <c r="U512" s="606"/>
      <c r="V512" s="19"/>
      <c r="W512" s="19"/>
      <c r="X512" s="19"/>
    </row>
    <row r="513" spans="1:24" ht="11.25" hidden="1" customHeight="1" outlineLevel="3" x14ac:dyDescent="0.2">
      <c r="A513" s="606"/>
      <c r="B513" s="606"/>
      <c r="C513" s="607"/>
      <c r="D513" s="608"/>
      <c r="E513" s="608"/>
      <c r="F513" s="608"/>
      <c r="G513" s="608"/>
      <c r="H513" s="609"/>
      <c r="I513" s="650"/>
      <c r="J513" s="651"/>
      <c r="K513" s="650"/>
      <c r="L513" s="650"/>
      <c r="M513" s="650"/>
      <c r="N513" s="650"/>
      <c r="O513" s="650"/>
      <c r="P513" s="651"/>
      <c r="Q513" s="650"/>
      <c r="R513" s="650"/>
      <c r="S513" s="652"/>
      <c r="T513" s="606"/>
      <c r="U513" s="606"/>
      <c r="V513" s="19"/>
      <c r="W513" s="19"/>
      <c r="X513" s="19"/>
    </row>
    <row r="514" spans="1:24" ht="11.25" hidden="1" customHeight="1" outlineLevel="3" x14ac:dyDescent="0.2">
      <c r="A514" s="606"/>
      <c r="B514" s="606"/>
      <c r="C514" s="607"/>
      <c r="D514" s="608"/>
      <c r="E514" s="608"/>
      <c r="F514" s="608"/>
      <c r="G514" s="608"/>
      <c r="H514" s="609"/>
      <c r="I514" s="650"/>
      <c r="J514" s="651"/>
      <c r="K514" s="650"/>
      <c r="L514" s="650"/>
      <c r="M514" s="650"/>
      <c r="N514" s="650"/>
      <c r="O514" s="650"/>
      <c r="P514" s="651"/>
      <c r="Q514" s="650"/>
      <c r="R514" s="650"/>
      <c r="S514" s="652"/>
      <c r="T514" s="606"/>
      <c r="U514" s="606"/>
      <c r="V514" s="19"/>
      <c r="W514" s="19"/>
      <c r="X514" s="19"/>
    </row>
    <row r="515" spans="1:24" ht="11.25" hidden="1" customHeight="1" outlineLevel="3" x14ac:dyDescent="0.2">
      <c r="A515" s="606"/>
      <c r="B515" s="606"/>
      <c r="C515" s="607"/>
      <c r="D515" s="608"/>
      <c r="E515" s="608"/>
      <c r="F515" s="608"/>
      <c r="G515" s="608"/>
      <c r="H515" s="609"/>
      <c r="I515" s="650"/>
      <c r="J515" s="651"/>
      <c r="K515" s="650"/>
      <c r="L515" s="650"/>
      <c r="M515" s="650"/>
      <c r="N515" s="650"/>
      <c r="O515" s="650"/>
      <c r="P515" s="651"/>
      <c r="Q515" s="650"/>
      <c r="R515" s="650"/>
      <c r="S515" s="652"/>
      <c r="T515" s="606"/>
      <c r="U515" s="606"/>
      <c r="V515" s="19"/>
      <c r="W515" s="19"/>
      <c r="X515" s="19"/>
    </row>
    <row r="516" spans="1:24" ht="11.25" hidden="1" customHeight="1" outlineLevel="3" x14ac:dyDescent="0.2">
      <c r="A516" s="606"/>
      <c r="B516" s="606"/>
      <c r="C516" s="607"/>
      <c r="D516" s="608"/>
      <c r="E516" s="608"/>
      <c r="F516" s="608"/>
      <c r="G516" s="608"/>
      <c r="H516" s="609"/>
      <c r="I516" s="650"/>
      <c r="J516" s="651"/>
      <c r="K516" s="650"/>
      <c r="L516" s="650"/>
      <c r="M516" s="650"/>
      <c r="N516" s="650"/>
      <c r="O516" s="650"/>
      <c r="P516" s="651"/>
      <c r="Q516" s="650"/>
      <c r="R516" s="650"/>
      <c r="S516" s="652"/>
      <c r="T516" s="606"/>
      <c r="U516" s="606"/>
      <c r="V516" s="19"/>
      <c r="W516" s="19"/>
      <c r="X516" s="19"/>
    </row>
    <row r="517" spans="1:24" ht="11.25" hidden="1" customHeight="1" outlineLevel="3" x14ac:dyDescent="0.2">
      <c r="A517" s="606"/>
      <c r="B517" s="606"/>
      <c r="C517" s="607"/>
      <c r="D517" s="608"/>
      <c r="E517" s="608"/>
      <c r="F517" s="608"/>
      <c r="G517" s="608"/>
      <c r="H517" s="609"/>
      <c r="I517" s="650"/>
      <c r="J517" s="651"/>
      <c r="K517" s="650"/>
      <c r="L517" s="650"/>
      <c r="M517" s="650"/>
      <c r="N517" s="650"/>
      <c r="O517" s="650"/>
      <c r="P517" s="651"/>
      <c r="Q517" s="650"/>
      <c r="R517" s="650"/>
      <c r="S517" s="652"/>
      <c r="T517" s="606"/>
      <c r="U517" s="606"/>
      <c r="V517" s="19"/>
      <c r="W517" s="19"/>
      <c r="X517" s="19"/>
    </row>
    <row r="518" spans="1:24" ht="11.25" hidden="1" customHeight="1" outlineLevel="3" x14ac:dyDescent="0.2">
      <c r="A518" s="606"/>
      <c r="B518" s="606"/>
      <c r="C518" s="607"/>
      <c r="D518" s="608"/>
      <c r="E518" s="608"/>
      <c r="F518" s="608"/>
      <c r="G518" s="608"/>
      <c r="H518" s="609"/>
      <c r="I518" s="650"/>
      <c r="J518" s="651"/>
      <c r="K518" s="650"/>
      <c r="L518" s="650"/>
      <c r="M518" s="650"/>
      <c r="N518" s="650"/>
      <c r="O518" s="650"/>
      <c r="P518" s="651"/>
      <c r="Q518" s="650"/>
      <c r="R518" s="650"/>
      <c r="S518" s="652"/>
      <c r="T518" s="606"/>
      <c r="U518" s="606"/>
      <c r="V518" s="19"/>
      <c r="W518" s="19"/>
      <c r="X518" s="19"/>
    </row>
    <row r="519" spans="1:24" ht="11.25" hidden="1" customHeight="1" outlineLevel="3" x14ac:dyDescent="0.2">
      <c r="A519" s="606"/>
      <c r="B519" s="606"/>
      <c r="C519" s="607"/>
      <c r="D519" s="608"/>
      <c r="E519" s="608"/>
      <c r="F519" s="608"/>
      <c r="G519" s="608"/>
      <c r="H519" s="609"/>
      <c r="I519" s="650"/>
      <c r="J519" s="651"/>
      <c r="K519" s="650"/>
      <c r="L519" s="650"/>
      <c r="M519" s="650"/>
      <c r="N519" s="650"/>
      <c r="O519" s="650"/>
      <c r="P519" s="651"/>
      <c r="Q519" s="650"/>
      <c r="R519" s="650"/>
      <c r="S519" s="652"/>
      <c r="T519" s="606"/>
      <c r="U519" s="606"/>
      <c r="V519" s="19"/>
      <c r="W519" s="19"/>
      <c r="X519" s="19"/>
    </row>
    <row r="520" spans="1:24" ht="11.25" hidden="1" customHeight="1" outlineLevel="3" x14ac:dyDescent="0.2">
      <c r="A520" s="606"/>
      <c r="B520" s="606"/>
      <c r="C520" s="607"/>
      <c r="D520" s="608"/>
      <c r="E520" s="608"/>
      <c r="F520" s="608"/>
      <c r="G520" s="608"/>
      <c r="H520" s="609"/>
      <c r="I520" s="650"/>
      <c r="J520" s="651"/>
      <c r="K520" s="650"/>
      <c r="L520" s="650"/>
      <c r="M520" s="650"/>
      <c r="N520" s="650"/>
      <c r="O520" s="650"/>
      <c r="P520" s="651"/>
      <c r="Q520" s="650"/>
      <c r="R520" s="650"/>
      <c r="S520" s="652"/>
      <c r="T520" s="606"/>
      <c r="U520" s="606"/>
      <c r="V520" s="19"/>
      <c r="W520" s="19"/>
      <c r="X520" s="19"/>
    </row>
    <row r="521" spans="1:24" ht="11.25" hidden="1" customHeight="1" outlineLevel="3" x14ac:dyDescent="0.2">
      <c r="A521" s="606"/>
      <c r="B521" s="606"/>
      <c r="C521" s="607"/>
      <c r="D521" s="608"/>
      <c r="E521" s="608"/>
      <c r="F521" s="608"/>
      <c r="G521" s="608"/>
      <c r="H521" s="609"/>
      <c r="I521" s="650"/>
      <c r="J521" s="651"/>
      <c r="K521" s="650"/>
      <c r="L521" s="650"/>
      <c r="M521" s="650"/>
      <c r="N521" s="650"/>
      <c r="O521" s="650"/>
      <c r="P521" s="651"/>
      <c r="Q521" s="650"/>
      <c r="R521" s="650"/>
      <c r="S521" s="652"/>
      <c r="T521" s="606"/>
      <c r="U521" s="606"/>
      <c r="V521" s="19"/>
      <c r="W521" s="19"/>
      <c r="X521" s="19"/>
    </row>
    <row r="522" spans="1:24" ht="11.25" hidden="1" customHeight="1" outlineLevel="3" x14ac:dyDescent="0.2">
      <c r="A522" s="606"/>
      <c r="B522" s="606"/>
      <c r="C522" s="607"/>
      <c r="D522" s="608"/>
      <c r="E522" s="608"/>
      <c r="F522" s="608"/>
      <c r="G522" s="608"/>
      <c r="H522" s="609"/>
      <c r="I522" s="650"/>
      <c r="J522" s="651"/>
      <c r="K522" s="650"/>
      <c r="L522" s="650"/>
      <c r="M522" s="650"/>
      <c r="N522" s="650"/>
      <c r="O522" s="650"/>
      <c r="P522" s="651"/>
      <c r="Q522" s="650"/>
      <c r="R522" s="650"/>
      <c r="S522" s="652"/>
      <c r="T522" s="606"/>
      <c r="U522" s="606"/>
      <c r="V522" s="19"/>
      <c r="W522" s="19"/>
      <c r="X522" s="19"/>
    </row>
    <row r="523" spans="1:24" ht="11.25" hidden="1" customHeight="1" outlineLevel="3" x14ac:dyDescent="0.2">
      <c r="A523" s="606"/>
      <c r="B523" s="606"/>
      <c r="C523" s="607"/>
      <c r="D523" s="608"/>
      <c r="E523" s="608"/>
      <c r="F523" s="608"/>
      <c r="G523" s="608"/>
      <c r="H523" s="609"/>
      <c r="I523" s="650"/>
      <c r="J523" s="651"/>
      <c r="K523" s="650"/>
      <c r="L523" s="650"/>
      <c r="M523" s="650"/>
      <c r="N523" s="650"/>
      <c r="O523" s="650"/>
      <c r="P523" s="651"/>
      <c r="Q523" s="650"/>
      <c r="R523" s="650"/>
      <c r="S523" s="652"/>
      <c r="T523" s="606"/>
      <c r="U523" s="606"/>
      <c r="V523" s="19"/>
      <c r="W523" s="19"/>
      <c r="X523" s="19"/>
    </row>
    <row r="524" spans="1:24" ht="11.25" hidden="1" customHeight="1" outlineLevel="3" x14ac:dyDescent="0.2">
      <c r="A524" s="606"/>
      <c r="B524" s="606"/>
      <c r="C524" s="607"/>
      <c r="D524" s="608"/>
      <c r="E524" s="608"/>
      <c r="F524" s="608"/>
      <c r="G524" s="608"/>
      <c r="H524" s="609"/>
      <c r="I524" s="650"/>
      <c r="J524" s="651"/>
      <c r="K524" s="650"/>
      <c r="L524" s="650"/>
      <c r="M524" s="650"/>
      <c r="N524" s="650"/>
      <c r="O524" s="650"/>
      <c r="P524" s="651"/>
      <c r="Q524" s="650"/>
      <c r="R524" s="650"/>
      <c r="S524" s="652"/>
      <c r="T524" s="606"/>
      <c r="U524" s="606"/>
      <c r="V524" s="19"/>
      <c r="W524" s="19"/>
      <c r="X524" s="19"/>
    </row>
    <row r="525" spans="1:24" ht="11.25" hidden="1" customHeight="1" outlineLevel="3" x14ac:dyDescent="0.2">
      <c r="A525" s="606"/>
      <c r="B525" s="606"/>
      <c r="C525" s="607"/>
      <c r="D525" s="608"/>
      <c r="E525" s="608"/>
      <c r="F525" s="608"/>
      <c r="G525" s="608"/>
      <c r="H525" s="609"/>
      <c r="I525" s="650"/>
      <c r="J525" s="651"/>
      <c r="K525" s="650"/>
      <c r="L525" s="650"/>
      <c r="M525" s="650"/>
      <c r="N525" s="650"/>
      <c r="O525" s="650"/>
      <c r="P525" s="651"/>
      <c r="Q525" s="650"/>
      <c r="R525" s="650"/>
      <c r="S525" s="652"/>
      <c r="T525" s="606"/>
      <c r="U525" s="606"/>
      <c r="V525" s="19"/>
      <c r="W525" s="19"/>
      <c r="X525" s="19"/>
    </row>
    <row r="526" spans="1:24" ht="11.25" hidden="1" customHeight="1" outlineLevel="3" x14ac:dyDescent="0.2">
      <c r="A526" s="606"/>
      <c r="B526" s="606"/>
      <c r="C526" s="607"/>
      <c r="D526" s="608"/>
      <c r="E526" s="608"/>
      <c r="F526" s="608"/>
      <c r="G526" s="608"/>
      <c r="H526" s="609"/>
      <c r="I526" s="650"/>
      <c r="J526" s="651"/>
      <c r="K526" s="650"/>
      <c r="L526" s="650"/>
      <c r="M526" s="650"/>
      <c r="N526" s="650"/>
      <c r="O526" s="650"/>
      <c r="P526" s="651"/>
      <c r="Q526" s="650"/>
      <c r="R526" s="650"/>
      <c r="S526" s="652"/>
      <c r="T526" s="606"/>
      <c r="U526" s="606"/>
      <c r="V526" s="19"/>
      <c r="W526" s="19"/>
      <c r="X526" s="19"/>
    </row>
    <row r="527" spans="1:24" ht="11.25" hidden="1" customHeight="1" outlineLevel="3" x14ac:dyDescent="0.2">
      <c r="A527" s="606"/>
      <c r="B527" s="606"/>
      <c r="C527" s="607"/>
      <c r="D527" s="608"/>
      <c r="E527" s="608"/>
      <c r="F527" s="608"/>
      <c r="G527" s="608"/>
      <c r="H527" s="609"/>
      <c r="I527" s="650"/>
      <c r="J527" s="651"/>
      <c r="K527" s="650"/>
      <c r="L527" s="650"/>
      <c r="M527" s="650"/>
      <c r="N527" s="650"/>
      <c r="O527" s="650"/>
      <c r="P527" s="651"/>
      <c r="Q527" s="650"/>
      <c r="R527" s="650"/>
      <c r="S527" s="652"/>
      <c r="T527" s="606"/>
      <c r="U527" s="606"/>
      <c r="V527" s="19"/>
      <c r="W527" s="19"/>
      <c r="X527" s="19"/>
    </row>
    <row r="528" spans="1:24" ht="11.25" hidden="1" customHeight="1" outlineLevel="3" x14ac:dyDescent="0.2">
      <c r="A528" s="606"/>
      <c r="B528" s="606"/>
      <c r="C528" s="607"/>
      <c r="D528" s="608"/>
      <c r="E528" s="608"/>
      <c r="F528" s="608"/>
      <c r="G528" s="608"/>
      <c r="H528" s="609"/>
      <c r="I528" s="650"/>
      <c r="J528" s="651"/>
      <c r="K528" s="650"/>
      <c r="L528" s="650"/>
      <c r="M528" s="650"/>
      <c r="N528" s="650"/>
      <c r="O528" s="650"/>
      <c r="P528" s="651"/>
      <c r="Q528" s="650"/>
      <c r="R528" s="650"/>
      <c r="S528" s="652"/>
      <c r="T528" s="606"/>
      <c r="U528" s="606"/>
      <c r="V528" s="19"/>
      <c r="W528" s="19"/>
      <c r="X528" s="19"/>
    </row>
    <row r="529" spans="1:24" ht="11.25" hidden="1" customHeight="1" outlineLevel="3" x14ac:dyDescent="0.2">
      <c r="A529" s="606"/>
      <c r="B529" s="606"/>
      <c r="C529" s="607"/>
      <c r="D529" s="608"/>
      <c r="E529" s="608"/>
      <c r="F529" s="608"/>
      <c r="G529" s="608"/>
      <c r="H529" s="609"/>
      <c r="I529" s="650"/>
      <c r="J529" s="651"/>
      <c r="K529" s="650"/>
      <c r="L529" s="650"/>
      <c r="M529" s="650"/>
      <c r="N529" s="650"/>
      <c r="O529" s="650"/>
      <c r="P529" s="651"/>
      <c r="Q529" s="650"/>
      <c r="R529" s="650"/>
      <c r="S529" s="652"/>
      <c r="T529" s="606"/>
      <c r="U529" s="606"/>
      <c r="V529" s="19"/>
      <c r="W529" s="19"/>
      <c r="X529" s="19"/>
    </row>
    <row r="530" spans="1:24" ht="11.25" hidden="1" customHeight="1" outlineLevel="3" x14ac:dyDescent="0.2">
      <c r="A530" s="606"/>
      <c r="B530" s="606"/>
      <c r="C530" s="607"/>
      <c r="D530" s="608"/>
      <c r="E530" s="608"/>
      <c r="F530" s="608"/>
      <c r="G530" s="608"/>
      <c r="H530" s="609"/>
      <c r="I530" s="650"/>
      <c r="J530" s="651"/>
      <c r="K530" s="650"/>
      <c r="L530" s="650"/>
      <c r="M530" s="650"/>
      <c r="N530" s="650"/>
      <c r="O530" s="650"/>
      <c r="P530" s="651"/>
      <c r="Q530" s="650"/>
      <c r="R530" s="650"/>
      <c r="S530" s="652"/>
      <c r="T530" s="606"/>
      <c r="U530" s="606"/>
      <c r="V530" s="19"/>
      <c r="W530" s="19"/>
      <c r="X530" s="19"/>
    </row>
    <row r="531" spans="1:24" ht="11.25" hidden="1" customHeight="1" outlineLevel="3" x14ac:dyDescent="0.2">
      <c r="A531" s="606"/>
      <c r="B531" s="606"/>
      <c r="C531" s="607"/>
      <c r="D531" s="608"/>
      <c r="E531" s="608"/>
      <c r="F531" s="608"/>
      <c r="G531" s="608"/>
      <c r="H531" s="609"/>
      <c r="I531" s="650"/>
      <c r="J531" s="651"/>
      <c r="K531" s="650"/>
      <c r="L531" s="650"/>
      <c r="M531" s="650"/>
      <c r="N531" s="650"/>
      <c r="O531" s="650"/>
      <c r="P531" s="651"/>
      <c r="Q531" s="650"/>
      <c r="R531" s="650"/>
      <c r="S531" s="652"/>
      <c r="T531" s="606"/>
      <c r="U531" s="606"/>
      <c r="V531" s="19"/>
      <c r="W531" s="19"/>
      <c r="X531" s="19"/>
    </row>
    <row r="532" spans="1:24" ht="11.25" hidden="1" customHeight="1" outlineLevel="3" x14ac:dyDescent="0.2">
      <c r="A532" s="606"/>
      <c r="B532" s="606"/>
      <c r="C532" s="607"/>
      <c r="D532" s="608"/>
      <c r="E532" s="608"/>
      <c r="F532" s="608"/>
      <c r="G532" s="608"/>
      <c r="H532" s="609"/>
      <c r="I532" s="650"/>
      <c r="J532" s="651"/>
      <c r="K532" s="650"/>
      <c r="L532" s="650"/>
      <c r="M532" s="650"/>
      <c r="N532" s="650"/>
      <c r="O532" s="650"/>
      <c r="P532" s="651"/>
      <c r="Q532" s="650"/>
      <c r="R532" s="650"/>
      <c r="S532" s="652"/>
      <c r="T532" s="606"/>
      <c r="U532" s="606"/>
      <c r="V532" s="19"/>
      <c r="W532" s="19"/>
      <c r="X532" s="19"/>
    </row>
    <row r="533" spans="1:24" ht="11.25" hidden="1" customHeight="1" outlineLevel="3" x14ac:dyDescent="0.2">
      <c r="A533" s="606"/>
      <c r="B533" s="606"/>
      <c r="C533" s="607"/>
      <c r="D533" s="608"/>
      <c r="E533" s="608"/>
      <c r="F533" s="608"/>
      <c r="G533" s="608"/>
      <c r="H533" s="609"/>
      <c r="I533" s="650"/>
      <c r="J533" s="651"/>
      <c r="K533" s="650"/>
      <c r="L533" s="650"/>
      <c r="M533" s="650"/>
      <c r="N533" s="650"/>
      <c r="O533" s="650"/>
      <c r="P533" s="651"/>
      <c r="Q533" s="650"/>
      <c r="R533" s="650"/>
      <c r="S533" s="652"/>
      <c r="T533" s="606"/>
      <c r="U533" s="606"/>
      <c r="V533" s="19"/>
      <c r="W533" s="19"/>
      <c r="X533" s="19"/>
    </row>
    <row r="534" spans="1:24" ht="11.25" hidden="1" customHeight="1" outlineLevel="3" x14ac:dyDescent="0.2">
      <c r="A534" s="606"/>
      <c r="B534" s="606"/>
      <c r="C534" s="607"/>
      <c r="D534" s="608"/>
      <c r="E534" s="608"/>
      <c r="F534" s="608"/>
      <c r="G534" s="608"/>
      <c r="H534" s="609"/>
      <c r="I534" s="650"/>
      <c r="J534" s="651"/>
      <c r="K534" s="650"/>
      <c r="L534" s="650"/>
      <c r="M534" s="650"/>
      <c r="N534" s="650"/>
      <c r="O534" s="650"/>
      <c r="P534" s="651"/>
      <c r="Q534" s="650"/>
      <c r="R534" s="650"/>
      <c r="S534" s="652"/>
      <c r="T534" s="606"/>
      <c r="U534" s="606"/>
      <c r="V534" s="19"/>
      <c r="W534" s="19"/>
      <c r="X534" s="19"/>
    </row>
    <row r="535" spans="1:24" ht="11.25" customHeight="1" outlineLevel="2" collapsed="1" x14ac:dyDescent="0.2">
      <c r="A535" s="606"/>
      <c r="B535" s="606"/>
      <c r="C535" s="620"/>
      <c r="D535" s="621"/>
      <c r="E535" s="609"/>
      <c r="F535" s="609"/>
      <c r="G535" s="609"/>
      <c r="H535" s="609"/>
      <c r="I535" s="653"/>
      <c r="J535" s="653"/>
      <c r="K535" s="654"/>
      <c r="L535" s="654"/>
      <c r="M535" s="654"/>
      <c r="N535" s="655"/>
      <c r="O535" s="655"/>
      <c r="P535" s="655"/>
      <c r="Q535" s="655"/>
      <c r="R535" s="655"/>
      <c r="S535" s="647"/>
      <c r="T535" s="606"/>
      <c r="U535" s="606"/>
      <c r="V535" s="19"/>
      <c r="W535" s="19"/>
      <c r="X535" s="19"/>
    </row>
    <row r="536" spans="1:24" outlineLevel="1" x14ac:dyDescent="0.2">
      <c r="A536" s="606"/>
      <c r="B536" s="606"/>
      <c r="C536" s="613"/>
      <c r="D536" s="609"/>
      <c r="E536" s="609"/>
      <c r="F536" s="609"/>
      <c r="G536" s="609"/>
      <c r="H536" s="609"/>
      <c r="I536" s="653"/>
      <c r="J536" s="653"/>
      <c r="K536" s="654"/>
      <c r="L536" s="654"/>
      <c r="M536" s="654"/>
      <c r="N536" s="655"/>
      <c r="O536" s="655"/>
      <c r="P536" s="655"/>
      <c r="Q536" s="655"/>
      <c r="R536" s="655"/>
      <c r="S536" s="647"/>
      <c r="T536" s="606"/>
      <c r="U536" s="606"/>
      <c r="V536" s="19"/>
      <c r="W536" s="19"/>
      <c r="X536" s="19"/>
    </row>
    <row r="537" spans="1:24" outlineLevel="1" x14ac:dyDescent="0.2">
      <c r="A537" s="606"/>
      <c r="B537" s="606"/>
      <c r="C537" s="616"/>
      <c r="D537" s="617"/>
      <c r="E537" s="617"/>
      <c r="F537" s="617"/>
      <c r="G537" s="618"/>
      <c r="H537" s="618"/>
      <c r="I537" s="654"/>
      <c r="J537" s="654"/>
      <c r="K537" s="654"/>
      <c r="L537" s="654"/>
      <c r="M537" s="654"/>
      <c r="N537" s="654"/>
      <c r="O537" s="654"/>
      <c r="P537" s="654"/>
      <c r="Q537" s="654"/>
      <c r="R537" s="654"/>
      <c r="S537" s="647"/>
      <c r="T537" s="606"/>
      <c r="U537" s="606"/>
      <c r="V537" s="19"/>
      <c r="W537" s="19"/>
      <c r="X537" s="19"/>
    </row>
    <row r="538" spans="1:24" ht="11.25" customHeight="1" outlineLevel="2" x14ac:dyDescent="0.2">
      <c r="A538" s="606"/>
      <c r="B538" s="606"/>
      <c r="C538" s="607"/>
      <c r="D538" s="608"/>
      <c r="E538" s="608"/>
      <c r="F538" s="608"/>
      <c r="G538" s="608"/>
      <c r="H538" s="609"/>
      <c r="I538" s="650"/>
      <c r="J538" s="651"/>
      <c r="K538" s="650"/>
      <c r="L538" s="650"/>
      <c r="M538" s="650"/>
      <c r="N538" s="650"/>
      <c r="O538" s="650"/>
      <c r="P538" s="651"/>
      <c r="Q538" s="650"/>
      <c r="R538" s="650"/>
      <c r="S538" s="652"/>
      <c r="T538" s="606"/>
      <c r="U538" s="606"/>
      <c r="V538" s="19"/>
      <c r="W538" s="19"/>
      <c r="X538" s="19"/>
    </row>
    <row r="539" spans="1:24" ht="11.25" customHeight="1" outlineLevel="2" x14ac:dyDescent="0.2">
      <c r="A539" s="606"/>
      <c r="B539" s="606"/>
      <c r="C539" s="607"/>
      <c r="D539" s="608"/>
      <c r="E539" s="608"/>
      <c r="F539" s="608"/>
      <c r="G539" s="608"/>
      <c r="H539" s="609"/>
      <c r="I539" s="650"/>
      <c r="J539" s="651"/>
      <c r="K539" s="650"/>
      <c r="L539" s="650"/>
      <c r="M539" s="650"/>
      <c r="N539" s="650"/>
      <c r="O539" s="650"/>
      <c r="P539" s="651"/>
      <c r="Q539" s="650"/>
      <c r="R539" s="650"/>
      <c r="S539" s="652"/>
      <c r="T539" s="606"/>
      <c r="U539" s="606"/>
      <c r="V539" s="19"/>
      <c r="W539" s="19"/>
      <c r="X539" s="19"/>
    </row>
    <row r="540" spans="1:24" ht="11.25" customHeight="1" outlineLevel="2" x14ac:dyDescent="0.2">
      <c r="A540" s="606"/>
      <c r="B540" s="606"/>
      <c r="C540" s="607"/>
      <c r="D540" s="608"/>
      <c r="E540" s="608"/>
      <c r="F540" s="608"/>
      <c r="G540" s="608"/>
      <c r="H540" s="609"/>
      <c r="I540" s="650"/>
      <c r="J540" s="651"/>
      <c r="K540" s="650"/>
      <c r="L540" s="650"/>
      <c r="M540" s="650"/>
      <c r="N540" s="650"/>
      <c r="O540" s="650"/>
      <c r="P540" s="651"/>
      <c r="Q540" s="650"/>
      <c r="R540" s="650"/>
      <c r="S540" s="652"/>
      <c r="T540" s="606"/>
      <c r="U540" s="606"/>
      <c r="V540" s="19"/>
      <c r="W540" s="19"/>
      <c r="X540" s="19"/>
    </row>
    <row r="541" spans="1:24" ht="11.25" customHeight="1" outlineLevel="2" x14ac:dyDescent="0.2">
      <c r="A541" s="606"/>
      <c r="B541" s="606"/>
      <c r="C541" s="607"/>
      <c r="D541" s="608"/>
      <c r="E541" s="608"/>
      <c r="F541" s="608"/>
      <c r="G541" s="608"/>
      <c r="H541" s="609"/>
      <c r="I541" s="650"/>
      <c r="J541" s="651"/>
      <c r="K541" s="650"/>
      <c r="L541" s="650"/>
      <c r="M541" s="650"/>
      <c r="N541" s="650"/>
      <c r="O541" s="650"/>
      <c r="P541" s="651"/>
      <c r="Q541" s="650"/>
      <c r="R541" s="650"/>
      <c r="S541" s="652"/>
      <c r="T541" s="606"/>
      <c r="U541" s="606"/>
      <c r="V541" s="19"/>
      <c r="W541" s="19"/>
      <c r="X541" s="19"/>
    </row>
    <row r="542" spans="1:24" ht="11.25" customHeight="1" outlineLevel="2" x14ac:dyDescent="0.2">
      <c r="A542" s="606"/>
      <c r="B542" s="606"/>
      <c r="C542" s="607"/>
      <c r="D542" s="608"/>
      <c r="E542" s="608"/>
      <c r="F542" s="608"/>
      <c r="G542" s="608"/>
      <c r="H542" s="609"/>
      <c r="I542" s="650"/>
      <c r="J542" s="651"/>
      <c r="K542" s="650"/>
      <c r="L542" s="650"/>
      <c r="M542" s="650"/>
      <c r="N542" s="650"/>
      <c r="O542" s="650"/>
      <c r="P542" s="651"/>
      <c r="Q542" s="650"/>
      <c r="R542" s="650"/>
      <c r="S542" s="652"/>
      <c r="T542" s="606"/>
      <c r="U542" s="606"/>
      <c r="V542" s="19"/>
      <c r="W542" s="19"/>
      <c r="X542" s="19"/>
    </row>
    <row r="543" spans="1:24" ht="11.25" customHeight="1" outlineLevel="2" x14ac:dyDescent="0.2">
      <c r="A543" s="606"/>
      <c r="B543" s="606"/>
      <c r="C543" s="607"/>
      <c r="D543" s="608"/>
      <c r="E543" s="608"/>
      <c r="F543" s="608"/>
      <c r="G543" s="608"/>
      <c r="H543" s="609"/>
      <c r="I543" s="650"/>
      <c r="J543" s="651"/>
      <c r="K543" s="650"/>
      <c r="L543" s="650"/>
      <c r="M543" s="650"/>
      <c r="N543" s="650"/>
      <c r="O543" s="650"/>
      <c r="P543" s="651"/>
      <c r="Q543" s="650"/>
      <c r="R543" s="650"/>
      <c r="S543" s="652"/>
      <c r="T543" s="606"/>
      <c r="U543" s="606"/>
      <c r="V543" s="19"/>
      <c r="W543" s="19"/>
      <c r="X543" s="19"/>
    </row>
    <row r="544" spans="1:24" ht="11.25" customHeight="1" outlineLevel="2" x14ac:dyDescent="0.2">
      <c r="A544" s="606"/>
      <c r="B544" s="606"/>
      <c r="C544" s="607"/>
      <c r="D544" s="608"/>
      <c r="E544" s="608"/>
      <c r="F544" s="608"/>
      <c r="G544" s="608"/>
      <c r="H544" s="609"/>
      <c r="I544" s="650"/>
      <c r="J544" s="651"/>
      <c r="K544" s="650"/>
      <c r="L544" s="650"/>
      <c r="M544" s="650"/>
      <c r="N544" s="650"/>
      <c r="O544" s="650"/>
      <c r="P544" s="651"/>
      <c r="Q544" s="650"/>
      <c r="R544" s="650"/>
      <c r="S544" s="652"/>
      <c r="T544" s="606"/>
      <c r="U544" s="606"/>
      <c r="V544" s="19"/>
      <c r="W544" s="19"/>
      <c r="X544" s="19"/>
    </row>
    <row r="545" spans="1:24" ht="11.25" customHeight="1" outlineLevel="2" x14ac:dyDescent="0.2">
      <c r="A545" s="606"/>
      <c r="B545" s="606"/>
      <c r="C545" s="607"/>
      <c r="D545" s="608"/>
      <c r="E545" s="608"/>
      <c r="F545" s="608"/>
      <c r="G545" s="608"/>
      <c r="H545" s="609"/>
      <c r="I545" s="650"/>
      <c r="J545" s="651"/>
      <c r="K545" s="650"/>
      <c r="L545" s="650"/>
      <c r="M545" s="650"/>
      <c r="N545" s="650"/>
      <c r="O545" s="650"/>
      <c r="P545" s="651"/>
      <c r="Q545" s="650"/>
      <c r="R545" s="650"/>
      <c r="S545" s="652"/>
      <c r="T545" s="606"/>
      <c r="U545" s="606"/>
      <c r="V545" s="19"/>
      <c r="W545" s="19"/>
      <c r="X545" s="19"/>
    </row>
    <row r="546" spans="1:24" ht="11.25" customHeight="1" outlineLevel="2" x14ac:dyDescent="0.2">
      <c r="A546" s="606"/>
      <c r="B546" s="606"/>
      <c r="C546" s="607"/>
      <c r="D546" s="608"/>
      <c r="E546" s="608"/>
      <c r="F546" s="608"/>
      <c r="G546" s="608"/>
      <c r="H546" s="609"/>
      <c r="I546" s="650"/>
      <c r="J546" s="651"/>
      <c r="K546" s="650"/>
      <c r="L546" s="650"/>
      <c r="M546" s="650"/>
      <c r="N546" s="650"/>
      <c r="O546" s="650"/>
      <c r="P546" s="651"/>
      <c r="Q546" s="650"/>
      <c r="R546" s="650"/>
      <c r="S546" s="652"/>
      <c r="T546" s="606"/>
      <c r="U546" s="606"/>
      <c r="V546" s="19"/>
      <c r="W546" s="19"/>
      <c r="X546" s="19"/>
    </row>
    <row r="547" spans="1:24" ht="11.25" customHeight="1" outlineLevel="2" x14ac:dyDescent="0.2">
      <c r="A547" s="606"/>
      <c r="B547" s="606"/>
      <c r="C547" s="607"/>
      <c r="D547" s="608"/>
      <c r="E547" s="608"/>
      <c r="F547" s="608"/>
      <c r="G547" s="608"/>
      <c r="H547" s="609"/>
      <c r="I547" s="650"/>
      <c r="J547" s="651"/>
      <c r="K547" s="650"/>
      <c r="L547" s="650"/>
      <c r="M547" s="650"/>
      <c r="N547" s="650"/>
      <c r="O547" s="650"/>
      <c r="P547" s="651"/>
      <c r="Q547" s="650"/>
      <c r="R547" s="650"/>
      <c r="S547" s="652"/>
      <c r="T547" s="606"/>
      <c r="U547" s="606"/>
      <c r="V547" s="19"/>
      <c r="W547" s="19"/>
      <c r="X547" s="19"/>
    </row>
    <row r="548" spans="1:24" ht="11.25" customHeight="1" outlineLevel="2" x14ac:dyDescent="0.2">
      <c r="A548" s="606"/>
      <c r="B548" s="606"/>
      <c r="C548" s="607"/>
      <c r="D548" s="608"/>
      <c r="E548" s="608"/>
      <c r="F548" s="608"/>
      <c r="G548" s="608"/>
      <c r="H548" s="609"/>
      <c r="I548" s="650"/>
      <c r="J548" s="651"/>
      <c r="K548" s="650"/>
      <c r="L548" s="650"/>
      <c r="M548" s="650"/>
      <c r="N548" s="650"/>
      <c r="O548" s="650"/>
      <c r="P548" s="651"/>
      <c r="Q548" s="650"/>
      <c r="R548" s="650"/>
      <c r="S548" s="652"/>
      <c r="T548" s="606"/>
      <c r="U548" s="606"/>
      <c r="V548" s="19"/>
      <c r="W548" s="19"/>
      <c r="X548" s="19"/>
    </row>
    <row r="549" spans="1:24" ht="11.25" customHeight="1" outlineLevel="2" x14ac:dyDescent="0.2">
      <c r="A549" s="606"/>
      <c r="B549" s="606"/>
      <c r="C549" s="607"/>
      <c r="D549" s="608"/>
      <c r="E549" s="608"/>
      <c r="F549" s="608"/>
      <c r="G549" s="608"/>
      <c r="H549" s="609"/>
      <c r="I549" s="650"/>
      <c r="J549" s="651"/>
      <c r="K549" s="650"/>
      <c r="L549" s="650"/>
      <c r="M549" s="650"/>
      <c r="N549" s="650"/>
      <c r="O549" s="650"/>
      <c r="P549" s="651"/>
      <c r="Q549" s="650"/>
      <c r="R549" s="650"/>
      <c r="S549" s="652"/>
      <c r="T549" s="606"/>
      <c r="U549" s="606"/>
      <c r="V549" s="19"/>
      <c r="W549" s="19"/>
      <c r="X549" s="19"/>
    </row>
    <row r="550" spans="1:24" ht="11.25" customHeight="1" outlineLevel="2" x14ac:dyDescent="0.2">
      <c r="A550" s="606"/>
      <c r="B550" s="606"/>
      <c r="C550" s="607"/>
      <c r="D550" s="608"/>
      <c r="E550" s="608"/>
      <c r="F550" s="608"/>
      <c r="G550" s="608"/>
      <c r="H550" s="609"/>
      <c r="I550" s="650"/>
      <c r="J550" s="651"/>
      <c r="K550" s="650"/>
      <c r="L550" s="650"/>
      <c r="M550" s="650"/>
      <c r="N550" s="650"/>
      <c r="O550" s="650"/>
      <c r="P550" s="651"/>
      <c r="Q550" s="650"/>
      <c r="R550" s="650"/>
      <c r="S550" s="652"/>
      <c r="T550" s="606"/>
      <c r="U550" s="606"/>
      <c r="V550" s="19"/>
      <c r="W550" s="19"/>
      <c r="X550" s="19"/>
    </row>
    <row r="551" spans="1:24" ht="11.25" customHeight="1" outlineLevel="2" x14ac:dyDescent="0.2">
      <c r="A551" s="606"/>
      <c r="B551" s="606"/>
      <c r="C551" s="607"/>
      <c r="D551" s="608"/>
      <c r="E551" s="608"/>
      <c r="F551" s="608"/>
      <c r="G551" s="608"/>
      <c r="H551" s="609"/>
      <c r="I551" s="650"/>
      <c r="J551" s="651"/>
      <c r="K551" s="650"/>
      <c r="L551" s="650"/>
      <c r="M551" s="650"/>
      <c r="N551" s="650"/>
      <c r="O551" s="650"/>
      <c r="P551" s="651"/>
      <c r="Q551" s="650"/>
      <c r="R551" s="650"/>
      <c r="S551" s="652"/>
      <c r="T551" s="606"/>
      <c r="U551" s="606"/>
      <c r="V551" s="19"/>
      <c r="W551" s="19"/>
      <c r="X551" s="19"/>
    </row>
    <row r="552" spans="1:24" ht="11.25" customHeight="1" outlineLevel="2" x14ac:dyDescent="0.2">
      <c r="A552" s="606"/>
      <c r="B552" s="606"/>
      <c r="C552" s="607"/>
      <c r="D552" s="608"/>
      <c r="E552" s="608"/>
      <c r="F552" s="608"/>
      <c r="G552" s="608"/>
      <c r="H552" s="609"/>
      <c r="I552" s="650"/>
      <c r="J552" s="651"/>
      <c r="K552" s="650"/>
      <c r="L552" s="650"/>
      <c r="M552" s="650"/>
      <c r="N552" s="650"/>
      <c r="O552" s="650"/>
      <c r="P552" s="651"/>
      <c r="Q552" s="650"/>
      <c r="R552" s="650"/>
      <c r="S552" s="652"/>
      <c r="T552" s="606"/>
      <c r="U552" s="606"/>
      <c r="V552" s="19"/>
      <c r="W552" s="19"/>
      <c r="X552" s="19"/>
    </row>
    <row r="553" spans="1:24" ht="11.25" customHeight="1" outlineLevel="2" x14ac:dyDescent="0.2">
      <c r="A553" s="606"/>
      <c r="B553" s="606"/>
      <c r="C553" s="607"/>
      <c r="D553" s="608"/>
      <c r="E553" s="608"/>
      <c r="F553" s="608"/>
      <c r="G553" s="608"/>
      <c r="H553" s="609"/>
      <c r="I553" s="650"/>
      <c r="J553" s="651"/>
      <c r="K553" s="650"/>
      <c r="L553" s="650"/>
      <c r="M553" s="650"/>
      <c r="N553" s="650"/>
      <c r="O553" s="650"/>
      <c r="P553" s="651"/>
      <c r="Q553" s="650"/>
      <c r="R553" s="650"/>
      <c r="S553" s="652"/>
      <c r="T553" s="606"/>
      <c r="U553" s="606"/>
      <c r="V553" s="19"/>
      <c r="W553" s="19"/>
      <c r="X553" s="19"/>
    </row>
    <row r="554" spans="1:24" ht="11.25" customHeight="1" outlineLevel="2" x14ac:dyDescent="0.2">
      <c r="A554" s="606"/>
      <c r="B554" s="606"/>
      <c r="C554" s="607"/>
      <c r="D554" s="608"/>
      <c r="E554" s="608"/>
      <c r="F554" s="608"/>
      <c r="G554" s="608"/>
      <c r="H554" s="609"/>
      <c r="I554" s="650"/>
      <c r="J554" s="651"/>
      <c r="K554" s="650"/>
      <c r="L554" s="650"/>
      <c r="M554" s="650"/>
      <c r="N554" s="650"/>
      <c r="O554" s="650"/>
      <c r="P554" s="651"/>
      <c r="Q554" s="650"/>
      <c r="R554" s="650"/>
      <c r="S554" s="652"/>
      <c r="T554" s="606"/>
      <c r="U554" s="606"/>
      <c r="V554" s="19"/>
      <c r="W554" s="19"/>
      <c r="X554" s="19"/>
    </row>
    <row r="555" spans="1:24" ht="11.25" customHeight="1" outlineLevel="2" x14ac:dyDescent="0.2">
      <c r="A555" s="606"/>
      <c r="B555" s="606"/>
      <c r="C555" s="607"/>
      <c r="D555" s="608"/>
      <c r="E555" s="608"/>
      <c r="F555" s="608"/>
      <c r="G555" s="608"/>
      <c r="H555" s="609"/>
      <c r="I555" s="650"/>
      <c r="J555" s="651"/>
      <c r="K555" s="650"/>
      <c r="L555" s="650"/>
      <c r="M555" s="650"/>
      <c r="N555" s="650"/>
      <c r="O555" s="650"/>
      <c r="P555" s="651"/>
      <c r="Q555" s="650"/>
      <c r="R555" s="650"/>
      <c r="S555" s="652"/>
      <c r="T555" s="606"/>
      <c r="U555" s="606"/>
      <c r="V555" s="19"/>
      <c r="W555" s="19"/>
      <c r="X555" s="19"/>
    </row>
    <row r="556" spans="1:24" ht="11.25" customHeight="1" outlineLevel="2" x14ac:dyDescent="0.2">
      <c r="A556" s="606"/>
      <c r="B556" s="606"/>
      <c r="C556" s="607"/>
      <c r="D556" s="608"/>
      <c r="E556" s="608"/>
      <c r="F556" s="608"/>
      <c r="G556" s="608"/>
      <c r="H556" s="609"/>
      <c r="I556" s="650"/>
      <c r="J556" s="651"/>
      <c r="K556" s="650"/>
      <c r="L556" s="650"/>
      <c r="M556" s="650"/>
      <c r="N556" s="650"/>
      <c r="O556" s="650"/>
      <c r="P556" s="651"/>
      <c r="Q556" s="650"/>
      <c r="R556" s="650"/>
      <c r="S556" s="652"/>
      <c r="T556" s="606"/>
      <c r="U556" s="606"/>
      <c r="V556" s="19"/>
      <c r="W556" s="19"/>
      <c r="X556" s="19"/>
    </row>
    <row r="557" spans="1:24" ht="11.25" customHeight="1" outlineLevel="2" x14ac:dyDescent="0.2">
      <c r="A557" s="606"/>
      <c r="B557" s="606"/>
      <c r="C557" s="607"/>
      <c r="D557" s="608"/>
      <c r="E557" s="608"/>
      <c r="F557" s="608"/>
      <c r="G557" s="608"/>
      <c r="H557" s="609"/>
      <c r="I557" s="650"/>
      <c r="J557" s="651"/>
      <c r="K557" s="650"/>
      <c r="L557" s="650"/>
      <c r="M557" s="650"/>
      <c r="N557" s="650"/>
      <c r="O557" s="650"/>
      <c r="P557" s="651"/>
      <c r="Q557" s="650"/>
      <c r="R557" s="650"/>
      <c r="S557" s="652"/>
      <c r="T557" s="606"/>
      <c r="U557" s="606"/>
      <c r="V557" s="19"/>
      <c r="W557" s="19"/>
      <c r="X557" s="19"/>
    </row>
    <row r="558" spans="1:24" ht="11.25" customHeight="1" outlineLevel="2" x14ac:dyDescent="0.2">
      <c r="A558" s="606"/>
      <c r="B558" s="606"/>
      <c r="C558" s="607"/>
      <c r="D558" s="608"/>
      <c r="E558" s="608"/>
      <c r="F558" s="608"/>
      <c r="G558" s="608"/>
      <c r="H558" s="609"/>
      <c r="I558" s="650"/>
      <c r="J558" s="651"/>
      <c r="K558" s="650"/>
      <c r="L558" s="650"/>
      <c r="M558" s="650"/>
      <c r="N558" s="650"/>
      <c r="O558" s="650"/>
      <c r="P558" s="651"/>
      <c r="Q558" s="650"/>
      <c r="R558" s="650"/>
      <c r="S558" s="652"/>
      <c r="T558" s="606"/>
      <c r="U558" s="606"/>
      <c r="V558" s="19"/>
      <c r="W558" s="19"/>
      <c r="X558" s="19"/>
    </row>
    <row r="559" spans="1:24" ht="11.25" customHeight="1" outlineLevel="2" x14ac:dyDescent="0.2">
      <c r="A559" s="606"/>
      <c r="B559" s="606"/>
      <c r="C559" s="607"/>
      <c r="D559" s="608"/>
      <c r="E559" s="608"/>
      <c r="F559" s="608"/>
      <c r="G559" s="608"/>
      <c r="H559" s="609"/>
      <c r="I559" s="650"/>
      <c r="J559" s="651"/>
      <c r="K559" s="650"/>
      <c r="L559" s="650"/>
      <c r="M559" s="650"/>
      <c r="N559" s="650"/>
      <c r="O559" s="650"/>
      <c r="P559" s="651"/>
      <c r="Q559" s="650"/>
      <c r="R559" s="650"/>
      <c r="S559" s="652"/>
      <c r="T559" s="606"/>
      <c r="U559" s="606"/>
      <c r="V559" s="19"/>
      <c r="W559" s="19"/>
      <c r="X559" s="19"/>
    </row>
    <row r="560" spans="1:24" ht="11.25" customHeight="1" outlineLevel="2" x14ac:dyDescent="0.2">
      <c r="A560" s="606"/>
      <c r="B560" s="606"/>
      <c r="C560" s="607"/>
      <c r="D560" s="608"/>
      <c r="E560" s="608"/>
      <c r="F560" s="608"/>
      <c r="G560" s="608"/>
      <c r="H560" s="609"/>
      <c r="I560" s="650"/>
      <c r="J560" s="651"/>
      <c r="K560" s="650"/>
      <c r="L560" s="650"/>
      <c r="M560" s="650"/>
      <c r="N560" s="650"/>
      <c r="O560" s="650"/>
      <c r="P560" s="651"/>
      <c r="Q560" s="650"/>
      <c r="R560" s="650"/>
      <c r="S560" s="652"/>
      <c r="T560" s="606"/>
      <c r="U560" s="606"/>
      <c r="V560" s="19"/>
      <c r="W560" s="19"/>
      <c r="X560" s="19"/>
    </row>
    <row r="561" spans="1:24" ht="11.25" customHeight="1" outlineLevel="2" x14ac:dyDescent="0.2">
      <c r="A561" s="606"/>
      <c r="B561" s="606"/>
      <c r="C561" s="607"/>
      <c r="D561" s="608"/>
      <c r="E561" s="608"/>
      <c r="F561" s="608"/>
      <c r="G561" s="608"/>
      <c r="H561" s="609"/>
      <c r="I561" s="650"/>
      <c r="J561" s="651"/>
      <c r="K561" s="650"/>
      <c r="L561" s="650"/>
      <c r="M561" s="650"/>
      <c r="N561" s="650"/>
      <c r="O561" s="650"/>
      <c r="P561" s="651"/>
      <c r="Q561" s="650"/>
      <c r="R561" s="650"/>
      <c r="S561" s="652"/>
      <c r="T561" s="606"/>
      <c r="U561" s="606"/>
      <c r="V561" s="19"/>
      <c r="W561" s="19"/>
      <c r="X561" s="19"/>
    </row>
    <row r="562" spans="1:24" ht="11.25" customHeight="1" outlineLevel="2" x14ac:dyDescent="0.2">
      <c r="A562" s="606"/>
      <c r="B562" s="606"/>
      <c r="C562" s="607"/>
      <c r="D562" s="608"/>
      <c r="E562" s="608"/>
      <c r="F562" s="608"/>
      <c r="G562" s="608"/>
      <c r="H562" s="609"/>
      <c r="I562" s="650"/>
      <c r="J562" s="651"/>
      <c r="K562" s="650"/>
      <c r="L562" s="650"/>
      <c r="M562" s="650"/>
      <c r="N562" s="650"/>
      <c r="O562" s="650"/>
      <c r="P562" s="651"/>
      <c r="Q562" s="650"/>
      <c r="R562" s="650"/>
      <c r="S562" s="652"/>
      <c r="T562" s="606"/>
      <c r="U562" s="606"/>
      <c r="V562" s="19"/>
      <c r="W562" s="19"/>
      <c r="X562" s="19"/>
    </row>
    <row r="563" spans="1:24" ht="11.25" customHeight="1" outlineLevel="2" x14ac:dyDescent="0.2">
      <c r="A563" s="606"/>
      <c r="B563" s="606"/>
      <c r="C563" s="607"/>
      <c r="D563" s="608"/>
      <c r="E563" s="608"/>
      <c r="F563" s="608"/>
      <c r="G563" s="608"/>
      <c r="H563" s="609"/>
      <c r="I563" s="650"/>
      <c r="J563" s="651"/>
      <c r="K563" s="650"/>
      <c r="L563" s="650"/>
      <c r="M563" s="650"/>
      <c r="N563" s="650"/>
      <c r="O563" s="650"/>
      <c r="P563" s="651"/>
      <c r="Q563" s="650"/>
      <c r="R563" s="650"/>
      <c r="S563" s="652"/>
      <c r="T563" s="606"/>
      <c r="U563" s="606"/>
      <c r="V563" s="19"/>
      <c r="W563" s="19"/>
      <c r="X563" s="19"/>
    </row>
    <row r="564" spans="1:24" ht="11.25" customHeight="1" outlineLevel="2" x14ac:dyDescent="0.2">
      <c r="A564" s="606"/>
      <c r="B564" s="606"/>
      <c r="C564" s="607"/>
      <c r="D564" s="608"/>
      <c r="E564" s="608"/>
      <c r="F564" s="608"/>
      <c r="G564" s="608"/>
      <c r="H564" s="609"/>
      <c r="I564" s="650"/>
      <c r="J564" s="651"/>
      <c r="K564" s="650"/>
      <c r="L564" s="650"/>
      <c r="M564" s="650"/>
      <c r="N564" s="650"/>
      <c r="O564" s="650"/>
      <c r="P564" s="651"/>
      <c r="Q564" s="650"/>
      <c r="R564" s="650"/>
      <c r="S564" s="652"/>
      <c r="T564" s="606"/>
      <c r="U564" s="606"/>
      <c r="V564" s="19"/>
      <c r="W564" s="19"/>
      <c r="X564" s="19"/>
    </row>
    <row r="565" spans="1:24" ht="11.25" customHeight="1" outlineLevel="2" x14ac:dyDescent="0.2">
      <c r="A565" s="606"/>
      <c r="B565" s="606"/>
      <c r="C565" s="607"/>
      <c r="D565" s="608"/>
      <c r="E565" s="608"/>
      <c r="F565" s="608"/>
      <c r="G565" s="608"/>
      <c r="H565" s="609"/>
      <c r="I565" s="650"/>
      <c r="J565" s="651"/>
      <c r="K565" s="650"/>
      <c r="L565" s="650"/>
      <c r="M565" s="650"/>
      <c r="N565" s="650"/>
      <c r="O565" s="650"/>
      <c r="P565" s="651"/>
      <c r="Q565" s="650"/>
      <c r="R565" s="650"/>
      <c r="S565" s="652"/>
      <c r="T565" s="606"/>
      <c r="U565" s="606"/>
      <c r="V565" s="19"/>
      <c r="W565" s="19"/>
      <c r="X565" s="19"/>
    </row>
    <row r="566" spans="1:24" ht="11.25" customHeight="1" outlineLevel="2" x14ac:dyDescent="0.2">
      <c r="A566" s="606"/>
      <c r="B566" s="606"/>
      <c r="C566" s="607"/>
      <c r="D566" s="608"/>
      <c r="E566" s="608"/>
      <c r="F566" s="608"/>
      <c r="G566" s="608"/>
      <c r="H566" s="609"/>
      <c r="I566" s="650"/>
      <c r="J566" s="651"/>
      <c r="K566" s="650"/>
      <c r="L566" s="650"/>
      <c r="M566" s="650"/>
      <c r="N566" s="650"/>
      <c r="O566" s="650"/>
      <c r="P566" s="651"/>
      <c r="Q566" s="650"/>
      <c r="R566" s="650"/>
      <c r="S566" s="652"/>
      <c r="T566" s="606"/>
      <c r="U566" s="606"/>
      <c r="V566" s="19"/>
      <c r="W566" s="19"/>
      <c r="X566" s="19"/>
    </row>
    <row r="567" spans="1:24" ht="11.25" customHeight="1" outlineLevel="2" x14ac:dyDescent="0.2">
      <c r="A567" s="606"/>
      <c r="B567" s="606"/>
      <c r="C567" s="607"/>
      <c r="D567" s="608"/>
      <c r="E567" s="608"/>
      <c r="F567" s="608"/>
      <c r="G567" s="608"/>
      <c r="H567" s="609"/>
      <c r="I567" s="650"/>
      <c r="J567" s="651"/>
      <c r="K567" s="650"/>
      <c r="L567" s="650"/>
      <c r="M567" s="650"/>
      <c r="N567" s="650"/>
      <c r="O567" s="650"/>
      <c r="P567" s="651"/>
      <c r="Q567" s="650"/>
      <c r="R567" s="650"/>
      <c r="S567" s="652"/>
      <c r="T567" s="606"/>
      <c r="U567" s="606"/>
      <c r="V567" s="19"/>
      <c r="W567" s="19"/>
      <c r="X567" s="19"/>
    </row>
    <row r="568" spans="1:24" ht="11.25" customHeight="1" outlineLevel="2" x14ac:dyDescent="0.2">
      <c r="A568" s="606"/>
      <c r="B568" s="606"/>
      <c r="C568" s="607"/>
      <c r="D568" s="608"/>
      <c r="E568" s="608"/>
      <c r="F568" s="608"/>
      <c r="G568" s="608"/>
      <c r="H568" s="609"/>
      <c r="I568" s="650"/>
      <c r="J568" s="651"/>
      <c r="K568" s="650"/>
      <c r="L568" s="650"/>
      <c r="M568" s="650"/>
      <c r="N568" s="650"/>
      <c r="O568" s="650"/>
      <c r="P568" s="651"/>
      <c r="Q568" s="650"/>
      <c r="R568" s="650"/>
      <c r="S568" s="652"/>
      <c r="T568" s="606"/>
      <c r="U568" s="606"/>
      <c r="V568" s="19"/>
      <c r="W568" s="19"/>
      <c r="X568" s="19"/>
    </row>
    <row r="569" spans="1:24" ht="11.25" customHeight="1" outlineLevel="2" x14ac:dyDescent="0.2">
      <c r="A569" s="606"/>
      <c r="B569" s="606"/>
      <c r="C569" s="607"/>
      <c r="D569" s="608"/>
      <c r="E569" s="608"/>
      <c r="F569" s="608"/>
      <c r="G569" s="608"/>
      <c r="H569" s="609"/>
      <c r="I569" s="650"/>
      <c r="J569" s="651"/>
      <c r="K569" s="650"/>
      <c r="L569" s="650"/>
      <c r="M569" s="650"/>
      <c r="N569" s="650"/>
      <c r="O569" s="650"/>
      <c r="P569" s="651"/>
      <c r="Q569" s="650"/>
      <c r="R569" s="650"/>
      <c r="S569" s="652"/>
      <c r="T569" s="606"/>
      <c r="U569" s="606"/>
      <c r="V569" s="19"/>
      <c r="W569" s="19"/>
      <c r="X569" s="19"/>
    </row>
    <row r="570" spans="1:24" ht="11.25" hidden="1" customHeight="1" outlineLevel="3" x14ac:dyDescent="0.2">
      <c r="A570" s="606"/>
      <c r="B570" s="606"/>
      <c r="C570" s="607"/>
      <c r="D570" s="608"/>
      <c r="E570" s="608"/>
      <c r="F570" s="608"/>
      <c r="G570" s="608"/>
      <c r="H570" s="609"/>
      <c r="I570" s="650"/>
      <c r="J570" s="651"/>
      <c r="K570" s="650"/>
      <c r="L570" s="650"/>
      <c r="M570" s="650"/>
      <c r="N570" s="650"/>
      <c r="O570" s="650"/>
      <c r="P570" s="651"/>
      <c r="Q570" s="650"/>
      <c r="R570" s="650"/>
      <c r="S570" s="652"/>
      <c r="T570" s="606"/>
      <c r="U570" s="606"/>
      <c r="V570" s="19"/>
      <c r="W570" s="19"/>
      <c r="X570" s="19"/>
    </row>
    <row r="571" spans="1:24" ht="11.25" hidden="1" customHeight="1" outlineLevel="3" x14ac:dyDescent="0.2">
      <c r="A571" s="606"/>
      <c r="B571" s="606"/>
      <c r="C571" s="607"/>
      <c r="D571" s="608"/>
      <c r="E571" s="608"/>
      <c r="F571" s="608"/>
      <c r="G571" s="608"/>
      <c r="H571" s="609"/>
      <c r="I571" s="650"/>
      <c r="J571" s="651"/>
      <c r="K571" s="650"/>
      <c r="L571" s="650"/>
      <c r="M571" s="650"/>
      <c r="N571" s="650"/>
      <c r="O571" s="650"/>
      <c r="P571" s="651"/>
      <c r="Q571" s="650"/>
      <c r="R571" s="650"/>
      <c r="S571" s="652"/>
      <c r="T571" s="606"/>
      <c r="U571" s="606"/>
      <c r="V571" s="19"/>
      <c r="W571" s="19"/>
      <c r="X571" s="19"/>
    </row>
    <row r="572" spans="1:24" ht="11.25" hidden="1" customHeight="1" outlineLevel="3" x14ac:dyDescent="0.2">
      <c r="A572" s="606"/>
      <c r="B572" s="606"/>
      <c r="C572" s="607"/>
      <c r="D572" s="608"/>
      <c r="E572" s="608"/>
      <c r="F572" s="608"/>
      <c r="G572" s="608"/>
      <c r="H572" s="609"/>
      <c r="I572" s="650"/>
      <c r="J572" s="651"/>
      <c r="K572" s="650"/>
      <c r="L572" s="650"/>
      <c r="M572" s="650"/>
      <c r="N572" s="650"/>
      <c r="O572" s="650"/>
      <c r="P572" s="651"/>
      <c r="Q572" s="650"/>
      <c r="R572" s="650"/>
      <c r="S572" s="652"/>
      <c r="T572" s="606"/>
      <c r="U572" s="606"/>
      <c r="V572" s="19"/>
      <c r="W572" s="19"/>
      <c r="X572" s="19"/>
    </row>
    <row r="573" spans="1:24" ht="11.25" hidden="1" customHeight="1" outlineLevel="3" x14ac:dyDescent="0.2">
      <c r="A573" s="606"/>
      <c r="B573" s="606"/>
      <c r="C573" s="607"/>
      <c r="D573" s="608"/>
      <c r="E573" s="608"/>
      <c r="F573" s="608"/>
      <c r="G573" s="608"/>
      <c r="H573" s="609"/>
      <c r="I573" s="650"/>
      <c r="J573" s="651"/>
      <c r="K573" s="650"/>
      <c r="L573" s="650"/>
      <c r="M573" s="650"/>
      <c r="N573" s="650"/>
      <c r="O573" s="650"/>
      <c r="P573" s="651"/>
      <c r="Q573" s="650"/>
      <c r="R573" s="650"/>
      <c r="S573" s="652"/>
      <c r="T573" s="606"/>
      <c r="U573" s="606"/>
      <c r="V573" s="19"/>
      <c r="W573" s="19"/>
      <c r="X573" s="19"/>
    </row>
    <row r="574" spans="1:24" ht="11.25" hidden="1" customHeight="1" outlineLevel="3" x14ac:dyDescent="0.2">
      <c r="A574" s="606"/>
      <c r="B574" s="606"/>
      <c r="C574" s="607"/>
      <c r="D574" s="608"/>
      <c r="E574" s="608"/>
      <c r="F574" s="608"/>
      <c r="G574" s="608"/>
      <c r="H574" s="609"/>
      <c r="I574" s="650"/>
      <c r="J574" s="651"/>
      <c r="K574" s="650"/>
      <c r="L574" s="650"/>
      <c r="M574" s="650"/>
      <c r="N574" s="650"/>
      <c r="O574" s="650"/>
      <c r="P574" s="651"/>
      <c r="Q574" s="650"/>
      <c r="R574" s="650"/>
      <c r="S574" s="652"/>
      <c r="T574" s="606"/>
      <c r="U574" s="606"/>
      <c r="V574" s="19"/>
      <c r="W574" s="19"/>
      <c r="X574" s="19"/>
    </row>
    <row r="575" spans="1:24" ht="11.25" hidden="1" customHeight="1" outlineLevel="3" x14ac:dyDescent="0.2">
      <c r="A575" s="606"/>
      <c r="B575" s="606"/>
      <c r="C575" s="607"/>
      <c r="D575" s="608"/>
      <c r="E575" s="608"/>
      <c r="F575" s="608"/>
      <c r="G575" s="608"/>
      <c r="H575" s="609"/>
      <c r="I575" s="650"/>
      <c r="J575" s="651"/>
      <c r="K575" s="650"/>
      <c r="L575" s="650"/>
      <c r="M575" s="650"/>
      <c r="N575" s="650"/>
      <c r="O575" s="650"/>
      <c r="P575" s="651"/>
      <c r="Q575" s="650"/>
      <c r="R575" s="650"/>
      <c r="S575" s="652"/>
      <c r="T575" s="606"/>
      <c r="U575" s="606"/>
      <c r="V575" s="19"/>
      <c r="W575" s="19"/>
      <c r="X575" s="19"/>
    </row>
    <row r="576" spans="1:24" ht="11.25" hidden="1" customHeight="1" outlineLevel="3" x14ac:dyDescent="0.2">
      <c r="A576" s="606"/>
      <c r="B576" s="606"/>
      <c r="C576" s="607"/>
      <c r="D576" s="608"/>
      <c r="E576" s="608"/>
      <c r="F576" s="608"/>
      <c r="G576" s="608"/>
      <c r="H576" s="609"/>
      <c r="I576" s="650"/>
      <c r="J576" s="651"/>
      <c r="K576" s="650"/>
      <c r="L576" s="650"/>
      <c r="M576" s="650"/>
      <c r="N576" s="650"/>
      <c r="O576" s="650"/>
      <c r="P576" s="651"/>
      <c r="Q576" s="650"/>
      <c r="R576" s="650"/>
      <c r="S576" s="652"/>
      <c r="T576" s="606"/>
      <c r="U576" s="606"/>
      <c r="V576" s="19"/>
      <c r="W576" s="19"/>
      <c r="X576" s="19"/>
    </row>
    <row r="577" spans="1:24" ht="11.25" hidden="1" customHeight="1" outlineLevel="3" x14ac:dyDescent="0.2">
      <c r="A577" s="606"/>
      <c r="B577" s="606"/>
      <c r="C577" s="607"/>
      <c r="D577" s="608"/>
      <c r="E577" s="608"/>
      <c r="F577" s="608"/>
      <c r="G577" s="608"/>
      <c r="H577" s="609"/>
      <c r="I577" s="650"/>
      <c r="J577" s="651"/>
      <c r="K577" s="650"/>
      <c r="L577" s="650"/>
      <c r="M577" s="650"/>
      <c r="N577" s="650"/>
      <c r="O577" s="650"/>
      <c r="P577" s="651"/>
      <c r="Q577" s="650"/>
      <c r="R577" s="650"/>
      <c r="S577" s="652"/>
      <c r="T577" s="606"/>
      <c r="U577" s="606"/>
      <c r="V577" s="19"/>
      <c r="W577" s="19"/>
      <c r="X577" s="19"/>
    </row>
    <row r="578" spans="1:24" ht="11.25" hidden="1" customHeight="1" outlineLevel="3" x14ac:dyDescent="0.2">
      <c r="A578" s="606"/>
      <c r="B578" s="606"/>
      <c r="C578" s="607"/>
      <c r="D578" s="608"/>
      <c r="E578" s="608"/>
      <c r="F578" s="608"/>
      <c r="G578" s="608"/>
      <c r="H578" s="609"/>
      <c r="I578" s="650"/>
      <c r="J578" s="651"/>
      <c r="K578" s="650"/>
      <c r="L578" s="650"/>
      <c r="M578" s="650"/>
      <c r="N578" s="650"/>
      <c r="O578" s="650"/>
      <c r="P578" s="651"/>
      <c r="Q578" s="650"/>
      <c r="R578" s="650"/>
      <c r="S578" s="652"/>
      <c r="T578" s="606"/>
      <c r="U578" s="606"/>
      <c r="V578" s="19"/>
      <c r="W578" s="19"/>
      <c r="X578" s="19"/>
    </row>
    <row r="579" spans="1:24" ht="11.25" hidden="1" customHeight="1" outlineLevel="3" x14ac:dyDescent="0.2">
      <c r="A579" s="606"/>
      <c r="B579" s="606"/>
      <c r="C579" s="607"/>
      <c r="D579" s="608"/>
      <c r="E579" s="608"/>
      <c r="F579" s="608"/>
      <c r="G579" s="608"/>
      <c r="H579" s="609"/>
      <c r="I579" s="650"/>
      <c r="J579" s="651"/>
      <c r="K579" s="650"/>
      <c r="L579" s="650"/>
      <c r="M579" s="650"/>
      <c r="N579" s="650"/>
      <c r="O579" s="650"/>
      <c r="P579" s="651"/>
      <c r="Q579" s="650"/>
      <c r="R579" s="650"/>
      <c r="S579" s="652"/>
      <c r="T579" s="606"/>
      <c r="U579" s="606"/>
      <c r="V579" s="19"/>
      <c r="W579" s="19"/>
      <c r="X579" s="19"/>
    </row>
    <row r="580" spans="1:24" ht="11.25" hidden="1" customHeight="1" outlineLevel="3" x14ac:dyDescent="0.2">
      <c r="A580" s="606"/>
      <c r="B580" s="606"/>
      <c r="C580" s="607"/>
      <c r="D580" s="608"/>
      <c r="E580" s="608"/>
      <c r="F580" s="608"/>
      <c r="G580" s="608"/>
      <c r="H580" s="609"/>
      <c r="I580" s="650"/>
      <c r="J580" s="651"/>
      <c r="K580" s="650"/>
      <c r="L580" s="650"/>
      <c r="M580" s="650"/>
      <c r="N580" s="650"/>
      <c r="O580" s="650"/>
      <c r="P580" s="651"/>
      <c r="Q580" s="650"/>
      <c r="R580" s="650"/>
      <c r="S580" s="652"/>
      <c r="T580" s="606"/>
      <c r="U580" s="606"/>
      <c r="V580" s="19"/>
      <c r="W580" s="19"/>
      <c r="X580" s="19"/>
    </row>
    <row r="581" spans="1:24" ht="11.25" hidden="1" customHeight="1" outlineLevel="3" x14ac:dyDescent="0.2">
      <c r="A581" s="606"/>
      <c r="B581" s="606"/>
      <c r="C581" s="607"/>
      <c r="D581" s="608"/>
      <c r="E581" s="608"/>
      <c r="F581" s="608"/>
      <c r="G581" s="608"/>
      <c r="H581" s="609"/>
      <c r="I581" s="650"/>
      <c r="J581" s="651"/>
      <c r="K581" s="650"/>
      <c r="L581" s="650"/>
      <c r="M581" s="650"/>
      <c r="N581" s="650"/>
      <c r="O581" s="650"/>
      <c r="P581" s="651"/>
      <c r="Q581" s="650"/>
      <c r="R581" s="650"/>
      <c r="S581" s="652"/>
      <c r="T581" s="606"/>
      <c r="U581" s="606"/>
      <c r="V581" s="19"/>
      <c r="W581" s="19"/>
      <c r="X581" s="19"/>
    </row>
    <row r="582" spans="1:24" ht="11.25" hidden="1" customHeight="1" outlineLevel="3" x14ac:dyDescent="0.2">
      <c r="A582" s="606"/>
      <c r="B582" s="606"/>
      <c r="C582" s="607"/>
      <c r="D582" s="608"/>
      <c r="E582" s="608"/>
      <c r="F582" s="608"/>
      <c r="G582" s="608"/>
      <c r="H582" s="609"/>
      <c r="I582" s="650"/>
      <c r="J582" s="651"/>
      <c r="K582" s="650"/>
      <c r="L582" s="650"/>
      <c r="M582" s="650"/>
      <c r="N582" s="650"/>
      <c r="O582" s="650"/>
      <c r="P582" s="651"/>
      <c r="Q582" s="650"/>
      <c r="R582" s="650"/>
      <c r="S582" s="652"/>
      <c r="T582" s="606"/>
      <c r="U582" s="606"/>
      <c r="V582" s="19"/>
      <c r="W582" s="19"/>
      <c r="X582" s="19"/>
    </row>
    <row r="583" spans="1:24" ht="11.25" hidden="1" customHeight="1" outlineLevel="3" x14ac:dyDescent="0.2">
      <c r="A583" s="606"/>
      <c r="B583" s="606"/>
      <c r="C583" s="607"/>
      <c r="D583" s="608"/>
      <c r="E583" s="608"/>
      <c r="F583" s="608"/>
      <c r="G583" s="608"/>
      <c r="H583" s="609"/>
      <c r="I583" s="650"/>
      <c r="J583" s="651"/>
      <c r="K583" s="650"/>
      <c r="L583" s="650"/>
      <c r="M583" s="650"/>
      <c r="N583" s="650"/>
      <c r="O583" s="650"/>
      <c r="P583" s="651"/>
      <c r="Q583" s="650"/>
      <c r="R583" s="650"/>
      <c r="S583" s="652"/>
      <c r="T583" s="606"/>
      <c r="U583" s="606"/>
      <c r="V583" s="19"/>
      <c r="W583" s="19"/>
      <c r="X583" s="19"/>
    </row>
    <row r="584" spans="1:24" ht="11.25" hidden="1" customHeight="1" outlineLevel="3" x14ac:dyDescent="0.2">
      <c r="A584" s="606"/>
      <c r="B584" s="606"/>
      <c r="C584" s="607"/>
      <c r="D584" s="608"/>
      <c r="E584" s="608"/>
      <c r="F584" s="608"/>
      <c r="G584" s="608"/>
      <c r="H584" s="609"/>
      <c r="I584" s="650"/>
      <c r="J584" s="651"/>
      <c r="K584" s="650"/>
      <c r="L584" s="650"/>
      <c r="M584" s="650"/>
      <c r="N584" s="650"/>
      <c r="O584" s="650"/>
      <c r="P584" s="651"/>
      <c r="Q584" s="650"/>
      <c r="R584" s="650"/>
      <c r="S584" s="652"/>
      <c r="T584" s="606"/>
      <c r="U584" s="606"/>
      <c r="V584" s="19"/>
      <c r="W584" s="19"/>
      <c r="X584" s="19"/>
    </row>
    <row r="585" spans="1:24" ht="11.25" hidden="1" customHeight="1" outlineLevel="3" x14ac:dyDescent="0.2">
      <c r="A585" s="606"/>
      <c r="B585" s="606"/>
      <c r="C585" s="607"/>
      <c r="D585" s="608"/>
      <c r="E585" s="608"/>
      <c r="F585" s="608"/>
      <c r="G585" s="608"/>
      <c r="H585" s="609"/>
      <c r="I585" s="650"/>
      <c r="J585" s="651"/>
      <c r="K585" s="650"/>
      <c r="L585" s="650"/>
      <c r="M585" s="650"/>
      <c r="N585" s="650"/>
      <c r="O585" s="650"/>
      <c r="P585" s="651"/>
      <c r="Q585" s="650"/>
      <c r="R585" s="650"/>
      <c r="S585" s="652"/>
      <c r="T585" s="606"/>
      <c r="U585" s="606"/>
      <c r="V585" s="19"/>
      <c r="W585" s="19"/>
      <c r="X585" s="19"/>
    </row>
    <row r="586" spans="1:24" ht="11.25" hidden="1" customHeight="1" outlineLevel="3" x14ac:dyDescent="0.2">
      <c r="A586" s="606"/>
      <c r="B586" s="606"/>
      <c r="C586" s="607"/>
      <c r="D586" s="608"/>
      <c r="E586" s="608"/>
      <c r="F586" s="608"/>
      <c r="G586" s="608"/>
      <c r="H586" s="609"/>
      <c r="I586" s="650"/>
      <c r="J586" s="651"/>
      <c r="K586" s="650"/>
      <c r="L586" s="650"/>
      <c r="M586" s="650"/>
      <c r="N586" s="650"/>
      <c r="O586" s="650"/>
      <c r="P586" s="651"/>
      <c r="Q586" s="650"/>
      <c r="R586" s="650"/>
      <c r="S586" s="652"/>
      <c r="T586" s="606"/>
      <c r="U586" s="606"/>
      <c r="V586" s="19"/>
      <c r="W586" s="19"/>
      <c r="X586" s="19"/>
    </row>
    <row r="587" spans="1:24" ht="11.25" hidden="1" customHeight="1" outlineLevel="3" x14ac:dyDescent="0.2">
      <c r="A587" s="606"/>
      <c r="B587" s="606"/>
      <c r="C587" s="607"/>
      <c r="D587" s="608"/>
      <c r="E587" s="608"/>
      <c r="F587" s="608"/>
      <c r="G587" s="608"/>
      <c r="H587" s="609"/>
      <c r="I587" s="650"/>
      <c r="J587" s="651"/>
      <c r="K587" s="650"/>
      <c r="L587" s="650"/>
      <c r="M587" s="650"/>
      <c r="N587" s="650"/>
      <c r="O587" s="650"/>
      <c r="P587" s="651"/>
      <c r="Q587" s="650"/>
      <c r="R587" s="650"/>
      <c r="S587" s="652"/>
      <c r="T587" s="606"/>
      <c r="U587" s="606"/>
      <c r="V587" s="19"/>
      <c r="W587" s="19"/>
      <c r="X587" s="19"/>
    </row>
    <row r="588" spans="1:24" ht="11.25" hidden="1" customHeight="1" outlineLevel="3" x14ac:dyDescent="0.2">
      <c r="A588" s="606"/>
      <c r="B588" s="606"/>
      <c r="C588" s="607"/>
      <c r="D588" s="608"/>
      <c r="E588" s="608"/>
      <c r="F588" s="608"/>
      <c r="G588" s="608"/>
      <c r="H588" s="609"/>
      <c r="I588" s="650"/>
      <c r="J588" s="651"/>
      <c r="K588" s="650"/>
      <c r="L588" s="650"/>
      <c r="M588" s="650"/>
      <c r="N588" s="650"/>
      <c r="O588" s="650"/>
      <c r="P588" s="651"/>
      <c r="Q588" s="650"/>
      <c r="R588" s="650"/>
      <c r="S588" s="652"/>
      <c r="T588" s="606"/>
      <c r="U588" s="606"/>
      <c r="V588" s="19"/>
      <c r="W588" s="19"/>
      <c r="X588" s="19"/>
    </row>
    <row r="589" spans="1:24" ht="11.25" hidden="1" customHeight="1" outlineLevel="3" x14ac:dyDescent="0.2">
      <c r="A589" s="606"/>
      <c r="B589" s="606"/>
      <c r="C589" s="607"/>
      <c r="D589" s="608"/>
      <c r="E589" s="608"/>
      <c r="F589" s="608"/>
      <c r="G589" s="608"/>
      <c r="H589" s="609"/>
      <c r="I589" s="650"/>
      <c r="J589" s="651"/>
      <c r="K589" s="650"/>
      <c r="L589" s="650"/>
      <c r="M589" s="650"/>
      <c r="N589" s="650"/>
      <c r="O589" s="650"/>
      <c r="P589" s="651"/>
      <c r="Q589" s="650"/>
      <c r="R589" s="650"/>
      <c r="S589" s="652"/>
      <c r="T589" s="606"/>
      <c r="U589" s="606"/>
      <c r="V589" s="19"/>
      <c r="W589" s="19"/>
      <c r="X589" s="19"/>
    </row>
    <row r="590" spans="1:24" ht="11.25" hidden="1" customHeight="1" outlineLevel="3" x14ac:dyDescent="0.2">
      <c r="A590" s="606"/>
      <c r="B590" s="606"/>
      <c r="C590" s="607"/>
      <c r="D590" s="608"/>
      <c r="E590" s="608"/>
      <c r="F590" s="608"/>
      <c r="G590" s="608"/>
      <c r="H590" s="609"/>
      <c r="I590" s="650"/>
      <c r="J590" s="651"/>
      <c r="K590" s="650"/>
      <c r="L590" s="650"/>
      <c r="M590" s="650"/>
      <c r="N590" s="650"/>
      <c r="O590" s="650"/>
      <c r="P590" s="651"/>
      <c r="Q590" s="650"/>
      <c r="R590" s="650"/>
      <c r="S590" s="652"/>
      <c r="T590" s="606"/>
      <c r="U590" s="606"/>
      <c r="V590" s="19"/>
      <c r="W590" s="19"/>
      <c r="X590" s="19"/>
    </row>
    <row r="591" spans="1:24" ht="11.25" hidden="1" customHeight="1" outlineLevel="3" x14ac:dyDescent="0.2">
      <c r="A591" s="606"/>
      <c r="B591" s="606"/>
      <c r="C591" s="607"/>
      <c r="D591" s="608"/>
      <c r="E591" s="608"/>
      <c r="F591" s="608"/>
      <c r="G591" s="608"/>
      <c r="H591" s="609"/>
      <c r="I591" s="650"/>
      <c r="J591" s="651"/>
      <c r="K591" s="650"/>
      <c r="L591" s="650"/>
      <c r="M591" s="650"/>
      <c r="N591" s="650"/>
      <c r="O591" s="650"/>
      <c r="P591" s="651"/>
      <c r="Q591" s="650"/>
      <c r="R591" s="650"/>
      <c r="S591" s="652"/>
      <c r="T591" s="606"/>
      <c r="U591" s="606"/>
      <c r="V591" s="19"/>
      <c r="W591" s="19"/>
      <c r="X591" s="19"/>
    </row>
    <row r="592" spans="1:24" ht="11.25" hidden="1" customHeight="1" outlineLevel="3" x14ac:dyDescent="0.2">
      <c r="A592" s="606"/>
      <c r="B592" s="606"/>
      <c r="C592" s="607"/>
      <c r="D592" s="608"/>
      <c r="E592" s="608"/>
      <c r="F592" s="608"/>
      <c r="G592" s="608"/>
      <c r="H592" s="609"/>
      <c r="I592" s="650"/>
      <c r="J592" s="651"/>
      <c r="K592" s="650"/>
      <c r="L592" s="650"/>
      <c r="M592" s="650"/>
      <c r="N592" s="650"/>
      <c r="O592" s="650"/>
      <c r="P592" s="651"/>
      <c r="Q592" s="650"/>
      <c r="R592" s="650"/>
      <c r="S592" s="652"/>
      <c r="T592" s="606"/>
      <c r="U592" s="606"/>
      <c r="V592" s="19"/>
      <c r="W592" s="19"/>
      <c r="X592" s="19"/>
    </row>
    <row r="593" spans="1:24" ht="11.25" hidden="1" customHeight="1" outlineLevel="3" x14ac:dyDescent="0.2">
      <c r="A593" s="606"/>
      <c r="B593" s="606"/>
      <c r="C593" s="607"/>
      <c r="D593" s="608"/>
      <c r="E593" s="608"/>
      <c r="F593" s="608"/>
      <c r="G593" s="608"/>
      <c r="H593" s="609"/>
      <c r="I593" s="650"/>
      <c r="J593" s="651"/>
      <c r="K593" s="650"/>
      <c r="L593" s="650"/>
      <c r="M593" s="650"/>
      <c r="N593" s="650"/>
      <c r="O593" s="650"/>
      <c r="P593" s="651"/>
      <c r="Q593" s="650"/>
      <c r="R593" s="650"/>
      <c r="S593" s="652"/>
      <c r="T593" s="606"/>
      <c r="U593" s="606"/>
      <c r="V593" s="19"/>
      <c r="W593" s="19"/>
      <c r="X593" s="19"/>
    </row>
    <row r="594" spans="1:24" ht="11.25" hidden="1" customHeight="1" outlineLevel="3" x14ac:dyDescent="0.2">
      <c r="A594" s="606"/>
      <c r="B594" s="606"/>
      <c r="C594" s="607"/>
      <c r="D594" s="608"/>
      <c r="E594" s="608"/>
      <c r="F594" s="608"/>
      <c r="G594" s="608"/>
      <c r="H594" s="609"/>
      <c r="I594" s="650"/>
      <c r="J594" s="651"/>
      <c r="K594" s="650"/>
      <c r="L594" s="650"/>
      <c r="M594" s="650"/>
      <c r="N594" s="650"/>
      <c r="O594" s="650"/>
      <c r="P594" s="651"/>
      <c r="Q594" s="650"/>
      <c r="R594" s="650"/>
      <c r="S594" s="652"/>
      <c r="T594" s="606"/>
      <c r="U594" s="606"/>
      <c r="V594" s="19"/>
      <c r="W594" s="19"/>
      <c r="X594" s="19"/>
    </row>
    <row r="595" spans="1:24" ht="11.25" hidden="1" customHeight="1" outlineLevel="3" x14ac:dyDescent="0.2">
      <c r="A595" s="606"/>
      <c r="B595" s="606"/>
      <c r="C595" s="607"/>
      <c r="D595" s="608"/>
      <c r="E595" s="608"/>
      <c r="F595" s="608"/>
      <c r="G595" s="608"/>
      <c r="H595" s="609"/>
      <c r="I595" s="650"/>
      <c r="J595" s="651"/>
      <c r="K595" s="650"/>
      <c r="L595" s="650"/>
      <c r="M595" s="650"/>
      <c r="N595" s="650"/>
      <c r="O595" s="650"/>
      <c r="P595" s="651"/>
      <c r="Q595" s="650"/>
      <c r="R595" s="650"/>
      <c r="S595" s="652"/>
      <c r="T595" s="606"/>
      <c r="U595" s="606"/>
      <c r="V595" s="19"/>
      <c r="W595" s="19"/>
      <c r="X595" s="19"/>
    </row>
    <row r="596" spans="1:24" ht="11.25" hidden="1" customHeight="1" outlineLevel="3" x14ac:dyDescent="0.2">
      <c r="A596" s="606"/>
      <c r="B596" s="606"/>
      <c r="C596" s="607"/>
      <c r="D596" s="608"/>
      <c r="E596" s="608"/>
      <c r="F596" s="608"/>
      <c r="G596" s="608"/>
      <c r="H596" s="609"/>
      <c r="I596" s="650"/>
      <c r="J596" s="651"/>
      <c r="K596" s="650"/>
      <c r="L596" s="650"/>
      <c r="M596" s="650"/>
      <c r="N596" s="650"/>
      <c r="O596" s="650"/>
      <c r="P596" s="651"/>
      <c r="Q596" s="650"/>
      <c r="R596" s="650"/>
      <c r="S596" s="652"/>
      <c r="T596" s="606"/>
      <c r="U596" s="606"/>
      <c r="V596" s="19"/>
      <c r="W596" s="19"/>
      <c r="X596" s="19"/>
    </row>
    <row r="597" spans="1:24" ht="11.25" hidden="1" customHeight="1" outlineLevel="3" x14ac:dyDescent="0.2">
      <c r="A597" s="606"/>
      <c r="B597" s="606"/>
      <c r="C597" s="607"/>
      <c r="D597" s="608"/>
      <c r="E597" s="608"/>
      <c r="F597" s="608"/>
      <c r="G597" s="608"/>
      <c r="H597" s="609"/>
      <c r="I597" s="650"/>
      <c r="J597" s="651"/>
      <c r="K597" s="650"/>
      <c r="L597" s="650"/>
      <c r="M597" s="650"/>
      <c r="N597" s="650"/>
      <c r="O597" s="650"/>
      <c r="P597" s="651"/>
      <c r="Q597" s="650"/>
      <c r="R597" s="650"/>
      <c r="S597" s="652"/>
      <c r="T597" s="606"/>
      <c r="U597" s="606"/>
      <c r="V597" s="19"/>
      <c r="W597" s="19"/>
      <c r="X597" s="19"/>
    </row>
    <row r="598" spans="1:24" ht="11.25" hidden="1" customHeight="1" outlineLevel="3" x14ac:dyDescent="0.2">
      <c r="A598" s="606"/>
      <c r="B598" s="606"/>
      <c r="C598" s="607"/>
      <c r="D598" s="608"/>
      <c r="E598" s="608"/>
      <c r="F598" s="608"/>
      <c r="G598" s="608"/>
      <c r="H598" s="609"/>
      <c r="I598" s="650"/>
      <c r="J598" s="651"/>
      <c r="K598" s="650"/>
      <c r="L598" s="650"/>
      <c r="M598" s="650"/>
      <c r="N598" s="650"/>
      <c r="O598" s="650"/>
      <c r="P598" s="651"/>
      <c r="Q598" s="650"/>
      <c r="R598" s="650"/>
      <c r="S598" s="652"/>
      <c r="T598" s="606"/>
      <c r="U598" s="606"/>
      <c r="V598" s="19"/>
      <c r="W598" s="19"/>
      <c r="X598" s="19"/>
    </row>
    <row r="599" spans="1:24" ht="11.25" hidden="1" customHeight="1" outlineLevel="3" x14ac:dyDescent="0.2">
      <c r="A599" s="606"/>
      <c r="B599" s="606"/>
      <c r="C599" s="607"/>
      <c r="D599" s="608"/>
      <c r="E599" s="608"/>
      <c r="F599" s="608"/>
      <c r="G599" s="608"/>
      <c r="H599" s="609"/>
      <c r="I599" s="650"/>
      <c r="J599" s="651"/>
      <c r="K599" s="650"/>
      <c r="L599" s="650"/>
      <c r="M599" s="650"/>
      <c r="N599" s="650"/>
      <c r="O599" s="650"/>
      <c r="P599" s="651"/>
      <c r="Q599" s="650"/>
      <c r="R599" s="650"/>
      <c r="S599" s="652"/>
      <c r="T599" s="606"/>
      <c r="U599" s="606"/>
      <c r="V599" s="19"/>
      <c r="W599" s="19"/>
      <c r="X599" s="19"/>
    </row>
    <row r="600" spans="1:24" ht="11.25" hidden="1" customHeight="1" outlineLevel="3" x14ac:dyDescent="0.2">
      <c r="A600" s="606"/>
      <c r="B600" s="606"/>
      <c r="C600" s="607"/>
      <c r="D600" s="608"/>
      <c r="E600" s="608"/>
      <c r="F600" s="608"/>
      <c r="G600" s="608"/>
      <c r="H600" s="609"/>
      <c r="I600" s="650"/>
      <c r="J600" s="651"/>
      <c r="K600" s="650"/>
      <c r="L600" s="650"/>
      <c r="M600" s="650"/>
      <c r="N600" s="650"/>
      <c r="O600" s="650"/>
      <c r="P600" s="651"/>
      <c r="Q600" s="650"/>
      <c r="R600" s="650"/>
      <c r="S600" s="652"/>
      <c r="T600" s="606"/>
      <c r="U600" s="606"/>
      <c r="V600" s="19"/>
      <c r="W600" s="19"/>
      <c r="X600" s="19"/>
    </row>
    <row r="601" spans="1:24" ht="11.25" hidden="1" customHeight="1" outlineLevel="3" x14ac:dyDescent="0.2">
      <c r="A601" s="606"/>
      <c r="B601" s="606"/>
      <c r="C601" s="607"/>
      <c r="D601" s="608"/>
      <c r="E601" s="608"/>
      <c r="F601" s="608"/>
      <c r="G601" s="608"/>
      <c r="H601" s="609"/>
      <c r="I601" s="650"/>
      <c r="J601" s="651"/>
      <c r="K601" s="650"/>
      <c r="L601" s="650"/>
      <c r="M601" s="650"/>
      <c r="N601" s="650"/>
      <c r="O601" s="650"/>
      <c r="P601" s="651"/>
      <c r="Q601" s="650"/>
      <c r="R601" s="650"/>
      <c r="S601" s="652"/>
      <c r="T601" s="606"/>
      <c r="U601" s="606"/>
      <c r="V601" s="19"/>
      <c r="W601" s="19"/>
      <c r="X601" s="19"/>
    </row>
    <row r="602" spans="1:24" ht="11.25" hidden="1" customHeight="1" outlineLevel="3" x14ac:dyDescent="0.2">
      <c r="A602" s="606"/>
      <c r="B602" s="606"/>
      <c r="C602" s="607"/>
      <c r="D602" s="608"/>
      <c r="E602" s="608"/>
      <c r="F602" s="608"/>
      <c r="G602" s="608"/>
      <c r="H602" s="609"/>
      <c r="I602" s="650"/>
      <c r="J602" s="651"/>
      <c r="K602" s="650"/>
      <c r="L602" s="650"/>
      <c r="M602" s="650"/>
      <c r="N602" s="650"/>
      <c r="O602" s="650"/>
      <c r="P602" s="651"/>
      <c r="Q602" s="650"/>
      <c r="R602" s="650"/>
      <c r="S602" s="652"/>
      <c r="T602" s="606"/>
      <c r="U602" s="606"/>
      <c r="V602" s="19"/>
      <c r="W602" s="19"/>
      <c r="X602" s="19"/>
    </row>
    <row r="603" spans="1:24" ht="11.25" hidden="1" customHeight="1" outlineLevel="3" x14ac:dyDescent="0.2">
      <c r="A603" s="606"/>
      <c r="B603" s="606"/>
      <c r="C603" s="607"/>
      <c r="D603" s="608"/>
      <c r="E603" s="608"/>
      <c r="F603" s="608"/>
      <c r="G603" s="608"/>
      <c r="H603" s="609"/>
      <c r="I603" s="650"/>
      <c r="J603" s="651"/>
      <c r="K603" s="650"/>
      <c r="L603" s="650"/>
      <c r="M603" s="650"/>
      <c r="N603" s="650"/>
      <c r="O603" s="650"/>
      <c r="P603" s="651"/>
      <c r="Q603" s="650"/>
      <c r="R603" s="650"/>
      <c r="S603" s="652"/>
      <c r="T603" s="606"/>
      <c r="U603" s="606"/>
      <c r="V603" s="19"/>
      <c r="W603" s="19"/>
      <c r="X603" s="19"/>
    </row>
    <row r="604" spans="1:24" ht="11.25" hidden="1" customHeight="1" outlineLevel="3" x14ac:dyDescent="0.2">
      <c r="A604" s="606"/>
      <c r="B604" s="606"/>
      <c r="C604" s="607"/>
      <c r="D604" s="608"/>
      <c r="E604" s="608"/>
      <c r="F604" s="608"/>
      <c r="G604" s="608"/>
      <c r="H604" s="609"/>
      <c r="I604" s="650"/>
      <c r="J604" s="651"/>
      <c r="K604" s="650"/>
      <c r="L604" s="650"/>
      <c r="M604" s="650"/>
      <c r="N604" s="650"/>
      <c r="O604" s="650"/>
      <c r="P604" s="651"/>
      <c r="Q604" s="650"/>
      <c r="R604" s="650"/>
      <c r="S604" s="652"/>
      <c r="T604" s="606"/>
      <c r="U604" s="606"/>
      <c r="V604" s="19"/>
      <c r="W604" s="19"/>
      <c r="X604" s="19"/>
    </row>
    <row r="605" spans="1:24" ht="11.25" hidden="1" customHeight="1" outlineLevel="3" x14ac:dyDescent="0.2">
      <c r="A605" s="606"/>
      <c r="B605" s="606"/>
      <c r="C605" s="607"/>
      <c r="D605" s="608"/>
      <c r="E605" s="608"/>
      <c r="F605" s="608"/>
      <c r="G605" s="608"/>
      <c r="H605" s="609"/>
      <c r="I605" s="650"/>
      <c r="J605" s="651"/>
      <c r="K605" s="650"/>
      <c r="L605" s="650"/>
      <c r="M605" s="650"/>
      <c r="N605" s="650"/>
      <c r="O605" s="650"/>
      <c r="P605" s="651"/>
      <c r="Q605" s="650"/>
      <c r="R605" s="650"/>
      <c r="S605" s="652"/>
      <c r="T605" s="606"/>
      <c r="U605" s="606"/>
      <c r="V605" s="19"/>
      <c r="W605" s="19"/>
      <c r="X605" s="19"/>
    </row>
    <row r="606" spans="1:24" ht="11.25" hidden="1" customHeight="1" outlineLevel="3" x14ac:dyDescent="0.2">
      <c r="A606" s="606"/>
      <c r="B606" s="606"/>
      <c r="C606" s="607"/>
      <c r="D606" s="608"/>
      <c r="E606" s="608"/>
      <c r="F606" s="608"/>
      <c r="G606" s="608"/>
      <c r="H606" s="609"/>
      <c r="I606" s="650"/>
      <c r="J606" s="651"/>
      <c r="K606" s="650"/>
      <c r="L606" s="650"/>
      <c r="M606" s="650"/>
      <c r="N606" s="650"/>
      <c r="O606" s="650"/>
      <c r="P606" s="651"/>
      <c r="Q606" s="650"/>
      <c r="R606" s="650"/>
      <c r="S606" s="652"/>
      <c r="T606" s="606"/>
      <c r="U606" s="606"/>
      <c r="V606" s="19"/>
      <c r="W606" s="19"/>
      <c r="X606" s="19"/>
    </row>
    <row r="607" spans="1:24" ht="11.25" hidden="1" customHeight="1" outlineLevel="3" x14ac:dyDescent="0.2">
      <c r="A607" s="606"/>
      <c r="B607" s="606"/>
      <c r="C607" s="607"/>
      <c r="D607" s="608"/>
      <c r="E607" s="608"/>
      <c r="F607" s="608"/>
      <c r="G607" s="608"/>
      <c r="H607" s="609"/>
      <c r="I607" s="650"/>
      <c r="J607" s="651"/>
      <c r="K607" s="650"/>
      <c r="L607" s="650"/>
      <c r="M607" s="650"/>
      <c r="N607" s="650"/>
      <c r="O607" s="650"/>
      <c r="P607" s="651"/>
      <c r="Q607" s="650"/>
      <c r="R607" s="650"/>
      <c r="S607" s="652"/>
      <c r="T607" s="606"/>
      <c r="U607" s="606"/>
      <c r="V607" s="19"/>
      <c r="W607" s="19"/>
      <c r="X607" s="19"/>
    </row>
    <row r="608" spans="1:24" ht="11.25" hidden="1" customHeight="1" outlineLevel="3" x14ac:dyDescent="0.2">
      <c r="A608" s="606"/>
      <c r="B608" s="606"/>
      <c r="C608" s="607"/>
      <c r="D608" s="608"/>
      <c r="E608" s="608"/>
      <c r="F608" s="608"/>
      <c r="G608" s="608"/>
      <c r="H608" s="609"/>
      <c r="I608" s="650"/>
      <c r="J608" s="651"/>
      <c r="K608" s="650"/>
      <c r="L608" s="650"/>
      <c r="M608" s="650"/>
      <c r="N608" s="650"/>
      <c r="O608" s="650"/>
      <c r="P608" s="651"/>
      <c r="Q608" s="650"/>
      <c r="R608" s="650"/>
      <c r="S608" s="652"/>
      <c r="T608" s="606"/>
      <c r="U608" s="606"/>
      <c r="V608" s="19"/>
      <c r="W608" s="19"/>
      <c r="X608" s="19"/>
    </row>
    <row r="609" spans="1:24" ht="11.25" hidden="1" customHeight="1" outlineLevel="3" x14ac:dyDescent="0.2">
      <c r="A609" s="606"/>
      <c r="B609" s="606"/>
      <c r="C609" s="607"/>
      <c r="D609" s="608"/>
      <c r="E609" s="608"/>
      <c r="F609" s="608"/>
      <c r="G609" s="608"/>
      <c r="H609" s="609"/>
      <c r="I609" s="650"/>
      <c r="J609" s="651"/>
      <c r="K609" s="650"/>
      <c r="L609" s="650"/>
      <c r="M609" s="650"/>
      <c r="N609" s="650"/>
      <c r="O609" s="650"/>
      <c r="P609" s="651"/>
      <c r="Q609" s="650"/>
      <c r="R609" s="650"/>
      <c r="S609" s="652"/>
      <c r="T609" s="606"/>
      <c r="U609" s="606"/>
      <c r="V609" s="19"/>
      <c r="W609" s="19"/>
      <c r="X609" s="19"/>
    </row>
    <row r="610" spans="1:24" ht="11.25" hidden="1" customHeight="1" outlineLevel="3" x14ac:dyDescent="0.2">
      <c r="A610" s="606"/>
      <c r="B610" s="606"/>
      <c r="C610" s="607"/>
      <c r="D610" s="608"/>
      <c r="E610" s="608"/>
      <c r="F610" s="608"/>
      <c r="G610" s="608"/>
      <c r="H610" s="609"/>
      <c r="I610" s="650"/>
      <c r="J610" s="651"/>
      <c r="K610" s="650"/>
      <c r="L610" s="650"/>
      <c r="M610" s="650"/>
      <c r="N610" s="650"/>
      <c r="O610" s="650"/>
      <c r="P610" s="651"/>
      <c r="Q610" s="650"/>
      <c r="R610" s="650"/>
      <c r="S610" s="652"/>
      <c r="T610" s="606"/>
      <c r="U610" s="606"/>
      <c r="V610" s="19"/>
      <c r="W610" s="19"/>
      <c r="X610" s="19"/>
    </row>
    <row r="611" spans="1:24" ht="11.25" hidden="1" customHeight="1" outlineLevel="3" x14ac:dyDescent="0.2">
      <c r="A611" s="606"/>
      <c r="B611" s="606"/>
      <c r="C611" s="607"/>
      <c r="D611" s="608"/>
      <c r="E611" s="608"/>
      <c r="F611" s="608"/>
      <c r="G611" s="608"/>
      <c r="H611" s="609"/>
      <c r="I611" s="650"/>
      <c r="J611" s="651"/>
      <c r="K611" s="650"/>
      <c r="L611" s="650"/>
      <c r="M611" s="650"/>
      <c r="N611" s="650"/>
      <c r="O611" s="650"/>
      <c r="P611" s="651"/>
      <c r="Q611" s="650"/>
      <c r="R611" s="650"/>
      <c r="S611" s="652"/>
      <c r="T611" s="606"/>
      <c r="U611" s="606"/>
      <c r="V611" s="19"/>
      <c r="W611" s="19"/>
      <c r="X611" s="19"/>
    </row>
    <row r="612" spans="1:24" ht="11.25" hidden="1" customHeight="1" outlineLevel="3" x14ac:dyDescent="0.2">
      <c r="A612" s="606"/>
      <c r="B612" s="606"/>
      <c r="C612" s="607"/>
      <c r="D612" s="608"/>
      <c r="E612" s="608"/>
      <c r="F612" s="608"/>
      <c r="G612" s="608"/>
      <c r="H612" s="609"/>
      <c r="I612" s="650"/>
      <c r="J612" s="651"/>
      <c r="K612" s="650"/>
      <c r="L612" s="650"/>
      <c r="M612" s="650"/>
      <c r="N612" s="650"/>
      <c r="O612" s="650"/>
      <c r="P612" s="651"/>
      <c r="Q612" s="650"/>
      <c r="R612" s="650"/>
      <c r="S612" s="652"/>
      <c r="T612" s="606"/>
      <c r="U612" s="606"/>
      <c r="V612" s="19"/>
      <c r="W612" s="19"/>
      <c r="X612" s="19"/>
    </row>
    <row r="613" spans="1:24" ht="11.25" hidden="1" customHeight="1" outlineLevel="3" x14ac:dyDescent="0.2">
      <c r="A613" s="606"/>
      <c r="B613" s="606"/>
      <c r="C613" s="607"/>
      <c r="D613" s="608"/>
      <c r="E613" s="608"/>
      <c r="F613" s="608"/>
      <c r="G613" s="608"/>
      <c r="H613" s="609"/>
      <c r="I613" s="650"/>
      <c r="J613" s="651"/>
      <c r="K613" s="650"/>
      <c r="L613" s="650"/>
      <c r="M613" s="650"/>
      <c r="N613" s="650"/>
      <c r="O613" s="650"/>
      <c r="P613" s="651"/>
      <c r="Q613" s="650"/>
      <c r="R613" s="650"/>
      <c r="S613" s="652"/>
      <c r="T613" s="606"/>
      <c r="U613" s="606"/>
      <c r="V613" s="19"/>
      <c r="W613" s="19"/>
      <c r="X613" s="19"/>
    </row>
    <row r="614" spans="1:24" ht="11.25" hidden="1" customHeight="1" outlineLevel="3" x14ac:dyDescent="0.2">
      <c r="A614" s="606"/>
      <c r="B614" s="606"/>
      <c r="C614" s="607"/>
      <c r="D614" s="608"/>
      <c r="E614" s="608"/>
      <c r="F614" s="608"/>
      <c r="G614" s="608"/>
      <c r="H614" s="609"/>
      <c r="I614" s="650"/>
      <c r="J614" s="651"/>
      <c r="K614" s="650"/>
      <c r="L614" s="650"/>
      <c r="M614" s="650"/>
      <c r="N614" s="650"/>
      <c r="O614" s="650"/>
      <c r="P614" s="651"/>
      <c r="Q614" s="650"/>
      <c r="R614" s="650"/>
      <c r="S614" s="652"/>
      <c r="T614" s="606"/>
      <c r="U614" s="606"/>
      <c r="V614" s="19"/>
      <c r="W614" s="19"/>
      <c r="X614" s="19"/>
    </row>
    <row r="615" spans="1:24" ht="11.25" hidden="1" customHeight="1" outlineLevel="3" x14ac:dyDescent="0.2">
      <c r="A615" s="606"/>
      <c r="B615" s="606"/>
      <c r="C615" s="607"/>
      <c r="D615" s="608"/>
      <c r="E615" s="608"/>
      <c r="F615" s="608"/>
      <c r="G615" s="608"/>
      <c r="H615" s="609"/>
      <c r="I615" s="650"/>
      <c r="J615" s="651"/>
      <c r="K615" s="650"/>
      <c r="L615" s="650"/>
      <c r="M615" s="650"/>
      <c r="N615" s="650"/>
      <c r="O615" s="650"/>
      <c r="P615" s="651"/>
      <c r="Q615" s="650"/>
      <c r="R615" s="650"/>
      <c r="S615" s="652"/>
      <c r="T615" s="606"/>
      <c r="U615" s="606"/>
      <c r="V615" s="19"/>
      <c r="W615" s="19"/>
      <c r="X615" s="19"/>
    </row>
    <row r="616" spans="1:24" ht="11.25" hidden="1" customHeight="1" outlineLevel="3" x14ac:dyDescent="0.2">
      <c r="A616" s="606"/>
      <c r="B616" s="606"/>
      <c r="C616" s="607"/>
      <c r="D616" s="608"/>
      <c r="E616" s="608"/>
      <c r="F616" s="608"/>
      <c r="G616" s="608"/>
      <c r="H616" s="609"/>
      <c r="I616" s="650"/>
      <c r="J616" s="651"/>
      <c r="K616" s="650"/>
      <c r="L616" s="650"/>
      <c r="M616" s="650"/>
      <c r="N616" s="650"/>
      <c r="O616" s="650"/>
      <c r="P616" s="651"/>
      <c r="Q616" s="650"/>
      <c r="R616" s="650"/>
      <c r="S616" s="652"/>
      <c r="T616" s="606"/>
      <c r="U616" s="606"/>
      <c r="V616" s="19"/>
      <c r="W616" s="19"/>
      <c r="X616" s="19"/>
    </row>
    <row r="617" spans="1:24" ht="11.25" hidden="1" customHeight="1" outlineLevel="3" x14ac:dyDescent="0.2">
      <c r="A617" s="606"/>
      <c r="B617" s="606"/>
      <c r="C617" s="607"/>
      <c r="D617" s="608"/>
      <c r="E617" s="608"/>
      <c r="F617" s="608"/>
      <c r="G617" s="608"/>
      <c r="H617" s="609"/>
      <c r="I617" s="650"/>
      <c r="J617" s="651"/>
      <c r="K617" s="650"/>
      <c r="L617" s="650"/>
      <c r="M617" s="650"/>
      <c r="N617" s="650"/>
      <c r="O617" s="650"/>
      <c r="P617" s="651"/>
      <c r="Q617" s="650"/>
      <c r="R617" s="650"/>
      <c r="S617" s="652"/>
      <c r="T617" s="606"/>
      <c r="U617" s="606"/>
      <c r="V617" s="19"/>
      <c r="W617" s="19"/>
      <c r="X617" s="19"/>
    </row>
    <row r="618" spans="1:24" ht="11.25" hidden="1" customHeight="1" outlineLevel="3" x14ac:dyDescent="0.2">
      <c r="A618" s="606"/>
      <c r="B618" s="606"/>
      <c r="C618" s="607"/>
      <c r="D618" s="608"/>
      <c r="E618" s="608"/>
      <c r="F618" s="608"/>
      <c r="G618" s="608"/>
      <c r="H618" s="609"/>
      <c r="I618" s="650"/>
      <c r="J618" s="651"/>
      <c r="K618" s="650"/>
      <c r="L618" s="650"/>
      <c r="M618" s="650"/>
      <c r="N618" s="650"/>
      <c r="O618" s="650"/>
      <c r="P618" s="651"/>
      <c r="Q618" s="650"/>
      <c r="R618" s="650"/>
      <c r="S618" s="652"/>
      <c r="T618" s="606"/>
      <c r="U618" s="606"/>
      <c r="V618" s="19"/>
      <c r="W618" s="19"/>
      <c r="X618" s="19"/>
    </row>
    <row r="619" spans="1:24" ht="11.25" hidden="1" customHeight="1" outlineLevel="3" x14ac:dyDescent="0.2">
      <c r="A619" s="606"/>
      <c r="B619" s="606"/>
      <c r="C619" s="607"/>
      <c r="D619" s="608"/>
      <c r="E619" s="608"/>
      <c r="F619" s="608"/>
      <c r="G619" s="608"/>
      <c r="H619" s="609"/>
      <c r="I619" s="650"/>
      <c r="J619" s="651"/>
      <c r="K619" s="650"/>
      <c r="L619" s="650"/>
      <c r="M619" s="650"/>
      <c r="N619" s="650"/>
      <c r="O619" s="650"/>
      <c r="P619" s="651"/>
      <c r="Q619" s="650"/>
      <c r="R619" s="650"/>
      <c r="S619" s="652"/>
      <c r="T619" s="606"/>
      <c r="U619" s="606"/>
      <c r="V619" s="19"/>
      <c r="W619" s="19"/>
      <c r="X619" s="19"/>
    </row>
    <row r="620" spans="1:24" ht="11.25" hidden="1" customHeight="1" outlineLevel="3" x14ac:dyDescent="0.2">
      <c r="A620" s="606"/>
      <c r="B620" s="606"/>
      <c r="C620" s="607"/>
      <c r="D620" s="608"/>
      <c r="E620" s="608"/>
      <c r="F620" s="608"/>
      <c r="G620" s="608"/>
      <c r="H620" s="609"/>
      <c r="I620" s="650"/>
      <c r="J620" s="651"/>
      <c r="K620" s="650"/>
      <c r="L620" s="650"/>
      <c r="M620" s="650"/>
      <c r="N620" s="650"/>
      <c r="O620" s="650"/>
      <c r="P620" s="651"/>
      <c r="Q620" s="650"/>
      <c r="R620" s="650"/>
      <c r="S620" s="652"/>
      <c r="T620" s="606"/>
      <c r="U620" s="606"/>
      <c r="V620" s="19"/>
      <c r="W620" s="19"/>
      <c r="X620" s="19"/>
    </row>
    <row r="621" spans="1:24" ht="11.25" hidden="1" customHeight="1" outlineLevel="3" x14ac:dyDescent="0.2">
      <c r="A621" s="606"/>
      <c r="B621" s="606"/>
      <c r="C621" s="607"/>
      <c r="D621" s="608"/>
      <c r="E621" s="608"/>
      <c r="F621" s="608"/>
      <c r="G621" s="608"/>
      <c r="H621" s="609"/>
      <c r="I621" s="650"/>
      <c r="J621" s="651"/>
      <c r="K621" s="650"/>
      <c r="L621" s="650"/>
      <c r="M621" s="650"/>
      <c r="N621" s="650"/>
      <c r="O621" s="650"/>
      <c r="P621" s="651"/>
      <c r="Q621" s="650"/>
      <c r="R621" s="650"/>
      <c r="S621" s="652"/>
      <c r="T621" s="606"/>
      <c r="U621" s="606"/>
      <c r="V621" s="19"/>
      <c r="W621" s="19"/>
      <c r="X621" s="19"/>
    </row>
    <row r="622" spans="1:24" ht="11.25" hidden="1" customHeight="1" outlineLevel="3" x14ac:dyDescent="0.2">
      <c r="A622" s="606"/>
      <c r="B622" s="606"/>
      <c r="C622" s="607"/>
      <c r="D622" s="608"/>
      <c r="E622" s="608"/>
      <c r="F622" s="608"/>
      <c r="G622" s="608"/>
      <c r="H622" s="609"/>
      <c r="I622" s="650"/>
      <c r="J622" s="651"/>
      <c r="K622" s="650"/>
      <c r="L622" s="650"/>
      <c r="M622" s="650"/>
      <c r="N622" s="650"/>
      <c r="O622" s="650"/>
      <c r="P622" s="651"/>
      <c r="Q622" s="650"/>
      <c r="R622" s="650"/>
      <c r="S622" s="652"/>
      <c r="T622" s="606"/>
      <c r="U622" s="606"/>
      <c r="V622" s="19"/>
      <c r="W622" s="19"/>
      <c r="X622" s="19"/>
    </row>
    <row r="623" spans="1:24" ht="11.25" hidden="1" customHeight="1" outlineLevel="3" x14ac:dyDescent="0.2">
      <c r="A623" s="606"/>
      <c r="B623" s="606"/>
      <c r="C623" s="607"/>
      <c r="D623" s="608"/>
      <c r="E623" s="608"/>
      <c r="F623" s="608"/>
      <c r="G623" s="608"/>
      <c r="H623" s="609"/>
      <c r="I623" s="650"/>
      <c r="J623" s="651"/>
      <c r="K623" s="650"/>
      <c r="L623" s="650"/>
      <c r="M623" s="650"/>
      <c r="N623" s="650"/>
      <c r="O623" s="650"/>
      <c r="P623" s="651"/>
      <c r="Q623" s="650"/>
      <c r="R623" s="650"/>
      <c r="S623" s="652"/>
      <c r="T623" s="606"/>
      <c r="U623" s="606"/>
      <c r="V623" s="19"/>
      <c r="W623" s="19"/>
      <c r="X623" s="19"/>
    </row>
    <row r="624" spans="1:24" ht="11.25" hidden="1" customHeight="1" outlineLevel="3" x14ac:dyDescent="0.2">
      <c r="A624" s="606"/>
      <c r="B624" s="606"/>
      <c r="C624" s="607"/>
      <c r="D624" s="608"/>
      <c r="E624" s="608"/>
      <c r="F624" s="608"/>
      <c r="G624" s="608"/>
      <c r="H624" s="609"/>
      <c r="I624" s="650"/>
      <c r="J624" s="651"/>
      <c r="K624" s="650"/>
      <c r="L624" s="650"/>
      <c r="M624" s="650"/>
      <c r="N624" s="650"/>
      <c r="O624" s="650"/>
      <c r="P624" s="651"/>
      <c r="Q624" s="650"/>
      <c r="R624" s="650"/>
      <c r="S624" s="652"/>
      <c r="T624" s="606"/>
      <c r="U624" s="606"/>
      <c r="V624" s="19"/>
      <c r="W624" s="19"/>
      <c r="X624" s="19"/>
    </row>
    <row r="625" spans="1:24" ht="11.25" hidden="1" customHeight="1" outlineLevel="3" x14ac:dyDescent="0.2">
      <c r="A625" s="606"/>
      <c r="B625" s="606"/>
      <c r="C625" s="607"/>
      <c r="D625" s="608"/>
      <c r="E625" s="608"/>
      <c r="F625" s="608"/>
      <c r="G625" s="608"/>
      <c r="H625" s="609"/>
      <c r="I625" s="650"/>
      <c r="J625" s="651"/>
      <c r="K625" s="650"/>
      <c r="L625" s="650"/>
      <c r="M625" s="650"/>
      <c r="N625" s="650"/>
      <c r="O625" s="650"/>
      <c r="P625" s="651"/>
      <c r="Q625" s="650"/>
      <c r="R625" s="650"/>
      <c r="S625" s="652"/>
      <c r="T625" s="606"/>
      <c r="U625" s="606"/>
      <c r="V625" s="19"/>
      <c r="W625" s="19"/>
      <c r="X625" s="19"/>
    </row>
    <row r="626" spans="1:24" ht="11.25" hidden="1" customHeight="1" outlineLevel="3" x14ac:dyDescent="0.2">
      <c r="A626" s="606"/>
      <c r="B626" s="606"/>
      <c r="C626" s="607"/>
      <c r="D626" s="608"/>
      <c r="E626" s="608"/>
      <c r="F626" s="608"/>
      <c r="G626" s="608"/>
      <c r="H626" s="609"/>
      <c r="I626" s="650"/>
      <c r="J626" s="651"/>
      <c r="K626" s="650"/>
      <c r="L626" s="650"/>
      <c r="M626" s="650"/>
      <c r="N626" s="650"/>
      <c r="O626" s="650"/>
      <c r="P626" s="651"/>
      <c r="Q626" s="650"/>
      <c r="R626" s="650"/>
      <c r="S626" s="652"/>
      <c r="T626" s="606"/>
      <c r="U626" s="606"/>
      <c r="V626" s="19"/>
      <c r="W626" s="19"/>
      <c r="X626" s="19"/>
    </row>
    <row r="627" spans="1:24" ht="11.25" hidden="1" customHeight="1" outlineLevel="3" x14ac:dyDescent="0.2">
      <c r="A627" s="606"/>
      <c r="B627" s="606"/>
      <c r="C627" s="607"/>
      <c r="D627" s="608"/>
      <c r="E627" s="608"/>
      <c r="F627" s="608"/>
      <c r="G627" s="608"/>
      <c r="H627" s="609"/>
      <c r="I627" s="650"/>
      <c r="J627" s="651"/>
      <c r="K627" s="650"/>
      <c r="L627" s="650"/>
      <c r="M627" s="650"/>
      <c r="N627" s="650"/>
      <c r="O627" s="650"/>
      <c r="P627" s="651"/>
      <c r="Q627" s="650"/>
      <c r="R627" s="650"/>
      <c r="S627" s="652"/>
      <c r="T627" s="606"/>
      <c r="U627" s="606"/>
      <c r="V627" s="19"/>
      <c r="W627" s="19"/>
      <c r="X627" s="19"/>
    </row>
    <row r="628" spans="1:24" ht="11.25" hidden="1" customHeight="1" outlineLevel="3" x14ac:dyDescent="0.2">
      <c r="A628" s="606"/>
      <c r="B628" s="606"/>
      <c r="C628" s="607"/>
      <c r="D628" s="608"/>
      <c r="E628" s="608"/>
      <c r="F628" s="608"/>
      <c r="G628" s="608"/>
      <c r="H628" s="609"/>
      <c r="I628" s="650"/>
      <c r="J628" s="651"/>
      <c r="K628" s="650"/>
      <c r="L628" s="650"/>
      <c r="M628" s="650"/>
      <c r="N628" s="650"/>
      <c r="O628" s="650"/>
      <c r="P628" s="651"/>
      <c r="Q628" s="650"/>
      <c r="R628" s="650"/>
      <c r="S628" s="652"/>
      <c r="T628" s="606"/>
      <c r="U628" s="606"/>
      <c r="V628" s="19"/>
      <c r="W628" s="19"/>
      <c r="X628" s="19"/>
    </row>
    <row r="629" spans="1:24" ht="11.25" hidden="1" customHeight="1" outlineLevel="3" x14ac:dyDescent="0.2">
      <c r="A629" s="606"/>
      <c r="B629" s="606"/>
      <c r="C629" s="607"/>
      <c r="D629" s="608"/>
      <c r="E629" s="608"/>
      <c r="F629" s="608"/>
      <c r="G629" s="608"/>
      <c r="H629" s="609"/>
      <c r="I629" s="650"/>
      <c r="J629" s="651"/>
      <c r="K629" s="650"/>
      <c r="L629" s="650"/>
      <c r="M629" s="650"/>
      <c r="N629" s="650"/>
      <c r="O629" s="650"/>
      <c r="P629" s="651"/>
      <c r="Q629" s="650"/>
      <c r="R629" s="650"/>
      <c r="S629" s="652"/>
      <c r="T629" s="606"/>
      <c r="U629" s="606"/>
      <c r="V629" s="19"/>
      <c r="W629" s="19"/>
      <c r="X629" s="19"/>
    </row>
    <row r="630" spans="1:24" ht="11.25" hidden="1" customHeight="1" outlineLevel="3" x14ac:dyDescent="0.2">
      <c r="A630" s="606"/>
      <c r="B630" s="606"/>
      <c r="C630" s="607"/>
      <c r="D630" s="608"/>
      <c r="E630" s="608"/>
      <c r="F630" s="608"/>
      <c r="G630" s="608"/>
      <c r="H630" s="609"/>
      <c r="I630" s="650"/>
      <c r="J630" s="651"/>
      <c r="K630" s="650"/>
      <c r="L630" s="650"/>
      <c r="M630" s="650"/>
      <c r="N630" s="650"/>
      <c r="O630" s="650"/>
      <c r="P630" s="651"/>
      <c r="Q630" s="650"/>
      <c r="R630" s="650"/>
      <c r="S630" s="652"/>
      <c r="T630" s="606"/>
      <c r="U630" s="606"/>
      <c r="V630" s="19"/>
      <c r="W630" s="19"/>
      <c r="X630" s="19"/>
    </row>
    <row r="631" spans="1:24" ht="11.25" hidden="1" customHeight="1" outlineLevel="3" x14ac:dyDescent="0.2">
      <c r="A631" s="606"/>
      <c r="B631" s="606"/>
      <c r="C631" s="607"/>
      <c r="D631" s="608"/>
      <c r="E631" s="608"/>
      <c r="F631" s="608"/>
      <c r="G631" s="608"/>
      <c r="H631" s="609"/>
      <c r="I631" s="650"/>
      <c r="J631" s="651"/>
      <c r="K631" s="650"/>
      <c r="L631" s="650"/>
      <c r="M631" s="650"/>
      <c r="N631" s="650"/>
      <c r="O631" s="650"/>
      <c r="P631" s="651"/>
      <c r="Q631" s="650"/>
      <c r="R631" s="650"/>
      <c r="S631" s="652"/>
      <c r="T631" s="606"/>
      <c r="U631" s="606"/>
      <c r="V631" s="19"/>
      <c r="W631" s="19"/>
      <c r="X631" s="19"/>
    </row>
    <row r="632" spans="1:24" ht="11.25" hidden="1" customHeight="1" outlineLevel="3" x14ac:dyDescent="0.2">
      <c r="A632" s="606"/>
      <c r="B632" s="606"/>
      <c r="C632" s="607"/>
      <c r="D632" s="608"/>
      <c r="E632" s="608"/>
      <c r="F632" s="608"/>
      <c r="G632" s="608"/>
      <c r="H632" s="609"/>
      <c r="I632" s="650"/>
      <c r="J632" s="651"/>
      <c r="K632" s="650"/>
      <c r="L632" s="650"/>
      <c r="M632" s="650"/>
      <c r="N632" s="650"/>
      <c r="O632" s="650"/>
      <c r="P632" s="651"/>
      <c r="Q632" s="650"/>
      <c r="R632" s="650"/>
      <c r="S632" s="652"/>
      <c r="T632" s="606"/>
      <c r="U632" s="606"/>
      <c r="V632" s="19"/>
      <c r="W632" s="19"/>
      <c r="X632" s="19"/>
    </row>
    <row r="633" spans="1:24" ht="11.25" hidden="1" customHeight="1" outlineLevel="3" x14ac:dyDescent="0.2">
      <c r="A633" s="606"/>
      <c r="B633" s="606"/>
      <c r="C633" s="607"/>
      <c r="D633" s="608"/>
      <c r="E633" s="608"/>
      <c r="F633" s="608"/>
      <c r="G633" s="608"/>
      <c r="H633" s="609"/>
      <c r="I633" s="650"/>
      <c r="J633" s="651"/>
      <c r="K633" s="650"/>
      <c r="L633" s="650"/>
      <c r="M633" s="650"/>
      <c r="N633" s="650"/>
      <c r="O633" s="650"/>
      <c r="P633" s="651"/>
      <c r="Q633" s="650"/>
      <c r="R633" s="650"/>
      <c r="S633" s="652"/>
      <c r="T633" s="606"/>
      <c r="U633" s="606"/>
      <c r="V633" s="19"/>
      <c r="W633" s="19"/>
      <c r="X633" s="19"/>
    </row>
    <row r="634" spans="1:24" ht="11.25" hidden="1" customHeight="1" outlineLevel="3" x14ac:dyDescent="0.2">
      <c r="A634" s="606"/>
      <c r="B634" s="606"/>
      <c r="C634" s="607"/>
      <c r="D634" s="608"/>
      <c r="E634" s="608"/>
      <c r="F634" s="608"/>
      <c r="G634" s="608"/>
      <c r="H634" s="609"/>
      <c r="I634" s="650"/>
      <c r="J634" s="651"/>
      <c r="K634" s="650"/>
      <c r="L634" s="650"/>
      <c r="M634" s="650"/>
      <c r="N634" s="650"/>
      <c r="O634" s="650"/>
      <c r="P634" s="651"/>
      <c r="Q634" s="650"/>
      <c r="R634" s="650"/>
      <c r="S634" s="652"/>
      <c r="T634" s="606"/>
      <c r="U634" s="606"/>
      <c r="V634" s="19"/>
      <c r="W634" s="19"/>
      <c r="X634" s="19"/>
    </row>
    <row r="635" spans="1:24" ht="11.25" hidden="1" customHeight="1" outlineLevel="3" x14ac:dyDescent="0.2">
      <c r="A635" s="606"/>
      <c r="B635" s="606"/>
      <c r="C635" s="607"/>
      <c r="D635" s="608"/>
      <c r="E635" s="608"/>
      <c r="F635" s="608"/>
      <c r="G635" s="608"/>
      <c r="H635" s="609"/>
      <c r="I635" s="650"/>
      <c r="J635" s="651"/>
      <c r="K635" s="650"/>
      <c r="L635" s="650"/>
      <c r="M635" s="650"/>
      <c r="N635" s="650"/>
      <c r="O635" s="650"/>
      <c r="P635" s="651"/>
      <c r="Q635" s="650"/>
      <c r="R635" s="650"/>
      <c r="S635" s="652"/>
      <c r="T635" s="606"/>
      <c r="U635" s="606"/>
      <c r="V635" s="19"/>
      <c r="W635" s="19"/>
      <c r="X635" s="19"/>
    </row>
    <row r="636" spans="1:24" ht="11.25" hidden="1" customHeight="1" outlineLevel="3" x14ac:dyDescent="0.2">
      <c r="A636" s="606"/>
      <c r="B636" s="606"/>
      <c r="C636" s="607"/>
      <c r="D636" s="608"/>
      <c r="E636" s="608"/>
      <c r="F636" s="608"/>
      <c r="G636" s="608"/>
      <c r="H636" s="609"/>
      <c r="I636" s="650"/>
      <c r="J636" s="651"/>
      <c r="K636" s="650"/>
      <c r="L636" s="650"/>
      <c r="M636" s="650"/>
      <c r="N636" s="650"/>
      <c r="O636" s="650"/>
      <c r="P636" s="651"/>
      <c r="Q636" s="650"/>
      <c r="R636" s="650"/>
      <c r="S636" s="652"/>
      <c r="T636" s="606"/>
      <c r="U636" s="606"/>
      <c r="V636" s="19"/>
      <c r="W636" s="19"/>
      <c r="X636" s="19"/>
    </row>
    <row r="637" spans="1:24" ht="11.25" hidden="1" customHeight="1" outlineLevel="3" x14ac:dyDescent="0.2">
      <c r="A637" s="606"/>
      <c r="B637" s="606"/>
      <c r="C637" s="607"/>
      <c r="D637" s="608"/>
      <c r="E637" s="608"/>
      <c r="F637" s="608"/>
      <c r="G637" s="608"/>
      <c r="H637" s="609"/>
      <c r="I637" s="650"/>
      <c r="J637" s="651"/>
      <c r="K637" s="650"/>
      <c r="L637" s="650"/>
      <c r="M637" s="650"/>
      <c r="N637" s="650"/>
      <c r="O637" s="650"/>
      <c r="P637" s="651"/>
      <c r="Q637" s="650"/>
      <c r="R637" s="650"/>
      <c r="S637" s="652"/>
      <c r="T637" s="606"/>
      <c r="U637" s="606"/>
      <c r="V637" s="19"/>
      <c r="W637" s="19"/>
      <c r="X637" s="19"/>
    </row>
    <row r="638" spans="1:24" ht="11.25" customHeight="1" outlineLevel="2" collapsed="1" x14ac:dyDescent="0.2">
      <c r="A638" s="606"/>
      <c r="B638" s="606"/>
      <c r="C638" s="613"/>
      <c r="D638" s="613"/>
      <c r="E638" s="609"/>
      <c r="F638" s="609"/>
      <c r="G638" s="609"/>
      <c r="H638" s="609"/>
      <c r="I638" s="656"/>
      <c r="J638" s="656"/>
      <c r="K638" s="656"/>
      <c r="L638" s="656"/>
      <c r="M638" s="656"/>
      <c r="N638" s="656"/>
      <c r="O638" s="656"/>
      <c r="P638" s="656"/>
      <c r="Q638" s="656"/>
      <c r="R638" s="656"/>
      <c r="S638" s="609"/>
      <c r="T638" s="606"/>
      <c r="U638" s="606"/>
      <c r="V638" s="19"/>
      <c r="W638" s="19"/>
      <c r="X638" s="19"/>
    </row>
    <row r="639" spans="1:24" outlineLevel="1" x14ac:dyDescent="0.2">
      <c r="A639" s="606"/>
      <c r="B639" s="606"/>
      <c r="C639" s="613"/>
      <c r="D639" s="609"/>
      <c r="E639" s="609"/>
      <c r="F639" s="609"/>
      <c r="G639" s="609"/>
      <c r="H639" s="609"/>
      <c r="I639" s="656"/>
      <c r="J639" s="656"/>
      <c r="K639" s="657"/>
      <c r="L639" s="657"/>
      <c r="M639" s="657"/>
      <c r="N639" s="658"/>
      <c r="O639" s="658"/>
      <c r="P639" s="658"/>
      <c r="Q639" s="658"/>
      <c r="R639" s="658"/>
      <c r="S639" s="606"/>
      <c r="T639" s="606"/>
      <c r="U639" s="606"/>
      <c r="V639" s="19"/>
      <c r="W639" s="19"/>
      <c r="X639" s="19"/>
    </row>
    <row r="640" spans="1:24" x14ac:dyDescent="0.2">
      <c r="A640" s="606"/>
      <c r="B640" s="606"/>
      <c r="C640" s="623"/>
      <c r="D640" s="617"/>
      <c r="E640" s="617"/>
      <c r="F640" s="617"/>
      <c r="G640" s="618"/>
      <c r="H640" s="618"/>
      <c r="I640" s="659"/>
      <c r="J640" s="657"/>
      <c r="K640" s="657"/>
      <c r="L640" s="657"/>
      <c r="M640" s="657"/>
      <c r="N640" s="658"/>
      <c r="O640" s="658"/>
      <c r="P640" s="658"/>
      <c r="Q640" s="658"/>
      <c r="R640" s="658"/>
      <c r="S640" s="606"/>
      <c r="T640" s="606"/>
      <c r="U640" s="606"/>
      <c r="V640" s="19"/>
      <c r="W640" s="19"/>
      <c r="X640" s="19"/>
    </row>
    <row r="641" spans="1:24" ht="12.75" x14ac:dyDescent="0.2">
      <c r="A641" s="11"/>
      <c r="B641" s="12" t="s">
        <v>8</v>
      </c>
      <c r="C641" s="11"/>
      <c r="D641" s="11"/>
      <c r="E641" s="11"/>
      <c r="F641" s="11"/>
      <c r="G641" s="13"/>
      <c r="H641" s="13"/>
      <c r="I641" s="387"/>
      <c r="J641" s="387"/>
      <c r="K641" s="387"/>
      <c r="L641" s="387"/>
      <c r="M641" s="387"/>
      <c r="N641" s="388"/>
      <c r="O641" s="389"/>
      <c r="P641" s="388"/>
      <c r="Q641" s="389"/>
      <c r="R641" s="388"/>
      <c r="S641" s="14"/>
      <c r="T641" s="15"/>
      <c r="U641" s="15"/>
      <c r="V641" s="15"/>
      <c r="W641" s="15"/>
      <c r="X641" s="15"/>
    </row>
  </sheetData>
  <sheetProtection formatColumns="0" formatRows="0"/>
  <hyperlinks>
    <hyperlink ref="I1" location="'Pricing model'!A51" display="Back to Index" xr:uid="{00000000-0004-0000-1C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7" tint="0.79998168889431442"/>
  </sheetPr>
  <dimension ref="A1:AS746"/>
  <sheetViews>
    <sheetView showGridLines="0" zoomScaleNormal="100" workbookViewId="0">
      <pane ySplit="17" topLeftCell="A18" activePane="bottomLeft" state="frozen"/>
      <selection pane="bottomLeft" activeCell="L337" sqref="L337"/>
    </sheetView>
  </sheetViews>
  <sheetFormatPr defaultColWidth="0" defaultRowHeight="11.25" zeroHeight="1" outlineLevelRow="3" outlineLevelCol="1" x14ac:dyDescent="0.2"/>
  <cols>
    <col min="1" max="2" width="1.42578125" style="18" customWidth="1"/>
    <col min="3" max="3" width="42.85546875" style="18" customWidth="1"/>
    <col min="4" max="4" width="16.85546875" style="18" customWidth="1"/>
    <col min="5" max="5" width="14" style="18" customWidth="1"/>
    <col min="6" max="6" width="16.7109375" style="18" customWidth="1"/>
    <col min="7" max="7" width="13.28515625" style="18" customWidth="1"/>
    <col min="8" max="8" width="8.28515625" style="18" customWidth="1"/>
    <col min="9" max="9" width="10.7109375" style="18" bestFit="1" customWidth="1"/>
    <col min="10" max="21" width="9.85546875" style="18" customWidth="1"/>
    <col min="22" max="22" width="9.28515625" style="18" customWidth="1"/>
    <col min="23" max="28" width="9.28515625" style="18" hidden="1" customWidth="1" outlineLevel="1"/>
    <col min="29" max="29" width="9.28515625" style="18" customWidth="1" collapsed="1"/>
    <col min="30" max="30" width="2.42578125" style="18" customWidth="1"/>
    <col min="31" max="33" width="8" style="18" hidden="1" customWidth="1"/>
    <col min="34" max="43" width="9.28515625" style="18" hidden="1" customWidth="1"/>
    <col min="44" max="45" width="0" style="18" hidden="1" customWidth="1"/>
    <col min="46" max="16384" width="8" style="18" hidden="1"/>
  </cols>
  <sheetData>
    <row r="1" spans="1:33" ht="15.75" x14ac:dyDescent="0.25">
      <c r="A1" s="1"/>
      <c r="B1" s="2" t="str">
        <f>'Outputs&gt;&gt;'!B1</f>
        <v>AER pricing model - TasNetworks 2022–23</v>
      </c>
      <c r="C1" s="2"/>
      <c r="D1" s="2"/>
      <c r="E1" s="2"/>
      <c r="F1" s="2"/>
      <c r="G1" s="3"/>
      <c r="H1" s="4"/>
      <c r="I1" s="160" t="s">
        <v>0</v>
      </c>
      <c r="J1" s="111"/>
      <c r="K1" s="112"/>
      <c r="L1" s="112"/>
      <c r="M1" s="51"/>
      <c r="P1" s="111"/>
      <c r="Q1" s="113"/>
      <c r="S1" s="114"/>
      <c r="T1" s="113"/>
      <c r="U1" s="5"/>
      <c r="V1" s="3"/>
      <c r="W1" s="3"/>
      <c r="X1" s="3"/>
      <c r="Y1" s="5"/>
      <c r="Z1" s="5"/>
      <c r="AA1" s="5"/>
      <c r="AB1" s="5"/>
      <c r="AC1" s="5"/>
      <c r="AD1" s="1"/>
    </row>
    <row r="2" spans="1:33" ht="13.5" thickBot="1" x14ac:dyDescent="0.25">
      <c r="A2" s="6"/>
      <c r="B2" s="7" t="str">
        <f>'Outputs&gt;&gt;'!C7</f>
        <v>Tariff schedule</v>
      </c>
      <c r="C2" s="7"/>
      <c r="D2" s="7"/>
      <c r="E2" s="7"/>
      <c r="F2" s="7"/>
      <c r="G2" s="8"/>
      <c r="H2" s="8"/>
      <c r="I2" s="8"/>
      <c r="J2" s="8"/>
      <c r="K2" s="6"/>
      <c r="L2" s="444" t="s">
        <v>548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3" x14ac:dyDescent="0.2">
      <c r="A3" s="27"/>
      <c r="B3" s="296" t="str">
        <f>'Outputs&gt;&gt;'!D7</f>
        <v>Provides schedules of network prices</v>
      </c>
      <c r="C3" s="27"/>
      <c r="D3" s="28"/>
      <c r="E3" s="28"/>
      <c r="F3" s="28"/>
      <c r="G3" s="28"/>
      <c r="H3" s="28"/>
      <c r="I3" s="28"/>
      <c r="J3" s="28"/>
      <c r="K3" s="29"/>
      <c r="L3" s="30"/>
      <c r="M3" s="30"/>
      <c r="N3" s="30"/>
      <c r="O3" s="30"/>
      <c r="P3" s="30"/>
      <c r="Q3" s="30"/>
      <c r="R3" s="30"/>
      <c r="S3" s="30"/>
      <c r="T3" s="30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3" x14ac:dyDescent="0.2">
      <c r="A4" s="9"/>
      <c r="B4" s="9"/>
      <c r="C4" s="9"/>
      <c r="D4" s="10"/>
      <c r="E4" s="10"/>
      <c r="F4" s="10"/>
      <c r="G4" s="10"/>
      <c r="H4" s="10"/>
      <c r="I4" s="10"/>
      <c r="J4" s="10"/>
      <c r="K4" s="50"/>
      <c r="L4" s="50"/>
      <c r="M4" s="50"/>
      <c r="N4" s="50"/>
      <c r="O4" s="50"/>
      <c r="P4" s="50"/>
      <c r="Q4" s="50"/>
      <c r="R4" s="50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12.75" x14ac:dyDescent="0.2">
      <c r="A5" s="11"/>
      <c r="B5" s="12" t="str">
        <f>"Tariff schedule 1 | "&amp;forecastyear&amp;" Metering prices (Vic only)"</f>
        <v>Tariff schedule 1 | 2022–23 Metering prices (Vic only)</v>
      </c>
      <c r="C5" s="11"/>
      <c r="D5" s="34"/>
      <c r="E5" s="34"/>
      <c r="F5" s="34"/>
      <c r="G5" s="33"/>
      <c r="H5" s="33"/>
      <c r="I5" s="148" t="str">
        <f>forecastyear</f>
        <v>2022–23</v>
      </c>
      <c r="J5" s="148"/>
      <c r="K5" s="149"/>
      <c r="L5" s="14"/>
      <c r="M5" s="14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3" hidden="1" outlineLevel="1" x14ac:dyDescent="0.2">
      <c r="A6" s="19"/>
      <c r="B6" s="19"/>
      <c r="C6" s="51"/>
      <c r="D6" s="20"/>
      <c r="E6" s="20"/>
      <c r="F6" s="20"/>
      <c r="G6" s="20"/>
      <c r="H6" s="20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</row>
    <row r="7" spans="1:33" hidden="1" outlineLevel="1" x14ac:dyDescent="0.2">
      <c r="A7" s="19"/>
      <c r="B7" s="19"/>
      <c r="C7" s="445">
        <f>Metering!C42</f>
        <v>0</v>
      </c>
      <c r="D7" s="22"/>
      <c r="E7" s="22"/>
      <c r="F7" s="22"/>
      <c r="G7" s="361"/>
      <c r="H7" s="361"/>
      <c r="I7" s="184">
        <f>INDEX(Metering!$N$42:$R$48,MATCH('Tariff schedule'!C7,Metering!$C$42:$C$48,0),MATCH(forecastyear,Metering!$N$39:$R$39,0))</f>
        <v>0</v>
      </c>
      <c r="J7" s="446"/>
      <c r="K7" s="361"/>
      <c r="L7" s="19"/>
      <c r="M7" s="19"/>
      <c r="N7" s="19"/>
      <c r="O7" s="19"/>
      <c r="P7" s="19"/>
      <c r="Q7" s="19"/>
      <c r="R7" s="19"/>
      <c r="S7" s="19"/>
      <c r="T7" s="19"/>
    </row>
    <row r="8" spans="1:33" hidden="1" outlineLevel="1" x14ac:dyDescent="0.2">
      <c r="A8" s="19"/>
      <c r="B8" s="19"/>
      <c r="C8" s="445">
        <f>Metering!C43</f>
        <v>0</v>
      </c>
      <c r="D8" s="22"/>
      <c r="E8" s="22"/>
      <c r="F8" s="22"/>
      <c r="G8" s="361"/>
      <c r="H8" s="361"/>
      <c r="I8" s="184">
        <f>INDEX(Metering!$N$42:$R$48,MATCH('Tariff schedule'!C8,Metering!$C$42:$C$48,0),MATCH(forecastyear,Metering!$N$39:$R$39,0))</f>
        <v>0</v>
      </c>
      <c r="J8" s="446"/>
      <c r="K8" s="361"/>
      <c r="L8" s="19"/>
      <c r="M8" s="19"/>
      <c r="N8" s="19"/>
      <c r="O8" s="19"/>
      <c r="P8" s="19"/>
      <c r="Q8" s="19"/>
      <c r="R8" s="19"/>
      <c r="S8" s="19"/>
      <c r="T8" s="19"/>
    </row>
    <row r="9" spans="1:33" hidden="1" outlineLevel="1" x14ac:dyDescent="0.2">
      <c r="A9" s="19"/>
      <c r="B9" s="19"/>
      <c r="C9" s="445">
        <f>Metering!C44</f>
        <v>0</v>
      </c>
      <c r="D9" s="22"/>
      <c r="E9" s="22"/>
      <c r="F9" s="22"/>
      <c r="G9" s="361"/>
      <c r="H9" s="361"/>
      <c r="I9" s="184">
        <f>INDEX(Metering!$N$42:$R$48,MATCH('Tariff schedule'!C9,Metering!$C$42:$C$48,0),MATCH(forecastyear,Metering!$N$39:$R$39,0))</f>
        <v>0</v>
      </c>
      <c r="J9" s="446"/>
      <c r="K9" s="361"/>
      <c r="L9" s="19"/>
      <c r="M9" s="19"/>
      <c r="N9" s="19"/>
      <c r="O9" s="19"/>
      <c r="P9" s="19"/>
      <c r="Q9" s="19"/>
      <c r="R9" s="19"/>
      <c r="S9" s="19"/>
      <c r="T9" s="19"/>
    </row>
    <row r="10" spans="1:33" hidden="1" outlineLevel="1" x14ac:dyDescent="0.2">
      <c r="A10" s="19"/>
      <c r="B10" s="19"/>
      <c r="C10" s="445">
        <f>Metering!C45</f>
        <v>0</v>
      </c>
      <c r="D10" s="22"/>
      <c r="E10" s="22"/>
      <c r="F10" s="22"/>
      <c r="G10" s="361"/>
      <c r="H10" s="361"/>
      <c r="I10" s="184">
        <f>INDEX(Metering!$N$42:$R$48,MATCH('Tariff schedule'!C10,Metering!$C$42:$C$48,0),MATCH(forecastyear,Metering!$N$39:$R$39,0))</f>
        <v>0</v>
      </c>
      <c r="J10" s="446"/>
      <c r="K10" s="361"/>
      <c r="L10" s="19"/>
      <c r="M10" s="19"/>
      <c r="N10" s="19"/>
      <c r="O10" s="19"/>
      <c r="P10" s="19"/>
      <c r="Q10" s="19"/>
      <c r="R10" s="19"/>
      <c r="S10" s="19"/>
      <c r="T10" s="19"/>
    </row>
    <row r="11" spans="1:33" hidden="1" outlineLevel="2" x14ac:dyDescent="0.2">
      <c r="A11" s="19"/>
      <c r="B11" s="19"/>
      <c r="C11" s="445">
        <f>Metering!C46</f>
        <v>0</v>
      </c>
      <c r="D11" s="22"/>
      <c r="E11" s="22"/>
      <c r="F11" s="22"/>
      <c r="G11" s="361"/>
      <c r="H11" s="361"/>
      <c r="I11" s="184">
        <f>INDEX(Metering!$N$42:$R$48,MATCH('Tariff schedule'!C11,Metering!$C$42:$C$48,0),MATCH(forecastyear,Metering!$N$39:$R$39,0))</f>
        <v>0</v>
      </c>
      <c r="J11" s="446"/>
      <c r="K11" s="361"/>
      <c r="L11" s="19"/>
      <c r="M11" s="19"/>
      <c r="N11" s="19"/>
      <c r="O11" s="19"/>
      <c r="P11" s="19"/>
      <c r="Q11" s="19"/>
      <c r="R11" s="19"/>
      <c r="S11" s="19"/>
      <c r="T11" s="19"/>
    </row>
    <row r="12" spans="1:33" hidden="1" outlineLevel="2" x14ac:dyDescent="0.2">
      <c r="A12" s="19"/>
      <c r="B12" s="19"/>
      <c r="C12" s="445">
        <f>Metering!C47</f>
        <v>0</v>
      </c>
      <c r="D12" s="22"/>
      <c r="E12" s="22"/>
      <c r="F12" s="22"/>
      <c r="G12" s="361"/>
      <c r="H12" s="361"/>
      <c r="I12" s="184">
        <f>INDEX(Metering!$N$42:$R$48,MATCH('Tariff schedule'!C12,Metering!$C$42:$C$48,0),MATCH(forecastyear,Metering!$N$39:$R$39,0))</f>
        <v>0</v>
      </c>
      <c r="J12" s="446"/>
      <c r="K12" s="361"/>
      <c r="L12" s="19"/>
      <c r="M12" s="19"/>
      <c r="N12" s="19"/>
      <c r="O12" s="19"/>
      <c r="P12" s="19"/>
      <c r="Q12" s="19"/>
      <c r="R12" s="19"/>
      <c r="S12" s="19"/>
      <c r="T12" s="19"/>
    </row>
    <row r="13" spans="1:33" hidden="1" outlineLevel="2" x14ac:dyDescent="0.2">
      <c r="A13" s="19"/>
      <c r="B13" s="19"/>
      <c r="C13" s="445">
        <f>Metering!C48</f>
        <v>0</v>
      </c>
      <c r="D13" s="22"/>
      <c r="E13" s="22"/>
      <c r="F13" s="22"/>
      <c r="G13" s="361"/>
      <c r="H13" s="361"/>
      <c r="I13" s="184">
        <f>INDEX(Metering!$N$42:$R$48,MATCH('Tariff schedule'!C13,Metering!$C$42:$C$48,0),MATCH(forecastyear,Metering!$N$39:$R$39,0))</f>
        <v>0</v>
      </c>
      <c r="J13" s="446"/>
      <c r="K13" s="361"/>
      <c r="L13" s="19"/>
      <c r="M13" s="19"/>
      <c r="N13" s="19"/>
      <c r="O13" s="19"/>
      <c r="P13" s="19"/>
      <c r="Q13" s="19"/>
      <c r="R13" s="19"/>
      <c r="S13" s="19"/>
      <c r="T13" s="19"/>
    </row>
    <row r="14" spans="1:33" hidden="1" outlineLevel="1" x14ac:dyDescent="0.2">
      <c r="A14" s="19"/>
      <c r="B14" s="19"/>
      <c r="C14" s="79"/>
      <c r="D14" s="22"/>
      <c r="E14" s="22"/>
      <c r="F14" s="22"/>
      <c r="G14" s="361"/>
      <c r="H14" s="361"/>
      <c r="I14" s="19"/>
      <c r="J14" s="446"/>
      <c r="K14" s="361"/>
      <c r="L14" s="19"/>
      <c r="M14" s="19"/>
      <c r="N14" s="19"/>
      <c r="O14" s="19"/>
      <c r="P14" s="19"/>
      <c r="Q14" s="19"/>
      <c r="R14" s="19"/>
      <c r="S14" s="19"/>
      <c r="T14" s="19"/>
    </row>
    <row r="15" spans="1:33" collapsed="1" x14ac:dyDescent="0.2">
      <c r="A15" s="19"/>
      <c r="B15" s="19"/>
      <c r="C15" s="79"/>
      <c r="D15" s="22"/>
      <c r="E15" s="22"/>
      <c r="F15" s="22"/>
      <c r="G15" s="361"/>
      <c r="H15" s="361"/>
      <c r="I15" s="19"/>
      <c r="J15" s="446"/>
      <c r="K15" s="361"/>
      <c r="L15" s="19"/>
      <c r="M15" s="19"/>
      <c r="N15" s="19"/>
      <c r="O15" s="19"/>
      <c r="P15" s="19"/>
      <c r="Q15" s="19"/>
      <c r="R15" s="19"/>
      <c r="S15" s="19"/>
      <c r="T15" s="19"/>
    </row>
    <row r="16" spans="1:33" ht="52.5" x14ac:dyDescent="0.2">
      <c r="A16" s="11"/>
      <c r="B16" s="12" t="str">
        <f>"Tariff schedule 2 | "&amp;forecastyear&amp;" prices"</f>
        <v>Tariff schedule 2 | 2022–23 prices</v>
      </c>
      <c r="C16" s="11"/>
      <c r="D16" s="32" t="s">
        <v>199</v>
      </c>
      <c r="E16" s="32" t="str">
        <f>tariffid1</f>
        <v>Code</v>
      </c>
      <c r="F16" s="32" t="str">
        <f>tariffid2</f>
        <v>Trans. Node</v>
      </c>
      <c r="G16" s="33" t="str">
        <f>tariffid3</f>
        <v>Other identifier</v>
      </c>
      <c r="H16" s="33"/>
      <c r="I16" s="597" t="str">
        <f>'Prop. prices'!I5</f>
        <v>Service</v>
      </c>
      <c r="J16" s="597" t="str">
        <f>'Prop. prices'!J5</f>
        <v>All energy</v>
      </c>
      <c r="K16" s="597" t="str">
        <f>'Prop. prices'!K5</f>
        <v>Peak energy</v>
      </c>
      <c r="L16" s="597" t="str">
        <f>'Prop. prices'!L5</f>
        <v>Shoulder energy</v>
      </c>
      <c r="M16" s="597" t="str">
        <f>'Prop. prices'!M5</f>
        <v>Off-peak energy</v>
      </c>
      <c r="N16" s="597" t="str">
        <f>'Prop. prices'!N5</f>
        <v>All demand</v>
      </c>
      <c r="O16" s="597" t="str">
        <f>'Prop. prices'!O5</f>
        <v>Peak demand</v>
      </c>
      <c r="P16" s="597" t="str">
        <f>'Prop. prices'!P5</f>
        <v>Off-peak demand</v>
      </c>
      <c r="Q16" s="597" t="str">
        <f>'Prop. prices'!Q5</f>
        <v>Specified demand</v>
      </c>
      <c r="R16" s="597" t="str">
        <f>'Prop. prices'!R5</f>
        <v>Excess daily demand</v>
      </c>
      <c r="S16" s="597" t="str">
        <f>'Prop. prices'!S5</f>
        <v>Daily demand connection</v>
      </c>
      <c r="T16" s="597" t="str">
        <f>'Prop. prices'!T5</f>
        <v>Excess daily demand connection</v>
      </c>
      <c r="U16" s="597" t="str">
        <f>'Prop. prices'!U5</f>
        <v>All demand (lamps)</v>
      </c>
      <c r="V16" s="169">
        <f>'Prop. prices'!V5</f>
        <v>0</v>
      </c>
      <c r="W16" s="169">
        <f>'Prop. prices'!W5</f>
        <v>0</v>
      </c>
      <c r="X16" s="169">
        <f>'Prop. prices'!X5</f>
        <v>0</v>
      </c>
      <c r="Y16" s="169">
        <f>'Prop. prices'!Y5</f>
        <v>0</v>
      </c>
      <c r="Z16" s="169">
        <f>'Prop. prices'!Z5</f>
        <v>0</v>
      </c>
      <c r="AA16" s="169">
        <f>'Prop. prices'!AA5</f>
        <v>0</v>
      </c>
      <c r="AB16" s="169">
        <f>'Prop. prices'!AB5</f>
        <v>0</v>
      </c>
      <c r="AC16" s="64"/>
      <c r="AD16" s="15"/>
      <c r="AE16" s="15"/>
      <c r="AF16" s="15"/>
      <c r="AG16" s="15"/>
    </row>
    <row r="17" spans="1:33" outlineLevel="1" x14ac:dyDescent="0.2">
      <c r="A17" s="19"/>
      <c r="B17" s="19"/>
      <c r="C17" s="36"/>
      <c r="D17" s="20"/>
      <c r="E17" s="20"/>
      <c r="F17" s="20"/>
      <c r="G17" s="22"/>
      <c r="H17" s="22"/>
      <c r="I17" s="170" t="str">
        <f>'Prop. prices'!I6</f>
        <v>cents/day</v>
      </c>
      <c r="J17" s="170" t="str">
        <f>'Prop. prices'!J6</f>
        <v>cents/kWh</v>
      </c>
      <c r="K17" s="170" t="str">
        <f>'Prop. prices'!K6</f>
        <v>cents/kWh</v>
      </c>
      <c r="L17" s="170" t="str">
        <f>'Prop. prices'!L6</f>
        <v>cents/kWh</v>
      </c>
      <c r="M17" s="170" t="str">
        <f>'Prop. prices'!M6</f>
        <v>cents/kWh</v>
      </c>
      <c r="N17" s="170" t="str">
        <f>'Prop. prices'!N6</f>
        <v>cents/kVA</v>
      </c>
      <c r="O17" s="170" t="str">
        <f>'Prop. prices'!O6</f>
        <v>cents/kVA</v>
      </c>
      <c r="P17" s="170" t="str">
        <f>'Prop. prices'!P6</f>
        <v>cents/kVA</v>
      </c>
      <c r="Q17" s="170" t="str">
        <f>'Prop. prices'!Q6</f>
        <v>cents/kVA</v>
      </c>
      <c r="R17" s="170" t="str">
        <f>'Prop. prices'!R6</f>
        <v>cents/kVA</v>
      </c>
      <c r="S17" s="170" t="str">
        <f>'Prop. prices'!S6</f>
        <v>cents/kVA</v>
      </c>
      <c r="T17" s="170" t="str">
        <f>'Prop. prices'!T6</f>
        <v>cents/kVA</v>
      </c>
      <c r="U17" s="170" t="str">
        <f>'Prop. prices'!U6</f>
        <v>cents/LmpWtts/day</v>
      </c>
      <c r="V17" s="170">
        <f>'Prop. prices'!V6</f>
        <v>0</v>
      </c>
      <c r="W17" s="170">
        <f>'Prop. prices'!W6</f>
        <v>0</v>
      </c>
      <c r="X17" s="170">
        <f>'Prop. prices'!X6</f>
        <v>0</v>
      </c>
      <c r="Y17" s="170">
        <f>'Prop. prices'!Y6</f>
        <v>0</v>
      </c>
      <c r="Z17" s="170">
        <f>'Prop. prices'!Z6</f>
        <v>0</v>
      </c>
      <c r="AA17" s="170">
        <f>'Prop. prices'!AA6</f>
        <v>0</v>
      </c>
      <c r="AB17" s="170">
        <f>'Prop. prices'!AB6</f>
        <v>0</v>
      </c>
      <c r="AC17" s="19"/>
      <c r="AD17" s="19"/>
      <c r="AE17" s="19"/>
      <c r="AF17" s="19"/>
      <c r="AG17" s="19"/>
    </row>
    <row r="18" spans="1:33" outlineLevel="1" x14ac:dyDescent="0.2">
      <c r="A18" s="19"/>
      <c r="B18" s="19"/>
      <c r="C18" s="167" t="s">
        <v>338</v>
      </c>
      <c r="D18" s="20"/>
      <c r="E18" s="20"/>
      <c r="F18" s="20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19"/>
      <c r="AD18" s="19"/>
      <c r="AE18" s="19"/>
      <c r="AF18" s="19"/>
      <c r="AG18" s="19"/>
    </row>
    <row r="19" spans="1:33" outlineLevel="2" x14ac:dyDescent="0.2">
      <c r="A19" s="19"/>
      <c r="B19" s="19"/>
      <c r="C19" s="506" t="str">
        <f>Qty!C8</f>
        <v>Residential time of use consumption</v>
      </c>
      <c r="D19" s="505" t="str">
        <f>Qty!D8</f>
        <v>Residential</v>
      </c>
      <c r="E19" s="505" t="str">
        <f>Qty!E8</f>
        <v>TAS93</v>
      </c>
      <c r="F19" s="505">
        <f>Qty!F8</f>
        <v>0</v>
      </c>
      <c r="G19" s="505">
        <f>Qty!G8</f>
        <v>0</v>
      </c>
      <c r="H19" s="22"/>
      <c r="I19" s="218">
        <f t="shared" ref="I19:AB19" si="0">I97+I175+I253</f>
        <v>59.329000000000001</v>
      </c>
      <c r="J19" s="218">
        <f t="shared" si="0"/>
        <v>0</v>
      </c>
      <c r="K19" s="218">
        <f t="shared" si="0"/>
        <v>14.588000000000001</v>
      </c>
      <c r="L19" s="218">
        <f t="shared" si="0"/>
        <v>0</v>
      </c>
      <c r="M19" s="218">
        <f t="shared" si="0"/>
        <v>2.9169999999999998</v>
      </c>
      <c r="N19" s="218">
        <f t="shared" si="0"/>
        <v>0</v>
      </c>
      <c r="O19" s="218">
        <f t="shared" si="0"/>
        <v>0</v>
      </c>
      <c r="P19" s="218">
        <f t="shared" si="0"/>
        <v>0</v>
      </c>
      <c r="Q19" s="218">
        <f t="shared" si="0"/>
        <v>0</v>
      </c>
      <c r="R19" s="218">
        <f t="shared" si="0"/>
        <v>0</v>
      </c>
      <c r="S19" s="218">
        <f t="shared" si="0"/>
        <v>0</v>
      </c>
      <c r="T19" s="218">
        <f t="shared" si="0"/>
        <v>0</v>
      </c>
      <c r="U19" s="218">
        <f t="shared" si="0"/>
        <v>0</v>
      </c>
      <c r="V19" s="218">
        <f t="shared" si="0"/>
        <v>0</v>
      </c>
      <c r="W19" s="218">
        <f t="shared" si="0"/>
        <v>0</v>
      </c>
      <c r="X19" s="218">
        <f t="shared" si="0"/>
        <v>0</v>
      </c>
      <c r="Y19" s="218">
        <f t="shared" si="0"/>
        <v>0</v>
      </c>
      <c r="Z19" s="218">
        <f t="shared" si="0"/>
        <v>0</v>
      </c>
      <c r="AA19" s="218">
        <f t="shared" si="0"/>
        <v>0</v>
      </c>
      <c r="AB19" s="218">
        <f t="shared" si="0"/>
        <v>0</v>
      </c>
      <c r="AC19" s="70"/>
      <c r="AD19" s="19"/>
      <c r="AE19" s="19"/>
      <c r="AF19" s="19"/>
      <c r="AG19" s="19"/>
    </row>
    <row r="20" spans="1:33" s="59" customFormat="1" outlineLevel="2" x14ac:dyDescent="0.2">
      <c r="A20" s="57"/>
      <c r="B20" s="57"/>
      <c r="C20" s="506" t="str">
        <f>Qty!C9</f>
        <v>Residential general light and power</v>
      </c>
      <c r="D20" s="505" t="str">
        <f>Qty!D9</f>
        <v>Residential</v>
      </c>
      <c r="E20" s="505" t="str">
        <f>Qty!E9</f>
        <v>TAS31</v>
      </c>
      <c r="F20" s="505">
        <f>Qty!F9</f>
        <v>0</v>
      </c>
      <c r="G20" s="505">
        <f>Qty!G9</f>
        <v>0</v>
      </c>
      <c r="H20" s="58"/>
      <c r="I20" s="218">
        <f t="shared" ref="I20:AB20" si="1">I98+I176+I254</f>
        <v>54.268999999999998</v>
      </c>
      <c r="J20" s="218">
        <f t="shared" si="1"/>
        <v>7.9309999999999992</v>
      </c>
      <c r="K20" s="218">
        <f t="shared" si="1"/>
        <v>0</v>
      </c>
      <c r="L20" s="218">
        <f t="shared" si="1"/>
        <v>0</v>
      </c>
      <c r="M20" s="218">
        <f t="shared" si="1"/>
        <v>0</v>
      </c>
      <c r="N20" s="218">
        <f t="shared" si="1"/>
        <v>0</v>
      </c>
      <c r="O20" s="218">
        <f t="shared" si="1"/>
        <v>0</v>
      </c>
      <c r="P20" s="218">
        <f t="shared" si="1"/>
        <v>0</v>
      </c>
      <c r="Q20" s="218">
        <f t="shared" si="1"/>
        <v>0</v>
      </c>
      <c r="R20" s="218">
        <f t="shared" si="1"/>
        <v>0</v>
      </c>
      <c r="S20" s="218">
        <f t="shared" si="1"/>
        <v>0</v>
      </c>
      <c r="T20" s="218">
        <f t="shared" si="1"/>
        <v>0</v>
      </c>
      <c r="U20" s="218">
        <f t="shared" si="1"/>
        <v>0</v>
      </c>
      <c r="V20" s="218">
        <f t="shared" si="1"/>
        <v>0</v>
      </c>
      <c r="W20" s="218">
        <f t="shared" si="1"/>
        <v>0</v>
      </c>
      <c r="X20" s="218">
        <f t="shared" si="1"/>
        <v>0</v>
      </c>
      <c r="Y20" s="218">
        <f t="shared" si="1"/>
        <v>0</v>
      </c>
      <c r="Z20" s="218">
        <f t="shared" si="1"/>
        <v>0</v>
      </c>
      <c r="AA20" s="218">
        <f t="shared" si="1"/>
        <v>0</v>
      </c>
      <c r="AB20" s="218">
        <f t="shared" si="1"/>
        <v>0</v>
      </c>
      <c r="AC20" s="70"/>
      <c r="AD20" s="57"/>
      <c r="AE20" s="57"/>
      <c r="AF20" s="57"/>
      <c r="AG20" s="57"/>
    </row>
    <row r="21" spans="1:33" outlineLevel="2" x14ac:dyDescent="0.2">
      <c r="A21" s="19"/>
      <c r="B21" s="19"/>
      <c r="C21" s="506" t="str">
        <f>Qty!C10</f>
        <v>Residential time of use demand</v>
      </c>
      <c r="D21" s="505" t="str">
        <f>Qty!D10</f>
        <v>Residential</v>
      </c>
      <c r="E21" s="505" t="str">
        <f>Qty!E10</f>
        <v>TAS87</v>
      </c>
      <c r="F21" s="505">
        <f>Qty!F10</f>
        <v>0</v>
      </c>
      <c r="G21" s="505">
        <f>Qty!G10</f>
        <v>0</v>
      </c>
      <c r="H21" s="58"/>
      <c r="I21" s="218">
        <f t="shared" ref="I21:AB21" si="2">I99+I177+I255</f>
        <v>60.366999999999997</v>
      </c>
      <c r="J21" s="218">
        <f t="shared" si="2"/>
        <v>0</v>
      </c>
      <c r="K21" s="218">
        <f t="shared" si="2"/>
        <v>0</v>
      </c>
      <c r="L21" s="218">
        <f t="shared" si="2"/>
        <v>0</v>
      </c>
      <c r="M21" s="218">
        <f t="shared" si="2"/>
        <v>0</v>
      </c>
      <c r="N21" s="218">
        <f t="shared" si="2"/>
        <v>0</v>
      </c>
      <c r="O21" s="218">
        <f t="shared" si="2"/>
        <v>25.309000000000001</v>
      </c>
      <c r="P21" s="218">
        <f t="shared" si="2"/>
        <v>6.7420000000000009</v>
      </c>
      <c r="Q21" s="218">
        <f t="shared" si="2"/>
        <v>0</v>
      </c>
      <c r="R21" s="218">
        <f t="shared" si="2"/>
        <v>0</v>
      </c>
      <c r="S21" s="218">
        <f t="shared" si="2"/>
        <v>0</v>
      </c>
      <c r="T21" s="218">
        <f t="shared" si="2"/>
        <v>0</v>
      </c>
      <c r="U21" s="218">
        <f t="shared" si="2"/>
        <v>0</v>
      </c>
      <c r="V21" s="218">
        <f t="shared" si="2"/>
        <v>0</v>
      </c>
      <c r="W21" s="218">
        <f t="shared" si="2"/>
        <v>0</v>
      </c>
      <c r="X21" s="218">
        <f t="shared" si="2"/>
        <v>0</v>
      </c>
      <c r="Y21" s="218">
        <f t="shared" si="2"/>
        <v>0</v>
      </c>
      <c r="Z21" s="218">
        <f t="shared" si="2"/>
        <v>0</v>
      </c>
      <c r="AA21" s="218">
        <f t="shared" si="2"/>
        <v>0</v>
      </c>
      <c r="AB21" s="218">
        <f t="shared" si="2"/>
        <v>0</v>
      </c>
      <c r="AC21" s="70"/>
      <c r="AD21" s="19"/>
      <c r="AE21" s="19"/>
      <c r="AF21" s="19"/>
      <c r="AG21" s="19"/>
    </row>
    <row r="22" spans="1:33" outlineLevel="2" x14ac:dyDescent="0.2">
      <c r="A22" s="19"/>
      <c r="B22" s="19"/>
      <c r="C22" s="506" t="str">
        <f>Qty!C11</f>
        <v>Residential time of use demand DER</v>
      </c>
      <c r="D22" s="505" t="str">
        <f>Qty!D11</f>
        <v>Residential</v>
      </c>
      <c r="E22" s="505" t="str">
        <f>Qty!E11</f>
        <v>TAS97</v>
      </c>
      <c r="F22" s="505">
        <f>Qty!F11</f>
        <v>0</v>
      </c>
      <c r="G22" s="505">
        <f>Qty!G11</f>
        <v>0</v>
      </c>
      <c r="H22" s="58"/>
      <c r="I22" s="218">
        <f t="shared" ref="I22:AB22" si="3">I100+I178+I256</f>
        <v>60.366999999999997</v>
      </c>
      <c r="J22" s="218">
        <f t="shared" si="3"/>
        <v>0</v>
      </c>
      <c r="K22" s="218">
        <f t="shared" si="3"/>
        <v>0</v>
      </c>
      <c r="L22" s="218">
        <f t="shared" si="3"/>
        <v>0</v>
      </c>
      <c r="M22" s="218">
        <f t="shared" si="3"/>
        <v>0</v>
      </c>
      <c r="N22" s="218">
        <f t="shared" si="3"/>
        <v>0</v>
      </c>
      <c r="O22" s="218">
        <f t="shared" si="3"/>
        <v>25.309000000000001</v>
      </c>
      <c r="P22" s="218">
        <f t="shared" si="3"/>
        <v>6.7420000000000009</v>
      </c>
      <c r="Q22" s="218">
        <f t="shared" si="3"/>
        <v>0</v>
      </c>
      <c r="R22" s="218">
        <f t="shared" si="3"/>
        <v>0</v>
      </c>
      <c r="S22" s="218">
        <f t="shared" si="3"/>
        <v>0</v>
      </c>
      <c r="T22" s="218">
        <f t="shared" si="3"/>
        <v>0</v>
      </c>
      <c r="U22" s="218">
        <f t="shared" si="3"/>
        <v>0</v>
      </c>
      <c r="V22" s="218">
        <f t="shared" si="3"/>
        <v>0</v>
      </c>
      <c r="W22" s="218">
        <f t="shared" si="3"/>
        <v>0</v>
      </c>
      <c r="X22" s="218">
        <f t="shared" si="3"/>
        <v>0</v>
      </c>
      <c r="Y22" s="218">
        <f t="shared" si="3"/>
        <v>0</v>
      </c>
      <c r="Z22" s="218">
        <f t="shared" si="3"/>
        <v>0</v>
      </c>
      <c r="AA22" s="218">
        <f t="shared" si="3"/>
        <v>0</v>
      </c>
      <c r="AB22" s="218">
        <f t="shared" si="3"/>
        <v>0</v>
      </c>
      <c r="AC22" s="70"/>
      <c r="AD22" s="19"/>
      <c r="AE22" s="19"/>
      <c r="AF22" s="19"/>
      <c r="AG22" s="19"/>
    </row>
    <row r="23" spans="1:33" outlineLevel="2" x14ac:dyDescent="0.2">
      <c r="A23" s="19"/>
      <c r="B23" s="19"/>
      <c r="C23" s="506" t="str">
        <f>Qty!C12</f>
        <v>Residential pay as you go</v>
      </c>
      <c r="D23" s="505" t="str">
        <f>Qty!D12</f>
        <v>Residential</v>
      </c>
      <c r="E23" s="505" t="str">
        <f>Qty!E12</f>
        <v>TAS101</v>
      </c>
      <c r="F23" s="505">
        <f>Qty!F12</f>
        <v>0</v>
      </c>
      <c r="G23" s="505">
        <f>Qty!G12</f>
        <v>0</v>
      </c>
      <c r="H23" s="58"/>
      <c r="I23" s="218">
        <f t="shared" ref="I23:AB23" si="4">I101+I179+I257</f>
        <v>54.712000000000003</v>
      </c>
      <c r="J23" s="218">
        <f t="shared" si="4"/>
        <v>7.2919999999999998</v>
      </c>
      <c r="K23" s="218">
        <f t="shared" si="4"/>
        <v>0</v>
      </c>
      <c r="L23" s="218">
        <f t="shared" si="4"/>
        <v>0</v>
      </c>
      <c r="M23" s="218">
        <f t="shared" si="4"/>
        <v>0</v>
      </c>
      <c r="N23" s="218">
        <f t="shared" si="4"/>
        <v>0</v>
      </c>
      <c r="O23" s="218">
        <f t="shared" si="4"/>
        <v>0</v>
      </c>
      <c r="P23" s="218">
        <f t="shared" si="4"/>
        <v>0</v>
      </c>
      <c r="Q23" s="218">
        <f t="shared" si="4"/>
        <v>0</v>
      </c>
      <c r="R23" s="218">
        <f t="shared" si="4"/>
        <v>0</v>
      </c>
      <c r="S23" s="218">
        <f t="shared" si="4"/>
        <v>0</v>
      </c>
      <c r="T23" s="218">
        <f t="shared" si="4"/>
        <v>0</v>
      </c>
      <c r="U23" s="218">
        <f t="shared" si="4"/>
        <v>0</v>
      </c>
      <c r="V23" s="218">
        <f t="shared" si="4"/>
        <v>0</v>
      </c>
      <c r="W23" s="218">
        <f t="shared" si="4"/>
        <v>0</v>
      </c>
      <c r="X23" s="218">
        <f t="shared" si="4"/>
        <v>0</v>
      </c>
      <c r="Y23" s="218">
        <f t="shared" si="4"/>
        <v>0</v>
      </c>
      <c r="Z23" s="218">
        <f t="shared" si="4"/>
        <v>0</v>
      </c>
      <c r="AA23" s="218">
        <f t="shared" si="4"/>
        <v>0</v>
      </c>
      <c r="AB23" s="218">
        <f t="shared" si="4"/>
        <v>0</v>
      </c>
      <c r="AC23" s="70"/>
      <c r="AD23" s="19"/>
      <c r="AE23" s="19"/>
      <c r="AF23" s="19"/>
      <c r="AG23" s="19"/>
    </row>
    <row r="24" spans="1:33" outlineLevel="2" x14ac:dyDescent="0.2">
      <c r="A24" s="19"/>
      <c r="B24" s="19"/>
      <c r="C24" s="506" t="str">
        <f>Qty!C13</f>
        <v>Residential pay as you go time of use</v>
      </c>
      <c r="D24" s="505" t="str">
        <f>Qty!D13</f>
        <v>Residential</v>
      </c>
      <c r="E24" s="505" t="str">
        <f>Qty!E13</f>
        <v>TAS92</v>
      </c>
      <c r="F24" s="505">
        <f>Qty!F13</f>
        <v>0</v>
      </c>
      <c r="G24" s="505">
        <f>Qty!G13</f>
        <v>0</v>
      </c>
      <c r="H24" s="58"/>
      <c r="I24" s="218">
        <f t="shared" ref="I24:AB24" si="5">I102+I180+I258</f>
        <v>59.329000000000001</v>
      </c>
      <c r="J24" s="218">
        <f t="shared" si="5"/>
        <v>0</v>
      </c>
      <c r="K24" s="218">
        <f t="shared" si="5"/>
        <v>14.588000000000001</v>
      </c>
      <c r="L24" s="218">
        <f t="shared" si="5"/>
        <v>0</v>
      </c>
      <c r="M24" s="218">
        <f t="shared" si="5"/>
        <v>2.9169999999999998</v>
      </c>
      <c r="N24" s="218">
        <f t="shared" si="5"/>
        <v>0</v>
      </c>
      <c r="O24" s="218">
        <f t="shared" si="5"/>
        <v>0</v>
      </c>
      <c r="P24" s="218">
        <f t="shared" si="5"/>
        <v>0</v>
      </c>
      <c r="Q24" s="218">
        <f t="shared" si="5"/>
        <v>0</v>
      </c>
      <c r="R24" s="218">
        <f t="shared" si="5"/>
        <v>0</v>
      </c>
      <c r="S24" s="218">
        <f t="shared" si="5"/>
        <v>0</v>
      </c>
      <c r="T24" s="218">
        <f t="shared" si="5"/>
        <v>0</v>
      </c>
      <c r="U24" s="218">
        <f t="shared" si="5"/>
        <v>0</v>
      </c>
      <c r="V24" s="218">
        <f t="shared" si="5"/>
        <v>0</v>
      </c>
      <c r="W24" s="218">
        <f t="shared" si="5"/>
        <v>0</v>
      </c>
      <c r="X24" s="218">
        <f t="shared" si="5"/>
        <v>0</v>
      </c>
      <c r="Y24" s="218">
        <f t="shared" si="5"/>
        <v>0</v>
      </c>
      <c r="Z24" s="218">
        <f t="shared" si="5"/>
        <v>0</v>
      </c>
      <c r="AA24" s="218">
        <f t="shared" si="5"/>
        <v>0</v>
      </c>
      <c r="AB24" s="218">
        <f t="shared" si="5"/>
        <v>0</v>
      </c>
      <c r="AC24" s="70"/>
      <c r="AD24" s="19"/>
      <c r="AE24" s="19"/>
      <c r="AF24" s="19"/>
      <c r="AG24" s="19"/>
    </row>
    <row r="25" spans="1:33" outlineLevel="2" x14ac:dyDescent="0.2">
      <c r="A25" s="19"/>
      <c r="B25" s="19"/>
      <c r="C25" s="506" t="str">
        <f>Qty!C14</f>
        <v>Small business time of use consumption</v>
      </c>
      <c r="D25" s="505" t="str">
        <f>Qty!D14</f>
        <v>Small Business LV</v>
      </c>
      <c r="E25" s="505" t="str">
        <f>Qty!E14</f>
        <v>TAS94</v>
      </c>
      <c r="F25" s="505">
        <f>Qty!F14</f>
        <v>0</v>
      </c>
      <c r="G25" s="505">
        <f>Qty!G14</f>
        <v>0</v>
      </c>
      <c r="H25" s="58"/>
      <c r="I25" s="218">
        <f t="shared" ref="I25:AB25" si="6">I103+I181+I259</f>
        <v>70.975999999999999</v>
      </c>
      <c r="J25" s="218">
        <f t="shared" si="6"/>
        <v>0</v>
      </c>
      <c r="K25" s="218">
        <f t="shared" si="6"/>
        <v>10.210000000000001</v>
      </c>
      <c r="L25" s="218">
        <f t="shared" si="6"/>
        <v>6.1259999999999994</v>
      </c>
      <c r="M25" s="218">
        <f t="shared" si="6"/>
        <v>1.532</v>
      </c>
      <c r="N25" s="218">
        <f t="shared" si="6"/>
        <v>0</v>
      </c>
      <c r="O25" s="218">
        <f t="shared" si="6"/>
        <v>0</v>
      </c>
      <c r="P25" s="218">
        <f t="shared" si="6"/>
        <v>0</v>
      </c>
      <c r="Q25" s="218">
        <f t="shared" si="6"/>
        <v>0</v>
      </c>
      <c r="R25" s="218">
        <f t="shared" si="6"/>
        <v>0</v>
      </c>
      <c r="S25" s="218">
        <f t="shared" si="6"/>
        <v>0</v>
      </c>
      <c r="T25" s="218">
        <f t="shared" si="6"/>
        <v>0</v>
      </c>
      <c r="U25" s="218">
        <f t="shared" si="6"/>
        <v>0</v>
      </c>
      <c r="V25" s="218">
        <f t="shared" si="6"/>
        <v>0</v>
      </c>
      <c r="W25" s="218">
        <f t="shared" si="6"/>
        <v>0</v>
      </c>
      <c r="X25" s="218">
        <f t="shared" si="6"/>
        <v>0</v>
      </c>
      <c r="Y25" s="218">
        <f t="shared" si="6"/>
        <v>0</v>
      </c>
      <c r="Z25" s="218">
        <f t="shared" si="6"/>
        <v>0</v>
      </c>
      <c r="AA25" s="218">
        <f t="shared" si="6"/>
        <v>0</v>
      </c>
      <c r="AB25" s="218">
        <f t="shared" si="6"/>
        <v>0</v>
      </c>
      <c r="AC25" s="70"/>
      <c r="AD25" s="19"/>
      <c r="AE25" s="19"/>
      <c r="AF25" s="19"/>
      <c r="AG25" s="19"/>
    </row>
    <row r="26" spans="1:33" outlineLevel="2" x14ac:dyDescent="0.2">
      <c r="A26" s="19"/>
      <c r="B26" s="19"/>
      <c r="C26" s="506" t="str">
        <f>Qty!C15</f>
        <v>Small business general light and power</v>
      </c>
      <c r="D26" s="505" t="str">
        <f>Qty!D15</f>
        <v>Small Business LV</v>
      </c>
      <c r="E26" s="505" t="str">
        <f>Qty!E15</f>
        <v>TAS22</v>
      </c>
      <c r="F26" s="505">
        <f>Qty!F15</f>
        <v>0</v>
      </c>
      <c r="G26" s="505">
        <f>Qty!G15</f>
        <v>0</v>
      </c>
      <c r="H26" s="58"/>
      <c r="I26" s="218">
        <f t="shared" ref="I26:AB26" si="7">I104+I182+I260</f>
        <v>53.96</v>
      </c>
      <c r="J26" s="218">
        <f t="shared" si="7"/>
        <v>9.0719999999999992</v>
      </c>
      <c r="K26" s="218">
        <f t="shared" si="7"/>
        <v>0</v>
      </c>
      <c r="L26" s="218">
        <f t="shared" si="7"/>
        <v>0</v>
      </c>
      <c r="M26" s="218">
        <f t="shared" si="7"/>
        <v>0</v>
      </c>
      <c r="N26" s="218">
        <f t="shared" si="7"/>
        <v>0</v>
      </c>
      <c r="O26" s="218">
        <f t="shared" si="7"/>
        <v>0</v>
      </c>
      <c r="P26" s="218">
        <f t="shared" si="7"/>
        <v>0</v>
      </c>
      <c r="Q26" s="218">
        <f t="shared" si="7"/>
        <v>0</v>
      </c>
      <c r="R26" s="218">
        <f t="shared" si="7"/>
        <v>0</v>
      </c>
      <c r="S26" s="218">
        <f t="shared" si="7"/>
        <v>0</v>
      </c>
      <c r="T26" s="218">
        <f t="shared" si="7"/>
        <v>0</v>
      </c>
      <c r="U26" s="218">
        <f t="shared" si="7"/>
        <v>0</v>
      </c>
      <c r="V26" s="218">
        <f t="shared" si="7"/>
        <v>0</v>
      </c>
      <c r="W26" s="218">
        <f t="shared" si="7"/>
        <v>0</v>
      </c>
      <c r="X26" s="218">
        <f t="shared" si="7"/>
        <v>0</v>
      </c>
      <c r="Y26" s="218">
        <f t="shared" si="7"/>
        <v>0</v>
      </c>
      <c r="Z26" s="218">
        <f t="shared" si="7"/>
        <v>0</v>
      </c>
      <c r="AA26" s="218">
        <f t="shared" si="7"/>
        <v>0</v>
      </c>
      <c r="AB26" s="218">
        <f t="shared" si="7"/>
        <v>0</v>
      </c>
      <c r="AC26" s="70"/>
      <c r="AD26" s="19"/>
      <c r="AE26" s="19"/>
      <c r="AF26" s="19"/>
      <c r="AG26" s="19"/>
    </row>
    <row r="27" spans="1:33" outlineLevel="2" x14ac:dyDescent="0.2">
      <c r="A27" s="19"/>
      <c r="B27" s="19"/>
      <c r="C27" s="506" t="str">
        <f>Qty!C16</f>
        <v>Small business time of use demand</v>
      </c>
      <c r="D27" s="505" t="str">
        <f>Qty!D16</f>
        <v>Small Business LV</v>
      </c>
      <c r="E27" s="505" t="str">
        <f>Qty!E16</f>
        <v>TAS88</v>
      </c>
      <c r="F27" s="505">
        <f>Qty!F16</f>
        <v>0</v>
      </c>
      <c r="G27" s="505">
        <f>Qty!G16</f>
        <v>0</v>
      </c>
      <c r="H27" s="58"/>
      <c r="I27" s="218">
        <f t="shared" ref="I27:AB27" si="8">I105+I183+I261</f>
        <v>78.5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57.343999999999994</v>
      </c>
      <c r="P27" s="218">
        <f t="shared" si="8"/>
        <v>15.277000000000001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  <c r="AB27" s="218">
        <f t="shared" si="8"/>
        <v>0</v>
      </c>
      <c r="AC27" s="70"/>
      <c r="AD27" s="19"/>
      <c r="AE27" s="19"/>
      <c r="AF27" s="19"/>
      <c r="AG27" s="19"/>
    </row>
    <row r="28" spans="1:33" outlineLevel="2" x14ac:dyDescent="0.2">
      <c r="A28" s="19"/>
      <c r="B28" s="19"/>
      <c r="C28" s="506" t="str">
        <f>Qty!C17</f>
        <v>Small business time of use demand DER</v>
      </c>
      <c r="D28" s="505" t="str">
        <f>Qty!D17</f>
        <v>Small Business LV</v>
      </c>
      <c r="E28" s="505" t="str">
        <f>Qty!E17</f>
        <v>TAS98</v>
      </c>
      <c r="F28" s="505">
        <f>Qty!F17</f>
        <v>0</v>
      </c>
      <c r="G28" s="505">
        <f>Qty!G17</f>
        <v>0</v>
      </c>
      <c r="H28" s="58"/>
      <c r="I28" s="218">
        <f t="shared" ref="I28:AB28" si="9">I106+I184+I262</f>
        <v>78.5</v>
      </c>
      <c r="J28" s="218">
        <f t="shared" si="9"/>
        <v>0</v>
      </c>
      <c r="K28" s="218">
        <f t="shared" si="9"/>
        <v>0</v>
      </c>
      <c r="L28" s="218">
        <f t="shared" si="9"/>
        <v>0</v>
      </c>
      <c r="M28" s="218">
        <f t="shared" si="9"/>
        <v>0</v>
      </c>
      <c r="N28" s="218">
        <f t="shared" si="9"/>
        <v>0</v>
      </c>
      <c r="O28" s="218">
        <f t="shared" si="9"/>
        <v>57.343999999999994</v>
      </c>
      <c r="P28" s="218">
        <f t="shared" si="9"/>
        <v>15.277000000000001</v>
      </c>
      <c r="Q28" s="218">
        <f t="shared" si="9"/>
        <v>0</v>
      </c>
      <c r="R28" s="218">
        <f t="shared" si="9"/>
        <v>0</v>
      </c>
      <c r="S28" s="218">
        <f t="shared" si="9"/>
        <v>0</v>
      </c>
      <c r="T28" s="218">
        <f t="shared" si="9"/>
        <v>0</v>
      </c>
      <c r="U28" s="218">
        <f t="shared" si="9"/>
        <v>0</v>
      </c>
      <c r="V28" s="218">
        <f t="shared" si="9"/>
        <v>0</v>
      </c>
      <c r="W28" s="218">
        <f t="shared" si="9"/>
        <v>0</v>
      </c>
      <c r="X28" s="218">
        <f t="shared" si="9"/>
        <v>0</v>
      </c>
      <c r="Y28" s="218">
        <f t="shared" si="9"/>
        <v>0</v>
      </c>
      <c r="Z28" s="218">
        <f t="shared" si="9"/>
        <v>0</v>
      </c>
      <c r="AA28" s="218">
        <f t="shared" si="9"/>
        <v>0</v>
      </c>
      <c r="AB28" s="218">
        <f t="shared" si="9"/>
        <v>0</v>
      </c>
      <c r="AC28" s="70"/>
      <c r="AD28" s="19"/>
      <c r="AE28" s="19"/>
      <c r="AF28" s="19"/>
      <c r="AG28" s="19"/>
    </row>
    <row r="29" spans="1:33" outlineLevel="2" x14ac:dyDescent="0.2">
      <c r="A29" s="19"/>
      <c r="B29" s="19"/>
      <c r="C29" s="506" t="str">
        <f>Qty!C18</f>
        <v>Large business kVA demand</v>
      </c>
      <c r="D29" s="505" t="str">
        <f>Qty!D18</f>
        <v>Large Business LV</v>
      </c>
      <c r="E29" s="505" t="str">
        <f>Qty!E18</f>
        <v>TAS82</v>
      </c>
      <c r="F29" s="505">
        <f>Qty!F18</f>
        <v>0</v>
      </c>
      <c r="G29" s="505">
        <f>Qty!G18</f>
        <v>0</v>
      </c>
      <c r="H29" s="58"/>
      <c r="I29" s="218">
        <f t="shared" ref="I29:AB29" si="10">I107+I185+I263</f>
        <v>362.53100000000001</v>
      </c>
      <c r="J29" s="218">
        <f t="shared" si="10"/>
        <v>2.3239999999999998</v>
      </c>
      <c r="K29" s="218">
        <f t="shared" si="10"/>
        <v>0</v>
      </c>
      <c r="L29" s="218">
        <f t="shared" si="10"/>
        <v>0</v>
      </c>
      <c r="M29" s="218">
        <f t="shared" si="10"/>
        <v>0</v>
      </c>
      <c r="N29" s="218">
        <f t="shared" si="10"/>
        <v>33.278999999999996</v>
      </c>
      <c r="O29" s="218">
        <f t="shared" si="10"/>
        <v>0</v>
      </c>
      <c r="P29" s="218">
        <f t="shared" si="10"/>
        <v>0</v>
      </c>
      <c r="Q29" s="218">
        <f t="shared" si="10"/>
        <v>0</v>
      </c>
      <c r="R29" s="218">
        <f t="shared" si="10"/>
        <v>0</v>
      </c>
      <c r="S29" s="218">
        <f t="shared" si="10"/>
        <v>0</v>
      </c>
      <c r="T29" s="218">
        <f t="shared" si="10"/>
        <v>0</v>
      </c>
      <c r="U29" s="218">
        <f t="shared" si="10"/>
        <v>0</v>
      </c>
      <c r="V29" s="218">
        <f t="shared" si="10"/>
        <v>0</v>
      </c>
      <c r="W29" s="218">
        <f t="shared" si="10"/>
        <v>0</v>
      </c>
      <c r="X29" s="218">
        <f t="shared" si="10"/>
        <v>0</v>
      </c>
      <c r="Y29" s="218">
        <f t="shared" si="10"/>
        <v>0</v>
      </c>
      <c r="Z29" s="218">
        <f t="shared" si="10"/>
        <v>0</v>
      </c>
      <c r="AA29" s="218">
        <f t="shared" si="10"/>
        <v>0</v>
      </c>
      <c r="AB29" s="218">
        <f t="shared" si="10"/>
        <v>0</v>
      </c>
      <c r="AC29" s="70"/>
      <c r="AD29" s="19"/>
      <c r="AE29" s="19"/>
      <c r="AF29" s="19"/>
      <c r="AG29" s="19"/>
    </row>
    <row r="30" spans="1:33" outlineLevel="2" x14ac:dyDescent="0.2">
      <c r="A30" s="19"/>
      <c r="B30" s="19"/>
      <c r="C30" s="506" t="str">
        <f>Qty!C19</f>
        <v>Large business time of use demand</v>
      </c>
      <c r="D30" s="505" t="str">
        <f>Qty!D19</f>
        <v>Large Business LV</v>
      </c>
      <c r="E30" s="505" t="str">
        <f>Qty!E19</f>
        <v>TAS89</v>
      </c>
      <c r="F30" s="505">
        <f>Qty!F19</f>
        <v>0</v>
      </c>
      <c r="G30" s="505">
        <f>Qty!G19</f>
        <v>0</v>
      </c>
      <c r="H30" s="58"/>
      <c r="I30" s="218">
        <f t="shared" ref="I30:AB30" si="11">I108+I186+I264</f>
        <v>510.70499999999998</v>
      </c>
      <c r="J30" s="218">
        <f t="shared" si="11"/>
        <v>0</v>
      </c>
      <c r="K30" s="218">
        <f t="shared" si="11"/>
        <v>0</v>
      </c>
      <c r="L30" s="218">
        <f t="shared" si="11"/>
        <v>0</v>
      </c>
      <c r="M30" s="218">
        <f t="shared" si="11"/>
        <v>0</v>
      </c>
      <c r="N30" s="218">
        <f t="shared" si="11"/>
        <v>0</v>
      </c>
      <c r="O30" s="218">
        <f t="shared" si="11"/>
        <v>43.644000000000005</v>
      </c>
      <c r="P30" s="218">
        <f t="shared" si="11"/>
        <v>14.533999999999999</v>
      </c>
      <c r="Q30" s="218">
        <f t="shared" si="11"/>
        <v>0</v>
      </c>
      <c r="R30" s="218">
        <f t="shared" si="11"/>
        <v>0</v>
      </c>
      <c r="S30" s="218">
        <f t="shared" si="11"/>
        <v>0</v>
      </c>
      <c r="T30" s="218">
        <f t="shared" si="11"/>
        <v>0</v>
      </c>
      <c r="U30" s="218">
        <f t="shared" si="11"/>
        <v>0</v>
      </c>
      <c r="V30" s="218">
        <f t="shared" si="11"/>
        <v>0</v>
      </c>
      <c r="W30" s="218">
        <f t="shared" si="11"/>
        <v>0</v>
      </c>
      <c r="X30" s="218">
        <f t="shared" si="11"/>
        <v>0</v>
      </c>
      <c r="Y30" s="218">
        <f t="shared" si="11"/>
        <v>0</v>
      </c>
      <c r="Z30" s="218">
        <f t="shared" si="11"/>
        <v>0</v>
      </c>
      <c r="AA30" s="218">
        <f t="shared" si="11"/>
        <v>0</v>
      </c>
      <c r="AB30" s="218">
        <f t="shared" si="11"/>
        <v>0</v>
      </c>
      <c r="AC30" s="70"/>
      <c r="AD30" s="19"/>
      <c r="AE30" s="19"/>
      <c r="AF30" s="19"/>
      <c r="AG30" s="19"/>
    </row>
    <row r="31" spans="1:33" outlineLevel="2" x14ac:dyDescent="0.2">
      <c r="A31" s="19"/>
      <c r="B31" s="19"/>
      <c r="C31" s="506" t="str">
        <f>Qty!C20</f>
        <v>Irrigation time of use consumption</v>
      </c>
      <c r="D31" s="505" t="str">
        <f>Qty!D20</f>
        <v>Irrigation</v>
      </c>
      <c r="E31" s="505" t="str">
        <f>Qty!E20</f>
        <v>TAS75</v>
      </c>
      <c r="F31" s="505">
        <f>Qty!F20</f>
        <v>0</v>
      </c>
      <c r="G31" s="505">
        <f>Qty!G20</f>
        <v>0</v>
      </c>
      <c r="H31" s="58"/>
      <c r="I31" s="218">
        <f t="shared" ref="I31:AB31" si="12">I109+I187+I265</f>
        <v>259.733</v>
      </c>
      <c r="J31" s="218">
        <f t="shared" si="12"/>
        <v>0</v>
      </c>
      <c r="K31" s="218">
        <f t="shared" si="12"/>
        <v>10.124000000000001</v>
      </c>
      <c r="L31" s="218">
        <f t="shared" si="12"/>
        <v>6.0739999999999998</v>
      </c>
      <c r="M31" s="218">
        <f t="shared" si="12"/>
        <v>1.5190000000000001</v>
      </c>
      <c r="N31" s="218">
        <f t="shared" si="12"/>
        <v>0</v>
      </c>
      <c r="O31" s="218">
        <f t="shared" si="12"/>
        <v>0</v>
      </c>
      <c r="P31" s="218">
        <f t="shared" si="12"/>
        <v>0</v>
      </c>
      <c r="Q31" s="218">
        <f t="shared" si="12"/>
        <v>0</v>
      </c>
      <c r="R31" s="218">
        <f t="shared" si="12"/>
        <v>0</v>
      </c>
      <c r="S31" s="218">
        <f t="shared" si="12"/>
        <v>0</v>
      </c>
      <c r="T31" s="218">
        <f t="shared" si="12"/>
        <v>0</v>
      </c>
      <c r="U31" s="218">
        <f t="shared" si="12"/>
        <v>0</v>
      </c>
      <c r="V31" s="218">
        <f t="shared" si="12"/>
        <v>0</v>
      </c>
      <c r="W31" s="218">
        <f t="shared" si="12"/>
        <v>0</v>
      </c>
      <c r="X31" s="218">
        <f t="shared" si="12"/>
        <v>0</v>
      </c>
      <c r="Y31" s="218">
        <f t="shared" si="12"/>
        <v>0</v>
      </c>
      <c r="Z31" s="218">
        <f t="shared" si="12"/>
        <v>0</v>
      </c>
      <c r="AA31" s="218">
        <f t="shared" si="12"/>
        <v>0</v>
      </c>
      <c r="AB31" s="218">
        <f t="shared" si="12"/>
        <v>0</v>
      </c>
      <c r="AC31" s="70"/>
      <c r="AD31" s="19"/>
      <c r="AE31" s="19"/>
      <c r="AF31" s="19"/>
      <c r="AG31" s="19"/>
    </row>
    <row r="32" spans="1:33" outlineLevel="2" x14ac:dyDescent="0.2">
      <c r="A32" s="19"/>
      <c r="B32" s="19"/>
      <c r="C32" s="506" t="str">
        <f>Qty!C21</f>
        <v>Business HV kVA specified demand &lt;2MVA</v>
      </c>
      <c r="D32" s="505" t="str">
        <f>Qty!D21</f>
        <v>Large Business HV</v>
      </c>
      <c r="E32" s="505" t="str">
        <f>Qty!E21</f>
        <v>TASSDM</v>
      </c>
      <c r="F32" s="505">
        <f>Qty!F21</f>
        <v>0</v>
      </c>
      <c r="G32" s="505">
        <f>Qty!G21</f>
        <v>0</v>
      </c>
      <c r="H32" s="58"/>
      <c r="I32" s="218">
        <f t="shared" ref="I32:AB32" si="13">I110+I188+I266</f>
        <v>366.03300000000002</v>
      </c>
      <c r="J32" s="218">
        <f t="shared" si="13"/>
        <v>0</v>
      </c>
      <c r="K32" s="218">
        <f t="shared" si="13"/>
        <v>1.173</v>
      </c>
      <c r="L32" s="218">
        <f t="shared" si="13"/>
        <v>0.70399999999999996</v>
      </c>
      <c r="M32" s="218">
        <f t="shared" si="13"/>
        <v>0.17599999999999999</v>
      </c>
      <c r="N32" s="218">
        <f t="shared" si="13"/>
        <v>0</v>
      </c>
      <c r="O32" s="218">
        <f t="shared" si="13"/>
        <v>0</v>
      </c>
      <c r="P32" s="218">
        <f t="shared" si="13"/>
        <v>0</v>
      </c>
      <c r="Q32" s="218">
        <f t="shared" si="13"/>
        <v>19.108000000000001</v>
      </c>
      <c r="R32" s="218">
        <f t="shared" si="13"/>
        <v>191.08</v>
      </c>
      <c r="S32" s="218">
        <f t="shared" si="13"/>
        <v>0</v>
      </c>
      <c r="T32" s="218">
        <f t="shared" si="13"/>
        <v>0</v>
      </c>
      <c r="U32" s="218">
        <f t="shared" si="13"/>
        <v>0</v>
      </c>
      <c r="V32" s="218">
        <f t="shared" si="13"/>
        <v>0</v>
      </c>
      <c r="W32" s="218">
        <f t="shared" si="13"/>
        <v>0</v>
      </c>
      <c r="X32" s="218">
        <f t="shared" si="13"/>
        <v>0</v>
      </c>
      <c r="Y32" s="218">
        <f t="shared" si="13"/>
        <v>0</v>
      </c>
      <c r="Z32" s="218">
        <f t="shared" si="13"/>
        <v>0</v>
      </c>
      <c r="AA32" s="218">
        <f t="shared" si="13"/>
        <v>0</v>
      </c>
      <c r="AB32" s="218">
        <f t="shared" si="13"/>
        <v>0</v>
      </c>
      <c r="AC32" s="70"/>
      <c r="AD32" s="19"/>
      <c r="AE32" s="19"/>
      <c r="AF32" s="19"/>
      <c r="AG32" s="19"/>
    </row>
    <row r="33" spans="1:33" outlineLevel="2" x14ac:dyDescent="0.2">
      <c r="A33" s="19"/>
      <c r="B33" s="19"/>
      <c r="C33" s="506" t="str">
        <f>Qty!C22</f>
        <v>Business HV kVA specified demand &gt;2MVA</v>
      </c>
      <c r="D33" s="505" t="str">
        <f>Qty!D22</f>
        <v>Large Business HV</v>
      </c>
      <c r="E33" s="505" t="str">
        <f>Qty!E22</f>
        <v>TAS15*</v>
      </c>
      <c r="F33" s="505">
        <f>Qty!F22</f>
        <v>0</v>
      </c>
      <c r="G33" s="505">
        <f>Qty!G22</f>
        <v>0</v>
      </c>
      <c r="H33" s="58"/>
      <c r="I33" s="218">
        <f t="shared" ref="I33:AB33" si="14">I111+I189+I267</f>
        <v>3004.7</v>
      </c>
      <c r="J33" s="218">
        <f t="shared" si="14"/>
        <v>0</v>
      </c>
      <c r="K33" s="218">
        <f t="shared" si="14"/>
        <v>0.92800000000000005</v>
      </c>
      <c r="L33" s="218">
        <f t="shared" si="14"/>
        <v>0.55700000000000005</v>
      </c>
      <c r="M33" s="218">
        <f t="shared" si="14"/>
        <v>0.13900000000000001</v>
      </c>
      <c r="N33" s="218">
        <f t="shared" si="14"/>
        <v>0</v>
      </c>
      <c r="O33" s="218">
        <f t="shared" si="14"/>
        <v>0</v>
      </c>
      <c r="P33" s="218">
        <f t="shared" si="14"/>
        <v>0</v>
      </c>
      <c r="Q33" s="218">
        <f t="shared" si="14"/>
        <v>9.2129999999999992</v>
      </c>
      <c r="R33" s="218">
        <f t="shared" si="14"/>
        <v>46.064999999999998</v>
      </c>
      <c r="S33" s="218">
        <f t="shared" si="14"/>
        <v>0.33500000000000002</v>
      </c>
      <c r="T33" s="218">
        <f t="shared" si="14"/>
        <v>1.675</v>
      </c>
      <c r="U33" s="218">
        <f t="shared" si="14"/>
        <v>0</v>
      </c>
      <c r="V33" s="218">
        <f t="shared" si="14"/>
        <v>0</v>
      </c>
      <c r="W33" s="218">
        <f t="shared" si="14"/>
        <v>0</v>
      </c>
      <c r="X33" s="218">
        <f t="shared" si="14"/>
        <v>0</v>
      </c>
      <c r="Y33" s="218">
        <f t="shared" si="14"/>
        <v>0</v>
      </c>
      <c r="Z33" s="218">
        <f t="shared" si="14"/>
        <v>0</v>
      </c>
      <c r="AA33" s="218">
        <f t="shared" si="14"/>
        <v>0</v>
      </c>
      <c r="AB33" s="218">
        <f t="shared" si="14"/>
        <v>0</v>
      </c>
      <c r="AC33" s="70"/>
      <c r="AD33" s="19"/>
      <c r="AE33" s="19"/>
      <c r="AF33" s="19"/>
      <c r="AG33" s="19"/>
    </row>
    <row r="34" spans="1:33" outlineLevel="2" x14ac:dyDescent="0.2">
      <c r="A34" s="19"/>
      <c r="B34" s="19"/>
      <c r="C34" s="506" t="str">
        <f>Qty!C23</f>
        <v>Uncontrolled low voltage heating and hot water</v>
      </c>
      <c r="D34" s="505" t="str">
        <f>Qty!D23</f>
        <v>Uncontrolled energy</v>
      </c>
      <c r="E34" s="505" t="str">
        <f>Qty!E23</f>
        <v>TAS41</v>
      </c>
      <c r="F34" s="505">
        <f>Qty!F23</f>
        <v>0</v>
      </c>
      <c r="G34" s="505">
        <f>Qty!G23</f>
        <v>0</v>
      </c>
      <c r="H34" s="58"/>
      <c r="I34" s="218">
        <f t="shared" ref="I34:AB34" si="15">I112+I190+I268</f>
        <v>6.7060000000000004</v>
      </c>
      <c r="J34" s="218">
        <f t="shared" si="15"/>
        <v>5.8220000000000001</v>
      </c>
      <c r="K34" s="218">
        <f t="shared" si="15"/>
        <v>0</v>
      </c>
      <c r="L34" s="218">
        <f t="shared" si="15"/>
        <v>0</v>
      </c>
      <c r="M34" s="218">
        <f t="shared" si="15"/>
        <v>0</v>
      </c>
      <c r="N34" s="218">
        <f t="shared" si="15"/>
        <v>0</v>
      </c>
      <c r="O34" s="218">
        <f t="shared" si="15"/>
        <v>0</v>
      </c>
      <c r="P34" s="218">
        <f t="shared" si="15"/>
        <v>0</v>
      </c>
      <c r="Q34" s="218">
        <f t="shared" si="15"/>
        <v>0</v>
      </c>
      <c r="R34" s="218">
        <f t="shared" si="15"/>
        <v>0</v>
      </c>
      <c r="S34" s="218">
        <f t="shared" si="15"/>
        <v>0</v>
      </c>
      <c r="T34" s="218">
        <f t="shared" si="15"/>
        <v>0</v>
      </c>
      <c r="U34" s="218">
        <f t="shared" si="15"/>
        <v>0</v>
      </c>
      <c r="V34" s="218">
        <f t="shared" si="15"/>
        <v>0</v>
      </c>
      <c r="W34" s="218">
        <f t="shared" si="15"/>
        <v>0</v>
      </c>
      <c r="X34" s="218">
        <f t="shared" si="15"/>
        <v>0</v>
      </c>
      <c r="Y34" s="218">
        <f t="shared" si="15"/>
        <v>0</v>
      </c>
      <c r="Z34" s="218">
        <f t="shared" si="15"/>
        <v>0</v>
      </c>
      <c r="AA34" s="218">
        <f t="shared" si="15"/>
        <v>0</v>
      </c>
      <c r="AB34" s="218">
        <f t="shared" si="15"/>
        <v>0</v>
      </c>
      <c r="AC34" s="70"/>
      <c r="AD34" s="19"/>
      <c r="AE34" s="19"/>
      <c r="AF34" s="19"/>
      <c r="AG34" s="19"/>
    </row>
    <row r="35" spans="1:33" outlineLevel="2" x14ac:dyDescent="0.2">
      <c r="A35" s="19"/>
      <c r="B35" s="19"/>
      <c r="C35" s="506" t="str">
        <f>Qty!C24</f>
        <v>Controlled low voltage night period only</v>
      </c>
      <c r="D35" s="505" t="str">
        <f>Qty!D24</f>
        <v>Controlled energy</v>
      </c>
      <c r="E35" s="505" t="str">
        <f>Qty!E24</f>
        <v>TAS63</v>
      </c>
      <c r="F35" s="505">
        <f>Qty!F24</f>
        <v>0</v>
      </c>
      <c r="G35" s="505">
        <f>Qty!G24</f>
        <v>0</v>
      </c>
      <c r="H35" s="58"/>
      <c r="I35" s="218">
        <f t="shared" ref="I35:AB35" si="16">I113+I191+I269</f>
        <v>12.776999999999999</v>
      </c>
      <c r="J35" s="218">
        <f t="shared" si="16"/>
        <v>1.345</v>
      </c>
      <c r="K35" s="218">
        <f t="shared" si="16"/>
        <v>0</v>
      </c>
      <c r="L35" s="218">
        <f t="shared" si="16"/>
        <v>0</v>
      </c>
      <c r="M35" s="218">
        <f t="shared" si="16"/>
        <v>0</v>
      </c>
      <c r="N35" s="218">
        <f t="shared" si="16"/>
        <v>0</v>
      </c>
      <c r="O35" s="218">
        <f t="shared" si="16"/>
        <v>0</v>
      </c>
      <c r="P35" s="218">
        <f t="shared" si="16"/>
        <v>0</v>
      </c>
      <c r="Q35" s="218">
        <f t="shared" si="16"/>
        <v>0</v>
      </c>
      <c r="R35" s="218">
        <f t="shared" si="16"/>
        <v>0</v>
      </c>
      <c r="S35" s="218">
        <f t="shared" si="16"/>
        <v>0</v>
      </c>
      <c r="T35" s="218">
        <f t="shared" si="16"/>
        <v>0</v>
      </c>
      <c r="U35" s="218">
        <f t="shared" si="16"/>
        <v>0</v>
      </c>
      <c r="V35" s="218">
        <f t="shared" si="16"/>
        <v>0</v>
      </c>
      <c r="W35" s="218">
        <f t="shared" si="16"/>
        <v>0</v>
      </c>
      <c r="X35" s="218">
        <f t="shared" si="16"/>
        <v>0</v>
      </c>
      <c r="Y35" s="218">
        <f t="shared" si="16"/>
        <v>0</v>
      </c>
      <c r="Z35" s="218">
        <f t="shared" si="16"/>
        <v>0</v>
      </c>
      <c r="AA35" s="218">
        <f t="shared" si="16"/>
        <v>0</v>
      </c>
      <c r="AB35" s="218">
        <f t="shared" si="16"/>
        <v>0</v>
      </c>
      <c r="AC35" s="70"/>
      <c r="AD35" s="19"/>
      <c r="AE35" s="19"/>
      <c r="AF35" s="19"/>
      <c r="AG35" s="19"/>
    </row>
    <row r="36" spans="1:33" outlineLevel="2" x14ac:dyDescent="0.2">
      <c r="A36" s="19"/>
      <c r="B36" s="19"/>
      <c r="C36" s="506" t="str">
        <f>Qty!C25</f>
        <v>Controlled low voltage off peak with afternoon boost</v>
      </c>
      <c r="D36" s="505" t="str">
        <f>Qty!D25</f>
        <v>Controlled energy</v>
      </c>
      <c r="E36" s="505" t="str">
        <f>Qty!E25</f>
        <v>TAS61</v>
      </c>
      <c r="F36" s="505">
        <f>Qty!F25</f>
        <v>0</v>
      </c>
      <c r="G36" s="505">
        <f>Qty!G25</f>
        <v>0</v>
      </c>
      <c r="H36" s="58"/>
      <c r="I36" s="218">
        <f t="shared" ref="I36:AB36" si="17">I114+I192+I270</f>
        <v>12.776999999999999</v>
      </c>
      <c r="J36" s="218">
        <f t="shared" si="17"/>
        <v>1.5580000000000001</v>
      </c>
      <c r="K36" s="218">
        <f t="shared" si="17"/>
        <v>0</v>
      </c>
      <c r="L36" s="218">
        <f t="shared" si="17"/>
        <v>0</v>
      </c>
      <c r="M36" s="218">
        <f t="shared" si="17"/>
        <v>0</v>
      </c>
      <c r="N36" s="218">
        <f t="shared" si="17"/>
        <v>0</v>
      </c>
      <c r="O36" s="218">
        <f t="shared" si="17"/>
        <v>0</v>
      </c>
      <c r="P36" s="218">
        <f t="shared" si="17"/>
        <v>0</v>
      </c>
      <c r="Q36" s="218">
        <f t="shared" si="17"/>
        <v>0</v>
      </c>
      <c r="R36" s="218">
        <f t="shared" si="17"/>
        <v>0</v>
      </c>
      <c r="S36" s="218">
        <f t="shared" si="17"/>
        <v>0</v>
      </c>
      <c r="T36" s="218">
        <f t="shared" si="17"/>
        <v>0</v>
      </c>
      <c r="U36" s="218">
        <f t="shared" si="17"/>
        <v>0</v>
      </c>
      <c r="V36" s="218">
        <f t="shared" si="17"/>
        <v>0</v>
      </c>
      <c r="W36" s="218">
        <f t="shared" si="17"/>
        <v>0</v>
      </c>
      <c r="X36" s="218">
        <f t="shared" si="17"/>
        <v>0</v>
      </c>
      <c r="Y36" s="218">
        <f t="shared" si="17"/>
        <v>0</v>
      </c>
      <c r="Z36" s="218">
        <f t="shared" si="17"/>
        <v>0</v>
      </c>
      <c r="AA36" s="218">
        <f t="shared" si="17"/>
        <v>0</v>
      </c>
      <c r="AB36" s="218">
        <f t="shared" si="17"/>
        <v>0</v>
      </c>
      <c r="AC36" s="70"/>
      <c r="AD36" s="19"/>
      <c r="AE36" s="19"/>
      <c r="AF36" s="19"/>
      <c r="AG36" s="19"/>
    </row>
    <row r="37" spans="1:33" outlineLevel="2" x14ac:dyDescent="0.2">
      <c r="A37" s="19"/>
      <c r="B37" s="19"/>
      <c r="C37" s="506" t="str">
        <f>Qty!C26</f>
        <v>Unmetered supply general</v>
      </c>
      <c r="D37" s="505" t="str">
        <f>Qty!D26</f>
        <v>Unmetered supplies</v>
      </c>
      <c r="E37" s="505" t="str">
        <f>Qty!E26</f>
        <v>TASUMS</v>
      </c>
      <c r="F37" s="505">
        <f>Qty!F26</f>
        <v>0</v>
      </c>
      <c r="G37" s="505">
        <f>Qty!G26</f>
        <v>0</v>
      </c>
      <c r="H37" s="58"/>
      <c r="I37" s="218">
        <f t="shared" ref="I37:AB37" si="18">I115+I193+I271</f>
        <v>53.96</v>
      </c>
      <c r="J37" s="218">
        <f t="shared" si="18"/>
        <v>10.637</v>
      </c>
      <c r="K37" s="218">
        <f t="shared" si="18"/>
        <v>0</v>
      </c>
      <c r="L37" s="218">
        <f t="shared" si="18"/>
        <v>0</v>
      </c>
      <c r="M37" s="218">
        <f t="shared" si="18"/>
        <v>0</v>
      </c>
      <c r="N37" s="218">
        <f t="shared" si="18"/>
        <v>0</v>
      </c>
      <c r="O37" s="218">
        <f t="shared" si="18"/>
        <v>0</v>
      </c>
      <c r="P37" s="218">
        <f t="shared" si="18"/>
        <v>0</v>
      </c>
      <c r="Q37" s="218">
        <f t="shared" si="18"/>
        <v>0</v>
      </c>
      <c r="R37" s="218">
        <f t="shared" si="18"/>
        <v>0</v>
      </c>
      <c r="S37" s="218">
        <f t="shared" si="18"/>
        <v>0</v>
      </c>
      <c r="T37" s="218">
        <f t="shared" si="18"/>
        <v>0</v>
      </c>
      <c r="U37" s="218">
        <f t="shared" si="18"/>
        <v>0</v>
      </c>
      <c r="V37" s="218">
        <f t="shared" si="18"/>
        <v>0</v>
      </c>
      <c r="W37" s="218">
        <f t="shared" si="18"/>
        <v>0</v>
      </c>
      <c r="X37" s="218">
        <f t="shared" si="18"/>
        <v>0</v>
      </c>
      <c r="Y37" s="218">
        <f t="shared" si="18"/>
        <v>0</v>
      </c>
      <c r="Z37" s="218">
        <f t="shared" si="18"/>
        <v>0</v>
      </c>
      <c r="AA37" s="218">
        <f t="shared" si="18"/>
        <v>0</v>
      </c>
      <c r="AB37" s="218">
        <f t="shared" si="18"/>
        <v>0</v>
      </c>
      <c r="AC37" s="70"/>
      <c r="AD37" s="19"/>
      <c r="AE37" s="19"/>
      <c r="AF37" s="19"/>
      <c r="AG37" s="19"/>
    </row>
    <row r="38" spans="1:33" outlineLevel="2" x14ac:dyDescent="0.2">
      <c r="A38" s="19"/>
      <c r="B38" s="19"/>
      <c r="C38" s="506" t="str">
        <f>Qty!C27</f>
        <v>Street lighting</v>
      </c>
      <c r="D38" s="505" t="str">
        <f>Qty!D27</f>
        <v>Street lighting</v>
      </c>
      <c r="E38" s="505" t="str">
        <f>Qty!E27</f>
        <v>TASUMSSL</v>
      </c>
      <c r="F38" s="505">
        <f>Qty!F27</f>
        <v>0</v>
      </c>
      <c r="G38" s="505">
        <f>Qty!G27</f>
        <v>0</v>
      </c>
      <c r="H38" s="58"/>
      <c r="I38" s="218">
        <f t="shared" ref="I38:AB38" si="19">I116+I194+I272</f>
        <v>0</v>
      </c>
      <c r="J38" s="218">
        <f t="shared" si="19"/>
        <v>0</v>
      </c>
      <c r="K38" s="218">
        <f t="shared" si="19"/>
        <v>0</v>
      </c>
      <c r="L38" s="218">
        <f t="shared" si="19"/>
        <v>0</v>
      </c>
      <c r="M38" s="218">
        <f t="shared" si="19"/>
        <v>0</v>
      </c>
      <c r="N38" s="218">
        <f t="shared" si="19"/>
        <v>0</v>
      </c>
      <c r="O38" s="218">
        <f t="shared" si="19"/>
        <v>0</v>
      </c>
      <c r="P38" s="218">
        <f t="shared" si="19"/>
        <v>0</v>
      </c>
      <c r="Q38" s="218">
        <f t="shared" si="19"/>
        <v>0</v>
      </c>
      <c r="R38" s="218">
        <f t="shared" si="19"/>
        <v>0</v>
      </c>
      <c r="S38" s="218">
        <f t="shared" si="19"/>
        <v>0</v>
      </c>
      <c r="T38" s="218">
        <f t="shared" si="19"/>
        <v>0</v>
      </c>
      <c r="U38" s="218">
        <f t="shared" si="19"/>
        <v>0.11</v>
      </c>
      <c r="V38" s="218">
        <f t="shared" si="19"/>
        <v>0</v>
      </c>
      <c r="W38" s="218">
        <f t="shared" si="19"/>
        <v>0</v>
      </c>
      <c r="X38" s="218">
        <f t="shared" si="19"/>
        <v>0</v>
      </c>
      <c r="Y38" s="218">
        <f t="shared" si="19"/>
        <v>0</v>
      </c>
      <c r="Z38" s="218">
        <f t="shared" si="19"/>
        <v>0</v>
      </c>
      <c r="AA38" s="218">
        <f t="shared" si="19"/>
        <v>0</v>
      </c>
      <c r="AB38" s="218">
        <f t="shared" si="19"/>
        <v>0</v>
      </c>
      <c r="AC38" s="70"/>
      <c r="AD38" s="19"/>
      <c r="AE38" s="19"/>
      <c r="AF38" s="19"/>
      <c r="AG38" s="19"/>
    </row>
    <row r="39" spans="1:33" outlineLevel="2" x14ac:dyDescent="0.2">
      <c r="A39" s="19"/>
      <c r="B39" s="19"/>
      <c r="C39" s="506">
        <f>Qty!C28</f>
        <v>0</v>
      </c>
      <c r="D39" s="505">
        <f>Qty!D28</f>
        <v>0</v>
      </c>
      <c r="E39" s="505">
        <f>Qty!E28</f>
        <v>0</v>
      </c>
      <c r="F39" s="505">
        <f>Qty!F28</f>
        <v>0</v>
      </c>
      <c r="G39" s="505">
        <f>Qty!G28</f>
        <v>0</v>
      </c>
      <c r="H39" s="58"/>
      <c r="I39" s="218">
        <f t="shared" ref="I39:AB39" si="20">I117+I195+I273</f>
        <v>0</v>
      </c>
      <c r="J39" s="218">
        <f t="shared" si="20"/>
        <v>0</v>
      </c>
      <c r="K39" s="218">
        <f t="shared" si="20"/>
        <v>0</v>
      </c>
      <c r="L39" s="218">
        <f t="shared" si="20"/>
        <v>0</v>
      </c>
      <c r="M39" s="218">
        <f t="shared" si="20"/>
        <v>0</v>
      </c>
      <c r="N39" s="218">
        <f t="shared" si="20"/>
        <v>0</v>
      </c>
      <c r="O39" s="218">
        <f t="shared" si="20"/>
        <v>0</v>
      </c>
      <c r="P39" s="218">
        <f t="shared" si="20"/>
        <v>0</v>
      </c>
      <c r="Q39" s="218">
        <f t="shared" si="20"/>
        <v>0</v>
      </c>
      <c r="R39" s="218">
        <f t="shared" si="20"/>
        <v>0</v>
      </c>
      <c r="S39" s="218">
        <f t="shared" si="20"/>
        <v>0</v>
      </c>
      <c r="T39" s="218">
        <f t="shared" si="20"/>
        <v>0</v>
      </c>
      <c r="U39" s="218">
        <f t="shared" si="20"/>
        <v>0</v>
      </c>
      <c r="V39" s="218">
        <f t="shared" si="20"/>
        <v>0</v>
      </c>
      <c r="W39" s="218">
        <f t="shared" si="20"/>
        <v>0</v>
      </c>
      <c r="X39" s="218">
        <f t="shared" si="20"/>
        <v>0</v>
      </c>
      <c r="Y39" s="218">
        <f t="shared" si="20"/>
        <v>0</v>
      </c>
      <c r="Z39" s="218">
        <f t="shared" si="20"/>
        <v>0</v>
      </c>
      <c r="AA39" s="218">
        <f t="shared" si="20"/>
        <v>0</v>
      </c>
      <c r="AB39" s="218">
        <f t="shared" si="20"/>
        <v>0</v>
      </c>
      <c r="AC39" s="70"/>
      <c r="AD39" s="19"/>
      <c r="AE39" s="19"/>
      <c r="AF39" s="19"/>
      <c r="AG39" s="19"/>
    </row>
    <row r="40" spans="1:33" hidden="1" outlineLevel="3" x14ac:dyDescent="0.2">
      <c r="A40" s="19"/>
      <c r="B40" s="19"/>
      <c r="C40" s="506">
        <f>Qty!C29</f>
        <v>0</v>
      </c>
      <c r="D40" s="505">
        <f>Qty!D29</f>
        <v>0</v>
      </c>
      <c r="E40" s="505">
        <f>Qty!E29</f>
        <v>0</v>
      </c>
      <c r="F40" s="505">
        <f>Qty!F29</f>
        <v>0</v>
      </c>
      <c r="G40" s="505">
        <f>Qty!G29</f>
        <v>0</v>
      </c>
      <c r="H40" s="58"/>
      <c r="I40" s="218">
        <f t="shared" ref="I40:AB40" si="21">I118+I196+I274</f>
        <v>0</v>
      </c>
      <c r="J40" s="218">
        <f t="shared" si="21"/>
        <v>0</v>
      </c>
      <c r="K40" s="218">
        <f t="shared" si="21"/>
        <v>0</v>
      </c>
      <c r="L40" s="218">
        <f t="shared" si="21"/>
        <v>0</v>
      </c>
      <c r="M40" s="218">
        <f t="shared" si="21"/>
        <v>0</v>
      </c>
      <c r="N40" s="218">
        <f t="shared" si="21"/>
        <v>0</v>
      </c>
      <c r="O40" s="218">
        <f t="shared" si="21"/>
        <v>0</v>
      </c>
      <c r="P40" s="218">
        <f t="shared" si="21"/>
        <v>0</v>
      </c>
      <c r="Q40" s="218">
        <f t="shared" si="21"/>
        <v>0</v>
      </c>
      <c r="R40" s="218">
        <f t="shared" si="21"/>
        <v>0</v>
      </c>
      <c r="S40" s="218">
        <f t="shared" si="21"/>
        <v>0</v>
      </c>
      <c r="T40" s="218">
        <f t="shared" si="21"/>
        <v>0</v>
      </c>
      <c r="U40" s="218">
        <f t="shared" si="21"/>
        <v>0</v>
      </c>
      <c r="V40" s="218">
        <f t="shared" si="21"/>
        <v>0</v>
      </c>
      <c r="W40" s="218">
        <f t="shared" si="21"/>
        <v>0</v>
      </c>
      <c r="X40" s="218">
        <f t="shared" si="21"/>
        <v>0</v>
      </c>
      <c r="Y40" s="218">
        <f t="shared" si="21"/>
        <v>0</v>
      </c>
      <c r="Z40" s="218">
        <f t="shared" si="21"/>
        <v>0</v>
      </c>
      <c r="AA40" s="218">
        <f t="shared" si="21"/>
        <v>0</v>
      </c>
      <c r="AB40" s="218">
        <f t="shared" si="21"/>
        <v>0</v>
      </c>
      <c r="AC40" s="70"/>
      <c r="AD40" s="19"/>
      <c r="AE40" s="19"/>
      <c r="AF40" s="19"/>
      <c r="AG40" s="19"/>
    </row>
    <row r="41" spans="1:33" hidden="1" outlineLevel="3" x14ac:dyDescent="0.2">
      <c r="A41" s="19"/>
      <c r="B41" s="19"/>
      <c r="C41" s="506">
        <f>Qty!C30</f>
        <v>0</v>
      </c>
      <c r="D41" s="505">
        <f>Qty!D30</f>
        <v>0</v>
      </c>
      <c r="E41" s="505">
        <f>Qty!E30</f>
        <v>0</v>
      </c>
      <c r="F41" s="505">
        <f>Qty!F30</f>
        <v>0</v>
      </c>
      <c r="G41" s="505">
        <f>Qty!G30</f>
        <v>0</v>
      </c>
      <c r="H41" s="58"/>
      <c r="I41" s="218">
        <f t="shared" ref="I41:AB41" si="22">I119+I197+I275</f>
        <v>0</v>
      </c>
      <c r="J41" s="218">
        <f t="shared" si="22"/>
        <v>0</v>
      </c>
      <c r="K41" s="218">
        <f t="shared" si="22"/>
        <v>0</v>
      </c>
      <c r="L41" s="218">
        <f t="shared" si="22"/>
        <v>0</v>
      </c>
      <c r="M41" s="218">
        <f t="shared" si="22"/>
        <v>0</v>
      </c>
      <c r="N41" s="218">
        <f t="shared" si="22"/>
        <v>0</v>
      </c>
      <c r="O41" s="218">
        <f t="shared" si="22"/>
        <v>0</v>
      </c>
      <c r="P41" s="218">
        <f t="shared" si="22"/>
        <v>0</v>
      </c>
      <c r="Q41" s="218">
        <f t="shared" si="22"/>
        <v>0</v>
      </c>
      <c r="R41" s="218">
        <f t="shared" si="22"/>
        <v>0</v>
      </c>
      <c r="S41" s="218">
        <f t="shared" si="22"/>
        <v>0</v>
      </c>
      <c r="T41" s="218">
        <f t="shared" si="22"/>
        <v>0</v>
      </c>
      <c r="U41" s="218">
        <f t="shared" si="22"/>
        <v>0</v>
      </c>
      <c r="V41" s="218">
        <f t="shared" si="22"/>
        <v>0</v>
      </c>
      <c r="W41" s="218">
        <f t="shared" si="22"/>
        <v>0</v>
      </c>
      <c r="X41" s="218">
        <f t="shared" si="22"/>
        <v>0</v>
      </c>
      <c r="Y41" s="218">
        <f t="shared" si="22"/>
        <v>0</v>
      </c>
      <c r="Z41" s="218">
        <f t="shared" si="22"/>
        <v>0</v>
      </c>
      <c r="AA41" s="218">
        <f t="shared" si="22"/>
        <v>0</v>
      </c>
      <c r="AB41" s="218">
        <f t="shared" si="22"/>
        <v>0</v>
      </c>
      <c r="AC41" s="70"/>
      <c r="AD41" s="19"/>
      <c r="AE41" s="19"/>
      <c r="AF41" s="19"/>
      <c r="AG41" s="19"/>
    </row>
    <row r="42" spans="1:33" hidden="1" outlineLevel="3" x14ac:dyDescent="0.2">
      <c r="A42" s="19"/>
      <c r="B42" s="19"/>
      <c r="C42" s="506">
        <f>Qty!C31</f>
        <v>0</v>
      </c>
      <c r="D42" s="505">
        <f>Qty!D31</f>
        <v>0</v>
      </c>
      <c r="E42" s="505">
        <f>Qty!E31</f>
        <v>0</v>
      </c>
      <c r="F42" s="505">
        <f>Qty!F31</f>
        <v>0</v>
      </c>
      <c r="G42" s="505">
        <f>Qty!G31</f>
        <v>0</v>
      </c>
      <c r="H42" s="58"/>
      <c r="I42" s="218">
        <f t="shared" ref="I42:AB42" si="23">I120+I198+I276</f>
        <v>0</v>
      </c>
      <c r="J42" s="218">
        <f t="shared" si="23"/>
        <v>0</v>
      </c>
      <c r="K42" s="218">
        <f t="shared" si="23"/>
        <v>0</v>
      </c>
      <c r="L42" s="218">
        <f t="shared" si="23"/>
        <v>0</v>
      </c>
      <c r="M42" s="218">
        <f t="shared" si="23"/>
        <v>0</v>
      </c>
      <c r="N42" s="218">
        <f t="shared" si="23"/>
        <v>0</v>
      </c>
      <c r="O42" s="218">
        <f t="shared" si="23"/>
        <v>0</v>
      </c>
      <c r="P42" s="218">
        <f t="shared" si="23"/>
        <v>0</v>
      </c>
      <c r="Q42" s="218">
        <f t="shared" si="23"/>
        <v>0</v>
      </c>
      <c r="R42" s="218">
        <f t="shared" si="23"/>
        <v>0</v>
      </c>
      <c r="S42" s="218">
        <f t="shared" si="23"/>
        <v>0</v>
      </c>
      <c r="T42" s="218">
        <f t="shared" si="23"/>
        <v>0</v>
      </c>
      <c r="U42" s="218">
        <f t="shared" si="23"/>
        <v>0</v>
      </c>
      <c r="V42" s="218">
        <f t="shared" si="23"/>
        <v>0</v>
      </c>
      <c r="W42" s="218">
        <f t="shared" si="23"/>
        <v>0</v>
      </c>
      <c r="X42" s="218">
        <f t="shared" si="23"/>
        <v>0</v>
      </c>
      <c r="Y42" s="218">
        <f t="shared" si="23"/>
        <v>0</v>
      </c>
      <c r="Z42" s="218">
        <f t="shared" si="23"/>
        <v>0</v>
      </c>
      <c r="AA42" s="218">
        <f t="shared" si="23"/>
        <v>0</v>
      </c>
      <c r="AB42" s="218">
        <f t="shared" si="23"/>
        <v>0</v>
      </c>
      <c r="AC42" s="70"/>
      <c r="AD42" s="19"/>
      <c r="AE42" s="19"/>
      <c r="AF42" s="19"/>
      <c r="AG42" s="19"/>
    </row>
    <row r="43" spans="1:33" hidden="1" outlineLevel="3" x14ac:dyDescent="0.2">
      <c r="A43" s="19"/>
      <c r="B43" s="19"/>
      <c r="C43" s="506">
        <f>Qty!C32</f>
        <v>0</v>
      </c>
      <c r="D43" s="505">
        <f>Qty!D32</f>
        <v>0</v>
      </c>
      <c r="E43" s="505">
        <f>Qty!E32</f>
        <v>0</v>
      </c>
      <c r="F43" s="505">
        <f>Qty!F32</f>
        <v>0</v>
      </c>
      <c r="G43" s="505">
        <f>Qty!G32</f>
        <v>0</v>
      </c>
      <c r="H43" s="58"/>
      <c r="I43" s="218">
        <f t="shared" ref="I43:AB43" si="24">I121+I199+I277</f>
        <v>0</v>
      </c>
      <c r="J43" s="218">
        <f t="shared" si="24"/>
        <v>0</v>
      </c>
      <c r="K43" s="218">
        <f t="shared" si="24"/>
        <v>0</v>
      </c>
      <c r="L43" s="218">
        <f t="shared" si="24"/>
        <v>0</v>
      </c>
      <c r="M43" s="218">
        <f t="shared" si="24"/>
        <v>0</v>
      </c>
      <c r="N43" s="218">
        <f t="shared" si="24"/>
        <v>0</v>
      </c>
      <c r="O43" s="218">
        <f t="shared" si="24"/>
        <v>0</v>
      </c>
      <c r="P43" s="218">
        <f t="shared" si="24"/>
        <v>0</v>
      </c>
      <c r="Q43" s="218">
        <f t="shared" si="24"/>
        <v>0</v>
      </c>
      <c r="R43" s="218">
        <f t="shared" si="24"/>
        <v>0</v>
      </c>
      <c r="S43" s="218">
        <f t="shared" si="24"/>
        <v>0</v>
      </c>
      <c r="T43" s="218">
        <f t="shared" si="24"/>
        <v>0</v>
      </c>
      <c r="U43" s="218">
        <f t="shared" si="24"/>
        <v>0</v>
      </c>
      <c r="V43" s="218">
        <f t="shared" si="24"/>
        <v>0</v>
      </c>
      <c r="W43" s="218">
        <f t="shared" si="24"/>
        <v>0</v>
      </c>
      <c r="X43" s="218">
        <f t="shared" si="24"/>
        <v>0</v>
      </c>
      <c r="Y43" s="218">
        <f t="shared" si="24"/>
        <v>0</v>
      </c>
      <c r="Z43" s="218">
        <f t="shared" si="24"/>
        <v>0</v>
      </c>
      <c r="AA43" s="218">
        <f t="shared" si="24"/>
        <v>0</v>
      </c>
      <c r="AB43" s="218">
        <f t="shared" si="24"/>
        <v>0</v>
      </c>
      <c r="AC43" s="70"/>
      <c r="AD43" s="19"/>
      <c r="AE43" s="19"/>
      <c r="AF43" s="19"/>
      <c r="AG43" s="19"/>
    </row>
    <row r="44" spans="1:33" hidden="1" outlineLevel="3" x14ac:dyDescent="0.2">
      <c r="A44" s="19"/>
      <c r="B44" s="19"/>
      <c r="C44" s="506">
        <f>Qty!C33</f>
        <v>0</v>
      </c>
      <c r="D44" s="505">
        <f>Qty!D33</f>
        <v>0</v>
      </c>
      <c r="E44" s="505">
        <f>Qty!E33</f>
        <v>0</v>
      </c>
      <c r="F44" s="505">
        <f>Qty!F33</f>
        <v>0</v>
      </c>
      <c r="G44" s="505">
        <f>Qty!G33</f>
        <v>0</v>
      </c>
      <c r="H44" s="58"/>
      <c r="I44" s="218">
        <f t="shared" ref="I44:AB44" si="25">I122+I200+I278</f>
        <v>0</v>
      </c>
      <c r="J44" s="218">
        <f t="shared" si="25"/>
        <v>0</v>
      </c>
      <c r="K44" s="218">
        <f t="shared" si="25"/>
        <v>0</v>
      </c>
      <c r="L44" s="218">
        <f t="shared" si="25"/>
        <v>0</v>
      </c>
      <c r="M44" s="218">
        <f t="shared" si="25"/>
        <v>0</v>
      </c>
      <c r="N44" s="218">
        <f t="shared" si="25"/>
        <v>0</v>
      </c>
      <c r="O44" s="218">
        <f t="shared" si="25"/>
        <v>0</v>
      </c>
      <c r="P44" s="218">
        <f t="shared" si="25"/>
        <v>0</v>
      </c>
      <c r="Q44" s="218">
        <f t="shared" si="25"/>
        <v>0</v>
      </c>
      <c r="R44" s="218">
        <f t="shared" si="25"/>
        <v>0</v>
      </c>
      <c r="S44" s="218">
        <f t="shared" si="25"/>
        <v>0</v>
      </c>
      <c r="T44" s="218">
        <f t="shared" si="25"/>
        <v>0</v>
      </c>
      <c r="U44" s="218">
        <f t="shared" si="25"/>
        <v>0</v>
      </c>
      <c r="V44" s="218">
        <f t="shared" si="25"/>
        <v>0</v>
      </c>
      <c r="W44" s="218">
        <f t="shared" si="25"/>
        <v>0</v>
      </c>
      <c r="X44" s="218">
        <f t="shared" si="25"/>
        <v>0</v>
      </c>
      <c r="Y44" s="218">
        <f t="shared" si="25"/>
        <v>0</v>
      </c>
      <c r="Z44" s="218">
        <f t="shared" si="25"/>
        <v>0</v>
      </c>
      <c r="AA44" s="218">
        <f t="shared" si="25"/>
        <v>0</v>
      </c>
      <c r="AB44" s="218">
        <f t="shared" si="25"/>
        <v>0</v>
      </c>
      <c r="AC44" s="70"/>
      <c r="AD44" s="19"/>
      <c r="AE44" s="19"/>
      <c r="AF44" s="19"/>
      <c r="AG44" s="19"/>
    </row>
    <row r="45" spans="1:33" hidden="1" outlineLevel="3" x14ac:dyDescent="0.2">
      <c r="A45" s="19"/>
      <c r="B45" s="19"/>
      <c r="C45" s="506">
        <f>Qty!C34</f>
        <v>0</v>
      </c>
      <c r="D45" s="505">
        <f>Qty!D34</f>
        <v>0</v>
      </c>
      <c r="E45" s="505">
        <f>Qty!E34</f>
        <v>0</v>
      </c>
      <c r="F45" s="505">
        <f>Qty!F34</f>
        <v>0</v>
      </c>
      <c r="G45" s="505">
        <f>Qty!G34</f>
        <v>0</v>
      </c>
      <c r="H45" s="58"/>
      <c r="I45" s="218">
        <f t="shared" ref="I45:AB45" si="26">I123+I201+I279</f>
        <v>0</v>
      </c>
      <c r="J45" s="218">
        <f t="shared" si="26"/>
        <v>0</v>
      </c>
      <c r="K45" s="218">
        <f t="shared" si="26"/>
        <v>0</v>
      </c>
      <c r="L45" s="218">
        <f t="shared" si="26"/>
        <v>0</v>
      </c>
      <c r="M45" s="218">
        <f t="shared" si="26"/>
        <v>0</v>
      </c>
      <c r="N45" s="218">
        <f t="shared" si="26"/>
        <v>0</v>
      </c>
      <c r="O45" s="218">
        <f t="shared" si="26"/>
        <v>0</v>
      </c>
      <c r="P45" s="218">
        <f t="shared" si="26"/>
        <v>0</v>
      </c>
      <c r="Q45" s="218">
        <f t="shared" si="26"/>
        <v>0</v>
      </c>
      <c r="R45" s="218">
        <f t="shared" si="26"/>
        <v>0</v>
      </c>
      <c r="S45" s="218">
        <f t="shared" si="26"/>
        <v>0</v>
      </c>
      <c r="T45" s="218">
        <f t="shared" si="26"/>
        <v>0</v>
      </c>
      <c r="U45" s="218">
        <f t="shared" si="26"/>
        <v>0</v>
      </c>
      <c r="V45" s="218">
        <f t="shared" si="26"/>
        <v>0</v>
      </c>
      <c r="W45" s="218">
        <f t="shared" si="26"/>
        <v>0</v>
      </c>
      <c r="X45" s="218">
        <f t="shared" si="26"/>
        <v>0</v>
      </c>
      <c r="Y45" s="218">
        <f t="shared" si="26"/>
        <v>0</v>
      </c>
      <c r="Z45" s="218">
        <f t="shared" si="26"/>
        <v>0</v>
      </c>
      <c r="AA45" s="218">
        <f t="shared" si="26"/>
        <v>0</v>
      </c>
      <c r="AB45" s="218">
        <f t="shared" si="26"/>
        <v>0</v>
      </c>
      <c r="AC45" s="70"/>
      <c r="AD45" s="19"/>
      <c r="AE45" s="19"/>
      <c r="AF45" s="19"/>
      <c r="AG45" s="19"/>
    </row>
    <row r="46" spans="1:33" hidden="1" outlineLevel="3" x14ac:dyDescent="0.2">
      <c r="A46" s="19"/>
      <c r="B46" s="19"/>
      <c r="C46" s="506">
        <f>Qty!C35</f>
        <v>0</v>
      </c>
      <c r="D46" s="505">
        <f>Qty!D35</f>
        <v>0</v>
      </c>
      <c r="E46" s="505">
        <f>Qty!E35</f>
        <v>0</v>
      </c>
      <c r="F46" s="505">
        <f>Qty!F35</f>
        <v>0</v>
      </c>
      <c r="G46" s="505">
        <f>Qty!G35</f>
        <v>0</v>
      </c>
      <c r="H46" s="58"/>
      <c r="I46" s="218">
        <f t="shared" ref="I46:AB46" si="27">I124+I202+I280</f>
        <v>0</v>
      </c>
      <c r="J46" s="218">
        <f t="shared" si="27"/>
        <v>0</v>
      </c>
      <c r="K46" s="218">
        <f t="shared" si="27"/>
        <v>0</v>
      </c>
      <c r="L46" s="218">
        <f t="shared" si="27"/>
        <v>0</v>
      </c>
      <c r="M46" s="218">
        <f t="shared" si="27"/>
        <v>0</v>
      </c>
      <c r="N46" s="218">
        <f t="shared" si="27"/>
        <v>0</v>
      </c>
      <c r="O46" s="218">
        <f t="shared" si="27"/>
        <v>0</v>
      </c>
      <c r="P46" s="218">
        <f t="shared" si="27"/>
        <v>0</v>
      </c>
      <c r="Q46" s="218">
        <f t="shared" si="27"/>
        <v>0</v>
      </c>
      <c r="R46" s="218">
        <f t="shared" si="27"/>
        <v>0</v>
      </c>
      <c r="S46" s="218">
        <f t="shared" si="27"/>
        <v>0</v>
      </c>
      <c r="T46" s="218">
        <f t="shared" si="27"/>
        <v>0</v>
      </c>
      <c r="U46" s="218">
        <f t="shared" si="27"/>
        <v>0</v>
      </c>
      <c r="V46" s="218">
        <f t="shared" si="27"/>
        <v>0</v>
      </c>
      <c r="W46" s="218">
        <f t="shared" si="27"/>
        <v>0</v>
      </c>
      <c r="X46" s="218">
        <f t="shared" si="27"/>
        <v>0</v>
      </c>
      <c r="Y46" s="218">
        <f t="shared" si="27"/>
        <v>0</v>
      </c>
      <c r="Z46" s="218">
        <f t="shared" si="27"/>
        <v>0</v>
      </c>
      <c r="AA46" s="218">
        <f t="shared" si="27"/>
        <v>0</v>
      </c>
      <c r="AB46" s="218">
        <f t="shared" si="27"/>
        <v>0</v>
      </c>
      <c r="AC46" s="70"/>
      <c r="AD46" s="19"/>
      <c r="AE46" s="19"/>
      <c r="AF46" s="19"/>
      <c r="AG46" s="19"/>
    </row>
    <row r="47" spans="1:33" hidden="1" outlineLevel="3" x14ac:dyDescent="0.2">
      <c r="A47" s="19"/>
      <c r="B47" s="19"/>
      <c r="C47" s="506">
        <f>Qty!C36</f>
        <v>0</v>
      </c>
      <c r="D47" s="505">
        <f>Qty!D36</f>
        <v>0</v>
      </c>
      <c r="E47" s="505">
        <f>Qty!E36</f>
        <v>0</v>
      </c>
      <c r="F47" s="505">
        <f>Qty!F36</f>
        <v>0</v>
      </c>
      <c r="G47" s="505">
        <f>Qty!G36</f>
        <v>0</v>
      </c>
      <c r="H47" s="58"/>
      <c r="I47" s="218">
        <f t="shared" ref="I47:AB47" si="28">I125+I203+I281</f>
        <v>0</v>
      </c>
      <c r="J47" s="218">
        <f t="shared" si="28"/>
        <v>0</v>
      </c>
      <c r="K47" s="218">
        <f t="shared" si="28"/>
        <v>0</v>
      </c>
      <c r="L47" s="218">
        <f t="shared" si="28"/>
        <v>0</v>
      </c>
      <c r="M47" s="218">
        <f t="shared" si="28"/>
        <v>0</v>
      </c>
      <c r="N47" s="218">
        <f t="shared" si="28"/>
        <v>0</v>
      </c>
      <c r="O47" s="218">
        <f t="shared" si="28"/>
        <v>0</v>
      </c>
      <c r="P47" s="218">
        <f t="shared" si="28"/>
        <v>0</v>
      </c>
      <c r="Q47" s="218">
        <f t="shared" si="28"/>
        <v>0</v>
      </c>
      <c r="R47" s="218">
        <f t="shared" si="28"/>
        <v>0</v>
      </c>
      <c r="S47" s="218">
        <f t="shared" si="28"/>
        <v>0</v>
      </c>
      <c r="T47" s="218">
        <f t="shared" si="28"/>
        <v>0</v>
      </c>
      <c r="U47" s="218">
        <f t="shared" si="28"/>
        <v>0</v>
      </c>
      <c r="V47" s="218">
        <f t="shared" si="28"/>
        <v>0</v>
      </c>
      <c r="W47" s="218">
        <f t="shared" si="28"/>
        <v>0</v>
      </c>
      <c r="X47" s="218">
        <f t="shared" si="28"/>
        <v>0</v>
      </c>
      <c r="Y47" s="218">
        <f t="shared" si="28"/>
        <v>0</v>
      </c>
      <c r="Z47" s="218">
        <f t="shared" si="28"/>
        <v>0</v>
      </c>
      <c r="AA47" s="218">
        <f t="shared" si="28"/>
        <v>0</v>
      </c>
      <c r="AB47" s="218">
        <f t="shared" si="28"/>
        <v>0</v>
      </c>
      <c r="AC47" s="70"/>
      <c r="AD47" s="19"/>
      <c r="AE47" s="19"/>
      <c r="AF47" s="19"/>
      <c r="AG47" s="19"/>
    </row>
    <row r="48" spans="1:33" hidden="1" outlineLevel="3" x14ac:dyDescent="0.2">
      <c r="A48" s="19"/>
      <c r="B48" s="19"/>
      <c r="C48" s="506">
        <f>Qty!C37</f>
        <v>0</v>
      </c>
      <c r="D48" s="505">
        <f>Qty!D37</f>
        <v>0</v>
      </c>
      <c r="E48" s="505">
        <f>Qty!E37</f>
        <v>0</v>
      </c>
      <c r="F48" s="505">
        <f>Qty!F37</f>
        <v>0</v>
      </c>
      <c r="G48" s="505">
        <f>Qty!G37</f>
        <v>0</v>
      </c>
      <c r="H48" s="58"/>
      <c r="I48" s="218">
        <f t="shared" ref="I48:AB48" si="29">I126+I204+I282</f>
        <v>0</v>
      </c>
      <c r="J48" s="218">
        <f t="shared" si="29"/>
        <v>0</v>
      </c>
      <c r="K48" s="218">
        <f t="shared" si="29"/>
        <v>0</v>
      </c>
      <c r="L48" s="218">
        <f t="shared" si="29"/>
        <v>0</v>
      </c>
      <c r="M48" s="218">
        <f t="shared" si="29"/>
        <v>0</v>
      </c>
      <c r="N48" s="218">
        <f t="shared" si="29"/>
        <v>0</v>
      </c>
      <c r="O48" s="218">
        <f t="shared" si="29"/>
        <v>0</v>
      </c>
      <c r="P48" s="218">
        <f t="shared" si="29"/>
        <v>0</v>
      </c>
      <c r="Q48" s="218">
        <f t="shared" si="29"/>
        <v>0</v>
      </c>
      <c r="R48" s="218">
        <f t="shared" si="29"/>
        <v>0</v>
      </c>
      <c r="S48" s="218">
        <f t="shared" si="29"/>
        <v>0</v>
      </c>
      <c r="T48" s="218">
        <f t="shared" si="29"/>
        <v>0</v>
      </c>
      <c r="U48" s="218">
        <f t="shared" si="29"/>
        <v>0</v>
      </c>
      <c r="V48" s="218">
        <f t="shared" si="29"/>
        <v>0</v>
      </c>
      <c r="W48" s="218">
        <f t="shared" si="29"/>
        <v>0</v>
      </c>
      <c r="X48" s="218">
        <f t="shared" si="29"/>
        <v>0</v>
      </c>
      <c r="Y48" s="218">
        <f t="shared" si="29"/>
        <v>0</v>
      </c>
      <c r="Z48" s="218">
        <f t="shared" si="29"/>
        <v>0</v>
      </c>
      <c r="AA48" s="218">
        <f t="shared" si="29"/>
        <v>0</v>
      </c>
      <c r="AB48" s="218">
        <f t="shared" si="29"/>
        <v>0</v>
      </c>
      <c r="AC48" s="70"/>
      <c r="AD48" s="19"/>
      <c r="AE48" s="19"/>
      <c r="AF48" s="19"/>
      <c r="AG48" s="19"/>
    </row>
    <row r="49" spans="1:33" hidden="1" outlineLevel="3" x14ac:dyDescent="0.2">
      <c r="A49" s="19"/>
      <c r="B49" s="19"/>
      <c r="C49" s="506">
        <f>Qty!C38</f>
        <v>0</v>
      </c>
      <c r="D49" s="505">
        <f>Qty!D38</f>
        <v>0</v>
      </c>
      <c r="E49" s="505">
        <f>Qty!E38</f>
        <v>0</v>
      </c>
      <c r="F49" s="505">
        <f>Qty!F38</f>
        <v>0</v>
      </c>
      <c r="G49" s="505">
        <f>Qty!G38</f>
        <v>0</v>
      </c>
      <c r="H49" s="58"/>
      <c r="I49" s="218">
        <f t="shared" ref="I49:AB49" si="30">I127+I205+I283</f>
        <v>0</v>
      </c>
      <c r="J49" s="218">
        <f t="shared" si="30"/>
        <v>0</v>
      </c>
      <c r="K49" s="218">
        <f t="shared" si="30"/>
        <v>0</v>
      </c>
      <c r="L49" s="218">
        <f t="shared" si="30"/>
        <v>0</v>
      </c>
      <c r="M49" s="218">
        <f t="shared" si="30"/>
        <v>0</v>
      </c>
      <c r="N49" s="218">
        <f t="shared" si="30"/>
        <v>0</v>
      </c>
      <c r="O49" s="218">
        <f t="shared" si="30"/>
        <v>0</v>
      </c>
      <c r="P49" s="218">
        <f t="shared" si="30"/>
        <v>0</v>
      </c>
      <c r="Q49" s="218">
        <f t="shared" si="30"/>
        <v>0</v>
      </c>
      <c r="R49" s="218">
        <f t="shared" si="30"/>
        <v>0</v>
      </c>
      <c r="S49" s="218">
        <f t="shared" si="30"/>
        <v>0</v>
      </c>
      <c r="T49" s="218">
        <f t="shared" si="30"/>
        <v>0</v>
      </c>
      <c r="U49" s="218">
        <f t="shared" si="30"/>
        <v>0</v>
      </c>
      <c r="V49" s="218">
        <f t="shared" si="30"/>
        <v>0</v>
      </c>
      <c r="W49" s="218">
        <f t="shared" si="30"/>
        <v>0</v>
      </c>
      <c r="X49" s="218">
        <f t="shared" si="30"/>
        <v>0</v>
      </c>
      <c r="Y49" s="218">
        <f t="shared" si="30"/>
        <v>0</v>
      </c>
      <c r="Z49" s="218">
        <f t="shared" si="30"/>
        <v>0</v>
      </c>
      <c r="AA49" s="218">
        <f t="shared" si="30"/>
        <v>0</v>
      </c>
      <c r="AB49" s="218">
        <f t="shared" si="30"/>
        <v>0</v>
      </c>
      <c r="AC49" s="70"/>
      <c r="AD49" s="19"/>
      <c r="AE49" s="19"/>
      <c r="AF49" s="19"/>
      <c r="AG49" s="19"/>
    </row>
    <row r="50" spans="1:33" hidden="1" outlineLevel="3" x14ac:dyDescent="0.2">
      <c r="A50" s="19"/>
      <c r="B50" s="19"/>
      <c r="C50" s="506">
        <f>Qty!C39</f>
        <v>0</v>
      </c>
      <c r="D50" s="505">
        <f>Qty!D39</f>
        <v>0</v>
      </c>
      <c r="E50" s="505">
        <f>Qty!E39</f>
        <v>0</v>
      </c>
      <c r="F50" s="505">
        <f>Qty!F39</f>
        <v>0</v>
      </c>
      <c r="G50" s="505">
        <f>Qty!G39</f>
        <v>0</v>
      </c>
      <c r="H50" s="58"/>
      <c r="I50" s="218">
        <f t="shared" ref="I50:AB50" si="31">I128+I206+I284</f>
        <v>0</v>
      </c>
      <c r="J50" s="218">
        <f t="shared" si="31"/>
        <v>0</v>
      </c>
      <c r="K50" s="218">
        <f t="shared" si="31"/>
        <v>0</v>
      </c>
      <c r="L50" s="218">
        <f t="shared" si="31"/>
        <v>0</v>
      </c>
      <c r="M50" s="218">
        <f t="shared" si="31"/>
        <v>0</v>
      </c>
      <c r="N50" s="218">
        <f t="shared" si="31"/>
        <v>0</v>
      </c>
      <c r="O50" s="218">
        <f t="shared" si="31"/>
        <v>0</v>
      </c>
      <c r="P50" s="218">
        <f t="shared" si="31"/>
        <v>0</v>
      </c>
      <c r="Q50" s="218">
        <f t="shared" si="31"/>
        <v>0</v>
      </c>
      <c r="R50" s="218">
        <f t="shared" si="31"/>
        <v>0</v>
      </c>
      <c r="S50" s="218">
        <f t="shared" si="31"/>
        <v>0</v>
      </c>
      <c r="T50" s="218">
        <f t="shared" si="31"/>
        <v>0</v>
      </c>
      <c r="U50" s="218">
        <f t="shared" si="31"/>
        <v>0</v>
      </c>
      <c r="V50" s="218">
        <f t="shared" si="31"/>
        <v>0</v>
      </c>
      <c r="W50" s="218">
        <f t="shared" si="31"/>
        <v>0</v>
      </c>
      <c r="X50" s="218">
        <f t="shared" si="31"/>
        <v>0</v>
      </c>
      <c r="Y50" s="218">
        <f t="shared" si="31"/>
        <v>0</v>
      </c>
      <c r="Z50" s="218">
        <f t="shared" si="31"/>
        <v>0</v>
      </c>
      <c r="AA50" s="218">
        <f t="shared" si="31"/>
        <v>0</v>
      </c>
      <c r="AB50" s="218">
        <f t="shared" si="31"/>
        <v>0</v>
      </c>
      <c r="AC50" s="70"/>
      <c r="AD50" s="19"/>
      <c r="AE50" s="19"/>
      <c r="AF50" s="19"/>
      <c r="AG50" s="19"/>
    </row>
    <row r="51" spans="1:33" hidden="1" outlineLevel="3" x14ac:dyDescent="0.2">
      <c r="A51" s="19"/>
      <c r="B51" s="19"/>
      <c r="C51" s="506">
        <f>Qty!C40</f>
        <v>0</v>
      </c>
      <c r="D51" s="505">
        <f>Qty!D40</f>
        <v>0</v>
      </c>
      <c r="E51" s="505">
        <f>Qty!E40</f>
        <v>0</v>
      </c>
      <c r="F51" s="505">
        <f>Qty!F40</f>
        <v>0</v>
      </c>
      <c r="G51" s="505">
        <f>Qty!G40</f>
        <v>0</v>
      </c>
      <c r="H51" s="58"/>
      <c r="I51" s="218">
        <f t="shared" ref="I51:AB51" si="32">I129+I207+I285</f>
        <v>0</v>
      </c>
      <c r="J51" s="218">
        <f t="shared" si="32"/>
        <v>0</v>
      </c>
      <c r="K51" s="218">
        <f t="shared" si="32"/>
        <v>0</v>
      </c>
      <c r="L51" s="218">
        <f t="shared" si="32"/>
        <v>0</v>
      </c>
      <c r="M51" s="218">
        <f t="shared" si="32"/>
        <v>0</v>
      </c>
      <c r="N51" s="218">
        <f t="shared" si="32"/>
        <v>0</v>
      </c>
      <c r="O51" s="218">
        <f t="shared" si="32"/>
        <v>0</v>
      </c>
      <c r="P51" s="218">
        <f t="shared" si="32"/>
        <v>0</v>
      </c>
      <c r="Q51" s="218">
        <f t="shared" si="32"/>
        <v>0</v>
      </c>
      <c r="R51" s="218">
        <f t="shared" si="32"/>
        <v>0</v>
      </c>
      <c r="S51" s="218">
        <f t="shared" si="32"/>
        <v>0</v>
      </c>
      <c r="T51" s="218">
        <f t="shared" si="32"/>
        <v>0</v>
      </c>
      <c r="U51" s="218">
        <f t="shared" si="32"/>
        <v>0</v>
      </c>
      <c r="V51" s="218">
        <f t="shared" si="32"/>
        <v>0</v>
      </c>
      <c r="W51" s="218">
        <f t="shared" si="32"/>
        <v>0</v>
      </c>
      <c r="X51" s="218">
        <f t="shared" si="32"/>
        <v>0</v>
      </c>
      <c r="Y51" s="218">
        <f t="shared" si="32"/>
        <v>0</v>
      </c>
      <c r="Z51" s="218">
        <f t="shared" si="32"/>
        <v>0</v>
      </c>
      <c r="AA51" s="218">
        <f t="shared" si="32"/>
        <v>0</v>
      </c>
      <c r="AB51" s="218">
        <f t="shared" si="32"/>
        <v>0</v>
      </c>
      <c r="AC51" s="70"/>
      <c r="AD51" s="19"/>
      <c r="AE51" s="19"/>
      <c r="AF51" s="19"/>
      <c r="AG51" s="19"/>
    </row>
    <row r="52" spans="1:33" hidden="1" outlineLevel="3" x14ac:dyDescent="0.2">
      <c r="A52" s="19"/>
      <c r="B52" s="19"/>
      <c r="C52" s="506">
        <f>Qty!C41</f>
        <v>0</v>
      </c>
      <c r="D52" s="505">
        <f>Qty!D41</f>
        <v>0</v>
      </c>
      <c r="E52" s="505">
        <f>Qty!E41</f>
        <v>0</v>
      </c>
      <c r="F52" s="505">
        <f>Qty!F41</f>
        <v>0</v>
      </c>
      <c r="G52" s="505">
        <f>Qty!G41</f>
        <v>0</v>
      </c>
      <c r="H52" s="58"/>
      <c r="I52" s="218">
        <f t="shared" ref="I52:AB52" si="33">I130+I208+I286</f>
        <v>0</v>
      </c>
      <c r="J52" s="218">
        <f t="shared" si="33"/>
        <v>0</v>
      </c>
      <c r="K52" s="218">
        <f t="shared" si="33"/>
        <v>0</v>
      </c>
      <c r="L52" s="218">
        <f t="shared" si="33"/>
        <v>0</v>
      </c>
      <c r="M52" s="218">
        <f t="shared" si="33"/>
        <v>0</v>
      </c>
      <c r="N52" s="218">
        <f t="shared" si="33"/>
        <v>0</v>
      </c>
      <c r="O52" s="218">
        <f t="shared" si="33"/>
        <v>0</v>
      </c>
      <c r="P52" s="218">
        <f t="shared" si="33"/>
        <v>0</v>
      </c>
      <c r="Q52" s="218">
        <f t="shared" si="33"/>
        <v>0</v>
      </c>
      <c r="R52" s="218">
        <f t="shared" si="33"/>
        <v>0</v>
      </c>
      <c r="S52" s="218">
        <f t="shared" si="33"/>
        <v>0</v>
      </c>
      <c r="T52" s="218">
        <f t="shared" si="33"/>
        <v>0</v>
      </c>
      <c r="U52" s="218">
        <f t="shared" si="33"/>
        <v>0</v>
      </c>
      <c r="V52" s="218">
        <f t="shared" si="33"/>
        <v>0</v>
      </c>
      <c r="W52" s="218">
        <f t="shared" si="33"/>
        <v>0</v>
      </c>
      <c r="X52" s="218">
        <f t="shared" si="33"/>
        <v>0</v>
      </c>
      <c r="Y52" s="218">
        <f t="shared" si="33"/>
        <v>0</v>
      </c>
      <c r="Z52" s="218">
        <f t="shared" si="33"/>
        <v>0</v>
      </c>
      <c r="AA52" s="218">
        <f t="shared" si="33"/>
        <v>0</v>
      </c>
      <c r="AB52" s="218">
        <f t="shared" si="33"/>
        <v>0</v>
      </c>
      <c r="AC52" s="70"/>
      <c r="AD52" s="19"/>
      <c r="AE52" s="19"/>
      <c r="AF52" s="19"/>
      <c r="AG52" s="19"/>
    </row>
    <row r="53" spans="1:33" hidden="1" outlineLevel="3" x14ac:dyDescent="0.2">
      <c r="A53" s="19"/>
      <c r="B53" s="19"/>
      <c r="C53" s="506">
        <f>Qty!C42</f>
        <v>0</v>
      </c>
      <c r="D53" s="505">
        <f>Qty!D42</f>
        <v>0</v>
      </c>
      <c r="E53" s="505">
        <f>Qty!E42</f>
        <v>0</v>
      </c>
      <c r="F53" s="505">
        <f>Qty!F42</f>
        <v>0</v>
      </c>
      <c r="G53" s="505">
        <f>Qty!G42</f>
        <v>0</v>
      </c>
      <c r="H53" s="58"/>
      <c r="I53" s="218">
        <f t="shared" ref="I53:AB53" si="34">I131+I209+I287</f>
        <v>0</v>
      </c>
      <c r="J53" s="218">
        <f t="shared" si="34"/>
        <v>0</v>
      </c>
      <c r="K53" s="218">
        <f t="shared" si="34"/>
        <v>0</v>
      </c>
      <c r="L53" s="218">
        <f t="shared" si="34"/>
        <v>0</v>
      </c>
      <c r="M53" s="218">
        <f t="shared" si="34"/>
        <v>0</v>
      </c>
      <c r="N53" s="218">
        <f t="shared" si="34"/>
        <v>0</v>
      </c>
      <c r="O53" s="218">
        <f t="shared" si="34"/>
        <v>0</v>
      </c>
      <c r="P53" s="218">
        <f t="shared" si="34"/>
        <v>0</v>
      </c>
      <c r="Q53" s="218">
        <f t="shared" si="34"/>
        <v>0</v>
      </c>
      <c r="R53" s="218">
        <f t="shared" si="34"/>
        <v>0</v>
      </c>
      <c r="S53" s="218">
        <f t="shared" si="34"/>
        <v>0</v>
      </c>
      <c r="T53" s="218">
        <f t="shared" si="34"/>
        <v>0</v>
      </c>
      <c r="U53" s="218">
        <f t="shared" si="34"/>
        <v>0</v>
      </c>
      <c r="V53" s="218">
        <f t="shared" si="34"/>
        <v>0</v>
      </c>
      <c r="W53" s="218">
        <f t="shared" si="34"/>
        <v>0</v>
      </c>
      <c r="X53" s="218">
        <f t="shared" si="34"/>
        <v>0</v>
      </c>
      <c r="Y53" s="218">
        <f t="shared" si="34"/>
        <v>0</v>
      </c>
      <c r="Z53" s="218">
        <f t="shared" si="34"/>
        <v>0</v>
      </c>
      <c r="AA53" s="218">
        <f t="shared" si="34"/>
        <v>0</v>
      </c>
      <c r="AB53" s="218">
        <f t="shared" si="34"/>
        <v>0</v>
      </c>
      <c r="AC53" s="70"/>
      <c r="AD53" s="19"/>
      <c r="AE53" s="19"/>
      <c r="AF53" s="19"/>
      <c r="AG53" s="19"/>
    </row>
    <row r="54" spans="1:33" hidden="1" outlineLevel="3" x14ac:dyDescent="0.2">
      <c r="A54" s="19"/>
      <c r="B54" s="19"/>
      <c r="C54" s="506">
        <f>Qty!C43</f>
        <v>0</v>
      </c>
      <c r="D54" s="505">
        <f>Qty!D43</f>
        <v>0</v>
      </c>
      <c r="E54" s="505">
        <f>Qty!E43</f>
        <v>0</v>
      </c>
      <c r="F54" s="505">
        <f>Qty!F43</f>
        <v>0</v>
      </c>
      <c r="G54" s="505">
        <f>Qty!G43</f>
        <v>0</v>
      </c>
      <c r="H54" s="58"/>
      <c r="I54" s="218">
        <f t="shared" ref="I54:AB54" si="35">I132+I210+I288</f>
        <v>0</v>
      </c>
      <c r="J54" s="218">
        <f t="shared" si="35"/>
        <v>0</v>
      </c>
      <c r="K54" s="218">
        <f t="shared" si="35"/>
        <v>0</v>
      </c>
      <c r="L54" s="218">
        <f t="shared" si="35"/>
        <v>0</v>
      </c>
      <c r="M54" s="218">
        <f t="shared" si="35"/>
        <v>0</v>
      </c>
      <c r="N54" s="218">
        <f t="shared" si="35"/>
        <v>0</v>
      </c>
      <c r="O54" s="218">
        <f t="shared" si="35"/>
        <v>0</v>
      </c>
      <c r="P54" s="218">
        <f t="shared" si="35"/>
        <v>0</v>
      </c>
      <c r="Q54" s="218">
        <f t="shared" si="35"/>
        <v>0</v>
      </c>
      <c r="R54" s="218">
        <f t="shared" si="35"/>
        <v>0</v>
      </c>
      <c r="S54" s="218">
        <f t="shared" si="35"/>
        <v>0</v>
      </c>
      <c r="T54" s="218">
        <f t="shared" si="35"/>
        <v>0</v>
      </c>
      <c r="U54" s="218">
        <f t="shared" si="35"/>
        <v>0</v>
      </c>
      <c r="V54" s="218">
        <f t="shared" si="35"/>
        <v>0</v>
      </c>
      <c r="W54" s="218">
        <f t="shared" si="35"/>
        <v>0</v>
      </c>
      <c r="X54" s="218">
        <f t="shared" si="35"/>
        <v>0</v>
      </c>
      <c r="Y54" s="218">
        <f t="shared" si="35"/>
        <v>0</v>
      </c>
      <c r="Z54" s="218">
        <f t="shared" si="35"/>
        <v>0</v>
      </c>
      <c r="AA54" s="218">
        <f t="shared" si="35"/>
        <v>0</v>
      </c>
      <c r="AB54" s="218">
        <f t="shared" si="35"/>
        <v>0</v>
      </c>
      <c r="AC54" s="70"/>
      <c r="AD54" s="19"/>
      <c r="AE54" s="19"/>
      <c r="AF54" s="19"/>
      <c r="AG54" s="19"/>
    </row>
    <row r="55" spans="1:33" hidden="1" outlineLevel="3" x14ac:dyDescent="0.2">
      <c r="A55" s="19"/>
      <c r="B55" s="19"/>
      <c r="C55" s="506">
        <f>Qty!C44</f>
        <v>0</v>
      </c>
      <c r="D55" s="505">
        <f>Qty!D44</f>
        <v>0</v>
      </c>
      <c r="E55" s="505">
        <f>Qty!E44</f>
        <v>0</v>
      </c>
      <c r="F55" s="505">
        <f>Qty!F44</f>
        <v>0</v>
      </c>
      <c r="G55" s="505">
        <f>Qty!G44</f>
        <v>0</v>
      </c>
      <c r="H55" s="58"/>
      <c r="I55" s="218">
        <f t="shared" ref="I55:AB55" si="36">I133+I211+I289</f>
        <v>0</v>
      </c>
      <c r="J55" s="218">
        <f t="shared" si="36"/>
        <v>0</v>
      </c>
      <c r="K55" s="218">
        <f t="shared" si="36"/>
        <v>0</v>
      </c>
      <c r="L55" s="218">
        <f t="shared" si="36"/>
        <v>0</v>
      </c>
      <c r="M55" s="218">
        <f t="shared" si="36"/>
        <v>0</v>
      </c>
      <c r="N55" s="218">
        <f t="shared" si="36"/>
        <v>0</v>
      </c>
      <c r="O55" s="218">
        <f t="shared" si="36"/>
        <v>0</v>
      </c>
      <c r="P55" s="218">
        <f t="shared" si="36"/>
        <v>0</v>
      </c>
      <c r="Q55" s="218">
        <f t="shared" si="36"/>
        <v>0</v>
      </c>
      <c r="R55" s="218">
        <f t="shared" si="36"/>
        <v>0</v>
      </c>
      <c r="S55" s="218">
        <f t="shared" si="36"/>
        <v>0</v>
      </c>
      <c r="T55" s="218">
        <f t="shared" si="36"/>
        <v>0</v>
      </c>
      <c r="U55" s="218">
        <f t="shared" si="36"/>
        <v>0</v>
      </c>
      <c r="V55" s="218">
        <f t="shared" si="36"/>
        <v>0</v>
      </c>
      <c r="W55" s="218">
        <f t="shared" si="36"/>
        <v>0</v>
      </c>
      <c r="X55" s="218">
        <f t="shared" si="36"/>
        <v>0</v>
      </c>
      <c r="Y55" s="218">
        <f t="shared" si="36"/>
        <v>0</v>
      </c>
      <c r="Z55" s="218">
        <f t="shared" si="36"/>
        <v>0</v>
      </c>
      <c r="AA55" s="218">
        <f t="shared" si="36"/>
        <v>0</v>
      </c>
      <c r="AB55" s="218">
        <f t="shared" si="36"/>
        <v>0</v>
      </c>
      <c r="AC55" s="70"/>
      <c r="AD55" s="19"/>
      <c r="AE55" s="19"/>
      <c r="AF55" s="19"/>
      <c r="AG55" s="19"/>
    </row>
    <row r="56" spans="1:33" hidden="1" outlineLevel="3" x14ac:dyDescent="0.2">
      <c r="A56" s="19"/>
      <c r="B56" s="19"/>
      <c r="C56" s="506">
        <f>Qty!C45</f>
        <v>0</v>
      </c>
      <c r="D56" s="505">
        <f>Qty!D45</f>
        <v>0</v>
      </c>
      <c r="E56" s="505">
        <f>Qty!E45</f>
        <v>0</v>
      </c>
      <c r="F56" s="505">
        <f>Qty!F45</f>
        <v>0</v>
      </c>
      <c r="G56" s="505">
        <f>Qty!G45</f>
        <v>0</v>
      </c>
      <c r="H56" s="58"/>
      <c r="I56" s="218">
        <f t="shared" ref="I56:AB56" si="37">I134+I212+I290</f>
        <v>0</v>
      </c>
      <c r="J56" s="218">
        <f t="shared" si="37"/>
        <v>0</v>
      </c>
      <c r="K56" s="218">
        <f t="shared" si="37"/>
        <v>0</v>
      </c>
      <c r="L56" s="218">
        <f t="shared" si="37"/>
        <v>0</v>
      </c>
      <c r="M56" s="218">
        <f t="shared" si="37"/>
        <v>0</v>
      </c>
      <c r="N56" s="218">
        <f t="shared" si="37"/>
        <v>0</v>
      </c>
      <c r="O56" s="218">
        <f t="shared" si="37"/>
        <v>0</v>
      </c>
      <c r="P56" s="218">
        <f t="shared" si="37"/>
        <v>0</v>
      </c>
      <c r="Q56" s="218">
        <f t="shared" si="37"/>
        <v>0</v>
      </c>
      <c r="R56" s="218">
        <f t="shared" si="37"/>
        <v>0</v>
      </c>
      <c r="S56" s="218">
        <f t="shared" si="37"/>
        <v>0</v>
      </c>
      <c r="T56" s="218">
        <f t="shared" si="37"/>
        <v>0</v>
      </c>
      <c r="U56" s="218">
        <f t="shared" si="37"/>
        <v>0</v>
      </c>
      <c r="V56" s="218">
        <f t="shared" si="37"/>
        <v>0</v>
      </c>
      <c r="W56" s="218">
        <f t="shared" si="37"/>
        <v>0</v>
      </c>
      <c r="X56" s="218">
        <f t="shared" si="37"/>
        <v>0</v>
      </c>
      <c r="Y56" s="218">
        <f t="shared" si="37"/>
        <v>0</v>
      </c>
      <c r="Z56" s="218">
        <f t="shared" si="37"/>
        <v>0</v>
      </c>
      <c r="AA56" s="218">
        <f t="shared" si="37"/>
        <v>0</v>
      </c>
      <c r="AB56" s="218">
        <f t="shared" si="37"/>
        <v>0</v>
      </c>
      <c r="AC56" s="70"/>
      <c r="AD56" s="19"/>
      <c r="AE56" s="19"/>
      <c r="AF56" s="19"/>
      <c r="AG56" s="19"/>
    </row>
    <row r="57" spans="1:33" hidden="1" outlineLevel="3" x14ac:dyDescent="0.2">
      <c r="A57" s="19"/>
      <c r="B57" s="19"/>
      <c r="C57" s="506">
        <f>Qty!C46</f>
        <v>0</v>
      </c>
      <c r="D57" s="505">
        <f>Qty!D46</f>
        <v>0</v>
      </c>
      <c r="E57" s="505">
        <f>Qty!E46</f>
        <v>0</v>
      </c>
      <c r="F57" s="505">
        <f>Qty!F46</f>
        <v>0</v>
      </c>
      <c r="G57" s="505">
        <f>Qty!G46</f>
        <v>0</v>
      </c>
      <c r="H57" s="58"/>
      <c r="I57" s="218">
        <f t="shared" ref="I57:AB57" si="38">I135+I213+I291</f>
        <v>0</v>
      </c>
      <c r="J57" s="218">
        <f t="shared" si="38"/>
        <v>0</v>
      </c>
      <c r="K57" s="218">
        <f t="shared" si="38"/>
        <v>0</v>
      </c>
      <c r="L57" s="218">
        <f t="shared" si="38"/>
        <v>0</v>
      </c>
      <c r="M57" s="218">
        <f t="shared" si="38"/>
        <v>0</v>
      </c>
      <c r="N57" s="218">
        <f t="shared" si="38"/>
        <v>0</v>
      </c>
      <c r="O57" s="218">
        <f t="shared" si="38"/>
        <v>0</v>
      </c>
      <c r="P57" s="218">
        <f t="shared" si="38"/>
        <v>0</v>
      </c>
      <c r="Q57" s="218">
        <f t="shared" si="38"/>
        <v>0</v>
      </c>
      <c r="R57" s="218">
        <f t="shared" si="38"/>
        <v>0</v>
      </c>
      <c r="S57" s="218">
        <f t="shared" si="38"/>
        <v>0</v>
      </c>
      <c r="T57" s="218">
        <f t="shared" si="38"/>
        <v>0</v>
      </c>
      <c r="U57" s="218">
        <f t="shared" si="38"/>
        <v>0</v>
      </c>
      <c r="V57" s="218">
        <f t="shared" si="38"/>
        <v>0</v>
      </c>
      <c r="W57" s="218">
        <f t="shared" si="38"/>
        <v>0</v>
      </c>
      <c r="X57" s="218">
        <f t="shared" si="38"/>
        <v>0</v>
      </c>
      <c r="Y57" s="218">
        <f t="shared" si="38"/>
        <v>0</v>
      </c>
      <c r="Z57" s="218">
        <f t="shared" si="38"/>
        <v>0</v>
      </c>
      <c r="AA57" s="218">
        <f t="shared" si="38"/>
        <v>0</v>
      </c>
      <c r="AB57" s="218">
        <f t="shared" si="38"/>
        <v>0</v>
      </c>
      <c r="AC57" s="70"/>
      <c r="AD57" s="19"/>
      <c r="AE57" s="19"/>
      <c r="AF57" s="19"/>
      <c r="AG57" s="19"/>
    </row>
    <row r="58" spans="1:33" hidden="1" outlineLevel="3" x14ac:dyDescent="0.2">
      <c r="A58" s="19"/>
      <c r="B58" s="19"/>
      <c r="C58" s="506">
        <f>Qty!C47</f>
        <v>0</v>
      </c>
      <c r="D58" s="505">
        <f>Qty!D47</f>
        <v>0</v>
      </c>
      <c r="E58" s="505">
        <f>Qty!E47</f>
        <v>0</v>
      </c>
      <c r="F58" s="505">
        <f>Qty!F47</f>
        <v>0</v>
      </c>
      <c r="G58" s="505">
        <f>Qty!G47</f>
        <v>0</v>
      </c>
      <c r="H58" s="58"/>
      <c r="I58" s="218">
        <f t="shared" ref="I58:AB58" si="39">I136+I214+I292</f>
        <v>0</v>
      </c>
      <c r="J58" s="218">
        <f t="shared" si="39"/>
        <v>0</v>
      </c>
      <c r="K58" s="218">
        <f t="shared" si="39"/>
        <v>0</v>
      </c>
      <c r="L58" s="218">
        <f t="shared" si="39"/>
        <v>0</v>
      </c>
      <c r="M58" s="218">
        <f t="shared" si="39"/>
        <v>0</v>
      </c>
      <c r="N58" s="218">
        <f t="shared" si="39"/>
        <v>0</v>
      </c>
      <c r="O58" s="218">
        <f t="shared" si="39"/>
        <v>0</v>
      </c>
      <c r="P58" s="218">
        <f t="shared" si="39"/>
        <v>0</v>
      </c>
      <c r="Q58" s="218">
        <f t="shared" si="39"/>
        <v>0</v>
      </c>
      <c r="R58" s="218">
        <f t="shared" si="39"/>
        <v>0</v>
      </c>
      <c r="S58" s="218">
        <f t="shared" si="39"/>
        <v>0</v>
      </c>
      <c r="T58" s="218">
        <f t="shared" si="39"/>
        <v>0</v>
      </c>
      <c r="U58" s="218">
        <f t="shared" si="39"/>
        <v>0</v>
      </c>
      <c r="V58" s="218">
        <f t="shared" si="39"/>
        <v>0</v>
      </c>
      <c r="W58" s="218">
        <f t="shared" si="39"/>
        <v>0</v>
      </c>
      <c r="X58" s="218">
        <f t="shared" si="39"/>
        <v>0</v>
      </c>
      <c r="Y58" s="218">
        <f t="shared" si="39"/>
        <v>0</v>
      </c>
      <c r="Z58" s="218">
        <f t="shared" si="39"/>
        <v>0</v>
      </c>
      <c r="AA58" s="218">
        <f t="shared" si="39"/>
        <v>0</v>
      </c>
      <c r="AB58" s="218">
        <f t="shared" si="39"/>
        <v>0</v>
      </c>
      <c r="AC58" s="70"/>
      <c r="AD58" s="19"/>
      <c r="AE58" s="19"/>
      <c r="AF58" s="19"/>
      <c r="AG58" s="19"/>
    </row>
    <row r="59" spans="1:33" hidden="1" outlineLevel="3" x14ac:dyDescent="0.2">
      <c r="A59" s="19"/>
      <c r="B59" s="19"/>
      <c r="C59" s="506">
        <f>Qty!C48</f>
        <v>0</v>
      </c>
      <c r="D59" s="505">
        <f>Qty!D48</f>
        <v>0</v>
      </c>
      <c r="E59" s="505">
        <f>Qty!E48</f>
        <v>0</v>
      </c>
      <c r="F59" s="505">
        <f>Qty!F48</f>
        <v>0</v>
      </c>
      <c r="G59" s="505">
        <f>Qty!G48</f>
        <v>0</v>
      </c>
      <c r="H59" s="58"/>
      <c r="I59" s="218">
        <f t="shared" ref="I59:AB59" si="40">I137+I215+I293</f>
        <v>0</v>
      </c>
      <c r="J59" s="218">
        <f t="shared" si="40"/>
        <v>0</v>
      </c>
      <c r="K59" s="218">
        <f t="shared" si="40"/>
        <v>0</v>
      </c>
      <c r="L59" s="218">
        <f t="shared" si="40"/>
        <v>0</v>
      </c>
      <c r="M59" s="218">
        <f t="shared" si="40"/>
        <v>0</v>
      </c>
      <c r="N59" s="218">
        <f t="shared" si="40"/>
        <v>0</v>
      </c>
      <c r="O59" s="218">
        <f t="shared" si="40"/>
        <v>0</v>
      </c>
      <c r="P59" s="218">
        <f t="shared" si="40"/>
        <v>0</v>
      </c>
      <c r="Q59" s="218">
        <f t="shared" si="40"/>
        <v>0</v>
      </c>
      <c r="R59" s="218">
        <f t="shared" si="40"/>
        <v>0</v>
      </c>
      <c r="S59" s="218">
        <f t="shared" si="40"/>
        <v>0</v>
      </c>
      <c r="T59" s="218">
        <f t="shared" si="40"/>
        <v>0</v>
      </c>
      <c r="U59" s="218">
        <f t="shared" si="40"/>
        <v>0</v>
      </c>
      <c r="V59" s="218">
        <f t="shared" si="40"/>
        <v>0</v>
      </c>
      <c r="W59" s="218">
        <f t="shared" si="40"/>
        <v>0</v>
      </c>
      <c r="X59" s="218">
        <f t="shared" si="40"/>
        <v>0</v>
      </c>
      <c r="Y59" s="218">
        <f t="shared" si="40"/>
        <v>0</v>
      </c>
      <c r="Z59" s="218">
        <f t="shared" si="40"/>
        <v>0</v>
      </c>
      <c r="AA59" s="218">
        <f t="shared" si="40"/>
        <v>0</v>
      </c>
      <c r="AB59" s="218">
        <f t="shared" si="40"/>
        <v>0</v>
      </c>
      <c r="AC59" s="70"/>
      <c r="AD59" s="19"/>
      <c r="AE59" s="19"/>
      <c r="AF59" s="19"/>
      <c r="AG59" s="19"/>
    </row>
    <row r="60" spans="1:33" hidden="1" outlineLevel="3" x14ac:dyDescent="0.2">
      <c r="A60" s="19"/>
      <c r="B60" s="19"/>
      <c r="C60" s="506">
        <f>Qty!C49</f>
        <v>0</v>
      </c>
      <c r="D60" s="505">
        <f>Qty!D49</f>
        <v>0</v>
      </c>
      <c r="E60" s="505">
        <f>Qty!E49</f>
        <v>0</v>
      </c>
      <c r="F60" s="505">
        <f>Qty!F49</f>
        <v>0</v>
      </c>
      <c r="G60" s="505">
        <f>Qty!G49</f>
        <v>0</v>
      </c>
      <c r="H60" s="58"/>
      <c r="I60" s="218">
        <f t="shared" ref="I60:AB60" si="41">I138+I216+I294</f>
        <v>0</v>
      </c>
      <c r="J60" s="218">
        <f t="shared" si="41"/>
        <v>0</v>
      </c>
      <c r="K60" s="218">
        <f t="shared" si="41"/>
        <v>0</v>
      </c>
      <c r="L60" s="218">
        <f t="shared" si="41"/>
        <v>0</v>
      </c>
      <c r="M60" s="218">
        <f t="shared" si="41"/>
        <v>0</v>
      </c>
      <c r="N60" s="218">
        <f t="shared" si="41"/>
        <v>0</v>
      </c>
      <c r="O60" s="218">
        <f t="shared" si="41"/>
        <v>0</v>
      </c>
      <c r="P60" s="218">
        <f t="shared" si="41"/>
        <v>0</v>
      </c>
      <c r="Q60" s="218">
        <f t="shared" si="41"/>
        <v>0</v>
      </c>
      <c r="R60" s="218">
        <f t="shared" si="41"/>
        <v>0</v>
      </c>
      <c r="S60" s="218">
        <f t="shared" si="41"/>
        <v>0</v>
      </c>
      <c r="T60" s="218">
        <f t="shared" si="41"/>
        <v>0</v>
      </c>
      <c r="U60" s="218">
        <f t="shared" si="41"/>
        <v>0</v>
      </c>
      <c r="V60" s="218">
        <f t="shared" si="41"/>
        <v>0</v>
      </c>
      <c r="W60" s="218">
        <f t="shared" si="41"/>
        <v>0</v>
      </c>
      <c r="X60" s="218">
        <f t="shared" si="41"/>
        <v>0</v>
      </c>
      <c r="Y60" s="218">
        <f t="shared" si="41"/>
        <v>0</v>
      </c>
      <c r="Z60" s="218">
        <f t="shared" si="41"/>
        <v>0</v>
      </c>
      <c r="AA60" s="218">
        <f t="shared" si="41"/>
        <v>0</v>
      </c>
      <c r="AB60" s="218">
        <f t="shared" si="41"/>
        <v>0</v>
      </c>
      <c r="AC60" s="70"/>
      <c r="AD60" s="19"/>
      <c r="AE60" s="19"/>
      <c r="AF60" s="19"/>
      <c r="AG60" s="19"/>
    </row>
    <row r="61" spans="1:33" hidden="1" outlineLevel="3" x14ac:dyDescent="0.2">
      <c r="A61" s="19"/>
      <c r="B61" s="19"/>
      <c r="C61" s="506">
        <f>Qty!C50</f>
        <v>0</v>
      </c>
      <c r="D61" s="505">
        <f>Qty!D50</f>
        <v>0</v>
      </c>
      <c r="E61" s="505">
        <f>Qty!E50</f>
        <v>0</v>
      </c>
      <c r="F61" s="505">
        <f>Qty!F50</f>
        <v>0</v>
      </c>
      <c r="G61" s="505">
        <f>Qty!G50</f>
        <v>0</v>
      </c>
      <c r="H61" s="58"/>
      <c r="I61" s="218">
        <f t="shared" ref="I61:AB61" si="42">I139+I217+I295</f>
        <v>0</v>
      </c>
      <c r="J61" s="218">
        <f t="shared" si="42"/>
        <v>0</v>
      </c>
      <c r="K61" s="218">
        <f t="shared" si="42"/>
        <v>0</v>
      </c>
      <c r="L61" s="218">
        <f t="shared" si="42"/>
        <v>0</v>
      </c>
      <c r="M61" s="218">
        <f t="shared" si="42"/>
        <v>0</v>
      </c>
      <c r="N61" s="218">
        <f t="shared" si="42"/>
        <v>0</v>
      </c>
      <c r="O61" s="218">
        <f t="shared" si="42"/>
        <v>0</v>
      </c>
      <c r="P61" s="218">
        <f t="shared" si="42"/>
        <v>0</v>
      </c>
      <c r="Q61" s="218">
        <f t="shared" si="42"/>
        <v>0</v>
      </c>
      <c r="R61" s="218">
        <f t="shared" si="42"/>
        <v>0</v>
      </c>
      <c r="S61" s="218">
        <f t="shared" si="42"/>
        <v>0</v>
      </c>
      <c r="T61" s="218">
        <f t="shared" si="42"/>
        <v>0</v>
      </c>
      <c r="U61" s="218">
        <f t="shared" si="42"/>
        <v>0</v>
      </c>
      <c r="V61" s="218">
        <f t="shared" si="42"/>
        <v>0</v>
      </c>
      <c r="W61" s="218">
        <f t="shared" si="42"/>
        <v>0</v>
      </c>
      <c r="X61" s="218">
        <f t="shared" si="42"/>
        <v>0</v>
      </c>
      <c r="Y61" s="218">
        <f t="shared" si="42"/>
        <v>0</v>
      </c>
      <c r="Z61" s="218">
        <f t="shared" si="42"/>
        <v>0</v>
      </c>
      <c r="AA61" s="218">
        <f t="shared" si="42"/>
        <v>0</v>
      </c>
      <c r="AB61" s="218">
        <f t="shared" si="42"/>
        <v>0</v>
      </c>
      <c r="AC61" s="70"/>
      <c r="AD61" s="19"/>
      <c r="AE61" s="19"/>
      <c r="AF61" s="19"/>
      <c r="AG61" s="19"/>
    </row>
    <row r="62" spans="1:33" hidden="1" outlineLevel="3" x14ac:dyDescent="0.2">
      <c r="A62" s="19"/>
      <c r="B62" s="19"/>
      <c r="C62" s="506">
        <f>Qty!C51</f>
        <v>0</v>
      </c>
      <c r="D62" s="505">
        <f>Qty!D51</f>
        <v>0</v>
      </c>
      <c r="E62" s="505">
        <f>Qty!E51</f>
        <v>0</v>
      </c>
      <c r="F62" s="505">
        <f>Qty!F51</f>
        <v>0</v>
      </c>
      <c r="G62" s="505">
        <f>Qty!G51</f>
        <v>0</v>
      </c>
      <c r="H62" s="58"/>
      <c r="I62" s="218">
        <f t="shared" ref="I62:AB62" si="43">I140+I218+I296</f>
        <v>0</v>
      </c>
      <c r="J62" s="218">
        <f t="shared" si="43"/>
        <v>0</v>
      </c>
      <c r="K62" s="218">
        <f t="shared" si="43"/>
        <v>0</v>
      </c>
      <c r="L62" s="218">
        <f t="shared" si="43"/>
        <v>0</v>
      </c>
      <c r="M62" s="218">
        <f t="shared" si="43"/>
        <v>0</v>
      </c>
      <c r="N62" s="218">
        <f t="shared" si="43"/>
        <v>0</v>
      </c>
      <c r="O62" s="218">
        <f t="shared" si="43"/>
        <v>0</v>
      </c>
      <c r="P62" s="218">
        <f t="shared" si="43"/>
        <v>0</v>
      </c>
      <c r="Q62" s="218">
        <f t="shared" si="43"/>
        <v>0</v>
      </c>
      <c r="R62" s="218">
        <f t="shared" si="43"/>
        <v>0</v>
      </c>
      <c r="S62" s="218">
        <f t="shared" si="43"/>
        <v>0</v>
      </c>
      <c r="T62" s="218">
        <f t="shared" si="43"/>
        <v>0</v>
      </c>
      <c r="U62" s="218">
        <f t="shared" si="43"/>
        <v>0</v>
      </c>
      <c r="V62" s="218">
        <f t="shared" si="43"/>
        <v>0</v>
      </c>
      <c r="W62" s="218">
        <f t="shared" si="43"/>
        <v>0</v>
      </c>
      <c r="X62" s="218">
        <f t="shared" si="43"/>
        <v>0</v>
      </c>
      <c r="Y62" s="218">
        <f t="shared" si="43"/>
        <v>0</v>
      </c>
      <c r="Z62" s="218">
        <f t="shared" si="43"/>
        <v>0</v>
      </c>
      <c r="AA62" s="218">
        <f t="shared" si="43"/>
        <v>0</v>
      </c>
      <c r="AB62" s="218">
        <f t="shared" si="43"/>
        <v>0</v>
      </c>
      <c r="AC62" s="70"/>
      <c r="AD62" s="19"/>
      <c r="AE62" s="19"/>
      <c r="AF62" s="19"/>
      <c r="AG62" s="19"/>
    </row>
    <row r="63" spans="1:33" hidden="1" outlineLevel="3" x14ac:dyDescent="0.2">
      <c r="A63" s="19"/>
      <c r="B63" s="19"/>
      <c r="C63" s="506">
        <f>Qty!C52</f>
        <v>0</v>
      </c>
      <c r="D63" s="505">
        <f>Qty!D52</f>
        <v>0</v>
      </c>
      <c r="E63" s="505">
        <f>Qty!E52</f>
        <v>0</v>
      </c>
      <c r="F63" s="505">
        <f>Qty!F52</f>
        <v>0</v>
      </c>
      <c r="G63" s="505">
        <f>Qty!G52</f>
        <v>0</v>
      </c>
      <c r="H63" s="58"/>
      <c r="I63" s="218">
        <f t="shared" ref="I63:AB63" si="44">I141+I219+I297</f>
        <v>0</v>
      </c>
      <c r="J63" s="218">
        <f t="shared" si="44"/>
        <v>0</v>
      </c>
      <c r="K63" s="218">
        <f t="shared" si="44"/>
        <v>0</v>
      </c>
      <c r="L63" s="218">
        <f t="shared" si="44"/>
        <v>0</v>
      </c>
      <c r="M63" s="218">
        <f t="shared" si="44"/>
        <v>0</v>
      </c>
      <c r="N63" s="218">
        <f t="shared" si="44"/>
        <v>0</v>
      </c>
      <c r="O63" s="218">
        <f t="shared" si="44"/>
        <v>0</v>
      </c>
      <c r="P63" s="218">
        <f t="shared" si="44"/>
        <v>0</v>
      </c>
      <c r="Q63" s="218">
        <f t="shared" si="44"/>
        <v>0</v>
      </c>
      <c r="R63" s="218">
        <f t="shared" si="44"/>
        <v>0</v>
      </c>
      <c r="S63" s="218">
        <f t="shared" si="44"/>
        <v>0</v>
      </c>
      <c r="T63" s="218">
        <f t="shared" si="44"/>
        <v>0</v>
      </c>
      <c r="U63" s="218">
        <f t="shared" si="44"/>
        <v>0</v>
      </c>
      <c r="V63" s="218">
        <f t="shared" si="44"/>
        <v>0</v>
      </c>
      <c r="W63" s="218">
        <f t="shared" si="44"/>
        <v>0</v>
      </c>
      <c r="X63" s="218">
        <f t="shared" si="44"/>
        <v>0</v>
      </c>
      <c r="Y63" s="218">
        <f t="shared" si="44"/>
        <v>0</v>
      </c>
      <c r="Z63" s="218">
        <f t="shared" si="44"/>
        <v>0</v>
      </c>
      <c r="AA63" s="218">
        <f t="shared" si="44"/>
        <v>0</v>
      </c>
      <c r="AB63" s="218">
        <f t="shared" si="44"/>
        <v>0</v>
      </c>
      <c r="AC63" s="70"/>
      <c r="AD63" s="19"/>
      <c r="AE63" s="19"/>
      <c r="AF63" s="19"/>
      <c r="AG63" s="19"/>
    </row>
    <row r="64" spans="1:33" hidden="1" outlineLevel="3" x14ac:dyDescent="0.2">
      <c r="A64" s="19"/>
      <c r="B64" s="19"/>
      <c r="C64" s="506">
        <f>Qty!C53</f>
        <v>0</v>
      </c>
      <c r="D64" s="505">
        <f>Qty!D53</f>
        <v>0</v>
      </c>
      <c r="E64" s="505">
        <f>Qty!E53</f>
        <v>0</v>
      </c>
      <c r="F64" s="505">
        <f>Qty!F53</f>
        <v>0</v>
      </c>
      <c r="G64" s="505">
        <f>Qty!G53</f>
        <v>0</v>
      </c>
      <c r="H64" s="58"/>
      <c r="I64" s="218">
        <f t="shared" ref="I64:AB64" si="45">I142+I220+I298</f>
        <v>0</v>
      </c>
      <c r="J64" s="218">
        <f t="shared" si="45"/>
        <v>0</v>
      </c>
      <c r="K64" s="218">
        <f t="shared" si="45"/>
        <v>0</v>
      </c>
      <c r="L64" s="218">
        <f t="shared" si="45"/>
        <v>0</v>
      </c>
      <c r="M64" s="218">
        <f t="shared" si="45"/>
        <v>0</v>
      </c>
      <c r="N64" s="218">
        <f t="shared" si="45"/>
        <v>0</v>
      </c>
      <c r="O64" s="218">
        <f t="shared" si="45"/>
        <v>0</v>
      </c>
      <c r="P64" s="218">
        <f t="shared" si="45"/>
        <v>0</v>
      </c>
      <c r="Q64" s="218">
        <f t="shared" si="45"/>
        <v>0</v>
      </c>
      <c r="R64" s="218">
        <f t="shared" si="45"/>
        <v>0</v>
      </c>
      <c r="S64" s="218">
        <f t="shared" si="45"/>
        <v>0</v>
      </c>
      <c r="T64" s="218">
        <f t="shared" si="45"/>
        <v>0</v>
      </c>
      <c r="U64" s="218">
        <f t="shared" si="45"/>
        <v>0</v>
      </c>
      <c r="V64" s="218">
        <f t="shared" si="45"/>
        <v>0</v>
      </c>
      <c r="W64" s="218">
        <f t="shared" si="45"/>
        <v>0</v>
      </c>
      <c r="X64" s="218">
        <f t="shared" si="45"/>
        <v>0</v>
      </c>
      <c r="Y64" s="218">
        <f t="shared" si="45"/>
        <v>0</v>
      </c>
      <c r="Z64" s="218">
        <f t="shared" si="45"/>
        <v>0</v>
      </c>
      <c r="AA64" s="218">
        <f t="shared" si="45"/>
        <v>0</v>
      </c>
      <c r="AB64" s="218">
        <f t="shared" si="45"/>
        <v>0</v>
      </c>
      <c r="AC64" s="70"/>
      <c r="AD64" s="19"/>
      <c r="AE64" s="19"/>
      <c r="AF64" s="19"/>
      <c r="AG64" s="19"/>
    </row>
    <row r="65" spans="1:33" hidden="1" outlineLevel="3" x14ac:dyDescent="0.2">
      <c r="A65" s="19"/>
      <c r="B65" s="19"/>
      <c r="C65" s="506">
        <f>Qty!C54</f>
        <v>0</v>
      </c>
      <c r="D65" s="505">
        <f>Qty!D54</f>
        <v>0</v>
      </c>
      <c r="E65" s="505">
        <f>Qty!E54</f>
        <v>0</v>
      </c>
      <c r="F65" s="505">
        <f>Qty!F54</f>
        <v>0</v>
      </c>
      <c r="G65" s="505">
        <f>Qty!G54</f>
        <v>0</v>
      </c>
      <c r="H65" s="58"/>
      <c r="I65" s="218">
        <f t="shared" ref="I65:AB65" si="46">I143+I221+I299</f>
        <v>0</v>
      </c>
      <c r="J65" s="218">
        <f t="shared" si="46"/>
        <v>0</v>
      </c>
      <c r="K65" s="218">
        <f t="shared" si="46"/>
        <v>0</v>
      </c>
      <c r="L65" s="218">
        <f t="shared" si="46"/>
        <v>0</v>
      </c>
      <c r="M65" s="218">
        <f t="shared" si="46"/>
        <v>0</v>
      </c>
      <c r="N65" s="218">
        <f t="shared" si="46"/>
        <v>0</v>
      </c>
      <c r="O65" s="218">
        <f t="shared" si="46"/>
        <v>0</v>
      </c>
      <c r="P65" s="218">
        <f t="shared" si="46"/>
        <v>0</v>
      </c>
      <c r="Q65" s="218">
        <f t="shared" si="46"/>
        <v>0</v>
      </c>
      <c r="R65" s="218">
        <f t="shared" si="46"/>
        <v>0</v>
      </c>
      <c r="S65" s="218">
        <f t="shared" si="46"/>
        <v>0</v>
      </c>
      <c r="T65" s="218">
        <f t="shared" si="46"/>
        <v>0</v>
      </c>
      <c r="U65" s="218">
        <f t="shared" si="46"/>
        <v>0</v>
      </c>
      <c r="V65" s="218">
        <f t="shared" si="46"/>
        <v>0</v>
      </c>
      <c r="W65" s="218">
        <f t="shared" si="46"/>
        <v>0</v>
      </c>
      <c r="X65" s="218">
        <f t="shared" si="46"/>
        <v>0</v>
      </c>
      <c r="Y65" s="218">
        <f t="shared" si="46"/>
        <v>0</v>
      </c>
      <c r="Z65" s="218">
        <f t="shared" si="46"/>
        <v>0</v>
      </c>
      <c r="AA65" s="218">
        <f t="shared" si="46"/>
        <v>0</v>
      </c>
      <c r="AB65" s="218">
        <f t="shared" si="46"/>
        <v>0</v>
      </c>
      <c r="AC65" s="70"/>
      <c r="AD65" s="19"/>
      <c r="AE65" s="19"/>
      <c r="AF65" s="19"/>
      <c r="AG65" s="19"/>
    </row>
    <row r="66" spans="1:33" hidden="1" outlineLevel="3" x14ac:dyDescent="0.2">
      <c r="A66" s="19"/>
      <c r="B66" s="19"/>
      <c r="C66" s="506">
        <f>Qty!C55</f>
        <v>0</v>
      </c>
      <c r="D66" s="505">
        <f>Qty!D55</f>
        <v>0</v>
      </c>
      <c r="E66" s="505">
        <f>Qty!E55</f>
        <v>0</v>
      </c>
      <c r="F66" s="505">
        <f>Qty!F55</f>
        <v>0</v>
      </c>
      <c r="G66" s="505">
        <f>Qty!G55</f>
        <v>0</v>
      </c>
      <c r="H66" s="58"/>
      <c r="I66" s="218">
        <f t="shared" ref="I66:AB66" si="47">I144+I222+I300</f>
        <v>0</v>
      </c>
      <c r="J66" s="218">
        <f t="shared" si="47"/>
        <v>0</v>
      </c>
      <c r="K66" s="218">
        <f t="shared" si="47"/>
        <v>0</v>
      </c>
      <c r="L66" s="218">
        <f t="shared" si="47"/>
        <v>0</v>
      </c>
      <c r="M66" s="218">
        <f t="shared" si="47"/>
        <v>0</v>
      </c>
      <c r="N66" s="218">
        <f t="shared" si="47"/>
        <v>0</v>
      </c>
      <c r="O66" s="218">
        <f t="shared" si="47"/>
        <v>0</v>
      </c>
      <c r="P66" s="218">
        <f t="shared" si="47"/>
        <v>0</v>
      </c>
      <c r="Q66" s="218">
        <f t="shared" si="47"/>
        <v>0</v>
      </c>
      <c r="R66" s="218">
        <f t="shared" si="47"/>
        <v>0</v>
      </c>
      <c r="S66" s="218">
        <f t="shared" si="47"/>
        <v>0</v>
      </c>
      <c r="T66" s="218">
        <f t="shared" si="47"/>
        <v>0</v>
      </c>
      <c r="U66" s="218">
        <f t="shared" si="47"/>
        <v>0</v>
      </c>
      <c r="V66" s="218">
        <f t="shared" si="47"/>
        <v>0</v>
      </c>
      <c r="W66" s="218">
        <f t="shared" si="47"/>
        <v>0</v>
      </c>
      <c r="X66" s="218">
        <f t="shared" si="47"/>
        <v>0</v>
      </c>
      <c r="Y66" s="218">
        <f t="shared" si="47"/>
        <v>0</v>
      </c>
      <c r="Z66" s="218">
        <f t="shared" si="47"/>
        <v>0</v>
      </c>
      <c r="AA66" s="218">
        <f t="shared" si="47"/>
        <v>0</v>
      </c>
      <c r="AB66" s="218">
        <f t="shared" si="47"/>
        <v>0</v>
      </c>
      <c r="AC66" s="70"/>
      <c r="AD66" s="19"/>
      <c r="AE66" s="19"/>
      <c r="AF66" s="19"/>
      <c r="AG66" s="19"/>
    </row>
    <row r="67" spans="1:33" hidden="1" outlineLevel="3" x14ac:dyDescent="0.2">
      <c r="A67" s="19"/>
      <c r="B67" s="19"/>
      <c r="C67" s="506">
        <f>Qty!C56</f>
        <v>0</v>
      </c>
      <c r="D67" s="505">
        <f>Qty!D56</f>
        <v>0</v>
      </c>
      <c r="E67" s="505">
        <f>Qty!E56</f>
        <v>0</v>
      </c>
      <c r="F67" s="505">
        <f>Qty!F56</f>
        <v>0</v>
      </c>
      <c r="G67" s="505">
        <f>Qty!G56</f>
        <v>0</v>
      </c>
      <c r="H67" s="58"/>
      <c r="I67" s="218">
        <f t="shared" ref="I67:AB67" si="48">I145+I223+I301</f>
        <v>0</v>
      </c>
      <c r="J67" s="218">
        <f t="shared" si="48"/>
        <v>0</v>
      </c>
      <c r="K67" s="218">
        <f t="shared" si="48"/>
        <v>0</v>
      </c>
      <c r="L67" s="218">
        <f t="shared" si="48"/>
        <v>0</v>
      </c>
      <c r="M67" s="218">
        <f t="shared" si="48"/>
        <v>0</v>
      </c>
      <c r="N67" s="218">
        <f t="shared" si="48"/>
        <v>0</v>
      </c>
      <c r="O67" s="218">
        <f t="shared" si="48"/>
        <v>0</v>
      </c>
      <c r="P67" s="218">
        <f t="shared" si="48"/>
        <v>0</v>
      </c>
      <c r="Q67" s="218">
        <f t="shared" si="48"/>
        <v>0</v>
      </c>
      <c r="R67" s="218">
        <f t="shared" si="48"/>
        <v>0</v>
      </c>
      <c r="S67" s="218">
        <f t="shared" si="48"/>
        <v>0</v>
      </c>
      <c r="T67" s="218">
        <f t="shared" si="48"/>
        <v>0</v>
      </c>
      <c r="U67" s="218">
        <f t="shared" si="48"/>
        <v>0</v>
      </c>
      <c r="V67" s="218">
        <f t="shared" si="48"/>
        <v>0</v>
      </c>
      <c r="W67" s="218">
        <f t="shared" si="48"/>
        <v>0</v>
      </c>
      <c r="X67" s="218">
        <f t="shared" si="48"/>
        <v>0</v>
      </c>
      <c r="Y67" s="218">
        <f t="shared" si="48"/>
        <v>0</v>
      </c>
      <c r="Z67" s="218">
        <f t="shared" si="48"/>
        <v>0</v>
      </c>
      <c r="AA67" s="218">
        <f t="shared" si="48"/>
        <v>0</v>
      </c>
      <c r="AB67" s="218">
        <f t="shared" si="48"/>
        <v>0</v>
      </c>
      <c r="AC67" s="70"/>
      <c r="AD67" s="19"/>
      <c r="AE67" s="19"/>
      <c r="AF67" s="19"/>
      <c r="AG67" s="19"/>
    </row>
    <row r="68" spans="1:33" hidden="1" outlineLevel="3" x14ac:dyDescent="0.2">
      <c r="A68" s="19"/>
      <c r="B68" s="19"/>
      <c r="C68" s="506">
        <f>Qty!C57</f>
        <v>0</v>
      </c>
      <c r="D68" s="505">
        <f>Qty!D57</f>
        <v>0</v>
      </c>
      <c r="E68" s="505">
        <f>Qty!E57</f>
        <v>0</v>
      </c>
      <c r="F68" s="505">
        <f>Qty!F57</f>
        <v>0</v>
      </c>
      <c r="G68" s="505">
        <f>Qty!G57</f>
        <v>0</v>
      </c>
      <c r="H68" s="58"/>
      <c r="I68" s="218">
        <f t="shared" ref="I68:AB68" si="49">I146+I224+I302</f>
        <v>0</v>
      </c>
      <c r="J68" s="218">
        <f t="shared" si="49"/>
        <v>0</v>
      </c>
      <c r="K68" s="218">
        <f t="shared" si="49"/>
        <v>0</v>
      </c>
      <c r="L68" s="218">
        <f t="shared" si="49"/>
        <v>0</v>
      </c>
      <c r="M68" s="218">
        <f t="shared" si="49"/>
        <v>0</v>
      </c>
      <c r="N68" s="218">
        <f t="shared" si="49"/>
        <v>0</v>
      </c>
      <c r="O68" s="218">
        <f t="shared" si="49"/>
        <v>0</v>
      </c>
      <c r="P68" s="218">
        <f t="shared" si="49"/>
        <v>0</v>
      </c>
      <c r="Q68" s="218">
        <f t="shared" si="49"/>
        <v>0</v>
      </c>
      <c r="R68" s="218">
        <f t="shared" si="49"/>
        <v>0</v>
      </c>
      <c r="S68" s="218">
        <f t="shared" si="49"/>
        <v>0</v>
      </c>
      <c r="T68" s="218">
        <f t="shared" si="49"/>
        <v>0</v>
      </c>
      <c r="U68" s="218">
        <f t="shared" si="49"/>
        <v>0</v>
      </c>
      <c r="V68" s="218">
        <f t="shared" si="49"/>
        <v>0</v>
      </c>
      <c r="W68" s="218">
        <f t="shared" si="49"/>
        <v>0</v>
      </c>
      <c r="X68" s="218">
        <f t="shared" si="49"/>
        <v>0</v>
      </c>
      <c r="Y68" s="218">
        <f t="shared" si="49"/>
        <v>0</v>
      </c>
      <c r="Z68" s="218">
        <f t="shared" si="49"/>
        <v>0</v>
      </c>
      <c r="AA68" s="218">
        <f t="shared" si="49"/>
        <v>0</v>
      </c>
      <c r="AB68" s="218">
        <f t="shared" si="49"/>
        <v>0</v>
      </c>
      <c r="AC68" s="70"/>
      <c r="AD68" s="19"/>
      <c r="AE68" s="19"/>
      <c r="AF68" s="19"/>
      <c r="AG68" s="19"/>
    </row>
    <row r="69" spans="1:33" hidden="1" outlineLevel="3" x14ac:dyDescent="0.2">
      <c r="A69" s="19"/>
      <c r="B69" s="19"/>
      <c r="C69" s="506">
        <f>Qty!C58</f>
        <v>0</v>
      </c>
      <c r="D69" s="505">
        <f>Qty!D58</f>
        <v>0</v>
      </c>
      <c r="E69" s="505">
        <f>Qty!E58</f>
        <v>0</v>
      </c>
      <c r="F69" s="505">
        <f>Qty!F58</f>
        <v>0</v>
      </c>
      <c r="G69" s="505">
        <f>Qty!G58</f>
        <v>0</v>
      </c>
      <c r="H69" s="58"/>
      <c r="I69" s="218">
        <f t="shared" ref="I69:AB69" si="50">I147+I225+I303</f>
        <v>0</v>
      </c>
      <c r="J69" s="218">
        <f t="shared" si="50"/>
        <v>0</v>
      </c>
      <c r="K69" s="218">
        <f t="shared" si="50"/>
        <v>0</v>
      </c>
      <c r="L69" s="218">
        <f t="shared" si="50"/>
        <v>0</v>
      </c>
      <c r="M69" s="218">
        <f t="shared" si="50"/>
        <v>0</v>
      </c>
      <c r="N69" s="218">
        <f t="shared" si="50"/>
        <v>0</v>
      </c>
      <c r="O69" s="218">
        <f t="shared" si="50"/>
        <v>0</v>
      </c>
      <c r="P69" s="218">
        <f t="shared" si="50"/>
        <v>0</v>
      </c>
      <c r="Q69" s="218">
        <f t="shared" si="50"/>
        <v>0</v>
      </c>
      <c r="R69" s="218">
        <f t="shared" si="50"/>
        <v>0</v>
      </c>
      <c r="S69" s="218">
        <f t="shared" si="50"/>
        <v>0</v>
      </c>
      <c r="T69" s="218">
        <f t="shared" si="50"/>
        <v>0</v>
      </c>
      <c r="U69" s="218">
        <f t="shared" si="50"/>
        <v>0</v>
      </c>
      <c r="V69" s="218">
        <f t="shared" si="50"/>
        <v>0</v>
      </c>
      <c r="W69" s="218">
        <f t="shared" si="50"/>
        <v>0</v>
      </c>
      <c r="X69" s="218">
        <f t="shared" si="50"/>
        <v>0</v>
      </c>
      <c r="Y69" s="218">
        <f t="shared" si="50"/>
        <v>0</v>
      </c>
      <c r="Z69" s="218">
        <f t="shared" si="50"/>
        <v>0</v>
      </c>
      <c r="AA69" s="218">
        <f t="shared" si="50"/>
        <v>0</v>
      </c>
      <c r="AB69" s="218">
        <f t="shared" si="50"/>
        <v>0</v>
      </c>
      <c r="AC69" s="70"/>
      <c r="AD69" s="19"/>
      <c r="AE69" s="19"/>
      <c r="AF69" s="19"/>
      <c r="AG69" s="19"/>
    </row>
    <row r="70" spans="1:33" hidden="1" outlineLevel="3" x14ac:dyDescent="0.2">
      <c r="A70" s="19"/>
      <c r="B70" s="19"/>
      <c r="C70" s="506">
        <f>Qty!C59</f>
        <v>0</v>
      </c>
      <c r="D70" s="505">
        <f>Qty!D59</f>
        <v>0</v>
      </c>
      <c r="E70" s="505">
        <f>Qty!E59</f>
        <v>0</v>
      </c>
      <c r="F70" s="505">
        <f>Qty!F59</f>
        <v>0</v>
      </c>
      <c r="G70" s="505">
        <f>Qty!G59</f>
        <v>0</v>
      </c>
      <c r="H70" s="58"/>
      <c r="I70" s="218">
        <f t="shared" ref="I70:AB70" si="51">I148+I226+I304</f>
        <v>0</v>
      </c>
      <c r="J70" s="218">
        <f t="shared" si="51"/>
        <v>0</v>
      </c>
      <c r="K70" s="218">
        <f t="shared" si="51"/>
        <v>0</v>
      </c>
      <c r="L70" s="218">
        <f t="shared" si="51"/>
        <v>0</v>
      </c>
      <c r="M70" s="218">
        <f t="shared" si="51"/>
        <v>0</v>
      </c>
      <c r="N70" s="218">
        <f t="shared" si="51"/>
        <v>0</v>
      </c>
      <c r="O70" s="218">
        <f t="shared" si="51"/>
        <v>0</v>
      </c>
      <c r="P70" s="218">
        <f t="shared" si="51"/>
        <v>0</v>
      </c>
      <c r="Q70" s="218">
        <f t="shared" si="51"/>
        <v>0</v>
      </c>
      <c r="R70" s="218">
        <f t="shared" si="51"/>
        <v>0</v>
      </c>
      <c r="S70" s="218">
        <f t="shared" si="51"/>
        <v>0</v>
      </c>
      <c r="T70" s="218">
        <f t="shared" si="51"/>
        <v>0</v>
      </c>
      <c r="U70" s="218">
        <f t="shared" si="51"/>
        <v>0</v>
      </c>
      <c r="V70" s="218">
        <f t="shared" si="51"/>
        <v>0</v>
      </c>
      <c r="W70" s="218">
        <f t="shared" si="51"/>
        <v>0</v>
      </c>
      <c r="X70" s="218">
        <f t="shared" si="51"/>
        <v>0</v>
      </c>
      <c r="Y70" s="218">
        <f t="shared" si="51"/>
        <v>0</v>
      </c>
      <c r="Z70" s="218">
        <f t="shared" si="51"/>
        <v>0</v>
      </c>
      <c r="AA70" s="218">
        <f t="shared" si="51"/>
        <v>0</v>
      </c>
      <c r="AB70" s="218">
        <f t="shared" si="51"/>
        <v>0</v>
      </c>
      <c r="AC70" s="70"/>
      <c r="AD70" s="19"/>
      <c r="AE70" s="19"/>
      <c r="AF70" s="19"/>
      <c r="AG70" s="19"/>
    </row>
    <row r="71" spans="1:33" hidden="1" outlineLevel="3" x14ac:dyDescent="0.2">
      <c r="A71" s="19"/>
      <c r="B71" s="19"/>
      <c r="C71" s="506">
        <f>Qty!C60</f>
        <v>0</v>
      </c>
      <c r="D71" s="505">
        <f>Qty!D60</f>
        <v>0</v>
      </c>
      <c r="E71" s="505">
        <f>Qty!E60</f>
        <v>0</v>
      </c>
      <c r="F71" s="505">
        <f>Qty!F60</f>
        <v>0</v>
      </c>
      <c r="G71" s="505">
        <f>Qty!G60</f>
        <v>0</v>
      </c>
      <c r="H71" s="58"/>
      <c r="I71" s="218">
        <f t="shared" ref="I71:AB71" si="52">I149+I227+I305</f>
        <v>0</v>
      </c>
      <c r="J71" s="218">
        <f t="shared" si="52"/>
        <v>0</v>
      </c>
      <c r="K71" s="218">
        <f t="shared" si="52"/>
        <v>0</v>
      </c>
      <c r="L71" s="218">
        <f t="shared" si="52"/>
        <v>0</v>
      </c>
      <c r="M71" s="218">
        <f t="shared" si="52"/>
        <v>0</v>
      </c>
      <c r="N71" s="218">
        <f t="shared" si="52"/>
        <v>0</v>
      </c>
      <c r="O71" s="218">
        <f t="shared" si="52"/>
        <v>0</v>
      </c>
      <c r="P71" s="218">
        <f t="shared" si="52"/>
        <v>0</v>
      </c>
      <c r="Q71" s="218">
        <f t="shared" si="52"/>
        <v>0</v>
      </c>
      <c r="R71" s="218">
        <f t="shared" si="52"/>
        <v>0</v>
      </c>
      <c r="S71" s="218">
        <f t="shared" si="52"/>
        <v>0</v>
      </c>
      <c r="T71" s="218">
        <f t="shared" si="52"/>
        <v>0</v>
      </c>
      <c r="U71" s="218">
        <f t="shared" si="52"/>
        <v>0</v>
      </c>
      <c r="V71" s="218">
        <f t="shared" si="52"/>
        <v>0</v>
      </c>
      <c r="W71" s="218">
        <f t="shared" si="52"/>
        <v>0</v>
      </c>
      <c r="X71" s="218">
        <f t="shared" si="52"/>
        <v>0</v>
      </c>
      <c r="Y71" s="218">
        <f t="shared" si="52"/>
        <v>0</v>
      </c>
      <c r="Z71" s="218">
        <f t="shared" si="52"/>
        <v>0</v>
      </c>
      <c r="AA71" s="218">
        <f t="shared" si="52"/>
        <v>0</v>
      </c>
      <c r="AB71" s="218">
        <f t="shared" si="52"/>
        <v>0</v>
      </c>
      <c r="AC71" s="70"/>
      <c r="AD71" s="19"/>
      <c r="AE71" s="19"/>
      <c r="AF71" s="19"/>
      <c r="AG71" s="19"/>
    </row>
    <row r="72" spans="1:33" hidden="1" outlineLevel="3" x14ac:dyDescent="0.2">
      <c r="A72" s="19"/>
      <c r="B72" s="19"/>
      <c r="C72" s="506">
        <f>Qty!C61</f>
        <v>0</v>
      </c>
      <c r="D72" s="505">
        <f>Qty!D61</f>
        <v>0</v>
      </c>
      <c r="E72" s="505">
        <f>Qty!E61</f>
        <v>0</v>
      </c>
      <c r="F72" s="505">
        <f>Qty!F61</f>
        <v>0</v>
      </c>
      <c r="G72" s="505">
        <f>Qty!G61</f>
        <v>0</v>
      </c>
      <c r="H72" s="58"/>
      <c r="I72" s="218">
        <f t="shared" ref="I72:AB72" si="53">I150+I228+I306</f>
        <v>0</v>
      </c>
      <c r="J72" s="218">
        <f t="shared" si="53"/>
        <v>0</v>
      </c>
      <c r="K72" s="218">
        <f t="shared" si="53"/>
        <v>0</v>
      </c>
      <c r="L72" s="218">
        <f t="shared" si="53"/>
        <v>0</v>
      </c>
      <c r="M72" s="218">
        <f t="shared" si="53"/>
        <v>0</v>
      </c>
      <c r="N72" s="218">
        <f t="shared" si="53"/>
        <v>0</v>
      </c>
      <c r="O72" s="218">
        <f t="shared" si="53"/>
        <v>0</v>
      </c>
      <c r="P72" s="218">
        <f t="shared" si="53"/>
        <v>0</v>
      </c>
      <c r="Q72" s="218">
        <f t="shared" si="53"/>
        <v>0</v>
      </c>
      <c r="R72" s="218">
        <f t="shared" si="53"/>
        <v>0</v>
      </c>
      <c r="S72" s="218">
        <f t="shared" si="53"/>
        <v>0</v>
      </c>
      <c r="T72" s="218">
        <f t="shared" si="53"/>
        <v>0</v>
      </c>
      <c r="U72" s="218">
        <f t="shared" si="53"/>
        <v>0</v>
      </c>
      <c r="V72" s="218">
        <f t="shared" si="53"/>
        <v>0</v>
      </c>
      <c r="W72" s="218">
        <f t="shared" si="53"/>
        <v>0</v>
      </c>
      <c r="X72" s="218">
        <f t="shared" si="53"/>
        <v>0</v>
      </c>
      <c r="Y72" s="218">
        <f t="shared" si="53"/>
        <v>0</v>
      </c>
      <c r="Z72" s="218">
        <f t="shared" si="53"/>
        <v>0</v>
      </c>
      <c r="AA72" s="218">
        <f t="shared" si="53"/>
        <v>0</v>
      </c>
      <c r="AB72" s="218">
        <f t="shared" si="53"/>
        <v>0</v>
      </c>
      <c r="AC72" s="70"/>
      <c r="AD72" s="19"/>
      <c r="AE72" s="19"/>
      <c r="AF72" s="19"/>
      <c r="AG72" s="19"/>
    </row>
    <row r="73" spans="1:33" hidden="1" outlineLevel="3" x14ac:dyDescent="0.2">
      <c r="A73" s="19"/>
      <c r="B73" s="19"/>
      <c r="C73" s="506">
        <f>Qty!C62</f>
        <v>0</v>
      </c>
      <c r="D73" s="505">
        <f>Qty!D62</f>
        <v>0</v>
      </c>
      <c r="E73" s="505">
        <f>Qty!E62</f>
        <v>0</v>
      </c>
      <c r="F73" s="505">
        <f>Qty!F62</f>
        <v>0</v>
      </c>
      <c r="G73" s="505">
        <f>Qty!G62</f>
        <v>0</v>
      </c>
      <c r="H73" s="58"/>
      <c r="I73" s="218">
        <f t="shared" ref="I73:AB73" si="54">I151+I229+I307</f>
        <v>0</v>
      </c>
      <c r="J73" s="218">
        <f t="shared" si="54"/>
        <v>0</v>
      </c>
      <c r="K73" s="218">
        <f t="shared" si="54"/>
        <v>0</v>
      </c>
      <c r="L73" s="218">
        <f t="shared" si="54"/>
        <v>0</v>
      </c>
      <c r="M73" s="218">
        <f t="shared" si="54"/>
        <v>0</v>
      </c>
      <c r="N73" s="218">
        <f t="shared" si="54"/>
        <v>0</v>
      </c>
      <c r="O73" s="218">
        <f t="shared" si="54"/>
        <v>0</v>
      </c>
      <c r="P73" s="218">
        <f t="shared" si="54"/>
        <v>0</v>
      </c>
      <c r="Q73" s="218">
        <f t="shared" si="54"/>
        <v>0</v>
      </c>
      <c r="R73" s="218">
        <f t="shared" si="54"/>
        <v>0</v>
      </c>
      <c r="S73" s="218">
        <f t="shared" si="54"/>
        <v>0</v>
      </c>
      <c r="T73" s="218">
        <f t="shared" si="54"/>
        <v>0</v>
      </c>
      <c r="U73" s="218">
        <f t="shared" si="54"/>
        <v>0</v>
      </c>
      <c r="V73" s="218">
        <f t="shared" si="54"/>
        <v>0</v>
      </c>
      <c r="W73" s="218">
        <f t="shared" si="54"/>
        <v>0</v>
      </c>
      <c r="X73" s="218">
        <f t="shared" si="54"/>
        <v>0</v>
      </c>
      <c r="Y73" s="218">
        <f t="shared" si="54"/>
        <v>0</v>
      </c>
      <c r="Z73" s="218">
        <f t="shared" si="54"/>
        <v>0</v>
      </c>
      <c r="AA73" s="218">
        <f t="shared" si="54"/>
        <v>0</v>
      </c>
      <c r="AB73" s="218">
        <f t="shared" si="54"/>
        <v>0</v>
      </c>
      <c r="AC73" s="70"/>
      <c r="AD73" s="19"/>
      <c r="AE73" s="19"/>
      <c r="AF73" s="19"/>
      <c r="AG73" s="19"/>
    </row>
    <row r="74" spans="1:33" hidden="1" outlineLevel="3" x14ac:dyDescent="0.2">
      <c r="A74" s="19"/>
      <c r="B74" s="19"/>
      <c r="C74" s="506">
        <f>Qty!C63</f>
        <v>0</v>
      </c>
      <c r="D74" s="505">
        <f>Qty!D63</f>
        <v>0</v>
      </c>
      <c r="E74" s="505">
        <f>Qty!E63</f>
        <v>0</v>
      </c>
      <c r="F74" s="505">
        <f>Qty!F63</f>
        <v>0</v>
      </c>
      <c r="G74" s="505">
        <f>Qty!G63</f>
        <v>0</v>
      </c>
      <c r="H74" s="58"/>
      <c r="I74" s="218">
        <f t="shared" ref="I74:AB74" si="55">I152+I230+I308</f>
        <v>0</v>
      </c>
      <c r="J74" s="218">
        <f t="shared" si="55"/>
        <v>0</v>
      </c>
      <c r="K74" s="218">
        <f t="shared" si="55"/>
        <v>0</v>
      </c>
      <c r="L74" s="218">
        <f t="shared" si="55"/>
        <v>0</v>
      </c>
      <c r="M74" s="218">
        <f t="shared" si="55"/>
        <v>0</v>
      </c>
      <c r="N74" s="218">
        <f t="shared" si="55"/>
        <v>0</v>
      </c>
      <c r="O74" s="218">
        <f t="shared" si="55"/>
        <v>0</v>
      </c>
      <c r="P74" s="218">
        <f t="shared" si="55"/>
        <v>0</v>
      </c>
      <c r="Q74" s="218">
        <f t="shared" si="55"/>
        <v>0</v>
      </c>
      <c r="R74" s="218">
        <f t="shared" si="55"/>
        <v>0</v>
      </c>
      <c r="S74" s="218">
        <f t="shared" si="55"/>
        <v>0</v>
      </c>
      <c r="T74" s="218">
        <f t="shared" si="55"/>
        <v>0</v>
      </c>
      <c r="U74" s="218">
        <f t="shared" si="55"/>
        <v>0</v>
      </c>
      <c r="V74" s="218">
        <f t="shared" si="55"/>
        <v>0</v>
      </c>
      <c r="W74" s="218">
        <f t="shared" si="55"/>
        <v>0</v>
      </c>
      <c r="X74" s="218">
        <f t="shared" si="55"/>
        <v>0</v>
      </c>
      <c r="Y74" s="218">
        <f t="shared" si="55"/>
        <v>0</v>
      </c>
      <c r="Z74" s="218">
        <f t="shared" si="55"/>
        <v>0</v>
      </c>
      <c r="AA74" s="218">
        <f t="shared" si="55"/>
        <v>0</v>
      </c>
      <c r="AB74" s="218">
        <f t="shared" si="55"/>
        <v>0</v>
      </c>
      <c r="AC74" s="70"/>
      <c r="AD74" s="19"/>
      <c r="AE74" s="19"/>
      <c r="AF74" s="19"/>
      <c r="AG74" s="19"/>
    </row>
    <row r="75" spans="1:33" hidden="1" outlineLevel="3" x14ac:dyDescent="0.2">
      <c r="A75" s="19"/>
      <c r="B75" s="19"/>
      <c r="C75" s="506">
        <f>Qty!C64</f>
        <v>0</v>
      </c>
      <c r="D75" s="505">
        <f>Qty!D64</f>
        <v>0</v>
      </c>
      <c r="E75" s="505">
        <f>Qty!E64</f>
        <v>0</v>
      </c>
      <c r="F75" s="505">
        <f>Qty!F64</f>
        <v>0</v>
      </c>
      <c r="G75" s="505">
        <f>Qty!G64</f>
        <v>0</v>
      </c>
      <c r="H75" s="58"/>
      <c r="I75" s="218">
        <f t="shared" ref="I75:AB75" si="56">I153+I231+I309</f>
        <v>0</v>
      </c>
      <c r="J75" s="218">
        <f t="shared" si="56"/>
        <v>0</v>
      </c>
      <c r="K75" s="218">
        <f t="shared" si="56"/>
        <v>0</v>
      </c>
      <c r="L75" s="218">
        <f t="shared" si="56"/>
        <v>0</v>
      </c>
      <c r="M75" s="218">
        <f t="shared" si="56"/>
        <v>0</v>
      </c>
      <c r="N75" s="218">
        <f t="shared" si="56"/>
        <v>0</v>
      </c>
      <c r="O75" s="218">
        <f t="shared" si="56"/>
        <v>0</v>
      </c>
      <c r="P75" s="218">
        <f t="shared" si="56"/>
        <v>0</v>
      </c>
      <c r="Q75" s="218">
        <f t="shared" si="56"/>
        <v>0</v>
      </c>
      <c r="R75" s="218">
        <f t="shared" si="56"/>
        <v>0</v>
      </c>
      <c r="S75" s="218">
        <f t="shared" si="56"/>
        <v>0</v>
      </c>
      <c r="T75" s="218">
        <f t="shared" si="56"/>
        <v>0</v>
      </c>
      <c r="U75" s="218">
        <f t="shared" si="56"/>
        <v>0</v>
      </c>
      <c r="V75" s="218">
        <f t="shared" si="56"/>
        <v>0</v>
      </c>
      <c r="W75" s="218">
        <f t="shared" si="56"/>
        <v>0</v>
      </c>
      <c r="X75" s="218">
        <f t="shared" si="56"/>
        <v>0</v>
      </c>
      <c r="Y75" s="218">
        <f t="shared" si="56"/>
        <v>0</v>
      </c>
      <c r="Z75" s="218">
        <f t="shared" si="56"/>
        <v>0</v>
      </c>
      <c r="AA75" s="218">
        <f t="shared" si="56"/>
        <v>0</v>
      </c>
      <c r="AB75" s="218">
        <f t="shared" si="56"/>
        <v>0</v>
      </c>
      <c r="AC75" s="70"/>
      <c r="AD75" s="19"/>
      <c r="AE75" s="19"/>
      <c r="AF75" s="19"/>
      <c r="AG75" s="19"/>
    </row>
    <row r="76" spans="1:33" hidden="1" outlineLevel="3" x14ac:dyDescent="0.2">
      <c r="A76" s="19"/>
      <c r="B76" s="19"/>
      <c r="C76" s="506">
        <f>Qty!C65</f>
        <v>0</v>
      </c>
      <c r="D76" s="505">
        <f>Qty!D65</f>
        <v>0</v>
      </c>
      <c r="E76" s="505">
        <f>Qty!E65</f>
        <v>0</v>
      </c>
      <c r="F76" s="505">
        <f>Qty!F65</f>
        <v>0</v>
      </c>
      <c r="G76" s="505">
        <f>Qty!G65</f>
        <v>0</v>
      </c>
      <c r="H76" s="58"/>
      <c r="I76" s="218">
        <f t="shared" ref="I76:AB76" si="57">I154+I232+I310</f>
        <v>0</v>
      </c>
      <c r="J76" s="218">
        <f t="shared" si="57"/>
        <v>0</v>
      </c>
      <c r="K76" s="218">
        <f t="shared" si="57"/>
        <v>0</v>
      </c>
      <c r="L76" s="218">
        <f t="shared" si="57"/>
        <v>0</v>
      </c>
      <c r="M76" s="218">
        <f t="shared" si="57"/>
        <v>0</v>
      </c>
      <c r="N76" s="218">
        <f t="shared" si="57"/>
        <v>0</v>
      </c>
      <c r="O76" s="218">
        <f t="shared" si="57"/>
        <v>0</v>
      </c>
      <c r="P76" s="218">
        <f t="shared" si="57"/>
        <v>0</v>
      </c>
      <c r="Q76" s="218">
        <f t="shared" si="57"/>
        <v>0</v>
      </c>
      <c r="R76" s="218">
        <f t="shared" si="57"/>
        <v>0</v>
      </c>
      <c r="S76" s="218">
        <f t="shared" si="57"/>
        <v>0</v>
      </c>
      <c r="T76" s="218">
        <f t="shared" si="57"/>
        <v>0</v>
      </c>
      <c r="U76" s="218">
        <f t="shared" si="57"/>
        <v>0</v>
      </c>
      <c r="V76" s="218">
        <f t="shared" si="57"/>
        <v>0</v>
      </c>
      <c r="W76" s="218">
        <f t="shared" si="57"/>
        <v>0</v>
      </c>
      <c r="X76" s="218">
        <f t="shared" si="57"/>
        <v>0</v>
      </c>
      <c r="Y76" s="218">
        <f t="shared" si="57"/>
        <v>0</v>
      </c>
      <c r="Z76" s="218">
        <f t="shared" si="57"/>
        <v>0</v>
      </c>
      <c r="AA76" s="218">
        <f t="shared" si="57"/>
        <v>0</v>
      </c>
      <c r="AB76" s="218">
        <f t="shared" si="57"/>
        <v>0</v>
      </c>
      <c r="AC76" s="70"/>
      <c r="AD76" s="19"/>
      <c r="AE76" s="19"/>
      <c r="AF76" s="19"/>
      <c r="AG76" s="19"/>
    </row>
    <row r="77" spans="1:33" hidden="1" outlineLevel="3" x14ac:dyDescent="0.2">
      <c r="A77" s="19"/>
      <c r="B77" s="19"/>
      <c r="C77" s="506">
        <f>Qty!C66</f>
        <v>0</v>
      </c>
      <c r="D77" s="505">
        <f>Qty!D66</f>
        <v>0</v>
      </c>
      <c r="E77" s="505">
        <f>Qty!E66</f>
        <v>0</v>
      </c>
      <c r="F77" s="505">
        <f>Qty!F66</f>
        <v>0</v>
      </c>
      <c r="G77" s="505">
        <f>Qty!G66</f>
        <v>0</v>
      </c>
      <c r="H77" s="58"/>
      <c r="I77" s="218">
        <f t="shared" ref="I77:AB77" si="58">I155+I233+I311</f>
        <v>0</v>
      </c>
      <c r="J77" s="218">
        <f t="shared" si="58"/>
        <v>0</v>
      </c>
      <c r="K77" s="218">
        <f t="shared" si="58"/>
        <v>0</v>
      </c>
      <c r="L77" s="218">
        <f t="shared" si="58"/>
        <v>0</v>
      </c>
      <c r="M77" s="218">
        <f t="shared" si="58"/>
        <v>0</v>
      </c>
      <c r="N77" s="218">
        <f t="shared" si="58"/>
        <v>0</v>
      </c>
      <c r="O77" s="218">
        <f t="shared" si="58"/>
        <v>0</v>
      </c>
      <c r="P77" s="218">
        <f t="shared" si="58"/>
        <v>0</v>
      </c>
      <c r="Q77" s="218">
        <f t="shared" si="58"/>
        <v>0</v>
      </c>
      <c r="R77" s="218">
        <f t="shared" si="58"/>
        <v>0</v>
      </c>
      <c r="S77" s="218">
        <f t="shared" si="58"/>
        <v>0</v>
      </c>
      <c r="T77" s="218">
        <f t="shared" si="58"/>
        <v>0</v>
      </c>
      <c r="U77" s="218">
        <f t="shared" si="58"/>
        <v>0</v>
      </c>
      <c r="V77" s="218">
        <f t="shared" si="58"/>
        <v>0</v>
      </c>
      <c r="W77" s="218">
        <f t="shared" si="58"/>
        <v>0</v>
      </c>
      <c r="X77" s="218">
        <f t="shared" si="58"/>
        <v>0</v>
      </c>
      <c r="Y77" s="218">
        <f t="shared" si="58"/>
        <v>0</v>
      </c>
      <c r="Z77" s="218">
        <f t="shared" si="58"/>
        <v>0</v>
      </c>
      <c r="AA77" s="218">
        <f t="shared" si="58"/>
        <v>0</v>
      </c>
      <c r="AB77" s="218">
        <f t="shared" si="58"/>
        <v>0</v>
      </c>
      <c r="AC77" s="70"/>
      <c r="AD77" s="19"/>
      <c r="AE77" s="19"/>
      <c r="AF77" s="19"/>
      <c r="AG77" s="19"/>
    </row>
    <row r="78" spans="1:33" hidden="1" outlineLevel="3" x14ac:dyDescent="0.2">
      <c r="A78" s="19"/>
      <c r="B78" s="19"/>
      <c r="C78" s="506">
        <f>Qty!C67</f>
        <v>0</v>
      </c>
      <c r="D78" s="505">
        <f>Qty!D67</f>
        <v>0</v>
      </c>
      <c r="E78" s="505">
        <f>Qty!E67</f>
        <v>0</v>
      </c>
      <c r="F78" s="505">
        <f>Qty!F67</f>
        <v>0</v>
      </c>
      <c r="G78" s="505">
        <f>Qty!G67</f>
        <v>0</v>
      </c>
      <c r="H78" s="58"/>
      <c r="I78" s="218">
        <f t="shared" ref="I78:AB78" si="59">I156+I234+I312</f>
        <v>0</v>
      </c>
      <c r="J78" s="218">
        <f t="shared" si="59"/>
        <v>0</v>
      </c>
      <c r="K78" s="218">
        <f t="shared" si="59"/>
        <v>0</v>
      </c>
      <c r="L78" s="218">
        <f t="shared" si="59"/>
        <v>0</v>
      </c>
      <c r="M78" s="218">
        <f t="shared" si="59"/>
        <v>0</v>
      </c>
      <c r="N78" s="218">
        <f t="shared" si="59"/>
        <v>0</v>
      </c>
      <c r="O78" s="218">
        <f t="shared" si="59"/>
        <v>0</v>
      </c>
      <c r="P78" s="218">
        <f t="shared" si="59"/>
        <v>0</v>
      </c>
      <c r="Q78" s="218">
        <f t="shared" si="59"/>
        <v>0</v>
      </c>
      <c r="R78" s="218">
        <f t="shared" si="59"/>
        <v>0</v>
      </c>
      <c r="S78" s="218">
        <f t="shared" si="59"/>
        <v>0</v>
      </c>
      <c r="T78" s="218">
        <f t="shared" si="59"/>
        <v>0</v>
      </c>
      <c r="U78" s="218">
        <f t="shared" si="59"/>
        <v>0</v>
      </c>
      <c r="V78" s="218">
        <f t="shared" si="59"/>
        <v>0</v>
      </c>
      <c r="W78" s="218">
        <f t="shared" si="59"/>
        <v>0</v>
      </c>
      <c r="X78" s="218">
        <f t="shared" si="59"/>
        <v>0</v>
      </c>
      <c r="Y78" s="218">
        <f t="shared" si="59"/>
        <v>0</v>
      </c>
      <c r="Z78" s="218">
        <f t="shared" si="59"/>
        <v>0</v>
      </c>
      <c r="AA78" s="218">
        <f t="shared" si="59"/>
        <v>0</v>
      </c>
      <c r="AB78" s="218">
        <f t="shared" si="59"/>
        <v>0</v>
      </c>
      <c r="AC78" s="70"/>
      <c r="AD78" s="19"/>
      <c r="AE78" s="19"/>
      <c r="AF78" s="19"/>
      <c r="AG78" s="19"/>
    </row>
    <row r="79" spans="1:33" hidden="1" outlineLevel="3" x14ac:dyDescent="0.2">
      <c r="A79" s="19"/>
      <c r="B79" s="19"/>
      <c r="C79" s="506">
        <f>Qty!C68</f>
        <v>0</v>
      </c>
      <c r="D79" s="505">
        <f>Qty!D68</f>
        <v>0</v>
      </c>
      <c r="E79" s="505">
        <f>Qty!E68</f>
        <v>0</v>
      </c>
      <c r="F79" s="505">
        <f>Qty!F68</f>
        <v>0</v>
      </c>
      <c r="G79" s="505">
        <f>Qty!G68</f>
        <v>0</v>
      </c>
      <c r="H79" s="58"/>
      <c r="I79" s="218">
        <f t="shared" ref="I79:AB79" si="60">I157+I235+I313</f>
        <v>0</v>
      </c>
      <c r="J79" s="218">
        <f t="shared" si="60"/>
        <v>0</v>
      </c>
      <c r="K79" s="218">
        <f t="shared" si="60"/>
        <v>0</v>
      </c>
      <c r="L79" s="218">
        <f t="shared" si="60"/>
        <v>0</v>
      </c>
      <c r="M79" s="218">
        <f t="shared" si="60"/>
        <v>0</v>
      </c>
      <c r="N79" s="218">
        <f t="shared" si="60"/>
        <v>0</v>
      </c>
      <c r="O79" s="218">
        <f t="shared" si="60"/>
        <v>0</v>
      </c>
      <c r="P79" s="218">
        <f t="shared" si="60"/>
        <v>0</v>
      </c>
      <c r="Q79" s="218">
        <f t="shared" si="60"/>
        <v>0</v>
      </c>
      <c r="R79" s="218">
        <f t="shared" si="60"/>
        <v>0</v>
      </c>
      <c r="S79" s="218">
        <f t="shared" si="60"/>
        <v>0</v>
      </c>
      <c r="T79" s="218">
        <f t="shared" si="60"/>
        <v>0</v>
      </c>
      <c r="U79" s="218">
        <f t="shared" si="60"/>
        <v>0</v>
      </c>
      <c r="V79" s="218">
        <f t="shared" si="60"/>
        <v>0</v>
      </c>
      <c r="W79" s="218">
        <f t="shared" si="60"/>
        <v>0</v>
      </c>
      <c r="X79" s="218">
        <f t="shared" si="60"/>
        <v>0</v>
      </c>
      <c r="Y79" s="218">
        <f t="shared" si="60"/>
        <v>0</v>
      </c>
      <c r="Z79" s="218">
        <f t="shared" si="60"/>
        <v>0</v>
      </c>
      <c r="AA79" s="218">
        <f t="shared" si="60"/>
        <v>0</v>
      </c>
      <c r="AB79" s="218">
        <f t="shared" si="60"/>
        <v>0</v>
      </c>
      <c r="AC79" s="70"/>
      <c r="AD79" s="19"/>
      <c r="AE79" s="19"/>
      <c r="AF79" s="19"/>
      <c r="AG79" s="19"/>
    </row>
    <row r="80" spans="1:33" hidden="1" outlineLevel="3" x14ac:dyDescent="0.2">
      <c r="A80" s="19"/>
      <c r="B80" s="19"/>
      <c r="C80" s="506">
        <f>Qty!C69</f>
        <v>0</v>
      </c>
      <c r="D80" s="505">
        <f>Qty!D69</f>
        <v>0</v>
      </c>
      <c r="E80" s="505">
        <f>Qty!E69</f>
        <v>0</v>
      </c>
      <c r="F80" s="505">
        <f>Qty!F69</f>
        <v>0</v>
      </c>
      <c r="G80" s="505">
        <f>Qty!G69</f>
        <v>0</v>
      </c>
      <c r="H80" s="58"/>
      <c r="I80" s="218">
        <f t="shared" ref="I80:AB80" si="61">I158+I236+I314</f>
        <v>0</v>
      </c>
      <c r="J80" s="218">
        <f t="shared" si="61"/>
        <v>0</v>
      </c>
      <c r="K80" s="218">
        <f t="shared" si="61"/>
        <v>0</v>
      </c>
      <c r="L80" s="218">
        <f t="shared" si="61"/>
        <v>0</v>
      </c>
      <c r="M80" s="218">
        <f t="shared" si="61"/>
        <v>0</v>
      </c>
      <c r="N80" s="218">
        <f t="shared" si="61"/>
        <v>0</v>
      </c>
      <c r="O80" s="218">
        <f t="shared" si="61"/>
        <v>0</v>
      </c>
      <c r="P80" s="218">
        <f t="shared" si="61"/>
        <v>0</v>
      </c>
      <c r="Q80" s="218">
        <f t="shared" si="61"/>
        <v>0</v>
      </c>
      <c r="R80" s="218">
        <f t="shared" si="61"/>
        <v>0</v>
      </c>
      <c r="S80" s="218">
        <f t="shared" si="61"/>
        <v>0</v>
      </c>
      <c r="T80" s="218">
        <f t="shared" si="61"/>
        <v>0</v>
      </c>
      <c r="U80" s="218">
        <f t="shared" si="61"/>
        <v>0</v>
      </c>
      <c r="V80" s="218">
        <f t="shared" si="61"/>
        <v>0</v>
      </c>
      <c r="W80" s="218">
        <f t="shared" si="61"/>
        <v>0</v>
      </c>
      <c r="X80" s="218">
        <f t="shared" si="61"/>
        <v>0</v>
      </c>
      <c r="Y80" s="218">
        <f t="shared" si="61"/>
        <v>0</v>
      </c>
      <c r="Z80" s="218">
        <f t="shared" si="61"/>
        <v>0</v>
      </c>
      <c r="AA80" s="218">
        <f t="shared" si="61"/>
        <v>0</v>
      </c>
      <c r="AB80" s="218">
        <f t="shared" si="61"/>
        <v>0</v>
      </c>
      <c r="AC80" s="70"/>
      <c r="AD80" s="19"/>
      <c r="AE80" s="19"/>
      <c r="AF80" s="19"/>
      <c r="AG80" s="19"/>
    </row>
    <row r="81" spans="1:33" hidden="1" outlineLevel="3" x14ac:dyDescent="0.2">
      <c r="A81" s="19"/>
      <c r="B81" s="19"/>
      <c r="C81" s="506">
        <f>Qty!C70</f>
        <v>0</v>
      </c>
      <c r="D81" s="505">
        <f>Qty!D70</f>
        <v>0</v>
      </c>
      <c r="E81" s="505">
        <f>Qty!E70</f>
        <v>0</v>
      </c>
      <c r="F81" s="505">
        <f>Qty!F70</f>
        <v>0</v>
      </c>
      <c r="G81" s="505">
        <f>Qty!G70</f>
        <v>0</v>
      </c>
      <c r="H81" s="58"/>
      <c r="I81" s="218">
        <f t="shared" ref="I81:AB81" si="62">I159+I237+I315</f>
        <v>0</v>
      </c>
      <c r="J81" s="218">
        <f t="shared" si="62"/>
        <v>0</v>
      </c>
      <c r="K81" s="218">
        <f t="shared" si="62"/>
        <v>0</v>
      </c>
      <c r="L81" s="218">
        <f t="shared" si="62"/>
        <v>0</v>
      </c>
      <c r="M81" s="218">
        <f t="shared" si="62"/>
        <v>0</v>
      </c>
      <c r="N81" s="218">
        <f t="shared" si="62"/>
        <v>0</v>
      </c>
      <c r="O81" s="218">
        <f t="shared" si="62"/>
        <v>0</v>
      </c>
      <c r="P81" s="218">
        <f t="shared" si="62"/>
        <v>0</v>
      </c>
      <c r="Q81" s="218">
        <f t="shared" si="62"/>
        <v>0</v>
      </c>
      <c r="R81" s="218">
        <f t="shared" si="62"/>
        <v>0</v>
      </c>
      <c r="S81" s="218">
        <f t="shared" si="62"/>
        <v>0</v>
      </c>
      <c r="T81" s="218">
        <f t="shared" si="62"/>
        <v>0</v>
      </c>
      <c r="U81" s="218">
        <f t="shared" si="62"/>
        <v>0</v>
      </c>
      <c r="V81" s="218">
        <f t="shared" si="62"/>
        <v>0</v>
      </c>
      <c r="W81" s="218">
        <f t="shared" si="62"/>
        <v>0</v>
      </c>
      <c r="X81" s="218">
        <f t="shared" si="62"/>
        <v>0</v>
      </c>
      <c r="Y81" s="218">
        <f t="shared" si="62"/>
        <v>0</v>
      </c>
      <c r="Z81" s="218">
        <f t="shared" si="62"/>
        <v>0</v>
      </c>
      <c r="AA81" s="218">
        <f t="shared" si="62"/>
        <v>0</v>
      </c>
      <c r="AB81" s="218">
        <f t="shared" si="62"/>
        <v>0</v>
      </c>
      <c r="AC81" s="70"/>
      <c r="AD81" s="19"/>
      <c r="AE81" s="19"/>
      <c r="AF81" s="19"/>
      <c r="AG81" s="19"/>
    </row>
    <row r="82" spans="1:33" hidden="1" outlineLevel="3" x14ac:dyDescent="0.2">
      <c r="A82" s="19"/>
      <c r="B82" s="19"/>
      <c r="C82" s="506">
        <f>Qty!C71</f>
        <v>0</v>
      </c>
      <c r="D82" s="505">
        <f>Qty!D71</f>
        <v>0</v>
      </c>
      <c r="E82" s="505">
        <f>Qty!E71</f>
        <v>0</v>
      </c>
      <c r="F82" s="505">
        <f>Qty!F71</f>
        <v>0</v>
      </c>
      <c r="G82" s="505">
        <f>Qty!G71</f>
        <v>0</v>
      </c>
      <c r="H82" s="58"/>
      <c r="I82" s="218">
        <f t="shared" ref="I82:AB82" si="63">I160+I238+I316</f>
        <v>0</v>
      </c>
      <c r="J82" s="218">
        <f t="shared" si="63"/>
        <v>0</v>
      </c>
      <c r="K82" s="218">
        <f t="shared" si="63"/>
        <v>0</v>
      </c>
      <c r="L82" s="218">
        <f t="shared" si="63"/>
        <v>0</v>
      </c>
      <c r="M82" s="218">
        <f t="shared" si="63"/>
        <v>0</v>
      </c>
      <c r="N82" s="218">
        <f t="shared" si="63"/>
        <v>0</v>
      </c>
      <c r="O82" s="218">
        <f t="shared" si="63"/>
        <v>0</v>
      </c>
      <c r="P82" s="218">
        <f t="shared" si="63"/>
        <v>0</v>
      </c>
      <c r="Q82" s="218">
        <f t="shared" si="63"/>
        <v>0</v>
      </c>
      <c r="R82" s="218">
        <f t="shared" si="63"/>
        <v>0</v>
      </c>
      <c r="S82" s="218">
        <f t="shared" si="63"/>
        <v>0</v>
      </c>
      <c r="T82" s="218">
        <f t="shared" si="63"/>
        <v>0</v>
      </c>
      <c r="U82" s="218">
        <f t="shared" si="63"/>
        <v>0</v>
      </c>
      <c r="V82" s="218">
        <f t="shared" si="63"/>
        <v>0</v>
      </c>
      <c r="W82" s="218">
        <f t="shared" si="63"/>
        <v>0</v>
      </c>
      <c r="X82" s="218">
        <f t="shared" si="63"/>
        <v>0</v>
      </c>
      <c r="Y82" s="218">
        <f t="shared" si="63"/>
        <v>0</v>
      </c>
      <c r="Z82" s="218">
        <f t="shared" si="63"/>
        <v>0</v>
      </c>
      <c r="AA82" s="218">
        <f t="shared" si="63"/>
        <v>0</v>
      </c>
      <c r="AB82" s="218">
        <f t="shared" si="63"/>
        <v>0</v>
      </c>
      <c r="AC82" s="70"/>
      <c r="AD82" s="19"/>
      <c r="AE82" s="19"/>
      <c r="AF82" s="19"/>
      <c r="AG82" s="19"/>
    </row>
    <row r="83" spans="1:33" hidden="1" outlineLevel="3" x14ac:dyDescent="0.2">
      <c r="A83" s="19"/>
      <c r="B83" s="19"/>
      <c r="C83" s="506">
        <f>Qty!C72</f>
        <v>0</v>
      </c>
      <c r="D83" s="505">
        <f>Qty!D72</f>
        <v>0</v>
      </c>
      <c r="E83" s="505">
        <f>Qty!E72</f>
        <v>0</v>
      </c>
      <c r="F83" s="505">
        <f>Qty!F72</f>
        <v>0</v>
      </c>
      <c r="G83" s="505">
        <f>Qty!G72</f>
        <v>0</v>
      </c>
      <c r="H83" s="58"/>
      <c r="I83" s="218">
        <f t="shared" ref="I83:AB83" si="64">I161+I239+I317</f>
        <v>0</v>
      </c>
      <c r="J83" s="218">
        <f t="shared" si="64"/>
        <v>0</v>
      </c>
      <c r="K83" s="218">
        <f t="shared" si="64"/>
        <v>0</v>
      </c>
      <c r="L83" s="218">
        <f t="shared" si="64"/>
        <v>0</v>
      </c>
      <c r="M83" s="218">
        <f t="shared" si="64"/>
        <v>0</v>
      </c>
      <c r="N83" s="218">
        <f t="shared" si="64"/>
        <v>0</v>
      </c>
      <c r="O83" s="218">
        <f t="shared" si="64"/>
        <v>0</v>
      </c>
      <c r="P83" s="218">
        <f t="shared" si="64"/>
        <v>0</v>
      </c>
      <c r="Q83" s="218">
        <f t="shared" si="64"/>
        <v>0</v>
      </c>
      <c r="R83" s="218">
        <f t="shared" si="64"/>
        <v>0</v>
      </c>
      <c r="S83" s="218">
        <f t="shared" si="64"/>
        <v>0</v>
      </c>
      <c r="T83" s="218">
        <f t="shared" si="64"/>
        <v>0</v>
      </c>
      <c r="U83" s="218">
        <f t="shared" si="64"/>
        <v>0</v>
      </c>
      <c r="V83" s="218">
        <f t="shared" si="64"/>
        <v>0</v>
      </c>
      <c r="W83" s="218">
        <f t="shared" si="64"/>
        <v>0</v>
      </c>
      <c r="X83" s="218">
        <f t="shared" si="64"/>
        <v>0</v>
      </c>
      <c r="Y83" s="218">
        <f t="shared" si="64"/>
        <v>0</v>
      </c>
      <c r="Z83" s="218">
        <f t="shared" si="64"/>
        <v>0</v>
      </c>
      <c r="AA83" s="218">
        <f t="shared" si="64"/>
        <v>0</v>
      </c>
      <c r="AB83" s="218">
        <f t="shared" si="64"/>
        <v>0</v>
      </c>
      <c r="AC83" s="70"/>
      <c r="AD83" s="19"/>
      <c r="AE83" s="19"/>
      <c r="AF83" s="19"/>
      <c r="AG83" s="19"/>
    </row>
    <row r="84" spans="1:33" hidden="1" outlineLevel="3" x14ac:dyDescent="0.2">
      <c r="A84" s="19"/>
      <c r="B84" s="19"/>
      <c r="C84" s="506">
        <f>Qty!C73</f>
        <v>0</v>
      </c>
      <c r="D84" s="505">
        <f>Qty!D73</f>
        <v>0</v>
      </c>
      <c r="E84" s="505">
        <f>Qty!E73</f>
        <v>0</v>
      </c>
      <c r="F84" s="505">
        <f>Qty!F73</f>
        <v>0</v>
      </c>
      <c r="G84" s="505">
        <f>Qty!G73</f>
        <v>0</v>
      </c>
      <c r="H84" s="58"/>
      <c r="I84" s="218">
        <f t="shared" ref="I84:AB84" si="65">I162+I240+I318</f>
        <v>0</v>
      </c>
      <c r="J84" s="218">
        <f t="shared" si="65"/>
        <v>0</v>
      </c>
      <c r="K84" s="218">
        <f t="shared" si="65"/>
        <v>0</v>
      </c>
      <c r="L84" s="218">
        <f t="shared" si="65"/>
        <v>0</v>
      </c>
      <c r="M84" s="218">
        <f t="shared" si="65"/>
        <v>0</v>
      </c>
      <c r="N84" s="218">
        <f t="shared" si="65"/>
        <v>0</v>
      </c>
      <c r="O84" s="218">
        <f t="shared" si="65"/>
        <v>0</v>
      </c>
      <c r="P84" s="218">
        <f t="shared" si="65"/>
        <v>0</v>
      </c>
      <c r="Q84" s="218">
        <f t="shared" si="65"/>
        <v>0</v>
      </c>
      <c r="R84" s="218">
        <f t="shared" si="65"/>
        <v>0</v>
      </c>
      <c r="S84" s="218">
        <f t="shared" si="65"/>
        <v>0</v>
      </c>
      <c r="T84" s="218">
        <f t="shared" si="65"/>
        <v>0</v>
      </c>
      <c r="U84" s="218">
        <f t="shared" si="65"/>
        <v>0</v>
      </c>
      <c r="V84" s="218">
        <f t="shared" si="65"/>
        <v>0</v>
      </c>
      <c r="W84" s="218">
        <f t="shared" si="65"/>
        <v>0</v>
      </c>
      <c r="X84" s="218">
        <f t="shared" si="65"/>
        <v>0</v>
      </c>
      <c r="Y84" s="218">
        <f t="shared" si="65"/>
        <v>0</v>
      </c>
      <c r="Z84" s="218">
        <f t="shared" si="65"/>
        <v>0</v>
      </c>
      <c r="AA84" s="218">
        <f t="shared" si="65"/>
        <v>0</v>
      </c>
      <c r="AB84" s="218">
        <f t="shared" si="65"/>
        <v>0</v>
      </c>
      <c r="AC84" s="70"/>
      <c r="AD84" s="19"/>
      <c r="AE84" s="19"/>
      <c r="AF84" s="19"/>
      <c r="AG84" s="19"/>
    </row>
    <row r="85" spans="1:33" hidden="1" outlineLevel="3" x14ac:dyDescent="0.2">
      <c r="A85" s="19"/>
      <c r="B85" s="19"/>
      <c r="C85" s="506">
        <f>Qty!C74</f>
        <v>0</v>
      </c>
      <c r="D85" s="505">
        <f>Qty!D74</f>
        <v>0</v>
      </c>
      <c r="E85" s="505">
        <f>Qty!E74</f>
        <v>0</v>
      </c>
      <c r="F85" s="505">
        <f>Qty!F74</f>
        <v>0</v>
      </c>
      <c r="G85" s="505">
        <f>Qty!G74</f>
        <v>0</v>
      </c>
      <c r="H85" s="58"/>
      <c r="I85" s="218">
        <f t="shared" ref="I85:AB85" si="66">I163+I241+I319</f>
        <v>0</v>
      </c>
      <c r="J85" s="218">
        <f t="shared" si="66"/>
        <v>0</v>
      </c>
      <c r="K85" s="218">
        <f t="shared" si="66"/>
        <v>0</v>
      </c>
      <c r="L85" s="218">
        <f t="shared" si="66"/>
        <v>0</v>
      </c>
      <c r="M85" s="218">
        <f t="shared" si="66"/>
        <v>0</v>
      </c>
      <c r="N85" s="218">
        <f t="shared" si="66"/>
        <v>0</v>
      </c>
      <c r="O85" s="218">
        <f t="shared" si="66"/>
        <v>0</v>
      </c>
      <c r="P85" s="218">
        <f t="shared" si="66"/>
        <v>0</v>
      </c>
      <c r="Q85" s="218">
        <f t="shared" si="66"/>
        <v>0</v>
      </c>
      <c r="R85" s="218">
        <f t="shared" si="66"/>
        <v>0</v>
      </c>
      <c r="S85" s="218">
        <f t="shared" si="66"/>
        <v>0</v>
      </c>
      <c r="T85" s="218">
        <f t="shared" si="66"/>
        <v>0</v>
      </c>
      <c r="U85" s="218">
        <f t="shared" si="66"/>
        <v>0</v>
      </c>
      <c r="V85" s="218">
        <f t="shared" si="66"/>
        <v>0</v>
      </c>
      <c r="W85" s="218">
        <f t="shared" si="66"/>
        <v>0</v>
      </c>
      <c r="X85" s="218">
        <f t="shared" si="66"/>
        <v>0</v>
      </c>
      <c r="Y85" s="218">
        <f t="shared" si="66"/>
        <v>0</v>
      </c>
      <c r="Z85" s="218">
        <f t="shared" si="66"/>
        <v>0</v>
      </c>
      <c r="AA85" s="218">
        <f t="shared" si="66"/>
        <v>0</v>
      </c>
      <c r="AB85" s="218">
        <f t="shared" si="66"/>
        <v>0</v>
      </c>
      <c r="AC85" s="70"/>
      <c r="AD85" s="19"/>
      <c r="AE85" s="19"/>
      <c r="AF85" s="19"/>
      <c r="AG85" s="19"/>
    </row>
    <row r="86" spans="1:33" hidden="1" outlineLevel="3" x14ac:dyDescent="0.2">
      <c r="A86" s="19"/>
      <c r="B86" s="19"/>
      <c r="C86" s="506">
        <f>Qty!C75</f>
        <v>0</v>
      </c>
      <c r="D86" s="505">
        <f>Qty!D75</f>
        <v>0</v>
      </c>
      <c r="E86" s="505">
        <f>Qty!E75</f>
        <v>0</v>
      </c>
      <c r="F86" s="505">
        <f>Qty!F75</f>
        <v>0</v>
      </c>
      <c r="G86" s="505">
        <f>Qty!G75</f>
        <v>0</v>
      </c>
      <c r="H86" s="58"/>
      <c r="I86" s="218">
        <f t="shared" ref="I86:AB86" si="67">I164+I242+I320</f>
        <v>0</v>
      </c>
      <c r="J86" s="218">
        <f t="shared" si="67"/>
        <v>0</v>
      </c>
      <c r="K86" s="218">
        <f t="shared" si="67"/>
        <v>0</v>
      </c>
      <c r="L86" s="218">
        <f t="shared" si="67"/>
        <v>0</v>
      </c>
      <c r="M86" s="218">
        <f t="shared" si="67"/>
        <v>0</v>
      </c>
      <c r="N86" s="218">
        <f t="shared" si="67"/>
        <v>0</v>
      </c>
      <c r="O86" s="218">
        <f t="shared" si="67"/>
        <v>0</v>
      </c>
      <c r="P86" s="218">
        <f t="shared" si="67"/>
        <v>0</v>
      </c>
      <c r="Q86" s="218">
        <f t="shared" si="67"/>
        <v>0</v>
      </c>
      <c r="R86" s="218">
        <f t="shared" si="67"/>
        <v>0</v>
      </c>
      <c r="S86" s="218">
        <f t="shared" si="67"/>
        <v>0</v>
      </c>
      <c r="T86" s="218">
        <f t="shared" si="67"/>
        <v>0</v>
      </c>
      <c r="U86" s="218">
        <f t="shared" si="67"/>
        <v>0</v>
      </c>
      <c r="V86" s="218">
        <f t="shared" si="67"/>
        <v>0</v>
      </c>
      <c r="W86" s="218">
        <f t="shared" si="67"/>
        <v>0</v>
      </c>
      <c r="X86" s="218">
        <f t="shared" si="67"/>
        <v>0</v>
      </c>
      <c r="Y86" s="218">
        <f t="shared" si="67"/>
        <v>0</v>
      </c>
      <c r="Z86" s="218">
        <f t="shared" si="67"/>
        <v>0</v>
      </c>
      <c r="AA86" s="218">
        <f t="shared" si="67"/>
        <v>0</v>
      </c>
      <c r="AB86" s="218">
        <f t="shared" si="67"/>
        <v>0</v>
      </c>
      <c r="AC86" s="70"/>
      <c r="AD86" s="19"/>
      <c r="AE86" s="19"/>
      <c r="AF86" s="19"/>
      <c r="AG86" s="19"/>
    </row>
    <row r="87" spans="1:33" hidden="1" outlineLevel="3" x14ac:dyDescent="0.2">
      <c r="A87" s="19"/>
      <c r="B87" s="19"/>
      <c r="C87" s="506">
        <f>Qty!C76</f>
        <v>0</v>
      </c>
      <c r="D87" s="505">
        <f>Qty!D76</f>
        <v>0</v>
      </c>
      <c r="E87" s="505">
        <f>Qty!E76</f>
        <v>0</v>
      </c>
      <c r="F87" s="505">
        <f>Qty!F76</f>
        <v>0</v>
      </c>
      <c r="G87" s="505">
        <f>Qty!G76</f>
        <v>0</v>
      </c>
      <c r="H87" s="58"/>
      <c r="I87" s="218">
        <f t="shared" ref="I87:AB87" si="68">I165+I243+I321</f>
        <v>0</v>
      </c>
      <c r="J87" s="218">
        <f t="shared" si="68"/>
        <v>0</v>
      </c>
      <c r="K87" s="218">
        <f t="shared" si="68"/>
        <v>0</v>
      </c>
      <c r="L87" s="218">
        <f t="shared" si="68"/>
        <v>0</v>
      </c>
      <c r="M87" s="218">
        <f t="shared" si="68"/>
        <v>0</v>
      </c>
      <c r="N87" s="218">
        <f t="shared" si="68"/>
        <v>0</v>
      </c>
      <c r="O87" s="218">
        <f t="shared" si="68"/>
        <v>0</v>
      </c>
      <c r="P87" s="218">
        <f t="shared" si="68"/>
        <v>0</v>
      </c>
      <c r="Q87" s="218">
        <f t="shared" si="68"/>
        <v>0</v>
      </c>
      <c r="R87" s="218">
        <f t="shared" si="68"/>
        <v>0</v>
      </c>
      <c r="S87" s="218">
        <f t="shared" si="68"/>
        <v>0</v>
      </c>
      <c r="T87" s="218">
        <f t="shared" si="68"/>
        <v>0</v>
      </c>
      <c r="U87" s="218">
        <f t="shared" si="68"/>
        <v>0</v>
      </c>
      <c r="V87" s="218">
        <f t="shared" si="68"/>
        <v>0</v>
      </c>
      <c r="W87" s="218">
        <f t="shared" si="68"/>
        <v>0</v>
      </c>
      <c r="X87" s="218">
        <f t="shared" si="68"/>
        <v>0</v>
      </c>
      <c r="Y87" s="218">
        <f t="shared" si="68"/>
        <v>0</v>
      </c>
      <c r="Z87" s="218">
        <f t="shared" si="68"/>
        <v>0</v>
      </c>
      <c r="AA87" s="218">
        <f t="shared" si="68"/>
        <v>0</v>
      </c>
      <c r="AB87" s="218">
        <f t="shared" si="68"/>
        <v>0</v>
      </c>
      <c r="AC87" s="70"/>
      <c r="AD87" s="19"/>
      <c r="AE87" s="19"/>
      <c r="AF87" s="19"/>
      <c r="AG87" s="19"/>
    </row>
    <row r="88" spans="1:33" hidden="1" outlineLevel="3" x14ac:dyDescent="0.2">
      <c r="A88" s="19"/>
      <c r="B88" s="19"/>
      <c r="C88" s="506">
        <f>Qty!C77</f>
        <v>0</v>
      </c>
      <c r="D88" s="505">
        <f>Qty!D77</f>
        <v>0</v>
      </c>
      <c r="E88" s="505">
        <f>Qty!E77</f>
        <v>0</v>
      </c>
      <c r="F88" s="505">
        <f>Qty!F77</f>
        <v>0</v>
      </c>
      <c r="G88" s="505">
        <f>Qty!G77</f>
        <v>0</v>
      </c>
      <c r="H88" s="58"/>
      <c r="I88" s="218">
        <f t="shared" ref="I88:AB88" si="69">I166+I244+I322</f>
        <v>0</v>
      </c>
      <c r="J88" s="218">
        <f t="shared" si="69"/>
        <v>0</v>
      </c>
      <c r="K88" s="218">
        <f t="shared" si="69"/>
        <v>0</v>
      </c>
      <c r="L88" s="218">
        <f t="shared" si="69"/>
        <v>0</v>
      </c>
      <c r="M88" s="218">
        <f t="shared" si="69"/>
        <v>0</v>
      </c>
      <c r="N88" s="218">
        <f t="shared" si="69"/>
        <v>0</v>
      </c>
      <c r="O88" s="218">
        <f t="shared" si="69"/>
        <v>0</v>
      </c>
      <c r="P88" s="218">
        <f t="shared" si="69"/>
        <v>0</v>
      </c>
      <c r="Q88" s="218">
        <f t="shared" si="69"/>
        <v>0</v>
      </c>
      <c r="R88" s="218">
        <f t="shared" si="69"/>
        <v>0</v>
      </c>
      <c r="S88" s="218">
        <f t="shared" si="69"/>
        <v>0</v>
      </c>
      <c r="T88" s="218">
        <f t="shared" si="69"/>
        <v>0</v>
      </c>
      <c r="U88" s="218">
        <f t="shared" si="69"/>
        <v>0</v>
      </c>
      <c r="V88" s="218">
        <f t="shared" si="69"/>
        <v>0</v>
      </c>
      <c r="W88" s="218">
        <f t="shared" si="69"/>
        <v>0</v>
      </c>
      <c r="X88" s="218">
        <f t="shared" si="69"/>
        <v>0</v>
      </c>
      <c r="Y88" s="218">
        <f t="shared" si="69"/>
        <v>0</v>
      </c>
      <c r="Z88" s="218">
        <f t="shared" si="69"/>
        <v>0</v>
      </c>
      <c r="AA88" s="218">
        <f t="shared" si="69"/>
        <v>0</v>
      </c>
      <c r="AB88" s="218">
        <f t="shared" si="69"/>
        <v>0</v>
      </c>
      <c r="AC88" s="70"/>
      <c r="AD88" s="19"/>
      <c r="AE88" s="19"/>
      <c r="AF88" s="19"/>
      <c r="AG88" s="19"/>
    </row>
    <row r="89" spans="1:33" hidden="1" outlineLevel="3" x14ac:dyDescent="0.2">
      <c r="A89" s="19"/>
      <c r="B89" s="19"/>
      <c r="C89" s="506">
        <f>Qty!C78</f>
        <v>0</v>
      </c>
      <c r="D89" s="505">
        <f>Qty!D78</f>
        <v>0</v>
      </c>
      <c r="E89" s="505">
        <f>Qty!E78</f>
        <v>0</v>
      </c>
      <c r="F89" s="505">
        <f>Qty!F78</f>
        <v>0</v>
      </c>
      <c r="G89" s="505">
        <f>Qty!G78</f>
        <v>0</v>
      </c>
      <c r="H89" s="58"/>
      <c r="I89" s="218">
        <f t="shared" ref="I89:AB89" si="70">I167+I245+I323</f>
        <v>0</v>
      </c>
      <c r="J89" s="218">
        <f t="shared" si="70"/>
        <v>0</v>
      </c>
      <c r="K89" s="218">
        <f t="shared" si="70"/>
        <v>0</v>
      </c>
      <c r="L89" s="218">
        <f t="shared" si="70"/>
        <v>0</v>
      </c>
      <c r="M89" s="218">
        <f t="shared" si="70"/>
        <v>0</v>
      </c>
      <c r="N89" s="218">
        <f t="shared" si="70"/>
        <v>0</v>
      </c>
      <c r="O89" s="218">
        <f t="shared" si="70"/>
        <v>0</v>
      </c>
      <c r="P89" s="218">
        <f t="shared" si="70"/>
        <v>0</v>
      </c>
      <c r="Q89" s="218">
        <f t="shared" si="70"/>
        <v>0</v>
      </c>
      <c r="R89" s="218">
        <f t="shared" si="70"/>
        <v>0</v>
      </c>
      <c r="S89" s="218">
        <f t="shared" si="70"/>
        <v>0</v>
      </c>
      <c r="T89" s="218">
        <f t="shared" si="70"/>
        <v>0</v>
      </c>
      <c r="U89" s="218">
        <f t="shared" si="70"/>
        <v>0</v>
      </c>
      <c r="V89" s="218">
        <f t="shared" si="70"/>
        <v>0</v>
      </c>
      <c r="W89" s="218">
        <f t="shared" si="70"/>
        <v>0</v>
      </c>
      <c r="X89" s="218">
        <f t="shared" si="70"/>
        <v>0</v>
      </c>
      <c r="Y89" s="218">
        <f t="shared" si="70"/>
        <v>0</v>
      </c>
      <c r="Z89" s="218">
        <f t="shared" si="70"/>
        <v>0</v>
      </c>
      <c r="AA89" s="218">
        <f t="shared" si="70"/>
        <v>0</v>
      </c>
      <c r="AB89" s="218">
        <f t="shared" si="70"/>
        <v>0</v>
      </c>
      <c r="AC89" s="70"/>
      <c r="AD89" s="19"/>
      <c r="AE89" s="19"/>
      <c r="AF89" s="19"/>
      <c r="AG89" s="19"/>
    </row>
    <row r="90" spans="1:33" hidden="1" outlineLevel="3" x14ac:dyDescent="0.2">
      <c r="A90" s="19"/>
      <c r="B90" s="19"/>
      <c r="C90" s="506">
        <f>Qty!C79</f>
        <v>0</v>
      </c>
      <c r="D90" s="505">
        <f>Qty!D79</f>
        <v>0</v>
      </c>
      <c r="E90" s="505">
        <f>Qty!E79</f>
        <v>0</v>
      </c>
      <c r="F90" s="505">
        <f>Qty!F79</f>
        <v>0</v>
      </c>
      <c r="G90" s="505">
        <f>Qty!G79</f>
        <v>0</v>
      </c>
      <c r="H90" s="58"/>
      <c r="I90" s="218">
        <f t="shared" ref="I90:AB90" si="71">I168+I246+I324</f>
        <v>0</v>
      </c>
      <c r="J90" s="218">
        <f t="shared" si="71"/>
        <v>0</v>
      </c>
      <c r="K90" s="218">
        <f t="shared" si="71"/>
        <v>0</v>
      </c>
      <c r="L90" s="218">
        <f t="shared" si="71"/>
        <v>0</v>
      </c>
      <c r="M90" s="218">
        <f t="shared" si="71"/>
        <v>0</v>
      </c>
      <c r="N90" s="218">
        <f t="shared" si="71"/>
        <v>0</v>
      </c>
      <c r="O90" s="218">
        <f t="shared" si="71"/>
        <v>0</v>
      </c>
      <c r="P90" s="218">
        <f t="shared" si="71"/>
        <v>0</v>
      </c>
      <c r="Q90" s="218">
        <f t="shared" si="71"/>
        <v>0</v>
      </c>
      <c r="R90" s="218">
        <f t="shared" si="71"/>
        <v>0</v>
      </c>
      <c r="S90" s="218">
        <f t="shared" si="71"/>
        <v>0</v>
      </c>
      <c r="T90" s="218">
        <f t="shared" si="71"/>
        <v>0</v>
      </c>
      <c r="U90" s="218">
        <f t="shared" si="71"/>
        <v>0</v>
      </c>
      <c r="V90" s="218">
        <f t="shared" si="71"/>
        <v>0</v>
      </c>
      <c r="W90" s="218">
        <f t="shared" si="71"/>
        <v>0</v>
      </c>
      <c r="X90" s="218">
        <f t="shared" si="71"/>
        <v>0</v>
      </c>
      <c r="Y90" s="218">
        <f t="shared" si="71"/>
        <v>0</v>
      </c>
      <c r="Z90" s="218">
        <f t="shared" si="71"/>
        <v>0</v>
      </c>
      <c r="AA90" s="218">
        <f t="shared" si="71"/>
        <v>0</v>
      </c>
      <c r="AB90" s="218">
        <f t="shared" si="71"/>
        <v>0</v>
      </c>
      <c r="AC90" s="70"/>
      <c r="AD90" s="19"/>
      <c r="AE90" s="19"/>
      <c r="AF90" s="19"/>
      <c r="AG90" s="19"/>
    </row>
    <row r="91" spans="1:33" hidden="1" outlineLevel="3" x14ac:dyDescent="0.2">
      <c r="A91" s="19"/>
      <c r="B91" s="19"/>
      <c r="C91" s="506">
        <f>Qty!C80</f>
        <v>0</v>
      </c>
      <c r="D91" s="505">
        <f>Qty!D80</f>
        <v>0</v>
      </c>
      <c r="E91" s="505">
        <f>Qty!E80</f>
        <v>0</v>
      </c>
      <c r="F91" s="505">
        <f>Qty!F80</f>
        <v>0</v>
      </c>
      <c r="G91" s="505">
        <f>Qty!G80</f>
        <v>0</v>
      </c>
      <c r="H91" s="58"/>
      <c r="I91" s="218">
        <f t="shared" ref="I91:AB91" si="72">I169+I247+I325</f>
        <v>0</v>
      </c>
      <c r="J91" s="218">
        <f t="shared" si="72"/>
        <v>0</v>
      </c>
      <c r="K91" s="218">
        <f t="shared" si="72"/>
        <v>0</v>
      </c>
      <c r="L91" s="218">
        <f t="shared" si="72"/>
        <v>0</v>
      </c>
      <c r="M91" s="218">
        <f t="shared" si="72"/>
        <v>0</v>
      </c>
      <c r="N91" s="218">
        <f t="shared" si="72"/>
        <v>0</v>
      </c>
      <c r="O91" s="218">
        <f t="shared" si="72"/>
        <v>0</v>
      </c>
      <c r="P91" s="218">
        <f t="shared" si="72"/>
        <v>0</v>
      </c>
      <c r="Q91" s="218">
        <f t="shared" si="72"/>
        <v>0</v>
      </c>
      <c r="R91" s="218">
        <f t="shared" si="72"/>
        <v>0</v>
      </c>
      <c r="S91" s="218">
        <f t="shared" si="72"/>
        <v>0</v>
      </c>
      <c r="T91" s="218">
        <f t="shared" si="72"/>
        <v>0</v>
      </c>
      <c r="U91" s="218">
        <f t="shared" si="72"/>
        <v>0</v>
      </c>
      <c r="V91" s="218">
        <f t="shared" si="72"/>
        <v>0</v>
      </c>
      <c r="W91" s="218">
        <f t="shared" si="72"/>
        <v>0</v>
      </c>
      <c r="X91" s="218">
        <f t="shared" si="72"/>
        <v>0</v>
      </c>
      <c r="Y91" s="218">
        <f t="shared" si="72"/>
        <v>0</v>
      </c>
      <c r="Z91" s="218">
        <f t="shared" si="72"/>
        <v>0</v>
      </c>
      <c r="AA91" s="218">
        <f t="shared" si="72"/>
        <v>0</v>
      </c>
      <c r="AB91" s="218">
        <f t="shared" si="72"/>
        <v>0</v>
      </c>
      <c r="AC91" s="70"/>
      <c r="AD91" s="19"/>
      <c r="AE91" s="19"/>
      <c r="AF91" s="19"/>
      <c r="AG91" s="19"/>
    </row>
    <row r="92" spans="1:33" hidden="1" outlineLevel="3" x14ac:dyDescent="0.2">
      <c r="A92" s="19"/>
      <c r="B92" s="19"/>
      <c r="C92" s="506">
        <f>Qty!C81</f>
        <v>0</v>
      </c>
      <c r="D92" s="505">
        <f>Qty!D81</f>
        <v>0</v>
      </c>
      <c r="E92" s="505">
        <f>Qty!E81</f>
        <v>0</v>
      </c>
      <c r="F92" s="505">
        <f>Qty!F81</f>
        <v>0</v>
      </c>
      <c r="G92" s="505">
        <f>Qty!G81</f>
        <v>0</v>
      </c>
      <c r="H92" s="58"/>
      <c r="I92" s="218">
        <f t="shared" ref="I92:AB92" si="73">I170+I248+I326</f>
        <v>0</v>
      </c>
      <c r="J92" s="218">
        <f t="shared" si="73"/>
        <v>0</v>
      </c>
      <c r="K92" s="218">
        <f t="shared" si="73"/>
        <v>0</v>
      </c>
      <c r="L92" s="218">
        <f t="shared" si="73"/>
        <v>0</v>
      </c>
      <c r="M92" s="218">
        <f t="shared" si="73"/>
        <v>0</v>
      </c>
      <c r="N92" s="218">
        <f t="shared" si="73"/>
        <v>0</v>
      </c>
      <c r="O92" s="218">
        <f t="shared" si="73"/>
        <v>0</v>
      </c>
      <c r="P92" s="218">
        <f t="shared" si="73"/>
        <v>0</v>
      </c>
      <c r="Q92" s="218">
        <f t="shared" si="73"/>
        <v>0</v>
      </c>
      <c r="R92" s="218">
        <f t="shared" si="73"/>
        <v>0</v>
      </c>
      <c r="S92" s="218">
        <f t="shared" si="73"/>
        <v>0</v>
      </c>
      <c r="T92" s="218">
        <f t="shared" si="73"/>
        <v>0</v>
      </c>
      <c r="U92" s="218">
        <f t="shared" si="73"/>
        <v>0</v>
      </c>
      <c r="V92" s="218">
        <f t="shared" si="73"/>
        <v>0</v>
      </c>
      <c r="W92" s="218">
        <f t="shared" si="73"/>
        <v>0</v>
      </c>
      <c r="X92" s="218">
        <f t="shared" si="73"/>
        <v>0</v>
      </c>
      <c r="Y92" s="218">
        <f t="shared" si="73"/>
        <v>0</v>
      </c>
      <c r="Z92" s="218">
        <f t="shared" si="73"/>
        <v>0</v>
      </c>
      <c r="AA92" s="218">
        <f t="shared" si="73"/>
        <v>0</v>
      </c>
      <c r="AB92" s="218">
        <f t="shared" si="73"/>
        <v>0</v>
      </c>
      <c r="AC92" s="70"/>
      <c r="AD92" s="19"/>
      <c r="AE92" s="19"/>
      <c r="AF92" s="19"/>
      <c r="AG92" s="19"/>
    </row>
    <row r="93" spans="1:33" hidden="1" outlineLevel="3" x14ac:dyDescent="0.2">
      <c r="A93" s="19"/>
      <c r="B93" s="19"/>
      <c r="C93" s="506">
        <f>Qty!C82</f>
        <v>0</v>
      </c>
      <c r="D93" s="505">
        <f>Qty!D82</f>
        <v>0</v>
      </c>
      <c r="E93" s="505">
        <f>Qty!E82</f>
        <v>0</v>
      </c>
      <c r="F93" s="505">
        <f>Qty!F82</f>
        <v>0</v>
      </c>
      <c r="G93" s="505">
        <f>Qty!G82</f>
        <v>0</v>
      </c>
      <c r="H93" s="58"/>
      <c r="I93" s="218">
        <f t="shared" ref="I93:AB93" si="74">I171+I249+I327</f>
        <v>0</v>
      </c>
      <c r="J93" s="218">
        <f t="shared" si="74"/>
        <v>0</v>
      </c>
      <c r="K93" s="218">
        <f t="shared" si="74"/>
        <v>0</v>
      </c>
      <c r="L93" s="218">
        <f t="shared" si="74"/>
        <v>0</v>
      </c>
      <c r="M93" s="218">
        <f t="shared" si="74"/>
        <v>0</v>
      </c>
      <c r="N93" s="218">
        <f t="shared" si="74"/>
        <v>0</v>
      </c>
      <c r="O93" s="218">
        <f t="shared" si="74"/>
        <v>0</v>
      </c>
      <c r="P93" s="218">
        <f t="shared" si="74"/>
        <v>0</v>
      </c>
      <c r="Q93" s="218">
        <f t="shared" si="74"/>
        <v>0</v>
      </c>
      <c r="R93" s="218">
        <f t="shared" si="74"/>
        <v>0</v>
      </c>
      <c r="S93" s="218">
        <f t="shared" si="74"/>
        <v>0</v>
      </c>
      <c r="T93" s="218">
        <f t="shared" si="74"/>
        <v>0</v>
      </c>
      <c r="U93" s="218">
        <f t="shared" si="74"/>
        <v>0</v>
      </c>
      <c r="V93" s="218">
        <f t="shared" si="74"/>
        <v>0</v>
      </c>
      <c r="W93" s="218">
        <f t="shared" si="74"/>
        <v>0</v>
      </c>
      <c r="X93" s="218">
        <f t="shared" si="74"/>
        <v>0</v>
      </c>
      <c r="Y93" s="218">
        <f t="shared" si="74"/>
        <v>0</v>
      </c>
      <c r="Z93" s="218">
        <f t="shared" si="74"/>
        <v>0</v>
      </c>
      <c r="AA93" s="218">
        <f t="shared" si="74"/>
        <v>0</v>
      </c>
      <c r="AB93" s="218">
        <f t="shared" si="74"/>
        <v>0</v>
      </c>
      <c r="AC93" s="70"/>
      <c r="AD93" s="19"/>
      <c r="AE93" s="19"/>
      <c r="AF93" s="19"/>
      <c r="AG93" s="19"/>
    </row>
    <row r="94" spans="1:33" outlineLevel="2" collapsed="1" x14ac:dyDescent="0.2">
      <c r="A94" s="19"/>
      <c r="B94" s="19"/>
      <c r="C94" s="60"/>
      <c r="D94" s="61"/>
      <c r="E94" s="58"/>
      <c r="F94" s="58"/>
      <c r="G94" s="58"/>
      <c r="H94" s="58"/>
      <c r="I94" s="71"/>
      <c r="J94" s="71"/>
      <c r="K94" s="70"/>
      <c r="L94" s="70"/>
      <c r="M94" s="70"/>
      <c r="N94" s="72"/>
      <c r="O94" s="72"/>
      <c r="P94" s="72"/>
      <c r="Q94" s="72"/>
      <c r="R94" s="72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19"/>
      <c r="AE94" s="19"/>
      <c r="AF94" s="19"/>
      <c r="AG94" s="19"/>
    </row>
    <row r="95" spans="1:33" outlineLevel="1" x14ac:dyDescent="0.2">
      <c r="A95" s="19"/>
      <c r="B95" s="19"/>
      <c r="C95" s="66"/>
      <c r="D95" s="58"/>
      <c r="E95" s="58"/>
      <c r="F95" s="58"/>
      <c r="G95" s="58"/>
      <c r="H95" s="58"/>
      <c r="I95" s="71"/>
      <c r="J95" s="71"/>
      <c r="K95" s="70"/>
      <c r="L95" s="70"/>
      <c r="M95" s="70"/>
      <c r="N95" s="72"/>
      <c r="O95" s="72"/>
      <c r="P95" s="72"/>
      <c r="Q95" s="72"/>
      <c r="R95" s="72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19"/>
      <c r="AE95" s="19"/>
      <c r="AF95" s="19"/>
      <c r="AG95" s="19"/>
    </row>
    <row r="96" spans="1:33" outlineLevel="1" x14ac:dyDescent="0.2">
      <c r="A96" s="19"/>
      <c r="B96" s="19"/>
      <c r="C96" s="167" t="s">
        <v>136</v>
      </c>
      <c r="D96" s="20"/>
      <c r="E96" s="20"/>
      <c r="F96" s="20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19"/>
      <c r="AD96" s="19"/>
      <c r="AE96" s="19"/>
      <c r="AF96" s="19"/>
      <c r="AG96" s="19"/>
    </row>
    <row r="97" spans="1:33" outlineLevel="2" x14ac:dyDescent="0.2">
      <c r="A97" s="19"/>
      <c r="B97" s="19"/>
      <c r="C97" s="506" t="str">
        <f t="shared" ref="C97:G106" si="75">C19</f>
        <v>Residential time of use consumption</v>
      </c>
      <c r="D97" s="505" t="str">
        <f t="shared" si="75"/>
        <v>Residential</v>
      </c>
      <c r="E97" s="505" t="str">
        <f t="shared" si="75"/>
        <v>TAS93</v>
      </c>
      <c r="F97" s="505">
        <f t="shared" si="75"/>
        <v>0</v>
      </c>
      <c r="G97" s="505">
        <f t="shared" si="75"/>
        <v>0</v>
      </c>
      <c r="H97" s="22"/>
      <c r="I97" s="232">
        <f>INDEX('Prop. prices'!$I$8:$AB$82,MATCH('Tariff schedule'!$C97,'Prop. prices'!$C$8:$C$82,0),MATCH('Tariff schedule'!I$16,'Prop. prices'!$I$5:$AB$5,0))</f>
        <v>59.329000000000001</v>
      </c>
      <c r="J97" s="232">
        <f>INDEX('Prop. prices'!$I$8:$AB$82,MATCH('Tariff schedule'!$C97,'Prop. prices'!$C$8:$C$82,0),MATCH('Tariff schedule'!J$16,'Prop. prices'!$I$5:$AB$5,0))</f>
        <v>0</v>
      </c>
      <c r="K97" s="232">
        <f>INDEX('Prop. prices'!$I$8:$AB$82,MATCH('Tariff schedule'!$C97,'Prop. prices'!$C$8:$C$82,0),MATCH('Tariff schedule'!K$16,'Prop. prices'!$I$5:$AB$5,0))</f>
        <v>10.872</v>
      </c>
      <c r="L97" s="232">
        <f>INDEX('Prop. prices'!$I$8:$AB$82,MATCH('Tariff schedule'!$C97,'Prop. prices'!$C$8:$C$82,0),MATCH('Tariff schedule'!L$16,'Prop. prices'!$I$5:$AB$5,0))</f>
        <v>0</v>
      </c>
      <c r="M97" s="232">
        <f>INDEX('Prop. prices'!$I$8:$AB$82,MATCH('Tariff schedule'!$C97,'Prop. prices'!$C$8:$C$82,0),MATCH('Tariff schedule'!M$16,'Prop. prices'!$I$5:$AB$5,0))</f>
        <v>2.1739999999999999</v>
      </c>
      <c r="N97" s="232">
        <f>INDEX('Prop. prices'!$I$8:$AB$82,MATCH('Tariff schedule'!$C97,'Prop. prices'!$C$8:$C$82,0),MATCH('Tariff schedule'!N$16,'Prop. prices'!$I$5:$AB$5,0))</f>
        <v>0</v>
      </c>
      <c r="O97" s="232">
        <f>INDEX('Prop. prices'!$I$8:$AB$82,MATCH('Tariff schedule'!$C97,'Prop. prices'!$C$8:$C$82,0),MATCH('Tariff schedule'!O$16,'Prop. prices'!$I$5:$AB$5,0))</f>
        <v>0</v>
      </c>
      <c r="P97" s="232">
        <f>INDEX('Prop. prices'!$I$8:$AB$82,MATCH('Tariff schedule'!$C97,'Prop. prices'!$C$8:$C$82,0),MATCH('Tariff schedule'!P$16,'Prop. prices'!$I$5:$AB$5,0))</f>
        <v>0</v>
      </c>
      <c r="Q97" s="232">
        <f>INDEX('Prop. prices'!$I$8:$AB$82,MATCH('Tariff schedule'!$C97,'Prop. prices'!$C$8:$C$82,0),MATCH('Tariff schedule'!Q$16,'Prop. prices'!$I$5:$AB$5,0))</f>
        <v>0</v>
      </c>
      <c r="R97" s="232">
        <f>INDEX('Prop. prices'!$I$8:$AB$82,MATCH('Tariff schedule'!$C97,'Prop. prices'!$C$8:$C$82,0),MATCH('Tariff schedule'!R$16,'Prop. prices'!$I$5:$AB$5,0))</f>
        <v>0</v>
      </c>
      <c r="S97" s="232">
        <f>INDEX('Prop. prices'!$I$8:$AB$82,MATCH('Tariff schedule'!$C97,'Prop. prices'!$C$8:$C$82,0),MATCH('Tariff schedule'!S$16,'Prop. prices'!$I$5:$AB$5,0))</f>
        <v>0</v>
      </c>
      <c r="T97" s="232">
        <f>INDEX('Prop. prices'!$I$8:$AB$82,MATCH('Tariff schedule'!$C97,'Prop. prices'!$C$8:$C$82,0),MATCH('Tariff schedule'!T$16,'Prop. prices'!$I$5:$AB$5,0))</f>
        <v>0</v>
      </c>
      <c r="U97" s="232">
        <f>INDEX('Prop. prices'!$I$8:$AB$82,MATCH('Tariff schedule'!$C97,'Prop. prices'!$C$8:$C$82,0),MATCH('Tariff schedule'!U$16,'Prop. prices'!$I$5:$AB$5,0))</f>
        <v>0</v>
      </c>
      <c r="V97" s="232">
        <f>INDEX('Prop. prices'!$I$8:$AB$82,MATCH('Tariff schedule'!$C97,'Prop. prices'!$C$8:$C$82,0),MATCH('Tariff schedule'!V$16,'Prop. prices'!$I$5:$AB$5,0))</f>
        <v>0</v>
      </c>
      <c r="W97" s="232">
        <f>INDEX('Prop. prices'!$I$8:$AB$82,MATCH('Tariff schedule'!$C97,'Prop. prices'!$C$8:$C$82,0),MATCH('Tariff schedule'!W$16,'Prop. prices'!$I$5:$AB$5,0))</f>
        <v>0</v>
      </c>
      <c r="X97" s="232">
        <f>INDEX('Prop. prices'!$I$8:$AB$82,MATCH('Tariff schedule'!$C97,'Prop. prices'!$C$8:$C$82,0),MATCH('Tariff schedule'!X$16,'Prop. prices'!$I$5:$AB$5,0))</f>
        <v>0</v>
      </c>
      <c r="Y97" s="232">
        <f>INDEX('Prop. prices'!$I$8:$AB$82,MATCH('Tariff schedule'!$C97,'Prop. prices'!$C$8:$C$82,0),MATCH('Tariff schedule'!Y$16,'Prop. prices'!$I$5:$AB$5,0))</f>
        <v>0</v>
      </c>
      <c r="Z97" s="232">
        <f>INDEX('Prop. prices'!$I$8:$AB$82,MATCH('Tariff schedule'!$C97,'Prop. prices'!$C$8:$C$82,0),MATCH('Tariff schedule'!Z$16,'Prop. prices'!$I$5:$AB$5,0))</f>
        <v>0</v>
      </c>
      <c r="AA97" s="232">
        <f>INDEX('Prop. prices'!$I$8:$AB$82,MATCH('Tariff schedule'!$C97,'Prop. prices'!$C$8:$C$82,0),MATCH('Tariff schedule'!AA$16,'Prop. prices'!$I$5:$AB$5,0))</f>
        <v>0</v>
      </c>
      <c r="AB97" s="232">
        <f>INDEX('Prop. prices'!$I$8:$AB$82,MATCH('Tariff schedule'!$C97,'Prop. prices'!$C$8:$C$82,0),MATCH('Tariff schedule'!AB$16,'Prop. prices'!$I$5:$AB$5,0))</f>
        <v>0</v>
      </c>
      <c r="AC97" s="70"/>
      <c r="AD97" s="19"/>
      <c r="AE97" s="19"/>
      <c r="AF97" s="19"/>
      <c r="AG97" s="19"/>
    </row>
    <row r="98" spans="1:33" s="59" customFormat="1" outlineLevel="2" x14ac:dyDescent="0.2">
      <c r="A98" s="57"/>
      <c r="B98" s="57"/>
      <c r="C98" s="506" t="str">
        <f t="shared" si="75"/>
        <v>Residential general light and power</v>
      </c>
      <c r="D98" s="505" t="str">
        <f t="shared" si="75"/>
        <v>Residential</v>
      </c>
      <c r="E98" s="505" t="str">
        <f t="shared" si="75"/>
        <v>TAS31</v>
      </c>
      <c r="F98" s="505">
        <f t="shared" si="75"/>
        <v>0</v>
      </c>
      <c r="G98" s="505">
        <f t="shared" si="75"/>
        <v>0</v>
      </c>
      <c r="H98" s="58"/>
      <c r="I98" s="232">
        <f>INDEX('Prop. prices'!$I$8:$AB$82,MATCH('Tariff schedule'!$C98,'Prop. prices'!$C$8:$C$82,0),MATCH('Tariff schedule'!I$16,'Prop. prices'!$I$5:$AB$5,0))</f>
        <v>54.268999999999998</v>
      </c>
      <c r="J98" s="232">
        <f>INDEX('Prop. prices'!$I$8:$AB$82,MATCH('Tariff schedule'!$C98,'Prop. prices'!$C$8:$C$82,0),MATCH('Tariff schedule'!J$16,'Prop. prices'!$I$5:$AB$5,0))</f>
        <v>5.9669999999999996</v>
      </c>
      <c r="K98" s="232">
        <f>INDEX('Prop. prices'!$I$8:$AB$82,MATCH('Tariff schedule'!$C98,'Prop. prices'!$C$8:$C$82,0),MATCH('Tariff schedule'!K$16,'Prop. prices'!$I$5:$AB$5,0))</f>
        <v>0</v>
      </c>
      <c r="L98" s="232">
        <f>INDEX('Prop. prices'!$I$8:$AB$82,MATCH('Tariff schedule'!$C98,'Prop. prices'!$C$8:$C$82,0),MATCH('Tariff schedule'!L$16,'Prop. prices'!$I$5:$AB$5,0))</f>
        <v>0</v>
      </c>
      <c r="M98" s="232">
        <f>INDEX('Prop. prices'!$I$8:$AB$82,MATCH('Tariff schedule'!$C98,'Prop. prices'!$C$8:$C$82,0),MATCH('Tariff schedule'!M$16,'Prop. prices'!$I$5:$AB$5,0))</f>
        <v>0</v>
      </c>
      <c r="N98" s="232">
        <f>INDEX('Prop. prices'!$I$8:$AB$82,MATCH('Tariff schedule'!$C98,'Prop. prices'!$C$8:$C$82,0),MATCH('Tariff schedule'!N$16,'Prop. prices'!$I$5:$AB$5,0))</f>
        <v>0</v>
      </c>
      <c r="O98" s="232">
        <f>INDEX('Prop. prices'!$I$8:$AB$82,MATCH('Tariff schedule'!$C98,'Prop. prices'!$C$8:$C$82,0),MATCH('Tariff schedule'!O$16,'Prop. prices'!$I$5:$AB$5,0))</f>
        <v>0</v>
      </c>
      <c r="P98" s="232">
        <f>INDEX('Prop. prices'!$I$8:$AB$82,MATCH('Tariff schedule'!$C98,'Prop. prices'!$C$8:$C$82,0),MATCH('Tariff schedule'!P$16,'Prop. prices'!$I$5:$AB$5,0))</f>
        <v>0</v>
      </c>
      <c r="Q98" s="232">
        <f>INDEX('Prop. prices'!$I$8:$AB$82,MATCH('Tariff schedule'!$C98,'Prop. prices'!$C$8:$C$82,0),MATCH('Tariff schedule'!Q$16,'Prop. prices'!$I$5:$AB$5,0))</f>
        <v>0</v>
      </c>
      <c r="R98" s="232">
        <f>INDEX('Prop. prices'!$I$8:$AB$82,MATCH('Tariff schedule'!$C98,'Prop. prices'!$C$8:$C$82,0),MATCH('Tariff schedule'!R$16,'Prop. prices'!$I$5:$AB$5,0))</f>
        <v>0</v>
      </c>
      <c r="S98" s="232">
        <f>INDEX('Prop. prices'!$I$8:$AB$82,MATCH('Tariff schedule'!$C98,'Prop. prices'!$C$8:$C$82,0),MATCH('Tariff schedule'!S$16,'Prop. prices'!$I$5:$AB$5,0))</f>
        <v>0</v>
      </c>
      <c r="T98" s="232">
        <f>INDEX('Prop. prices'!$I$8:$AB$82,MATCH('Tariff schedule'!$C98,'Prop. prices'!$C$8:$C$82,0),MATCH('Tariff schedule'!T$16,'Prop. prices'!$I$5:$AB$5,0))</f>
        <v>0</v>
      </c>
      <c r="U98" s="232">
        <f>INDEX('Prop. prices'!$I$8:$AB$82,MATCH('Tariff schedule'!$C98,'Prop. prices'!$C$8:$C$82,0),MATCH('Tariff schedule'!U$16,'Prop. prices'!$I$5:$AB$5,0))</f>
        <v>0</v>
      </c>
      <c r="V98" s="232">
        <f>INDEX('Prop. prices'!$I$8:$AB$82,MATCH('Tariff schedule'!$C98,'Prop. prices'!$C$8:$C$82,0),MATCH('Tariff schedule'!V$16,'Prop. prices'!$I$5:$AB$5,0))</f>
        <v>0</v>
      </c>
      <c r="W98" s="232">
        <f>INDEX('Prop. prices'!$I$8:$AB$82,MATCH('Tariff schedule'!$C98,'Prop. prices'!$C$8:$C$82,0),MATCH('Tariff schedule'!W$16,'Prop. prices'!$I$5:$AB$5,0))</f>
        <v>0</v>
      </c>
      <c r="X98" s="232">
        <f>INDEX('Prop. prices'!$I$8:$AB$82,MATCH('Tariff schedule'!$C98,'Prop. prices'!$C$8:$C$82,0),MATCH('Tariff schedule'!X$16,'Prop. prices'!$I$5:$AB$5,0))</f>
        <v>0</v>
      </c>
      <c r="Y98" s="232">
        <f>INDEX('Prop. prices'!$I$8:$AB$82,MATCH('Tariff schedule'!$C98,'Prop. prices'!$C$8:$C$82,0),MATCH('Tariff schedule'!Y$16,'Prop. prices'!$I$5:$AB$5,0))</f>
        <v>0</v>
      </c>
      <c r="Z98" s="232">
        <f>INDEX('Prop. prices'!$I$8:$AB$82,MATCH('Tariff schedule'!$C98,'Prop. prices'!$C$8:$C$82,0),MATCH('Tariff schedule'!Z$16,'Prop. prices'!$I$5:$AB$5,0))</f>
        <v>0</v>
      </c>
      <c r="AA98" s="232">
        <f>INDEX('Prop. prices'!$I$8:$AB$82,MATCH('Tariff schedule'!$C98,'Prop. prices'!$C$8:$C$82,0),MATCH('Tariff schedule'!AA$16,'Prop. prices'!$I$5:$AB$5,0))</f>
        <v>0</v>
      </c>
      <c r="AB98" s="232">
        <f>INDEX('Prop. prices'!$I$8:$AB$82,MATCH('Tariff schedule'!$C98,'Prop. prices'!$C$8:$C$82,0),MATCH('Tariff schedule'!AB$16,'Prop. prices'!$I$5:$AB$5,0))</f>
        <v>0</v>
      </c>
      <c r="AC98" s="70"/>
      <c r="AD98" s="57"/>
      <c r="AE98" s="57"/>
      <c r="AF98" s="57"/>
      <c r="AG98" s="57"/>
    </row>
    <row r="99" spans="1:33" outlineLevel="2" x14ac:dyDescent="0.2">
      <c r="A99" s="19"/>
      <c r="B99" s="19"/>
      <c r="C99" s="506" t="str">
        <f t="shared" si="75"/>
        <v>Residential time of use demand</v>
      </c>
      <c r="D99" s="505" t="str">
        <f t="shared" si="75"/>
        <v>Residential</v>
      </c>
      <c r="E99" s="505" t="str">
        <f t="shared" si="75"/>
        <v>TAS87</v>
      </c>
      <c r="F99" s="505">
        <f t="shared" si="75"/>
        <v>0</v>
      </c>
      <c r="G99" s="505">
        <f t="shared" si="75"/>
        <v>0</v>
      </c>
      <c r="H99" s="58"/>
      <c r="I99" s="232">
        <f>INDEX('Prop. prices'!$I$8:$AB$82,MATCH('Tariff schedule'!$C99,'Prop. prices'!$C$8:$C$82,0),MATCH('Tariff schedule'!I$16,'Prop. prices'!$I$5:$AB$5,0))</f>
        <v>60.366999999999997</v>
      </c>
      <c r="J99" s="232">
        <f>INDEX('Prop. prices'!$I$8:$AB$82,MATCH('Tariff schedule'!$C99,'Prop. prices'!$C$8:$C$82,0),MATCH('Tariff schedule'!J$16,'Prop. prices'!$I$5:$AB$5,0))</f>
        <v>0</v>
      </c>
      <c r="K99" s="232">
        <f>INDEX('Prop. prices'!$I$8:$AB$82,MATCH('Tariff schedule'!$C99,'Prop. prices'!$C$8:$C$82,0),MATCH('Tariff schedule'!K$16,'Prop. prices'!$I$5:$AB$5,0))</f>
        <v>0</v>
      </c>
      <c r="L99" s="232">
        <f>INDEX('Prop. prices'!$I$8:$AB$82,MATCH('Tariff schedule'!$C99,'Prop. prices'!$C$8:$C$82,0),MATCH('Tariff schedule'!L$16,'Prop. prices'!$I$5:$AB$5,0))</f>
        <v>0</v>
      </c>
      <c r="M99" s="232">
        <f>INDEX('Prop. prices'!$I$8:$AB$82,MATCH('Tariff schedule'!$C99,'Prop. prices'!$C$8:$C$82,0),MATCH('Tariff schedule'!M$16,'Prop. prices'!$I$5:$AB$5,0))</f>
        <v>0</v>
      </c>
      <c r="N99" s="232">
        <f>INDEX('Prop. prices'!$I$8:$AB$82,MATCH('Tariff schedule'!$C99,'Prop. prices'!$C$8:$C$82,0),MATCH('Tariff schedule'!N$16,'Prop. prices'!$I$5:$AB$5,0))</f>
        <v>0</v>
      </c>
      <c r="O99" s="232">
        <f>INDEX('Prop. prices'!$I$8:$AB$82,MATCH('Tariff schedule'!$C99,'Prop. prices'!$C$8:$C$82,0),MATCH('Tariff schedule'!O$16,'Prop. prices'!$I$5:$AB$5,0))</f>
        <v>20.152000000000001</v>
      </c>
      <c r="P99" s="232">
        <f>INDEX('Prop. prices'!$I$8:$AB$82,MATCH('Tariff schedule'!$C99,'Prop. prices'!$C$8:$C$82,0),MATCH('Tariff schedule'!P$16,'Prop. prices'!$I$5:$AB$5,0))</f>
        <v>5.3680000000000003</v>
      </c>
      <c r="Q99" s="232">
        <f>INDEX('Prop. prices'!$I$8:$AB$82,MATCH('Tariff schedule'!$C99,'Prop. prices'!$C$8:$C$82,0),MATCH('Tariff schedule'!Q$16,'Prop. prices'!$I$5:$AB$5,0))</f>
        <v>0</v>
      </c>
      <c r="R99" s="232">
        <f>INDEX('Prop. prices'!$I$8:$AB$82,MATCH('Tariff schedule'!$C99,'Prop. prices'!$C$8:$C$82,0),MATCH('Tariff schedule'!R$16,'Prop. prices'!$I$5:$AB$5,0))</f>
        <v>0</v>
      </c>
      <c r="S99" s="232">
        <f>INDEX('Prop. prices'!$I$8:$AB$82,MATCH('Tariff schedule'!$C99,'Prop. prices'!$C$8:$C$82,0),MATCH('Tariff schedule'!S$16,'Prop. prices'!$I$5:$AB$5,0))</f>
        <v>0</v>
      </c>
      <c r="T99" s="232">
        <f>INDEX('Prop. prices'!$I$8:$AB$82,MATCH('Tariff schedule'!$C99,'Prop. prices'!$C$8:$C$82,0),MATCH('Tariff schedule'!T$16,'Prop. prices'!$I$5:$AB$5,0))</f>
        <v>0</v>
      </c>
      <c r="U99" s="232">
        <f>INDEX('Prop. prices'!$I$8:$AB$82,MATCH('Tariff schedule'!$C99,'Prop. prices'!$C$8:$C$82,0),MATCH('Tariff schedule'!U$16,'Prop. prices'!$I$5:$AB$5,0))</f>
        <v>0</v>
      </c>
      <c r="V99" s="232">
        <f>INDEX('Prop. prices'!$I$8:$AB$82,MATCH('Tariff schedule'!$C99,'Prop. prices'!$C$8:$C$82,0),MATCH('Tariff schedule'!V$16,'Prop. prices'!$I$5:$AB$5,0))</f>
        <v>0</v>
      </c>
      <c r="W99" s="232">
        <f>INDEX('Prop. prices'!$I$8:$AB$82,MATCH('Tariff schedule'!$C99,'Prop. prices'!$C$8:$C$82,0),MATCH('Tariff schedule'!W$16,'Prop. prices'!$I$5:$AB$5,0))</f>
        <v>0</v>
      </c>
      <c r="X99" s="232">
        <f>INDEX('Prop. prices'!$I$8:$AB$82,MATCH('Tariff schedule'!$C99,'Prop. prices'!$C$8:$C$82,0),MATCH('Tariff schedule'!X$16,'Prop. prices'!$I$5:$AB$5,0))</f>
        <v>0</v>
      </c>
      <c r="Y99" s="232">
        <f>INDEX('Prop. prices'!$I$8:$AB$82,MATCH('Tariff schedule'!$C99,'Prop. prices'!$C$8:$C$82,0),MATCH('Tariff schedule'!Y$16,'Prop. prices'!$I$5:$AB$5,0))</f>
        <v>0</v>
      </c>
      <c r="Z99" s="232">
        <f>INDEX('Prop. prices'!$I$8:$AB$82,MATCH('Tariff schedule'!$C99,'Prop. prices'!$C$8:$C$82,0),MATCH('Tariff schedule'!Z$16,'Prop. prices'!$I$5:$AB$5,0))</f>
        <v>0</v>
      </c>
      <c r="AA99" s="232">
        <f>INDEX('Prop. prices'!$I$8:$AB$82,MATCH('Tariff schedule'!$C99,'Prop. prices'!$C$8:$C$82,0),MATCH('Tariff schedule'!AA$16,'Prop. prices'!$I$5:$AB$5,0))</f>
        <v>0</v>
      </c>
      <c r="AB99" s="232">
        <f>INDEX('Prop. prices'!$I$8:$AB$82,MATCH('Tariff schedule'!$C99,'Prop. prices'!$C$8:$C$82,0),MATCH('Tariff schedule'!AB$16,'Prop. prices'!$I$5:$AB$5,0))</f>
        <v>0</v>
      </c>
      <c r="AC99" s="70"/>
      <c r="AD99" s="19"/>
      <c r="AE99" s="19"/>
      <c r="AF99" s="19"/>
      <c r="AG99" s="19"/>
    </row>
    <row r="100" spans="1:33" outlineLevel="2" x14ac:dyDescent="0.2">
      <c r="A100" s="19"/>
      <c r="B100" s="19"/>
      <c r="C100" s="506" t="str">
        <f t="shared" si="75"/>
        <v>Residential time of use demand DER</v>
      </c>
      <c r="D100" s="505" t="str">
        <f t="shared" si="75"/>
        <v>Residential</v>
      </c>
      <c r="E100" s="505" t="str">
        <f t="shared" si="75"/>
        <v>TAS97</v>
      </c>
      <c r="F100" s="505">
        <f t="shared" si="75"/>
        <v>0</v>
      </c>
      <c r="G100" s="505">
        <f t="shared" si="75"/>
        <v>0</v>
      </c>
      <c r="H100" s="58"/>
      <c r="I100" s="232">
        <f>INDEX('Prop. prices'!$I$8:$AB$82,MATCH('Tariff schedule'!$C100,'Prop. prices'!$C$8:$C$82,0),MATCH('Tariff schedule'!I$16,'Prop. prices'!$I$5:$AB$5,0))</f>
        <v>60.366999999999997</v>
      </c>
      <c r="J100" s="232">
        <f>INDEX('Prop. prices'!$I$8:$AB$82,MATCH('Tariff schedule'!$C100,'Prop. prices'!$C$8:$C$82,0),MATCH('Tariff schedule'!J$16,'Prop. prices'!$I$5:$AB$5,0))</f>
        <v>0</v>
      </c>
      <c r="K100" s="232">
        <f>INDEX('Prop. prices'!$I$8:$AB$82,MATCH('Tariff schedule'!$C100,'Prop. prices'!$C$8:$C$82,0),MATCH('Tariff schedule'!K$16,'Prop. prices'!$I$5:$AB$5,0))</f>
        <v>0</v>
      </c>
      <c r="L100" s="232">
        <f>INDEX('Prop. prices'!$I$8:$AB$82,MATCH('Tariff schedule'!$C100,'Prop. prices'!$C$8:$C$82,0),MATCH('Tariff schedule'!L$16,'Prop. prices'!$I$5:$AB$5,0))</f>
        <v>0</v>
      </c>
      <c r="M100" s="232">
        <f>INDEX('Prop. prices'!$I$8:$AB$82,MATCH('Tariff schedule'!$C100,'Prop. prices'!$C$8:$C$82,0),MATCH('Tariff schedule'!M$16,'Prop. prices'!$I$5:$AB$5,0))</f>
        <v>0</v>
      </c>
      <c r="N100" s="232">
        <f>INDEX('Prop. prices'!$I$8:$AB$82,MATCH('Tariff schedule'!$C100,'Prop. prices'!$C$8:$C$82,0),MATCH('Tariff schedule'!N$16,'Prop. prices'!$I$5:$AB$5,0))</f>
        <v>0</v>
      </c>
      <c r="O100" s="232">
        <f>INDEX('Prop. prices'!$I$8:$AB$82,MATCH('Tariff schedule'!$C100,'Prop. prices'!$C$8:$C$82,0),MATCH('Tariff schedule'!O$16,'Prop. prices'!$I$5:$AB$5,0))</f>
        <v>20.152000000000001</v>
      </c>
      <c r="P100" s="232">
        <f>INDEX('Prop. prices'!$I$8:$AB$82,MATCH('Tariff schedule'!$C100,'Prop. prices'!$C$8:$C$82,0),MATCH('Tariff schedule'!P$16,'Prop. prices'!$I$5:$AB$5,0))</f>
        <v>5.3680000000000003</v>
      </c>
      <c r="Q100" s="232">
        <f>INDEX('Prop. prices'!$I$8:$AB$82,MATCH('Tariff schedule'!$C100,'Prop. prices'!$C$8:$C$82,0),MATCH('Tariff schedule'!Q$16,'Prop. prices'!$I$5:$AB$5,0))</f>
        <v>0</v>
      </c>
      <c r="R100" s="232">
        <f>INDEX('Prop. prices'!$I$8:$AB$82,MATCH('Tariff schedule'!$C100,'Prop. prices'!$C$8:$C$82,0),MATCH('Tariff schedule'!R$16,'Prop. prices'!$I$5:$AB$5,0))</f>
        <v>0</v>
      </c>
      <c r="S100" s="232">
        <f>INDEX('Prop. prices'!$I$8:$AB$82,MATCH('Tariff schedule'!$C100,'Prop. prices'!$C$8:$C$82,0),MATCH('Tariff schedule'!S$16,'Prop. prices'!$I$5:$AB$5,0))</f>
        <v>0</v>
      </c>
      <c r="T100" s="232">
        <f>INDEX('Prop. prices'!$I$8:$AB$82,MATCH('Tariff schedule'!$C100,'Prop. prices'!$C$8:$C$82,0),MATCH('Tariff schedule'!T$16,'Prop. prices'!$I$5:$AB$5,0))</f>
        <v>0</v>
      </c>
      <c r="U100" s="232">
        <f>INDEX('Prop. prices'!$I$8:$AB$82,MATCH('Tariff schedule'!$C100,'Prop. prices'!$C$8:$C$82,0),MATCH('Tariff schedule'!U$16,'Prop. prices'!$I$5:$AB$5,0))</f>
        <v>0</v>
      </c>
      <c r="V100" s="232">
        <f>INDEX('Prop. prices'!$I$8:$AB$82,MATCH('Tariff schedule'!$C100,'Prop. prices'!$C$8:$C$82,0),MATCH('Tariff schedule'!V$16,'Prop. prices'!$I$5:$AB$5,0))</f>
        <v>0</v>
      </c>
      <c r="W100" s="232">
        <f>INDEX('Prop. prices'!$I$8:$AB$82,MATCH('Tariff schedule'!$C100,'Prop. prices'!$C$8:$C$82,0),MATCH('Tariff schedule'!W$16,'Prop. prices'!$I$5:$AB$5,0))</f>
        <v>0</v>
      </c>
      <c r="X100" s="232">
        <f>INDEX('Prop. prices'!$I$8:$AB$82,MATCH('Tariff schedule'!$C100,'Prop. prices'!$C$8:$C$82,0),MATCH('Tariff schedule'!X$16,'Prop. prices'!$I$5:$AB$5,0))</f>
        <v>0</v>
      </c>
      <c r="Y100" s="232">
        <f>INDEX('Prop. prices'!$I$8:$AB$82,MATCH('Tariff schedule'!$C100,'Prop. prices'!$C$8:$C$82,0),MATCH('Tariff schedule'!Y$16,'Prop. prices'!$I$5:$AB$5,0))</f>
        <v>0</v>
      </c>
      <c r="Z100" s="232">
        <f>INDEX('Prop. prices'!$I$8:$AB$82,MATCH('Tariff schedule'!$C100,'Prop. prices'!$C$8:$C$82,0),MATCH('Tariff schedule'!Z$16,'Prop. prices'!$I$5:$AB$5,0))</f>
        <v>0</v>
      </c>
      <c r="AA100" s="232">
        <f>INDEX('Prop. prices'!$I$8:$AB$82,MATCH('Tariff schedule'!$C100,'Prop. prices'!$C$8:$C$82,0),MATCH('Tariff schedule'!AA$16,'Prop. prices'!$I$5:$AB$5,0))</f>
        <v>0</v>
      </c>
      <c r="AB100" s="232">
        <f>INDEX('Prop. prices'!$I$8:$AB$82,MATCH('Tariff schedule'!$C100,'Prop. prices'!$C$8:$C$82,0),MATCH('Tariff schedule'!AB$16,'Prop. prices'!$I$5:$AB$5,0))</f>
        <v>0</v>
      </c>
      <c r="AC100" s="70"/>
      <c r="AD100" s="19"/>
      <c r="AE100" s="19"/>
      <c r="AF100" s="19"/>
      <c r="AG100" s="19"/>
    </row>
    <row r="101" spans="1:33" outlineLevel="2" x14ac:dyDescent="0.2">
      <c r="A101" s="19"/>
      <c r="B101" s="19"/>
      <c r="C101" s="506" t="str">
        <f t="shared" si="75"/>
        <v>Residential pay as you go</v>
      </c>
      <c r="D101" s="505" t="str">
        <f t="shared" si="75"/>
        <v>Residential</v>
      </c>
      <c r="E101" s="505" t="str">
        <f t="shared" si="75"/>
        <v>TAS101</v>
      </c>
      <c r="F101" s="505">
        <f t="shared" si="75"/>
        <v>0</v>
      </c>
      <c r="G101" s="505">
        <f t="shared" si="75"/>
        <v>0</v>
      </c>
      <c r="H101" s="58"/>
      <c r="I101" s="232">
        <f>INDEX('Prop. prices'!$I$8:$AB$82,MATCH('Tariff schedule'!$C101,'Prop. prices'!$C$8:$C$82,0),MATCH('Tariff schedule'!I$16,'Prop. prices'!$I$5:$AB$5,0))</f>
        <v>54.712000000000003</v>
      </c>
      <c r="J101" s="232">
        <f>INDEX('Prop. prices'!$I$8:$AB$82,MATCH('Tariff schedule'!$C101,'Prop. prices'!$C$8:$C$82,0),MATCH('Tariff schedule'!J$16,'Prop. prices'!$I$5:$AB$5,0))</f>
        <v>5.8890000000000002</v>
      </c>
      <c r="K101" s="232">
        <f>INDEX('Prop. prices'!$I$8:$AB$82,MATCH('Tariff schedule'!$C101,'Prop. prices'!$C$8:$C$82,0),MATCH('Tariff schedule'!K$16,'Prop. prices'!$I$5:$AB$5,0))</f>
        <v>0</v>
      </c>
      <c r="L101" s="232">
        <f>INDEX('Prop. prices'!$I$8:$AB$82,MATCH('Tariff schedule'!$C101,'Prop. prices'!$C$8:$C$82,0),MATCH('Tariff schedule'!L$16,'Prop. prices'!$I$5:$AB$5,0))</f>
        <v>0</v>
      </c>
      <c r="M101" s="232">
        <f>INDEX('Prop. prices'!$I$8:$AB$82,MATCH('Tariff schedule'!$C101,'Prop. prices'!$C$8:$C$82,0),MATCH('Tariff schedule'!M$16,'Prop. prices'!$I$5:$AB$5,0))</f>
        <v>0</v>
      </c>
      <c r="N101" s="232">
        <f>INDEX('Prop. prices'!$I$8:$AB$82,MATCH('Tariff schedule'!$C101,'Prop. prices'!$C$8:$C$82,0),MATCH('Tariff schedule'!N$16,'Prop. prices'!$I$5:$AB$5,0))</f>
        <v>0</v>
      </c>
      <c r="O101" s="232">
        <f>INDEX('Prop. prices'!$I$8:$AB$82,MATCH('Tariff schedule'!$C101,'Prop. prices'!$C$8:$C$82,0),MATCH('Tariff schedule'!O$16,'Prop. prices'!$I$5:$AB$5,0))</f>
        <v>0</v>
      </c>
      <c r="P101" s="232">
        <f>INDEX('Prop. prices'!$I$8:$AB$82,MATCH('Tariff schedule'!$C101,'Prop. prices'!$C$8:$C$82,0),MATCH('Tariff schedule'!P$16,'Prop. prices'!$I$5:$AB$5,0))</f>
        <v>0</v>
      </c>
      <c r="Q101" s="232">
        <f>INDEX('Prop. prices'!$I$8:$AB$82,MATCH('Tariff schedule'!$C101,'Prop. prices'!$C$8:$C$82,0),MATCH('Tariff schedule'!Q$16,'Prop. prices'!$I$5:$AB$5,0))</f>
        <v>0</v>
      </c>
      <c r="R101" s="232">
        <f>INDEX('Prop. prices'!$I$8:$AB$82,MATCH('Tariff schedule'!$C101,'Prop. prices'!$C$8:$C$82,0),MATCH('Tariff schedule'!R$16,'Prop. prices'!$I$5:$AB$5,0))</f>
        <v>0</v>
      </c>
      <c r="S101" s="232">
        <f>INDEX('Prop. prices'!$I$8:$AB$82,MATCH('Tariff schedule'!$C101,'Prop. prices'!$C$8:$C$82,0),MATCH('Tariff schedule'!S$16,'Prop. prices'!$I$5:$AB$5,0))</f>
        <v>0</v>
      </c>
      <c r="T101" s="232">
        <f>INDEX('Prop. prices'!$I$8:$AB$82,MATCH('Tariff schedule'!$C101,'Prop. prices'!$C$8:$C$82,0),MATCH('Tariff schedule'!T$16,'Prop. prices'!$I$5:$AB$5,0))</f>
        <v>0</v>
      </c>
      <c r="U101" s="232">
        <f>INDEX('Prop. prices'!$I$8:$AB$82,MATCH('Tariff schedule'!$C101,'Prop. prices'!$C$8:$C$82,0),MATCH('Tariff schedule'!U$16,'Prop. prices'!$I$5:$AB$5,0))</f>
        <v>0</v>
      </c>
      <c r="V101" s="232">
        <f>INDEX('Prop. prices'!$I$8:$AB$82,MATCH('Tariff schedule'!$C101,'Prop. prices'!$C$8:$C$82,0),MATCH('Tariff schedule'!V$16,'Prop. prices'!$I$5:$AB$5,0))</f>
        <v>0</v>
      </c>
      <c r="W101" s="232">
        <f>INDEX('Prop. prices'!$I$8:$AB$82,MATCH('Tariff schedule'!$C101,'Prop. prices'!$C$8:$C$82,0),MATCH('Tariff schedule'!W$16,'Prop. prices'!$I$5:$AB$5,0))</f>
        <v>0</v>
      </c>
      <c r="X101" s="232">
        <f>INDEX('Prop. prices'!$I$8:$AB$82,MATCH('Tariff schedule'!$C101,'Prop. prices'!$C$8:$C$82,0),MATCH('Tariff schedule'!X$16,'Prop. prices'!$I$5:$AB$5,0))</f>
        <v>0</v>
      </c>
      <c r="Y101" s="232">
        <f>INDEX('Prop. prices'!$I$8:$AB$82,MATCH('Tariff schedule'!$C101,'Prop. prices'!$C$8:$C$82,0),MATCH('Tariff schedule'!Y$16,'Prop. prices'!$I$5:$AB$5,0))</f>
        <v>0</v>
      </c>
      <c r="Z101" s="232">
        <f>INDEX('Prop. prices'!$I$8:$AB$82,MATCH('Tariff schedule'!$C101,'Prop. prices'!$C$8:$C$82,0),MATCH('Tariff schedule'!Z$16,'Prop. prices'!$I$5:$AB$5,0))</f>
        <v>0</v>
      </c>
      <c r="AA101" s="232">
        <f>INDEX('Prop. prices'!$I$8:$AB$82,MATCH('Tariff schedule'!$C101,'Prop. prices'!$C$8:$C$82,0),MATCH('Tariff schedule'!AA$16,'Prop. prices'!$I$5:$AB$5,0))</f>
        <v>0</v>
      </c>
      <c r="AB101" s="232">
        <f>INDEX('Prop. prices'!$I$8:$AB$82,MATCH('Tariff schedule'!$C101,'Prop. prices'!$C$8:$C$82,0),MATCH('Tariff schedule'!AB$16,'Prop. prices'!$I$5:$AB$5,0))</f>
        <v>0</v>
      </c>
      <c r="AC101" s="70"/>
      <c r="AD101" s="19"/>
      <c r="AE101" s="19"/>
      <c r="AF101" s="19"/>
      <c r="AG101" s="19"/>
    </row>
    <row r="102" spans="1:33" outlineLevel="2" x14ac:dyDescent="0.2">
      <c r="A102" s="19"/>
      <c r="B102" s="19"/>
      <c r="C102" s="506" t="str">
        <f t="shared" si="75"/>
        <v>Residential pay as you go time of use</v>
      </c>
      <c r="D102" s="505" t="str">
        <f t="shared" si="75"/>
        <v>Residential</v>
      </c>
      <c r="E102" s="505" t="str">
        <f t="shared" si="75"/>
        <v>TAS92</v>
      </c>
      <c r="F102" s="505">
        <f t="shared" si="75"/>
        <v>0</v>
      </c>
      <c r="G102" s="505">
        <f t="shared" si="75"/>
        <v>0</v>
      </c>
      <c r="H102" s="58"/>
      <c r="I102" s="232">
        <f>INDEX('Prop. prices'!$I$8:$AB$82,MATCH('Tariff schedule'!$C102,'Prop. prices'!$C$8:$C$82,0),MATCH('Tariff schedule'!I$16,'Prop. prices'!$I$5:$AB$5,0))</f>
        <v>59.329000000000001</v>
      </c>
      <c r="J102" s="232">
        <f>INDEX('Prop. prices'!$I$8:$AB$82,MATCH('Tariff schedule'!$C102,'Prop. prices'!$C$8:$C$82,0),MATCH('Tariff schedule'!J$16,'Prop. prices'!$I$5:$AB$5,0))</f>
        <v>0</v>
      </c>
      <c r="K102" s="232">
        <f>INDEX('Prop. prices'!$I$8:$AB$82,MATCH('Tariff schedule'!$C102,'Prop. prices'!$C$8:$C$82,0),MATCH('Tariff schedule'!K$16,'Prop. prices'!$I$5:$AB$5,0))</f>
        <v>10.872</v>
      </c>
      <c r="L102" s="232">
        <f>INDEX('Prop. prices'!$I$8:$AB$82,MATCH('Tariff schedule'!$C102,'Prop. prices'!$C$8:$C$82,0),MATCH('Tariff schedule'!L$16,'Prop. prices'!$I$5:$AB$5,0))</f>
        <v>0</v>
      </c>
      <c r="M102" s="232">
        <f>INDEX('Prop. prices'!$I$8:$AB$82,MATCH('Tariff schedule'!$C102,'Prop. prices'!$C$8:$C$82,0),MATCH('Tariff schedule'!M$16,'Prop. prices'!$I$5:$AB$5,0))</f>
        <v>2.1739999999999999</v>
      </c>
      <c r="N102" s="232">
        <f>INDEX('Prop. prices'!$I$8:$AB$82,MATCH('Tariff schedule'!$C102,'Prop. prices'!$C$8:$C$82,0),MATCH('Tariff schedule'!N$16,'Prop. prices'!$I$5:$AB$5,0))</f>
        <v>0</v>
      </c>
      <c r="O102" s="232">
        <f>INDEX('Prop. prices'!$I$8:$AB$82,MATCH('Tariff schedule'!$C102,'Prop. prices'!$C$8:$C$82,0),MATCH('Tariff schedule'!O$16,'Prop. prices'!$I$5:$AB$5,0))</f>
        <v>0</v>
      </c>
      <c r="P102" s="232">
        <f>INDEX('Prop. prices'!$I$8:$AB$82,MATCH('Tariff schedule'!$C102,'Prop. prices'!$C$8:$C$82,0),MATCH('Tariff schedule'!P$16,'Prop. prices'!$I$5:$AB$5,0))</f>
        <v>0</v>
      </c>
      <c r="Q102" s="232">
        <f>INDEX('Prop. prices'!$I$8:$AB$82,MATCH('Tariff schedule'!$C102,'Prop. prices'!$C$8:$C$82,0),MATCH('Tariff schedule'!Q$16,'Prop. prices'!$I$5:$AB$5,0))</f>
        <v>0</v>
      </c>
      <c r="R102" s="232">
        <f>INDEX('Prop. prices'!$I$8:$AB$82,MATCH('Tariff schedule'!$C102,'Prop. prices'!$C$8:$C$82,0),MATCH('Tariff schedule'!R$16,'Prop. prices'!$I$5:$AB$5,0))</f>
        <v>0</v>
      </c>
      <c r="S102" s="232">
        <f>INDEX('Prop. prices'!$I$8:$AB$82,MATCH('Tariff schedule'!$C102,'Prop. prices'!$C$8:$C$82,0),MATCH('Tariff schedule'!S$16,'Prop. prices'!$I$5:$AB$5,0))</f>
        <v>0</v>
      </c>
      <c r="T102" s="232">
        <f>INDEX('Prop. prices'!$I$8:$AB$82,MATCH('Tariff schedule'!$C102,'Prop. prices'!$C$8:$C$82,0),MATCH('Tariff schedule'!T$16,'Prop. prices'!$I$5:$AB$5,0))</f>
        <v>0</v>
      </c>
      <c r="U102" s="232">
        <f>INDEX('Prop. prices'!$I$8:$AB$82,MATCH('Tariff schedule'!$C102,'Prop. prices'!$C$8:$C$82,0),MATCH('Tariff schedule'!U$16,'Prop. prices'!$I$5:$AB$5,0))</f>
        <v>0</v>
      </c>
      <c r="V102" s="232">
        <f>INDEX('Prop. prices'!$I$8:$AB$82,MATCH('Tariff schedule'!$C102,'Prop. prices'!$C$8:$C$82,0),MATCH('Tariff schedule'!V$16,'Prop. prices'!$I$5:$AB$5,0))</f>
        <v>0</v>
      </c>
      <c r="W102" s="232">
        <f>INDEX('Prop. prices'!$I$8:$AB$82,MATCH('Tariff schedule'!$C102,'Prop. prices'!$C$8:$C$82,0),MATCH('Tariff schedule'!W$16,'Prop. prices'!$I$5:$AB$5,0))</f>
        <v>0</v>
      </c>
      <c r="X102" s="232">
        <f>INDEX('Prop. prices'!$I$8:$AB$82,MATCH('Tariff schedule'!$C102,'Prop. prices'!$C$8:$C$82,0),MATCH('Tariff schedule'!X$16,'Prop. prices'!$I$5:$AB$5,0))</f>
        <v>0</v>
      </c>
      <c r="Y102" s="232">
        <f>INDEX('Prop. prices'!$I$8:$AB$82,MATCH('Tariff schedule'!$C102,'Prop. prices'!$C$8:$C$82,0),MATCH('Tariff schedule'!Y$16,'Prop. prices'!$I$5:$AB$5,0))</f>
        <v>0</v>
      </c>
      <c r="Z102" s="232">
        <f>INDEX('Prop. prices'!$I$8:$AB$82,MATCH('Tariff schedule'!$C102,'Prop. prices'!$C$8:$C$82,0),MATCH('Tariff schedule'!Z$16,'Prop. prices'!$I$5:$AB$5,0))</f>
        <v>0</v>
      </c>
      <c r="AA102" s="232">
        <f>INDEX('Prop. prices'!$I$8:$AB$82,MATCH('Tariff schedule'!$C102,'Prop. prices'!$C$8:$C$82,0),MATCH('Tariff schedule'!AA$16,'Prop. prices'!$I$5:$AB$5,0))</f>
        <v>0</v>
      </c>
      <c r="AB102" s="232">
        <f>INDEX('Prop. prices'!$I$8:$AB$82,MATCH('Tariff schedule'!$C102,'Prop. prices'!$C$8:$C$82,0),MATCH('Tariff schedule'!AB$16,'Prop. prices'!$I$5:$AB$5,0))</f>
        <v>0</v>
      </c>
      <c r="AC102" s="70"/>
      <c r="AD102" s="19"/>
      <c r="AE102" s="19"/>
      <c r="AF102" s="19"/>
      <c r="AG102" s="19"/>
    </row>
    <row r="103" spans="1:33" outlineLevel="2" x14ac:dyDescent="0.2">
      <c r="A103" s="19"/>
      <c r="B103" s="19"/>
      <c r="C103" s="506" t="str">
        <f t="shared" si="75"/>
        <v>Small business time of use consumption</v>
      </c>
      <c r="D103" s="505" t="str">
        <f t="shared" si="75"/>
        <v>Small Business LV</v>
      </c>
      <c r="E103" s="505" t="str">
        <f t="shared" si="75"/>
        <v>TAS94</v>
      </c>
      <c r="F103" s="505">
        <f t="shared" si="75"/>
        <v>0</v>
      </c>
      <c r="G103" s="505">
        <f t="shared" si="75"/>
        <v>0</v>
      </c>
      <c r="H103" s="58"/>
      <c r="I103" s="232">
        <f>INDEX('Prop. prices'!$I$8:$AB$82,MATCH('Tariff schedule'!$C103,'Prop. prices'!$C$8:$C$82,0),MATCH('Tariff schedule'!I$16,'Prop. prices'!$I$5:$AB$5,0))</f>
        <v>70.975999999999999</v>
      </c>
      <c r="J103" s="232">
        <f>INDEX('Prop. prices'!$I$8:$AB$82,MATCH('Tariff schedule'!$C103,'Prop. prices'!$C$8:$C$82,0),MATCH('Tariff schedule'!J$16,'Prop. prices'!$I$5:$AB$5,0))</f>
        <v>0</v>
      </c>
      <c r="K103" s="232">
        <f>INDEX('Prop. prices'!$I$8:$AB$82,MATCH('Tariff schedule'!$C103,'Prop. prices'!$C$8:$C$82,0),MATCH('Tariff schedule'!K$16,'Prop. prices'!$I$5:$AB$5,0))</f>
        <v>7.8710000000000004</v>
      </c>
      <c r="L103" s="232">
        <f>INDEX('Prop. prices'!$I$8:$AB$82,MATCH('Tariff schedule'!$C103,'Prop. prices'!$C$8:$C$82,0),MATCH('Tariff schedule'!L$16,'Prop. prices'!$I$5:$AB$5,0))</f>
        <v>4.7229999999999999</v>
      </c>
      <c r="M103" s="232">
        <f>INDEX('Prop. prices'!$I$8:$AB$82,MATCH('Tariff schedule'!$C103,'Prop. prices'!$C$8:$C$82,0),MATCH('Tariff schedule'!M$16,'Prop. prices'!$I$5:$AB$5,0))</f>
        <v>1.181</v>
      </c>
      <c r="N103" s="232">
        <f>INDEX('Prop. prices'!$I$8:$AB$82,MATCH('Tariff schedule'!$C103,'Prop. prices'!$C$8:$C$82,0),MATCH('Tariff schedule'!N$16,'Prop. prices'!$I$5:$AB$5,0))</f>
        <v>0</v>
      </c>
      <c r="O103" s="232">
        <f>INDEX('Prop. prices'!$I$8:$AB$82,MATCH('Tariff schedule'!$C103,'Prop. prices'!$C$8:$C$82,0),MATCH('Tariff schedule'!O$16,'Prop. prices'!$I$5:$AB$5,0))</f>
        <v>0</v>
      </c>
      <c r="P103" s="232">
        <f>INDEX('Prop. prices'!$I$8:$AB$82,MATCH('Tariff schedule'!$C103,'Prop. prices'!$C$8:$C$82,0),MATCH('Tariff schedule'!P$16,'Prop. prices'!$I$5:$AB$5,0))</f>
        <v>0</v>
      </c>
      <c r="Q103" s="232">
        <f>INDEX('Prop. prices'!$I$8:$AB$82,MATCH('Tariff schedule'!$C103,'Prop. prices'!$C$8:$C$82,0),MATCH('Tariff schedule'!Q$16,'Prop. prices'!$I$5:$AB$5,0))</f>
        <v>0</v>
      </c>
      <c r="R103" s="232">
        <f>INDEX('Prop. prices'!$I$8:$AB$82,MATCH('Tariff schedule'!$C103,'Prop. prices'!$C$8:$C$82,0),MATCH('Tariff schedule'!R$16,'Prop. prices'!$I$5:$AB$5,0))</f>
        <v>0</v>
      </c>
      <c r="S103" s="232">
        <f>INDEX('Prop. prices'!$I$8:$AB$82,MATCH('Tariff schedule'!$C103,'Prop. prices'!$C$8:$C$82,0),MATCH('Tariff schedule'!S$16,'Prop. prices'!$I$5:$AB$5,0))</f>
        <v>0</v>
      </c>
      <c r="T103" s="232">
        <f>INDEX('Prop. prices'!$I$8:$AB$82,MATCH('Tariff schedule'!$C103,'Prop. prices'!$C$8:$C$82,0),MATCH('Tariff schedule'!T$16,'Prop. prices'!$I$5:$AB$5,0))</f>
        <v>0</v>
      </c>
      <c r="U103" s="232">
        <f>INDEX('Prop. prices'!$I$8:$AB$82,MATCH('Tariff schedule'!$C103,'Prop. prices'!$C$8:$C$82,0),MATCH('Tariff schedule'!U$16,'Prop. prices'!$I$5:$AB$5,0))</f>
        <v>0</v>
      </c>
      <c r="V103" s="232">
        <f>INDEX('Prop. prices'!$I$8:$AB$82,MATCH('Tariff schedule'!$C103,'Prop. prices'!$C$8:$C$82,0),MATCH('Tariff schedule'!V$16,'Prop. prices'!$I$5:$AB$5,0))</f>
        <v>0</v>
      </c>
      <c r="W103" s="232">
        <f>INDEX('Prop. prices'!$I$8:$AB$82,MATCH('Tariff schedule'!$C103,'Prop. prices'!$C$8:$C$82,0),MATCH('Tariff schedule'!W$16,'Prop. prices'!$I$5:$AB$5,0))</f>
        <v>0</v>
      </c>
      <c r="X103" s="232">
        <f>INDEX('Prop. prices'!$I$8:$AB$82,MATCH('Tariff schedule'!$C103,'Prop. prices'!$C$8:$C$82,0),MATCH('Tariff schedule'!X$16,'Prop. prices'!$I$5:$AB$5,0))</f>
        <v>0</v>
      </c>
      <c r="Y103" s="232">
        <f>INDEX('Prop. prices'!$I$8:$AB$82,MATCH('Tariff schedule'!$C103,'Prop. prices'!$C$8:$C$82,0),MATCH('Tariff schedule'!Y$16,'Prop. prices'!$I$5:$AB$5,0))</f>
        <v>0</v>
      </c>
      <c r="Z103" s="232">
        <f>INDEX('Prop. prices'!$I$8:$AB$82,MATCH('Tariff schedule'!$C103,'Prop. prices'!$C$8:$C$82,0),MATCH('Tariff schedule'!Z$16,'Prop. prices'!$I$5:$AB$5,0))</f>
        <v>0</v>
      </c>
      <c r="AA103" s="232">
        <f>INDEX('Prop. prices'!$I$8:$AB$82,MATCH('Tariff schedule'!$C103,'Prop. prices'!$C$8:$C$82,0),MATCH('Tariff schedule'!AA$16,'Prop. prices'!$I$5:$AB$5,0))</f>
        <v>0</v>
      </c>
      <c r="AB103" s="232">
        <f>INDEX('Prop. prices'!$I$8:$AB$82,MATCH('Tariff schedule'!$C103,'Prop. prices'!$C$8:$C$82,0),MATCH('Tariff schedule'!AB$16,'Prop. prices'!$I$5:$AB$5,0))</f>
        <v>0</v>
      </c>
      <c r="AC103" s="70"/>
      <c r="AD103" s="19"/>
      <c r="AE103" s="19"/>
      <c r="AF103" s="19"/>
      <c r="AG103" s="19"/>
    </row>
    <row r="104" spans="1:33" outlineLevel="2" x14ac:dyDescent="0.2">
      <c r="A104" s="19"/>
      <c r="B104" s="19"/>
      <c r="C104" s="506" t="str">
        <f t="shared" si="75"/>
        <v>Small business general light and power</v>
      </c>
      <c r="D104" s="505" t="str">
        <f t="shared" si="75"/>
        <v>Small Business LV</v>
      </c>
      <c r="E104" s="505" t="str">
        <f t="shared" si="75"/>
        <v>TAS22</v>
      </c>
      <c r="F104" s="505">
        <f t="shared" si="75"/>
        <v>0</v>
      </c>
      <c r="G104" s="505">
        <f t="shared" si="75"/>
        <v>0</v>
      </c>
      <c r="H104" s="58"/>
      <c r="I104" s="232">
        <f>INDEX('Prop. prices'!$I$8:$AB$82,MATCH('Tariff schedule'!$C104,'Prop. prices'!$C$8:$C$82,0),MATCH('Tariff schedule'!I$16,'Prop. prices'!$I$5:$AB$5,0))</f>
        <v>53.96</v>
      </c>
      <c r="J104" s="232">
        <f>INDEX('Prop. prices'!$I$8:$AB$82,MATCH('Tariff schedule'!$C104,'Prop. prices'!$C$8:$C$82,0),MATCH('Tariff schedule'!J$16,'Prop. prices'!$I$5:$AB$5,0))</f>
        <v>7.1079999999999997</v>
      </c>
      <c r="K104" s="232">
        <f>INDEX('Prop. prices'!$I$8:$AB$82,MATCH('Tariff schedule'!$C104,'Prop. prices'!$C$8:$C$82,0),MATCH('Tariff schedule'!K$16,'Prop. prices'!$I$5:$AB$5,0))</f>
        <v>0</v>
      </c>
      <c r="L104" s="232">
        <f>INDEX('Prop. prices'!$I$8:$AB$82,MATCH('Tariff schedule'!$C104,'Prop. prices'!$C$8:$C$82,0),MATCH('Tariff schedule'!L$16,'Prop. prices'!$I$5:$AB$5,0))</f>
        <v>0</v>
      </c>
      <c r="M104" s="232">
        <f>INDEX('Prop. prices'!$I$8:$AB$82,MATCH('Tariff schedule'!$C104,'Prop. prices'!$C$8:$C$82,0),MATCH('Tariff schedule'!M$16,'Prop. prices'!$I$5:$AB$5,0))</f>
        <v>0</v>
      </c>
      <c r="N104" s="232">
        <f>INDEX('Prop. prices'!$I$8:$AB$82,MATCH('Tariff schedule'!$C104,'Prop. prices'!$C$8:$C$82,0),MATCH('Tariff schedule'!N$16,'Prop. prices'!$I$5:$AB$5,0))</f>
        <v>0</v>
      </c>
      <c r="O104" s="232">
        <f>INDEX('Prop. prices'!$I$8:$AB$82,MATCH('Tariff schedule'!$C104,'Prop. prices'!$C$8:$C$82,0),MATCH('Tariff schedule'!O$16,'Prop. prices'!$I$5:$AB$5,0))</f>
        <v>0</v>
      </c>
      <c r="P104" s="232">
        <f>INDEX('Prop. prices'!$I$8:$AB$82,MATCH('Tariff schedule'!$C104,'Prop. prices'!$C$8:$C$82,0),MATCH('Tariff schedule'!P$16,'Prop. prices'!$I$5:$AB$5,0))</f>
        <v>0</v>
      </c>
      <c r="Q104" s="232">
        <f>INDEX('Prop. prices'!$I$8:$AB$82,MATCH('Tariff schedule'!$C104,'Prop. prices'!$C$8:$C$82,0),MATCH('Tariff schedule'!Q$16,'Prop. prices'!$I$5:$AB$5,0))</f>
        <v>0</v>
      </c>
      <c r="R104" s="232">
        <f>INDEX('Prop. prices'!$I$8:$AB$82,MATCH('Tariff schedule'!$C104,'Prop. prices'!$C$8:$C$82,0),MATCH('Tariff schedule'!R$16,'Prop. prices'!$I$5:$AB$5,0))</f>
        <v>0</v>
      </c>
      <c r="S104" s="232">
        <f>INDEX('Prop. prices'!$I$8:$AB$82,MATCH('Tariff schedule'!$C104,'Prop. prices'!$C$8:$C$82,0),MATCH('Tariff schedule'!S$16,'Prop. prices'!$I$5:$AB$5,0))</f>
        <v>0</v>
      </c>
      <c r="T104" s="232">
        <f>INDEX('Prop. prices'!$I$8:$AB$82,MATCH('Tariff schedule'!$C104,'Prop. prices'!$C$8:$C$82,0),MATCH('Tariff schedule'!T$16,'Prop. prices'!$I$5:$AB$5,0))</f>
        <v>0</v>
      </c>
      <c r="U104" s="232">
        <f>INDEX('Prop. prices'!$I$8:$AB$82,MATCH('Tariff schedule'!$C104,'Prop. prices'!$C$8:$C$82,0),MATCH('Tariff schedule'!U$16,'Prop. prices'!$I$5:$AB$5,0))</f>
        <v>0</v>
      </c>
      <c r="V104" s="232">
        <f>INDEX('Prop. prices'!$I$8:$AB$82,MATCH('Tariff schedule'!$C104,'Prop. prices'!$C$8:$C$82,0),MATCH('Tariff schedule'!V$16,'Prop. prices'!$I$5:$AB$5,0))</f>
        <v>0</v>
      </c>
      <c r="W104" s="232">
        <f>INDEX('Prop. prices'!$I$8:$AB$82,MATCH('Tariff schedule'!$C104,'Prop. prices'!$C$8:$C$82,0),MATCH('Tariff schedule'!W$16,'Prop. prices'!$I$5:$AB$5,0))</f>
        <v>0</v>
      </c>
      <c r="X104" s="232">
        <f>INDEX('Prop. prices'!$I$8:$AB$82,MATCH('Tariff schedule'!$C104,'Prop. prices'!$C$8:$C$82,0),MATCH('Tariff schedule'!X$16,'Prop. prices'!$I$5:$AB$5,0))</f>
        <v>0</v>
      </c>
      <c r="Y104" s="232">
        <f>INDEX('Prop. prices'!$I$8:$AB$82,MATCH('Tariff schedule'!$C104,'Prop. prices'!$C$8:$C$82,0),MATCH('Tariff schedule'!Y$16,'Prop. prices'!$I$5:$AB$5,0))</f>
        <v>0</v>
      </c>
      <c r="Z104" s="232">
        <f>INDEX('Prop. prices'!$I$8:$AB$82,MATCH('Tariff schedule'!$C104,'Prop. prices'!$C$8:$C$82,0),MATCH('Tariff schedule'!Z$16,'Prop. prices'!$I$5:$AB$5,0))</f>
        <v>0</v>
      </c>
      <c r="AA104" s="232">
        <f>INDEX('Prop. prices'!$I$8:$AB$82,MATCH('Tariff schedule'!$C104,'Prop. prices'!$C$8:$C$82,0),MATCH('Tariff schedule'!AA$16,'Prop. prices'!$I$5:$AB$5,0))</f>
        <v>0</v>
      </c>
      <c r="AB104" s="232">
        <f>INDEX('Prop. prices'!$I$8:$AB$82,MATCH('Tariff schedule'!$C104,'Prop. prices'!$C$8:$C$82,0),MATCH('Tariff schedule'!AB$16,'Prop. prices'!$I$5:$AB$5,0))</f>
        <v>0</v>
      </c>
      <c r="AC104" s="70"/>
      <c r="AD104" s="19"/>
      <c r="AE104" s="19"/>
      <c r="AF104" s="19"/>
      <c r="AG104" s="19"/>
    </row>
    <row r="105" spans="1:33" outlineLevel="2" x14ac:dyDescent="0.2">
      <c r="A105" s="19"/>
      <c r="B105" s="19"/>
      <c r="C105" s="506" t="str">
        <f t="shared" si="75"/>
        <v>Small business time of use demand</v>
      </c>
      <c r="D105" s="505" t="str">
        <f t="shared" si="75"/>
        <v>Small Business LV</v>
      </c>
      <c r="E105" s="505" t="str">
        <f t="shared" si="75"/>
        <v>TAS88</v>
      </c>
      <c r="F105" s="505">
        <f t="shared" si="75"/>
        <v>0</v>
      </c>
      <c r="G105" s="505">
        <f t="shared" si="75"/>
        <v>0</v>
      </c>
      <c r="H105" s="58"/>
      <c r="I105" s="232">
        <f>INDEX('Prop. prices'!$I$8:$AB$82,MATCH('Tariff schedule'!$C105,'Prop. prices'!$C$8:$C$82,0),MATCH('Tariff schedule'!I$16,'Prop. prices'!$I$5:$AB$5,0))</f>
        <v>78.5</v>
      </c>
      <c r="J105" s="232">
        <f>INDEX('Prop. prices'!$I$8:$AB$82,MATCH('Tariff schedule'!$C105,'Prop. prices'!$C$8:$C$82,0),MATCH('Tariff schedule'!J$16,'Prop. prices'!$I$5:$AB$5,0))</f>
        <v>0</v>
      </c>
      <c r="K105" s="232">
        <f>INDEX('Prop. prices'!$I$8:$AB$82,MATCH('Tariff schedule'!$C105,'Prop. prices'!$C$8:$C$82,0),MATCH('Tariff schedule'!K$16,'Prop. prices'!$I$5:$AB$5,0))</f>
        <v>0</v>
      </c>
      <c r="L105" s="232">
        <f>INDEX('Prop. prices'!$I$8:$AB$82,MATCH('Tariff schedule'!$C105,'Prop. prices'!$C$8:$C$82,0),MATCH('Tariff schedule'!L$16,'Prop. prices'!$I$5:$AB$5,0))</f>
        <v>0</v>
      </c>
      <c r="M105" s="232">
        <f>INDEX('Prop. prices'!$I$8:$AB$82,MATCH('Tariff schedule'!$C105,'Prop. prices'!$C$8:$C$82,0),MATCH('Tariff schedule'!M$16,'Prop. prices'!$I$5:$AB$5,0))</f>
        <v>0</v>
      </c>
      <c r="N105" s="232">
        <f>INDEX('Prop. prices'!$I$8:$AB$82,MATCH('Tariff schedule'!$C105,'Prop. prices'!$C$8:$C$82,0),MATCH('Tariff schedule'!N$16,'Prop. prices'!$I$5:$AB$5,0))</f>
        <v>0</v>
      </c>
      <c r="O105" s="232">
        <f>INDEX('Prop. prices'!$I$8:$AB$82,MATCH('Tariff schedule'!$C105,'Prop. prices'!$C$8:$C$82,0),MATCH('Tariff schedule'!O$16,'Prop. prices'!$I$5:$AB$5,0))</f>
        <v>45.753999999999998</v>
      </c>
      <c r="P105" s="232">
        <f>INDEX('Prop. prices'!$I$8:$AB$82,MATCH('Tariff schedule'!$C105,'Prop. prices'!$C$8:$C$82,0),MATCH('Tariff schedule'!P$16,'Prop. prices'!$I$5:$AB$5,0))</f>
        <v>12.189</v>
      </c>
      <c r="Q105" s="232">
        <f>INDEX('Prop. prices'!$I$8:$AB$82,MATCH('Tariff schedule'!$C105,'Prop. prices'!$C$8:$C$82,0),MATCH('Tariff schedule'!Q$16,'Prop. prices'!$I$5:$AB$5,0))</f>
        <v>0</v>
      </c>
      <c r="R105" s="232">
        <f>INDEX('Prop. prices'!$I$8:$AB$82,MATCH('Tariff schedule'!$C105,'Prop. prices'!$C$8:$C$82,0),MATCH('Tariff schedule'!R$16,'Prop. prices'!$I$5:$AB$5,0))</f>
        <v>0</v>
      </c>
      <c r="S105" s="232">
        <f>INDEX('Prop. prices'!$I$8:$AB$82,MATCH('Tariff schedule'!$C105,'Prop. prices'!$C$8:$C$82,0),MATCH('Tariff schedule'!S$16,'Prop. prices'!$I$5:$AB$5,0))</f>
        <v>0</v>
      </c>
      <c r="T105" s="232">
        <f>INDEX('Prop. prices'!$I$8:$AB$82,MATCH('Tariff schedule'!$C105,'Prop. prices'!$C$8:$C$82,0),MATCH('Tariff schedule'!T$16,'Prop. prices'!$I$5:$AB$5,0))</f>
        <v>0</v>
      </c>
      <c r="U105" s="232">
        <f>INDEX('Prop. prices'!$I$8:$AB$82,MATCH('Tariff schedule'!$C105,'Prop. prices'!$C$8:$C$82,0),MATCH('Tariff schedule'!U$16,'Prop. prices'!$I$5:$AB$5,0))</f>
        <v>0</v>
      </c>
      <c r="V105" s="232">
        <f>INDEX('Prop. prices'!$I$8:$AB$82,MATCH('Tariff schedule'!$C105,'Prop. prices'!$C$8:$C$82,0),MATCH('Tariff schedule'!V$16,'Prop. prices'!$I$5:$AB$5,0))</f>
        <v>0</v>
      </c>
      <c r="W105" s="232">
        <f>INDEX('Prop. prices'!$I$8:$AB$82,MATCH('Tariff schedule'!$C105,'Prop. prices'!$C$8:$C$82,0),MATCH('Tariff schedule'!W$16,'Prop. prices'!$I$5:$AB$5,0))</f>
        <v>0</v>
      </c>
      <c r="X105" s="232">
        <f>INDEX('Prop. prices'!$I$8:$AB$82,MATCH('Tariff schedule'!$C105,'Prop. prices'!$C$8:$C$82,0),MATCH('Tariff schedule'!X$16,'Prop. prices'!$I$5:$AB$5,0))</f>
        <v>0</v>
      </c>
      <c r="Y105" s="232">
        <f>INDEX('Prop. prices'!$I$8:$AB$82,MATCH('Tariff schedule'!$C105,'Prop. prices'!$C$8:$C$82,0),MATCH('Tariff schedule'!Y$16,'Prop. prices'!$I$5:$AB$5,0))</f>
        <v>0</v>
      </c>
      <c r="Z105" s="232">
        <f>INDEX('Prop. prices'!$I$8:$AB$82,MATCH('Tariff schedule'!$C105,'Prop. prices'!$C$8:$C$82,0),MATCH('Tariff schedule'!Z$16,'Prop. prices'!$I$5:$AB$5,0))</f>
        <v>0</v>
      </c>
      <c r="AA105" s="232">
        <f>INDEX('Prop. prices'!$I$8:$AB$82,MATCH('Tariff schedule'!$C105,'Prop. prices'!$C$8:$C$82,0),MATCH('Tariff schedule'!AA$16,'Prop. prices'!$I$5:$AB$5,0))</f>
        <v>0</v>
      </c>
      <c r="AB105" s="232">
        <f>INDEX('Prop. prices'!$I$8:$AB$82,MATCH('Tariff schedule'!$C105,'Prop. prices'!$C$8:$C$82,0),MATCH('Tariff schedule'!AB$16,'Prop. prices'!$I$5:$AB$5,0))</f>
        <v>0</v>
      </c>
      <c r="AC105" s="70"/>
      <c r="AD105" s="19"/>
      <c r="AE105" s="19"/>
      <c r="AF105" s="19"/>
      <c r="AG105" s="19"/>
    </row>
    <row r="106" spans="1:33" outlineLevel="2" x14ac:dyDescent="0.2">
      <c r="A106" s="19"/>
      <c r="B106" s="19"/>
      <c r="C106" s="506" t="str">
        <f t="shared" si="75"/>
        <v>Small business time of use demand DER</v>
      </c>
      <c r="D106" s="505" t="str">
        <f t="shared" si="75"/>
        <v>Small Business LV</v>
      </c>
      <c r="E106" s="505" t="str">
        <f t="shared" si="75"/>
        <v>TAS98</v>
      </c>
      <c r="F106" s="505">
        <f t="shared" si="75"/>
        <v>0</v>
      </c>
      <c r="G106" s="505">
        <f t="shared" si="75"/>
        <v>0</v>
      </c>
      <c r="H106" s="58"/>
      <c r="I106" s="232">
        <f>INDEX('Prop. prices'!$I$8:$AB$82,MATCH('Tariff schedule'!$C106,'Prop. prices'!$C$8:$C$82,0),MATCH('Tariff schedule'!I$16,'Prop. prices'!$I$5:$AB$5,0))</f>
        <v>78.5</v>
      </c>
      <c r="J106" s="232">
        <f>INDEX('Prop. prices'!$I$8:$AB$82,MATCH('Tariff schedule'!$C106,'Prop. prices'!$C$8:$C$82,0),MATCH('Tariff schedule'!J$16,'Prop. prices'!$I$5:$AB$5,0))</f>
        <v>0</v>
      </c>
      <c r="K106" s="232">
        <f>INDEX('Prop. prices'!$I$8:$AB$82,MATCH('Tariff schedule'!$C106,'Prop. prices'!$C$8:$C$82,0),MATCH('Tariff schedule'!K$16,'Prop. prices'!$I$5:$AB$5,0))</f>
        <v>0</v>
      </c>
      <c r="L106" s="232">
        <f>INDEX('Prop. prices'!$I$8:$AB$82,MATCH('Tariff schedule'!$C106,'Prop. prices'!$C$8:$C$82,0),MATCH('Tariff schedule'!L$16,'Prop. prices'!$I$5:$AB$5,0))</f>
        <v>0</v>
      </c>
      <c r="M106" s="232">
        <f>INDEX('Prop. prices'!$I$8:$AB$82,MATCH('Tariff schedule'!$C106,'Prop. prices'!$C$8:$C$82,0),MATCH('Tariff schedule'!M$16,'Prop. prices'!$I$5:$AB$5,0))</f>
        <v>0</v>
      </c>
      <c r="N106" s="232">
        <f>INDEX('Prop. prices'!$I$8:$AB$82,MATCH('Tariff schedule'!$C106,'Prop. prices'!$C$8:$C$82,0),MATCH('Tariff schedule'!N$16,'Prop. prices'!$I$5:$AB$5,0))</f>
        <v>0</v>
      </c>
      <c r="O106" s="232">
        <f>INDEX('Prop. prices'!$I$8:$AB$82,MATCH('Tariff schedule'!$C106,'Prop. prices'!$C$8:$C$82,0),MATCH('Tariff schedule'!O$16,'Prop. prices'!$I$5:$AB$5,0))</f>
        <v>45.753999999999998</v>
      </c>
      <c r="P106" s="232">
        <f>INDEX('Prop. prices'!$I$8:$AB$82,MATCH('Tariff schedule'!$C106,'Prop. prices'!$C$8:$C$82,0),MATCH('Tariff schedule'!P$16,'Prop. prices'!$I$5:$AB$5,0))</f>
        <v>12.189</v>
      </c>
      <c r="Q106" s="232">
        <f>INDEX('Prop. prices'!$I$8:$AB$82,MATCH('Tariff schedule'!$C106,'Prop. prices'!$C$8:$C$82,0),MATCH('Tariff schedule'!Q$16,'Prop. prices'!$I$5:$AB$5,0))</f>
        <v>0</v>
      </c>
      <c r="R106" s="232">
        <f>INDEX('Prop. prices'!$I$8:$AB$82,MATCH('Tariff schedule'!$C106,'Prop. prices'!$C$8:$C$82,0),MATCH('Tariff schedule'!R$16,'Prop. prices'!$I$5:$AB$5,0))</f>
        <v>0</v>
      </c>
      <c r="S106" s="232">
        <f>INDEX('Prop. prices'!$I$8:$AB$82,MATCH('Tariff schedule'!$C106,'Prop. prices'!$C$8:$C$82,0),MATCH('Tariff schedule'!S$16,'Prop. prices'!$I$5:$AB$5,0))</f>
        <v>0</v>
      </c>
      <c r="T106" s="232">
        <f>INDEX('Prop. prices'!$I$8:$AB$82,MATCH('Tariff schedule'!$C106,'Prop. prices'!$C$8:$C$82,0),MATCH('Tariff schedule'!T$16,'Prop. prices'!$I$5:$AB$5,0))</f>
        <v>0</v>
      </c>
      <c r="U106" s="232">
        <f>INDEX('Prop. prices'!$I$8:$AB$82,MATCH('Tariff schedule'!$C106,'Prop. prices'!$C$8:$C$82,0),MATCH('Tariff schedule'!U$16,'Prop. prices'!$I$5:$AB$5,0))</f>
        <v>0</v>
      </c>
      <c r="V106" s="232">
        <f>INDEX('Prop. prices'!$I$8:$AB$82,MATCH('Tariff schedule'!$C106,'Prop. prices'!$C$8:$C$82,0),MATCH('Tariff schedule'!V$16,'Prop. prices'!$I$5:$AB$5,0))</f>
        <v>0</v>
      </c>
      <c r="W106" s="232">
        <f>INDEX('Prop. prices'!$I$8:$AB$82,MATCH('Tariff schedule'!$C106,'Prop. prices'!$C$8:$C$82,0),MATCH('Tariff schedule'!W$16,'Prop. prices'!$I$5:$AB$5,0))</f>
        <v>0</v>
      </c>
      <c r="X106" s="232">
        <f>INDEX('Prop. prices'!$I$8:$AB$82,MATCH('Tariff schedule'!$C106,'Prop. prices'!$C$8:$C$82,0),MATCH('Tariff schedule'!X$16,'Prop. prices'!$I$5:$AB$5,0))</f>
        <v>0</v>
      </c>
      <c r="Y106" s="232">
        <f>INDEX('Prop. prices'!$I$8:$AB$82,MATCH('Tariff schedule'!$C106,'Prop. prices'!$C$8:$C$82,0),MATCH('Tariff schedule'!Y$16,'Prop. prices'!$I$5:$AB$5,0))</f>
        <v>0</v>
      </c>
      <c r="Z106" s="232">
        <f>INDEX('Prop. prices'!$I$8:$AB$82,MATCH('Tariff schedule'!$C106,'Prop. prices'!$C$8:$C$82,0),MATCH('Tariff schedule'!Z$16,'Prop. prices'!$I$5:$AB$5,0))</f>
        <v>0</v>
      </c>
      <c r="AA106" s="232">
        <f>INDEX('Prop. prices'!$I$8:$AB$82,MATCH('Tariff schedule'!$C106,'Prop. prices'!$C$8:$C$82,0),MATCH('Tariff schedule'!AA$16,'Prop. prices'!$I$5:$AB$5,0))</f>
        <v>0</v>
      </c>
      <c r="AB106" s="232">
        <f>INDEX('Prop. prices'!$I$8:$AB$82,MATCH('Tariff schedule'!$C106,'Prop. prices'!$C$8:$C$82,0),MATCH('Tariff schedule'!AB$16,'Prop. prices'!$I$5:$AB$5,0))</f>
        <v>0</v>
      </c>
      <c r="AC106" s="70"/>
      <c r="AD106" s="19"/>
      <c r="AE106" s="19"/>
      <c r="AF106" s="19"/>
      <c r="AG106" s="19"/>
    </row>
    <row r="107" spans="1:33" outlineLevel="2" x14ac:dyDescent="0.2">
      <c r="A107" s="19"/>
      <c r="B107" s="19"/>
      <c r="C107" s="506" t="str">
        <f t="shared" ref="C107:G116" si="76">C29</f>
        <v>Large business kVA demand</v>
      </c>
      <c r="D107" s="505" t="str">
        <f t="shared" si="76"/>
        <v>Large Business LV</v>
      </c>
      <c r="E107" s="505" t="str">
        <f t="shared" si="76"/>
        <v>TAS82</v>
      </c>
      <c r="F107" s="505">
        <f t="shared" si="76"/>
        <v>0</v>
      </c>
      <c r="G107" s="505">
        <f t="shared" si="76"/>
        <v>0</v>
      </c>
      <c r="H107" s="58"/>
      <c r="I107" s="232">
        <f>INDEX('Prop. prices'!$I$8:$AB$82,MATCH('Tariff schedule'!$C107,'Prop. prices'!$C$8:$C$82,0),MATCH('Tariff schedule'!I$16,'Prop. prices'!$I$5:$AB$5,0))</f>
        <v>362.53100000000001</v>
      </c>
      <c r="J107" s="232">
        <f>INDEX('Prop. prices'!$I$8:$AB$82,MATCH('Tariff schedule'!$C107,'Prop. prices'!$C$8:$C$82,0),MATCH('Tariff schedule'!J$16,'Prop. prices'!$I$5:$AB$5,0))</f>
        <v>1.748</v>
      </c>
      <c r="K107" s="232">
        <f>INDEX('Prop. prices'!$I$8:$AB$82,MATCH('Tariff schedule'!$C107,'Prop. prices'!$C$8:$C$82,0),MATCH('Tariff schedule'!K$16,'Prop. prices'!$I$5:$AB$5,0))</f>
        <v>0</v>
      </c>
      <c r="L107" s="232">
        <f>INDEX('Prop. prices'!$I$8:$AB$82,MATCH('Tariff schedule'!$C107,'Prop. prices'!$C$8:$C$82,0),MATCH('Tariff schedule'!L$16,'Prop. prices'!$I$5:$AB$5,0))</f>
        <v>0</v>
      </c>
      <c r="M107" s="232">
        <f>INDEX('Prop. prices'!$I$8:$AB$82,MATCH('Tariff schedule'!$C107,'Prop. prices'!$C$8:$C$82,0),MATCH('Tariff schedule'!M$16,'Prop. prices'!$I$5:$AB$5,0))</f>
        <v>0</v>
      </c>
      <c r="N107" s="232">
        <f>INDEX('Prop. prices'!$I$8:$AB$82,MATCH('Tariff schedule'!$C107,'Prop. prices'!$C$8:$C$82,0),MATCH('Tariff schedule'!N$16,'Prop. prices'!$I$5:$AB$5,0))</f>
        <v>20.864999999999998</v>
      </c>
      <c r="O107" s="232">
        <f>INDEX('Prop. prices'!$I$8:$AB$82,MATCH('Tariff schedule'!$C107,'Prop. prices'!$C$8:$C$82,0),MATCH('Tariff schedule'!O$16,'Prop. prices'!$I$5:$AB$5,0))</f>
        <v>0</v>
      </c>
      <c r="P107" s="232">
        <f>INDEX('Prop. prices'!$I$8:$AB$82,MATCH('Tariff schedule'!$C107,'Prop. prices'!$C$8:$C$82,0),MATCH('Tariff schedule'!P$16,'Prop. prices'!$I$5:$AB$5,0))</f>
        <v>0</v>
      </c>
      <c r="Q107" s="232">
        <f>INDEX('Prop. prices'!$I$8:$AB$82,MATCH('Tariff schedule'!$C107,'Prop. prices'!$C$8:$C$82,0),MATCH('Tariff schedule'!Q$16,'Prop. prices'!$I$5:$AB$5,0))</f>
        <v>0</v>
      </c>
      <c r="R107" s="232">
        <f>INDEX('Prop. prices'!$I$8:$AB$82,MATCH('Tariff schedule'!$C107,'Prop. prices'!$C$8:$C$82,0),MATCH('Tariff schedule'!R$16,'Prop. prices'!$I$5:$AB$5,0))</f>
        <v>0</v>
      </c>
      <c r="S107" s="232">
        <f>INDEX('Prop. prices'!$I$8:$AB$82,MATCH('Tariff schedule'!$C107,'Prop. prices'!$C$8:$C$82,0),MATCH('Tariff schedule'!S$16,'Prop. prices'!$I$5:$AB$5,0))</f>
        <v>0</v>
      </c>
      <c r="T107" s="232">
        <f>INDEX('Prop. prices'!$I$8:$AB$82,MATCH('Tariff schedule'!$C107,'Prop. prices'!$C$8:$C$82,0),MATCH('Tariff schedule'!T$16,'Prop. prices'!$I$5:$AB$5,0))</f>
        <v>0</v>
      </c>
      <c r="U107" s="232">
        <f>INDEX('Prop. prices'!$I$8:$AB$82,MATCH('Tariff schedule'!$C107,'Prop. prices'!$C$8:$C$82,0),MATCH('Tariff schedule'!U$16,'Prop. prices'!$I$5:$AB$5,0))</f>
        <v>0</v>
      </c>
      <c r="V107" s="232">
        <f>INDEX('Prop. prices'!$I$8:$AB$82,MATCH('Tariff schedule'!$C107,'Prop. prices'!$C$8:$C$82,0),MATCH('Tariff schedule'!V$16,'Prop. prices'!$I$5:$AB$5,0))</f>
        <v>0</v>
      </c>
      <c r="W107" s="232">
        <f>INDEX('Prop. prices'!$I$8:$AB$82,MATCH('Tariff schedule'!$C107,'Prop. prices'!$C$8:$C$82,0),MATCH('Tariff schedule'!W$16,'Prop. prices'!$I$5:$AB$5,0))</f>
        <v>0</v>
      </c>
      <c r="X107" s="232">
        <f>INDEX('Prop. prices'!$I$8:$AB$82,MATCH('Tariff schedule'!$C107,'Prop. prices'!$C$8:$C$82,0),MATCH('Tariff schedule'!X$16,'Prop. prices'!$I$5:$AB$5,0))</f>
        <v>0</v>
      </c>
      <c r="Y107" s="232">
        <f>INDEX('Prop. prices'!$I$8:$AB$82,MATCH('Tariff schedule'!$C107,'Prop. prices'!$C$8:$C$82,0),MATCH('Tariff schedule'!Y$16,'Prop. prices'!$I$5:$AB$5,0))</f>
        <v>0</v>
      </c>
      <c r="Z107" s="232">
        <f>INDEX('Prop. prices'!$I$8:$AB$82,MATCH('Tariff schedule'!$C107,'Prop. prices'!$C$8:$C$82,0),MATCH('Tariff schedule'!Z$16,'Prop. prices'!$I$5:$AB$5,0))</f>
        <v>0</v>
      </c>
      <c r="AA107" s="232">
        <f>INDEX('Prop. prices'!$I$8:$AB$82,MATCH('Tariff schedule'!$C107,'Prop. prices'!$C$8:$C$82,0),MATCH('Tariff schedule'!AA$16,'Prop. prices'!$I$5:$AB$5,0))</f>
        <v>0</v>
      </c>
      <c r="AB107" s="232">
        <f>INDEX('Prop. prices'!$I$8:$AB$82,MATCH('Tariff schedule'!$C107,'Prop. prices'!$C$8:$C$82,0),MATCH('Tariff schedule'!AB$16,'Prop. prices'!$I$5:$AB$5,0))</f>
        <v>0</v>
      </c>
      <c r="AC107" s="70"/>
      <c r="AD107" s="19"/>
      <c r="AE107" s="19"/>
      <c r="AF107" s="19"/>
      <c r="AG107" s="19"/>
    </row>
    <row r="108" spans="1:33" outlineLevel="2" x14ac:dyDescent="0.2">
      <c r="A108" s="19"/>
      <c r="B108" s="19"/>
      <c r="C108" s="506" t="str">
        <f t="shared" si="76"/>
        <v>Large business time of use demand</v>
      </c>
      <c r="D108" s="505" t="str">
        <f t="shared" si="76"/>
        <v>Large Business LV</v>
      </c>
      <c r="E108" s="505" t="str">
        <f t="shared" si="76"/>
        <v>TAS89</v>
      </c>
      <c r="F108" s="505">
        <f t="shared" si="76"/>
        <v>0</v>
      </c>
      <c r="G108" s="505">
        <f t="shared" si="76"/>
        <v>0</v>
      </c>
      <c r="H108" s="58"/>
      <c r="I108" s="232">
        <f>INDEX('Prop. prices'!$I$8:$AB$82,MATCH('Tariff schedule'!$C108,'Prop. prices'!$C$8:$C$82,0),MATCH('Tariff schedule'!I$16,'Prop. prices'!$I$5:$AB$5,0))</f>
        <v>510.70499999999998</v>
      </c>
      <c r="J108" s="232">
        <f>INDEX('Prop. prices'!$I$8:$AB$82,MATCH('Tariff schedule'!$C108,'Prop. prices'!$C$8:$C$82,0),MATCH('Tariff schedule'!J$16,'Prop. prices'!$I$5:$AB$5,0))</f>
        <v>0</v>
      </c>
      <c r="K108" s="232">
        <f>INDEX('Prop. prices'!$I$8:$AB$82,MATCH('Tariff schedule'!$C108,'Prop. prices'!$C$8:$C$82,0),MATCH('Tariff schedule'!K$16,'Prop. prices'!$I$5:$AB$5,0))</f>
        <v>0</v>
      </c>
      <c r="L108" s="232">
        <f>INDEX('Prop. prices'!$I$8:$AB$82,MATCH('Tariff schedule'!$C108,'Prop. prices'!$C$8:$C$82,0),MATCH('Tariff schedule'!L$16,'Prop. prices'!$I$5:$AB$5,0))</f>
        <v>0</v>
      </c>
      <c r="M108" s="232">
        <f>INDEX('Prop. prices'!$I$8:$AB$82,MATCH('Tariff schedule'!$C108,'Prop. prices'!$C$8:$C$82,0),MATCH('Tariff schedule'!M$16,'Prop. prices'!$I$5:$AB$5,0))</f>
        <v>0</v>
      </c>
      <c r="N108" s="232">
        <f>INDEX('Prop. prices'!$I$8:$AB$82,MATCH('Tariff schedule'!$C108,'Prop. prices'!$C$8:$C$82,0),MATCH('Tariff schedule'!N$16,'Prop. prices'!$I$5:$AB$5,0))</f>
        <v>0</v>
      </c>
      <c r="O108" s="232">
        <f>INDEX('Prop. prices'!$I$8:$AB$82,MATCH('Tariff schedule'!$C108,'Prop. prices'!$C$8:$C$82,0),MATCH('Tariff schedule'!O$16,'Prop. prices'!$I$5:$AB$5,0))</f>
        <v>26.035</v>
      </c>
      <c r="P108" s="232">
        <f>INDEX('Prop. prices'!$I$8:$AB$82,MATCH('Tariff schedule'!$C108,'Prop. prices'!$C$8:$C$82,0),MATCH('Tariff schedule'!P$16,'Prop. prices'!$I$5:$AB$5,0))</f>
        <v>8.67</v>
      </c>
      <c r="Q108" s="232">
        <f>INDEX('Prop. prices'!$I$8:$AB$82,MATCH('Tariff schedule'!$C108,'Prop. prices'!$C$8:$C$82,0),MATCH('Tariff schedule'!Q$16,'Prop. prices'!$I$5:$AB$5,0))</f>
        <v>0</v>
      </c>
      <c r="R108" s="232">
        <f>INDEX('Prop. prices'!$I$8:$AB$82,MATCH('Tariff schedule'!$C108,'Prop. prices'!$C$8:$C$82,0),MATCH('Tariff schedule'!R$16,'Prop. prices'!$I$5:$AB$5,0))</f>
        <v>0</v>
      </c>
      <c r="S108" s="232">
        <f>INDEX('Prop. prices'!$I$8:$AB$82,MATCH('Tariff schedule'!$C108,'Prop. prices'!$C$8:$C$82,0),MATCH('Tariff schedule'!S$16,'Prop. prices'!$I$5:$AB$5,0))</f>
        <v>0</v>
      </c>
      <c r="T108" s="232">
        <f>INDEX('Prop. prices'!$I$8:$AB$82,MATCH('Tariff schedule'!$C108,'Prop. prices'!$C$8:$C$82,0),MATCH('Tariff schedule'!T$16,'Prop. prices'!$I$5:$AB$5,0))</f>
        <v>0</v>
      </c>
      <c r="U108" s="232">
        <f>INDEX('Prop. prices'!$I$8:$AB$82,MATCH('Tariff schedule'!$C108,'Prop. prices'!$C$8:$C$82,0),MATCH('Tariff schedule'!U$16,'Prop. prices'!$I$5:$AB$5,0))</f>
        <v>0</v>
      </c>
      <c r="V108" s="232">
        <f>INDEX('Prop. prices'!$I$8:$AB$82,MATCH('Tariff schedule'!$C108,'Prop. prices'!$C$8:$C$82,0),MATCH('Tariff schedule'!V$16,'Prop. prices'!$I$5:$AB$5,0))</f>
        <v>0</v>
      </c>
      <c r="W108" s="232">
        <f>INDEX('Prop. prices'!$I$8:$AB$82,MATCH('Tariff schedule'!$C108,'Prop. prices'!$C$8:$C$82,0),MATCH('Tariff schedule'!W$16,'Prop. prices'!$I$5:$AB$5,0))</f>
        <v>0</v>
      </c>
      <c r="X108" s="232">
        <f>INDEX('Prop. prices'!$I$8:$AB$82,MATCH('Tariff schedule'!$C108,'Prop. prices'!$C$8:$C$82,0),MATCH('Tariff schedule'!X$16,'Prop. prices'!$I$5:$AB$5,0))</f>
        <v>0</v>
      </c>
      <c r="Y108" s="232">
        <f>INDEX('Prop. prices'!$I$8:$AB$82,MATCH('Tariff schedule'!$C108,'Prop. prices'!$C$8:$C$82,0),MATCH('Tariff schedule'!Y$16,'Prop. prices'!$I$5:$AB$5,0))</f>
        <v>0</v>
      </c>
      <c r="Z108" s="232">
        <f>INDEX('Prop. prices'!$I$8:$AB$82,MATCH('Tariff schedule'!$C108,'Prop. prices'!$C$8:$C$82,0),MATCH('Tariff schedule'!Z$16,'Prop. prices'!$I$5:$AB$5,0))</f>
        <v>0</v>
      </c>
      <c r="AA108" s="232">
        <f>INDEX('Prop. prices'!$I$8:$AB$82,MATCH('Tariff schedule'!$C108,'Prop. prices'!$C$8:$C$82,0),MATCH('Tariff schedule'!AA$16,'Prop. prices'!$I$5:$AB$5,0))</f>
        <v>0</v>
      </c>
      <c r="AB108" s="232">
        <f>INDEX('Prop. prices'!$I$8:$AB$82,MATCH('Tariff schedule'!$C108,'Prop. prices'!$C$8:$C$82,0),MATCH('Tariff schedule'!AB$16,'Prop. prices'!$I$5:$AB$5,0))</f>
        <v>0</v>
      </c>
      <c r="AC108" s="70"/>
      <c r="AD108" s="19"/>
      <c r="AE108" s="19"/>
      <c r="AF108" s="19"/>
      <c r="AG108" s="19"/>
    </row>
    <row r="109" spans="1:33" outlineLevel="2" x14ac:dyDescent="0.2">
      <c r="A109" s="19"/>
      <c r="B109" s="19"/>
      <c r="C109" s="506" t="str">
        <f t="shared" si="76"/>
        <v>Irrigation time of use consumption</v>
      </c>
      <c r="D109" s="505" t="str">
        <f t="shared" si="76"/>
        <v>Irrigation</v>
      </c>
      <c r="E109" s="505" t="str">
        <f t="shared" si="76"/>
        <v>TAS75</v>
      </c>
      <c r="F109" s="505">
        <f t="shared" si="76"/>
        <v>0</v>
      </c>
      <c r="G109" s="505">
        <f t="shared" si="76"/>
        <v>0</v>
      </c>
      <c r="H109" s="58"/>
      <c r="I109" s="232">
        <f>INDEX('Prop. prices'!$I$8:$AB$82,MATCH('Tariff schedule'!$C109,'Prop. prices'!$C$8:$C$82,0),MATCH('Tariff schedule'!I$16,'Prop. prices'!$I$5:$AB$5,0))</f>
        <v>259.733</v>
      </c>
      <c r="J109" s="232">
        <f>INDEX('Prop. prices'!$I$8:$AB$82,MATCH('Tariff schedule'!$C109,'Prop. prices'!$C$8:$C$82,0),MATCH('Tariff schedule'!J$16,'Prop. prices'!$I$5:$AB$5,0))</f>
        <v>0</v>
      </c>
      <c r="K109" s="232">
        <f>INDEX('Prop. prices'!$I$8:$AB$82,MATCH('Tariff schedule'!$C109,'Prop. prices'!$C$8:$C$82,0),MATCH('Tariff schedule'!K$16,'Prop. prices'!$I$5:$AB$5,0))</f>
        <v>7.37</v>
      </c>
      <c r="L109" s="232">
        <f>INDEX('Prop. prices'!$I$8:$AB$82,MATCH('Tariff schedule'!$C109,'Prop. prices'!$C$8:$C$82,0),MATCH('Tariff schedule'!L$16,'Prop. prices'!$I$5:$AB$5,0))</f>
        <v>4.4219999999999997</v>
      </c>
      <c r="M109" s="232">
        <f>INDEX('Prop. prices'!$I$8:$AB$82,MATCH('Tariff schedule'!$C109,'Prop. prices'!$C$8:$C$82,0),MATCH('Tariff schedule'!M$16,'Prop. prices'!$I$5:$AB$5,0))</f>
        <v>1.1060000000000001</v>
      </c>
      <c r="N109" s="232">
        <f>INDEX('Prop. prices'!$I$8:$AB$82,MATCH('Tariff schedule'!$C109,'Prop. prices'!$C$8:$C$82,0),MATCH('Tariff schedule'!N$16,'Prop. prices'!$I$5:$AB$5,0))</f>
        <v>0</v>
      </c>
      <c r="O109" s="232">
        <f>INDEX('Prop. prices'!$I$8:$AB$82,MATCH('Tariff schedule'!$C109,'Prop. prices'!$C$8:$C$82,0),MATCH('Tariff schedule'!O$16,'Prop. prices'!$I$5:$AB$5,0))</f>
        <v>0</v>
      </c>
      <c r="P109" s="232">
        <f>INDEX('Prop. prices'!$I$8:$AB$82,MATCH('Tariff schedule'!$C109,'Prop. prices'!$C$8:$C$82,0),MATCH('Tariff schedule'!P$16,'Prop. prices'!$I$5:$AB$5,0))</f>
        <v>0</v>
      </c>
      <c r="Q109" s="232">
        <f>INDEX('Prop. prices'!$I$8:$AB$82,MATCH('Tariff schedule'!$C109,'Prop. prices'!$C$8:$C$82,0),MATCH('Tariff schedule'!Q$16,'Prop. prices'!$I$5:$AB$5,0))</f>
        <v>0</v>
      </c>
      <c r="R109" s="232">
        <f>INDEX('Prop. prices'!$I$8:$AB$82,MATCH('Tariff schedule'!$C109,'Prop. prices'!$C$8:$C$82,0),MATCH('Tariff schedule'!R$16,'Prop. prices'!$I$5:$AB$5,0))</f>
        <v>0</v>
      </c>
      <c r="S109" s="232">
        <f>INDEX('Prop. prices'!$I$8:$AB$82,MATCH('Tariff schedule'!$C109,'Prop. prices'!$C$8:$C$82,0),MATCH('Tariff schedule'!S$16,'Prop. prices'!$I$5:$AB$5,0))</f>
        <v>0</v>
      </c>
      <c r="T109" s="232">
        <f>INDEX('Prop. prices'!$I$8:$AB$82,MATCH('Tariff schedule'!$C109,'Prop. prices'!$C$8:$C$82,0),MATCH('Tariff schedule'!T$16,'Prop. prices'!$I$5:$AB$5,0))</f>
        <v>0</v>
      </c>
      <c r="U109" s="232">
        <f>INDEX('Prop. prices'!$I$8:$AB$82,MATCH('Tariff schedule'!$C109,'Prop. prices'!$C$8:$C$82,0),MATCH('Tariff schedule'!U$16,'Prop. prices'!$I$5:$AB$5,0))</f>
        <v>0</v>
      </c>
      <c r="V109" s="232">
        <f>INDEX('Prop. prices'!$I$8:$AB$82,MATCH('Tariff schedule'!$C109,'Prop. prices'!$C$8:$C$82,0),MATCH('Tariff schedule'!V$16,'Prop. prices'!$I$5:$AB$5,0))</f>
        <v>0</v>
      </c>
      <c r="W109" s="232">
        <f>INDEX('Prop. prices'!$I$8:$AB$82,MATCH('Tariff schedule'!$C109,'Prop. prices'!$C$8:$C$82,0),MATCH('Tariff schedule'!W$16,'Prop. prices'!$I$5:$AB$5,0))</f>
        <v>0</v>
      </c>
      <c r="X109" s="232">
        <f>INDEX('Prop. prices'!$I$8:$AB$82,MATCH('Tariff schedule'!$C109,'Prop. prices'!$C$8:$C$82,0),MATCH('Tariff schedule'!X$16,'Prop. prices'!$I$5:$AB$5,0))</f>
        <v>0</v>
      </c>
      <c r="Y109" s="232">
        <f>INDEX('Prop. prices'!$I$8:$AB$82,MATCH('Tariff schedule'!$C109,'Prop. prices'!$C$8:$C$82,0),MATCH('Tariff schedule'!Y$16,'Prop. prices'!$I$5:$AB$5,0))</f>
        <v>0</v>
      </c>
      <c r="Z109" s="232">
        <f>INDEX('Prop. prices'!$I$8:$AB$82,MATCH('Tariff schedule'!$C109,'Prop. prices'!$C$8:$C$82,0),MATCH('Tariff schedule'!Z$16,'Prop. prices'!$I$5:$AB$5,0))</f>
        <v>0</v>
      </c>
      <c r="AA109" s="232">
        <f>INDEX('Prop. prices'!$I$8:$AB$82,MATCH('Tariff schedule'!$C109,'Prop. prices'!$C$8:$C$82,0),MATCH('Tariff schedule'!AA$16,'Prop. prices'!$I$5:$AB$5,0))</f>
        <v>0</v>
      </c>
      <c r="AB109" s="232">
        <f>INDEX('Prop. prices'!$I$8:$AB$82,MATCH('Tariff schedule'!$C109,'Prop. prices'!$C$8:$C$82,0),MATCH('Tariff schedule'!AB$16,'Prop. prices'!$I$5:$AB$5,0))</f>
        <v>0</v>
      </c>
      <c r="AC109" s="70"/>
      <c r="AD109" s="19"/>
      <c r="AE109" s="19"/>
      <c r="AF109" s="19"/>
      <c r="AG109" s="19"/>
    </row>
    <row r="110" spans="1:33" outlineLevel="2" x14ac:dyDescent="0.2">
      <c r="A110" s="19"/>
      <c r="B110" s="19"/>
      <c r="C110" s="506" t="str">
        <f t="shared" si="76"/>
        <v>Business HV kVA specified demand &lt;2MVA</v>
      </c>
      <c r="D110" s="505" t="str">
        <f t="shared" si="76"/>
        <v>Large Business HV</v>
      </c>
      <c r="E110" s="505" t="str">
        <f t="shared" si="76"/>
        <v>TASSDM</v>
      </c>
      <c r="F110" s="505">
        <f t="shared" si="76"/>
        <v>0</v>
      </c>
      <c r="G110" s="505">
        <f t="shared" si="76"/>
        <v>0</v>
      </c>
      <c r="H110" s="58"/>
      <c r="I110" s="232">
        <f>INDEX('Prop. prices'!$I$8:$AB$82,MATCH('Tariff schedule'!$C110,'Prop. prices'!$C$8:$C$82,0),MATCH('Tariff schedule'!I$16,'Prop. prices'!$I$5:$AB$5,0))</f>
        <v>366.03300000000002</v>
      </c>
      <c r="J110" s="232">
        <f>INDEX('Prop. prices'!$I$8:$AB$82,MATCH('Tariff schedule'!$C110,'Prop. prices'!$C$8:$C$82,0),MATCH('Tariff schedule'!J$16,'Prop. prices'!$I$5:$AB$5,0))</f>
        <v>0</v>
      </c>
      <c r="K110" s="232">
        <f>INDEX('Prop. prices'!$I$8:$AB$82,MATCH('Tariff schedule'!$C110,'Prop. prices'!$C$8:$C$82,0),MATCH('Tariff schedule'!K$16,'Prop. prices'!$I$5:$AB$5,0))</f>
        <v>0.30299999999999999</v>
      </c>
      <c r="L110" s="232">
        <f>INDEX('Prop. prices'!$I$8:$AB$82,MATCH('Tariff schedule'!$C110,'Prop. prices'!$C$8:$C$82,0),MATCH('Tariff schedule'!L$16,'Prop. prices'!$I$5:$AB$5,0))</f>
        <v>0.182</v>
      </c>
      <c r="M110" s="232">
        <f>INDEX('Prop. prices'!$I$8:$AB$82,MATCH('Tariff schedule'!$C110,'Prop. prices'!$C$8:$C$82,0),MATCH('Tariff schedule'!M$16,'Prop. prices'!$I$5:$AB$5,0))</f>
        <v>4.4999999999999998E-2</v>
      </c>
      <c r="N110" s="232">
        <f>INDEX('Prop. prices'!$I$8:$AB$82,MATCH('Tariff schedule'!$C110,'Prop. prices'!$C$8:$C$82,0),MATCH('Tariff schedule'!N$16,'Prop. prices'!$I$5:$AB$5,0))</f>
        <v>0</v>
      </c>
      <c r="O110" s="232">
        <f>INDEX('Prop. prices'!$I$8:$AB$82,MATCH('Tariff schedule'!$C110,'Prop. prices'!$C$8:$C$82,0),MATCH('Tariff schedule'!O$16,'Prop. prices'!$I$5:$AB$5,0))</f>
        <v>0</v>
      </c>
      <c r="P110" s="232">
        <f>INDEX('Prop. prices'!$I$8:$AB$82,MATCH('Tariff schedule'!$C110,'Prop. prices'!$C$8:$C$82,0),MATCH('Tariff schedule'!P$16,'Prop. prices'!$I$5:$AB$5,0))</f>
        <v>0</v>
      </c>
      <c r="Q110" s="232">
        <f>INDEX('Prop. prices'!$I$8:$AB$82,MATCH('Tariff schedule'!$C110,'Prop. prices'!$C$8:$C$82,0),MATCH('Tariff schedule'!Q$16,'Prop. prices'!$I$5:$AB$5,0))</f>
        <v>15.811999999999999</v>
      </c>
      <c r="R110" s="232">
        <f>INDEX('Prop. prices'!$I$8:$AB$82,MATCH('Tariff schedule'!$C110,'Prop. prices'!$C$8:$C$82,0),MATCH('Tariff schedule'!R$16,'Prop. prices'!$I$5:$AB$5,0))</f>
        <v>158.12</v>
      </c>
      <c r="S110" s="232">
        <f>INDEX('Prop. prices'!$I$8:$AB$82,MATCH('Tariff schedule'!$C110,'Prop. prices'!$C$8:$C$82,0),MATCH('Tariff schedule'!S$16,'Prop. prices'!$I$5:$AB$5,0))</f>
        <v>0</v>
      </c>
      <c r="T110" s="232">
        <f>INDEX('Prop. prices'!$I$8:$AB$82,MATCH('Tariff schedule'!$C110,'Prop. prices'!$C$8:$C$82,0),MATCH('Tariff schedule'!T$16,'Prop. prices'!$I$5:$AB$5,0))</f>
        <v>0</v>
      </c>
      <c r="U110" s="232">
        <f>INDEX('Prop. prices'!$I$8:$AB$82,MATCH('Tariff schedule'!$C110,'Prop. prices'!$C$8:$C$82,0),MATCH('Tariff schedule'!U$16,'Prop. prices'!$I$5:$AB$5,0))</f>
        <v>0</v>
      </c>
      <c r="V110" s="232">
        <f>INDEX('Prop. prices'!$I$8:$AB$82,MATCH('Tariff schedule'!$C110,'Prop. prices'!$C$8:$C$82,0),MATCH('Tariff schedule'!V$16,'Prop. prices'!$I$5:$AB$5,0))</f>
        <v>0</v>
      </c>
      <c r="W110" s="232">
        <f>INDEX('Prop. prices'!$I$8:$AB$82,MATCH('Tariff schedule'!$C110,'Prop. prices'!$C$8:$C$82,0),MATCH('Tariff schedule'!W$16,'Prop. prices'!$I$5:$AB$5,0))</f>
        <v>0</v>
      </c>
      <c r="X110" s="232">
        <f>INDEX('Prop. prices'!$I$8:$AB$82,MATCH('Tariff schedule'!$C110,'Prop. prices'!$C$8:$C$82,0),MATCH('Tariff schedule'!X$16,'Prop. prices'!$I$5:$AB$5,0))</f>
        <v>0</v>
      </c>
      <c r="Y110" s="232">
        <f>INDEX('Prop. prices'!$I$8:$AB$82,MATCH('Tariff schedule'!$C110,'Prop. prices'!$C$8:$C$82,0),MATCH('Tariff schedule'!Y$16,'Prop. prices'!$I$5:$AB$5,0))</f>
        <v>0</v>
      </c>
      <c r="Z110" s="232">
        <f>INDEX('Prop. prices'!$I$8:$AB$82,MATCH('Tariff schedule'!$C110,'Prop. prices'!$C$8:$C$82,0),MATCH('Tariff schedule'!Z$16,'Prop. prices'!$I$5:$AB$5,0))</f>
        <v>0</v>
      </c>
      <c r="AA110" s="232">
        <f>INDEX('Prop. prices'!$I$8:$AB$82,MATCH('Tariff schedule'!$C110,'Prop. prices'!$C$8:$C$82,0),MATCH('Tariff schedule'!AA$16,'Prop. prices'!$I$5:$AB$5,0))</f>
        <v>0</v>
      </c>
      <c r="AB110" s="232">
        <f>INDEX('Prop. prices'!$I$8:$AB$82,MATCH('Tariff schedule'!$C110,'Prop. prices'!$C$8:$C$82,0),MATCH('Tariff schedule'!AB$16,'Prop. prices'!$I$5:$AB$5,0))</f>
        <v>0</v>
      </c>
      <c r="AC110" s="70"/>
      <c r="AD110" s="19"/>
      <c r="AE110" s="19"/>
      <c r="AF110" s="19"/>
      <c r="AG110" s="19"/>
    </row>
    <row r="111" spans="1:33" outlineLevel="2" x14ac:dyDescent="0.2">
      <c r="A111" s="19"/>
      <c r="B111" s="19"/>
      <c r="C111" s="506" t="str">
        <f t="shared" si="76"/>
        <v>Business HV kVA specified demand &gt;2MVA</v>
      </c>
      <c r="D111" s="505" t="str">
        <f t="shared" si="76"/>
        <v>Large Business HV</v>
      </c>
      <c r="E111" s="505" t="str">
        <f t="shared" si="76"/>
        <v>TAS15*</v>
      </c>
      <c r="F111" s="505">
        <f t="shared" si="76"/>
        <v>0</v>
      </c>
      <c r="G111" s="505">
        <f t="shared" si="76"/>
        <v>0</v>
      </c>
      <c r="H111" s="58"/>
      <c r="I111" s="232">
        <f>INDEX('Prop. prices'!$I$8:$AB$82,MATCH('Tariff schedule'!$C111,'Prop. prices'!$C$8:$C$82,0),MATCH('Tariff schedule'!I$16,'Prop. prices'!$I$5:$AB$5,0))</f>
        <v>3004.7</v>
      </c>
      <c r="J111" s="232">
        <f>INDEX('Prop. prices'!$I$8:$AB$82,MATCH('Tariff schedule'!$C111,'Prop. prices'!$C$8:$C$82,0),MATCH('Tariff schedule'!J$16,'Prop. prices'!$I$5:$AB$5,0))</f>
        <v>0</v>
      </c>
      <c r="K111" s="232">
        <f>INDEX('Prop. prices'!$I$8:$AB$82,MATCH('Tariff schedule'!$C111,'Prop. prices'!$C$8:$C$82,0),MATCH('Tariff schedule'!K$16,'Prop. prices'!$I$5:$AB$5,0))</f>
        <v>0.92800000000000005</v>
      </c>
      <c r="L111" s="232">
        <f>INDEX('Prop. prices'!$I$8:$AB$82,MATCH('Tariff schedule'!$C111,'Prop. prices'!$C$8:$C$82,0),MATCH('Tariff schedule'!L$16,'Prop. prices'!$I$5:$AB$5,0))</f>
        <v>0.55700000000000005</v>
      </c>
      <c r="M111" s="232">
        <f>INDEX('Prop. prices'!$I$8:$AB$82,MATCH('Tariff schedule'!$C111,'Prop. prices'!$C$8:$C$82,0),MATCH('Tariff schedule'!M$16,'Prop. prices'!$I$5:$AB$5,0))</f>
        <v>0.13900000000000001</v>
      </c>
      <c r="N111" s="232">
        <f>INDEX('Prop. prices'!$I$8:$AB$82,MATCH('Tariff schedule'!$C111,'Prop. prices'!$C$8:$C$82,0),MATCH('Tariff schedule'!N$16,'Prop. prices'!$I$5:$AB$5,0))</f>
        <v>0</v>
      </c>
      <c r="O111" s="232">
        <f>INDEX('Prop. prices'!$I$8:$AB$82,MATCH('Tariff schedule'!$C111,'Prop. prices'!$C$8:$C$82,0),MATCH('Tariff schedule'!O$16,'Prop. prices'!$I$5:$AB$5,0))</f>
        <v>0</v>
      </c>
      <c r="P111" s="232">
        <f>INDEX('Prop. prices'!$I$8:$AB$82,MATCH('Tariff schedule'!$C111,'Prop. prices'!$C$8:$C$82,0),MATCH('Tariff schedule'!P$16,'Prop. prices'!$I$5:$AB$5,0))</f>
        <v>0</v>
      </c>
      <c r="Q111" s="232">
        <f>INDEX('Prop. prices'!$I$8:$AB$82,MATCH('Tariff schedule'!$C111,'Prop. prices'!$C$8:$C$82,0),MATCH('Tariff schedule'!Q$16,'Prop. prices'!$I$5:$AB$5,0))</f>
        <v>9.2129999999999992</v>
      </c>
      <c r="R111" s="232">
        <f>INDEX('Prop. prices'!$I$8:$AB$82,MATCH('Tariff schedule'!$C111,'Prop. prices'!$C$8:$C$82,0),MATCH('Tariff schedule'!R$16,'Prop. prices'!$I$5:$AB$5,0))</f>
        <v>46.064999999999998</v>
      </c>
      <c r="S111" s="232">
        <f>INDEX('Prop. prices'!$I$8:$AB$82,MATCH('Tariff schedule'!$C111,'Prop. prices'!$C$8:$C$82,0),MATCH('Tariff schedule'!S$16,'Prop. prices'!$I$5:$AB$5,0))</f>
        <v>0.33500000000000002</v>
      </c>
      <c r="T111" s="232">
        <f>INDEX('Prop. prices'!$I$8:$AB$82,MATCH('Tariff schedule'!$C111,'Prop. prices'!$C$8:$C$82,0),MATCH('Tariff schedule'!T$16,'Prop. prices'!$I$5:$AB$5,0))</f>
        <v>1.675</v>
      </c>
      <c r="U111" s="232">
        <f>INDEX('Prop. prices'!$I$8:$AB$82,MATCH('Tariff schedule'!$C111,'Prop. prices'!$C$8:$C$82,0),MATCH('Tariff schedule'!U$16,'Prop. prices'!$I$5:$AB$5,0))</f>
        <v>0</v>
      </c>
      <c r="V111" s="232">
        <f>INDEX('Prop. prices'!$I$8:$AB$82,MATCH('Tariff schedule'!$C111,'Prop. prices'!$C$8:$C$82,0),MATCH('Tariff schedule'!V$16,'Prop. prices'!$I$5:$AB$5,0))</f>
        <v>0</v>
      </c>
      <c r="W111" s="232">
        <f>INDEX('Prop. prices'!$I$8:$AB$82,MATCH('Tariff schedule'!$C111,'Prop. prices'!$C$8:$C$82,0),MATCH('Tariff schedule'!W$16,'Prop. prices'!$I$5:$AB$5,0))</f>
        <v>0</v>
      </c>
      <c r="X111" s="232">
        <f>INDEX('Prop. prices'!$I$8:$AB$82,MATCH('Tariff schedule'!$C111,'Prop. prices'!$C$8:$C$82,0),MATCH('Tariff schedule'!X$16,'Prop. prices'!$I$5:$AB$5,0))</f>
        <v>0</v>
      </c>
      <c r="Y111" s="232">
        <f>INDEX('Prop. prices'!$I$8:$AB$82,MATCH('Tariff schedule'!$C111,'Prop. prices'!$C$8:$C$82,0),MATCH('Tariff schedule'!Y$16,'Prop. prices'!$I$5:$AB$5,0))</f>
        <v>0</v>
      </c>
      <c r="Z111" s="232">
        <f>INDEX('Prop. prices'!$I$8:$AB$82,MATCH('Tariff schedule'!$C111,'Prop. prices'!$C$8:$C$82,0),MATCH('Tariff schedule'!Z$16,'Prop. prices'!$I$5:$AB$5,0))</f>
        <v>0</v>
      </c>
      <c r="AA111" s="232">
        <f>INDEX('Prop. prices'!$I$8:$AB$82,MATCH('Tariff schedule'!$C111,'Prop. prices'!$C$8:$C$82,0),MATCH('Tariff schedule'!AA$16,'Prop. prices'!$I$5:$AB$5,0))</f>
        <v>0</v>
      </c>
      <c r="AB111" s="232">
        <f>INDEX('Prop. prices'!$I$8:$AB$82,MATCH('Tariff schedule'!$C111,'Prop. prices'!$C$8:$C$82,0),MATCH('Tariff schedule'!AB$16,'Prop. prices'!$I$5:$AB$5,0))</f>
        <v>0</v>
      </c>
      <c r="AC111" s="70"/>
      <c r="AD111" s="19"/>
      <c r="AE111" s="19"/>
      <c r="AF111" s="19"/>
      <c r="AG111" s="19"/>
    </row>
    <row r="112" spans="1:33" outlineLevel="2" x14ac:dyDescent="0.2">
      <c r="A112" s="19"/>
      <c r="B112" s="19"/>
      <c r="C112" s="506" t="str">
        <f t="shared" si="76"/>
        <v>Uncontrolled low voltage heating and hot water</v>
      </c>
      <c r="D112" s="505" t="str">
        <f t="shared" si="76"/>
        <v>Uncontrolled energy</v>
      </c>
      <c r="E112" s="505" t="str">
        <f t="shared" si="76"/>
        <v>TAS41</v>
      </c>
      <c r="F112" s="505">
        <f t="shared" si="76"/>
        <v>0</v>
      </c>
      <c r="G112" s="505">
        <f t="shared" si="76"/>
        <v>0</v>
      </c>
      <c r="H112" s="58"/>
      <c r="I112" s="232">
        <f>INDEX('Prop. prices'!$I$8:$AB$82,MATCH('Tariff schedule'!$C112,'Prop. prices'!$C$8:$C$82,0),MATCH('Tariff schedule'!I$16,'Prop. prices'!$I$5:$AB$5,0))</f>
        <v>6.7060000000000004</v>
      </c>
      <c r="J112" s="232">
        <f>INDEX('Prop. prices'!$I$8:$AB$82,MATCH('Tariff schedule'!$C112,'Prop. prices'!$C$8:$C$82,0),MATCH('Tariff schedule'!J$16,'Prop. prices'!$I$5:$AB$5,0))</f>
        <v>3.8580000000000001</v>
      </c>
      <c r="K112" s="232">
        <f>INDEX('Prop. prices'!$I$8:$AB$82,MATCH('Tariff schedule'!$C112,'Prop. prices'!$C$8:$C$82,0),MATCH('Tariff schedule'!K$16,'Prop. prices'!$I$5:$AB$5,0))</f>
        <v>0</v>
      </c>
      <c r="L112" s="232">
        <f>INDEX('Prop. prices'!$I$8:$AB$82,MATCH('Tariff schedule'!$C112,'Prop. prices'!$C$8:$C$82,0),MATCH('Tariff schedule'!L$16,'Prop. prices'!$I$5:$AB$5,0))</f>
        <v>0</v>
      </c>
      <c r="M112" s="232">
        <f>INDEX('Prop. prices'!$I$8:$AB$82,MATCH('Tariff schedule'!$C112,'Prop. prices'!$C$8:$C$82,0),MATCH('Tariff schedule'!M$16,'Prop. prices'!$I$5:$AB$5,0))</f>
        <v>0</v>
      </c>
      <c r="N112" s="232">
        <f>INDEX('Prop. prices'!$I$8:$AB$82,MATCH('Tariff schedule'!$C112,'Prop. prices'!$C$8:$C$82,0),MATCH('Tariff schedule'!N$16,'Prop. prices'!$I$5:$AB$5,0))</f>
        <v>0</v>
      </c>
      <c r="O112" s="232">
        <f>INDEX('Prop. prices'!$I$8:$AB$82,MATCH('Tariff schedule'!$C112,'Prop. prices'!$C$8:$C$82,0),MATCH('Tariff schedule'!O$16,'Prop. prices'!$I$5:$AB$5,0))</f>
        <v>0</v>
      </c>
      <c r="P112" s="232">
        <f>INDEX('Prop. prices'!$I$8:$AB$82,MATCH('Tariff schedule'!$C112,'Prop. prices'!$C$8:$C$82,0),MATCH('Tariff schedule'!P$16,'Prop. prices'!$I$5:$AB$5,0))</f>
        <v>0</v>
      </c>
      <c r="Q112" s="232">
        <f>INDEX('Prop. prices'!$I$8:$AB$82,MATCH('Tariff schedule'!$C112,'Prop. prices'!$C$8:$C$82,0),MATCH('Tariff schedule'!Q$16,'Prop. prices'!$I$5:$AB$5,0))</f>
        <v>0</v>
      </c>
      <c r="R112" s="232">
        <f>INDEX('Prop. prices'!$I$8:$AB$82,MATCH('Tariff schedule'!$C112,'Prop. prices'!$C$8:$C$82,0),MATCH('Tariff schedule'!R$16,'Prop. prices'!$I$5:$AB$5,0))</f>
        <v>0</v>
      </c>
      <c r="S112" s="232">
        <f>INDEX('Prop. prices'!$I$8:$AB$82,MATCH('Tariff schedule'!$C112,'Prop. prices'!$C$8:$C$82,0),MATCH('Tariff schedule'!S$16,'Prop. prices'!$I$5:$AB$5,0))</f>
        <v>0</v>
      </c>
      <c r="T112" s="232">
        <f>INDEX('Prop. prices'!$I$8:$AB$82,MATCH('Tariff schedule'!$C112,'Prop. prices'!$C$8:$C$82,0),MATCH('Tariff schedule'!T$16,'Prop. prices'!$I$5:$AB$5,0))</f>
        <v>0</v>
      </c>
      <c r="U112" s="232">
        <f>INDEX('Prop. prices'!$I$8:$AB$82,MATCH('Tariff schedule'!$C112,'Prop. prices'!$C$8:$C$82,0),MATCH('Tariff schedule'!U$16,'Prop. prices'!$I$5:$AB$5,0))</f>
        <v>0</v>
      </c>
      <c r="V112" s="232">
        <f>INDEX('Prop. prices'!$I$8:$AB$82,MATCH('Tariff schedule'!$C112,'Prop. prices'!$C$8:$C$82,0),MATCH('Tariff schedule'!V$16,'Prop. prices'!$I$5:$AB$5,0))</f>
        <v>0</v>
      </c>
      <c r="W112" s="232">
        <f>INDEX('Prop. prices'!$I$8:$AB$82,MATCH('Tariff schedule'!$C112,'Prop. prices'!$C$8:$C$82,0),MATCH('Tariff schedule'!W$16,'Prop. prices'!$I$5:$AB$5,0))</f>
        <v>0</v>
      </c>
      <c r="X112" s="232">
        <f>INDEX('Prop. prices'!$I$8:$AB$82,MATCH('Tariff schedule'!$C112,'Prop. prices'!$C$8:$C$82,0),MATCH('Tariff schedule'!X$16,'Prop. prices'!$I$5:$AB$5,0))</f>
        <v>0</v>
      </c>
      <c r="Y112" s="232">
        <f>INDEX('Prop. prices'!$I$8:$AB$82,MATCH('Tariff schedule'!$C112,'Prop. prices'!$C$8:$C$82,0),MATCH('Tariff schedule'!Y$16,'Prop. prices'!$I$5:$AB$5,0))</f>
        <v>0</v>
      </c>
      <c r="Z112" s="232">
        <f>INDEX('Prop. prices'!$I$8:$AB$82,MATCH('Tariff schedule'!$C112,'Prop. prices'!$C$8:$C$82,0),MATCH('Tariff schedule'!Z$16,'Prop. prices'!$I$5:$AB$5,0))</f>
        <v>0</v>
      </c>
      <c r="AA112" s="232">
        <f>INDEX('Prop. prices'!$I$8:$AB$82,MATCH('Tariff schedule'!$C112,'Prop. prices'!$C$8:$C$82,0),MATCH('Tariff schedule'!AA$16,'Prop. prices'!$I$5:$AB$5,0))</f>
        <v>0</v>
      </c>
      <c r="AB112" s="232">
        <f>INDEX('Prop. prices'!$I$8:$AB$82,MATCH('Tariff schedule'!$C112,'Prop. prices'!$C$8:$C$82,0),MATCH('Tariff schedule'!AB$16,'Prop. prices'!$I$5:$AB$5,0))</f>
        <v>0</v>
      </c>
      <c r="AC112" s="70"/>
      <c r="AD112" s="19"/>
      <c r="AE112" s="19"/>
      <c r="AF112" s="19"/>
      <c r="AG112" s="19"/>
    </row>
    <row r="113" spans="1:33" outlineLevel="2" x14ac:dyDescent="0.2">
      <c r="A113" s="19"/>
      <c r="B113" s="19"/>
      <c r="C113" s="506" t="str">
        <f t="shared" si="76"/>
        <v>Controlled low voltage night period only</v>
      </c>
      <c r="D113" s="505" t="str">
        <f t="shared" si="76"/>
        <v>Controlled energy</v>
      </c>
      <c r="E113" s="505" t="str">
        <f t="shared" si="76"/>
        <v>TAS63</v>
      </c>
      <c r="F113" s="505">
        <f t="shared" si="76"/>
        <v>0</v>
      </c>
      <c r="G113" s="505">
        <f t="shared" si="76"/>
        <v>0</v>
      </c>
      <c r="H113" s="58"/>
      <c r="I113" s="232">
        <f>INDEX('Prop. prices'!$I$8:$AB$82,MATCH('Tariff schedule'!$C113,'Prop. prices'!$C$8:$C$82,0),MATCH('Tariff schedule'!I$16,'Prop. prices'!$I$5:$AB$5,0))</f>
        <v>12.776999999999999</v>
      </c>
      <c r="J113" s="232">
        <f>INDEX('Prop. prices'!$I$8:$AB$82,MATCH('Tariff schedule'!$C113,'Prop. prices'!$C$8:$C$82,0),MATCH('Tariff schedule'!J$16,'Prop. prices'!$I$5:$AB$5,0))</f>
        <v>0.90600000000000003</v>
      </c>
      <c r="K113" s="232">
        <f>INDEX('Prop. prices'!$I$8:$AB$82,MATCH('Tariff schedule'!$C113,'Prop. prices'!$C$8:$C$82,0),MATCH('Tariff schedule'!K$16,'Prop. prices'!$I$5:$AB$5,0))</f>
        <v>0</v>
      </c>
      <c r="L113" s="232">
        <f>INDEX('Prop. prices'!$I$8:$AB$82,MATCH('Tariff schedule'!$C113,'Prop. prices'!$C$8:$C$82,0),MATCH('Tariff schedule'!L$16,'Prop. prices'!$I$5:$AB$5,0))</f>
        <v>0</v>
      </c>
      <c r="M113" s="232">
        <f>INDEX('Prop. prices'!$I$8:$AB$82,MATCH('Tariff schedule'!$C113,'Prop. prices'!$C$8:$C$82,0),MATCH('Tariff schedule'!M$16,'Prop. prices'!$I$5:$AB$5,0))</f>
        <v>0</v>
      </c>
      <c r="N113" s="232">
        <f>INDEX('Prop. prices'!$I$8:$AB$82,MATCH('Tariff schedule'!$C113,'Prop. prices'!$C$8:$C$82,0),MATCH('Tariff schedule'!N$16,'Prop. prices'!$I$5:$AB$5,0))</f>
        <v>0</v>
      </c>
      <c r="O113" s="232">
        <f>INDEX('Prop. prices'!$I$8:$AB$82,MATCH('Tariff schedule'!$C113,'Prop. prices'!$C$8:$C$82,0),MATCH('Tariff schedule'!O$16,'Prop. prices'!$I$5:$AB$5,0))</f>
        <v>0</v>
      </c>
      <c r="P113" s="232">
        <f>INDEX('Prop. prices'!$I$8:$AB$82,MATCH('Tariff schedule'!$C113,'Prop. prices'!$C$8:$C$82,0),MATCH('Tariff schedule'!P$16,'Prop. prices'!$I$5:$AB$5,0))</f>
        <v>0</v>
      </c>
      <c r="Q113" s="232">
        <f>INDEX('Prop. prices'!$I$8:$AB$82,MATCH('Tariff schedule'!$C113,'Prop. prices'!$C$8:$C$82,0),MATCH('Tariff schedule'!Q$16,'Prop. prices'!$I$5:$AB$5,0))</f>
        <v>0</v>
      </c>
      <c r="R113" s="232">
        <f>INDEX('Prop. prices'!$I$8:$AB$82,MATCH('Tariff schedule'!$C113,'Prop. prices'!$C$8:$C$82,0),MATCH('Tariff schedule'!R$16,'Prop. prices'!$I$5:$AB$5,0))</f>
        <v>0</v>
      </c>
      <c r="S113" s="232">
        <f>INDEX('Prop. prices'!$I$8:$AB$82,MATCH('Tariff schedule'!$C113,'Prop. prices'!$C$8:$C$82,0),MATCH('Tariff schedule'!S$16,'Prop. prices'!$I$5:$AB$5,0))</f>
        <v>0</v>
      </c>
      <c r="T113" s="232">
        <f>INDEX('Prop. prices'!$I$8:$AB$82,MATCH('Tariff schedule'!$C113,'Prop. prices'!$C$8:$C$82,0),MATCH('Tariff schedule'!T$16,'Prop. prices'!$I$5:$AB$5,0))</f>
        <v>0</v>
      </c>
      <c r="U113" s="232">
        <f>INDEX('Prop. prices'!$I$8:$AB$82,MATCH('Tariff schedule'!$C113,'Prop. prices'!$C$8:$C$82,0),MATCH('Tariff schedule'!U$16,'Prop. prices'!$I$5:$AB$5,0))</f>
        <v>0</v>
      </c>
      <c r="V113" s="232">
        <f>INDEX('Prop. prices'!$I$8:$AB$82,MATCH('Tariff schedule'!$C113,'Prop. prices'!$C$8:$C$82,0),MATCH('Tariff schedule'!V$16,'Prop. prices'!$I$5:$AB$5,0))</f>
        <v>0</v>
      </c>
      <c r="W113" s="232">
        <f>INDEX('Prop. prices'!$I$8:$AB$82,MATCH('Tariff schedule'!$C113,'Prop. prices'!$C$8:$C$82,0),MATCH('Tariff schedule'!W$16,'Prop. prices'!$I$5:$AB$5,0))</f>
        <v>0</v>
      </c>
      <c r="X113" s="232">
        <f>INDEX('Prop. prices'!$I$8:$AB$82,MATCH('Tariff schedule'!$C113,'Prop. prices'!$C$8:$C$82,0),MATCH('Tariff schedule'!X$16,'Prop. prices'!$I$5:$AB$5,0))</f>
        <v>0</v>
      </c>
      <c r="Y113" s="232">
        <f>INDEX('Prop. prices'!$I$8:$AB$82,MATCH('Tariff schedule'!$C113,'Prop. prices'!$C$8:$C$82,0),MATCH('Tariff schedule'!Y$16,'Prop. prices'!$I$5:$AB$5,0))</f>
        <v>0</v>
      </c>
      <c r="Z113" s="232">
        <f>INDEX('Prop. prices'!$I$8:$AB$82,MATCH('Tariff schedule'!$C113,'Prop. prices'!$C$8:$C$82,0),MATCH('Tariff schedule'!Z$16,'Prop. prices'!$I$5:$AB$5,0))</f>
        <v>0</v>
      </c>
      <c r="AA113" s="232">
        <f>INDEX('Prop. prices'!$I$8:$AB$82,MATCH('Tariff schedule'!$C113,'Prop. prices'!$C$8:$C$82,0),MATCH('Tariff schedule'!AA$16,'Prop. prices'!$I$5:$AB$5,0))</f>
        <v>0</v>
      </c>
      <c r="AB113" s="232">
        <f>INDEX('Prop. prices'!$I$8:$AB$82,MATCH('Tariff schedule'!$C113,'Prop. prices'!$C$8:$C$82,0),MATCH('Tariff schedule'!AB$16,'Prop. prices'!$I$5:$AB$5,0))</f>
        <v>0</v>
      </c>
      <c r="AC113" s="70"/>
      <c r="AD113" s="19"/>
      <c r="AE113" s="19"/>
      <c r="AF113" s="19"/>
      <c r="AG113" s="19"/>
    </row>
    <row r="114" spans="1:33" outlineLevel="2" x14ac:dyDescent="0.2">
      <c r="A114" s="19"/>
      <c r="B114" s="19"/>
      <c r="C114" s="506" t="str">
        <f t="shared" si="76"/>
        <v>Controlled low voltage off peak with afternoon boost</v>
      </c>
      <c r="D114" s="505" t="str">
        <f t="shared" si="76"/>
        <v>Controlled energy</v>
      </c>
      <c r="E114" s="505" t="str">
        <f t="shared" si="76"/>
        <v>TAS61</v>
      </c>
      <c r="F114" s="505">
        <f t="shared" si="76"/>
        <v>0</v>
      </c>
      <c r="G114" s="505">
        <f t="shared" si="76"/>
        <v>0</v>
      </c>
      <c r="H114" s="58"/>
      <c r="I114" s="232">
        <f>INDEX('Prop. prices'!$I$8:$AB$82,MATCH('Tariff schedule'!$C114,'Prop. prices'!$C$8:$C$82,0),MATCH('Tariff schedule'!I$16,'Prop. prices'!$I$5:$AB$5,0))</f>
        <v>12.776999999999999</v>
      </c>
      <c r="J114" s="232">
        <f>INDEX('Prop. prices'!$I$8:$AB$82,MATCH('Tariff schedule'!$C114,'Prop. prices'!$C$8:$C$82,0),MATCH('Tariff schedule'!J$16,'Prop. prices'!$I$5:$AB$5,0))</f>
        <v>1.008</v>
      </c>
      <c r="K114" s="232">
        <f>INDEX('Prop. prices'!$I$8:$AB$82,MATCH('Tariff schedule'!$C114,'Prop. prices'!$C$8:$C$82,0),MATCH('Tariff schedule'!K$16,'Prop. prices'!$I$5:$AB$5,0))</f>
        <v>0</v>
      </c>
      <c r="L114" s="232">
        <f>INDEX('Prop. prices'!$I$8:$AB$82,MATCH('Tariff schedule'!$C114,'Prop. prices'!$C$8:$C$82,0),MATCH('Tariff schedule'!L$16,'Prop. prices'!$I$5:$AB$5,0))</f>
        <v>0</v>
      </c>
      <c r="M114" s="232">
        <f>INDEX('Prop. prices'!$I$8:$AB$82,MATCH('Tariff schedule'!$C114,'Prop. prices'!$C$8:$C$82,0),MATCH('Tariff schedule'!M$16,'Prop. prices'!$I$5:$AB$5,0))</f>
        <v>0</v>
      </c>
      <c r="N114" s="232">
        <f>INDEX('Prop. prices'!$I$8:$AB$82,MATCH('Tariff schedule'!$C114,'Prop. prices'!$C$8:$C$82,0),MATCH('Tariff schedule'!N$16,'Prop. prices'!$I$5:$AB$5,0))</f>
        <v>0</v>
      </c>
      <c r="O114" s="232">
        <f>INDEX('Prop. prices'!$I$8:$AB$82,MATCH('Tariff schedule'!$C114,'Prop. prices'!$C$8:$C$82,0),MATCH('Tariff schedule'!O$16,'Prop. prices'!$I$5:$AB$5,0))</f>
        <v>0</v>
      </c>
      <c r="P114" s="232">
        <f>INDEX('Prop. prices'!$I$8:$AB$82,MATCH('Tariff schedule'!$C114,'Prop. prices'!$C$8:$C$82,0),MATCH('Tariff schedule'!P$16,'Prop. prices'!$I$5:$AB$5,0))</f>
        <v>0</v>
      </c>
      <c r="Q114" s="232">
        <f>INDEX('Prop. prices'!$I$8:$AB$82,MATCH('Tariff schedule'!$C114,'Prop. prices'!$C$8:$C$82,0),MATCH('Tariff schedule'!Q$16,'Prop. prices'!$I$5:$AB$5,0))</f>
        <v>0</v>
      </c>
      <c r="R114" s="232">
        <f>INDEX('Prop. prices'!$I$8:$AB$82,MATCH('Tariff schedule'!$C114,'Prop. prices'!$C$8:$C$82,0),MATCH('Tariff schedule'!R$16,'Prop. prices'!$I$5:$AB$5,0))</f>
        <v>0</v>
      </c>
      <c r="S114" s="232">
        <f>INDEX('Prop. prices'!$I$8:$AB$82,MATCH('Tariff schedule'!$C114,'Prop. prices'!$C$8:$C$82,0),MATCH('Tariff schedule'!S$16,'Prop. prices'!$I$5:$AB$5,0))</f>
        <v>0</v>
      </c>
      <c r="T114" s="232">
        <f>INDEX('Prop. prices'!$I$8:$AB$82,MATCH('Tariff schedule'!$C114,'Prop. prices'!$C$8:$C$82,0),MATCH('Tariff schedule'!T$16,'Prop. prices'!$I$5:$AB$5,0))</f>
        <v>0</v>
      </c>
      <c r="U114" s="232">
        <f>INDEX('Prop. prices'!$I$8:$AB$82,MATCH('Tariff schedule'!$C114,'Prop. prices'!$C$8:$C$82,0),MATCH('Tariff schedule'!U$16,'Prop. prices'!$I$5:$AB$5,0))</f>
        <v>0</v>
      </c>
      <c r="V114" s="232">
        <f>INDEX('Prop. prices'!$I$8:$AB$82,MATCH('Tariff schedule'!$C114,'Prop. prices'!$C$8:$C$82,0),MATCH('Tariff schedule'!V$16,'Prop. prices'!$I$5:$AB$5,0))</f>
        <v>0</v>
      </c>
      <c r="W114" s="232">
        <f>INDEX('Prop. prices'!$I$8:$AB$82,MATCH('Tariff schedule'!$C114,'Prop. prices'!$C$8:$C$82,0),MATCH('Tariff schedule'!W$16,'Prop. prices'!$I$5:$AB$5,0))</f>
        <v>0</v>
      </c>
      <c r="X114" s="232">
        <f>INDEX('Prop. prices'!$I$8:$AB$82,MATCH('Tariff schedule'!$C114,'Prop. prices'!$C$8:$C$82,0),MATCH('Tariff schedule'!X$16,'Prop. prices'!$I$5:$AB$5,0))</f>
        <v>0</v>
      </c>
      <c r="Y114" s="232">
        <f>INDEX('Prop. prices'!$I$8:$AB$82,MATCH('Tariff schedule'!$C114,'Prop. prices'!$C$8:$C$82,0),MATCH('Tariff schedule'!Y$16,'Prop. prices'!$I$5:$AB$5,0))</f>
        <v>0</v>
      </c>
      <c r="Z114" s="232">
        <f>INDEX('Prop. prices'!$I$8:$AB$82,MATCH('Tariff schedule'!$C114,'Prop. prices'!$C$8:$C$82,0),MATCH('Tariff schedule'!Z$16,'Prop. prices'!$I$5:$AB$5,0))</f>
        <v>0</v>
      </c>
      <c r="AA114" s="232">
        <f>INDEX('Prop. prices'!$I$8:$AB$82,MATCH('Tariff schedule'!$C114,'Prop. prices'!$C$8:$C$82,0),MATCH('Tariff schedule'!AA$16,'Prop. prices'!$I$5:$AB$5,0))</f>
        <v>0</v>
      </c>
      <c r="AB114" s="232">
        <f>INDEX('Prop. prices'!$I$8:$AB$82,MATCH('Tariff schedule'!$C114,'Prop. prices'!$C$8:$C$82,0),MATCH('Tariff schedule'!AB$16,'Prop. prices'!$I$5:$AB$5,0))</f>
        <v>0</v>
      </c>
      <c r="AC114" s="70"/>
      <c r="AD114" s="19"/>
      <c r="AE114" s="19"/>
      <c r="AF114" s="19"/>
      <c r="AG114" s="19"/>
    </row>
    <row r="115" spans="1:33" outlineLevel="2" x14ac:dyDescent="0.2">
      <c r="A115" s="19"/>
      <c r="B115" s="19"/>
      <c r="C115" s="506" t="str">
        <f t="shared" si="76"/>
        <v>Unmetered supply general</v>
      </c>
      <c r="D115" s="505" t="str">
        <f t="shared" si="76"/>
        <v>Unmetered supplies</v>
      </c>
      <c r="E115" s="505" t="str">
        <f t="shared" si="76"/>
        <v>TASUMS</v>
      </c>
      <c r="F115" s="505">
        <f t="shared" si="76"/>
        <v>0</v>
      </c>
      <c r="G115" s="505">
        <f t="shared" si="76"/>
        <v>0</v>
      </c>
      <c r="H115" s="58"/>
      <c r="I115" s="232">
        <f>INDEX('Prop. prices'!$I$8:$AB$82,MATCH('Tariff schedule'!$C115,'Prop. prices'!$C$8:$C$82,0),MATCH('Tariff schedule'!I$16,'Prop. prices'!$I$5:$AB$5,0))</f>
        <v>53.96</v>
      </c>
      <c r="J115" s="232">
        <f>INDEX('Prop. prices'!$I$8:$AB$82,MATCH('Tariff schedule'!$C115,'Prop. prices'!$C$8:$C$82,0),MATCH('Tariff schedule'!J$16,'Prop. prices'!$I$5:$AB$5,0))</f>
        <v>7.8739999999999997</v>
      </c>
      <c r="K115" s="232">
        <f>INDEX('Prop. prices'!$I$8:$AB$82,MATCH('Tariff schedule'!$C115,'Prop. prices'!$C$8:$C$82,0),MATCH('Tariff schedule'!K$16,'Prop. prices'!$I$5:$AB$5,0))</f>
        <v>0</v>
      </c>
      <c r="L115" s="232">
        <f>INDEX('Prop. prices'!$I$8:$AB$82,MATCH('Tariff schedule'!$C115,'Prop. prices'!$C$8:$C$82,0),MATCH('Tariff schedule'!L$16,'Prop. prices'!$I$5:$AB$5,0))</f>
        <v>0</v>
      </c>
      <c r="M115" s="232">
        <f>INDEX('Prop. prices'!$I$8:$AB$82,MATCH('Tariff schedule'!$C115,'Prop. prices'!$C$8:$C$82,0),MATCH('Tariff schedule'!M$16,'Prop. prices'!$I$5:$AB$5,0))</f>
        <v>0</v>
      </c>
      <c r="N115" s="232">
        <f>INDEX('Prop. prices'!$I$8:$AB$82,MATCH('Tariff schedule'!$C115,'Prop. prices'!$C$8:$C$82,0),MATCH('Tariff schedule'!N$16,'Prop. prices'!$I$5:$AB$5,0))</f>
        <v>0</v>
      </c>
      <c r="O115" s="232">
        <f>INDEX('Prop. prices'!$I$8:$AB$82,MATCH('Tariff schedule'!$C115,'Prop. prices'!$C$8:$C$82,0),MATCH('Tariff schedule'!O$16,'Prop. prices'!$I$5:$AB$5,0))</f>
        <v>0</v>
      </c>
      <c r="P115" s="232">
        <f>INDEX('Prop. prices'!$I$8:$AB$82,MATCH('Tariff schedule'!$C115,'Prop. prices'!$C$8:$C$82,0),MATCH('Tariff schedule'!P$16,'Prop. prices'!$I$5:$AB$5,0))</f>
        <v>0</v>
      </c>
      <c r="Q115" s="232">
        <f>INDEX('Prop. prices'!$I$8:$AB$82,MATCH('Tariff schedule'!$C115,'Prop. prices'!$C$8:$C$82,0),MATCH('Tariff schedule'!Q$16,'Prop. prices'!$I$5:$AB$5,0))</f>
        <v>0</v>
      </c>
      <c r="R115" s="232">
        <f>INDEX('Prop. prices'!$I$8:$AB$82,MATCH('Tariff schedule'!$C115,'Prop. prices'!$C$8:$C$82,0),MATCH('Tariff schedule'!R$16,'Prop. prices'!$I$5:$AB$5,0))</f>
        <v>0</v>
      </c>
      <c r="S115" s="232">
        <f>INDEX('Prop. prices'!$I$8:$AB$82,MATCH('Tariff schedule'!$C115,'Prop. prices'!$C$8:$C$82,0),MATCH('Tariff schedule'!S$16,'Prop. prices'!$I$5:$AB$5,0))</f>
        <v>0</v>
      </c>
      <c r="T115" s="232">
        <f>INDEX('Prop. prices'!$I$8:$AB$82,MATCH('Tariff schedule'!$C115,'Prop. prices'!$C$8:$C$82,0),MATCH('Tariff schedule'!T$16,'Prop. prices'!$I$5:$AB$5,0))</f>
        <v>0</v>
      </c>
      <c r="U115" s="232">
        <f>INDEX('Prop. prices'!$I$8:$AB$82,MATCH('Tariff schedule'!$C115,'Prop. prices'!$C$8:$C$82,0),MATCH('Tariff schedule'!U$16,'Prop. prices'!$I$5:$AB$5,0))</f>
        <v>0</v>
      </c>
      <c r="V115" s="232">
        <f>INDEX('Prop. prices'!$I$8:$AB$82,MATCH('Tariff schedule'!$C115,'Prop. prices'!$C$8:$C$82,0),MATCH('Tariff schedule'!V$16,'Prop. prices'!$I$5:$AB$5,0))</f>
        <v>0</v>
      </c>
      <c r="W115" s="232">
        <f>INDEX('Prop. prices'!$I$8:$AB$82,MATCH('Tariff schedule'!$C115,'Prop. prices'!$C$8:$C$82,0),MATCH('Tariff schedule'!W$16,'Prop. prices'!$I$5:$AB$5,0))</f>
        <v>0</v>
      </c>
      <c r="X115" s="232">
        <f>INDEX('Prop. prices'!$I$8:$AB$82,MATCH('Tariff schedule'!$C115,'Prop. prices'!$C$8:$C$82,0),MATCH('Tariff schedule'!X$16,'Prop. prices'!$I$5:$AB$5,0))</f>
        <v>0</v>
      </c>
      <c r="Y115" s="232">
        <f>INDEX('Prop. prices'!$I$8:$AB$82,MATCH('Tariff schedule'!$C115,'Prop. prices'!$C$8:$C$82,0),MATCH('Tariff schedule'!Y$16,'Prop. prices'!$I$5:$AB$5,0))</f>
        <v>0</v>
      </c>
      <c r="Z115" s="232">
        <f>INDEX('Prop. prices'!$I$8:$AB$82,MATCH('Tariff schedule'!$C115,'Prop. prices'!$C$8:$C$82,0),MATCH('Tariff schedule'!Z$16,'Prop. prices'!$I$5:$AB$5,0))</f>
        <v>0</v>
      </c>
      <c r="AA115" s="232">
        <f>INDEX('Prop. prices'!$I$8:$AB$82,MATCH('Tariff schedule'!$C115,'Prop. prices'!$C$8:$C$82,0),MATCH('Tariff schedule'!AA$16,'Prop. prices'!$I$5:$AB$5,0))</f>
        <v>0</v>
      </c>
      <c r="AB115" s="232">
        <f>INDEX('Prop. prices'!$I$8:$AB$82,MATCH('Tariff schedule'!$C115,'Prop. prices'!$C$8:$C$82,0),MATCH('Tariff schedule'!AB$16,'Prop. prices'!$I$5:$AB$5,0))</f>
        <v>0</v>
      </c>
      <c r="AC115" s="70"/>
      <c r="AD115" s="19"/>
      <c r="AE115" s="19"/>
      <c r="AF115" s="19"/>
      <c r="AG115" s="19"/>
    </row>
    <row r="116" spans="1:33" outlineLevel="2" x14ac:dyDescent="0.2">
      <c r="A116" s="19"/>
      <c r="B116" s="19"/>
      <c r="C116" s="506" t="str">
        <f t="shared" si="76"/>
        <v>Street lighting</v>
      </c>
      <c r="D116" s="505" t="str">
        <f t="shared" si="76"/>
        <v>Street lighting</v>
      </c>
      <c r="E116" s="505" t="str">
        <f t="shared" si="76"/>
        <v>TASUMSSL</v>
      </c>
      <c r="F116" s="505">
        <f t="shared" si="76"/>
        <v>0</v>
      </c>
      <c r="G116" s="505">
        <f t="shared" si="76"/>
        <v>0</v>
      </c>
      <c r="H116" s="58"/>
      <c r="I116" s="232">
        <f>INDEX('Prop. prices'!$I$8:$AB$82,MATCH('Tariff schedule'!$C116,'Prop. prices'!$C$8:$C$82,0),MATCH('Tariff schedule'!I$16,'Prop. prices'!$I$5:$AB$5,0))</f>
        <v>0</v>
      </c>
      <c r="J116" s="232">
        <f>INDEX('Prop. prices'!$I$8:$AB$82,MATCH('Tariff schedule'!$C116,'Prop. prices'!$C$8:$C$82,0),MATCH('Tariff schedule'!J$16,'Prop. prices'!$I$5:$AB$5,0))</f>
        <v>0</v>
      </c>
      <c r="K116" s="232">
        <f>INDEX('Prop. prices'!$I$8:$AB$82,MATCH('Tariff schedule'!$C116,'Prop. prices'!$C$8:$C$82,0),MATCH('Tariff schedule'!K$16,'Prop. prices'!$I$5:$AB$5,0))</f>
        <v>0</v>
      </c>
      <c r="L116" s="232">
        <f>INDEX('Prop. prices'!$I$8:$AB$82,MATCH('Tariff schedule'!$C116,'Prop. prices'!$C$8:$C$82,0),MATCH('Tariff schedule'!L$16,'Prop. prices'!$I$5:$AB$5,0))</f>
        <v>0</v>
      </c>
      <c r="M116" s="232">
        <f>INDEX('Prop. prices'!$I$8:$AB$82,MATCH('Tariff schedule'!$C116,'Prop. prices'!$C$8:$C$82,0),MATCH('Tariff schedule'!M$16,'Prop. prices'!$I$5:$AB$5,0))</f>
        <v>0</v>
      </c>
      <c r="N116" s="232">
        <f>INDEX('Prop. prices'!$I$8:$AB$82,MATCH('Tariff schedule'!$C116,'Prop. prices'!$C$8:$C$82,0),MATCH('Tariff schedule'!N$16,'Prop. prices'!$I$5:$AB$5,0))</f>
        <v>0</v>
      </c>
      <c r="O116" s="232">
        <f>INDEX('Prop. prices'!$I$8:$AB$82,MATCH('Tariff schedule'!$C116,'Prop. prices'!$C$8:$C$82,0),MATCH('Tariff schedule'!O$16,'Prop. prices'!$I$5:$AB$5,0))</f>
        <v>0</v>
      </c>
      <c r="P116" s="232">
        <f>INDEX('Prop. prices'!$I$8:$AB$82,MATCH('Tariff schedule'!$C116,'Prop. prices'!$C$8:$C$82,0),MATCH('Tariff schedule'!P$16,'Prop. prices'!$I$5:$AB$5,0))</f>
        <v>0</v>
      </c>
      <c r="Q116" s="232">
        <f>INDEX('Prop. prices'!$I$8:$AB$82,MATCH('Tariff schedule'!$C116,'Prop. prices'!$C$8:$C$82,0),MATCH('Tariff schedule'!Q$16,'Prop. prices'!$I$5:$AB$5,0))</f>
        <v>0</v>
      </c>
      <c r="R116" s="232">
        <f>INDEX('Prop. prices'!$I$8:$AB$82,MATCH('Tariff schedule'!$C116,'Prop. prices'!$C$8:$C$82,0),MATCH('Tariff schedule'!R$16,'Prop. prices'!$I$5:$AB$5,0))</f>
        <v>0</v>
      </c>
      <c r="S116" s="232">
        <f>INDEX('Prop. prices'!$I$8:$AB$82,MATCH('Tariff schedule'!$C116,'Prop. prices'!$C$8:$C$82,0),MATCH('Tariff schedule'!S$16,'Prop. prices'!$I$5:$AB$5,0))</f>
        <v>0</v>
      </c>
      <c r="T116" s="232">
        <f>INDEX('Prop. prices'!$I$8:$AB$82,MATCH('Tariff schedule'!$C116,'Prop. prices'!$C$8:$C$82,0),MATCH('Tariff schedule'!T$16,'Prop. prices'!$I$5:$AB$5,0))</f>
        <v>0</v>
      </c>
      <c r="U116" s="232">
        <f>INDEX('Prop. prices'!$I$8:$AB$82,MATCH('Tariff schedule'!$C116,'Prop. prices'!$C$8:$C$82,0),MATCH('Tariff schedule'!U$16,'Prop. prices'!$I$5:$AB$5,0))</f>
        <v>8.4000000000000005E-2</v>
      </c>
      <c r="V116" s="232">
        <f>INDEX('Prop. prices'!$I$8:$AB$82,MATCH('Tariff schedule'!$C116,'Prop. prices'!$C$8:$C$82,0),MATCH('Tariff schedule'!V$16,'Prop. prices'!$I$5:$AB$5,0))</f>
        <v>0</v>
      </c>
      <c r="W116" s="232">
        <f>INDEX('Prop. prices'!$I$8:$AB$82,MATCH('Tariff schedule'!$C116,'Prop. prices'!$C$8:$C$82,0),MATCH('Tariff schedule'!W$16,'Prop. prices'!$I$5:$AB$5,0))</f>
        <v>0</v>
      </c>
      <c r="X116" s="232">
        <f>INDEX('Prop. prices'!$I$8:$AB$82,MATCH('Tariff schedule'!$C116,'Prop. prices'!$C$8:$C$82,0),MATCH('Tariff schedule'!X$16,'Prop. prices'!$I$5:$AB$5,0))</f>
        <v>0</v>
      </c>
      <c r="Y116" s="232">
        <f>INDEX('Prop. prices'!$I$8:$AB$82,MATCH('Tariff schedule'!$C116,'Prop. prices'!$C$8:$C$82,0),MATCH('Tariff schedule'!Y$16,'Prop. prices'!$I$5:$AB$5,0))</f>
        <v>0</v>
      </c>
      <c r="Z116" s="232">
        <f>INDEX('Prop. prices'!$I$8:$AB$82,MATCH('Tariff schedule'!$C116,'Prop. prices'!$C$8:$C$82,0),MATCH('Tariff schedule'!Z$16,'Prop. prices'!$I$5:$AB$5,0))</f>
        <v>0</v>
      </c>
      <c r="AA116" s="232">
        <f>INDEX('Prop. prices'!$I$8:$AB$82,MATCH('Tariff schedule'!$C116,'Prop. prices'!$C$8:$C$82,0),MATCH('Tariff schedule'!AA$16,'Prop. prices'!$I$5:$AB$5,0))</f>
        <v>0</v>
      </c>
      <c r="AB116" s="232">
        <f>INDEX('Prop. prices'!$I$8:$AB$82,MATCH('Tariff schedule'!$C116,'Prop. prices'!$C$8:$C$82,0),MATCH('Tariff schedule'!AB$16,'Prop. prices'!$I$5:$AB$5,0))</f>
        <v>0</v>
      </c>
      <c r="AC116" s="70"/>
      <c r="AD116" s="19"/>
      <c r="AE116" s="19"/>
      <c r="AF116" s="19"/>
      <c r="AG116" s="19"/>
    </row>
    <row r="117" spans="1:33" outlineLevel="2" x14ac:dyDescent="0.2">
      <c r="A117" s="19"/>
      <c r="B117" s="19"/>
      <c r="C117" s="506">
        <f t="shared" ref="C117:G126" si="77">C39</f>
        <v>0</v>
      </c>
      <c r="D117" s="505">
        <f t="shared" si="77"/>
        <v>0</v>
      </c>
      <c r="E117" s="505">
        <f t="shared" si="77"/>
        <v>0</v>
      </c>
      <c r="F117" s="505">
        <f t="shared" si="77"/>
        <v>0</v>
      </c>
      <c r="G117" s="505">
        <f t="shared" si="77"/>
        <v>0</v>
      </c>
      <c r="H117" s="58"/>
      <c r="I117" s="232">
        <f>INDEX('Prop. prices'!$I$8:$AB$82,MATCH('Tariff schedule'!$C117,'Prop. prices'!$C$8:$C$82,0),MATCH('Tariff schedule'!I$16,'Prop. prices'!$I$5:$AB$5,0))</f>
        <v>0</v>
      </c>
      <c r="J117" s="232">
        <f>INDEX('Prop. prices'!$I$8:$AB$82,MATCH('Tariff schedule'!$C117,'Prop. prices'!$C$8:$C$82,0),MATCH('Tariff schedule'!J$16,'Prop. prices'!$I$5:$AB$5,0))</f>
        <v>0</v>
      </c>
      <c r="K117" s="232">
        <f>INDEX('Prop. prices'!$I$8:$AB$82,MATCH('Tariff schedule'!$C117,'Prop. prices'!$C$8:$C$82,0),MATCH('Tariff schedule'!K$16,'Prop. prices'!$I$5:$AB$5,0))</f>
        <v>0</v>
      </c>
      <c r="L117" s="232">
        <f>INDEX('Prop. prices'!$I$8:$AB$82,MATCH('Tariff schedule'!$C117,'Prop. prices'!$C$8:$C$82,0),MATCH('Tariff schedule'!L$16,'Prop. prices'!$I$5:$AB$5,0))</f>
        <v>0</v>
      </c>
      <c r="M117" s="232">
        <f>INDEX('Prop. prices'!$I$8:$AB$82,MATCH('Tariff schedule'!$C117,'Prop. prices'!$C$8:$C$82,0),MATCH('Tariff schedule'!M$16,'Prop. prices'!$I$5:$AB$5,0))</f>
        <v>0</v>
      </c>
      <c r="N117" s="232">
        <f>INDEX('Prop. prices'!$I$8:$AB$82,MATCH('Tariff schedule'!$C117,'Prop. prices'!$C$8:$C$82,0),MATCH('Tariff schedule'!N$16,'Prop. prices'!$I$5:$AB$5,0))</f>
        <v>0</v>
      </c>
      <c r="O117" s="232">
        <f>INDEX('Prop. prices'!$I$8:$AB$82,MATCH('Tariff schedule'!$C117,'Prop. prices'!$C$8:$C$82,0),MATCH('Tariff schedule'!O$16,'Prop. prices'!$I$5:$AB$5,0))</f>
        <v>0</v>
      </c>
      <c r="P117" s="232">
        <f>INDEX('Prop. prices'!$I$8:$AB$82,MATCH('Tariff schedule'!$C117,'Prop. prices'!$C$8:$C$82,0),MATCH('Tariff schedule'!P$16,'Prop. prices'!$I$5:$AB$5,0))</f>
        <v>0</v>
      </c>
      <c r="Q117" s="232">
        <f>INDEX('Prop. prices'!$I$8:$AB$82,MATCH('Tariff schedule'!$C117,'Prop. prices'!$C$8:$C$82,0),MATCH('Tariff schedule'!Q$16,'Prop. prices'!$I$5:$AB$5,0))</f>
        <v>0</v>
      </c>
      <c r="R117" s="232">
        <f>INDEX('Prop. prices'!$I$8:$AB$82,MATCH('Tariff schedule'!$C117,'Prop. prices'!$C$8:$C$82,0),MATCH('Tariff schedule'!R$16,'Prop. prices'!$I$5:$AB$5,0))</f>
        <v>0</v>
      </c>
      <c r="S117" s="232">
        <f>INDEX('Prop. prices'!$I$8:$AB$82,MATCH('Tariff schedule'!$C117,'Prop. prices'!$C$8:$C$82,0),MATCH('Tariff schedule'!S$16,'Prop. prices'!$I$5:$AB$5,0))</f>
        <v>0</v>
      </c>
      <c r="T117" s="232">
        <f>INDEX('Prop. prices'!$I$8:$AB$82,MATCH('Tariff schedule'!$C117,'Prop. prices'!$C$8:$C$82,0),MATCH('Tariff schedule'!T$16,'Prop. prices'!$I$5:$AB$5,0))</f>
        <v>0</v>
      </c>
      <c r="U117" s="232">
        <f>INDEX('Prop. prices'!$I$8:$AB$82,MATCH('Tariff schedule'!$C117,'Prop. prices'!$C$8:$C$82,0),MATCH('Tariff schedule'!U$16,'Prop. prices'!$I$5:$AB$5,0))</f>
        <v>0</v>
      </c>
      <c r="V117" s="232">
        <f>INDEX('Prop. prices'!$I$8:$AB$82,MATCH('Tariff schedule'!$C117,'Prop. prices'!$C$8:$C$82,0),MATCH('Tariff schedule'!V$16,'Prop. prices'!$I$5:$AB$5,0))</f>
        <v>0</v>
      </c>
      <c r="W117" s="232">
        <f>INDEX('Prop. prices'!$I$8:$AB$82,MATCH('Tariff schedule'!$C117,'Prop. prices'!$C$8:$C$82,0),MATCH('Tariff schedule'!W$16,'Prop. prices'!$I$5:$AB$5,0))</f>
        <v>0</v>
      </c>
      <c r="X117" s="232">
        <f>INDEX('Prop. prices'!$I$8:$AB$82,MATCH('Tariff schedule'!$C117,'Prop. prices'!$C$8:$C$82,0),MATCH('Tariff schedule'!X$16,'Prop. prices'!$I$5:$AB$5,0))</f>
        <v>0</v>
      </c>
      <c r="Y117" s="232">
        <f>INDEX('Prop. prices'!$I$8:$AB$82,MATCH('Tariff schedule'!$C117,'Prop. prices'!$C$8:$C$82,0),MATCH('Tariff schedule'!Y$16,'Prop. prices'!$I$5:$AB$5,0))</f>
        <v>0</v>
      </c>
      <c r="Z117" s="232">
        <f>INDEX('Prop. prices'!$I$8:$AB$82,MATCH('Tariff schedule'!$C117,'Prop. prices'!$C$8:$C$82,0),MATCH('Tariff schedule'!Z$16,'Prop. prices'!$I$5:$AB$5,0))</f>
        <v>0</v>
      </c>
      <c r="AA117" s="232">
        <f>INDEX('Prop. prices'!$I$8:$AB$82,MATCH('Tariff schedule'!$C117,'Prop. prices'!$C$8:$C$82,0),MATCH('Tariff schedule'!AA$16,'Prop. prices'!$I$5:$AB$5,0))</f>
        <v>0</v>
      </c>
      <c r="AB117" s="232">
        <f>INDEX('Prop. prices'!$I$8:$AB$82,MATCH('Tariff schedule'!$C117,'Prop. prices'!$C$8:$C$82,0),MATCH('Tariff schedule'!AB$16,'Prop. prices'!$I$5:$AB$5,0))</f>
        <v>0</v>
      </c>
      <c r="AC117" s="70"/>
      <c r="AD117" s="19"/>
      <c r="AE117" s="19"/>
      <c r="AF117" s="19"/>
      <c r="AG117" s="19"/>
    </row>
    <row r="118" spans="1:33" hidden="1" outlineLevel="3" x14ac:dyDescent="0.2">
      <c r="A118" s="19"/>
      <c r="B118" s="19"/>
      <c r="C118" s="506">
        <f t="shared" si="77"/>
        <v>0</v>
      </c>
      <c r="D118" s="505">
        <f t="shared" si="77"/>
        <v>0</v>
      </c>
      <c r="E118" s="505">
        <f t="shared" si="77"/>
        <v>0</v>
      </c>
      <c r="F118" s="505">
        <f t="shared" si="77"/>
        <v>0</v>
      </c>
      <c r="G118" s="505">
        <f t="shared" si="77"/>
        <v>0</v>
      </c>
      <c r="H118" s="58"/>
      <c r="I118" s="232">
        <f>INDEX('Prop. prices'!$I$8:$AB$82,MATCH('Tariff schedule'!$C118,'Prop. prices'!$C$8:$C$82,0),MATCH('Tariff schedule'!I$16,'Prop. prices'!$I$5:$AB$5,0))</f>
        <v>0</v>
      </c>
      <c r="J118" s="232">
        <f>INDEX('Prop. prices'!$I$8:$AB$82,MATCH('Tariff schedule'!$C118,'Prop. prices'!$C$8:$C$82,0),MATCH('Tariff schedule'!J$16,'Prop. prices'!$I$5:$AB$5,0))</f>
        <v>0</v>
      </c>
      <c r="K118" s="232">
        <f>INDEX('Prop. prices'!$I$8:$AB$82,MATCH('Tariff schedule'!$C118,'Prop. prices'!$C$8:$C$82,0),MATCH('Tariff schedule'!K$16,'Prop. prices'!$I$5:$AB$5,0))</f>
        <v>0</v>
      </c>
      <c r="L118" s="232">
        <f>INDEX('Prop. prices'!$I$8:$AB$82,MATCH('Tariff schedule'!$C118,'Prop. prices'!$C$8:$C$82,0),MATCH('Tariff schedule'!L$16,'Prop. prices'!$I$5:$AB$5,0))</f>
        <v>0</v>
      </c>
      <c r="M118" s="232">
        <f>INDEX('Prop. prices'!$I$8:$AB$82,MATCH('Tariff schedule'!$C118,'Prop. prices'!$C$8:$C$82,0),MATCH('Tariff schedule'!M$16,'Prop. prices'!$I$5:$AB$5,0))</f>
        <v>0</v>
      </c>
      <c r="N118" s="232">
        <f>INDEX('Prop. prices'!$I$8:$AB$82,MATCH('Tariff schedule'!$C118,'Prop. prices'!$C$8:$C$82,0),MATCH('Tariff schedule'!N$16,'Prop. prices'!$I$5:$AB$5,0))</f>
        <v>0</v>
      </c>
      <c r="O118" s="232">
        <f>INDEX('Prop. prices'!$I$8:$AB$82,MATCH('Tariff schedule'!$C118,'Prop. prices'!$C$8:$C$82,0),MATCH('Tariff schedule'!O$16,'Prop. prices'!$I$5:$AB$5,0))</f>
        <v>0</v>
      </c>
      <c r="P118" s="232">
        <f>INDEX('Prop. prices'!$I$8:$AB$82,MATCH('Tariff schedule'!$C118,'Prop. prices'!$C$8:$C$82,0),MATCH('Tariff schedule'!P$16,'Prop. prices'!$I$5:$AB$5,0))</f>
        <v>0</v>
      </c>
      <c r="Q118" s="232">
        <f>INDEX('Prop. prices'!$I$8:$AB$82,MATCH('Tariff schedule'!$C118,'Prop. prices'!$C$8:$C$82,0),MATCH('Tariff schedule'!Q$16,'Prop. prices'!$I$5:$AB$5,0))</f>
        <v>0</v>
      </c>
      <c r="R118" s="232">
        <f>INDEX('Prop. prices'!$I$8:$AB$82,MATCH('Tariff schedule'!$C118,'Prop. prices'!$C$8:$C$82,0),MATCH('Tariff schedule'!R$16,'Prop. prices'!$I$5:$AB$5,0))</f>
        <v>0</v>
      </c>
      <c r="S118" s="232">
        <f>INDEX('Prop. prices'!$I$8:$AB$82,MATCH('Tariff schedule'!$C118,'Prop. prices'!$C$8:$C$82,0),MATCH('Tariff schedule'!S$16,'Prop. prices'!$I$5:$AB$5,0))</f>
        <v>0</v>
      </c>
      <c r="T118" s="232">
        <f>INDEX('Prop. prices'!$I$8:$AB$82,MATCH('Tariff schedule'!$C118,'Prop. prices'!$C$8:$C$82,0),MATCH('Tariff schedule'!T$16,'Prop. prices'!$I$5:$AB$5,0))</f>
        <v>0</v>
      </c>
      <c r="U118" s="232">
        <f>INDEX('Prop. prices'!$I$8:$AB$82,MATCH('Tariff schedule'!$C118,'Prop. prices'!$C$8:$C$82,0),MATCH('Tariff schedule'!U$16,'Prop. prices'!$I$5:$AB$5,0))</f>
        <v>0</v>
      </c>
      <c r="V118" s="232">
        <f>INDEX('Prop. prices'!$I$8:$AB$82,MATCH('Tariff schedule'!$C118,'Prop. prices'!$C$8:$C$82,0),MATCH('Tariff schedule'!V$16,'Prop. prices'!$I$5:$AB$5,0))</f>
        <v>0</v>
      </c>
      <c r="W118" s="232">
        <f>INDEX('Prop. prices'!$I$8:$AB$82,MATCH('Tariff schedule'!$C118,'Prop. prices'!$C$8:$C$82,0),MATCH('Tariff schedule'!W$16,'Prop. prices'!$I$5:$AB$5,0))</f>
        <v>0</v>
      </c>
      <c r="X118" s="232">
        <f>INDEX('Prop. prices'!$I$8:$AB$82,MATCH('Tariff schedule'!$C118,'Prop. prices'!$C$8:$C$82,0),MATCH('Tariff schedule'!X$16,'Prop. prices'!$I$5:$AB$5,0))</f>
        <v>0</v>
      </c>
      <c r="Y118" s="232">
        <f>INDEX('Prop. prices'!$I$8:$AB$82,MATCH('Tariff schedule'!$C118,'Prop. prices'!$C$8:$C$82,0),MATCH('Tariff schedule'!Y$16,'Prop. prices'!$I$5:$AB$5,0))</f>
        <v>0</v>
      </c>
      <c r="Z118" s="232">
        <f>INDEX('Prop. prices'!$I$8:$AB$82,MATCH('Tariff schedule'!$C118,'Prop. prices'!$C$8:$C$82,0),MATCH('Tariff schedule'!Z$16,'Prop. prices'!$I$5:$AB$5,0))</f>
        <v>0</v>
      </c>
      <c r="AA118" s="232">
        <f>INDEX('Prop. prices'!$I$8:$AB$82,MATCH('Tariff schedule'!$C118,'Prop. prices'!$C$8:$C$82,0),MATCH('Tariff schedule'!AA$16,'Prop. prices'!$I$5:$AB$5,0))</f>
        <v>0</v>
      </c>
      <c r="AB118" s="232">
        <f>INDEX('Prop. prices'!$I$8:$AB$82,MATCH('Tariff schedule'!$C118,'Prop. prices'!$C$8:$C$82,0),MATCH('Tariff schedule'!AB$16,'Prop. prices'!$I$5:$AB$5,0))</f>
        <v>0</v>
      </c>
      <c r="AC118" s="70"/>
      <c r="AD118" s="19"/>
      <c r="AE118" s="19"/>
      <c r="AF118" s="19"/>
      <c r="AG118" s="19"/>
    </row>
    <row r="119" spans="1:33" hidden="1" outlineLevel="3" x14ac:dyDescent="0.2">
      <c r="A119" s="19"/>
      <c r="B119" s="19"/>
      <c r="C119" s="506">
        <f t="shared" si="77"/>
        <v>0</v>
      </c>
      <c r="D119" s="505">
        <f t="shared" si="77"/>
        <v>0</v>
      </c>
      <c r="E119" s="505">
        <f t="shared" si="77"/>
        <v>0</v>
      </c>
      <c r="F119" s="505">
        <f t="shared" si="77"/>
        <v>0</v>
      </c>
      <c r="G119" s="505">
        <f t="shared" si="77"/>
        <v>0</v>
      </c>
      <c r="H119" s="58"/>
      <c r="I119" s="232">
        <f>INDEX('Prop. prices'!$I$8:$AB$82,MATCH('Tariff schedule'!$C119,'Prop. prices'!$C$8:$C$82,0),MATCH('Tariff schedule'!I$16,'Prop. prices'!$I$5:$AB$5,0))</f>
        <v>0</v>
      </c>
      <c r="J119" s="232">
        <f>INDEX('Prop. prices'!$I$8:$AB$82,MATCH('Tariff schedule'!$C119,'Prop. prices'!$C$8:$C$82,0),MATCH('Tariff schedule'!J$16,'Prop. prices'!$I$5:$AB$5,0))</f>
        <v>0</v>
      </c>
      <c r="K119" s="232">
        <f>INDEX('Prop. prices'!$I$8:$AB$82,MATCH('Tariff schedule'!$C119,'Prop. prices'!$C$8:$C$82,0),MATCH('Tariff schedule'!K$16,'Prop. prices'!$I$5:$AB$5,0))</f>
        <v>0</v>
      </c>
      <c r="L119" s="232">
        <f>INDEX('Prop. prices'!$I$8:$AB$82,MATCH('Tariff schedule'!$C119,'Prop. prices'!$C$8:$C$82,0),MATCH('Tariff schedule'!L$16,'Prop. prices'!$I$5:$AB$5,0))</f>
        <v>0</v>
      </c>
      <c r="M119" s="232">
        <f>INDEX('Prop. prices'!$I$8:$AB$82,MATCH('Tariff schedule'!$C119,'Prop. prices'!$C$8:$C$82,0),MATCH('Tariff schedule'!M$16,'Prop. prices'!$I$5:$AB$5,0))</f>
        <v>0</v>
      </c>
      <c r="N119" s="232">
        <f>INDEX('Prop. prices'!$I$8:$AB$82,MATCH('Tariff schedule'!$C119,'Prop. prices'!$C$8:$C$82,0),MATCH('Tariff schedule'!N$16,'Prop. prices'!$I$5:$AB$5,0))</f>
        <v>0</v>
      </c>
      <c r="O119" s="232">
        <f>INDEX('Prop. prices'!$I$8:$AB$82,MATCH('Tariff schedule'!$C119,'Prop. prices'!$C$8:$C$82,0),MATCH('Tariff schedule'!O$16,'Prop. prices'!$I$5:$AB$5,0))</f>
        <v>0</v>
      </c>
      <c r="P119" s="232">
        <f>INDEX('Prop. prices'!$I$8:$AB$82,MATCH('Tariff schedule'!$C119,'Prop. prices'!$C$8:$C$82,0),MATCH('Tariff schedule'!P$16,'Prop. prices'!$I$5:$AB$5,0))</f>
        <v>0</v>
      </c>
      <c r="Q119" s="232">
        <f>INDEX('Prop. prices'!$I$8:$AB$82,MATCH('Tariff schedule'!$C119,'Prop. prices'!$C$8:$C$82,0),MATCH('Tariff schedule'!Q$16,'Prop. prices'!$I$5:$AB$5,0))</f>
        <v>0</v>
      </c>
      <c r="R119" s="232">
        <f>INDEX('Prop. prices'!$I$8:$AB$82,MATCH('Tariff schedule'!$C119,'Prop. prices'!$C$8:$C$82,0),MATCH('Tariff schedule'!R$16,'Prop. prices'!$I$5:$AB$5,0))</f>
        <v>0</v>
      </c>
      <c r="S119" s="232">
        <f>INDEX('Prop. prices'!$I$8:$AB$82,MATCH('Tariff schedule'!$C119,'Prop. prices'!$C$8:$C$82,0),MATCH('Tariff schedule'!S$16,'Prop. prices'!$I$5:$AB$5,0))</f>
        <v>0</v>
      </c>
      <c r="T119" s="232">
        <f>INDEX('Prop. prices'!$I$8:$AB$82,MATCH('Tariff schedule'!$C119,'Prop. prices'!$C$8:$C$82,0),MATCH('Tariff schedule'!T$16,'Prop. prices'!$I$5:$AB$5,0))</f>
        <v>0</v>
      </c>
      <c r="U119" s="232">
        <f>INDEX('Prop. prices'!$I$8:$AB$82,MATCH('Tariff schedule'!$C119,'Prop. prices'!$C$8:$C$82,0),MATCH('Tariff schedule'!U$16,'Prop. prices'!$I$5:$AB$5,0))</f>
        <v>0</v>
      </c>
      <c r="V119" s="232">
        <f>INDEX('Prop. prices'!$I$8:$AB$82,MATCH('Tariff schedule'!$C119,'Prop. prices'!$C$8:$C$82,0),MATCH('Tariff schedule'!V$16,'Prop. prices'!$I$5:$AB$5,0))</f>
        <v>0</v>
      </c>
      <c r="W119" s="232">
        <f>INDEX('Prop. prices'!$I$8:$AB$82,MATCH('Tariff schedule'!$C119,'Prop. prices'!$C$8:$C$82,0),MATCH('Tariff schedule'!W$16,'Prop. prices'!$I$5:$AB$5,0))</f>
        <v>0</v>
      </c>
      <c r="X119" s="232">
        <f>INDEX('Prop. prices'!$I$8:$AB$82,MATCH('Tariff schedule'!$C119,'Prop. prices'!$C$8:$C$82,0),MATCH('Tariff schedule'!X$16,'Prop. prices'!$I$5:$AB$5,0))</f>
        <v>0</v>
      </c>
      <c r="Y119" s="232">
        <f>INDEX('Prop. prices'!$I$8:$AB$82,MATCH('Tariff schedule'!$C119,'Prop. prices'!$C$8:$C$82,0),MATCH('Tariff schedule'!Y$16,'Prop. prices'!$I$5:$AB$5,0))</f>
        <v>0</v>
      </c>
      <c r="Z119" s="232">
        <f>INDEX('Prop. prices'!$I$8:$AB$82,MATCH('Tariff schedule'!$C119,'Prop. prices'!$C$8:$C$82,0),MATCH('Tariff schedule'!Z$16,'Prop. prices'!$I$5:$AB$5,0))</f>
        <v>0</v>
      </c>
      <c r="AA119" s="232">
        <f>INDEX('Prop. prices'!$I$8:$AB$82,MATCH('Tariff schedule'!$C119,'Prop. prices'!$C$8:$C$82,0),MATCH('Tariff schedule'!AA$16,'Prop. prices'!$I$5:$AB$5,0))</f>
        <v>0</v>
      </c>
      <c r="AB119" s="232">
        <f>INDEX('Prop. prices'!$I$8:$AB$82,MATCH('Tariff schedule'!$C119,'Prop. prices'!$C$8:$C$82,0),MATCH('Tariff schedule'!AB$16,'Prop. prices'!$I$5:$AB$5,0))</f>
        <v>0</v>
      </c>
      <c r="AC119" s="70"/>
      <c r="AD119" s="19"/>
      <c r="AE119" s="19"/>
      <c r="AF119" s="19"/>
      <c r="AG119" s="19"/>
    </row>
    <row r="120" spans="1:33" hidden="1" outlineLevel="3" x14ac:dyDescent="0.2">
      <c r="A120" s="19"/>
      <c r="B120" s="19"/>
      <c r="C120" s="506">
        <f t="shared" si="77"/>
        <v>0</v>
      </c>
      <c r="D120" s="505">
        <f t="shared" si="77"/>
        <v>0</v>
      </c>
      <c r="E120" s="505">
        <f t="shared" si="77"/>
        <v>0</v>
      </c>
      <c r="F120" s="505">
        <f t="shared" si="77"/>
        <v>0</v>
      </c>
      <c r="G120" s="505">
        <f t="shared" si="77"/>
        <v>0</v>
      </c>
      <c r="H120" s="58"/>
      <c r="I120" s="232">
        <f>INDEX('Prop. prices'!$I$8:$AB$82,MATCH('Tariff schedule'!$C120,'Prop. prices'!$C$8:$C$82,0),MATCH('Tariff schedule'!I$16,'Prop. prices'!$I$5:$AB$5,0))</f>
        <v>0</v>
      </c>
      <c r="J120" s="232">
        <f>INDEX('Prop. prices'!$I$8:$AB$82,MATCH('Tariff schedule'!$C120,'Prop. prices'!$C$8:$C$82,0),MATCH('Tariff schedule'!J$16,'Prop. prices'!$I$5:$AB$5,0))</f>
        <v>0</v>
      </c>
      <c r="K120" s="232">
        <f>INDEX('Prop. prices'!$I$8:$AB$82,MATCH('Tariff schedule'!$C120,'Prop. prices'!$C$8:$C$82,0),MATCH('Tariff schedule'!K$16,'Prop. prices'!$I$5:$AB$5,0))</f>
        <v>0</v>
      </c>
      <c r="L120" s="232">
        <f>INDEX('Prop. prices'!$I$8:$AB$82,MATCH('Tariff schedule'!$C120,'Prop. prices'!$C$8:$C$82,0),MATCH('Tariff schedule'!L$16,'Prop. prices'!$I$5:$AB$5,0))</f>
        <v>0</v>
      </c>
      <c r="M120" s="232">
        <f>INDEX('Prop. prices'!$I$8:$AB$82,MATCH('Tariff schedule'!$C120,'Prop. prices'!$C$8:$C$82,0),MATCH('Tariff schedule'!M$16,'Prop. prices'!$I$5:$AB$5,0))</f>
        <v>0</v>
      </c>
      <c r="N120" s="232">
        <f>INDEX('Prop. prices'!$I$8:$AB$82,MATCH('Tariff schedule'!$C120,'Prop. prices'!$C$8:$C$82,0),MATCH('Tariff schedule'!N$16,'Prop. prices'!$I$5:$AB$5,0))</f>
        <v>0</v>
      </c>
      <c r="O120" s="232">
        <f>INDEX('Prop. prices'!$I$8:$AB$82,MATCH('Tariff schedule'!$C120,'Prop. prices'!$C$8:$C$82,0),MATCH('Tariff schedule'!O$16,'Prop. prices'!$I$5:$AB$5,0))</f>
        <v>0</v>
      </c>
      <c r="P120" s="232">
        <f>INDEX('Prop. prices'!$I$8:$AB$82,MATCH('Tariff schedule'!$C120,'Prop. prices'!$C$8:$C$82,0),MATCH('Tariff schedule'!P$16,'Prop. prices'!$I$5:$AB$5,0))</f>
        <v>0</v>
      </c>
      <c r="Q120" s="232">
        <f>INDEX('Prop. prices'!$I$8:$AB$82,MATCH('Tariff schedule'!$C120,'Prop. prices'!$C$8:$C$82,0),MATCH('Tariff schedule'!Q$16,'Prop. prices'!$I$5:$AB$5,0))</f>
        <v>0</v>
      </c>
      <c r="R120" s="232">
        <f>INDEX('Prop. prices'!$I$8:$AB$82,MATCH('Tariff schedule'!$C120,'Prop. prices'!$C$8:$C$82,0),MATCH('Tariff schedule'!R$16,'Prop. prices'!$I$5:$AB$5,0))</f>
        <v>0</v>
      </c>
      <c r="S120" s="232">
        <f>INDEX('Prop. prices'!$I$8:$AB$82,MATCH('Tariff schedule'!$C120,'Prop. prices'!$C$8:$C$82,0),MATCH('Tariff schedule'!S$16,'Prop. prices'!$I$5:$AB$5,0))</f>
        <v>0</v>
      </c>
      <c r="T120" s="232">
        <f>INDEX('Prop. prices'!$I$8:$AB$82,MATCH('Tariff schedule'!$C120,'Prop. prices'!$C$8:$C$82,0),MATCH('Tariff schedule'!T$16,'Prop. prices'!$I$5:$AB$5,0))</f>
        <v>0</v>
      </c>
      <c r="U120" s="232">
        <f>INDEX('Prop. prices'!$I$8:$AB$82,MATCH('Tariff schedule'!$C120,'Prop. prices'!$C$8:$C$82,0),MATCH('Tariff schedule'!U$16,'Prop. prices'!$I$5:$AB$5,0))</f>
        <v>0</v>
      </c>
      <c r="V120" s="232">
        <f>INDEX('Prop. prices'!$I$8:$AB$82,MATCH('Tariff schedule'!$C120,'Prop. prices'!$C$8:$C$82,0),MATCH('Tariff schedule'!V$16,'Prop. prices'!$I$5:$AB$5,0))</f>
        <v>0</v>
      </c>
      <c r="W120" s="232">
        <f>INDEX('Prop. prices'!$I$8:$AB$82,MATCH('Tariff schedule'!$C120,'Prop. prices'!$C$8:$C$82,0),MATCH('Tariff schedule'!W$16,'Prop. prices'!$I$5:$AB$5,0))</f>
        <v>0</v>
      </c>
      <c r="X120" s="232">
        <f>INDEX('Prop. prices'!$I$8:$AB$82,MATCH('Tariff schedule'!$C120,'Prop. prices'!$C$8:$C$82,0),MATCH('Tariff schedule'!X$16,'Prop. prices'!$I$5:$AB$5,0))</f>
        <v>0</v>
      </c>
      <c r="Y120" s="232">
        <f>INDEX('Prop. prices'!$I$8:$AB$82,MATCH('Tariff schedule'!$C120,'Prop. prices'!$C$8:$C$82,0),MATCH('Tariff schedule'!Y$16,'Prop. prices'!$I$5:$AB$5,0))</f>
        <v>0</v>
      </c>
      <c r="Z120" s="232">
        <f>INDEX('Prop. prices'!$I$8:$AB$82,MATCH('Tariff schedule'!$C120,'Prop. prices'!$C$8:$C$82,0),MATCH('Tariff schedule'!Z$16,'Prop. prices'!$I$5:$AB$5,0))</f>
        <v>0</v>
      </c>
      <c r="AA120" s="232">
        <f>INDEX('Prop. prices'!$I$8:$AB$82,MATCH('Tariff schedule'!$C120,'Prop. prices'!$C$8:$C$82,0),MATCH('Tariff schedule'!AA$16,'Prop. prices'!$I$5:$AB$5,0))</f>
        <v>0</v>
      </c>
      <c r="AB120" s="232">
        <f>INDEX('Prop. prices'!$I$8:$AB$82,MATCH('Tariff schedule'!$C120,'Prop. prices'!$C$8:$C$82,0),MATCH('Tariff schedule'!AB$16,'Prop. prices'!$I$5:$AB$5,0))</f>
        <v>0</v>
      </c>
      <c r="AC120" s="70"/>
      <c r="AD120" s="19"/>
      <c r="AE120" s="19"/>
      <c r="AF120" s="19"/>
      <c r="AG120" s="19"/>
    </row>
    <row r="121" spans="1:33" hidden="1" outlineLevel="3" x14ac:dyDescent="0.2">
      <c r="A121" s="19"/>
      <c r="B121" s="19"/>
      <c r="C121" s="506">
        <f t="shared" si="77"/>
        <v>0</v>
      </c>
      <c r="D121" s="505">
        <f t="shared" si="77"/>
        <v>0</v>
      </c>
      <c r="E121" s="505">
        <f t="shared" si="77"/>
        <v>0</v>
      </c>
      <c r="F121" s="505">
        <f t="shared" si="77"/>
        <v>0</v>
      </c>
      <c r="G121" s="505">
        <f t="shared" si="77"/>
        <v>0</v>
      </c>
      <c r="H121" s="58"/>
      <c r="I121" s="232">
        <f>INDEX('Prop. prices'!$I$8:$AB$82,MATCH('Tariff schedule'!$C121,'Prop. prices'!$C$8:$C$82,0),MATCH('Tariff schedule'!I$16,'Prop. prices'!$I$5:$AB$5,0))</f>
        <v>0</v>
      </c>
      <c r="J121" s="232">
        <f>INDEX('Prop. prices'!$I$8:$AB$82,MATCH('Tariff schedule'!$C121,'Prop. prices'!$C$8:$C$82,0),MATCH('Tariff schedule'!J$16,'Prop. prices'!$I$5:$AB$5,0))</f>
        <v>0</v>
      </c>
      <c r="K121" s="232">
        <f>INDEX('Prop. prices'!$I$8:$AB$82,MATCH('Tariff schedule'!$C121,'Prop. prices'!$C$8:$C$82,0),MATCH('Tariff schedule'!K$16,'Prop. prices'!$I$5:$AB$5,0))</f>
        <v>0</v>
      </c>
      <c r="L121" s="232">
        <f>INDEX('Prop. prices'!$I$8:$AB$82,MATCH('Tariff schedule'!$C121,'Prop. prices'!$C$8:$C$82,0),MATCH('Tariff schedule'!L$16,'Prop. prices'!$I$5:$AB$5,0))</f>
        <v>0</v>
      </c>
      <c r="M121" s="232">
        <f>INDEX('Prop. prices'!$I$8:$AB$82,MATCH('Tariff schedule'!$C121,'Prop. prices'!$C$8:$C$82,0),MATCH('Tariff schedule'!M$16,'Prop. prices'!$I$5:$AB$5,0))</f>
        <v>0</v>
      </c>
      <c r="N121" s="232">
        <f>INDEX('Prop. prices'!$I$8:$AB$82,MATCH('Tariff schedule'!$C121,'Prop. prices'!$C$8:$C$82,0),MATCH('Tariff schedule'!N$16,'Prop. prices'!$I$5:$AB$5,0))</f>
        <v>0</v>
      </c>
      <c r="O121" s="232">
        <f>INDEX('Prop. prices'!$I$8:$AB$82,MATCH('Tariff schedule'!$C121,'Prop. prices'!$C$8:$C$82,0),MATCH('Tariff schedule'!O$16,'Prop. prices'!$I$5:$AB$5,0))</f>
        <v>0</v>
      </c>
      <c r="P121" s="232">
        <f>INDEX('Prop. prices'!$I$8:$AB$82,MATCH('Tariff schedule'!$C121,'Prop. prices'!$C$8:$C$82,0),MATCH('Tariff schedule'!P$16,'Prop. prices'!$I$5:$AB$5,0))</f>
        <v>0</v>
      </c>
      <c r="Q121" s="232">
        <f>INDEX('Prop. prices'!$I$8:$AB$82,MATCH('Tariff schedule'!$C121,'Prop. prices'!$C$8:$C$82,0),MATCH('Tariff schedule'!Q$16,'Prop. prices'!$I$5:$AB$5,0))</f>
        <v>0</v>
      </c>
      <c r="R121" s="232">
        <f>INDEX('Prop. prices'!$I$8:$AB$82,MATCH('Tariff schedule'!$C121,'Prop. prices'!$C$8:$C$82,0),MATCH('Tariff schedule'!R$16,'Prop. prices'!$I$5:$AB$5,0))</f>
        <v>0</v>
      </c>
      <c r="S121" s="232">
        <f>INDEX('Prop. prices'!$I$8:$AB$82,MATCH('Tariff schedule'!$C121,'Prop. prices'!$C$8:$C$82,0),MATCH('Tariff schedule'!S$16,'Prop. prices'!$I$5:$AB$5,0))</f>
        <v>0</v>
      </c>
      <c r="T121" s="232">
        <f>INDEX('Prop. prices'!$I$8:$AB$82,MATCH('Tariff schedule'!$C121,'Prop. prices'!$C$8:$C$82,0),MATCH('Tariff schedule'!T$16,'Prop. prices'!$I$5:$AB$5,0))</f>
        <v>0</v>
      </c>
      <c r="U121" s="232">
        <f>INDEX('Prop. prices'!$I$8:$AB$82,MATCH('Tariff schedule'!$C121,'Prop. prices'!$C$8:$C$82,0),MATCH('Tariff schedule'!U$16,'Prop. prices'!$I$5:$AB$5,0))</f>
        <v>0</v>
      </c>
      <c r="V121" s="232">
        <f>INDEX('Prop. prices'!$I$8:$AB$82,MATCH('Tariff schedule'!$C121,'Prop. prices'!$C$8:$C$82,0),MATCH('Tariff schedule'!V$16,'Prop. prices'!$I$5:$AB$5,0))</f>
        <v>0</v>
      </c>
      <c r="W121" s="232">
        <f>INDEX('Prop. prices'!$I$8:$AB$82,MATCH('Tariff schedule'!$C121,'Prop. prices'!$C$8:$C$82,0),MATCH('Tariff schedule'!W$16,'Prop. prices'!$I$5:$AB$5,0))</f>
        <v>0</v>
      </c>
      <c r="X121" s="232">
        <f>INDEX('Prop. prices'!$I$8:$AB$82,MATCH('Tariff schedule'!$C121,'Prop. prices'!$C$8:$C$82,0),MATCH('Tariff schedule'!X$16,'Prop. prices'!$I$5:$AB$5,0))</f>
        <v>0</v>
      </c>
      <c r="Y121" s="232">
        <f>INDEX('Prop. prices'!$I$8:$AB$82,MATCH('Tariff schedule'!$C121,'Prop. prices'!$C$8:$C$82,0),MATCH('Tariff schedule'!Y$16,'Prop. prices'!$I$5:$AB$5,0))</f>
        <v>0</v>
      </c>
      <c r="Z121" s="232">
        <f>INDEX('Prop. prices'!$I$8:$AB$82,MATCH('Tariff schedule'!$C121,'Prop. prices'!$C$8:$C$82,0),MATCH('Tariff schedule'!Z$16,'Prop. prices'!$I$5:$AB$5,0))</f>
        <v>0</v>
      </c>
      <c r="AA121" s="232">
        <f>INDEX('Prop. prices'!$I$8:$AB$82,MATCH('Tariff schedule'!$C121,'Prop. prices'!$C$8:$C$82,0),MATCH('Tariff schedule'!AA$16,'Prop. prices'!$I$5:$AB$5,0))</f>
        <v>0</v>
      </c>
      <c r="AB121" s="232">
        <f>INDEX('Prop. prices'!$I$8:$AB$82,MATCH('Tariff schedule'!$C121,'Prop. prices'!$C$8:$C$82,0),MATCH('Tariff schedule'!AB$16,'Prop. prices'!$I$5:$AB$5,0))</f>
        <v>0</v>
      </c>
      <c r="AC121" s="70"/>
      <c r="AD121" s="19"/>
      <c r="AE121" s="19"/>
      <c r="AF121" s="19"/>
      <c r="AG121" s="19"/>
    </row>
    <row r="122" spans="1:33" hidden="1" outlineLevel="3" x14ac:dyDescent="0.2">
      <c r="A122" s="19"/>
      <c r="B122" s="19"/>
      <c r="C122" s="506">
        <f t="shared" si="77"/>
        <v>0</v>
      </c>
      <c r="D122" s="505">
        <f t="shared" si="77"/>
        <v>0</v>
      </c>
      <c r="E122" s="505">
        <f t="shared" si="77"/>
        <v>0</v>
      </c>
      <c r="F122" s="505">
        <f t="shared" si="77"/>
        <v>0</v>
      </c>
      <c r="G122" s="505">
        <f t="shared" si="77"/>
        <v>0</v>
      </c>
      <c r="H122" s="58"/>
      <c r="I122" s="232">
        <f>INDEX('Prop. prices'!$I$8:$AB$82,MATCH('Tariff schedule'!$C122,'Prop. prices'!$C$8:$C$82,0),MATCH('Tariff schedule'!I$16,'Prop. prices'!$I$5:$AB$5,0))</f>
        <v>0</v>
      </c>
      <c r="J122" s="232">
        <f>INDEX('Prop. prices'!$I$8:$AB$82,MATCH('Tariff schedule'!$C122,'Prop. prices'!$C$8:$C$82,0),MATCH('Tariff schedule'!J$16,'Prop. prices'!$I$5:$AB$5,0))</f>
        <v>0</v>
      </c>
      <c r="K122" s="232">
        <f>INDEX('Prop. prices'!$I$8:$AB$82,MATCH('Tariff schedule'!$C122,'Prop. prices'!$C$8:$C$82,0),MATCH('Tariff schedule'!K$16,'Prop. prices'!$I$5:$AB$5,0))</f>
        <v>0</v>
      </c>
      <c r="L122" s="232">
        <f>INDEX('Prop. prices'!$I$8:$AB$82,MATCH('Tariff schedule'!$C122,'Prop. prices'!$C$8:$C$82,0),MATCH('Tariff schedule'!L$16,'Prop. prices'!$I$5:$AB$5,0))</f>
        <v>0</v>
      </c>
      <c r="M122" s="232">
        <f>INDEX('Prop. prices'!$I$8:$AB$82,MATCH('Tariff schedule'!$C122,'Prop. prices'!$C$8:$C$82,0),MATCH('Tariff schedule'!M$16,'Prop. prices'!$I$5:$AB$5,0))</f>
        <v>0</v>
      </c>
      <c r="N122" s="232">
        <f>INDEX('Prop. prices'!$I$8:$AB$82,MATCH('Tariff schedule'!$C122,'Prop. prices'!$C$8:$C$82,0),MATCH('Tariff schedule'!N$16,'Prop. prices'!$I$5:$AB$5,0))</f>
        <v>0</v>
      </c>
      <c r="O122" s="232">
        <f>INDEX('Prop. prices'!$I$8:$AB$82,MATCH('Tariff schedule'!$C122,'Prop. prices'!$C$8:$C$82,0),MATCH('Tariff schedule'!O$16,'Prop. prices'!$I$5:$AB$5,0))</f>
        <v>0</v>
      </c>
      <c r="P122" s="232">
        <f>INDEX('Prop. prices'!$I$8:$AB$82,MATCH('Tariff schedule'!$C122,'Prop. prices'!$C$8:$C$82,0),MATCH('Tariff schedule'!P$16,'Prop. prices'!$I$5:$AB$5,0))</f>
        <v>0</v>
      </c>
      <c r="Q122" s="232">
        <f>INDEX('Prop. prices'!$I$8:$AB$82,MATCH('Tariff schedule'!$C122,'Prop. prices'!$C$8:$C$82,0),MATCH('Tariff schedule'!Q$16,'Prop. prices'!$I$5:$AB$5,0))</f>
        <v>0</v>
      </c>
      <c r="R122" s="232">
        <f>INDEX('Prop. prices'!$I$8:$AB$82,MATCH('Tariff schedule'!$C122,'Prop. prices'!$C$8:$C$82,0),MATCH('Tariff schedule'!R$16,'Prop. prices'!$I$5:$AB$5,0))</f>
        <v>0</v>
      </c>
      <c r="S122" s="232">
        <f>INDEX('Prop. prices'!$I$8:$AB$82,MATCH('Tariff schedule'!$C122,'Prop. prices'!$C$8:$C$82,0),MATCH('Tariff schedule'!S$16,'Prop. prices'!$I$5:$AB$5,0))</f>
        <v>0</v>
      </c>
      <c r="T122" s="232">
        <f>INDEX('Prop. prices'!$I$8:$AB$82,MATCH('Tariff schedule'!$C122,'Prop. prices'!$C$8:$C$82,0),MATCH('Tariff schedule'!T$16,'Prop. prices'!$I$5:$AB$5,0))</f>
        <v>0</v>
      </c>
      <c r="U122" s="232">
        <f>INDEX('Prop. prices'!$I$8:$AB$82,MATCH('Tariff schedule'!$C122,'Prop. prices'!$C$8:$C$82,0),MATCH('Tariff schedule'!U$16,'Prop. prices'!$I$5:$AB$5,0))</f>
        <v>0</v>
      </c>
      <c r="V122" s="232">
        <f>INDEX('Prop. prices'!$I$8:$AB$82,MATCH('Tariff schedule'!$C122,'Prop. prices'!$C$8:$C$82,0),MATCH('Tariff schedule'!V$16,'Prop. prices'!$I$5:$AB$5,0))</f>
        <v>0</v>
      </c>
      <c r="W122" s="232">
        <f>INDEX('Prop. prices'!$I$8:$AB$82,MATCH('Tariff schedule'!$C122,'Prop. prices'!$C$8:$C$82,0),MATCH('Tariff schedule'!W$16,'Prop. prices'!$I$5:$AB$5,0))</f>
        <v>0</v>
      </c>
      <c r="X122" s="232">
        <f>INDEX('Prop. prices'!$I$8:$AB$82,MATCH('Tariff schedule'!$C122,'Prop. prices'!$C$8:$C$82,0),MATCH('Tariff schedule'!X$16,'Prop. prices'!$I$5:$AB$5,0))</f>
        <v>0</v>
      </c>
      <c r="Y122" s="232">
        <f>INDEX('Prop. prices'!$I$8:$AB$82,MATCH('Tariff schedule'!$C122,'Prop. prices'!$C$8:$C$82,0),MATCH('Tariff schedule'!Y$16,'Prop. prices'!$I$5:$AB$5,0))</f>
        <v>0</v>
      </c>
      <c r="Z122" s="232">
        <f>INDEX('Prop. prices'!$I$8:$AB$82,MATCH('Tariff schedule'!$C122,'Prop. prices'!$C$8:$C$82,0),MATCH('Tariff schedule'!Z$16,'Prop. prices'!$I$5:$AB$5,0))</f>
        <v>0</v>
      </c>
      <c r="AA122" s="232">
        <f>INDEX('Prop. prices'!$I$8:$AB$82,MATCH('Tariff schedule'!$C122,'Prop. prices'!$C$8:$C$82,0),MATCH('Tariff schedule'!AA$16,'Prop. prices'!$I$5:$AB$5,0))</f>
        <v>0</v>
      </c>
      <c r="AB122" s="232">
        <f>INDEX('Prop. prices'!$I$8:$AB$82,MATCH('Tariff schedule'!$C122,'Prop. prices'!$C$8:$C$82,0),MATCH('Tariff schedule'!AB$16,'Prop. prices'!$I$5:$AB$5,0))</f>
        <v>0</v>
      </c>
      <c r="AC122" s="70"/>
      <c r="AD122" s="19"/>
      <c r="AE122" s="19"/>
      <c r="AF122" s="19"/>
      <c r="AG122" s="19"/>
    </row>
    <row r="123" spans="1:33" hidden="1" outlineLevel="3" x14ac:dyDescent="0.2">
      <c r="A123" s="19"/>
      <c r="B123" s="19"/>
      <c r="C123" s="506">
        <f t="shared" si="77"/>
        <v>0</v>
      </c>
      <c r="D123" s="505">
        <f t="shared" si="77"/>
        <v>0</v>
      </c>
      <c r="E123" s="505">
        <f t="shared" si="77"/>
        <v>0</v>
      </c>
      <c r="F123" s="505">
        <f t="shared" si="77"/>
        <v>0</v>
      </c>
      <c r="G123" s="505">
        <f t="shared" si="77"/>
        <v>0</v>
      </c>
      <c r="H123" s="58"/>
      <c r="I123" s="232">
        <f>INDEX('Prop. prices'!$I$8:$AB$82,MATCH('Tariff schedule'!$C123,'Prop. prices'!$C$8:$C$82,0),MATCH('Tariff schedule'!I$16,'Prop. prices'!$I$5:$AB$5,0))</f>
        <v>0</v>
      </c>
      <c r="J123" s="232">
        <f>INDEX('Prop. prices'!$I$8:$AB$82,MATCH('Tariff schedule'!$C123,'Prop. prices'!$C$8:$C$82,0),MATCH('Tariff schedule'!J$16,'Prop. prices'!$I$5:$AB$5,0))</f>
        <v>0</v>
      </c>
      <c r="K123" s="232">
        <f>INDEX('Prop. prices'!$I$8:$AB$82,MATCH('Tariff schedule'!$C123,'Prop. prices'!$C$8:$C$82,0),MATCH('Tariff schedule'!K$16,'Prop. prices'!$I$5:$AB$5,0))</f>
        <v>0</v>
      </c>
      <c r="L123" s="232">
        <f>INDEX('Prop. prices'!$I$8:$AB$82,MATCH('Tariff schedule'!$C123,'Prop. prices'!$C$8:$C$82,0),MATCH('Tariff schedule'!L$16,'Prop. prices'!$I$5:$AB$5,0))</f>
        <v>0</v>
      </c>
      <c r="M123" s="232">
        <f>INDEX('Prop. prices'!$I$8:$AB$82,MATCH('Tariff schedule'!$C123,'Prop. prices'!$C$8:$C$82,0),MATCH('Tariff schedule'!M$16,'Prop. prices'!$I$5:$AB$5,0))</f>
        <v>0</v>
      </c>
      <c r="N123" s="232">
        <f>INDEX('Prop. prices'!$I$8:$AB$82,MATCH('Tariff schedule'!$C123,'Prop. prices'!$C$8:$C$82,0),MATCH('Tariff schedule'!N$16,'Prop. prices'!$I$5:$AB$5,0))</f>
        <v>0</v>
      </c>
      <c r="O123" s="232">
        <f>INDEX('Prop. prices'!$I$8:$AB$82,MATCH('Tariff schedule'!$C123,'Prop. prices'!$C$8:$C$82,0),MATCH('Tariff schedule'!O$16,'Prop. prices'!$I$5:$AB$5,0))</f>
        <v>0</v>
      </c>
      <c r="P123" s="232">
        <f>INDEX('Prop. prices'!$I$8:$AB$82,MATCH('Tariff schedule'!$C123,'Prop. prices'!$C$8:$C$82,0),MATCH('Tariff schedule'!P$16,'Prop. prices'!$I$5:$AB$5,0))</f>
        <v>0</v>
      </c>
      <c r="Q123" s="232">
        <f>INDEX('Prop. prices'!$I$8:$AB$82,MATCH('Tariff schedule'!$C123,'Prop. prices'!$C$8:$C$82,0),MATCH('Tariff schedule'!Q$16,'Prop. prices'!$I$5:$AB$5,0))</f>
        <v>0</v>
      </c>
      <c r="R123" s="232">
        <f>INDEX('Prop. prices'!$I$8:$AB$82,MATCH('Tariff schedule'!$C123,'Prop. prices'!$C$8:$C$82,0),MATCH('Tariff schedule'!R$16,'Prop. prices'!$I$5:$AB$5,0))</f>
        <v>0</v>
      </c>
      <c r="S123" s="232">
        <f>INDEX('Prop. prices'!$I$8:$AB$82,MATCH('Tariff schedule'!$C123,'Prop. prices'!$C$8:$C$82,0),MATCH('Tariff schedule'!S$16,'Prop. prices'!$I$5:$AB$5,0))</f>
        <v>0</v>
      </c>
      <c r="T123" s="232">
        <f>INDEX('Prop. prices'!$I$8:$AB$82,MATCH('Tariff schedule'!$C123,'Prop. prices'!$C$8:$C$82,0),MATCH('Tariff schedule'!T$16,'Prop. prices'!$I$5:$AB$5,0))</f>
        <v>0</v>
      </c>
      <c r="U123" s="232">
        <f>INDEX('Prop. prices'!$I$8:$AB$82,MATCH('Tariff schedule'!$C123,'Prop. prices'!$C$8:$C$82,0),MATCH('Tariff schedule'!U$16,'Prop. prices'!$I$5:$AB$5,0))</f>
        <v>0</v>
      </c>
      <c r="V123" s="232">
        <f>INDEX('Prop. prices'!$I$8:$AB$82,MATCH('Tariff schedule'!$C123,'Prop. prices'!$C$8:$C$82,0),MATCH('Tariff schedule'!V$16,'Prop. prices'!$I$5:$AB$5,0))</f>
        <v>0</v>
      </c>
      <c r="W123" s="232">
        <f>INDEX('Prop. prices'!$I$8:$AB$82,MATCH('Tariff schedule'!$C123,'Prop. prices'!$C$8:$C$82,0),MATCH('Tariff schedule'!W$16,'Prop. prices'!$I$5:$AB$5,0))</f>
        <v>0</v>
      </c>
      <c r="X123" s="232">
        <f>INDEX('Prop. prices'!$I$8:$AB$82,MATCH('Tariff schedule'!$C123,'Prop. prices'!$C$8:$C$82,0),MATCH('Tariff schedule'!X$16,'Prop. prices'!$I$5:$AB$5,0))</f>
        <v>0</v>
      </c>
      <c r="Y123" s="232">
        <f>INDEX('Prop. prices'!$I$8:$AB$82,MATCH('Tariff schedule'!$C123,'Prop. prices'!$C$8:$C$82,0),MATCH('Tariff schedule'!Y$16,'Prop. prices'!$I$5:$AB$5,0))</f>
        <v>0</v>
      </c>
      <c r="Z123" s="232">
        <f>INDEX('Prop. prices'!$I$8:$AB$82,MATCH('Tariff schedule'!$C123,'Prop. prices'!$C$8:$C$82,0),MATCH('Tariff schedule'!Z$16,'Prop. prices'!$I$5:$AB$5,0))</f>
        <v>0</v>
      </c>
      <c r="AA123" s="232">
        <f>INDEX('Prop. prices'!$I$8:$AB$82,MATCH('Tariff schedule'!$C123,'Prop. prices'!$C$8:$C$82,0),MATCH('Tariff schedule'!AA$16,'Prop. prices'!$I$5:$AB$5,0))</f>
        <v>0</v>
      </c>
      <c r="AB123" s="232">
        <f>INDEX('Prop. prices'!$I$8:$AB$82,MATCH('Tariff schedule'!$C123,'Prop. prices'!$C$8:$C$82,0),MATCH('Tariff schedule'!AB$16,'Prop. prices'!$I$5:$AB$5,0))</f>
        <v>0</v>
      </c>
      <c r="AC123" s="70"/>
      <c r="AD123" s="19"/>
      <c r="AE123" s="19"/>
      <c r="AF123" s="19"/>
      <c r="AG123" s="19"/>
    </row>
    <row r="124" spans="1:33" hidden="1" outlineLevel="3" x14ac:dyDescent="0.2">
      <c r="A124" s="19"/>
      <c r="B124" s="19"/>
      <c r="C124" s="506">
        <f t="shared" si="77"/>
        <v>0</v>
      </c>
      <c r="D124" s="505">
        <f t="shared" si="77"/>
        <v>0</v>
      </c>
      <c r="E124" s="505">
        <f t="shared" si="77"/>
        <v>0</v>
      </c>
      <c r="F124" s="505">
        <f t="shared" si="77"/>
        <v>0</v>
      </c>
      <c r="G124" s="505">
        <f t="shared" si="77"/>
        <v>0</v>
      </c>
      <c r="H124" s="58"/>
      <c r="I124" s="232">
        <f>INDEX('Prop. prices'!$I$8:$AB$82,MATCH('Tariff schedule'!$C124,'Prop. prices'!$C$8:$C$82,0),MATCH('Tariff schedule'!I$16,'Prop. prices'!$I$5:$AB$5,0))</f>
        <v>0</v>
      </c>
      <c r="J124" s="232">
        <f>INDEX('Prop. prices'!$I$8:$AB$82,MATCH('Tariff schedule'!$C124,'Prop. prices'!$C$8:$C$82,0),MATCH('Tariff schedule'!J$16,'Prop. prices'!$I$5:$AB$5,0))</f>
        <v>0</v>
      </c>
      <c r="K124" s="232">
        <f>INDEX('Prop. prices'!$I$8:$AB$82,MATCH('Tariff schedule'!$C124,'Prop. prices'!$C$8:$C$82,0),MATCH('Tariff schedule'!K$16,'Prop. prices'!$I$5:$AB$5,0))</f>
        <v>0</v>
      </c>
      <c r="L124" s="232">
        <f>INDEX('Prop. prices'!$I$8:$AB$82,MATCH('Tariff schedule'!$C124,'Prop. prices'!$C$8:$C$82,0),MATCH('Tariff schedule'!L$16,'Prop. prices'!$I$5:$AB$5,0))</f>
        <v>0</v>
      </c>
      <c r="M124" s="232">
        <f>INDEX('Prop. prices'!$I$8:$AB$82,MATCH('Tariff schedule'!$C124,'Prop. prices'!$C$8:$C$82,0),MATCH('Tariff schedule'!M$16,'Prop. prices'!$I$5:$AB$5,0))</f>
        <v>0</v>
      </c>
      <c r="N124" s="232">
        <f>INDEX('Prop. prices'!$I$8:$AB$82,MATCH('Tariff schedule'!$C124,'Prop. prices'!$C$8:$C$82,0),MATCH('Tariff schedule'!N$16,'Prop. prices'!$I$5:$AB$5,0))</f>
        <v>0</v>
      </c>
      <c r="O124" s="232">
        <f>INDEX('Prop. prices'!$I$8:$AB$82,MATCH('Tariff schedule'!$C124,'Prop. prices'!$C$8:$C$82,0),MATCH('Tariff schedule'!O$16,'Prop. prices'!$I$5:$AB$5,0))</f>
        <v>0</v>
      </c>
      <c r="P124" s="232">
        <f>INDEX('Prop. prices'!$I$8:$AB$82,MATCH('Tariff schedule'!$C124,'Prop. prices'!$C$8:$C$82,0),MATCH('Tariff schedule'!P$16,'Prop. prices'!$I$5:$AB$5,0))</f>
        <v>0</v>
      </c>
      <c r="Q124" s="232">
        <f>INDEX('Prop. prices'!$I$8:$AB$82,MATCH('Tariff schedule'!$C124,'Prop. prices'!$C$8:$C$82,0),MATCH('Tariff schedule'!Q$16,'Prop. prices'!$I$5:$AB$5,0))</f>
        <v>0</v>
      </c>
      <c r="R124" s="232">
        <f>INDEX('Prop. prices'!$I$8:$AB$82,MATCH('Tariff schedule'!$C124,'Prop. prices'!$C$8:$C$82,0),MATCH('Tariff schedule'!R$16,'Prop. prices'!$I$5:$AB$5,0))</f>
        <v>0</v>
      </c>
      <c r="S124" s="232">
        <f>INDEX('Prop. prices'!$I$8:$AB$82,MATCH('Tariff schedule'!$C124,'Prop. prices'!$C$8:$C$82,0),MATCH('Tariff schedule'!S$16,'Prop. prices'!$I$5:$AB$5,0))</f>
        <v>0</v>
      </c>
      <c r="T124" s="232">
        <f>INDEX('Prop. prices'!$I$8:$AB$82,MATCH('Tariff schedule'!$C124,'Prop. prices'!$C$8:$C$82,0),MATCH('Tariff schedule'!T$16,'Prop. prices'!$I$5:$AB$5,0))</f>
        <v>0</v>
      </c>
      <c r="U124" s="232">
        <f>INDEX('Prop. prices'!$I$8:$AB$82,MATCH('Tariff schedule'!$C124,'Prop. prices'!$C$8:$C$82,0),MATCH('Tariff schedule'!U$16,'Prop. prices'!$I$5:$AB$5,0))</f>
        <v>0</v>
      </c>
      <c r="V124" s="232">
        <f>INDEX('Prop. prices'!$I$8:$AB$82,MATCH('Tariff schedule'!$C124,'Prop. prices'!$C$8:$C$82,0),MATCH('Tariff schedule'!V$16,'Prop. prices'!$I$5:$AB$5,0))</f>
        <v>0</v>
      </c>
      <c r="W124" s="232">
        <f>INDEX('Prop. prices'!$I$8:$AB$82,MATCH('Tariff schedule'!$C124,'Prop. prices'!$C$8:$C$82,0),MATCH('Tariff schedule'!W$16,'Prop. prices'!$I$5:$AB$5,0))</f>
        <v>0</v>
      </c>
      <c r="X124" s="232">
        <f>INDEX('Prop. prices'!$I$8:$AB$82,MATCH('Tariff schedule'!$C124,'Prop. prices'!$C$8:$C$82,0),MATCH('Tariff schedule'!X$16,'Prop. prices'!$I$5:$AB$5,0))</f>
        <v>0</v>
      </c>
      <c r="Y124" s="232">
        <f>INDEX('Prop. prices'!$I$8:$AB$82,MATCH('Tariff schedule'!$C124,'Prop. prices'!$C$8:$C$82,0),MATCH('Tariff schedule'!Y$16,'Prop. prices'!$I$5:$AB$5,0))</f>
        <v>0</v>
      </c>
      <c r="Z124" s="232">
        <f>INDEX('Prop. prices'!$I$8:$AB$82,MATCH('Tariff schedule'!$C124,'Prop. prices'!$C$8:$C$82,0),MATCH('Tariff schedule'!Z$16,'Prop. prices'!$I$5:$AB$5,0))</f>
        <v>0</v>
      </c>
      <c r="AA124" s="232">
        <f>INDEX('Prop. prices'!$I$8:$AB$82,MATCH('Tariff schedule'!$C124,'Prop. prices'!$C$8:$C$82,0),MATCH('Tariff schedule'!AA$16,'Prop. prices'!$I$5:$AB$5,0))</f>
        <v>0</v>
      </c>
      <c r="AB124" s="232">
        <f>INDEX('Prop. prices'!$I$8:$AB$82,MATCH('Tariff schedule'!$C124,'Prop. prices'!$C$8:$C$82,0),MATCH('Tariff schedule'!AB$16,'Prop. prices'!$I$5:$AB$5,0))</f>
        <v>0</v>
      </c>
      <c r="AC124" s="70"/>
      <c r="AD124" s="19"/>
      <c r="AE124" s="19"/>
      <c r="AF124" s="19"/>
      <c r="AG124" s="19"/>
    </row>
    <row r="125" spans="1:33" hidden="1" outlineLevel="3" x14ac:dyDescent="0.2">
      <c r="A125" s="19"/>
      <c r="B125" s="19"/>
      <c r="C125" s="506">
        <f t="shared" si="77"/>
        <v>0</v>
      </c>
      <c r="D125" s="505">
        <f t="shared" si="77"/>
        <v>0</v>
      </c>
      <c r="E125" s="505">
        <f t="shared" si="77"/>
        <v>0</v>
      </c>
      <c r="F125" s="505">
        <f t="shared" si="77"/>
        <v>0</v>
      </c>
      <c r="G125" s="505">
        <f t="shared" si="77"/>
        <v>0</v>
      </c>
      <c r="H125" s="58"/>
      <c r="I125" s="232">
        <f>INDEX('Prop. prices'!$I$8:$AB$82,MATCH('Tariff schedule'!$C125,'Prop. prices'!$C$8:$C$82,0),MATCH('Tariff schedule'!I$16,'Prop. prices'!$I$5:$AB$5,0))</f>
        <v>0</v>
      </c>
      <c r="J125" s="232">
        <f>INDEX('Prop. prices'!$I$8:$AB$82,MATCH('Tariff schedule'!$C125,'Prop. prices'!$C$8:$C$82,0),MATCH('Tariff schedule'!J$16,'Prop. prices'!$I$5:$AB$5,0))</f>
        <v>0</v>
      </c>
      <c r="K125" s="232">
        <f>INDEX('Prop. prices'!$I$8:$AB$82,MATCH('Tariff schedule'!$C125,'Prop. prices'!$C$8:$C$82,0),MATCH('Tariff schedule'!K$16,'Prop. prices'!$I$5:$AB$5,0))</f>
        <v>0</v>
      </c>
      <c r="L125" s="232">
        <f>INDEX('Prop. prices'!$I$8:$AB$82,MATCH('Tariff schedule'!$C125,'Prop. prices'!$C$8:$C$82,0),MATCH('Tariff schedule'!L$16,'Prop. prices'!$I$5:$AB$5,0))</f>
        <v>0</v>
      </c>
      <c r="M125" s="232">
        <f>INDEX('Prop. prices'!$I$8:$AB$82,MATCH('Tariff schedule'!$C125,'Prop. prices'!$C$8:$C$82,0),MATCH('Tariff schedule'!M$16,'Prop. prices'!$I$5:$AB$5,0))</f>
        <v>0</v>
      </c>
      <c r="N125" s="232">
        <f>INDEX('Prop. prices'!$I$8:$AB$82,MATCH('Tariff schedule'!$C125,'Prop. prices'!$C$8:$C$82,0),MATCH('Tariff schedule'!N$16,'Prop. prices'!$I$5:$AB$5,0))</f>
        <v>0</v>
      </c>
      <c r="O125" s="232">
        <f>INDEX('Prop. prices'!$I$8:$AB$82,MATCH('Tariff schedule'!$C125,'Prop. prices'!$C$8:$C$82,0),MATCH('Tariff schedule'!O$16,'Prop. prices'!$I$5:$AB$5,0))</f>
        <v>0</v>
      </c>
      <c r="P125" s="232">
        <f>INDEX('Prop. prices'!$I$8:$AB$82,MATCH('Tariff schedule'!$C125,'Prop. prices'!$C$8:$C$82,0),MATCH('Tariff schedule'!P$16,'Prop. prices'!$I$5:$AB$5,0))</f>
        <v>0</v>
      </c>
      <c r="Q125" s="232">
        <f>INDEX('Prop. prices'!$I$8:$AB$82,MATCH('Tariff schedule'!$C125,'Prop. prices'!$C$8:$C$82,0),MATCH('Tariff schedule'!Q$16,'Prop. prices'!$I$5:$AB$5,0))</f>
        <v>0</v>
      </c>
      <c r="R125" s="232">
        <f>INDEX('Prop. prices'!$I$8:$AB$82,MATCH('Tariff schedule'!$C125,'Prop. prices'!$C$8:$C$82,0),MATCH('Tariff schedule'!R$16,'Prop. prices'!$I$5:$AB$5,0))</f>
        <v>0</v>
      </c>
      <c r="S125" s="232">
        <f>INDEX('Prop. prices'!$I$8:$AB$82,MATCH('Tariff schedule'!$C125,'Prop. prices'!$C$8:$C$82,0),MATCH('Tariff schedule'!S$16,'Prop. prices'!$I$5:$AB$5,0))</f>
        <v>0</v>
      </c>
      <c r="T125" s="232">
        <f>INDEX('Prop. prices'!$I$8:$AB$82,MATCH('Tariff schedule'!$C125,'Prop. prices'!$C$8:$C$82,0),MATCH('Tariff schedule'!T$16,'Prop. prices'!$I$5:$AB$5,0))</f>
        <v>0</v>
      </c>
      <c r="U125" s="232">
        <f>INDEX('Prop. prices'!$I$8:$AB$82,MATCH('Tariff schedule'!$C125,'Prop. prices'!$C$8:$C$82,0),MATCH('Tariff schedule'!U$16,'Prop. prices'!$I$5:$AB$5,0))</f>
        <v>0</v>
      </c>
      <c r="V125" s="232">
        <f>INDEX('Prop. prices'!$I$8:$AB$82,MATCH('Tariff schedule'!$C125,'Prop. prices'!$C$8:$C$82,0),MATCH('Tariff schedule'!V$16,'Prop. prices'!$I$5:$AB$5,0))</f>
        <v>0</v>
      </c>
      <c r="W125" s="232">
        <f>INDEX('Prop. prices'!$I$8:$AB$82,MATCH('Tariff schedule'!$C125,'Prop. prices'!$C$8:$C$82,0),MATCH('Tariff schedule'!W$16,'Prop. prices'!$I$5:$AB$5,0))</f>
        <v>0</v>
      </c>
      <c r="X125" s="232">
        <f>INDEX('Prop. prices'!$I$8:$AB$82,MATCH('Tariff schedule'!$C125,'Prop. prices'!$C$8:$C$82,0),MATCH('Tariff schedule'!X$16,'Prop. prices'!$I$5:$AB$5,0))</f>
        <v>0</v>
      </c>
      <c r="Y125" s="232">
        <f>INDEX('Prop. prices'!$I$8:$AB$82,MATCH('Tariff schedule'!$C125,'Prop. prices'!$C$8:$C$82,0),MATCH('Tariff schedule'!Y$16,'Prop. prices'!$I$5:$AB$5,0))</f>
        <v>0</v>
      </c>
      <c r="Z125" s="232">
        <f>INDEX('Prop. prices'!$I$8:$AB$82,MATCH('Tariff schedule'!$C125,'Prop. prices'!$C$8:$C$82,0),MATCH('Tariff schedule'!Z$16,'Prop. prices'!$I$5:$AB$5,0))</f>
        <v>0</v>
      </c>
      <c r="AA125" s="232">
        <f>INDEX('Prop. prices'!$I$8:$AB$82,MATCH('Tariff schedule'!$C125,'Prop. prices'!$C$8:$C$82,0),MATCH('Tariff schedule'!AA$16,'Prop. prices'!$I$5:$AB$5,0))</f>
        <v>0</v>
      </c>
      <c r="AB125" s="232">
        <f>INDEX('Prop. prices'!$I$8:$AB$82,MATCH('Tariff schedule'!$C125,'Prop. prices'!$C$8:$C$82,0),MATCH('Tariff schedule'!AB$16,'Prop. prices'!$I$5:$AB$5,0))</f>
        <v>0</v>
      </c>
      <c r="AC125" s="70"/>
      <c r="AD125" s="19"/>
      <c r="AE125" s="19"/>
      <c r="AF125" s="19"/>
      <c r="AG125" s="19"/>
    </row>
    <row r="126" spans="1:33" hidden="1" outlineLevel="3" x14ac:dyDescent="0.2">
      <c r="A126" s="19"/>
      <c r="B126" s="19"/>
      <c r="C126" s="506">
        <f t="shared" si="77"/>
        <v>0</v>
      </c>
      <c r="D126" s="505">
        <f t="shared" si="77"/>
        <v>0</v>
      </c>
      <c r="E126" s="505">
        <f t="shared" si="77"/>
        <v>0</v>
      </c>
      <c r="F126" s="505">
        <f t="shared" si="77"/>
        <v>0</v>
      </c>
      <c r="G126" s="505">
        <f t="shared" si="77"/>
        <v>0</v>
      </c>
      <c r="H126" s="58"/>
      <c r="I126" s="232">
        <f>INDEX('Prop. prices'!$I$8:$AB$82,MATCH('Tariff schedule'!$C126,'Prop. prices'!$C$8:$C$82,0),MATCH('Tariff schedule'!I$16,'Prop. prices'!$I$5:$AB$5,0))</f>
        <v>0</v>
      </c>
      <c r="J126" s="232">
        <f>INDEX('Prop. prices'!$I$8:$AB$82,MATCH('Tariff schedule'!$C126,'Prop. prices'!$C$8:$C$82,0),MATCH('Tariff schedule'!J$16,'Prop. prices'!$I$5:$AB$5,0))</f>
        <v>0</v>
      </c>
      <c r="K126" s="232">
        <f>INDEX('Prop. prices'!$I$8:$AB$82,MATCH('Tariff schedule'!$C126,'Prop. prices'!$C$8:$C$82,0),MATCH('Tariff schedule'!K$16,'Prop. prices'!$I$5:$AB$5,0))</f>
        <v>0</v>
      </c>
      <c r="L126" s="232">
        <f>INDEX('Prop. prices'!$I$8:$AB$82,MATCH('Tariff schedule'!$C126,'Prop. prices'!$C$8:$C$82,0),MATCH('Tariff schedule'!L$16,'Prop. prices'!$I$5:$AB$5,0))</f>
        <v>0</v>
      </c>
      <c r="M126" s="232">
        <f>INDEX('Prop. prices'!$I$8:$AB$82,MATCH('Tariff schedule'!$C126,'Prop. prices'!$C$8:$C$82,0),MATCH('Tariff schedule'!M$16,'Prop. prices'!$I$5:$AB$5,0))</f>
        <v>0</v>
      </c>
      <c r="N126" s="232">
        <f>INDEX('Prop. prices'!$I$8:$AB$82,MATCH('Tariff schedule'!$C126,'Prop. prices'!$C$8:$C$82,0),MATCH('Tariff schedule'!N$16,'Prop. prices'!$I$5:$AB$5,0))</f>
        <v>0</v>
      </c>
      <c r="O126" s="232">
        <f>INDEX('Prop. prices'!$I$8:$AB$82,MATCH('Tariff schedule'!$C126,'Prop. prices'!$C$8:$C$82,0),MATCH('Tariff schedule'!O$16,'Prop. prices'!$I$5:$AB$5,0))</f>
        <v>0</v>
      </c>
      <c r="P126" s="232">
        <f>INDEX('Prop. prices'!$I$8:$AB$82,MATCH('Tariff schedule'!$C126,'Prop. prices'!$C$8:$C$82,0),MATCH('Tariff schedule'!P$16,'Prop. prices'!$I$5:$AB$5,0))</f>
        <v>0</v>
      </c>
      <c r="Q126" s="232">
        <f>INDEX('Prop. prices'!$I$8:$AB$82,MATCH('Tariff schedule'!$C126,'Prop. prices'!$C$8:$C$82,0),MATCH('Tariff schedule'!Q$16,'Prop. prices'!$I$5:$AB$5,0))</f>
        <v>0</v>
      </c>
      <c r="R126" s="232">
        <f>INDEX('Prop. prices'!$I$8:$AB$82,MATCH('Tariff schedule'!$C126,'Prop. prices'!$C$8:$C$82,0),MATCH('Tariff schedule'!R$16,'Prop. prices'!$I$5:$AB$5,0))</f>
        <v>0</v>
      </c>
      <c r="S126" s="232">
        <f>INDEX('Prop. prices'!$I$8:$AB$82,MATCH('Tariff schedule'!$C126,'Prop. prices'!$C$8:$C$82,0),MATCH('Tariff schedule'!S$16,'Prop. prices'!$I$5:$AB$5,0))</f>
        <v>0</v>
      </c>
      <c r="T126" s="232">
        <f>INDEX('Prop. prices'!$I$8:$AB$82,MATCH('Tariff schedule'!$C126,'Prop. prices'!$C$8:$C$82,0),MATCH('Tariff schedule'!T$16,'Prop. prices'!$I$5:$AB$5,0))</f>
        <v>0</v>
      </c>
      <c r="U126" s="232">
        <f>INDEX('Prop. prices'!$I$8:$AB$82,MATCH('Tariff schedule'!$C126,'Prop. prices'!$C$8:$C$82,0),MATCH('Tariff schedule'!U$16,'Prop. prices'!$I$5:$AB$5,0))</f>
        <v>0</v>
      </c>
      <c r="V126" s="232">
        <f>INDEX('Prop. prices'!$I$8:$AB$82,MATCH('Tariff schedule'!$C126,'Prop. prices'!$C$8:$C$82,0),MATCH('Tariff schedule'!V$16,'Prop. prices'!$I$5:$AB$5,0))</f>
        <v>0</v>
      </c>
      <c r="W126" s="232">
        <f>INDEX('Prop. prices'!$I$8:$AB$82,MATCH('Tariff schedule'!$C126,'Prop. prices'!$C$8:$C$82,0),MATCH('Tariff schedule'!W$16,'Prop. prices'!$I$5:$AB$5,0))</f>
        <v>0</v>
      </c>
      <c r="X126" s="232">
        <f>INDEX('Prop. prices'!$I$8:$AB$82,MATCH('Tariff schedule'!$C126,'Prop. prices'!$C$8:$C$82,0),MATCH('Tariff schedule'!X$16,'Prop. prices'!$I$5:$AB$5,0))</f>
        <v>0</v>
      </c>
      <c r="Y126" s="232">
        <f>INDEX('Prop. prices'!$I$8:$AB$82,MATCH('Tariff schedule'!$C126,'Prop. prices'!$C$8:$C$82,0),MATCH('Tariff schedule'!Y$16,'Prop. prices'!$I$5:$AB$5,0))</f>
        <v>0</v>
      </c>
      <c r="Z126" s="232">
        <f>INDEX('Prop. prices'!$I$8:$AB$82,MATCH('Tariff schedule'!$C126,'Prop. prices'!$C$8:$C$82,0),MATCH('Tariff schedule'!Z$16,'Prop. prices'!$I$5:$AB$5,0))</f>
        <v>0</v>
      </c>
      <c r="AA126" s="232">
        <f>INDEX('Prop. prices'!$I$8:$AB$82,MATCH('Tariff schedule'!$C126,'Prop. prices'!$C$8:$C$82,0),MATCH('Tariff schedule'!AA$16,'Prop. prices'!$I$5:$AB$5,0))</f>
        <v>0</v>
      </c>
      <c r="AB126" s="232">
        <f>INDEX('Prop. prices'!$I$8:$AB$82,MATCH('Tariff schedule'!$C126,'Prop. prices'!$C$8:$C$82,0),MATCH('Tariff schedule'!AB$16,'Prop. prices'!$I$5:$AB$5,0))</f>
        <v>0</v>
      </c>
      <c r="AC126" s="70"/>
      <c r="AD126" s="19"/>
      <c r="AE126" s="19"/>
      <c r="AF126" s="19"/>
      <c r="AG126" s="19"/>
    </row>
    <row r="127" spans="1:33" hidden="1" outlineLevel="3" x14ac:dyDescent="0.2">
      <c r="A127" s="19"/>
      <c r="B127" s="19"/>
      <c r="C127" s="506">
        <f t="shared" ref="C127:G136" si="78">C49</f>
        <v>0</v>
      </c>
      <c r="D127" s="505">
        <f t="shared" si="78"/>
        <v>0</v>
      </c>
      <c r="E127" s="505">
        <f t="shared" si="78"/>
        <v>0</v>
      </c>
      <c r="F127" s="505">
        <f t="shared" si="78"/>
        <v>0</v>
      </c>
      <c r="G127" s="505">
        <f t="shared" si="78"/>
        <v>0</v>
      </c>
      <c r="H127" s="58"/>
      <c r="I127" s="232">
        <f>INDEX('Prop. prices'!$I$8:$AB$82,MATCH('Tariff schedule'!$C127,'Prop. prices'!$C$8:$C$82,0),MATCH('Tariff schedule'!I$16,'Prop. prices'!$I$5:$AB$5,0))</f>
        <v>0</v>
      </c>
      <c r="J127" s="232">
        <f>INDEX('Prop. prices'!$I$8:$AB$82,MATCH('Tariff schedule'!$C127,'Prop. prices'!$C$8:$C$82,0),MATCH('Tariff schedule'!J$16,'Prop. prices'!$I$5:$AB$5,0))</f>
        <v>0</v>
      </c>
      <c r="K127" s="232">
        <f>INDEX('Prop. prices'!$I$8:$AB$82,MATCH('Tariff schedule'!$C127,'Prop. prices'!$C$8:$C$82,0),MATCH('Tariff schedule'!K$16,'Prop. prices'!$I$5:$AB$5,0))</f>
        <v>0</v>
      </c>
      <c r="L127" s="232">
        <f>INDEX('Prop. prices'!$I$8:$AB$82,MATCH('Tariff schedule'!$C127,'Prop. prices'!$C$8:$C$82,0),MATCH('Tariff schedule'!L$16,'Prop. prices'!$I$5:$AB$5,0))</f>
        <v>0</v>
      </c>
      <c r="M127" s="232">
        <f>INDEX('Prop. prices'!$I$8:$AB$82,MATCH('Tariff schedule'!$C127,'Prop. prices'!$C$8:$C$82,0),MATCH('Tariff schedule'!M$16,'Prop. prices'!$I$5:$AB$5,0))</f>
        <v>0</v>
      </c>
      <c r="N127" s="232">
        <f>INDEX('Prop. prices'!$I$8:$AB$82,MATCH('Tariff schedule'!$C127,'Prop. prices'!$C$8:$C$82,0),MATCH('Tariff schedule'!N$16,'Prop. prices'!$I$5:$AB$5,0))</f>
        <v>0</v>
      </c>
      <c r="O127" s="232">
        <f>INDEX('Prop. prices'!$I$8:$AB$82,MATCH('Tariff schedule'!$C127,'Prop. prices'!$C$8:$C$82,0),MATCH('Tariff schedule'!O$16,'Prop. prices'!$I$5:$AB$5,0))</f>
        <v>0</v>
      </c>
      <c r="P127" s="232">
        <f>INDEX('Prop. prices'!$I$8:$AB$82,MATCH('Tariff schedule'!$C127,'Prop. prices'!$C$8:$C$82,0),MATCH('Tariff schedule'!P$16,'Prop. prices'!$I$5:$AB$5,0))</f>
        <v>0</v>
      </c>
      <c r="Q127" s="232">
        <f>INDEX('Prop. prices'!$I$8:$AB$82,MATCH('Tariff schedule'!$C127,'Prop. prices'!$C$8:$C$82,0),MATCH('Tariff schedule'!Q$16,'Prop. prices'!$I$5:$AB$5,0))</f>
        <v>0</v>
      </c>
      <c r="R127" s="232">
        <f>INDEX('Prop. prices'!$I$8:$AB$82,MATCH('Tariff schedule'!$C127,'Prop. prices'!$C$8:$C$82,0),MATCH('Tariff schedule'!R$16,'Prop. prices'!$I$5:$AB$5,0))</f>
        <v>0</v>
      </c>
      <c r="S127" s="232">
        <f>INDEX('Prop. prices'!$I$8:$AB$82,MATCH('Tariff schedule'!$C127,'Prop. prices'!$C$8:$C$82,0),MATCH('Tariff schedule'!S$16,'Prop. prices'!$I$5:$AB$5,0))</f>
        <v>0</v>
      </c>
      <c r="T127" s="232">
        <f>INDEX('Prop. prices'!$I$8:$AB$82,MATCH('Tariff schedule'!$C127,'Prop. prices'!$C$8:$C$82,0),MATCH('Tariff schedule'!T$16,'Prop. prices'!$I$5:$AB$5,0))</f>
        <v>0</v>
      </c>
      <c r="U127" s="232">
        <f>INDEX('Prop. prices'!$I$8:$AB$82,MATCH('Tariff schedule'!$C127,'Prop. prices'!$C$8:$C$82,0),MATCH('Tariff schedule'!U$16,'Prop. prices'!$I$5:$AB$5,0))</f>
        <v>0</v>
      </c>
      <c r="V127" s="232">
        <f>INDEX('Prop. prices'!$I$8:$AB$82,MATCH('Tariff schedule'!$C127,'Prop. prices'!$C$8:$C$82,0),MATCH('Tariff schedule'!V$16,'Prop. prices'!$I$5:$AB$5,0))</f>
        <v>0</v>
      </c>
      <c r="W127" s="232">
        <f>INDEX('Prop. prices'!$I$8:$AB$82,MATCH('Tariff schedule'!$C127,'Prop. prices'!$C$8:$C$82,0),MATCH('Tariff schedule'!W$16,'Prop. prices'!$I$5:$AB$5,0))</f>
        <v>0</v>
      </c>
      <c r="X127" s="232">
        <f>INDEX('Prop. prices'!$I$8:$AB$82,MATCH('Tariff schedule'!$C127,'Prop. prices'!$C$8:$C$82,0),MATCH('Tariff schedule'!X$16,'Prop. prices'!$I$5:$AB$5,0))</f>
        <v>0</v>
      </c>
      <c r="Y127" s="232">
        <f>INDEX('Prop. prices'!$I$8:$AB$82,MATCH('Tariff schedule'!$C127,'Prop. prices'!$C$8:$C$82,0),MATCH('Tariff schedule'!Y$16,'Prop. prices'!$I$5:$AB$5,0))</f>
        <v>0</v>
      </c>
      <c r="Z127" s="232">
        <f>INDEX('Prop. prices'!$I$8:$AB$82,MATCH('Tariff schedule'!$C127,'Prop. prices'!$C$8:$C$82,0),MATCH('Tariff schedule'!Z$16,'Prop. prices'!$I$5:$AB$5,0))</f>
        <v>0</v>
      </c>
      <c r="AA127" s="232">
        <f>INDEX('Prop. prices'!$I$8:$AB$82,MATCH('Tariff schedule'!$C127,'Prop. prices'!$C$8:$C$82,0),MATCH('Tariff schedule'!AA$16,'Prop. prices'!$I$5:$AB$5,0))</f>
        <v>0</v>
      </c>
      <c r="AB127" s="232">
        <f>INDEX('Prop. prices'!$I$8:$AB$82,MATCH('Tariff schedule'!$C127,'Prop. prices'!$C$8:$C$82,0),MATCH('Tariff schedule'!AB$16,'Prop. prices'!$I$5:$AB$5,0))</f>
        <v>0</v>
      </c>
      <c r="AC127" s="70"/>
      <c r="AD127" s="19"/>
      <c r="AE127" s="19"/>
      <c r="AF127" s="19"/>
      <c r="AG127" s="19"/>
    </row>
    <row r="128" spans="1:33" hidden="1" outlineLevel="3" x14ac:dyDescent="0.2">
      <c r="A128" s="19"/>
      <c r="B128" s="19"/>
      <c r="C128" s="506">
        <f t="shared" si="78"/>
        <v>0</v>
      </c>
      <c r="D128" s="505">
        <f t="shared" si="78"/>
        <v>0</v>
      </c>
      <c r="E128" s="505">
        <f t="shared" si="78"/>
        <v>0</v>
      </c>
      <c r="F128" s="505">
        <f t="shared" si="78"/>
        <v>0</v>
      </c>
      <c r="G128" s="505">
        <f t="shared" si="78"/>
        <v>0</v>
      </c>
      <c r="H128" s="58"/>
      <c r="I128" s="232">
        <f>INDEX('Prop. prices'!$I$8:$AB$82,MATCH('Tariff schedule'!$C128,'Prop. prices'!$C$8:$C$82,0),MATCH('Tariff schedule'!I$16,'Prop. prices'!$I$5:$AB$5,0))</f>
        <v>0</v>
      </c>
      <c r="J128" s="232">
        <f>INDEX('Prop. prices'!$I$8:$AB$82,MATCH('Tariff schedule'!$C128,'Prop. prices'!$C$8:$C$82,0),MATCH('Tariff schedule'!J$16,'Prop. prices'!$I$5:$AB$5,0))</f>
        <v>0</v>
      </c>
      <c r="K128" s="232">
        <f>INDEX('Prop. prices'!$I$8:$AB$82,MATCH('Tariff schedule'!$C128,'Prop. prices'!$C$8:$C$82,0),MATCH('Tariff schedule'!K$16,'Prop. prices'!$I$5:$AB$5,0))</f>
        <v>0</v>
      </c>
      <c r="L128" s="232">
        <f>INDEX('Prop. prices'!$I$8:$AB$82,MATCH('Tariff schedule'!$C128,'Prop. prices'!$C$8:$C$82,0),MATCH('Tariff schedule'!L$16,'Prop. prices'!$I$5:$AB$5,0))</f>
        <v>0</v>
      </c>
      <c r="M128" s="232">
        <f>INDEX('Prop. prices'!$I$8:$AB$82,MATCH('Tariff schedule'!$C128,'Prop. prices'!$C$8:$C$82,0),MATCH('Tariff schedule'!M$16,'Prop. prices'!$I$5:$AB$5,0))</f>
        <v>0</v>
      </c>
      <c r="N128" s="232">
        <f>INDEX('Prop. prices'!$I$8:$AB$82,MATCH('Tariff schedule'!$C128,'Prop. prices'!$C$8:$C$82,0),MATCH('Tariff schedule'!N$16,'Prop. prices'!$I$5:$AB$5,0))</f>
        <v>0</v>
      </c>
      <c r="O128" s="232">
        <f>INDEX('Prop. prices'!$I$8:$AB$82,MATCH('Tariff schedule'!$C128,'Prop. prices'!$C$8:$C$82,0),MATCH('Tariff schedule'!O$16,'Prop. prices'!$I$5:$AB$5,0))</f>
        <v>0</v>
      </c>
      <c r="P128" s="232">
        <f>INDEX('Prop. prices'!$I$8:$AB$82,MATCH('Tariff schedule'!$C128,'Prop. prices'!$C$8:$C$82,0),MATCH('Tariff schedule'!P$16,'Prop. prices'!$I$5:$AB$5,0))</f>
        <v>0</v>
      </c>
      <c r="Q128" s="232">
        <f>INDEX('Prop. prices'!$I$8:$AB$82,MATCH('Tariff schedule'!$C128,'Prop. prices'!$C$8:$C$82,0),MATCH('Tariff schedule'!Q$16,'Prop. prices'!$I$5:$AB$5,0))</f>
        <v>0</v>
      </c>
      <c r="R128" s="232">
        <f>INDEX('Prop. prices'!$I$8:$AB$82,MATCH('Tariff schedule'!$C128,'Prop. prices'!$C$8:$C$82,0),MATCH('Tariff schedule'!R$16,'Prop. prices'!$I$5:$AB$5,0))</f>
        <v>0</v>
      </c>
      <c r="S128" s="232">
        <f>INDEX('Prop. prices'!$I$8:$AB$82,MATCH('Tariff schedule'!$C128,'Prop. prices'!$C$8:$C$82,0),MATCH('Tariff schedule'!S$16,'Prop. prices'!$I$5:$AB$5,0))</f>
        <v>0</v>
      </c>
      <c r="T128" s="232">
        <f>INDEX('Prop. prices'!$I$8:$AB$82,MATCH('Tariff schedule'!$C128,'Prop. prices'!$C$8:$C$82,0),MATCH('Tariff schedule'!T$16,'Prop. prices'!$I$5:$AB$5,0))</f>
        <v>0</v>
      </c>
      <c r="U128" s="232">
        <f>INDEX('Prop. prices'!$I$8:$AB$82,MATCH('Tariff schedule'!$C128,'Prop. prices'!$C$8:$C$82,0),MATCH('Tariff schedule'!U$16,'Prop. prices'!$I$5:$AB$5,0))</f>
        <v>0</v>
      </c>
      <c r="V128" s="232">
        <f>INDEX('Prop. prices'!$I$8:$AB$82,MATCH('Tariff schedule'!$C128,'Prop. prices'!$C$8:$C$82,0),MATCH('Tariff schedule'!V$16,'Prop. prices'!$I$5:$AB$5,0))</f>
        <v>0</v>
      </c>
      <c r="W128" s="232">
        <f>INDEX('Prop. prices'!$I$8:$AB$82,MATCH('Tariff schedule'!$C128,'Prop. prices'!$C$8:$C$82,0),MATCH('Tariff schedule'!W$16,'Prop. prices'!$I$5:$AB$5,0))</f>
        <v>0</v>
      </c>
      <c r="X128" s="232">
        <f>INDEX('Prop. prices'!$I$8:$AB$82,MATCH('Tariff schedule'!$C128,'Prop. prices'!$C$8:$C$82,0),MATCH('Tariff schedule'!X$16,'Prop. prices'!$I$5:$AB$5,0))</f>
        <v>0</v>
      </c>
      <c r="Y128" s="232">
        <f>INDEX('Prop. prices'!$I$8:$AB$82,MATCH('Tariff schedule'!$C128,'Prop. prices'!$C$8:$C$82,0),MATCH('Tariff schedule'!Y$16,'Prop. prices'!$I$5:$AB$5,0))</f>
        <v>0</v>
      </c>
      <c r="Z128" s="232">
        <f>INDEX('Prop. prices'!$I$8:$AB$82,MATCH('Tariff schedule'!$C128,'Prop. prices'!$C$8:$C$82,0),MATCH('Tariff schedule'!Z$16,'Prop. prices'!$I$5:$AB$5,0))</f>
        <v>0</v>
      </c>
      <c r="AA128" s="232">
        <f>INDEX('Prop. prices'!$I$8:$AB$82,MATCH('Tariff schedule'!$C128,'Prop. prices'!$C$8:$C$82,0),MATCH('Tariff schedule'!AA$16,'Prop. prices'!$I$5:$AB$5,0))</f>
        <v>0</v>
      </c>
      <c r="AB128" s="232">
        <f>INDEX('Prop. prices'!$I$8:$AB$82,MATCH('Tariff schedule'!$C128,'Prop. prices'!$C$8:$C$82,0),MATCH('Tariff schedule'!AB$16,'Prop. prices'!$I$5:$AB$5,0))</f>
        <v>0</v>
      </c>
      <c r="AC128" s="70"/>
      <c r="AD128" s="19"/>
      <c r="AE128" s="19"/>
      <c r="AF128" s="19"/>
      <c r="AG128" s="19"/>
    </row>
    <row r="129" spans="1:33" hidden="1" outlineLevel="3" x14ac:dyDescent="0.2">
      <c r="A129" s="19"/>
      <c r="B129" s="19"/>
      <c r="C129" s="506">
        <f t="shared" si="78"/>
        <v>0</v>
      </c>
      <c r="D129" s="505">
        <f t="shared" si="78"/>
        <v>0</v>
      </c>
      <c r="E129" s="505">
        <f t="shared" si="78"/>
        <v>0</v>
      </c>
      <c r="F129" s="505">
        <f t="shared" si="78"/>
        <v>0</v>
      </c>
      <c r="G129" s="505">
        <f t="shared" si="78"/>
        <v>0</v>
      </c>
      <c r="H129" s="58"/>
      <c r="I129" s="232">
        <f>INDEX('Prop. prices'!$I$8:$AB$82,MATCH('Tariff schedule'!$C129,'Prop. prices'!$C$8:$C$82,0),MATCH('Tariff schedule'!I$16,'Prop. prices'!$I$5:$AB$5,0))</f>
        <v>0</v>
      </c>
      <c r="J129" s="232">
        <f>INDEX('Prop. prices'!$I$8:$AB$82,MATCH('Tariff schedule'!$C129,'Prop. prices'!$C$8:$C$82,0),MATCH('Tariff schedule'!J$16,'Prop. prices'!$I$5:$AB$5,0))</f>
        <v>0</v>
      </c>
      <c r="K129" s="232">
        <f>INDEX('Prop. prices'!$I$8:$AB$82,MATCH('Tariff schedule'!$C129,'Prop. prices'!$C$8:$C$82,0),MATCH('Tariff schedule'!K$16,'Prop. prices'!$I$5:$AB$5,0))</f>
        <v>0</v>
      </c>
      <c r="L129" s="232">
        <f>INDEX('Prop. prices'!$I$8:$AB$82,MATCH('Tariff schedule'!$C129,'Prop. prices'!$C$8:$C$82,0),MATCH('Tariff schedule'!L$16,'Prop. prices'!$I$5:$AB$5,0))</f>
        <v>0</v>
      </c>
      <c r="M129" s="232">
        <f>INDEX('Prop. prices'!$I$8:$AB$82,MATCH('Tariff schedule'!$C129,'Prop. prices'!$C$8:$C$82,0),MATCH('Tariff schedule'!M$16,'Prop. prices'!$I$5:$AB$5,0))</f>
        <v>0</v>
      </c>
      <c r="N129" s="232">
        <f>INDEX('Prop. prices'!$I$8:$AB$82,MATCH('Tariff schedule'!$C129,'Prop. prices'!$C$8:$C$82,0),MATCH('Tariff schedule'!N$16,'Prop. prices'!$I$5:$AB$5,0))</f>
        <v>0</v>
      </c>
      <c r="O129" s="232">
        <f>INDEX('Prop. prices'!$I$8:$AB$82,MATCH('Tariff schedule'!$C129,'Prop. prices'!$C$8:$C$82,0),MATCH('Tariff schedule'!O$16,'Prop. prices'!$I$5:$AB$5,0))</f>
        <v>0</v>
      </c>
      <c r="P129" s="232">
        <f>INDEX('Prop. prices'!$I$8:$AB$82,MATCH('Tariff schedule'!$C129,'Prop. prices'!$C$8:$C$82,0),MATCH('Tariff schedule'!P$16,'Prop. prices'!$I$5:$AB$5,0))</f>
        <v>0</v>
      </c>
      <c r="Q129" s="232">
        <f>INDEX('Prop. prices'!$I$8:$AB$82,MATCH('Tariff schedule'!$C129,'Prop. prices'!$C$8:$C$82,0),MATCH('Tariff schedule'!Q$16,'Prop. prices'!$I$5:$AB$5,0))</f>
        <v>0</v>
      </c>
      <c r="R129" s="232">
        <f>INDEX('Prop. prices'!$I$8:$AB$82,MATCH('Tariff schedule'!$C129,'Prop. prices'!$C$8:$C$82,0),MATCH('Tariff schedule'!R$16,'Prop. prices'!$I$5:$AB$5,0))</f>
        <v>0</v>
      </c>
      <c r="S129" s="232">
        <f>INDEX('Prop. prices'!$I$8:$AB$82,MATCH('Tariff schedule'!$C129,'Prop. prices'!$C$8:$C$82,0),MATCH('Tariff schedule'!S$16,'Prop. prices'!$I$5:$AB$5,0))</f>
        <v>0</v>
      </c>
      <c r="T129" s="232">
        <f>INDEX('Prop. prices'!$I$8:$AB$82,MATCH('Tariff schedule'!$C129,'Prop. prices'!$C$8:$C$82,0),MATCH('Tariff schedule'!T$16,'Prop. prices'!$I$5:$AB$5,0))</f>
        <v>0</v>
      </c>
      <c r="U129" s="232">
        <f>INDEX('Prop. prices'!$I$8:$AB$82,MATCH('Tariff schedule'!$C129,'Prop. prices'!$C$8:$C$82,0),MATCH('Tariff schedule'!U$16,'Prop. prices'!$I$5:$AB$5,0))</f>
        <v>0</v>
      </c>
      <c r="V129" s="232">
        <f>INDEX('Prop. prices'!$I$8:$AB$82,MATCH('Tariff schedule'!$C129,'Prop. prices'!$C$8:$C$82,0),MATCH('Tariff schedule'!V$16,'Prop. prices'!$I$5:$AB$5,0))</f>
        <v>0</v>
      </c>
      <c r="W129" s="232">
        <f>INDEX('Prop. prices'!$I$8:$AB$82,MATCH('Tariff schedule'!$C129,'Prop. prices'!$C$8:$C$82,0),MATCH('Tariff schedule'!W$16,'Prop. prices'!$I$5:$AB$5,0))</f>
        <v>0</v>
      </c>
      <c r="X129" s="232">
        <f>INDEX('Prop. prices'!$I$8:$AB$82,MATCH('Tariff schedule'!$C129,'Prop. prices'!$C$8:$C$82,0),MATCH('Tariff schedule'!X$16,'Prop. prices'!$I$5:$AB$5,0))</f>
        <v>0</v>
      </c>
      <c r="Y129" s="232">
        <f>INDEX('Prop. prices'!$I$8:$AB$82,MATCH('Tariff schedule'!$C129,'Prop. prices'!$C$8:$C$82,0),MATCH('Tariff schedule'!Y$16,'Prop. prices'!$I$5:$AB$5,0))</f>
        <v>0</v>
      </c>
      <c r="Z129" s="232">
        <f>INDEX('Prop. prices'!$I$8:$AB$82,MATCH('Tariff schedule'!$C129,'Prop. prices'!$C$8:$C$82,0),MATCH('Tariff schedule'!Z$16,'Prop. prices'!$I$5:$AB$5,0))</f>
        <v>0</v>
      </c>
      <c r="AA129" s="232">
        <f>INDEX('Prop. prices'!$I$8:$AB$82,MATCH('Tariff schedule'!$C129,'Prop. prices'!$C$8:$C$82,0),MATCH('Tariff schedule'!AA$16,'Prop. prices'!$I$5:$AB$5,0))</f>
        <v>0</v>
      </c>
      <c r="AB129" s="232">
        <f>INDEX('Prop. prices'!$I$8:$AB$82,MATCH('Tariff schedule'!$C129,'Prop. prices'!$C$8:$C$82,0),MATCH('Tariff schedule'!AB$16,'Prop. prices'!$I$5:$AB$5,0))</f>
        <v>0</v>
      </c>
      <c r="AC129" s="70"/>
      <c r="AD129" s="19"/>
      <c r="AE129" s="19"/>
      <c r="AF129" s="19"/>
      <c r="AG129" s="19"/>
    </row>
    <row r="130" spans="1:33" hidden="1" outlineLevel="3" x14ac:dyDescent="0.2">
      <c r="A130" s="19"/>
      <c r="B130" s="19"/>
      <c r="C130" s="506">
        <f t="shared" si="78"/>
        <v>0</v>
      </c>
      <c r="D130" s="505">
        <f t="shared" si="78"/>
        <v>0</v>
      </c>
      <c r="E130" s="505">
        <f t="shared" si="78"/>
        <v>0</v>
      </c>
      <c r="F130" s="505">
        <f t="shared" si="78"/>
        <v>0</v>
      </c>
      <c r="G130" s="505">
        <f t="shared" si="78"/>
        <v>0</v>
      </c>
      <c r="H130" s="58"/>
      <c r="I130" s="232">
        <f>INDEX('Prop. prices'!$I$8:$AB$82,MATCH('Tariff schedule'!$C130,'Prop. prices'!$C$8:$C$82,0),MATCH('Tariff schedule'!I$16,'Prop. prices'!$I$5:$AB$5,0))</f>
        <v>0</v>
      </c>
      <c r="J130" s="232">
        <f>INDEX('Prop. prices'!$I$8:$AB$82,MATCH('Tariff schedule'!$C130,'Prop. prices'!$C$8:$C$82,0),MATCH('Tariff schedule'!J$16,'Prop. prices'!$I$5:$AB$5,0))</f>
        <v>0</v>
      </c>
      <c r="K130" s="232">
        <f>INDEX('Prop. prices'!$I$8:$AB$82,MATCH('Tariff schedule'!$C130,'Prop. prices'!$C$8:$C$82,0),MATCH('Tariff schedule'!K$16,'Prop. prices'!$I$5:$AB$5,0))</f>
        <v>0</v>
      </c>
      <c r="L130" s="232">
        <f>INDEX('Prop. prices'!$I$8:$AB$82,MATCH('Tariff schedule'!$C130,'Prop. prices'!$C$8:$C$82,0),MATCH('Tariff schedule'!L$16,'Prop. prices'!$I$5:$AB$5,0))</f>
        <v>0</v>
      </c>
      <c r="M130" s="232">
        <f>INDEX('Prop. prices'!$I$8:$AB$82,MATCH('Tariff schedule'!$C130,'Prop. prices'!$C$8:$C$82,0),MATCH('Tariff schedule'!M$16,'Prop. prices'!$I$5:$AB$5,0))</f>
        <v>0</v>
      </c>
      <c r="N130" s="232">
        <f>INDEX('Prop. prices'!$I$8:$AB$82,MATCH('Tariff schedule'!$C130,'Prop. prices'!$C$8:$C$82,0),MATCH('Tariff schedule'!N$16,'Prop. prices'!$I$5:$AB$5,0))</f>
        <v>0</v>
      </c>
      <c r="O130" s="232">
        <f>INDEX('Prop. prices'!$I$8:$AB$82,MATCH('Tariff schedule'!$C130,'Prop. prices'!$C$8:$C$82,0),MATCH('Tariff schedule'!O$16,'Prop. prices'!$I$5:$AB$5,0))</f>
        <v>0</v>
      </c>
      <c r="P130" s="232">
        <f>INDEX('Prop. prices'!$I$8:$AB$82,MATCH('Tariff schedule'!$C130,'Prop. prices'!$C$8:$C$82,0),MATCH('Tariff schedule'!P$16,'Prop. prices'!$I$5:$AB$5,0))</f>
        <v>0</v>
      </c>
      <c r="Q130" s="232">
        <f>INDEX('Prop. prices'!$I$8:$AB$82,MATCH('Tariff schedule'!$C130,'Prop. prices'!$C$8:$C$82,0),MATCH('Tariff schedule'!Q$16,'Prop. prices'!$I$5:$AB$5,0))</f>
        <v>0</v>
      </c>
      <c r="R130" s="232">
        <f>INDEX('Prop. prices'!$I$8:$AB$82,MATCH('Tariff schedule'!$C130,'Prop. prices'!$C$8:$C$82,0),MATCH('Tariff schedule'!R$16,'Prop. prices'!$I$5:$AB$5,0))</f>
        <v>0</v>
      </c>
      <c r="S130" s="232">
        <f>INDEX('Prop. prices'!$I$8:$AB$82,MATCH('Tariff schedule'!$C130,'Prop. prices'!$C$8:$C$82,0),MATCH('Tariff schedule'!S$16,'Prop. prices'!$I$5:$AB$5,0))</f>
        <v>0</v>
      </c>
      <c r="T130" s="232">
        <f>INDEX('Prop. prices'!$I$8:$AB$82,MATCH('Tariff schedule'!$C130,'Prop. prices'!$C$8:$C$82,0),MATCH('Tariff schedule'!T$16,'Prop. prices'!$I$5:$AB$5,0))</f>
        <v>0</v>
      </c>
      <c r="U130" s="232">
        <f>INDEX('Prop. prices'!$I$8:$AB$82,MATCH('Tariff schedule'!$C130,'Prop. prices'!$C$8:$C$82,0),MATCH('Tariff schedule'!U$16,'Prop. prices'!$I$5:$AB$5,0))</f>
        <v>0</v>
      </c>
      <c r="V130" s="232">
        <f>INDEX('Prop. prices'!$I$8:$AB$82,MATCH('Tariff schedule'!$C130,'Prop. prices'!$C$8:$C$82,0),MATCH('Tariff schedule'!V$16,'Prop. prices'!$I$5:$AB$5,0))</f>
        <v>0</v>
      </c>
      <c r="W130" s="232">
        <f>INDEX('Prop. prices'!$I$8:$AB$82,MATCH('Tariff schedule'!$C130,'Prop. prices'!$C$8:$C$82,0),MATCH('Tariff schedule'!W$16,'Prop. prices'!$I$5:$AB$5,0))</f>
        <v>0</v>
      </c>
      <c r="X130" s="232">
        <f>INDEX('Prop. prices'!$I$8:$AB$82,MATCH('Tariff schedule'!$C130,'Prop. prices'!$C$8:$C$82,0),MATCH('Tariff schedule'!X$16,'Prop. prices'!$I$5:$AB$5,0))</f>
        <v>0</v>
      </c>
      <c r="Y130" s="232">
        <f>INDEX('Prop. prices'!$I$8:$AB$82,MATCH('Tariff schedule'!$C130,'Prop. prices'!$C$8:$C$82,0),MATCH('Tariff schedule'!Y$16,'Prop. prices'!$I$5:$AB$5,0))</f>
        <v>0</v>
      </c>
      <c r="Z130" s="232">
        <f>INDEX('Prop. prices'!$I$8:$AB$82,MATCH('Tariff schedule'!$C130,'Prop. prices'!$C$8:$C$82,0),MATCH('Tariff schedule'!Z$16,'Prop. prices'!$I$5:$AB$5,0))</f>
        <v>0</v>
      </c>
      <c r="AA130" s="232">
        <f>INDEX('Prop. prices'!$I$8:$AB$82,MATCH('Tariff schedule'!$C130,'Prop. prices'!$C$8:$C$82,0),MATCH('Tariff schedule'!AA$16,'Prop. prices'!$I$5:$AB$5,0))</f>
        <v>0</v>
      </c>
      <c r="AB130" s="232">
        <f>INDEX('Prop. prices'!$I$8:$AB$82,MATCH('Tariff schedule'!$C130,'Prop. prices'!$C$8:$C$82,0),MATCH('Tariff schedule'!AB$16,'Prop. prices'!$I$5:$AB$5,0))</f>
        <v>0</v>
      </c>
      <c r="AC130" s="70"/>
      <c r="AD130" s="19"/>
      <c r="AE130" s="19"/>
      <c r="AF130" s="19"/>
      <c r="AG130" s="19"/>
    </row>
    <row r="131" spans="1:33" hidden="1" outlineLevel="3" x14ac:dyDescent="0.2">
      <c r="A131" s="19"/>
      <c r="B131" s="19"/>
      <c r="C131" s="506">
        <f t="shared" si="78"/>
        <v>0</v>
      </c>
      <c r="D131" s="505">
        <f t="shared" si="78"/>
        <v>0</v>
      </c>
      <c r="E131" s="505">
        <f t="shared" si="78"/>
        <v>0</v>
      </c>
      <c r="F131" s="505">
        <f t="shared" si="78"/>
        <v>0</v>
      </c>
      <c r="G131" s="505">
        <f t="shared" si="78"/>
        <v>0</v>
      </c>
      <c r="H131" s="58"/>
      <c r="I131" s="232">
        <f>INDEX('Prop. prices'!$I$8:$AB$82,MATCH('Tariff schedule'!$C131,'Prop. prices'!$C$8:$C$82,0),MATCH('Tariff schedule'!I$16,'Prop. prices'!$I$5:$AB$5,0))</f>
        <v>0</v>
      </c>
      <c r="J131" s="232">
        <f>INDEX('Prop. prices'!$I$8:$AB$82,MATCH('Tariff schedule'!$C131,'Prop. prices'!$C$8:$C$82,0),MATCH('Tariff schedule'!J$16,'Prop. prices'!$I$5:$AB$5,0))</f>
        <v>0</v>
      </c>
      <c r="K131" s="232">
        <f>INDEX('Prop. prices'!$I$8:$AB$82,MATCH('Tariff schedule'!$C131,'Prop. prices'!$C$8:$C$82,0),MATCH('Tariff schedule'!K$16,'Prop. prices'!$I$5:$AB$5,0))</f>
        <v>0</v>
      </c>
      <c r="L131" s="232">
        <f>INDEX('Prop. prices'!$I$8:$AB$82,MATCH('Tariff schedule'!$C131,'Prop. prices'!$C$8:$C$82,0),MATCH('Tariff schedule'!L$16,'Prop. prices'!$I$5:$AB$5,0))</f>
        <v>0</v>
      </c>
      <c r="M131" s="232">
        <f>INDEX('Prop. prices'!$I$8:$AB$82,MATCH('Tariff schedule'!$C131,'Prop. prices'!$C$8:$C$82,0),MATCH('Tariff schedule'!M$16,'Prop. prices'!$I$5:$AB$5,0))</f>
        <v>0</v>
      </c>
      <c r="N131" s="232">
        <f>INDEX('Prop. prices'!$I$8:$AB$82,MATCH('Tariff schedule'!$C131,'Prop. prices'!$C$8:$C$82,0),MATCH('Tariff schedule'!N$16,'Prop. prices'!$I$5:$AB$5,0))</f>
        <v>0</v>
      </c>
      <c r="O131" s="232">
        <f>INDEX('Prop. prices'!$I$8:$AB$82,MATCH('Tariff schedule'!$C131,'Prop. prices'!$C$8:$C$82,0),MATCH('Tariff schedule'!O$16,'Prop. prices'!$I$5:$AB$5,0))</f>
        <v>0</v>
      </c>
      <c r="P131" s="232">
        <f>INDEX('Prop. prices'!$I$8:$AB$82,MATCH('Tariff schedule'!$C131,'Prop. prices'!$C$8:$C$82,0),MATCH('Tariff schedule'!P$16,'Prop. prices'!$I$5:$AB$5,0))</f>
        <v>0</v>
      </c>
      <c r="Q131" s="232">
        <f>INDEX('Prop. prices'!$I$8:$AB$82,MATCH('Tariff schedule'!$C131,'Prop. prices'!$C$8:$C$82,0),MATCH('Tariff schedule'!Q$16,'Prop. prices'!$I$5:$AB$5,0))</f>
        <v>0</v>
      </c>
      <c r="R131" s="232">
        <f>INDEX('Prop. prices'!$I$8:$AB$82,MATCH('Tariff schedule'!$C131,'Prop. prices'!$C$8:$C$82,0),MATCH('Tariff schedule'!R$16,'Prop. prices'!$I$5:$AB$5,0))</f>
        <v>0</v>
      </c>
      <c r="S131" s="232">
        <f>INDEX('Prop. prices'!$I$8:$AB$82,MATCH('Tariff schedule'!$C131,'Prop. prices'!$C$8:$C$82,0),MATCH('Tariff schedule'!S$16,'Prop. prices'!$I$5:$AB$5,0))</f>
        <v>0</v>
      </c>
      <c r="T131" s="232">
        <f>INDEX('Prop. prices'!$I$8:$AB$82,MATCH('Tariff schedule'!$C131,'Prop. prices'!$C$8:$C$82,0),MATCH('Tariff schedule'!T$16,'Prop. prices'!$I$5:$AB$5,0))</f>
        <v>0</v>
      </c>
      <c r="U131" s="232">
        <f>INDEX('Prop. prices'!$I$8:$AB$82,MATCH('Tariff schedule'!$C131,'Prop. prices'!$C$8:$C$82,0),MATCH('Tariff schedule'!U$16,'Prop. prices'!$I$5:$AB$5,0))</f>
        <v>0</v>
      </c>
      <c r="V131" s="232">
        <f>INDEX('Prop. prices'!$I$8:$AB$82,MATCH('Tariff schedule'!$C131,'Prop. prices'!$C$8:$C$82,0),MATCH('Tariff schedule'!V$16,'Prop. prices'!$I$5:$AB$5,0))</f>
        <v>0</v>
      </c>
      <c r="W131" s="232">
        <f>INDEX('Prop. prices'!$I$8:$AB$82,MATCH('Tariff schedule'!$C131,'Prop. prices'!$C$8:$C$82,0),MATCH('Tariff schedule'!W$16,'Prop. prices'!$I$5:$AB$5,0))</f>
        <v>0</v>
      </c>
      <c r="X131" s="232">
        <f>INDEX('Prop. prices'!$I$8:$AB$82,MATCH('Tariff schedule'!$C131,'Prop. prices'!$C$8:$C$82,0),MATCH('Tariff schedule'!X$16,'Prop. prices'!$I$5:$AB$5,0))</f>
        <v>0</v>
      </c>
      <c r="Y131" s="232">
        <f>INDEX('Prop. prices'!$I$8:$AB$82,MATCH('Tariff schedule'!$C131,'Prop. prices'!$C$8:$C$82,0),MATCH('Tariff schedule'!Y$16,'Prop. prices'!$I$5:$AB$5,0))</f>
        <v>0</v>
      </c>
      <c r="Z131" s="232">
        <f>INDEX('Prop. prices'!$I$8:$AB$82,MATCH('Tariff schedule'!$C131,'Prop. prices'!$C$8:$C$82,0),MATCH('Tariff schedule'!Z$16,'Prop. prices'!$I$5:$AB$5,0))</f>
        <v>0</v>
      </c>
      <c r="AA131" s="232">
        <f>INDEX('Prop. prices'!$I$8:$AB$82,MATCH('Tariff schedule'!$C131,'Prop. prices'!$C$8:$C$82,0),MATCH('Tariff schedule'!AA$16,'Prop. prices'!$I$5:$AB$5,0))</f>
        <v>0</v>
      </c>
      <c r="AB131" s="232">
        <f>INDEX('Prop. prices'!$I$8:$AB$82,MATCH('Tariff schedule'!$C131,'Prop. prices'!$C$8:$C$82,0),MATCH('Tariff schedule'!AB$16,'Prop. prices'!$I$5:$AB$5,0))</f>
        <v>0</v>
      </c>
      <c r="AC131" s="70"/>
      <c r="AD131" s="19"/>
      <c r="AE131" s="19"/>
      <c r="AF131" s="19"/>
      <c r="AG131" s="19"/>
    </row>
    <row r="132" spans="1:33" hidden="1" outlineLevel="3" x14ac:dyDescent="0.2">
      <c r="A132" s="19"/>
      <c r="B132" s="19"/>
      <c r="C132" s="506">
        <f t="shared" si="78"/>
        <v>0</v>
      </c>
      <c r="D132" s="505">
        <f t="shared" si="78"/>
        <v>0</v>
      </c>
      <c r="E132" s="505">
        <f t="shared" si="78"/>
        <v>0</v>
      </c>
      <c r="F132" s="505">
        <f t="shared" si="78"/>
        <v>0</v>
      </c>
      <c r="G132" s="505">
        <f t="shared" si="78"/>
        <v>0</v>
      </c>
      <c r="H132" s="58"/>
      <c r="I132" s="232">
        <f>INDEX('Prop. prices'!$I$8:$AB$82,MATCH('Tariff schedule'!$C132,'Prop. prices'!$C$8:$C$82,0),MATCH('Tariff schedule'!I$16,'Prop. prices'!$I$5:$AB$5,0))</f>
        <v>0</v>
      </c>
      <c r="J132" s="232">
        <f>INDEX('Prop. prices'!$I$8:$AB$82,MATCH('Tariff schedule'!$C132,'Prop. prices'!$C$8:$C$82,0),MATCH('Tariff schedule'!J$16,'Prop. prices'!$I$5:$AB$5,0))</f>
        <v>0</v>
      </c>
      <c r="K132" s="232">
        <f>INDEX('Prop. prices'!$I$8:$AB$82,MATCH('Tariff schedule'!$C132,'Prop. prices'!$C$8:$C$82,0),MATCH('Tariff schedule'!K$16,'Prop. prices'!$I$5:$AB$5,0))</f>
        <v>0</v>
      </c>
      <c r="L132" s="232">
        <f>INDEX('Prop. prices'!$I$8:$AB$82,MATCH('Tariff schedule'!$C132,'Prop. prices'!$C$8:$C$82,0),MATCH('Tariff schedule'!L$16,'Prop. prices'!$I$5:$AB$5,0))</f>
        <v>0</v>
      </c>
      <c r="M132" s="232">
        <f>INDEX('Prop. prices'!$I$8:$AB$82,MATCH('Tariff schedule'!$C132,'Prop. prices'!$C$8:$C$82,0),MATCH('Tariff schedule'!M$16,'Prop. prices'!$I$5:$AB$5,0))</f>
        <v>0</v>
      </c>
      <c r="N132" s="232">
        <f>INDEX('Prop. prices'!$I$8:$AB$82,MATCH('Tariff schedule'!$C132,'Prop. prices'!$C$8:$C$82,0),MATCH('Tariff schedule'!N$16,'Prop. prices'!$I$5:$AB$5,0))</f>
        <v>0</v>
      </c>
      <c r="O132" s="232">
        <f>INDEX('Prop. prices'!$I$8:$AB$82,MATCH('Tariff schedule'!$C132,'Prop. prices'!$C$8:$C$82,0),MATCH('Tariff schedule'!O$16,'Prop. prices'!$I$5:$AB$5,0))</f>
        <v>0</v>
      </c>
      <c r="P132" s="232">
        <f>INDEX('Prop. prices'!$I$8:$AB$82,MATCH('Tariff schedule'!$C132,'Prop. prices'!$C$8:$C$82,0),MATCH('Tariff schedule'!P$16,'Prop. prices'!$I$5:$AB$5,0))</f>
        <v>0</v>
      </c>
      <c r="Q132" s="232">
        <f>INDEX('Prop. prices'!$I$8:$AB$82,MATCH('Tariff schedule'!$C132,'Prop. prices'!$C$8:$C$82,0),MATCH('Tariff schedule'!Q$16,'Prop. prices'!$I$5:$AB$5,0))</f>
        <v>0</v>
      </c>
      <c r="R132" s="232">
        <f>INDEX('Prop. prices'!$I$8:$AB$82,MATCH('Tariff schedule'!$C132,'Prop. prices'!$C$8:$C$82,0),MATCH('Tariff schedule'!R$16,'Prop. prices'!$I$5:$AB$5,0))</f>
        <v>0</v>
      </c>
      <c r="S132" s="232">
        <f>INDEX('Prop. prices'!$I$8:$AB$82,MATCH('Tariff schedule'!$C132,'Prop. prices'!$C$8:$C$82,0),MATCH('Tariff schedule'!S$16,'Prop. prices'!$I$5:$AB$5,0))</f>
        <v>0</v>
      </c>
      <c r="T132" s="232">
        <f>INDEX('Prop. prices'!$I$8:$AB$82,MATCH('Tariff schedule'!$C132,'Prop. prices'!$C$8:$C$82,0),MATCH('Tariff schedule'!T$16,'Prop. prices'!$I$5:$AB$5,0))</f>
        <v>0</v>
      </c>
      <c r="U132" s="232">
        <f>INDEX('Prop. prices'!$I$8:$AB$82,MATCH('Tariff schedule'!$C132,'Prop. prices'!$C$8:$C$82,0),MATCH('Tariff schedule'!U$16,'Prop. prices'!$I$5:$AB$5,0))</f>
        <v>0</v>
      </c>
      <c r="V132" s="232">
        <f>INDEX('Prop. prices'!$I$8:$AB$82,MATCH('Tariff schedule'!$C132,'Prop. prices'!$C$8:$C$82,0),MATCH('Tariff schedule'!V$16,'Prop. prices'!$I$5:$AB$5,0))</f>
        <v>0</v>
      </c>
      <c r="W132" s="232">
        <f>INDEX('Prop. prices'!$I$8:$AB$82,MATCH('Tariff schedule'!$C132,'Prop. prices'!$C$8:$C$82,0),MATCH('Tariff schedule'!W$16,'Prop. prices'!$I$5:$AB$5,0))</f>
        <v>0</v>
      </c>
      <c r="X132" s="232">
        <f>INDEX('Prop. prices'!$I$8:$AB$82,MATCH('Tariff schedule'!$C132,'Prop. prices'!$C$8:$C$82,0),MATCH('Tariff schedule'!X$16,'Prop. prices'!$I$5:$AB$5,0))</f>
        <v>0</v>
      </c>
      <c r="Y132" s="232">
        <f>INDEX('Prop. prices'!$I$8:$AB$82,MATCH('Tariff schedule'!$C132,'Prop. prices'!$C$8:$C$82,0),MATCH('Tariff schedule'!Y$16,'Prop. prices'!$I$5:$AB$5,0))</f>
        <v>0</v>
      </c>
      <c r="Z132" s="232">
        <f>INDEX('Prop. prices'!$I$8:$AB$82,MATCH('Tariff schedule'!$C132,'Prop. prices'!$C$8:$C$82,0),MATCH('Tariff schedule'!Z$16,'Prop. prices'!$I$5:$AB$5,0))</f>
        <v>0</v>
      </c>
      <c r="AA132" s="232">
        <f>INDEX('Prop. prices'!$I$8:$AB$82,MATCH('Tariff schedule'!$C132,'Prop. prices'!$C$8:$C$82,0),MATCH('Tariff schedule'!AA$16,'Prop. prices'!$I$5:$AB$5,0))</f>
        <v>0</v>
      </c>
      <c r="AB132" s="232">
        <f>INDEX('Prop. prices'!$I$8:$AB$82,MATCH('Tariff schedule'!$C132,'Prop. prices'!$C$8:$C$82,0),MATCH('Tariff schedule'!AB$16,'Prop. prices'!$I$5:$AB$5,0))</f>
        <v>0</v>
      </c>
      <c r="AC132" s="70"/>
      <c r="AD132" s="19"/>
      <c r="AE132" s="19"/>
      <c r="AF132" s="19"/>
      <c r="AG132" s="19"/>
    </row>
    <row r="133" spans="1:33" hidden="1" outlineLevel="3" x14ac:dyDescent="0.2">
      <c r="A133" s="19"/>
      <c r="B133" s="19"/>
      <c r="C133" s="506">
        <f t="shared" si="78"/>
        <v>0</v>
      </c>
      <c r="D133" s="505">
        <f t="shared" si="78"/>
        <v>0</v>
      </c>
      <c r="E133" s="505">
        <f t="shared" si="78"/>
        <v>0</v>
      </c>
      <c r="F133" s="505">
        <f t="shared" si="78"/>
        <v>0</v>
      </c>
      <c r="G133" s="505">
        <f t="shared" si="78"/>
        <v>0</v>
      </c>
      <c r="H133" s="58"/>
      <c r="I133" s="232">
        <f>INDEX('Prop. prices'!$I$8:$AB$82,MATCH('Tariff schedule'!$C133,'Prop. prices'!$C$8:$C$82,0),MATCH('Tariff schedule'!I$16,'Prop. prices'!$I$5:$AB$5,0))</f>
        <v>0</v>
      </c>
      <c r="J133" s="232">
        <f>INDEX('Prop. prices'!$I$8:$AB$82,MATCH('Tariff schedule'!$C133,'Prop. prices'!$C$8:$C$82,0),MATCH('Tariff schedule'!J$16,'Prop. prices'!$I$5:$AB$5,0))</f>
        <v>0</v>
      </c>
      <c r="K133" s="232">
        <f>INDEX('Prop. prices'!$I$8:$AB$82,MATCH('Tariff schedule'!$C133,'Prop. prices'!$C$8:$C$82,0),MATCH('Tariff schedule'!K$16,'Prop. prices'!$I$5:$AB$5,0))</f>
        <v>0</v>
      </c>
      <c r="L133" s="232">
        <f>INDEX('Prop. prices'!$I$8:$AB$82,MATCH('Tariff schedule'!$C133,'Prop. prices'!$C$8:$C$82,0),MATCH('Tariff schedule'!L$16,'Prop. prices'!$I$5:$AB$5,0))</f>
        <v>0</v>
      </c>
      <c r="M133" s="232">
        <f>INDEX('Prop. prices'!$I$8:$AB$82,MATCH('Tariff schedule'!$C133,'Prop. prices'!$C$8:$C$82,0),MATCH('Tariff schedule'!M$16,'Prop. prices'!$I$5:$AB$5,0))</f>
        <v>0</v>
      </c>
      <c r="N133" s="232">
        <f>INDEX('Prop. prices'!$I$8:$AB$82,MATCH('Tariff schedule'!$C133,'Prop. prices'!$C$8:$C$82,0),MATCH('Tariff schedule'!N$16,'Prop. prices'!$I$5:$AB$5,0))</f>
        <v>0</v>
      </c>
      <c r="O133" s="232">
        <f>INDEX('Prop. prices'!$I$8:$AB$82,MATCH('Tariff schedule'!$C133,'Prop. prices'!$C$8:$C$82,0),MATCH('Tariff schedule'!O$16,'Prop. prices'!$I$5:$AB$5,0))</f>
        <v>0</v>
      </c>
      <c r="P133" s="232">
        <f>INDEX('Prop. prices'!$I$8:$AB$82,MATCH('Tariff schedule'!$C133,'Prop. prices'!$C$8:$C$82,0),MATCH('Tariff schedule'!P$16,'Prop. prices'!$I$5:$AB$5,0))</f>
        <v>0</v>
      </c>
      <c r="Q133" s="232">
        <f>INDEX('Prop. prices'!$I$8:$AB$82,MATCH('Tariff schedule'!$C133,'Prop. prices'!$C$8:$C$82,0),MATCH('Tariff schedule'!Q$16,'Prop. prices'!$I$5:$AB$5,0))</f>
        <v>0</v>
      </c>
      <c r="R133" s="232">
        <f>INDEX('Prop. prices'!$I$8:$AB$82,MATCH('Tariff schedule'!$C133,'Prop. prices'!$C$8:$C$82,0),MATCH('Tariff schedule'!R$16,'Prop. prices'!$I$5:$AB$5,0))</f>
        <v>0</v>
      </c>
      <c r="S133" s="232">
        <f>INDEX('Prop. prices'!$I$8:$AB$82,MATCH('Tariff schedule'!$C133,'Prop. prices'!$C$8:$C$82,0),MATCH('Tariff schedule'!S$16,'Prop. prices'!$I$5:$AB$5,0))</f>
        <v>0</v>
      </c>
      <c r="T133" s="232">
        <f>INDEX('Prop. prices'!$I$8:$AB$82,MATCH('Tariff schedule'!$C133,'Prop. prices'!$C$8:$C$82,0),MATCH('Tariff schedule'!T$16,'Prop. prices'!$I$5:$AB$5,0))</f>
        <v>0</v>
      </c>
      <c r="U133" s="232">
        <f>INDEX('Prop. prices'!$I$8:$AB$82,MATCH('Tariff schedule'!$C133,'Prop. prices'!$C$8:$C$82,0),MATCH('Tariff schedule'!U$16,'Prop. prices'!$I$5:$AB$5,0))</f>
        <v>0</v>
      </c>
      <c r="V133" s="232">
        <f>INDEX('Prop. prices'!$I$8:$AB$82,MATCH('Tariff schedule'!$C133,'Prop. prices'!$C$8:$C$82,0),MATCH('Tariff schedule'!V$16,'Prop. prices'!$I$5:$AB$5,0))</f>
        <v>0</v>
      </c>
      <c r="W133" s="232">
        <f>INDEX('Prop. prices'!$I$8:$AB$82,MATCH('Tariff schedule'!$C133,'Prop. prices'!$C$8:$C$82,0),MATCH('Tariff schedule'!W$16,'Prop. prices'!$I$5:$AB$5,0))</f>
        <v>0</v>
      </c>
      <c r="X133" s="232">
        <f>INDEX('Prop. prices'!$I$8:$AB$82,MATCH('Tariff schedule'!$C133,'Prop. prices'!$C$8:$C$82,0),MATCH('Tariff schedule'!X$16,'Prop. prices'!$I$5:$AB$5,0))</f>
        <v>0</v>
      </c>
      <c r="Y133" s="232">
        <f>INDEX('Prop. prices'!$I$8:$AB$82,MATCH('Tariff schedule'!$C133,'Prop. prices'!$C$8:$C$82,0),MATCH('Tariff schedule'!Y$16,'Prop. prices'!$I$5:$AB$5,0))</f>
        <v>0</v>
      </c>
      <c r="Z133" s="232">
        <f>INDEX('Prop. prices'!$I$8:$AB$82,MATCH('Tariff schedule'!$C133,'Prop. prices'!$C$8:$C$82,0),MATCH('Tariff schedule'!Z$16,'Prop. prices'!$I$5:$AB$5,0))</f>
        <v>0</v>
      </c>
      <c r="AA133" s="232">
        <f>INDEX('Prop. prices'!$I$8:$AB$82,MATCH('Tariff schedule'!$C133,'Prop. prices'!$C$8:$C$82,0),MATCH('Tariff schedule'!AA$16,'Prop. prices'!$I$5:$AB$5,0))</f>
        <v>0</v>
      </c>
      <c r="AB133" s="232">
        <f>INDEX('Prop. prices'!$I$8:$AB$82,MATCH('Tariff schedule'!$C133,'Prop. prices'!$C$8:$C$82,0),MATCH('Tariff schedule'!AB$16,'Prop. prices'!$I$5:$AB$5,0))</f>
        <v>0</v>
      </c>
      <c r="AC133" s="70"/>
      <c r="AD133" s="19"/>
      <c r="AE133" s="19"/>
      <c r="AF133" s="19"/>
      <c r="AG133" s="19"/>
    </row>
    <row r="134" spans="1:33" hidden="1" outlineLevel="3" x14ac:dyDescent="0.2">
      <c r="A134" s="19"/>
      <c r="B134" s="19"/>
      <c r="C134" s="506">
        <f t="shared" si="78"/>
        <v>0</v>
      </c>
      <c r="D134" s="505">
        <f t="shared" si="78"/>
        <v>0</v>
      </c>
      <c r="E134" s="505">
        <f t="shared" si="78"/>
        <v>0</v>
      </c>
      <c r="F134" s="505">
        <f t="shared" si="78"/>
        <v>0</v>
      </c>
      <c r="G134" s="505">
        <f t="shared" si="78"/>
        <v>0</v>
      </c>
      <c r="H134" s="58"/>
      <c r="I134" s="232">
        <f>INDEX('Prop. prices'!$I$8:$AB$82,MATCH('Tariff schedule'!$C134,'Prop. prices'!$C$8:$C$82,0),MATCH('Tariff schedule'!I$16,'Prop. prices'!$I$5:$AB$5,0))</f>
        <v>0</v>
      </c>
      <c r="J134" s="232">
        <f>INDEX('Prop. prices'!$I$8:$AB$82,MATCH('Tariff schedule'!$C134,'Prop. prices'!$C$8:$C$82,0),MATCH('Tariff schedule'!J$16,'Prop. prices'!$I$5:$AB$5,0))</f>
        <v>0</v>
      </c>
      <c r="K134" s="232">
        <f>INDEX('Prop. prices'!$I$8:$AB$82,MATCH('Tariff schedule'!$C134,'Prop. prices'!$C$8:$C$82,0),MATCH('Tariff schedule'!K$16,'Prop. prices'!$I$5:$AB$5,0))</f>
        <v>0</v>
      </c>
      <c r="L134" s="232">
        <f>INDEX('Prop. prices'!$I$8:$AB$82,MATCH('Tariff schedule'!$C134,'Prop. prices'!$C$8:$C$82,0),MATCH('Tariff schedule'!L$16,'Prop. prices'!$I$5:$AB$5,0))</f>
        <v>0</v>
      </c>
      <c r="M134" s="232">
        <f>INDEX('Prop. prices'!$I$8:$AB$82,MATCH('Tariff schedule'!$C134,'Prop. prices'!$C$8:$C$82,0),MATCH('Tariff schedule'!M$16,'Prop. prices'!$I$5:$AB$5,0))</f>
        <v>0</v>
      </c>
      <c r="N134" s="232">
        <f>INDEX('Prop. prices'!$I$8:$AB$82,MATCH('Tariff schedule'!$C134,'Prop. prices'!$C$8:$C$82,0),MATCH('Tariff schedule'!N$16,'Prop. prices'!$I$5:$AB$5,0))</f>
        <v>0</v>
      </c>
      <c r="O134" s="232">
        <f>INDEX('Prop. prices'!$I$8:$AB$82,MATCH('Tariff schedule'!$C134,'Prop. prices'!$C$8:$C$82,0),MATCH('Tariff schedule'!O$16,'Prop. prices'!$I$5:$AB$5,0))</f>
        <v>0</v>
      </c>
      <c r="P134" s="232">
        <f>INDEX('Prop. prices'!$I$8:$AB$82,MATCH('Tariff schedule'!$C134,'Prop. prices'!$C$8:$C$82,0),MATCH('Tariff schedule'!P$16,'Prop. prices'!$I$5:$AB$5,0))</f>
        <v>0</v>
      </c>
      <c r="Q134" s="232">
        <f>INDEX('Prop. prices'!$I$8:$AB$82,MATCH('Tariff schedule'!$C134,'Prop. prices'!$C$8:$C$82,0),MATCH('Tariff schedule'!Q$16,'Prop. prices'!$I$5:$AB$5,0))</f>
        <v>0</v>
      </c>
      <c r="R134" s="232">
        <f>INDEX('Prop. prices'!$I$8:$AB$82,MATCH('Tariff schedule'!$C134,'Prop. prices'!$C$8:$C$82,0),MATCH('Tariff schedule'!R$16,'Prop. prices'!$I$5:$AB$5,0))</f>
        <v>0</v>
      </c>
      <c r="S134" s="232">
        <f>INDEX('Prop. prices'!$I$8:$AB$82,MATCH('Tariff schedule'!$C134,'Prop. prices'!$C$8:$C$82,0),MATCH('Tariff schedule'!S$16,'Prop. prices'!$I$5:$AB$5,0))</f>
        <v>0</v>
      </c>
      <c r="T134" s="232">
        <f>INDEX('Prop. prices'!$I$8:$AB$82,MATCH('Tariff schedule'!$C134,'Prop. prices'!$C$8:$C$82,0),MATCH('Tariff schedule'!T$16,'Prop. prices'!$I$5:$AB$5,0))</f>
        <v>0</v>
      </c>
      <c r="U134" s="232">
        <f>INDEX('Prop. prices'!$I$8:$AB$82,MATCH('Tariff schedule'!$C134,'Prop. prices'!$C$8:$C$82,0),MATCH('Tariff schedule'!U$16,'Prop. prices'!$I$5:$AB$5,0))</f>
        <v>0</v>
      </c>
      <c r="V134" s="232">
        <f>INDEX('Prop. prices'!$I$8:$AB$82,MATCH('Tariff schedule'!$C134,'Prop. prices'!$C$8:$C$82,0),MATCH('Tariff schedule'!V$16,'Prop. prices'!$I$5:$AB$5,0))</f>
        <v>0</v>
      </c>
      <c r="W134" s="232">
        <f>INDEX('Prop. prices'!$I$8:$AB$82,MATCH('Tariff schedule'!$C134,'Prop. prices'!$C$8:$C$82,0),MATCH('Tariff schedule'!W$16,'Prop. prices'!$I$5:$AB$5,0))</f>
        <v>0</v>
      </c>
      <c r="X134" s="232">
        <f>INDEX('Prop. prices'!$I$8:$AB$82,MATCH('Tariff schedule'!$C134,'Prop. prices'!$C$8:$C$82,0),MATCH('Tariff schedule'!X$16,'Prop. prices'!$I$5:$AB$5,0))</f>
        <v>0</v>
      </c>
      <c r="Y134" s="232">
        <f>INDEX('Prop. prices'!$I$8:$AB$82,MATCH('Tariff schedule'!$C134,'Prop. prices'!$C$8:$C$82,0),MATCH('Tariff schedule'!Y$16,'Prop. prices'!$I$5:$AB$5,0))</f>
        <v>0</v>
      </c>
      <c r="Z134" s="232">
        <f>INDEX('Prop. prices'!$I$8:$AB$82,MATCH('Tariff schedule'!$C134,'Prop. prices'!$C$8:$C$82,0),MATCH('Tariff schedule'!Z$16,'Prop. prices'!$I$5:$AB$5,0))</f>
        <v>0</v>
      </c>
      <c r="AA134" s="232">
        <f>INDEX('Prop. prices'!$I$8:$AB$82,MATCH('Tariff schedule'!$C134,'Prop. prices'!$C$8:$C$82,0),MATCH('Tariff schedule'!AA$16,'Prop. prices'!$I$5:$AB$5,0))</f>
        <v>0</v>
      </c>
      <c r="AB134" s="232">
        <f>INDEX('Prop. prices'!$I$8:$AB$82,MATCH('Tariff schedule'!$C134,'Prop. prices'!$C$8:$C$82,0),MATCH('Tariff schedule'!AB$16,'Prop. prices'!$I$5:$AB$5,0))</f>
        <v>0</v>
      </c>
      <c r="AC134" s="70"/>
      <c r="AD134" s="19"/>
      <c r="AE134" s="19"/>
      <c r="AF134" s="19"/>
      <c r="AG134" s="19"/>
    </row>
    <row r="135" spans="1:33" hidden="1" outlineLevel="3" x14ac:dyDescent="0.2">
      <c r="A135" s="19"/>
      <c r="B135" s="19"/>
      <c r="C135" s="506">
        <f t="shared" si="78"/>
        <v>0</v>
      </c>
      <c r="D135" s="505">
        <f t="shared" si="78"/>
        <v>0</v>
      </c>
      <c r="E135" s="505">
        <f t="shared" si="78"/>
        <v>0</v>
      </c>
      <c r="F135" s="505">
        <f t="shared" si="78"/>
        <v>0</v>
      </c>
      <c r="G135" s="505">
        <f t="shared" si="78"/>
        <v>0</v>
      </c>
      <c r="H135" s="58"/>
      <c r="I135" s="232">
        <f>INDEX('Prop. prices'!$I$8:$AB$82,MATCH('Tariff schedule'!$C135,'Prop. prices'!$C$8:$C$82,0),MATCH('Tariff schedule'!I$16,'Prop. prices'!$I$5:$AB$5,0))</f>
        <v>0</v>
      </c>
      <c r="J135" s="232">
        <f>INDEX('Prop. prices'!$I$8:$AB$82,MATCH('Tariff schedule'!$C135,'Prop. prices'!$C$8:$C$82,0),MATCH('Tariff schedule'!J$16,'Prop. prices'!$I$5:$AB$5,0))</f>
        <v>0</v>
      </c>
      <c r="K135" s="232">
        <f>INDEX('Prop. prices'!$I$8:$AB$82,MATCH('Tariff schedule'!$C135,'Prop. prices'!$C$8:$C$82,0),MATCH('Tariff schedule'!K$16,'Prop. prices'!$I$5:$AB$5,0))</f>
        <v>0</v>
      </c>
      <c r="L135" s="232">
        <f>INDEX('Prop. prices'!$I$8:$AB$82,MATCH('Tariff schedule'!$C135,'Prop. prices'!$C$8:$C$82,0),MATCH('Tariff schedule'!L$16,'Prop. prices'!$I$5:$AB$5,0))</f>
        <v>0</v>
      </c>
      <c r="M135" s="232">
        <f>INDEX('Prop. prices'!$I$8:$AB$82,MATCH('Tariff schedule'!$C135,'Prop. prices'!$C$8:$C$82,0),MATCH('Tariff schedule'!M$16,'Prop. prices'!$I$5:$AB$5,0))</f>
        <v>0</v>
      </c>
      <c r="N135" s="232">
        <f>INDEX('Prop. prices'!$I$8:$AB$82,MATCH('Tariff schedule'!$C135,'Prop. prices'!$C$8:$C$82,0),MATCH('Tariff schedule'!N$16,'Prop. prices'!$I$5:$AB$5,0))</f>
        <v>0</v>
      </c>
      <c r="O135" s="232">
        <f>INDEX('Prop. prices'!$I$8:$AB$82,MATCH('Tariff schedule'!$C135,'Prop. prices'!$C$8:$C$82,0),MATCH('Tariff schedule'!O$16,'Prop. prices'!$I$5:$AB$5,0))</f>
        <v>0</v>
      </c>
      <c r="P135" s="232">
        <f>INDEX('Prop. prices'!$I$8:$AB$82,MATCH('Tariff schedule'!$C135,'Prop. prices'!$C$8:$C$82,0),MATCH('Tariff schedule'!P$16,'Prop. prices'!$I$5:$AB$5,0))</f>
        <v>0</v>
      </c>
      <c r="Q135" s="232">
        <f>INDEX('Prop. prices'!$I$8:$AB$82,MATCH('Tariff schedule'!$C135,'Prop. prices'!$C$8:$C$82,0),MATCH('Tariff schedule'!Q$16,'Prop. prices'!$I$5:$AB$5,0))</f>
        <v>0</v>
      </c>
      <c r="R135" s="232">
        <f>INDEX('Prop. prices'!$I$8:$AB$82,MATCH('Tariff schedule'!$C135,'Prop. prices'!$C$8:$C$82,0),MATCH('Tariff schedule'!R$16,'Prop. prices'!$I$5:$AB$5,0))</f>
        <v>0</v>
      </c>
      <c r="S135" s="232">
        <f>INDEX('Prop. prices'!$I$8:$AB$82,MATCH('Tariff schedule'!$C135,'Prop. prices'!$C$8:$C$82,0),MATCH('Tariff schedule'!S$16,'Prop. prices'!$I$5:$AB$5,0))</f>
        <v>0</v>
      </c>
      <c r="T135" s="232">
        <f>INDEX('Prop. prices'!$I$8:$AB$82,MATCH('Tariff schedule'!$C135,'Prop. prices'!$C$8:$C$82,0),MATCH('Tariff schedule'!T$16,'Prop. prices'!$I$5:$AB$5,0))</f>
        <v>0</v>
      </c>
      <c r="U135" s="232">
        <f>INDEX('Prop. prices'!$I$8:$AB$82,MATCH('Tariff schedule'!$C135,'Prop. prices'!$C$8:$C$82,0),MATCH('Tariff schedule'!U$16,'Prop. prices'!$I$5:$AB$5,0))</f>
        <v>0</v>
      </c>
      <c r="V135" s="232">
        <f>INDEX('Prop. prices'!$I$8:$AB$82,MATCH('Tariff schedule'!$C135,'Prop. prices'!$C$8:$C$82,0),MATCH('Tariff schedule'!V$16,'Prop. prices'!$I$5:$AB$5,0))</f>
        <v>0</v>
      </c>
      <c r="W135" s="232">
        <f>INDEX('Prop. prices'!$I$8:$AB$82,MATCH('Tariff schedule'!$C135,'Prop. prices'!$C$8:$C$82,0),MATCH('Tariff schedule'!W$16,'Prop. prices'!$I$5:$AB$5,0))</f>
        <v>0</v>
      </c>
      <c r="X135" s="232">
        <f>INDEX('Prop. prices'!$I$8:$AB$82,MATCH('Tariff schedule'!$C135,'Prop. prices'!$C$8:$C$82,0),MATCH('Tariff schedule'!X$16,'Prop. prices'!$I$5:$AB$5,0))</f>
        <v>0</v>
      </c>
      <c r="Y135" s="232">
        <f>INDEX('Prop. prices'!$I$8:$AB$82,MATCH('Tariff schedule'!$C135,'Prop. prices'!$C$8:$C$82,0),MATCH('Tariff schedule'!Y$16,'Prop. prices'!$I$5:$AB$5,0))</f>
        <v>0</v>
      </c>
      <c r="Z135" s="232">
        <f>INDEX('Prop. prices'!$I$8:$AB$82,MATCH('Tariff schedule'!$C135,'Prop. prices'!$C$8:$C$82,0),MATCH('Tariff schedule'!Z$16,'Prop. prices'!$I$5:$AB$5,0))</f>
        <v>0</v>
      </c>
      <c r="AA135" s="232">
        <f>INDEX('Prop. prices'!$I$8:$AB$82,MATCH('Tariff schedule'!$C135,'Prop. prices'!$C$8:$C$82,0),MATCH('Tariff schedule'!AA$16,'Prop. prices'!$I$5:$AB$5,0))</f>
        <v>0</v>
      </c>
      <c r="AB135" s="232">
        <f>INDEX('Prop. prices'!$I$8:$AB$82,MATCH('Tariff schedule'!$C135,'Prop. prices'!$C$8:$C$82,0),MATCH('Tariff schedule'!AB$16,'Prop. prices'!$I$5:$AB$5,0))</f>
        <v>0</v>
      </c>
      <c r="AC135" s="70"/>
      <c r="AD135" s="19"/>
      <c r="AE135" s="19"/>
      <c r="AF135" s="19"/>
      <c r="AG135" s="19"/>
    </row>
    <row r="136" spans="1:33" hidden="1" outlineLevel="3" x14ac:dyDescent="0.2">
      <c r="A136" s="19"/>
      <c r="B136" s="19"/>
      <c r="C136" s="506">
        <f t="shared" si="78"/>
        <v>0</v>
      </c>
      <c r="D136" s="505">
        <f t="shared" si="78"/>
        <v>0</v>
      </c>
      <c r="E136" s="505">
        <f t="shared" si="78"/>
        <v>0</v>
      </c>
      <c r="F136" s="505">
        <f t="shared" si="78"/>
        <v>0</v>
      </c>
      <c r="G136" s="505">
        <f t="shared" si="78"/>
        <v>0</v>
      </c>
      <c r="H136" s="58"/>
      <c r="I136" s="232">
        <f>INDEX('Prop. prices'!$I$8:$AB$82,MATCH('Tariff schedule'!$C136,'Prop. prices'!$C$8:$C$82,0),MATCH('Tariff schedule'!I$16,'Prop. prices'!$I$5:$AB$5,0))</f>
        <v>0</v>
      </c>
      <c r="J136" s="232">
        <f>INDEX('Prop. prices'!$I$8:$AB$82,MATCH('Tariff schedule'!$C136,'Prop. prices'!$C$8:$C$82,0),MATCH('Tariff schedule'!J$16,'Prop. prices'!$I$5:$AB$5,0))</f>
        <v>0</v>
      </c>
      <c r="K136" s="232">
        <f>INDEX('Prop. prices'!$I$8:$AB$82,MATCH('Tariff schedule'!$C136,'Prop. prices'!$C$8:$C$82,0),MATCH('Tariff schedule'!K$16,'Prop. prices'!$I$5:$AB$5,0))</f>
        <v>0</v>
      </c>
      <c r="L136" s="232">
        <f>INDEX('Prop. prices'!$I$8:$AB$82,MATCH('Tariff schedule'!$C136,'Prop. prices'!$C$8:$C$82,0),MATCH('Tariff schedule'!L$16,'Prop. prices'!$I$5:$AB$5,0))</f>
        <v>0</v>
      </c>
      <c r="M136" s="232">
        <f>INDEX('Prop. prices'!$I$8:$AB$82,MATCH('Tariff schedule'!$C136,'Prop. prices'!$C$8:$C$82,0),MATCH('Tariff schedule'!M$16,'Prop. prices'!$I$5:$AB$5,0))</f>
        <v>0</v>
      </c>
      <c r="N136" s="232">
        <f>INDEX('Prop. prices'!$I$8:$AB$82,MATCH('Tariff schedule'!$C136,'Prop. prices'!$C$8:$C$82,0),MATCH('Tariff schedule'!N$16,'Prop. prices'!$I$5:$AB$5,0))</f>
        <v>0</v>
      </c>
      <c r="O136" s="232">
        <f>INDEX('Prop. prices'!$I$8:$AB$82,MATCH('Tariff schedule'!$C136,'Prop. prices'!$C$8:$C$82,0),MATCH('Tariff schedule'!O$16,'Prop. prices'!$I$5:$AB$5,0))</f>
        <v>0</v>
      </c>
      <c r="P136" s="232">
        <f>INDEX('Prop. prices'!$I$8:$AB$82,MATCH('Tariff schedule'!$C136,'Prop. prices'!$C$8:$C$82,0),MATCH('Tariff schedule'!P$16,'Prop. prices'!$I$5:$AB$5,0))</f>
        <v>0</v>
      </c>
      <c r="Q136" s="232">
        <f>INDEX('Prop. prices'!$I$8:$AB$82,MATCH('Tariff schedule'!$C136,'Prop. prices'!$C$8:$C$82,0),MATCH('Tariff schedule'!Q$16,'Prop. prices'!$I$5:$AB$5,0))</f>
        <v>0</v>
      </c>
      <c r="R136" s="232">
        <f>INDEX('Prop. prices'!$I$8:$AB$82,MATCH('Tariff schedule'!$C136,'Prop. prices'!$C$8:$C$82,0),MATCH('Tariff schedule'!R$16,'Prop. prices'!$I$5:$AB$5,0))</f>
        <v>0</v>
      </c>
      <c r="S136" s="232">
        <f>INDEX('Prop. prices'!$I$8:$AB$82,MATCH('Tariff schedule'!$C136,'Prop. prices'!$C$8:$C$82,0),MATCH('Tariff schedule'!S$16,'Prop. prices'!$I$5:$AB$5,0))</f>
        <v>0</v>
      </c>
      <c r="T136" s="232">
        <f>INDEX('Prop. prices'!$I$8:$AB$82,MATCH('Tariff schedule'!$C136,'Prop. prices'!$C$8:$C$82,0),MATCH('Tariff schedule'!T$16,'Prop. prices'!$I$5:$AB$5,0))</f>
        <v>0</v>
      </c>
      <c r="U136" s="232">
        <f>INDEX('Prop. prices'!$I$8:$AB$82,MATCH('Tariff schedule'!$C136,'Prop. prices'!$C$8:$C$82,0),MATCH('Tariff schedule'!U$16,'Prop. prices'!$I$5:$AB$5,0))</f>
        <v>0</v>
      </c>
      <c r="V136" s="232">
        <f>INDEX('Prop. prices'!$I$8:$AB$82,MATCH('Tariff schedule'!$C136,'Prop. prices'!$C$8:$C$82,0),MATCH('Tariff schedule'!V$16,'Prop. prices'!$I$5:$AB$5,0))</f>
        <v>0</v>
      </c>
      <c r="W136" s="232">
        <f>INDEX('Prop. prices'!$I$8:$AB$82,MATCH('Tariff schedule'!$C136,'Prop. prices'!$C$8:$C$82,0),MATCH('Tariff schedule'!W$16,'Prop. prices'!$I$5:$AB$5,0))</f>
        <v>0</v>
      </c>
      <c r="X136" s="232">
        <f>INDEX('Prop. prices'!$I$8:$AB$82,MATCH('Tariff schedule'!$C136,'Prop. prices'!$C$8:$C$82,0),MATCH('Tariff schedule'!X$16,'Prop. prices'!$I$5:$AB$5,0))</f>
        <v>0</v>
      </c>
      <c r="Y136" s="232">
        <f>INDEX('Prop. prices'!$I$8:$AB$82,MATCH('Tariff schedule'!$C136,'Prop. prices'!$C$8:$C$82,0),MATCH('Tariff schedule'!Y$16,'Prop. prices'!$I$5:$AB$5,0))</f>
        <v>0</v>
      </c>
      <c r="Z136" s="232">
        <f>INDEX('Prop. prices'!$I$8:$AB$82,MATCH('Tariff schedule'!$C136,'Prop. prices'!$C$8:$C$82,0),MATCH('Tariff schedule'!Z$16,'Prop. prices'!$I$5:$AB$5,0))</f>
        <v>0</v>
      </c>
      <c r="AA136" s="232">
        <f>INDEX('Prop. prices'!$I$8:$AB$82,MATCH('Tariff schedule'!$C136,'Prop. prices'!$C$8:$C$82,0),MATCH('Tariff schedule'!AA$16,'Prop. prices'!$I$5:$AB$5,0))</f>
        <v>0</v>
      </c>
      <c r="AB136" s="232">
        <f>INDEX('Prop. prices'!$I$8:$AB$82,MATCH('Tariff schedule'!$C136,'Prop. prices'!$C$8:$C$82,0),MATCH('Tariff schedule'!AB$16,'Prop. prices'!$I$5:$AB$5,0))</f>
        <v>0</v>
      </c>
      <c r="AC136" s="70"/>
      <c r="AD136" s="19"/>
      <c r="AE136" s="19"/>
      <c r="AF136" s="19"/>
      <c r="AG136" s="19"/>
    </row>
    <row r="137" spans="1:33" hidden="1" outlineLevel="3" x14ac:dyDescent="0.2">
      <c r="A137" s="19"/>
      <c r="B137" s="19"/>
      <c r="C137" s="506">
        <f t="shared" ref="C137:G146" si="79">C59</f>
        <v>0</v>
      </c>
      <c r="D137" s="505">
        <f t="shared" si="79"/>
        <v>0</v>
      </c>
      <c r="E137" s="505">
        <f t="shared" si="79"/>
        <v>0</v>
      </c>
      <c r="F137" s="505">
        <f t="shared" si="79"/>
        <v>0</v>
      </c>
      <c r="G137" s="505">
        <f t="shared" si="79"/>
        <v>0</v>
      </c>
      <c r="H137" s="58"/>
      <c r="I137" s="232">
        <f>INDEX('Prop. prices'!$I$8:$AB$82,MATCH('Tariff schedule'!$C137,'Prop. prices'!$C$8:$C$82,0),MATCH('Tariff schedule'!I$16,'Prop. prices'!$I$5:$AB$5,0))</f>
        <v>0</v>
      </c>
      <c r="J137" s="232">
        <f>INDEX('Prop. prices'!$I$8:$AB$82,MATCH('Tariff schedule'!$C137,'Prop. prices'!$C$8:$C$82,0),MATCH('Tariff schedule'!J$16,'Prop. prices'!$I$5:$AB$5,0))</f>
        <v>0</v>
      </c>
      <c r="K137" s="232">
        <f>INDEX('Prop. prices'!$I$8:$AB$82,MATCH('Tariff schedule'!$C137,'Prop. prices'!$C$8:$C$82,0),MATCH('Tariff schedule'!K$16,'Prop. prices'!$I$5:$AB$5,0))</f>
        <v>0</v>
      </c>
      <c r="L137" s="232">
        <f>INDEX('Prop. prices'!$I$8:$AB$82,MATCH('Tariff schedule'!$C137,'Prop. prices'!$C$8:$C$82,0),MATCH('Tariff schedule'!L$16,'Prop. prices'!$I$5:$AB$5,0))</f>
        <v>0</v>
      </c>
      <c r="M137" s="232">
        <f>INDEX('Prop. prices'!$I$8:$AB$82,MATCH('Tariff schedule'!$C137,'Prop. prices'!$C$8:$C$82,0),MATCH('Tariff schedule'!M$16,'Prop. prices'!$I$5:$AB$5,0))</f>
        <v>0</v>
      </c>
      <c r="N137" s="232">
        <f>INDEX('Prop. prices'!$I$8:$AB$82,MATCH('Tariff schedule'!$C137,'Prop. prices'!$C$8:$C$82,0),MATCH('Tariff schedule'!N$16,'Prop. prices'!$I$5:$AB$5,0))</f>
        <v>0</v>
      </c>
      <c r="O137" s="232">
        <f>INDEX('Prop. prices'!$I$8:$AB$82,MATCH('Tariff schedule'!$C137,'Prop. prices'!$C$8:$C$82,0),MATCH('Tariff schedule'!O$16,'Prop. prices'!$I$5:$AB$5,0))</f>
        <v>0</v>
      </c>
      <c r="P137" s="232">
        <f>INDEX('Prop. prices'!$I$8:$AB$82,MATCH('Tariff schedule'!$C137,'Prop. prices'!$C$8:$C$82,0),MATCH('Tariff schedule'!P$16,'Prop. prices'!$I$5:$AB$5,0))</f>
        <v>0</v>
      </c>
      <c r="Q137" s="232">
        <f>INDEX('Prop. prices'!$I$8:$AB$82,MATCH('Tariff schedule'!$C137,'Prop. prices'!$C$8:$C$82,0),MATCH('Tariff schedule'!Q$16,'Prop. prices'!$I$5:$AB$5,0))</f>
        <v>0</v>
      </c>
      <c r="R137" s="232">
        <f>INDEX('Prop. prices'!$I$8:$AB$82,MATCH('Tariff schedule'!$C137,'Prop. prices'!$C$8:$C$82,0),MATCH('Tariff schedule'!R$16,'Prop. prices'!$I$5:$AB$5,0))</f>
        <v>0</v>
      </c>
      <c r="S137" s="232">
        <f>INDEX('Prop. prices'!$I$8:$AB$82,MATCH('Tariff schedule'!$C137,'Prop. prices'!$C$8:$C$82,0),MATCH('Tariff schedule'!S$16,'Prop. prices'!$I$5:$AB$5,0))</f>
        <v>0</v>
      </c>
      <c r="T137" s="232">
        <f>INDEX('Prop. prices'!$I$8:$AB$82,MATCH('Tariff schedule'!$C137,'Prop. prices'!$C$8:$C$82,0),MATCH('Tariff schedule'!T$16,'Prop. prices'!$I$5:$AB$5,0))</f>
        <v>0</v>
      </c>
      <c r="U137" s="232">
        <f>INDEX('Prop. prices'!$I$8:$AB$82,MATCH('Tariff schedule'!$C137,'Prop. prices'!$C$8:$C$82,0),MATCH('Tariff schedule'!U$16,'Prop. prices'!$I$5:$AB$5,0))</f>
        <v>0</v>
      </c>
      <c r="V137" s="232">
        <f>INDEX('Prop. prices'!$I$8:$AB$82,MATCH('Tariff schedule'!$C137,'Prop. prices'!$C$8:$C$82,0),MATCH('Tariff schedule'!V$16,'Prop. prices'!$I$5:$AB$5,0))</f>
        <v>0</v>
      </c>
      <c r="W137" s="232">
        <f>INDEX('Prop. prices'!$I$8:$AB$82,MATCH('Tariff schedule'!$C137,'Prop. prices'!$C$8:$C$82,0),MATCH('Tariff schedule'!W$16,'Prop. prices'!$I$5:$AB$5,0))</f>
        <v>0</v>
      </c>
      <c r="X137" s="232">
        <f>INDEX('Prop. prices'!$I$8:$AB$82,MATCH('Tariff schedule'!$C137,'Prop. prices'!$C$8:$C$82,0),MATCH('Tariff schedule'!X$16,'Prop. prices'!$I$5:$AB$5,0))</f>
        <v>0</v>
      </c>
      <c r="Y137" s="232">
        <f>INDEX('Prop. prices'!$I$8:$AB$82,MATCH('Tariff schedule'!$C137,'Prop. prices'!$C$8:$C$82,0),MATCH('Tariff schedule'!Y$16,'Prop. prices'!$I$5:$AB$5,0))</f>
        <v>0</v>
      </c>
      <c r="Z137" s="232">
        <f>INDEX('Prop. prices'!$I$8:$AB$82,MATCH('Tariff schedule'!$C137,'Prop. prices'!$C$8:$C$82,0),MATCH('Tariff schedule'!Z$16,'Prop. prices'!$I$5:$AB$5,0))</f>
        <v>0</v>
      </c>
      <c r="AA137" s="232">
        <f>INDEX('Prop. prices'!$I$8:$AB$82,MATCH('Tariff schedule'!$C137,'Prop. prices'!$C$8:$C$82,0),MATCH('Tariff schedule'!AA$16,'Prop. prices'!$I$5:$AB$5,0))</f>
        <v>0</v>
      </c>
      <c r="AB137" s="232">
        <f>INDEX('Prop. prices'!$I$8:$AB$82,MATCH('Tariff schedule'!$C137,'Prop. prices'!$C$8:$C$82,0),MATCH('Tariff schedule'!AB$16,'Prop. prices'!$I$5:$AB$5,0))</f>
        <v>0</v>
      </c>
      <c r="AC137" s="70"/>
      <c r="AD137" s="19"/>
      <c r="AE137" s="19"/>
      <c r="AF137" s="19"/>
      <c r="AG137" s="19"/>
    </row>
    <row r="138" spans="1:33" hidden="1" outlineLevel="3" x14ac:dyDescent="0.2">
      <c r="A138" s="19"/>
      <c r="B138" s="19"/>
      <c r="C138" s="506">
        <f t="shared" si="79"/>
        <v>0</v>
      </c>
      <c r="D138" s="505">
        <f t="shared" si="79"/>
        <v>0</v>
      </c>
      <c r="E138" s="505">
        <f t="shared" si="79"/>
        <v>0</v>
      </c>
      <c r="F138" s="505">
        <f t="shared" si="79"/>
        <v>0</v>
      </c>
      <c r="G138" s="505">
        <f t="shared" si="79"/>
        <v>0</v>
      </c>
      <c r="H138" s="58"/>
      <c r="I138" s="232">
        <f>INDEX('Prop. prices'!$I$8:$AB$82,MATCH('Tariff schedule'!$C138,'Prop. prices'!$C$8:$C$82,0),MATCH('Tariff schedule'!I$16,'Prop. prices'!$I$5:$AB$5,0))</f>
        <v>0</v>
      </c>
      <c r="J138" s="232">
        <f>INDEX('Prop. prices'!$I$8:$AB$82,MATCH('Tariff schedule'!$C138,'Prop. prices'!$C$8:$C$82,0),MATCH('Tariff schedule'!J$16,'Prop. prices'!$I$5:$AB$5,0))</f>
        <v>0</v>
      </c>
      <c r="K138" s="232">
        <f>INDEX('Prop. prices'!$I$8:$AB$82,MATCH('Tariff schedule'!$C138,'Prop. prices'!$C$8:$C$82,0),MATCH('Tariff schedule'!K$16,'Prop. prices'!$I$5:$AB$5,0))</f>
        <v>0</v>
      </c>
      <c r="L138" s="232">
        <f>INDEX('Prop. prices'!$I$8:$AB$82,MATCH('Tariff schedule'!$C138,'Prop. prices'!$C$8:$C$82,0),MATCH('Tariff schedule'!L$16,'Prop. prices'!$I$5:$AB$5,0))</f>
        <v>0</v>
      </c>
      <c r="M138" s="232">
        <f>INDEX('Prop. prices'!$I$8:$AB$82,MATCH('Tariff schedule'!$C138,'Prop. prices'!$C$8:$C$82,0),MATCH('Tariff schedule'!M$16,'Prop. prices'!$I$5:$AB$5,0))</f>
        <v>0</v>
      </c>
      <c r="N138" s="232">
        <f>INDEX('Prop. prices'!$I$8:$AB$82,MATCH('Tariff schedule'!$C138,'Prop. prices'!$C$8:$C$82,0),MATCH('Tariff schedule'!N$16,'Prop. prices'!$I$5:$AB$5,0))</f>
        <v>0</v>
      </c>
      <c r="O138" s="232">
        <f>INDEX('Prop. prices'!$I$8:$AB$82,MATCH('Tariff schedule'!$C138,'Prop. prices'!$C$8:$C$82,0),MATCH('Tariff schedule'!O$16,'Prop. prices'!$I$5:$AB$5,0))</f>
        <v>0</v>
      </c>
      <c r="P138" s="232">
        <f>INDEX('Prop. prices'!$I$8:$AB$82,MATCH('Tariff schedule'!$C138,'Prop. prices'!$C$8:$C$82,0),MATCH('Tariff schedule'!P$16,'Prop. prices'!$I$5:$AB$5,0))</f>
        <v>0</v>
      </c>
      <c r="Q138" s="232">
        <f>INDEX('Prop. prices'!$I$8:$AB$82,MATCH('Tariff schedule'!$C138,'Prop. prices'!$C$8:$C$82,0),MATCH('Tariff schedule'!Q$16,'Prop. prices'!$I$5:$AB$5,0))</f>
        <v>0</v>
      </c>
      <c r="R138" s="232">
        <f>INDEX('Prop. prices'!$I$8:$AB$82,MATCH('Tariff schedule'!$C138,'Prop. prices'!$C$8:$C$82,0),MATCH('Tariff schedule'!R$16,'Prop. prices'!$I$5:$AB$5,0))</f>
        <v>0</v>
      </c>
      <c r="S138" s="232">
        <f>INDEX('Prop. prices'!$I$8:$AB$82,MATCH('Tariff schedule'!$C138,'Prop. prices'!$C$8:$C$82,0),MATCH('Tariff schedule'!S$16,'Prop. prices'!$I$5:$AB$5,0))</f>
        <v>0</v>
      </c>
      <c r="T138" s="232">
        <f>INDEX('Prop. prices'!$I$8:$AB$82,MATCH('Tariff schedule'!$C138,'Prop. prices'!$C$8:$C$82,0),MATCH('Tariff schedule'!T$16,'Prop. prices'!$I$5:$AB$5,0))</f>
        <v>0</v>
      </c>
      <c r="U138" s="232">
        <f>INDEX('Prop. prices'!$I$8:$AB$82,MATCH('Tariff schedule'!$C138,'Prop. prices'!$C$8:$C$82,0),MATCH('Tariff schedule'!U$16,'Prop. prices'!$I$5:$AB$5,0))</f>
        <v>0</v>
      </c>
      <c r="V138" s="232">
        <f>INDEX('Prop. prices'!$I$8:$AB$82,MATCH('Tariff schedule'!$C138,'Prop. prices'!$C$8:$C$82,0),MATCH('Tariff schedule'!V$16,'Prop. prices'!$I$5:$AB$5,0))</f>
        <v>0</v>
      </c>
      <c r="W138" s="232">
        <f>INDEX('Prop. prices'!$I$8:$AB$82,MATCH('Tariff schedule'!$C138,'Prop. prices'!$C$8:$C$82,0),MATCH('Tariff schedule'!W$16,'Prop. prices'!$I$5:$AB$5,0))</f>
        <v>0</v>
      </c>
      <c r="X138" s="232">
        <f>INDEX('Prop. prices'!$I$8:$AB$82,MATCH('Tariff schedule'!$C138,'Prop. prices'!$C$8:$C$82,0),MATCH('Tariff schedule'!X$16,'Prop. prices'!$I$5:$AB$5,0))</f>
        <v>0</v>
      </c>
      <c r="Y138" s="232">
        <f>INDEX('Prop. prices'!$I$8:$AB$82,MATCH('Tariff schedule'!$C138,'Prop. prices'!$C$8:$C$82,0),MATCH('Tariff schedule'!Y$16,'Prop. prices'!$I$5:$AB$5,0))</f>
        <v>0</v>
      </c>
      <c r="Z138" s="232">
        <f>INDEX('Prop. prices'!$I$8:$AB$82,MATCH('Tariff schedule'!$C138,'Prop. prices'!$C$8:$C$82,0),MATCH('Tariff schedule'!Z$16,'Prop. prices'!$I$5:$AB$5,0))</f>
        <v>0</v>
      </c>
      <c r="AA138" s="232">
        <f>INDEX('Prop. prices'!$I$8:$AB$82,MATCH('Tariff schedule'!$C138,'Prop. prices'!$C$8:$C$82,0),MATCH('Tariff schedule'!AA$16,'Prop. prices'!$I$5:$AB$5,0))</f>
        <v>0</v>
      </c>
      <c r="AB138" s="232">
        <f>INDEX('Prop. prices'!$I$8:$AB$82,MATCH('Tariff schedule'!$C138,'Prop. prices'!$C$8:$C$82,0),MATCH('Tariff schedule'!AB$16,'Prop. prices'!$I$5:$AB$5,0))</f>
        <v>0</v>
      </c>
      <c r="AC138" s="70"/>
      <c r="AD138" s="19"/>
      <c r="AE138" s="19"/>
      <c r="AF138" s="19"/>
      <c r="AG138" s="19"/>
    </row>
    <row r="139" spans="1:33" hidden="1" outlineLevel="3" x14ac:dyDescent="0.2">
      <c r="A139" s="19"/>
      <c r="B139" s="19"/>
      <c r="C139" s="506">
        <f t="shared" si="79"/>
        <v>0</v>
      </c>
      <c r="D139" s="505">
        <f t="shared" si="79"/>
        <v>0</v>
      </c>
      <c r="E139" s="505">
        <f t="shared" si="79"/>
        <v>0</v>
      </c>
      <c r="F139" s="505">
        <f t="shared" si="79"/>
        <v>0</v>
      </c>
      <c r="G139" s="505">
        <f t="shared" si="79"/>
        <v>0</v>
      </c>
      <c r="H139" s="58"/>
      <c r="I139" s="232">
        <f>INDEX('Prop. prices'!$I$8:$AB$82,MATCH('Tariff schedule'!$C139,'Prop. prices'!$C$8:$C$82,0),MATCH('Tariff schedule'!I$16,'Prop. prices'!$I$5:$AB$5,0))</f>
        <v>0</v>
      </c>
      <c r="J139" s="232">
        <f>INDEX('Prop. prices'!$I$8:$AB$82,MATCH('Tariff schedule'!$C139,'Prop. prices'!$C$8:$C$82,0),MATCH('Tariff schedule'!J$16,'Prop. prices'!$I$5:$AB$5,0))</f>
        <v>0</v>
      </c>
      <c r="K139" s="232">
        <f>INDEX('Prop. prices'!$I$8:$AB$82,MATCH('Tariff schedule'!$C139,'Prop. prices'!$C$8:$C$82,0),MATCH('Tariff schedule'!K$16,'Prop. prices'!$I$5:$AB$5,0))</f>
        <v>0</v>
      </c>
      <c r="L139" s="232">
        <f>INDEX('Prop. prices'!$I$8:$AB$82,MATCH('Tariff schedule'!$C139,'Prop. prices'!$C$8:$C$82,0),MATCH('Tariff schedule'!L$16,'Prop. prices'!$I$5:$AB$5,0))</f>
        <v>0</v>
      </c>
      <c r="M139" s="232">
        <f>INDEX('Prop. prices'!$I$8:$AB$82,MATCH('Tariff schedule'!$C139,'Prop. prices'!$C$8:$C$82,0),MATCH('Tariff schedule'!M$16,'Prop. prices'!$I$5:$AB$5,0))</f>
        <v>0</v>
      </c>
      <c r="N139" s="232">
        <f>INDEX('Prop. prices'!$I$8:$AB$82,MATCH('Tariff schedule'!$C139,'Prop. prices'!$C$8:$C$82,0),MATCH('Tariff schedule'!N$16,'Prop. prices'!$I$5:$AB$5,0))</f>
        <v>0</v>
      </c>
      <c r="O139" s="232">
        <f>INDEX('Prop. prices'!$I$8:$AB$82,MATCH('Tariff schedule'!$C139,'Prop. prices'!$C$8:$C$82,0),MATCH('Tariff schedule'!O$16,'Prop. prices'!$I$5:$AB$5,0))</f>
        <v>0</v>
      </c>
      <c r="P139" s="232">
        <f>INDEX('Prop. prices'!$I$8:$AB$82,MATCH('Tariff schedule'!$C139,'Prop. prices'!$C$8:$C$82,0),MATCH('Tariff schedule'!P$16,'Prop. prices'!$I$5:$AB$5,0))</f>
        <v>0</v>
      </c>
      <c r="Q139" s="232">
        <f>INDEX('Prop. prices'!$I$8:$AB$82,MATCH('Tariff schedule'!$C139,'Prop. prices'!$C$8:$C$82,0),MATCH('Tariff schedule'!Q$16,'Prop. prices'!$I$5:$AB$5,0))</f>
        <v>0</v>
      </c>
      <c r="R139" s="232">
        <f>INDEX('Prop. prices'!$I$8:$AB$82,MATCH('Tariff schedule'!$C139,'Prop. prices'!$C$8:$C$82,0),MATCH('Tariff schedule'!R$16,'Prop. prices'!$I$5:$AB$5,0))</f>
        <v>0</v>
      </c>
      <c r="S139" s="232">
        <f>INDEX('Prop. prices'!$I$8:$AB$82,MATCH('Tariff schedule'!$C139,'Prop. prices'!$C$8:$C$82,0),MATCH('Tariff schedule'!S$16,'Prop. prices'!$I$5:$AB$5,0))</f>
        <v>0</v>
      </c>
      <c r="T139" s="232">
        <f>INDEX('Prop. prices'!$I$8:$AB$82,MATCH('Tariff schedule'!$C139,'Prop. prices'!$C$8:$C$82,0),MATCH('Tariff schedule'!T$16,'Prop. prices'!$I$5:$AB$5,0))</f>
        <v>0</v>
      </c>
      <c r="U139" s="232">
        <f>INDEX('Prop. prices'!$I$8:$AB$82,MATCH('Tariff schedule'!$C139,'Prop. prices'!$C$8:$C$82,0),MATCH('Tariff schedule'!U$16,'Prop. prices'!$I$5:$AB$5,0))</f>
        <v>0</v>
      </c>
      <c r="V139" s="232">
        <f>INDEX('Prop. prices'!$I$8:$AB$82,MATCH('Tariff schedule'!$C139,'Prop. prices'!$C$8:$C$82,0),MATCH('Tariff schedule'!V$16,'Prop. prices'!$I$5:$AB$5,0))</f>
        <v>0</v>
      </c>
      <c r="W139" s="232">
        <f>INDEX('Prop. prices'!$I$8:$AB$82,MATCH('Tariff schedule'!$C139,'Prop. prices'!$C$8:$C$82,0),MATCH('Tariff schedule'!W$16,'Prop. prices'!$I$5:$AB$5,0))</f>
        <v>0</v>
      </c>
      <c r="X139" s="232">
        <f>INDEX('Prop. prices'!$I$8:$AB$82,MATCH('Tariff schedule'!$C139,'Prop. prices'!$C$8:$C$82,0),MATCH('Tariff schedule'!X$16,'Prop. prices'!$I$5:$AB$5,0))</f>
        <v>0</v>
      </c>
      <c r="Y139" s="232">
        <f>INDEX('Prop. prices'!$I$8:$AB$82,MATCH('Tariff schedule'!$C139,'Prop. prices'!$C$8:$C$82,0),MATCH('Tariff schedule'!Y$16,'Prop. prices'!$I$5:$AB$5,0))</f>
        <v>0</v>
      </c>
      <c r="Z139" s="232">
        <f>INDEX('Prop. prices'!$I$8:$AB$82,MATCH('Tariff schedule'!$C139,'Prop. prices'!$C$8:$C$82,0),MATCH('Tariff schedule'!Z$16,'Prop. prices'!$I$5:$AB$5,0))</f>
        <v>0</v>
      </c>
      <c r="AA139" s="232">
        <f>INDEX('Prop. prices'!$I$8:$AB$82,MATCH('Tariff schedule'!$C139,'Prop. prices'!$C$8:$C$82,0),MATCH('Tariff schedule'!AA$16,'Prop. prices'!$I$5:$AB$5,0))</f>
        <v>0</v>
      </c>
      <c r="AB139" s="232">
        <f>INDEX('Prop. prices'!$I$8:$AB$82,MATCH('Tariff schedule'!$C139,'Prop. prices'!$C$8:$C$82,0),MATCH('Tariff schedule'!AB$16,'Prop. prices'!$I$5:$AB$5,0))</f>
        <v>0</v>
      </c>
      <c r="AC139" s="70"/>
      <c r="AD139" s="19"/>
      <c r="AE139" s="19"/>
      <c r="AF139" s="19"/>
      <c r="AG139" s="19"/>
    </row>
    <row r="140" spans="1:33" hidden="1" outlineLevel="3" x14ac:dyDescent="0.2">
      <c r="A140" s="19"/>
      <c r="B140" s="19"/>
      <c r="C140" s="506">
        <f t="shared" si="79"/>
        <v>0</v>
      </c>
      <c r="D140" s="505">
        <f t="shared" si="79"/>
        <v>0</v>
      </c>
      <c r="E140" s="505">
        <f t="shared" si="79"/>
        <v>0</v>
      </c>
      <c r="F140" s="505">
        <f t="shared" si="79"/>
        <v>0</v>
      </c>
      <c r="G140" s="505">
        <f t="shared" si="79"/>
        <v>0</v>
      </c>
      <c r="H140" s="58"/>
      <c r="I140" s="232">
        <f>INDEX('Prop. prices'!$I$8:$AB$82,MATCH('Tariff schedule'!$C140,'Prop. prices'!$C$8:$C$82,0),MATCH('Tariff schedule'!I$16,'Prop. prices'!$I$5:$AB$5,0))</f>
        <v>0</v>
      </c>
      <c r="J140" s="232">
        <f>INDEX('Prop. prices'!$I$8:$AB$82,MATCH('Tariff schedule'!$C140,'Prop. prices'!$C$8:$C$82,0),MATCH('Tariff schedule'!J$16,'Prop. prices'!$I$5:$AB$5,0))</f>
        <v>0</v>
      </c>
      <c r="K140" s="232">
        <f>INDEX('Prop. prices'!$I$8:$AB$82,MATCH('Tariff schedule'!$C140,'Prop. prices'!$C$8:$C$82,0),MATCH('Tariff schedule'!K$16,'Prop. prices'!$I$5:$AB$5,0))</f>
        <v>0</v>
      </c>
      <c r="L140" s="232">
        <f>INDEX('Prop. prices'!$I$8:$AB$82,MATCH('Tariff schedule'!$C140,'Prop. prices'!$C$8:$C$82,0),MATCH('Tariff schedule'!L$16,'Prop. prices'!$I$5:$AB$5,0))</f>
        <v>0</v>
      </c>
      <c r="M140" s="232">
        <f>INDEX('Prop. prices'!$I$8:$AB$82,MATCH('Tariff schedule'!$C140,'Prop. prices'!$C$8:$C$82,0),MATCH('Tariff schedule'!M$16,'Prop. prices'!$I$5:$AB$5,0))</f>
        <v>0</v>
      </c>
      <c r="N140" s="232">
        <f>INDEX('Prop. prices'!$I$8:$AB$82,MATCH('Tariff schedule'!$C140,'Prop. prices'!$C$8:$C$82,0),MATCH('Tariff schedule'!N$16,'Prop. prices'!$I$5:$AB$5,0))</f>
        <v>0</v>
      </c>
      <c r="O140" s="232">
        <f>INDEX('Prop. prices'!$I$8:$AB$82,MATCH('Tariff schedule'!$C140,'Prop. prices'!$C$8:$C$82,0),MATCH('Tariff schedule'!O$16,'Prop. prices'!$I$5:$AB$5,0))</f>
        <v>0</v>
      </c>
      <c r="P140" s="232">
        <f>INDEX('Prop. prices'!$I$8:$AB$82,MATCH('Tariff schedule'!$C140,'Prop. prices'!$C$8:$C$82,0),MATCH('Tariff schedule'!P$16,'Prop. prices'!$I$5:$AB$5,0))</f>
        <v>0</v>
      </c>
      <c r="Q140" s="232">
        <f>INDEX('Prop. prices'!$I$8:$AB$82,MATCH('Tariff schedule'!$C140,'Prop. prices'!$C$8:$C$82,0),MATCH('Tariff schedule'!Q$16,'Prop. prices'!$I$5:$AB$5,0))</f>
        <v>0</v>
      </c>
      <c r="R140" s="232">
        <f>INDEX('Prop. prices'!$I$8:$AB$82,MATCH('Tariff schedule'!$C140,'Prop. prices'!$C$8:$C$82,0),MATCH('Tariff schedule'!R$16,'Prop. prices'!$I$5:$AB$5,0))</f>
        <v>0</v>
      </c>
      <c r="S140" s="232">
        <f>INDEX('Prop. prices'!$I$8:$AB$82,MATCH('Tariff schedule'!$C140,'Prop. prices'!$C$8:$C$82,0),MATCH('Tariff schedule'!S$16,'Prop. prices'!$I$5:$AB$5,0))</f>
        <v>0</v>
      </c>
      <c r="T140" s="232">
        <f>INDEX('Prop. prices'!$I$8:$AB$82,MATCH('Tariff schedule'!$C140,'Prop. prices'!$C$8:$C$82,0),MATCH('Tariff schedule'!T$16,'Prop. prices'!$I$5:$AB$5,0))</f>
        <v>0</v>
      </c>
      <c r="U140" s="232">
        <f>INDEX('Prop. prices'!$I$8:$AB$82,MATCH('Tariff schedule'!$C140,'Prop. prices'!$C$8:$C$82,0),MATCH('Tariff schedule'!U$16,'Prop. prices'!$I$5:$AB$5,0))</f>
        <v>0</v>
      </c>
      <c r="V140" s="232">
        <f>INDEX('Prop. prices'!$I$8:$AB$82,MATCH('Tariff schedule'!$C140,'Prop. prices'!$C$8:$C$82,0),MATCH('Tariff schedule'!V$16,'Prop. prices'!$I$5:$AB$5,0))</f>
        <v>0</v>
      </c>
      <c r="W140" s="232">
        <f>INDEX('Prop. prices'!$I$8:$AB$82,MATCH('Tariff schedule'!$C140,'Prop. prices'!$C$8:$C$82,0),MATCH('Tariff schedule'!W$16,'Prop. prices'!$I$5:$AB$5,0))</f>
        <v>0</v>
      </c>
      <c r="X140" s="232">
        <f>INDEX('Prop. prices'!$I$8:$AB$82,MATCH('Tariff schedule'!$C140,'Prop. prices'!$C$8:$C$82,0),MATCH('Tariff schedule'!X$16,'Prop. prices'!$I$5:$AB$5,0))</f>
        <v>0</v>
      </c>
      <c r="Y140" s="232">
        <f>INDEX('Prop. prices'!$I$8:$AB$82,MATCH('Tariff schedule'!$C140,'Prop. prices'!$C$8:$C$82,0),MATCH('Tariff schedule'!Y$16,'Prop. prices'!$I$5:$AB$5,0))</f>
        <v>0</v>
      </c>
      <c r="Z140" s="232">
        <f>INDEX('Prop. prices'!$I$8:$AB$82,MATCH('Tariff schedule'!$C140,'Prop. prices'!$C$8:$C$82,0),MATCH('Tariff schedule'!Z$16,'Prop. prices'!$I$5:$AB$5,0))</f>
        <v>0</v>
      </c>
      <c r="AA140" s="232">
        <f>INDEX('Prop. prices'!$I$8:$AB$82,MATCH('Tariff schedule'!$C140,'Prop. prices'!$C$8:$C$82,0),MATCH('Tariff schedule'!AA$16,'Prop. prices'!$I$5:$AB$5,0))</f>
        <v>0</v>
      </c>
      <c r="AB140" s="232">
        <f>INDEX('Prop. prices'!$I$8:$AB$82,MATCH('Tariff schedule'!$C140,'Prop. prices'!$C$8:$C$82,0),MATCH('Tariff schedule'!AB$16,'Prop. prices'!$I$5:$AB$5,0))</f>
        <v>0</v>
      </c>
      <c r="AC140" s="70"/>
      <c r="AD140" s="19"/>
      <c r="AE140" s="19"/>
      <c r="AF140" s="19"/>
      <c r="AG140" s="19"/>
    </row>
    <row r="141" spans="1:33" hidden="1" outlineLevel="3" x14ac:dyDescent="0.2">
      <c r="A141" s="19"/>
      <c r="B141" s="19"/>
      <c r="C141" s="506">
        <f t="shared" si="79"/>
        <v>0</v>
      </c>
      <c r="D141" s="505">
        <f t="shared" si="79"/>
        <v>0</v>
      </c>
      <c r="E141" s="505">
        <f t="shared" si="79"/>
        <v>0</v>
      </c>
      <c r="F141" s="505">
        <f t="shared" si="79"/>
        <v>0</v>
      </c>
      <c r="G141" s="505">
        <f t="shared" si="79"/>
        <v>0</v>
      </c>
      <c r="H141" s="58"/>
      <c r="I141" s="232">
        <f>INDEX('Prop. prices'!$I$8:$AB$82,MATCH('Tariff schedule'!$C141,'Prop. prices'!$C$8:$C$82,0),MATCH('Tariff schedule'!I$16,'Prop. prices'!$I$5:$AB$5,0))</f>
        <v>0</v>
      </c>
      <c r="J141" s="232">
        <f>INDEX('Prop. prices'!$I$8:$AB$82,MATCH('Tariff schedule'!$C141,'Prop. prices'!$C$8:$C$82,0),MATCH('Tariff schedule'!J$16,'Prop. prices'!$I$5:$AB$5,0))</f>
        <v>0</v>
      </c>
      <c r="K141" s="232">
        <f>INDEX('Prop. prices'!$I$8:$AB$82,MATCH('Tariff schedule'!$C141,'Prop. prices'!$C$8:$C$82,0),MATCH('Tariff schedule'!K$16,'Prop. prices'!$I$5:$AB$5,0))</f>
        <v>0</v>
      </c>
      <c r="L141" s="232">
        <f>INDEX('Prop. prices'!$I$8:$AB$82,MATCH('Tariff schedule'!$C141,'Prop. prices'!$C$8:$C$82,0),MATCH('Tariff schedule'!L$16,'Prop. prices'!$I$5:$AB$5,0))</f>
        <v>0</v>
      </c>
      <c r="M141" s="232">
        <f>INDEX('Prop. prices'!$I$8:$AB$82,MATCH('Tariff schedule'!$C141,'Prop. prices'!$C$8:$C$82,0),MATCH('Tariff schedule'!M$16,'Prop. prices'!$I$5:$AB$5,0))</f>
        <v>0</v>
      </c>
      <c r="N141" s="232">
        <f>INDEX('Prop. prices'!$I$8:$AB$82,MATCH('Tariff schedule'!$C141,'Prop. prices'!$C$8:$C$82,0),MATCH('Tariff schedule'!N$16,'Prop. prices'!$I$5:$AB$5,0))</f>
        <v>0</v>
      </c>
      <c r="O141" s="232">
        <f>INDEX('Prop. prices'!$I$8:$AB$82,MATCH('Tariff schedule'!$C141,'Prop. prices'!$C$8:$C$82,0),MATCH('Tariff schedule'!O$16,'Prop. prices'!$I$5:$AB$5,0))</f>
        <v>0</v>
      </c>
      <c r="P141" s="232">
        <f>INDEX('Prop. prices'!$I$8:$AB$82,MATCH('Tariff schedule'!$C141,'Prop. prices'!$C$8:$C$82,0),MATCH('Tariff schedule'!P$16,'Prop. prices'!$I$5:$AB$5,0))</f>
        <v>0</v>
      </c>
      <c r="Q141" s="232">
        <f>INDEX('Prop. prices'!$I$8:$AB$82,MATCH('Tariff schedule'!$C141,'Prop. prices'!$C$8:$C$82,0),MATCH('Tariff schedule'!Q$16,'Prop. prices'!$I$5:$AB$5,0))</f>
        <v>0</v>
      </c>
      <c r="R141" s="232">
        <f>INDEX('Prop. prices'!$I$8:$AB$82,MATCH('Tariff schedule'!$C141,'Prop. prices'!$C$8:$C$82,0),MATCH('Tariff schedule'!R$16,'Prop. prices'!$I$5:$AB$5,0))</f>
        <v>0</v>
      </c>
      <c r="S141" s="232">
        <f>INDEX('Prop. prices'!$I$8:$AB$82,MATCH('Tariff schedule'!$C141,'Prop. prices'!$C$8:$C$82,0),MATCH('Tariff schedule'!S$16,'Prop. prices'!$I$5:$AB$5,0))</f>
        <v>0</v>
      </c>
      <c r="T141" s="232">
        <f>INDEX('Prop. prices'!$I$8:$AB$82,MATCH('Tariff schedule'!$C141,'Prop. prices'!$C$8:$C$82,0),MATCH('Tariff schedule'!T$16,'Prop. prices'!$I$5:$AB$5,0))</f>
        <v>0</v>
      </c>
      <c r="U141" s="232">
        <f>INDEX('Prop. prices'!$I$8:$AB$82,MATCH('Tariff schedule'!$C141,'Prop. prices'!$C$8:$C$82,0),MATCH('Tariff schedule'!U$16,'Prop. prices'!$I$5:$AB$5,0))</f>
        <v>0</v>
      </c>
      <c r="V141" s="232">
        <f>INDEX('Prop. prices'!$I$8:$AB$82,MATCH('Tariff schedule'!$C141,'Prop. prices'!$C$8:$C$82,0),MATCH('Tariff schedule'!V$16,'Prop. prices'!$I$5:$AB$5,0))</f>
        <v>0</v>
      </c>
      <c r="W141" s="232">
        <f>INDEX('Prop. prices'!$I$8:$AB$82,MATCH('Tariff schedule'!$C141,'Prop. prices'!$C$8:$C$82,0),MATCH('Tariff schedule'!W$16,'Prop. prices'!$I$5:$AB$5,0))</f>
        <v>0</v>
      </c>
      <c r="X141" s="232">
        <f>INDEX('Prop. prices'!$I$8:$AB$82,MATCH('Tariff schedule'!$C141,'Prop. prices'!$C$8:$C$82,0),MATCH('Tariff schedule'!X$16,'Prop. prices'!$I$5:$AB$5,0))</f>
        <v>0</v>
      </c>
      <c r="Y141" s="232">
        <f>INDEX('Prop. prices'!$I$8:$AB$82,MATCH('Tariff schedule'!$C141,'Prop. prices'!$C$8:$C$82,0),MATCH('Tariff schedule'!Y$16,'Prop. prices'!$I$5:$AB$5,0))</f>
        <v>0</v>
      </c>
      <c r="Z141" s="232">
        <f>INDEX('Prop. prices'!$I$8:$AB$82,MATCH('Tariff schedule'!$C141,'Prop. prices'!$C$8:$C$82,0),MATCH('Tariff schedule'!Z$16,'Prop. prices'!$I$5:$AB$5,0))</f>
        <v>0</v>
      </c>
      <c r="AA141" s="232">
        <f>INDEX('Prop. prices'!$I$8:$AB$82,MATCH('Tariff schedule'!$C141,'Prop. prices'!$C$8:$C$82,0),MATCH('Tariff schedule'!AA$16,'Prop. prices'!$I$5:$AB$5,0))</f>
        <v>0</v>
      </c>
      <c r="AB141" s="232">
        <f>INDEX('Prop. prices'!$I$8:$AB$82,MATCH('Tariff schedule'!$C141,'Prop. prices'!$C$8:$C$82,0),MATCH('Tariff schedule'!AB$16,'Prop. prices'!$I$5:$AB$5,0))</f>
        <v>0</v>
      </c>
      <c r="AC141" s="70"/>
      <c r="AD141" s="19"/>
      <c r="AE141" s="19"/>
      <c r="AF141" s="19"/>
      <c r="AG141" s="19"/>
    </row>
    <row r="142" spans="1:33" hidden="1" outlineLevel="3" x14ac:dyDescent="0.2">
      <c r="A142" s="19"/>
      <c r="B142" s="19"/>
      <c r="C142" s="506">
        <f t="shared" si="79"/>
        <v>0</v>
      </c>
      <c r="D142" s="505">
        <f t="shared" si="79"/>
        <v>0</v>
      </c>
      <c r="E142" s="505">
        <f t="shared" si="79"/>
        <v>0</v>
      </c>
      <c r="F142" s="505">
        <f t="shared" si="79"/>
        <v>0</v>
      </c>
      <c r="G142" s="505">
        <f t="shared" si="79"/>
        <v>0</v>
      </c>
      <c r="H142" s="58"/>
      <c r="I142" s="232">
        <f>INDEX('Prop. prices'!$I$8:$AB$82,MATCH('Tariff schedule'!$C142,'Prop. prices'!$C$8:$C$82,0),MATCH('Tariff schedule'!I$16,'Prop. prices'!$I$5:$AB$5,0))</f>
        <v>0</v>
      </c>
      <c r="J142" s="232">
        <f>INDEX('Prop. prices'!$I$8:$AB$82,MATCH('Tariff schedule'!$C142,'Prop. prices'!$C$8:$C$82,0),MATCH('Tariff schedule'!J$16,'Prop. prices'!$I$5:$AB$5,0))</f>
        <v>0</v>
      </c>
      <c r="K142" s="232">
        <f>INDEX('Prop. prices'!$I$8:$AB$82,MATCH('Tariff schedule'!$C142,'Prop. prices'!$C$8:$C$82,0),MATCH('Tariff schedule'!K$16,'Prop. prices'!$I$5:$AB$5,0))</f>
        <v>0</v>
      </c>
      <c r="L142" s="232">
        <f>INDEX('Prop. prices'!$I$8:$AB$82,MATCH('Tariff schedule'!$C142,'Prop. prices'!$C$8:$C$82,0),MATCH('Tariff schedule'!L$16,'Prop. prices'!$I$5:$AB$5,0))</f>
        <v>0</v>
      </c>
      <c r="M142" s="232">
        <f>INDEX('Prop. prices'!$I$8:$AB$82,MATCH('Tariff schedule'!$C142,'Prop. prices'!$C$8:$C$82,0),MATCH('Tariff schedule'!M$16,'Prop. prices'!$I$5:$AB$5,0))</f>
        <v>0</v>
      </c>
      <c r="N142" s="232">
        <f>INDEX('Prop. prices'!$I$8:$AB$82,MATCH('Tariff schedule'!$C142,'Prop. prices'!$C$8:$C$82,0),MATCH('Tariff schedule'!N$16,'Prop. prices'!$I$5:$AB$5,0))</f>
        <v>0</v>
      </c>
      <c r="O142" s="232">
        <f>INDEX('Prop. prices'!$I$8:$AB$82,MATCH('Tariff schedule'!$C142,'Prop. prices'!$C$8:$C$82,0),MATCH('Tariff schedule'!O$16,'Prop. prices'!$I$5:$AB$5,0))</f>
        <v>0</v>
      </c>
      <c r="P142" s="232">
        <f>INDEX('Prop. prices'!$I$8:$AB$82,MATCH('Tariff schedule'!$C142,'Prop. prices'!$C$8:$C$82,0),MATCH('Tariff schedule'!P$16,'Prop. prices'!$I$5:$AB$5,0))</f>
        <v>0</v>
      </c>
      <c r="Q142" s="232">
        <f>INDEX('Prop. prices'!$I$8:$AB$82,MATCH('Tariff schedule'!$C142,'Prop. prices'!$C$8:$C$82,0),MATCH('Tariff schedule'!Q$16,'Prop. prices'!$I$5:$AB$5,0))</f>
        <v>0</v>
      </c>
      <c r="R142" s="232">
        <f>INDEX('Prop. prices'!$I$8:$AB$82,MATCH('Tariff schedule'!$C142,'Prop. prices'!$C$8:$C$82,0),MATCH('Tariff schedule'!R$16,'Prop. prices'!$I$5:$AB$5,0))</f>
        <v>0</v>
      </c>
      <c r="S142" s="232">
        <f>INDEX('Prop. prices'!$I$8:$AB$82,MATCH('Tariff schedule'!$C142,'Prop. prices'!$C$8:$C$82,0),MATCH('Tariff schedule'!S$16,'Prop. prices'!$I$5:$AB$5,0))</f>
        <v>0</v>
      </c>
      <c r="T142" s="232">
        <f>INDEX('Prop. prices'!$I$8:$AB$82,MATCH('Tariff schedule'!$C142,'Prop. prices'!$C$8:$C$82,0),MATCH('Tariff schedule'!T$16,'Prop. prices'!$I$5:$AB$5,0))</f>
        <v>0</v>
      </c>
      <c r="U142" s="232">
        <f>INDEX('Prop. prices'!$I$8:$AB$82,MATCH('Tariff schedule'!$C142,'Prop. prices'!$C$8:$C$82,0),MATCH('Tariff schedule'!U$16,'Prop. prices'!$I$5:$AB$5,0))</f>
        <v>0</v>
      </c>
      <c r="V142" s="232">
        <f>INDEX('Prop. prices'!$I$8:$AB$82,MATCH('Tariff schedule'!$C142,'Prop. prices'!$C$8:$C$82,0),MATCH('Tariff schedule'!V$16,'Prop. prices'!$I$5:$AB$5,0))</f>
        <v>0</v>
      </c>
      <c r="W142" s="232">
        <f>INDEX('Prop. prices'!$I$8:$AB$82,MATCH('Tariff schedule'!$C142,'Prop. prices'!$C$8:$C$82,0),MATCH('Tariff schedule'!W$16,'Prop. prices'!$I$5:$AB$5,0))</f>
        <v>0</v>
      </c>
      <c r="X142" s="232">
        <f>INDEX('Prop. prices'!$I$8:$AB$82,MATCH('Tariff schedule'!$C142,'Prop. prices'!$C$8:$C$82,0),MATCH('Tariff schedule'!X$16,'Prop. prices'!$I$5:$AB$5,0))</f>
        <v>0</v>
      </c>
      <c r="Y142" s="232">
        <f>INDEX('Prop. prices'!$I$8:$AB$82,MATCH('Tariff schedule'!$C142,'Prop. prices'!$C$8:$C$82,0),MATCH('Tariff schedule'!Y$16,'Prop. prices'!$I$5:$AB$5,0))</f>
        <v>0</v>
      </c>
      <c r="Z142" s="232">
        <f>INDEX('Prop. prices'!$I$8:$AB$82,MATCH('Tariff schedule'!$C142,'Prop. prices'!$C$8:$C$82,0),MATCH('Tariff schedule'!Z$16,'Prop. prices'!$I$5:$AB$5,0))</f>
        <v>0</v>
      </c>
      <c r="AA142" s="232">
        <f>INDEX('Prop. prices'!$I$8:$AB$82,MATCH('Tariff schedule'!$C142,'Prop. prices'!$C$8:$C$82,0),MATCH('Tariff schedule'!AA$16,'Prop. prices'!$I$5:$AB$5,0))</f>
        <v>0</v>
      </c>
      <c r="AB142" s="232">
        <f>INDEX('Prop. prices'!$I$8:$AB$82,MATCH('Tariff schedule'!$C142,'Prop. prices'!$C$8:$C$82,0),MATCH('Tariff schedule'!AB$16,'Prop. prices'!$I$5:$AB$5,0))</f>
        <v>0</v>
      </c>
      <c r="AC142" s="70"/>
      <c r="AD142" s="19"/>
      <c r="AE142" s="19"/>
      <c r="AF142" s="19"/>
      <c r="AG142" s="19"/>
    </row>
    <row r="143" spans="1:33" hidden="1" outlineLevel="3" x14ac:dyDescent="0.2">
      <c r="A143" s="19"/>
      <c r="B143" s="19"/>
      <c r="C143" s="506">
        <f t="shared" si="79"/>
        <v>0</v>
      </c>
      <c r="D143" s="505">
        <f t="shared" si="79"/>
        <v>0</v>
      </c>
      <c r="E143" s="505">
        <f t="shared" si="79"/>
        <v>0</v>
      </c>
      <c r="F143" s="505">
        <f t="shared" si="79"/>
        <v>0</v>
      </c>
      <c r="G143" s="505">
        <f t="shared" si="79"/>
        <v>0</v>
      </c>
      <c r="H143" s="58"/>
      <c r="I143" s="232">
        <f>INDEX('Prop. prices'!$I$8:$AB$82,MATCH('Tariff schedule'!$C143,'Prop. prices'!$C$8:$C$82,0),MATCH('Tariff schedule'!I$16,'Prop. prices'!$I$5:$AB$5,0))</f>
        <v>0</v>
      </c>
      <c r="J143" s="232">
        <f>INDEX('Prop. prices'!$I$8:$AB$82,MATCH('Tariff schedule'!$C143,'Prop. prices'!$C$8:$C$82,0),MATCH('Tariff schedule'!J$16,'Prop. prices'!$I$5:$AB$5,0))</f>
        <v>0</v>
      </c>
      <c r="K143" s="232">
        <f>INDEX('Prop. prices'!$I$8:$AB$82,MATCH('Tariff schedule'!$C143,'Prop. prices'!$C$8:$C$82,0),MATCH('Tariff schedule'!K$16,'Prop. prices'!$I$5:$AB$5,0))</f>
        <v>0</v>
      </c>
      <c r="L143" s="232">
        <f>INDEX('Prop. prices'!$I$8:$AB$82,MATCH('Tariff schedule'!$C143,'Prop. prices'!$C$8:$C$82,0),MATCH('Tariff schedule'!L$16,'Prop. prices'!$I$5:$AB$5,0))</f>
        <v>0</v>
      </c>
      <c r="M143" s="232">
        <f>INDEX('Prop. prices'!$I$8:$AB$82,MATCH('Tariff schedule'!$C143,'Prop. prices'!$C$8:$C$82,0),MATCH('Tariff schedule'!M$16,'Prop. prices'!$I$5:$AB$5,0))</f>
        <v>0</v>
      </c>
      <c r="N143" s="232">
        <f>INDEX('Prop. prices'!$I$8:$AB$82,MATCH('Tariff schedule'!$C143,'Prop. prices'!$C$8:$C$82,0),MATCH('Tariff schedule'!N$16,'Prop. prices'!$I$5:$AB$5,0))</f>
        <v>0</v>
      </c>
      <c r="O143" s="232">
        <f>INDEX('Prop. prices'!$I$8:$AB$82,MATCH('Tariff schedule'!$C143,'Prop. prices'!$C$8:$C$82,0),MATCH('Tariff schedule'!O$16,'Prop. prices'!$I$5:$AB$5,0))</f>
        <v>0</v>
      </c>
      <c r="P143" s="232">
        <f>INDEX('Prop. prices'!$I$8:$AB$82,MATCH('Tariff schedule'!$C143,'Prop. prices'!$C$8:$C$82,0),MATCH('Tariff schedule'!P$16,'Prop. prices'!$I$5:$AB$5,0))</f>
        <v>0</v>
      </c>
      <c r="Q143" s="232">
        <f>INDEX('Prop. prices'!$I$8:$AB$82,MATCH('Tariff schedule'!$C143,'Prop. prices'!$C$8:$C$82,0),MATCH('Tariff schedule'!Q$16,'Prop. prices'!$I$5:$AB$5,0))</f>
        <v>0</v>
      </c>
      <c r="R143" s="232">
        <f>INDEX('Prop. prices'!$I$8:$AB$82,MATCH('Tariff schedule'!$C143,'Prop. prices'!$C$8:$C$82,0),MATCH('Tariff schedule'!R$16,'Prop. prices'!$I$5:$AB$5,0))</f>
        <v>0</v>
      </c>
      <c r="S143" s="232">
        <f>INDEX('Prop. prices'!$I$8:$AB$82,MATCH('Tariff schedule'!$C143,'Prop. prices'!$C$8:$C$82,0),MATCH('Tariff schedule'!S$16,'Prop. prices'!$I$5:$AB$5,0))</f>
        <v>0</v>
      </c>
      <c r="T143" s="232">
        <f>INDEX('Prop. prices'!$I$8:$AB$82,MATCH('Tariff schedule'!$C143,'Prop. prices'!$C$8:$C$82,0),MATCH('Tariff schedule'!T$16,'Prop. prices'!$I$5:$AB$5,0))</f>
        <v>0</v>
      </c>
      <c r="U143" s="232">
        <f>INDEX('Prop. prices'!$I$8:$AB$82,MATCH('Tariff schedule'!$C143,'Prop. prices'!$C$8:$C$82,0),MATCH('Tariff schedule'!U$16,'Prop. prices'!$I$5:$AB$5,0))</f>
        <v>0</v>
      </c>
      <c r="V143" s="232">
        <f>INDEX('Prop. prices'!$I$8:$AB$82,MATCH('Tariff schedule'!$C143,'Prop. prices'!$C$8:$C$82,0),MATCH('Tariff schedule'!V$16,'Prop. prices'!$I$5:$AB$5,0))</f>
        <v>0</v>
      </c>
      <c r="W143" s="232">
        <f>INDEX('Prop. prices'!$I$8:$AB$82,MATCH('Tariff schedule'!$C143,'Prop. prices'!$C$8:$C$82,0),MATCH('Tariff schedule'!W$16,'Prop. prices'!$I$5:$AB$5,0))</f>
        <v>0</v>
      </c>
      <c r="X143" s="232">
        <f>INDEX('Prop. prices'!$I$8:$AB$82,MATCH('Tariff schedule'!$C143,'Prop. prices'!$C$8:$C$82,0),MATCH('Tariff schedule'!X$16,'Prop. prices'!$I$5:$AB$5,0))</f>
        <v>0</v>
      </c>
      <c r="Y143" s="232">
        <f>INDEX('Prop. prices'!$I$8:$AB$82,MATCH('Tariff schedule'!$C143,'Prop. prices'!$C$8:$C$82,0),MATCH('Tariff schedule'!Y$16,'Prop. prices'!$I$5:$AB$5,0))</f>
        <v>0</v>
      </c>
      <c r="Z143" s="232">
        <f>INDEX('Prop. prices'!$I$8:$AB$82,MATCH('Tariff schedule'!$C143,'Prop. prices'!$C$8:$C$82,0),MATCH('Tariff schedule'!Z$16,'Prop. prices'!$I$5:$AB$5,0))</f>
        <v>0</v>
      </c>
      <c r="AA143" s="232">
        <f>INDEX('Prop. prices'!$I$8:$AB$82,MATCH('Tariff schedule'!$C143,'Prop. prices'!$C$8:$C$82,0),MATCH('Tariff schedule'!AA$16,'Prop. prices'!$I$5:$AB$5,0))</f>
        <v>0</v>
      </c>
      <c r="AB143" s="232">
        <f>INDEX('Prop. prices'!$I$8:$AB$82,MATCH('Tariff schedule'!$C143,'Prop. prices'!$C$8:$C$82,0),MATCH('Tariff schedule'!AB$16,'Prop. prices'!$I$5:$AB$5,0))</f>
        <v>0</v>
      </c>
      <c r="AC143" s="70"/>
      <c r="AD143" s="19"/>
      <c r="AE143" s="19"/>
      <c r="AF143" s="19"/>
      <c r="AG143" s="19"/>
    </row>
    <row r="144" spans="1:33" hidden="1" outlineLevel="3" x14ac:dyDescent="0.2">
      <c r="A144" s="19"/>
      <c r="B144" s="19"/>
      <c r="C144" s="506">
        <f t="shared" si="79"/>
        <v>0</v>
      </c>
      <c r="D144" s="505">
        <f t="shared" si="79"/>
        <v>0</v>
      </c>
      <c r="E144" s="505">
        <f t="shared" si="79"/>
        <v>0</v>
      </c>
      <c r="F144" s="505">
        <f t="shared" si="79"/>
        <v>0</v>
      </c>
      <c r="G144" s="505">
        <f t="shared" si="79"/>
        <v>0</v>
      </c>
      <c r="H144" s="58"/>
      <c r="I144" s="232">
        <f>INDEX('Prop. prices'!$I$8:$AB$82,MATCH('Tariff schedule'!$C144,'Prop. prices'!$C$8:$C$82,0),MATCH('Tariff schedule'!I$16,'Prop. prices'!$I$5:$AB$5,0))</f>
        <v>0</v>
      </c>
      <c r="J144" s="232">
        <f>INDEX('Prop. prices'!$I$8:$AB$82,MATCH('Tariff schedule'!$C144,'Prop. prices'!$C$8:$C$82,0),MATCH('Tariff schedule'!J$16,'Prop. prices'!$I$5:$AB$5,0))</f>
        <v>0</v>
      </c>
      <c r="K144" s="232">
        <f>INDEX('Prop. prices'!$I$8:$AB$82,MATCH('Tariff schedule'!$C144,'Prop. prices'!$C$8:$C$82,0),MATCH('Tariff schedule'!K$16,'Prop. prices'!$I$5:$AB$5,0))</f>
        <v>0</v>
      </c>
      <c r="L144" s="232">
        <f>INDEX('Prop. prices'!$I$8:$AB$82,MATCH('Tariff schedule'!$C144,'Prop. prices'!$C$8:$C$82,0),MATCH('Tariff schedule'!L$16,'Prop. prices'!$I$5:$AB$5,0))</f>
        <v>0</v>
      </c>
      <c r="M144" s="232">
        <f>INDEX('Prop. prices'!$I$8:$AB$82,MATCH('Tariff schedule'!$C144,'Prop. prices'!$C$8:$C$82,0),MATCH('Tariff schedule'!M$16,'Prop. prices'!$I$5:$AB$5,0))</f>
        <v>0</v>
      </c>
      <c r="N144" s="232">
        <f>INDEX('Prop. prices'!$I$8:$AB$82,MATCH('Tariff schedule'!$C144,'Prop. prices'!$C$8:$C$82,0),MATCH('Tariff schedule'!N$16,'Prop. prices'!$I$5:$AB$5,0))</f>
        <v>0</v>
      </c>
      <c r="O144" s="232">
        <f>INDEX('Prop. prices'!$I$8:$AB$82,MATCH('Tariff schedule'!$C144,'Prop. prices'!$C$8:$C$82,0),MATCH('Tariff schedule'!O$16,'Prop. prices'!$I$5:$AB$5,0))</f>
        <v>0</v>
      </c>
      <c r="P144" s="232">
        <f>INDEX('Prop. prices'!$I$8:$AB$82,MATCH('Tariff schedule'!$C144,'Prop. prices'!$C$8:$C$82,0),MATCH('Tariff schedule'!P$16,'Prop. prices'!$I$5:$AB$5,0))</f>
        <v>0</v>
      </c>
      <c r="Q144" s="232">
        <f>INDEX('Prop. prices'!$I$8:$AB$82,MATCH('Tariff schedule'!$C144,'Prop. prices'!$C$8:$C$82,0),MATCH('Tariff schedule'!Q$16,'Prop. prices'!$I$5:$AB$5,0))</f>
        <v>0</v>
      </c>
      <c r="R144" s="232">
        <f>INDEX('Prop. prices'!$I$8:$AB$82,MATCH('Tariff schedule'!$C144,'Prop. prices'!$C$8:$C$82,0),MATCH('Tariff schedule'!R$16,'Prop. prices'!$I$5:$AB$5,0))</f>
        <v>0</v>
      </c>
      <c r="S144" s="232">
        <f>INDEX('Prop. prices'!$I$8:$AB$82,MATCH('Tariff schedule'!$C144,'Prop. prices'!$C$8:$C$82,0),MATCH('Tariff schedule'!S$16,'Prop. prices'!$I$5:$AB$5,0))</f>
        <v>0</v>
      </c>
      <c r="T144" s="232">
        <f>INDEX('Prop. prices'!$I$8:$AB$82,MATCH('Tariff schedule'!$C144,'Prop. prices'!$C$8:$C$82,0),MATCH('Tariff schedule'!T$16,'Prop. prices'!$I$5:$AB$5,0))</f>
        <v>0</v>
      </c>
      <c r="U144" s="232">
        <f>INDEX('Prop. prices'!$I$8:$AB$82,MATCH('Tariff schedule'!$C144,'Prop. prices'!$C$8:$C$82,0),MATCH('Tariff schedule'!U$16,'Prop. prices'!$I$5:$AB$5,0))</f>
        <v>0</v>
      </c>
      <c r="V144" s="232">
        <f>INDEX('Prop. prices'!$I$8:$AB$82,MATCH('Tariff schedule'!$C144,'Prop. prices'!$C$8:$C$82,0),MATCH('Tariff schedule'!V$16,'Prop. prices'!$I$5:$AB$5,0))</f>
        <v>0</v>
      </c>
      <c r="W144" s="232">
        <f>INDEX('Prop. prices'!$I$8:$AB$82,MATCH('Tariff schedule'!$C144,'Prop. prices'!$C$8:$C$82,0),MATCH('Tariff schedule'!W$16,'Prop. prices'!$I$5:$AB$5,0))</f>
        <v>0</v>
      </c>
      <c r="X144" s="232">
        <f>INDEX('Prop. prices'!$I$8:$AB$82,MATCH('Tariff schedule'!$C144,'Prop. prices'!$C$8:$C$82,0),MATCH('Tariff schedule'!X$16,'Prop. prices'!$I$5:$AB$5,0))</f>
        <v>0</v>
      </c>
      <c r="Y144" s="232">
        <f>INDEX('Prop. prices'!$I$8:$AB$82,MATCH('Tariff schedule'!$C144,'Prop. prices'!$C$8:$C$82,0),MATCH('Tariff schedule'!Y$16,'Prop. prices'!$I$5:$AB$5,0))</f>
        <v>0</v>
      </c>
      <c r="Z144" s="232">
        <f>INDEX('Prop. prices'!$I$8:$AB$82,MATCH('Tariff schedule'!$C144,'Prop. prices'!$C$8:$C$82,0),MATCH('Tariff schedule'!Z$16,'Prop. prices'!$I$5:$AB$5,0))</f>
        <v>0</v>
      </c>
      <c r="AA144" s="232">
        <f>INDEX('Prop. prices'!$I$8:$AB$82,MATCH('Tariff schedule'!$C144,'Prop. prices'!$C$8:$C$82,0),MATCH('Tariff schedule'!AA$16,'Prop. prices'!$I$5:$AB$5,0))</f>
        <v>0</v>
      </c>
      <c r="AB144" s="232">
        <f>INDEX('Prop. prices'!$I$8:$AB$82,MATCH('Tariff schedule'!$C144,'Prop. prices'!$C$8:$C$82,0),MATCH('Tariff schedule'!AB$16,'Prop. prices'!$I$5:$AB$5,0))</f>
        <v>0</v>
      </c>
      <c r="AC144" s="70"/>
      <c r="AD144" s="19"/>
      <c r="AE144" s="19"/>
      <c r="AF144" s="19"/>
      <c r="AG144" s="19"/>
    </row>
    <row r="145" spans="1:33" hidden="1" outlineLevel="3" x14ac:dyDescent="0.2">
      <c r="A145" s="19"/>
      <c r="B145" s="19"/>
      <c r="C145" s="506">
        <f t="shared" si="79"/>
        <v>0</v>
      </c>
      <c r="D145" s="505">
        <f t="shared" si="79"/>
        <v>0</v>
      </c>
      <c r="E145" s="505">
        <f t="shared" si="79"/>
        <v>0</v>
      </c>
      <c r="F145" s="505">
        <f t="shared" si="79"/>
        <v>0</v>
      </c>
      <c r="G145" s="505">
        <f t="shared" si="79"/>
        <v>0</v>
      </c>
      <c r="H145" s="58"/>
      <c r="I145" s="232">
        <f>INDEX('Prop. prices'!$I$8:$AB$82,MATCH('Tariff schedule'!$C145,'Prop. prices'!$C$8:$C$82,0),MATCH('Tariff schedule'!I$16,'Prop. prices'!$I$5:$AB$5,0))</f>
        <v>0</v>
      </c>
      <c r="J145" s="232">
        <f>INDEX('Prop. prices'!$I$8:$AB$82,MATCH('Tariff schedule'!$C145,'Prop. prices'!$C$8:$C$82,0),MATCH('Tariff schedule'!J$16,'Prop. prices'!$I$5:$AB$5,0))</f>
        <v>0</v>
      </c>
      <c r="K145" s="232">
        <f>INDEX('Prop. prices'!$I$8:$AB$82,MATCH('Tariff schedule'!$C145,'Prop. prices'!$C$8:$C$82,0),MATCH('Tariff schedule'!K$16,'Prop. prices'!$I$5:$AB$5,0))</f>
        <v>0</v>
      </c>
      <c r="L145" s="232">
        <f>INDEX('Prop. prices'!$I$8:$AB$82,MATCH('Tariff schedule'!$C145,'Prop. prices'!$C$8:$C$82,0),MATCH('Tariff schedule'!L$16,'Prop. prices'!$I$5:$AB$5,0))</f>
        <v>0</v>
      </c>
      <c r="M145" s="232">
        <f>INDEX('Prop. prices'!$I$8:$AB$82,MATCH('Tariff schedule'!$C145,'Prop. prices'!$C$8:$C$82,0),MATCH('Tariff schedule'!M$16,'Prop. prices'!$I$5:$AB$5,0))</f>
        <v>0</v>
      </c>
      <c r="N145" s="232">
        <f>INDEX('Prop. prices'!$I$8:$AB$82,MATCH('Tariff schedule'!$C145,'Prop. prices'!$C$8:$C$82,0),MATCH('Tariff schedule'!N$16,'Prop. prices'!$I$5:$AB$5,0))</f>
        <v>0</v>
      </c>
      <c r="O145" s="232">
        <f>INDEX('Prop. prices'!$I$8:$AB$82,MATCH('Tariff schedule'!$C145,'Prop. prices'!$C$8:$C$82,0),MATCH('Tariff schedule'!O$16,'Prop. prices'!$I$5:$AB$5,0))</f>
        <v>0</v>
      </c>
      <c r="P145" s="232">
        <f>INDEX('Prop. prices'!$I$8:$AB$82,MATCH('Tariff schedule'!$C145,'Prop. prices'!$C$8:$C$82,0),MATCH('Tariff schedule'!P$16,'Prop. prices'!$I$5:$AB$5,0))</f>
        <v>0</v>
      </c>
      <c r="Q145" s="232">
        <f>INDEX('Prop. prices'!$I$8:$AB$82,MATCH('Tariff schedule'!$C145,'Prop. prices'!$C$8:$C$82,0),MATCH('Tariff schedule'!Q$16,'Prop. prices'!$I$5:$AB$5,0))</f>
        <v>0</v>
      </c>
      <c r="R145" s="232">
        <f>INDEX('Prop. prices'!$I$8:$AB$82,MATCH('Tariff schedule'!$C145,'Prop. prices'!$C$8:$C$82,0),MATCH('Tariff schedule'!R$16,'Prop. prices'!$I$5:$AB$5,0))</f>
        <v>0</v>
      </c>
      <c r="S145" s="232">
        <f>INDEX('Prop. prices'!$I$8:$AB$82,MATCH('Tariff schedule'!$C145,'Prop. prices'!$C$8:$C$82,0),MATCH('Tariff schedule'!S$16,'Prop. prices'!$I$5:$AB$5,0))</f>
        <v>0</v>
      </c>
      <c r="T145" s="232">
        <f>INDEX('Prop. prices'!$I$8:$AB$82,MATCH('Tariff schedule'!$C145,'Prop. prices'!$C$8:$C$82,0),MATCH('Tariff schedule'!T$16,'Prop. prices'!$I$5:$AB$5,0))</f>
        <v>0</v>
      </c>
      <c r="U145" s="232">
        <f>INDEX('Prop. prices'!$I$8:$AB$82,MATCH('Tariff schedule'!$C145,'Prop. prices'!$C$8:$C$82,0),MATCH('Tariff schedule'!U$16,'Prop. prices'!$I$5:$AB$5,0))</f>
        <v>0</v>
      </c>
      <c r="V145" s="232">
        <f>INDEX('Prop. prices'!$I$8:$AB$82,MATCH('Tariff schedule'!$C145,'Prop. prices'!$C$8:$C$82,0),MATCH('Tariff schedule'!V$16,'Prop. prices'!$I$5:$AB$5,0))</f>
        <v>0</v>
      </c>
      <c r="W145" s="232">
        <f>INDEX('Prop. prices'!$I$8:$AB$82,MATCH('Tariff schedule'!$C145,'Prop. prices'!$C$8:$C$82,0),MATCH('Tariff schedule'!W$16,'Prop. prices'!$I$5:$AB$5,0))</f>
        <v>0</v>
      </c>
      <c r="X145" s="232">
        <f>INDEX('Prop. prices'!$I$8:$AB$82,MATCH('Tariff schedule'!$C145,'Prop. prices'!$C$8:$C$82,0),MATCH('Tariff schedule'!X$16,'Prop. prices'!$I$5:$AB$5,0))</f>
        <v>0</v>
      </c>
      <c r="Y145" s="232">
        <f>INDEX('Prop. prices'!$I$8:$AB$82,MATCH('Tariff schedule'!$C145,'Prop. prices'!$C$8:$C$82,0),MATCH('Tariff schedule'!Y$16,'Prop. prices'!$I$5:$AB$5,0))</f>
        <v>0</v>
      </c>
      <c r="Z145" s="232">
        <f>INDEX('Prop. prices'!$I$8:$AB$82,MATCH('Tariff schedule'!$C145,'Prop. prices'!$C$8:$C$82,0),MATCH('Tariff schedule'!Z$16,'Prop. prices'!$I$5:$AB$5,0))</f>
        <v>0</v>
      </c>
      <c r="AA145" s="232">
        <f>INDEX('Prop. prices'!$I$8:$AB$82,MATCH('Tariff schedule'!$C145,'Prop. prices'!$C$8:$C$82,0),MATCH('Tariff schedule'!AA$16,'Prop. prices'!$I$5:$AB$5,0))</f>
        <v>0</v>
      </c>
      <c r="AB145" s="232">
        <f>INDEX('Prop. prices'!$I$8:$AB$82,MATCH('Tariff schedule'!$C145,'Prop. prices'!$C$8:$C$82,0),MATCH('Tariff schedule'!AB$16,'Prop. prices'!$I$5:$AB$5,0))</f>
        <v>0</v>
      </c>
      <c r="AC145" s="70"/>
      <c r="AD145" s="19"/>
      <c r="AE145" s="19"/>
      <c r="AF145" s="19"/>
      <c r="AG145" s="19"/>
    </row>
    <row r="146" spans="1:33" hidden="1" outlineLevel="3" x14ac:dyDescent="0.2">
      <c r="A146" s="19"/>
      <c r="B146" s="19"/>
      <c r="C146" s="506">
        <f t="shared" si="79"/>
        <v>0</v>
      </c>
      <c r="D146" s="505">
        <f t="shared" si="79"/>
        <v>0</v>
      </c>
      <c r="E146" s="505">
        <f t="shared" si="79"/>
        <v>0</v>
      </c>
      <c r="F146" s="505">
        <f t="shared" si="79"/>
        <v>0</v>
      </c>
      <c r="G146" s="505">
        <f t="shared" si="79"/>
        <v>0</v>
      </c>
      <c r="H146" s="58"/>
      <c r="I146" s="232">
        <f>INDEX('Prop. prices'!$I$8:$AB$82,MATCH('Tariff schedule'!$C146,'Prop. prices'!$C$8:$C$82,0),MATCH('Tariff schedule'!I$16,'Prop. prices'!$I$5:$AB$5,0))</f>
        <v>0</v>
      </c>
      <c r="J146" s="232">
        <f>INDEX('Prop. prices'!$I$8:$AB$82,MATCH('Tariff schedule'!$C146,'Prop. prices'!$C$8:$C$82,0),MATCH('Tariff schedule'!J$16,'Prop. prices'!$I$5:$AB$5,0))</f>
        <v>0</v>
      </c>
      <c r="K146" s="232">
        <f>INDEX('Prop. prices'!$I$8:$AB$82,MATCH('Tariff schedule'!$C146,'Prop. prices'!$C$8:$C$82,0),MATCH('Tariff schedule'!K$16,'Prop. prices'!$I$5:$AB$5,0))</f>
        <v>0</v>
      </c>
      <c r="L146" s="232">
        <f>INDEX('Prop. prices'!$I$8:$AB$82,MATCH('Tariff schedule'!$C146,'Prop. prices'!$C$8:$C$82,0),MATCH('Tariff schedule'!L$16,'Prop. prices'!$I$5:$AB$5,0))</f>
        <v>0</v>
      </c>
      <c r="M146" s="232">
        <f>INDEX('Prop. prices'!$I$8:$AB$82,MATCH('Tariff schedule'!$C146,'Prop. prices'!$C$8:$C$82,0),MATCH('Tariff schedule'!M$16,'Prop. prices'!$I$5:$AB$5,0))</f>
        <v>0</v>
      </c>
      <c r="N146" s="232">
        <f>INDEX('Prop. prices'!$I$8:$AB$82,MATCH('Tariff schedule'!$C146,'Prop. prices'!$C$8:$C$82,0),MATCH('Tariff schedule'!N$16,'Prop. prices'!$I$5:$AB$5,0))</f>
        <v>0</v>
      </c>
      <c r="O146" s="232">
        <f>INDEX('Prop. prices'!$I$8:$AB$82,MATCH('Tariff schedule'!$C146,'Prop. prices'!$C$8:$C$82,0),MATCH('Tariff schedule'!O$16,'Prop. prices'!$I$5:$AB$5,0))</f>
        <v>0</v>
      </c>
      <c r="P146" s="232">
        <f>INDEX('Prop. prices'!$I$8:$AB$82,MATCH('Tariff schedule'!$C146,'Prop. prices'!$C$8:$C$82,0),MATCH('Tariff schedule'!P$16,'Prop. prices'!$I$5:$AB$5,0))</f>
        <v>0</v>
      </c>
      <c r="Q146" s="232">
        <f>INDEX('Prop. prices'!$I$8:$AB$82,MATCH('Tariff schedule'!$C146,'Prop. prices'!$C$8:$C$82,0),MATCH('Tariff schedule'!Q$16,'Prop. prices'!$I$5:$AB$5,0))</f>
        <v>0</v>
      </c>
      <c r="R146" s="232">
        <f>INDEX('Prop. prices'!$I$8:$AB$82,MATCH('Tariff schedule'!$C146,'Prop. prices'!$C$8:$C$82,0),MATCH('Tariff schedule'!R$16,'Prop. prices'!$I$5:$AB$5,0))</f>
        <v>0</v>
      </c>
      <c r="S146" s="232">
        <f>INDEX('Prop. prices'!$I$8:$AB$82,MATCH('Tariff schedule'!$C146,'Prop. prices'!$C$8:$C$82,0),MATCH('Tariff schedule'!S$16,'Prop. prices'!$I$5:$AB$5,0))</f>
        <v>0</v>
      </c>
      <c r="T146" s="232">
        <f>INDEX('Prop. prices'!$I$8:$AB$82,MATCH('Tariff schedule'!$C146,'Prop. prices'!$C$8:$C$82,0),MATCH('Tariff schedule'!T$16,'Prop. prices'!$I$5:$AB$5,0))</f>
        <v>0</v>
      </c>
      <c r="U146" s="232">
        <f>INDEX('Prop. prices'!$I$8:$AB$82,MATCH('Tariff schedule'!$C146,'Prop. prices'!$C$8:$C$82,0),MATCH('Tariff schedule'!U$16,'Prop. prices'!$I$5:$AB$5,0))</f>
        <v>0</v>
      </c>
      <c r="V146" s="232">
        <f>INDEX('Prop. prices'!$I$8:$AB$82,MATCH('Tariff schedule'!$C146,'Prop. prices'!$C$8:$C$82,0),MATCH('Tariff schedule'!V$16,'Prop. prices'!$I$5:$AB$5,0))</f>
        <v>0</v>
      </c>
      <c r="W146" s="232">
        <f>INDEX('Prop. prices'!$I$8:$AB$82,MATCH('Tariff schedule'!$C146,'Prop. prices'!$C$8:$C$82,0),MATCH('Tariff schedule'!W$16,'Prop. prices'!$I$5:$AB$5,0))</f>
        <v>0</v>
      </c>
      <c r="X146" s="232">
        <f>INDEX('Prop. prices'!$I$8:$AB$82,MATCH('Tariff schedule'!$C146,'Prop. prices'!$C$8:$C$82,0),MATCH('Tariff schedule'!X$16,'Prop. prices'!$I$5:$AB$5,0))</f>
        <v>0</v>
      </c>
      <c r="Y146" s="232">
        <f>INDEX('Prop. prices'!$I$8:$AB$82,MATCH('Tariff schedule'!$C146,'Prop. prices'!$C$8:$C$82,0),MATCH('Tariff schedule'!Y$16,'Prop. prices'!$I$5:$AB$5,0))</f>
        <v>0</v>
      </c>
      <c r="Z146" s="232">
        <f>INDEX('Prop. prices'!$I$8:$AB$82,MATCH('Tariff schedule'!$C146,'Prop. prices'!$C$8:$C$82,0),MATCH('Tariff schedule'!Z$16,'Prop. prices'!$I$5:$AB$5,0))</f>
        <v>0</v>
      </c>
      <c r="AA146" s="232">
        <f>INDEX('Prop. prices'!$I$8:$AB$82,MATCH('Tariff schedule'!$C146,'Prop. prices'!$C$8:$C$82,0),MATCH('Tariff schedule'!AA$16,'Prop. prices'!$I$5:$AB$5,0))</f>
        <v>0</v>
      </c>
      <c r="AB146" s="232">
        <f>INDEX('Prop. prices'!$I$8:$AB$82,MATCH('Tariff schedule'!$C146,'Prop. prices'!$C$8:$C$82,0),MATCH('Tariff schedule'!AB$16,'Prop. prices'!$I$5:$AB$5,0))</f>
        <v>0</v>
      </c>
      <c r="AC146" s="70"/>
      <c r="AD146" s="19"/>
      <c r="AE146" s="19"/>
      <c r="AF146" s="19"/>
      <c r="AG146" s="19"/>
    </row>
    <row r="147" spans="1:33" hidden="1" outlineLevel="3" x14ac:dyDescent="0.2">
      <c r="A147" s="19"/>
      <c r="B147" s="19"/>
      <c r="C147" s="506">
        <f t="shared" ref="C147:G156" si="80">C69</f>
        <v>0</v>
      </c>
      <c r="D147" s="505">
        <f t="shared" si="80"/>
        <v>0</v>
      </c>
      <c r="E147" s="505">
        <f t="shared" si="80"/>
        <v>0</v>
      </c>
      <c r="F147" s="505">
        <f t="shared" si="80"/>
        <v>0</v>
      </c>
      <c r="G147" s="505">
        <f t="shared" si="80"/>
        <v>0</v>
      </c>
      <c r="H147" s="58"/>
      <c r="I147" s="232">
        <f>INDEX('Prop. prices'!$I$8:$AB$82,MATCH('Tariff schedule'!$C147,'Prop. prices'!$C$8:$C$82,0),MATCH('Tariff schedule'!I$16,'Prop. prices'!$I$5:$AB$5,0))</f>
        <v>0</v>
      </c>
      <c r="J147" s="232">
        <f>INDEX('Prop. prices'!$I$8:$AB$82,MATCH('Tariff schedule'!$C147,'Prop. prices'!$C$8:$C$82,0),MATCH('Tariff schedule'!J$16,'Prop. prices'!$I$5:$AB$5,0))</f>
        <v>0</v>
      </c>
      <c r="K147" s="232">
        <f>INDEX('Prop. prices'!$I$8:$AB$82,MATCH('Tariff schedule'!$C147,'Prop. prices'!$C$8:$C$82,0),MATCH('Tariff schedule'!K$16,'Prop. prices'!$I$5:$AB$5,0))</f>
        <v>0</v>
      </c>
      <c r="L147" s="232">
        <f>INDEX('Prop. prices'!$I$8:$AB$82,MATCH('Tariff schedule'!$C147,'Prop. prices'!$C$8:$C$82,0),MATCH('Tariff schedule'!L$16,'Prop. prices'!$I$5:$AB$5,0))</f>
        <v>0</v>
      </c>
      <c r="M147" s="232">
        <f>INDEX('Prop. prices'!$I$8:$AB$82,MATCH('Tariff schedule'!$C147,'Prop. prices'!$C$8:$C$82,0),MATCH('Tariff schedule'!M$16,'Prop. prices'!$I$5:$AB$5,0))</f>
        <v>0</v>
      </c>
      <c r="N147" s="232">
        <f>INDEX('Prop. prices'!$I$8:$AB$82,MATCH('Tariff schedule'!$C147,'Prop. prices'!$C$8:$C$82,0),MATCH('Tariff schedule'!N$16,'Prop. prices'!$I$5:$AB$5,0))</f>
        <v>0</v>
      </c>
      <c r="O147" s="232">
        <f>INDEX('Prop. prices'!$I$8:$AB$82,MATCH('Tariff schedule'!$C147,'Prop. prices'!$C$8:$C$82,0),MATCH('Tariff schedule'!O$16,'Prop. prices'!$I$5:$AB$5,0))</f>
        <v>0</v>
      </c>
      <c r="P147" s="232">
        <f>INDEX('Prop. prices'!$I$8:$AB$82,MATCH('Tariff schedule'!$C147,'Prop. prices'!$C$8:$C$82,0),MATCH('Tariff schedule'!P$16,'Prop. prices'!$I$5:$AB$5,0))</f>
        <v>0</v>
      </c>
      <c r="Q147" s="232">
        <f>INDEX('Prop. prices'!$I$8:$AB$82,MATCH('Tariff schedule'!$C147,'Prop. prices'!$C$8:$C$82,0),MATCH('Tariff schedule'!Q$16,'Prop. prices'!$I$5:$AB$5,0))</f>
        <v>0</v>
      </c>
      <c r="R147" s="232">
        <f>INDEX('Prop. prices'!$I$8:$AB$82,MATCH('Tariff schedule'!$C147,'Prop. prices'!$C$8:$C$82,0),MATCH('Tariff schedule'!R$16,'Prop. prices'!$I$5:$AB$5,0))</f>
        <v>0</v>
      </c>
      <c r="S147" s="232">
        <f>INDEX('Prop. prices'!$I$8:$AB$82,MATCH('Tariff schedule'!$C147,'Prop. prices'!$C$8:$C$82,0),MATCH('Tariff schedule'!S$16,'Prop. prices'!$I$5:$AB$5,0))</f>
        <v>0</v>
      </c>
      <c r="T147" s="232">
        <f>INDEX('Prop. prices'!$I$8:$AB$82,MATCH('Tariff schedule'!$C147,'Prop. prices'!$C$8:$C$82,0),MATCH('Tariff schedule'!T$16,'Prop. prices'!$I$5:$AB$5,0))</f>
        <v>0</v>
      </c>
      <c r="U147" s="232">
        <f>INDEX('Prop. prices'!$I$8:$AB$82,MATCH('Tariff schedule'!$C147,'Prop. prices'!$C$8:$C$82,0),MATCH('Tariff schedule'!U$16,'Prop. prices'!$I$5:$AB$5,0))</f>
        <v>0</v>
      </c>
      <c r="V147" s="232">
        <f>INDEX('Prop. prices'!$I$8:$AB$82,MATCH('Tariff schedule'!$C147,'Prop. prices'!$C$8:$C$82,0),MATCH('Tariff schedule'!V$16,'Prop. prices'!$I$5:$AB$5,0))</f>
        <v>0</v>
      </c>
      <c r="W147" s="232">
        <f>INDEX('Prop. prices'!$I$8:$AB$82,MATCH('Tariff schedule'!$C147,'Prop. prices'!$C$8:$C$82,0),MATCH('Tariff schedule'!W$16,'Prop. prices'!$I$5:$AB$5,0))</f>
        <v>0</v>
      </c>
      <c r="X147" s="232">
        <f>INDEX('Prop. prices'!$I$8:$AB$82,MATCH('Tariff schedule'!$C147,'Prop. prices'!$C$8:$C$82,0),MATCH('Tariff schedule'!X$16,'Prop. prices'!$I$5:$AB$5,0))</f>
        <v>0</v>
      </c>
      <c r="Y147" s="232">
        <f>INDEX('Prop. prices'!$I$8:$AB$82,MATCH('Tariff schedule'!$C147,'Prop. prices'!$C$8:$C$82,0),MATCH('Tariff schedule'!Y$16,'Prop. prices'!$I$5:$AB$5,0))</f>
        <v>0</v>
      </c>
      <c r="Z147" s="232">
        <f>INDEX('Prop. prices'!$I$8:$AB$82,MATCH('Tariff schedule'!$C147,'Prop. prices'!$C$8:$C$82,0),MATCH('Tariff schedule'!Z$16,'Prop. prices'!$I$5:$AB$5,0))</f>
        <v>0</v>
      </c>
      <c r="AA147" s="232">
        <f>INDEX('Prop. prices'!$I$8:$AB$82,MATCH('Tariff schedule'!$C147,'Prop. prices'!$C$8:$C$82,0),MATCH('Tariff schedule'!AA$16,'Prop. prices'!$I$5:$AB$5,0))</f>
        <v>0</v>
      </c>
      <c r="AB147" s="232">
        <f>INDEX('Prop. prices'!$I$8:$AB$82,MATCH('Tariff schedule'!$C147,'Prop. prices'!$C$8:$C$82,0),MATCH('Tariff schedule'!AB$16,'Prop. prices'!$I$5:$AB$5,0))</f>
        <v>0</v>
      </c>
      <c r="AC147" s="70"/>
      <c r="AD147" s="19"/>
      <c r="AE147" s="19"/>
      <c r="AF147" s="19"/>
      <c r="AG147" s="19"/>
    </row>
    <row r="148" spans="1:33" hidden="1" outlineLevel="3" x14ac:dyDescent="0.2">
      <c r="A148" s="19"/>
      <c r="B148" s="19"/>
      <c r="C148" s="506">
        <f t="shared" si="80"/>
        <v>0</v>
      </c>
      <c r="D148" s="505">
        <f t="shared" si="80"/>
        <v>0</v>
      </c>
      <c r="E148" s="505">
        <f t="shared" si="80"/>
        <v>0</v>
      </c>
      <c r="F148" s="505">
        <f t="shared" si="80"/>
        <v>0</v>
      </c>
      <c r="G148" s="505">
        <f t="shared" si="80"/>
        <v>0</v>
      </c>
      <c r="H148" s="58"/>
      <c r="I148" s="232">
        <f>INDEX('Prop. prices'!$I$8:$AB$82,MATCH('Tariff schedule'!$C148,'Prop. prices'!$C$8:$C$82,0),MATCH('Tariff schedule'!I$16,'Prop. prices'!$I$5:$AB$5,0))</f>
        <v>0</v>
      </c>
      <c r="J148" s="232">
        <f>INDEX('Prop. prices'!$I$8:$AB$82,MATCH('Tariff schedule'!$C148,'Prop. prices'!$C$8:$C$82,0),MATCH('Tariff schedule'!J$16,'Prop. prices'!$I$5:$AB$5,0))</f>
        <v>0</v>
      </c>
      <c r="K148" s="232">
        <f>INDEX('Prop. prices'!$I$8:$AB$82,MATCH('Tariff schedule'!$C148,'Prop. prices'!$C$8:$C$82,0),MATCH('Tariff schedule'!K$16,'Prop. prices'!$I$5:$AB$5,0))</f>
        <v>0</v>
      </c>
      <c r="L148" s="232">
        <f>INDEX('Prop. prices'!$I$8:$AB$82,MATCH('Tariff schedule'!$C148,'Prop. prices'!$C$8:$C$82,0),MATCH('Tariff schedule'!L$16,'Prop. prices'!$I$5:$AB$5,0))</f>
        <v>0</v>
      </c>
      <c r="M148" s="232">
        <f>INDEX('Prop. prices'!$I$8:$AB$82,MATCH('Tariff schedule'!$C148,'Prop. prices'!$C$8:$C$82,0),MATCH('Tariff schedule'!M$16,'Prop. prices'!$I$5:$AB$5,0))</f>
        <v>0</v>
      </c>
      <c r="N148" s="232">
        <f>INDEX('Prop. prices'!$I$8:$AB$82,MATCH('Tariff schedule'!$C148,'Prop. prices'!$C$8:$C$82,0),MATCH('Tariff schedule'!N$16,'Prop. prices'!$I$5:$AB$5,0))</f>
        <v>0</v>
      </c>
      <c r="O148" s="232">
        <f>INDEX('Prop. prices'!$I$8:$AB$82,MATCH('Tariff schedule'!$C148,'Prop. prices'!$C$8:$C$82,0),MATCH('Tariff schedule'!O$16,'Prop. prices'!$I$5:$AB$5,0))</f>
        <v>0</v>
      </c>
      <c r="P148" s="232">
        <f>INDEX('Prop. prices'!$I$8:$AB$82,MATCH('Tariff schedule'!$C148,'Prop. prices'!$C$8:$C$82,0),MATCH('Tariff schedule'!P$16,'Prop. prices'!$I$5:$AB$5,0))</f>
        <v>0</v>
      </c>
      <c r="Q148" s="232">
        <f>INDEX('Prop. prices'!$I$8:$AB$82,MATCH('Tariff schedule'!$C148,'Prop. prices'!$C$8:$C$82,0),MATCH('Tariff schedule'!Q$16,'Prop. prices'!$I$5:$AB$5,0))</f>
        <v>0</v>
      </c>
      <c r="R148" s="232">
        <f>INDEX('Prop. prices'!$I$8:$AB$82,MATCH('Tariff schedule'!$C148,'Prop. prices'!$C$8:$C$82,0),MATCH('Tariff schedule'!R$16,'Prop. prices'!$I$5:$AB$5,0))</f>
        <v>0</v>
      </c>
      <c r="S148" s="232">
        <f>INDEX('Prop. prices'!$I$8:$AB$82,MATCH('Tariff schedule'!$C148,'Prop. prices'!$C$8:$C$82,0),MATCH('Tariff schedule'!S$16,'Prop. prices'!$I$5:$AB$5,0))</f>
        <v>0</v>
      </c>
      <c r="T148" s="232">
        <f>INDEX('Prop. prices'!$I$8:$AB$82,MATCH('Tariff schedule'!$C148,'Prop. prices'!$C$8:$C$82,0),MATCH('Tariff schedule'!T$16,'Prop. prices'!$I$5:$AB$5,0))</f>
        <v>0</v>
      </c>
      <c r="U148" s="232">
        <f>INDEX('Prop. prices'!$I$8:$AB$82,MATCH('Tariff schedule'!$C148,'Prop. prices'!$C$8:$C$82,0),MATCH('Tariff schedule'!U$16,'Prop. prices'!$I$5:$AB$5,0))</f>
        <v>0</v>
      </c>
      <c r="V148" s="232">
        <f>INDEX('Prop. prices'!$I$8:$AB$82,MATCH('Tariff schedule'!$C148,'Prop. prices'!$C$8:$C$82,0),MATCH('Tariff schedule'!V$16,'Prop. prices'!$I$5:$AB$5,0))</f>
        <v>0</v>
      </c>
      <c r="W148" s="232">
        <f>INDEX('Prop. prices'!$I$8:$AB$82,MATCH('Tariff schedule'!$C148,'Prop. prices'!$C$8:$C$82,0),MATCH('Tariff schedule'!W$16,'Prop. prices'!$I$5:$AB$5,0))</f>
        <v>0</v>
      </c>
      <c r="X148" s="232">
        <f>INDEX('Prop. prices'!$I$8:$AB$82,MATCH('Tariff schedule'!$C148,'Prop. prices'!$C$8:$C$82,0),MATCH('Tariff schedule'!X$16,'Prop. prices'!$I$5:$AB$5,0))</f>
        <v>0</v>
      </c>
      <c r="Y148" s="232">
        <f>INDEX('Prop. prices'!$I$8:$AB$82,MATCH('Tariff schedule'!$C148,'Prop. prices'!$C$8:$C$82,0),MATCH('Tariff schedule'!Y$16,'Prop. prices'!$I$5:$AB$5,0))</f>
        <v>0</v>
      </c>
      <c r="Z148" s="232">
        <f>INDEX('Prop. prices'!$I$8:$AB$82,MATCH('Tariff schedule'!$C148,'Prop. prices'!$C$8:$C$82,0),MATCH('Tariff schedule'!Z$16,'Prop. prices'!$I$5:$AB$5,0))</f>
        <v>0</v>
      </c>
      <c r="AA148" s="232">
        <f>INDEX('Prop. prices'!$I$8:$AB$82,MATCH('Tariff schedule'!$C148,'Prop. prices'!$C$8:$C$82,0),MATCH('Tariff schedule'!AA$16,'Prop. prices'!$I$5:$AB$5,0))</f>
        <v>0</v>
      </c>
      <c r="AB148" s="232">
        <f>INDEX('Prop. prices'!$I$8:$AB$82,MATCH('Tariff schedule'!$C148,'Prop. prices'!$C$8:$C$82,0),MATCH('Tariff schedule'!AB$16,'Prop. prices'!$I$5:$AB$5,0))</f>
        <v>0</v>
      </c>
      <c r="AC148" s="70"/>
      <c r="AD148" s="19"/>
      <c r="AE148" s="19"/>
      <c r="AF148" s="19"/>
      <c r="AG148" s="19"/>
    </row>
    <row r="149" spans="1:33" hidden="1" outlineLevel="3" x14ac:dyDescent="0.2">
      <c r="A149" s="19"/>
      <c r="B149" s="19"/>
      <c r="C149" s="506">
        <f t="shared" si="80"/>
        <v>0</v>
      </c>
      <c r="D149" s="505">
        <f t="shared" si="80"/>
        <v>0</v>
      </c>
      <c r="E149" s="505">
        <f t="shared" si="80"/>
        <v>0</v>
      </c>
      <c r="F149" s="505">
        <f t="shared" si="80"/>
        <v>0</v>
      </c>
      <c r="G149" s="505">
        <f t="shared" si="80"/>
        <v>0</v>
      </c>
      <c r="H149" s="58"/>
      <c r="I149" s="232">
        <f>INDEX('Prop. prices'!$I$8:$AB$82,MATCH('Tariff schedule'!$C149,'Prop. prices'!$C$8:$C$82,0),MATCH('Tariff schedule'!I$16,'Prop. prices'!$I$5:$AB$5,0))</f>
        <v>0</v>
      </c>
      <c r="J149" s="232">
        <f>INDEX('Prop. prices'!$I$8:$AB$82,MATCH('Tariff schedule'!$C149,'Prop. prices'!$C$8:$C$82,0),MATCH('Tariff schedule'!J$16,'Prop. prices'!$I$5:$AB$5,0))</f>
        <v>0</v>
      </c>
      <c r="K149" s="232">
        <f>INDEX('Prop. prices'!$I$8:$AB$82,MATCH('Tariff schedule'!$C149,'Prop. prices'!$C$8:$C$82,0),MATCH('Tariff schedule'!K$16,'Prop. prices'!$I$5:$AB$5,0))</f>
        <v>0</v>
      </c>
      <c r="L149" s="232">
        <f>INDEX('Prop. prices'!$I$8:$AB$82,MATCH('Tariff schedule'!$C149,'Prop. prices'!$C$8:$C$82,0),MATCH('Tariff schedule'!L$16,'Prop. prices'!$I$5:$AB$5,0))</f>
        <v>0</v>
      </c>
      <c r="M149" s="232">
        <f>INDEX('Prop. prices'!$I$8:$AB$82,MATCH('Tariff schedule'!$C149,'Prop. prices'!$C$8:$C$82,0),MATCH('Tariff schedule'!M$16,'Prop. prices'!$I$5:$AB$5,0))</f>
        <v>0</v>
      </c>
      <c r="N149" s="232">
        <f>INDEX('Prop. prices'!$I$8:$AB$82,MATCH('Tariff schedule'!$C149,'Prop. prices'!$C$8:$C$82,0),MATCH('Tariff schedule'!N$16,'Prop. prices'!$I$5:$AB$5,0))</f>
        <v>0</v>
      </c>
      <c r="O149" s="232">
        <f>INDEX('Prop. prices'!$I$8:$AB$82,MATCH('Tariff schedule'!$C149,'Prop. prices'!$C$8:$C$82,0),MATCH('Tariff schedule'!O$16,'Prop. prices'!$I$5:$AB$5,0))</f>
        <v>0</v>
      </c>
      <c r="P149" s="232">
        <f>INDEX('Prop. prices'!$I$8:$AB$82,MATCH('Tariff schedule'!$C149,'Prop. prices'!$C$8:$C$82,0),MATCH('Tariff schedule'!P$16,'Prop. prices'!$I$5:$AB$5,0))</f>
        <v>0</v>
      </c>
      <c r="Q149" s="232">
        <f>INDEX('Prop. prices'!$I$8:$AB$82,MATCH('Tariff schedule'!$C149,'Prop. prices'!$C$8:$C$82,0),MATCH('Tariff schedule'!Q$16,'Prop. prices'!$I$5:$AB$5,0))</f>
        <v>0</v>
      </c>
      <c r="R149" s="232">
        <f>INDEX('Prop. prices'!$I$8:$AB$82,MATCH('Tariff schedule'!$C149,'Prop. prices'!$C$8:$C$82,0),MATCH('Tariff schedule'!R$16,'Prop. prices'!$I$5:$AB$5,0))</f>
        <v>0</v>
      </c>
      <c r="S149" s="232">
        <f>INDEX('Prop. prices'!$I$8:$AB$82,MATCH('Tariff schedule'!$C149,'Prop. prices'!$C$8:$C$82,0),MATCH('Tariff schedule'!S$16,'Prop. prices'!$I$5:$AB$5,0))</f>
        <v>0</v>
      </c>
      <c r="T149" s="232">
        <f>INDEX('Prop. prices'!$I$8:$AB$82,MATCH('Tariff schedule'!$C149,'Prop. prices'!$C$8:$C$82,0),MATCH('Tariff schedule'!T$16,'Prop. prices'!$I$5:$AB$5,0))</f>
        <v>0</v>
      </c>
      <c r="U149" s="232">
        <f>INDEX('Prop. prices'!$I$8:$AB$82,MATCH('Tariff schedule'!$C149,'Prop. prices'!$C$8:$C$82,0),MATCH('Tariff schedule'!U$16,'Prop. prices'!$I$5:$AB$5,0))</f>
        <v>0</v>
      </c>
      <c r="V149" s="232">
        <f>INDEX('Prop. prices'!$I$8:$AB$82,MATCH('Tariff schedule'!$C149,'Prop. prices'!$C$8:$C$82,0),MATCH('Tariff schedule'!V$16,'Prop. prices'!$I$5:$AB$5,0))</f>
        <v>0</v>
      </c>
      <c r="W149" s="232">
        <f>INDEX('Prop. prices'!$I$8:$AB$82,MATCH('Tariff schedule'!$C149,'Prop. prices'!$C$8:$C$82,0),MATCH('Tariff schedule'!W$16,'Prop. prices'!$I$5:$AB$5,0))</f>
        <v>0</v>
      </c>
      <c r="X149" s="232">
        <f>INDEX('Prop. prices'!$I$8:$AB$82,MATCH('Tariff schedule'!$C149,'Prop. prices'!$C$8:$C$82,0),MATCH('Tariff schedule'!X$16,'Prop. prices'!$I$5:$AB$5,0))</f>
        <v>0</v>
      </c>
      <c r="Y149" s="232">
        <f>INDEX('Prop. prices'!$I$8:$AB$82,MATCH('Tariff schedule'!$C149,'Prop. prices'!$C$8:$C$82,0),MATCH('Tariff schedule'!Y$16,'Prop. prices'!$I$5:$AB$5,0))</f>
        <v>0</v>
      </c>
      <c r="Z149" s="232">
        <f>INDEX('Prop. prices'!$I$8:$AB$82,MATCH('Tariff schedule'!$C149,'Prop. prices'!$C$8:$C$82,0),MATCH('Tariff schedule'!Z$16,'Prop. prices'!$I$5:$AB$5,0))</f>
        <v>0</v>
      </c>
      <c r="AA149" s="232">
        <f>INDEX('Prop. prices'!$I$8:$AB$82,MATCH('Tariff schedule'!$C149,'Prop. prices'!$C$8:$C$82,0),MATCH('Tariff schedule'!AA$16,'Prop. prices'!$I$5:$AB$5,0))</f>
        <v>0</v>
      </c>
      <c r="AB149" s="232">
        <f>INDEX('Prop. prices'!$I$8:$AB$82,MATCH('Tariff schedule'!$C149,'Prop. prices'!$C$8:$C$82,0),MATCH('Tariff schedule'!AB$16,'Prop. prices'!$I$5:$AB$5,0))</f>
        <v>0</v>
      </c>
      <c r="AC149" s="70"/>
      <c r="AD149" s="19"/>
      <c r="AE149" s="19"/>
      <c r="AF149" s="19"/>
      <c r="AG149" s="19"/>
    </row>
    <row r="150" spans="1:33" hidden="1" outlineLevel="3" x14ac:dyDescent="0.2">
      <c r="A150" s="19"/>
      <c r="B150" s="19"/>
      <c r="C150" s="506">
        <f t="shared" si="80"/>
        <v>0</v>
      </c>
      <c r="D150" s="505">
        <f t="shared" si="80"/>
        <v>0</v>
      </c>
      <c r="E150" s="505">
        <f t="shared" si="80"/>
        <v>0</v>
      </c>
      <c r="F150" s="505">
        <f t="shared" si="80"/>
        <v>0</v>
      </c>
      <c r="G150" s="505">
        <f t="shared" si="80"/>
        <v>0</v>
      </c>
      <c r="H150" s="58"/>
      <c r="I150" s="232">
        <f>INDEX('Prop. prices'!$I$8:$AB$82,MATCH('Tariff schedule'!$C150,'Prop. prices'!$C$8:$C$82,0),MATCH('Tariff schedule'!I$16,'Prop. prices'!$I$5:$AB$5,0))</f>
        <v>0</v>
      </c>
      <c r="J150" s="232">
        <f>INDEX('Prop. prices'!$I$8:$AB$82,MATCH('Tariff schedule'!$C150,'Prop. prices'!$C$8:$C$82,0),MATCH('Tariff schedule'!J$16,'Prop. prices'!$I$5:$AB$5,0))</f>
        <v>0</v>
      </c>
      <c r="K150" s="232">
        <f>INDEX('Prop. prices'!$I$8:$AB$82,MATCH('Tariff schedule'!$C150,'Prop. prices'!$C$8:$C$82,0),MATCH('Tariff schedule'!K$16,'Prop. prices'!$I$5:$AB$5,0))</f>
        <v>0</v>
      </c>
      <c r="L150" s="232">
        <f>INDEX('Prop. prices'!$I$8:$AB$82,MATCH('Tariff schedule'!$C150,'Prop. prices'!$C$8:$C$82,0),MATCH('Tariff schedule'!L$16,'Prop. prices'!$I$5:$AB$5,0))</f>
        <v>0</v>
      </c>
      <c r="M150" s="232">
        <f>INDEX('Prop. prices'!$I$8:$AB$82,MATCH('Tariff schedule'!$C150,'Prop. prices'!$C$8:$C$82,0),MATCH('Tariff schedule'!M$16,'Prop. prices'!$I$5:$AB$5,0))</f>
        <v>0</v>
      </c>
      <c r="N150" s="232">
        <f>INDEX('Prop. prices'!$I$8:$AB$82,MATCH('Tariff schedule'!$C150,'Prop. prices'!$C$8:$C$82,0),MATCH('Tariff schedule'!N$16,'Prop. prices'!$I$5:$AB$5,0))</f>
        <v>0</v>
      </c>
      <c r="O150" s="232">
        <f>INDEX('Prop. prices'!$I$8:$AB$82,MATCH('Tariff schedule'!$C150,'Prop. prices'!$C$8:$C$82,0),MATCH('Tariff schedule'!O$16,'Prop. prices'!$I$5:$AB$5,0))</f>
        <v>0</v>
      </c>
      <c r="P150" s="232">
        <f>INDEX('Prop. prices'!$I$8:$AB$82,MATCH('Tariff schedule'!$C150,'Prop. prices'!$C$8:$C$82,0),MATCH('Tariff schedule'!P$16,'Prop. prices'!$I$5:$AB$5,0))</f>
        <v>0</v>
      </c>
      <c r="Q150" s="232">
        <f>INDEX('Prop. prices'!$I$8:$AB$82,MATCH('Tariff schedule'!$C150,'Prop. prices'!$C$8:$C$82,0),MATCH('Tariff schedule'!Q$16,'Prop. prices'!$I$5:$AB$5,0))</f>
        <v>0</v>
      </c>
      <c r="R150" s="232">
        <f>INDEX('Prop. prices'!$I$8:$AB$82,MATCH('Tariff schedule'!$C150,'Prop. prices'!$C$8:$C$82,0),MATCH('Tariff schedule'!R$16,'Prop. prices'!$I$5:$AB$5,0))</f>
        <v>0</v>
      </c>
      <c r="S150" s="232">
        <f>INDEX('Prop. prices'!$I$8:$AB$82,MATCH('Tariff schedule'!$C150,'Prop. prices'!$C$8:$C$82,0),MATCH('Tariff schedule'!S$16,'Prop. prices'!$I$5:$AB$5,0))</f>
        <v>0</v>
      </c>
      <c r="T150" s="232">
        <f>INDEX('Prop. prices'!$I$8:$AB$82,MATCH('Tariff schedule'!$C150,'Prop. prices'!$C$8:$C$82,0),MATCH('Tariff schedule'!T$16,'Prop. prices'!$I$5:$AB$5,0))</f>
        <v>0</v>
      </c>
      <c r="U150" s="232">
        <f>INDEX('Prop. prices'!$I$8:$AB$82,MATCH('Tariff schedule'!$C150,'Prop. prices'!$C$8:$C$82,0),MATCH('Tariff schedule'!U$16,'Prop. prices'!$I$5:$AB$5,0))</f>
        <v>0</v>
      </c>
      <c r="V150" s="232">
        <f>INDEX('Prop. prices'!$I$8:$AB$82,MATCH('Tariff schedule'!$C150,'Prop. prices'!$C$8:$C$82,0),MATCH('Tariff schedule'!V$16,'Prop. prices'!$I$5:$AB$5,0))</f>
        <v>0</v>
      </c>
      <c r="W150" s="232">
        <f>INDEX('Prop. prices'!$I$8:$AB$82,MATCH('Tariff schedule'!$C150,'Prop. prices'!$C$8:$C$82,0),MATCH('Tariff schedule'!W$16,'Prop. prices'!$I$5:$AB$5,0))</f>
        <v>0</v>
      </c>
      <c r="X150" s="232">
        <f>INDEX('Prop. prices'!$I$8:$AB$82,MATCH('Tariff schedule'!$C150,'Prop. prices'!$C$8:$C$82,0),MATCH('Tariff schedule'!X$16,'Prop. prices'!$I$5:$AB$5,0))</f>
        <v>0</v>
      </c>
      <c r="Y150" s="232">
        <f>INDEX('Prop. prices'!$I$8:$AB$82,MATCH('Tariff schedule'!$C150,'Prop. prices'!$C$8:$C$82,0),MATCH('Tariff schedule'!Y$16,'Prop. prices'!$I$5:$AB$5,0))</f>
        <v>0</v>
      </c>
      <c r="Z150" s="232">
        <f>INDEX('Prop. prices'!$I$8:$AB$82,MATCH('Tariff schedule'!$C150,'Prop. prices'!$C$8:$C$82,0),MATCH('Tariff schedule'!Z$16,'Prop. prices'!$I$5:$AB$5,0))</f>
        <v>0</v>
      </c>
      <c r="AA150" s="232">
        <f>INDEX('Prop. prices'!$I$8:$AB$82,MATCH('Tariff schedule'!$C150,'Prop. prices'!$C$8:$C$82,0),MATCH('Tariff schedule'!AA$16,'Prop. prices'!$I$5:$AB$5,0))</f>
        <v>0</v>
      </c>
      <c r="AB150" s="232">
        <f>INDEX('Prop. prices'!$I$8:$AB$82,MATCH('Tariff schedule'!$C150,'Prop. prices'!$C$8:$C$82,0),MATCH('Tariff schedule'!AB$16,'Prop. prices'!$I$5:$AB$5,0))</f>
        <v>0</v>
      </c>
      <c r="AC150" s="70"/>
      <c r="AD150" s="19"/>
      <c r="AE150" s="19"/>
      <c r="AF150" s="19"/>
      <c r="AG150" s="19"/>
    </row>
    <row r="151" spans="1:33" hidden="1" outlineLevel="3" x14ac:dyDescent="0.2">
      <c r="A151" s="19"/>
      <c r="B151" s="19"/>
      <c r="C151" s="506">
        <f t="shared" si="80"/>
        <v>0</v>
      </c>
      <c r="D151" s="505">
        <f t="shared" si="80"/>
        <v>0</v>
      </c>
      <c r="E151" s="505">
        <f t="shared" si="80"/>
        <v>0</v>
      </c>
      <c r="F151" s="505">
        <f t="shared" si="80"/>
        <v>0</v>
      </c>
      <c r="G151" s="505">
        <f t="shared" si="80"/>
        <v>0</v>
      </c>
      <c r="H151" s="58"/>
      <c r="I151" s="232">
        <f>INDEX('Prop. prices'!$I$8:$AB$82,MATCH('Tariff schedule'!$C151,'Prop. prices'!$C$8:$C$82,0),MATCH('Tariff schedule'!I$16,'Prop. prices'!$I$5:$AB$5,0))</f>
        <v>0</v>
      </c>
      <c r="J151" s="232">
        <f>INDEX('Prop. prices'!$I$8:$AB$82,MATCH('Tariff schedule'!$C151,'Prop. prices'!$C$8:$C$82,0),MATCH('Tariff schedule'!J$16,'Prop. prices'!$I$5:$AB$5,0))</f>
        <v>0</v>
      </c>
      <c r="K151" s="232">
        <f>INDEX('Prop. prices'!$I$8:$AB$82,MATCH('Tariff schedule'!$C151,'Prop. prices'!$C$8:$C$82,0),MATCH('Tariff schedule'!K$16,'Prop. prices'!$I$5:$AB$5,0))</f>
        <v>0</v>
      </c>
      <c r="L151" s="232">
        <f>INDEX('Prop. prices'!$I$8:$AB$82,MATCH('Tariff schedule'!$C151,'Prop. prices'!$C$8:$C$82,0),MATCH('Tariff schedule'!L$16,'Prop. prices'!$I$5:$AB$5,0))</f>
        <v>0</v>
      </c>
      <c r="M151" s="232">
        <f>INDEX('Prop. prices'!$I$8:$AB$82,MATCH('Tariff schedule'!$C151,'Prop. prices'!$C$8:$C$82,0),MATCH('Tariff schedule'!M$16,'Prop. prices'!$I$5:$AB$5,0))</f>
        <v>0</v>
      </c>
      <c r="N151" s="232">
        <f>INDEX('Prop. prices'!$I$8:$AB$82,MATCH('Tariff schedule'!$C151,'Prop. prices'!$C$8:$C$82,0),MATCH('Tariff schedule'!N$16,'Prop. prices'!$I$5:$AB$5,0))</f>
        <v>0</v>
      </c>
      <c r="O151" s="232">
        <f>INDEX('Prop. prices'!$I$8:$AB$82,MATCH('Tariff schedule'!$C151,'Prop. prices'!$C$8:$C$82,0),MATCH('Tariff schedule'!O$16,'Prop. prices'!$I$5:$AB$5,0))</f>
        <v>0</v>
      </c>
      <c r="P151" s="232">
        <f>INDEX('Prop. prices'!$I$8:$AB$82,MATCH('Tariff schedule'!$C151,'Prop. prices'!$C$8:$C$82,0),MATCH('Tariff schedule'!P$16,'Prop. prices'!$I$5:$AB$5,0))</f>
        <v>0</v>
      </c>
      <c r="Q151" s="232">
        <f>INDEX('Prop. prices'!$I$8:$AB$82,MATCH('Tariff schedule'!$C151,'Prop. prices'!$C$8:$C$82,0),MATCH('Tariff schedule'!Q$16,'Prop. prices'!$I$5:$AB$5,0))</f>
        <v>0</v>
      </c>
      <c r="R151" s="232">
        <f>INDEX('Prop. prices'!$I$8:$AB$82,MATCH('Tariff schedule'!$C151,'Prop. prices'!$C$8:$C$82,0),MATCH('Tariff schedule'!R$16,'Prop. prices'!$I$5:$AB$5,0))</f>
        <v>0</v>
      </c>
      <c r="S151" s="232">
        <f>INDEX('Prop. prices'!$I$8:$AB$82,MATCH('Tariff schedule'!$C151,'Prop. prices'!$C$8:$C$82,0),MATCH('Tariff schedule'!S$16,'Prop. prices'!$I$5:$AB$5,0))</f>
        <v>0</v>
      </c>
      <c r="T151" s="232">
        <f>INDEX('Prop. prices'!$I$8:$AB$82,MATCH('Tariff schedule'!$C151,'Prop. prices'!$C$8:$C$82,0),MATCH('Tariff schedule'!T$16,'Prop. prices'!$I$5:$AB$5,0))</f>
        <v>0</v>
      </c>
      <c r="U151" s="232">
        <f>INDEX('Prop. prices'!$I$8:$AB$82,MATCH('Tariff schedule'!$C151,'Prop. prices'!$C$8:$C$82,0),MATCH('Tariff schedule'!U$16,'Prop. prices'!$I$5:$AB$5,0))</f>
        <v>0</v>
      </c>
      <c r="V151" s="232">
        <f>INDEX('Prop. prices'!$I$8:$AB$82,MATCH('Tariff schedule'!$C151,'Prop. prices'!$C$8:$C$82,0),MATCH('Tariff schedule'!V$16,'Prop. prices'!$I$5:$AB$5,0))</f>
        <v>0</v>
      </c>
      <c r="W151" s="232">
        <f>INDEX('Prop. prices'!$I$8:$AB$82,MATCH('Tariff schedule'!$C151,'Prop. prices'!$C$8:$C$82,0),MATCH('Tariff schedule'!W$16,'Prop. prices'!$I$5:$AB$5,0))</f>
        <v>0</v>
      </c>
      <c r="X151" s="232">
        <f>INDEX('Prop. prices'!$I$8:$AB$82,MATCH('Tariff schedule'!$C151,'Prop. prices'!$C$8:$C$82,0),MATCH('Tariff schedule'!X$16,'Prop. prices'!$I$5:$AB$5,0))</f>
        <v>0</v>
      </c>
      <c r="Y151" s="232">
        <f>INDEX('Prop. prices'!$I$8:$AB$82,MATCH('Tariff schedule'!$C151,'Prop. prices'!$C$8:$C$82,0),MATCH('Tariff schedule'!Y$16,'Prop. prices'!$I$5:$AB$5,0))</f>
        <v>0</v>
      </c>
      <c r="Z151" s="232">
        <f>INDEX('Prop. prices'!$I$8:$AB$82,MATCH('Tariff schedule'!$C151,'Prop. prices'!$C$8:$C$82,0),MATCH('Tariff schedule'!Z$16,'Prop. prices'!$I$5:$AB$5,0))</f>
        <v>0</v>
      </c>
      <c r="AA151" s="232">
        <f>INDEX('Prop. prices'!$I$8:$AB$82,MATCH('Tariff schedule'!$C151,'Prop. prices'!$C$8:$C$82,0),MATCH('Tariff schedule'!AA$16,'Prop. prices'!$I$5:$AB$5,0))</f>
        <v>0</v>
      </c>
      <c r="AB151" s="232">
        <f>INDEX('Prop. prices'!$I$8:$AB$82,MATCH('Tariff schedule'!$C151,'Prop. prices'!$C$8:$C$82,0),MATCH('Tariff schedule'!AB$16,'Prop. prices'!$I$5:$AB$5,0))</f>
        <v>0</v>
      </c>
      <c r="AC151" s="70"/>
      <c r="AD151" s="19"/>
      <c r="AE151" s="19"/>
      <c r="AF151" s="19"/>
      <c r="AG151" s="19"/>
    </row>
    <row r="152" spans="1:33" hidden="1" outlineLevel="3" x14ac:dyDescent="0.2">
      <c r="A152" s="19"/>
      <c r="B152" s="19"/>
      <c r="C152" s="506">
        <f t="shared" si="80"/>
        <v>0</v>
      </c>
      <c r="D152" s="505">
        <f t="shared" si="80"/>
        <v>0</v>
      </c>
      <c r="E152" s="505">
        <f t="shared" si="80"/>
        <v>0</v>
      </c>
      <c r="F152" s="505">
        <f t="shared" si="80"/>
        <v>0</v>
      </c>
      <c r="G152" s="505">
        <f t="shared" si="80"/>
        <v>0</v>
      </c>
      <c r="H152" s="58"/>
      <c r="I152" s="232">
        <f>INDEX('Prop. prices'!$I$8:$AB$82,MATCH('Tariff schedule'!$C152,'Prop. prices'!$C$8:$C$82,0),MATCH('Tariff schedule'!I$16,'Prop. prices'!$I$5:$AB$5,0))</f>
        <v>0</v>
      </c>
      <c r="J152" s="232">
        <f>INDEX('Prop. prices'!$I$8:$AB$82,MATCH('Tariff schedule'!$C152,'Prop. prices'!$C$8:$C$82,0),MATCH('Tariff schedule'!J$16,'Prop. prices'!$I$5:$AB$5,0))</f>
        <v>0</v>
      </c>
      <c r="K152" s="232">
        <f>INDEX('Prop. prices'!$I$8:$AB$82,MATCH('Tariff schedule'!$C152,'Prop. prices'!$C$8:$C$82,0),MATCH('Tariff schedule'!K$16,'Prop. prices'!$I$5:$AB$5,0))</f>
        <v>0</v>
      </c>
      <c r="L152" s="232">
        <f>INDEX('Prop. prices'!$I$8:$AB$82,MATCH('Tariff schedule'!$C152,'Prop. prices'!$C$8:$C$82,0),MATCH('Tariff schedule'!L$16,'Prop. prices'!$I$5:$AB$5,0))</f>
        <v>0</v>
      </c>
      <c r="M152" s="232">
        <f>INDEX('Prop. prices'!$I$8:$AB$82,MATCH('Tariff schedule'!$C152,'Prop. prices'!$C$8:$C$82,0),MATCH('Tariff schedule'!M$16,'Prop. prices'!$I$5:$AB$5,0))</f>
        <v>0</v>
      </c>
      <c r="N152" s="232">
        <f>INDEX('Prop. prices'!$I$8:$AB$82,MATCH('Tariff schedule'!$C152,'Prop. prices'!$C$8:$C$82,0),MATCH('Tariff schedule'!N$16,'Prop. prices'!$I$5:$AB$5,0))</f>
        <v>0</v>
      </c>
      <c r="O152" s="232">
        <f>INDEX('Prop. prices'!$I$8:$AB$82,MATCH('Tariff schedule'!$C152,'Prop. prices'!$C$8:$C$82,0),MATCH('Tariff schedule'!O$16,'Prop. prices'!$I$5:$AB$5,0))</f>
        <v>0</v>
      </c>
      <c r="P152" s="232">
        <f>INDEX('Prop. prices'!$I$8:$AB$82,MATCH('Tariff schedule'!$C152,'Prop. prices'!$C$8:$C$82,0),MATCH('Tariff schedule'!P$16,'Prop. prices'!$I$5:$AB$5,0))</f>
        <v>0</v>
      </c>
      <c r="Q152" s="232">
        <f>INDEX('Prop. prices'!$I$8:$AB$82,MATCH('Tariff schedule'!$C152,'Prop. prices'!$C$8:$C$82,0),MATCH('Tariff schedule'!Q$16,'Prop. prices'!$I$5:$AB$5,0))</f>
        <v>0</v>
      </c>
      <c r="R152" s="232">
        <f>INDEX('Prop. prices'!$I$8:$AB$82,MATCH('Tariff schedule'!$C152,'Prop. prices'!$C$8:$C$82,0),MATCH('Tariff schedule'!R$16,'Prop. prices'!$I$5:$AB$5,0))</f>
        <v>0</v>
      </c>
      <c r="S152" s="232">
        <f>INDEX('Prop. prices'!$I$8:$AB$82,MATCH('Tariff schedule'!$C152,'Prop. prices'!$C$8:$C$82,0),MATCH('Tariff schedule'!S$16,'Prop. prices'!$I$5:$AB$5,0))</f>
        <v>0</v>
      </c>
      <c r="T152" s="232">
        <f>INDEX('Prop. prices'!$I$8:$AB$82,MATCH('Tariff schedule'!$C152,'Prop. prices'!$C$8:$C$82,0),MATCH('Tariff schedule'!T$16,'Prop. prices'!$I$5:$AB$5,0))</f>
        <v>0</v>
      </c>
      <c r="U152" s="232">
        <f>INDEX('Prop. prices'!$I$8:$AB$82,MATCH('Tariff schedule'!$C152,'Prop. prices'!$C$8:$C$82,0),MATCH('Tariff schedule'!U$16,'Prop. prices'!$I$5:$AB$5,0))</f>
        <v>0</v>
      </c>
      <c r="V152" s="232">
        <f>INDEX('Prop. prices'!$I$8:$AB$82,MATCH('Tariff schedule'!$C152,'Prop. prices'!$C$8:$C$82,0),MATCH('Tariff schedule'!V$16,'Prop. prices'!$I$5:$AB$5,0))</f>
        <v>0</v>
      </c>
      <c r="W152" s="232">
        <f>INDEX('Prop. prices'!$I$8:$AB$82,MATCH('Tariff schedule'!$C152,'Prop. prices'!$C$8:$C$82,0),MATCH('Tariff schedule'!W$16,'Prop. prices'!$I$5:$AB$5,0))</f>
        <v>0</v>
      </c>
      <c r="X152" s="232">
        <f>INDEX('Prop. prices'!$I$8:$AB$82,MATCH('Tariff schedule'!$C152,'Prop. prices'!$C$8:$C$82,0),MATCH('Tariff schedule'!X$16,'Prop. prices'!$I$5:$AB$5,0))</f>
        <v>0</v>
      </c>
      <c r="Y152" s="232">
        <f>INDEX('Prop. prices'!$I$8:$AB$82,MATCH('Tariff schedule'!$C152,'Prop. prices'!$C$8:$C$82,0),MATCH('Tariff schedule'!Y$16,'Prop. prices'!$I$5:$AB$5,0))</f>
        <v>0</v>
      </c>
      <c r="Z152" s="232">
        <f>INDEX('Prop. prices'!$I$8:$AB$82,MATCH('Tariff schedule'!$C152,'Prop. prices'!$C$8:$C$82,0),MATCH('Tariff schedule'!Z$16,'Prop. prices'!$I$5:$AB$5,0))</f>
        <v>0</v>
      </c>
      <c r="AA152" s="232">
        <f>INDEX('Prop. prices'!$I$8:$AB$82,MATCH('Tariff schedule'!$C152,'Prop. prices'!$C$8:$C$82,0),MATCH('Tariff schedule'!AA$16,'Prop. prices'!$I$5:$AB$5,0))</f>
        <v>0</v>
      </c>
      <c r="AB152" s="232">
        <f>INDEX('Prop. prices'!$I$8:$AB$82,MATCH('Tariff schedule'!$C152,'Prop. prices'!$C$8:$C$82,0),MATCH('Tariff schedule'!AB$16,'Prop. prices'!$I$5:$AB$5,0))</f>
        <v>0</v>
      </c>
      <c r="AC152" s="70"/>
      <c r="AD152" s="19"/>
      <c r="AE152" s="19"/>
      <c r="AF152" s="19"/>
      <c r="AG152" s="19"/>
    </row>
    <row r="153" spans="1:33" hidden="1" outlineLevel="3" x14ac:dyDescent="0.2">
      <c r="A153" s="19"/>
      <c r="B153" s="19"/>
      <c r="C153" s="506">
        <f t="shared" si="80"/>
        <v>0</v>
      </c>
      <c r="D153" s="505">
        <f t="shared" si="80"/>
        <v>0</v>
      </c>
      <c r="E153" s="505">
        <f t="shared" si="80"/>
        <v>0</v>
      </c>
      <c r="F153" s="505">
        <f t="shared" si="80"/>
        <v>0</v>
      </c>
      <c r="G153" s="505">
        <f t="shared" si="80"/>
        <v>0</v>
      </c>
      <c r="H153" s="58"/>
      <c r="I153" s="232">
        <f>INDEX('Prop. prices'!$I$8:$AB$82,MATCH('Tariff schedule'!$C153,'Prop. prices'!$C$8:$C$82,0),MATCH('Tariff schedule'!I$16,'Prop. prices'!$I$5:$AB$5,0))</f>
        <v>0</v>
      </c>
      <c r="J153" s="232">
        <f>INDEX('Prop. prices'!$I$8:$AB$82,MATCH('Tariff schedule'!$C153,'Prop. prices'!$C$8:$C$82,0),MATCH('Tariff schedule'!J$16,'Prop. prices'!$I$5:$AB$5,0))</f>
        <v>0</v>
      </c>
      <c r="K153" s="232">
        <f>INDEX('Prop. prices'!$I$8:$AB$82,MATCH('Tariff schedule'!$C153,'Prop. prices'!$C$8:$C$82,0),MATCH('Tariff schedule'!K$16,'Prop. prices'!$I$5:$AB$5,0))</f>
        <v>0</v>
      </c>
      <c r="L153" s="232">
        <f>INDEX('Prop. prices'!$I$8:$AB$82,MATCH('Tariff schedule'!$C153,'Prop. prices'!$C$8:$C$82,0),MATCH('Tariff schedule'!L$16,'Prop. prices'!$I$5:$AB$5,0))</f>
        <v>0</v>
      </c>
      <c r="M153" s="232">
        <f>INDEX('Prop. prices'!$I$8:$AB$82,MATCH('Tariff schedule'!$C153,'Prop. prices'!$C$8:$C$82,0),MATCH('Tariff schedule'!M$16,'Prop. prices'!$I$5:$AB$5,0))</f>
        <v>0</v>
      </c>
      <c r="N153" s="232">
        <f>INDEX('Prop. prices'!$I$8:$AB$82,MATCH('Tariff schedule'!$C153,'Prop. prices'!$C$8:$C$82,0),MATCH('Tariff schedule'!N$16,'Prop. prices'!$I$5:$AB$5,0))</f>
        <v>0</v>
      </c>
      <c r="O153" s="232">
        <f>INDEX('Prop. prices'!$I$8:$AB$82,MATCH('Tariff schedule'!$C153,'Prop. prices'!$C$8:$C$82,0),MATCH('Tariff schedule'!O$16,'Prop. prices'!$I$5:$AB$5,0))</f>
        <v>0</v>
      </c>
      <c r="P153" s="232">
        <f>INDEX('Prop. prices'!$I$8:$AB$82,MATCH('Tariff schedule'!$C153,'Prop. prices'!$C$8:$C$82,0),MATCH('Tariff schedule'!P$16,'Prop. prices'!$I$5:$AB$5,0))</f>
        <v>0</v>
      </c>
      <c r="Q153" s="232">
        <f>INDEX('Prop. prices'!$I$8:$AB$82,MATCH('Tariff schedule'!$C153,'Prop. prices'!$C$8:$C$82,0),MATCH('Tariff schedule'!Q$16,'Prop. prices'!$I$5:$AB$5,0))</f>
        <v>0</v>
      </c>
      <c r="R153" s="232">
        <f>INDEX('Prop. prices'!$I$8:$AB$82,MATCH('Tariff schedule'!$C153,'Prop. prices'!$C$8:$C$82,0),MATCH('Tariff schedule'!R$16,'Prop. prices'!$I$5:$AB$5,0))</f>
        <v>0</v>
      </c>
      <c r="S153" s="232">
        <f>INDEX('Prop. prices'!$I$8:$AB$82,MATCH('Tariff schedule'!$C153,'Prop. prices'!$C$8:$C$82,0),MATCH('Tariff schedule'!S$16,'Prop. prices'!$I$5:$AB$5,0))</f>
        <v>0</v>
      </c>
      <c r="T153" s="232">
        <f>INDEX('Prop. prices'!$I$8:$AB$82,MATCH('Tariff schedule'!$C153,'Prop. prices'!$C$8:$C$82,0),MATCH('Tariff schedule'!T$16,'Prop. prices'!$I$5:$AB$5,0))</f>
        <v>0</v>
      </c>
      <c r="U153" s="232">
        <f>INDEX('Prop. prices'!$I$8:$AB$82,MATCH('Tariff schedule'!$C153,'Prop. prices'!$C$8:$C$82,0),MATCH('Tariff schedule'!U$16,'Prop. prices'!$I$5:$AB$5,0))</f>
        <v>0</v>
      </c>
      <c r="V153" s="232">
        <f>INDEX('Prop. prices'!$I$8:$AB$82,MATCH('Tariff schedule'!$C153,'Prop. prices'!$C$8:$C$82,0),MATCH('Tariff schedule'!V$16,'Prop. prices'!$I$5:$AB$5,0))</f>
        <v>0</v>
      </c>
      <c r="W153" s="232">
        <f>INDEX('Prop. prices'!$I$8:$AB$82,MATCH('Tariff schedule'!$C153,'Prop. prices'!$C$8:$C$82,0),MATCH('Tariff schedule'!W$16,'Prop. prices'!$I$5:$AB$5,0))</f>
        <v>0</v>
      </c>
      <c r="X153" s="232">
        <f>INDEX('Prop. prices'!$I$8:$AB$82,MATCH('Tariff schedule'!$C153,'Prop. prices'!$C$8:$C$82,0),MATCH('Tariff schedule'!X$16,'Prop. prices'!$I$5:$AB$5,0))</f>
        <v>0</v>
      </c>
      <c r="Y153" s="232">
        <f>INDEX('Prop. prices'!$I$8:$AB$82,MATCH('Tariff schedule'!$C153,'Prop. prices'!$C$8:$C$82,0),MATCH('Tariff schedule'!Y$16,'Prop. prices'!$I$5:$AB$5,0))</f>
        <v>0</v>
      </c>
      <c r="Z153" s="232">
        <f>INDEX('Prop. prices'!$I$8:$AB$82,MATCH('Tariff schedule'!$C153,'Prop. prices'!$C$8:$C$82,0),MATCH('Tariff schedule'!Z$16,'Prop. prices'!$I$5:$AB$5,0))</f>
        <v>0</v>
      </c>
      <c r="AA153" s="232">
        <f>INDEX('Prop. prices'!$I$8:$AB$82,MATCH('Tariff schedule'!$C153,'Prop. prices'!$C$8:$C$82,0),MATCH('Tariff schedule'!AA$16,'Prop. prices'!$I$5:$AB$5,0))</f>
        <v>0</v>
      </c>
      <c r="AB153" s="232">
        <f>INDEX('Prop. prices'!$I$8:$AB$82,MATCH('Tariff schedule'!$C153,'Prop. prices'!$C$8:$C$82,0),MATCH('Tariff schedule'!AB$16,'Prop. prices'!$I$5:$AB$5,0))</f>
        <v>0</v>
      </c>
      <c r="AC153" s="70"/>
      <c r="AD153" s="19"/>
      <c r="AE153" s="19"/>
      <c r="AF153" s="19"/>
      <c r="AG153" s="19"/>
    </row>
    <row r="154" spans="1:33" hidden="1" outlineLevel="3" x14ac:dyDescent="0.2">
      <c r="A154" s="19"/>
      <c r="B154" s="19"/>
      <c r="C154" s="506">
        <f t="shared" si="80"/>
        <v>0</v>
      </c>
      <c r="D154" s="505">
        <f t="shared" si="80"/>
        <v>0</v>
      </c>
      <c r="E154" s="505">
        <f t="shared" si="80"/>
        <v>0</v>
      </c>
      <c r="F154" s="505">
        <f t="shared" si="80"/>
        <v>0</v>
      </c>
      <c r="G154" s="505">
        <f t="shared" si="80"/>
        <v>0</v>
      </c>
      <c r="H154" s="58"/>
      <c r="I154" s="232">
        <f>INDEX('Prop. prices'!$I$8:$AB$82,MATCH('Tariff schedule'!$C154,'Prop. prices'!$C$8:$C$82,0),MATCH('Tariff schedule'!I$16,'Prop. prices'!$I$5:$AB$5,0))</f>
        <v>0</v>
      </c>
      <c r="J154" s="232">
        <f>INDEX('Prop. prices'!$I$8:$AB$82,MATCH('Tariff schedule'!$C154,'Prop. prices'!$C$8:$C$82,0),MATCH('Tariff schedule'!J$16,'Prop. prices'!$I$5:$AB$5,0))</f>
        <v>0</v>
      </c>
      <c r="K154" s="232">
        <f>INDEX('Prop. prices'!$I$8:$AB$82,MATCH('Tariff schedule'!$C154,'Prop. prices'!$C$8:$C$82,0),MATCH('Tariff schedule'!K$16,'Prop. prices'!$I$5:$AB$5,0))</f>
        <v>0</v>
      </c>
      <c r="L154" s="232">
        <f>INDEX('Prop. prices'!$I$8:$AB$82,MATCH('Tariff schedule'!$C154,'Prop. prices'!$C$8:$C$82,0),MATCH('Tariff schedule'!L$16,'Prop. prices'!$I$5:$AB$5,0))</f>
        <v>0</v>
      </c>
      <c r="M154" s="232">
        <f>INDEX('Prop. prices'!$I$8:$AB$82,MATCH('Tariff schedule'!$C154,'Prop. prices'!$C$8:$C$82,0),MATCH('Tariff schedule'!M$16,'Prop. prices'!$I$5:$AB$5,0))</f>
        <v>0</v>
      </c>
      <c r="N154" s="232">
        <f>INDEX('Prop. prices'!$I$8:$AB$82,MATCH('Tariff schedule'!$C154,'Prop. prices'!$C$8:$C$82,0),MATCH('Tariff schedule'!N$16,'Prop. prices'!$I$5:$AB$5,0))</f>
        <v>0</v>
      </c>
      <c r="O154" s="232">
        <f>INDEX('Prop. prices'!$I$8:$AB$82,MATCH('Tariff schedule'!$C154,'Prop. prices'!$C$8:$C$82,0),MATCH('Tariff schedule'!O$16,'Prop. prices'!$I$5:$AB$5,0))</f>
        <v>0</v>
      </c>
      <c r="P154" s="232">
        <f>INDEX('Prop. prices'!$I$8:$AB$82,MATCH('Tariff schedule'!$C154,'Prop. prices'!$C$8:$C$82,0),MATCH('Tariff schedule'!P$16,'Prop. prices'!$I$5:$AB$5,0))</f>
        <v>0</v>
      </c>
      <c r="Q154" s="232">
        <f>INDEX('Prop. prices'!$I$8:$AB$82,MATCH('Tariff schedule'!$C154,'Prop. prices'!$C$8:$C$82,0),MATCH('Tariff schedule'!Q$16,'Prop. prices'!$I$5:$AB$5,0))</f>
        <v>0</v>
      </c>
      <c r="R154" s="232">
        <f>INDEX('Prop. prices'!$I$8:$AB$82,MATCH('Tariff schedule'!$C154,'Prop. prices'!$C$8:$C$82,0),MATCH('Tariff schedule'!R$16,'Prop. prices'!$I$5:$AB$5,0))</f>
        <v>0</v>
      </c>
      <c r="S154" s="232">
        <f>INDEX('Prop. prices'!$I$8:$AB$82,MATCH('Tariff schedule'!$C154,'Prop. prices'!$C$8:$C$82,0),MATCH('Tariff schedule'!S$16,'Prop. prices'!$I$5:$AB$5,0))</f>
        <v>0</v>
      </c>
      <c r="T154" s="232">
        <f>INDEX('Prop. prices'!$I$8:$AB$82,MATCH('Tariff schedule'!$C154,'Prop. prices'!$C$8:$C$82,0),MATCH('Tariff schedule'!T$16,'Prop. prices'!$I$5:$AB$5,0))</f>
        <v>0</v>
      </c>
      <c r="U154" s="232">
        <f>INDEX('Prop. prices'!$I$8:$AB$82,MATCH('Tariff schedule'!$C154,'Prop. prices'!$C$8:$C$82,0),MATCH('Tariff schedule'!U$16,'Prop. prices'!$I$5:$AB$5,0))</f>
        <v>0</v>
      </c>
      <c r="V154" s="232">
        <f>INDEX('Prop. prices'!$I$8:$AB$82,MATCH('Tariff schedule'!$C154,'Prop. prices'!$C$8:$C$82,0),MATCH('Tariff schedule'!V$16,'Prop. prices'!$I$5:$AB$5,0))</f>
        <v>0</v>
      </c>
      <c r="W154" s="232">
        <f>INDEX('Prop. prices'!$I$8:$AB$82,MATCH('Tariff schedule'!$C154,'Prop. prices'!$C$8:$C$82,0),MATCH('Tariff schedule'!W$16,'Prop. prices'!$I$5:$AB$5,0))</f>
        <v>0</v>
      </c>
      <c r="X154" s="232">
        <f>INDEX('Prop. prices'!$I$8:$AB$82,MATCH('Tariff schedule'!$C154,'Prop. prices'!$C$8:$C$82,0),MATCH('Tariff schedule'!X$16,'Prop. prices'!$I$5:$AB$5,0))</f>
        <v>0</v>
      </c>
      <c r="Y154" s="232">
        <f>INDEX('Prop. prices'!$I$8:$AB$82,MATCH('Tariff schedule'!$C154,'Prop. prices'!$C$8:$C$82,0),MATCH('Tariff schedule'!Y$16,'Prop. prices'!$I$5:$AB$5,0))</f>
        <v>0</v>
      </c>
      <c r="Z154" s="232">
        <f>INDEX('Prop. prices'!$I$8:$AB$82,MATCH('Tariff schedule'!$C154,'Prop. prices'!$C$8:$C$82,0),MATCH('Tariff schedule'!Z$16,'Prop. prices'!$I$5:$AB$5,0))</f>
        <v>0</v>
      </c>
      <c r="AA154" s="232">
        <f>INDEX('Prop. prices'!$I$8:$AB$82,MATCH('Tariff schedule'!$C154,'Prop. prices'!$C$8:$C$82,0),MATCH('Tariff schedule'!AA$16,'Prop. prices'!$I$5:$AB$5,0))</f>
        <v>0</v>
      </c>
      <c r="AB154" s="232">
        <f>INDEX('Prop. prices'!$I$8:$AB$82,MATCH('Tariff schedule'!$C154,'Prop. prices'!$C$8:$C$82,0),MATCH('Tariff schedule'!AB$16,'Prop. prices'!$I$5:$AB$5,0))</f>
        <v>0</v>
      </c>
      <c r="AC154" s="70"/>
      <c r="AD154" s="19"/>
      <c r="AE154" s="19"/>
      <c r="AF154" s="19"/>
      <c r="AG154" s="19"/>
    </row>
    <row r="155" spans="1:33" hidden="1" outlineLevel="3" x14ac:dyDescent="0.2">
      <c r="A155" s="19"/>
      <c r="B155" s="19"/>
      <c r="C155" s="506">
        <f t="shared" si="80"/>
        <v>0</v>
      </c>
      <c r="D155" s="505">
        <f t="shared" si="80"/>
        <v>0</v>
      </c>
      <c r="E155" s="505">
        <f t="shared" si="80"/>
        <v>0</v>
      </c>
      <c r="F155" s="505">
        <f t="shared" si="80"/>
        <v>0</v>
      </c>
      <c r="G155" s="505">
        <f t="shared" si="80"/>
        <v>0</v>
      </c>
      <c r="H155" s="58"/>
      <c r="I155" s="232">
        <f>INDEX('Prop. prices'!$I$8:$AB$82,MATCH('Tariff schedule'!$C155,'Prop. prices'!$C$8:$C$82,0),MATCH('Tariff schedule'!I$16,'Prop. prices'!$I$5:$AB$5,0))</f>
        <v>0</v>
      </c>
      <c r="J155" s="232">
        <f>INDEX('Prop. prices'!$I$8:$AB$82,MATCH('Tariff schedule'!$C155,'Prop. prices'!$C$8:$C$82,0),MATCH('Tariff schedule'!J$16,'Prop. prices'!$I$5:$AB$5,0))</f>
        <v>0</v>
      </c>
      <c r="K155" s="232">
        <f>INDEX('Prop. prices'!$I$8:$AB$82,MATCH('Tariff schedule'!$C155,'Prop. prices'!$C$8:$C$82,0),MATCH('Tariff schedule'!K$16,'Prop. prices'!$I$5:$AB$5,0))</f>
        <v>0</v>
      </c>
      <c r="L155" s="232">
        <f>INDEX('Prop. prices'!$I$8:$AB$82,MATCH('Tariff schedule'!$C155,'Prop. prices'!$C$8:$C$82,0),MATCH('Tariff schedule'!L$16,'Prop. prices'!$I$5:$AB$5,0))</f>
        <v>0</v>
      </c>
      <c r="M155" s="232">
        <f>INDEX('Prop. prices'!$I$8:$AB$82,MATCH('Tariff schedule'!$C155,'Prop. prices'!$C$8:$C$82,0),MATCH('Tariff schedule'!M$16,'Prop. prices'!$I$5:$AB$5,0))</f>
        <v>0</v>
      </c>
      <c r="N155" s="232">
        <f>INDEX('Prop. prices'!$I$8:$AB$82,MATCH('Tariff schedule'!$C155,'Prop. prices'!$C$8:$C$82,0),MATCH('Tariff schedule'!N$16,'Prop. prices'!$I$5:$AB$5,0))</f>
        <v>0</v>
      </c>
      <c r="O155" s="232">
        <f>INDEX('Prop. prices'!$I$8:$AB$82,MATCH('Tariff schedule'!$C155,'Prop. prices'!$C$8:$C$82,0),MATCH('Tariff schedule'!O$16,'Prop. prices'!$I$5:$AB$5,0))</f>
        <v>0</v>
      </c>
      <c r="P155" s="232">
        <f>INDEX('Prop. prices'!$I$8:$AB$82,MATCH('Tariff schedule'!$C155,'Prop. prices'!$C$8:$C$82,0),MATCH('Tariff schedule'!P$16,'Prop. prices'!$I$5:$AB$5,0))</f>
        <v>0</v>
      </c>
      <c r="Q155" s="232">
        <f>INDEX('Prop. prices'!$I$8:$AB$82,MATCH('Tariff schedule'!$C155,'Prop. prices'!$C$8:$C$82,0),MATCH('Tariff schedule'!Q$16,'Prop. prices'!$I$5:$AB$5,0))</f>
        <v>0</v>
      </c>
      <c r="R155" s="232">
        <f>INDEX('Prop. prices'!$I$8:$AB$82,MATCH('Tariff schedule'!$C155,'Prop. prices'!$C$8:$C$82,0),MATCH('Tariff schedule'!R$16,'Prop. prices'!$I$5:$AB$5,0))</f>
        <v>0</v>
      </c>
      <c r="S155" s="232">
        <f>INDEX('Prop. prices'!$I$8:$AB$82,MATCH('Tariff schedule'!$C155,'Prop. prices'!$C$8:$C$82,0),MATCH('Tariff schedule'!S$16,'Prop. prices'!$I$5:$AB$5,0))</f>
        <v>0</v>
      </c>
      <c r="T155" s="232">
        <f>INDEX('Prop. prices'!$I$8:$AB$82,MATCH('Tariff schedule'!$C155,'Prop. prices'!$C$8:$C$82,0),MATCH('Tariff schedule'!T$16,'Prop. prices'!$I$5:$AB$5,0))</f>
        <v>0</v>
      </c>
      <c r="U155" s="232">
        <f>INDEX('Prop. prices'!$I$8:$AB$82,MATCH('Tariff schedule'!$C155,'Prop. prices'!$C$8:$C$82,0),MATCH('Tariff schedule'!U$16,'Prop. prices'!$I$5:$AB$5,0))</f>
        <v>0</v>
      </c>
      <c r="V155" s="232">
        <f>INDEX('Prop. prices'!$I$8:$AB$82,MATCH('Tariff schedule'!$C155,'Prop. prices'!$C$8:$C$82,0),MATCH('Tariff schedule'!V$16,'Prop. prices'!$I$5:$AB$5,0))</f>
        <v>0</v>
      </c>
      <c r="W155" s="232">
        <f>INDEX('Prop. prices'!$I$8:$AB$82,MATCH('Tariff schedule'!$C155,'Prop. prices'!$C$8:$C$82,0),MATCH('Tariff schedule'!W$16,'Prop. prices'!$I$5:$AB$5,0))</f>
        <v>0</v>
      </c>
      <c r="X155" s="232">
        <f>INDEX('Prop. prices'!$I$8:$AB$82,MATCH('Tariff schedule'!$C155,'Prop. prices'!$C$8:$C$82,0),MATCH('Tariff schedule'!X$16,'Prop. prices'!$I$5:$AB$5,0))</f>
        <v>0</v>
      </c>
      <c r="Y155" s="232">
        <f>INDEX('Prop. prices'!$I$8:$AB$82,MATCH('Tariff schedule'!$C155,'Prop. prices'!$C$8:$C$82,0),MATCH('Tariff schedule'!Y$16,'Prop. prices'!$I$5:$AB$5,0))</f>
        <v>0</v>
      </c>
      <c r="Z155" s="232">
        <f>INDEX('Prop. prices'!$I$8:$AB$82,MATCH('Tariff schedule'!$C155,'Prop. prices'!$C$8:$C$82,0),MATCH('Tariff schedule'!Z$16,'Prop. prices'!$I$5:$AB$5,0))</f>
        <v>0</v>
      </c>
      <c r="AA155" s="232">
        <f>INDEX('Prop. prices'!$I$8:$AB$82,MATCH('Tariff schedule'!$C155,'Prop. prices'!$C$8:$C$82,0),MATCH('Tariff schedule'!AA$16,'Prop. prices'!$I$5:$AB$5,0))</f>
        <v>0</v>
      </c>
      <c r="AB155" s="232">
        <f>INDEX('Prop. prices'!$I$8:$AB$82,MATCH('Tariff schedule'!$C155,'Prop. prices'!$C$8:$C$82,0),MATCH('Tariff schedule'!AB$16,'Prop. prices'!$I$5:$AB$5,0))</f>
        <v>0</v>
      </c>
      <c r="AC155" s="70"/>
      <c r="AD155" s="19"/>
      <c r="AE155" s="19"/>
      <c r="AF155" s="19"/>
      <c r="AG155" s="19"/>
    </row>
    <row r="156" spans="1:33" hidden="1" outlineLevel="3" x14ac:dyDescent="0.2">
      <c r="A156" s="19"/>
      <c r="B156" s="19"/>
      <c r="C156" s="506">
        <f t="shared" si="80"/>
        <v>0</v>
      </c>
      <c r="D156" s="505">
        <f t="shared" si="80"/>
        <v>0</v>
      </c>
      <c r="E156" s="505">
        <f t="shared" si="80"/>
        <v>0</v>
      </c>
      <c r="F156" s="505">
        <f t="shared" si="80"/>
        <v>0</v>
      </c>
      <c r="G156" s="505">
        <f t="shared" si="80"/>
        <v>0</v>
      </c>
      <c r="H156" s="58"/>
      <c r="I156" s="232">
        <f>INDEX('Prop. prices'!$I$8:$AB$82,MATCH('Tariff schedule'!$C156,'Prop. prices'!$C$8:$C$82,0),MATCH('Tariff schedule'!I$16,'Prop. prices'!$I$5:$AB$5,0))</f>
        <v>0</v>
      </c>
      <c r="J156" s="232">
        <f>INDEX('Prop. prices'!$I$8:$AB$82,MATCH('Tariff schedule'!$C156,'Prop. prices'!$C$8:$C$82,0),MATCH('Tariff schedule'!J$16,'Prop. prices'!$I$5:$AB$5,0))</f>
        <v>0</v>
      </c>
      <c r="K156" s="232">
        <f>INDEX('Prop. prices'!$I$8:$AB$82,MATCH('Tariff schedule'!$C156,'Prop. prices'!$C$8:$C$82,0),MATCH('Tariff schedule'!K$16,'Prop. prices'!$I$5:$AB$5,0))</f>
        <v>0</v>
      </c>
      <c r="L156" s="232">
        <f>INDEX('Prop. prices'!$I$8:$AB$82,MATCH('Tariff schedule'!$C156,'Prop. prices'!$C$8:$C$82,0),MATCH('Tariff schedule'!L$16,'Prop. prices'!$I$5:$AB$5,0))</f>
        <v>0</v>
      </c>
      <c r="M156" s="232">
        <f>INDEX('Prop. prices'!$I$8:$AB$82,MATCH('Tariff schedule'!$C156,'Prop. prices'!$C$8:$C$82,0),MATCH('Tariff schedule'!M$16,'Prop. prices'!$I$5:$AB$5,0))</f>
        <v>0</v>
      </c>
      <c r="N156" s="232">
        <f>INDEX('Prop. prices'!$I$8:$AB$82,MATCH('Tariff schedule'!$C156,'Prop. prices'!$C$8:$C$82,0),MATCH('Tariff schedule'!N$16,'Prop. prices'!$I$5:$AB$5,0))</f>
        <v>0</v>
      </c>
      <c r="O156" s="232">
        <f>INDEX('Prop. prices'!$I$8:$AB$82,MATCH('Tariff schedule'!$C156,'Prop. prices'!$C$8:$C$82,0),MATCH('Tariff schedule'!O$16,'Prop. prices'!$I$5:$AB$5,0))</f>
        <v>0</v>
      </c>
      <c r="P156" s="232">
        <f>INDEX('Prop. prices'!$I$8:$AB$82,MATCH('Tariff schedule'!$C156,'Prop. prices'!$C$8:$C$82,0),MATCH('Tariff schedule'!P$16,'Prop. prices'!$I$5:$AB$5,0))</f>
        <v>0</v>
      </c>
      <c r="Q156" s="232">
        <f>INDEX('Prop. prices'!$I$8:$AB$82,MATCH('Tariff schedule'!$C156,'Prop. prices'!$C$8:$C$82,0),MATCH('Tariff schedule'!Q$16,'Prop. prices'!$I$5:$AB$5,0))</f>
        <v>0</v>
      </c>
      <c r="R156" s="232">
        <f>INDEX('Prop. prices'!$I$8:$AB$82,MATCH('Tariff schedule'!$C156,'Prop. prices'!$C$8:$C$82,0),MATCH('Tariff schedule'!R$16,'Prop. prices'!$I$5:$AB$5,0))</f>
        <v>0</v>
      </c>
      <c r="S156" s="232">
        <f>INDEX('Prop. prices'!$I$8:$AB$82,MATCH('Tariff schedule'!$C156,'Prop. prices'!$C$8:$C$82,0),MATCH('Tariff schedule'!S$16,'Prop. prices'!$I$5:$AB$5,0))</f>
        <v>0</v>
      </c>
      <c r="T156" s="232">
        <f>INDEX('Prop. prices'!$I$8:$AB$82,MATCH('Tariff schedule'!$C156,'Prop. prices'!$C$8:$C$82,0),MATCH('Tariff schedule'!T$16,'Prop. prices'!$I$5:$AB$5,0))</f>
        <v>0</v>
      </c>
      <c r="U156" s="232">
        <f>INDEX('Prop. prices'!$I$8:$AB$82,MATCH('Tariff schedule'!$C156,'Prop. prices'!$C$8:$C$82,0),MATCH('Tariff schedule'!U$16,'Prop. prices'!$I$5:$AB$5,0))</f>
        <v>0</v>
      </c>
      <c r="V156" s="232">
        <f>INDEX('Prop. prices'!$I$8:$AB$82,MATCH('Tariff schedule'!$C156,'Prop. prices'!$C$8:$C$82,0),MATCH('Tariff schedule'!V$16,'Prop. prices'!$I$5:$AB$5,0))</f>
        <v>0</v>
      </c>
      <c r="W156" s="232">
        <f>INDEX('Prop. prices'!$I$8:$AB$82,MATCH('Tariff schedule'!$C156,'Prop. prices'!$C$8:$C$82,0),MATCH('Tariff schedule'!W$16,'Prop. prices'!$I$5:$AB$5,0))</f>
        <v>0</v>
      </c>
      <c r="X156" s="232">
        <f>INDEX('Prop. prices'!$I$8:$AB$82,MATCH('Tariff schedule'!$C156,'Prop. prices'!$C$8:$C$82,0),MATCH('Tariff schedule'!X$16,'Prop. prices'!$I$5:$AB$5,0))</f>
        <v>0</v>
      </c>
      <c r="Y156" s="232">
        <f>INDEX('Prop. prices'!$I$8:$AB$82,MATCH('Tariff schedule'!$C156,'Prop. prices'!$C$8:$C$82,0),MATCH('Tariff schedule'!Y$16,'Prop. prices'!$I$5:$AB$5,0))</f>
        <v>0</v>
      </c>
      <c r="Z156" s="232">
        <f>INDEX('Prop. prices'!$I$8:$AB$82,MATCH('Tariff schedule'!$C156,'Prop. prices'!$C$8:$C$82,0),MATCH('Tariff schedule'!Z$16,'Prop. prices'!$I$5:$AB$5,0))</f>
        <v>0</v>
      </c>
      <c r="AA156" s="232">
        <f>INDEX('Prop. prices'!$I$8:$AB$82,MATCH('Tariff schedule'!$C156,'Prop. prices'!$C$8:$C$82,0),MATCH('Tariff schedule'!AA$16,'Prop. prices'!$I$5:$AB$5,0))</f>
        <v>0</v>
      </c>
      <c r="AB156" s="232">
        <f>INDEX('Prop. prices'!$I$8:$AB$82,MATCH('Tariff schedule'!$C156,'Prop. prices'!$C$8:$C$82,0),MATCH('Tariff schedule'!AB$16,'Prop. prices'!$I$5:$AB$5,0))</f>
        <v>0</v>
      </c>
      <c r="AC156" s="70"/>
      <c r="AD156" s="19"/>
      <c r="AE156" s="19"/>
      <c r="AF156" s="19"/>
      <c r="AG156" s="19"/>
    </row>
    <row r="157" spans="1:33" hidden="1" outlineLevel="3" x14ac:dyDescent="0.2">
      <c r="A157" s="19"/>
      <c r="B157" s="19"/>
      <c r="C157" s="506">
        <f t="shared" ref="C157:G166" si="81">C79</f>
        <v>0</v>
      </c>
      <c r="D157" s="505">
        <f t="shared" si="81"/>
        <v>0</v>
      </c>
      <c r="E157" s="505">
        <f t="shared" si="81"/>
        <v>0</v>
      </c>
      <c r="F157" s="505">
        <f t="shared" si="81"/>
        <v>0</v>
      </c>
      <c r="G157" s="505">
        <f t="shared" si="81"/>
        <v>0</v>
      </c>
      <c r="H157" s="58"/>
      <c r="I157" s="232">
        <f>INDEX('Prop. prices'!$I$8:$AB$82,MATCH('Tariff schedule'!$C157,'Prop. prices'!$C$8:$C$82,0),MATCH('Tariff schedule'!I$16,'Prop. prices'!$I$5:$AB$5,0))</f>
        <v>0</v>
      </c>
      <c r="J157" s="232">
        <f>INDEX('Prop. prices'!$I$8:$AB$82,MATCH('Tariff schedule'!$C157,'Prop. prices'!$C$8:$C$82,0),MATCH('Tariff schedule'!J$16,'Prop. prices'!$I$5:$AB$5,0))</f>
        <v>0</v>
      </c>
      <c r="K157" s="232">
        <f>INDEX('Prop. prices'!$I$8:$AB$82,MATCH('Tariff schedule'!$C157,'Prop. prices'!$C$8:$C$82,0),MATCH('Tariff schedule'!K$16,'Prop. prices'!$I$5:$AB$5,0))</f>
        <v>0</v>
      </c>
      <c r="L157" s="232">
        <f>INDEX('Prop. prices'!$I$8:$AB$82,MATCH('Tariff schedule'!$C157,'Prop. prices'!$C$8:$C$82,0),MATCH('Tariff schedule'!L$16,'Prop. prices'!$I$5:$AB$5,0))</f>
        <v>0</v>
      </c>
      <c r="M157" s="232">
        <f>INDEX('Prop. prices'!$I$8:$AB$82,MATCH('Tariff schedule'!$C157,'Prop. prices'!$C$8:$C$82,0),MATCH('Tariff schedule'!M$16,'Prop. prices'!$I$5:$AB$5,0))</f>
        <v>0</v>
      </c>
      <c r="N157" s="232">
        <f>INDEX('Prop. prices'!$I$8:$AB$82,MATCH('Tariff schedule'!$C157,'Prop. prices'!$C$8:$C$82,0),MATCH('Tariff schedule'!N$16,'Prop. prices'!$I$5:$AB$5,0))</f>
        <v>0</v>
      </c>
      <c r="O157" s="232">
        <f>INDEX('Prop. prices'!$I$8:$AB$82,MATCH('Tariff schedule'!$C157,'Prop. prices'!$C$8:$C$82,0),MATCH('Tariff schedule'!O$16,'Prop. prices'!$I$5:$AB$5,0))</f>
        <v>0</v>
      </c>
      <c r="P157" s="232">
        <f>INDEX('Prop. prices'!$I$8:$AB$82,MATCH('Tariff schedule'!$C157,'Prop. prices'!$C$8:$C$82,0),MATCH('Tariff schedule'!P$16,'Prop. prices'!$I$5:$AB$5,0))</f>
        <v>0</v>
      </c>
      <c r="Q157" s="232">
        <f>INDEX('Prop. prices'!$I$8:$AB$82,MATCH('Tariff schedule'!$C157,'Prop. prices'!$C$8:$C$82,0),MATCH('Tariff schedule'!Q$16,'Prop. prices'!$I$5:$AB$5,0))</f>
        <v>0</v>
      </c>
      <c r="R157" s="232">
        <f>INDEX('Prop. prices'!$I$8:$AB$82,MATCH('Tariff schedule'!$C157,'Prop. prices'!$C$8:$C$82,0),MATCH('Tariff schedule'!R$16,'Prop. prices'!$I$5:$AB$5,0))</f>
        <v>0</v>
      </c>
      <c r="S157" s="232">
        <f>INDEX('Prop. prices'!$I$8:$AB$82,MATCH('Tariff schedule'!$C157,'Prop. prices'!$C$8:$C$82,0),MATCH('Tariff schedule'!S$16,'Prop. prices'!$I$5:$AB$5,0))</f>
        <v>0</v>
      </c>
      <c r="T157" s="232">
        <f>INDEX('Prop. prices'!$I$8:$AB$82,MATCH('Tariff schedule'!$C157,'Prop. prices'!$C$8:$C$82,0),MATCH('Tariff schedule'!T$16,'Prop. prices'!$I$5:$AB$5,0))</f>
        <v>0</v>
      </c>
      <c r="U157" s="232">
        <f>INDEX('Prop. prices'!$I$8:$AB$82,MATCH('Tariff schedule'!$C157,'Prop. prices'!$C$8:$C$82,0),MATCH('Tariff schedule'!U$16,'Prop. prices'!$I$5:$AB$5,0))</f>
        <v>0</v>
      </c>
      <c r="V157" s="232">
        <f>INDEX('Prop. prices'!$I$8:$AB$82,MATCH('Tariff schedule'!$C157,'Prop. prices'!$C$8:$C$82,0),MATCH('Tariff schedule'!V$16,'Prop. prices'!$I$5:$AB$5,0))</f>
        <v>0</v>
      </c>
      <c r="W157" s="232">
        <f>INDEX('Prop. prices'!$I$8:$AB$82,MATCH('Tariff schedule'!$C157,'Prop. prices'!$C$8:$C$82,0),MATCH('Tariff schedule'!W$16,'Prop. prices'!$I$5:$AB$5,0))</f>
        <v>0</v>
      </c>
      <c r="X157" s="232">
        <f>INDEX('Prop. prices'!$I$8:$AB$82,MATCH('Tariff schedule'!$C157,'Prop. prices'!$C$8:$C$82,0),MATCH('Tariff schedule'!X$16,'Prop. prices'!$I$5:$AB$5,0))</f>
        <v>0</v>
      </c>
      <c r="Y157" s="232">
        <f>INDEX('Prop. prices'!$I$8:$AB$82,MATCH('Tariff schedule'!$C157,'Prop. prices'!$C$8:$C$82,0),MATCH('Tariff schedule'!Y$16,'Prop. prices'!$I$5:$AB$5,0))</f>
        <v>0</v>
      </c>
      <c r="Z157" s="232">
        <f>INDEX('Prop. prices'!$I$8:$AB$82,MATCH('Tariff schedule'!$C157,'Prop. prices'!$C$8:$C$82,0),MATCH('Tariff schedule'!Z$16,'Prop. prices'!$I$5:$AB$5,0))</f>
        <v>0</v>
      </c>
      <c r="AA157" s="232">
        <f>INDEX('Prop. prices'!$I$8:$AB$82,MATCH('Tariff schedule'!$C157,'Prop. prices'!$C$8:$C$82,0),MATCH('Tariff schedule'!AA$16,'Prop. prices'!$I$5:$AB$5,0))</f>
        <v>0</v>
      </c>
      <c r="AB157" s="232">
        <f>INDEX('Prop. prices'!$I$8:$AB$82,MATCH('Tariff schedule'!$C157,'Prop. prices'!$C$8:$C$82,0),MATCH('Tariff schedule'!AB$16,'Prop. prices'!$I$5:$AB$5,0))</f>
        <v>0</v>
      </c>
      <c r="AC157" s="70"/>
      <c r="AD157" s="19"/>
      <c r="AE157" s="19"/>
      <c r="AF157" s="19"/>
      <c r="AG157" s="19"/>
    </row>
    <row r="158" spans="1:33" hidden="1" outlineLevel="3" x14ac:dyDescent="0.2">
      <c r="A158" s="19"/>
      <c r="B158" s="19"/>
      <c r="C158" s="506">
        <f t="shared" si="81"/>
        <v>0</v>
      </c>
      <c r="D158" s="505">
        <f t="shared" si="81"/>
        <v>0</v>
      </c>
      <c r="E158" s="505">
        <f t="shared" si="81"/>
        <v>0</v>
      </c>
      <c r="F158" s="505">
        <f t="shared" si="81"/>
        <v>0</v>
      </c>
      <c r="G158" s="505">
        <f t="shared" si="81"/>
        <v>0</v>
      </c>
      <c r="H158" s="58"/>
      <c r="I158" s="232">
        <f>INDEX('Prop. prices'!$I$8:$AB$82,MATCH('Tariff schedule'!$C158,'Prop. prices'!$C$8:$C$82,0),MATCH('Tariff schedule'!I$16,'Prop. prices'!$I$5:$AB$5,0))</f>
        <v>0</v>
      </c>
      <c r="J158" s="232">
        <f>INDEX('Prop. prices'!$I$8:$AB$82,MATCH('Tariff schedule'!$C158,'Prop. prices'!$C$8:$C$82,0),MATCH('Tariff schedule'!J$16,'Prop. prices'!$I$5:$AB$5,0))</f>
        <v>0</v>
      </c>
      <c r="K158" s="232">
        <f>INDEX('Prop. prices'!$I$8:$AB$82,MATCH('Tariff schedule'!$C158,'Prop. prices'!$C$8:$C$82,0),MATCH('Tariff schedule'!K$16,'Prop. prices'!$I$5:$AB$5,0))</f>
        <v>0</v>
      </c>
      <c r="L158" s="232">
        <f>INDEX('Prop. prices'!$I$8:$AB$82,MATCH('Tariff schedule'!$C158,'Prop. prices'!$C$8:$C$82,0),MATCH('Tariff schedule'!L$16,'Prop. prices'!$I$5:$AB$5,0))</f>
        <v>0</v>
      </c>
      <c r="M158" s="232">
        <f>INDEX('Prop. prices'!$I$8:$AB$82,MATCH('Tariff schedule'!$C158,'Prop. prices'!$C$8:$C$82,0),MATCH('Tariff schedule'!M$16,'Prop. prices'!$I$5:$AB$5,0))</f>
        <v>0</v>
      </c>
      <c r="N158" s="232">
        <f>INDEX('Prop. prices'!$I$8:$AB$82,MATCH('Tariff schedule'!$C158,'Prop. prices'!$C$8:$C$82,0),MATCH('Tariff schedule'!N$16,'Prop. prices'!$I$5:$AB$5,0))</f>
        <v>0</v>
      </c>
      <c r="O158" s="232">
        <f>INDEX('Prop. prices'!$I$8:$AB$82,MATCH('Tariff schedule'!$C158,'Prop. prices'!$C$8:$C$82,0),MATCH('Tariff schedule'!O$16,'Prop. prices'!$I$5:$AB$5,0))</f>
        <v>0</v>
      </c>
      <c r="P158" s="232">
        <f>INDEX('Prop. prices'!$I$8:$AB$82,MATCH('Tariff schedule'!$C158,'Prop. prices'!$C$8:$C$82,0),MATCH('Tariff schedule'!P$16,'Prop. prices'!$I$5:$AB$5,0))</f>
        <v>0</v>
      </c>
      <c r="Q158" s="232">
        <f>INDEX('Prop. prices'!$I$8:$AB$82,MATCH('Tariff schedule'!$C158,'Prop. prices'!$C$8:$C$82,0),MATCH('Tariff schedule'!Q$16,'Prop. prices'!$I$5:$AB$5,0))</f>
        <v>0</v>
      </c>
      <c r="R158" s="232">
        <f>INDEX('Prop. prices'!$I$8:$AB$82,MATCH('Tariff schedule'!$C158,'Prop. prices'!$C$8:$C$82,0),MATCH('Tariff schedule'!R$16,'Prop. prices'!$I$5:$AB$5,0))</f>
        <v>0</v>
      </c>
      <c r="S158" s="232">
        <f>INDEX('Prop. prices'!$I$8:$AB$82,MATCH('Tariff schedule'!$C158,'Prop. prices'!$C$8:$C$82,0),MATCH('Tariff schedule'!S$16,'Prop. prices'!$I$5:$AB$5,0))</f>
        <v>0</v>
      </c>
      <c r="T158" s="232">
        <f>INDEX('Prop. prices'!$I$8:$AB$82,MATCH('Tariff schedule'!$C158,'Prop. prices'!$C$8:$C$82,0),MATCH('Tariff schedule'!T$16,'Prop. prices'!$I$5:$AB$5,0))</f>
        <v>0</v>
      </c>
      <c r="U158" s="232">
        <f>INDEX('Prop. prices'!$I$8:$AB$82,MATCH('Tariff schedule'!$C158,'Prop. prices'!$C$8:$C$82,0),MATCH('Tariff schedule'!U$16,'Prop. prices'!$I$5:$AB$5,0))</f>
        <v>0</v>
      </c>
      <c r="V158" s="232">
        <f>INDEX('Prop. prices'!$I$8:$AB$82,MATCH('Tariff schedule'!$C158,'Prop. prices'!$C$8:$C$82,0),MATCH('Tariff schedule'!V$16,'Prop. prices'!$I$5:$AB$5,0))</f>
        <v>0</v>
      </c>
      <c r="W158" s="232">
        <f>INDEX('Prop. prices'!$I$8:$AB$82,MATCH('Tariff schedule'!$C158,'Prop. prices'!$C$8:$C$82,0),MATCH('Tariff schedule'!W$16,'Prop. prices'!$I$5:$AB$5,0))</f>
        <v>0</v>
      </c>
      <c r="X158" s="232">
        <f>INDEX('Prop. prices'!$I$8:$AB$82,MATCH('Tariff schedule'!$C158,'Prop. prices'!$C$8:$C$82,0),MATCH('Tariff schedule'!X$16,'Prop. prices'!$I$5:$AB$5,0))</f>
        <v>0</v>
      </c>
      <c r="Y158" s="232">
        <f>INDEX('Prop. prices'!$I$8:$AB$82,MATCH('Tariff schedule'!$C158,'Prop. prices'!$C$8:$C$82,0),MATCH('Tariff schedule'!Y$16,'Prop. prices'!$I$5:$AB$5,0))</f>
        <v>0</v>
      </c>
      <c r="Z158" s="232">
        <f>INDEX('Prop. prices'!$I$8:$AB$82,MATCH('Tariff schedule'!$C158,'Prop. prices'!$C$8:$C$82,0),MATCH('Tariff schedule'!Z$16,'Prop. prices'!$I$5:$AB$5,0))</f>
        <v>0</v>
      </c>
      <c r="AA158" s="232">
        <f>INDEX('Prop. prices'!$I$8:$AB$82,MATCH('Tariff schedule'!$C158,'Prop. prices'!$C$8:$C$82,0),MATCH('Tariff schedule'!AA$16,'Prop. prices'!$I$5:$AB$5,0))</f>
        <v>0</v>
      </c>
      <c r="AB158" s="232">
        <f>INDEX('Prop. prices'!$I$8:$AB$82,MATCH('Tariff schedule'!$C158,'Prop. prices'!$C$8:$C$82,0),MATCH('Tariff schedule'!AB$16,'Prop. prices'!$I$5:$AB$5,0))</f>
        <v>0</v>
      </c>
      <c r="AC158" s="70"/>
      <c r="AD158" s="19"/>
      <c r="AE158" s="19"/>
      <c r="AF158" s="19"/>
      <c r="AG158" s="19"/>
    </row>
    <row r="159" spans="1:33" hidden="1" outlineLevel="3" x14ac:dyDescent="0.2">
      <c r="A159" s="19"/>
      <c r="B159" s="19"/>
      <c r="C159" s="506">
        <f t="shared" si="81"/>
        <v>0</v>
      </c>
      <c r="D159" s="505">
        <f t="shared" si="81"/>
        <v>0</v>
      </c>
      <c r="E159" s="505">
        <f t="shared" si="81"/>
        <v>0</v>
      </c>
      <c r="F159" s="505">
        <f t="shared" si="81"/>
        <v>0</v>
      </c>
      <c r="G159" s="505">
        <f t="shared" si="81"/>
        <v>0</v>
      </c>
      <c r="H159" s="58"/>
      <c r="I159" s="232">
        <f>INDEX('Prop. prices'!$I$8:$AB$82,MATCH('Tariff schedule'!$C159,'Prop. prices'!$C$8:$C$82,0),MATCH('Tariff schedule'!I$16,'Prop. prices'!$I$5:$AB$5,0))</f>
        <v>0</v>
      </c>
      <c r="J159" s="232">
        <f>INDEX('Prop. prices'!$I$8:$AB$82,MATCH('Tariff schedule'!$C159,'Prop. prices'!$C$8:$C$82,0),MATCH('Tariff schedule'!J$16,'Prop. prices'!$I$5:$AB$5,0))</f>
        <v>0</v>
      </c>
      <c r="K159" s="232">
        <f>INDEX('Prop. prices'!$I$8:$AB$82,MATCH('Tariff schedule'!$C159,'Prop. prices'!$C$8:$C$82,0),MATCH('Tariff schedule'!K$16,'Prop. prices'!$I$5:$AB$5,0))</f>
        <v>0</v>
      </c>
      <c r="L159" s="232">
        <f>INDEX('Prop. prices'!$I$8:$AB$82,MATCH('Tariff schedule'!$C159,'Prop. prices'!$C$8:$C$82,0),MATCH('Tariff schedule'!L$16,'Prop. prices'!$I$5:$AB$5,0))</f>
        <v>0</v>
      </c>
      <c r="M159" s="232">
        <f>INDEX('Prop. prices'!$I$8:$AB$82,MATCH('Tariff schedule'!$C159,'Prop. prices'!$C$8:$C$82,0),MATCH('Tariff schedule'!M$16,'Prop. prices'!$I$5:$AB$5,0))</f>
        <v>0</v>
      </c>
      <c r="N159" s="232">
        <f>INDEX('Prop. prices'!$I$8:$AB$82,MATCH('Tariff schedule'!$C159,'Prop. prices'!$C$8:$C$82,0),MATCH('Tariff schedule'!N$16,'Prop. prices'!$I$5:$AB$5,0))</f>
        <v>0</v>
      </c>
      <c r="O159" s="232">
        <f>INDEX('Prop. prices'!$I$8:$AB$82,MATCH('Tariff schedule'!$C159,'Prop. prices'!$C$8:$C$82,0),MATCH('Tariff schedule'!O$16,'Prop. prices'!$I$5:$AB$5,0))</f>
        <v>0</v>
      </c>
      <c r="P159" s="232">
        <f>INDEX('Prop. prices'!$I$8:$AB$82,MATCH('Tariff schedule'!$C159,'Prop. prices'!$C$8:$C$82,0),MATCH('Tariff schedule'!P$16,'Prop. prices'!$I$5:$AB$5,0))</f>
        <v>0</v>
      </c>
      <c r="Q159" s="232">
        <f>INDEX('Prop. prices'!$I$8:$AB$82,MATCH('Tariff schedule'!$C159,'Prop. prices'!$C$8:$C$82,0),MATCH('Tariff schedule'!Q$16,'Prop. prices'!$I$5:$AB$5,0))</f>
        <v>0</v>
      </c>
      <c r="R159" s="232">
        <f>INDEX('Prop. prices'!$I$8:$AB$82,MATCH('Tariff schedule'!$C159,'Prop. prices'!$C$8:$C$82,0),MATCH('Tariff schedule'!R$16,'Prop. prices'!$I$5:$AB$5,0))</f>
        <v>0</v>
      </c>
      <c r="S159" s="232">
        <f>INDEX('Prop. prices'!$I$8:$AB$82,MATCH('Tariff schedule'!$C159,'Prop. prices'!$C$8:$C$82,0),MATCH('Tariff schedule'!S$16,'Prop. prices'!$I$5:$AB$5,0))</f>
        <v>0</v>
      </c>
      <c r="T159" s="232">
        <f>INDEX('Prop. prices'!$I$8:$AB$82,MATCH('Tariff schedule'!$C159,'Prop. prices'!$C$8:$C$82,0),MATCH('Tariff schedule'!T$16,'Prop. prices'!$I$5:$AB$5,0))</f>
        <v>0</v>
      </c>
      <c r="U159" s="232">
        <f>INDEX('Prop. prices'!$I$8:$AB$82,MATCH('Tariff schedule'!$C159,'Prop. prices'!$C$8:$C$82,0),MATCH('Tariff schedule'!U$16,'Prop. prices'!$I$5:$AB$5,0))</f>
        <v>0</v>
      </c>
      <c r="V159" s="232">
        <f>INDEX('Prop. prices'!$I$8:$AB$82,MATCH('Tariff schedule'!$C159,'Prop. prices'!$C$8:$C$82,0),MATCH('Tariff schedule'!V$16,'Prop. prices'!$I$5:$AB$5,0))</f>
        <v>0</v>
      </c>
      <c r="W159" s="232">
        <f>INDEX('Prop. prices'!$I$8:$AB$82,MATCH('Tariff schedule'!$C159,'Prop. prices'!$C$8:$C$82,0),MATCH('Tariff schedule'!W$16,'Prop. prices'!$I$5:$AB$5,0))</f>
        <v>0</v>
      </c>
      <c r="X159" s="232">
        <f>INDEX('Prop. prices'!$I$8:$AB$82,MATCH('Tariff schedule'!$C159,'Prop. prices'!$C$8:$C$82,0),MATCH('Tariff schedule'!X$16,'Prop. prices'!$I$5:$AB$5,0))</f>
        <v>0</v>
      </c>
      <c r="Y159" s="232">
        <f>INDEX('Prop. prices'!$I$8:$AB$82,MATCH('Tariff schedule'!$C159,'Prop. prices'!$C$8:$C$82,0),MATCH('Tariff schedule'!Y$16,'Prop. prices'!$I$5:$AB$5,0))</f>
        <v>0</v>
      </c>
      <c r="Z159" s="232">
        <f>INDEX('Prop. prices'!$I$8:$AB$82,MATCH('Tariff schedule'!$C159,'Prop. prices'!$C$8:$C$82,0),MATCH('Tariff schedule'!Z$16,'Prop. prices'!$I$5:$AB$5,0))</f>
        <v>0</v>
      </c>
      <c r="AA159" s="232">
        <f>INDEX('Prop. prices'!$I$8:$AB$82,MATCH('Tariff schedule'!$C159,'Prop. prices'!$C$8:$C$82,0),MATCH('Tariff schedule'!AA$16,'Prop. prices'!$I$5:$AB$5,0))</f>
        <v>0</v>
      </c>
      <c r="AB159" s="232">
        <f>INDEX('Prop. prices'!$I$8:$AB$82,MATCH('Tariff schedule'!$C159,'Prop. prices'!$C$8:$C$82,0),MATCH('Tariff schedule'!AB$16,'Prop. prices'!$I$5:$AB$5,0))</f>
        <v>0</v>
      </c>
      <c r="AC159" s="70"/>
      <c r="AD159" s="19"/>
      <c r="AE159" s="19"/>
      <c r="AF159" s="19"/>
      <c r="AG159" s="19"/>
    </row>
    <row r="160" spans="1:33" hidden="1" outlineLevel="3" x14ac:dyDescent="0.2">
      <c r="A160" s="19"/>
      <c r="B160" s="19"/>
      <c r="C160" s="506">
        <f t="shared" si="81"/>
        <v>0</v>
      </c>
      <c r="D160" s="505">
        <f t="shared" si="81"/>
        <v>0</v>
      </c>
      <c r="E160" s="505">
        <f t="shared" si="81"/>
        <v>0</v>
      </c>
      <c r="F160" s="505">
        <f t="shared" si="81"/>
        <v>0</v>
      </c>
      <c r="G160" s="505">
        <f t="shared" si="81"/>
        <v>0</v>
      </c>
      <c r="H160" s="58"/>
      <c r="I160" s="232">
        <f>INDEX('Prop. prices'!$I$8:$AB$82,MATCH('Tariff schedule'!$C160,'Prop. prices'!$C$8:$C$82,0),MATCH('Tariff schedule'!I$16,'Prop. prices'!$I$5:$AB$5,0))</f>
        <v>0</v>
      </c>
      <c r="J160" s="232">
        <f>INDEX('Prop. prices'!$I$8:$AB$82,MATCH('Tariff schedule'!$C160,'Prop. prices'!$C$8:$C$82,0),MATCH('Tariff schedule'!J$16,'Prop. prices'!$I$5:$AB$5,0))</f>
        <v>0</v>
      </c>
      <c r="K160" s="232">
        <f>INDEX('Prop. prices'!$I$8:$AB$82,MATCH('Tariff schedule'!$C160,'Prop. prices'!$C$8:$C$82,0),MATCH('Tariff schedule'!K$16,'Prop. prices'!$I$5:$AB$5,0))</f>
        <v>0</v>
      </c>
      <c r="L160" s="232">
        <f>INDEX('Prop. prices'!$I$8:$AB$82,MATCH('Tariff schedule'!$C160,'Prop. prices'!$C$8:$C$82,0),MATCH('Tariff schedule'!L$16,'Prop. prices'!$I$5:$AB$5,0))</f>
        <v>0</v>
      </c>
      <c r="M160" s="232">
        <f>INDEX('Prop. prices'!$I$8:$AB$82,MATCH('Tariff schedule'!$C160,'Prop. prices'!$C$8:$C$82,0),MATCH('Tariff schedule'!M$16,'Prop. prices'!$I$5:$AB$5,0))</f>
        <v>0</v>
      </c>
      <c r="N160" s="232">
        <f>INDEX('Prop. prices'!$I$8:$AB$82,MATCH('Tariff schedule'!$C160,'Prop. prices'!$C$8:$C$82,0),MATCH('Tariff schedule'!N$16,'Prop. prices'!$I$5:$AB$5,0))</f>
        <v>0</v>
      </c>
      <c r="O160" s="232">
        <f>INDEX('Prop. prices'!$I$8:$AB$82,MATCH('Tariff schedule'!$C160,'Prop. prices'!$C$8:$C$82,0),MATCH('Tariff schedule'!O$16,'Prop. prices'!$I$5:$AB$5,0))</f>
        <v>0</v>
      </c>
      <c r="P160" s="232">
        <f>INDEX('Prop. prices'!$I$8:$AB$82,MATCH('Tariff schedule'!$C160,'Prop. prices'!$C$8:$C$82,0),MATCH('Tariff schedule'!P$16,'Prop. prices'!$I$5:$AB$5,0))</f>
        <v>0</v>
      </c>
      <c r="Q160" s="232">
        <f>INDEX('Prop. prices'!$I$8:$AB$82,MATCH('Tariff schedule'!$C160,'Prop. prices'!$C$8:$C$82,0),MATCH('Tariff schedule'!Q$16,'Prop. prices'!$I$5:$AB$5,0))</f>
        <v>0</v>
      </c>
      <c r="R160" s="232">
        <f>INDEX('Prop. prices'!$I$8:$AB$82,MATCH('Tariff schedule'!$C160,'Prop. prices'!$C$8:$C$82,0),MATCH('Tariff schedule'!R$16,'Prop. prices'!$I$5:$AB$5,0))</f>
        <v>0</v>
      </c>
      <c r="S160" s="232">
        <f>INDEX('Prop. prices'!$I$8:$AB$82,MATCH('Tariff schedule'!$C160,'Prop. prices'!$C$8:$C$82,0),MATCH('Tariff schedule'!S$16,'Prop. prices'!$I$5:$AB$5,0))</f>
        <v>0</v>
      </c>
      <c r="T160" s="232">
        <f>INDEX('Prop. prices'!$I$8:$AB$82,MATCH('Tariff schedule'!$C160,'Prop. prices'!$C$8:$C$82,0),MATCH('Tariff schedule'!T$16,'Prop. prices'!$I$5:$AB$5,0))</f>
        <v>0</v>
      </c>
      <c r="U160" s="232">
        <f>INDEX('Prop. prices'!$I$8:$AB$82,MATCH('Tariff schedule'!$C160,'Prop. prices'!$C$8:$C$82,0),MATCH('Tariff schedule'!U$16,'Prop. prices'!$I$5:$AB$5,0))</f>
        <v>0</v>
      </c>
      <c r="V160" s="232">
        <f>INDEX('Prop. prices'!$I$8:$AB$82,MATCH('Tariff schedule'!$C160,'Prop. prices'!$C$8:$C$82,0),MATCH('Tariff schedule'!V$16,'Prop. prices'!$I$5:$AB$5,0))</f>
        <v>0</v>
      </c>
      <c r="W160" s="232">
        <f>INDEX('Prop. prices'!$I$8:$AB$82,MATCH('Tariff schedule'!$C160,'Prop. prices'!$C$8:$C$82,0),MATCH('Tariff schedule'!W$16,'Prop. prices'!$I$5:$AB$5,0))</f>
        <v>0</v>
      </c>
      <c r="X160" s="232">
        <f>INDEX('Prop. prices'!$I$8:$AB$82,MATCH('Tariff schedule'!$C160,'Prop. prices'!$C$8:$C$82,0),MATCH('Tariff schedule'!X$16,'Prop. prices'!$I$5:$AB$5,0))</f>
        <v>0</v>
      </c>
      <c r="Y160" s="232">
        <f>INDEX('Prop. prices'!$I$8:$AB$82,MATCH('Tariff schedule'!$C160,'Prop. prices'!$C$8:$C$82,0),MATCH('Tariff schedule'!Y$16,'Prop. prices'!$I$5:$AB$5,0))</f>
        <v>0</v>
      </c>
      <c r="Z160" s="232">
        <f>INDEX('Prop. prices'!$I$8:$AB$82,MATCH('Tariff schedule'!$C160,'Prop. prices'!$C$8:$C$82,0),MATCH('Tariff schedule'!Z$16,'Prop. prices'!$I$5:$AB$5,0))</f>
        <v>0</v>
      </c>
      <c r="AA160" s="232">
        <f>INDEX('Prop. prices'!$I$8:$AB$82,MATCH('Tariff schedule'!$C160,'Prop. prices'!$C$8:$C$82,0),MATCH('Tariff schedule'!AA$16,'Prop. prices'!$I$5:$AB$5,0))</f>
        <v>0</v>
      </c>
      <c r="AB160" s="232">
        <f>INDEX('Prop. prices'!$I$8:$AB$82,MATCH('Tariff schedule'!$C160,'Prop. prices'!$C$8:$C$82,0),MATCH('Tariff schedule'!AB$16,'Prop. prices'!$I$5:$AB$5,0))</f>
        <v>0</v>
      </c>
      <c r="AC160" s="70"/>
      <c r="AD160" s="19"/>
      <c r="AE160" s="19"/>
      <c r="AF160" s="19"/>
      <c r="AG160" s="19"/>
    </row>
    <row r="161" spans="1:33" hidden="1" outlineLevel="3" x14ac:dyDescent="0.2">
      <c r="A161" s="19"/>
      <c r="B161" s="19"/>
      <c r="C161" s="506">
        <f t="shared" si="81"/>
        <v>0</v>
      </c>
      <c r="D161" s="505">
        <f t="shared" si="81"/>
        <v>0</v>
      </c>
      <c r="E161" s="505">
        <f t="shared" si="81"/>
        <v>0</v>
      </c>
      <c r="F161" s="505">
        <f t="shared" si="81"/>
        <v>0</v>
      </c>
      <c r="G161" s="505">
        <f t="shared" si="81"/>
        <v>0</v>
      </c>
      <c r="H161" s="58"/>
      <c r="I161" s="232">
        <f>INDEX('Prop. prices'!$I$8:$AB$82,MATCH('Tariff schedule'!$C161,'Prop. prices'!$C$8:$C$82,0),MATCH('Tariff schedule'!I$16,'Prop. prices'!$I$5:$AB$5,0))</f>
        <v>0</v>
      </c>
      <c r="J161" s="232">
        <f>INDEX('Prop. prices'!$I$8:$AB$82,MATCH('Tariff schedule'!$C161,'Prop. prices'!$C$8:$C$82,0),MATCH('Tariff schedule'!J$16,'Prop. prices'!$I$5:$AB$5,0))</f>
        <v>0</v>
      </c>
      <c r="K161" s="232">
        <f>INDEX('Prop. prices'!$I$8:$AB$82,MATCH('Tariff schedule'!$C161,'Prop. prices'!$C$8:$C$82,0),MATCH('Tariff schedule'!K$16,'Prop. prices'!$I$5:$AB$5,0))</f>
        <v>0</v>
      </c>
      <c r="L161" s="232">
        <f>INDEX('Prop. prices'!$I$8:$AB$82,MATCH('Tariff schedule'!$C161,'Prop. prices'!$C$8:$C$82,0),MATCH('Tariff schedule'!L$16,'Prop. prices'!$I$5:$AB$5,0))</f>
        <v>0</v>
      </c>
      <c r="M161" s="232">
        <f>INDEX('Prop. prices'!$I$8:$AB$82,MATCH('Tariff schedule'!$C161,'Prop. prices'!$C$8:$C$82,0),MATCH('Tariff schedule'!M$16,'Prop. prices'!$I$5:$AB$5,0))</f>
        <v>0</v>
      </c>
      <c r="N161" s="232">
        <f>INDEX('Prop. prices'!$I$8:$AB$82,MATCH('Tariff schedule'!$C161,'Prop. prices'!$C$8:$C$82,0),MATCH('Tariff schedule'!N$16,'Prop. prices'!$I$5:$AB$5,0))</f>
        <v>0</v>
      </c>
      <c r="O161" s="232">
        <f>INDEX('Prop. prices'!$I$8:$AB$82,MATCH('Tariff schedule'!$C161,'Prop. prices'!$C$8:$C$82,0),MATCH('Tariff schedule'!O$16,'Prop. prices'!$I$5:$AB$5,0))</f>
        <v>0</v>
      </c>
      <c r="P161" s="232">
        <f>INDEX('Prop. prices'!$I$8:$AB$82,MATCH('Tariff schedule'!$C161,'Prop. prices'!$C$8:$C$82,0),MATCH('Tariff schedule'!P$16,'Prop. prices'!$I$5:$AB$5,0))</f>
        <v>0</v>
      </c>
      <c r="Q161" s="232">
        <f>INDEX('Prop. prices'!$I$8:$AB$82,MATCH('Tariff schedule'!$C161,'Prop. prices'!$C$8:$C$82,0),MATCH('Tariff schedule'!Q$16,'Prop. prices'!$I$5:$AB$5,0))</f>
        <v>0</v>
      </c>
      <c r="R161" s="232">
        <f>INDEX('Prop. prices'!$I$8:$AB$82,MATCH('Tariff schedule'!$C161,'Prop. prices'!$C$8:$C$82,0),MATCH('Tariff schedule'!R$16,'Prop. prices'!$I$5:$AB$5,0))</f>
        <v>0</v>
      </c>
      <c r="S161" s="232">
        <f>INDEX('Prop. prices'!$I$8:$AB$82,MATCH('Tariff schedule'!$C161,'Prop. prices'!$C$8:$C$82,0),MATCH('Tariff schedule'!S$16,'Prop. prices'!$I$5:$AB$5,0))</f>
        <v>0</v>
      </c>
      <c r="T161" s="232">
        <f>INDEX('Prop. prices'!$I$8:$AB$82,MATCH('Tariff schedule'!$C161,'Prop. prices'!$C$8:$C$82,0),MATCH('Tariff schedule'!T$16,'Prop. prices'!$I$5:$AB$5,0))</f>
        <v>0</v>
      </c>
      <c r="U161" s="232">
        <f>INDEX('Prop. prices'!$I$8:$AB$82,MATCH('Tariff schedule'!$C161,'Prop. prices'!$C$8:$C$82,0),MATCH('Tariff schedule'!U$16,'Prop. prices'!$I$5:$AB$5,0))</f>
        <v>0</v>
      </c>
      <c r="V161" s="232">
        <f>INDEX('Prop. prices'!$I$8:$AB$82,MATCH('Tariff schedule'!$C161,'Prop. prices'!$C$8:$C$82,0),MATCH('Tariff schedule'!V$16,'Prop. prices'!$I$5:$AB$5,0))</f>
        <v>0</v>
      </c>
      <c r="W161" s="232">
        <f>INDEX('Prop. prices'!$I$8:$AB$82,MATCH('Tariff schedule'!$C161,'Prop. prices'!$C$8:$C$82,0),MATCH('Tariff schedule'!W$16,'Prop. prices'!$I$5:$AB$5,0))</f>
        <v>0</v>
      </c>
      <c r="X161" s="232">
        <f>INDEX('Prop. prices'!$I$8:$AB$82,MATCH('Tariff schedule'!$C161,'Prop. prices'!$C$8:$C$82,0),MATCH('Tariff schedule'!X$16,'Prop. prices'!$I$5:$AB$5,0))</f>
        <v>0</v>
      </c>
      <c r="Y161" s="232">
        <f>INDEX('Prop. prices'!$I$8:$AB$82,MATCH('Tariff schedule'!$C161,'Prop. prices'!$C$8:$C$82,0),MATCH('Tariff schedule'!Y$16,'Prop. prices'!$I$5:$AB$5,0))</f>
        <v>0</v>
      </c>
      <c r="Z161" s="232">
        <f>INDEX('Prop. prices'!$I$8:$AB$82,MATCH('Tariff schedule'!$C161,'Prop. prices'!$C$8:$C$82,0),MATCH('Tariff schedule'!Z$16,'Prop. prices'!$I$5:$AB$5,0))</f>
        <v>0</v>
      </c>
      <c r="AA161" s="232">
        <f>INDEX('Prop. prices'!$I$8:$AB$82,MATCH('Tariff schedule'!$C161,'Prop. prices'!$C$8:$C$82,0),MATCH('Tariff schedule'!AA$16,'Prop. prices'!$I$5:$AB$5,0))</f>
        <v>0</v>
      </c>
      <c r="AB161" s="232">
        <f>INDEX('Prop. prices'!$I$8:$AB$82,MATCH('Tariff schedule'!$C161,'Prop. prices'!$C$8:$C$82,0),MATCH('Tariff schedule'!AB$16,'Prop. prices'!$I$5:$AB$5,0))</f>
        <v>0</v>
      </c>
      <c r="AC161" s="70"/>
      <c r="AD161" s="19"/>
      <c r="AE161" s="19"/>
      <c r="AF161" s="19"/>
      <c r="AG161" s="19"/>
    </row>
    <row r="162" spans="1:33" hidden="1" outlineLevel="3" x14ac:dyDescent="0.2">
      <c r="A162" s="19"/>
      <c r="B162" s="19"/>
      <c r="C162" s="506">
        <f t="shared" si="81"/>
        <v>0</v>
      </c>
      <c r="D162" s="505">
        <f t="shared" si="81"/>
        <v>0</v>
      </c>
      <c r="E162" s="505">
        <f t="shared" si="81"/>
        <v>0</v>
      </c>
      <c r="F162" s="505">
        <f t="shared" si="81"/>
        <v>0</v>
      </c>
      <c r="G162" s="505">
        <f t="shared" si="81"/>
        <v>0</v>
      </c>
      <c r="H162" s="58"/>
      <c r="I162" s="232">
        <f>INDEX('Prop. prices'!$I$8:$AB$82,MATCH('Tariff schedule'!$C162,'Prop. prices'!$C$8:$C$82,0),MATCH('Tariff schedule'!I$16,'Prop. prices'!$I$5:$AB$5,0))</f>
        <v>0</v>
      </c>
      <c r="J162" s="232">
        <f>INDEX('Prop. prices'!$I$8:$AB$82,MATCH('Tariff schedule'!$C162,'Prop. prices'!$C$8:$C$82,0),MATCH('Tariff schedule'!J$16,'Prop. prices'!$I$5:$AB$5,0))</f>
        <v>0</v>
      </c>
      <c r="K162" s="232">
        <f>INDEX('Prop. prices'!$I$8:$AB$82,MATCH('Tariff schedule'!$C162,'Prop. prices'!$C$8:$C$82,0),MATCH('Tariff schedule'!K$16,'Prop. prices'!$I$5:$AB$5,0))</f>
        <v>0</v>
      </c>
      <c r="L162" s="232">
        <f>INDEX('Prop. prices'!$I$8:$AB$82,MATCH('Tariff schedule'!$C162,'Prop. prices'!$C$8:$C$82,0),MATCH('Tariff schedule'!L$16,'Prop. prices'!$I$5:$AB$5,0))</f>
        <v>0</v>
      </c>
      <c r="M162" s="232">
        <f>INDEX('Prop. prices'!$I$8:$AB$82,MATCH('Tariff schedule'!$C162,'Prop. prices'!$C$8:$C$82,0),MATCH('Tariff schedule'!M$16,'Prop. prices'!$I$5:$AB$5,0))</f>
        <v>0</v>
      </c>
      <c r="N162" s="232">
        <f>INDEX('Prop. prices'!$I$8:$AB$82,MATCH('Tariff schedule'!$C162,'Prop. prices'!$C$8:$C$82,0),MATCH('Tariff schedule'!N$16,'Prop. prices'!$I$5:$AB$5,0))</f>
        <v>0</v>
      </c>
      <c r="O162" s="232">
        <f>INDEX('Prop. prices'!$I$8:$AB$82,MATCH('Tariff schedule'!$C162,'Prop. prices'!$C$8:$C$82,0),MATCH('Tariff schedule'!O$16,'Prop. prices'!$I$5:$AB$5,0))</f>
        <v>0</v>
      </c>
      <c r="P162" s="232">
        <f>INDEX('Prop. prices'!$I$8:$AB$82,MATCH('Tariff schedule'!$C162,'Prop. prices'!$C$8:$C$82,0),MATCH('Tariff schedule'!P$16,'Prop. prices'!$I$5:$AB$5,0))</f>
        <v>0</v>
      </c>
      <c r="Q162" s="232">
        <f>INDEX('Prop. prices'!$I$8:$AB$82,MATCH('Tariff schedule'!$C162,'Prop. prices'!$C$8:$C$82,0),MATCH('Tariff schedule'!Q$16,'Prop. prices'!$I$5:$AB$5,0))</f>
        <v>0</v>
      </c>
      <c r="R162" s="232">
        <f>INDEX('Prop. prices'!$I$8:$AB$82,MATCH('Tariff schedule'!$C162,'Prop. prices'!$C$8:$C$82,0),MATCH('Tariff schedule'!R$16,'Prop. prices'!$I$5:$AB$5,0))</f>
        <v>0</v>
      </c>
      <c r="S162" s="232">
        <f>INDEX('Prop. prices'!$I$8:$AB$82,MATCH('Tariff schedule'!$C162,'Prop. prices'!$C$8:$C$82,0),MATCH('Tariff schedule'!S$16,'Prop. prices'!$I$5:$AB$5,0))</f>
        <v>0</v>
      </c>
      <c r="T162" s="232">
        <f>INDEX('Prop. prices'!$I$8:$AB$82,MATCH('Tariff schedule'!$C162,'Prop. prices'!$C$8:$C$82,0),MATCH('Tariff schedule'!T$16,'Prop. prices'!$I$5:$AB$5,0))</f>
        <v>0</v>
      </c>
      <c r="U162" s="232">
        <f>INDEX('Prop. prices'!$I$8:$AB$82,MATCH('Tariff schedule'!$C162,'Prop. prices'!$C$8:$C$82,0),MATCH('Tariff schedule'!U$16,'Prop. prices'!$I$5:$AB$5,0))</f>
        <v>0</v>
      </c>
      <c r="V162" s="232">
        <f>INDEX('Prop. prices'!$I$8:$AB$82,MATCH('Tariff schedule'!$C162,'Prop. prices'!$C$8:$C$82,0),MATCH('Tariff schedule'!V$16,'Prop. prices'!$I$5:$AB$5,0))</f>
        <v>0</v>
      </c>
      <c r="W162" s="232">
        <f>INDEX('Prop. prices'!$I$8:$AB$82,MATCH('Tariff schedule'!$C162,'Prop. prices'!$C$8:$C$82,0),MATCH('Tariff schedule'!W$16,'Prop. prices'!$I$5:$AB$5,0))</f>
        <v>0</v>
      </c>
      <c r="X162" s="232">
        <f>INDEX('Prop. prices'!$I$8:$AB$82,MATCH('Tariff schedule'!$C162,'Prop. prices'!$C$8:$C$82,0),MATCH('Tariff schedule'!X$16,'Prop. prices'!$I$5:$AB$5,0))</f>
        <v>0</v>
      </c>
      <c r="Y162" s="232">
        <f>INDEX('Prop. prices'!$I$8:$AB$82,MATCH('Tariff schedule'!$C162,'Prop. prices'!$C$8:$C$82,0),MATCH('Tariff schedule'!Y$16,'Prop. prices'!$I$5:$AB$5,0))</f>
        <v>0</v>
      </c>
      <c r="Z162" s="232">
        <f>INDEX('Prop. prices'!$I$8:$AB$82,MATCH('Tariff schedule'!$C162,'Prop. prices'!$C$8:$C$82,0),MATCH('Tariff schedule'!Z$16,'Prop. prices'!$I$5:$AB$5,0))</f>
        <v>0</v>
      </c>
      <c r="AA162" s="232">
        <f>INDEX('Prop. prices'!$I$8:$AB$82,MATCH('Tariff schedule'!$C162,'Prop. prices'!$C$8:$C$82,0),MATCH('Tariff schedule'!AA$16,'Prop. prices'!$I$5:$AB$5,0))</f>
        <v>0</v>
      </c>
      <c r="AB162" s="232">
        <f>INDEX('Prop. prices'!$I$8:$AB$82,MATCH('Tariff schedule'!$C162,'Prop. prices'!$C$8:$C$82,0),MATCH('Tariff schedule'!AB$16,'Prop. prices'!$I$5:$AB$5,0))</f>
        <v>0</v>
      </c>
      <c r="AC162" s="70"/>
      <c r="AD162" s="19"/>
      <c r="AE162" s="19"/>
      <c r="AF162" s="19"/>
      <c r="AG162" s="19"/>
    </row>
    <row r="163" spans="1:33" hidden="1" outlineLevel="3" x14ac:dyDescent="0.2">
      <c r="A163" s="19"/>
      <c r="B163" s="19"/>
      <c r="C163" s="506">
        <f t="shared" si="81"/>
        <v>0</v>
      </c>
      <c r="D163" s="505">
        <f t="shared" si="81"/>
        <v>0</v>
      </c>
      <c r="E163" s="505">
        <f t="shared" si="81"/>
        <v>0</v>
      </c>
      <c r="F163" s="505">
        <f t="shared" si="81"/>
        <v>0</v>
      </c>
      <c r="G163" s="505">
        <f t="shared" si="81"/>
        <v>0</v>
      </c>
      <c r="H163" s="58"/>
      <c r="I163" s="232">
        <f>INDEX('Prop. prices'!$I$8:$AB$82,MATCH('Tariff schedule'!$C163,'Prop. prices'!$C$8:$C$82,0),MATCH('Tariff schedule'!I$16,'Prop. prices'!$I$5:$AB$5,0))</f>
        <v>0</v>
      </c>
      <c r="J163" s="232">
        <f>INDEX('Prop. prices'!$I$8:$AB$82,MATCH('Tariff schedule'!$C163,'Prop. prices'!$C$8:$C$82,0),MATCH('Tariff schedule'!J$16,'Prop. prices'!$I$5:$AB$5,0))</f>
        <v>0</v>
      </c>
      <c r="K163" s="232">
        <f>INDEX('Prop. prices'!$I$8:$AB$82,MATCH('Tariff schedule'!$C163,'Prop. prices'!$C$8:$C$82,0),MATCH('Tariff schedule'!K$16,'Prop. prices'!$I$5:$AB$5,0))</f>
        <v>0</v>
      </c>
      <c r="L163" s="232">
        <f>INDEX('Prop. prices'!$I$8:$AB$82,MATCH('Tariff schedule'!$C163,'Prop. prices'!$C$8:$C$82,0),MATCH('Tariff schedule'!L$16,'Prop. prices'!$I$5:$AB$5,0))</f>
        <v>0</v>
      </c>
      <c r="M163" s="232">
        <f>INDEX('Prop. prices'!$I$8:$AB$82,MATCH('Tariff schedule'!$C163,'Prop. prices'!$C$8:$C$82,0),MATCH('Tariff schedule'!M$16,'Prop. prices'!$I$5:$AB$5,0))</f>
        <v>0</v>
      </c>
      <c r="N163" s="232">
        <f>INDEX('Prop. prices'!$I$8:$AB$82,MATCH('Tariff schedule'!$C163,'Prop. prices'!$C$8:$C$82,0),MATCH('Tariff schedule'!N$16,'Prop. prices'!$I$5:$AB$5,0))</f>
        <v>0</v>
      </c>
      <c r="O163" s="232">
        <f>INDEX('Prop. prices'!$I$8:$AB$82,MATCH('Tariff schedule'!$C163,'Prop. prices'!$C$8:$C$82,0),MATCH('Tariff schedule'!O$16,'Prop. prices'!$I$5:$AB$5,0))</f>
        <v>0</v>
      </c>
      <c r="P163" s="232">
        <f>INDEX('Prop. prices'!$I$8:$AB$82,MATCH('Tariff schedule'!$C163,'Prop. prices'!$C$8:$C$82,0),MATCH('Tariff schedule'!P$16,'Prop. prices'!$I$5:$AB$5,0))</f>
        <v>0</v>
      </c>
      <c r="Q163" s="232">
        <f>INDEX('Prop. prices'!$I$8:$AB$82,MATCH('Tariff schedule'!$C163,'Prop. prices'!$C$8:$C$82,0),MATCH('Tariff schedule'!Q$16,'Prop. prices'!$I$5:$AB$5,0))</f>
        <v>0</v>
      </c>
      <c r="R163" s="232">
        <f>INDEX('Prop. prices'!$I$8:$AB$82,MATCH('Tariff schedule'!$C163,'Prop. prices'!$C$8:$C$82,0),MATCH('Tariff schedule'!R$16,'Prop. prices'!$I$5:$AB$5,0))</f>
        <v>0</v>
      </c>
      <c r="S163" s="232">
        <f>INDEX('Prop. prices'!$I$8:$AB$82,MATCH('Tariff schedule'!$C163,'Prop. prices'!$C$8:$C$82,0),MATCH('Tariff schedule'!S$16,'Prop. prices'!$I$5:$AB$5,0))</f>
        <v>0</v>
      </c>
      <c r="T163" s="232">
        <f>INDEX('Prop. prices'!$I$8:$AB$82,MATCH('Tariff schedule'!$C163,'Prop. prices'!$C$8:$C$82,0),MATCH('Tariff schedule'!T$16,'Prop. prices'!$I$5:$AB$5,0))</f>
        <v>0</v>
      </c>
      <c r="U163" s="232">
        <f>INDEX('Prop. prices'!$I$8:$AB$82,MATCH('Tariff schedule'!$C163,'Prop. prices'!$C$8:$C$82,0),MATCH('Tariff schedule'!U$16,'Prop. prices'!$I$5:$AB$5,0))</f>
        <v>0</v>
      </c>
      <c r="V163" s="232">
        <f>INDEX('Prop. prices'!$I$8:$AB$82,MATCH('Tariff schedule'!$C163,'Prop. prices'!$C$8:$C$82,0),MATCH('Tariff schedule'!V$16,'Prop. prices'!$I$5:$AB$5,0))</f>
        <v>0</v>
      </c>
      <c r="W163" s="232">
        <f>INDEX('Prop. prices'!$I$8:$AB$82,MATCH('Tariff schedule'!$C163,'Prop. prices'!$C$8:$C$82,0),MATCH('Tariff schedule'!W$16,'Prop. prices'!$I$5:$AB$5,0))</f>
        <v>0</v>
      </c>
      <c r="X163" s="232">
        <f>INDEX('Prop. prices'!$I$8:$AB$82,MATCH('Tariff schedule'!$C163,'Prop. prices'!$C$8:$C$82,0),MATCH('Tariff schedule'!X$16,'Prop. prices'!$I$5:$AB$5,0))</f>
        <v>0</v>
      </c>
      <c r="Y163" s="232">
        <f>INDEX('Prop. prices'!$I$8:$AB$82,MATCH('Tariff schedule'!$C163,'Prop. prices'!$C$8:$C$82,0),MATCH('Tariff schedule'!Y$16,'Prop. prices'!$I$5:$AB$5,0))</f>
        <v>0</v>
      </c>
      <c r="Z163" s="232">
        <f>INDEX('Prop. prices'!$I$8:$AB$82,MATCH('Tariff schedule'!$C163,'Prop. prices'!$C$8:$C$82,0),MATCH('Tariff schedule'!Z$16,'Prop. prices'!$I$5:$AB$5,0))</f>
        <v>0</v>
      </c>
      <c r="AA163" s="232">
        <f>INDEX('Prop. prices'!$I$8:$AB$82,MATCH('Tariff schedule'!$C163,'Prop. prices'!$C$8:$C$82,0),MATCH('Tariff schedule'!AA$16,'Prop. prices'!$I$5:$AB$5,0))</f>
        <v>0</v>
      </c>
      <c r="AB163" s="232">
        <f>INDEX('Prop. prices'!$I$8:$AB$82,MATCH('Tariff schedule'!$C163,'Prop. prices'!$C$8:$C$82,0),MATCH('Tariff schedule'!AB$16,'Prop. prices'!$I$5:$AB$5,0))</f>
        <v>0</v>
      </c>
      <c r="AC163" s="70"/>
      <c r="AD163" s="19"/>
      <c r="AE163" s="19"/>
      <c r="AF163" s="19"/>
      <c r="AG163" s="19"/>
    </row>
    <row r="164" spans="1:33" hidden="1" outlineLevel="3" x14ac:dyDescent="0.2">
      <c r="A164" s="19"/>
      <c r="B164" s="19"/>
      <c r="C164" s="506">
        <f t="shared" si="81"/>
        <v>0</v>
      </c>
      <c r="D164" s="505">
        <f t="shared" si="81"/>
        <v>0</v>
      </c>
      <c r="E164" s="505">
        <f t="shared" si="81"/>
        <v>0</v>
      </c>
      <c r="F164" s="505">
        <f t="shared" si="81"/>
        <v>0</v>
      </c>
      <c r="G164" s="505">
        <f t="shared" si="81"/>
        <v>0</v>
      </c>
      <c r="H164" s="58"/>
      <c r="I164" s="232">
        <f>INDEX('Prop. prices'!$I$8:$AB$82,MATCH('Tariff schedule'!$C164,'Prop. prices'!$C$8:$C$82,0),MATCH('Tariff schedule'!I$16,'Prop. prices'!$I$5:$AB$5,0))</f>
        <v>0</v>
      </c>
      <c r="J164" s="232">
        <f>INDEX('Prop. prices'!$I$8:$AB$82,MATCH('Tariff schedule'!$C164,'Prop. prices'!$C$8:$C$82,0),MATCH('Tariff schedule'!J$16,'Prop. prices'!$I$5:$AB$5,0))</f>
        <v>0</v>
      </c>
      <c r="K164" s="232">
        <f>INDEX('Prop. prices'!$I$8:$AB$82,MATCH('Tariff schedule'!$C164,'Prop. prices'!$C$8:$C$82,0),MATCH('Tariff schedule'!K$16,'Prop. prices'!$I$5:$AB$5,0))</f>
        <v>0</v>
      </c>
      <c r="L164" s="232">
        <f>INDEX('Prop. prices'!$I$8:$AB$82,MATCH('Tariff schedule'!$C164,'Prop. prices'!$C$8:$C$82,0),MATCH('Tariff schedule'!L$16,'Prop. prices'!$I$5:$AB$5,0))</f>
        <v>0</v>
      </c>
      <c r="M164" s="232">
        <f>INDEX('Prop. prices'!$I$8:$AB$82,MATCH('Tariff schedule'!$C164,'Prop. prices'!$C$8:$C$82,0),MATCH('Tariff schedule'!M$16,'Prop. prices'!$I$5:$AB$5,0))</f>
        <v>0</v>
      </c>
      <c r="N164" s="232">
        <f>INDEX('Prop. prices'!$I$8:$AB$82,MATCH('Tariff schedule'!$C164,'Prop. prices'!$C$8:$C$82,0),MATCH('Tariff schedule'!N$16,'Prop. prices'!$I$5:$AB$5,0))</f>
        <v>0</v>
      </c>
      <c r="O164" s="232">
        <f>INDEX('Prop. prices'!$I$8:$AB$82,MATCH('Tariff schedule'!$C164,'Prop. prices'!$C$8:$C$82,0),MATCH('Tariff schedule'!O$16,'Prop. prices'!$I$5:$AB$5,0))</f>
        <v>0</v>
      </c>
      <c r="P164" s="232">
        <f>INDEX('Prop. prices'!$I$8:$AB$82,MATCH('Tariff schedule'!$C164,'Prop. prices'!$C$8:$C$82,0),MATCH('Tariff schedule'!P$16,'Prop. prices'!$I$5:$AB$5,0))</f>
        <v>0</v>
      </c>
      <c r="Q164" s="232">
        <f>INDEX('Prop. prices'!$I$8:$AB$82,MATCH('Tariff schedule'!$C164,'Prop. prices'!$C$8:$C$82,0),MATCH('Tariff schedule'!Q$16,'Prop. prices'!$I$5:$AB$5,0))</f>
        <v>0</v>
      </c>
      <c r="R164" s="232">
        <f>INDEX('Prop. prices'!$I$8:$AB$82,MATCH('Tariff schedule'!$C164,'Prop. prices'!$C$8:$C$82,0),MATCH('Tariff schedule'!R$16,'Prop. prices'!$I$5:$AB$5,0))</f>
        <v>0</v>
      </c>
      <c r="S164" s="232">
        <f>INDEX('Prop. prices'!$I$8:$AB$82,MATCH('Tariff schedule'!$C164,'Prop. prices'!$C$8:$C$82,0),MATCH('Tariff schedule'!S$16,'Prop. prices'!$I$5:$AB$5,0))</f>
        <v>0</v>
      </c>
      <c r="T164" s="232">
        <f>INDEX('Prop. prices'!$I$8:$AB$82,MATCH('Tariff schedule'!$C164,'Prop. prices'!$C$8:$C$82,0),MATCH('Tariff schedule'!T$16,'Prop. prices'!$I$5:$AB$5,0))</f>
        <v>0</v>
      </c>
      <c r="U164" s="232">
        <f>INDEX('Prop. prices'!$I$8:$AB$82,MATCH('Tariff schedule'!$C164,'Prop. prices'!$C$8:$C$82,0),MATCH('Tariff schedule'!U$16,'Prop. prices'!$I$5:$AB$5,0))</f>
        <v>0</v>
      </c>
      <c r="V164" s="232">
        <f>INDEX('Prop. prices'!$I$8:$AB$82,MATCH('Tariff schedule'!$C164,'Prop. prices'!$C$8:$C$82,0),MATCH('Tariff schedule'!V$16,'Prop. prices'!$I$5:$AB$5,0))</f>
        <v>0</v>
      </c>
      <c r="W164" s="232">
        <f>INDEX('Prop. prices'!$I$8:$AB$82,MATCH('Tariff schedule'!$C164,'Prop. prices'!$C$8:$C$82,0),MATCH('Tariff schedule'!W$16,'Prop. prices'!$I$5:$AB$5,0))</f>
        <v>0</v>
      </c>
      <c r="X164" s="232">
        <f>INDEX('Prop. prices'!$I$8:$AB$82,MATCH('Tariff schedule'!$C164,'Prop. prices'!$C$8:$C$82,0),MATCH('Tariff schedule'!X$16,'Prop. prices'!$I$5:$AB$5,0))</f>
        <v>0</v>
      </c>
      <c r="Y164" s="232">
        <f>INDEX('Prop. prices'!$I$8:$AB$82,MATCH('Tariff schedule'!$C164,'Prop. prices'!$C$8:$C$82,0),MATCH('Tariff schedule'!Y$16,'Prop. prices'!$I$5:$AB$5,0))</f>
        <v>0</v>
      </c>
      <c r="Z164" s="232">
        <f>INDEX('Prop. prices'!$I$8:$AB$82,MATCH('Tariff schedule'!$C164,'Prop. prices'!$C$8:$C$82,0),MATCH('Tariff schedule'!Z$16,'Prop. prices'!$I$5:$AB$5,0))</f>
        <v>0</v>
      </c>
      <c r="AA164" s="232">
        <f>INDEX('Prop. prices'!$I$8:$AB$82,MATCH('Tariff schedule'!$C164,'Prop. prices'!$C$8:$C$82,0),MATCH('Tariff schedule'!AA$16,'Prop. prices'!$I$5:$AB$5,0))</f>
        <v>0</v>
      </c>
      <c r="AB164" s="232">
        <f>INDEX('Prop. prices'!$I$8:$AB$82,MATCH('Tariff schedule'!$C164,'Prop. prices'!$C$8:$C$82,0),MATCH('Tariff schedule'!AB$16,'Prop. prices'!$I$5:$AB$5,0))</f>
        <v>0</v>
      </c>
      <c r="AC164" s="70"/>
      <c r="AD164" s="19"/>
      <c r="AE164" s="19"/>
      <c r="AF164" s="19"/>
      <c r="AG164" s="19"/>
    </row>
    <row r="165" spans="1:33" hidden="1" outlineLevel="3" x14ac:dyDescent="0.2">
      <c r="A165" s="19"/>
      <c r="B165" s="19"/>
      <c r="C165" s="506">
        <f t="shared" si="81"/>
        <v>0</v>
      </c>
      <c r="D165" s="505">
        <f t="shared" si="81"/>
        <v>0</v>
      </c>
      <c r="E165" s="505">
        <f t="shared" si="81"/>
        <v>0</v>
      </c>
      <c r="F165" s="505">
        <f t="shared" si="81"/>
        <v>0</v>
      </c>
      <c r="G165" s="505">
        <f t="shared" si="81"/>
        <v>0</v>
      </c>
      <c r="H165" s="58"/>
      <c r="I165" s="232">
        <f>INDEX('Prop. prices'!$I$8:$AB$82,MATCH('Tariff schedule'!$C165,'Prop. prices'!$C$8:$C$82,0),MATCH('Tariff schedule'!I$16,'Prop. prices'!$I$5:$AB$5,0))</f>
        <v>0</v>
      </c>
      <c r="J165" s="232">
        <f>INDEX('Prop. prices'!$I$8:$AB$82,MATCH('Tariff schedule'!$C165,'Prop. prices'!$C$8:$C$82,0),MATCH('Tariff schedule'!J$16,'Prop. prices'!$I$5:$AB$5,0))</f>
        <v>0</v>
      </c>
      <c r="K165" s="232">
        <f>INDEX('Prop. prices'!$I$8:$AB$82,MATCH('Tariff schedule'!$C165,'Prop. prices'!$C$8:$C$82,0),MATCH('Tariff schedule'!K$16,'Prop. prices'!$I$5:$AB$5,0))</f>
        <v>0</v>
      </c>
      <c r="L165" s="232">
        <f>INDEX('Prop. prices'!$I$8:$AB$82,MATCH('Tariff schedule'!$C165,'Prop. prices'!$C$8:$C$82,0),MATCH('Tariff schedule'!L$16,'Prop. prices'!$I$5:$AB$5,0))</f>
        <v>0</v>
      </c>
      <c r="M165" s="232">
        <f>INDEX('Prop. prices'!$I$8:$AB$82,MATCH('Tariff schedule'!$C165,'Prop. prices'!$C$8:$C$82,0),MATCH('Tariff schedule'!M$16,'Prop. prices'!$I$5:$AB$5,0))</f>
        <v>0</v>
      </c>
      <c r="N165" s="232">
        <f>INDEX('Prop. prices'!$I$8:$AB$82,MATCH('Tariff schedule'!$C165,'Prop. prices'!$C$8:$C$82,0),MATCH('Tariff schedule'!N$16,'Prop. prices'!$I$5:$AB$5,0))</f>
        <v>0</v>
      </c>
      <c r="O165" s="232">
        <f>INDEX('Prop. prices'!$I$8:$AB$82,MATCH('Tariff schedule'!$C165,'Prop. prices'!$C$8:$C$82,0),MATCH('Tariff schedule'!O$16,'Prop. prices'!$I$5:$AB$5,0))</f>
        <v>0</v>
      </c>
      <c r="P165" s="232">
        <f>INDEX('Prop. prices'!$I$8:$AB$82,MATCH('Tariff schedule'!$C165,'Prop. prices'!$C$8:$C$82,0),MATCH('Tariff schedule'!P$16,'Prop. prices'!$I$5:$AB$5,0))</f>
        <v>0</v>
      </c>
      <c r="Q165" s="232">
        <f>INDEX('Prop. prices'!$I$8:$AB$82,MATCH('Tariff schedule'!$C165,'Prop. prices'!$C$8:$C$82,0),MATCH('Tariff schedule'!Q$16,'Prop. prices'!$I$5:$AB$5,0))</f>
        <v>0</v>
      </c>
      <c r="R165" s="232">
        <f>INDEX('Prop. prices'!$I$8:$AB$82,MATCH('Tariff schedule'!$C165,'Prop. prices'!$C$8:$C$82,0),MATCH('Tariff schedule'!R$16,'Prop. prices'!$I$5:$AB$5,0))</f>
        <v>0</v>
      </c>
      <c r="S165" s="232">
        <f>INDEX('Prop. prices'!$I$8:$AB$82,MATCH('Tariff schedule'!$C165,'Prop. prices'!$C$8:$C$82,0),MATCH('Tariff schedule'!S$16,'Prop. prices'!$I$5:$AB$5,0))</f>
        <v>0</v>
      </c>
      <c r="T165" s="232">
        <f>INDEX('Prop. prices'!$I$8:$AB$82,MATCH('Tariff schedule'!$C165,'Prop. prices'!$C$8:$C$82,0),MATCH('Tariff schedule'!T$16,'Prop. prices'!$I$5:$AB$5,0))</f>
        <v>0</v>
      </c>
      <c r="U165" s="232">
        <f>INDEX('Prop. prices'!$I$8:$AB$82,MATCH('Tariff schedule'!$C165,'Prop. prices'!$C$8:$C$82,0),MATCH('Tariff schedule'!U$16,'Prop. prices'!$I$5:$AB$5,0))</f>
        <v>0</v>
      </c>
      <c r="V165" s="232">
        <f>INDEX('Prop. prices'!$I$8:$AB$82,MATCH('Tariff schedule'!$C165,'Prop. prices'!$C$8:$C$82,0),MATCH('Tariff schedule'!V$16,'Prop. prices'!$I$5:$AB$5,0))</f>
        <v>0</v>
      </c>
      <c r="W165" s="232">
        <f>INDEX('Prop. prices'!$I$8:$AB$82,MATCH('Tariff schedule'!$C165,'Prop. prices'!$C$8:$C$82,0),MATCH('Tariff schedule'!W$16,'Prop. prices'!$I$5:$AB$5,0))</f>
        <v>0</v>
      </c>
      <c r="X165" s="232">
        <f>INDEX('Prop. prices'!$I$8:$AB$82,MATCH('Tariff schedule'!$C165,'Prop. prices'!$C$8:$C$82,0),MATCH('Tariff schedule'!X$16,'Prop. prices'!$I$5:$AB$5,0))</f>
        <v>0</v>
      </c>
      <c r="Y165" s="232">
        <f>INDEX('Prop. prices'!$I$8:$AB$82,MATCH('Tariff schedule'!$C165,'Prop. prices'!$C$8:$C$82,0),MATCH('Tariff schedule'!Y$16,'Prop. prices'!$I$5:$AB$5,0))</f>
        <v>0</v>
      </c>
      <c r="Z165" s="232">
        <f>INDEX('Prop. prices'!$I$8:$AB$82,MATCH('Tariff schedule'!$C165,'Prop. prices'!$C$8:$C$82,0),MATCH('Tariff schedule'!Z$16,'Prop. prices'!$I$5:$AB$5,0))</f>
        <v>0</v>
      </c>
      <c r="AA165" s="232">
        <f>INDEX('Prop. prices'!$I$8:$AB$82,MATCH('Tariff schedule'!$C165,'Prop. prices'!$C$8:$C$82,0),MATCH('Tariff schedule'!AA$16,'Prop. prices'!$I$5:$AB$5,0))</f>
        <v>0</v>
      </c>
      <c r="AB165" s="232">
        <f>INDEX('Prop. prices'!$I$8:$AB$82,MATCH('Tariff schedule'!$C165,'Prop. prices'!$C$8:$C$82,0),MATCH('Tariff schedule'!AB$16,'Prop. prices'!$I$5:$AB$5,0))</f>
        <v>0</v>
      </c>
      <c r="AC165" s="70"/>
      <c r="AD165" s="19"/>
      <c r="AE165" s="19"/>
      <c r="AF165" s="19"/>
      <c r="AG165" s="19"/>
    </row>
    <row r="166" spans="1:33" hidden="1" outlineLevel="3" x14ac:dyDescent="0.2">
      <c r="A166" s="19"/>
      <c r="B166" s="19"/>
      <c r="C166" s="506">
        <f t="shared" si="81"/>
        <v>0</v>
      </c>
      <c r="D166" s="505">
        <f t="shared" si="81"/>
        <v>0</v>
      </c>
      <c r="E166" s="505">
        <f t="shared" si="81"/>
        <v>0</v>
      </c>
      <c r="F166" s="505">
        <f t="shared" si="81"/>
        <v>0</v>
      </c>
      <c r="G166" s="505">
        <f t="shared" si="81"/>
        <v>0</v>
      </c>
      <c r="H166" s="58"/>
      <c r="I166" s="232">
        <f>INDEX('Prop. prices'!$I$8:$AB$82,MATCH('Tariff schedule'!$C166,'Prop. prices'!$C$8:$C$82,0),MATCH('Tariff schedule'!I$16,'Prop. prices'!$I$5:$AB$5,0))</f>
        <v>0</v>
      </c>
      <c r="J166" s="232">
        <f>INDEX('Prop. prices'!$I$8:$AB$82,MATCH('Tariff schedule'!$C166,'Prop. prices'!$C$8:$C$82,0),MATCH('Tariff schedule'!J$16,'Prop. prices'!$I$5:$AB$5,0))</f>
        <v>0</v>
      </c>
      <c r="K166" s="232">
        <f>INDEX('Prop. prices'!$I$8:$AB$82,MATCH('Tariff schedule'!$C166,'Prop. prices'!$C$8:$C$82,0),MATCH('Tariff schedule'!K$16,'Prop. prices'!$I$5:$AB$5,0))</f>
        <v>0</v>
      </c>
      <c r="L166" s="232">
        <f>INDEX('Prop. prices'!$I$8:$AB$82,MATCH('Tariff schedule'!$C166,'Prop. prices'!$C$8:$C$82,0),MATCH('Tariff schedule'!L$16,'Prop. prices'!$I$5:$AB$5,0))</f>
        <v>0</v>
      </c>
      <c r="M166" s="232">
        <f>INDEX('Prop. prices'!$I$8:$AB$82,MATCH('Tariff schedule'!$C166,'Prop. prices'!$C$8:$C$82,0),MATCH('Tariff schedule'!M$16,'Prop. prices'!$I$5:$AB$5,0))</f>
        <v>0</v>
      </c>
      <c r="N166" s="232">
        <f>INDEX('Prop. prices'!$I$8:$AB$82,MATCH('Tariff schedule'!$C166,'Prop. prices'!$C$8:$C$82,0),MATCH('Tariff schedule'!N$16,'Prop. prices'!$I$5:$AB$5,0))</f>
        <v>0</v>
      </c>
      <c r="O166" s="232">
        <f>INDEX('Prop. prices'!$I$8:$AB$82,MATCH('Tariff schedule'!$C166,'Prop. prices'!$C$8:$C$82,0),MATCH('Tariff schedule'!O$16,'Prop. prices'!$I$5:$AB$5,0))</f>
        <v>0</v>
      </c>
      <c r="P166" s="232">
        <f>INDEX('Prop. prices'!$I$8:$AB$82,MATCH('Tariff schedule'!$C166,'Prop. prices'!$C$8:$C$82,0),MATCH('Tariff schedule'!P$16,'Prop. prices'!$I$5:$AB$5,0))</f>
        <v>0</v>
      </c>
      <c r="Q166" s="232">
        <f>INDEX('Prop. prices'!$I$8:$AB$82,MATCH('Tariff schedule'!$C166,'Prop. prices'!$C$8:$C$82,0),MATCH('Tariff schedule'!Q$16,'Prop. prices'!$I$5:$AB$5,0))</f>
        <v>0</v>
      </c>
      <c r="R166" s="232">
        <f>INDEX('Prop. prices'!$I$8:$AB$82,MATCH('Tariff schedule'!$C166,'Prop. prices'!$C$8:$C$82,0),MATCH('Tariff schedule'!R$16,'Prop. prices'!$I$5:$AB$5,0))</f>
        <v>0</v>
      </c>
      <c r="S166" s="232">
        <f>INDEX('Prop. prices'!$I$8:$AB$82,MATCH('Tariff schedule'!$C166,'Prop. prices'!$C$8:$C$82,0),MATCH('Tariff schedule'!S$16,'Prop. prices'!$I$5:$AB$5,0))</f>
        <v>0</v>
      </c>
      <c r="T166" s="232">
        <f>INDEX('Prop. prices'!$I$8:$AB$82,MATCH('Tariff schedule'!$C166,'Prop. prices'!$C$8:$C$82,0),MATCH('Tariff schedule'!T$16,'Prop. prices'!$I$5:$AB$5,0))</f>
        <v>0</v>
      </c>
      <c r="U166" s="232">
        <f>INDEX('Prop. prices'!$I$8:$AB$82,MATCH('Tariff schedule'!$C166,'Prop. prices'!$C$8:$C$82,0),MATCH('Tariff schedule'!U$16,'Prop. prices'!$I$5:$AB$5,0))</f>
        <v>0</v>
      </c>
      <c r="V166" s="232">
        <f>INDEX('Prop. prices'!$I$8:$AB$82,MATCH('Tariff schedule'!$C166,'Prop. prices'!$C$8:$C$82,0),MATCH('Tariff schedule'!V$16,'Prop. prices'!$I$5:$AB$5,0))</f>
        <v>0</v>
      </c>
      <c r="W166" s="232">
        <f>INDEX('Prop. prices'!$I$8:$AB$82,MATCH('Tariff schedule'!$C166,'Prop. prices'!$C$8:$C$82,0),MATCH('Tariff schedule'!W$16,'Prop. prices'!$I$5:$AB$5,0))</f>
        <v>0</v>
      </c>
      <c r="X166" s="232">
        <f>INDEX('Prop. prices'!$I$8:$AB$82,MATCH('Tariff schedule'!$C166,'Prop. prices'!$C$8:$C$82,0),MATCH('Tariff schedule'!X$16,'Prop. prices'!$I$5:$AB$5,0))</f>
        <v>0</v>
      </c>
      <c r="Y166" s="232">
        <f>INDEX('Prop. prices'!$I$8:$AB$82,MATCH('Tariff schedule'!$C166,'Prop. prices'!$C$8:$C$82,0),MATCH('Tariff schedule'!Y$16,'Prop. prices'!$I$5:$AB$5,0))</f>
        <v>0</v>
      </c>
      <c r="Z166" s="232">
        <f>INDEX('Prop. prices'!$I$8:$AB$82,MATCH('Tariff schedule'!$C166,'Prop. prices'!$C$8:$C$82,0),MATCH('Tariff schedule'!Z$16,'Prop. prices'!$I$5:$AB$5,0))</f>
        <v>0</v>
      </c>
      <c r="AA166" s="232">
        <f>INDEX('Prop. prices'!$I$8:$AB$82,MATCH('Tariff schedule'!$C166,'Prop. prices'!$C$8:$C$82,0),MATCH('Tariff schedule'!AA$16,'Prop. prices'!$I$5:$AB$5,0))</f>
        <v>0</v>
      </c>
      <c r="AB166" s="232">
        <f>INDEX('Prop. prices'!$I$8:$AB$82,MATCH('Tariff schedule'!$C166,'Prop. prices'!$C$8:$C$82,0),MATCH('Tariff schedule'!AB$16,'Prop. prices'!$I$5:$AB$5,0))</f>
        <v>0</v>
      </c>
      <c r="AC166" s="70"/>
      <c r="AD166" s="19"/>
      <c r="AE166" s="19"/>
      <c r="AF166" s="19"/>
      <c r="AG166" s="19"/>
    </row>
    <row r="167" spans="1:33" hidden="1" outlineLevel="3" x14ac:dyDescent="0.2">
      <c r="A167" s="19"/>
      <c r="B167" s="19"/>
      <c r="C167" s="506">
        <f t="shared" ref="C167:G171" si="82">C89</f>
        <v>0</v>
      </c>
      <c r="D167" s="505">
        <f t="shared" si="82"/>
        <v>0</v>
      </c>
      <c r="E167" s="505">
        <f t="shared" si="82"/>
        <v>0</v>
      </c>
      <c r="F167" s="505">
        <f t="shared" si="82"/>
        <v>0</v>
      </c>
      <c r="G167" s="505">
        <f t="shared" si="82"/>
        <v>0</v>
      </c>
      <c r="H167" s="58"/>
      <c r="I167" s="232">
        <f>INDEX('Prop. prices'!$I$8:$AB$82,MATCH('Tariff schedule'!$C167,'Prop. prices'!$C$8:$C$82,0),MATCH('Tariff schedule'!I$16,'Prop. prices'!$I$5:$AB$5,0))</f>
        <v>0</v>
      </c>
      <c r="J167" s="232">
        <f>INDEX('Prop. prices'!$I$8:$AB$82,MATCH('Tariff schedule'!$C167,'Prop. prices'!$C$8:$C$82,0),MATCH('Tariff schedule'!J$16,'Prop. prices'!$I$5:$AB$5,0))</f>
        <v>0</v>
      </c>
      <c r="K167" s="232">
        <f>INDEX('Prop. prices'!$I$8:$AB$82,MATCH('Tariff schedule'!$C167,'Prop. prices'!$C$8:$C$82,0),MATCH('Tariff schedule'!K$16,'Prop. prices'!$I$5:$AB$5,0))</f>
        <v>0</v>
      </c>
      <c r="L167" s="232">
        <f>INDEX('Prop. prices'!$I$8:$AB$82,MATCH('Tariff schedule'!$C167,'Prop. prices'!$C$8:$C$82,0),MATCH('Tariff schedule'!L$16,'Prop. prices'!$I$5:$AB$5,0))</f>
        <v>0</v>
      </c>
      <c r="M167" s="232">
        <f>INDEX('Prop. prices'!$I$8:$AB$82,MATCH('Tariff schedule'!$C167,'Prop. prices'!$C$8:$C$82,0),MATCH('Tariff schedule'!M$16,'Prop. prices'!$I$5:$AB$5,0))</f>
        <v>0</v>
      </c>
      <c r="N167" s="232">
        <f>INDEX('Prop. prices'!$I$8:$AB$82,MATCH('Tariff schedule'!$C167,'Prop. prices'!$C$8:$C$82,0),MATCH('Tariff schedule'!N$16,'Prop. prices'!$I$5:$AB$5,0))</f>
        <v>0</v>
      </c>
      <c r="O167" s="232">
        <f>INDEX('Prop. prices'!$I$8:$AB$82,MATCH('Tariff schedule'!$C167,'Prop. prices'!$C$8:$C$82,0),MATCH('Tariff schedule'!O$16,'Prop. prices'!$I$5:$AB$5,0))</f>
        <v>0</v>
      </c>
      <c r="P167" s="232">
        <f>INDEX('Prop. prices'!$I$8:$AB$82,MATCH('Tariff schedule'!$C167,'Prop. prices'!$C$8:$C$82,0),MATCH('Tariff schedule'!P$16,'Prop. prices'!$I$5:$AB$5,0))</f>
        <v>0</v>
      </c>
      <c r="Q167" s="232">
        <f>INDEX('Prop. prices'!$I$8:$AB$82,MATCH('Tariff schedule'!$C167,'Prop. prices'!$C$8:$C$82,0),MATCH('Tariff schedule'!Q$16,'Prop. prices'!$I$5:$AB$5,0))</f>
        <v>0</v>
      </c>
      <c r="R167" s="232">
        <f>INDEX('Prop. prices'!$I$8:$AB$82,MATCH('Tariff schedule'!$C167,'Prop. prices'!$C$8:$C$82,0),MATCH('Tariff schedule'!R$16,'Prop. prices'!$I$5:$AB$5,0))</f>
        <v>0</v>
      </c>
      <c r="S167" s="232">
        <f>INDEX('Prop. prices'!$I$8:$AB$82,MATCH('Tariff schedule'!$C167,'Prop. prices'!$C$8:$C$82,0),MATCH('Tariff schedule'!S$16,'Prop. prices'!$I$5:$AB$5,0))</f>
        <v>0</v>
      </c>
      <c r="T167" s="232">
        <f>INDEX('Prop. prices'!$I$8:$AB$82,MATCH('Tariff schedule'!$C167,'Prop. prices'!$C$8:$C$82,0),MATCH('Tariff schedule'!T$16,'Prop. prices'!$I$5:$AB$5,0))</f>
        <v>0</v>
      </c>
      <c r="U167" s="232">
        <f>INDEX('Prop. prices'!$I$8:$AB$82,MATCH('Tariff schedule'!$C167,'Prop. prices'!$C$8:$C$82,0),MATCH('Tariff schedule'!U$16,'Prop. prices'!$I$5:$AB$5,0))</f>
        <v>0</v>
      </c>
      <c r="V167" s="232">
        <f>INDEX('Prop. prices'!$I$8:$AB$82,MATCH('Tariff schedule'!$C167,'Prop. prices'!$C$8:$C$82,0),MATCH('Tariff schedule'!V$16,'Prop. prices'!$I$5:$AB$5,0))</f>
        <v>0</v>
      </c>
      <c r="W167" s="232">
        <f>INDEX('Prop. prices'!$I$8:$AB$82,MATCH('Tariff schedule'!$C167,'Prop. prices'!$C$8:$C$82,0),MATCH('Tariff schedule'!W$16,'Prop. prices'!$I$5:$AB$5,0))</f>
        <v>0</v>
      </c>
      <c r="X167" s="232">
        <f>INDEX('Prop. prices'!$I$8:$AB$82,MATCH('Tariff schedule'!$C167,'Prop. prices'!$C$8:$C$82,0),MATCH('Tariff schedule'!X$16,'Prop. prices'!$I$5:$AB$5,0))</f>
        <v>0</v>
      </c>
      <c r="Y167" s="232">
        <f>INDEX('Prop. prices'!$I$8:$AB$82,MATCH('Tariff schedule'!$C167,'Prop. prices'!$C$8:$C$82,0),MATCH('Tariff schedule'!Y$16,'Prop. prices'!$I$5:$AB$5,0))</f>
        <v>0</v>
      </c>
      <c r="Z167" s="232">
        <f>INDEX('Prop. prices'!$I$8:$AB$82,MATCH('Tariff schedule'!$C167,'Prop. prices'!$C$8:$C$82,0),MATCH('Tariff schedule'!Z$16,'Prop. prices'!$I$5:$AB$5,0))</f>
        <v>0</v>
      </c>
      <c r="AA167" s="232">
        <f>INDEX('Prop. prices'!$I$8:$AB$82,MATCH('Tariff schedule'!$C167,'Prop. prices'!$C$8:$C$82,0),MATCH('Tariff schedule'!AA$16,'Prop. prices'!$I$5:$AB$5,0))</f>
        <v>0</v>
      </c>
      <c r="AB167" s="232">
        <f>INDEX('Prop. prices'!$I$8:$AB$82,MATCH('Tariff schedule'!$C167,'Prop. prices'!$C$8:$C$82,0),MATCH('Tariff schedule'!AB$16,'Prop. prices'!$I$5:$AB$5,0))</f>
        <v>0</v>
      </c>
      <c r="AC167" s="70"/>
      <c r="AD167" s="19"/>
      <c r="AE167" s="19"/>
      <c r="AF167" s="19"/>
      <c r="AG167" s="19"/>
    </row>
    <row r="168" spans="1:33" hidden="1" outlineLevel="3" x14ac:dyDescent="0.2">
      <c r="A168" s="19"/>
      <c r="B168" s="19"/>
      <c r="C168" s="506">
        <f t="shared" si="82"/>
        <v>0</v>
      </c>
      <c r="D168" s="505">
        <f t="shared" si="82"/>
        <v>0</v>
      </c>
      <c r="E168" s="505">
        <f t="shared" si="82"/>
        <v>0</v>
      </c>
      <c r="F168" s="505">
        <f t="shared" si="82"/>
        <v>0</v>
      </c>
      <c r="G168" s="505">
        <f t="shared" si="82"/>
        <v>0</v>
      </c>
      <c r="H168" s="58"/>
      <c r="I168" s="232">
        <f>INDEX('Prop. prices'!$I$8:$AB$82,MATCH('Tariff schedule'!$C168,'Prop. prices'!$C$8:$C$82,0),MATCH('Tariff schedule'!I$16,'Prop. prices'!$I$5:$AB$5,0))</f>
        <v>0</v>
      </c>
      <c r="J168" s="232">
        <f>INDEX('Prop. prices'!$I$8:$AB$82,MATCH('Tariff schedule'!$C168,'Prop. prices'!$C$8:$C$82,0),MATCH('Tariff schedule'!J$16,'Prop. prices'!$I$5:$AB$5,0))</f>
        <v>0</v>
      </c>
      <c r="K168" s="232">
        <f>INDEX('Prop. prices'!$I$8:$AB$82,MATCH('Tariff schedule'!$C168,'Prop. prices'!$C$8:$C$82,0),MATCH('Tariff schedule'!K$16,'Prop. prices'!$I$5:$AB$5,0))</f>
        <v>0</v>
      </c>
      <c r="L168" s="232">
        <f>INDEX('Prop. prices'!$I$8:$AB$82,MATCH('Tariff schedule'!$C168,'Prop. prices'!$C$8:$C$82,0),MATCH('Tariff schedule'!L$16,'Prop. prices'!$I$5:$AB$5,0))</f>
        <v>0</v>
      </c>
      <c r="M168" s="232">
        <f>INDEX('Prop. prices'!$I$8:$AB$82,MATCH('Tariff schedule'!$C168,'Prop. prices'!$C$8:$C$82,0),MATCH('Tariff schedule'!M$16,'Prop. prices'!$I$5:$AB$5,0))</f>
        <v>0</v>
      </c>
      <c r="N168" s="232">
        <f>INDEX('Prop. prices'!$I$8:$AB$82,MATCH('Tariff schedule'!$C168,'Prop. prices'!$C$8:$C$82,0),MATCH('Tariff schedule'!N$16,'Prop. prices'!$I$5:$AB$5,0))</f>
        <v>0</v>
      </c>
      <c r="O168" s="232">
        <f>INDEX('Prop. prices'!$I$8:$AB$82,MATCH('Tariff schedule'!$C168,'Prop. prices'!$C$8:$C$82,0),MATCH('Tariff schedule'!O$16,'Prop. prices'!$I$5:$AB$5,0))</f>
        <v>0</v>
      </c>
      <c r="P168" s="232">
        <f>INDEX('Prop. prices'!$I$8:$AB$82,MATCH('Tariff schedule'!$C168,'Prop. prices'!$C$8:$C$82,0),MATCH('Tariff schedule'!P$16,'Prop. prices'!$I$5:$AB$5,0))</f>
        <v>0</v>
      </c>
      <c r="Q168" s="232">
        <f>INDEX('Prop. prices'!$I$8:$AB$82,MATCH('Tariff schedule'!$C168,'Prop. prices'!$C$8:$C$82,0),MATCH('Tariff schedule'!Q$16,'Prop. prices'!$I$5:$AB$5,0))</f>
        <v>0</v>
      </c>
      <c r="R168" s="232">
        <f>INDEX('Prop. prices'!$I$8:$AB$82,MATCH('Tariff schedule'!$C168,'Prop. prices'!$C$8:$C$82,0),MATCH('Tariff schedule'!R$16,'Prop. prices'!$I$5:$AB$5,0))</f>
        <v>0</v>
      </c>
      <c r="S168" s="232">
        <f>INDEX('Prop. prices'!$I$8:$AB$82,MATCH('Tariff schedule'!$C168,'Prop. prices'!$C$8:$C$82,0),MATCH('Tariff schedule'!S$16,'Prop. prices'!$I$5:$AB$5,0))</f>
        <v>0</v>
      </c>
      <c r="T168" s="232">
        <f>INDEX('Prop. prices'!$I$8:$AB$82,MATCH('Tariff schedule'!$C168,'Prop. prices'!$C$8:$C$82,0),MATCH('Tariff schedule'!T$16,'Prop. prices'!$I$5:$AB$5,0))</f>
        <v>0</v>
      </c>
      <c r="U168" s="232">
        <f>INDEX('Prop. prices'!$I$8:$AB$82,MATCH('Tariff schedule'!$C168,'Prop. prices'!$C$8:$C$82,0),MATCH('Tariff schedule'!U$16,'Prop. prices'!$I$5:$AB$5,0))</f>
        <v>0</v>
      </c>
      <c r="V168" s="232">
        <f>INDEX('Prop. prices'!$I$8:$AB$82,MATCH('Tariff schedule'!$C168,'Prop. prices'!$C$8:$C$82,0),MATCH('Tariff schedule'!V$16,'Prop. prices'!$I$5:$AB$5,0))</f>
        <v>0</v>
      </c>
      <c r="W168" s="232">
        <f>INDEX('Prop. prices'!$I$8:$AB$82,MATCH('Tariff schedule'!$C168,'Prop. prices'!$C$8:$C$82,0),MATCH('Tariff schedule'!W$16,'Prop. prices'!$I$5:$AB$5,0))</f>
        <v>0</v>
      </c>
      <c r="X168" s="232">
        <f>INDEX('Prop. prices'!$I$8:$AB$82,MATCH('Tariff schedule'!$C168,'Prop. prices'!$C$8:$C$82,0),MATCH('Tariff schedule'!X$16,'Prop. prices'!$I$5:$AB$5,0))</f>
        <v>0</v>
      </c>
      <c r="Y168" s="232">
        <f>INDEX('Prop. prices'!$I$8:$AB$82,MATCH('Tariff schedule'!$C168,'Prop. prices'!$C$8:$C$82,0),MATCH('Tariff schedule'!Y$16,'Prop. prices'!$I$5:$AB$5,0))</f>
        <v>0</v>
      </c>
      <c r="Z168" s="232">
        <f>INDEX('Prop. prices'!$I$8:$AB$82,MATCH('Tariff schedule'!$C168,'Prop. prices'!$C$8:$C$82,0),MATCH('Tariff schedule'!Z$16,'Prop. prices'!$I$5:$AB$5,0))</f>
        <v>0</v>
      </c>
      <c r="AA168" s="232">
        <f>INDEX('Prop. prices'!$I$8:$AB$82,MATCH('Tariff schedule'!$C168,'Prop. prices'!$C$8:$C$82,0),MATCH('Tariff schedule'!AA$16,'Prop. prices'!$I$5:$AB$5,0))</f>
        <v>0</v>
      </c>
      <c r="AB168" s="232">
        <f>INDEX('Prop. prices'!$I$8:$AB$82,MATCH('Tariff schedule'!$C168,'Prop. prices'!$C$8:$C$82,0),MATCH('Tariff schedule'!AB$16,'Prop. prices'!$I$5:$AB$5,0))</f>
        <v>0</v>
      </c>
      <c r="AC168" s="70"/>
      <c r="AD168" s="19"/>
      <c r="AE168" s="19"/>
      <c r="AF168" s="19"/>
      <c r="AG168" s="19"/>
    </row>
    <row r="169" spans="1:33" hidden="1" outlineLevel="3" x14ac:dyDescent="0.2">
      <c r="A169" s="19"/>
      <c r="B169" s="19"/>
      <c r="C169" s="506">
        <f t="shared" si="82"/>
        <v>0</v>
      </c>
      <c r="D169" s="505">
        <f t="shared" si="82"/>
        <v>0</v>
      </c>
      <c r="E169" s="505">
        <f t="shared" si="82"/>
        <v>0</v>
      </c>
      <c r="F169" s="505">
        <f t="shared" si="82"/>
        <v>0</v>
      </c>
      <c r="G169" s="505">
        <f t="shared" si="82"/>
        <v>0</v>
      </c>
      <c r="H169" s="58"/>
      <c r="I169" s="232">
        <f>INDEX('Prop. prices'!$I$8:$AB$82,MATCH('Tariff schedule'!$C169,'Prop. prices'!$C$8:$C$82,0),MATCH('Tariff schedule'!I$16,'Prop. prices'!$I$5:$AB$5,0))</f>
        <v>0</v>
      </c>
      <c r="J169" s="232">
        <f>INDEX('Prop. prices'!$I$8:$AB$82,MATCH('Tariff schedule'!$C169,'Prop. prices'!$C$8:$C$82,0),MATCH('Tariff schedule'!J$16,'Prop. prices'!$I$5:$AB$5,0))</f>
        <v>0</v>
      </c>
      <c r="K169" s="232">
        <f>INDEX('Prop. prices'!$I$8:$AB$82,MATCH('Tariff schedule'!$C169,'Prop. prices'!$C$8:$C$82,0),MATCH('Tariff schedule'!K$16,'Prop. prices'!$I$5:$AB$5,0))</f>
        <v>0</v>
      </c>
      <c r="L169" s="232">
        <f>INDEX('Prop. prices'!$I$8:$AB$82,MATCH('Tariff schedule'!$C169,'Prop. prices'!$C$8:$C$82,0),MATCH('Tariff schedule'!L$16,'Prop. prices'!$I$5:$AB$5,0))</f>
        <v>0</v>
      </c>
      <c r="M169" s="232">
        <f>INDEX('Prop. prices'!$I$8:$AB$82,MATCH('Tariff schedule'!$C169,'Prop. prices'!$C$8:$C$82,0),MATCH('Tariff schedule'!M$16,'Prop. prices'!$I$5:$AB$5,0))</f>
        <v>0</v>
      </c>
      <c r="N169" s="232">
        <f>INDEX('Prop. prices'!$I$8:$AB$82,MATCH('Tariff schedule'!$C169,'Prop. prices'!$C$8:$C$82,0),MATCH('Tariff schedule'!N$16,'Prop. prices'!$I$5:$AB$5,0))</f>
        <v>0</v>
      </c>
      <c r="O169" s="232">
        <f>INDEX('Prop. prices'!$I$8:$AB$82,MATCH('Tariff schedule'!$C169,'Prop. prices'!$C$8:$C$82,0),MATCH('Tariff schedule'!O$16,'Prop. prices'!$I$5:$AB$5,0))</f>
        <v>0</v>
      </c>
      <c r="P169" s="232">
        <f>INDEX('Prop. prices'!$I$8:$AB$82,MATCH('Tariff schedule'!$C169,'Prop. prices'!$C$8:$C$82,0),MATCH('Tariff schedule'!P$16,'Prop. prices'!$I$5:$AB$5,0))</f>
        <v>0</v>
      </c>
      <c r="Q169" s="232">
        <f>INDEX('Prop. prices'!$I$8:$AB$82,MATCH('Tariff schedule'!$C169,'Prop. prices'!$C$8:$C$82,0),MATCH('Tariff schedule'!Q$16,'Prop. prices'!$I$5:$AB$5,0))</f>
        <v>0</v>
      </c>
      <c r="R169" s="232">
        <f>INDEX('Prop. prices'!$I$8:$AB$82,MATCH('Tariff schedule'!$C169,'Prop. prices'!$C$8:$C$82,0),MATCH('Tariff schedule'!R$16,'Prop. prices'!$I$5:$AB$5,0))</f>
        <v>0</v>
      </c>
      <c r="S169" s="232">
        <f>INDEX('Prop. prices'!$I$8:$AB$82,MATCH('Tariff schedule'!$C169,'Prop. prices'!$C$8:$C$82,0),MATCH('Tariff schedule'!S$16,'Prop. prices'!$I$5:$AB$5,0))</f>
        <v>0</v>
      </c>
      <c r="T169" s="232">
        <f>INDEX('Prop. prices'!$I$8:$AB$82,MATCH('Tariff schedule'!$C169,'Prop. prices'!$C$8:$C$82,0),MATCH('Tariff schedule'!T$16,'Prop. prices'!$I$5:$AB$5,0))</f>
        <v>0</v>
      </c>
      <c r="U169" s="232">
        <f>INDEX('Prop. prices'!$I$8:$AB$82,MATCH('Tariff schedule'!$C169,'Prop. prices'!$C$8:$C$82,0),MATCH('Tariff schedule'!U$16,'Prop. prices'!$I$5:$AB$5,0))</f>
        <v>0</v>
      </c>
      <c r="V169" s="232">
        <f>INDEX('Prop. prices'!$I$8:$AB$82,MATCH('Tariff schedule'!$C169,'Prop. prices'!$C$8:$C$82,0),MATCH('Tariff schedule'!V$16,'Prop. prices'!$I$5:$AB$5,0))</f>
        <v>0</v>
      </c>
      <c r="W169" s="232">
        <f>INDEX('Prop. prices'!$I$8:$AB$82,MATCH('Tariff schedule'!$C169,'Prop. prices'!$C$8:$C$82,0),MATCH('Tariff schedule'!W$16,'Prop. prices'!$I$5:$AB$5,0))</f>
        <v>0</v>
      </c>
      <c r="X169" s="232">
        <f>INDEX('Prop. prices'!$I$8:$AB$82,MATCH('Tariff schedule'!$C169,'Prop. prices'!$C$8:$C$82,0),MATCH('Tariff schedule'!X$16,'Prop. prices'!$I$5:$AB$5,0))</f>
        <v>0</v>
      </c>
      <c r="Y169" s="232">
        <f>INDEX('Prop. prices'!$I$8:$AB$82,MATCH('Tariff schedule'!$C169,'Prop. prices'!$C$8:$C$82,0),MATCH('Tariff schedule'!Y$16,'Prop. prices'!$I$5:$AB$5,0))</f>
        <v>0</v>
      </c>
      <c r="Z169" s="232">
        <f>INDEX('Prop. prices'!$I$8:$AB$82,MATCH('Tariff schedule'!$C169,'Prop. prices'!$C$8:$C$82,0),MATCH('Tariff schedule'!Z$16,'Prop. prices'!$I$5:$AB$5,0))</f>
        <v>0</v>
      </c>
      <c r="AA169" s="232">
        <f>INDEX('Prop. prices'!$I$8:$AB$82,MATCH('Tariff schedule'!$C169,'Prop. prices'!$C$8:$C$82,0),MATCH('Tariff schedule'!AA$16,'Prop. prices'!$I$5:$AB$5,0))</f>
        <v>0</v>
      </c>
      <c r="AB169" s="232">
        <f>INDEX('Prop. prices'!$I$8:$AB$82,MATCH('Tariff schedule'!$C169,'Prop. prices'!$C$8:$C$82,0),MATCH('Tariff schedule'!AB$16,'Prop. prices'!$I$5:$AB$5,0))</f>
        <v>0</v>
      </c>
      <c r="AC169" s="70"/>
      <c r="AD169" s="19"/>
      <c r="AE169" s="19"/>
      <c r="AF169" s="19"/>
      <c r="AG169" s="19"/>
    </row>
    <row r="170" spans="1:33" hidden="1" outlineLevel="3" x14ac:dyDescent="0.2">
      <c r="A170" s="19"/>
      <c r="B170" s="19"/>
      <c r="C170" s="506">
        <f t="shared" si="82"/>
        <v>0</v>
      </c>
      <c r="D170" s="505">
        <f t="shared" si="82"/>
        <v>0</v>
      </c>
      <c r="E170" s="505">
        <f t="shared" si="82"/>
        <v>0</v>
      </c>
      <c r="F170" s="505">
        <f t="shared" si="82"/>
        <v>0</v>
      </c>
      <c r="G170" s="505">
        <f t="shared" si="82"/>
        <v>0</v>
      </c>
      <c r="H170" s="58"/>
      <c r="I170" s="232">
        <f>INDEX('Prop. prices'!$I$8:$AB$82,MATCH('Tariff schedule'!$C170,'Prop. prices'!$C$8:$C$82,0),MATCH('Tariff schedule'!I$16,'Prop. prices'!$I$5:$AB$5,0))</f>
        <v>0</v>
      </c>
      <c r="J170" s="232">
        <f>INDEX('Prop. prices'!$I$8:$AB$82,MATCH('Tariff schedule'!$C170,'Prop. prices'!$C$8:$C$82,0),MATCH('Tariff schedule'!J$16,'Prop. prices'!$I$5:$AB$5,0))</f>
        <v>0</v>
      </c>
      <c r="K170" s="232">
        <f>INDEX('Prop. prices'!$I$8:$AB$82,MATCH('Tariff schedule'!$C170,'Prop. prices'!$C$8:$C$82,0),MATCH('Tariff schedule'!K$16,'Prop. prices'!$I$5:$AB$5,0))</f>
        <v>0</v>
      </c>
      <c r="L170" s="232">
        <f>INDEX('Prop. prices'!$I$8:$AB$82,MATCH('Tariff schedule'!$C170,'Prop. prices'!$C$8:$C$82,0),MATCH('Tariff schedule'!L$16,'Prop. prices'!$I$5:$AB$5,0))</f>
        <v>0</v>
      </c>
      <c r="M170" s="232">
        <f>INDEX('Prop. prices'!$I$8:$AB$82,MATCH('Tariff schedule'!$C170,'Prop. prices'!$C$8:$C$82,0),MATCH('Tariff schedule'!M$16,'Prop. prices'!$I$5:$AB$5,0))</f>
        <v>0</v>
      </c>
      <c r="N170" s="232">
        <f>INDEX('Prop. prices'!$I$8:$AB$82,MATCH('Tariff schedule'!$C170,'Prop. prices'!$C$8:$C$82,0),MATCH('Tariff schedule'!N$16,'Prop. prices'!$I$5:$AB$5,0))</f>
        <v>0</v>
      </c>
      <c r="O170" s="232">
        <f>INDEX('Prop. prices'!$I$8:$AB$82,MATCH('Tariff schedule'!$C170,'Prop. prices'!$C$8:$C$82,0),MATCH('Tariff schedule'!O$16,'Prop. prices'!$I$5:$AB$5,0))</f>
        <v>0</v>
      </c>
      <c r="P170" s="232">
        <f>INDEX('Prop. prices'!$I$8:$AB$82,MATCH('Tariff schedule'!$C170,'Prop. prices'!$C$8:$C$82,0),MATCH('Tariff schedule'!P$16,'Prop. prices'!$I$5:$AB$5,0))</f>
        <v>0</v>
      </c>
      <c r="Q170" s="232">
        <f>INDEX('Prop. prices'!$I$8:$AB$82,MATCH('Tariff schedule'!$C170,'Prop. prices'!$C$8:$C$82,0),MATCH('Tariff schedule'!Q$16,'Prop. prices'!$I$5:$AB$5,0))</f>
        <v>0</v>
      </c>
      <c r="R170" s="232">
        <f>INDEX('Prop. prices'!$I$8:$AB$82,MATCH('Tariff schedule'!$C170,'Prop. prices'!$C$8:$C$82,0),MATCH('Tariff schedule'!R$16,'Prop. prices'!$I$5:$AB$5,0))</f>
        <v>0</v>
      </c>
      <c r="S170" s="232">
        <f>INDEX('Prop. prices'!$I$8:$AB$82,MATCH('Tariff schedule'!$C170,'Prop. prices'!$C$8:$C$82,0),MATCH('Tariff schedule'!S$16,'Prop. prices'!$I$5:$AB$5,0))</f>
        <v>0</v>
      </c>
      <c r="T170" s="232">
        <f>INDEX('Prop. prices'!$I$8:$AB$82,MATCH('Tariff schedule'!$C170,'Prop. prices'!$C$8:$C$82,0),MATCH('Tariff schedule'!T$16,'Prop. prices'!$I$5:$AB$5,0))</f>
        <v>0</v>
      </c>
      <c r="U170" s="232">
        <f>INDEX('Prop. prices'!$I$8:$AB$82,MATCH('Tariff schedule'!$C170,'Prop. prices'!$C$8:$C$82,0),MATCH('Tariff schedule'!U$16,'Prop. prices'!$I$5:$AB$5,0))</f>
        <v>0</v>
      </c>
      <c r="V170" s="232">
        <f>INDEX('Prop. prices'!$I$8:$AB$82,MATCH('Tariff schedule'!$C170,'Prop. prices'!$C$8:$C$82,0),MATCH('Tariff schedule'!V$16,'Prop. prices'!$I$5:$AB$5,0))</f>
        <v>0</v>
      </c>
      <c r="W170" s="232">
        <f>INDEX('Prop. prices'!$I$8:$AB$82,MATCH('Tariff schedule'!$C170,'Prop. prices'!$C$8:$C$82,0),MATCH('Tariff schedule'!W$16,'Prop. prices'!$I$5:$AB$5,0))</f>
        <v>0</v>
      </c>
      <c r="X170" s="232">
        <f>INDEX('Prop. prices'!$I$8:$AB$82,MATCH('Tariff schedule'!$C170,'Prop. prices'!$C$8:$C$82,0),MATCH('Tariff schedule'!X$16,'Prop. prices'!$I$5:$AB$5,0))</f>
        <v>0</v>
      </c>
      <c r="Y170" s="232">
        <f>INDEX('Prop. prices'!$I$8:$AB$82,MATCH('Tariff schedule'!$C170,'Prop. prices'!$C$8:$C$82,0),MATCH('Tariff schedule'!Y$16,'Prop. prices'!$I$5:$AB$5,0))</f>
        <v>0</v>
      </c>
      <c r="Z170" s="232">
        <f>INDEX('Prop. prices'!$I$8:$AB$82,MATCH('Tariff schedule'!$C170,'Prop. prices'!$C$8:$C$82,0),MATCH('Tariff schedule'!Z$16,'Prop. prices'!$I$5:$AB$5,0))</f>
        <v>0</v>
      </c>
      <c r="AA170" s="232">
        <f>INDEX('Prop. prices'!$I$8:$AB$82,MATCH('Tariff schedule'!$C170,'Prop. prices'!$C$8:$C$82,0),MATCH('Tariff schedule'!AA$16,'Prop. prices'!$I$5:$AB$5,0))</f>
        <v>0</v>
      </c>
      <c r="AB170" s="232">
        <f>INDEX('Prop. prices'!$I$8:$AB$82,MATCH('Tariff schedule'!$C170,'Prop. prices'!$C$8:$C$82,0),MATCH('Tariff schedule'!AB$16,'Prop. prices'!$I$5:$AB$5,0))</f>
        <v>0</v>
      </c>
      <c r="AC170" s="70"/>
      <c r="AD170" s="19"/>
      <c r="AE170" s="19"/>
      <c r="AF170" s="19"/>
      <c r="AG170" s="19"/>
    </row>
    <row r="171" spans="1:33" hidden="1" outlineLevel="3" x14ac:dyDescent="0.2">
      <c r="A171" s="19"/>
      <c r="B171" s="19"/>
      <c r="C171" s="506">
        <f t="shared" si="82"/>
        <v>0</v>
      </c>
      <c r="D171" s="505">
        <f t="shared" si="82"/>
        <v>0</v>
      </c>
      <c r="E171" s="505">
        <f t="shared" si="82"/>
        <v>0</v>
      </c>
      <c r="F171" s="505">
        <f t="shared" si="82"/>
        <v>0</v>
      </c>
      <c r="G171" s="505">
        <f t="shared" si="82"/>
        <v>0</v>
      </c>
      <c r="H171" s="58"/>
      <c r="I171" s="232">
        <f>INDEX('Prop. prices'!$I$8:$AB$82,MATCH('Tariff schedule'!$C171,'Prop. prices'!$C$8:$C$82,0),MATCH('Tariff schedule'!I$16,'Prop. prices'!$I$5:$AB$5,0))</f>
        <v>0</v>
      </c>
      <c r="J171" s="232">
        <f>INDEX('Prop. prices'!$I$8:$AB$82,MATCH('Tariff schedule'!$C171,'Prop. prices'!$C$8:$C$82,0),MATCH('Tariff schedule'!J$16,'Prop. prices'!$I$5:$AB$5,0))</f>
        <v>0</v>
      </c>
      <c r="K171" s="232">
        <f>INDEX('Prop. prices'!$I$8:$AB$82,MATCH('Tariff schedule'!$C171,'Prop. prices'!$C$8:$C$82,0),MATCH('Tariff schedule'!K$16,'Prop. prices'!$I$5:$AB$5,0))</f>
        <v>0</v>
      </c>
      <c r="L171" s="232">
        <f>INDEX('Prop. prices'!$I$8:$AB$82,MATCH('Tariff schedule'!$C171,'Prop. prices'!$C$8:$C$82,0),MATCH('Tariff schedule'!L$16,'Prop. prices'!$I$5:$AB$5,0))</f>
        <v>0</v>
      </c>
      <c r="M171" s="232">
        <f>INDEX('Prop. prices'!$I$8:$AB$82,MATCH('Tariff schedule'!$C171,'Prop. prices'!$C$8:$C$82,0),MATCH('Tariff schedule'!M$16,'Prop. prices'!$I$5:$AB$5,0))</f>
        <v>0</v>
      </c>
      <c r="N171" s="232">
        <f>INDEX('Prop. prices'!$I$8:$AB$82,MATCH('Tariff schedule'!$C171,'Prop. prices'!$C$8:$C$82,0),MATCH('Tariff schedule'!N$16,'Prop. prices'!$I$5:$AB$5,0))</f>
        <v>0</v>
      </c>
      <c r="O171" s="232">
        <f>INDEX('Prop. prices'!$I$8:$AB$82,MATCH('Tariff schedule'!$C171,'Prop. prices'!$C$8:$C$82,0),MATCH('Tariff schedule'!O$16,'Prop. prices'!$I$5:$AB$5,0))</f>
        <v>0</v>
      </c>
      <c r="P171" s="232">
        <f>INDEX('Prop. prices'!$I$8:$AB$82,MATCH('Tariff schedule'!$C171,'Prop. prices'!$C$8:$C$82,0),MATCH('Tariff schedule'!P$16,'Prop. prices'!$I$5:$AB$5,0))</f>
        <v>0</v>
      </c>
      <c r="Q171" s="232">
        <f>INDEX('Prop. prices'!$I$8:$AB$82,MATCH('Tariff schedule'!$C171,'Prop. prices'!$C$8:$C$82,0),MATCH('Tariff schedule'!Q$16,'Prop. prices'!$I$5:$AB$5,0))</f>
        <v>0</v>
      </c>
      <c r="R171" s="232">
        <f>INDEX('Prop. prices'!$I$8:$AB$82,MATCH('Tariff schedule'!$C171,'Prop. prices'!$C$8:$C$82,0),MATCH('Tariff schedule'!R$16,'Prop. prices'!$I$5:$AB$5,0))</f>
        <v>0</v>
      </c>
      <c r="S171" s="232">
        <f>INDEX('Prop. prices'!$I$8:$AB$82,MATCH('Tariff schedule'!$C171,'Prop. prices'!$C$8:$C$82,0),MATCH('Tariff schedule'!S$16,'Prop. prices'!$I$5:$AB$5,0))</f>
        <v>0</v>
      </c>
      <c r="T171" s="232">
        <f>INDEX('Prop. prices'!$I$8:$AB$82,MATCH('Tariff schedule'!$C171,'Prop. prices'!$C$8:$C$82,0),MATCH('Tariff schedule'!T$16,'Prop. prices'!$I$5:$AB$5,0))</f>
        <v>0</v>
      </c>
      <c r="U171" s="232">
        <f>INDEX('Prop. prices'!$I$8:$AB$82,MATCH('Tariff schedule'!$C171,'Prop. prices'!$C$8:$C$82,0),MATCH('Tariff schedule'!U$16,'Prop. prices'!$I$5:$AB$5,0))</f>
        <v>0</v>
      </c>
      <c r="V171" s="232">
        <f>INDEX('Prop. prices'!$I$8:$AB$82,MATCH('Tariff schedule'!$C171,'Prop. prices'!$C$8:$C$82,0),MATCH('Tariff schedule'!V$16,'Prop. prices'!$I$5:$AB$5,0))</f>
        <v>0</v>
      </c>
      <c r="W171" s="232">
        <f>INDEX('Prop. prices'!$I$8:$AB$82,MATCH('Tariff schedule'!$C171,'Prop. prices'!$C$8:$C$82,0),MATCH('Tariff schedule'!W$16,'Prop. prices'!$I$5:$AB$5,0))</f>
        <v>0</v>
      </c>
      <c r="X171" s="232">
        <f>INDEX('Prop. prices'!$I$8:$AB$82,MATCH('Tariff schedule'!$C171,'Prop. prices'!$C$8:$C$82,0),MATCH('Tariff schedule'!X$16,'Prop. prices'!$I$5:$AB$5,0))</f>
        <v>0</v>
      </c>
      <c r="Y171" s="232">
        <f>INDEX('Prop. prices'!$I$8:$AB$82,MATCH('Tariff schedule'!$C171,'Prop. prices'!$C$8:$C$82,0),MATCH('Tariff schedule'!Y$16,'Prop. prices'!$I$5:$AB$5,0))</f>
        <v>0</v>
      </c>
      <c r="Z171" s="232">
        <f>INDEX('Prop. prices'!$I$8:$AB$82,MATCH('Tariff schedule'!$C171,'Prop. prices'!$C$8:$C$82,0),MATCH('Tariff schedule'!Z$16,'Prop. prices'!$I$5:$AB$5,0))</f>
        <v>0</v>
      </c>
      <c r="AA171" s="232">
        <f>INDEX('Prop. prices'!$I$8:$AB$82,MATCH('Tariff schedule'!$C171,'Prop. prices'!$C$8:$C$82,0),MATCH('Tariff schedule'!AA$16,'Prop. prices'!$I$5:$AB$5,0))</f>
        <v>0</v>
      </c>
      <c r="AB171" s="232">
        <f>INDEX('Prop. prices'!$I$8:$AB$82,MATCH('Tariff schedule'!$C171,'Prop. prices'!$C$8:$C$82,0),MATCH('Tariff schedule'!AB$16,'Prop. prices'!$I$5:$AB$5,0))</f>
        <v>0</v>
      </c>
      <c r="AC171" s="70"/>
      <c r="AD171" s="19"/>
      <c r="AE171" s="19"/>
      <c r="AF171" s="19"/>
      <c r="AG171" s="19"/>
    </row>
    <row r="172" spans="1:33" outlineLevel="2" collapsed="1" x14ac:dyDescent="0.2">
      <c r="A172" s="19"/>
      <c r="B172" s="19"/>
      <c r="C172" s="60"/>
      <c r="D172" s="61"/>
      <c r="E172" s="58"/>
      <c r="F172" s="58"/>
      <c r="G172" s="58"/>
      <c r="H172" s="58"/>
      <c r="I172" s="71"/>
      <c r="J172" s="71"/>
      <c r="K172" s="70"/>
      <c r="L172" s="70"/>
      <c r="M172" s="70"/>
      <c r="N172" s="72"/>
      <c r="O172" s="72"/>
      <c r="P172" s="72"/>
      <c r="Q172" s="72"/>
      <c r="R172" s="72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19"/>
      <c r="AE172" s="19"/>
      <c r="AF172" s="19"/>
      <c r="AG172" s="19"/>
    </row>
    <row r="173" spans="1:33" outlineLevel="1" x14ac:dyDescent="0.2">
      <c r="A173" s="19"/>
      <c r="B173" s="19"/>
      <c r="C173" s="66"/>
      <c r="D173" s="58"/>
      <c r="E173" s="58"/>
      <c r="F173" s="58"/>
      <c r="G173" s="58"/>
      <c r="H173" s="58"/>
      <c r="I173" s="71"/>
      <c r="J173" s="71"/>
      <c r="K173" s="70"/>
      <c r="L173" s="70"/>
      <c r="M173" s="70"/>
      <c r="N173" s="72"/>
      <c r="O173" s="72"/>
      <c r="P173" s="72"/>
      <c r="Q173" s="72"/>
      <c r="R173" s="72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19"/>
      <c r="AE173" s="19"/>
      <c r="AF173" s="19"/>
      <c r="AG173" s="19"/>
    </row>
    <row r="174" spans="1:33" outlineLevel="1" x14ac:dyDescent="0.2">
      <c r="A174" s="19"/>
      <c r="B174" s="19"/>
      <c r="C174" s="167" t="s">
        <v>219</v>
      </c>
      <c r="D174" s="20"/>
      <c r="E174" s="20"/>
      <c r="F174" s="20"/>
      <c r="G174" s="22"/>
      <c r="H174" s="22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19"/>
      <c r="AE174" s="19"/>
      <c r="AF174" s="19"/>
      <c r="AG174" s="19"/>
    </row>
    <row r="175" spans="1:33" outlineLevel="2" x14ac:dyDescent="0.2">
      <c r="A175" s="19"/>
      <c r="B175" s="19"/>
      <c r="C175" s="506" t="str">
        <f t="shared" ref="C175:G184" si="83">C19</f>
        <v>Residential time of use consumption</v>
      </c>
      <c r="D175" s="505" t="str">
        <f t="shared" si="83"/>
        <v>Residential</v>
      </c>
      <c r="E175" s="505" t="str">
        <f t="shared" si="83"/>
        <v>TAS93</v>
      </c>
      <c r="F175" s="505">
        <f t="shared" si="83"/>
        <v>0</v>
      </c>
      <c r="G175" s="505">
        <f t="shared" si="83"/>
        <v>0</v>
      </c>
      <c r="H175" s="22"/>
      <c r="I175" s="232">
        <f>INDEX('Prop. prices'!$I$86:$AB$160,MATCH('Tariff schedule'!$C175,'Prop. prices'!$C$86:$C$160,0),MATCH('Tariff schedule'!I$16,'Prop. prices'!$I$5:$AB$5,0))</f>
        <v>0</v>
      </c>
      <c r="J175" s="232">
        <f>INDEX('Prop. prices'!$I$86:$AB$160,MATCH('Tariff schedule'!$C175,'Prop. prices'!$C$86:$C$160,0),MATCH('Tariff schedule'!J$16,'Prop. prices'!$I$5:$AB$5,0))</f>
        <v>0</v>
      </c>
      <c r="K175" s="232">
        <f>INDEX('Prop. prices'!$I$86:$AB$160,MATCH('Tariff schedule'!$C175,'Prop. prices'!$C$86:$C$160,0),MATCH('Tariff schedule'!K$16,'Prop. prices'!$I$5:$AB$5,0))</f>
        <v>3.7160000000000002</v>
      </c>
      <c r="L175" s="232">
        <f>INDEX('Prop. prices'!$I$86:$AB$160,MATCH('Tariff schedule'!$C175,'Prop. prices'!$C$86:$C$160,0),MATCH('Tariff schedule'!L$16,'Prop. prices'!$I$5:$AB$5,0))</f>
        <v>0</v>
      </c>
      <c r="M175" s="232">
        <f>INDEX('Prop. prices'!$I$86:$AB$160,MATCH('Tariff schedule'!$C175,'Prop. prices'!$C$86:$C$160,0),MATCH('Tariff schedule'!M$16,'Prop. prices'!$I$5:$AB$5,0))</f>
        <v>0.74299999999999999</v>
      </c>
      <c r="N175" s="232">
        <f>INDEX('Prop. prices'!$I$86:$AB$160,MATCH('Tariff schedule'!$C175,'Prop. prices'!$C$86:$C$160,0),MATCH('Tariff schedule'!N$16,'Prop. prices'!$I$5:$AB$5,0))</f>
        <v>0</v>
      </c>
      <c r="O175" s="232">
        <f>INDEX('Prop. prices'!$I$86:$AB$160,MATCH('Tariff schedule'!$C175,'Prop. prices'!$C$86:$C$160,0),MATCH('Tariff schedule'!O$16,'Prop. prices'!$I$5:$AB$5,0))</f>
        <v>0</v>
      </c>
      <c r="P175" s="232">
        <f>INDEX('Prop. prices'!$I$86:$AB$160,MATCH('Tariff schedule'!$C175,'Prop. prices'!$C$86:$C$160,0),MATCH('Tariff schedule'!P$16,'Prop. prices'!$I$5:$AB$5,0))</f>
        <v>0</v>
      </c>
      <c r="Q175" s="232">
        <f>INDEX('Prop. prices'!$I$86:$AB$160,MATCH('Tariff schedule'!$C175,'Prop. prices'!$C$86:$C$160,0),MATCH('Tariff schedule'!Q$16,'Prop. prices'!$I$5:$AB$5,0))</f>
        <v>0</v>
      </c>
      <c r="R175" s="232">
        <f>INDEX('Prop. prices'!$I$86:$AB$160,MATCH('Tariff schedule'!$C175,'Prop. prices'!$C$86:$C$160,0),MATCH('Tariff schedule'!R$16,'Prop. prices'!$I$5:$AB$5,0))</f>
        <v>0</v>
      </c>
      <c r="S175" s="232">
        <f>INDEX('Prop. prices'!$I$86:$AB$160,MATCH('Tariff schedule'!$C175,'Prop. prices'!$C$86:$C$160,0),MATCH('Tariff schedule'!S$16,'Prop. prices'!$I$5:$AB$5,0))</f>
        <v>0</v>
      </c>
      <c r="T175" s="232">
        <f>INDEX('Prop. prices'!$I$86:$AB$160,MATCH('Tariff schedule'!$C175,'Prop. prices'!$C$86:$C$160,0),MATCH('Tariff schedule'!T$16,'Prop. prices'!$I$5:$AB$5,0))</f>
        <v>0</v>
      </c>
      <c r="U175" s="232">
        <f>INDEX('Prop. prices'!$I$86:$AB$160,MATCH('Tariff schedule'!$C175,'Prop. prices'!$C$86:$C$160,0),MATCH('Tariff schedule'!U$16,'Prop. prices'!$I$5:$AB$5,0))</f>
        <v>0</v>
      </c>
      <c r="V175" s="232">
        <f>INDEX('Prop. prices'!$I$86:$AB$160,MATCH('Tariff schedule'!$C175,'Prop. prices'!$C$86:$C$160,0),MATCH('Tariff schedule'!V$16,'Prop. prices'!$I$5:$AB$5,0))</f>
        <v>0</v>
      </c>
      <c r="W175" s="232">
        <f>INDEX('Prop. prices'!$I$86:$AB$160,MATCH('Tariff schedule'!$C175,'Prop. prices'!$C$86:$C$160,0),MATCH('Tariff schedule'!W$16,'Prop. prices'!$I$5:$AB$5,0))</f>
        <v>0</v>
      </c>
      <c r="X175" s="232">
        <f>INDEX('Prop. prices'!$I$86:$AB$160,MATCH('Tariff schedule'!$C175,'Prop. prices'!$C$86:$C$160,0),MATCH('Tariff schedule'!X$16,'Prop. prices'!$I$5:$AB$5,0))</f>
        <v>0</v>
      </c>
      <c r="Y175" s="232">
        <f>INDEX('Prop. prices'!$I$86:$AB$160,MATCH('Tariff schedule'!$C175,'Prop. prices'!$C$86:$C$160,0),MATCH('Tariff schedule'!Y$16,'Prop. prices'!$I$5:$AB$5,0))</f>
        <v>0</v>
      </c>
      <c r="Z175" s="232">
        <f>INDEX('Prop. prices'!$I$86:$AB$160,MATCH('Tariff schedule'!$C175,'Prop. prices'!$C$86:$C$160,0),MATCH('Tariff schedule'!Z$16,'Prop. prices'!$I$5:$AB$5,0))</f>
        <v>0</v>
      </c>
      <c r="AA175" s="232">
        <f>INDEX('Prop. prices'!$I$86:$AB$160,MATCH('Tariff schedule'!$C175,'Prop. prices'!$C$86:$C$160,0),MATCH('Tariff schedule'!AA$16,'Prop. prices'!$I$5:$AB$5,0))</f>
        <v>0</v>
      </c>
      <c r="AB175" s="232">
        <f>INDEX('Prop. prices'!$I$86:$AB$160,MATCH('Tariff schedule'!$C175,'Prop. prices'!$C$86:$C$160,0),MATCH('Tariff schedule'!AB$16,'Prop. prices'!$I$5:$AB$5,0))</f>
        <v>0</v>
      </c>
      <c r="AC175" s="70"/>
      <c r="AD175" s="19"/>
      <c r="AE175" s="19"/>
      <c r="AF175" s="19"/>
      <c r="AG175" s="19"/>
    </row>
    <row r="176" spans="1:33" s="59" customFormat="1" outlineLevel="2" x14ac:dyDescent="0.2">
      <c r="A176" s="57"/>
      <c r="B176" s="57"/>
      <c r="C176" s="506" t="str">
        <f t="shared" si="83"/>
        <v>Residential general light and power</v>
      </c>
      <c r="D176" s="505" t="str">
        <f t="shared" si="83"/>
        <v>Residential</v>
      </c>
      <c r="E176" s="505" t="str">
        <f t="shared" si="83"/>
        <v>TAS31</v>
      </c>
      <c r="F176" s="505">
        <f t="shared" si="83"/>
        <v>0</v>
      </c>
      <c r="G176" s="505">
        <f t="shared" si="83"/>
        <v>0</v>
      </c>
      <c r="H176" s="58"/>
      <c r="I176" s="232">
        <f>INDEX('Prop. prices'!$I$86:$AB$160,MATCH('Tariff schedule'!$C176,'Prop. prices'!$C$86:$C$160,0),MATCH('Tariff schedule'!I$16,'Prop. prices'!$I$5:$AB$5,0))</f>
        <v>0</v>
      </c>
      <c r="J176" s="232">
        <f>INDEX('Prop. prices'!$I$86:$AB$160,MATCH('Tariff schedule'!$C176,'Prop. prices'!$C$86:$C$160,0),MATCH('Tariff schedule'!J$16,'Prop. prices'!$I$5:$AB$5,0))</f>
        <v>1.964</v>
      </c>
      <c r="K176" s="232">
        <f>INDEX('Prop. prices'!$I$86:$AB$160,MATCH('Tariff schedule'!$C176,'Prop. prices'!$C$86:$C$160,0),MATCH('Tariff schedule'!K$16,'Prop. prices'!$I$5:$AB$5,0))</f>
        <v>0</v>
      </c>
      <c r="L176" s="232">
        <f>INDEX('Prop. prices'!$I$86:$AB$160,MATCH('Tariff schedule'!$C176,'Prop. prices'!$C$86:$C$160,0),MATCH('Tariff schedule'!L$16,'Prop. prices'!$I$5:$AB$5,0))</f>
        <v>0</v>
      </c>
      <c r="M176" s="232">
        <f>INDEX('Prop. prices'!$I$86:$AB$160,MATCH('Tariff schedule'!$C176,'Prop. prices'!$C$86:$C$160,0),MATCH('Tariff schedule'!M$16,'Prop. prices'!$I$5:$AB$5,0))</f>
        <v>0</v>
      </c>
      <c r="N176" s="232">
        <f>INDEX('Prop. prices'!$I$86:$AB$160,MATCH('Tariff schedule'!$C176,'Prop. prices'!$C$86:$C$160,0),MATCH('Tariff schedule'!N$16,'Prop. prices'!$I$5:$AB$5,0))</f>
        <v>0</v>
      </c>
      <c r="O176" s="232">
        <f>INDEX('Prop. prices'!$I$86:$AB$160,MATCH('Tariff schedule'!$C176,'Prop. prices'!$C$86:$C$160,0),MATCH('Tariff schedule'!O$16,'Prop. prices'!$I$5:$AB$5,0))</f>
        <v>0</v>
      </c>
      <c r="P176" s="232">
        <f>INDEX('Prop. prices'!$I$86:$AB$160,MATCH('Tariff schedule'!$C176,'Prop. prices'!$C$86:$C$160,0),MATCH('Tariff schedule'!P$16,'Prop. prices'!$I$5:$AB$5,0))</f>
        <v>0</v>
      </c>
      <c r="Q176" s="232">
        <f>INDEX('Prop. prices'!$I$86:$AB$160,MATCH('Tariff schedule'!$C176,'Prop. prices'!$C$86:$C$160,0),MATCH('Tariff schedule'!Q$16,'Prop. prices'!$I$5:$AB$5,0))</f>
        <v>0</v>
      </c>
      <c r="R176" s="232">
        <f>INDEX('Prop. prices'!$I$86:$AB$160,MATCH('Tariff schedule'!$C176,'Prop. prices'!$C$86:$C$160,0),MATCH('Tariff schedule'!R$16,'Prop. prices'!$I$5:$AB$5,0))</f>
        <v>0</v>
      </c>
      <c r="S176" s="232">
        <f>INDEX('Prop. prices'!$I$86:$AB$160,MATCH('Tariff schedule'!$C176,'Prop. prices'!$C$86:$C$160,0),MATCH('Tariff schedule'!S$16,'Prop. prices'!$I$5:$AB$5,0))</f>
        <v>0</v>
      </c>
      <c r="T176" s="232">
        <f>INDEX('Prop. prices'!$I$86:$AB$160,MATCH('Tariff schedule'!$C176,'Prop. prices'!$C$86:$C$160,0),MATCH('Tariff schedule'!T$16,'Prop. prices'!$I$5:$AB$5,0))</f>
        <v>0</v>
      </c>
      <c r="U176" s="232">
        <f>INDEX('Prop. prices'!$I$86:$AB$160,MATCH('Tariff schedule'!$C176,'Prop. prices'!$C$86:$C$160,0),MATCH('Tariff schedule'!U$16,'Prop. prices'!$I$5:$AB$5,0))</f>
        <v>0</v>
      </c>
      <c r="V176" s="232">
        <f>INDEX('Prop. prices'!$I$86:$AB$160,MATCH('Tariff schedule'!$C176,'Prop. prices'!$C$86:$C$160,0),MATCH('Tariff schedule'!V$16,'Prop. prices'!$I$5:$AB$5,0))</f>
        <v>0</v>
      </c>
      <c r="W176" s="232">
        <f>INDEX('Prop. prices'!$I$86:$AB$160,MATCH('Tariff schedule'!$C176,'Prop. prices'!$C$86:$C$160,0),MATCH('Tariff schedule'!W$16,'Prop. prices'!$I$5:$AB$5,0))</f>
        <v>0</v>
      </c>
      <c r="X176" s="232">
        <f>INDEX('Prop. prices'!$I$86:$AB$160,MATCH('Tariff schedule'!$C176,'Prop. prices'!$C$86:$C$160,0),MATCH('Tariff schedule'!X$16,'Prop. prices'!$I$5:$AB$5,0))</f>
        <v>0</v>
      </c>
      <c r="Y176" s="232">
        <f>INDEX('Prop. prices'!$I$86:$AB$160,MATCH('Tariff schedule'!$C176,'Prop. prices'!$C$86:$C$160,0),MATCH('Tariff schedule'!Y$16,'Prop. prices'!$I$5:$AB$5,0))</f>
        <v>0</v>
      </c>
      <c r="Z176" s="232">
        <f>INDEX('Prop. prices'!$I$86:$AB$160,MATCH('Tariff schedule'!$C176,'Prop. prices'!$C$86:$C$160,0),MATCH('Tariff schedule'!Z$16,'Prop. prices'!$I$5:$AB$5,0))</f>
        <v>0</v>
      </c>
      <c r="AA176" s="232">
        <f>INDEX('Prop. prices'!$I$86:$AB$160,MATCH('Tariff schedule'!$C176,'Prop. prices'!$C$86:$C$160,0),MATCH('Tariff schedule'!AA$16,'Prop. prices'!$I$5:$AB$5,0))</f>
        <v>0</v>
      </c>
      <c r="AB176" s="232">
        <f>INDEX('Prop. prices'!$I$86:$AB$160,MATCH('Tariff schedule'!$C176,'Prop. prices'!$C$86:$C$160,0),MATCH('Tariff schedule'!AB$16,'Prop. prices'!$I$5:$AB$5,0))</f>
        <v>0</v>
      </c>
      <c r="AC176" s="70"/>
      <c r="AD176" s="57"/>
      <c r="AE176" s="57"/>
      <c r="AF176" s="57"/>
      <c r="AG176" s="57"/>
    </row>
    <row r="177" spans="1:33" outlineLevel="2" x14ac:dyDescent="0.2">
      <c r="A177" s="19"/>
      <c r="B177" s="19"/>
      <c r="C177" s="506" t="str">
        <f t="shared" si="83"/>
        <v>Residential time of use demand</v>
      </c>
      <c r="D177" s="505" t="str">
        <f t="shared" si="83"/>
        <v>Residential</v>
      </c>
      <c r="E177" s="505" t="str">
        <f t="shared" si="83"/>
        <v>TAS87</v>
      </c>
      <c r="F177" s="505">
        <f t="shared" si="83"/>
        <v>0</v>
      </c>
      <c r="G177" s="505">
        <f t="shared" si="83"/>
        <v>0</v>
      </c>
      <c r="H177" s="58"/>
      <c r="I177" s="232">
        <f>INDEX('Prop. prices'!$I$86:$AB$160,MATCH('Tariff schedule'!$C177,'Prop. prices'!$C$86:$C$160,0),MATCH('Tariff schedule'!I$16,'Prop. prices'!$I$5:$AB$5,0))</f>
        <v>0</v>
      </c>
      <c r="J177" s="232">
        <f>INDEX('Prop. prices'!$I$86:$AB$160,MATCH('Tariff schedule'!$C177,'Prop. prices'!$C$86:$C$160,0),MATCH('Tariff schedule'!J$16,'Prop. prices'!$I$5:$AB$5,0))</f>
        <v>0</v>
      </c>
      <c r="K177" s="232">
        <f>INDEX('Prop. prices'!$I$86:$AB$160,MATCH('Tariff schedule'!$C177,'Prop. prices'!$C$86:$C$160,0),MATCH('Tariff schedule'!K$16,'Prop. prices'!$I$5:$AB$5,0))</f>
        <v>0</v>
      </c>
      <c r="L177" s="232">
        <f>INDEX('Prop. prices'!$I$86:$AB$160,MATCH('Tariff schedule'!$C177,'Prop. prices'!$C$86:$C$160,0),MATCH('Tariff schedule'!L$16,'Prop. prices'!$I$5:$AB$5,0))</f>
        <v>0</v>
      </c>
      <c r="M177" s="232">
        <f>INDEX('Prop. prices'!$I$86:$AB$160,MATCH('Tariff schedule'!$C177,'Prop. prices'!$C$86:$C$160,0),MATCH('Tariff schedule'!M$16,'Prop. prices'!$I$5:$AB$5,0))</f>
        <v>0</v>
      </c>
      <c r="N177" s="232">
        <f>INDEX('Prop. prices'!$I$86:$AB$160,MATCH('Tariff schedule'!$C177,'Prop. prices'!$C$86:$C$160,0),MATCH('Tariff schedule'!N$16,'Prop. prices'!$I$5:$AB$5,0))</f>
        <v>0</v>
      </c>
      <c r="O177" s="232">
        <f>INDEX('Prop. prices'!$I$86:$AB$160,MATCH('Tariff schedule'!$C177,'Prop. prices'!$C$86:$C$160,0),MATCH('Tariff schedule'!O$16,'Prop. prices'!$I$5:$AB$5,0))</f>
        <v>5.157</v>
      </c>
      <c r="P177" s="232">
        <f>INDEX('Prop. prices'!$I$86:$AB$160,MATCH('Tariff schedule'!$C177,'Prop. prices'!$C$86:$C$160,0),MATCH('Tariff schedule'!P$16,'Prop. prices'!$I$5:$AB$5,0))</f>
        <v>1.3740000000000001</v>
      </c>
      <c r="Q177" s="232">
        <f>INDEX('Prop. prices'!$I$86:$AB$160,MATCH('Tariff schedule'!$C177,'Prop. prices'!$C$86:$C$160,0),MATCH('Tariff schedule'!Q$16,'Prop. prices'!$I$5:$AB$5,0))</f>
        <v>0</v>
      </c>
      <c r="R177" s="232">
        <f>INDEX('Prop. prices'!$I$86:$AB$160,MATCH('Tariff schedule'!$C177,'Prop. prices'!$C$86:$C$160,0),MATCH('Tariff schedule'!R$16,'Prop. prices'!$I$5:$AB$5,0))</f>
        <v>0</v>
      </c>
      <c r="S177" s="232">
        <f>INDEX('Prop. prices'!$I$86:$AB$160,MATCH('Tariff schedule'!$C177,'Prop. prices'!$C$86:$C$160,0),MATCH('Tariff schedule'!S$16,'Prop. prices'!$I$5:$AB$5,0))</f>
        <v>0</v>
      </c>
      <c r="T177" s="232">
        <f>INDEX('Prop. prices'!$I$86:$AB$160,MATCH('Tariff schedule'!$C177,'Prop. prices'!$C$86:$C$160,0),MATCH('Tariff schedule'!T$16,'Prop. prices'!$I$5:$AB$5,0))</f>
        <v>0</v>
      </c>
      <c r="U177" s="232">
        <f>INDEX('Prop. prices'!$I$86:$AB$160,MATCH('Tariff schedule'!$C177,'Prop. prices'!$C$86:$C$160,0),MATCH('Tariff schedule'!U$16,'Prop. prices'!$I$5:$AB$5,0))</f>
        <v>0</v>
      </c>
      <c r="V177" s="232">
        <f>INDEX('Prop. prices'!$I$86:$AB$160,MATCH('Tariff schedule'!$C177,'Prop. prices'!$C$86:$C$160,0),MATCH('Tariff schedule'!V$16,'Prop. prices'!$I$5:$AB$5,0))</f>
        <v>0</v>
      </c>
      <c r="W177" s="232">
        <f>INDEX('Prop. prices'!$I$86:$AB$160,MATCH('Tariff schedule'!$C177,'Prop. prices'!$C$86:$C$160,0),MATCH('Tariff schedule'!W$16,'Prop. prices'!$I$5:$AB$5,0))</f>
        <v>0</v>
      </c>
      <c r="X177" s="232">
        <f>INDEX('Prop. prices'!$I$86:$AB$160,MATCH('Tariff schedule'!$C177,'Prop. prices'!$C$86:$C$160,0),MATCH('Tariff schedule'!X$16,'Prop. prices'!$I$5:$AB$5,0))</f>
        <v>0</v>
      </c>
      <c r="Y177" s="232">
        <f>INDEX('Prop. prices'!$I$86:$AB$160,MATCH('Tariff schedule'!$C177,'Prop. prices'!$C$86:$C$160,0),MATCH('Tariff schedule'!Y$16,'Prop. prices'!$I$5:$AB$5,0))</f>
        <v>0</v>
      </c>
      <c r="Z177" s="232">
        <f>INDEX('Prop. prices'!$I$86:$AB$160,MATCH('Tariff schedule'!$C177,'Prop. prices'!$C$86:$C$160,0),MATCH('Tariff schedule'!Z$16,'Prop. prices'!$I$5:$AB$5,0))</f>
        <v>0</v>
      </c>
      <c r="AA177" s="232">
        <f>INDEX('Prop. prices'!$I$86:$AB$160,MATCH('Tariff schedule'!$C177,'Prop. prices'!$C$86:$C$160,0),MATCH('Tariff schedule'!AA$16,'Prop. prices'!$I$5:$AB$5,0))</f>
        <v>0</v>
      </c>
      <c r="AB177" s="232">
        <f>INDEX('Prop. prices'!$I$86:$AB$160,MATCH('Tariff schedule'!$C177,'Prop. prices'!$C$86:$C$160,0),MATCH('Tariff schedule'!AB$16,'Prop. prices'!$I$5:$AB$5,0))</f>
        <v>0</v>
      </c>
      <c r="AC177" s="70"/>
      <c r="AD177" s="19"/>
      <c r="AE177" s="19"/>
      <c r="AF177" s="19"/>
      <c r="AG177" s="19"/>
    </row>
    <row r="178" spans="1:33" outlineLevel="2" x14ac:dyDescent="0.2">
      <c r="A178" s="19"/>
      <c r="B178" s="19"/>
      <c r="C178" s="506" t="str">
        <f t="shared" si="83"/>
        <v>Residential time of use demand DER</v>
      </c>
      <c r="D178" s="505" t="str">
        <f t="shared" si="83"/>
        <v>Residential</v>
      </c>
      <c r="E178" s="505" t="str">
        <f t="shared" si="83"/>
        <v>TAS97</v>
      </c>
      <c r="F178" s="505">
        <f t="shared" si="83"/>
        <v>0</v>
      </c>
      <c r="G178" s="505">
        <f t="shared" si="83"/>
        <v>0</v>
      </c>
      <c r="H178" s="58"/>
      <c r="I178" s="232">
        <f>INDEX('Prop. prices'!$I$86:$AB$160,MATCH('Tariff schedule'!$C178,'Prop. prices'!$C$86:$C$160,0),MATCH('Tariff schedule'!I$16,'Prop. prices'!$I$5:$AB$5,0))</f>
        <v>0</v>
      </c>
      <c r="J178" s="232">
        <f>INDEX('Prop. prices'!$I$86:$AB$160,MATCH('Tariff schedule'!$C178,'Prop. prices'!$C$86:$C$160,0),MATCH('Tariff schedule'!J$16,'Prop. prices'!$I$5:$AB$5,0))</f>
        <v>0</v>
      </c>
      <c r="K178" s="232">
        <f>INDEX('Prop. prices'!$I$86:$AB$160,MATCH('Tariff schedule'!$C178,'Prop. prices'!$C$86:$C$160,0),MATCH('Tariff schedule'!K$16,'Prop. prices'!$I$5:$AB$5,0))</f>
        <v>0</v>
      </c>
      <c r="L178" s="232">
        <f>INDEX('Prop. prices'!$I$86:$AB$160,MATCH('Tariff schedule'!$C178,'Prop. prices'!$C$86:$C$160,0),MATCH('Tariff schedule'!L$16,'Prop. prices'!$I$5:$AB$5,0))</f>
        <v>0</v>
      </c>
      <c r="M178" s="232">
        <f>INDEX('Prop. prices'!$I$86:$AB$160,MATCH('Tariff schedule'!$C178,'Prop. prices'!$C$86:$C$160,0),MATCH('Tariff schedule'!M$16,'Prop. prices'!$I$5:$AB$5,0))</f>
        <v>0</v>
      </c>
      <c r="N178" s="232">
        <f>INDEX('Prop. prices'!$I$86:$AB$160,MATCH('Tariff schedule'!$C178,'Prop. prices'!$C$86:$C$160,0),MATCH('Tariff schedule'!N$16,'Prop. prices'!$I$5:$AB$5,0))</f>
        <v>0</v>
      </c>
      <c r="O178" s="232">
        <f>INDEX('Prop. prices'!$I$86:$AB$160,MATCH('Tariff schedule'!$C178,'Prop. prices'!$C$86:$C$160,0),MATCH('Tariff schedule'!O$16,'Prop. prices'!$I$5:$AB$5,0))</f>
        <v>5.157</v>
      </c>
      <c r="P178" s="232">
        <f>INDEX('Prop. prices'!$I$86:$AB$160,MATCH('Tariff schedule'!$C178,'Prop. prices'!$C$86:$C$160,0),MATCH('Tariff schedule'!P$16,'Prop. prices'!$I$5:$AB$5,0))</f>
        <v>1.3740000000000001</v>
      </c>
      <c r="Q178" s="232">
        <f>INDEX('Prop. prices'!$I$86:$AB$160,MATCH('Tariff schedule'!$C178,'Prop. prices'!$C$86:$C$160,0),MATCH('Tariff schedule'!Q$16,'Prop. prices'!$I$5:$AB$5,0))</f>
        <v>0</v>
      </c>
      <c r="R178" s="232">
        <f>INDEX('Prop. prices'!$I$86:$AB$160,MATCH('Tariff schedule'!$C178,'Prop. prices'!$C$86:$C$160,0),MATCH('Tariff schedule'!R$16,'Prop. prices'!$I$5:$AB$5,0))</f>
        <v>0</v>
      </c>
      <c r="S178" s="232">
        <f>INDEX('Prop. prices'!$I$86:$AB$160,MATCH('Tariff schedule'!$C178,'Prop. prices'!$C$86:$C$160,0),MATCH('Tariff schedule'!S$16,'Prop. prices'!$I$5:$AB$5,0))</f>
        <v>0</v>
      </c>
      <c r="T178" s="232">
        <f>INDEX('Prop. prices'!$I$86:$AB$160,MATCH('Tariff schedule'!$C178,'Prop. prices'!$C$86:$C$160,0),MATCH('Tariff schedule'!T$16,'Prop. prices'!$I$5:$AB$5,0))</f>
        <v>0</v>
      </c>
      <c r="U178" s="232">
        <f>INDEX('Prop. prices'!$I$86:$AB$160,MATCH('Tariff schedule'!$C178,'Prop. prices'!$C$86:$C$160,0),MATCH('Tariff schedule'!U$16,'Prop. prices'!$I$5:$AB$5,0))</f>
        <v>0</v>
      </c>
      <c r="V178" s="232">
        <f>INDEX('Prop. prices'!$I$86:$AB$160,MATCH('Tariff schedule'!$C178,'Prop. prices'!$C$86:$C$160,0),MATCH('Tariff schedule'!V$16,'Prop. prices'!$I$5:$AB$5,0))</f>
        <v>0</v>
      </c>
      <c r="W178" s="232">
        <f>INDEX('Prop. prices'!$I$86:$AB$160,MATCH('Tariff schedule'!$C178,'Prop. prices'!$C$86:$C$160,0),MATCH('Tariff schedule'!W$16,'Prop. prices'!$I$5:$AB$5,0))</f>
        <v>0</v>
      </c>
      <c r="X178" s="232">
        <f>INDEX('Prop. prices'!$I$86:$AB$160,MATCH('Tariff schedule'!$C178,'Prop. prices'!$C$86:$C$160,0),MATCH('Tariff schedule'!X$16,'Prop. prices'!$I$5:$AB$5,0))</f>
        <v>0</v>
      </c>
      <c r="Y178" s="232">
        <f>INDEX('Prop. prices'!$I$86:$AB$160,MATCH('Tariff schedule'!$C178,'Prop. prices'!$C$86:$C$160,0),MATCH('Tariff schedule'!Y$16,'Prop. prices'!$I$5:$AB$5,0))</f>
        <v>0</v>
      </c>
      <c r="Z178" s="232">
        <f>INDEX('Prop. prices'!$I$86:$AB$160,MATCH('Tariff schedule'!$C178,'Prop. prices'!$C$86:$C$160,0),MATCH('Tariff schedule'!Z$16,'Prop. prices'!$I$5:$AB$5,0))</f>
        <v>0</v>
      </c>
      <c r="AA178" s="232">
        <f>INDEX('Prop. prices'!$I$86:$AB$160,MATCH('Tariff schedule'!$C178,'Prop. prices'!$C$86:$C$160,0),MATCH('Tariff schedule'!AA$16,'Prop. prices'!$I$5:$AB$5,0))</f>
        <v>0</v>
      </c>
      <c r="AB178" s="232">
        <f>INDEX('Prop. prices'!$I$86:$AB$160,MATCH('Tariff schedule'!$C178,'Prop. prices'!$C$86:$C$160,0),MATCH('Tariff schedule'!AB$16,'Prop. prices'!$I$5:$AB$5,0))</f>
        <v>0</v>
      </c>
      <c r="AC178" s="70"/>
      <c r="AD178" s="19"/>
      <c r="AE178" s="19"/>
      <c r="AF178" s="19"/>
      <c r="AG178" s="19"/>
    </row>
    <row r="179" spans="1:33" outlineLevel="2" x14ac:dyDescent="0.2">
      <c r="A179" s="19"/>
      <c r="B179" s="19"/>
      <c r="C179" s="506" t="str">
        <f t="shared" si="83"/>
        <v>Residential pay as you go</v>
      </c>
      <c r="D179" s="505" t="str">
        <f t="shared" si="83"/>
        <v>Residential</v>
      </c>
      <c r="E179" s="505" t="str">
        <f t="shared" si="83"/>
        <v>TAS101</v>
      </c>
      <c r="F179" s="505">
        <f t="shared" si="83"/>
        <v>0</v>
      </c>
      <c r="G179" s="505">
        <f t="shared" si="83"/>
        <v>0</v>
      </c>
      <c r="H179" s="58"/>
      <c r="I179" s="232">
        <f>INDEX('Prop. prices'!$I$86:$AB$160,MATCH('Tariff schedule'!$C179,'Prop. prices'!$C$86:$C$160,0),MATCH('Tariff schedule'!I$16,'Prop. prices'!$I$5:$AB$5,0))</f>
        <v>0</v>
      </c>
      <c r="J179" s="232">
        <f>INDEX('Prop. prices'!$I$86:$AB$160,MATCH('Tariff schedule'!$C179,'Prop. prices'!$C$86:$C$160,0),MATCH('Tariff schedule'!J$16,'Prop. prices'!$I$5:$AB$5,0))</f>
        <v>1.403</v>
      </c>
      <c r="K179" s="232">
        <f>INDEX('Prop. prices'!$I$86:$AB$160,MATCH('Tariff schedule'!$C179,'Prop. prices'!$C$86:$C$160,0),MATCH('Tariff schedule'!K$16,'Prop. prices'!$I$5:$AB$5,0))</f>
        <v>0</v>
      </c>
      <c r="L179" s="232">
        <f>INDEX('Prop. prices'!$I$86:$AB$160,MATCH('Tariff schedule'!$C179,'Prop. prices'!$C$86:$C$160,0),MATCH('Tariff schedule'!L$16,'Prop. prices'!$I$5:$AB$5,0))</f>
        <v>0</v>
      </c>
      <c r="M179" s="232">
        <f>INDEX('Prop. prices'!$I$86:$AB$160,MATCH('Tariff schedule'!$C179,'Prop. prices'!$C$86:$C$160,0),MATCH('Tariff schedule'!M$16,'Prop. prices'!$I$5:$AB$5,0))</f>
        <v>0</v>
      </c>
      <c r="N179" s="232">
        <f>INDEX('Prop. prices'!$I$86:$AB$160,MATCH('Tariff schedule'!$C179,'Prop. prices'!$C$86:$C$160,0),MATCH('Tariff schedule'!N$16,'Prop. prices'!$I$5:$AB$5,0))</f>
        <v>0</v>
      </c>
      <c r="O179" s="232">
        <f>INDEX('Prop. prices'!$I$86:$AB$160,MATCH('Tariff schedule'!$C179,'Prop. prices'!$C$86:$C$160,0),MATCH('Tariff schedule'!O$16,'Prop. prices'!$I$5:$AB$5,0))</f>
        <v>0</v>
      </c>
      <c r="P179" s="232">
        <f>INDEX('Prop. prices'!$I$86:$AB$160,MATCH('Tariff schedule'!$C179,'Prop. prices'!$C$86:$C$160,0),MATCH('Tariff schedule'!P$16,'Prop. prices'!$I$5:$AB$5,0))</f>
        <v>0</v>
      </c>
      <c r="Q179" s="232">
        <f>INDEX('Prop. prices'!$I$86:$AB$160,MATCH('Tariff schedule'!$C179,'Prop. prices'!$C$86:$C$160,0),MATCH('Tariff schedule'!Q$16,'Prop. prices'!$I$5:$AB$5,0))</f>
        <v>0</v>
      </c>
      <c r="R179" s="232">
        <f>INDEX('Prop. prices'!$I$86:$AB$160,MATCH('Tariff schedule'!$C179,'Prop. prices'!$C$86:$C$160,0),MATCH('Tariff schedule'!R$16,'Prop. prices'!$I$5:$AB$5,0))</f>
        <v>0</v>
      </c>
      <c r="S179" s="232">
        <f>INDEX('Prop. prices'!$I$86:$AB$160,MATCH('Tariff schedule'!$C179,'Prop. prices'!$C$86:$C$160,0),MATCH('Tariff schedule'!S$16,'Prop. prices'!$I$5:$AB$5,0))</f>
        <v>0</v>
      </c>
      <c r="T179" s="232">
        <f>INDEX('Prop. prices'!$I$86:$AB$160,MATCH('Tariff schedule'!$C179,'Prop. prices'!$C$86:$C$160,0),MATCH('Tariff schedule'!T$16,'Prop. prices'!$I$5:$AB$5,0))</f>
        <v>0</v>
      </c>
      <c r="U179" s="232">
        <f>INDEX('Prop. prices'!$I$86:$AB$160,MATCH('Tariff schedule'!$C179,'Prop. prices'!$C$86:$C$160,0),MATCH('Tariff schedule'!U$16,'Prop. prices'!$I$5:$AB$5,0))</f>
        <v>0</v>
      </c>
      <c r="V179" s="232">
        <f>INDEX('Prop. prices'!$I$86:$AB$160,MATCH('Tariff schedule'!$C179,'Prop. prices'!$C$86:$C$160,0),MATCH('Tariff schedule'!V$16,'Prop. prices'!$I$5:$AB$5,0))</f>
        <v>0</v>
      </c>
      <c r="W179" s="232">
        <f>INDEX('Prop. prices'!$I$86:$AB$160,MATCH('Tariff schedule'!$C179,'Prop. prices'!$C$86:$C$160,0),MATCH('Tariff schedule'!W$16,'Prop. prices'!$I$5:$AB$5,0))</f>
        <v>0</v>
      </c>
      <c r="X179" s="232">
        <f>INDEX('Prop. prices'!$I$86:$AB$160,MATCH('Tariff schedule'!$C179,'Prop. prices'!$C$86:$C$160,0),MATCH('Tariff schedule'!X$16,'Prop. prices'!$I$5:$AB$5,0))</f>
        <v>0</v>
      </c>
      <c r="Y179" s="232">
        <f>INDEX('Prop. prices'!$I$86:$AB$160,MATCH('Tariff schedule'!$C179,'Prop. prices'!$C$86:$C$160,0),MATCH('Tariff schedule'!Y$16,'Prop. prices'!$I$5:$AB$5,0))</f>
        <v>0</v>
      </c>
      <c r="Z179" s="232">
        <f>INDEX('Prop. prices'!$I$86:$AB$160,MATCH('Tariff schedule'!$C179,'Prop. prices'!$C$86:$C$160,0),MATCH('Tariff schedule'!Z$16,'Prop. prices'!$I$5:$AB$5,0))</f>
        <v>0</v>
      </c>
      <c r="AA179" s="232">
        <f>INDEX('Prop. prices'!$I$86:$AB$160,MATCH('Tariff schedule'!$C179,'Prop. prices'!$C$86:$C$160,0),MATCH('Tariff schedule'!AA$16,'Prop. prices'!$I$5:$AB$5,0))</f>
        <v>0</v>
      </c>
      <c r="AB179" s="232">
        <f>INDEX('Prop. prices'!$I$86:$AB$160,MATCH('Tariff schedule'!$C179,'Prop. prices'!$C$86:$C$160,0),MATCH('Tariff schedule'!AB$16,'Prop. prices'!$I$5:$AB$5,0))</f>
        <v>0</v>
      </c>
      <c r="AC179" s="70"/>
      <c r="AD179" s="19"/>
      <c r="AE179" s="19"/>
      <c r="AF179" s="19"/>
      <c r="AG179" s="19"/>
    </row>
    <row r="180" spans="1:33" outlineLevel="2" x14ac:dyDescent="0.2">
      <c r="A180" s="19"/>
      <c r="B180" s="19"/>
      <c r="C180" s="506" t="str">
        <f t="shared" si="83"/>
        <v>Residential pay as you go time of use</v>
      </c>
      <c r="D180" s="505" t="str">
        <f t="shared" si="83"/>
        <v>Residential</v>
      </c>
      <c r="E180" s="505" t="str">
        <f t="shared" si="83"/>
        <v>TAS92</v>
      </c>
      <c r="F180" s="505">
        <f t="shared" si="83"/>
        <v>0</v>
      </c>
      <c r="G180" s="505">
        <f t="shared" si="83"/>
        <v>0</v>
      </c>
      <c r="H180" s="58"/>
      <c r="I180" s="232">
        <f>INDEX('Prop. prices'!$I$86:$AB$160,MATCH('Tariff schedule'!$C180,'Prop. prices'!$C$86:$C$160,0),MATCH('Tariff schedule'!I$16,'Prop. prices'!$I$5:$AB$5,0))</f>
        <v>0</v>
      </c>
      <c r="J180" s="232">
        <f>INDEX('Prop. prices'!$I$86:$AB$160,MATCH('Tariff schedule'!$C180,'Prop. prices'!$C$86:$C$160,0),MATCH('Tariff schedule'!J$16,'Prop. prices'!$I$5:$AB$5,0))</f>
        <v>0</v>
      </c>
      <c r="K180" s="232">
        <f>INDEX('Prop. prices'!$I$86:$AB$160,MATCH('Tariff schedule'!$C180,'Prop. prices'!$C$86:$C$160,0),MATCH('Tariff schedule'!K$16,'Prop. prices'!$I$5:$AB$5,0))</f>
        <v>3.7160000000000002</v>
      </c>
      <c r="L180" s="232">
        <f>INDEX('Prop. prices'!$I$86:$AB$160,MATCH('Tariff schedule'!$C180,'Prop. prices'!$C$86:$C$160,0),MATCH('Tariff schedule'!L$16,'Prop. prices'!$I$5:$AB$5,0))</f>
        <v>0</v>
      </c>
      <c r="M180" s="232">
        <f>INDEX('Prop. prices'!$I$86:$AB$160,MATCH('Tariff schedule'!$C180,'Prop. prices'!$C$86:$C$160,0),MATCH('Tariff schedule'!M$16,'Prop. prices'!$I$5:$AB$5,0))</f>
        <v>0.74299999999999999</v>
      </c>
      <c r="N180" s="232">
        <f>INDEX('Prop. prices'!$I$86:$AB$160,MATCH('Tariff schedule'!$C180,'Prop. prices'!$C$86:$C$160,0),MATCH('Tariff schedule'!N$16,'Prop. prices'!$I$5:$AB$5,0))</f>
        <v>0</v>
      </c>
      <c r="O180" s="232">
        <f>INDEX('Prop. prices'!$I$86:$AB$160,MATCH('Tariff schedule'!$C180,'Prop. prices'!$C$86:$C$160,0),MATCH('Tariff schedule'!O$16,'Prop. prices'!$I$5:$AB$5,0))</f>
        <v>0</v>
      </c>
      <c r="P180" s="232">
        <f>INDEX('Prop. prices'!$I$86:$AB$160,MATCH('Tariff schedule'!$C180,'Prop. prices'!$C$86:$C$160,0),MATCH('Tariff schedule'!P$16,'Prop. prices'!$I$5:$AB$5,0))</f>
        <v>0</v>
      </c>
      <c r="Q180" s="232">
        <f>INDEX('Prop. prices'!$I$86:$AB$160,MATCH('Tariff schedule'!$C180,'Prop. prices'!$C$86:$C$160,0),MATCH('Tariff schedule'!Q$16,'Prop. prices'!$I$5:$AB$5,0))</f>
        <v>0</v>
      </c>
      <c r="R180" s="232">
        <f>INDEX('Prop. prices'!$I$86:$AB$160,MATCH('Tariff schedule'!$C180,'Prop. prices'!$C$86:$C$160,0),MATCH('Tariff schedule'!R$16,'Prop. prices'!$I$5:$AB$5,0))</f>
        <v>0</v>
      </c>
      <c r="S180" s="232">
        <f>INDEX('Prop. prices'!$I$86:$AB$160,MATCH('Tariff schedule'!$C180,'Prop. prices'!$C$86:$C$160,0),MATCH('Tariff schedule'!S$16,'Prop. prices'!$I$5:$AB$5,0))</f>
        <v>0</v>
      </c>
      <c r="T180" s="232">
        <f>INDEX('Prop. prices'!$I$86:$AB$160,MATCH('Tariff schedule'!$C180,'Prop. prices'!$C$86:$C$160,0),MATCH('Tariff schedule'!T$16,'Prop. prices'!$I$5:$AB$5,0))</f>
        <v>0</v>
      </c>
      <c r="U180" s="232">
        <f>INDEX('Prop. prices'!$I$86:$AB$160,MATCH('Tariff schedule'!$C180,'Prop. prices'!$C$86:$C$160,0),MATCH('Tariff schedule'!U$16,'Prop. prices'!$I$5:$AB$5,0))</f>
        <v>0</v>
      </c>
      <c r="V180" s="232">
        <f>INDEX('Prop. prices'!$I$86:$AB$160,MATCH('Tariff schedule'!$C180,'Prop. prices'!$C$86:$C$160,0),MATCH('Tariff schedule'!V$16,'Prop. prices'!$I$5:$AB$5,0))</f>
        <v>0</v>
      </c>
      <c r="W180" s="232">
        <f>INDEX('Prop. prices'!$I$86:$AB$160,MATCH('Tariff schedule'!$C180,'Prop. prices'!$C$86:$C$160,0),MATCH('Tariff schedule'!W$16,'Prop. prices'!$I$5:$AB$5,0))</f>
        <v>0</v>
      </c>
      <c r="X180" s="232">
        <f>INDEX('Prop. prices'!$I$86:$AB$160,MATCH('Tariff schedule'!$C180,'Prop. prices'!$C$86:$C$160,0),MATCH('Tariff schedule'!X$16,'Prop. prices'!$I$5:$AB$5,0))</f>
        <v>0</v>
      </c>
      <c r="Y180" s="232">
        <f>INDEX('Prop. prices'!$I$86:$AB$160,MATCH('Tariff schedule'!$C180,'Prop. prices'!$C$86:$C$160,0),MATCH('Tariff schedule'!Y$16,'Prop. prices'!$I$5:$AB$5,0))</f>
        <v>0</v>
      </c>
      <c r="Z180" s="232">
        <f>INDEX('Prop. prices'!$I$86:$AB$160,MATCH('Tariff schedule'!$C180,'Prop. prices'!$C$86:$C$160,0),MATCH('Tariff schedule'!Z$16,'Prop. prices'!$I$5:$AB$5,0))</f>
        <v>0</v>
      </c>
      <c r="AA180" s="232">
        <f>INDEX('Prop. prices'!$I$86:$AB$160,MATCH('Tariff schedule'!$C180,'Prop. prices'!$C$86:$C$160,0),MATCH('Tariff schedule'!AA$16,'Prop. prices'!$I$5:$AB$5,0))</f>
        <v>0</v>
      </c>
      <c r="AB180" s="232">
        <f>INDEX('Prop. prices'!$I$86:$AB$160,MATCH('Tariff schedule'!$C180,'Prop. prices'!$C$86:$C$160,0),MATCH('Tariff schedule'!AB$16,'Prop. prices'!$I$5:$AB$5,0))</f>
        <v>0</v>
      </c>
      <c r="AC180" s="70"/>
      <c r="AD180" s="19"/>
      <c r="AE180" s="19"/>
      <c r="AF180" s="19"/>
      <c r="AG180" s="19"/>
    </row>
    <row r="181" spans="1:33" outlineLevel="2" x14ac:dyDescent="0.2">
      <c r="A181" s="19"/>
      <c r="B181" s="19"/>
      <c r="C181" s="506" t="str">
        <f t="shared" si="83"/>
        <v>Small business time of use consumption</v>
      </c>
      <c r="D181" s="505" t="str">
        <f t="shared" si="83"/>
        <v>Small Business LV</v>
      </c>
      <c r="E181" s="505" t="str">
        <f t="shared" si="83"/>
        <v>TAS94</v>
      </c>
      <c r="F181" s="505">
        <f t="shared" si="83"/>
        <v>0</v>
      </c>
      <c r="G181" s="505">
        <f t="shared" si="83"/>
        <v>0</v>
      </c>
      <c r="H181" s="58"/>
      <c r="I181" s="232">
        <f>INDEX('Prop. prices'!$I$86:$AB$160,MATCH('Tariff schedule'!$C181,'Prop. prices'!$C$86:$C$160,0),MATCH('Tariff schedule'!I$16,'Prop. prices'!$I$5:$AB$5,0))</f>
        <v>0</v>
      </c>
      <c r="J181" s="232">
        <f>INDEX('Prop. prices'!$I$86:$AB$160,MATCH('Tariff schedule'!$C181,'Prop. prices'!$C$86:$C$160,0),MATCH('Tariff schedule'!J$16,'Prop. prices'!$I$5:$AB$5,0))</f>
        <v>0</v>
      </c>
      <c r="K181" s="232">
        <f>INDEX('Prop. prices'!$I$86:$AB$160,MATCH('Tariff schedule'!$C181,'Prop. prices'!$C$86:$C$160,0),MATCH('Tariff schedule'!K$16,'Prop. prices'!$I$5:$AB$5,0))</f>
        <v>2.339</v>
      </c>
      <c r="L181" s="232">
        <f>INDEX('Prop. prices'!$I$86:$AB$160,MATCH('Tariff schedule'!$C181,'Prop. prices'!$C$86:$C$160,0),MATCH('Tariff schedule'!L$16,'Prop. prices'!$I$5:$AB$5,0))</f>
        <v>1.403</v>
      </c>
      <c r="M181" s="232">
        <f>INDEX('Prop. prices'!$I$86:$AB$160,MATCH('Tariff schedule'!$C181,'Prop. prices'!$C$86:$C$160,0),MATCH('Tariff schedule'!M$16,'Prop. prices'!$I$5:$AB$5,0))</f>
        <v>0.35099999999999998</v>
      </c>
      <c r="N181" s="232">
        <f>INDEX('Prop. prices'!$I$86:$AB$160,MATCH('Tariff schedule'!$C181,'Prop. prices'!$C$86:$C$160,0),MATCH('Tariff schedule'!N$16,'Prop. prices'!$I$5:$AB$5,0))</f>
        <v>0</v>
      </c>
      <c r="O181" s="232">
        <f>INDEX('Prop. prices'!$I$86:$AB$160,MATCH('Tariff schedule'!$C181,'Prop. prices'!$C$86:$C$160,0),MATCH('Tariff schedule'!O$16,'Prop. prices'!$I$5:$AB$5,0))</f>
        <v>0</v>
      </c>
      <c r="P181" s="232">
        <f>INDEX('Prop. prices'!$I$86:$AB$160,MATCH('Tariff schedule'!$C181,'Prop. prices'!$C$86:$C$160,0),MATCH('Tariff schedule'!P$16,'Prop. prices'!$I$5:$AB$5,0))</f>
        <v>0</v>
      </c>
      <c r="Q181" s="232">
        <f>INDEX('Prop. prices'!$I$86:$AB$160,MATCH('Tariff schedule'!$C181,'Prop. prices'!$C$86:$C$160,0),MATCH('Tariff schedule'!Q$16,'Prop. prices'!$I$5:$AB$5,0))</f>
        <v>0</v>
      </c>
      <c r="R181" s="232">
        <f>INDEX('Prop. prices'!$I$86:$AB$160,MATCH('Tariff schedule'!$C181,'Prop. prices'!$C$86:$C$160,0),MATCH('Tariff schedule'!R$16,'Prop. prices'!$I$5:$AB$5,0))</f>
        <v>0</v>
      </c>
      <c r="S181" s="232">
        <f>INDEX('Prop. prices'!$I$86:$AB$160,MATCH('Tariff schedule'!$C181,'Prop. prices'!$C$86:$C$160,0),MATCH('Tariff schedule'!S$16,'Prop. prices'!$I$5:$AB$5,0))</f>
        <v>0</v>
      </c>
      <c r="T181" s="232">
        <f>INDEX('Prop. prices'!$I$86:$AB$160,MATCH('Tariff schedule'!$C181,'Prop. prices'!$C$86:$C$160,0),MATCH('Tariff schedule'!T$16,'Prop. prices'!$I$5:$AB$5,0))</f>
        <v>0</v>
      </c>
      <c r="U181" s="232">
        <f>INDEX('Prop. prices'!$I$86:$AB$160,MATCH('Tariff schedule'!$C181,'Prop. prices'!$C$86:$C$160,0),MATCH('Tariff schedule'!U$16,'Prop. prices'!$I$5:$AB$5,0))</f>
        <v>0</v>
      </c>
      <c r="V181" s="232">
        <f>INDEX('Prop. prices'!$I$86:$AB$160,MATCH('Tariff schedule'!$C181,'Prop. prices'!$C$86:$C$160,0),MATCH('Tariff schedule'!V$16,'Prop. prices'!$I$5:$AB$5,0))</f>
        <v>0</v>
      </c>
      <c r="W181" s="232">
        <f>INDEX('Prop. prices'!$I$86:$AB$160,MATCH('Tariff schedule'!$C181,'Prop. prices'!$C$86:$C$160,0),MATCH('Tariff schedule'!W$16,'Prop. prices'!$I$5:$AB$5,0))</f>
        <v>0</v>
      </c>
      <c r="X181" s="232">
        <f>INDEX('Prop. prices'!$I$86:$AB$160,MATCH('Tariff schedule'!$C181,'Prop. prices'!$C$86:$C$160,0),MATCH('Tariff schedule'!X$16,'Prop. prices'!$I$5:$AB$5,0))</f>
        <v>0</v>
      </c>
      <c r="Y181" s="232">
        <f>INDEX('Prop. prices'!$I$86:$AB$160,MATCH('Tariff schedule'!$C181,'Prop. prices'!$C$86:$C$160,0),MATCH('Tariff schedule'!Y$16,'Prop. prices'!$I$5:$AB$5,0))</f>
        <v>0</v>
      </c>
      <c r="Z181" s="232">
        <f>INDEX('Prop. prices'!$I$86:$AB$160,MATCH('Tariff schedule'!$C181,'Prop. prices'!$C$86:$C$160,0),MATCH('Tariff schedule'!Z$16,'Prop. prices'!$I$5:$AB$5,0))</f>
        <v>0</v>
      </c>
      <c r="AA181" s="232">
        <f>INDEX('Prop. prices'!$I$86:$AB$160,MATCH('Tariff schedule'!$C181,'Prop. prices'!$C$86:$C$160,0),MATCH('Tariff schedule'!AA$16,'Prop. prices'!$I$5:$AB$5,0))</f>
        <v>0</v>
      </c>
      <c r="AB181" s="232">
        <f>INDEX('Prop. prices'!$I$86:$AB$160,MATCH('Tariff schedule'!$C181,'Prop. prices'!$C$86:$C$160,0),MATCH('Tariff schedule'!AB$16,'Prop. prices'!$I$5:$AB$5,0))</f>
        <v>0</v>
      </c>
      <c r="AC181" s="70"/>
      <c r="AD181" s="19"/>
      <c r="AE181" s="19"/>
      <c r="AF181" s="19"/>
      <c r="AG181" s="19"/>
    </row>
    <row r="182" spans="1:33" outlineLevel="2" x14ac:dyDescent="0.2">
      <c r="A182" s="19"/>
      <c r="B182" s="19"/>
      <c r="C182" s="506" t="str">
        <f t="shared" si="83"/>
        <v>Small business general light and power</v>
      </c>
      <c r="D182" s="505" t="str">
        <f t="shared" si="83"/>
        <v>Small Business LV</v>
      </c>
      <c r="E182" s="505" t="str">
        <f t="shared" si="83"/>
        <v>TAS22</v>
      </c>
      <c r="F182" s="505">
        <f t="shared" si="83"/>
        <v>0</v>
      </c>
      <c r="G182" s="505">
        <f t="shared" si="83"/>
        <v>0</v>
      </c>
      <c r="H182" s="58"/>
      <c r="I182" s="232">
        <f>INDEX('Prop. prices'!$I$86:$AB$160,MATCH('Tariff schedule'!$C182,'Prop. prices'!$C$86:$C$160,0),MATCH('Tariff schedule'!I$16,'Prop. prices'!$I$5:$AB$5,0))</f>
        <v>0</v>
      </c>
      <c r="J182" s="232">
        <f>INDEX('Prop. prices'!$I$86:$AB$160,MATCH('Tariff schedule'!$C182,'Prop. prices'!$C$86:$C$160,0),MATCH('Tariff schedule'!J$16,'Prop. prices'!$I$5:$AB$5,0))</f>
        <v>1.964</v>
      </c>
      <c r="K182" s="232">
        <f>INDEX('Prop. prices'!$I$86:$AB$160,MATCH('Tariff schedule'!$C182,'Prop. prices'!$C$86:$C$160,0),MATCH('Tariff schedule'!K$16,'Prop. prices'!$I$5:$AB$5,0))</f>
        <v>0</v>
      </c>
      <c r="L182" s="232">
        <f>INDEX('Prop. prices'!$I$86:$AB$160,MATCH('Tariff schedule'!$C182,'Prop. prices'!$C$86:$C$160,0),MATCH('Tariff schedule'!L$16,'Prop. prices'!$I$5:$AB$5,0))</f>
        <v>0</v>
      </c>
      <c r="M182" s="232">
        <f>INDEX('Prop. prices'!$I$86:$AB$160,MATCH('Tariff schedule'!$C182,'Prop. prices'!$C$86:$C$160,0),MATCH('Tariff schedule'!M$16,'Prop. prices'!$I$5:$AB$5,0))</f>
        <v>0</v>
      </c>
      <c r="N182" s="232">
        <f>INDEX('Prop. prices'!$I$86:$AB$160,MATCH('Tariff schedule'!$C182,'Prop. prices'!$C$86:$C$160,0),MATCH('Tariff schedule'!N$16,'Prop. prices'!$I$5:$AB$5,0))</f>
        <v>0</v>
      </c>
      <c r="O182" s="232">
        <f>INDEX('Prop. prices'!$I$86:$AB$160,MATCH('Tariff schedule'!$C182,'Prop. prices'!$C$86:$C$160,0),MATCH('Tariff schedule'!O$16,'Prop. prices'!$I$5:$AB$5,0))</f>
        <v>0</v>
      </c>
      <c r="P182" s="232">
        <f>INDEX('Prop. prices'!$I$86:$AB$160,MATCH('Tariff schedule'!$C182,'Prop. prices'!$C$86:$C$160,0),MATCH('Tariff schedule'!P$16,'Prop. prices'!$I$5:$AB$5,0))</f>
        <v>0</v>
      </c>
      <c r="Q182" s="232">
        <f>INDEX('Prop. prices'!$I$86:$AB$160,MATCH('Tariff schedule'!$C182,'Prop. prices'!$C$86:$C$160,0),MATCH('Tariff schedule'!Q$16,'Prop. prices'!$I$5:$AB$5,0))</f>
        <v>0</v>
      </c>
      <c r="R182" s="232">
        <f>INDEX('Prop. prices'!$I$86:$AB$160,MATCH('Tariff schedule'!$C182,'Prop. prices'!$C$86:$C$160,0),MATCH('Tariff schedule'!R$16,'Prop. prices'!$I$5:$AB$5,0))</f>
        <v>0</v>
      </c>
      <c r="S182" s="232">
        <f>INDEX('Prop. prices'!$I$86:$AB$160,MATCH('Tariff schedule'!$C182,'Prop. prices'!$C$86:$C$160,0),MATCH('Tariff schedule'!S$16,'Prop. prices'!$I$5:$AB$5,0))</f>
        <v>0</v>
      </c>
      <c r="T182" s="232">
        <f>INDEX('Prop. prices'!$I$86:$AB$160,MATCH('Tariff schedule'!$C182,'Prop. prices'!$C$86:$C$160,0),MATCH('Tariff schedule'!T$16,'Prop. prices'!$I$5:$AB$5,0))</f>
        <v>0</v>
      </c>
      <c r="U182" s="232">
        <f>INDEX('Prop. prices'!$I$86:$AB$160,MATCH('Tariff schedule'!$C182,'Prop. prices'!$C$86:$C$160,0),MATCH('Tariff schedule'!U$16,'Prop. prices'!$I$5:$AB$5,0))</f>
        <v>0</v>
      </c>
      <c r="V182" s="232">
        <f>INDEX('Prop. prices'!$I$86:$AB$160,MATCH('Tariff schedule'!$C182,'Prop. prices'!$C$86:$C$160,0),MATCH('Tariff schedule'!V$16,'Prop. prices'!$I$5:$AB$5,0))</f>
        <v>0</v>
      </c>
      <c r="W182" s="232">
        <f>INDEX('Prop. prices'!$I$86:$AB$160,MATCH('Tariff schedule'!$C182,'Prop. prices'!$C$86:$C$160,0),MATCH('Tariff schedule'!W$16,'Prop. prices'!$I$5:$AB$5,0))</f>
        <v>0</v>
      </c>
      <c r="X182" s="232">
        <f>INDEX('Prop. prices'!$I$86:$AB$160,MATCH('Tariff schedule'!$C182,'Prop. prices'!$C$86:$C$160,0),MATCH('Tariff schedule'!X$16,'Prop. prices'!$I$5:$AB$5,0))</f>
        <v>0</v>
      </c>
      <c r="Y182" s="232">
        <f>INDEX('Prop. prices'!$I$86:$AB$160,MATCH('Tariff schedule'!$C182,'Prop. prices'!$C$86:$C$160,0),MATCH('Tariff schedule'!Y$16,'Prop. prices'!$I$5:$AB$5,0))</f>
        <v>0</v>
      </c>
      <c r="Z182" s="232">
        <f>INDEX('Prop. prices'!$I$86:$AB$160,MATCH('Tariff schedule'!$C182,'Prop. prices'!$C$86:$C$160,0),MATCH('Tariff schedule'!Z$16,'Prop. prices'!$I$5:$AB$5,0))</f>
        <v>0</v>
      </c>
      <c r="AA182" s="232">
        <f>INDEX('Prop. prices'!$I$86:$AB$160,MATCH('Tariff schedule'!$C182,'Prop. prices'!$C$86:$C$160,0),MATCH('Tariff schedule'!AA$16,'Prop. prices'!$I$5:$AB$5,0))</f>
        <v>0</v>
      </c>
      <c r="AB182" s="232">
        <f>INDEX('Prop. prices'!$I$86:$AB$160,MATCH('Tariff schedule'!$C182,'Prop. prices'!$C$86:$C$160,0),MATCH('Tariff schedule'!AB$16,'Prop. prices'!$I$5:$AB$5,0))</f>
        <v>0</v>
      </c>
      <c r="AC182" s="70"/>
      <c r="AD182" s="19"/>
      <c r="AE182" s="19"/>
      <c r="AF182" s="19"/>
      <c r="AG182" s="19"/>
    </row>
    <row r="183" spans="1:33" outlineLevel="2" x14ac:dyDescent="0.2">
      <c r="A183" s="19"/>
      <c r="B183" s="19"/>
      <c r="C183" s="506" t="str">
        <f t="shared" si="83"/>
        <v>Small business time of use demand</v>
      </c>
      <c r="D183" s="505" t="str">
        <f t="shared" si="83"/>
        <v>Small Business LV</v>
      </c>
      <c r="E183" s="505" t="str">
        <f t="shared" si="83"/>
        <v>TAS88</v>
      </c>
      <c r="F183" s="505">
        <f t="shared" si="83"/>
        <v>0</v>
      </c>
      <c r="G183" s="505">
        <f t="shared" si="83"/>
        <v>0</v>
      </c>
      <c r="H183" s="58"/>
      <c r="I183" s="232">
        <f>INDEX('Prop. prices'!$I$86:$AB$160,MATCH('Tariff schedule'!$C183,'Prop. prices'!$C$86:$C$160,0),MATCH('Tariff schedule'!I$16,'Prop. prices'!$I$5:$AB$5,0))</f>
        <v>0</v>
      </c>
      <c r="J183" s="232">
        <f>INDEX('Prop. prices'!$I$86:$AB$160,MATCH('Tariff schedule'!$C183,'Prop. prices'!$C$86:$C$160,0),MATCH('Tariff schedule'!J$16,'Prop. prices'!$I$5:$AB$5,0))</f>
        <v>0</v>
      </c>
      <c r="K183" s="232">
        <f>INDEX('Prop. prices'!$I$86:$AB$160,MATCH('Tariff schedule'!$C183,'Prop. prices'!$C$86:$C$160,0),MATCH('Tariff schedule'!K$16,'Prop. prices'!$I$5:$AB$5,0))</f>
        <v>0</v>
      </c>
      <c r="L183" s="232">
        <f>INDEX('Prop. prices'!$I$86:$AB$160,MATCH('Tariff schedule'!$C183,'Prop. prices'!$C$86:$C$160,0),MATCH('Tariff schedule'!L$16,'Prop. prices'!$I$5:$AB$5,0))</f>
        <v>0</v>
      </c>
      <c r="M183" s="232">
        <f>INDEX('Prop. prices'!$I$86:$AB$160,MATCH('Tariff schedule'!$C183,'Prop. prices'!$C$86:$C$160,0),MATCH('Tariff schedule'!M$16,'Prop. prices'!$I$5:$AB$5,0))</f>
        <v>0</v>
      </c>
      <c r="N183" s="232">
        <f>INDEX('Prop. prices'!$I$86:$AB$160,MATCH('Tariff schedule'!$C183,'Prop. prices'!$C$86:$C$160,0),MATCH('Tariff schedule'!N$16,'Prop. prices'!$I$5:$AB$5,0))</f>
        <v>0</v>
      </c>
      <c r="O183" s="232">
        <f>INDEX('Prop. prices'!$I$86:$AB$160,MATCH('Tariff schedule'!$C183,'Prop. prices'!$C$86:$C$160,0),MATCH('Tariff schedule'!O$16,'Prop. prices'!$I$5:$AB$5,0))</f>
        <v>11.59</v>
      </c>
      <c r="P183" s="232">
        <f>INDEX('Prop. prices'!$I$86:$AB$160,MATCH('Tariff schedule'!$C183,'Prop. prices'!$C$86:$C$160,0),MATCH('Tariff schedule'!P$16,'Prop. prices'!$I$5:$AB$5,0))</f>
        <v>3.0880000000000001</v>
      </c>
      <c r="Q183" s="232">
        <f>INDEX('Prop. prices'!$I$86:$AB$160,MATCH('Tariff schedule'!$C183,'Prop. prices'!$C$86:$C$160,0),MATCH('Tariff schedule'!Q$16,'Prop. prices'!$I$5:$AB$5,0))</f>
        <v>0</v>
      </c>
      <c r="R183" s="232">
        <f>INDEX('Prop. prices'!$I$86:$AB$160,MATCH('Tariff schedule'!$C183,'Prop. prices'!$C$86:$C$160,0),MATCH('Tariff schedule'!R$16,'Prop. prices'!$I$5:$AB$5,0))</f>
        <v>0</v>
      </c>
      <c r="S183" s="232">
        <f>INDEX('Prop. prices'!$I$86:$AB$160,MATCH('Tariff schedule'!$C183,'Prop. prices'!$C$86:$C$160,0),MATCH('Tariff schedule'!S$16,'Prop. prices'!$I$5:$AB$5,0))</f>
        <v>0</v>
      </c>
      <c r="T183" s="232">
        <f>INDEX('Prop. prices'!$I$86:$AB$160,MATCH('Tariff schedule'!$C183,'Prop. prices'!$C$86:$C$160,0),MATCH('Tariff schedule'!T$16,'Prop. prices'!$I$5:$AB$5,0))</f>
        <v>0</v>
      </c>
      <c r="U183" s="232">
        <f>INDEX('Prop. prices'!$I$86:$AB$160,MATCH('Tariff schedule'!$C183,'Prop. prices'!$C$86:$C$160,0),MATCH('Tariff schedule'!U$16,'Prop. prices'!$I$5:$AB$5,0))</f>
        <v>0</v>
      </c>
      <c r="V183" s="232">
        <f>INDEX('Prop. prices'!$I$86:$AB$160,MATCH('Tariff schedule'!$C183,'Prop. prices'!$C$86:$C$160,0),MATCH('Tariff schedule'!V$16,'Prop. prices'!$I$5:$AB$5,0))</f>
        <v>0</v>
      </c>
      <c r="W183" s="232">
        <f>INDEX('Prop. prices'!$I$86:$AB$160,MATCH('Tariff schedule'!$C183,'Prop. prices'!$C$86:$C$160,0),MATCH('Tariff schedule'!W$16,'Prop. prices'!$I$5:$AB$5,0))</f>
        <v>0</v>
      </c>
      <c r="X183" s="232">
        <f>INDEX('Prop. prices'!$I$86:$AB$160,MATCH('Tariff schedule'!$C183,'Prop. prices'!$C$86:$C$160,0),MATCH('Tariff schedule'!X$16,'Prop. prices'!$I$5:$AB$5,0))</f>
        <v>0</v>
      </c>
      <c r="Y183" s="232">
        <f>INDEX('Prop. prices'!$I$86:$AB$160,MATCH('Tariff schedule'!$C183,'Prop. prices'!$C$86:$C$160,0),MATCH('Tariff schedule'!Y$16,'Prop. prices'!$I$5:$AB$5,0))</f>
        <v>0</v>
      </c>
      <c r="Z183" s="232">
        <f>INDEX('Prop. prices'!$I$86:$AB$160,MATCH('Tariff schedule'!$C183,'Prop. prices'!$C$86:$C$160,0),MATCH('Tariff schedule'!Z$16,'Prop. prices'!$I$5:$AB$5,0))</f>
        <v>0</v>
      </c>
      <c r="AA183" s="232">
        <f>INDEX('Prop. prices'!$I$86:$AB$160,MATCH('Tariff schedule'!$C183,'Prop. prices'!$C$86:$C$160,0),MATCH('Tariff schedule'!AA$16,'Prop. prices'!$I$5:$AB$5,0))</f>
        <v>0</v>
      </c>
      <c r="AB183" s="232">
        <f>INDEX('Prop. prices'!$I$86:$AB$160,MATCH('Tariff schedule'!$C183,'Prop. prices'!$C$86:$C$160,0),MATCH('Tariff schedule'!AB$16,'Prop. prices'!$I$5:$AB$5,0))</f>
        <v>0</v>
      </c>
      <c r="AC183" s="70"/>
      <c r="AD183" s="19"/>
      <c r="AE183" s="19"/>
      <c r="AF183" s="19"/>
      <c r="AG183" s="19"/>
    </row>
    <row r="184" spans="1:33" outlineLevel="2" x14ac:dyDescent="0.2">
      <c r="A184" s="19"/>
      <c r="B184" s="19"/>
      <c r="C184" s="506" t="str">
        <f t="shared" si="83"/>
        <v>Small business time of use demand DER</v>
      </c>
      <c r="D184" s="505" t="str">
        <f t="shared" si="83"/>
        <v>Small Business LV</v>
      </c>
      <c r="E184" s="505" t="str">
        <f t="shared" si="83"/>
        <v>TAS98</v>
      </c>
      <c r="F184" s="505">
        <f t="shared" si="83"/>
        <v>0</v>
      </c>
      <c r="G184" s="505">
        <f t="shared" si="83"/>
        <v>0</v>
      </c>
      <c r="H184" s="58"/>
      <c r="I184" s="232">
        <f>INDEX('Prop. prices'!$I$86:$AB$160,MATCH('Tariff schedule'!$C184,'Prop. prices'!$C$86:$C$160,0),MATCH('Tariff schedule'!I$16,'Prop. prices'!$I$5:$AB$5,0))</f>
        <v>0</v>
      </c>
      <c r="J184" s="232">
        <f>INDEX('Prop. prices'!$I$86:$AB$160,MATCH('Tariff schedule'!$C184,'Prop. prices'!$C$86:$C$160,0),MATCH('Tariff schedule'!J$16,'Prop. prices'!$I$5:$AB$5,0))</f>
        <v>0</v>
      </c>
      <c r="K184" s="232">
        <f>INDEX('Prop. prices'!$I$86:$AB$160,MATCH('Tariff schedule'!$C184,'Prop. prices'!$C$86:$C$160,0),MATCH('Tariff schedule'!K$16,'Prop. prices'!$I$5:$AB$5,0))</f>
        <v>0</v>
      </c>
      <c r="L184" s="232">
        <f>INDEX('Prop. prices'!$I$86:$AB$160,MATCH('Tariff schedule'!$C184,'Prop. prices'!$C$86:$C$160,0),MATCH('Tariff schedule'!L$16,'Prop. prices'!$I$5:$AB$5,0))</f>
        <v>0</v>
      </c>
      <c r="M184" s="232">
        <f>INDEX('Prop. prices'!$I$86:$AB$160,MATCH('Tariff schedule'!$C184,'Prop. prices'!$C$86:$C$160,0),MATCH('Tariff schedule'!M$16,'Prop. prices'!$I$5:$AB$5,0))</f>
        <v>0</v>
      </c>
      <c r="N184" s="232">
        <f>INDEX('Prop. prices'!$I$86:$AB$160,MATCH('Tariff schedule'!$C184,'Prop. prices'!$C$86:$C$160,0),MATCH('Tariff schedule'!N$16,'Prop. prices'!$I$5:$AB$5,0))</f>
        <v>0</v>
      </c>
      <c r="O184" s="232">
        <f>INDEX('Prop. prices'!$I$86:$AB$160,MATCH('Tariff schedule'!$C184,'Prop. prices'!$C$86:$C$160,0),MATCH('Tariff schedule'!O$16,'Prop. prices'!$I$5:$AB$5,0))</f>
        <v>11.59</v>
      </c>
      <c r="P184" s="232">
        <f>INDEX('Prop. prices'!$I$86:$AB$160,MATCH('Tariff schedule'!$C184,'Prop. prices'!$C$86:$C$160,0),MATCH('Tariff schedule'!P$16,'Prop. prices'!$I$5:$AB$5,0))</f>
        <v>3.0880000000000001</v>
      </c>
      <c r="Q184" s="232">
        <f>INDEX('Prop. prices'!$I$86:$AB$160,MATCH('Tariff schedule'!$C184,'Prop. prices'!$C$86:$C$160,0),MATCH('Tariff schedule'!Q$16,'Prop. prices'!$I$5:$AB$5,0))</f>
        <v>0</v>
      </c>
      <c r="R184" s="232">
        <f>INDEX('Prop. prices'!$I$86:$AB$160,MATCH('Tariff schedule'!$C184,'Prop. prices'!$C$86:$C$160,0),MATCH('Tariff schedule'!R$16,'Prop. prices'!$I$5:$AB$5,0))</f>
        <v>0</v>
      </c>
      <c r="S184" s="232">
        <f>INDEX('Prop. prices'!$I$86:$AB$160,MATCH('Tariff schedule'!$C184,'Prop. prices'!$C$86:$C$160,0),MATCH('Tariff schedule'!S$16,'Prop. prices'!$I$5:$AB$5,0))</f>
        <v>0</v>
      </c>
      <c r="T184" s="232">
        <f>INDEX('Prop. prices'!$I$86:$AB$160,MATCH('Tariff schedule'!$C184,'Prop. prices'!$C$86:$C$160,0),MATCH('Tariff schedule'!T$16,'Prop. prices'!$I$5:$AB$5,0))</f>
        <v>0</v>
      </c>
      <c r="U184" s="232">
        <f>INDEX('Prop. prices'!$I$86:$AB$160,MATCH('Tariff schedule'!$C184,'Prop. prices'!$C$86:$C$160,0),MATCH('Tariff schedule'!U$16,'Prop. prices'!$I$5:$AB$5,0))</f>
        <v>0</v>
      </c>
      <c r="V184" s="232">
        <f>INDEX('Prop. prices'!$I$86:$AB$160,MATCH('Tariff schedule'!$C184,'Prop. prices'!$C$86:$C$160,0),MATCH('Tariff schedule'!V$16,'Prop. prices'!$I$5:$AB$5,0))</f>
        <v>0</v>
      </c>
      <c r="W184" s="232">
        <f>INDEX('Prop. prices'!$I$86:$AB$160,MATCH('Tariff schedule'!$C184,'Prop. prices'!$C$86:$C$160,0),MATCH('Tariff schedule'!W$16,'Prop. prices'!$I$5:$AB$5,0))</f>
        <v>0</v>
      </c>
      <c r="X184" s="232">
        <f>INDEX('Prop. prices'!$I$86:$AB$160,MATCH('Tariff schedule'!$C184,'Prop. prices'!$C$86:$C$160,0),MATCH('Tariff schedule'!X$16,'Prop. prices'!$I$5:$AB$5,0))</f>
        <v>0</v>
      </c>
      <c r="Y184" s="232">
        <f>INDEX('Prop. prices'!$I$86:$AB$160,MATCH('Tariff schedule'!$C184,'Prop. prices'!$C$86:$C$160,0),MATCH('Tariff schedule'!Y$16,'Prop. prices'!$I$5:$AB$5,0))</f>
        <v>0</v>
      </c>
      <c r="Z184" s="232">
        <f>INDEX('Prop. prices'!$I$86:$AB$160,MATCH('Tariff schedule'!$C184,'Prop. prices'!$C$86:$C$160,0),MATCH('Tariff schedule'!Z$16,'Prop. prices'!$I$5:$AB$5,0))</f>
        <v>0</v>
      </c>
      <c r="AA184" s="232">
        <f>INDEX('Prop. prices'!$I$86:$AB$160,MATCH('Tariff schedule'!$C184,'Prop. prices'!$C$86:$C$160,0),MATCH('Tariff schedule'!AA$16,'Prop. prices'!$I$5:$AB$5,0))</f>
        <v>0</v>
      </c>
      <c r="AB184" s="232">
        <f>INDEX('Prop. prices'!$I$86:$AB$160,MATCH('Tariff schedule'!$C184,'Prop. prices'!$C$86:$C$160,0),MATCH('Tariff schedule'!AB$16,'Prop. prices'!$I$5:$AB$5,0))</f>
        <v>0</v>
      </c>
      <c r="AC184" s="70"/>
      <c r="AD184" s="19"/>
      <c r="AE184" s="19"/>
      <c r="AF184" s="19"/>
      <c r="AG184" s="19"/>
    </row>
    <row r="185" spans="1:33" outlineLevel="2" x14ac:dyDescent="0.2">
      <c r="A185" s="19"/>
      <c r="B185" s="19"/>
      <c r="C185" s="506" t="str">
        <f t="shared" ref="C185:G194" si="84">C29</f>
        <v>Large business kVA demand</v>
      </c>
      <c r="D185" s="505" t="str">
        <f t="shared" si="84"/>
        <v>Large Business LV</v>
      </c>
      <c r="E185" s="505" t="str">
        <f t="shared" si="84"/>
        <v>TAS82</v>
      </c>
      <c r="F185" s="505">
        <f t="shared" si="84"/>
        <v>0</v>
      </c>
      <c r="G185" s="505">
        <f t="shared" si="84"/>
        <v>0</v>
      </c>
      <c r="H185" s="58"/>
      <c r="I185" s="232">
        <f>INDEX('Prop. prices'!$I$86:$AB$160,MATCH('Tariff schedule'!$C185,'Prop. prices'!$C$86:$C$160,0),MATCH('Tariff schedule'!I$16,'Prop. prices'!$I$5:$AB$5,0))</f>
        <v>0</v>
      </c>
      <c r="J185" s="232">
        <f>INDEX('Prop. prices'!$I$86:$AB$160,MATCH('Tariff schedule'!$C185,'Prop. prices'!$C$86:$C$160,0),MATCH('Tariff schedule'!J$16,'Prop. prices'!$I$5:$AB$5,0))</f>
        <v>0.57599999999999996</v>
      </c>
      <c r="K185" s="232">
        <f>INDEX('Prop. prices'!$I$86:$AB$160,MATCH('Tariff schedule'!$C185,'Prop. prices'!$C$86:$C$160,0),MATCH('Tariff schedule'!K$16,'Prop. prices'!$I$5:$AB$5,0))</f>
        <v>0</v>
      </c>
      <c r="L185" s="232">
        <f>INDEX('Prop. prices'!$I$86:$AB$160,MATCH('Tariff schedule'!$C185,'Prop. prices'!$C$86:$C$160,0),MATCH('Tariff schedule'!L$16,'Prop. prices'!$I$5:$AB$5,0))</f>
        <v>0</v>
      </c>
      <c r="M185" s="232">
        <f>INDEX('Prop. prices'!$I$86:$AB$160,MATCH('Tariff schedule'!$C185,'Prop. prices'!$C$86:$C$160,0),MATCH('Tariff schedule'!M$16,'Prop. prices'!$I$5:$AB$5,0))</f>
        <v>0</v>
      </c>
      <c r="N185" s="232">
        <f>INDEX('Prop. prices'!$I$86:$AB$160,MATCH('Tariff schedule'!$C185,'Prop. prices'!$C$86:$C$160,0),MATCH('Tariff schedule'!N$16,'Prop. prices'!$I$5:$AB$5,0))</f>
        <v>12.414</v>
      </c>
      <c r="O185" s="232">
        <f>INDEX('Prop. prices'!$I$86:$AB$160,MATCH('Tariff schedule'!$C185,'Prop. prices'!$C$86:$C$160,0),MATCH('Tariff schedule'!O$16,'Prop. prices'!$I$5:$AB$5,0))</f>
        <v>0</v>
      </c>
      <c r="P185" s="232">
        <f>INDEX('Prop. prices'!$I$86:$AB$160,MATCH('Tariff schedule'!$C185,'Prop. prices'!$C$86:$C$160,0),MATCH('Tariff schedule'!P$16,'Prop. prices'!$I$5:$AB$5,0))</f>
        <v>0</v>
      </c>
      <c r="Q185" s="232">
        <f>INDEX('Prop. prices'!$I$86:$AB$160,MATCH('Tariff schedule'!$C185,'Prop. prices'!$C$86:$C$160,0),MATCH('Tariff schedule'!Q$16,'Prop. prices'!$I$5:$AB$5,0))</f>
        <v>0</v>
      </c>
      <c r="R185" s="232">
        <f>INDEX('Prop. prices'!$I$86:$AB$160,MATCH('Tariff schedule'!$C185,'Prop. prices'!$C$86:$C$160,0),MATCH('Tariff schedule'!R$16,'Prop. prices'!$I$5:$AB$5,0))</f>
        <v>0</v>
      </c>
      <c r="S185" s="232">
        <f>INDEX('Prop. prices'!$I$86:$AB$160,MATCH('Tariff schedule'!$C185,'Prop. prices'!$C$86:$C$160,0),MATCH('Tariff schedule'!S$16,'Prop. prices'!$I$5:$AB$5,0))</f>
        <v>0</v>
      </c>
      <c r="T185" s="232">
        <f>INDEX('Prop. prices'!$I$86:$AB$160,MATCH('Tariff schedule'!$C185,'Prop. prices'!$C$86:$C$160,0),MATCH('Tariff schedule'!T$16,'Prop. prices'!$I$5:$AB$5,0))</f>
        <v>0</v>
      </c>
      <c r="U185" s="232">
        <f>INDEX('Prop. prices'!$I$86:$AB$160,MATCH('Tariff schedule'!$C185,'Prop. prices'!$C$86:$C$160,0),MATCH('Tariff schedule'!U$16,'Prop. prices'!$I$5:$AB$5,0))</f>
        <v>0</v>
      </c>
      <c r="V185" s="232">
        <f>INDEX('Prop. prices'!$I$86:$AB$160,MATCH('Tariff schedule'!$C185,'Prop. prices'!$C$86:$C$160,0),MATCH('Tariff schedule'!V$16,'Prop. prices'!$I$5:$AB$5,0))</f>
        <v>0</v>
      </c>
      <c r="W185" s="232">
        <f>INDEX('Prop. prices'!$I$86:$AB$160,MATCH('Tariff schedule'!$C185,'Prop. prices'!$C$86:$C$160,0),MATCH('Tariff schedule'!W$16,'Prop. prices'!$I$5:$AB$5,0))</f>
        <v>0</v>
      </c>
      <c r="X185" s="232">
        <f>INDEX('Prop. prices'!$I$86:$AB$160,MATCH('Tariff schedule'!$C185,'Prop. prices'!$C$86:$C$160,0),MATCH('Tariff schedule'!X$16,'Prop. prices'!$I$5:$AB$5,0))</f>
        <v>0</v>
      </c>
      <c r="Y185" s="232">
        <f>INDEX('Prop. prices'!$I$86:$AB$160,MATCH('Tariff schedule'!$C185,'Prop. prices'!$C$86:$C$160,0),MATCH('Tariff schedule'!Y$16,'Prop. prices'!$I$5:$AB$5,0))</f>
        <v>0</v>
      </c>
      <c r="Z185" s="232">
        <f>INDEX('Prop. prices'!$I$86:$AB$160,MATCH('Tariff schedule'!$C185,'Prop. prices'!$C$86:$C$160,0),MATCH('Tariff schedule'!Z$16,'Prop. prices'!$I$5:$AB$5,0))</f>
        <v>0</v>
      </c>
      <c r="AA185" s="232">
        <f>INDEX('Prop. prices'!$I$86:$AB$160,MATCH('Tariff schedule'!$C185,'Prop. prices'!$C$86:$C$160,0),MATCH('Tariff schedule'!AA$16,'Prop. prices'!$I$5:$AB$5,0))</f>
        <v>0</v>
      </c>
      <c r="AB185" s="232">
        <f>INDEX('Prop. prices'!$I$86:$AB$160,MATCH('Tariff schedule'!$C185,'Prop. prices'!$C$86:$C$160,0),MATCH('Tariff schedule'!AB$16,'Prop. prices'!$I$5:$AB$5,0))</f>
        <v>0</v>
      </c>
      <c r="AC185" s="70"/>
      <c r="AD185" s="19"/>
      <c r="AE185" s="19"/>
      <c r="AF185" s="19"/>
      <c r="AG185" s="19"/>
    </row>
    <row r="186" spans="1:33" outlineLevel="2" x14ac:dyDescent="0.2">
      <c r="A186" s="19"/>
      <c r="B186" s="19"/>
      <c r="C186" s="506" t="str">
        <f t="shared" si="84"/>
        <v>Large business time of use demand</v>
      </c>
      <c r="D186" s="505" t="str">
        <f t="shared" si="84"/>
        <v>Large Business LV</v>
      </c>
      <c r="E186" s="505" t="str">
        <f t="shared" si="84"/>
        <v>TAS89</v>
      </c>
      <c r="F186" s="505">
        <f t="shared" si="84"/>
        <v>0</v>
      </c>
      <c r="G186" s="505">
        <f t="shared" si="84"/>
        <v>0</v>
      </c>
      <c r="H186" s="58"/>
      <c r="I186" s="232">
        <f>INDEX('Prop. prices'!$I$86:$AB$160,MATCH('Tariff schedule'!$C186,'Prop. prices'!$C$86:$C$160,0),MATCH('Tariff schedule'!I$16,'Prop. prices'!$I$5:$AB$5,0))</f>
        <v>0</v>
      </c>
      <c r="J186" s="232">
        <f>INDEX('Prop. prices'!$I$86:$AB$160,MATCH('Tariff schedule'!$C186,'Prop. prices'!$C$86:$C$160,0),MATCH('Tariff schedule'!J$16,'Prop. prices'!$I$5:$AB$5,0))</f>
        <v>0</v>
      </c>
      <c r="K186" s="232">
        <f>INDEX('Prop. prices'!$I$86:$AB$160,MATCH('Tariff schedule'!$C186,'Prop. prices'!$C$86:$C$160,0),MATCH('Tariff schedule'!K$16,'Prop. prices'!$I$5:$AB$5,0))</f>
        <v>0</v>
      </c>
      <c r="L186" s="232">
        <f>INDEX('Prop. prices'!$I$86:$AB$160,MATCH('Tariff schedule'!$C186,'Prop. prices'!$C$86:$C$160,0),MATCH('Tariff schedule'!L$16,'Prop. prices'!$I$5:$AB$5,0))</f>
        <v>0</v>
      </c>
      <c r="M186" s="232">
        <f>INDEX('Prop. prices'!$I$86:$AB$160,MATCH('Tariff schedule'!$C186,'Prop. prices'!$C$86:$C$160,0),MATCH('Tariff schedule'!M$16,'Prop. prices'!$I$5:$AB$5,0))</f>
        <v>0</v>
      </c>
      <c r="N186" s="232">
        <f>INDEX('Prop. prices'!$I$86:$AB$160,MATCH('Tariff schedule'!$C186,'Prop. prices'!$C$86:$C$160,0),MATCH('Tariff schedule'!N$16,'Prop. prices'!$I$5:$AB$5,0))</f>
        <v>0</v>
      </c>
      <c r="O186" s="232">
        <f>INDEX('Prop. prices'!$I$86:$AB$160,MATCH('Tariff schedule'!$C186,'Prop. prices'!$C$86:$C$160,0),MATCH('Tariff schedule'!O$16,'Prop. prices'!$I$5:$AB$5,0))</f>
        <v>17.609000000000002</v>
      </c>
      <c r="P186" s="232">
        <f>INDEX('Prop. prices'!$I$86:$AB$160,MATCH('Tariff schedule'!$C186,'Prop. prices'!$C$86:$C$160,0),MATCH('Tariff schedule'!P$16,'Prop. prices'!$I$5:$AB$5,0))</f>
        <v>5.8639999999999999</v>
      </c>
      <c r="Q186" s="232">
        <f>INDEX('Prop. prices'!$I$86:$AB$160,MATCH('Tariff schedule'!$C186,'Prop. prices'!$C$86:$C$160,0),MATCH('Tariff schedule'!Q$16,'Prop. prices'!$I$5:$AB$5,0))</f>
        <v>0</v>
      </c>
      <c r="R186" s="232">
        <f>INDEX('Prop. prices'!$I$86:$AB$160,MATCH('Tariff schedule'!$C186,'Prop. prices'!$C$86:$C$160,0),MATCH('Tariff schedule'!R$16,'Prop. prices'!$I$5:$AB$5,0))</f>
        <v>0</v>
      </c>
      <c r="S186" s="232">
        <f>INDEX('Prop. prices'!$I$86:$AB$160,MATCH('Tariff schedule'!$C186,'Prop. prices'!$C$86:$C$160,0),MATCH('Tariff schedule'!S$16,'Prop. prices'!$I$5:$AB$5,0))</f>
        <v>0</v>
      </c>
      <c r="T186" s="232">
        <f>INDEX('Prop. prices'!$I$86:$AB$160,MATCH('Tariff schedule'!$C186,'Prop. prices'!$C$86:$C$160,0),MATCH('Tariff schedule'!T$16,'Prop. prices'!$I$5:$AB$5,0))</f>
        <v>0</v>
      </c>
      <c r="U186" s="232">
        <f>INDEX('Prop. prices'!$I$86:$AB$160,MATCH('Tariff schedule'!$C186,'Prop. prices'!$C$86:$C$160,0),MATCH('Tariff schedule'!U$16,'Prop. prices'!$I$5:$AB$5,0))</f>
        <v>0</v>
      </c>
      <c r="V186" s="232">
        <f>INDEX('Prop. prices'!$I$86:$AB$160,MATCH('Tariff schedule'!$C186,'Prop. prices'!$C$86:$C$160,0),MATCH('Tariff schedule'!V$16,'Prop. prices'!$I$5:$AB$5,0))</f>
        <v>0</v>
      </c>
      <c r="W186" s="232">
        <f>INDEX('Prop. prices'!$I$86:$AB$160,MATCH('Tariff schedule'!$C186,'Prop. prices'!$C$86:$C$160,0),MATCH('Tariff schedule'!W$16,'Prop. prices'!$I$5:$AB$5,0))</f>
        <v>0</v>
      </c>
      <c r="X186" s="232">
        <f>INDEX('Prop. prices'!$I$86:$AB$160,MATCH('Tariff schedule'!$C186,'Prop. prices'!$C$86:$C$160,0),MATCH('Tariff schedule'!X$16,'Prop. prices'!$I$5:$AB$5,0))</f>
        <v>0</v>
      </c>
      <c r="Y186" s="232">
        <f>INDEX('Prop. prices'!$I$86:$AB$160,MATCH('Tariff schedule'!$C186,'Prop. prices'!$C$86:$C$160,0),MATCH('Tariff schedule'!Y$16,'Prop. prices'!$I$5:$AB$5,0))</f>
        <v>0</v>
      </c>
      <c r="Z186" s="232">
        <f>INDEX('Prop. prices'!$I$86:$AB$160,MATCH('Tariff schedule'!$C186,'Prop. prices'!$C$86:$C$160,0),MATCH('Tariff schedule'!Z$16,'Prop. prices'!$I$5:$AB$5,0))</f>
        <v>0</v>
      </c>
      <c r="AA186" s="232">
        <f>INDEX('Prop. prices'!$I$86:$AB$160,MATCH('Tariff schedule'!$C186,'Prop. prices'!$C$86:$C$160,0),MATCH('Tariff schedule'!AA$16,'Prop. prices'!$I$5:$AB$5,0))</f>
        <v>0</v>
      </c>
      <c r="AB186" s="232">
        <f>INDEX('Prop. prices'!$I$86:$AB$160,MATCH('Tariff schedule'!$C186,'Prop. prices'!$C$86:$C$160,0),MATCH('Tariff schedule'!AB$16,'Prop. prices'!$I$5:$AB$5,0))</f>
        <v>0</v>
      </c>
      <c r="AC186" s="70"/>
      <c r="AD186" s="19"/>
      <c r="AE186" s="19"/>
      <c r="AF186" s="19"/>
      <c r="AG186" s="19"/>
    </row>
    <row r="187" spans="1:33" outlineLevel="2" x14ac:dyDescent="0.2">
      <c r="A187" s="19"/>
      <c r="B187" s="19"/>
      <c r="C187" s="506" t="str">
        <f t="shared" si="84"/>
        <v>Irrigation time of use consumption</v>
      </c>
      <c r="D187" s="505" t="str">
        <f t="shared" si="84"/>
        <v>Irrigation</v>
      </c>
      <c r="E187" s="505" t="str">
        <f t="shared" si="84"/>
        <v>TAS75</v>
      </c>
      <c r="F187" s="505">
        <f t="shared" si="84"/>
        <v>0</v>
      </c>
      <c r="G187" s="505">
        <f t="shared" si="84"/>
        <v>0</v>
      </c>
      <c r="H187" s="58"/>
      <c r="I187" s="232">
        <f>INDEX('Prop. prices'!$I$86:$AB$160,MATCH('Tariff schedule'!$C187,'Prop. prices'!$C$86:$C$160,0),MATCH('Tariff schedule'!I$16,'Prop. prices'!$I$5:$AB$5,0))</f>
        <v>0</v>
      </c>
      <c r="J187" s="232">
        <f>INDEX('Prop. prices'!$I$86:$AB$160,MATCH('Tariff schedule'!$C187,'Prop. prices'!$C$86:$C$160,0),MATCH('Tariff schedule'!J$16,'Prop. prices'!$I$5:$AB$5,0))</f>
        <v>0</v>
      </c>
      <c r="K187" s="232">
        <f>INDEX('Prop. prices'!$I$86:$AB$160,MATCH('Tariff schedule'!$C187,'Prop. prices'!$C$86:$C$160,0),MATCH('Tariff schedule'!K$16,'Prop. prices'!$I$5:$AB$5,0))</f>
        <v>2.754</v>
      </c>
      <c r="L187" s="232">
        <f>INDEX('Prop. prices'!$I$86:$AB$160,MATCH('Tariff schedule'!$C187,'Prop. prices'!$C$86:$C$160,0),MATCH('Tariff schedule'!L$16,'Prop. prices'!$I$5:$AB$5,0))</f>
        <v>1.6519999999999999</v>
      </c>
      <c r="M187" s="232">
        <f>INDEX('Prop. prices'!$I$86:$AB$160,MATCH('Tariff schedule'!$C187,'Prop. prices'!$C$86:$C$160,0),MATCH('Tariff schedule'!M$16,'Prop. prices'!$I$5:$AB$5,0))</f>
        <v>0.41299999999999998</v>
      </c>
      <c r="N187" s="232">
        <f>INDEX('Prop. prices'!$I$86:$AB$160,MATCH('Tariff schedule'!$C187,'Prop. prices'!$C$86:$C$160,0),MATCH('Tariff schedule'!N$16,'Prop. prices'!$I$5:$AB$5,0))</f>
        <v>0</v>
      </c>
      <c r="O187" s="232">
        <f>INDEX('Prop. prices'!$I$86:$AB$160,MATCH('Tariff schedule'!$C187,'Prop. prices'!$C$86:$C$160,0),MATCH('Tariff schedule'!O$16,'Prop. prices'!$I$5:$AB$5,0))</f>
        <v>0</v>
      </c>
      <c r="P187" s="232">
        <f>INDEX('Prop. prices'!$I$86:$AB$160,MATCH('Tariff schedule'!$C187,'Prop. prices'!$C$86:$C$160,0),MATCH('Tariff schedule'!P$16,'Prop. prices'!$I$5:$AB$5,0))</f>
        <v>0</v>
      </c>
      <c r="Q187" s="232">
        <f>INDEX('Prop. prices'!$I$86:$AB$160,MATCH('Tariff schedule'!$C187,'Prop. prices'!$C$86:$C$160,0),MATCH('Tariff schedule'!Q$16,'Prop. prices'!$I$5:$AB$5,0))</f>
        <v>0</v>
      </c>
      <c r="R187" s="232">
        <f>INDEX('Prop. prices'!$I$86:$AB$160,MATCH('Tariff schedule'!$C187,'Prop. prices'!$C$86:$C$160,0),MATCH('Tariff schedule'!R$16,'Prop. prices'!$I$5:$AB$5,0))</f>
        <v>0</v>
      </c>
      <c r="S187" s="232">
        <f>INDEX('Prop. prices'!$I$86:$AB$160,MATCH('Tariff schedule'!$C187,'Prop. prices'!$C$86:$C$160,0),MATCH('Tariff schedule'!S$16,'Prop. prices'!$I$5:$AB$5,0))</f>
        <v>0</v>
      </c>
      <c r="T187" s="232">
        <f>INDEX('Prop. prices'!$I$86:$AB$160,MATCH('Tariff schedule'!$C187,'Prop. prices'!$C$86:$C$160,0),MATCH('Tariff schedule'!T$16,'Prop. prices'!$I$5:$AB$5,0))</f>
        <v>0</v>
      </c>
      <c r="U187" s="232">
        <f>INDEX('Prop. prices'!$I$86:$AB$160,MATCH('Tariff schedule'!$C187,'Prop. prices'!$C$86:$C$160,0),MATCH('Tariff schedule'!U$16,'Prop. prices'!$I$5:$AB$5,0))</f>
        <v>0</v>
      </c>
      <c r="V187" s="232">
        <f>INDEX('Prop. prices'!$I$86:$AB$160,MATCH('Tariff schedule'!$C187,'Prop. prices'!$C$86:$C$160,0),MATCH('Tariff schedule'!V$16,'Prop. prices'!$I$5:$AB$5,0))</f>
        <v>0</v>
      </c>
      <c r="W187" s="232">
        <f>INDEX('Prop. prices'!$I$86:$AB$160,MATCH('Tariff schedule'!$C187,'Prop. prices'!$C$86:$C$160,0),MATCH('Tariff schedule'!W$16,'Prop. prices'!$I$5:$AB$5,0))</f>
        <v>0</v>
      </c>
      <c r="X187" s="232">
        <f>INDEX('Prop. prices'!$I$86:$AB$160,MATCH('Tariff schedule'!$C187,'Prop. prices'!$C$86:$C$160,0),MATCH('Tariff schedule'!X$16,'Prop. prices'!$I$5:$AB$5,0))</f>
        <v>0</v>
      </c>
      <c r="Y187" s="232">
        <f>INDEX('Prop. prices'!$I$86:$AB$160,MATCH('Tariff schedule'!$C187,'Prop. prices'!$C$86:$C$160,0),MATCH('Tariff schedule'!Y$16,'Prop. prices'!$I$5:$AB$5,0))</f>
        <v>0</v>
      </c>
      <c r="Z187" s="232">
        <f>INDEX('Prop. prices'!$I$86:$AB$160,MATCH('Tariff schedule'!$C187,'Prop. prices'!$C$86:$C$160,0),MATCH('Tariff schedule'!Z$16,'Prop. prices'!$I$5:$AB$5,0))</f>
        <v>0</v>
      </c>
      <c r="AA187" s="232">
        <f>INDEX('Prop. prices'!$I$86:$AB$160,MATCH('Tariff schedule'!$C187,'Prop. prices'!$C$86:$C$160,0),MATCH('Tariff schedule'!AA$16,'Prop. prices'!$I$5:$AB$5,0))</f>
        <v>0</v>
      </c>
      <c r="AB187" s="232">
        <f>INDEX('Prop. prices'!$I$86:$AB$160,MATCH('Tariff schedule'!$C187,'Prop. prices'!$C$86:$C$160,0),MATCH('Tariff schedule'!AB$16,'Prop. prices'!$I$5:$AB$5,0))</f>
        <v>0</v>
      </c>
      <c r="AC187" s="70"/>
      <c r="AD187" s="19"/>
      <c r="AE187" s="19"/>
      <c r="AF187" s="19"/>
      <c r="AG187" s="19"/>
    </row>
    <row r="188" spans="1:33" outlineLevel="2" x14ac:dyDescent="0.2">
      <c r="A188" s="19"/>
      <c r="B188" s="19"/>
      <c r="C188" s="506" t="str">
        <f t="shared" si="84"/>
        <v>Business HV kVA specified demand &lt;2MVA</v>
      </c>
      <c r="D188" s="505" t="str">
        <f t="shared" si="84"/>
        <v>Large Business HV</v>
      </c>
      <c r="E188" s="505" t="str">
        <f t="shared" si="84"/>
        <v>TASSDM</v>
      </c>
      <c r="F188" s="505">
        <f t="shared" si="84"/>
        <v>0</v>
      </c>
      <c r="G188" s="505">
        <f t="shared" si="84"/>
        <v>0</v>
      </c>
      <c r="H188" s="58"/>
      <c r="I188" s="232">
        <f>INDEX('Prop. prices'!$I$86:$AB$160,MATCH('Tariff schedule'!$C188,'Prop. prices'!$C$86:$C$160,0),MATCH('Tariff schedule'!I$16,'Prop. prices'!$I$5:$AB$5,0))</f>
        <v>0</v>
      </c>
      <c r="J188" s="232">
        <f>INDEX('Prop. prices'!$I$86:$AB$160,MATCH('Tariff schedule'!$C188,'Prop. prices'!$C$86:$C$160,0),MATCH('Tariff schedule'!J$16,'Prop. prices'!$I$5:$AB$5,0))</f>
        <v>0</v>
      </c>
      <c r="K188" s="232">
        <f>INDEX('Prop. prices'!$I$86:$AB$160,MATCH('Tariff schedule'!$C188,'Prop. prices'!$C$86:$C$160,0),MATCH('Tariff schedule'!K$16,'Prop. prices'!$I$5:$AB$5,0))</f>
        <v>0.87</v>
      </c>
      <c r="L188" s="232">
        <f>INDEX('Prop. prices'!$I$86:$AB$160,MATCH('Tariff schedule'!$C188,'Prop. prices'!$C$86:$C$160,0),MATCH('Tariff schedule'!L$16,'Prop. prices'!$I$5:$AB$5,0))</f>
        <v>0.52200000000000002</v>
      </c>
      <c r="M188" s="232">
        <f>INDEX('Prop. prices'!$I$86:$AB$160,MATCH('Tariff schedule'!$C188,'Prop. prices'!$C$86:$C$160,0),MATCH('Tariff schedule'!M$16,'Prop. prices'!$I$5:$AB$5,0))</f>
        <v>0.13100000000000001</v>
      </c>
      <c r="N188" s="232">
        <f>INDEX('Prop. prices'!$I$86:$AB$160,MATCH('Tariff schedule'!$C188,'Prop. prices'!$C$86:$C$160,0),MATCH('Tariff schedule'!N$16,'Prop. prices'!$I$5:$AB$5,0))</f>
        <v>0</v>
      </c>
      <c r="O188" s="232">
        <f>INDEX('Prop. prices'!$I$86:$AB$160,MATCH('Tariff schedule'!$C188,'Prop. prices'!$C$86:$C$160,0),MATCH('Tariff schedule'!O$16,'Prop. prices'!$I$5:$AB$5,0))</f>
        <v>0</v>
      </c>
      <c r="P188" s="232">
        <f>INDEX('Prop. prices'!$I$86:$AB$160,MATCH('Tariff schedule'!$C188,'Prop. prices'!$C$86:$C$160,0),MATCH('Tariff schedule'!P$16,'Prop. prices'!$I$5:$AB$5,0))</f>
        <v>0</v>
      </c>
      <c r="Q188" s="232">
        <f>INDEX('Prop. prices'!$I$86:$AB$160,MATCH('Tariff schedule'!$C188,'Prop. prices'!$C$86:$C$160,0),MATCH('Tariff schedule'!Q$16,'Prop. prices'!$I$5:$AB$5,0))</f>
        <v>3.2959999999999998</v>
      </c>
      <c r="R188" s="232">
        <f>INDEX('Prop. prices'!$I$86:$AB$160,MATCH('Tariff schedule'!$C188,'Prop. prices'!$C$86:$C$160,0),MATCH('Tariff schedule'!R$16,'Prop. prices'!$I$5:$AB$5,0))</f>
        <v>32.96</v>
      </c>
      <c r="S188" s="232">
        <f>INDEX('Prop. prices'!$I$86:$AB$160,MATCH('Tariff schedule'!$C188,'Prop. prices'!$C$86:$C$160,0),MATCH('Tariff schedule'!S$16,'Prop. prices'!$I$5:$AB$5,0))</f>
        <v>0</v>
      </c>
      <c r="T188" s="232">
        <f>INDEX('Prop. prices'!$I$86:$AB$160,MATCH('Tariff schedule'!$C188,'Prop. prices'!$C$86:$C$160,0),MATCH('Tariff schedule'!T$16,'Prop. prices'!$I$5:$AB$5,0))</f>
        <v>0</v>
      </c>
      <c r="U188" s="232">
        <f>INDEX('Prop. prices'!$I$86:$AB$160,MATCH('Tariff schedule'!$C188,'Prop. prices'!$C$86:$C$160,0),MATCH('Tariff schedule'!U$16,'Prop. prices'!$I$5:$AB$5,0))</f>
        <v>0</v>
      </c>
      <c r="V188" s="232">
        <f>INDEX('Prop. prices'!$I$86:$AB$160,MATCH('Tariff schedule'!$C188,'Prop. prices'!$C$86:$C$160,0),MATCH('Tariff schedule'!V$16,'Prop. prices'!$I$5:$AB$5,0))</f>
        <v>0</v>
      </c>
      <c r="W188" s="232">
        <f>INDEX('Prop. prices'!$I$86:$AB$160,MATCH('Tariff schedule'!$C188,'Prop. prices'!$C$86:$C$160,0),MATCH('Tariff schedule'!W$16,'Prop. prices'!$I$5:$AB$5,0))</f>
        <v>0</v>
      </c>
      <c r="X188" s="232">
        <f>INDEX('Prop. prices'!$I$86:$AB$160,MATCH('Tariff schedule'!$C188,'Prop. prices'!$C$86:$C$160,0),MATCH('Tariff schedule'!X$16,'Prop. prices'!$I$5:$AB$5,0))</f>
        <v>0</v>
      </c>
      <c r="Y188" s="232">
        <f>INDEX('Prop. prices'!$I$86:$AB$160,MATCH('Tariff schedule'!$C188,'Prop. prices'!$C$86:$C$160,0),MATCH('Tariff schedule'!Y$16,'Prop. prices'!$I$5:$AB$5,0))</f>
        <v>0</v>
      </c>
      <c r="Z188" s="232">
        <f>INDEX('Prop. prices'!$I$86:$AB$160,MATCH('Tariff schedule'!$C188,'Prop. prices'!$C$86:$C$160,0),MATCH('Tariff schedule'!Z$16,'Prop. prices'!$I$5:$AB$5,0))</f>
        <v>0</v>
      </c>
      <c r="AA188" s="232">
        <f>INDEX('Prop. prices'!$I$86:$AB$160,MATCH('Tariff schedule'!$C188,'Prop. prices'!$C$86:$C$160,0),MATCH('Tariff schedule'!AA$16,'Prop. prices'!$I$5:$AB$5,0))</f>
        <v>0</v>
      </c>
      <c r="AB188" s="232">
        <f>INDEX('Prop. prices'!$I$86:$AB$160,MATCH('Tariff schedule'!$C188,'Prop. prices'!$C$86:$C$160,0),MATCH('Tariff schedule'!AB$16,'Prop. prices'!$I$5:$AB$5,0))</f>
        <v>0</v>
      </c>
      <c r="AC188" s="70"/>
      <c r="AD188" s="19"/>
      <c r="AE188" s="19"/>
      <c r="AF188" s="19"/>
      <c r="AG188" s="19"/>
    </row>
    <row r="189" spans="1:33" outlineLevel="2" x14ac:dyDescent="0.2">
      <c r="A189" s="19"/>
      <c r="B189" s="19"/>
      <c r="C189" s="506" t="str">
        <f t="shared" si="84"/>
        <v>Business HV kVA specified demand &gt;2MVA</v>
      </c>
      <c r="D189" s="505" t="str">
        <f t="shared" si="84"/>
        <v>Large Business HV</v>
      </c>
      <c r="E189" s="505" t="str">
        <f t="shared" si="84"/>
        <v>TAS15*</v>
      </c>
      <c r="F189" s="505">
        <f t="shared" si="84"/>
        <v>0</v>
      </c>
      <c r="G189" s="505">
        <f t="shared" si="84"/>
        <v>0</v>
      </c>
      <c r="H189" s="58"/>
      <c r="I189" s="232">
        <f>INDEX('Prop. prices'!$I$86:$AB$160,MATCH('Tariff schedule'!$C189,'Prop. prices'!$C$86:$C$160,0),MATCH('Tariff schedule'!I$16,'Prop. prices'!$I$5:$AB$5,0))</f>
        <v>0</v>
      </c>
      <c r="J189" s="232">
        <f>INDEX('Prop. prices'!$I$86:$AB$160,MATCH('Tariff schedule'!$C189,'Prop. prices'!$C$86:$C$160,0),MATCH('Tariff schedule'!J$16,'Prop. prices'!$I$5:$AB$5,0))</f>
        <v>0</v>
      </c>
      <c r="K189" s="232">
        <f>INDEX('Prop. prices'!$I$86:$AB$160,MATCH('Tariff schedule'!$C189,'Prop. prices'!$C$86:$C$160,0),MATCH('Tariff schedule'!K$16,'Prop. prices'!$I$5:$AB$5,0))</f>
        <v>0</v>
      </c>
      <c r="L189" s="232">
        <f>INDEX('Prop. prices'!$I$86:$AB$160,MATCH('Tariff schedule'!$C189,'Prop. prices'!$C$86:$C$160,0),MATCH('Tariff schedule'!L$16,'Prop. prices'!$I$5:$AB$5,0))</f>
        <v>0</v>
      </c>
      <c r="M189" s="232">
        <f>INDEX('Prop. prices'!$I$86:$AB$160,MATCH('Tariff schedule'!$C189,'Prop. prices'!$C$86:$C$160,0),MATCH('Tariff schedule'!M$16,'Prop. prices'!$I$5:$AB$5,0))</f>
        <v>0</v>
      </c>
      <c r="N189" s="232">
        <f>INDEX('Prop. prices'!$I$86:$AB$160,MATCH('Tariff schedule'!$C189,'Prop. prices'!$C$86:$C$160,0),MATCH('Tariff schedule'!N$16,'Prop. prices'!$I$5:$AB$5,0))</f>
        <v>0</v>
      </c>
      <c r="O189" s="232">
        <f>INDEX('Prop. prices'!$I$86:$AB$160,MATCH('Tariff schedule'!$C189,'Prop. prices'!$C$86:$C$160,0),MATCH('Tariff schedule'!O$16,'Prop. prices'!$I$5:$AB$5,0))</f>
        <v>0</v>
      </c>
      <c r="P189" s="232">
        <f>INDEX('Prop. prices'!$I$86:$AB$160,MATCH('Tariff schedule'!$C189,'Prop. prices'!$C$86:$C$160,0),MATCH('Tariff schedule'!P$16,'Prop. prices'!$I$5:$AB$5,0))</f>
        <v>0</v>
      </c>
      <c r="Q189" s="232">
        <f>INDEX('Prop. prices'!$I$86:$AB$160,MATCH('Tariff schedule'!$C189,'Prop. prices'!$C$86:$C$160,0),MATCH('Tariff schedule'!Q$16,'Prop. prices'!$I$5:$AB$5,0))</f>
        <v>0</v>
      </c>
      <c r="R189" s="232">
        <f>INDEX('Prop. prices'!$I$86:$AB$160,MATCH('Tariff schedule'!$C189,'Prop. prices'!$C$86:$C$160,0),MATCH('Tariff schedule'!R$16,'Prop. prices'!$I$5:$AB$5,0))</f>
        <v>0</v>
      </c>
      <c r="S189" s="232">
        <f>INDEX('Prop. prices'!$I$86:$AB$160,MATCH('Tariff schedule'!$C189,'Prop. prices'!$C$86:$C$160,0),MATCH('Tariff schedule'!S$16,'Prop. prices'!$I$5:$AB$5,0))</f>
        <v>0</v>
      </c>
      <c r="T189" s="232">
        <f>INDEX('Prop. prices'!$I$86:$AB$160,MATCH('Tariff schedule'!$C189,'Prop. prices'!$C$86:$C$160,0),MATCH('Tariff schedule'!T$16,'Prop. prices'!$I$5:$AB$5,0))</f>
        <v>0</v>
      </c>
      <c r="U189" s="232">
        <f>INDEX('Prop. prices'!$I$86:$AB$160,MATCH('Tariff schedule'!$C189,'Prop. prices'!$C$86:$C$160,0),MATCH('Tariff schedule'!U$16,'Prop. prices'!$I$5:$AB$5,0))</f>
        <v>0</v>
      </c>
      <c r="V189" s="232">
        <f>INDEX('Prop. prices'!$I$86:$AB$160,MATCH('Tariff schedule'!$C189,'Prop. prices'!$C$86:$C$160,0),MATCH('Tariff schedule'!V$16,'Prop. prices'!$I$5:$AB$5,0))</f>
        <v>0</v>
      </c>
      <c r="W189" s="232">
        <f>INDEX('Prop. prices'!$I$86:$AB$160,MATCH('Tariff schedule'!$C189,'Prop. prices'!$C$86:$C$160,0),MATCH('Tariff schedule'!W$16,'Prop. prices'!$I$5:$AB$5,0))</f>
        <v>0</v>
      </c>
      <c r="X189" s="232">
        <f>INDEX('Prop. prices'!$I$86:$AB$160,MATCH('Tariff schedule'!$C189,'Prop. prices'!$C$86:$C$160,0),MATCH('Tariff schedule'!X$16,'Prop. prices'!$I$5:$AB$5,0))</f>
        <v>0</v>
      </c>
      <c r="Y189" s="232">
        <f>INDEX('Prop. prices'!$I$86:$AB$160,MATCH('Tariff schedule'!$C189,'Prop. prices'!$C$86:$C$160,0),MATCH('Tariff schedule'!Y$16,'Prop. prices'!$I$5:$AB$5,0))</f>
        <v>0</v>
      </c>
      <c r="Z189" s="232">
        <f>INDEX('Prop. prices'!$I$86:$AB$160,MATCH('Tariff schedule'!$C189,'Prop. prices'!$C$86:$C$160,0),MATCH('Tariff schedule'!Z$16,'Prop. prices'!$I$5:$AB$5,0))</f>
        <v>0</v>
      </c>
      <c r="AA189" s="232">
        <f>INDEX('Prop. prices'!$I$86:$AB$160,MATCH('Tariff schedule'!$C189,'Prop. prices'!$C$86:$C$160,0),MATCH('Tariff schedule'!AA$16,'Prop. prices'!$I$5:$AB$5,0))</f>
        <v>0</v>
      </c>
      <c r="AB189" s="232">
        <f>INDEX('Prop. prices'!$I$86:$AB$160,MATCH('Tariff schedule'!$C189,'Prop. prices'!$C$86:$C$160,0),MATCH('Tariff schedule'!AB$16,'Prop. prices'!$I$5:$AB$5,0))</f>
        <v>0</v>
      </c>
      <c r="AC189" s="70"/>
      <c r="AD189" s="19"/>
      <c r="AE189" s="19"/>
      <c r="AF189" s="19"/>
      <c r="AG189" s="19"/>
    </row>
    <row r="190" spans="1:33" outlineLevel="2" x14ac:dyDescent="0.2">
      <c r="A190" s="19"/>
      <c r="B190" s="19"/>
      <c r="C190" s="506" t="str">
        <f t="shared" si="84"/>
        <v>Uncontrolled low voltage heating and hot water</v>
      </c>
      <c r="D190" s="505" t="str">
        <f t="shared" si="84"/>
        <v>Uncontrolled energy</v>
      </c>
      <c r="E190" s="505" t="str">
        <f t="shared" si="84"/>
        <v>TAS41</v>
      </c>
      <c r="F190" s="505">
        <f t="shared" si="84"/>
        <v>0</v>
      </c>
      <c r="G190" s="505">
        <f t="shared" si="84"/>
        <v>0</v>
      </c>
      <c r="H190" s="58"/>
      <c r="I190" s="232">
        <f>INDEX('Prop. prices'!$I$86:$AB$160,MATCH('Tariff schedule'!$C190,'Prop. prices'!$C$86:$C$160,0),MATCH('Tariff schedule'!I$16,'Prop. prices'!$I$5:$AB$5,0))</f>
        <v>0</v>
      </c>
      <c r="J190" s="232">
        <f>INDEX('Prop. prices'!$I$86:$AB$160,MATCH('Tariff schedule'!$C190,'Prop. prices'!$C$86:$C$160,0),MATCH('Tariff schedule'!J$16,'Prop. prices'!$I$5:$AB$5,0))</f>
        <v>1.964</v>
      </c>
      <c r="K190" s="232">
        <f>INDEX('Prop. prices'!$I$86:$AB$160,MATCH('Tariff schedule'!$C190,'Prop. prices'!$C$86:$C$160,0),MATCH('Tariff schedule'!K$16,'Prop. prices'!$I$5:$AB$5,0))</f>
        <v>0</v>
      </c>
      <c r="L190" s="232">
        <f>INDEX('Prop. prices'!$I$86:$AB$160,MATCH('Tariff schedule'!$C190,'Prop. prices'!$C$86:$C$160,0),MATCH('Tariff schedule'!L$16,'Prop. prices'!$I$5:$AB$5,0))</f>
        <v>0</v>
      </c>
      <c r="M190" s="232">
        <f>INDEX('Prop. prices'!$I$86:$AB$160,MATCH('Tariff schedule'!$C190,'Prop. prices'!$C$86:$C$160,0),MATCH('Tariff schedule'!M$16,'Prop. prices'!$I$5:$AB$5,0))</f>
        <v>0</v>
      </c>
      <c r="N190" s="232">
        <f>INDEX('Prop. prices'!$I$86:$AB$160,MATCH('Tariff schedule'!$C190,'Prop. prices'!$C$86:$C$160,0),MATCH('Tariff schedule'!N$16,'Prop. prices'!$I$5:$AB$5,0))</f>
        <v>0</v>
      </c>
      <c r="O190" s="232">
        <f>INDEX('Prop. prices'!$I$86:$AB$160,MATCH('Tariff schedule'!$C190,'Prop. prices'!$C$86:$C$160,0),MATCH('Tariff schedule'!O$16,'Prop. prices'!$I$5:$AB$5,0))</f>
        <v>0</v>
      </c>
      <c r="P190" s="232">
        <f>INDEX('Prop. prices'!$I$86:$AB$160,MATCH('Tariff schedule'!$C190,'Prop. prices'!$C$86:$C$160,0),MATCH('Tariff schedule'!P$16,'Prop. prices'!$I$5:$AB$5,0))</f>
        <v>0</v>
      </c>
      <c r="Q190" s="232">
        <f>INDEX('Prop. prices'!$I$86:$AB$160,MATCH('Tariff schedule'!$C190,'Prop. prices'!$C$86:$C$160,0),MATCH('Tariff schedule'!Q$16,'Prop. prices'!$I$5:$AB$5,0))</f>
        <v>0</v>
      </c>
      <c r="R190" s="232">
        <f>INDEX('Prop. prices'!$I$86:$AB$160,MATCH('Tariff schedule'!$C190,'Prop. prices'!$C$86:$C$160,0),MATCH('Tariff schedule'!R$16,'Prop. prices'!$I$5:$AB$5,0))</f>
        <v>0</v>
      </c>
      <c r="S190" s="232">
        <f>INDEX('Prop. prices'!$I$86:$AB$160,MATCH('Tariff schedule'!$C190,'Prop. prices'!$C$86:$C$160,0),MATCH('Tariff schedule'!S$16,'Prop. prices'!$I$5:$AB$5,0))</f>
        <v>0</v>
      </c>
      <c r="T190" s="232">
        <f>INDEX('Prop. prices'!$I$86:$AB$160,MATCH('Tariff schedule'!$C190,'Prop. prices'!$C$86:$C$160,0),MATCH('Tariff schedule'!T$16,'Prop. prices'!$I$5:$AB$5,0))</f>
        <v>0</v>
      </c>
      <c r="U190" s="232">
        <f>INDEX('Prop. prices'!$I$86:$AB$160,MATCH('Tariff schedule'!$C190,'Prop. prices'!$C$86:$C$160,0),MATCH('Tariff schedule'!U$16,'Prop. prices'!$I$5:$AB$5,0))</f>
        <v>0</v>
      </c>
      <c r="V190" s="232">
        <f>INDEX('Prop. prices'!$I$86:$AB$160,MATCH('Tariff schedule'!$C190,'Prop. prices'!$C$86:$C$160,0),MATCH('Tariff schedule'!V$16,'Prop. prices'!$I$5:$AB$5,0))</f>
        <v>0</v>
      </c>
      <c r="W190" s="232">
        <f>INDEX('Prop. prices'!$I$86:$AB$160,MATCH('Tariff schedule'!$C190,'Prop. prices'!$C$86:$C$160,0),MATCH('Tariff schedule'!W$16,'Prop. prices'!$I$5:$AB$5,0))</f>
        <v>0</v>
      </c>
      <c r="X190" s="232">
        <f>INDEX('Prop. prices'!$I$86:$AB$160,MATCH('Tariff schedule'!$C190,'Prop. prices'!$C$86:$C$160,0),MATCH('Tariff schedule'!X$16,'Prop. prices'!$I$5:$AB$5,0))</f>
        <v>0</v>
      </c>
      <c r="Y190" s="232">
        <f>INDEX('Prop. prices'!$I$86:$AB$160,MATCH('Tariff schedule'!$C190,'Prop. prices'!$C$86:$C$160,0),MATCH('Tariff schedule'!Y$16,'Prop. prices'!$I$5:$AB$5,0))</f>
        <v>0</v>
      </c>
      <c r="Z190" s="232">
        <f>INDEX('Prop. prices'!$I$86:$AB$160,MATCH('Tariff schedule'!$C190,'Prop. prices'!$C$86:$C$160,0),MATCH('Tariff schedule'!Z$16,'Prop. prices'!$I$5:$AB$5,0))</f>
        <v>0</v>
      </c>
      <c r="AA190" s="232">
        <f>INDEX('Prop. prices'!$I$86:$AB$160,MATCH('Tariff schedule'!$C190,'Prop. prices'!$C$86:$C$160,0),MATCH('Tariff schedule'!AA$16,'Prop. prices'!$I$5:$AB$5,0))</f>
        <v>0</v>
      </c>
      <c r="AB190" s="232">
        <f>INDEX('Prop. prices'!$I$86:$AB$160,MATCH('Tariff schedule'!$C190,'Prop. prices'!$C$86:$C$160,0),MATCH('Tariff schedule'!AB$16,'Prop. prices'!$I$5:$AB$5,0))</f>
        <v>0</v>
      </c>
      <c r="AC190" s="70"/>
      <c r="AD190" s="19"/>
      <c r="AE190" s="19"/>
      <c r="AF190" s="19"/>
      <c r="AG190" s="19"/>
    </row>
    <row r="191" spans="1:33" outlineLevel="2" x14ac:dyDescent="0.2">
      <c r="A191" s="19"/>
      <c r="B191" s="19"/>
      <c r="C191" s="506" t="str">
        <f t="shared" si="84"/>
        <v>Controlled low voltage night period only</v>
      </c>
      <c r="D191" s="505" t="str">
        <f t="shared" si="84"/>
        <v>Controlled energy</v>
      </c>
      <c r="E191" s="505" t="str">
        <f t="shared" si="84"/>
        <v>TAS63</v>
      </c>
      <c r="F191" s="505">
        <f t="shared" si="84"/>
        <v>0</v>
      </c>
      <c r="G191" s="505">
        <f t="shared" si="84"/>
        <v>0</v>
      </c>
      <c r="H191" s="58"/>
      <c r="I191" s="232">
        <f>INDEX('Prop. prices'!$I$86:$AB$160,MATCH('Tariff schedule'!$C191,'Prop. prices'!$C$86:$C$160,0),MATCH('Tariff schedule'!I$16,'Prop. prices'!$I$5:$AB$5,0))</f>
        <v>0</v>
      </c>
      <c r="J191" s="232">
        <f>INDEX('Prop. prices'!$I$86:$AB$160,MATCH('Tariff schedule'!$C191,'Prop. prices'!$C$86:$C$160,0),MATCH('Tariff schedule'!J$16,'Prop. prices'!$I$5:$AB$5,0))</f>
        <v>0.439</v>
      </c>
      <c r="K191" s="232">
        <f>INDEX('Prop. prices'!$I$86:$AB$160,MATCH('Tariff schedule'!$C191,'Prop. prices'!$C$86:$C$160,0),MATCH('Tariff schedule'!K$16,'Prop. prices'!$I$5:$AB$5,0))</f>
        <v>0</v>
      </c>
      <c r="L191" s="232">
        <f>INDEX('Prop. prices'!$I$86:$AB$160,MATCH('Tariff schedule'!$C191,'Prop. prices'!$C$86:$C$160,0),MATCH('Tariff schedule'!L$16,'Prop. prices'!$I$5:$AB$5,0))</f>
        <v>0</v>
      </c>
      <c r="M191" s="232">
        <f>INDEX('Prop. prices'!$I$86:$AB$160,MATCH('Tariff schedule'!$C191,'Prop. prices'!$C$86:$C$160,0),MATCH('Tariff schedule'!M$16,'Prop. prices'!$I$5:$AB$5,0))</f>
        <v>0</v>
      </c>
      <c r="N191" s="232">
        <f>INDEX('Prop. prices'!$I$86:$AB$160,MATCH('Tariff schedule'!$C191,'Prop. prices'!$C$86:$C$160,0),MATCH('Tariff schedule'!N$16,'Prop. prices'!$I$5:$AB$5,0))</f>
        <v>0</v>
      </c>
      <c r="O191" s="232">
        <f>INDEX('Prop. prices'!$I$86:$AB$160,MATCH('Tariff schedule'!$C191,'Prop. prices'!$C$86:$C$160,0),MATCH('Tariff schedule'!O$16,'Prop. prices'!$I$5:$AB$5,0))</f>
        <v>0</v>
      </c>
      <c r="P191" s="232">
        <f>INDEX('Prop. prices'!$I$86:$AB$160,MATCH('Tariff schedule'!$C191,'Prop. prices'!$C$86:$C$160,0),MATCH('Tariff schedule'!P$16,'Prop. prices'!$I$5:$AB$5,0))</f>
        <v>0</v>
      </c>
      <c r="Q191" s="232">
        <f>INDEX('Prop. prices'!$I$86:$AB$160,MATCH('Tariff schedule'!$C191,'Prop. prices'!$C$86:$C$160,0),MATCH('Tariff schedule'!Q$16,'Prop. prices'!$I$5:$AB$5,0))</f>
        <v>0</v>
      </c>
      <c r="R191" s="232">
        <f>INDEX('Prop. prices'!$I$86:$AB$160,MATCH('Tariff schedule'!$C191,'Prop. prices'!$C$86:$C$160,0),MATCH('Tariff schedule'!R$16,'Prop. prices'!$I$5:$AB$5,0))</f>
        <v>0</v>
      </c>
      <c r="S191" s="232">
        <f>INDEX('Prop. prices'!$I$86:$AB$160,MATCH('Tariff schedule'!$C191,'Prop. prices'!$C$86:$C$160,0),MATCH('Tariff schedule'!S$16,'Prop. prices'!$I$5:$AB$5,0))</f>
        <v>0</v>
      </c>
      <c r="T191" s="232">
        <f>INDEX('Prop. prices'!$I$86:$AB$160,MATCH('Tariff schedule'!$C191,'Prop. prices'!$C$86:$C$160,0),MATCH('Tariff schedule'!T$16,'Prop. prices'!$I$5:$AB$5,0))</f>
        <v>0</v>
      </c>
      <c r="U191" s="232">
        <f>INDEX('Prop. prices'!$I$86:$AB$160,MATCH('Tariff schedule'!$C191,'Prop. prices'!$C$86:$C$160,0),MATCH('Tariff schedule'!U$16,'Prop. prices'!$I$5:$AB$5,0))</f>
        <v>0</v>
      </c>
      <c r="V191" s="232">
        <f>INDEX('Prop. prices'!$I$86:$AB$160,MATCH('Tariff schedule'!$C191,'Prop. prices'!$C$86:$C$160,0),MATCH('Tariff schedule'!V$16,'Prop. prices'!$I$5:$AB$5,0))</f>
        <v>0</v>
      </c>
      <c r="W191" s="232">
        <f>INDEX('Prop. prices'!$I$86:$AB$160,MATCH('Tariff schedule'!$C191,'Prop. prices'!$C$86:$C$160,0),MATCH('Tariff schedule'!W$16,'Prop. prices'!$I$5:$AB$5,0))</f>
        <v>0</v>
      </c>
      <c r="X191" s="232">
        <f>INDEX('Prop. prices'!$I$86:$AB$160,MATCH('Tariff schedule'!$C191,'Prop. prices'!$C$86:$C$160,0),MATCH('Tariff schedule'!X$16,'Prop. prices'!$I$5:$AB$5,0))</f>
        <v>0</v>
      </c>
      <c r="Y191" s="232">
        <f>INDEX('Prop. prices'!$I$86:$AB$160,MATCH('Tariff schedule'!$C191,'Prop. prices'!$C$86:$C$160,0),MATCH('Tariff schedule'!Y$16,'Prop. prices'!$I$5:$AB$5,0))</f>
        <v>0</v>
      </c>
      <c r="Z191" s="232">
        <f>INDEX('Prop. prices'!$I$86:$AB$160,MATCH('Tariff schedule'!$C191,'Prop. prices'!$C$86:$C$160,0),MATCH('Tariff schedule'!Z$16,'Prop. prices'!$I$5:$AB$5,0))</f>
        <v>0</v>
      </c>
      <c r="AA191" s="232">
        <f>INDEX('Prop. prices'!$I$86:$AB$160,MATCH('Tariff schedule'!$C191,'Prop. prices'!$C$86:$C$160,0),MATCH('Tariff schedule'!AA$16,'Prop. prices'!$I$5:$AB$5,0))</f>
        <v>0</v>
      </c>
      <c r="AB191" s="232">
        <f>INDEX('Prop. prices'!$I$86:$AB$160,MATCH('Tariff schedule'!$C191,'Prop. prices'!$C$86:$C$160,0),MATCH('Tariff schedule'!AB$16,'Prop. prices'!$I$5:$AB$5,0))</f>
        <v>0</v>
      </c>
      <c r="AC191" s="70"/>
      <c r="AD191" s="19"/>
      <c r="AE191" s="19"/>
      <c r="AF191" s="19"/>
      <c r="AG191" s="19"/>
    </row>
    <row r="192" spans="1:33" outlineLevel="2" x14ac:dyDescent="0.2">
      <c r="A192" s="19"/>
      <c r="B192" s="19"/>
      <c r="C192" s="506" t="str">
        <f t="shared" si="84"/>
        <v>Controlled low voltage off peak with afternoon boost</v>
      </c>
      <c r="D192" s="505" t="str">
        <f t="shared" si="84"/>
        <v>Controlled energy</v>
      </c>
      <c r="E192" s="505" t="str">
        <f t="shared" si="84"/>
        <v>TAS61</v>
      </c>
      <c r="F192" s="505">
        <f t="shared" si="84"/>
        <v>0</v>
      </c>
      <c r="G192" s="505">
        <f t="shared" si="84"/>
        <v>0</v>
      </c>
      <c r="H192" s="58"/>
      <c r="I192" s="232">
        <f>INDEX('Prop. prices'!$I$86:$AB$160,MATCH('Tariff schedule'!$C192,'Prop. prices'!$C$86:$C$160,0),MATCH('Tariff schedule'!I$16,'Prop. prices'!$I$5:$AB$5,0))</f>
        <v>0</v>
      </c>
      <c r="J192" s="232">
        <f>INDEX('Prop. prices'!$I$86:$AB$160,MATCH('Tariff schedule'!$C192,'Prop. prices'!$C$86:$C$160,0),MATCH('Tariff schedule'!J$16,'Prop. prices'!$I$5:$AB$5,0))</f>
        <v>0.55000000000000004</v>
      </c>
      <c r="K192" s="232">
        <f>INDEX('Prop. prices'!$I$86:$AB$160,MATCH('Tariff schedule'!$C192,'Prop. prices'!$C$86:$C$160,0),MATCH('Tariff schedule'!K$16,'Prop. prices'!$I$5:$AB$5,0))</f>
        <v>0</v>
      </c>
      <c r="L192" s="232">
        <f>INDEX('Prop. prices'!$I$86:$AB$160,MATCH('Tariff schedule'!$C192,'Prop. prices'!$C$86:$C$160,0),MATCH('Tariff schedule'!L$16,'Prop. prices'!$I$5:$AB$5,0))</f>
        <v>0</v>
      </c>
      <c r="M192" s="232">
        <f>INDEX('Prop. prices'!$I$86:$AB$160,MATCH('Tariff schedule'!$C192,'Prop. prices'!$C$86:$C$160,0),MATCH('Tariff schedule'!M$16,'Prop. prices'!$I$5:$AB$5,0))</f>
        <v>0</v>
      </c>
      <c r="N192" s="232">
        <f>INDEX('Prop. prices'!$I$86:$AB$160,MATCH('Tariff schedule'!$C192,'Prop. prices'!$C$86:$C$160,0),MATCH('Tariff schedule'!N$16,'Prop. prices'!$I$5:$AB$5,0))</f>
        <v>0</v>
      </c>
      <c r="O192" s="232">
        <f>INDEX('Prop. prices'!$I$86:$AB$160,MATCH('Tariff schedule'!$C192,'Prop. prices'!$C$86:$C$160,0),MATCH('Tariff schedule'!O$16,'Prop. prices'!$I$5:$AB$5,0))</f>
        <v>0</v>
      </c>
      <c r="P192" s="232">
        <f>INDEX('Prop. prices'!$I$86:$AB$160,MATCH('Tariff schedule'!$C192,'Prop. prices'!$C$86:$C$160,0),MATCH('Tariff schedule'!P$16,'Prop. prices'!$I$5:$AB$5,0))</f>
        <v>0</v>
      </c>
      <c r="Q192" s="232">
        <f>INDEX('Prop. prices'!$I$86:$AB$160,MATCH('Tariff schedule'!$C192,'Prop. prices'!$C$86:$C$160,0),MATCH('Tariff schedule'!Q$16,'Prop. prices'!$I$5:$AB$5,0))</f>
        <v>0</v>
      </c>
      <c r="R192" s="232">
        <f>INDEX('Prop. prices'!$I$86:$AB$160,MATCH('Tariff schedule'!$C192,'Prop. prices'!$C$86:$C$160,0),MATCH('Tariff schedule'!R$16,'Prop. prices'!$I$5:$AB$5,0))</f>
        <v>0</v>
      </c>
      <c r="S192" s="232">
        <f>INDEX('Prop. prices'!$I$86:$AB$160,MATCH('Tariff schedule'!$C192,'Prop. prices'!$C$86:$C$160,0),MATCH('Tariff schedule'!S$16,'Prop. prices'!$I$5:$AB$5,0))</f>
        <v>0</v>
      </c>
      <c r="T192" s="232">
        <f>INDEX('Prop. prices'!$I$86:$AB$160,MATCH('Tariff schedule'!$C192,'Prop. prices'!$C$86:$C$160,0),MATCH('Tariff schedule'!T$16,'Prop. prices'!$I$5:$AB$5,0))</f>
        <v>0</v>
      </c>
      <c r="U192" s="232">
        <f>INDEX('Prop. prices'!$I$86:$AB$160,MATCH('Tariff schedule'!$C192,'Prop. prices'!$C$86:$C$160,0),MATCH('Tariff schedule'!U$16,'Prop. prices'!$I$5:$AB$5,0))</f>
        <v>0</v>
      </c>
      <c r="V192" s="232">
        <f>INDEX('Prop. prices'!$I$86:$AB$160,MATCH('Tariff schedule'!$C192,'Prop. prices'!$C$86:$C$160,0),MATCH('Tariff schedule'!V$16,'Prop. prices'!$I$5:$AB$5,0))</f>
        <v>0</v>
      </c>
      <c r="W192" s="232">
        <f>INDEX('Prop. prices'!$I$86:$AB$160,MATCH('Tariff schedule'!$C192,'Prop. prices'!$C$86:$C$160,0),MATCH('Tariff schedule'!W$16,'Prop. prices'!$I$5:$AB$5,0))</f>
        <v>0</v>
      </c>
      <c r="X192" s="232">
        <f>INDEX('Prop. prices'!$I$86:$AB$160,MATCH('Tariff schedule'!$C192,'Prop. prices'!$C$86:$C$160,0),MATCH('Tariff schedule'!X$16,'Prop. prices'!$I$5:$AB$5,0))</f>
        <v>0</v>
      </c>
      <c r="Y192" s="232">
        <f>INDEX('Prop. prices'!$I$86:$AB$160,MATCH('Tariff schedule'!$C192,'Prop. prices'!$C$86:$C$160,0),MATCH('Tariff schedule'!Y$16,'Prop. prices'!$I$5:$AB$5,0))</f>
        <v>0</v>
      </c>
      <c r="Z192" s="232">
        <f>INDEX('Prop. prices'!$I$86:$AB$160,MATCH('Tariff schedule'!$C192,'Prop. prices'!$C$86:$C$160,0),MATCH('Tariff schedule'!Z$16,'Prop. prices'!$I$5:$AB$5,0))</f>
        <v>0</v>
      </c>
      <c r="AA192" s="232">
        <f>INDEX('Prop. prices'!$I$86:$AB$160,MATCH('Tariff schedule'!$C192,'Prop. prices'!$C$86:$C$160,0),MATCH('Tariff schedule'!AA$16,'Prop. prices'!$I$5:$AB$5,0))</f>
        <v>0</v>
      </c>
      <c r="AB192" s="232">
        <f>INDEX('Prop. prices'!$I$86:$AB$160,MATCH('Tariff schedule'!$C192,'Prop. prices'!$C$86:$C$160,0),MATCH('Tariff schedule'!AB$16,'Prop. prices'!$I$5:$AB$5,0))</f>
        <v>0</v>
      </c>
      <c r="AC192" s="70"/>
      <c r="AD192" s="19"/>
      <c r="AE192" s="19"/>
      <c r="AF192" s="19"/>
      <c r="AG192" s="19"/>
    </row>
    <row r="193" spans="1:33" outlineLevel="2" x14ac:dyDescent="0.2">
      <c r="A193" s="19"/>
      <c r="B193" s="19"/>
      <c r="C193" s="506" t="str">
        <f t="shared" si="84"/>
        <v>Unmetered supply general</v>
      </c>
      <c r="D193" s="505" t="str">
        <f t="shared" si="84"/>
        <v>Unmetered supplies</v>
      </c>
      <c r="E193" s="505" t="str">
        <f t="shared" si="84"/>
        <v>TASUMS</v>
      </c>
      <c r="F193" s="505">
        <f t="shared" si="84"/>
        <v>0</v>
      </c>
      <c r="G193" s="505">
        <f t="shared" si="84"/>
        <v>0</v>
      </c>
      <c r="H193" s="58"/>
      <c r="I193" s="232">
        <f>INDEX('Prop. prices'!$I$86:$AB$160,MATCH('Tariff schedule'!$C193,'Prop. prices'!$C$86:$C$160,0),MATCH('Tariff schedule'!I$16,'Prop. prices'!$I$5:$AB$5,0))</f>
        <v>0</v>
      </c>
      <c r="J193" s="232">
        <f>INDEX('Prop. prices'!$I$86:$AB$160,MATCH('Tariff schedule'!$C193,'Prop. prices'!$C$86:$C$160,0),MATCH('Tariff schedule'!J$16,'Prop. prices'!$I$5:$AB$5,0))</f>
        <v>2.7629999999999999</v>
      </c>
      <c r="K193" s="232">
        <f>INDEX('Prop. prices'!$I$86:$AB$160,MATCH('Tariff schedule'!$C193,'Prop. prices'!$C$86:$C$160,0),MATCH('Tariff schedule'!K$16,'Prop. prices'!$I$5:$AB$5,0))</f>
        <v>0</v>
      </c>
      <c r="L193" s="232">
        <f>INDEX('Prop. prices'!$I$86:$AB$160,MATCH('Tariff schedule'!$C193,'Prop. prices'!$C$86:$C$160,0),MATCH('Tariff schedule'!L$16,'Prop. prices'!$I$5:$AB$5,0))</f>
        <v>0</v>
      </c>
      <c r="M193" s="232">
        <f>INDEX('Prop. prices'!$I$86:$AB$160,MATCH('Tariff schedule'!$C193,'Prop. prices'!$C$86:$C$160,0),MATCH('Tariff schedule'!M$16,'Prop. prices'!$I$5:$AB$5,0))</f>
        <v>0</v>
      </c>
      <c r="N193" s="232">
        <f>INDEX('Prop. prices'!$I$86:$AB$160,MATCH('Tariff schedule'!$C193,'Prop. prices'!$C$86:$C$160,0),MATCH('Tariff schedule'!N$16,'Prop. prices'!$I$5:$AB$5,0))</f>
        <v>0</v>
      </c>
      <c r="O193" s="232">
        <f>INDEX('Prop. prices'!$I$86:$AB$160,MATCH('Tariff schedule'!$C193,'Prop. prices'!$C$86:$C$160,0),MATCH('Tariff schedule'!O$16,'Prop. prices'!$I$5:$AB$5,0))</f>
        <v>0</v>
      </c>
      <c r="P193" s="232">
        <f>INDEX('Prop. prices'!$I$86:$AB$160,MATCH('Tariff schedule'!$C193,'Prop. prices'!$C$86:$C$160,0),MATCH('Tariff schedule'!P$16,'Prop. prices'!$I$5:$AB$5,0))</f>
        <v>0</v>
      </c>
      <c r="Q193" s="232">
        <f>INDEX('Prop. prices'!$I$86:$AB$160,MATCH('Tariff schedule'!$C193,'Prop. prices'!$C$86:$C$160,0),MATCH('Tariff schedule'!Q$16,'Prop. prices'!$I$5:$AB$5,0))</f>
        <v>0</v>
      </c>
      <c r="R193" s="232">
        <f>INDEX('Prop. prices'!$I$86:$AB$160,MATCH('Tariff schedule'!$C193,'Prop. prices'!$C$86:$C$160,0),MATCH('Tariff schedule'!R$16,'Prop. prices'!$I$5:$AB$5,0))</f>
        <v>0</v>
      </c>
      <c r="S193" s="232">
        <f>INDEX('Prop. prices'!$I$86:$AB$160,MATCH('Tariff schedule'!$C193,'Prop. prices'!$C$86:$C$160,0),MATCH('Tariff schedule'!S$16,'Prop. prices'!$I$5:$AB$5,0))</f>
        <v>0</v>
      </c>
      <c r="T193" s="232">
        <f>INDEX('Prop. prices'!$I$86:$AB$160,MATCH('Tariff schedule'!$C193,'Prop. prices'!$C$86:$C$160,0),MATCH('Tariff schedule'!T$16,'Prop. prices'!$I$5:$AB$5,0))</f>
        <v>0</v>
      </c>
      <c r="U193" s="232">
        <f>INDEX('Prop. prices'!$I$86:$AB$160,MATCH('Tariff schedule'!$C193,'Prop. prices'!$C$86:$C$160,0),MATCH('Tariff schedule'!U$16,'Prop. prices'!$I$5:$AB$5,0))</f>
        <v>0</v>
      </c>
      <c r="V193" s="232">
        <f>INDEX('Prop. prices'!$I$86:$AB$160,MATCH('Tariff schedule'!$C193,'Prop. prices'!$C$86:$C$160,0),MATCH('Tariff schedule'!V$16,'Prop. prices'!$I$5:$AB$5,0))</f>
        <v>0</v>
      </c>
      <c r="W193" s="232">
        <f>INDEX('Prop. prices'!$I$86:$AB$160,MATCH('Tariff schedule'!$C193,'Prop. prices'!$C$86:$C$160,0),MATCH('Tariff schedule'!W$16,'Prop. prices'!$I$5:$AB$5,0))</f>
        <v>0</v>
      </c>
      <c r="X193" s="232">
        <f>INDEX('Prop. prices'!$I$86:$AB$160,MATCH('Tariff schedule'!$C193,'Prop. prices'!$C$86:$C$160,0),MATCH('Tariff schedule'!X$16,'Prop. prices'!$I$5:$AB$5,0))</f>
        <v>0</v>
      </c>
      <c r="Y193" s="232">
        <f>INDEX('Prop. prices'!$I$86:$AB$160,MATCH('Tariff schedule'!$C193,'Prop. prices'!$C$86:$C$160,0),MATCH('Tariff schedule'!Y$16,'Prop. prices'!$I$5:$AB$5,0))</f>
        <v>0</v>
      </c>
      <c r="Z193" s="232">
        <f>INDEX('Prop. prices'!$I$86:$AB$160,MATCH('Tariff schedule'!$C193,'Prop. prices'!$C$86:$C$160,0),MATCH('Tariff schedule'!Z$16,'Prop. prices'!$I$5:$AB$5,0))</f>
        <v>0</v>
      </c>
      <c r="AA193" s="232">
        <f>INDEX('Prop. prices'!$I$86:$AB$160,MATCH('Tariff schedule'!$C193,'Prop. prices'!$C$86:$C$160,0),MATCH('Tariff schedule'!AA$16,'Prop. prices'!$I$5:$AB$5,0))</f>
        <v>0</v>
      </c>
      <c r="AB193" s="232">
        <f>INDEX('Prop. prices'!$I$86:$AB$160,MATCH('Tariff schedule'!$C193,'Prop. prices'!$C$86:$C$160,0),MATCH('Tariff schedule'!AB$16,'Prop. prices'!$I$5:$AB$5,0))</f>
        <v>0</v>
      </c>
      <c r="AC193" s="70"/>
      <c r="AD193" s="19"/>
      <c r="AE193" s="19"/>
      <c r="AF193" s="19"/>
      <c r="AG193" s="19"/>
    </row>
    <row r="194" spans="1:33" outlineLevel="2" x14ac:dyDescent="0.2">
      <c r="A194" s="19"/>
      <c r="B194" s="19"/>
      <c r="C194" s="506" t="str">
        <f t="shared" si="84"/>
        <v>Street lighting</v>
      </c>
      <c r="D194" s="505" t="str">
        <f t="shared" si="84"/>
        <v>Street lighting</v>
      </c>
      <c r="E194" s="505" t="str">
        <f t="shared" si="84"/>
        <v>TASUMSSL</v>
      </c>
      <c r="F194" s="505">
        <f t="shared" si="84"/>
        <v>0</v>
      </c>
      <c r="G194" s="505">
        <f t="shared" si="84"/>
        <v>0</v>
      </c>
      <c r="H194" s="58"/>
      <c r="I194" s="232">
        <f>INDEX('Prop. prices'!$I$86:$AB$160,MATCH('Tariff schedule'!$C194,'Prop. prices'!$C$86:$C$160,0),MATCH('Tariff schedule'!I$16,'Prop. prices'!$I$5:$AB$5,0))</f>
        <v>0</v>
      </c>
      <c r="J194" s="232">
        <f>INDEX('Prop. prices'!$I$86:$AB$160,MATCH('Tariff schedule'!$C194,'Prop. prices'!$C$86:$C$160,0),MATCH('Tariff schedule'!J$16,'Prop. prices'!$I$5:$AB$5,0))</f>
        <v>0</v>
      </c>
      <c r="K194" s="232">
        <f>INDEX('Prop. prices'!$I$86:$AB$160,MATCH('Tariff schedule'!$C194,'Prop. prices'!$C$86:$C$160,0),MATCH('Tariff schedule'!K$16,'Prop. prices'!$I$5:$AB$5,0))</f>
        <v>0</v>
      </c>
      <c r="L194" s="232">
        <f>INDEX('Prop. prices'!$I$86:$AB$160,MATCH('Tariff schedule'!$C194,'Prop. prices'!$C$86:$C$160,0),MATCH('Tariff schedule'!L$16,'Prop. prices'!$I$5:$AB$5,0))</f>
        <v>0</v>
      </c>
      <c r="M194" s="232">
        <f>INDEX('Prop. prices'!$I$86:$AB$160,MATCH('Tariff schedule'!$C194,'Prop. prices'!$C$86:$C$160,0),MATCH('Tariff schedule'!M$16,'Prop. prices'!$I$5:$AB$5,0))</f>
        <v>0</v>
      </c>
      <c r="N194" s="232">
        <f>INDEX('Prop. prices'!$I$86:$AB$160,MATCH('Tariff schedule'!$C194,'Prop. prices'!$C$86:$C$160,0),MATCH('Tariff schedule'!N$16,'Prop. prices'!$I$5:$AB$5,0))</f>
        <v>0</v>
      </c>
      <c r="O194" s="232">
        <f>INDEX('Prop. prices'!$I$86:$AB$160,MATCH('Tariff schedule'!$C194,'Prop. prices'!$C$86:$C$160,0),MATCH('Tariff schedule'!O$16,'Prop. prices'!$I$5:$AB$5,0))</f>
        <v>0</v>
      </c>
      <c r="P194" s="232">
        <f>INDEX('Prop. prices'!$I$86:$AB$160,MATCH('Tariff schedule'!$C194,'Prop. prices'!$C$86:$C$160,0),MATCH('Tariff schedule'!P$16,'Prop. prices'!$I$5:$AB$5,0))</f>
        <v>0</v>
      </c>
      <c r="Q194" s="232">
        <f>INDEX('Prop. prices'!$I$86:$AB$160,MATCH('Tariff schedule'!$C194,'Prop. prices'!$C$86:$C$160,0),MATCH('Tariff schedule'!Q$16,'Prop. prices'!$I$5:$AB$5,0))</f>
        <v>0</v>
      </c>
      <c r="R194" s="232">
        <f>INDEX('Prop. prices'!$I$86:$AB$160,MATCH('Tariff schedule'!$C194,'Prop. prices'!$C$86:$C$160,0),MATCH('Tariff schedule'!R$16,'Prop. prices'!$I$5:$AB$5,0))</f>
        <v>0</v>
      </c>
      <c r="S194" s="232">
        <f>INDEX('Prop. prices'!$I$86:$AB$160,MATCH('Tariff schedule'!$C194,'Prop. prices'!$C$86:$C$160,0),MATCH('Tariff schedule'!S$16,'Prop. prices'!$I$5:$AB$5,0))</f>
        <v>0</v>
      </c>
      <c r="T194" s="232">
        <f>INDEX('Prop. prices'!$I$86:$AB$160,MATCH('Tariff schedule'!$C194,'Prop. prices'!$C$86:$C$160,0),MATCH('Tariff schedule'!T$16,'Prop. prices'!$I$5:$AB$5,0))</f>
        <v>0</v>
      </c>
      <c r="U194" s="232">
        <f>INDEX('Prop. prices'!$I$86:$AB$160,MATCH('Tariff schedule'!$C194,'Prop. prices'!$C$86:$C$160,0),MATCH('Tariff schedule'!U$16,'Prop. prices'!$I$5:$AB$5,0))</f>
        <v>2.5999999999999999E-2</v>
      </c>
      <c r="V194" s="232">
        <f>INDEX('Prop. prices'!$I$86:$AB$160,MATCH('Tariff schedule'!$C194,'Prop. prices'!$C$86:$C$160,0),MATCH('Tariff schedule'!V$16,'Prop. prices'!$I$5:$AB$5,0))</f>
        <v>0</v>
      </c>
      <c r="W194" s="232">
        <f>INDEX('Prop. prices'!$I$86:$AB$160,MATCH('Tariff schedule'!$C194,'Prop. prices'!$C$86:$C$160,0),MATCH('Tariff schedule'!W$16,'Prop. prices'!$I$5:$AB$5,0))</f>
        <v>0</v>
      </c>
      <c r="X194" s="232">
        <f>INDEX('Prop. prices'!$I$86:$AB$160,MATCH('Tariff schedule'!$C194,'Prop. prices'!$C$86:$C$160,0),MATCH('Tariff schedule'!X$16,'Prop. prices'!$I$5:$AB$5,0))</f>
        <v>0</v>
      </c>
      <c r="Y194" s="232">
        <f>INDEX('Prop. prices'!$I$86:$AB$160,MATCH('Tariff schedule'!$C194,'Prop. prices'!$C$86:$C$160,0),MATCH('Tariff schedule'!Y$16,'Prop. prices'!$I$5:$AB$5,0))</f>
        <v>0</v>
      </c>
      <c r="Z194" s="232">
        <f>INDEX('Prop. prices'!$I$86:$AB$160,MATCH('Tariff schedule'!$C194,'Prop. prices'!$C$86:$C$160,0),MATCH('Tariff schedule'!Z$16,'Prop. prices'!$I$5:$AB$5,0))</f>
        <v>0</v>
      </c>
      <c r="AA194" s="232">
        <f>INDEX('Prop. prices'!$I$86:$AB$160,MATCH('Tariff schedule'!$C194,'Prop. prices'!$C$86:$C$160,0),MATCH('Tariff schedule'!AA$16,'Prop. prices'!$I$5:$AB$5,0))</f>
        <v>0</v>
      </c>
      <c r="AB194" s="232">
        <f>INDEX('Prop. prices'!$I$86:$AB$160,MATCH('Tariff schedule'!$C194,'Prop. prices'!$C$86:$C$160,0),MATCH('Tariff schedule'!AB$16,'Prop. prices'!$I$5:$AB$5,0))</f>
        <v>0</v>
      </c>
      <c r="AC194" s="70"/>
      <c r="AD194" s="19"/>
      <c r="AE194" s="19"/>
      <c r="AF194" s="19"/>
      <c r="AG194" s="19"/>
    </row>
    <row r="195" spans="1:33" outlineLevel="2" x14ac:dyDescent="0.2">
      <c r="A195" s="19"/>
      <c r="B195" s="19"/>
      <c r="C195" s="506">
        <f t="shared" ref="C195:G204" si="85">C39</f>
        <v>0</v>
      </c>
      <c r="D195" s="505">
        <f t="shared" si="85"/>
        <v>0</v>
      </c>
      <c r="E195" s="505">
        <f t="shared" si="85"/>
        <v>0</v>
      </c>
      <c r="F195" s="505">
        <f t="shared" si="85"/>
        <v>0</v>
      </c>
      <c r="G195" s="505">
        <f t="shared" si="85"/>
        <v>0</v>
      </c>
      <c r="H195" s="58"/>
      <c r="I195" s="232">
        <f>INDEX('Prop. prices'!$I$86:$AB$160,MATCH('Tariff schedule'!$C195,'Prop. prices'!$C$86:$C$160,0),MATCH('Tariff schedule'!I$16,'Prop. prices'!$I$5:$AB$5,0))</f>
        <v>0</v>
      </c>
      <c r="J195" s="232">
        <f>INDEX('Prop. prices'!$I$86:$AB$160,MATCH('Tariff schedule'!$C195,'Prop. prices'!$C$86:$C$160,0),MATCH('Tariff schedule'!J$16,'Prop. prices'!$I$5:$AB$5,0))</f>
        <v>0</v>
      </c>
      <c r="K195" s="232">
        <f>INDEX('Prop. prices'!$I$86:$AB$160,MATCH('Tariff schedule'!$C195,'Prop. prices'!$C$86:$C$160,0),MATCH('Tariff schedule'!K$16,'Prop. prices'!$I$5:$AB$5,0))</f>
        <v>0</v>
      </c>
      <c r="L195" s="232">
        <f>INDEX('Prop. prices'!$I$86:$AB$160,MATCH('Tariff schedule'!$C195,'Prop. prices'!$C$86:$C$160,0),MATCH('Tariff schedule'!L$16,'Prop. prices'!$I$5:$AB$5,0))</f>
        <v>0</v>
      </c>
      <c r="M195" s="232">
        <f>INDEX('Prop. prices'!$I$86:$AB$160,MATCH('Tariff schedule'!$C195,'Prop. prices'!$C$86:$C$160,0),MATCH('Tariff schedule'!M$16,'Prop. prices'!$I$5:$AB$5,0))</f>
        <v>0</v>
      </c>
      <c r="N195" s="232">
        <f>INDEX('Prop. prices'!$I$86:$AB$160,MATCH('Tariff schedule'!$C195,'Prop. prices'!$C$86:$C$160,0),MATCH('Tariff schedule'!N$16,'Prop. prices'!$I$5:$AB$5,0))</f>
        <v>0</v>
      </c>
      <c r="O195" s="232">
        <f>INDEX('Prop. prices'!$I$86:$AB$160,MATCH('Tariff schedule'!$C195,'Prop. prices'!$C$86:$C$160,0),MATCH('Tariff schedule'!O$16,'Prop. prices'!$I$5:$AB$5,0))</f>
        <v>0</v>
      </c>
      <c r="P195" s="232">
        <f>INDEX('Prop. prices'!$I$86:$AB$160,MATCH('Tariff schedule'!$C195,'Prop. prices'!$C$86:$C$160,0),MATCH('Tariff schedule'!P$16,'Prop. prices'!$I$5:$AB$5,0))</f>
        <v>0</v>
      </c>
      <c r="Q195" s="232">
        <f>INDEX('Prop. prices'!$I$86:$AB$160,MATCH('Tariff schedule'!$C195,'Prop. prices'!$C$86:$C$160,0),MATCH('Tariff schedule'!Q$16,'Prop. prices'!$I$5:$AB$5,0))</f>
        <v>0</v>
      </c>
      <c r="R195" s="232">
        <f>INDEX('Prop. prices'!$I$86:$AB$160,MATCH('Tariff schedule'!$C195,'Prop. prices'!$C$86:$C$160,0),MATCH('Tariff schedule'!R$16,'Prop. prices'!$I$5:$AB$5,0))</f>
        <v>0</v>
      </c>
      <c r="S195" s="232">
        <f>INDEX('Prop. prices'!$I$86:$AB$160,MATCH('Tariff schedule'!$C195,'Prop. prices'!$C$86:$C$160,0),MATCH('Tariff schedule'!S$16,'Prop. prices'!$I$5:$AB$5,0))</f>
        <v>0</v>
      </c>
      <c r="T195" s="232">
        <f>INDEX('Prop. prices'!$I$86:$AB$160,MATCH('Tariff schedule'!$C195,'Prop. prices'!$C$86:$C$160,0),MATCH('Tariff schedule'!T$16,'Prop. prices'!$I$5:$AB$5,0))</f>
        <v>0</v>
      </c>
      <c r="U195" s="232">
        <f>INDEX('Prop. prices'!$I$86:$AB$160,MATCH('Tariff schedule'!$C195,'Prop. prices'!$C$86:$C$160,0),MATCH('Tariff schedule'!U$16,'Prop. prices'!$I$5:$AB$5,0))</f>
        <v>0</v>
      </c>
      <c r="V195" s="232">
        <f>INDEX('Prop. prices'!$I$86:$AB$160,MATCH('Tariff schedule'!$C195,'Prop. prices'!$C$86:$C$160,0),MATCH('Tariff schedule'!V$16,'Prop. prices'!$I$5:$AB$5,0))</f>
        <v>0</v>
      </c>
      <c r="W195" s="232">
        <f>INDEX('Prop. prices'!$I$86:$AB$160,MATCH('Tariff schedule'!$C195,'Prop. prices'!$C$86:$C$160,0),MATCH('Tariff schedule'!W$16,'Prop. prices'!$I$5:$AB$5,0))</f>
        <v>0</v>
      </c>
      <c r="X195" s="232">
        <f>INDEX('Prop. prices'!$I$86:$AB$160,MATCH('Tariff schedule'!$C195,'Prop. prices'!$C$86:$C$160,0),MATCH('Tariff schedule'!X$16,'Prop. prices'!$I$5:$AB$5,0))</f>
        <v>0</v>
      </c>
      <c r="Y195" s="232">
        <f>INDEX('Prop. prices'!$I$86:$AB$160,MATCH('Tariff schedule'!$C195,'Prop. prices'!$C$86:$C$160,0),MATCH('Tariff schedule'!Y$16,'Prop. prices'!$I$5:$AB$5,0))</f>
        <v>0</v>
      </c>
      <c r="Z195" s="232">
        <f>INDEX('Prop. prices'!$I$86:$AB$160,MATCH('Tariff schedule'!$C195,'Prop. prices'!$C$86:$C$160,0),MATCH('Tariff schedule'!Z$16,'Prop. prices'!$I$5:$AB$5,0))</f>
        <v>0</v>
      </c>
      <c r="AA195" s="232">
        <f>INDEX('Prop. prices'!$I$86:$AB$160,MATCH('Tariff schedule'!$C195,'Prop. prices'!$C$86:$C$160,0),MATCH('Tariff schedule'!AA$16,'Prop. prices'!$I$5:$AB$5,0))</f>
        <v>0</v>
      </c>
      <c r="AB195" s="232">
        <f>INDEX('Prop. prices'!$I$86:$AB$160,MATCH('Tariff schedule'!$C195,'Prop. prices'!$C$86:$C$160,0),MATCH('Tariff schedule'!AB$16,'Prop. prices'!$I$5:$AB$5,0))</f>
        <v>0</v>
      </c>
      <c r="AC195" s="70"/>
      <c r="AD195" s="19"/>
      <c r="AE195" s="19"/>
      <c r="AF195" s="19"/>
      <c r="AG195" s="19"/>
    </row>
    <row r="196" spans="1:33" hidden="1" outlineLevel="3" x14ac:dyDescent="0.2">
      <c r="A196" s="19"/>
      <c r="B196" s="19"/>
      <c r="C196" s="506">
        <f t="shared" si="85"/>
        <v>0</v>
      </c>
      <c r="D196" s="505">
        <f t="shared" si="85"/>
        <v>0</v>
      </c>
      <c r="E196" s="505">
        <f t="shared" si="85"/>
        <v>0</v>
      </c>
      <c r="F196" s="505">
        <f t="shared" si="85"/>
        <v>0</v>
      </c>
      <c r="G196" s="505">
        <f t="shared" si="85"/>
        <v>0</v>
      </c>
      <c r="H196" s="58"/>
      <c r="I196" s="232">
        <f>INDEX('Prop. prices'!$I$86:$AB$160,MATCH('Tariff schedule'!$C196,'Prop. prices'!$C$86:$C$160,0),MATCH('Tariff schedule'!I$16,'Prop. prices'!$I$5:$AB$5,0))</f>
        <v>0</v>
      </c>
      <c r="J196" s="232">
        <f>INDEX('Prop. prices'!$I$86:$AB$160,MATCH('Tariff schedule'!$C196,'Prop. prices'!$C$86:$C$160,0),MATCH('Tariff schedule'!J$16,'Prop. prices'!$I$5:$AB$5,0))</f>
        <v>0</v>
      </c>
      <c r="K196" s="232">
        <f>INDEX('Prop. prices'!$I$86:$AB$160,MATCH('Tariff schedule'!$C196,'Prop. prices'!$C$86:$C$160,0),MATCH('Tariff schedule'!K$16,'Prop. prices'!$I$5:$AB$5,0))</f>
        <v>0</v>
      </c>
      <c r="L196" s="232">
        <f>INDEX('Prop. prices'!$I$86:$AB$160,MATCH('Tariff schedule'!$C196,'Prop. prices'!$C$86:$C$160,0),MATCH('Tariff schedule'!L$16,'Prop. prices'!$I$5:$AB$5,0))</f>
        <v>0</v>
      </c>
      <c r="M196" s="232">
        <f>INDEX('Prop. prices'!$I$86:$AB$160,MATCH('Tariff schedule'!$C196,'Prop. prices'!$C$86:$C$160,0),MATCH('Tariff schedule'!M$16,'Prop. prices'!$I$5:$AB$5,0))</f>
        <v>0</v>
      </c>
      <c r="N196" s="232">
        <f>INDEX('Prop. prices'!$I$86:$AB$160,MATCH('Tariff schedule'!$C196,'Prop. prices'!$C$86:$C$160,0),MATCH('Tariff schedule'!N$16,'Prop. prices'!$I$5:$AB$5,0))</f>
        <v>0</v>
      </c>
      <c r="O196" s="232">
        <f>INDEX('Prop. prices'!$I$86:$AB$160,MATCH('Tariff schedule'!$C196,'Prop. prices'!$C$86:$C$160,0),MATCH('Tariff schedule'!O$16,'Prop. prices'!$I$5:$AB$5,0))</f>
        <v>0</v>
      </c>
      <c r="P196" s="232">
        <f>INDEX('Prop. prices'!$I$86:$AB$160,MATCH('Tariff schedule'!$C196,'Prop. prices'!$C$86:$C$160,0),MATCH('Tariff schedule'!P$16,'Prop. prices'!$I$5:$AB$5,0))</f>
        <v>0</v>
      </c>
      <c r="Q196" s="232">
        <f>INDEX('Prop. prices'!$I$86:$AB$160,MATCH('Tariff schedule'!$C196,'Prop. prices'!$C$86:$C$160,0),MATCH('Tariff schedule'!Q$16,'Prop. prices'!$I$5:$AB$5,0))</f>
        <v>0</v>
      </c>
      <c r="R196" s="232">
        <f>INDEX('Prop. prices'!$I$86:$AB$160,MATCH('Tariff schedule'!$C196,'Prop. prices'!$C$86:$C$160,0),MATCH('Tariff schedule'!R$16,'Prop. prices'!$I$5:$AB$5,0))</f>
        <v>0</v>
      </c>
      <c r="S196" s="232">
        <f>INDEX('Prop. prices'!$I$86:$AB$160,MATCH('Tariff schedule'!$C196,'Prop. prices'!$C$86:$C$160,0),MATCH('Tariff schedule'!S$16,'Prop. prices'!$I$5:$AB$5,0))</f>
        <v>0</v>
      </c>
      <c r="T196" s="232">
        <f>INDEX('Prop. prices'!$I$86:$AB$160,MATCH('Tariff schedule'!$C196,'Prop. prices'!$C$86:$C$160,0),MATCH('Tariff schedule'!T$16,'Prop. prices'!$I$5:$AB$5,0))</f>
        <v>0</v>
      </c>
      <c r="U196" s="232">
        <f>INDEX('Prop. prices'!$I$86:$AB$160,MATCH('Tariff schedule'!$C196,'Prop. prices'!$C$86:$C$160,0),MATCH('Tariff schedule'!U$16,'Prop. prices'!$I$5:$AB$5,0))</f>
        <v>0</v>
      </c>
      <c r="V196" s="232">
        <f>INDEX('Prop. prices'!$I$86:$AB$160,MATCH('Tariff schedule'!$C196,'Prop. prices'!$C$86:$C$160,0),MATCH('Tariff schedule'!V$16,'Prop. prices'!$I$5:$AB$5,0))</f>
        <v>0</v>
      </c>
      <c r="W196" s="232">
        <f>INDEX('Prop. prices'!$I$86:$AB$160,MATCH('Tariff schedule'!$C196,'Prop. prices'!$C$86:$C$160,0),MATCH('Tariff schedule'!W$16,'Prop. prices'!$I$5:$AB$5,0))</f>
        <v>0</v>
      </c>
      <c r="X196" s="232">
        <f>INDEX('Prop. prices'!$I$86:$AB$160,MATCH('Tariff schedule'!$C196,'Prop. prices'!$C$86:$C$160,0),MATCH('Tariff schedule'!X$16,'Prop. prices'!$I$5:$AB$5,0))</f>
        <v>0</v>
      </c>
      <c r="Y196" s="232">
        <f>INDEX('Prop. prices'!$I$86:$AB$160,MATCH('Tariff schedule'!$C196,'Prop. prices'!$C$86:$C$160,0),MATCH('Tariff schedule'!Y$16,'Prop. prices'!$I$5:$AB$5,0))</f>
        <v>0</v>
      </c>
      <c r="Z196" s="232">
        <f>INDEX('Prop. prices'!$I$86:$AB$160,MATCH('Tariff schedule'!$C196,'Prop. prices'!$C$86:$C$160,0),MATCH('Tariff schedule'!Z$16,'Prop. prices'!$I$5:$AB$5,0))</f>
        <v>0</v>
      </c>
      <c r="AA196" s="232">
        <f>INDEX('Prop. prices'!$I$86:$AB$160,MATCH('Tariff schedule'!$C196,'Prop. prices'!$C$86:$C$160,0),MATCH('Tariff schedule'!AA$16,'Prop. prices'!$I$5:$AB$5,0))</f>
        <v>0</v>
      </c>
      <c r="AB196" s="232">
        <f>INDEX('Prop. prices'!$I$86:$AB$160,MATCH('Tariff schedule'!$C196,'Prop. prices'!$C$86:$C$160,0),MATCH('Tariff schedule'!AB$16,'Prop. prices'!$I$5:$AB$5,0))</f>
        <v>0</v>
      </c>
      <c r="AC196" s="70"/>
      <c r="AD196" s="19"/>
      <c r="AE196" s="19"/>
      <c r="AF196" s="19"/>
      <c r="AG196" s="19"/>
    </row>
    <row r="197" spans="1:33" hidden="1" outlineLevel="3" x14ac:dyDescent="0.2">
      <c r="A197" s="19"/>
      <c r="B197" s="19"/>
      <c r="C197" s="506">
        <f t="shared" si="85"/>
        <v>0</v>
      </c>
      <c r="D197" s="505">
        <f t="shared" si="85"/>
        <v>0</v>
      </c>
      <c r="E197" s="505">
        <f t="shared" si="85"/>
        <v>0</v>
      </c>
      <c r="F197" s="505">
        <f t="shared" si="85"/>
        <v>0</v>
      </c>
      <c r="G197" s="505">
        <f t="shared" si="85"/>
        <v>0</v>
      </c>
      <c r="H197" s="58"/>
      <c r="I197" s="232">
        <f>INDEX('Prop. prices'!$I$86:$AB$160,MATCH('Tariff schedule'!$C197,'Prop. prices'!$C$86:$C$160,0),MATCH('Tariff schedule'!I$16,'Prop. prices'!$I$5:$AB$5,0))</f>
        <v>0</v>
      </c>
      <c r="J197" s="232">
        <f>INDEX('Prop. prices'!$I$86:$AB$160,MATCH('Tariff schedule'!$C197,'Prop. prices'!$C$86:$C$160,0),MATCH('Tariff schedule'!J$16,'Prop. prices'!$I$5:$AB$5,0))</f>
        <v>0</v>
      </c>
      <c r="K197" s="232">
        <f>INDEX('Prop. prices'!$I$86:$AB$160,MATCH('Tariff schedule'!$C197,'Prop. prices'!$C$86:$C$160,0),MATCH('Tariff schedule'!K$16,'Prop. prices'!$I$5:$AB$5,0))</f>
        <v>0</v>
      </c>
      <c r="L197" s="232">
        <f>INDEX('Prop. prices'!$I$86:$AB$160,MATCH('Tariff schedule'!$C197,'Prop. prices'!$C$86:$C$160,0),MATCH('Tariff schedule'!L$16,'Prop. prices'!$I$5:$AB$5,0))</f>
        <v>0</v>
      </c>
      <c r="M197" s="232">
        <f>INDEX('Prop. prices'!$I$86:$AB$160,MATCH('Tariff schedule'!$C197,'Prop. prices'!$C$86:$C$160,0),MATCH('Tariff schedule'!M$16,'Prop. prices'!$I$5:$AB$5,0))</f>
        <v>0</v>
      </c>
      <c r="N197" s="232">
        <f>INDEX('Prop. prices'!$I$86:$AB$160,MATCH('Tariff schedule'!$C197,'Prop. prices'!$C$86:$C$160,0),MATCH('Tariff schedule'!N$16,'Prop. prices'!$I$5:$AB$5,0))</f>
        <v>0</v>
      </c>
      <c r="O197" s="232">
        <f>INDEX('Prop. prices'!$I$86:$AB$160,MATCH('Tariff schedule'!$C197,'Prop. prices'!$C$86:$C$160,0),MATCH('Tariff schedule'!O$16,'Prop. prices'!$I$5:$AB$5,0))</f>
        <v>0</v>
      </c>
      <c r="P197" s="232">
        <f>INDEX('Prop. prices'!$I$86:$AB$160,MATCH('Tariff schedule'!$C197,'Prop. prices'!$C$86:$C$160,0),MATCH('Tariff schedule'!P$16,'Prop. prices'!$I$5:$AB$5,0))</f>
        <v>0</v>
      </c>
      <c r="Q197" s="232">
        <f>INDEX('Prop. prices'!$I$86:$AB$160,MATCH('Tariff schedule'!$C197,'Prop. prices'!$C$86:$C$160,0),MATCH('Tariff schedule'!Q$16,'Prop. prices'!$I$5:$AB$5,0))</f>
        <v>0</v>
      </c>
      <c r="R197" s="232">
        <f>INDEX('Prop. prices'!$I$86:$AB$160,MATCH('Tariff schedule'!$C197,'Prop. prices'!$C$86:$C$160,0),MATCH('Tariff schedule'!R$16,'Prop. prices'!$I$5:$AB$5,0))</f>
        <v>0</v>
      </c>
      <c r="S197" s="232">
        <f>INDEX('Prop. prices'!$I$86:$AB$160,MATCH('Tariff schedule'!$C197,'Prop. prices'!$C$86:$C$160,0),MATCH('Tariff schedule'!S$16,'Prop. prices'!$I$5:$AB$5,0))</f>
        <v>0</v>
      </c>
      <c r="T197" s="232">
        <f>INDEX('Prop. prices'!$I$86:$AB$160,MATCH('Tariff schedule'!$C197,'Prop. prices'!$C$86:$C$160,0),MATCH('Tariff schedule'!T$16,'Prop. prices'!$I$5:$AB$5,0))</f>
        <v>0</v>
      </c>
      <c r="U197" s="232">
        <f>INDEX('Prop. prices'!$I$86:$AB$160,MATCH('Tariff schedule'!$C197,'Prop. prices'!$C$86:$C$160,0),MATCH('Tariff schedule'!U$16,'Prop. prices'!$I$5:$AB$5,0))</f>
        <v>0</v>
      </c>
      <c r="V197" s="232">
        <f>INDEX('Prop. prices'!$I$86:$AB$160,MATCH('Tariff schedule'!$C197,'Prop. prices'!$C$86:$C$160,0),MATCH('Tariff schedule'!V$16,'Prop. prices'!$I$5:$AB$5,0))</f>
        <v>0</v>
      </c>
      <c r="W197" s="232">
        <f>INDEX('Prop. prices'!$I$86:$AB$160,MATCH('Tariff schedule'!$C197,'Prop. prices'!$C$86:$C$160,0),MATCH('Tariff schedule'!W$16,'Prop. prices'!$I$5:$AB$5,0))</f>
        <v>0</v>
      </c>
      <c r="X197" s="232">
        <f>INDEX('Prop. prices'!$I$86:$AB$160,MATCH('Tariff schedule'!$C197,'Prop. prices'!$C$86:$C$160,0),MATCH('Tariff schedule'!X$16,'Prop. prices'!$I$5:$AB$5,0))</f>
        <v>0</v>
      </c>
      <c r="Y197" s="232">
        <f>INDEX('Prop. prices'!$I$86:$AB$160,MATCH('Tariff schedule'!$C197,'Prop. prices'!$C$86:$C$160,0),MATCH('Tariff schedule'!Y$16,'Prop. prices'!$I$5:$AB$5,0))</f>
        <v>0</v>
      </c>
      <c r="Z197" s="232">
        <f>INDEX('Prop. prices'!$I$86:$AB$160,MATCH('Tariff schedule'!$C197,'Prop. prices'!$C$86:$C$160,0),MATCH('Tariff schedule'!Z$16,'Prop. prices'!$I$5:$AB$5,0))</f>
        <v>0</v>
      </c>
      <c r="AA197" s="232">
        <f>INDEX('Prop. prices'!$I$86:$AB$160,MATCH('Tariff schedule'!$C197,'Prop. prices'!$C$86:$C$160,0),MATCH('Tariff schedule'!AA$16,'Prop. prices'!$I$5:$AB$5,0))</f>
        <v>0</v>
      </c>
      <c r="AB197" s="232">
        <f>INDEX('Prop. prices'!$I$86:$AB$160,MATCH('Tariff schedule'!$C197,'Prop. prices'!$C$86:$C$160,0),MATCH('Tariff schedule'!AB$16,'Prop. prices'!$I$5:$AB$5,0))</f>
        <v>0</v>
      </c>
      <c r="AC197" s="70"/>
      <c r="AD197" s="19"/>
      <c r="AE197" s="19"/>
      <c r="AF197" s="19"/>
      <c r="AG197" s="19"/>
    </row>
    <row r="198" spans="1:33" hidden="1" outlineLevel="3" x14ac:dyDescent="0.2">
      <c r="A198" s="19"/>
      <c r="B198" s="19"/>
      <c r="C198" s="506">
        <f t="shared" si="85"/>
        <v>0</v>
      </c>
      <c r="D198" s="505">
        <f t="shared" si="85"/>
        <v>0</v>
      </c>
      <c r="E198" s="505">
        <f t="shared" si="85"/>
        <v>0</v>
      </c>
      <c r="F198" s="505">
        <f t="shared" si="85"/>
        <v>0</v>
      </c>
      <c r="G198" s="505">
        <f t="shared" si="85"/>
        <v>0</v>
      </c>
      <c r="H198" s="58"/>
      <c r="I198" s="232">
        <f>INDEX('Prop. prices'!$I$86:$AB$160,MATCH('Tariff schedule'!$C198,'Prop. prices'!$C$86:$C$160,0),MATCH('Tariff schedule'!I$16,'Prop. prices'!$I$5:$AB$5,0))</f>
        <v>0</v>
      </c>
      <c r="J198" s="232">
        <f>INDEX('Prop. prices'!$I$86:$AB$160,MATCH('Tariff schedule'!$C198,'Prop. prices'!$C$86:$C$160,0),MATCH('Tariff schedule'!J$16,'Prop. prices'!$I$5:$AB$5,0))</f>
        <v>0</v>
      </c>
      <c r="K198" s="232">
        <f>INDEX('Prop. prices'!$I$86:$AB$160,MATCH('Tariff schedule'!$C198,'Prop. prices'!$C$86:$C$160,0),MATCH('Tariff schedule'!K$16,'Prop. prices'!$I$5:$AB$5,0))</f>
        <v>0</v>
      </c>
      <c r="L198" s="232">
        <f>INDEX('Prop. prices'!$I$86:$AB$160,MATCH('Tariff schedule'!$C198,'Prop. prices'!$C$86:$C$160,0),MATCH('Tariff schedule'!L$16,'Prop. prices'!$I$5:$AB$5,0))</f>
        <v>0</v>
      </c>
      <c r="M198" s="232">
        <f>INDEX('Prop. prices'!$I$86:$AB$160,MATCH('Tariff schedule'!$C198,'Prop. prices'!$C$86:$C$160,0),MATCH('Tariff schedule'!M$16,'Prop. prices'!$I$5:$AB$5,0))</f>
        <v>0</v>
      </c>
      <c r="N198" s="232">
        <f>INDEX('Prop. prices'!$I$86:$AB$160,MATCH('Tariff schedule'!$C198,'Prop. prices'!$C$86:$C$160,0),MATCH('Tariff schedule'!N$16,'Prop. prices'!$I$5:$AB$5,0))</f>
        <v>0</v>
      </c>
      <c r="O198" s="232">
        <f>INDEX('Prop. prices'!$I$86:$AB$160,MATCH('Tariff schedule'!$C198,'Prop. prices'!$C$86:$C$160,0),MATCH('Tariff schedule'!O$16,'Prop. prices'!$I$5:$AB$5,0))</f>
        <v>0</v>
      </c>
      <c r="P198" s="232">
        <f>INDEX('Prop. prices'!$I$86:$AB$160,MATCH('Tariff schedule'!$C198,'Prop. prices'!$C$86:$C$160,0),MATCH('Tariff schedule'!P$16,'Prop. prices'!$I$5:$AB$5,0))</f>
        <v>0</v>
      </c>
      <c r="Q198" s="232">
        <f>INDEX('Prop. prices'!$I$86:$AB$160,MATCH('Tariff schedule'!$C198,'Prop. prices'!$C$86:$C$160,0),MATCH('Tariff schedule'!Q$16,'Prop. prices'!$I$5:$AB$5,0))</f>
        <v>0</v>
      </c>
      <c r="R198" s="232">
        <f>INDEX('Prop. prices'!$I$86:$AB$160,MATCH('Tariff schedule'!$C198,'Prop. prices'!$C$86:$C$160,0),MATCH('Tariff schedule'!R$16,'Prop. prices'!$I$5:$AB$5,0))</f>
        <v>0</v>
      </c>
      <c r="S198" s="232">
        <f>INDEX('Prop. prices'!$I$86:$AB$160,MATCH('Tariff schedule'!$C198,'Prop. prices'!$C$86:$C$160,0),MATCH('Tariff schedule'!S$16,'Prop. prices'!$I$5:$AB$5,0))</f>
        <v>0</v>
      </c>
      <c r="T198" s="232">
        <f>INDEX('Prop. prices'!$I$86:$AB$160,MATCH('Tariff schedule'!$C198,'Prop. prices'!$C$86:$C$160,0),MATCH('Tariff schedule'!T$16,'Prop. prices'!$I$5:$AB$5,0))</f>
        <v>0</v>
      </c>
      <c r="U198" s="232">
        <f>INDEX('Prop. prices'!$I$86:$AB$160,MATCH('Tariff schedule'!$C198,'Prop. prices'!$C$86:$C$160,0),MATCH('Tariff schedule'!U$16,'Prop. prices'!$I$5:$AB$5,0))</f>
        <v>0</v>
      </c>
      <c r="V198" s="232">
        <f>INDEX('Prop. prices'!$I$86:$AB$160,MATCH('Tariff schedule'!$C198,'Prop. prices'!$C$86:$C$160,0),MATCH('Tariff schedule'!V$16,'Prop. prices'!$I$5:$AB$5,0))</f>
        <v>0</v>
      </c>
      <c r="W198" s="232">
        <f>INDEX('Prop. prices'!$I$86:$AB$160,MATCH('Tariff schedule'!$C198,'Prop. prices'!$C$86:$C$160,0),MATCH('Tariff schedule'!W$16,'Prop. prices'!$I$5:$AB$5,0))</f>
        <v>0</v>
      </c>
      <c r="X198" s="232">
        <f>INDEX('Prop. prices'!$I$86:$AB$160,MATCH('Tariff schedule'!$C198,'Prop. prices'!$C$86:$C$160,0),MATCH('Tariff schedule'!X$16,'Prop. prices'!$I$5:$AB$5,0))</f>
        <v>0</v>
      </c>
      <c r="Y198" s="232">
        <f>INDEX('Prop. prices'!$I$86:$AB$160,MATCH('Tariff schedule'!$C198,'Prop. prices'!$C$86:$C$160,0),MATCH('Tariff schedule'!Y$16,'Prop. prices'!$I$5:$AB$5,0))</f>
        <v>0</v>
      </c>
      <c r="Z198" s="232">
        <f>INDEX('Prop. prices'!$I$86:$AB$160,MATCH('Tariff schedule'!$C198,'Prop. prices'!$C$86:$C$160,0),MATCH('Tariff schedule'!Z$16,'Prop. prices'!$I$5:$AB$5,0))</f>
        <v>0</v>
      </c>
      <c r="AA198" s="232">
        <f>INDEX('Prop. prices'!$I$86:$AB$160,MATCH('Tariff schedule'!$C198,'Prop. prices'!$C$86:$C$160,0),MATCH('Tariff schedule'!AA$16,'Prop. prices'!$I$5:$AB$5,0))</f>
        <v>0</v>
      </c>
      <c r="AB198" s="232">
        <f>INDEX('Prop. prices'!$I$86:$AB$160,MATCH('Tariff schedule'!$C198,'Prop. prices'!$C$86:$C$160,0),MATCH('Tariff schedule'!AB$16,'Prop. prices'!$I$5:$AB$5,0))</f>
        <v>0</v>
      </c>
      <c r="AC198" s="70"/>
      <c r="AD198" s="19"/>
      <c r="AE198" s="19"/>
      <c r="AF198" s="19"/>
      <c r="AG198" s="19"/>
    </row>
    <row r="199" spans="1:33" hidden="1" outlineLevel="3" x14ac:dyDescent="0.2">
      <c r="A199" s="19"/>
      <c r="B199" s="19"/>
      <c r="C199" s="506">
        <f t="shared" si="85"/>
        <v>0</v>
      </c>
      <c r="D199" s="505">
        <f t="shared" si="85"/>
        <v>0</v>
      </c>
      <c r="E199" s="505">
        <f t="shared" si="85"/>
        <v>0</v>
      </c>
      <c r="F199" s="505">
        <f t="shared" si="85"/>
        <v>0</v>
      </c>
      <c r="G199" s="505">
        <f t="shared" si="85"/>
        <v>0</v>
      </c>
      <c r="H199" s="58"/>
      <c r="I199" s="232">
        <f>INDEX('Prop. prices'!$I$86:$AB$160,MATCH('Tariff schedule'!$C199,'Prop. prices'!$C$86:$C$160,0),MATCH('Tariff schedule'!I$16,'Prop. prices'!$I$5:$AB$5,0))</f>
        <v>0</v>
      </c>
      <c r="J199" s="232">
        <f>INDEX('Prop. prices'!$I$86:$AB$160,MATCH('Tariff schedule'!$C199,'Prop. prices'!$C$86:$C$160,0),MATCH('Tariff schedule'!J$16,'Prop. prices'!$I$5:$AB$5,0))</f>
        <v>0</v>
      </c>
      <c r="K199" s="232">
        <f>INDEX('Prop. prices'!$I$86:$AB$160,MATCH('Tariff schedule'!$C199,'Prop. prices'!$C$86:$C$160,0),MATCH('Tariff schedule'!K$16,'Prop. prices'!$I$5:$AB$5,0))</f>
        <v>0</v>
      </c>
      <c r="L199" s="232">
        <f>INDEX('Prop. prices'!$I$86:$AB$160,MATCH('Tariff schedule'!$C199,'Prop. prices'!$C$86:$C$160,0),MATCH('Tariff schedule'!L$16,'Prop. prices'!$I$5:$AB$5,0))</f>
        <v>0</v>
      </c>
      <c r="M199" s="232">
        <f>INDEX('Prop. prices'!$I$86:$AB$160,MATCH('Tariff schedule'!$C199,'Prop. prices'!$C$86:$C$160,0),MATCH('Tariff schedule'!M$16,'Prop. prices'!$I$5:$AB$5,0))</f>
        <v>0</v>
      </c>
      <c r="N199" s="232">
        <f>INDEX('Prop. prices'!$I$86:$AB$160,MATCH('Tariff schedule'!$C199,'Prop. prices'!$C$86:$C$160,0),MATCH('Tariff schedule'!N$16,'Prop. prices'!$I$5:$AB$5,0))</f>
        <v>0</v>
      </c>
      <c r="O199" s="232">
        <f>INDEX('Prop. prices'!$I$86:$AB$160,MATCH('Tariff schedule'!$C199,'Prop. prices'!$C$86:$C$160,0),MATCH('Tariff schedule'!O$16,'Prop. prices'!$I$5:$AB$5,0))</f>
        <v>0</v>
      </c>
      <c r="P199" s="232">
        <f>INDEX('Prop. prices'!$I$86:$AB$160,MATCH('Tariff schedule'!$C199,'Prop. prices'!$C$86:$C$160,0),MATCH('Tariff schedule'!P$16,'Prop. prices'!$I$5:$AB$5,0))</f>
        <v>0</v>
      </c>
      <c r="Q199" s="232">
        <f>INDEX('Prop. prices'!$I$86:$AB$160,MATCH('Tariff schedule'!$C199,'Prop. prices'!$C$86:$C$160,0),MATCH('Tariff schedule'!Q$16,'Prop. prices'!$I$5:$AB$5,0))</f>
        <v>0</v>
      </c>
      <c r="R199" s="232">
        <f>INDEX('Prop. prices'!$I$86:$AB$160,MATCH('Tariff schedule'!$C199,'Prop. prices'!$C$86:$C$160,0),MATCH('Tariff schedule'!R$16,'Prop. prices'!$I$5:$AB$5,0))</f>
        <v>0</v>
      </c>
      <c r="S199" s="232">
        <f>INDEX('Prop. prices'!$I$86:$AB$160,MATCH('Tariff schedule'!$C199,'Prop. prices'!$C$86:$C$160,0),MATCH('Tariff schedule'!S$16,'Prop. prices'!$I$5:$AB$5,0))</f>
        <v>0</v>
      </c>
      <c r="T199" s="232">
        <f>INDEX('Prop. prices'!$I$86:$AB$160,MATCH('Tariff schedule'!$C199,'Prop. prices'!$C$86:$C$160,0),MATCH('Tariff schedule'!T$16,'Prop. prices'!$I$5:$AB$5,0))</f>
        <v>0</v>
      </c>
      <c r="U199" s="232">
        <f>INDEX('Prop. prices'!$I$86:$AB$160,MATCH('Tariff schedule'!$C199,'Prop. prices'!$C$86:$C$160,0),MATCH('Tariff schedule'!U$16,'Prop. prices'!$I$5:$AB$5,0))</f>
        <v>0</v>
      </c>
      <c r="V199" s="232">
        <f>INDEX('Prop. prices'!$I$86:$AB$160,MATCH('Tariff schedule'!$C199,'Prop. prices'!$C$86:$C$160,0),MATCH('Tariff schedule'!V$16,'Prop. prices'!$I$5:$AB$5,0))</f>
        <v>0</v>
      </c>
      <c r="W199" s="232">
        <f>INDEX('Prop. prices'!$I$86:$AB$160,MATCH('Tariff schedule'!$C199,'Prop. prices'!$C$86:$C$160,0),MATCH('Tariff schedule'!W$16,'Prop. prices'!$I$5:$AB$5,0))</f>
        <v>0</v>
      </c>
      <c r="X199" s="232">
        <f>INDEX('Prop. prices'!$I$86:$AB$160,MATCH('Tariff schedule'!$C199,'Prop. prices'!$C$86:$C$160,0),MATCH('Tariff schedule'!X$16,'Prop. prices'!$I$5:$AB$5,0))</f>
        <v>0</v>
      </c>
      <c r="Y199" s="232">
        <f>INDEX('Prop. prices'!$I$86:$AB$160,MATCH('Tariff schedule'!$C199,'Prop. prices'!$C$86:$C$160,0),MATCH('Tariff schedule'!Y$16,'Prop. prices'!$I$5:$AB$5,0))</f>
        <v>0</v>
      </c>
      <c r="Z199" s="232">
        <f>INDEX('Prop. prices'!$I$86:$AB$160,MATCH('Tariff schedule'!$C199,'Prop. prices'!$C$86:$C$160,0),MATCH('Tariff schedule'!Z$16,'Prop. prices'!$I$5:$AB$5,0))</f>
        <v>0</v>
      </c>
      <c r="AA199" s="232">
        <f>INDEX('Prop. prices'!$I$86:$AB$160,MATCH('Tariff schedule'!$C199,'Prop. prices'!$C$86:$C$160,0),MATCH('Tariff schedule'!AA$16,'Prop. prices'!$I$5:$AB$5,0))</f>
        <v>0</v>
      </c>
      <c r="AB199" s="232">
        <f>INDEX('Prop. prices'!$I$86:$AB$160,MATCH('Tariff schedule'!$C199,'Prop. prices'!$C$86:$C$160,0),MATCH('Tariff schedule'!AB$16,'Prop. prices'!$I$5:$AB$5,0))</f>
        <v>0</v>
      </c>
      <c r="AC199" s="70"/>
      <c r="AD199" s="19"/>
      <c r="AE199" s="19"/>
      <c r="AF199" s="19"/>
      <c r="AG199" s="19"/>
    </row>
    <row r="200" spans="1:33" hidden="1" outlineLevel="3" x14ac:dyDescent="0.2">
      <c r="A200" s="19"/>
      <c r="B200" s="19"/>
      <c r="C200" s="506">
        <f t="shared" si="85"/>
        <v>0</v>
      </c>
      <c r="D200" s="505">
        <f t="shared" si="85"/>
        <v>0</v>
      </c>
      <c r="E200" s="505">
        <f t="shared" si="85"/>
        <v>0</v>
      </c>
      <c r="F200" s="505">
        <f t="shared" si="85"/>
        <v>0</v>
      </c>
      <c r="G200" s="505">
        <f t="shared" si="85"/>
        <v>0</v>
      </c>
      <c r="H200" s="58"/>
      <c r="I200" s="232">
        <f>INDEX('Prop. prices'!$I$86:$AB$160,MATCH('Tariff schedule'!$C200,'Prop. prices'!$C$86:$C$160,0),MATCH('Tariff schedule'!I$16,'Prop. prices'!$I$5:$AB$5,0))</f>
        <v>0</v>
      </c>
      <c r="J200" s="232">
        <f>INDEX('Prop. prices'!$I$86:$AB$160,MATCH('Tariff schedule'!$C200,'Prop. prices'!$C$86:$C$160,0),MATCH('Tariff schedule'!J$16,'Prop. prices'!$I$5:$AB$5,0))</f>
        <v>0</v>
      </c>
      <c r="K200" s="232">
        <f>INDEX('Prop. prices'!$I$86:$AB$160,MATCH('Tariff schedule'!$C200,'Prop. prices'!$C$86:$C$160,0),MATCH('Tariff schedule'!K$16,'Prop. prices'!$I$5:$AB$5,0))</f>
        <v>0</v>
      </c>
      <c r="L200" s="232">
        <f>INDEX('Prop. prices'!$I$86:$AB$160,MATCH('Tariff schedule'!$C200,'Prop. prices'!$C$86:$C$160,0),MATCH('Tariff schedule'!L$16,'Prop. prices'!$I$5:$AB$5,0))</f>
        <v>0</v>
      </c>
      <c r="M200" s="232">
        <f>INDEX('Prop. prices'!$I$86:$AB$160,MATCH('Tariff schedule'!$C200,'Prop. prices'!$C$86:$C$160,0),MATCH('Tariff schedule'!M$16,'Prop. prices'!$I$5:$AB$5,0))</f>
        <v>0</v>
      </c>
      <c r="N200" s="232">
        <f>INDEX('Prop. prices'!$I$86:$AB$160,MATCH('Tariff schedule'!$C200,'Prop. prices'!$C$86:$C$160,0),MATCH('Tariff schedule'!N$16,'Prop. prices'!$I$5:$AB$5,0))</f>
        <v>0</v>
      </c>
      <c r="O200" s="232">
        <f>INDEX('Prop. prices'!$I$86:$AB$160,MATCH('Tariff schedule'!$C200,'Prop. prices'!$C$86:$C$160,0),MATCH('Tariff schedule'!O$16,'Prop. prices'!$I$5:$AB$5,0))</f>
        <v>0</v>
      </c>
      <c r="P200" s="232">
        <f>INDEX('Prop. prices'!$I$86:$AB$160,MATCH('Tariff schedule'!$C200,'Prop. prices'!$C$86:$C$160,0),MATCH('Tariff schedule'!P$16,'Prop. prices'!$I$5:$AB$5,0))</f>
        <v>0</v>
      </c>
      <c r="Q200" s="232">
        <f>INDEX('Prop. prices'!$I$86:$AB$160,MATCH('Tariff schedule'!$C200,'Prop. prices'!$C$86:$C$160,0),MATCH('Tariff schedule'!Q$16,'Prop. prices'!$I$5:$AB$5,0))</f>
        <v>0</v>
      </c>
      <c r="R200" s="232">
        <f>INDEX('Prop. prices'!$I$86:$AB$160,MATCH('Tariff schedule'!$C200,'Prop. prices'!$C$86:$C$160,0),MATCH('Tariff schedule'!R$16,'Prop. prices'!$I$5:$AB$5,0))</f>
        <v>0</v>
      </c>
      <c r="S200" s="232">
        <f>INDEX('Prop. prices'!$I$86:$AB$160,MATCH('Tariff schedule'!$C200,'Prop. prices'!$C$86:$C$160,0),MATCH('Tariff schedule'!S$16,'Prop. prices'!$I$5:$AB$5,0))</f>
        <v>0</v>
      </c>
      <c r="T200" s="232">
        <f>INDEX('Prop. prices'!$I$86:$AB$160,MATCH('Tariff schedule'!$C200,'Prop. prices'!$C$86:$C$160,0),MATCH('Tariff schedule'!T$16,'Prop. prices'!$I$5:$AB$5,0))</f>
        <v>0</v>
      </c>
      <c r="U200" s="232">
        <f>INDEX('Prop. prices'!$I$86:$AB$160,MATCH('Tariff schedule'!$C200,'Prop. prices'!$C$86:$C$160,0),MATCH('Tariff schedule'!U$16,'Prop. prices'!$I$5:$AB$5,0))</f>
        <v>0</v>
      </c>
      <c r="V200" s="232">
        <f>INDEX('Prop. prices'!$I$86:$AB$160,MATCH('Tariff schedule'!$C200,'Prop. prices'!$C$86:$C$160,0),MATCH('Tariff schedule'!V$16,'Prop. prices'!$I$5:$AB$5,0))</f>
        <v>0</v>
      </c>
      <c r="W200" s="232">
        <f>INDEX('Prop. prices'!$I$86:$AB$160,MATCH('Tariff schedule'!$C200,'Prop. prices'!$C$86:$C$160,0),MATCH('Tariff schedule'!W$16,'Prop. prices'!$I$5:$AB$5,0))</f>
        <v>0</v>
      </c>
      <c r="X200" s="232">
        <f>INDEX('Prop. prices'!$I$86:$AB$160,MATCH('Tariff schedule'!$C200,'Prop. prices'!$C$86:$C$160,0),MATCH('Tariff schedule'!X$16,'Prop. prices'!$I$5:$AB$5,0))</f>
        <v>0</v>
      </c>
      <c r="Y200" s="232">
        <f>INDEX('Prop. prices'!$I$86:$AB$160,MATCH('Tariff schedule'!$C200,'Prop. prices'!$C$86:$C$160,0),MATCH('Tariff schedule'!Y$16,'Prop. prices'!$I$5:$AB$5,0))</f>
        <v>0</v>
      </c>
      <c r="Z200" s="232">
        <f>INDEX('Prop. prices'!$I$86:$AB$160,MATCH('Tariff schedule'!$C200,'Prop. prices'!$C$86:$C$160,0),MATCH('Tariff schedule'!Z$16,'Prop. prices'!$I$5:$AB$5,0))</f>
        <v>0</v>
      </c>
      <c r="AA200" s="232">
        <f>INDEX('Prop. prices'!$I$86:$AB$160,MATCH('Tariff schedule'!$C200,'Prop. prices'!$C$86:$C$160,0),MATCH('Tariff schedule'!AA$16,'Prop. prices'!$I$5:$AB$5,0))</f>
        <v>0</v>
      </c>
      <c r="AB200" s="232">
        <f>INDEX('Prop. prices'!$I$86:$AB$160,MATCH('Tariff schedule'!$C200,'Prop. prices'!$C$86:$C$160,0),MATCH('Tariff schedule'!AB$16,'Prop. prices'!$I$5:$AB$5,0))</f>
        <v>0</v>
      </c>
      <c r="AC200" s="70"/>
      <c r="AD200" s="19"/>
      <c r="AE200" s="19"/>
      <c r="AF200" s="19"/>
      <c r="AG200" s="19"/>
    </row>
    <row r="201" spans="1:33" hidden="1" outlineLevel="3" x14ac:dyDescent="0.2">
      <c r="A201" s="19"/>
      <c r="B201" s="19"/>
      <c r="C201" s="506">
        <f t="shared" si="85"/>
        <v>0</v>
      </c>
      <c r="D201" s="505">
        <f t="shared" si="85"/>
        <v>0</v>
      </c>
      <c r="E201" s="505">
        <f t="shared" si="85"/>
        <v>0</v>
      </c>
      <c r="F201" s="505">
        <f t="shared" si="85"/>
        <v>0</v>
      </c>
      <c r="G201" s="505">
        <f t="shared" si="85"/>
        <v>0</v>
      </c>
      <c r="H201" s="58"/>
      <c r="I201" s="232">
        <f>INDEX('Prop. prices'!$I$86:$AB$160,MATCH('Tariff schedule'!$C201,'Prop. prices'!$C$86:$C$160,0),MATCH('Tariff schedule'!I$16,'Prop. prices'!$I$5:$AB$5,0))</f>
        <v>0</v>
      </c>
      <c r="J201" s="232">
        <f>INDEX('Prop. prices'!$I$86:$AB$160,MATCH('Tariff schedule'!$C201,'Prop. prices'!$C$86:$C$160,0),MATCH('Tariff schedule'!J$16,'Prop. prices'!$I$5:$AB$5,0))</f>
        <v>0</v>
      </c>
      <c r="K201" s="232">
        <f>INDEX('Prop. prices'!$I$86:$AB$160,MATCH('Tariff schedule'!$C201,'Prop. prices'!$C$86:$C$160,0),MATCH('Tariff schedule'!K$16,'Prop. prices'!$I$5:$AB$5,0))</f>
        <v>0</v>
      </c>
      <c r="L201" s="232">
        <f>INDEX('Prop. prices'!$I$86:$AB$160,MATCH('Tariff schedule'!$C201,'Prop. prices'!$C$86:$C$160,0),MATCH('Tariff schedule'!L$16,'Prop. prices'!$I$5:$AB$5,0))</f>
        <v>0</v>
      </c>
      <c r="M201" s="232">
        <f>INDEX('Prop. prices'!$I$86:$AB$160,MATCH('Tariff schedule'!$C201,'Prop. prices'!$C$86:$C$160,0),MATCH('Tariff schedule'!M$16,'Prop. prices'!$I$5:$AB$5,0))</f>
        <v>0</v>
      </c>
      <c r="N201" s="232">
        <f>INDEX('Prop. prices'!$I$86:$AB$160,MATCH('Tariff schedule'!$C201,'Prop. prices'!$C$86:$C$160,0),MATCH('Tariff schedule'!N$16,'Prop. prices'!$I$5:$AB$5,0))</f>
        <v>0</v>
      </c>
      <c r="O201" s="232">
        <f>INDEX('Prop. prices'!$I$86:$AB$160,MATCH('Tariff schedule'!$C201,'Prop. prices'!$C$86:$C$160,0),MATCH('Tariff schedule'!O$16,'Prop. prices'!$I$5:$AB$5,0))</f>
        <v>0</v>
      </c>
      <c r="P201" s="232">
        <f>INDEX('Prop. prices'!$I$86:$AB$160,MATCH('Tariff schedule'!$C201,'Prop. prices'!$C$86:$C$160,0),MATCH('Tariff schedule'!P$16,'Prop. prices'!$I$5:$AB$5,0))</f>
        <v>0</v>
      </c>
      <c r="Q201" s="232">
        <f>INDEX('Prop. prices'!$I$86:$AB$160,MATCH('Tariff schedule'!$C201,'Prop. prices'!$C$86:$C$160,0),MATCH('Tariff schedule'!Q$16,'Prop. prices'!$I$5:$AB$5,0))</f>
        <v>0</v>
      </c>
      <c r="R201" s="232">
        <f>INDEX('Prop. prices'!$I$86:$AB$160,MATCH('Tariff schedule'!$C201,'Prop. prices'!$C$86:$C$160,0),MATCH('Tariff schedule'!R$16,'Prop. prices'!$I$5:$AB$5,0))</f>
        <v>0</v>
      </c>
      <c r="S201" s="232">
        <f>INDEX('Prop. prices'!$I$86:$AB$160,MATCH('Tariff schedule'!$C201,'Prop. prices'!$C$86:$C$160,0),MATCH('Tariff schedule'!S$16,'Prop. prices'!$I$5:$AB$5,0))</f>
        <v>0</v>
      </c>
      <c r="T201" s="232">
        <f>INDEX('Prop. prices'!$I$86:$AB$160,MATCH('Tariff schedule'!$C201,'Prop. prices'!$C$86:$C$160,0),MATCH('Tariff schedule'!T$16,'Prop. prices'!$I$5:$AB$5,0))</f>
        <v>0</v>
      </c>
      <c r="U201" s="232">
        <f>INDEX('Prop. prices'!$I$86:$AB$160,MATCH('Tariff schedule'!$C201,'Prop. prices'!$C$86:$C$160,0),MATCH('Tariff schedule'!U$16,'Prop. prices'!$I$5:$AB$5,0))</f>
        <v>0</v>
      </c>
      <c r="V201" s="232">
        <f>INDEX('Prop. prices'!$I$86:$AB$160,MATCH('Tariff schedule'!$C201,'Prop. prices'!$C$86:$C$160,0),MATCH('Tariff schedule'!V$16,'Prop. prices'!$I$5:$AB$5,0))</f>
        <v>0</v>
      </c>
      <c r="W201" s="232">
        <f>INDEX('Prop. prices'!$I$86:$AB$160,MATCH('Tariff schedule'!$C201,'Prop. prices'!$C$86:$C$160,0),MATCH('Tariff schedule'!W$16,'Prop. prices'!$I$5:$AB$5,0))</f>
        <v>0</v>
      </c>
      <c r="X201" s="232">
        <f>INDEX('Prop. prices'!$I$86:$AB$160,MATCH('Tariff schedule'!$C201,'Prop. prices'!$C$86:$C$160,0),MATCH('Tariff schedule'!X$16,'Prop. prices'!$I$5:$AB$5,0))</f>
        <v>0</v>
      </c>
      <c r="Y201" s="232">
        <f>INDEX('Prop. prices'!$I$86:$AB$160,MATCH('Tariff schedule'!$C201,'Prop. prices'!$C$86:$C$160,0),MATCH('Tariff schedule'!Y$16,'Prop. prices'!$I$5:$AB$5,0))</f>
        <v>0</v>
      </c>
      <c r="Z201" s="232">
        <f>INDEX('Prop. prices'!$I$86:$AB$160,MATCH('Tariff schedule'!$C201,'Prop. prices'!$C$86:$C$160,0),MATCH('Tariff schedule'!Z$16,'Prop. prices'!$I$5:$AB$5,0))</f>
        <v>0</v>
      </c>
      <c r="AA201" s="232">
        <f>INDEX('Prop. prices'!$I$86:$AB$160,MATCH('Tariff schedule'!$C201,'Prop. prices'!$C$86:$C$160,0),MATCH('Tariff schedule'!AA$16,'Prop. prices'!$I$5:$AB$5,0))</f>
        <v>0</v>
      </c>
      <c r="AB201" s="232">
        <f>INDEX('Prop. prices'!$I$86:$AB$160,MATCH('Tariff schedule'!$C201,'Prop. prices'!$C$86:$C$160,0),MATCH('Tariff schedule'!AB$16,'Prop. prices'!$I$5:$AB$5,0))</f>
        <v>0</v>
      </c>
      <c r="AC201" s="70"/>
      <c r="AD201" s="19"/>
      <c r="AE201" s="19"/>
      <c r="AF201" s="19"/>
      <c r="AG201" s="19"/>
    </row>
    <row r="202" spans="1:33" hidden="1" outlineLevel="3" x14ac:dyDescent="0.2">
      <c r="A202" s="19"/>
      <c r="B202" s="19"/>
      <c r="C202" s="506">
        <f t="shared" si="85"/>
        <v>0</v>
      </c>
      <c r="D202" s="505">
        <f t="shared" si="85"/>
        <v>0</v>
      </c>
      <c r="E202" s="505">
        <f t="shared" si="85"/>
        <v>0</v>
      </c>
      <c r="F202" s="505">
        <f t="shared" si="85"/>
        <v>0</v>
      </c>
      <c r="G202" s="505">
        <f t="shared" si="85"/>
        <v>0</v>
      </c>
      <c r="H202" s="58"/>
      <c r="I202" s="232">
        <f>INDEX('Prop. prices'!$I$86:$AB$160,MATCH('Tariff schedule'!$C202,'Prop. prices'!$C$86:$C$160,0),MATCH('Tariff schedule'!I$16,'Prop. prices'!$I$5:$AB$5,0))</f>
        <v>0</v>
      </c>
      <c r="J202" s="232">
        <f>INDEX('Prop. prices'!$I$86:$AB$160,MATCH('Tariff schedule'!$C202,'Prop. prices'!$C$86:$C$160,0),MATCH('Tariff schedule'!J$16,'Prop. prices'!$I$5:$AB$5,0))</f>
        <v>0</v>
      </c>
      <c r="K202" s="232">
        <f>INDEX('Prop. prices'!$I$86:$AB$160,MATCH('Tariff schedule'!$C202,'Prop. prices'!$C$86:$C$160,0),MATCH('Tariff schedule'!K$16,'Prop. prices'!$I$5:$AB$5,0))</f>
        <v>0</v>
      </c>
      <c r="L202" s="232">
        <f>INDEX('Prop. prices'!$I$86:$AB$160,MATCH('Tariff schedule'!$C202,'Prop. prices'!$C$86:$C$160,0),MATCH('Tariff schedule'!L$16,'Prop. prices'!$I$5:$AB$5,0))</f>
        <v>0</v>
      </c>
      <c r="M202" s="232">
        <f>INDEX('Prop. prices'!$I$86:$AB$160,MATCH('Tariff schedule'!$C202,'Prop. prices'!$C$86:$C$160,0),MATCH('Tariff schedule'!M$16,'Prop. prices'!$I$5:$AB$5,0))</f>
        <v>0</v>
      </c>
      <c r="N202" s="232">
        <f>INDEX('Prop. prices'!$I$86:$AB$160,MATCH('Tariff schedule'!$C202,'Prop. prices'!$C$86:$C$160,0),MATCH('Tariff schedule'!N$16,'Prop. prices'!$I$5:$AB$5,0))</f>
        <v>0</v>
      </c>
      <c r="O202" s="232">
        <f>INDEX('Prop. prices'!$I$86:$AB$160,MATCH('Tariff schedule'!$C202,'Prop. prices'!$C$86:$C$160,0),MATCH('Tariff schedule'!O$16,'Prop. prices'!$I$5:$AB$5,0))</f>
        <v>0</v>
      </c>
      <c r="P202" s="232">
        <f>INDEX('Prop. prices'!$I$86:$AB$160,MATCH('Tariff schedule'!$C202,'Prop. prices'!$C$86:$C$160,0),MATCH('Tariff schedule'!P$16,'Prop. prices'!$I$5:$AB$5,0))</f>
        <v>0</v>
      </c>
      <c r="Q202" s="232">
        <f>INDEX('Prop. prices'!$I$86:$AB$160,MATCH('Tariff schedule'!$C202,'Prop. prices'!$C$86:$C$160,0),MATCH('Tariff schedule'!Q$16,'Prop. prices'!$I$5:$AB$5,0))</f>
        <v>0</v>
      </c>
      <c r="R202" s="232">
        <f>INDEX('Prop. prices'!$I$86:$AB$160,MATCH('Tariff schedule'!$C202,'Prop. prices'!$C$86:$C$160,0),MATCH('Tariff schedule'!R$16,'Prop. prices'!$I$5:$AB$5,0))</f>
        <v>0</v>
      </c>
      <c r="S202" s="232">
        <f>INDEX('Prop. prices'!$I$86:$AB$160,MATCH('Tariff schedule'!$C202,'Prop. prices'!$C$86:$C$160,0),MATCH('Tariff schedule'!S$16,'Prop. prices'!$I$5:$AB$5,0))</f>
        <v>0</v>
      </c>
      <c r="T202" s="232">
        <f>INDEX('Prop. prices'!$I$86:$AB$160,MATCH('Tariff schedule'!$C202,'Prop. prices'!$C$86:$C$160,0),MATCH('Tariff schedule'!T$16,'Prop. prices'!$I$5:$AB$5,0))</f>
        <v>0</v>
      </c>
      <c r="U202" s="232">
        <f>INDEX('Prop. prices'!$I$86:$AB$160,MATCH('Tariff schedule'!$C202,'Prop. prices'!$C$86:$C$160,0),MATCH('Tariff schedule'!U$16,'Prop. prices'!$I$5:$AB$5,0))</f>
        <v>0</v>
      </c>
      <c r="V202" s="232">
        <f>INDEX('Prop. prices'!$I$86:$AB$160,MATCH('Tariff schedule'!$C202,'Prop. prices'!$C$86:$C$160,0),MATCH('Tariff schedule'!V$16,'Prop. prices'!$I$5:$AB$5,0))</f>
        <v>0</v>
      </c>
      <c r="W202" s="232">
        <f>INDEX('Prop. prices'!$I$86:$AB$160,MATCH('Tariff schedule'!$C202,'Prop. prices'!$C$86:$C$160,0),MATCH('Tariff schedule'!W$16,'Prop. prices'!$I$5:$AB$5,0))</f>
        <v>0</v>
      </c>
      <c r="X202" s="232">
        <f>INDEX('Prop. prices'!$I$86:$AB$160,MATCH('Tariff schedule'!$C202,'Prop. prices'!$C$86:$C$160,0),MATCH('Tariff schedule'!X$16,'Prop. prices'!$I$5:$AB$5,0))</f>
        <v>0</v>
      </c>
      <c r="Y202" s="232">
        <f>INDEX('Prop. prices'!$I$86:$AB$160,MATCH('Tariff schedule'!$C202,'Prop. prices'!$C$86:$C$160,0),MATCH('Tariff schedule'!Y$16,'Prop. prices'!$I$5:$AB$5,0))</f>
        <v>0</v>
      </c>
      <c r="Z202" s="232">
        <f>INDEX('Prop. prices'!$I$86:$AB$160,MATCH('Tariff schedule'!$C202,'Prop. prices'!$C$86:$C$160,0),MATCH('Tariff schedule'!Z$16,'Prop. prices'!$I$5:$AB$5,0))</f>
        <v>0</v>
      </c>
      <c r="AA202" s="232">
        <f>INDEX('Prop. prices'!$I$86:$AB$160,MATCH('Tariff schedule'!$C202,'Prop. prices'!$C$86:$C$160,0),MATCH('Tariff schedule'!AA$16,'Prop. prices'!$I$5:$AB$5,0))</f>
        <v>0</v>
      </c>
      <c r="AB202" s="232">
        <f>INDEX('Prop. prices'!$I$86:$AB$160,MATCH('Tariff schedule'!$C202,'Prop. prices'!$C$86:$C$160,0),MATCH('Tariff schedule'!AB$16,'Prop. prices'!$I$5:$AB$5,0))</f>
        <v>0</v>
      </c>
      <c r="AC202" s="70"/>
      <c r="AD202" s="19"/>
      <c r="AE202" s="19"/>
      <c r="AF202" s="19"/>
      <c r="AG202" s="19"/>
    </row>
    <row r="203" spans="1:33" hidden="1" outlineLevel="3" x14ac:dyDescent="0.2">
      <c r="A203" s="19"/>
      <c r="B203" s="19"/>
      <c r="C203" s="506">
        <f t="shared" si="85"/>
        <v>0</v>
      </c>
      <c r="D203" s="505">
        <f t="shared" si="85"/>
        <v>0</v>
      </c>
      <c r="E203" s="505">
        <f t="shared" si="85"/>
        <v>0</v>
      </c>
      <c r="F203" s="505">
        <f t="shared" si="85"/>
        <v>0</v>
      </c>
      <c r="G203" s="505">
        <f t="shared" si="85"/>
        <v>0</v>
      </c>
      <c r="H203" s="58"/>
      <c r="I203" s="232">
        <f>INDEX('Prop. prices'!$I$86:$AB$160,MATCH('Tariff schedule'!$C203,'Prop. prices'!$C$86:$C$160,0),MATCH('Tariff schedule'!I$16,'Prop. prices'!$I$5:$AB$5,0))</f>
        <v>0</v>
      </c>
      <c r="J203" s="232">
        <f>INDEX('Prop. prices'!$I$86:$AB$160,MATCH('Tariff schedule'!$C203,'Prop. prices'!$C$86:$C$160,0),MATCH('Tariff schedule'!J$16,'Prop. prices'!$I$5:$AB$5,0))</f>
        <v>0</v>
      </c>
      <c r="K203" s="232">
        <f>INDEX('Prop. prices'!$I$86:$AB$160,MATCH('Tariff schedule'!$C203,'Prop. prices'!$C$86:$C$160,0),MATCH('Tariff schedule'!K$16,'Prop. prices'!$I$5:$AB$5,0))</f>
        <v>0</v>
      </c>
      <c r="L203" s="232">
        <f>INDEX('Prop. prices'!$I$86:$AB$160,MATCH('Tariff schedule'!$C203,'Prop. prices'!$C$86:$C$160,0),MATCH('Tariff schedule'!L$16,'Prop. prices'!$I$5:$AB$5,0))</f>
        <v>0</v>
      </c>
      <c r="M203" s="232">
        <f>INDEX('Prop. prices'!$I$86:$AB$160,MATCH('Tariff schedule'!$C203,'Prop. prices'!$C$86:$C$160,0),MATCH('Tariff schedule'!M$16,'Prop. prices'!$I$5:$AB$5,0))</f>
        <v>0</v>
      </c>
      <c r="N203" s="232">
        <f>INDEX('Prop. prices'!$I$86:$AB$160,MATCH('Tariff schedule'!$C203,'Prop. prices'!$C$86:$C$160,0),MATCH('Tariff schedule'!N$16,'Prop. prices'!$I$5:$AB$5,0))</f>
        <v>0</v>
      </c>
      <c r="O203" s="232">
        <f>INDEX('Prop. prices'!$I$86:$AB$160,MATCH('Tariff schedule'!$C203,'Prop. prices'!$C$86:$C$160,0),MATCH('Tariff schedule'!O$16,'Prop. prices'!$I$5:$AB$5,0))</f>
        <v>0</v>
      </c>
      <c r="P203" s="232">
        <f>INDEX('Prop. prices'!$I$86:$AB$160,MATCH('Tariff schedule'!$C203,'Prop. prices'!$C$86:$C$160,0),MATCH('Tariff schedule'!P$16,'Prop. prices'!$I$5:$AB$5,0))</f>
        <v>0</v>
      </c>
      <c r="Q203" s="232">
        <f>INDEX('Prop. prices'!$I$86:$AB$160,MATCH('Tariff schedule'!$C203,'Prop. prices'!$C$86:$C$160,0),MATCH('Tariff schedule'!Q$16,'Prop. prices'!$I$5:$AB$5,0))</f>
        <v>0</v>
      </c>
      <c r="R203" s="232">
        <f>INDEX('Prop. prices'!$I$86:$AB$160,MATCH('Tariff schedule'!$C203,'Prop. prices'!$C$86:$C$160,0),MATCH('Tariff schedule'!R$16,'Prop. prices'!$I$5:$AB$5,0))</f>
        <v>0</v>
      </c>
      <c r="S203" s="232">
        <f>INDEX('Prop. prices'!$I$86:$AB$160,MATCH('Tariff schedule'!$C203,'Prop. prices'!$C$86:$C$160,0),MATCH('Tariff schedule'!S$16,'Prop. prices'!$I$5:$AB$5,0))</f>
        <v>0</v>
      </c>
      <c r="T203" s="232">
        <f>INDEX('Prop. prices'!$I$86:$AB$160,MATCH('Tariff schedule'!$C203,'Prop. prices'!$C$86:$C$160,0),MATCH('Tariff schedule'!T$16,'Prop. prices'!$I$5:$AB$5,0))</f>
        <v>0</v>
      </c>
      <c r="U203" s="232">
        <f>INDEX('Prop. prices'!$I$86:$AB$160,MATCH('Tariff schedule'!$C203,'Prop. prices'!$C$86:$C$160,0),MATCH('Tariff schedule'!U$16,'Prop. prices'!$I$5:$AB$5,0))</f>
        <v>0</v>
      </c>
      <c r="V203" s="232">
        <f>INDEX('Prop. prices'!$I$86:$AB$160,MATCH('Tariff schedule'!$C203,'Prop. prices'!$C$86:$C$160,0),MATCH('Tariff schedule'!V$16,'Prop. prices'!$I$5:$AB$5,0))</f>
        <v>0</v>
      </c>
      <c r="W203" s="232">
        <f>INDEX('Prop. prices'!$I$86:$AB$160,MATCH('Tariff schedule'!$C203,'Prop. prices'!$C$86:$C$160,0),MATCH('Tariff schedule'!W$16,'Prop. prices'!$I$5:$AB$5,0))</f>
        <v>0</v>
      </c>
      <c r="X203" s="232">
        <f>INDEX('Prop. prices'!$I$86:$AB$160,MATCH('Tariff schedule'!$C203,'Prop. prices'!$C$86:$C$160,0),MATCH('Tariff schedule'!X$16,'Prop. prices'!$I$5:$AB$5,0))</f>
        <v>0</v>
      </c>
      <c r="Y203" s="232">
        <f>INDEX('Prop. prices'!$I$86:$AB$160,MATCH('Tariff schedule'!$C203,'Prop. prices'!$C$86:$C$160,0),MATCH('Tariff schedule'!Y$16,'Prop. prices'!$I$5:$AB$5,0))</f>
        <v>0</v>
      </c>
      <c r="Z203" s="232">
        <f>INDEX('Prop. prices'!$I$86:$AB$160,MATCH('Tariff schedule'!$C203,'Prop. prices'!$C$86:$C$160,0),MATCH('Tariff schedule'!Z$16,'Prop. prices'!$I$5:$AB$5,0))</f>
        <v>0</v>
      </c>
      <c r="AA203" s="232">
        <f>INDEX('Prop. prices'!$I$86:$AB$160,MATCH('Tariff schedule'!$C203,'Prop. prices'!$C$86:$C$160,0),MATCH('Tariff schedule'!AA$16,'Prop. prices'!$I$5:$AB$5,0))</f>
        <v>0</v>
      </c>
      <c r="AB203" s="232">
        <f>INDEX('Prop. prices'!$I$86:$AB$160,MATCH('Tariff schedule'!$C203,'Prop. prices'!$C$86:$C$160,0),MATCH('Tariff schedule'!AB$16,'Prop. prices'!$I$5:$AB$5,0))</f>
        <v>0</v>
      </c>
      <c r="AC203" s="70"/>
      <c r="AD203" s="19"/>
      <c r="AE203" s="19"/>
      <c r="AF203" s="19"/>
      <c r="AG203" s="19"/>
    </row>
    <row r="204" spans="1:33" hidden="1" outlineLevel="3" x14ac:dyDescent="0.2">
      <c r="A204" s="19"/>
      <c r="B204" s="19"/>
      <c r="C204" s="506">
        <f t="shared" si="85"/>
        <v>0</v>
      </c>
      <c r="D204" s="505">
        <f t="shared" si="85"/>
        <v>0</v>
      </c>
      <c r="E204" s="505">
        <f t="shared" si="85"/>
        <v>0</v>
      </c>
      <c r="F204" s="505">
        <f t="shared" si="85"/>
        <v>0</v>
      </c>
      <c r="G204" s="505">
        <f t="shared" si="85"/>
        <v>0</v>
      </c>
      <c r="H204" s="58"/>
      <c r="I204" s="232">
        <f>INDEX('Prop. prices'!$I$86:$AB$160,MATCH('Tariff schedule'!$C204,'Prop. prices'!$C$86:$C$160,0),MATCH('Tariff schedule'!I$16,'Prop. prices'!$I$5:$AB$5,0))</f>
        <v>0</v>
      </c>
      <c r="J204" s="232">
        <f>INDEX('Prop. prices'!$I$86:$AB$160,MATCH('Tariff schedule'!$C204,'Prop. prices'!$C$86:$C$160,0),MATCH('Tariff schedule'!J$16,'Prop. prices'!$I$5:$AB$5,0))</f>
        <v>0</v>
      </c>
      <c r="K204" s="232">
        <f>INDEX('Prop. prices'!$I$86:$AB$160,MATCH('Tariff schedule'!$C204,'Prop. prices'!$C$86:$C$160,0),MATCH('Tariff schedule'!K$16,'Prop. prices'!$I$5:$AB$5,0))</f>
        <v>0</v>
      </c>
      <c r="L204" s="232">
        <f>INDEX('Prop. prices'!$I$86:$AB$160,MATCH('Tariff schedule'!$C204,'Prop. prices'!$C$86:$C$160,0),MATCH('Tariff schedule'!L$16,'Prop. prices'!$I$5:$AB$5,0))</f>
        <v>0</v>
      </c>
      <c r="M204" s="232">
        <f>INDEX('Prop. prices'!$I$86:$AB$160,MATCH('Tariff schedule'!$C204,'Prop. prices'!$C$86:$C$160,0),MATCH('Tariff schedule'!M$16,'Prop. prices'!$I$5:$AB$5,0))</f>
        <v>0</v>
      </c>
      <c r="N204" s="232">
        <f>INDEX('Prop. prices'!$I$86:$AB$160,MATCH('Tariff schedule'!$C204,'Prop. prices'!$C$86:$C$160,0),MATCH('Tariff schedule'!N$16,'Prop. prices'!$I$5:$AB$5,0))</f>
        <v>0</v>
      </c>
      <c r="O204" s="232">
        <f>INDEX('Prop. prices'!$I$86:$AB$160,MATCH('Tariff schedule'!$C204,'Prop. prices'!$C$86:$C$160,0),MATCH('Tariff schedule'!O$16,'Prop. prices'!$I$5:$AB$5,0))</f>
        <v>0</v>
      </c>
      <c r="P204" s="232">
        <f>INDEX('Prop. prices'!$I$86:$AB$160,MATCH('Tariff schedule'!$C204,'Prop. prices'!$C$86:$C$160,0),MATCH('Tariff schedule'!P$16,'Prop. prices'!$I$5:$AB$5,0))</f>
        <v>0</v>
      </c>
      <c r="Q204" s="232">
        <f>INDEX('Prop. prices'!$I$86:$AB$160,MATCH('Tariff schedule'!$C204,'Prop. prices'!$C$86:$C$160,0),MATCH('Tariff schedule'!Q$16,'Prop. prices'!$I$5:$AB$5,0))</f>
        <v>0</v>
      </c>
      <c r="R204" s="232">
        <f>INDEX('Prop. prices'!$I$86:$AB$160,MATCH('Tariff schedule'!$C204,'Prop. prices'!$C$86:$C$160,0),MATCH('Tariff schedule'!R$16,'Prop. prices'!$I$5:$AB$5,0))</f>
        <v>0</v>
      </c>
      <c r="S204" s="232">
        <f>INDEX('Prop. prices'!$I$86:$AB$160,MATCH('Tariff schedule'!$C204,'Prop. prices'!$C$86:$C$160,0),MATCH('Tariff schedule'!S$16,'Prop. prices'!$I$5:$AB$5,0))</f>
        <v>0</v>
      </c>
      <c r="T204" s="232">
        <f>INDEX('Prop. prices'!$I$86:$AB$160,MATCH('Tariff schedule'!$C204,'Prop. prices'!$C$86:$C$160,0),MATCH('Tariff schedule'!T$16,'Prop. prices'!$I$5:$AB$5,0))</f>
        <v>0</v>
      </c>
      <c r="U204" s="232">
        <f>INDEX('Prop. prices'!$I$86:$AB$160,MATCH('Tariff schedule'!$C204,'Prop. prices'!$C$86:$C$160,0),MATCH('Tariff schedule'!U$16,'Prop. prices'!$I$5:$AB$5,0))</f>
        <v>0</v>
      </c>
      <c r="V204" s="232">
        <f>INDEX('Prop. prices'!$I$86:$AB$160,MATCH('Tariff schedule'!$C204,'Prop. prices'!$C$86:$C$160,0),MATCH('Tariff schedule'!V$16,'Prop. prices'!$I$5:$AB$5,0))</f>
        <v>0</v>
      </c>
      <c r="W204" s="232">
        <f>INDEX('Prop. prices'!$I$86:$AB$160,MATCH('Tariff schedule'!$C204,'Prop. prices'!$C$86:$C$160,0),MATCH('Tariff schedule'!W$16,'Prop. prices'!$I$5:$AB$5,0))</f>
        <v>0</v>
      </c>
      <c r="X204" s="232">
        <f>INDEX('Prop. prices'!$I$86:$AB$160,MATCH('Tariff schedule'!$C204,'Prop. prices'!$C$86:$C$160,0),MATCH('Tariff schedule'!X$16,'Prop. prices'!$I$5:$AB$5,0))</f>
        <v>0</v>
      </c>
      <c r="Y204" s="232">
        <f>INDEX('Prop. prices'!$I$86:$AB$160,MATCH('Tariff schedule'!$C204,'Prop. prices'!$C$86:$C$160,0),MATCH('Tariff schedule'!Y$16,'Prop. prices'!$I$5:$AB$5,0))</f>
        <v>0</v>
      </c>
      <c r="Z204" s="232">
        <f>INDEX('Prop. prices'!$I$86:$AB$160,MATCH('Tariff schedule'!$C204,'Prop. prices'!$C$86:$C$160,0),MATCH('Tariff schedule'!Z$16,'Prop. prices'!$I$5:$AB$5,0))</f>
        <v>0</v>
      </c>
      <c r="AA204" s="232">
        <f>INDEX('Prop. prices'!$I$86:$AB$160,MATCH('Tariff schedule'!$C204,'Prop. prices'!$C$86:$C$160,0),MATCH('Tariff schedule'!AA$16,'Prop. prices'!$I$5:$AB$5,0))</f>
        <v>0</v>
      </c>
      <c r="AB204" s="232">
        <f>INDEX('Prop. prices'!$I$86:$AB$160,MATCH('Tariff schedule'!$C204,'Prop. prices'!$C$86:$C$160,0),MATCH('Tariff schedule'!AB$16,'Prop. prices'!$I$5:$AB$5,0))</f>
        <v>0</v>
      </c>
      <c r="AC204" s="70"/>
      <c r="AD204" s="19"/>
      <c r="AE204" s="19"/>
      <c r="AF204" s="19"/>
      <c r="AG204" s="19"/>
    </row>
    <row r="205" spans="1:33" hidden="1" outlineLevel="3" x14ac:dyDescent="0.2">
      <c r="A205" s="19"/>
      <c r="B205" s="19"/>
      <c r="C205" s="506">
        <f t="shared" ref="C205:G214" si="86">C49</f>
        <v>0</v>
      </c>
      <c r="D205" s="505">
        <f t="shared" si="86"/>
        <v>0</v>
      </c>
      <c r="E205" s="505">
        <f t="shared" si="86"/>
        <v>0</v>
      </c>
      <c r="F205" s="505">
        <f t="shared" si="86"/>
        <v>0</v>
      </c>
      <c r="G205" s="505">
        <f t="shared" si="86"/>
        <v>0</v>
      </c>
      <c r="H205" s="58"/>
      <c r="I205" s="232">
        <f>INDEX('Prop. prices'!$I$86:$AB$160,MATCH('Tariff schedule'!$C205,'Prop. prices'!$C$86:$C$160,0),MATCH('Tariff schedule'!I$16,'Prop. prices'!$I$5:$AB$5,0))</f>
        <v>0</v>
      </c>
      <c r="J205" s="232">
        <f>INDEX('Prop. prices'!$I$86:$AB$160,MATCH('Tariff schedule'!$C205,'Prop. prices'!$C$86:$C$160,0),MATCH('Tariff schedule'!J$16,'Prop. prices'!$I$5:$AB$5,0))</f>
        <v>0</v>
      </c>
      <c r="K205" s="232">
        <f>INDEX('Prop. prices'!$I$86:$AB$160,MATCH('Tariff schedule'!$C205,'Prop. prices'!$C$86:$C$160,0),MATCH('Tariff schedule'!K$16,'Prop. prices'!$I$5:$AB$5,0))</f>
        <v>0</v>
      </c>
      <c r="L205" s="232">
        <f>INDEX('Prop. prices'!$I$86:$AB$160,MATCH('Tariff schedule'!$C205,'Prop. prices'!$C$86:$C$160,0),MATCH('Tariff schedule'!L$16,'Prop. prices'!$I$5:$AB$5,0))</f>
        <v>0</v>
      </c>
      <c r="M205" s="232">
        <f>INDEX('Prop. prices'!$I$86:$AB$160,MATCH('Tariff schedule'!$C205,'Prop. prices'!$C$86:$C$160,0),MATCH('Tariff schedule'!M$16,'Prop. prices'!$I$5:$AB$5,0))</f>
        <v>0</v>
      </c>
      <c r="N205" s="232">
        <f>INDEX('Prop. prices'!$I$86:$AB$160,MATCH('Tariff schedule'!$C205,'Prop. prices'!$C$86:$C$160,0),MATCH('Tariff schedule'!N$16,'Prop. prices'!$I$5:$AB$5,0))</f>
        <v>0</v>
      </c>
      <c r="O205" s="232">
        <f>INDEX('Prop. prices'!$I$86:$AB$160,MATCH('Tariff schedule'!$C205,'Prop. prices'!$C$86:$C$160,0),MATCH('Tariff schedule'!O$16,'Prop. prices'!$I$5:$AB$5,0))</f>
        <v>0</v>
      </c>
      <c r="P205" s="232">
        <f>INDEX('Prop. prices'!$I$86:$AB$160,MATCH('Tariff schedule'!$C205,'Prop. prices'!$C$86:$C$160,0),MATCH('Tariff schedule'!P$16,'Prop. prices'!$I$5:$AB$5,0))</f>
        <v>0</v>
      </c>
      <c r="Q205" s="232">
        <f>INDEX('Prop. prices'!$I$86:$AB$160,MATCH('Tariff schedule'!$C205,'Prop. prices'!$C$86:$C$160,0),MATCH('Tariff schedule'!Q$16,'Prop. prices'!$I$5:$AB$5,0))</f>
        <v>0</v>
      </c>
      <c r="R205" s="232">
        <f>INDEX('Prop. prices'!$I$86:$AB$160,MATCH('Tariff schedule'!$C205,'Prop. prices'!$C$86:$C$160,0),MATCH('Tariff schedule'!R$16,'Prop. prices'!$I$5:$AB$5,0))</f>
        <v>0</v>
      </c>
      <c r="S205" s="232">
        <f>INDEX('Prop. prices'!$I$86:$AB$160,MATCH('Tariff schedule'!$C205,'Prop. prices'!$C$86:$C$160,0),MATCH('Tariff schedule'!S$16,'Prop. prices'!$I$5:$AB$5,0))</f>
        <v>0</v>
      </c>
      <c r="T205" s="232">
        <f>INDEX('Prop. prices'!$I$86:$AB$160,MATCH('Tariff schedule'!$C205,'Prop. prices'!$C$86:$C$160,0),MATCH('Tariff schedule'!T$16,'Prop. prices'!$I$5:$AB$5,0))</f>
        <v>0</v>
      </c>
      <c r="U205" s="232">
        <f>INDEX('Prop. prices'!$I$86:$AB$160,MATCH('Tariff schedule'!$C205,'Prop. prices'!$C$86:$C$160,0),MATCH('Tariff schedule'!U$16,'Prop. prices'!$I$5:$AB$5,0))</f>
        <v>0</v>
      </c>
      <c r="V205" s="232">
        <f>INDEX('Prop. prices'!$I$86:$AB$160,MATCH('Tariff schedule'!$C205,'Prop. prices'!$C$86:$C$160,0),MATCH('Tariff schedule'!V$16,'Prop. prices'!$I$5:$AB$5,0))</f>
        <v>0</v>
      </c>
      <c r="W205" s="232">
        <f>INDEX('Prop. prices'!$I$86:$AB$160,MATCH('Tariff schedule'!$C205,'Prop. prices'!$C$86:$C$160,0),MATCH('Tariff schedule'!W$16,'Prop. prices'!$I$5:$AB$5,0))</f>
        <v>0</v>
      </c>
      <c r="X205" s="232">
        <f>INDEX('Prop. prices'!$I$86:$AB$160,MATCH('Tariff schedule'!$C205,'Prop. prices'!$C$86:$C$160,0),MATCH('Tariff schedule'!X$16,'Prop. prices'!$I$5:$AB$5,0))</f>
        <v>0</v>
      </c>
      <c r="Y205" s="232">
        <f>INDEX('Prop. prices'!$I$86:$AB$160,MATCH('Tariff schedule'!$C205,'Prop. prices'!$C$86:$C$160,0),MATCH('Tariff schedule'!Y$16,'Prop. prices'!$I$5:$AB$5,0))</f>
        <v>0</v>
      </c>
      <c r="Z205" s="232">
        <f>INDEX('Prop. prices'!$I$86:$AB$160,MATCH('Tariff schedule'!$C205,'Prop. prices'!$C$86:$C$160,0),MATCH('Tariff schedule'!Z$16,'Prop. prices'!$I$5:$AB$5,0))</f>
        <v>0</v>
      </c>
      <c r="AA205" s="232">
        <f>INDEX('Prop. prices'!$I$86:$AB$160,MATCH('Tariff schedule'!$C205,'Prop. prices'!$C$86:$C$160,0),MATCH('Tariff schedule'!AA$16,'Prop. prices'!$I$5:$AB$5,0))</f>
        <v>0</v>
      </c>
      <c r="AB205" s="232">
        <f>INDEX('Prop. prices'!$I$86:$AB$160,MATCH('Tariff schedule'!$C205,'Prop. prices'!$C$86:$C$160,0),MATCH('Tariff schedule'!AB$16,'Prop. prices'!$I$5:$AB$5,0))</f>
        <v>0</v>
      </c>
      <c r="AC205" s="70"/>
      <c r="AD205" s="19"/>
      <c r="AE205" s="19"/>
      <c r="AF205" s="19"/>
      <c r="AG205" s="19"/>
    </row>
    <row r="206" spans="1:33" hidden="1" outlineLevel="3" x14ac:dyDescent="0.2">
      <c r="A206" s="19"/>
      <c r="B206" s="19"/>
      <c r="C206" s="506">
        <f t="shared" si="86"/>
        <v>0</v>
      </c>
      <c r="D206" s="505">
        <f t="shared" si="86"/>
        <v>0</v>
      </c>
      <c r="E206" s="505">
        <f t="shared" si="86"/>
        <v>0</v>
      </c>
      <c r="F206" s="505">
        <f t="shared" si="86"/>
        <v>0</v>
      </c>
      <c r="G206" s="505">
        <f t="shared" si="86"/>
        <v>0</v>
      </c>
      <c r="H206" s="58"/>
      <c r="I206" s="232">
        <f>INDEX('Prop. prices'!$I$86:$AB$160,MATCH('Tariff schedule'!$C206,'Prop. prices'!$C$86:$C$160,0),MATCH('Tariff schedule'!I$16,'Prop. prices'!$I$5:$AB$5,0))</f>
        <v>0</v>
      </c>
      <c r="J206" s="232">
        <f>INDEX('Prop. prices'!$I$86:$AB$160,MATCH('Tariff schedule'!$C206,'Prop. prices'!$C$86:$C$160,0),MATCH('Tariff schedule'!J$16,'Prop. prices'!$I$5:$AB$5,0))</f>
        <v>0</v>
      </c>
      <c r="K206" s="232">
        <f>INDEX('Prop. prices'!$I$86:$AB$160,MATCH('Tariff schedule'!$C206,'Prop. prices'!$C$86:$C$160,0),MATCH('Tariff schedule'!K$16,'Prop. prices'!$I$5:$AB$5,0))</f>
        <v>0</v>
      </c>
      <c r="L206" s="232">
        <f>INDEX('Prop. prices'!$I$86:$AB$160,MATCH('Tariff schedule'!$C206,'Prop. prices'!$C$86:$C$160,0),MATCH('Tariff schedule'!L$16,'Prop. prices'!$I$5:$AB$5,0))</f>
        <v>0</v>
      </c>
      <c r="M206" s="232">
        <f>INDEX('Prop. prices'!$I$86:$AB$160,MATCH('Tariff schedule'!$C206,'Prop. prices'!$C$86:$C$160,0),MATCH('Tariff schedule'!M$16,'Prop. prices'!$I$5:$AB$5,0))</f>
        <v>0</v>
      </c>
      <c r="N206" s="232">
        <f>INDEX('Prop. prices'!$I$86:$AB$160,MATCH('Tariff schedule'!$C206,'Prop. prices'!$C$86:$C$160,0),MATCH('Tariff schedule'!N$16,'Prop. prices'!$I$5:$AB$5,0))</f>
        <v>0</v>
      </c>
      <c r="O206" s="232">
        <f>INDEX('Prop. prices'!$I$86:$AB$160,MATCH('Tariff schedule'!$C206,'Prop. prices'!$C$86:$C$160,0),MATCH('Tariff schedule'!O$16,'Prop. prices'!$I$5:$AB$5,0))</f>
        <v>0</v>
      </c>
      <c r="P206" s="232">
        <f>INDEX('Prop. prices'!$I$86:$AB$160,MATCH('Tariff schedule'!$C206,'Prop. prices'!$C$86:$C$160,0),MATCH('Tariff schedule'!P$16,'Prop. prices'!$I$5:$AB$5,0))</f>
        <v>0</v>
      </c>
      <c r="Q206" s="232">
        <f>INDEX('Prop. prices'!$I$86:$AB$160,MATCH('Tariff schedule'!$C206,'Prop. prices'!$C$86:$C$160,0),MATCH('Tariff schedule'!Q$16,'Prop. prices'!$I$5:$AB$5,0))</f>
        <v>0</v>
      </c>
      <c r="R206" s="232">
        <f>INDEX('Prop. prices'!$I$86:$AB$160,MATCH('Tariff schedule'!$C206,'Prop. prices'!$C$86:$C$160,0),MATCH('Tariff schedule'!R$16,'Prop. prices'!$I$5:$AB$5,0))</f>
        <v>0</v>
      </c>
      <c r="S206" s="232">
        <f>INDEX('Prop. prices'!$I$86:$AB$160,MATCH('Tariff schedule'!$C206,'Prop. prices'!$C$86:$C$160,0),MATCH('Tariff schedule'!S$16,'Prop. prices'!$I$5:$AB$5,0))</f>
        <v>0</v>
      </c>
      <c r="T206" s="232">
        <f>INDEX('Prop. prices'!$I$86:$AB$160,MATCH('Tariff schedule'!$C206,'Prop. prices'!$C$86:$C$160,0),MATCH('Tariff schedule'!T$16,'Prop. prices'!$I$5:$AB$5,0))</f>
        <v>0</v>
      </c>
      <c r="U206" s="232">
        <f>INDEX('Prop. prices'!$I$86:$AB$160,MATCH('Tariff schedule'!$C206,'Prop. prices'!$C$86:$C$160,0),MATCH('Tariff schedule'!U$16,'Prop. prices'!$I$5:$AB$5,0))</f>
        <v>0</v>
      </c>
      <c r="V206" s="232">
        <f>INDEX('Prop. prices'!$I$86:$AB$160,MATCH('Tariff schedule'!$C206,'Prop. prices'!$C$86:$C$160,0),MATCH('Tariff schedule'!V$16,'Prop. prices'!$I$5:$AB$5,0))</f>
        <v>0</v>
      </c>
      <c r="W206" s="232">
        <f>INDEX('Prop. prices'!$I$86:$AB$160,MATCH('Tariff schedule'!$C206,'Prop. prices'!$C$86:$C$160,0),MATCH('Tariff schedule'!W$16,'Prop. prices'!$I$5:$AB$5,0))</f>
        <v>0</v>
      </c>
      <c r="X206" s="232">
        <f>INDEX('Prop. prices'!$I$86:$AB$160,MATCH('Tariff schedule'!$C206,'Prop. prices'!$C$86:$C$160,0),MATCH('Tariff schedule'!X$16,'Prop. prices'!$I$5:$AB$5,0))</f>
        <v>0</v>
      </c>
      <c r="Y206" s="232">
        <f>INDEX('Prop. prices'!$I$86:$AB$160,MATCH('Tariff schedule'!$C206,'Prop. prices'!$C$86:$C$160,0),MATCH('Tariff schedule'!Y$16,'Prop. prices'!$I$5:$AB$5,0))</f>
        <v>0</v>
      </c>
      <c r="Z206" s="232">
        <f>INDEX('Prop. prices'!$I$86:$AB$160,MATCH('Tariff schedule'!$C206,'Prop. prices'!$C$86:$C$160,0),MATCH('Tariff schedule'!Z$16,'Prop. prices'!$I$5:$AB$5,0))</f>
        <v>0</v>
      </c>
      <c r="AA206" s="232">
        <f>INDEX('Prop. prices'!$I$86:$AB$160,MATCH('Tariff schedule'!$C206,'Prop. prices'!$C$86:$C$160,0),MATCH('Tariff schedule'!AA$16,'Prop. prices'!$I$5:$AB$5,0))</f>
        <v>0</v>
      </c>
      <c r="AB206" s="232">
        <f>INDEX('Prop. prices'!$I$86:$AB$160,MATCH('Tariff schedule'!$C206,'Prop. prices'!$C$86:$C$160,0),MATCH('Tariff schedule'!AB$16,'Prop. prices'!$I$5:$AB$5,0))</f>
        <v>0</v>
      </c>
      <c r="AC206" s="70"/>
      <c r="AD206" s="19"/>
      <c r="AE206" s="19"/>
      <c r="AF206" s="19"/>
      <c r="AG206" s="19"/>
    </row>
    <row r="207" spans="1:33" hidden="1" outlineLevel="3" x14ac:dyDescent="0.2">
      <c r="A207" s="19"/>
      <c r="B207" s="19"/>
      <c r="C207" s="506">
        <f t="shared" si="86"/>
        <v>0</v>
      </c>
      <c r="D207" s="505">
        <f t="shared" si="86"/>
        <v>0</v>
      </c>
      <c r="E207" s="505">
        <f t="shared" si="86"/>
        <v>0</v>
      </c>
      <c r="F207" s="505">
        <f t="shared" si="86"/>
        <v>0</v>
      </c>
      <c r="G207" s="505">
        <f t="shared" si="86"/>
        <v>0</v>
      </c>
      <c r="H207" s="58"/>
      <c r="I207" s="232">
        <f>INDEX('Prop. prices'!$I$86:$AB$160,MATCH('Tariff schedule'!$C207,'Prop. prices'!$C$86:$C$160,0),MATCH('Tariff schedule'!I$16,'Prop. prices'!$I$5:$AB$5,0))</f>
        <v>0</v>
      </c>
      <c r="J207" s="232">
        <f>INDEX('Prop. prices'!$I$86:$AB$160,MATCH('Tariff schedule'!$C207,'Prop. prices'!$C$86:$C$160,0),MATCH('Tariff schedule'!J$16,'Prop. prices'!$I$5:$AB$5,0))</f>
        <v>0</v>
      </c>
      <c r="K207" s="232">
        <f>INDEX('Prop. prices'!$I$86:$AB$160,MATCH('Tariff schedule'!$C207,'Prop. prices'!$C$86:$C$160,0),MATCH('Tariff schedule'!K$16,'Prop. prices'!$I$5:$AB$5,0))</f>
        <v>0</v>
      </c>
      <c r="L207" s="232">
        <f>INDEX('Prop. prices'!$I$86:$AB$160,MATCH('Tariff schedule'!$C207,'Prop. prices'!$C$86:$C$160,0),MATCH('Tariff schedule'!L$16,'Prop. prices'!$I$5:$AB$5,0))</f>
        <v>0</v>
      </c>
      <c r="M207" s="232">
        <f>INDEX('Prop. prices'!$I$86:$AB$160,MATCH('Tariff schedule'!$C207,'Prop. prices'!$C$86:$C$160,0),MATCH('Tariff schedule'!M$16,'Prop. prices'!$I$5:$AB$5,0))</f>
        <v>0</v>
      </c>
      <c r="N207" s="232">
        <f>INDEX('Prop. prices'!$I$86:$AB$160,MATCH('Tariff schedule'!$C207,'Prop. prices'!$C$86:$C$160,0),MATCH('Tariff schedule'!N$16,'Prop. prices'!$I$5:$AB$5,0))</f>
        <v>0</v>
      </c>
      <c r="O207" s="232">
        <f>INDEX('Prop. prices'!$I$86:$AB$160,MATCH('Tariff schedule'!$C207,'Prop. prices'!$C$86:$C$160,0),MATCH('Tariff schedule'!O$16,'Prop. prices'!$I$5:$AB$5,0))</f>
        <v>0</v>
      </c>
      <c r="P207" s="232">
        <f>INDEX('Prop. prices'!$I$86:$AB$160,MATCH('Tariff schedule'!$C207,'Prop. prices'!$C$86:$C$160,0),MATCH('Tariff schedule'!P$16,'Prop. prices'!$I$5:$AB$5,0))</f>
        <v>0</v>
      </c>
      <c r="Q207" s="232">
        <f>INDEX('Prop. prices'!$I$86:$AB$160,MATCH('Tariff schedule'!$C207,'Prop. prices'!$C$86:$C$160,0),MATCH('Tariff schedule'!Q$16,'Prop. prices'!$I$5:$AB$5,0))</f>
        <v>0</v>
      </c>
      <c r="R207" s="232">
        <f>INDEX('Prop. prices'!$I$86:$AB$160,MATCH('Tariff schedule'!$C207,'Prop. prices'!$C$86:$C$160,0),MATCH('Tariff schedule'!R$16,'Prop. prices'!$I$5:$AB$5,0))</f>
        <v>0</v>
      </c>
      <c r="S207" s="232">
        <f>INDEX('Prop. prices'!$I$86:$AB$160,MATCH('Tariff schedule'!$C207,'Prop. prices'!$C$86:$C$160,0),MATCH('Tariff schedule'!S$16,'Prop. prices'!$I$5:$AB$5,0))</f>
        <v>0</v>
      </c>
      <c r="T207" s="232">
        <f>INDEX('Prop. prices'!$I$86:$AB$160,MATCH('Tariff schedule'!$C207,'Prop. prices'!$C$86:$C$160,0),MATCH('Tariff schedule'!T$16,'Prop. prices'!$I$5:$AB$5,0))</f>
        <v>0</v>
      </c>
      <c r="U207" s="232">
        <f>INDEX('Prop. prices'!$I$86:$AB$160,MATCH('Tariff schedule'!$C207,'Prop. prices'!$C$86:$C$160,0),MATCH('Tariff schedule'!U$16,'Prop. prices'!$I$5:$AB$5,0))</f>
        <v>0</v>
      </c>
      <c r="V207" s="232">
        <f>INDEX('Prop. prices'!$I$86:$AB$160,MATCH('Tariff schedule'!$C207,'Prop. prices'!$C$86:$C$160,0),MATCH('Tariff schedule'!V$16,'Prop. prices'!$I$5:$AB$5,0))</f>
        <v>0</v>
      </c>
      <c r="W207" s="232">
        <f>INDEX('Prop. prices'!$I$86:$AB$160,MATCH('Tariff schedule'!$C207,'Prop. prices'!$C$86:$C$160,0),MATCH('Tariff schedule'!W$16,'Prop. prices'!$I$5:$AB$5,0))</f>
        <v>0</v>
      </c>
      <c r="X207" s="232">
        <f>INDEX('Prop. prices'!$I$86:$AB$160,MATCH('Tariff schedule'!$C207,'Prop. prices'!$C$86:$C$160,0),MATCH('Tariff schedule'!X$16,'Prop. prices'!$I$5:$AB$5,0))</f>
        <v>0</v>
      </c>
      <c r="Y207" s="232">
        <f>INDEX('Prop. prices'!$I$86:$AB$160,MATCH('Tariff schedule'!$C207,'Prop. prices'!$C$86:$C$160,0),MATCH('Tariff schedule'!Y$16,'Prop. prices'!$I$5:$AB$5,0))</f>
        <v>0</v>
      </c>
      <c r="Z207" s="232">
        <f>INDEX('Prop. prices'!$I$86:$AB$160,MATCH('Tariff schedule'!$C207,'Prop. prices'!$C$86:$C$160,0),MATCH('Tariff schedule'!Z$16,'Prop. prices'!$I$5:$AB$5,0))</f>
        <v>0</v>
      </c>
      <c r="AA207" s="232">
        <f>INDEX('Prop. prices'!$I$86:$AB$160,MATCH('Tariff schedule'!$C207,'Prop. prices'!$C$86:$C$160,0),MATCH('Tariff schedule'!AA$16,'Prop. prices'!$I$5:$AB$5,0))</f>
        <v>0</v>
      </c>
      <c r="AB207" s="232">
        <f>INDEX('Prop. prices'!$I$86:$AB$160,MATCH('Tariff schedule'!$C207,'Prop. prices'!$C$86:$C$160,0),MATCH('Tariff schedule'!AB$16,'Prop. prices'!$I$5:$AB$5,0))</f>
        <v>0</v>
      </c>
      <c r="AC207" s="70"/>
      <c r="AD207" s="19"/>
      <c r="AE207" s="19"/>
      <c r="AF207" s="19"/>
      <c r="AG207" s="19"/>
    </row>
    <row r="208" spans="1:33" hidden="1" outlineLevel="3" x14ac:dyDescent="0.2">
      <c r="A208" s="19"/>
      <c r="B208" s="19"/>
      <c r="C208" s="506">
        <f t="shared" si="86"/>
        <v>0</v>
      </c>
      <c r="D208" s="505">
        <f t="shared" si="86"/>
        <v>0</v>
      </c>
      <c r="E208" s="505">
        <f t="shared" si="86"/>
        <v>0</v>
      </c>
      <c r="F208" s="505">
        <f t="shared" si="86"/>
        <v>0</v>
      </c>
      <c r="G208" s="505">
        <f t="shared" si="86"/>
        <v>0</v>
      </c>
      <c r="H208" s="58"/>
      <c r="I208" s="232">
        <f>INDEX('Prop. prices'!$I$86:$AB$160,MATCH('Tariff schedule'!$C208,'Prop. prices'!$C$86:$C$160,0),MATCH('Tariff schedule'!I$16,'Prop. prices'!$I$5:$AB$5,0))</f>
        <v>0</v>
      </c>
      <c r="J208" s="232">
        <f>INDEX('Prop. prices'!$I$86:$AB$160,MATCH('Tariff schedule'!$C208,'Prop. prices'!$C$86:$C$160,0),MATCH('Tariff schedule'!J$16,'Prop. prices'!$I$5:$AB$5,0))</f>
        <v>0</v>
      </c>
      <c r="K208" s="232">
        <f>INDEX('Prop. prices'!$I$86:$AB$160,MATCH('Tariff schedule'!$C208,'Prop. prices'!$C$86:$C$160,0),MATCH('Tariff schedule'!K$16,'Prop. prices'!$I$5:$AB$5,0))</f>
        <v>0</v>
      </c>
      <c r="L208" s="232">
        <f>INDEX('Prop. prices'!$I$86:$AB$160,MATCH('Tariff schedule'!$C208,'Prop. prices'!$C$86:$C$160,0),MATCH('Tariff schedule'!L$16,'Prop. prices'!$I$5:$AB$5,0))</f>
        <v>0</v>
      </c>
      <c r="M208" s="232">
        <f>INDEX('Prop. prices'!$I$86:$AB$160,MATCH('Tariff schedule'!$C208,'Prop. prices'!$C$86:$C$160,0),MATCH('Tariff schedule'!M$16,'Prop. prices'!$I$5:$AB$5,0))</f>
        <v>0</v>
      </c>
      <c r="N208" s="232">
        <f>INDEX('Prop. prices'!$I$86:$AB$160,MATCH('Tariff schedule'!$C208,'Prop. prices'!$C$86:$C$160,0),MATCH('Tariff schedule'!N$16,'Prop. prices'!$I$5:$AB$5,0))</f>
        <v>0</v>
      </c>
      <c r="O208" s="232">
        <f>INDEX('Prop. prices'!$I$86:$AB$160,MATCH('Tariff schedule'!$C208,'Prop. prices'!$C$86:$C$160,0),MATCH('Tariff schedule'!O$16,'Prop. prices'!$I$5:$AB$5,0))</f>
        <v>0</v>
      </c>
      <c r="P208" s="232">
        <f>INDEX('Prop. prices'!$I$86:$AB$160,MATCH('Tariff schedule'!$C208,'Prop. prices'!$C$86:$C$160,0),MATCH('Tariff schedule'!P$16,'Prop. prices'!$I$5:$AB$5,0))</f>
        <v>0</v>
      </c>
      <c r="Q208" s="232">
        <f>INDEX('Prop. prices'!$I$86:$AB$160,MATCH('Tariff schedule'!$C208,'Prop. prices'!$C$86:$C$160,0),MATCH('Tariff schedule'!Q$16,'Prop. prices'!$I$5:$AB$5,0))</f>
        <v>0</v>
      </c>
      <c r="R208" s="232">
        <f>INDEX('Prop. prices'!$I$86:$AB$160,MATCH('Tariff schedule'!$C208,'Prop. prices'!$C$86:$C$160,0),MATCH('Tariff schedule'!R$16,'Prop. prices'!$I$5:$AB$5,0))</f>
        <v>0</v>
      </c>
      <c r="S208" s="232">
        <f>INDEX('Prop. prices'!$I$86:$AB$160,MATCH('Tariff schedule'!$C208,'Prop. prices'!$C$86:$C$160,0),MATCH('Tariff schedule'!S$16,'Prop. prices'!$I$5:$AB$5,0))</f>
        <v>0</v>
      </c>
      <c r="T208" s="232">
        <f>INDEX('Prop. prices'!$I$86:$AB$160,MATCH('Tariff schedule'!$C208,'Prop. prices'!$C$86:$C$160,0),MATCH('Tariff schedule'!T$16,'Prop. prices'!$I$5:$AB$5,0))</f>
        <v>0</v>
      </c>
      <c r="U208" s="232">
        <f>INDEX('Prop. prices'!$I$86:$AB$160,MATCH('Tariff schedule'!$C208,'Prop. prices'!$C$86:$C$160,0),MATCH('Tariff schedule'!U$16,'Prop. prices'!$I$5:$AB$5,0))</f>
        <v>0</v>
      </c>
      <c r="V208" s="232">
        <f>INDEX('Prop. prices'!$I$86:$AB$160,MATCH('Tariff schedule'!$C208,'Prop. prices'!$C$86:$C$160,0),MATCH('Tariff schedule'!V$16,'Prop. prices'!$I$5:$AB$5,0))</f>
        <v>0</v>
      </c>
      <c r="W208" s="232">
        <f>INDEX('Prop. prices'!$I$86:$AB$160,MATCH('Tariff schedule'!$C208,'Prop. prices'!$C$86:$C$160,0),MATCH('Tariff schedule'!W$16,'Prop. prices'!$I$5:$AB$5,0))</f>
        <v>0</v>
      </c>
      <c r="X208" s="232">
        <f>INDEX('Prop. prices'!$I$86:$AB$160,MATCH('Tariff schedule'!$C208,'Prop. prices'!$C$86:$C$160,0),MATCH('Tariff schedule'!X$16,'Prop. prices'!$I$5:$AB$5,0))</f>
        <v>0</v>
      </c>
      <c r="Y208" s="232">
        <f>INDEX('Prop. prices'!$I$86:$AB$160,MATCH('Tariff schedule'!$C208,'Prop. prices'!$C$86:$C$160,0),MATCH('Tariff schedule'!Y$16,'Prop. prices'!$I$5:$AB$5,0))</f>
        <v>0</v>
      </c>
      <c r="Z208" s="232">
        <f>INDEX('Prop. prices'!$I$86:$AB$160,MATCH('Tariff schedule'!$C208,'Prop. prices'!$C$86:$C$160,0),MATCH('Tariff schedule'!Z$16,'Prop. prices'!$I$5:$AB$5,0))</f>
        <v>0</v>
      </c>
      <c r="AA208" s="232">
        <f>INDEX('Prop. prices'!$I$86:$AB$160,MATCH('Tariff schedule'!$C208,'Prop. prices'!$C$86:$C$160,0),MATCH('Tariff schedule'!AA$16,'Prop. prices'!$I$5:$AB$5,0))</f>
        <v>0</v>
      </c>
      <c r="AB208" s="232">
        <f>INDEX('Prop. prices'!$I$86:$AB$160,MATCH('Tariff schedule'!$C208,'Prop. prices'!$C$86:$C$160,0),MATCH('Tariff schedule'!AB$16,'Prop. prices'!$I$5:$AB$5,0))</f>
        <v>0</v>
      </c>
      <c r="AC208" s="70"/>
      <c r="AD208" s="19"/>
      <c r="AE208" s="19"/>
      <c r="AF208" s="19"/>
      <c r="AG208" s="19"/>
    </row>
    <row r="209" spans="1:33" hidden="1" outlineLevel="3" x14ac:dyDescent="0.2">
      <c r="A209" s="19"/>
      <c r="B209" s="19"/>
      <c r="C209" s="506">
        <f t="shared" si="86"/>
        <v>0</v>
      </c>
      <c r="D209" s="505">
        <f t="shared" si="86"/>
        <v>0</v>
      </c>
      <c r="E209" s="505">
        <f t="shared" si="86"/>
        <v>0</v>
      </c>
      <c r="F209" s="505">
        <f t="shared" si="86"/>
        <v>0</v>
      </c>
      <c r="G209" s="505">
        <f t="shared" si="86"/>
        <v>0</v>
      </c>
      <c r="H209" s="58"/>
      <c r="I209" s="232">
        <f>INDEX('Prop. prices'!$I$86:$AB$160,MATCH('Tariff schedule'!$C209,'Prop. prices'!$C$86:$C$160,0),MATCH('Tariff schedule'!I$16,'Prop. prices'!$I$5:$AB$5,0))</f>
        <v>0</v>
      </c>
      <c r="J209" s="232">
        <f>INDEX('Prop. prices'!$I$86:$AB$160,MATCH('Tariff schedule'!$C209,'Prop. prices'!$C$86:$C$160,0),MATCH('Tariff schedule'!J$16,'Prop. prices'!$I$5:$AB$5,0))</f>
        <v>0</v>
      </c>
      <c r="K209" s="232">
        <f>INDEX('Prop. prices'!$I$86:$AB$160,MATCH('Tariff schedule'!$C209,'Prop. prices'!$C$86:$C$160,0),MATCH('Tariff schedule'!K$16,'Prop. prices'!$I$5:$AB$5,0))</f>
        <v>0</v>
      </c>
      <c r="L209" s="232">
        <f>INDEX('Prop. prices'!$I$86:$AB$160,MATCH('Tariff schedule'!$C209,'Prop. prices'!$C$86:$C$160,0),MATCH('Tariff schedule'!L$16,'Prop. prices'!$I$5:$AB$5,0))</f>
        <v>0</v>
      </c>
      <c r="M209" s="232">
        <f>INDEX('Prop. prices'!$I$86:$AB$160,MATCH('Tariff schedule'!$C209,'Prop. prices'!$C$86:$C$160,0),MATCH('Tariff schedule'!M$16,'Prop. prices'!$I$5:$AB$5,0))</f>
        <v>0</v>
      </c>
      <c r="N209" s="232">
        <f>INDEX('Prop. prices'!$I$86:$AB$160,MATCH('Tariff schedule'!$C209,'Prop. prices'!$C$86:$C$160,0),MATCH('Tariff schedule'!N$16,'Prop. prices'!$I$5:$AB$5,0))</f>
        <v>0</v>
      </c>
      <c r="O209" s="232">
        <f>INDEX('Prop. prices'!$I$86:$AB$160,MATCH('Tariff schedule'!$C209,'Prop. prices'!$C$86:$C$160,0),MATCH('Tariff schedule'!O$16,'Prop. prices'!$I$5:$AB$5,0))</f>
        <v>0</v>
      </c>
      <c r="P209" s="232">
        <f>INDEX('Prop. prices'!$I$86:$AB$160,MATCH('Tariff schedule'!$C209,'Prop. prices'!$C$86:$C$160,0),MATCH('Tariff schedule'!P$16,'Prop. prices'!$I$5:$AB$5,0))</f>
        <v>0</v>
      </c>
      <c r="Q209" s="232">
        <f>INDEX('Prop. prices'!$I$86:$AB$160,MATCH('Tariff schedule'!$C209,'Prop. prices'!$C$86:$C$160,0),MATCH('Tariff schedule'!Q$16,'Prop. prices'!$I$5:$AB$5,0))</f>
        <v>0</v>
      </c>
      <c r="R209" s="232">
        <f>INDEX('Prop. prices'!$I$86:$AB$160,MATCH('Tariff schedule'!$C209,'Prop. prices'!$C$86:$C$160,0),MATCH('Tariff schedule'!R$16,'Prop. prices'!$I$5:$AB$5,0))</f>
        <v>0</v>
      </c>
      <c r="S209" s="232">
        <f>INDEX('Prop. prices'!$I$86:$AB$160,MATCH('Tariff schedule'!$C209,'Prop. prices'!$C$86:$C$160,0),MATCH('Tariff schedule'!S$16,'Prop. prices'!$I$5:$AB$5,0))</f>
        <v>0</v>
      </c>
      <c r="T209" s="232">
        <f>INDEX('Prop. prices'!$I$86:$AB$160,MATCH('Tariff schedule'!$C209,'Prop. prices'!$C$86:$C$160,0),MATCH('Tariff schedule'!T$16,'Prop. prices'!$I$5:$AB$5,0))</f>
        <v>0</v>
      </c>
      <c r="U209" s="232">
        <f>INDEX('Prop. prices'!$I$86:$AB$160,MATCH('Tariff schedule'!$C209,'Prop. prices'!$C$86:$C$160,0),MATCH('Tariff schedule'!U$16,'Prop. prices'!$I$5:$AB$5,0))</f>
        <v>0</v>
      </c>
      <c r="V209" s="232">
        <f>INDEX('Prop. prices'!$I$86:$AB$160,MATCH('Tariff schedule'!$C209,'Prop. prices'!$C$86:$C$160,0),MATCH('Tariff schedule'!V$16,'Prop. prices'!$I$5:$AB$5,0))</f>
        <v>0</v>
      </c>
      <c r="W209" s="232">
        <f>INDEX('Prop. prices'!$I$86:$AB$160,MATCH('Tariff schedule'!$C209,'Prop. prices'!$C$86:$C$160,0),MATCH('Tariff schedule'!W$16,'Prop. prices'!$I$5:$AB$5,0))</f>
        <v>0</v>
      </c>
      <c r="X209" s="232">
        <f>INDEX('Prop. prices'!$I$86:$AB$160,MATCH('Tariff schedule'!$C209,'Prop. prices'!$C$86:$C$160,0),MATCH('Tariff schedule'!X$16,'Prop. prices'!$I$5:$AB$5,0))</f>
        <v>0</v>
      </c>
      <c r="Y209" s="232">
        <f>INDEX('Prop. prices'!$I$86:$AB$160,MATCH('Tariff schedule'!$C209,'Prop. prices'!$C$86:$C$160,0),MATCH('Tariff schedule'!Y$16,'Prop. prices'!$I$5:$AB$5,0))</f>
        <v>0</v>
      </c>
      <c r="Z209" s="232">
        <f>INDEX('Prop. prices'!$I$86:$AB$160,MATCH('Tariff schedule'!$C209,'Prop. prices'!$C$86:$C$160,0),MATCH('Tariff schedule'!Z$16,'Prop. prices'!$I$5:$AB$5,0))</f>
        <v>0</v>
      </c>
      <c r="AA209" s="232">
        <f>INDEX('Prop. prices'!$I$86:$AB$160,MATCH('Tariff schedule'!$C209,'Prop. prices'!$C$86:$C$160,0),MATCH('Tariff schedule'!AA$16,'Prop. prices'!$I$5:$AB$5,0))</f>
        <v>0</v>
      </c>
      <c r="AB209" s="232">
        <f>INDEX('Prop. prices'!$I$86:$AB$160,MATCH('Tariff schedule'!$C209,'Prop. prices'!$C$86:$C$160,0),MATCH('Tariff schedule'!AB$16,'Prop. prices'!$I$5:$AB$5,0))</f>
        <v>0</v>
      </c>
      <c r="AC209" s="70"/>
      <c r="AD209" s="19"/>
      <c r="AE209" s="19"/>
      <c r="AF209" s="19"/>
      <c r="AG209" s="19"/>
    </row>
    <row r="210" spans="1:33" hidden="1" outlineLevel="3" x14ac:dyDescent="0.2">
      <c r="A210" s="19"/>
      <c r="B210" s="19"/>
      <c r="C210" s="506">
        <f t="shared" si="86"/>
        <v>0</v>
      </c>
      <c r="D210" s="505">
        <f t="shared" si="86"/>
        <v>0</v>
      </c>
      <c r="E210" s="505">
        <f t="shared" si="86"/>
        <v>0</v>
      </c>
      <c r="F210" s="505">
        <f t="shared" si="86"/>
        <v>0</v>
      </c>
      <c r="G210" s="505">
        <f t="shared" si="86"/>
        <v>0</v>
      </c>
      <c r="H210" s="58"/>
      <c r="I210" s="232">
        <f>INDEX('Prop. prices'!$I$86:$AB$160,MATCH('Tariff schedule'!$C210,'Prop. prices'!$C$86:$C$160,0),MATCH('Tariff schedule'!I$16,'Prop. prices'!$I$5:$AB$5,0))</f>
        <v>0</v>
      </c>
      <c r="J210" s="232">
        <f>INDEX('Prop. prices'!$I$86:$AB$160,MATCH('Tariff schedule'!$C210,'Prop. prices'!$C$86:$C$160,0),MATCH('Tariff schedule'!J$16,'Prop. prices'!$I$5:$AB$5,0))</f>
        <v>0</v>
      </c>
      <c r="K210" s="232">
        <f>INDEX('Prop. prices'!$I$86:$AB$160,MATCH('Tariff schedule'!$C210,'Prop. prices'!$C$86:$C$160,0),MATCH('Tariff schedule'!K$16,'Prop. prices'!$I$5:$AB$5,0))</f>
        <v>0</v>
      </c>
      <c r="L210" s="232">
        <f>INDEX('Prop. prices'!$I$86:$AB$160,MATCH('Tariff schedule'!$C210,'Prop. prices'!$C$86:$C$160,0),MATCH('Tariff schedule'!L$16,'Prop. prices'!$I$5:$AB$5,0))</f>
        <v>0</v>
      </c>
      <c r="M210" s="232">
        <f>INDEX('Prop. prices'!$I$86:$AB$160,MATCH('Tariff schedule'!$C210,'Prop. prices'!$C$86:$C$160,0),MATCH('Tariff schedule'!M$16,'Prop. prices'!$I$5:$AB$5,0))</f>
        <v>0</v>
      </c>
      <c r="N210" s="232">
        <f>INDEX('Prop. prices'!$I$86:$AB$160,MATCH('Tariff schedule'!$C210,'Prop. prices'!$C$86:$C$160,0),MATCH('Tariff schedule'!N$16,'Prop. prices'!$I$5:$AB$5,0))</f>
        <v>0</v>
      </c>
      <c r="O210" s="232">
        <f>INDEX('Prop. prices'!$I$86:$AB$160,MATCH('Tariff schedule'!$C210,'Prop. prices'!$C$86:$C$160,0),MATCH('Tariff schedule'!O$16,'Prop. prices'!$I$5:$AB$5,0))</f>
        <v>0</v>
      </c>
      <c r="P210" s="232">
        <f>INDEX('Prop. prices'!$I$86:$AB$160,MATCH('Tariff schedule'!$C210,'Prop. prices'!$C$86:$C$160,0),MATCH('Tariff schedule'!P$16,'Prop. prices'!$I$5:$AB$5,0))</f>
        <v>0</v>
      </c>
      <c r="Q210" s="232">
        <f>INDEX('Prop. prices'!$I$86:$AB$160,MATCH('Tariff schedule'!$C210,'Prop. prices'!$C$86:$C$160,0),MATCH('Tariff schedule'!Q$16,'Prop. prices'!$I$5:$AB$5,0))</f>
        <v>0</v>
      </c>
      <c r="R210" s="232">
        <f>INDEX('Prop. prices'!$I$86:$AB$160,MATCH('Tariff schedule'!$C210,'Prop. prices'!$C$86:$C$160,0),MATCH('Tariff schedule'!R$16,'Prop. prices'!$I$5:$AB$5,0))</f>
        <v>0</v>
      </c>
      <c r="S210" s="232">
        <f>INDEX('Prop. prices'!$I$86:$AB$160,MATCH('Tariff schedule'!$C210,'Prop. prices'!$C$86:$C$160,0),MATCH('Tariff schedule'!S$16,'Prop. prices'!$I$5:$AB$5,0))</f>
        <v>0</v>
      </c>
      <c r="T210" s="232">
        <f>INDEX('Prop. prices'!$I$86:$AB$160,MATCH('Tariff schedule'!$C210,'Prop. prices'!$C$86:$C$160,0),MATCH('Tariff schedule'!T$16,'Prop. prices'!$I$5:$AB$5,0))</f>
        <v>0</v>
      </c>
      <c r="U210" s="232">
        <f>INDEX('Prop. prices'!$I$86:$AB$160,MATCH('Tariff schedule'!$C210,'Prop. prices'!$C$86:$C$160,0),MATCH('Tariff schedule'!U$16,'Prop. prices'!$I$5:$AB$5,0))</f>
        <v>0</v>
      </c>
      <c r="V210" s="232">
        <f>INDEX('Prop. prices'!$I$86:$AB$160,MATCH('Tariff schedule'!$C210,'Prop. prices'!$C$86:$C$160,0),MATCH('Tariff schedule'!V$16,'Prop. prices'!$I$5:$AB$5,0))</f>
        <v>0</v>
      </c>
      <c r="W210" s="232">
        <f>INDEX('Prop. prices'!$I$86:$AB$160,MATCH('Tariff schedule'!$C210,'Prop. prices'!$C$86:$C$160,0),MATCH('Tariff schedule'!W$16,'Prop. prices'!$I$5:$AB$5,0))</f>
        <v>0</v>
      </c>
      <c r="X210" s="232">
        <f>INDEX('Prop. prices'!$I$86:$AB$160,MATCH('Tariff schedule'!$C210,'Prop. prices'!$C$86:$C$160,0),MATCH('Tariff schedule'!X$16,'Prop. prices'!$I$5:$AB$5,0))</f>
        <v>0</v>
      </c>
      <c r="Y210" s="232">
        <f>INDEX('Prop. prices'!$I$86:$AB$160,MATCH('Tariff schedule'!$C210,'Prop. prices'!$C$86:$C$160,0),MATCH('Tariff schedule'!Y$16,'Prop. prices'!$I$5:$AB$5,0))</f>
        <v>0</v>
      </c>
      <c r="Z210" s="232">
        <f>INDEX('Prop. prices'!$I$86:$AB$160,MATCH('Tariff schedule'!$C210,'Prop. prices'!$C$86:$C$160,0),MATCH('Tariff schedule'!Z$16,'Prop. prices'!$I$5:$AB$5,0))</f>
        <v>0</v>
      </c>
      <c r="AA210" s="232">
        <f>INDEX('Prop. prices'!$I$86:$AB$160,MATCH('Tariff schedule'!$C210,'Prop. prices'!$C$86:$C$160,0),MATCH('Tariff schedule'!AA$16,'Prop. prices'!$I$5:$AB$5,0))</f>
        <v>0</v>
      </c>
      <c r="AB210" s="232">
        <f>INDEX('Prop. prices'!$I$86:$AB$160,MATCH('Tariff schedule'!$C210,'Prop. prices'!$C$86:$C$160,0),MATCH('Tariff schedule'!AB$16,'Prop. prices'!$I$5:$AB$5,0))</f>
        <v>0</v>
      </c>
      <c r="AC210" s="70"/>
      <c r="AD210" s="19"/>
      <c r="AE210" s="19"/>
      <c r="AF210" s="19"/>
      <c r="AG210" s="19"/>
    </row>
    <row r="211" spans="1:33" hidden="1" outlineLevel="3" x14ac:dyDescent="0.2">
      <c r="A211" s="19"/>
      <c r="B211" s="19"/>
      <c r="C211" s="506">
        <f t="shared" si="86"/>
        <v>0</v>
      </c>
      <c r="D211" s="505">
        <f t="shared" si="86"/>
        <v>0</v>
      </c>
      <c r="E211" s="505">
        <f t="shared" si="86"/>
        <v>0</v>
      </c>
      <c r="F211" s="505">
        <f t="shared" si="86"/>
        <v>0</v>
      </c>
      <c r="G211" s="505">
        <f t="shared" si="86"/>
        <v>0</v>
      </c>
      <c r="H211" s="58"/>
      <c r="I211" s="232">
        <f>INDEX('Prop. prices'!$I$86:$AB$160,MATCH('Tariff schedule'!$C211,'Prop. prices'!$C$86:$C$160,0),MATCH('Tariff schedule'!I$16,'Prop. prices'!$I$5:$AB$5,0))</f>
        <v>0</v>
      </c>
      <c r="J211" s="232">
        <f>INDEX('Prop. prices'!$I$86:$AB$160,MATCH('Tariff schedule'!$C211,'Prop. prices'!$C$86:$C$160,0),MATCH('Tariff schedule'!J$16,'Prop. prices'!$I$5:$AB$5,0))</f>
        <v>0</v>
      </c>
      <c r="K211" s="232">
        <f>INDEX('Prop. prices'!$I$86:$AB$160,MATCH('Tariff schedule'!$C211,'Prop. prices'!$C$86:$C$160,0),MATCH('Tariff schedule'!K$16,'Prop. prices'!$I$5:$AB$5,0))</f>
        <v>0</v>
      </c>
      <c r="L211" s="232">
        <f>INDEX('Prop. prices'!$I$86:$AB$160,MATCH('Tariff schedule'!$C211,'Prop. prices'!$C$86:$C$160,0),MATCH('Tariff schedule'!L$16,'Prop. prices'!$I$5:$AB$5,0))</f>
        <v>0</v>
      </c>
      <c r="M211" s="232">
        <f>INDEX('Prop. prices'!$I$86:$AB$160,MATCH('Tariff schedule'!$C211,'Prop. prices'!$C$86:$C$160,0),MATCH('Tariff schedule'!M$16,'Prop. prices'!$I$5:$AB$5,0))</f>
        <v>0</v>
      </c>
      <c r="N211" s="232">
        <f>INDEX('Prop. prices'!$I$86:$AB$160,MATCH('Tariff schedule'!$C211,'Prop. prices'!$C$86:$C$160,0),MATCH('Tariff schedule'!N$16,'Prop. prices'!$I$5:$AB$5,0))</f>
        <v>0</v>
      </c>
      <c r="O211" s="232">
        <f>INDEX('Prop. prices'!$I$86:$AB$160,MATCH('Tariff schedule'!$C211,'Prop. prices'!$C$86:$C$160,0),MATCH('Tariff schedule'!O$16,'Prop. prices'!$I$5:$AB$5,0))</f>
        <v>0</v>
      </c>
      <c r="P211" s="232">
        <f>INDEX('Prop. prices'!$I$86:$AB$160,MATCH('Tariff schedule'!$C211,'Prop. prices'!$C$86:$C$160,0),MATCH('Tariff schedule'!P$16,'Prop. prices'!$I$5:$AB$5,0))</f>
        <v>0</v>
      </c>
      <c r="Q211" s="232">
        <f>INDEX('Prop. prices'!$I$86:$AB$160,MATCH('Tariff schedule'!$C211,'Prop. prices'!$C$86:$C$160,0),MATCH('Tariff schedule'!Q$16,'Prop. prices'!$I$5:$AB$5,0))</f>
        <v>0</v>
      </c>
      <c r="R211" s="232">
        <f>INDEX('Prop. prices'!$I$86:$AB$160,MATCH('Tariff schedule'!$C211,'Prop. prices'!$C$86:$C$160,0),MATCH('Tariff schedule'!R$16,'Prop. prices'!$I$5:$AB$5,0))</f>
        <v>0</v>
      </c>
      <c r="S211" s="232">
        <f>INDEX('Prop. prices'!$I$86:$AB$160,MATCH('Tariff schedule'!$C211,'Prop. prices'!$C$86:$C$160,0),MATCH('Tariff schedule'!S$16,'Prop. prices'!$I$5:$AB$5,0))</f>
        <v>0</v>
      </c>
      <c r="T211" s="232">
        <f>INDEX('Prop. prices'!$I$86:$AB$160,MATCH('Tariff schedule'!$C211,'Prop. prices'!$C$86:$C$160,0),MATCH('Tariff schedule'!T$16,'Prop. prices'!$I$5:$AB$5,0))</f>
        <v>0</v>
      </c>
      <c r="U211" s="232">
        <f>INDEX('Prop. prices'!$I$86:$AB$160,MATCH('Tariff schedule'!$C211,'Prop. prices'!$C$86:$C$160,0),MATCH('Tariff schedule'!U$16,'Prop. prices'!$I$5:$AB$5,0))</f>
        <v>0</v>
      </c>
      <c r="V211" s="232">
        <f>INDEX('Prop. prices'!$I$86:$AB$160,MATCH('Tariff schedule'!$C211,'Prop. prices'!$C$86:$C$160,0),MATCH('Tariff schedule'!V$16,'Prop. prices'!$I$5:$AB$5,0))</f>
        <v>0</v>
      </c>
      <c r="W211" s="232">
        <f>INDEX('Prop. prices'!$I$86:$AB$160,MATCH('Tariff schedule'!$C211,'Prop. prices'!$C$86:$C$160,0),MATCH('Tariff schedule'!W$16,'Prop. prices'!$I$5:$AB$5,0))</f>
        <v>0</v>
      </c>
      <c r="X211" s="232">
        <f>INDEX('Prop. prices'!$I$86:$AB$160,MATCH('Tariff schedule'!$C211,'Prop. prices'!$C$86:$C$160,0),MATCH('Tariff schedule'!X$16,'Prop. prices'!$I$5:$AB$5,0))</f>
        <v>0</v>
      </c>
      <c r="Y211" s="232">
        <f>INDEX('Prop. prices'!$I$86:$AB$160,MATCH('Tariff schedule'!$C211,'Prop. prices'!$C$86:$C$160,0),MATCH('Tariff schedule'!Y$16,'Prop. prices'!$I$5:$AB$5,0))</f>
        <v>0</v>
      </c>
      <c r="Z211" s="232">
        <f>INDEX('Prop. prices'!$I$86:$AB$160,MATCH('Tariff schedule'!$C211,'Prop. prices'!$C$86:$C$160,0),MATCH('Tariff schedule'!Z$16,'Prop. prices'!$I$5:$AB$5,0))</f>
        <v>0</v>
      </c>
      <c r="AA211" s="232">
        <f>INDEX('Prop. prices'!$I$86:$AB$160,MATCH('Tariff schedule'!$C211,'Prop. prices'!$C$86:$C$160,0),MATCH('Tariff schedule'!AA$16,'Prop. prices'!$I$5:$AB$5,0))</f>
        <v>0</v>
      </c>
      <c r="AB211" s="232">
        <f>INDEX('Prop. prices'!$I$86:$AB$160,MATCH('Tariff schedule'!$C211,'Prop. prices'!$C$86:$C$160,0),MATCH('Tariff schedule'!AB$16,'Prop. prices'!$I$5:$AB$5,0))</f>
        <v>0</v>
      </c>
      <c r="AC211" s="70"/>
      <c r="AD211" s="19"/>
      <c r="AE211" s="19"/>
      <c r="AF211" s="19"/>
      <c r="AG211" s="19"/>
    </row>
    <row r="212" spans="1:33" hidden="1" outlineLevel="3" x14ac:dyDescent="0.2">
      <c r="A212" s="19"/>
      <c r="B212" s="19"/>
      <c r="C212" s="506">
        <f t="shared" si="86"/>
        <v>0</v>
      </c>
      <c r="D212" s="505">
        <f t="shared" si="86"/>
        <v>0</v>
      </c>
      <c r="E212" s="505">
        <f t="shared" si="86"/>
        <v>0</v>
      </c>
      <c r="F212" s="505">
        <f t="shared" si="86"/>
        <v>0</v>
      </c>
      <c r="G212" s="505">
        <f t="shared" si="86"/>
        <v>0</v>
      </c>
      <c r="H212" s="58"/>
      <c r="I212" s="232">
        <f>INDEX('Prop. prices'!$I$86:$AB$160,MATCH('Tariff schedule'!$C212,'Prop. prices'!$C$86:$C$160,0),MATCH('Tariff schedule'!I$16,'Prop. prices'!$I$5:$AB$5,0))</f>
        <v>0</v>
      </c>
      <c r="J212" s="232">
        <f>INDEX('Prop. prices'!$I$86:$AB$160,MATCH('Tariff schedule'!$C212,'Prop. prices'!$C$86:$C$160,0),MATCH('Tariff schedule'!J$16,'Prop. prices'!$I$5:$AB$5,0))</f>
        <v>0</v>
      </c>
      <c r="K212" s="232">
        <f>INDEX('Prop. prices'!$I$86:$AB$160,MATCH('Tariff schedule'!$C212,'Prop. prices'!$C$86:$C$160,0),MATCH('Tariff schedule'!K$16,'Prop. prices'!$I$5:$AB$5,0))</f>
        <v>0</v>
      </c>
      <c r="L212" s="232">
        <f>INDEX('Prop. prices'!$I$86:$AB$160,MATCH('Tariff schedule'!$C212,'Prop. prices'!$C$86:$C$160,0),MATCH('Tariff schedule'!L$16,'Prop. prices'!$I$5:$AB$5,0))</f>
        <v>0</v>
      </c>
      <c r="M212" s="232">
        <f>INDEX('Prop. prices'!$I$86:$AB$160,MATCH('Tariff schedule'!$C212,'Prop. prices'!$C$86:$C$160,0),MATCH('Tariff schedule'!M$16,'Prop. prices'!$I$5:$AB$5,0))</f>
        <v>0</v>
      </c>
      <c r="N212" s="232">
        <f>INDEX('Prop. prices'!$I$86:$AB$160,MATCH('Tariff schedule'!$C212,'Prop. prices'!$C$86:$C$160,0),MATCH('Tariff schedule'!N$16,'Prop. prices'!$I$5:$AB$5,0))</f>
        <v>0</v>
      </c>
      <c r="O212" s="232">
        <f>INDEX('Prop. prices'!$I$86:$AB$160,MATCH('Tariff schedule'!$C212,'Prop. prices'!$C$86:$C$160,0),MATCH('Tariff schedule'!O$16,'Prop. prices'!$I$5:$AB$5,0))</f>
        <v>0</v>
      </c>
      <c r="P212" s="232">
        <f>INDEX('Prop. prices'!$I$86:$AB$160,MATCH('Tariff schedule'!$C212,'Prop. prices'!$C$86:$C$160,0),MATCH('Tariff schedule'!P$16,'Prop. prices'!$I$5:$AB$5,0))</f>
        <v>0</v>
      </c>
      <c r="Q212" s="232">
        <f>INDEX('Prop. prices'!$I$86:$AB$160,MATCH('Tariff schedule'!$C212,'Prop. prices'!$C$86:$C$160,0),MATCH('Tariff schedule'!Q$16,'Prop. prices'!$I$5:$AB$5,0))</f>
        <v>0</v>
      </c>
      <c r="R212" s="232">
        <f>INDEX('Prop. prices'!$I$86:$AB$160,MATCH('Tariff schedule'!$C212,'Prop. prices'!$C$86:$C$160,0),MATCH('Tariff schedule'!R$16,'Prop. prices'!$I$5:$AB$5,0))</f>
        <v>0</v>
      </c>
      <c r="S212" s="232">
        <f>INDEX('Prop. prices'!$I$86:$AB$160,MATCH('Tariff schedule'!$C212,'Prop. prices'!$C$86:$C$160,0),MATCH('Tariff schedule'!S$16,'Prop. prices'!$I$5:$AB$5,0))</f>
        <v>0</v>
      </c>
      <c r="T212" s="232">
        <f>INDEX('Prop. prices'!$I$86:$AB$160,MATCH('Tariff schedule'!$C212,'Prop. prices'!$C$86:$C$160,0),MATCH('Tariff schedule'!T$16,'Prop. prices'!$I$5:$AB$5,0))</f>
        <v>0</v>
      </c>
      <c r="U212" s="232">
        <f>INDEX('Prop. prices'!$I$86:$AB$160,MATCH('Tariff schedule'!$C212,'Prop. prices'!$C$86:$C$160,0),MATCH('Tariff schedule'!U$16,'Prop. prices'!$I$5:$AB$5,0))</f>
        <v>0</v>
      </c>
      <c r="V212" s="232">
        <f>INDEX('Prop. prices'!$I$86:$AB$160,MATCH('Tariff schedule'!$C212,'Prop. prices'!$C$86:$C$160,0),MATCH('Tariff schedule'!V$16,'Prop. prices'!$I$5:$AB$5,0))</f>
        <v>0</v>
      </c>
      <c r="W212" s="232">
        <f>INDEX('Prop. prices'!$I$86:$AB$160,MATCH('Tariff schedule'!$C212,'Prop. prices'!$C$86:$C$160,0),MATCH('Tariff schedule'!W$16,'Prop. prices'!$I$5:$AB$5,0))</f>
        <v>0</v>
      </c>
      <c r="X212" s="232">
        <f>INDEX('Prop. prices'!$I$86:$AB$160,MATCH('Tariff schedule'!$C212,'Prop. prices'!$C$86:$C$160,0),MATCH('Tariff schedule'!X$16,'Prop. prices'!$I$5:$AB$5,0))</f>
        <v>0</v>
      </c>
      <c r="Y212" s="232">
        <f>INDEX('Prop. prices'!$I$86:$AB$160,MATCH('Tariff schedule'!$C212,'Prop. prices'!$C$86:$C$160,0),MATCH('Tariff schedule'!Y$16,'Prop. prices'!$I$5:$AB$5,0))</f>
        <v>0</v>
      </c>
      <c r="Z212" s="232">
        <f>INDEX('Prop. prices'!$I$86:$AB$160,MATCH('Tariff schedule'!$C212,'Prop. prices'!$C$86:$C$160,0),MATCH('Tariff schedule'!Z$16,'Prop. prices'!$I$5:$AB$5,0))</f>
        <v>0</v>
      </c>
      <c r="AA212" s="232">
        <f>INDEX('Prop. prices'!$I$86:$AB$160,MATCH('Tariff schedule'!$C212,'Prop. prices'!$C$86:$C$160,0),MATCH('Tariff schedule'!AA$16,'Prop. prices'!$I$5:$AB$5,0))</f>
        <v>0</v>
      </c>
      <c r="AB212" s="232">
        <f>INDEX('Prop. prices'!$I$86:$AB$160,MATCH('Tariff schedule'!$C212,'Prop. prices'!$C$86:$C$160,0),MATCH('Tariff schedule'!AB$16,'Prop. prices'!$I$5:$AB$5,0))</f>
        <v>0</v>
      </c>
      <c r="AC212" s="70"/>
      <c r="AD212" s="19"/>
      <c r="AE212" s="19"/>
      <c r="AF212" s="19"/>
      <c r="AG212" s="19"/>
    </row>
    <row r="213" spans="1:33" hidden="1" outlineLevel="3" x14ac:dyDescent="0.2">
      <c r="A213" s="19"/>
      <c r="B213" s="19"/>
      <c r="C213" s="506">
        <f t="shared" si="86"/>
        <v>0</v>
      </c>
      <c r="D213" s="505">
        <f t="shared" si="86"/>
        <v>0</v>
      </c>
      <c r="E213" s="505">
        <f t="shared" si="86"/>
        <v>0</v>
      </c>
      <c r="F213" s="505">
        <f t="shared" si="86"/>
        <v>0</v>
      </c>
      <c r="G213" s="505">
        <f t="shared" si="86"/>
        <v>0</v>
      </c>
      <c r="H213" s="58"/>
      <c r="I213" s="232">
        <f>INDEX('Prop. prices'!$I$86:$AB$160,MATCH('Tariff schedule'!$C213,'Prop. prices'!$C$86:$C$160,0),MATCH('Tariff schedule'!I$16,'Prop. prices'!$I$5:$AB$5,0))</f>
        <v>0</v>
      </c>
      <c r="J213" s="232">
        <f>INDEX('Prop. prices'!$I$86:$AB$160,MATCH('Tariff schedule'!$C213,'Prop. prices'!$C$86:$C$160,0),MATCH('Tariff schedule'!J$16,'Prop. prices'!$I$5:$AB$5,0))</f>
        <v>0</v>
      </c>
      <c r="K213" s="232">
        <f>INDEX('Prop. prices'!$I$86:$AB$160,MATCH('Tariff schedule'!$C213,'Prop. prices'!$C$86:$C$160,0),MATCH('Tariff schedule'!K$16,'Prop. prices'!$I$5:$AB$5,0))</f>
        <v>0</v>
      </c>
      <c r="L213" s="232">
        <f>INDEX('Prop. prices'!$I$86:$AB$160,MATCH('Tariff schedule'!$C213,'Prop. prices'!$C$86:$C$160,0),MATCH('Tariff schedule'!L$16,'Prop. prices'!$I$5:$AB$5,0))</f>
        <v>0</v>
      </c>
      <c r="M213" s="232">
        <f>INDEX('Prop. prices'!$I$86:$AB$160,MATCH('Tariff schedule'!$C213,'Prop. prices'!$C$86:$C$160,0),MATCH('Tariff schedule'!M$16,'Prop. prices'!$I$5:$AB$5,0))</f>
        <v>0</v>
      </c>
      <c r="N213" s="232">
        <f>INDEX('Prop. prices'!$I$86:$AB$160,MATCH('Tariff schedule'!$C213,'Prop. prices'!$C$86:$C$160,0),MATCH('Tariff schedule'!N$16,'Prop. prices'!$I$5:$AB$5,0))</f>
        <v>0</v>
      </c>
      <c r="O213" s="232">
        <f>INDEX('Prop. prices'!$I$86:$AB$160,MATCH('Tariff schedule'!$C213,'Prop. prices'!$C$86:$C$160,0),MATCH('Tariff schedule'!O$16,'Prop. prices'!$I$5:$AB$5,0))</f>
        <v>0</v>
      </c>
      <c r="P213" s="232">
        <f>INDEX('Prop. prices'!$I$86:$AB$160,MATCH('Tariff schedule'!$C213,'Prop. prices'!$C$86:$C$160,0),MATCH('Tariff schedule'!P$16,'Prop. prices'!$I$5:$AB$5,0))</f>
        <v>0</v>
      </c>
      <c r="Q213" s="232">
        <f>INDEX('Prop. prices'!$I$86:$AB$160,MATCH('Tariff schedule'!$C213,'Prop. prices'!$C$86:$C$160,0),MATCH('Tariff schedule'!Q$16,'Prop. prices'!$I$5:$AB$5,0))</f>
        <v>0</v>
      </c>
      <c r="R213" s="232">
        <f>INDEX('Prop. prices'!$I$86:$AB$160,MATCH('Tariff schedule'!$C213,'Prop. prices'!$C$86:$C$160,0),MATCH('Tariff schedule'!R$16,'Prop. prices'!$I$5:$AB$5,0))</f>
        <v>0</v>
      </c>
      <c r="S213" s="232">
        <f>INDEX('Prop. prices'!$I$86:$AB$160,MATCH('Tariff schedule'!$C213,'Prop. prices'!$C$86:$C$160,0),MATCH('Tariff schedule'!S$16,'Prop. prices'!$I$5:$AB$5,0))</f>
        <v>0</v>
      </c>
      <c r="T213" s="232">
        <f>INDEX('Prop. prices'!$I$86:$AB$160,MATCH('Tariff schedule'!$C213,'Prop. prices'!$C$86:$C$160,0),MATCH('Tariff schedule'!T$16,'Prop. prices'!$I$5:$AB$5,0))</f>
        <v>0</v>
      </c>
      <c r="U213" s="232">
        <f>INDEX('Prop. prices'!$I$86:$AB$160,MATCH('Tariff schedule'!$C213,'Prop. prices'!$C$86:$C$160,0),MATCH('Tariff schedule'!U$16,'Prop. prices'!$I$5:$AB$5,0))</f>
        <v>0</v>
      </c>
      <c r="V213" s="232">
        <f>INDEX('Prop. prices'!$I$86:$AB$160,MATCH('Tariff schedule'!$C213,'Prop. prices'!$C$86:$C$160,0),MATCH('Tariff schedule'!V$16,'Prop. prices'!$I$5:$AB$5,0))</f>
        <v>0</v>
      </c>
      <c r="W213" s="232">
        <f>INDEX('Prop. prices'!$I$86:$AB$160,MATCH('Tariff schedule'!$C213,'Prop. prices'!$C$86:$C$160,0),MATCH('Tariff schedule'!W$16,'Prop. prices'!$I$5:$AB$5,0))</f>
        <v>0</v>
      </c>
      <c r="X213" s="232">
        <f>INDEX('Prop. prices'!$I$86:$AB$160,MATCH('Tariff schedule'!$C213,'Prop. prices'!$C$86:$C$160,0),MATCH('Tariff schedule'!X$16,'Prop. prices'!$I$5:$AB$5,0))</f>
        <v>0</v>
      </c>
      <c r="Y213" s="232">
        <f>INDEX('Prop. prices'!$I$86:$AB$160,MATCH('Tariff schedule'!$C213,'Prop. prices'!$C$86:$C$160,0),MATCH('Tariff schedule'!Y$16,'Prop. prices'!$I$5:$AB$5,0))</f>
        <v>0</v>
      </c>
      <c r="Z213" s="232">
        <f>INDEX('Prop. prices'!$I$86:$AB$160,MATCH('Tariff schedule'!$C213,'Prop. prices'!$C$86:$C$160,0),MATCH('Tariff schedule'!Z$16,'Prop. prices'!$I$5:$AB$5,0))</f>
        <v>0</v>
      </c>
      <c r="AA213" s="232">
        <f>INDEX('Prop. prices'!$I$86:$AB$160,MATCH('Tariff schedule'!$C213,'Prop. prices'!$C$86:$C$160,0),MATCH('Tariff schedule'!AA$16,'Prop. prices'!$I$5:$AB$5,0))</f>
        <v>0</v>
      </c>
      <c r="AB213" s="232">
        <f>INDEX('Prop. prices'!$I$86:$AB$160,MATCH('Tariff schedule'!$C213,'Prop. prices'!$C$86:$C$160,0),MATCH('Tariff schedule'!AB$16,'Prop. prices'!$I$5:$AB$5,0))</f>
        <v>0</v>
      </c>
      <c r="AC213" s="70"/>
      <c r="AD213" s="19"/>
      <c r="AE213" s="19"/>
      <c r="AF213" s="19"/>
      <c r="AG213" s="19"/>
    </row>
    <row r="214" spans="1:33" hidden="1" outlineLevel="3" x14ac:dyDescent="0.2">
      <c r="A214" s="19"/>
      <c r="B214" s="19"/>
      <c r="C214" s="506">
        <f t="shared" si="86"/>
        <v>0</v>
      </c>
      <c r="D214" s="505">
        <f t="shared" si="86"/>
        <v>0</v>
      </c>
      <c r="E214" s="505">
        <f t="shared" si="86"/>
        <v>0</v>
      </c>
      <c r="F214" s="505">
        <f t="shared" si="86"/>
        <v>0</v>
      </c>
      <c r="G214" s="505">
        <f t="shared" si="86"/>
        <v>0</v>
      </c>
      <c r="H214" s="58"/>
      <c r="I214" s="232">
        <f>INDEX('Prop. prices'!$I$86:$AB$160,MATCH('Tariff schedule'!$C214,'Prop. prices'!$C$86:$C$160,0),MATCH('Tariff schedule'!I$16,'Prop. prices'!$I$5:$AB$5,0))</f>
        <v>0</v>
      </c>
      <c r="J214" s="232">
        <f>INDEX('Prop. prices'!$I$86:$AB$160,MATCH('Tariff schedule'!$C214,'Prop. prices'!$C$86:$C$160,0),MATCH('Tariff schedule'!J$16,'Prop. prices'!$I$5:$AB$5,0))</f>
        <v>0</v>
      </c>
      <c r="K214" s="232">
        <f>INDEX('Prop. prices'!$I$86:$AB$160,MATCH('Tariff schedule'!$C214,'Prop. prices'!$C$86:$C$160,0),MATCH('Tariff schedule'!K$16,'Prop. prices'!$I$5:$AB$5,0))</f>
        <v>0</v>
      </c>
      <c r="L214" s="232">
        <f>INDEX('Prop. prices'!$I$86:$AB$160,MATCH('Tariff schedule'!$C214,'Prop. prices'!$C$86:$C$160,0),MATCH('Tariff schedule'!L$16,'Prop. prices'!$I$5:$AB$5,0))</f>
        <v>0</v>
      </c>
      <c r="M214" s="232">
        <f>INDEX('Prop. prices'!$I$86:$AB$160,MATCH('Tariff schedule'!$C214,'Prop. prices'!$C$86:$C$160,0),MATCH('Tariff schedule'!M$16,'Prop. prices'!$I$5:$AB$5,0))</f>
        <v>0</v>
      </c>
      <c r="N214" s="232">
        <f>INDEX('Prop. prices'!$I$86:$AB$160,MATCH('Tariff schedule'!$C214,'Prop. prices'!$C$86:$C$160,0),MATCH('Tariff schedule'!N$16,'Prop. prices'!$I$5:$AB$5,0))</f>
        <v>0</v>
      </c>
      <c r="O214" s="232">
        <f>INDEX('Prop. prices'!$I$86:$AB$160,MATCH('Tariff schedule'!$C214,'Prop. prices'!$C$86:$C$160,0),MATCH('Tariff schedule'!O$16,'Prop. prices'!$I$5:$AB$5,0))</f>
        <v>0</v>
      </c>
      <c r="P214" s="232">
        <f>INDEX('Prop. prices'!$I$86:$AB$160,MATCH('Tariff schedule'!$C214,'Prop. prices'!$C$86:$C$160,0),MATCH('Tariff schedule'!P$16,'Prop. prices'!$I$5:$AB$5,0))</f>
        <v>0</v>
      </c>
      <c r="Q214" s="232">
        <f>INDEX('Prop. prices'!$I$86:$AB$160,MATCH('Tariff schedule'!$C214,'Prop. prices'!$C$86:$C$160,0),MATCH('Tariff schedule'!Q$16,'Prop. prices'!$I$5:$AB$5,0))</f>
        <v>0</v>
      </c>
      <c r="R214" s="232">
        <f>INDEX('Prop. prices'!$I$86:$AB$160,MATCH('Tariff schedule'!$C214,'Prop. prices'!$C$86:$C$160,0),MATCH('Tariff schedule'!R$16,'Prop. prices'!$I$5:$AB$5,0))</f>
        <v>0</v>
      </c>
      <c r="S214" s="232">
        <f>INDEX('Prop. prices'!$I$86:$AB$160,MATCH('Tariff schedule'!$C214,'Prop. prices'!$C$86:$C$160,0),MATCH('Tariff schedule'!S$16,'Prop. prices'!$I$5:$AB$5,0))</f>
        <v>0</v>
      </c>
      <c r="T214" s="232">
        <f>INDEX('Prop. prices'!$I$86:$AB$160,MATCH('Tariff schedule'!$C214,'Prop. prices'!$C$86:$C$160,0),MATCH('Tariff schedule'!T$16,'Prop. prices'!$I$5:$AB$5,0))</f>
        <v>0</v>
      </c>
      <c r="U214" s="232">
        <f>INDEX('Prop. prices'!$I$86:$AB$160,MATCH('Tariff schedule'!$C214,'Prop. prices'!$C$86:$C$160,0),MATCH('Tariff schedule'!U$16,'Prop. prices'!$I$5:$AB$5,0))</f>
        <v>0</v>
      </c>
      <c r="V214" s="232">
        <f>INDEX('Prop. prices'!$I$86:$AB$160,MATCH('Tariff schedule'!$C214,'Prop. prices'!$C$86:$C$160,0),MATCH('Tariff schedule'!V$16,'Prop. prices'!$I$5:$AB$5,0))</f>
        <v>0</v>
      </c>
      <c r="W214" s="232">
        <f>INDEX('Prop. prices'!$I$86:$AB$160,MATCH('Tariff schedule'!$C214,'Prop. prices'!$C$86:$C$160,0),MATCH('Tariff schedule'!W$16,'Prop. prices'!$I$5:$AB$5,0))</f>
        <v>0</v>
      </c>
      <c r="X214" s="232">
        <f>INDEX('Prop. prices'!$I$86:$AB$160,MATCH('Tariff schedule'!$C214,'Prop. prices'!$C$86:$C$160,0),MATCH('Tariff schedule'!X$16,'Prop. prices'!$I$5:$AB$5,0))</f>
        <v>0</v>
      </c>
      <c r="Y214" s="232">
        <f>INDEX('Prop. prices'!$I$86:$AB$160,MATCH('Tariff schedule'!$C214,'Prop. prices'!$C$86:$C$160,0),MATCH('Tariff schedule'!Y$16,'Prop. prices'!$I$5:$AB$5,0))</f>
        <v>0</v>
      </c>
      <c r="Z214" s="232">
        <f>INDEX('Prop. prices'!$I$86:$AB$160,MATCH('Tariff schedule'!$C214,'Prop. prices'!$C$86:$C$160,0),MATCH('Tariff schedule'!Z$16,'Prop. prices'!$I$5:$AB$5,0))</f>
        <v>0</v>
      </c>
      <c r="AA214" s="232">
        <f>INDEX('Prop. prices'!$I$86:$AB$160,MATCH('Tariff schedule'!$C214,'Prop. prices'!$C$86:$C$160,0),MATCH('Tariff schedule'!AA$16,'Prop. prices'!$I$5:$AB$5,0))</f>
        <v>0</v>
      </c>
      <c r="AB214" s="232">
        <f>INDEX('Prop. prices'!$I$86:$AB$160,MATCH('Tariff schedule'!$C214,'Prop. prices'!$C$86:$C$160,0),MATCH('Tariff schedule'!AB$16,'Prop. prices'!$I$5:$AB$5,0))</f>
        <v>0</v>
      </c>
      <c r="AC214" s="70"/>
      <c r="AD214" s="19"/>
      <c r="AE214" s="19"/>
      <c r="AF214" s="19"/>
      <c r="AG214" s="19"/>
    </row>
    <row r="215" spans="1:33" hidden="1" outlineLevel="3" x14ac:dyDescent="0.2">
      <c r="A215" s="19"/>
      <c r="B215" s="19"/>
      <c r="C215" s="506">
        <f t="shared" ref="C215:G224" si="87">C59</f>
        <v>0</v>
      </c>
      <c r="D215" s="505">
        <f t="shared" si="87"/>
        <v>0</v>
      </c>
      <c r="E215" s="505">
        <f t="shared" si="87"/>
        <v>0</v>
      </c>
      <c r="F215" s="505">
        <f t="shared" si="87"/>
        <v>0</v>
      </c>
      <c r="G215" s="505">
        <f t="shared" si="87"/>
        <v>0</v>
      </c>
      <c r="H215" s="58"/>
      <c r="I215" s="232">
        <f>INDEX('Prop. prices'!$I$86:$AB$160,MATCH('Tariff schedule'!$C215,'Prop. prices'!$C$86:$C$160,0),MATCH('Tariff schedule'!I$16,'Prop. prices'!$I$5:$AB$5,0))</f>
        <v>0</v>
      </c>
      <c r="J215" s="232">
        <f>INDEX('Prop. prices'!$I$86:$AB$160,MATCH('Tariff schedule'!$C215,'Prop. prices'!$C$86:$C$160,0),MATCH('Tariff schedule'!J$16,'Prop. prices'!$I$5:$AB$5,0))</f>
        <v>0</v>
      </c>
      <c r="K215" s="232">
        <f>INDEX('Prop. prices'!$I$86:$AB$160,MATCH('Tariff schedule'!$C215,'Prop. prices'!$C$86:$C$160,0),MATCH('Tariff schedule'!K$16,'Prop. prices'!$I$5:$AB$5,0))</f>
        <v>0</v>
      </c>
      <c r="L215" s="232">
        <f>INDEX('Prop. prices'!$I$86:$AB$160,MATCH('Tariff schedule'!$C215,'Prop. prices'!$C$86:$C$160,0),MATCH('Tariff schedule'!L$16,'Prop. prices'!$I$5:$AB$5,0))</f>
        <v>0</v>
      </c>
      <c r="M215" s="232">
        <f>INDEX('Prop. prices'!$I$86:$AB$160,MATCH('Tariff schedule'!$C215,'Prop. prices'!$C$86:$C$160,0),MATCH('Tariff schedule'!M$16,'Prop. prices'!$I$5:$AB$5,0))</f>
        <v>0</v>
      </c>
      <c r="N215" s="232">
        <f>INDEX('Prop. prices'!$I$86:$AB$160,MATCH('Tariff schedule'!$C215,'Prop. prices'!$C$86:$C$160,0),MATCH('Tariff schedule'!N$16,'Prop. prices'!$I$5:$AB$5,0))</f>
        <v>0</v>
      </c>
      <c r="O215" s="232">
        <f>INDEX('Prop. prices'!$I$86:$AB$160,MATCH('Tariff schedule'!$C215,'Prop. prices'!$C$86:$C$160,0),MATCH('Tariff schedule'!O$16,'Prop. prices'!$I$5:$AB$5,0))</f>
        <v>0</v>
      </c>
      <c r="P215" s="232">
        <f>INDEX('Prop. prices'!$I$86:$AB$160,MATCH('Tariff schedule'!$C215,'Prop. prices'!$C$86:$C$160,0),MATCH('Tariff schedule'!P$16,'Prop. prices'!$I$5:$AB$5,0))</f>
        <v>0</v>
      </c>
      <c r="Q215" s="232">
        <f>INDEX('Prop. prices'!$I$86:$AB$160,MATCH('Tariff schedule'!$C215,'Prop. prices'!$C$86:$C$160,0),MATCH('Tariff schedule'!Q$16,'Prop. prices'!$I$5:$AB$5,0))</f>
        <v>0</v>
      </c>
      <c r="R215" s="232">
        <f>INDEX('Prop. prices'!$I$86:$AB$160,MATCH('Tariff schedule'!$C215,'Prop. prices'!$C$86:$C$160,0),MATCH('Tariff schedule'!R$16,'Prop. prices'!$I$5:$AB$5,0))</f>
        <v>0</v>
      </c>
      <c r="S215" s="232">
        <f>INDEX('Prop. prices'!$I$86:$AB$160,MATCH('Tariff schedule'!$C215,'Prop. prices'!$C$86:$C$160,0),MATCH('Tariff schedule'!S$16,'Prop. prices'!$I$5:$AB$5,0))</f>
        <v>0</v>
      </c>
      <c r="T215" s="232">
        <f>INDEX('Prop. prices'!$I$86:$AB$160,MATCH('Tariff schedule'!$C215,'Prop. prices'!$C$86:$C$160,0),MATCH('Tariff schedule'!T$16,'Prop. prices'!$I$5:$AB$5,0))</f>
        <v>0</v>
      </c>
      <c r="U215" s="232">
        <f>INDEX('Prop. prices'!$I$86:$AB$160,MATCH('Tariff schedule'!$C215,'Prop. prices'!$C$86:$C$160,0),MATCH('Tariff schedule'!U$16,'Prop. prices'!$I$5:$AB$5,0))</f>
        <v>0</v>
      </c>
      <c r="V215" s="232">
        <f>INDEX('Prop. prices'!$I$86:$AB$160,MATCH('Tariff schedule'!$C215,'Prop. prices'!$C$86:$C$160,0),MATCH('Tariff schedule'!V$16,'Prop. prices'!$I$5:$AB$5,0))</f>
        <v>0</v>
      </c>
      <c r="W215" s="232">
        <f>INDEX('Prop. prices'!$I$86:$AB$160,MATCH('Tariff schedule'!$C215,'Prop. prices'!$C$86:$C$160,0),MATCH('Tariff schedule'!W$16,'Prop. prices'!$I$5:$AB$5,0))</f>
        <v>0</v>
      </c>
      <c r="X215" s="232">
        <f>INDEX('Prop. prices'!$I$86:$AB$160,MATCH('Tariff schedule'!$C215,'Prop. prices'!$C$86:$C$160,0),MATCH('Tariff schedule'!X$16,'Prop. prices'!$I$5:$AB$5,0))</f>
        <v>0</v>
      </c>
      <c r="Y215" s="232">
        <f>INDEX('Prop. prices'!$I$86:$AB$160,MATCH('Tariff schedule'!$C215,'Prop. prices'!$C$86:$C$160,0),MATCH('Tariff schedule'!Y$16,'Prop. prices'!$I$5:$AB$5,0))</f>
        <v>0</v>
      </c>
      <c r="Z215" s="232">
        <f>INDEX('Prop. prices'!$I$86:$AB$160,MATCH('Tariff schedule'!$C215,'Prop. prices'!$C$86:$C$160,0),MATCH('Tariff schedule'!Z$16,'Prop. prices'!$I$5:$AB$5,0))</f>
        <v>0</v>
      </c>
      <c r="AA215" s="232">
        <f>INDEX('Prop. prices'!$I$86:$AB$160,MATCH('Tariff schedule'!$C215,'Prop. prices'!$C$86:$C$160,0),MATCH('Tariff schedule'!AA$16,'Prop. prices'!$I$5:$AB$5,0))</f>
        <v>0</v>
      </c>
      <c r="AB215" s="232">
        <f>INDEX('Prop. prices'!$I$86:$AB$160,MATCH('Tariff schedule'!$C215,'Prop. prices'!$C$86:$C$160,0),MATCH('Tariff schedule'!AB$16,'Prop. prices'!$I$5:$AB$5,0))</f>
        <v>0</v>
      </c>
      <c r="AC215" s="70"/>
      <c r="AD215" s="19"/>
      <c r="AE215" s="19"/>
      <c r="AF215" s="19"/>
      <c r="AG215" s="19"/>
    </row>
    <row r="216" spans="1:33" hidden="1" outlineLevel="3" x14ac:dyDescent="0.2">
      <c r="A216" s="19"/>
      <c r="B216" s="19"/>
      <c r="C216" s="506">
        <f t="shared" si="87"/>
        <v>0</v>
      </c>
      <c r="D216" s="505">
        <f t="shared" si="87"/>
        <v>0</v>
      </c>
      <c r="E216" s="505">
        <f t="shared" si="87"/>
        <v>0</v>
      </c>
      <c r="F216" s="505">
        <f t="shared" si="87"/>
        <v>0</v>
      </c>
      <c r="G216" s="505">
        <f t="shared" si="87"/>
        <v>0</v>
      </c>
      <c r="H216" s="58"/>
      <c r="I216" s="232">
        <f>INDEX('Prop. prices'!$I$86:$AB$160,MATCH('Tariff schedule'!$C216,'Prop. prices'!$C$86:$C$160,0),MATCH('Tariff schedule'!I$16,'Prop. prices'!$I$5:$AB$5,0))</f>
        <v>0</v>
      </c>
      <c r="J216" s="232">
        <f>INDEX('Prop. prices'!$I$86:$AB$160,MATCH('Tariff schedule'!$C216,'Prop. prices'!$C$86:$C$160,0),MATCH('Tariff schedule'!J$16,'Prop. prices'!$I$5:$AB$5,0))</f>
        <v>0</v>
      </c>
      <c r="K216" s="232">
        <f>INDEX('Prop. prices'!$I$86:$AB$160,MATCH('Tariff schedule'!$C216,'Prop. prices'!$C$86:$C$160,0),MATCH('Tariff schedule'!K$16,'Prop. prices'!$I$5:$AB$5,0))</f>
        <v>0</v>
      </c>
      <c r="L216" s="232">
        <f>INDEX('Prop. prices'!$I$86:$AB$160,MATCH('Tariff schedule'!$C216,'Prop. prices'!$C$86:$C$160,0),MATCH('Tariff schedule'!L$16,'Prop. prices'!$I$5:$AB$5,0))</f>
        <v>0</v>
      </c>
      <c r="M216" s="232">
        <f>INDEX('Prop. prices'!$I$86:$AB$160,MATCH('Tariff schedule'!$C216,'Prop. prices'!$C$86:$C$160,0),MATCH('Tariff schedule'!M$16,'Prop. prices'!$I$5:$AB$5,0))</f>
        <v>0</v>
      </c>
      <c r="N216" s="232">
        <f>INDEX('Prop. prices'!$I$86:$AB$160,MATCH('Tariff schedule'!$C216,'Prop. prices'!$C$86:$C$160,0),MATCH('Tariff schedule'!N$16,'Prop. prices'!$I$5:$AB$5,0))</f>
        <v>0</v>
      </c>
      <c r="O216" s="232">
        <f>INDEX('Prop. prices'!$I$86:$AB$160,MATCH('Tariff schedule'!$C216,'Prop. prices'!$C$86:$C$160,0),MATCH('Tariff schedule'!O$16,'Prop. prices'!$I$5:$AB$5,0))</f>
        <v>0</v>
      </c>
      <c r="P216" s="232">
        <f>INDEX('Prop. prices'!$I$86:$AB$160,MATCH('Tariff schedule'!$C216,'Prop. prices'!$C$86:$C$160,0),MATCH('Tariff schedule'!P$16,'Prop. prices'!$I$5:$AB$5,0))</f>
        <v>0</v>
      </c>
      <c r="Q216" s="232">
        <f>INDEX('Prop. prices'!$I$86:$AB$160,MATCH('Tariff schedule'!$C216,'Prop. prices'!$C$86:$C$160,0),MATCH('Tariff schedule'!Q$16,'Prop. prices'!$I$5:$AB$5,0))</f>
        <v>0</v>
      </c>
      <c r="R216" s="232">
        <f>INDEX('Prop. prices'!$I$86:$AB$160,MATCH('Tariff schedule'!$C216,'Prop. prices'!$C$86:$C$160,0),MATCH('Tariff schedule'!R$16,'Prop. prices'!$I$5:$AB$5,0))</f>
        <v>0</v>
      </c>
      <c r="S216" s="232">
        <f>INDEX('Prop. prices'!$I$86:$AB$160,MATCH('Tariff schedule'!$C216,'Prop. prices'!$C$86:$C$160,0),MATCH('Tariff schedule'!S$16,'Prop. prices'!$I$5:$AB$5,0))</f>
        <v>0</v>
      </c>
      <c r="T216" s="232">
        <f>INDEX('Prop. prices'!$I$86:$AB$160,MATCH('Tariff schedule'!$C216,'Prop. prices'!$C$86:$C$160,0),MATCH('Tariff schedule'!T$16,'Prop. prices'!$I$5:$AB$5,0))</f>
        <v>0</v>
      </c>
      <c r="U216" s="232">
        <f>INDEX('Prop. prices'!$I$86:$AB$160,MATCH('Tariff schedule'!$C216,'Prop. prices'!$C$86:$C$160,0),MATCH('Tariff schedule'!U$16,'Prop. prices'!$I$5:$AB$5,0))</f>
        <v>0</v>
      </c>
      <c r="V216" s="232">
        <f>INDEX('Prop. prices'!$I$86:$AB$160,MATCH('Tariff schedule'!$C216,'Prop. prices'!$C$86:$C$160,0),MATCH('Tariff schedule'!V$16,'Prop. prices'!$I$5:$AB$5,0))</f>
        <v>0</v>
      </c>
      <c r="W216" s="232">
        <f>INDEX('Prop. prices'!$I$86:$AB$160,MATCH('Tariff schedule'!$C216,'Prop. prices'!$C$86:$C$160,0),MATCH('Tariff schedule'!W$16,'Prop. prices'!$I$5:$AB$5,0))</f>
        <v>0</v>
      </c>
      <c r="X216" s="232">
        <f>INDEX('Prop. prices'!$I$86:$AB$160,MATCH('Tariff schedule'!$C216,'Prop. prices'!$C$86:$C$160,0),MATCH('Tariff schedule'!X$16,'Prop. prices'!$I$5:$AB$5,0))</f>
        <v>0</v>
      </c>
      <c r="Y216" s="232">
        <f>INDEX('Prop. prices'!$I$86:$AB$160,MATCH('Tariff schedule'!$C216,'Prop. prices'!$C$86:$C$160,0),MATCH('Tariff schedule'!Y$16,'Prop. prices'!$I$5:$AB$5,0))</f>
        <v>0</v>
      </c>
      <c r="Z216" s="232">
        <f>INDEX('Prop. prices'!$I$86:$AB$160,MATCH('Tariff schedule'!$C216,'Prop. prices'!$C$86:$C$160,0),MATCH('Tariff schedule'!Z$16,'Prop. prices'!$I$5:$AB$5,0))</f>
        <v>0</v>
      </c>
      <c r="AA216" s="232">
        <f>INDEX('Prop. prices'!$I$86:$AB$160,MATCH('Tariff schedule'!$C216,'Prop. prices'!$C$86:$C$160,0),MATCH('Tariff schedule'!AA$16,'Prop. prices'!$I$5:$AB$5,0))</f>
        <v>0</v>
      </c>
      <c r="AB216" s="232">
        <f>INDEX('Prop. prices'!$I$86:$AB$160,MATCH('Tariff schedule'!$C216,'Prop. prices'!$C$86:$C$160,0),MATCH('Tariff schedule'!AB$16,'Prop. prices'!$I$5:$AB$5,0))</f>
        <v>0</v>
      </c>
      <c r="AC216" s="70"/>
      <c r="AD216" s="19"/>
      <c r="AE216" s="19"/>
      <c r="AF216" s="19"/>
      <c r="AG216" s="19"/>
    </row>
    <row r="217" spans="1:33" hidden="1" outlineLevel="3" x14ac:dyDescent="0.2">
      <c r="A217" s="19"/>
      <c r="B217" s="19"/>
      <c r="C217" s="506">
        <f t="shared" si="87"/>
        <v>0</v>
      </c>
      <c r="D217" s="505">
        <f t="shared" si="87"/>
        <v>0</v>
      </c>
      <c r="E217" s="505">
        <f t="shared" si="87"/>
        <v>0</v>
      </c>
      <c r="F217" s="505">
        <f t="shared" si="87"/>
        <v>0</v>
      </c>
      <c r="G217" s="505">
        <f t="shared" si="87"/>
        <v>0</v>
      </c>
      <c r="H217" s="58"/>
      <c r="I217" s="232">
        <f>INDEX('Prop. prices'!$I$86:$AB$160,MATCH('Tariff schedule'!$C217,'Prop. prices'!$C$86:$C$160,0),MATCH('Tariff schedule'!I$16,'Prop. prices'!$I$5:$AB$5,0))</f>
        <v>0</v>
      </c>
      <c r="J217" s="232">
        <f>INDEX('Prop. prices'!$I$86:$AB$160,MATCH('Tariff schedule'!$C217,'Prop. prices'!$C$86:$C$160,0),MATCH('Tariff schedule'!J$16,'Prop. prices'!$I$5:$AB$5,0))</f>
        <v>0</v>
      </c>
      <c r="K217" s="232">
        <f>INDEX('Prop. prices'!$I$86:$AB$160,MATCH('Tariff schedule'!$C217,'Prop. prices'!$C$86:$C$160,0),MATCH('Tariff schedule'!K$16,'Prop. prices'!$I$5:$AB$5,0))</f>
        <v>0</v>
      </c>
      <c r="L217" s="232">
        <f>INDEX('Prop. prices'!$I$86:$AB$160,MATCH('Tariff schedule'!$C217,'Prop. prices'!$C$86:$C$160,0),MATCH('Tariff schedule'!L$16,'Prop. prices'!$I$5:$AB$5,0))</f>
        <v>0</v>
      </c>
      <c r="M217" s="232">
        <f>INDEX('Prop. prices'!$I$86:$AB$160,MATCH('Tariff schedule'!$C217,'Prop. prices'!$C$86:$C$160,0),MATCH('Tariff schedule'!M$16,'Prop. prices'!$I$5:$AB$5,0))</f>
        <v>0</v>
      </c>
      <c r="N217" s="232">
        <f>INDEX('Prop. prices'!$I$86:$AB$160,MATCH('Tariff schedule'!$C217,'Prop. prices'!$C$86:$C$160,0),MATCH('Tariff schedule'!N$16,'Prop. prices'!$I$5:$AB$5,0))</f>
        <v>0</v>
      </c>
      <c r="O217" s="232">
        <f>INDEX('Prop. prices'!$I$86:$AB$160,MATCH('Tariff schedule'!$C217,'Prop. prices'!$C$86:$C$160,0),MATCH('Tariff schedule'!O$16,'Prop. prices'!$I$5:$AB$5,0))</f>
        <v>0</v>
      </c>
      <c r="P217" s="232">
        <f>INDEX('Prop. prices'!$I$86:$AB$160,MATCH('Tariff schedule'!$C217,'Prop. prices'!$C$86:$C$160,0),MATCH('Tariff schedule'!P$16,'Prop. prices'!$I$5:$AB$5,0))</f>
        <v>0</v>
      </c>
      <c r="Q217" s="232">
        <f>INDEX('Prop. prices'!$I$86:$AB$160,MATCH('Tariff schedule'!$C217,'Prop. prices'!$C$86:$C$160,0),MATCH('Tariff schedule'!Q$16,'Prop. prices'!$I$5:$AB$5,0))</f>
        <v>0</v>
      </c>
      <c r="R217" s="232">
        <f>INDEX('Prop. prices'!$I$86:$AB$160,MATCH('Tariff schedule'!$C217,'Prop. prices'!$C$86:$C$160,0),MATCH('Tariff schedule'!R$16,'Prop. prices'!$I$5:$AB$5,0))</f>
        <v>0</v>
      </c>
      <c r="S217" s="232">
        <f>INDEX('Prop. prices'!$I$86:$AB$160,MATCH('Tariff schedule'!$C217,'Prop. prices'!$C$86:$C$160,0),MATCH('Tariff schedule'!S$16,'Prop. prices'!$I$5:$AB$5,0))</f>
        <v>0</v>
      </c>
      <c r="T217" s="232">
        <f>INDEX('Prop. prices'!$I$86:$AB$160,MATCH('Tariff schedule'!$C217,'Prop. prices'!$C$86:$C$160,0),MATCH('Tariff schedule'!T$16,'Prop. prices'!$I$5:$AB$5,0))</f>
        <v>0</v>
      </c>
      <c r="U217" s="232">
        <f>INDEX('Prop. prices'!$I$86:$AB$160,MATCH('Tariff schedule'!$C217,'Prop. prices'!$C$86:$C$160,0),MATCH('Tariff schedule'!U$16,'Prop. prices'!$I$5:$AB$5,0))</f>
        <v>0</v>
      </c>
      <c r="V217" s="232">
        <f>INDEX('Prop. prices'!$I$86:$AB$160,MATCH('Tariff schedule'!$C217,'Prop. prices'!$C$86:$C$160,0),MATCH('Tariff schedule'!V$16,'Prop. prices'!$I$5:$AB$5,0))</f>
        <v>0</v>
      </c>
      <c r="W217" s="232">
        <f>INDEX('Prop. prices'!$I$86:$AB$160,MATCH('Tariff schedule'!$C217,'Prop. prices'!$C$86:$C$160,0),MATCH('Tariff schedule'!W$16,'Prop. prices'!$I$5:$AB$5,0))</f>
        <v>0</v>
      </c>
      <c r="X217" s="232">
        <f>INDEX('Prop. prices'!$I$86:$AB$160,MATCH('Tariff schedule'!$C217,'Prop. prices'!$C$86:$C$160,0),MATCH('Tariff schedule'!X$16,'Prop. prices'!$I$5:$AB$5,0))</f>
        <v>0</v>
      </c>
      <c r="Y217" s="232">
        <f>INDEX('Prop. prices'!$I$86:$AB$160,MATCH('Tariff schedule'!$C217,'Prop. prices'!$C$86:$C$160,0),MATCH('Tariff schedule'!Y$16,'Prop. prices'!$I$5:$AB$5,0))</f>
        <v>0</v>
      </c>
      <c r="Z217" s="232">
        <f>INDEX('Prop. prices'!$I$86:$AB$160,MATCH('Tariff schedule'!$C217,'Prop. prices'!$C$86:$C$160,0),MATCH('Tariff schedule'!Z$16,'Prop. prices'!$I$5:$AB$5,0))</f>
        <v>0</v>
      </c>
      <c r="AA217" s="232">
        <f>INDEX('Prop. prices'!$I$86:$AB$160,MATCH('Tariff schedule'!$C217,'Prop. prices'!$C$86:$C$160,0),MATCH('Tariff schedule'!AA$16,'Prop. prices'!$I$5:$AB$5,0))</f>
        <v>0</v>
      </c>
      <c r="AB217" s="232">
        <f>INDEX('Prop. prices'!$I$86:$AB$160,MATCH('Tariff schedule'!$C217,'Prop. prices'!$C$86:$C$160,0),MATCH('Tariff schedule'!AB$16,'Prop. prices'!$I$5:$AB$5,0))</f>
        <v>0</v>
      </c>
      <c r="AC217" s="70"/>
      <c r="AD217" s="19"/>
      <c r="AE217" s="19"/>
      <c r="AF217" s="19"/>
      <c r="AG217" s="19"/>
    </row>
    <row r="218" spans="1:33" hidden="1" outlineLevel="3" x14ac:dyDescent="0.2">
      <c r="A218" s="19"/>
      <c r="B218" s="19"/>
      <c r="C218" s="506">
        <f t="shared" si="87"/>
        <v>0</v>
      </c>
      <c r="D218" s="505">
        <f t="shared" si="87"/>
        <v>0</v>
      </c>
      <c r="E218" s="505">
        <f t="shared" si="87"/>
        <v>0</v>
      </c>
      <c r="F218" s="505">
        <f t="shared" si="87"/>
        <v>0</v>
      </c>
      <c r="G218" s="505">
        <f t="shared" si="87"/>
        <v>0</v>
      </c>
      <c r="H218" s="58"/>
      <c r="I218" s="232">
        <f>INDEX('Prop. prices'!$I$86:$AB$160,MATCH('Tariff schedule'!$C218,'Prop. prices'!$C$86:$C$160,0),MATCH('Tariff schedule'!I$16,'Prop. prices'!$I$5:$AB$5,0))</f>
        <v>0</v>
      </c>
      <c r="J218" s="232">
        <f>INDEX('Prop. prices'!$I$86:$AB$160,MATCH('Tariff schedule'!$C218,'Prop. prices'!$C$86:$C$160,0),MATCH('Tariff schedule'!J$16,'Prop. prices'!$I$5:$AB$5,0))</f>
        <v>0</v>
      </c>
      <c r="K218" s="232">
        <f>INDEX('Prop. prices'!$I$86:$AB$160,MATCH('Tariff schedule'!$C218,'Prop. prices'!$C$86:$C$160,0),MATCH('Tariff schedule'!K$16,'Prop. prices'!$I$5:$AB$5,0))</f>
        <v>0</v>
      </c>
      <c r="L218" s="232">
        <f>INDEX('Prop. prices'!$I$86:$AB$160,MATCH('Tariff schedule'!$C218,'Prop. prices'!$C$86:$C$160,0),MATCH('Tariff schedule'!L$16,'Prop. prices'!$I$5:$AB$5,0))</f>
        <v>0</v>
      </c>
      <c r="M218" s="232">
        <f>INDEX('Prop. prices'!$I$86:$AB$160,MATCH('Tariff schedule'!$C218,'Prop. prices'!$C$86:$C$160,0),MATCH('Tariff schedule'!M$16,'Prop. prices'!$I$5:$AB$5,0))</f>
        <v>0</v>
      </c>
      <c r="N218" s="232">
        <f>INDEX('Prop. prices'!$I$86:$AB$160,MATCH('Tariff schedule'!$C218,'Prop. prices'!$C$86:$C$160,0),MATCH('Tariff schedule'!N$16,'Prop. prices'!$I$5:$AB$5,0))</f>
        <v>0</v>
      </c>
      <c r="O218" s="232">
        <f>INDEX('Prop. prices'!$I$86:$AB$160,MATCH('Tariff schedule'!$C218,'Prop. prices'!$C$86:$C$160,0),MATCH('Tariff schedule'!O$16,'Prop. prices'!$I$5:$AB$5,0))</f>
        <v>0</v>
      </c>
      <c r="P218" s="232">
        <f>INDEX('Prop. prices'!$I$86:$AB$160,MATCH('Tariff schedule'!$C218,'Prop. prices'!$C$86:$C$160,0),MATCH('Tariff schedule'!P$16,'Prop. prices'!$I$5:$AB$5,0))</f>
        <v>0</v>
      </c>
      <c r="Q218" s="232">
        <f>INDEX('Prop. prices'!$I$86:$AB$160,MATCH('Tariff schedule'!$C218,'Prop. prices'!$C$86:$C$160,0),MATCH('Tariff schedule'!Q$16,'Prop. prices'!$I$5:$AB$5,0))</f>
        <v>0</v>
      </c>
      <c r="R218" s="232">
        <f>INDEX('Prop. prices'!$I$86:$AB$160,MATCH('Tariff schedule'!$C218,'Prop. prices'!$C$86:$C$160,0),MATCH('Tariff schedule'!R$16,'Prop. prices'!$I$5:$AB$5,0))</f>
        <v>0</v>
      </c>
      <c r="S218" s="232">
        <f>INDEX('Prop. prices'!$I$86:$AB$160,MATCH('Tariff schedule'!$C218,'Prop. prices'!$C$86:$C$160,0),MATCH('Tariff schedule'!S$16,'Prop. prices'!$I$5:$AB$5,0))</f>
        <v>0</v>
      </c>
      <c r="T218" s="232">
        <f>INDEX('Prop. prices'!$I$86:$AB$160,MATCH('Tariff schedule'!$C218,'Prop. prices'!$C$86:$C$160,0),MATCH('Tariff schedule'!T$16,'Prop. prices'!$I$5:$AB$5,0))</f>
        <v>0</v>
      </c>
      <c r="U218" s="232">
        <f>INDEX('Prop. prices'!$I$86:$AB$160,MATCH('Tariff schedule'!$C218,'Prop. prices'!$C$86:$C$160,0),MATCH('Tariff schedule'!U$16,'Prop. prices'!$I$5:$AB$5,0))</f>
        <v>0</v>
      </c>
      <c r="V218" s="232">
        <f>INDEX('Prop. prices'!$I$86:$AB$160,MATCH('Tariff schedule'!$C218,'Prop. prices'!$C$86:$C$160,0),MATCH('Tariff schedule'!V$16,'Prop. prices'!$I$5:$AB$5,0))</f>
        <v>0</v>
      </c>
      <c r="W218" s="232">
        <f>INDEX('Prop. prices'!$I$86:$AB$160,MATCH('Tariff schedule'!$C218,'Prop. prices'!$C$86:$C$160,0),MATCH('Tariff schedule'!W$16,'Prop. prices'!$I$5:$AB$5,0))</f>
        <v>0</v>
      </c>
      <c r="X218" s="232">
        <f>INDEX('Prop. prices'!$I$86:$AB$160,MATCH('Tariff schedule'!$C218,'Prop. prices'!$C$86:$C$160,0),MATCH('Tariff schedule'!X$16,'Prop. prices'!$I$5:$AB$5,0))</f>
        <v>0</v>
      </c>
      <c r="Y218" s="232">
        <f>INDEX('Prop. prices'!$I$86:$AB$160,MATCH('Tariff schedule'!$C218,'Prop. prices'!$C$86:$C$160,0),MATCH('Tariff schedule'!Y$16,'Prop. prices'!$I$5:$AB$5,0))</f>
        <v>0</v>
      </c>
      <c r="Z218" s="232">
        <f>INDEX('Prop. prices'!$I$86:$AB$160,MATCH('Tariff schedule'!$C218,'Prop. prices'!$C$86:$C$160,0),MATCH('Tariff schedule'!Z$16,'Prop. prices'!$I$5:$AB$5,0))</f>
        <v>0</v>
      </c>
      <c r="AA218" s="232">
        <f>INDEX('Prop. prices'!$I$86:$AB$160,MATCH('Tariff schedule'!$C218,'Prop. prices'!$C$86:$C$160,0),MATCH('Tariff schedule'!AA$16,'Prop. prices'!$I$5:$AB$5,0))</f>
        <v>0</v>
      </c>
      <c r="AB218" s="232">
        <f>INDEX('Prop. prices'!$I$86:$AB$160,MATCH('Tariff schedule'!$C218,'Prop. prices'!$C$86:$C$160,0),MATCH('Tariff schedule'!AB$16,'Prop. prices'!$I$5:$AB$5,0))</f>
        <v>0</v>
      </c>
      <c r="AC218" s="70"/>
      <c r="AD218" s="19"/>
      <c r="AE218" s="19"/>
      <c r="AF218" s="19"/>
      <c r="AG218" s="19"/>
    </row>
    <row r="219" spans="1:33" hidden="1" outlineLevel="3" x14ac:dyDescent="0.2">
      <c r="A219" s="19"/>
      <c r="B219" s="19"/>
      <c r="C219" s="506">
        <f t="shared" si="87"/>
        <v>0</v>
      </c>
      <c r="D219" s="505">
        <f t="shared" si="87"/>
        <v>0</v>
      </c>
      <c r="E219" s="505">
        <f t="shared" si="87"/>
        <v>0</v>
      </c>
      <c r="F219" s="505">
        <f t="shared" si="87"/>
        <v>0</v>
      </c>
      <c r="G219" s="505">
        <f t="shared" si="87"/>
        <v>0</v>
      </c>
      <c r="H219" s="58"/>
      <c r="I219" s="232">
        <f>INDEX('Prop. prices'!$I$86:$AB$160,MATCH('Tariff schedule'!$C219,'Prop. prices'!$C$86:$C$160,0),MATCH('Tariff schedule'!I$16,'Prop. prices'!$I$5:$AB$5,0))</f>
        <v>0</v>
      </c>
      <c r="J219" s="232">
        <f>INDEX('Prop. prices'!$I$86:$AB$160,MATCH('Tariff schedule'!$C219,'Prop. prices'!$C$86:$C$160,0),MATCH('Tariff schedule'!J$16,'Prop. prices'!$I$5:$AB$5,0))</f>
        <v>0</v>
      </c>
      <c r="K219" s="232">
        <f>INDEX('Prop. prices'!$I$86:$AB$160,MATCH('Tariff schedule'!$C219,'Prop. prices'!$C$86:$C$160,0),MATCH('Tariff schedule'!K$16,'Prop. prices'!$I$5:$AB$5,0))</f>
        <v>0</v>
      </c>
      <c r="L219" s="232">
        <f>INDEX('Prop. prices'!$I$86:$AB$160,MATCH('Tariff schedule'!$C219,'Prop. prices'!$C$86:$C$160,0),MATCH('Tariff schedule'!L$16,'Prop. prices'!$I$5:$AB$5,0))</f>
        <v>0</v>
      </c>
      <c r="M219" s="232">
        <f>INDEX('Prop. prices'!$I$86:$AB$160,MATCH('Tariff schedule'!$C219,'Prop. prices'!$C$86:$C$160,0),MATCH('Tariff schedule'!M$16,'Prop. prices'!$I$5:$AB$5,0))</f>
        <v>0</v>
      </c>
      <c r="N219" s="232">
        <f>INDEX('Prop. prices'!$I$86:$AB$160,MATCH('Tariff schedule'!$C219,'Prop. prices'!$C$86:$C$160,0),MATCH('Tariff schedule'!N$16,'Prop. prices'!$I$5:$AB$5,0))</f>
        <v>0</v>
      </c>
      <c r="O219" s="232">
        <f>INDEX('Prop. prices'!$I$86:$AB$160,MATCH('Tariff schedule'!$C219,'Prop. prices'!$C$86:$C$160,0),MATCH('Tariff schedule'!O$16,'Prop. prices'!$I$5:$AB$5,0))</f>
        <v>0</v>
      </c>
      <c r="P219" s="232">
        <f>INDEX('Prop. prices'!$I$86:$AB$160,MATCH('Tariff schedule'!$C219,'Prop. prices'!$C$86:$C$160,0),MATCH('Tariff schedule'!P$16,'Prop. prices'!$I$5:$AB$5,0))</f>
        <v>0</v>
      </c>
      <c r="Q219" s="232">
        <f>INDEX('Prop. prices'!$I$86:$AB$160,MATCH('Tariff schedule'!$C219,'Prop. prices'!$C$86:$C$160,0),MATCH('Tariff schedule'!Q$16,'Prop. prices'!$I$5:$AB$5,0))</f>
        <v>0</v>
      </c>
      <c r="R219" s="232">
        <f>INDEX('Prop. prices'!$I$86:$AB$160,MATCH('Tariff schedule'!$C219,'Prop. prices'!$C$86:$C$160,0),MATCH('Tariff schedule'!R$16,'Prop. prices'!$I$5:$AB$5,0))</f>
        <v>0</v>
      </c>
      <c r="S219" s="232">
        <f>INDEX('Prop. prices'!$I$86:$AB$160,MATCH('Tariff schedule'!$C219,'Prop. prices'!$C$86:$C$160,0),MATCH('Tariff schedule'!S$16,'Prop. prices'!$I$5:$AB$5,0))</f>
        <v>0</v>
      </c>
      <c r="T219" s="232">
        <f>INDEX('Prop. prices'!$I$86:$AB$160,MATCH('Tariff schedule'!$C219,'Prop. prices'!$C$86:$C$160,0),MATCH('Tariff schedule'!T$16,'Prop. prices'!$I$5:$AB$5,0))</f>
        <v>0</v>
      </c>
      <c r="U219" s="232">
        <f>INDEX('Prop. prices'!$I$86:$AB$160,MATCH('Tariff schedule'!$C219,'Prop. prices'!$C$86:$C$160,0),MATCH('Tariff schedule'!U$16,'Prop. prices'!$I$5:$AB$5,0))</f>
        <v>0</v>
      </c>
      <c r="V219" s="232">
        <f>INDEX('Prop. prices'!$I$86:$AB$160,MATCH('Tariff schedule'!$C219,'Prop. prices'!$C$86:$C$160,0),MATCH('Tariff schedule'!V$16,'Prop. prices'!$I$5:$AB$5,0))</f>
        <v>0</v>
      </c>
      <c r="W219" s="232">
        <f>INDEX('Prop. prices'!$I$86:$AB$160,MATCH('Tariff schedule'!$C219,'Prop. prices'!$C$86:$C$160,0),MATCH('Tariff schedule'!W$16,'Prop. prices'!$I$5:$AB$5,0))</f>
        <v>0</v>
      </c>
      <c r="X219" s="232">
        <f>INDEX('Prop. prices'!$I$86:$AB$160,MATCH('Tariff schedule'!$C219,'Prop. prices'!$C$86:$C$160,0),MATCH('Tariff schedule'!X$16,'Prop. prices'!$I$5:$AB$5,0))</f>
        <v>0</v>
      </c>
      <c r="Y219" s="232">
        <f>INDEX('Prop. prices'!$I$86:$AB$160,MATCH('Tariff schedule'!$C219,'Prop. prices'!$C$86:$C$160,0),MATCH('Tariff schedule'!Y$16,'Prop. prices'!$I$5:$AB$5,0))</f>
        <v>0</v>
      </c>
      <c r="Z219" s="232">
        <f>INDEX('Prop. prices'!$I$86:$AB$160,MATCH('Tariff schedule'!$C219,'Prop. prices'!$C$86:$C$160,0),MATCH('Tariff schedule'!Z$16,'Prop. prices'!$I$5:$AB$5,0))</f>
        <v>0</v>
      </c>
      <c r="AA219" s="232">
        <f>INDEX('Prop. prices'!$I$86:$AB$160,MATCH('Tariff schedule'!$C219,'Prop. prices'!$C$86:$C$160,0),MATCH('Tariff schedule'!AA$16,'Prop. prices'!$I$5:$AB$5,0))</f>
        <v>0</v>
      </c>
      <c r="AB219" s="232">
        <f>INDEX('Prop. prices'!$I$86:$AB$160,MATCH('Tariff schedule'!$C219,'Prop. prices'!$C$86:$C$160,0),MATCH('Tariff schedule'!AB$16,'Prop. prices'!$I$5:$AB$5,0))</f>
        <v>0</v>
      </c>
      <c r="AC219" s="70"/>
      <c r="AD219" s="19"/>
      <c r="AE219" s="19"/>
      <c r="AF219" s="19"/>
      <c r="AG219" s="19"/>
    </row>
    <row r="220" spans="1:33" hidden="1" outlineLevel="3" x14ac:dyDescent="0.2">
      <c r="A220" s="19"/>
      <c r="B220" s="19"/>
      <c r="C220" s="506">
        <f t="shared" si="87"/>
        <v>0</v>
      </c>
      <c r="D220" s="505">
        <f t="shared" si="87"/>
        <v>0</v>
      </c>
      <c r="E220" s="505">
        <f t="shared" si="87"/>
        <v>0</v>
      </c>
      <c r="F220" s="505">
        <f t="shared" si="87"/>
        <v>0</v>
      </c>
      <c r="G220" s="505">
        <f t="shared" si="87"/>
        <v>0</v>
      </c>
      <c r="H220" s="58"/>
      <c r="I220" s="232">
        <f>INDEX('Prop. prices'!$I$86:$AB$160,MATCH('Tariff schedule'!$C220,'Prop. prices'!$C$86:$C$160,0),MATCH('Tariff schedule'!I$16,'Prop. prices'!$I$5:$AB$5,0))</f>
        <v>0</v>
      </c>
      <c r="J220" s="232">
        <f>INDEX('Prop. prices'!$I$86:$AB$160,MATCH('Tariff schedule'!$C220,'Prop. prices'!$C$86:$C$160,0),MATCH('Tariff schedule'!J$16,'Prop. prices'!$I$5:$AB$5,0))</f>
        <v>0</v>
      </c>
      <c r="K220" s="232">
        <f>INDEX('Prop. prices'!$I$86:$AB$160,MATCH('Tariff schedule'!$C220,'Prop. prices'!$C$86:$C$160,0),MATCH('Tariff schedule'!K$16,'Prop. prices'!$I$5:$AB$5,0))</f>
        <v>0</v>
      </c>
      <c r="L220" s="232">
        <f>INDEX('Prop. prices'!$I$86:$AB$160,MATCH('Tariff schedule'!$C220,'Prop. prices'!$C$86:$C$160,0),MATCH('Tariff schedule'!L$16,'Prop. prices'!$I$5:$AB$5,0))</f>
        <v>0</v>
      </c>
      <c r="M220" s="232">
        <f>INDEX('Prop. prices'!$I$86:$AB$160,MATCH('Tariff schedule'!$C220,'Prop. prices'!$C$86:$C$160,0),MATCH('Tariff schedule'!M$16,'Prop. prices'!$I$5:$AB$5,0))</f>
        <v>0</v>
      </c>
      <c r="N220" s="232">
        <f>INDEX('Prop. prices'!$I$86:$AB$160,MATCH('Tariff schedule'!$C220,'Prop. prices'!$C$86:$C$160,0),MATCH('Tariff schedule'!N$16,'Prop. prices'!$I$5:$AB$5,0))</f>
        <v>0</v>
      </c>
      <c r="O220" s="232">
        <f>INDEX('Prop. prices'!$I$86:$AB$160,MATCH('Tariff schedule'!$C220,'Prop. prices'!$C$86:$C$160,0),MATCH('Tariff schedule'!O$16,'Prop. prices'!$I$5:$AB$5,0))</f>
        <v>0</v>
      </c>
      <c r="P220" s="232">
        <f>INDEX('Prop. prices'!$I$86:$AB$160,MATCH('Tariff schedule'!$C220,'Prop. prices'!$C$86:$C$160,0),MATCH('Tariff schedule'!P$16,'Prop. prices'!$I$5:$AB$5,0))</f>
        <v>0</v>
      </c>
      <c r="Q220" s="232">
        <f>INDEX('Prop. prices'!$I$86:$AB$160,MATCH('Tariff schedule'!$C220,'Prop. prices'!$C$86:$C$160,0),MATCH('Tariff schedule'!Q$16,'Prop. prices'!$I$5:$AB$5,0))</f>
        <v>0</v>
      </c>
      <c r="R220" s="232">
        <f>INDEX('Prop. prices'!$I$86:$AB$160,MATCH('Tariff schedule'!$C220,'Prop. prices'!$C$86:$C$160,0),MATCH('Tariff schedule'!R$16,'Prop. prices'!$I$5:$AB$5,0))</f>
        <v>0</v>
      </c>
      <c r="S220" s="232">
        <f>INDEX('Prop. prices'!$I$86:$AB$160,MATCH('Tariff schedule'!$C220,'Prop. prices'!$C$86:$C$160,0),MATCH('Tariff schedule'!S$16,'Prop. prices'!$I$5:$AB$5,0))</f>
        <v>0</v>
      </c>
      <c r="T220" s="232">
        <f>INDEX('Prop. prices'!$I$86:$AB$160,MATCH('Tariff schedule'!$C220,'Prop. prices'!$C$86:$C$160,0),MATCH('Tariff schedule'!T$16,'Prop. prices'!$I$5:$AB$5,0))</f>
        <v>0</v>
      </c>
      <c r="U220" s="232">
        <f>INDEX('Prop. prices'!$I$86:$AB$160,MATCH('Tariff schedule'!$C220,'Prop. prices'!$C$86:$C$160,0),MATCH('Tariff schedule'!U$16,'Prop. prices'!$I$5:$AB$5,0))</f>
        <v>0</v>
      </c>
      <c r="V220" s="232">
        <f>INDEX('Prop. prices'!$I$86:$AB$160,MATCH('Tariff schedule'!$C220,'Prop. prices'!$C$86:$C$160,0),MATCH('Tariff schedule'!V$16,'Prop. prices'!$I$5:$AB$5,0))</f>
        <v>0</v>
      </c>
      <c r="W220" s="232">
        <f>INDEX('Prop. prices'!$I$86:$AB$160,MATCH('Tariff schedule'!$C220,'Prop. prices'!$C$86:$C$160,0),MATCH('Tariff schedule'!W$16,'Prop. prices'!$I$5:$AB$5,0))</f>
        <v>0</v>
      </c>
      <c r="X220" s="232">
        <f>INDEX('Prop. prices'!$I$86:$AB$160,MATCH('Tariff schedule'!$C220,'Prop. prices'!$C$86:$C$160,0),MATCH('Tariff schedule'!X$16,'Prop. prices'!$I$5:$AB$5,0))</f>
        <v>0</v>
      </c>
      <c r="Y220" s="232">
        <f>INDEX('Prop. prices'!$I$86:$AB$160,MATCH('Tariff schedule'!$C220,'Prop. prices'!$C$86:$C$160,0),MATCH('Tariff schedule'!Y$16,'Prop. prices'!$I$5:$AB$5,0))</f>
        <v>0</v>
      </c>
      <c r="Z220" s="232">
        <f>INDEX('Prop. prices'!$I$86:$AB$160,MATCH('Tariff schedule'!$C220,'Prop. prices'!$C$86:$C$160,0),MATCH('Tariff schedule'!Z$16,'Prop. prices'!$I$5:$AB$5,0))</f>
        <v>0</v>
      </c>
      <c r="AA220" s="232">
        <f>INDEX('Prop. prices'!$I$86:$AB$160,MATCH('Tariff schedule'!$C220,'Prop. prices'!$C$86:$C$160,0),MATCH('Tariff schedule'!AA$16,'Prop. prices'!$I$5:$AB$5,0))</f>
        <v>0</v>
      </c>
      <c r="AB220" s="232">
        <f>INDEX('Prop. prices'!$I$86:$AB$160,MATCH('Tariff schedule'!$C220,'Prop. prices'!$C$86:$C$160,0),MATCH('Tariff schedule'!AB$16,'Prop. prices'!$I$5:$AB$5,0))</f>
        <v>0</v>
      </c>
      <c r="AC220" s="70"/>
      <c r="AD220" s="19"/>
      <c r="AE220" s="19"/>
      <c r="AF220" s="19"/>
      <c r="AG220" s="19"/>
    </row>
    <row r="221" spans="1:33" hidden="1" outlineLevel="3" x14ac:dyDescent="0.2">
      <c r="A221" s="19"/>
      <c r="B221" s="19"/>
      <c r="C221" s="506">
        <f t="shared" si="87"/>
        <v>0</v>
      </c>
      <c r="D221" s="505">
        <f t="shared" si="87"/>
        <v>0</v>
      </c>
      <c r="E221" s="505">
        <f t="shared" si="87"/>
        <v>0</v>
      </c>
      <c r="F221" s="505">
        <f t="shared" si="87"/>
        <v>0</v>
      </c>
      <c r="G221" s="505">
        <f t="shared" si="87"/>
        <v>0</v>
      </c>
      <c r="H221" s="58"/>
      <c r="I221" s="232">
        <f>INDEX('Prop. prices'!$I$86:$AB$160,MATCH('Tariff schedule'!$C221,'Prop. prices'!$C$86:$C$160,0),MATCH('Tariff schedule'!I$16,'Prop. prices'!$I$5:$AB$5,0))</f>
        <v>0</v>
      </c>
      <c r="J221" s="232">
        <f>INDEX('Prop. prices'!$I$86:$AB$160,MATCH('Tariff schedule'!$C221,'Prop. prices'!$C$86:$C$160,0),MATCH('Tariff schedule'!J$16,'Prop. prices'!$I$5:$AB$5,0))</f>
        <v>0</v>
      </c>
      <c r="K221" s="232">
        <f>INDEX('Prop. prices'!$I$86:$AB$160,MATCH('Tariff schedule'!$C221,'Prop. prices'!$C$86:$C$160,0),MATCH('Tariff schedule'!K$16,'Prop. prices'!$I$5:$AB$5,0))</f>
        <v>0</v>
      </c>
      <c r="L221" s="232">
        <f>INDEX('Prop. prices'!$I$86:$AB$160,MATCH('Tariff schedule'!$C221,'Prop. prices'!$C$86:$C$160,0),MATCH('Tariff schedule'!L$16,'Prop. prices'!$I$5:$AB$5,0))</f>
        <v>0</v>
      </c>
      <c r="M221" s="232">
        <f>INDEX('Prop. prices'!$I$86:$AB$160,MATCH('Tariff schedule'!$C221,'Prop. prices'!$C$86:$C$160,0),MATCH('Tariff schedule'!M$16,'Prop. prices'!$I$5:$AB$5,0))</f>
        <v>0</v>
      </c>
      <c r="N221" s="232">
        <f>INDEX('Prop. prices'!$I$86:$AB$160,MATCH('Tariff schedule'!$C221,'Prop. prices'!$C$86:$C$160,0),MATCH('Tariff schedule'!N$16,'Prop. prices'!$I$5:$AB$5,0))</f>
        <v>0</v>
      </c>
      <c r="O221" s="232">
        <f>INDEX('Prop. prices'!$I$86:$AB$160,MATCH('Tariff schedule'!$C221,'Prop. prices'!$C$86:$C$160,0),MATCH('Tariff schedule'!O$16,'Prop. prices'!$I$5:$AB$5,0))</f>
        <v>0</v>
      </c>
      <c r="P221" s="232">
        <f>INDEX('Prop. prices'!$I$86:$AB$160,MATCH('Tariff schedule'!$C221,'Prop. prices'!$C$86:$C$160,0),MATCH('Tariff schedule'!P$16,'Prop. prices'!$I$5:$AB$5,0))</f>
        <v>0</v>
      </c>
      <c r="Q221" s="232">
        <f>INDEX('Prop. prices'!$I$86:$AB$160,MATCH('Tariff schedule'!$C221,'Prop. prices'!$C$86:$C$160,0),MATCH('Tariff schedule'!Q$16,'Prop. prices'!$I$5:$AB$5,0))</f>
        <v>0</v>
      </c>
      <c r="R221" s="232">
        <f>INDEX('Prop. prices'!$I$86:$AB$160,MATCH('Tariff schedule'!$C221,'Prop. prices'!$C$86:$C$160,0),MATCH('Tariff schedule'!R$16,'Prop. prices'!$I$5:$AB$5,0))</f>
        <v>0</v>
      </c>
      <c r="S221" s="232">
        <f>INDEX('Prop. prices'!$I$86:$AB$160,MATCH('Tariff schedule'!$C221,'Prop. prices'!$C$86:$C$160,0),MATCH('Tariff schedule'!S$16,'Prop. prices'!$I$5:$AB$5,0))</f>
        <v>0</v>
      </c>
      <c r="T221" s="232">
        <f>INDEX('Prop. prices'!$I$86:$AB$160,MATCH('Tariff schedule'!$C221,'Prop. prices'!$C$86:$C$160,0),MATCH('Tariff schedule'!T$16,'Prop. prices'!$I$5:$AB$5,0))</f>
        <v>0</v>
      </c>
      <c r="U221" s="232">
        <f>INDEX('Prop. prices'!$I$86:$AB$160,MATCH('Tariff schedule'!$C221,'Prop. prices'!$C$86:$C$160,0),MATCH('Tariff schedule'!U$16,'Prop. prices'!$I$5:$AB$5,0))</f>
        <v>0</v>
      </c>
      <c r="V221" s="232">
        <f>INDEX('Prop. prices'!$I$86:$AB$160,MATCH('Tariff schedule'!$C221,'Prop. prices'!$C$86:$C$160,0),MATCH('Tariff schedule'!V$16,'Prop. prices'!$I$5:$AB$5,0))</f>
        <v>0</v>
      </c>
      <c r="W221" s="232">
        <f>INDEX('Prop. prices'!$I$86:$AB$160,MATCH('Tariff schedule'!$C221,'Prop. prices'!$C$86:$C$160,0),MATCH('Tariff schedule'!W$16,'Prop. prices'!$I$5:$AB$5,0))</f>
        <v>0</v>
      </c>
      <c r="X221" s="232">
        <f>INDEX('Prop. prices'!$I$86:$AB$160,MATCH('Tariff schedule'!$C221,'Prop. prices'!$C$86:$C$160,0),MATCH('Tariff schedule'!X$16,'Prop. prices'!$I$5:$AB$5,0))</f>
        <v>0</v>
      </c>
      <c r="Y221" s="232">
        <f>INDEX('Prop. prices'!$I$86:$AB$160,MATCH('Tariff schedule'!$C221,'Prop. prices'!$C$86:$C$160,0),MATCH('Tariff schedule'!Y$16,'Prop. prices'!$I$5:$AB$5,0))</f>
        <v>0</v>
      </c>
      <c r="Z221" s="232">
        <f>INDEX('Prop. prices'!$I$86:$AB$160,MATCH('Tariff schedule'!$C221,'Prop. prices'!$C$86:$C$160,0),MATCH('Tariff schedule'!Z$16,'Prop. prices'!$I$5:$AB$5,0))</f>
        <v>0</v>
      </c>
      <c r="AA221" s="232">
        <f>INDEX('Prop. prices'!$I$86:$AB$160,MATCH('Tariff schedule'!$C221,'Prop. prices'!$C$86:$C$160,0),MATCH('Tariff schedule'!AA$16,'Prop. prices'!$I$5:$AB$5,0))</f>
        <v>0</v>
      </c>
      <c r="AB221" s="232">
        <f>INDEX('Prop. prices'!$I$86:$AB$160,MATCH('Tariff schedule'!$C221,'Prop. prices'!$C$86:$C$160,0),MATCH('Tariff schedule'!AB$16,'Prop. prices'!$I$5:$AB$5,0))</f>
        <v>0</v>
      </c>
      <c r="AC221" s="70"/>
      <c r="AD221" s="19"/>
      <c r="AE221" s="19"/>
      <c r="AF221" s="19"/>
      <c r="AG221" s="19"/>
    </row>
    <row r="222" spans="1:33" hidden="1" outlineLevel="3" x14ac:dyDescent="0.2">
      <c r="A222" s="19"/>
      <c r="B222" s="19"/>
      <c r="C222" s="506">
        <f t="shared" si="87"/>
        <v>0</v>
      </c>
      <c r="D222" s="505">
        <f t="shared" si="87"/>
        <v>0</v>
      </c>
      <c r="E222" s="505">
        <f t="shared" si="87"/>
        <v>0</v>
      </c>
      <c r="F222" s="505">
        <f t="shared" si="87"/>
        <v>0</v>
      </c>
      <c r="G222" s="505">
        <f t="shared" si="87"/>
        <v>0</v>
      </c>
      <c r="H222" s="58"/>
      <c r="I222" s="232">
        <f>INDEX('Prop. prices'!$I$86:$AB$160,MATCH('Tariff schedule'!$C222,'Prop. prices'!$C$86:$C$160,0),MATCH('Tariff schedule'!I$16,'Prop. prices'!$I$5:$AB$5,0))</f>
        <v>0</v>
      </c>
      <c r="J222" s="232">
        <f>INDEX('Prop. prices'!$I$86:$AB$160,MATCH('Tariff schedule'!$C222,'Prop. prices'!$C$86:$C$160,0),MATCH('Tariff schedule'!J$16,'Prop. prices'!$I$5:$AB$5,0))</f>
        <v>0</v>
      </c>
      <c r="K222" s="232">
        <f>INDEX('Prop. prices'!$I$86:$AB$160,MATCH('Tariff schedule'!$C222,'Prop. prices'!$C$86:$C$160,0),MATCH('Tariff schedule'!K$16,'Prop. prices'!$I$5:$AB$5,0))</f>
        <v>0</v>
      </c>
      <c r="L222" s="232">
        <f>INDEX('Prop. prices'!$I$86:$AB$160,MATCH('Tariff schedule'!$C222,'Prop. prices'!$C$86:$C$160,0),MATCH('Tariff schedule'!L$16,'Prop. prices'!$I$5:$AB$5,0))</f>
        <v>0</v>
      </c>
      <c r="M222" s="232">
        <f>INDEX('Prop. prices'!$I$86:$AB$160,MATCH('Tariff schedule'!$C222,'Prop. prices'!$C$86:$C$160,0),MATCH('Tariff schedule'!M$16,'Prop. prices'!$I$5:$AB$5,0))</f>
        <v>0</v>
      </c>
      <c r="N222" s="232">
        <f>INDEX('Prop. prices'!$I$86:$AB$160,MATCH('Tariff schedule'!$C222,'Prop. prices'!$C$86:$C$160,0),MATCH('Tariff schedule'!N$16,'Prop. prices'!$I$5:$AB$5,0))</f>
        <v>0</v>
      </c>
      <c r="O222" s="232">
        <f>INDEX('Prop. prices'!$I$86:$AB$160,MATCH('Tariff schedule'!$C222,'Prop. prices'!$C$86:$C$160,0),MATCH('Tariff schedule'!O$16,'Prop. prices'!$I$5:$AB$5,0))</f>
        <v>0</v>
      </c>
      <c r="P222" s="232">
        <f>INDEX('Prop. prices'!$I$86:$AB$160,MATCH('Tariff schedule'!$C222,'Prop. prices'!$C$86:$C$160,0),MATCH('Tariff schedule'!P$16,'Prop. prices'!$I$5:$AB$5,0))</f>
        <v>0</v>
      </c>
      <c r="Q222" s="232">
        <f>INDEX('Prop. prices'!$I$86:$AB$160,MATCH('Tariff schedule'!$C222,'Prop. prices'!$C$86:$C$160,0),MATCH('Tariff schedule'!Q$16,'Prop. prices'!$I$5:$AB$5,0))</f>
        <v>0</v>
      </c>
      <c r="R222" s="232">
        <f>INDEX('Prop. prices'!$I$86:$AB$160,MATCH('Tariff schedule'!$C222,'Prop. prices'!$C$86:$C$160,0),MATCH('Tariff schedule'!R$16,'Prop. prices'!$I$5:$AB$5,0))</f>
        <v>0</v>
      </c>
      <c r="S222" s="232">
        <f>INDEX('Prop. prices'!$I$86:$AB$160,MATCH('Tariff schedule'!$C222,'Prop. prices'!$C$86:$C$160,0),MATCH('Tariff schedule'!S$16,'Prop. prices'!$I$5:$AB$5,0))</f>
        <v>0</v>
      </c>
      <c r="T222" s="232">
        <f>INDEX('Prop. prices'!$I$86:$AB$160,MATCH('Tariff schedule'!$C222,'Prop. prices'!$C$86:$C$160,0),MATCH('Tariff schedule'!T$16,'Prop. prices'!$I$5:$AB$5,0))</f>
        <v>0</v>
      </c>
      <c r="U222" s="232">
        <f>INDEX('Prop. prices'!$I$86:$AB$160,MATCH('Tariff schedule'!$C222,'Prop. prices'!$C$86:$C$160,0),MATCH('Tariff schedule'!U$16,'Prop. prices'!$I$5:$AB$5,0))</f>
        <v>0</v>
      </c>
      <c r="V222" s="232">
        <f>INDEX('Prop. prices'!$I$86:$AB$160,MATCH('Tariff schedule'!$C222,'Prop. prices'!$C$86:$C$160,0),MATCH('Tariff schedule'!V$16,'Prop. prices'!$I$5:$AB$5,0))</f>
        <v>0</v>
      </c>
      <c r="W222" s="232">
        <f>INDEX('Prop. prices'!$I$86:$AB$160,MATCH('Tariff schedule'!$C222,'Prop. prices'!$C$86:$C$160,0),MATCH('Tariff schedule'!W$16,'Prop. prices'!$I$5:$AB$5,0))</f>
        <v>0</v>
      </c>
      <c r="X222" s="232">
        <f>INDEX('Prop. prices'!$I$86:$AB$160,MATCH('Tariff schedule'!$C222,'Prop. prices'!$C$86:$C$160,0),MATCH('Tariff schedule'!X$16,'Prop. prices'!$I$5:$AB$5,0))</f>
        <v>0</v>
      </c>
      <c r="Y222" s="232">
        <f>INDEX('Prop. prices'!$I$86:$AB$160,MATCH('Tariff schedule'!$C222,'Prop. prices'!$C$86:$C$160,0),MATCH('Tariff schedule'!Y$16,'Prop. prices'!$I$5:$AB$5,0))</f>
        <v>0</v>
      </c>
      <c r="Z222" s="232">
        <f>INDEX('Prop. prices'!$I$86:$AB$160,MATCH('Tariff schedule'!$C222,'Prop. prices'!$C$86:$C$160,0),MATCH('Tariff schedule'!Z$16,'Prop. prices'!$I$5:$AB$5,0))</f>
        <v>0</v>
      </c>
      <c r="AA222" s="232">
        <f>INDEX('Prop. prices'!$I$86:$AB$160,MATCH('Tariff schedule'!$C222,'Prop. prices'!$C$86:$C$160,0),MATCH('Tariff schedule'!AA$16,'Prop. prices'!$I$5:$AB$5,0))</f>
        <v>0</v>
      </c>
      <c r="AB222" s="232">
        <f>INDEX('Prop. prices'!$I$86:$AB$160,MATCH('Tariff schedule'!$C222,'Prop. prices'!$C$86:$C$160,0),MATCH('Tariff schedule'!AB$16,'Prop. prices'!$I$5:$AB$5,0))</f>
        <v>0</v>
      </c>
      <c r="AC222" s="70"/>
      <c r="AD222" s="19"/>
      <c r="AE222" s="19"/>
      <c r="AF222" s="19"/>
      <c r="AG222" s="19"/>
    </row>
    <row r="223" spans="1:33" hidden="1" outlineLevel="3" x14ac:dyDescent="0.2">
      <c r="A223" s="19"/>
      <c r="B223" s="19"/>
      <c r="C223" s="506">
        <f t="shared" si="87"/>
        <v>0</v>
      </c>
      <c r="D223" s="505">
        <f t="shared" si="87"/>
        <v>0</v>
      </c>
      <c r="E223" s="505">
        <f t="shared" si="87"/>
        <v>0</v>
      </c>
      <c r="F223" s="505">
        <f t="shared" si="87"/>
        <v>0</v>
      </c>
      <c r="G223" s="505">
        <f t="shared" si="87"/>
        <v>0</v>
      </c>
      <c r="H223" s="58"/>
      <c r="I223" s="232">
        <f>INDEX('Prop. prices'!$I$86:$AB$160,MATCH('Tariff schedule'!$C223,'Prop. prices'!$C$86:$C$160,0),MATCH('Tariff schedule'!I$16,'Prop. prices'!$I$5:$AB$5,0))</f>
        <v>0</v>
      </c>
      <c r="J223" s="232">
        <f>INDEX('Prop. prices'!$I$86:$AB$160,MATCH('Tariff schedule'!$C223,'Prop. prices'!$C$86:$C$160,0),MATCH('Tariff schedule'!J$16,'Prop. prices'!$I$5:$AB$5,0))</f>
        <v>0</v>
      </c>
      <c r="K223" s="232">
        <f>INDEX('Prop. prices'!$I$86:$AB$160,MATCH('Tariff schedule'!$C223,'Prop. prices'!$C$86:$C$160,0),MATCH('Tariff schedule'!K$16,'Prop. prices'!$I$5:$AB$5,0))</f>
        <v>0</v>
      </c>
      <c r="L223" s="232">
        <f>INDEX('Prop. prices'!$I$86:$AB$160,MATCH('Tariff schedule'!$C223,'Prop. prices'!$C$86:$C$160,0),MATCH('Tariff schedule'!L$16,'Prop. prices'!$I$5:$AB$5,0))</f>
        <v>0</v>
      </c>
      <c r="M223" s="232">
        <f>INDEX('Prop. prices'!$I$86:$AB$160,MATCH('Tariff schedule'!$C223,'Prop. prices'!$C$86:$C$160,0),MATCH('Tariff schedule'!M$16,'Prop. prices'!$I$5:$AB$5,0))</f>
        <v>0</v>
      </c>
      <c r="N223" s="232">
        <f>INDEX('Prop. prices'!$I$86:$AB$160,MATCH('Tariff schedule'!$C223,'Prop. prices'!$C$86:$C$160,0),MATCH('Tariff schedule'!N$16,'Prop. prices'!$I$5:$AB$5,0))</f>
        <v>0</v>
      </c>
      <c r="O223" s="232">
        <f>INDEX('Prop. prices'!$I$86:$AB$160,MATCH('Tariff schedule'!$C223,'Prop. prices'!$C$86:$C$160,0),MATCH('Tariff schedule'!O$16,'Prop. prices'!$I$5:$AB$5,0))</f>
        <v>0</v>
      </c>
      <c r="P223" s="232">
        <f>INDEX('Prop. prices'!$I$86:$AB$160,MATCH('Tariff schedule'!$C223,'Prop. prices'!$C$86:$C$160,0),MATCH('Tariff schedule'!P$16,'Prop. prices'!$I$5:$AB$5,0))</f>
        <v>0</v>
      </c>
      <c r="Q223" s="232">
        <f>INDEX('Prop. prices'!$I$86:$AB$160,MATCH('Tariff schedule'!$C223,'Prop. prices'!$C$86:$C$160,0),MATCH('Tariff schedule'!Q$16,'Prop. prices'!$I$5:$AB$5,0))</f>
        <v>0</v>
      </c>
      <c r="R223" s="232">
        <f>INDEX('Prop. prices'!$I$86:$AB$160,MATCH('Tariff schedule'!$C223,'Prop. prices'!$C$86:$C$160,0),MATCH('Tariff schedule'!R$16,'Prop. prices'!$I$5:$AB$5,0))</f>
        <v>0</v>
      </c>
      <c r="S223" s="232">
        <f>INDEX('Prop. prices'!$I$86:$AB$160,MATCH('Tariff schedule'!$C223,'Prop. prices'!$C$86:$C$160,0),MATCH('Tariff schedule'!S$16,'Prop. prices'!$I$5:$AB$5,0))</f>
        <v>0</v>
      </c>
      <c r="T223" s="232">
        <f>INDEX('Prop. prices'!$I$86:$AB$160,MATCH('Tariff schedule'!$C223,'Prop. prices'!$C$86:$C$160,0),MATCH('Tariff schedule'!T$16,'Prop. prices'!$I$5:$AB$5,0))</f>
        <v>0</v>
      </c>
      <c r="U223" s="232">
        <f>INDEX('Prop. prices'!$I$86:$AB$160,MATCH('Tariff schedule'!$C223,'Prop. prices'!$C$86:$C$160,0),MATCH('Tariff schedule'!U$16,'Prop. prices'!$I$5:$AB$5,0))</f>
        <v>0</v>
      </c>
      <c r="V223" s="232">
        <f>INDEX('Prop. prices'!$I$86:$AB$160,MATCH('Tariff schedule'!$C223,'Prop. prices'!$C$86:$C$160,0),MATCH('Tariff schedule'!V$16,'Prop. prices'!$I$5:$AB$5,0))</f>
        <v>0</v>
      </c>
      <c r="W223" s="232">
        <f>INDEX('Prop. prices'!$I$86:$AB$160,MATCH('Tariff schedule'!$C223,'Prop. prices'!$C$86:$C$160,0),MATCH('Tariff schedule'!W$16,'Prop. prices'!$I$5:$AB$5,0))</f>
        <v>0</v>
      </c>
      <c r="X223" s="232">
        <f>INDEX('Prop. prices'!$I$86:$AB$160,MATCH('Tariff schedule'!$C223,'Prop. prices'!$C$86:$C$160,0),MATCH('Tariff schedule'!X$16,'Prop. prices'!$I$5:$AB$5,0))</f>
        <v>0</v>
      </c>
      <c r="Y223" s="232">
        <f>INDEX('Prop. prices'!$I$86:$AB$160,MATCH('Tariff schedule'!$C223,'Prop. prices'!$C$86:$C$160,0),MATCH('Tariff schedule'!Y$16,'Prop. prices'!$I$5:$AB$5,0))</f>
        <v>0</v>
      </c>
      <c r="Z223" s="232">
        <f>INDEX('Prop. prices'!$I$86:$AB$160,MATCH('Tariff schedule'!$C223,'Prop. prices'!$C$86:$C$160,0),MATCH('Tariff schedule'!Z$16,'Prop. prices'!$I$5:$AB$5,0))</f>
        <v>0</v>
      </c>
      <c r="AA223" s="232">
        <f>INDEX('Prop. prices'!$I$86:$AB$160,MATCH('Tariff schedule'!$C223,'Prop. prices'!$C$86:$C$160,0),MATCH('Tariff schedule'!AA$16,'Prop. prices'!$I$5:$AB$5,0))</f>
        <v>0</v>
      </c>
      <c r="AB223" s="232">
        <f>INDEX('Prop. prices'!$I$86:$AB$160,MATCH('Tariff schedule'!$C223,'Prop. prices'!$C$86:$C$160,0),MATCH('Tariff schedule'!AB$16,'Prop. prices'!$I$5:$AB$5,0))</f>
        <v>0</v>
      </c>
      <c r="AC223" s="70"/>
      <c r="AD223" s="19"/>
      <c r="AE223" s="19"/>
      <c r="AF223" s="19"/>
      <c r="AG223" s="19"/>
    </row>
    <row r="224" spans="1:33" hidden="1" outlineLevel="3" x14ac:dyDescent="0.2">
      <c r="A224" s="19"/>
      <c r="B224" s="19"/>
      <c r="C224" s="506">
        <f t="shared" si="87"/>
        <v>0</v>
      </c>
      <c r="D224" s="505">
        <f t="shared" si="87"/>
        <v>0</v>
      </c>
      <c r="E224" s="505">
        <f t="shared" si="87"/>
        <v>0</v>
      </c>
      <c r="F224" s="505">
        <f t="shared" si="87"/>
        <v>0</v>
      </c>
      <c r="G224" s="505">
        <f t="shared" si="87"/>
        <v>0</v>
      </c>
      <c r="H224" s="58"/>
      <c r="I224" s="232">
        <f>INDEX('Prop. prices'!$I$86:$AB$160,MATCH('Tariff schedule'!$C224,'Prop. prices'!$C$86:$C$160,0),MATCH('Tariff schedule'!I$16,'Prop. prices'!$I$5:$AB$5,0))</f>
        <v>0</v>
      </c>
      <c r="J224" s="232">
        <f>INDEX('Prop. prices'!$I$86:$AB$160,MATCH('Tariff schedule'!$C224,'Prop. prices'!$C$86:$C$160,0),MATCH('Tariff schedule'!J$16,'Prop. prices'!$I$5:$AB$5,0))</f>
        <v>0</v>
      </c>
      <c r="K224" s="232">
        <f>INDEX('Prop. prices'!$I$86:$AB$160,MATCH('Tariff schedule'!$C224,'Prop. prices'!$C$86:$C$160,0),MATCH('Tariff schedule'!K$16,'Prop. prices'!$I$5:$AB$5,0))</f>
        <v>0</v>
      </c>
      <c r="L224" s="232">
        <f>INDEX('Prop. prices'!$I$86:$AB$160,MATCH('Tariff schedule'!$C224,'Prop. prices'!$C$86:$C$160,0),MATCH('Tariff schedule'!L$16,'Prop. prices'!$I$5:$AB$5,0))</f>
        <v>0</v>
      </c>
      <c r="M224" s="232">
        <f>INDEX('Prop. prices'!$I$86:$AB$160,MATCH('Tariff schedule'!$C224,'Prop. prices'!$C$86:$C$160,0),MATCH('Tariff schedule'!M$16,'Prop. prices'!$I$5:$AB$5,0))</f>
        <v>0</v>
      </c>
      <c r="N224" s="232">
        <f>INDEX('Prop. prices'!$I$86:$AB$160,MATCH('Tariff schedule'!$C224,'Prop. prices'!$C$86:$C$160,0),MATCH('Tariff schedule'!N$16,'Prop. prices'!$I$5:$AB$5,0))</f>
        <v>0</v>
      </c>
      <c r="O224" s="232">
        <f>INDEX('Prop. prices'!$I$86:$AB$160,MATCH('Tariff schedule'!$C224,'Prop. prices'!$C$86:$C$160,0),MATCH('Tariff schedule'!O$16,'Prop. prices'!$I$5:$AB$5,0))</f>
        <v>0</v>
      </c>
      <c r="P224" s="232">
        <f>INDEX('Prop. prices'!$I$86:$AB$160,MATCH('Tariff schedule'!$C224,'Prop. prices'!$C$86:$C$160,0),MATCH('Tariff schedule'!P$16,'Prop. prices'!$I$5:$AB$5,0))</f>
        <v>0</v>
      </c>
      <c r="Q224" s="232">
        <f>INDEX('Prop. prices'!$I$86:$AB$160,MATCH('Tariff schedule'!$C224,'Prop. prices'!$C$86:$C$160,0),MATCH('Tariff schedule'!Q$16,'Prop. prices'!$I$5:$AB$5,0))</f>
        <v>0</v>
      </c>
      <c r="R224" s="232">
        <f>INDEX('Prop. prices'!$I$86:$AB$160,MATCH('Tariff schedule'!$C224,'Prop. prices'!$C$86:$C$160,0),MATCH('Tariff schedule'!R$16,'Prop. prices'!$I$5:$AB$5,0))</f>
        <v>0</v>
      </c>
      <c r="S224" s="232">
        <f>INDEX('Prop. prices'!$I$86:$AB$160,MATCH('Tariff schedule'!$C224,'Prop. prices'!$C$86:$C$160,0),MATCH('Tariff schedule'!S$16,'Prop. prices'!$I$5:$AB$5,0))</f>
        <v>0</v>
      </c>
      <c r="T224" s="232">
        <f>INDEX('Prop. prices'!$I$86:$AB$160,MATCH('Tariff schedule'!$C224,'Prop. prices'!$C$86:$C$160,0),MATCH('Tariff schedule'!T$16,'Prop. prices'!$I$5:$AB$5,0))</f>
        <v>0</v>
      </c>
      <c r="U224" s="232">
        <f>INDEX('Prop. prices'!$I$86:$AB$160,MATCH('Tariff schedule'!$C224,'Prop. prices'!$C$86:$C$160,0),MATCH('Tariff schedule'!U$16,'Prop. prices'!$I$5:$AB$5,0))</f>
        <v>0</v>
      </c>
      <c r="V224" s="232">
        <f>INDEX('Prop. prices'!$I$86:$AB$160,MATCH('Tariff schedule'!$C224,'Prop. prices'!$C$86:$C$160,0),MATCH('Tariff schedule'!V$16,'Prop. prices'!$I$5:$AB$5,0))</f>
        <v>0</v>
      </c>
      <c r="W224" s="232">
        <f>INDEX('Prop. prices'!$I$86:$AB$160,MATCH('Tariff schedule'!$C224,'Prop. prices'!$C$86:$C$160,0),MATCH('Tariff schedule'!W$16,'Prop. prices'!$I$5:$AB$5,0))</f>
        <v>0</v>
      </c>
      <c r="X224" s="232">
        <f>INDEX('Prop. prices'!$I$86:$AB$160,MATCH('Tariff schedule'!$C224,'Prop. prices'!$C$86:$C$160,0),MATCH('Tariff schedule'!X$16,'Prop. prices'!$I$5:$AB$5,0))</f>
        <v>0</v>
      </c>
      <c r="Y224" s="232">
        <f>INDEX('Prop. prices'!$I$86:$AB$160,MATCH('Tariff schedule'!$C224,'Prop. prices'!$C$86:$C$160,0),MATCH('Tariff schedule'!Y$16,'Prop. prices'!$I$5:$AB$5,0))</f>
        <v>0</v>
      </c>
      <c r="Z224" s="232">
        <f>INDEX('Prop. prices'!$I$86:$AB$160,MATCH('Tariff schedule'!$C224,'Prop. prices'!$C$86:$C$160,0),MATCH('Tariff schedule'!Z$16,'Prop. prices'!$I$5:$AB$5,0))</f>
        <v>0</v>
      </c>
      <c r="AA224" s="232">
        <f>INDEX('Prop. prices'!$I$86:$AB$160,MATCH('Tariff schedule'!$C224,'Prop. prices'!$C$86:$C$160,0),MATCH('Tariff schedule'!AA$16,'Prop. prices'!$I$5:$AB$5,0))</f>
        <v>0</v>
      </c>
      <c r="AB224" s="232">
        <f>INDEX('Prop. prices'!$I$86:$AB$160,MATCH('Tariff schedule'!$C224,'Prop. prices'!$C$86:$C$160,0),MATCH('Tariff schedule'!AB$16,'Prop. prices'!$I$5:$AB$5,0))</f>
        <v>0</v>
      </c>
      <c r="AC224" s="70"/>
      <c r="AD224" s="19"/>
      <c r="AE224" s="19"/>
      <c r="AF224" s="19"/>
      <c r="AG224" s="19"/>
    </row>
    <row r="225" spans="1:33" hidden="1" outlineLevel="3" x14ac:dyDescent="0.2">
      <c r="A225" s="19"/>
      <c r="B225" s="19"/>
      <c r="C225" s="506">
        <f t="shared" ref="C225:G234" si="88">C69</f>
        <v>0</v>
      </c>
      <c r="D225" s="505">
        <f t="shared" si="88"/>
        <v>0</v>
      </c>
      <c r="E225" s="505">
        <f t="shared" si="88"/>
        <v>0</v>
      </c>
      <c r="F225" s="505">
        <f t="shared" si="88"/>
        <v>0</v>
      </c>
      <c r="G225" s="505">
        <f t="shared" si="88"/>
        <v>0</v>
      </c>
      <c r="H225" s="58"/>
      <c r="I225" s="232">
        <f>INDEX('Prop. prices'!$I$86:$AB$160,MATCH('Tariff schedule'!$C225,'Prop. prices'!$C$86:$C$160,0),MATCH('Tariff schedule'!I$16,'Prop. prices'!$I$5:$AB$5,0))</f>
        <v>0</v>
      </c>
      <c r="J225" s="232">
        <f>INDEX('Prop. prices'!$I$86:$AB$160,MATCH('Tariff schedule'!$C225,'Prop. prices'!$C$86:$C$160,0),MATCH('Tariff schedule'!J$16,'Prop. prices'!$I$5:$AB$5,0))</f>
        <v>0</v>
      </c>
      <c r="K225" s="232">
        <f>INDEX('Prop. prices'!$I$86:$AB$160,MATCH('Tariff schedule'!$C225,'Prop. prices'!$C$86:$C$160,0),MATCH('Tariff schedule'!K$16,'Prop. prices'!$I$5:$AB$5,0))</f>
        <v>0</v>
      </c>
      <c r="L225" s="232">
        <f>INDEX('Prop. prices'!$I$86:$AB$160,MATCH('Tariff schedule'!$C225,'Prop. prices'!$C$86:$C$160,0),MATCH('Tariff schedule'!L$16,'Prop. prices'!$I$5:$AB$5,0))</f>
        <v>0</v>
      </c>
      <c r="M225" s="232">
        <f>INDEX('Prop. prices'!$I$86:$AB$160,MATCH('Tariff schedule'!$C225,'Prop. prices'!$C$86:$C$160,0),MATCH('Tariff schedule'!M$16,'Prop. prices'!$I$5:$AB$5,0))</f>
        <v>0</v>
      </c>
      <c r="N225" s="232">
        <f>INDEX('Prop. prices'!$I$86:$AB$160,MATCH('Tariff schedule'!$C225,'Prop. prices'!$C$86:$C$160,0),MATCH('Tariff schedule'!N$16,'Prop. prices'!$I$5:$AB$5,0))</f>
        <v>0</v>
      </c>
      <c r="O225" s="232">
        <f>INDEX('Prop. prices'!$I$86:$AB$160,MATCH('Tariff schedule'!$C225,'Prop. prices'!$C$86:$C$160,0),MATCH('Tariff schedule'!O$16,'Prop. prices'!$I$5:$AB$5,0))</f>
        <v>0</v>
      </c>
      <c r="P225" s="232">
        <f>INDEX('Prop. prices'!$I$86:$AB$160,MATCH('Tariff schedule'!$C225,'Prop. prices'!$C$86:$C$160,0),MATCH('Tariff schedule'!P$16,'Prop. prices'!$I$5:$AB$5,0))</f>
        <v>0</v>
      </c>
      <c r="Q225" s="232">
        <f>INDEX('Prop. prices'!$I$86:$AB$160,MATCH('Tariff schedule'!$C225,'Prop. prices'!$C$86:$C$160,0),MATCH('Tariff schedule'!Q$16,'Prop. prices'!$I$5:$AB$5,0))</f>
        <v>0</v>
      </c>
      <c r="R225" s="232">
        <f>INDEX('Prop. prices'!$I$86:$AB$160,MATCH('Tariff schedule'!$C225,'Prop. prices'!$C$86:$C$160,0),MATCH('Tariff schedule'!R$16,'Prop. prices'!$I$5:$AB$5,0))</f>
        <v>0</v>
      </c>
      <c r="S225" s="232">
        <f>INDEX('Prop. prices'!$I$86:$AB$160,MATCH('Tariff schedule'!$C225,'Prop. prices'!$C$86:$C$160,0),MATCH('Tariff schedule'!S$16,'Prop. prices'!$I$5:$AB$5,0))</f>
        <v>0</v>
      </c>
      <c r="T225" s="232">
        <f>INDEX('Prop. prices'!$I$86:$AB$160,MATCH('Tariff schedule'!$C225,'Prop. prices'!$C$86:$C$160,0),MATCH('Tariff schedule'!T$16,'Prop. prices'!$I$5:$AB$5,0))</f>
        <v>0</v>
      </c>
      <c r="U225" s="232">
        <f>INDEX('Prop. prices'!$I$86:$AB$160,MATCH('Tariff schedule'!$C225,'Prop. prices'!$C$86:$C$160,0),MATCH('Tariff schedule'!U$16,'Prop. prices'!$I$5:$AB$5,0))</f>
        <v>0</v>
      </c>
      <c r="V225" s="232">
        <f>INDEX('Prop. prices'!$I$86:$AB$160,MATCH('Tariff schedule'!$C225,'Prop. prices'!$C$86:$C$160,0),MATCH('Tariff schedule'!V$16,'Prop. prices'!$I$5:$AB$5,0))</f>
        <v>0</v>
      </c>
      <c r="W225" s="232">
        <f>INDEX('Prop. prices'!$I$86:$AB$160,MATCH('Tariff schedule'!$C225,'Prop. prices'!$C$86:$C$160,0),MATCH('Tariff schedule'!W$16,'Prop. prices'!$I$5:$AB$5,0))</f>
        <v>0</v>
      </c>
      <c r="X225" s="232">
        <f>INDEX('Prop. prices'!$I$86:$AB$160,MATCH('Tariff schedule'!$C225,'Prop. prices'!$C$86:$C$160,0),MATCH('Tariff schedule'!X$16,'Prop. prices'!$I$5:$AB$5,0))</f>
        <v>0</v>
      </c>
      <c r="Y225" s="232">
        <f>INDEX('Prop. prices'!$I$86:$AB$160,MATCH('Tariff schedule'!$C225,'Prop. prices'!$C$86:$C$160,0),MATCH('Tariff schedule'!Y$16,'Prop. prices'!$I$5:$AB$5,0))</f>
        <v>0</v>
      </c>
      <c r="Z225" s="232">
        <f>INDEX('Prop. prices'!$I$86:$AB$160,MATCH('Tariff schedule'!$C225,'Prop. prices'!$C$86:$C$160,0),MATCH('Tariff schedule'!Z$16,'Prop. prices'!$I$5:$AB$5,0))</f>
        <v>0</v>
      </c>
      <c r="AA225" s="232">
        <f>INDEX('Prop. prices'!$I$86:$AB$160,MATCH('Tariff schedule'!$C225,'Prop. prices'!$C$86:$C$160,0),MATCH('Tariff schedule'!AA$16,'Prop. prices'!$I$5:$AB$5,0))</f>
        <v>0</v>
      </c>
      <c r="AB225" s="232">
        <f>INDEX('Prop. prices'!$I$86:$AB$160,MATCH('Tariff schedule'!$C225,'Prop. prices'!$C$86:$C$160,0),MATCH('Tariff schedule'!AB$16,'Prop. prices'!$I$5:$AB$5,0))</f>
        <v>0</v>
      </c>
      <c r="AC225" s="70"/>
      <c r="AD225" s="19"/>
      <c r="AE225" s="19"/>
      <c r="AF225" s="19"/>
      <c r="AG225" s="19"/>
    </row>
    <row r="226" spans="1:33" hidden="1" outlineLevel="3" x14ac:dyDescent="0.2">
      <c r="A226" s="19"/>
      <c r="B226" s="19"/>
      <c r="C226" s="506">
        <f t="shared" si="88"/>
        <v>0</v>
      </c>
      <c r="D226" s="505">
        <f t="shared" si="88"/>
        <v>0</v>
      </c>
      <c r="E226" s="505">
        <f t="shared" si="88"/>
        <v>0</v>
      </c>
      <c r="F226" s="505">
        <f t="shared" si="88"/>
        <v>0</v>
      </c>
      <c r="G226" s="505">
        <f t="shared" si="88"/>
        <v>0</v>
      </c>
      <c r="H226" s="58"/>
      <c r="I226" s="232">
        <f>INDEX('Prop. prices'!$I$86:$AB$160,MATCH('Tariff schedule'!$C226,'Prop. prices'!$C$86:$C$160,0),MATCH('Tariff schedule'!I$16,'Prop. prices'!$I$5:$AB$5,0))</f>
        <v>0</v>
      </c>
      <c r="J226" s="232">
        <f>INDEX('Prop. prices'!$I$86:$AB$160,MATCH('Tariff schedule'!$C226,'Prop. prices'!$C$86:$C$160,0),MATCH('Tariff schedule'!J$16,'Prop. prices'!$I$5:$AB$5,0))</f>
        <v>0</v>
      </c>
      <c r="K226" s="232">
        <f>INDEX('Prop. prices'!$I$86:$AB$160,MATCH('Tariff schedule'!$C226,'Prop. prices'!$C$86:$C$160,0),MATCH('Tariff schedule'!K$16,'Prop. prices'!$I$5:$AB$5,0))</f>
        <v>0</v>
      </c>
      <c r="L226" s="232">
        <f>INDEX('Prop. prices'!$I$86:$AB$160,MATCH('Tariff schedule'!$C226,'Prop. prices'!$C$86:$C$160,0),MATCH('Tariff schedule'!L$16,'Prop. prices'!$I$5:$AB$5,0))</f>
        <v>0</v>
      </c>
      <c r="M226" s="232">
        <f>INDEX('Prop. prices'!$I$86:$AB$160,MATCH('Tariff schedule'!$C226,'Prop. prices'!$C$86:$C$160,0),MATCH('Tariff schedule'!M$16,'Prop. prices'!$I$5:$AB$5,0))</f>
        <v>0</v>
      </c>
      <c r="N226" s="232">
        <f>INDEX('Prop. prices'!$I$86:$AB$160,MATCH('Tariff schedule'!$C226,'Prop. prices'!$C$86:$C$160,0),MATCH('Tariff schedule'!N$16,'Prop. prices'!$I$5:$AB$5,0))</f>
        <v>0</v>
      </c>
      <c r="O226" s="232">
        <f>INDEX('Prop. prices'!$I$86:$AB$160,MATCH('Tariff schedule'!$C226,'Prop. prices'!$C$86:$C$160,0),MATCH('Tariff schedule'!O$16,'Prop. prices'!$I$5:$AB$5,0))</f>
        <v>0</v>
      </c>
      <c r="P226" s="232">
        <f>INDEX('Prop. prices'!$I$86:$AB$160,MATCH('Tariff schedule'!$C226,'Prop. prices'!$C$86:$C$160,0),MATCH('Tariff schedule'!P$16,'Prop. prices'!$I$5:$AB$5,0))</f>
        <v>0</v>
      </c>
      <c r="Q226" s="232">
        <f>INDEX('Prop. prices'!$I$86:$AB$160,MATCH('Tariff schedule'!$C226,'Prop. prices'!$C$86:$C$160,0),MATCH('Tariff schedule'!Q$16,'Prop. prices'!$I$5:$AB$5,0))</f>
        <v>0</v>
      </c>
      <c r="R226" s="232">
        <f>INDEX('Prop. prices'!$I$86:$AB$160,MATCH('Tariff schedule'!$C226,'Prop. prices'!$C$86:$C$160,0),MATCH('Tariff schedule'!R$16,'Prop. prices'!$I$5:$AB$5,0))</f>
        <v>0</v>
      </c>
      <c r="S226" s="232">
        <f>INDEX('Prop. prices'!$I$86:$AB$160,MATCH('Tariff schedule'!$C226,'Prop. prices'!$C$86:$C$160,0),MATCH('Tariff schedule'!S$16,'Prop. prices'!$I$5:$AB$5,0))</f>
        <v>0</v>
      </c>
      <c r="T226" s="232">
        <f>INDEX('Prop. prices'!$I$86:$AB$160,MATCH('Tariff schedule'!$C226,'Prop. prices'!$C$86:$C$160,0),MATCH('Tariff schedule'!T$16,'Prop. prices'!$I$5:$AB$5,0))</f>
        <v>0</v>
      </c>
      <c r="U226" s="232">
        <f>INDEX('Prop. prices'!$I$86:$AB$160,MATCH('Tariff schedule'!$C226,'Prop. prices'!$C$86:$C$160,0),MATCH('Tariff schedule'!U$16,'Prop. prices'!$I$5:$AB$5,0))</f>
        <v>0</v>
      </c>
      <c r="V226" s="232">
        <f>INDEX('Prop. prices'!$I$86:$AB$160,MATCH('Tariff schedule'!$C226,'Prop. prices'!$C$86:$C$160,0),MATCH('Tariff schedule'!V$16,'Prop. prices'!$I$5:$AB$5,0))</f>
        <v>0</v>
      </c>
      <c r="W226" s="232">
        <f>INDEX('Prop. prices'!$I$86:$AB$160,MATCH('Tariff schedule'!$C226,'Prop. prices'!$C$86:$C$160,0),MATCH('Tariff schedule'!W$16,'Prop. prices'!$I$5:$AB$5,0))</f>
        <v>0</v>
      </c>
      <c r="X226" s="232">
        <f>INDEX('Prop. prices'!$I$86:$AB$160,MATCH('Tariff schedule'!$C226,'Prop. prices'!$C$86:$C$160,0),MATCH('Tariff schedule'!X$16,'Prop. prices'!$I$5:$AB$5,0))</f>
        <v>0</v>
      </c>
      <c r="Y226" s="232">
        <f>INDEX('Prop. prices'!$I$86:$AB$160,MATCH('Tariff schedule'!$C226,'Prop. prices'!$C$86:$C$160,0),MATCH('Tariff schedule'!Y$16,'Prop. prices'!$I$5:$AB$5,0))</f>
        <v>0</v>
      </c>
      <c r="Z226" s="232">
        <f>INDEX('Prop. prices'!$I$86:$AB$160,MATCH('Tariff schedule'!$C226,'Prop. prices'!$C$86:$C$160,0),MATCH('Tariff schedule'!Z$16,'Prop. prices'!$I$5:$AB$5,0))</f>
        <v>0</v>
      </c>
      <c r="AA226" s="232">
        <f>INDEX('Prop. prices'!$I$86:$AB$160,MATCH('Tariff schedule'!$C226,'Prop. prices'!$C$86:$C$160,0),MATCH('Tariff schedule'!AA$16,'Prop. prices'!$I$5:$AB$5,0))</f>
        <v>0</v>
      </c>
      <c r="AB226" s="232">
        <f>INDEX('Prop. prices'!$I$86:$AB$160,MATCH('Tariff schedule'!$C226,'Prop. prices'!$C$86:$C$160,0),MATCH('Tariff schedule'!AB$16,'Prop. prices'!$I$5:$AB$5,0))</f>
        <v>0</v>
      </c>
      <c r="AC226" s="70"/>
      <c r="AD226" s="19"/>
      <c r="AE226" s="19"/>
      <c r="AF226" s="19"/>
      <c r="AG226" s="19"/>
    </row>
    <row r="227" spans="1:33" hidden="1" outlineLevel="3" x14ac:dyDescent="0.2">
      <c r="A227" s="19"/>
      <c r="B227" s="19"/>
      <c r="C227" s="506">
        <f t="shared" si="88"/>
        <v>0</v>
      </c>
      <c r="D227" s="505">
        <f t="shared" si="88"/>
        <v>0</v>
      </c>
      <c r="E227" s="505">
        <f t="shared" si="88"/>
        <v>0</v>
      </c>
      <c r="F227" s="505">
        <f t="shared" si="88"/>
        <v>0</v>
      </c>
      <c r="G227" s="505">
        <f t="shared" si="88"/>
        <v>0</v>
      </c>
      <c r="H227" s="58"/>
      <c r="I227" s="232">
        <f>INDEX('Prop. prices'!$I$86:$AB$160,MATCH('Tariff schedule'!$C227,'Prop. prices'!$C$86:$C$160,0),MATCH('Tariff schedule'!I$16,'Prop. prices'!$I$5:$AB$5,0))</f>
        <v>0</v>
      </c>
      <c r="J227" s="232">
        <f>INDEX('Prop. prices'!$I$86:$AB$160,MATCH('Tariff schedule'!$C227,'Prop. prices'!$C$86:$C$160,0),MATCH('Tariff schedule'!J$16,'Prop. prices'!$I$5:$AB$5,0))</f>
        <v>0</v>
      </c>
      <c r="K227" s="232">
        <f>INDEX('Prop. prices'!$I$86:$AB$160,MATCH('Tariff schedule'!$C227,'Prop. prices'!$C$86:$C$160,0),MATCH('Tariff schedule'!K$16,'Prop. prices'!$I$5:$AB$5,0))</f>
        <v>0</v>
      </c>
      <c r="L227" s="232">
        <f>INDEX('Prop. prices'!$I$86:$AB$160,MATCH('Tariff schedule'!$C227,'Prop. prices'!$C$86:$C$160,0),MATCH('Tariff schedule'!L$16,'Prop. prices'!$I$5:$AB$5,0))</f>
        <v>0</v>
      </c>
      <c r="M227" s="232">
        <f>INDEX('Prop. prices'!$I$86:$AB$160,MATCH('Tariff schedule'!$C227,'Prop. prices'!$C$86:$C$160,0),MATCH('Tariff schedule'!M$16,'Prop. prices'!$I$5:$AB$5,0))</f>
        <v>0</v>
      </c>
      <c r="N227" s="232">
        <f>INDEX('Prop. prices'!$I$86:$AB$160,MATCH('Tariff schedule'!$C227,'Prop. prices'!$C$86:$C$160,0),MATCH('Tariff schedule'!N$16,'Prop. prices'!$I$5:$AB$5,0))</f>
        <v>0</v>
      </c>
      <c r="O227" s="232">
        <f>INDEX('Prop. prices'!$I$86:$AB$160,MATCH('Tariff schedule'!$C227,'Prop. prices'!$C$86:$C$160,0),MATCH('Tariff schedule'!O$16,'Prop. prices'!$I$5:$AB$5,0))</f>
        <v>0</v>
      </c>
      <c r="P227" s="232">
        <f>INDEX('Prop. prices'!$I$86:$AB$160,MATCH('Tariff schedule'!$C227,'Prop. prices'!$C$86:$C$160,0),MATCH('Tariff schedule'!P$16,'Prop. prices'!$I$5:$AB$5,0))</f>
        <v>0</v>
      </c>
      <c r="Q227" s="232">
        <f>INDEX('Prop. prices'!$I$86:$AB$160,MATCH('Tariff schedule'!$C227,'Prop. prices'!$C$86:$C$160,0),MATCH('Tariff schedule'!Q$16,'Prop. prices'!$I$5:$AB$5,0))</f>
        <v>0</v>
      </c>
      <c r="R227" s="232">
        <f>INDEX('Prop. prices'!$I$86:$AB$160,MATCH('Tariff schedule'!$C227,'Prop. prices'!$C$86:$C$160,0),MATCH('Tariff schedule'!R$16,'Prop. prices'!$I$5:$AB$5,0))</f>
        <v>0</v>
      </c>
      <c r="S227" s="232">
        <f>INDEX('Prop. prices'!$I$86:$AB$160,MATCH('Tariff schedule'!$C227,'Prop. prices'!$C$86:$C$160,0),MATCH('Tariff schedule'!S$16,'Prop. prices'!$I$5:$AB$5,0))</f>
        <v>0</v>
      </c>
      <c r="T227" s="232">
        <f>INDEX('Prop. prices'!$I$86:$AB$160,MATCH('Tariff schedule'!$C227,'Prop. prices'!$C$86:$C$160,0),MATCH('Tariff schedule'!T$16,'Prop. prices'!$I$5:$AB$5,0))</f>
        <v>0</v>
      </c>
      <c r="U227" s="232">
        <f>INDEX('Prop. prices'!$I$86:$AB$160,MATCH('Tariff schedule'!$C227,'Prop. prices'!$C$86:$C$160,0),MATCH('Tariff schedule'!U$16,'Prop. prices'!$I$5:$AB$5,0))</f>
        <v>0</v>
      </c>
      <c r="V227" s="232">
        <f>INDEX('Prop. prices'!$I$86:$AB$160,MATCH('Tariff schedule'!$C227,'Prop. prices'!$C$86:$C$160,0),MATCH('Tariff schedule'!V$16,'Prop. prices'!$I$5:$AB$5,0))</f>
        <v>0</v>
      </c>
      <c r="W227" s="232">
        <f>INDEX('Prop. prices'!$I$86:$AB$160,MATCH('Tariff schedule'!$C227,'Prop. prices'!$C$86:$C$160,0),MATCH('Tariff schedule'!W$16,'Prop. prices'!$I$5:$AB$5,0))</f>
        <v>0</v>
      </c>
      <c r="X227" s="232">
        <f>INDEX('Prop. prices'!$I$86:$AB$160,MATCH('Tariff schedule'!$C227,'Prop. prices'!$C$86:$C$160,0),MATCH('Tariff schedule'!X$16,'Prop. prices'!$I$5:$AB$5,0))</f>
        <v>0</v>
      </c>
      <c r="Y227" s="232">
        <f>INDEX('Prop. prices'!$I$86:$AB$160,MATCH('Tariff schedule'!$C227,'Prop. prices'!$C$86:$C$160,0),MATCH('Tariff schedule'!Y$16,'Prop. prices'!$I$5:$AB$5,0))</f>
        <v>0</v>
      </c>
      <c r="Z227" s="232">
        <f>INDEX('Prop. prices'!$I$86:$AB$160,MATCH('Tariff schedule'!$C227,'Prop. prices'!$C$86:$C$160,0),MATCH('Tariff schedule'!Z$16,'Prop. prices'!$I$5:$AB$5,0))</f>
        <v>0</v>
      </c>
      <c r="AA227" s="232">
        <f>INDEX('Prop. prices'!$I$86:$AB$160,MATCH('Tariff schedule'!$C227,'Prop. prices'!$C$86:$C$160,0),MATCH('Tariff schedule'!AA$16,'Prop. prices'!$I$5:$AB$5,0))</f>
        <v>0</v>
      </c>
      <c r="AB227" s="232">
        <f>INDEX('Prop. prices'!$I$86:$AB$160,MATCH('Tariff schedule'!$C227,'Prop. prices'!$C$86:$C$160,0),MATCH('Tariff schedule'!AB$16,'Prop. prices'!$I$5:$AB$5,0))</f>
        <v>0</v>
      </c>
      <c r="AC227" s="70"/>
      <c r="AD227" s="19"/>
      <c r="AE227" s="19"/>
      <c r="AF227" s="19"/>
      <c r="AG227" s="19"/>
    </row>
    <row r="228" spans="1:33" hidden="1" outlineLevel="3" x14ac:dyDescent="0.2">
      <c r="A228" s="19"/>
      <c r="B228" s="19"/>
      <c r="C228" s="506">
        <f t="shared" si="88"/>
        <v>0</v>
      </c>
      <c r="D228" s="505">
        <f t="shared" si="88"/>
        <v>0</v>
      </c>
      <c r="E228" s="505">
        <f t="shared" si="88"/>
        <v>0</v>
      </c>
      <c r="F228" s="505">
        <f t="shared" si="88"/>
        <v>0</v>
      </c>
      <c r="G228" s="505">
        <f t="shared" si="88"/>
        <v>0</v>
      </c>
      <c r="H228" s="58"/>
      <c r="I228" s="232">
        <f>INDEX('Prop. prices'!$I$86:$AB$160,MATCH('Tariff schedule'!$C228,'Prop. prices'!$C$86:$C$160,0),MATCH('Tariff schedule'!I$16,'Prop. prices'!$I$5:$AB$5,0))</f>
        <v>0</v>
      </c>
      <c r="J228" s="232">
        <f>INDEX('Prop. prices'!$I$86:$AB$160,MATCH('Tariff schedule'!$C228,'Prop. prices'!$C$86:$C$160,0),MATCH('Tariff schedule'!J$16,'Prop. prices'!$I$5:$AB$5,0))</f>
        <v>0</v>
      </c>
      <c r="K228" s="232">
        <f>INDEX('Prop. prices'!$I$86:$AB$160,MATCH('Tariff schedule'!$C228,'Prop. prices'!$C$86:$C$160,0),MATCH('Tariff schedule'!K$16,'Prop. prices'!$I$5:$AB$5,0))</f>
        <v>0</v>
      </c>
      <c r="L228" s="232">
        <f>INDEX('Prop. prices'!$I$86:$AB$160,MATCH('Tariff schedule'!$C228,'Prop. prices'!$C$86:$C$160,0),MATCH('Tariff schedule'!L$16,'Prop. prices'!$I$5:$AB$5,0))</f>
        <v>0</v>
      </c>
      <c r="M228" s="232">
        <f>INDEX('Prop. prices'!$I$86:$AB$160,MATCH('Tariff schedule'!$C228,'Prop. prices'!$C$86:$C$160,0),MATCH('Tariff schedule'!M$16,'Prop. prices'!$I$5:$AB$5,0))</f>
        <v>0</v>
      </c>
      <c r="N228" s="232">
        <f>INDEX('Prop. prices'!$I$86:$AB$160,MATCH('Tariff schedule'!$C228,'Prop. prices'!$C$86:$C$160,0),MATCH('Tariff schedule'!N$16,'Prop. prices'!$I$5:$AB$5,0))</f>
        <v>0</v>
      </c>
      <c r="O228" s="232">
        <f>INDEX('Prop. prices'!$I$86:$AB$160,MATCH('Tariff schedule'!$C228,'Prop. prices'!$C$86:$C$160,0),MATCH('Tariff schedule'!O$16,'Prop. prices'!$I$5:$AB$5,0))</f>
        <v>0</v>
      </c>
      <c r="P228" s="232">
        <f>INDEX('Prop. prices'!$I$86:$AB$160,MATCH('Tariff schedule'!$C228,'Prop. prices'!$C$86:$C$160,0),MATCH('Tariff schedule'!P$16,'Prop. prices'!$I$5:$AB$5,0))</f>
        <v>0</v>
      </c>
      <c r="Q228" s="232">
        <f>INDEX('Prop. prices'!$I$86:$AB$160,MATCH('Tariff schedule'!$C228,'Prop. prices'!$C$86:$C$160,0),MATCH('Tariff schedule'!Q$16,'Prop. prices'!$I$5:$AB$5,0))</f>
        <v>0</v>
      </c>
      <c r="R228" s="232">
        <f>INDEX('Prop. prices'!$I$86:$AB$160,MATCH('Tariff schedule'!$C228,'Prop. prices'!$C$86:$C$160,0),MATCH('Tariff schedule'!R$16,'Prop. prices'!$I$5:$AB$5,0))</f>
        <v>0</v>
      </c>
      <c r="S228" s="232">
        <f>INDEX('Prop. prices'!$I$86:$AB$160,MATCH('Tariff schedule'!$C228,'Prop. prices'!$C$86:$C$160,0),MATCH('Tariff schedule'!S$16,'Prop. prices'!$I$5:$AB$5,0))</f>
        <v>0</v>
      </c>
      <c r="T228" s="232">
        <f>INDEX('Prop. prices'!$I$86:$AB$160,MATCH('Tariff schedule'!$C228,'Prop. prices'!$C$86:$C$160,0),MATCH('Tariff schedule'!T$16,'Prop. prices'!$I$5:$AB$5,0))</f>
        <v>0</v>
      </c>
      <c r="U228" s="232">
        <f>INDEX('Prop. prices'!$I$86:$AB$160,MATCH('Tariff schedule'!$C228,'Prop. prices'!$C$86:$C$160,0),MATCH('Tariff schedule'!U$16,'Prop. prices'!$I$5:$AB$5,0))</f>
        <v>0</v>
      </c>
      <c r="V228" s="232">
        <f>INDEX('Prop. prices'!$I$86:$AB$160,MATCH('Tariff schedule'!$C228,'Prop. prices'!$C$86:$C$160,0),MATCH('Tariff schedule'!V$16,'Prop. prices'!$I$5:$AB$5,0))</f>
        <v>0</v>
      </c>
      <c r="W228" s="232">
        <f>INDEX('Prop. prices'!$I$86:$AB$160,MATCH('Tariff schedule'!$C228,'Prop. prices'!$C$86:$C$160,0),MATCH('Tariff schedule'!W$16,'Prop. prices'!$I$5:$AB$5,0))</f>
        <v>0</v>
      </c>
      <c r="X228" s="232">
        <f>INDEX('Prop. prices'!$I$86:$AB$160,MATCH('Tariff schedule'!$C228,'Prop. prices'!$C$86:$C$160,0),MATCH('Tariff schedule'!X$16,'Prop. prices'!$I$5:$AB$5,0))</f>
        <v>0</v>
      </c>
      <c r="Y228" s="232">
        <f>INDEX('Prop. prices'!$I$86:$AB$160,MATCH('Tariff schedule'!$C228,'Prop. prices'!$C$86:$C$160,0),MATCH('Tariff schedule'!Y$16,'Prop. prices'!$I$5:$AB$5,0))</f>
        <v>0</v>
      </c>
      <c r="Z228" s="232">
        <f>INDEX('Prop. prices'!$I$86:$AB$160,MATCH('Tariff schedule'!$C228,'Prop. prices'!$C$86:$C$160,0),MATCH('Tariff schedule'!Z$16,'Prop. prices'!$I$5:$AB$5,0))</f>
        <v>0</v>
      </c>
      <c r="AA228" s="232">
        <f>INDEX('Prop. prices'!$I$86:$AB$160,MATCH('Tariff schedule'!$C228,'Prop. prices'!$C$86:$C$160,0),MATCH('Tariff schedule'!AA$16,'Prop. prices'!$I$5:$AB$5,0))</f>
        <v>0</v>
      </c>
      <c r="AB228" s="232">
        <f>INDEX('Prop. prices'!$I$86:$AB$160,MATCH('Tariff schedule'!$C228,'Prop. prices'!$C$86:$C$160,0),MATCH('Tariff schedule'!AB$16,'Prop. prices'!$I$5:$AB$5,0))</f>
        <v>0</v>
      </c>
      <c r="AC228" s="70"/>
      <c r="AD228" s="19"/>
      <c r="AE228" s="19"/>
      <c r="AF228" s="19"/>
      <c r="AG228" s="19"/>
    </row>
    <row r="229" spans="1:33" hidden="1" outlineLevel="3" x14ac:dyDescent="0.2">
      <c r="A229" s="19"/>
      <c r="B229" s="19"/>
      <c r="C229" s="506">
        <f t="shared" si="88"/>
        <v>0</v>
      </c>
      <c r="D229" s="505">
        <f t="shared" si="88"/>
        <v>0</v>
      </c>
      <c r="E229" s="505">
        <f t="shared" si="88"/>
        <v>0</v>
      </c>
      <c r="F229" s="505">
        <f t="shared" si="88"/>
        <v>0</v>
      </c>
      <c r="G229" s="505">
        <f t="shared" si="88"/>
        <v>0</v>
      </c>
      <c r="H229" s="58"/>
      <c r="I229" s="232">
        <f>INDEX('Prop. prices'!$I$86:$AB$160,MATCH('Tariff schedule'!$C229,'Prop. prices'!$C$86:$C$160,0),MATCH('Tariff schedule'!I$16,'Prop. prices'!$I$5:$AB$5,0))</f>
        <v>0</v>
      </c>
      <c r="J229" s="232">
        <f>INDEX('Prop. prices'!$I$86:$AB$160,MATCH('Tariff schedule'!$C229,'Prop. prices'!$C$86:$C$160,0),MATCH('Tariff schedule'!J$16,'Prop. prices'!$I$5:$AB$5,0))</f>
        <v>0</v>
      </c>
      <c r="K229" s="232">
        <f>INDEX('Prop. prices'!$I$86:$AB$160,MATCH('Tariff schedule'!$C229,'Prop. prices'!$C$86:$C$160,0),MATCH('Tariff schedule'!K$16,'Prop. prices'!$I$5:$AB$5,0))</f>
        <v>0</v>
      </c>
      <c r="L229" s="232">
        <f>INDEX('Prop. prices'!$I$86:$AB$160,MATCH('Tariff schedule'!$C229,'Prop. prices'!$C$86:$C$160,0),MATCH('Tariff schedule'!L$16,'Prop. prices'!$I$5:$AB$5,0))</f>
        <v>0</v>
      </c>
      <c r="M229" s="232">
        <f>INDEX('Prop. prices'!$I$86:$AB$160,MATCH('Tariff schedule'!$C229,'Prop. prices'!$C$86:$C$160,0),MATCH('Tariff schedule'!M$16,'Prop. prices'!$I$5:$AB$5,0))</f>
        <v>0</v>
      </c>
      <c r="N229" s="232">
        <f>INDEX('Prop. prices'!$I$86:$AB$160,MATCH('Tariff schedule'!$C229,'Prop. prices'!$C$86:$C$160,0),MATCH('Tariff schedule'!N$16,'Prop. prices'!$I$5:$AB$5,0))</f>
        <v>0</v>
      </c>
      <c r="O229" s="232">
        <f>INDEX('Prop. prices'!$I$86:$AB$160,MATCH('Tariff schedule'!$C229,'Prop. prices'!$C$86:$C$160,0),MATCH('Tariff schedule'!O$16,'Prop. prices'!$I$5:$AB$5,0))</f>
        <v>0</v>
      </c>
      <c r="P229" s="232">
        <f>INDEX('Prop. prices'!$I$86:$AB$160,MATCH('Tariff schedule'!$C229,'Prop. prices'!$C$86:$C$160,0),MATCH('Tariff schedule'!P$16,'Prop. prices'!$I$5:$AB$5,0))</f>
        <v>0</v>
      </c>
      <c r="Q229" s="232">
        <f>INDEX('Prop. prices'!$I$86:$AB$160,MATCH('Tariff schedule'!$C229,'Prop. prices'!$C$86:$C$160,0),MATCH('Tariff schedule'!Q$16,'Prop. prices'!$I$5:$AB$5,0))</f>
        <v>0</v>
      </c>
      <c r="R229" s="232">
        <f>INDEX('Prop. prices'!$I$86:$AB$160,MATCH('Tariff schedule'!$C229,'Prop. prices'!$C$86:$C$160,0),MATCH('Tariff schedule'!R$16,'Prop. prices'!$I$5:$AB$5,0))</f>
        <v>0</v>
      </c>
      <c r="S229" s="232">
        <f>INDEX('Prop. prices'!$I$86:$AB$160,MATCH('Tariff schedule'!$C229,'Prop. prices'!$C$86:$C$160,0),MATCH('Tariff schedule'!S$16,'Prop. prices'!$I$5:$AB$5,0))</f>
        <v>0</v>
      </c>
      <c r="T229" s="232">
        <f>INDEX('Prop. prices'!$I$86:$AB$160,MATCH('Tariff schedule'!$C229,'Prop. prices'!$C$86:$C$160,0),MATCH('Tariff schedule'!T$16,'Prop. prices'!$I$5:$AB$5,0))</f>
        <v>0</v>
      </c>
      <c r="U229" s="232">
        <f>INDEX('Prop. prices'!$I$86:$AB$160,MATCH('Tariff schedule'!$C229,'Prop. prices'!$C$86:$C$160,0),MATCH('Tariff schedule'!U$16,'Prop. prices'!$I$5:$AB$5,0))</f>
        <v>0</v>
      </c>
      <c r="V229" s="232">
        <f>INDEX('Prop. prices'!$I$86:$AB$160,MATCH('Tariff schedule'!$C229,'Prop. prices'!$C$86:$C$160,0),MATCH('Tariff schedule'!V$16,'Prop. prices'!$I$5:$AB$5,0))</f>
        <v>0</v>
      </c>
      <c r="W229" s="232">
        <f>INDEX('Prop. prices'!$I$86:$AB$160,MATCH('Tariff schedule'!$C229,'Prop. prices'!$C$86:$C$160,0),MATCH('Tariff schedule'!W$16,'Prop. prices'!$I$5:$AB$5,0))</f>
        <v>0</v>
      </c>
      <c r="X229" s="232">
        <f>INDEX('Prop. prices'!$I$86:$AB$160,MATCH('Tariff schedule'!$C229,'Prop. prices'!$C$86:$C$160,0),MATCH('Tariff schedule'!X$16,'Prop. prices'!$I$5:$AB$5,0))</f>
        <v>0</v>
      </c>
      <c r="Y229" s="232">
        <f>INDEX('Prop. prices'!$I$86:$AB$160,MATCH('Tariff schedule'!$C229,'Prop. prices'!$C$86:$C$160,0),MATCH('Tariff schedule'!Y$16,'Prop. prices'!$I$5:$AB$5,0))</f>
        <v>0</v>
      </c>
      <c r="Z229" s="232">
        <f>INDEX('Prop. prices'!$I$86:$AB$160,MATCH('Tariff schedule'!$C229,'Prop. prices'!$C$86:$C$160,0),MATCH('Tariff schedule'!Z$16,'Prop. prices'!$I$5:$AB$5,0))</f>
        <v>0</v>
      </c>
      <c r="AA229" s="232">
        <f>INDEX('Prop. prices'!$I$86:$AB$160,MATCH('Tariff schedule'!$C229,'Prop. prices'!$C$86:$C$160,0),MATCH('Tariff schedule'!AA$16,'Prop. prices'!$I$5:$AB$5,0))</f>
        <v>0</v>
      </c>
      <c r="AB229" s="232">
        <f>INDEX('Prop. prices'!$I$86:$AB$160,MATCH('Tariff schedule'!$C229,'Prop. prices'!$C$86:$C$160,0),MATCH('Tariff schedule'!AB$16,'Prop. prices'!$I$5:$AB$5,0))</f>
        <v>0</v>
      </c>
      <c r="AC229" s="70"/>
      <c r="AD229" s="19"/>
      <c r="AE229" s="19"/>
      <c r="AF229" s="19"/>
      <c r="AG229" s="19"/>
    </row>
    <row r="230" spans="1:33" hidden="1" outlineLevel="3" x14ac:dyDescent="0.2">
      <c r="A230" s="19"/>
      <c r="B230" s="19"/>
      <c r="C230" s="506">
        <f t="shared" si="88"/>
        <v>0</v>
      </c>
      <c r="D230" s="505">
        <f t="shared" si="88"/>
        <v>0</v>
      </c>
      <c r="E230" s="505">
        <f t="shared" si="88"/>
        <v>0</v>
      </c>
      <c r="F230" s="505">
        <f t="shared" si="88"/>
        <v>0</v>
      </c>
      <c r="G230" s="505">
        <f t="shared" si="88"/>
        <v>0</v>
      </c>
      <c r="H230" s="58"/>
      <c r="I230" s="232">
        <f>INDEX('Prop. prices'!$I$86:$AB$160,MATCH('Tariff schedule'!$C230,'Prop. prices'!$C$86:$C$160,0),MATCH('Tariff schedule'!I$16,'Prop. prices'!$I$5:$AB$5,0))</f>
        <v>0</v>
      </c>
      <c r="J230" s="232">
        <f>INDEX('Prop. prices'!$I$86:$AB$160,MATCH('Tariff schedule'!$C230,'Prop. prices'!$C$86:$C$160,0),MATCH('Tariff schedule'!J$16,'Prop. prices'!$I$5:$AB$5,0))</f>
        <v>0</v>
      </c>
      <c r="K230" s="232">
        <f>INDEX('Prop. prices'!$I$86:$AB$160,MATCH('Tariff schedule'!$C230,'Prop. prices'!$C$86:$C$160,0),MATCH('Tariff schedule'!K$16,'Prop. prices'!$I$5:$AB$5,0))</f>
        <v>0</v>
      </c>
      <c r="L230" s="232">
        <f>INDEX('Prop. prices'!$I$86:$AB$160,MATCH('Tariff schedule'!$C230,'Prop. prices'!$C$86:$C$160,0),MATCH('Tariff schedule'!L$16,'Prop. prices'!$I$5:$AB$5,0))</f>
        <v>0</v>
      </c>
      <c r="M230" s="232">
        <f>INDEX('Prop. prices'!$I$86:$AB$160,MATCH('Tariff schedule'!$C230,'Prop. prices'!$C$86:$C$160,0),MATCH('Tariff schedule'!M$16,'Prop. prices'!$I$5:$AB$5,0))</f>
        <v>0</v>
      </c>
      <c r="N230" s="232">
        <f>INDEX('Prop. prices'!$I$86:$AB$160,MATCH('Tariff schedule'!$C230,'Prop. prices'!$C$86:$C$160,0),MATCH('Tariff schedule'!N$16,'Prop. prices'!$I$5:$AB$5,0))</f>
        <v>0</v>
      </c>
      <c r="O230" s="232">
        <f>INDEX('Prop. prices'!$I$86:$AB$160,MATCH('Tariff schedule'!$C230,'Prop. prices'!$C$86:$C$160,0),MATCH('Tariff schedule'!O$16,'Prop. prices'!$I$5:$AB$5,0))</f>
        <v>0</v>
      </c>
      <c r="P230" s="232">
        <f>INDEX('Prop. prices'!$I$86:$AB$160,MATCH('Tariff schedule'!$C230,'Prop. prices'!$C$86:$C$160,0),MATCH('Tariff schedule'!P$16,'Prop. prices'!$I$5:$AB$5,0))</f>
        <v>0</v>
      </c>
      <c r="Q230" s="232">
        <f>INDEX('Prop. prices'!$I$86:$AB$160,MATCH('Tariff schedule'!$C230,'Prop. prices'!$C$86:$C$160,0),MATCH('Tariff schedule'!Q$16,'Prop. prices'!$I$5:$AB$5,0))</f>
        <v>0</v>
      </c>
      <c r="R230" s="232">
        <f>INDEX('Prop. prices'!$I$86:$AB$160,MATCH('Tariff schedule'!$C230,'Prop. prices'!$C$86:$C$160,0),MATCH('Tariff schedule'!R$16,'Prop. prices'!$I$5:$AB$5,0))</f>
        <v>0</v>
      </c>
      <c r="S230" s="232">
        <f>INDEX('Prop. prices'!$I$86:$AB$160,MATCH('Tariff schedule'!$C230,'Prop. prices'!$C$86:$C$160,0),MATCH('Tariff schedule'!S$16,'Prop. prices'!$I$5:$AB$5,0))</f>
        <v>0</v>
      </c>
      <c r="T230" s="232">
        <f>INDEX('Prop. prices'!$I$86:$AB$160,MATCH('Tariff schedule'!$C230,'Prop. prices'!$C$86:$C$160,0),MATCH('Tariff schedule'!T$16,'Prop. prices'!$I$5:$AB$5,0))</f>
        <v>0</v>
      </c>
      <c r="U230" s="232">
        <f>INDEX('Prop. prices'!$I$86:$AB$160,MATCH('Tariff schedule'!$C230,'Prop. prices'!$C$86:$C$160,0),MATCH('Tariff schedule'!U$16,'Prop. prices'!$I$5:$AB$5,0))</f>
        <v>0</v>
      </c>
      <c r="V230" s="232">
        <f>INDEX('Prop. prices'!$I$86:$AB$160,MATCH('Tariff schedule'!$C230,'Prop. prices'!$C$86:$C$160,0),MATCH('Tariff schedule'!V$16,'Prop. prices'!$I$5:$AB$5,0))</f>
        <v>0</v>
      </c>
      <c r="W230" s="232">
        <f>INDEX('Prop. prices'!$I$86:$AB$160,MATCH('Tariff schedule'!$C230,'Prop. prices'!$C$86:$C$160,0),MATCH('Tariff schedule'!W$16,'Prop. prices'!$I$5:$AB$5,0))</f>
        <v>0</v>
      </c>
      <c r="X230" s="232">
        <f>INDEX('Prop. prices'!$I$86:$AB$160,MATCH('Tariff schedule'!$C230,'Prop. prices'!$C$86:$C$160,0),MATCH('Tariff schedule'!X$16,'Prop. prices'!$I$5:$AB$5,0))</f>
        <v>0</v>
      </c>
      <c r="Y230" s="232">
        <f>INDEX('Prop. prices'!$I$86:$AB$160,MATCH('Tariff schedule'!$C230,'Prop. prices'!$C$86:$C$160,0),MATCH('Tariff schedule'!Y$16,'Prop. prices'!$I$5:$AB$5,0))</f>
        <v>0</v>
      </c>
      <c r="Z230" s="232">
        <f>INDEX('Prop. prices'!$I$86:$AB$160,MATCH('Tariff schedule'!$C230,'Prop. prices'!$C$86:$C$160,0),MATCH('Tariff schedule'!Z$16,'Prop. prices'!$I$5:$AB$5,0))</f>
        <v>0</v>
      </c>
      <c r="AA230" s="232">
        <f>INDEX('Prop. prices'!$I$86:$AB$160,MATCH('Tariff schedule'!$C230,'Prop. prices'!$C$86:$C$160,0),MATCH('Tariff schedule'!AA$16,'Prop. prices'!$I$5:$AB$5,0))</f>
        <v>0</v>
      </c>
      <c r="AB230" s="232">
        <f>INDEX('Prop. prices'!$I$86:$AB$160,MATCH('Tariff schedule'!$C230,'Prop. prices'!$C$86:$C$160,0),MATCH('Tariff schedule'!AB$16,'Prop. prices'!$I$5:$AB$5,0))</f>
        <v>0</v>
      </c>
      <c r="AC230" s="70"/>
      <c r="AD230" s="19"/>
      <c r="AE230" s="19"/>
      <c r="AF230" s="19"/>
      <c r="AG230" s="19"/>
    </row>
    <row r="231" spans="1:33" hidden="1" outlineLevel="3" x14ac:dyDescent="0.2">
      <c r="A231" s="19"/>
      <c r="B231" s="19"/>
      <c r="C231" s="506">
        <f t="shared" si="88"/>
        <v>0</v>
      </c>
      <c r="D231" s="505">
        <f t="shared" si="88"/>
        <v>0</v>
      </c>
      <c r="E231" s="505">
        <f t="shared" si="88"/>
        <v>0</v>
      </c>
      <c r="F231" s="505">
        <f t="shared" si="88"/>
        <v>0</v>
      </c>
      <c r="G231" s="505">
        <f t="shared" si="88"/>
        <v>0</v>
      </c>
      <c r="H231" s="58"/>
      <c r="I231" s="232">
        <f>INDEX('Prop. prices'!$I$86:$AB$160,MATCH('Tariff schedule'!$C231,'Prop. prices'!$C$86:$C$160,0),MATCH('Tariff schedule'!I$16,'Prop. prices'!$I$5:$AB$5,0))</f>
        <v>0</v>
      </c>
      <c r="J231" s="232">
        <f>INDEX('Prop. prices'!$I$86:$AB$160,MATCH('Tariff schedule'!$C231,'Prop. prices'!$C$86:$C$160,0),MATCH('Tariff schedule'!J$16,'Prop. prices'!$I$5:$AB$5,0))</f>
        <v>0</v>
      </c>
      <c r="K231" s="232">
        <f>INDEX('Prop. prices'!$I$86:$AB$160,MATCH('Tariff schedule'!$C231,'Prop. prices'!$C$86:$C$160,0),MATCH('Tariff schedule'!K$16,'Prop. prices'!$I$5:$AB$5,0))</f>
        <v>0</v>
      </c>
      <c r="L231" s="232">
        <f>INDEX('Prop. prices'!$I$86:$AB$160,MATCH('Tariff schedule'!$C231,'Prop. prices'!$C$86:$C$160,0),MATCH('Tariff schedule'!L$16,'Prop. prices'!$I$5:$AB$5,0))</f>
        <v>0</v>
      </c>
      <c r="M231" s="232">
        <f>INDEX('Prop. prices'!$I$86:$AB$160,MATCH('Tariff schedule'!$C231,'Prop. prices'!$C$86:$C$160,0),MATCH('Tariff schedule'!M$16,'Prop. prices'!$I$5:$AB$5,0))</f>
        <v>0</v>
      </c>
      <c r="N231" s="232">
        <f>INDEX('Prop. prices'!$I$86:$AB$160,MATCH('Tariff schedule'!$C231,'Prop. prices'!$C$86:$C$160,0),MATCH('Tariff schedule'!N$16,'Prop. prices'!$I$5:$AB$5,0))</f>
        <v>0</v>
      </c>
      <c r="O231" s="232">
        <f>INDEX('Prop. prices'!$I$86:$AB$160,MATCH('Tariff schedule'!$C231,'Prop. prices'!$C$86:$C$160,0),MATCH('Tariff schedule'!O$16,'Prop. prices'!$I$5:$AB$5,0))</f>
        <v>0</v>
      </c>
      <c r="P231" s="232">
        <f>INDEX('Prop. prices'!$I$86:$AB$160,MATCH('Tariff schedule'!$C231,'Prop. prices'!$C$86:$C$160,0),MATCH('Tariff schedule'!P$16,'Prop. prices'!$I$5:$AB$5,0))</f>
        <v>0</v>
      </c>
      <c r="Q231" s="232">
        <f>INDEX('Prop. prices'!$I$86:$AB$160,MATCH('Tariff schedule'!$C231,'Prop. prices'!$C$86:$C$160,0),MATCH('Tariff schedule'!Q$16,'Prop. prices'!$I$5:$AB$5,0))</f>
        <v>0</v>
      </c>
      <c r="R231" s="232">
        <f>INDEX('Prop. prices'!$I$86:$AB$160,MATCH('Tariff schedule'!$C231,'Prop. prices'!$C$86:$C$160,0),MATCH('Tariff schedule'!R$16,'Prop. prices'!$I$5:$AB$5,0))</f>
        <v>0</v>
      </c>
      <c r="S231" s="232">
        <f>INDEX('Prop. prices'!$I$86:$AB$160,MATCH('Tariff schedule'!$C231,'Prop. prices'!$C$86:$C$160,0),MATCH('Tariff schedule'!S$16,'Prop. prices'!$I$5:$AB$5,0))</f>
        <v>0</v>
      </c>
      <c r="T231" s="232">
        <f>INDEX('Prop. prices'!$I$86:$AB$160,MATCH('Tariff schedule'!$C231,'Prop. prices'!$C$86:$C$160,0),MATCH('Tariff schedule'!T$16,'Prop. prices'!$I$5:$AB$5,0))</f>
        <v>0</v>
      </c>
      <c r="U231" s="232">
        <f>INDEX('Prop. prices'!$I$86:$AB$160,MATCH('Tariff schedule'!$C231,'Prop. prices'!$C$86:$C$160,0),MATCH('Tariff schedule'!U$16,'Prop. prices'!$I$5:$AB$5,0))</f>
        <v>0</v>
      </c>
      <c r="V231" s="232">
        <f>INDEX('Prop. prices'!$I$86:$AB$160,MATCH('Tariff schedule'!$C231,'Prop. prices'!$C$86:$C$160,0),MATCH('Tariff schedule'!V$16,'Prop. prices'!$I$5:$AB$5,0))</f>
        <v>0</v>
      </c>
      <c r="W231" s="232">
        <f>INDEX('Prop. prices'!$I$86:$AB$160,MATCH('Tariff schedule'!$C231,'Prop. prices'!$C$86:$C$160,0),MATCH('Tariff schedule'!W$16,'Prop. prices'!$I$5:$AB$5,0))</f>
        <v>0</v>
      </c>
      <c r="X231" s="232">
        <f>INDEX('Prop. prices'!$I$86:$AB$160,MATCH('Tariff schedule'!$C231,'Prop. prices'!$C$86:$C$160,0),MATCH('Tariff schedule'!X$16,'Prop. prices'!$I$5:$AB$5,0))</f>
        <v>0</v>
      </c>
      <c r="Y231" s="232">
        <f>INDEX('Prop. prices'!$I$86:$AB$160,MATCH('Tariff schedule'!$C231,'Prop. prices'!$C$86:$C$160,0),MATCH('Tariff schedule'!Y$16,'Prop. prices'!$I$5:$AB$5,0))</f>
        <v>0</v>
      </c>
      <c r="Z231" s="232">
        <f>INDEX('Prop. prices'!$I$86:$AB$160,MATCH('Tariff schedule'!$C231,'Prop. prices'!$C$86:$C$160,0),MATCH('Tariff schedule'!Z$16,'Prop. prices'!$I$5:$AB$5,0))</f>
        <v>0</v>
      </c>
      <c r="AA231" s="232">
        <f>INDEX('Prop. prices'!$I$86:$AB$160,MATCH('Tariff schedule'!$C231,'Prop. prices'!$C$86:$C$160,0),MATCH('Tariff schedule'!AA$16,'Prop. prices'!$I$5:$AB$5,0))</f>
        <v>0</v>
      </c>
      <c r="AB231" s="232">
        <f>INDEX('Prop. prices'!$I$86:$AB$160,MATCH('Tariff schedule'!$C231,'Prop. prices'!$C$86:$C$160,0),MATCH('Tariff schedule'!AB$16,'Prop. prices'!$I$5:$AB$5,0))</f>
        <v>0</v>
      </c>
      <c r="AC231" s="70"/>
      <c r="AD231" s="19"/>
      <c r="AE231" s="19"/>
      <c r="AF231" s="19"/>
      <c r="AG231" s="19"/>
    </row>
    <row r="232" spans="1:33" hidden="1" outlineLevel="3" x14ac:dyDescent="0.2">
      <c r="A232" s="19"/>
      <c r="B232" s="19"/>
      <c r="C232" s="506">
        <f t="shared" si="88"/>
        <v>0</v>
      </c>
      <c r="D232" s="505">
        <f t="shared" si="88"/>
        <v>0</v>
      </c>
      <c r="E232" s="505">
        <f t="shared" si="88"/>
        <v>0</v>
      </c>
      <c r="F232" s="505">
        <f t="shared" si="88"/>
        <v>0</v>
      </c>
      <c r="G232" s="505">
        <f t="shared" si="88"/>
        <v>0</v>
      </c>
      <c r="H232" s="58"/>
      <c r="I232" s="232">
        <f>INDEX('Prop. prices'!$I$86:$AB$160,MATCH('Tariff schedule'!$C232,'Prop. prices'!$C$86:$C$160,0),MATCH('Tariff schedule'!I$16,'Prop. prices'!$I$5:$AB$5,0))</f>
        <v>0</v>
      </c>
      <c r="J232" s="232">
        <f>INDEX('Prop. prices'!$I$86:$AB$160,MATCH('Tariff schedule'!$C232,'Prop. prices'!$C$86:$C$160,0),MATCH('Tariff schedule'!J$16,'Prop. prices'!$I$5:$AB$5,0))</f>
        <v>0</v>
      </c>
      <c r="K232" s="232">
        <f>INDEX('Prop. prices'!$I$86:$AB$160,MATCH('Tariff schedule'!$C232,'Prop. prices'!$C$86:$C$160,0),MATCH('Tariff schedule'!K$16,'Prop. prices'!$I$5:$AB$5,0))</f>
        <v>0</v>
      </c>
      <c r="L232" s="232">
        <f>INDEX('Prop. prices'!$I$86:$AB$160,MATCH('Tariff schedule'!$C232,'Prop. prices'!$C$86:$C$160,0),MATCH('Tariff schedule'!L$16,'Prop. prices'!$I$5:$AB$5,0))</f>
        <v>0</v>
      </c>
      <c r="M232" s="232">
        <f>INDEX('Prop. prices'!$I$86:$AB$160,MATCH('Tariff schedule'!$C232,'Prop. prices'!$C$86:$C$160,0),MATCH('Tariff schedule'!M$16,'Prop. prices'!$I$5:$AB$5,0))</f>
        <v>0</v>
      </c>
      <c r="N232" s="232">
        <f>INDEX('Prop. prices'!$I$86:$AB$160,MATCH('Tariff schedule'!$C232,'Prop. prices'!$C$86:$C$160,0),MATCH('Tariff schedule'!N$16,'Prop. prices'!$I$5:$AB$5,0))</f>
        <v>0</v>
      </c>
      <c r="O232" s="232">
        <f>INDEX('Prop. prices'!$I$86:$AB$160,MATCH('Tariff schedule'!$C232,'Prop. prices'!$C$86:$C$160,0),MATCH('Tariff schedule'!O$16,'Prop. prices'!$I$5:$AB$5,0))</f>
        <v>0</v>
      </c>
      <c r="P232" s="232">
        <f>INDEX('Prop. prices'!$I$86:$AB$160,MATCH('Tariff schedule'!$C232,'Prop. prices'!$C$86:$C$160,0),MATCH('Tariff schedule'!P$16,'Prop. prices'!$I$5:$AB$5,0))</f>
        <v>0</v>
      </c>
      <c r="Q232" s="232">
        <f>INDEX('Prop. prices'!$I$86:$AB$160,MATCH('Tariff schedule'!$C232,'Prop. prices'!$C$86:$C$160,0),MATCH('Tariff schedule'!Q$16,'Prop. prices'!$I$5:$AB$5,0))</f>
        <v>0</v>
      </c>
      <c r="R232" s="232">
        <f>INDEX('Prop. prices'!$I$86:$AB$160,MATCH('Tariff schedule'!$C232,'Prop. prices'!$C$86:$C$160,0),MATCH('Tariff schedule'!R$16,'Prop. prices'!$I$5:$AB$5,0))</f>
        <v>0</v>
      </c>
      <c r="S232" s="232">
        <f>INDEX('Prop. prices'!$I$86:$AB$160,MATCH('Tariff schedule'!$C232,'Prop. prices'!$C$86:$C$160,0),MATCH('Tariff schedule'!S$16,'Prop. prices'!$I$5:$AB$5,0))</f>
        <v>0</v>
      </c>
      <c r="T232" s="232">
        <f>INDEX('Prop. prices'!$I$86:$AB$160,MATCH('Tariff schedule'!$C232,'Prop. prices'!$C$86:$C$160,0),MATCH('Tariff schedule'!T$16,'Prop. prices'!$I$5:$AB$5,0))</f>
        <v>0</v>
      </c>
      <c r="U232" s="232">
        <f>INDEX('Prop. prices'!$I$86:$AB$160,MATCH('Tariff schedule'!$C232,'Prop. prices'!$C$86:$C$160,0),MATCH('Tariff schedule'!U$16,'Prop. prices'!$I$5:$AB$5,0))</f>
        <v>0</v>
      </c>
      <c r="V232" s="232">
        <f>INDEX('Prop. prices'!$I$86:$AB$160,MATCH('Tariff schedule'!$C232,'Prop. prices'!$C$86:$C$160,0),MATCH('Tariff schedule'!V$16,'Prop. prices'!$I$5:$AB$5,0))</f>
        <v>0</v>
      </c>
      <c r="W232" s="232">
        <f>INDEX('Prop. prices'!$I$86:$AB$160,MATCH('Tariff schedule'!$C232,'Prop. prices'!$C$86:$C$160,0),MATCH('Tariff schedule'!W$16,'Prop. prices'!$I$5:$AB$5,0))</f>
        <v>0</v>
      </c>
      <c r="X232" s="232">
        <f>INDEX('Prop. prices'!$I$86:$AB$160,MATCH('Tariff schedule'!$C232,'Prop. prices'!$C$86:$C$160,0),MATCH('Tariff schedule'!X$16,'Prop. prices'!$I$5:$AB$5,0))</f>
        <v>0</v>
      </c>
      <c r="Y232" s="232">
        <f>INDEX('Prop. prices'!$I$86:$AB$160,MATCH('Tariff schedule'!$C232,'Prop. prices'!$C$86:$C$160,0),MATCH('Tariff schedule'!Y$16,'Prop. prices'!$I$5:$AB$5,0))</f>
        <v>0</v>
      </c>
      <c r="Z232" s="232">
        <f>INDEX('Prop. prices'!$I$86:$AB$160,MATCH('Tariff schedule'!$C232,'Prop. prices'!$C$86:$C$160,0),MATCH('Tariff schedule'!Z$16,'Prop. prices'!$I$5:$AB$5,0))</f>
        <v>0</v>
      </c>
      <c r="AA232" s="232">
        <f>INDEX('Prop. prices'!$I$86:$AB$160,MATCH('Tariff schedule'!$C232,'Prop. prices'!$C$86:$C$160,0),MATCH('Tariff schedule'!AA$16,'Prop. prices'!$I$5:$AB$5,0))</f>
        <v>0</v>
      </c>
      <c r="AB232" s="232">
        <f>INDEX('Prop. prices'!$I$86:$AB$160,MATCH('Tariff schedule'!$C232,'Prop. prices'!$C$86:$C$160,0),MATCH('Tariff schedule'!AB$16,'Prop. prices'!$I$5:$AB$5,0))</f>
        <v>0</v>
      </c>
      <c r="AC232" s="70"/>
      <c r="AD232" s="19"/>
      <c r="AE232" s="19"/>
      <c r="AF232" s="19"/>
      <c r="AG232" s="19"/>
    </row>
    <row r="233" spans="1:33" hidden="1" outlineLevel="3" x14ac:dyDescent="0.2">
      <c r="A233" s="19"/>
      <c r="B233" s="19"/>
      <c r="C233" s="506">
        <f t="shared" si="88"/>
        <v>0</v>
      </c>
      <c r="D233" s="505">
        <f t="shared" si="88"/>
        <v>0</v>
      </c>
      <c r="E233" s="505">
        <f t="shared" si="88"/>
        <v>0</v>
      </c>
      <c r="F233" s="505">
        <f t="shared" si="88"/>
        <v>0</v>
      </c>
      <c r="G233" s="505">
        <f t="shared" si="88"/>
        <v>0</v>
      </c>
      <c r="H233" s="58"/>
      <c r="I233" s="232">
        <f>INDEX('Prop. prices'!$I$86:$AB$160,MATCH('Tariff schedule'!$C233,'Prop. prices'!$C$86:$C$160,0),MATCH('Tariff schedule'!I$16,'Prop. prices'!$I$5:$AB$5,0))</f>
        <v>0</v>
      </c>
      <c r="J233" s="232">
        <f>INDEX('Prop. prices'!$I$86:$AB$160,MATCH('Tariff schedule'!$C233,'Prop. prices'!$C$86:$C$160,0),MATCH('Tariff schedule'!J$16,'Prop. prices'!$I$5:$AB$5,0))</f>
        <v>0</v>
      </c>
      <c r="K233" s="232">
        <f>INDEX('Prop. prices'!$I$86:$AB$160,MATCH('Tariff schedule'!$C233,'Prop. prices'!$C$86:$C$160,0),MATCH('Tariff schedule'!K$16,'Prop. prices'!$I$5:$AB$5,0))</f>
        <v>0</v>
      </c>
      <c r="L233" s="232">
        <f>INDEX('Prop. prices'!$I$86:$AB$160,MATCH('Tariff schedule'!$C233,'Prop. prices'!$C$86:$C$160,0),MATCH('Tariff schedule'!L$16,'Prop. prices'!$I$5:$AB$5,0))</f>
        <v>0</v>
      </c>
      <c r="M233" s="232">
        <f>INDEX('Prop. prices'!$I$86:$AB$160,MATCH('Tariff schedule'!$C233,'Prop. prices'!$C$86:$C$160,0),MATCH('Tariff schedule'!M$16,'Prop. prices'!$I$5:$AB$5,0))</f>
        <v>0</v>
      </c>
      <c r="N233" s="232">
        <f>INDEX('Prop. prices'!$I$86:$AB$160,MATCH('Tariff schedule'!$C233,'Prop. prices'!$C$86:$C$160,0),MATCH('Tariff schedule'!N$16,'Prop. prices'!$I$5:$AB$5,0))</f>
        <v>0</v>
      </c>
      <c r="O233" s="232">
        <f>INDEX('Prop. prices'!$I$86:$AB$160,MATCH('Tariff schedule'!$C233,'Prop. prices'!$C$86:$C$160,0),MATCH('Tariff schedule'!O$16,'Prop. prices'!$I$5:$AB$5,0))</f>
        <v>0</v>
      </c>
      <c r="P233" s="232">
        <f>INDEX('Prop. prices'!$I$86:$AB$160,MATCH('Tariff schedule'!$C233,'Prop. prices'!$C$86:$C$160,0),MATCH('Tariff schedule'!P$16,'Prop. prices'!$I$5:$AB$5,0))</f>
        <v>0</v>
      </c>
      <c r="Q233" s="232">
        <f>INDEX('Prop. prices'!$I$86:$AB$160,MATCH('Tariff schedule'!$C233,'Prop. prices'!$C$86:$C$160,0),MATCH('Tariff schedule'!Q$16,'Prop. prices'!$I$5:$AB$5,0))</f>
        <v>0</v>
      </c>
      <c r="R233" s="232">
        <f>INDEX('Prop. prices'!$I$86:$AB$160,MATCH('Tariff schedule'!$C233,'Prop. prices'!$C$86:$C$160,0),MATCH('Tariff schedule'!R$16,'Prop. prices'!$I$5:$AB$5,0))</f>
        <v>0</v>
      </c>
      <c r="S233" s="232">
        <f>INDEX('Prop. prices'!$I$86:$AB$160,MATCH('Tariff schedule'!$C233,'Prop. prices'!$C$86:$C$160,0),MATCH('Tariff schedule'!S$16,'Prop. prices'!$I$5:$AB$5,0))</f>
        <v>0</v>
      </c>
      <c r="T233" s="232">
        <f>INDEX('Prop. prices'!$I$86:$AB$160,MATCH('Tariff schedule'!$C233,'Prop. prices'!$C$86:$C$160,0),MATCH('Tariff schedule'!T$16,'Prop. prices'!$I$5:$AB$5,0))</f>
        <v>0</v>
      </c>
      <c r="U233" s="232">
        <f>INDEX('Prop. prices'!$I$86:$AB$160,MATCH('Tariff schedule'!$C233,'Prop. prices'!$C$86:$C$160,0),MATCH('Tariff schedule'!U$16,'Prop. prices'!$I$5:$AB$5,0))</f>
        <v>0</v>
      </c>
      <c r="V233" s="232">
        <f>INDEX('Prop. prices'!$I$86:$AB$160,MATCH('Tariff schedule'!$C233,'Prop. prices'!$C$86:$C$160,0),MATCH('Tariff schedule'!V$16,'Prop. prices'!$I$5:$AB$5,0))</f>
        <v>0</v>
      </c>
      <c r="W233" s="232">
        <f>INDEX('Prop. prices'!$I$86:$AB$160,MATCH('Tariff schedule'!$C233,'Prop. prices'!$C$86:$C$160,0),MATCH('Tariff schedule'!W$16,'Prop. prices'!$I$5:$AB$5,0))</f>
        <v>0</v>
      </c>
      <c r="X233" s="232">
        <f>INDEX('Prop. prices'!$I$86:$AB$160,MATCH('Tariff schedule'!$C233,'Prop. prices'!$C$86:$C$160,0),MATCH('Tariff schedule'!X$16,'Prop. prices'!$I$5:$AB$5,0))</f>
        <v>0</v>
      </c>
      <c r="Y233" s="232">
        <f>INDEX('Prop. prices'!$I$86:$AB$160,MATCH('Tariff schedule'!$C233,'Prop. prices'!$C$86:$C$160,0),MATCH('Tariff schedule'!Y$16,'Prop. prices'!$I$5:$AB$5,0))</f>
        <v>0</v>
      </c>
      <c r="Z233" s="232">
        <f>INDEX('Prop. prices'!$I$86:$AB$160,MATCH('Tariff schedule'!$C233,'Prop. prices'!$C$86:$C$160,0),MATCH('Tariff schedule'!Z$16,'Prop. prices'!$I$5:$AB$5,0))</f>
        <v>0</v>
      </c>
      <c r="AA233" s="232">
        <f>INDEX('Prop. prices'!$I$86:$AB$160,MATCH('Tariff schedule'!$C233,'Prop. prices'!$C$86:$C$160,0),MATCH('Tariff schedule'!AA$16,'Prop. prices'!$I$5:$AB$5,0))</f>
        <v>0</v>
      </c>
      <c r="AB233" s="232">
        <f>INDEX('Prop. prices'!$I$86:$AB$160,MATCH('Tariff schedule'!$C233,'Prop. prices'!$C$86:$C$160,0),MATCH('Tariff schedule'!AB$16,'Prop. prices'!$I$5:$AB$5,0))</f>
        <v>0</v>
      </c>
      <c r="AC233" s="70"/>
      <c r="AD233" s="19"/>
      <c r="AE233" s="19"/>
      <c r="AF233" s="19"/>
      <c r="AG233" s="19"/>
    </row>
    <row r="234" spans="1:33" hidden="1" outlineLevel="3" x14ac:dyDescent="0.2">
      <c r="A234" s="19"/>
      <c r="B234" s="19"/>
      <c r="C234" s="506">
        <f t="shared" si="88"/>
        <v>0</v>
      </c>
      <c r="D234" s="505">
        <f t="shared" si="88"/>
        <v>0</v>
      </c>
      <c r="E234" s="505">
        <f t="shared" si="88"/>
        <v>0</v>
      </c>
      <c r="F234" s="505">
        <f t="shared" si="88"/>
        <v>0</v>
      </c>
      <c r="G234" s="505">
        <f t="shared" si="88"/>
        <v>0</v>
      </c>
      <c r="H234" s="58"/>
      <c r="I234" s="232">
        <f>INDEX('Prop. prices'!$I$86:$AB$160,MATCH('Tariff schedule'!$C234,'Prop. prices'!$C$86:$C$160,0),MATCH('Tariff schedule'!I$16,'Prop. prices'!$I$5:$AB$5,0))</f>
        <v>0</v>
      </c>
      <c r="J234" s="232">
        <f>INDEX('Prop. prices'!$I$86:$AB$160,MATCH('Tariff schedule'!$C234,'Prop. prices'!$C$86:$C$160,0),MATCH('Tariff schedule'!J$16,'Prop. prices'!$I$5:$AB$5,0))</f>
        <v>0</v>
      </c>
      <c r="K234" s="232">
        <f>INDEX('Prop. prices'!$I$86:$AB$160,MATCH('Tariff schedule'!$C234,'Prop. prices'!$C$86:$C$160,0),MATCH('Tariff schedule'!K$16,'Prop. prices'!$I$5:$AB$5,0))</f>
        <v>0</v>
      </c>
      <c r="L234" s="232">
        <f>INDEX('Prop. prices'!$I$86:$AB$160,MATCH('Tariff schedule'!$C234,'Prop. prices'!$C$86:$C$160,0),MATCH('Tariff schedule'!L$16,'Prop. prices'!$I$5:$AB$5,0))</f>
        <v>0</v>
      </c>
      <c r="M234" s="232">
        <f>INDEX('Prop. prices'!$I$86:$AB$160,MATCH('Tariff schedule'!$C234,'Prop. prices'!$C$86:$C$160,0),MATCH('Tariff schedule'!M$16,'Prop. prices'!$I$5:$AB$5,0))</f>
        <v>0</v>
      </c>
      <c r="N234" s="232">
        <f>INDEX('Prop. prices'!$I$86:$AB$160,MATCH('Tariff schedule'!$C234,'Prop. prices'!$C$86:$C$160,0),MATCH('Tariff schedule'!N$16,'Prop. prices'!$I$5:$AB$5,0))</f>
        <v>0</v>
      </c>
      <c r="O234" s="232">
        <f>INDEX('Prop. prices'!$I$86:$AB$160,MATCH('Tariff schedule'!$C234,'Prop. prices'!$C$86:$C$160,0),MATCH('Tariff schedule'!O$16,'Prop. prices'!$I$5:$AB$5,0))</f>
        <v>0</v>
      </c>
      <c r="P234" s="232">
        <f>INDEX('Prop. prices'!$I$86:$AB$160,MATCH('Tariff schedule'!$C234,'Prop. prices'!$C$86:$C$160,0),MATCH('Tariff schedule'!P$16,'Prop. prices'!$I$5:$AB$5,0))</f>
        <v>0</v>
      </c>
      <c r="Q234" s="232">
        <f>INDEX('Prop. prices'!$I$86:$AB$160,MATCH('Tariff schedule'!$C234,'Prop. prices'!$C$86:$C$160,0),MATCH('Tariff schedule'!Q$16,'Prop. prices'!$I$5:$AB$5,0))</f>
        <v>0</v>
      </c>
      <c r="R234" s="232">
        <f>INDEX('Prop. prices'!$I$86:$AB$160,MATCH('Tariff schedule'!$C234,'Prop. prices'!$C$86:$C$160,0),MATCH('Tariff schedule'!R$16,'Prop. prices'!$I$5:$AB$5,0))</f>
        <v>0</v>
      </c>
      <c r="S234" s="232">
        <f>INDEX('Prop. prices'!$I$86:$AB$160,MATCH('Tariff schedule'!$C234,'Prop. prices'!$C$86:$C$160,0),MATCH('Tariff schedule'!S$16,'Prop. prices'!$I$5:$AB$5,0))</f>
        <v>0</v>
      </c>
      <c r="T234" s="232">
        <f>INDEX('Prop. prices'!$I$86:$AB$160,MATCH('Tariff schedule'!$C234,'Prop. prices'!$C$86:$C$160,0),MATCH('Tariff schedule'!T$16,'Prop. prices'!$I$5:$AB$5,0))</f>
        <v>0</v>
      </c>
      <c r="U234" s="232">
        <f>INDEX('Prop. prices'!$I$86:$AB$160,MATCH('Tariff schedule'!$C234,'Prop. prices'!$C$86:$C$160,0),MATCH('Tariff schedule'!U$16,'Prop. prices'!$I$5:$AB$5,0))</f>
        <v>0</v>
      </c>
      <c r="V234" s="232">
        <f>INDEX('Prop. prices'!$I$86:$AB$160,MATCH('Tariff schedule'!$C234,'Prop. prices'!$C$86:$C$160,0),MATCH('Tariff schedule'!V$16,'Prop. prices'!$I$5:$AB$5,0))</f>
        <v>0</v>
      </c>
      <c r="W234" s="232">
        <f>INDEX('Prop. prices'!$I$86:$AB$160,MATCH('Tariff schedule'!$C234,'Prop. prices'!$C$86:$C$160,0),MATCH('Tariff schedule'!W$16,'Prop. prices'!$I$5:$AB$5,0))</f>
        <v>0</v>
      </c>
      <c r="X234" s="232">
        <f>INDEX('Prop. prices'!$I$86:$AB$160,MATCH('Tariff schedule'!$C234,'Prop. prices'!$C$86:$C$160,0),MATCH('Tariff schedule'!X$16,'Prop. prices'!$I$5:$AB$5,0))</f>
        <v>0</v>
      </c>
      <c r="Y234" s="232">
        <f>INDEX('Prop. prices'!$I$86:$AB$160,MATCH('Tariff schedule'!$C234,'Prop. prices'!$C$86:$C$160,0),MATCH('Tariff schedule'!Y$16,'Prop. prices'!$I$5:$AB$5,0))</f>
        <v>0</v>
      </c>
      <c r="Z234" s="232">
        <f>INDEX('Prop. prices'!$I$86:$AB$160,MATCH('Tariff schedule'!$C234,'Prop. prices'!$C$86:$C$160,0),MATCH('Tariff schedule'!Z$16,'Prop. prices'!$I$5:$AB$5,0))</f>
        <v>0</v>
      </c>
      <c r="AA234" s="232">
        <f>INDEX('Prop. prices'!$I$86:$AB$160,MATCH('Tariff schedule'!$C234,'Prop. prices'!$C$86:$C$160,0),MATCH('Tariff schedule'!AA$16,'Prop. prices'!$I$5:$AB$5,0))</f>
        <v>0</v>
      </c>
      <c r="AB234" s="232">
        <f>INDEX('Prop. prices'!$I$86:$AB$160,MATCH('Tariff schedule'!$C234,'Prop. prices'!$C$86:$C$160,0),MATCH('Tariff schedule'!AB$16,'Prop. prices'!$I$5:$AB$5,0))</f>
        <v>0</v>
      </c>
      <c r="AC234" s="70"/>
      <c r="AD234" s="19"/>
      <c r="AE234" s="19"/>
      <c r="AF234" s="19"/>
      <c r="AG234" s="19"/>
    </row>
    <row r="235" spans="1:33" hidden="1" outlineLevel="3" x14ac:dyDescent="0.2">
      <c r="A235" s="19"/>
      <c r="B235" s="19"/>
      <c r="C235" s="506">
        <f t="shared" ref="C235:G244" si="89">C79</f>
        <v>0</v>
      </c>
      <c r="D235" s="505">
        <f t="shared" si="89"/>
        <v>0</v>
      </c>
      <c r="E235" s="505">
        <f t="shared" si="89"/>
        <v>0</v>
      </c>
      <c r="F235" s="505">
        <f t="shared" si="89"/>
        <v>0</v>
      </c>
      <c r="G235" s="505">
        <f t="shared" si="89"/>
        <v>0</v>
      </c>
      <c r="H235" s="58"/>
      <c r="I235" s="232">
        <f>INDEX('Prop. prices'!$I$86:$AB$160,MATCH('Tariff schedule'!$C235,'Prop. prices'!$C$86:$C$160,0),MATCH('Tariff schedule'!I$16,'Prop. prices'!$I$5:$AB$5,0))</f>
        <v>0</v>
      </c>
      <c r="J235" s="232">
        <f>INDEX('Prop. prices'!$I$86:$AB$160,MATCH('Tariff schedule'!$C235,'Prop. prices'!$C$86:$C$160,0),MATCH('Tariff schedule'!J$16,'Prop. prices'!$I$5:$AB$5,0))</f>
        <v>0</v>
      </c>
      <c r="K235" s="232">
        <f>INDEX('Prop. prices'!$I$86:$AB$160,MATCH('Tariff schedule'!$C235,'Prop. prices'!$C$86:$C$160,0),MATCH('Tariff schedule'!K$16,'Prop. prices'!$I$5:$AB$5,0))</f>
        <v>0</v>
      </c>
      <c r="L235" s="232">
        <f>INDEX('Prop. prices'!$I$86:$AB$160,MATCH('Tariff schedule'!$C235,'Prop. prices'!$C$86:$C$160,0),MATCH('Tariff schedule'!L$16,'Prop. prices'!$I$5:$AB$5,0))</f>
        <v>0</v>
      </c>
      <c r="M235" s="232">
        <f>INDEX('Prop. prices'!$I$86:$AB$160,MATCH('Tariff schedule'!$C235,'Prop. prices'!$C$86:$C$160,0),MATCH('Tariff schedule'!M$16,'Prop. prices'!$I$5:$AB$5,0))</f>
        <v>0</v>
      </c>
      <c r="N235" s="232">
        <f>INDEX('Prop. prices'!$I$86:$AB$160,MATCH('Tariff schedule'!$C235,'Prop. prices'!$C$86:$C$160,0),MATCH('Tariff schedule'!N$16,'Prop. prices'!$I$5:$AB$5,0))</f>
        <v>0</v>
      </c>
      <c r="O235" s="232">
        <f>INDEX('Prop. prices'!$I$86:$AB$160,MATCH('Tariff schedule'!$C235,'Prop. prices'!$C$86:$C$160,0),MATCH('Tariff schedule'!O$16,'Prop. prices'!$I$5:$AB$5,0))</f>
        <v>0</v>
      </c>
      <c r="P235" s="232">
        <f>INDEX('Prop. prices'!$I$86:$AB$160,MATCH('Tariff schedule'!$C235,'Prop. prices'!$C$86:$C$160,0),MATCH('Tariff schedule'!P$16,'Prop. prices'!$I$5:$AB$5,0))</f>
        <v>0</v>
      </c>
      <c r="Q235" s="232">
        <f>INDEX('Prop. prices'!$I$86:$AB$160,MATCH('Tariff schedule'!$C235,'Prop. prices'!$C$86:$C$160,0),MATCH('Tariff schedule'!Q$16,'Prop. prices'!$I$5:$AB$5,0))</f>
        <v>0</v>
      </c>
      <c r="R235" s="232">
        <f>INDEX('Prop. prices'!$I$86:$AB$160,MATCH('Tariff schedule'!$C235,'Prop. prices'!$C$86:$C$160,0),MATCH('Tariff schedule'!R$16,'Prop. prices'!$I$5:$AB$5,0))</f>
        <v>0</v>
      </c>
      <c r="S235" s="232">
        <f>INDEX('Prop. prices'!$I$86:$AB$160,MATCH('Tariff schedule'!$C235,'Prop. prices'!$C$86:$C$160,0),MATCH('Tariff schedule'!S$16,'Prop. prices'!$I$5:$AB$5,0))</f>
        <v>0</v>
      </c>
      <c r="T235" s="232">
        <f>INDEX('Prop. prices'!$I$86:$AB$160,MATCH('Tariff schedule'!$C235,'Prop. prices'!$C$86:$C$160,0),MATCH('Tariff schedule'!T$16,'Prop. prices'!$I$5:$AB$5,0))</f>
        <v>0</v>
      </c>
      <c r="U235" s="232">
        <f>INDEX('Prop. prices'!$I$86:$AB$160,MATCH('Tariff schedule'!$C235,'Prop. prices'!$C$86:$C$160,0),MATCH('Tariff schedule'!U$16,'Prop. prices'!$I$5:$AB$5,0))</f>
        <v>0</v>
      </c>
      <c r="V235" s="232">
        <f>INDEX('Prop. prices'!$I$86:$AB$160,MATCH('Tariff schedule'!$C235,'Prop. prices'!$C$86:$C$160,0),MATCH('Tariff schedule'!V$16,'Prop. prices'!$I$5:$AB$5,0))</f>
        <v>0</v>
      </c>
      <c r="W235" s="232">
        <f>INDEX('Prop. prices'!$I$86:$AB$160,MATCH('Tariff schedule'!$C235,'Prop. prices'!$C$86:$C$160,0),MATCH('Tariff schedule'!W$16,'Prop. prices'!$I$5:$AB$5,0))</f>
        <v>0</v>
      </c>
      <c r="X235" s="232">
        <f>INDEX('Prop. prices'!$I$86:$AB$160,MATCH('Tariff schedule'!$C235,'Prop. prices'!$C$86:$C$160,0),MATCH('Tariff schedule'!X$16,'Prop. prices'!$I$5:$AB$5,0))</f>
        <v>0</v>
      </c>
      <c r="Y235" s="232">
        <f>INDEX('Prop. prices'!$I$86:$AB$160,MATCH('Tariff schedule'!$C235,'Prop. prices'!$C$86:$C$160,0),MATCH('Tariff schedule'!Y$16,'Prop. prices'!$I$5:$AB$5,0))</f>
        <v>0</v>
      </c>
      <c r="Z235" s="232">
        <f>INDEX('Prop. prices'!$I$86:$AB$160,MATCH('Tariff schedule'!$C235,'Prop. prices'!$C$86:$C$160,0),MATCH('Tariff schedule'!Z$16,'Prop. prices'!$I$5:$AB$5,0))</f>
        <v>0</v>
      </c>
      <c r="AA235" s="232">
        <f>INDEX('Prop. prices'!$I$86:$AB$160,MATCH('Tariff schedule'!$C235,'Prop. prices'!$C$86:$C$160,0),MATCH('Tariff schedule'!AA$16,'Prop. prices'!$I$5:$AB$5,0))</f>
        <v>0</v>
      </c>
      <c r="AB235" s="232">
        <f>INDEX('Prop. prices'!$I$86:$AB$160,MATCH('Tariff schedule'!$C235,'Prop. prices'!$C$86:$C$160,0),MATCH('Tariff schedule'!AB$16,'Prop. prices'!$I$5:$AB$5,0))</f>
        <v>0</v>
      </c>
      <c r="AC235" s="70"/>
      <c r="AD235" s="19"/>
      <c r="AE235" s="19"/>
      <c r="AF235" s="19"/>
      <c r="AG235" s="19"/>
    </row>
    <row r="236" spans="1:33" hidden="1" outlineLevel="3" x14ac:dyDescent="0.2">
      <c r="A236" s="19"/>
      <c r="B236" s="19"/>
      <c r="C236" s="506">
        <f t="shared" si="89"/>
        <v>0</v>
      </c>
      <c r="D236" s="505">
        <f t="shared" si="89"/>
        <v>0</v>
      </c>
      <c r="E236" s="505">
        <f t="shared" si="89"/>
        <v>0</v>
      </c>
      <c r="F236" s="505">
        <f t="shared" si="89"/>
        <v>0</v>
      </c>
      <c r="G236" s="505">
        <f t="shared" si="89"/>
        <v>0</v>
      </c>
      <c r="H236" s="58"/>
      <c r="I236" s="232">
        <f>INDEX('Prop. prices'!$I$86:$AB$160,MATCH('Tariff schedule'!$C236,'Prop. prices'!$C$86:$C$160,0),MATCH('Tariff schedule'!I$16,'Prop. prices'!$I$5:$AB$5,0))</f>
        <v>0</v>
      </c>
      <c r="J236" s="232">
        <f>INDEX('Prop. prices'!$I$86:$AB$160,MATCH('Tariff schedule'!$C236,'Prop. prices'!$C$86:$C$160,0),MATCH('Tariff schedule'!J$16,'Prop. prices'!$I$5:$AB$5,0))</f>
        <v>0</v>
      </c>
      <c r="K236" s="232">
        <f>INDEX('Prop. prices'!$I$86:$AB$160,MATCH('Tariff schedule'!$C236,'Prop. prices'!$C$86:$C$160,0),MATCH('Tariff schedule'!K$16,'Prop. prices'!$I$5:$AB$5,0))</f>
        <v>0</v>
      </c>
      <c r="L236" s="232">
        <f>INDEX('Prop. prices'!$I$86:$AB$160,MATCH('Tariff schedule'!$C236,'Prop. prices'!$C$86:$C$160,0),MATCH('Tariff schedule'!L$16,'Prop. prices'!$I$5:$AB$5,0))</f>
        <v>0</v>
      </c>
      <c r="M236" s="232">
        <f>INDEX('Prop. prices'!$I$86:$AB$160,MATCH('Tariff schedule'!$C236,'Prop. prices'!$C$86:$C$160,0),MATCH('Tariff schedule'!M$16,'Prop. prices'!$I$5:$AB$5,0))</f>
        <v>0</v>
      </c>
      <c r="N236" s="232">
        <f>INDEX('Prop. prices'!$I$86:$AB$160,MATCH('Tariff schedule'!$C236,'Prop. prices'!$C$86:$C$160,0),MATCH('Tariff schedule'!N$16,'Prop. prices'!$I$5:$AB$5,0))</f>
        <v>0</v>
      </c>
      <c r="O236" s="232">
        <f>INDEX('Prop. prices'!$I$86:$AB$160,MATCH('Tariff schedule'!$C236,'Prop. prices'!$C$86:$C$160,0),MATCH('Tariff schedule'!O$16,'Prop. prices'!$I$5:$AB$5,0))</f>
        <v>0</v>
      </c>
      <c r="P236" s="232">
        <f>INDEX('Prop. prices'!$I$86:$AB$160,MATCH('Tariff schedule'!$C236,'Prop. prices'!$C$86:$C$160,0),MATCH('Tariff schedule'!P$16,'Prop. prices'!$I$5:$AB$5,0))</f>
        <v>0</v>
      </c>
      <c r="Q236" s="232">
        <f>INDEX('Prop. prices'!$I$86:$AB$160,MATCH('Tariff schedule'!$C236,'Prop. prices'!$C$86:$C$160,0),MATCH('Tariff schedule'!Q$16,'Prop. prices'!$I$5:$AB$5,0))</f>
        <v>0</v>
      </c>
      <c r="R236" s="232">
        <f>INDEX('Prop. prices'!$I$86:$AB$160,MATCH('Tariff schedule'!$C236,'Prop. prices'!$C$86:$C$160,0),MATCH('Tariff schedule'!R$16,'Prop. prices'!$I$5:$AB$5,0))</f>
        <v>0</v>
      </c>
      <c r="S236" s="232">
        <f>INDEX('Prop. prices'!$I$86:$AB$160,MATCH('Tariff schedule'!$C236,'Prop. prices'!$C$86:$C$160,0),MATCH('Tariff schedule'!S$16,'Prop. prices'!$I$5:$AB$5,0))</f>
        <v>0</v>
      </c>
      <c r="T236" s="232">
        <f>INDEX('Prop. prices'!$I$86:$AB$160,MATCH('Tariff schedule'!$C236,'Prop. prices'!$C$86:$C$160,0),MATCH('Tariff schedule'!T$16,'Prop. prices'!$I$5:$AB$5,0))</f>
        <v>0</v>
      </c>
      <c r="U236" s="232">
        <f>INDEX('Prop. prices'!$I$86:$AB$160,MATCH('Tariff schedule'!$C236,'Prop. prices'!$C$86:$C$160,0),MATCH('Tariff schedule'!U$16,'Prop. prices'!$I$5:$AB$5,0))</f>
        <v>0</v>
      </c>
      <c r="V236" s="232">
        <f>INDEX('Prop. prices'!$I$86:$AB$160,MATCH('Tariff schedule'!$C236,'Prop. prices'!$C$86:$C$160,0),MATCH('Tariff schedule'!V$16,'Prop. prices'!$I$5:$AB$5,0))</f>
        <v>0</v>
      </c>
      <c r="W236" s="232">
        <f>INDEX('Prop. prices'!$I$86:$AB$160,MATCH('Tariff schedule'!$C236,'Prop. prices'!$C$86:$C$160,0),MATCH('Tariff schedule'!W$16,'Prop. prices'!$I$5:$AB$5,0))</f>
        <v>0</v>
      </c>
      <c r="X236" s="232">
        <f>INDEX('Prop. prices'!$I$86:$AB$160,MATCH('Tariff schedule'!$C236,'Prop. prices'!$C$86:$C$160,0),MATCH('Tariff schedule'!X$16,'Prop. prices'!$I$5:$AB$5,0))</f>
        <v>0</v>
      </c>
      <c r="Y236" s="232">
        <f>INDEX('Prop. prices'!$I$86:$AB$160,MATCH('Tariff schedule'!$C236,'Prop. prices'!$C$86:$C$160,0),MATCH('Tariff schedule'!Y$16,'Prop. prices'!$I$5:$AB$5,0))</f>
        <v>0</v>
      </c>
      <c r="Z236" s="232">
        <f>INDEX('Prop. prices'!$I$86:$AB$160,MATCH('Tariff schedule'!$C236,'Prop. prices'!$C$86:$C$160,0),MATCH('Tariff schedule'!Z$16,'Prop. prices'!$I$5:$AB$5,0))</f>
        <v>0</v>
      </c>
      <c r="AA236" s="232">
        <f>INDEX('Prop. prices'!$I$86:$AB$160,MATCH('Tariff schedule'!$C236,'Prop. prices'!$C$86:$C$160,0),MATCH('Tariff schedule'!AA$16,'Prop. prices'!$I$5:$AB$5,0))</f>
        <v>0</v>
      </c>
      <c r="AB236" s="232">
        <f>INDEX('Prop. prices'!$I$86:$AB$160,MATCH('Tariff schedule'!$C236,'Prop. prices'!$C$86:$C$160,0),MATCH('Tariff schedule'!AB$16,'Prop. prices'!$I$5:$AB$5,0))</f>
        <v>0</v>
      </c>
      <c r="AC236" s="70"/>
      <c r="AD236" s="19"/>
      <c r="AE236" s="19"/>
      <c r="AF236" s="19"/>
      <c r="AG236" s="19"/>
    </row>
    <row r="237" spans="1:33" hidden="1" outlineLevel="3" x14ac:dyDescent="0.2">
      <c r="A237" s="19"/>
      <c r="B237" s="19"/>
      <c r="C237" s="506">
        <f t="shared" si="89"/>
        <v>0</v>
      </c>
      <c r="D237" s="505">
        <f t="shared" si="89"/>
        <v>0</v>
      </c>
      <c r="E237" s="505">
        <f t="shared" si="89"/>
        <v>0</v>
      </c>
      <c r="F237" s="505">
        <f t="shared" si="89"/>
        <v>0</v>
      </c>
      <c r="G237" s="505">
        <f t="shared" si="89"/>
        <v>0</v>
      </c>
      <c r="H237" s="58"/>
      <c r="I237" s="232">
        <f>INDEX('Prop. prices'!$I$86:$AB$160,MATCH('Tariff schedule'!$C237,'Prop. prices'!$C$86:$C$160,0),MATCH('Tariff schedule'!I$16,'Prop. prices'!$I$5:$AB$5,0))</f>
        <v>0</v>
      </c>
      <c r="J237" s="232">
        <f>INDEX('Prop. prices'!$I$86:$AB$160,MATCH('Tariff schedule'!$C237,'Prop. prices'!$C$86:$C$160,0),MATCH('Tariff schedule'!J$16,'Prop. prices'!$I$5:$AB$5,0))</f>
        <v>0</v>
      </c>
      <c r="K237" s="232">
        <f>INDEX('Prop. prices'!$I$86:$AB$160,MATCH('Tariff schedule'!$C237,'Prop. prices'!$C$86:$C$160,0),MATCH('Tariff schedule'!K$16,'Prop. prices'!$I$5:$AB$5,0))</f>
        <v>0</v>
      </c>
      <c r="L237" s="232">
        <f>INDEX('Prop. prices'!$I$86:$AB$160,MATCH('Tariff schedule'!$C237,'Prop. prices'!$C$86:$C$160,0),MATCH('Tariff schedule'!L$16,'Prop. prices'!$I$5:$AB$5,0))</f>
        <v>0</v>
      </c>
      <c r="M237" s="232">
        <f>INDEX('Prop. prices'!$I$86:$AB$160,MATCH('Tariff schedule'!$C237,'Prop. prices'!$C$86:$C$160,0),MATCH('Tariff schedule'!M$16,'Prop. prices'!$I$5:$AB$5,0))</f>
        <v>0</v>
      </c>
      <c r="N237" s="232">
        <f>INDEX('Prop. prices'!$I$86:$AB$160,MATCH('Tariff schedule'!$C237,'Prop. prices'!$C$86:$C$160,0),MATCH('Tariff schedule'!N$16,'Prop. prices'!$I$5:$AB$5,0))</f>
        <v>0</v>
      </c>
      <c r="O237" s="232">
        <f>INDEX('Prop. prices'!$I$86:$AB$160,MATCH('Tariff schedule'!$C237,'Prop. prices'!$C$86:$C$160,0),MATCH('Tariff schedule'!O$16,'Prop. prices'!$I$5:$AB$5,0))</f>
        <v>0</v>
      </c>
      <c r="P237" s="232">
        <f>INDEX('Prop. prices'!$I$86:$AB$160,MATCH('Tariff schedule'!$C237,'Prop. prices'!$C$86:$C$160,0),MATCH('Tariff schedule'!P$16,'Prop. prices'!$I$5:$AB$5,0))</f>
        <v>0</v>
      </c>
      <c r="Q237" s="232">
        <f>INDEX('Prop. prices'!$I$86:$AB$160,MATCH('Tariff schedule'!$C237,'Prop. prices'!$C$86:$C$160,0),MATCH('Tariff schedule'!Q$16,'Prop. prices'!$I$5:$AB$5,0))</f>
        <v>0</v>
      </c>
      <c r="R237" s="232">
        <f>INDEX('Prop. prices'!$I$86:$AB$160,MATCH('Tariff schedule'!$C237,'Prop. prices'!$C$86:$C$160,0),MATCH('Tariff schedule'!R$16,'Prop. prices'!$I$5:$AB$5,0))</f>
        <v>0</v>
      </c>
      <c r="S237" s="232">
        <f>INDEX('Prop. prices'!$I$86:$AB$160,MATCH('Tariff schedule'!$C237,'Prop. prices'!$C$86:$C$160,0),MATCH('Tariff schedule'!S$16,'Prop. prices'!$I$5:$AB$5,0))</f>
        <v>0</v>
      </c>
      <c r="T237" s="232">
        <f>INDEX('Prop. prices'!$I$86:$AB$160,MATCH('Tariff schedule'!$C237,'Prop. prices'!$C$86:$C$160,0),MATCH('Tariff schedule'!T$16,'Prop. prices'!$I$5:$AB$5,0))</f>
        <v>0</v>
      </c>
      <c r="U237" s="232">
        <f>INDEX('Prop. prices'!$I$86:$AB$160,MATCH('Tariff schedule'!$C237,'Prop. prices'!$C$86:$C$160,0),MATCH('Tariff schedule'!U$16,'Prop. prices'!$I$5:$AB$5,0))</f>
        <v>0</v>
      </c>
      <c r="V237" s="232">
        <f>INDEX('Prop. prices'!$I$86:$AB$160,MATCH('Tariff schedule'!$C237,'Prop. prices'!$C$86:$C$160,0),MATCH('Tariff schedule'!V$16,'Prop. prices'!$I$5:$AB$5,0))</f>
        <v>0</v>
      </c>
      <c r="W237" s="232">
        <f>INDEX('Prop. prices'!$I$86:$AB$160,MATCH('Tariff schedule'!$C237,'Prop. prices'!$C$86:$C$160,0),MATCH('Tariff schedule'!W$16,'Prop. prices'!$I$5:$AB$5,0))</f>
        <v>0</v>
      </c>
      <c r="X237" s="232">
        <f>INDEX('Prop. prices'!$I$86:$AB$160,MATCH('Tariff schedule'!$C237,'Prop. prices'!$C$86:$C$160,0),MATCH('Tariff schedule'!X$16,'Prop. prices'!$I$5:$AB$5,0))</f>
        <v>0</v>
      </c>
      <c r="Y237" s="232">
        <f>INDEX('Prop. prices'!$I$86:$AB$160,MATCH('Tariff schedule'!$C237,'Prop. prices'!$C$86:$C$160,0),MATCH('Tariff schedule'!Y$16,'Prop. prices'!$I$5:$AB$5,0))</f>
        <v>0</v>
      </c>
      <c r="Z237" s="232">
        <f>INDEX('Prop. prices'!$I$86:$AB$160,MATCH('Tariff schedule'!$C237,'Prop. prices'!$C$86:$C$160,0),MATCH('Tariff schedule'!Z$16,'Prop. prices'!$I$5:$AB$5,0))</f>
        <v>0</v>
      </c>
      <c r="AA237" s="232">
        <f>INDEX('Prop. prices'!$I$86:$AB$160,MATCH('Tariff schedule'!$C237,'Prop. prices'!$C$86:$C$160,0),MATCH('Tariff schedule'!AA$16,'Prop. prices'!$I$5:$AB$5,0))</f>
        <v>0</v>
      </c>
      <c r="AB237" s="232">
        <f>INDEX('Prop. prices'!$I$86:$AB$160,MATCH('Tariff schedule'!$C237,'Prop. prices'!$C$86:$C$160,0),MATCH('Tariff schedule'!AB$16,'Prop. prices'!$I$5:$AB$5,0))</f>
        <v>0</v>
      </c>
      <c r="AC237" s="70"/>
      <c r="AD237" s="19"/>
      <c r="AE237" s="19"/>
      <c r="AF237" s="19"/>
      <c r="AG237" s="19"/>
    </row>
    <row r="238" spans="1:33" hidden="1" outlineLevel="3" x14ac:dyDescent="0.2">
      <c r="A238" s="19"/>
      <c r="B238" s="19"/>
      <c r="C238" s="506">
        <f t="shared" si="89"/>
        <v>0</v>
      </c>
      <c r="D238" s="505">
        <f t="shared" si="89"/>
        <v>0</v>
      </c>
      <c r="E238" s="505">
        <f t="shared" si="89"/>
        <v>0</v>
      </c>
      <c r="F238" s="505">
        <f t="shared" si="89"/>
        <v>0</v>
      </c>
      <c r="G238" s="505">
        <f t="shared" si="89"/>
        <v>0</v>
      </c>
      <c r="H238" s="58"/>
      <c r="I238" s="232">
        <f>INDEX('Prop. prices'!$I$86:$AB$160,MATCH('Tariff schedule'!$C238,'Prop. prices'!$C$86:$C$160,0),MATCH('Tariff schedule'!I$16,'Prop. prices'!$I$5:$AB$5,0))</f>
        <v>0</v>
      </c>
      <c r="J238" s="232">
        <f>INDEX('Prop. prices'!$I$86:$AB$160,MATCH('Tariff schedule'!$C238,'Prop. prices'!$C$86:$C$160,0),MATCH('Tariff schedule'!J$16,'Prop. prices'!$I$5:$AB$5,0))</f>
        <v>0</v>
      </c>
      <c r="K238" s="232">
        <f>INDEX('Prop. prices'!$I$86:$AB$160,MATCH('Tariff schedule'!$C238,'Prop. prices'!$C$86:$C$160,0),MATCH('Tariff schedule'!K$16,'Prop. prices'!$I$5:$AB$5,0))</f>
        <v>0</v>
      </c>
      <c r="L238" s="232">
        <f>INDEX('Prop. prices'!$I$86:$AB$160,MATCH('Tariff schedule'!$C238,'Prop. prices'!$C$86:$C$160,0),MATCH('Tariff schedule'!L$16,'Prop. prices'!$I$5:$AB$5,0))</f>
        <v>0</v>
      </c>
      <c r="M238" s="232">
        <f>INDEX('Prop. prices'!$I$86:$AB$160,MATCH('Tariff schedule'!$C238,'Prop. prices'!$C$86:$C$160,0),MATCH('Tariff schedule'!M$16,'Prop. prices'!$I$5:$AB$5,0))</f>
        <v>0</v>
      </c>
      <c r="N238" s="232">
        <f>INDEX('Prop. prices'!$I$86:$AB$160,MATCH('Tariff schedule'!$C238,'Prop. prices'!$C$86:$C$160,0),MATCH('Tariff schedule'!N$16,'Prop. prices'!$I$5:$AB$5,0))</f>
        <v>0</v>
      </c>
      <c r="O238" s="232">
        <f>INDEX('Prop. prices'!$I$86:$AB$160,MATCH('Tariff schedule'!$C238,'Prop. prices'!$C$86:$C$160,0),MATCH('Tariff schedule'!O$16,'Prop. prices'!$I$5:$AB$5,0))</f>
        <v>0</v>
      </c>
      <c r="P238" s="232">
        <f>INDEX('Prop. prices'!$I$86:$AB$160,MATCH('Tariff schedule'!$C238,'Prop. prices'!$C$86:$C$160,0),MATCH('Tariff schedule'!P$16,'Prop. prices'!$I$5:$AB$5,0))</f>
        <v>0</v>
      </c>
      <c r="Q238" s="232">
        <f>INDEX('Prop. prices'!$I$86:$AB$160,MATCH('Tariff schedule'!$C238,'Prop. prices'!$C$86:$C$160,0),MATCH('Tariff schedule'!Q$16,'Prop. prices'!$I$5:$AB$5,0))</f>
        <v>0</v>
      </c>
      <c r="R238" s="232">
        <f>INDEX('Prop. prices'!$I$86:$AB$160,MATCH('Tariff schedule'!$C238,'Prop. prices'!$C$86:$C$160,0),MATCH('Tariff schedule'!R$16,'Prop. prices'!$I$5:$AB$5,0))</f>
        <v>0</v>
      </c>
      <c r="S238" s="232">
        <f>INDEX('Prop. prices'!$I$86:$AB$160,MATCH('Tariff schedule'!$C238,'Prop. prices'!$C$86:$C$160,0),MATCH('Tariff schedule'!S$16,'Prop. prices'!$I$5:$AB$5,0))</f>
        <v>0</v>
      </c>
      <c r="T238" s="232">
        <f>INDEX('Prop. prices'!$I$86:$AB$160,MATCH('Tariff schedule'!$C238,'Prop. prices'!$C$86:$C$160,0),MATCH('Tariff schedule'!T$16,'Prop. prices'!$I$5:$AB$5,0))</f>
        <v>0</v>
      </c>
      <c r="U238" s="232">
        <f>INDEX('Prop. prices'!$I$86:$AB$160,MATCH('Tariff schedule'!$C238,'Prop. prices'!$C$86:$C$160,0),MATCH('Tariff schedule'!U$16,'Prop. prices'!$I$5:$AB$5,0))</f>
        <v>0</v>
      </c>
      <c r="V238" s="232">
        <f>INDEX('Prop. prices'!$I$86:$AB$160,MATCH('Tariff schedule'!$C238,'Prop. prices'!$C$86:$C$160,0),MATCH('Tariff schedule'!V$16,'Prop. prices'!$I$5:$AB$5,0))</f>
        <v>0</v>
      </c>
      <c r="W238" s="232">
        <f>INDEX('Prop. prices'!$I$86:$AB$160,MATCH('Tariff schedule'!$C238,'Prop. prices'!$C$86:$C$160,0),MATCH('Tariff schedule'!W$16,'Prop. prices'!$I$5:$AB$5,0))</f>
        <v>0</v>
      </c>
      <c r="X238" s="232">
        <f>INDEX('Prop. prices'!$I$86:$AB$160,MATCH('Tariff schedule'!$C238,'Prop. prices'!$C$86:$C$160,0),MATCH('Tariff schedule'!X$16,'Prop. prices'!$I$5:$AB$5,0))</f>
        <v>0</v>
      </c>
      <c r="Y238" s="232">
        <f>INDEX('Prop. prices'!$I$86:$AB$160,MATCH('Tariff schedule'!$C238,'Prop. prices'!$C$86:$C$160,0),MATCH('Tariff schedule'!Y$16,'Prop. prices'!$I$5:$AB$5,0))</f>
        <v>0</v>
      </c>
      <c r="Z238" s="232">
        <f>INDEX('Prop. prices'!$I$86:$AB$160,MATCH('Tariff schedule'!$C238,'Prop. prices'!$C$86:$C$160,0),MATCH('Tariff schedule'!Z$16,'Prop. prices'!$I$5:$AB$5,0))</f>
        <v>0</v>
      </c>
      <c r="AA238" s="232">
        <f>INDEX('Prop. prices'!$I$86:$AB$160,MATCH('Tariff schedule'!$C238,'Prop. prices'!$C$86:$C$160,0),MATCH('Tariff schedule'!AA$16,'Prop. prices'!$I$5:$AB$5,0))</f>
        <v>0</v>
      </c>
      <c r="AB238" s="232">
        <f>INDEX('Prop. prices'!$I$86:$AB$160,MATCH('Tariff schedule'!$C238,'Prop. prices'!$C$86:$C$160,0),MATCH('Tariff schedule'!AB$16,'Prop. prices'!$I$5:$AB$5,0))</f>
        <v>0</v>
      </c>
      <c r="AC238" s="70"/>
      <c r="AD238" s="19"/>
      <c r="AE238" s="19"/>
      <c r="AF238" s="19"/>
      <c r="AG238" s="19"/>
    </row>
    <row r="239" spans="1:33" hidden="1" outlineLevel="3" x14ac:dyDescent="0.2">
      <c r="A239" s="19"/>
      <c r="B239" s="19"/>
      <c r="C239" s="506">
        <f t="shared" si="89"/>
        <v>0</v>
      </c>
      <c r="D239" s="505">
        <f t="shared" si="89"/>
        <v>0</v>
      </c>
      <c r="E239" s="505">
        <f t="shared" si="89"/>
        <v>0</v>
      </c>
      <c r="F239" s="505">
        <f t="shared" si="89"/>
        <v>0</v>
      </c>
      <c r="G239" s="505">
        <f t="shared" si="89"/>
        <v>0</v>
      </c>
      <c r="H239" s="58"/>
      <c r="I239" s="232">
        <f>INDEX('Prop. prices'!$I$86:$AB$160,MATCH('Tariff schedule'!$C239,'Prop. prices'!$C$86:$C$160,0),MATCH('Tariff schedule'!I$16,'Prop. prices'!$I$5:$AB$5,0))</f>
        <v>0</v>
      </c>
      <c r="J239" s="232">
        <f>INDEX('Prop. prices'!$I$86:$AB$160,MATCH('Tariff schedule'!$C239,'Prop. prices'!$C$86:$C$160,0),MATCH('Tariff schedule'!J$16,'Prop. prices'!$I$5:$AB$5,0))</f>
        <v>0</v>
      </c>
      <c r="K239" s="232">
        <f>INDEX('Prop. prices'!$I$86:$AB$160,MATCH('Tariff schedule'!$C239,'Prop. prices'!$C$86:$C$160,0),MATCH('Tariff schedule'!K$16,'Prop. prices'!$I$5:$AB$5,0))</f>
        <v>0</v>
      </c>
      <c r="L239" s="232">
        <f>INDEX('Prop. prices'!$I$86:$AB$160,MATCH('Tariff schedule'!$C239,'Prop. prices'!$C$86:$C$160,0),MATCH('Tariff schedule'!L$16,'Prop. prices'!$I$5:$AB$5,0))</f>
        <v>0</v>
      </c>
      <c r="M239" s="232">
        <f>INDEX('Prop. prices'!$I$86:$AB$160,MATCH('Tariff schedule'!$C239,'Prop. prices'!$C$86:$C$160,0),MATCH('Tariff schedule'!M$16,'Prop. prices'!$I$5:$AB$5,0))</f>
        <v>0</v>
      </c>
      <c r="N239" s="232">
        <f>INDEX('Prop. prices'!$I$86:$AB$160,MATCH('Tariff schedule'!$C239,'Prop. prices'!$C$86:$C$160,0),MATCH('Tariff schedule'!N$16,'Prop. prices'!$I$5:$AB$5,0))</f>
        <v>0</v>
      </c>
      <c r="O239" s="232">
        <f>INDEX('Prop. prices'!$I$86:$AB$160,MATCH('Tariff schedule'!$C239,'Prop. prices'!$C$86:$C$160,0),MATCH('Tariff schedule'!O$16,'Prop. prices'!$I$5:$AB$5,0))</f>
        <v>0</v>
      </c>
      <c r="P239" s="232">
        <f>INDEX('Prop. prices'!$I$86:$AB$160,MATCH('Tariff schedule'!$C239,'Prop. prices'!$C$86:$C$160,0),MATCH('Tariff schedule'!P$16,'Prop. prices'!$I$5:$AB$5,0))</f>
        <v>0</v>
      </c>
      <c r="Q239" s="232">
        <f>INDEX('Prop. prices'!$I$86:$AB$160,MATCH('Tariff schedule'!$C239,'Prop. prices'!$C$86:$C$160,0),MATCH('Tariff schedule'!Q$16,'Prop. prices'!$I$5:$AB$5,0))</f>
        <v>0</v>
      </c>
      <c r="R239" s="232">
        <f>INDEX('Prop. prices'!$I$86:$AB$160,MATCH('Tariff schedule'!$C239,'Prop. prices'!$C$86:$C$160,0),MATCH('Tariff schedule'!R$16,'Prop. prices'!$I$5:$AB$5,0))</f>
        <v>0</v>
      </c>
      <c r="S239" s="232">
        <f>INDEX('Prop. prices'!$I$86:$AB$160,MATCH('Tariff schedule'!$C239,'Prop. prices'!$C$86:$C$160,0),MATCH('Tariff schedule'!S$16,'Prop. prices'!$I$5:$AB$5,0))</f>
        <v>0</v>
      </c>
      <c r="T239" s="232">
        <f>INDEX('Prop. prices'!$I$86:$AB$160,MATCH('Tariff schedule'!$C239,'Prop. prices'!$C$86:$C$160,0),MATCH('Tariff schedule'!T$16,'Prop. prices'!$I$5:$AB$5,0))</f>
        <v>0</v>
      </c>
      <c r="U239" s="232">
        <f>INDEX('Prop. prices'!$I$86:$AB$160,MATCH('Tariff schedule'!$C239,'Prop. prices'!$C$86:$C$160,0),MATCH('Tariff schedule'!U$16,'Prop. prices'!$I$5:$AB$5,0))</f>
        <v>0</v>
      </c>
      <c r="V239" s="232">
        <f>INDEX('Prop. prices'!$I$86:$AB$160,MATCH('Tariff schedule'!$C239,'Prop. prices'!$C$86:$C$160,0),MATCH('Tariff schedule'!V$16,'Prop. prices'!$I$5:$AB$5,0))</f>
        <v>0</v>
      </c>
      <c r="W239" s="232">
        <f>INDEX('Prop. prices'!$I$86:$AB$160,MATCH('Tariff schedule'!$C239,'Prop. prices'!$C$86:$C$160,0),MATCH('Tariff schedule'!W$16,'Prop. prices'!$I$5:$AB$5,0))</f>
        <v>0</v>
      </c>
      <c r="X239" s="232">
        <f>INDEX('Prop. prices'!$I$86:$AB$160,MATCH('Tariff schedule'!$C239,'Prop. prices'!$C$86:$C$160,0),MATCH('Tariff schedule'!X$16,'Prop. prices'!$I$5:$AB$5,0))</f>
        <v>0</v>
      </c>
      <c r="Y239" s="232">
        <f>INDEX('Prop. prices'!$I$86:$AB$160,MATCH('Tariff schedule'!$C239,'Prop. prices'!$C$86:$C$160,0),MATCH('Tariff schedule'!Y$16,'Prop. prices'!$I$5:$AB$5,0))</f>
        <v>0</v>
      </c>
      <c r="Z239" s="232">
        <f>INDEX('Prop. prices'!$I$86:$AB$160,MATCH('Tariff schedule'!$C239,'Prop. prices'!$C$86:$C$160,0),MATCH('Tariff schedule'!Z$16,'Prop. prices'!$I$5:$AB$5,0))</f>
        <v>0</v>
      </c>
      <c r="AA239" s="232">
        <f>INDEX('Prop. prices'!$I$86:$AB$160,MATCH('Tariff schedule'!$C239,'Prop. prices'!$C$86:$C$160,0),MATCH('Tariff schedule'!AA$16,'Prop. prices'!$I$5:$AB$5,0))</f>
        <v>0</v>
      </c>
      <c r="AB239" s="232">
        <f>INDEX('Prop. prices'!$I$86:$AB$160,MATCH('Tariff schedule'!$C239,'Prop. prices'!$C$86:$C$160,0),MATCH('Tariff schedule'!AB$16,'Prop. prices'!$I$5:$AB$5,0))</f>
        <v>0</v>
      </c>
      <c r="AC239" s="70"/>
      <c r="AD239" s="19"/>
      <c r="AE239" s="19"/>
      <c r="AF239" s="19"/>
      <c r="AG239" s="19"/>
    </row>
    <row r="240" spans="1:33" hidden="1" outlineLevel="3" x14ac:dyDescent="0.2">
      <c r="A240" s="19"/>
      <c r="B240" s="19"/>
      <c r="C240" s="506">
        <f t="shared" si="89"/>
        <v>0</v>
      </c>
      <c r="D240" s="505">
        <f t="shared" si="89"/>
        <v>0</v>
      </c>
      <c r="E240" s="505">
        <f t="shared" si="89"/>
        <v>0</v>
      </c>
      <c r="F240" s="505">
        <f t="shared" si="89"/>
        <v>0</v>
      </c>
      <c r="G240" s="505">
        <f t="shared" si="89"/>
        <v>0</v>
      </c>
      <c r="H240" s="58"/>
      <c r="I240" s="232">
        <f>INDEX('Prop. prices'!$I$86:$AB$160,MATCH('Tariff schedule'!$C240,'Prop. prices'!$C$86:$C$160,0),MATCH('Tariff schedule'!I$16,'Prop. prices'!$I$5:$AB$5,0))</f>
        <v>0</v>
      </c>
      <c r="J240" s="232">
        <f>INDEX('Prop. prices'!$I$86:$AB$160,MATCH('Tariff schedule'!$C240,'Prop. prices'!$C$86:$C$160,0),MATCH('Tariff schedule'!J$16,'Prop. prices'!$I$5:$AB$5,0))</f>
        <v>0</v>
      </c>
      <c r="K240" s="232">
        <f>INDEX('Prop. prices'!$I$86:$AB$160,MATCH('Tariff schedule'!$C240,'Prop. prices'!$C$86:$C$160,0),MATCH('Tariff schedule'!K$16,'Prop. prices'!$I$5:$AB$5,0))</f>
        <v>0</v>
      </c>
      <c r="L240" s="232">
        <f>INDEX('Prop. prices'!$I$86:$AB$160,MATCH('Tariff schedule'!$C240,'Prop. prices'!$C$86:$C$160,0),MATCH('Tariff schedule'!L$16,'Prop. prices'!$I$5:$AB$5,0))</f>
        <v>0</v>
      </c>
      <c r="M240" s="232">
        <f>INDEX('Prop. prices'!$I$86:$AB$160,MATCH('Tariff schedule'!$C240,'Prop. prices'!$C$86:$C$160,0),MATCH('Tariff schedule'!M$16,'Prop. prices'!$I$5:$AB$5,0))</f>
        <v>0</v>
      </c>
      <c r="N240" s="232">
        <f>INDEX('Prop. prices'!$I$86:$AB$160,MATCH('Tariff schedule'!$C240,'Prop. prices'!$C$86:$C$160,0),MATCH('Tariff schedule'!N$16,'Prop. prices'!$I$5:$AB$5,0))</f>
        <v>0</v>
      </c>
      <c r="O240" s="232">
        <f>INDEX('Prop. prices'!$I$86:$AB$160,MATCH('Tariff schedule'!$C240,'Prop. prices'!$C$86:$C$160,0),MATCH('Tariff schedule'!O$16,'Prop. prices'!$I$5:$AB$5,0))</f>
        <v>0</v>
      </c>
      <c r="P240" s="232">
        <f>INDEX('Prop. prices'!$I$86:$AB$160,MATCH('Tariff schedule'!$C240,'Prop. prices'!$C$86:$C$160,0),MATCH('Tariff schedule'!P$16,'Prop. prices'!$I$5:$AB$5,0))</f>
        <v>0</v>
      </c>
      <c r="Q240" s="232">
        <f>INDEX('Prop. prices'!$I$86:$AB$160,MATCH('Tariff schedule'!$C240,'Prop. prices'!$C$86:$C$160,0),MATCH('Tariff schedule'!Q$16,'Prop. prices'!$I$5:$AB$5,0))</f>
        <v>0</v>
      </c>
      <c r="R240" s="232">
        <f>INDEX('Prop. prices'!$I$86:$AB$160,MATCH('Tariff schedule'!$C240,'Prop. prices'!$C$86:$C$160,0),MATCH('Tariff schedule'!R$16,'Prop. prices'!$I$5:$AB$5,0))</f>
        <v>0</v>
      </c>
      <c r="S240" s="232">
        <f>INDEX('Prop. prices'!$I$86:$AB$160,MATCH('Tariff schedule'!$C240,'Prop. prices'!$C$86:$C$160,0),MATCH('Tariff schedule'!S$16,'Prop. prices'!$I$5:$AB$5,0))</f>
        <v>0</v>
      </c>
      <c r="T240" s="232">
        <f>INDEX('Prop. prices'!$I$86:$AB$160,MATCH('Tariff schedule'!$C240,'Prop. prices'!$C$86:$C$160,0),MATCH('Tariff schedule'!T$16,'Prop. prices'!$I$5:$AB$5,0))</f>
        <v>0</v>
      </c>
      <c r="U240" s="232">
        <f>INDEX('Prop. prices'!$I$86:$AB$160,MATCH('Tariff schedule'!$C240,'Prop. prices'!$C$86:$C$160,0),MATCH('Tariff schedule'!U$16,'Prop. prices'!$I$5:$AB$5,0))</f>
        <v>0</v>
      </c>
      <c r="V240" s="232">
        <f>INDEX('Prop. prices'!$I$86:$AB$160,MATCH('Tariff schedule'!$C240,'Prop. prices'!$C$86:$C$160,0),MATCH('Tariff schedule'!V$16,'Prop. prices'!$I$5:$AB$5,0))</f>
        <v>0</v>
      </c>
      <c r="W240" s="232">
        <f>INDEX('Prop. prices'!$I$86:$AB$160,MATCH('Tariff schedule'!$C240,'Prop. prices'!$C$86:$C$160,0),MATCH('Tariff schedule'!W$16,'Prop. prices'!$I$5:$AB$5,0))</f>
        <v>0</v>
      </c>
      <c r="X240" s="232">
        <f>INDEX('Prop. prices'!$I$86:$AB$160,MATCH('Tariff schedule'!$C240,'Prop. prices'!$C$86:$C$160,0),MATCH('Tariff schedule'!X$16,'Prop. prices'!$I$5:$AB$5,0))</f>
        <v>0</v>
      </c>
      <c r="Y240" s="232">
        <f>INDEX('Prop. prices'!$I$86:$AB$160,MATCH('Tariff schedule'!$C240,'Prop. prices'!$C$86:$C$160,0),MATCH('Tariff schedule'!Y$16,'Prop. prices'!$I$5:$AB$5,0))</f>
        <v>0</v>
      </c>
      <c r="Z240" s="232">
        <f>INDEX('Prop. prices'!$I$86:$AB$160,MATCH('Tariff schedule'!$C240,'Prop. prices'!$C$86:$C$160,0),MATCH('Tariff schedule'!Z$16,'Prop. prices'!$I$5:$AB$5,0))</f>
        <v>0</v>
      </c>
      <c r="AA240" s="232">
        <f>INDEX('Prop. prices'!$I$86:$AB$160,MATCH('Tariff schedule'!$C240,'Prop. prices'!$C$86:$C$160,0),MATCH('Tariff schedule'!AA$16,'Prop. prices'!$I$5:$AB$5,0))</f>
        <v>0</v>
      </c>
      <c r="AB240" s="232">
        <f>INDEX('Prop. prices'!$I$86:$AB$160,MATCH('Tariff schedule'!$C240,'Prop. prices'!$C$86:$C$160,0),MATCH('Tariff schedule'!AB$16,'Prop. prices'!$I$5:$AB$5,0))</f>
        <v>0</v>
      </c>
      <c r="AC240" s="70"/>
      <c r="AD240" s="19"/>
      <c r="AE240" s="19"/>
      <c r="AF240" s="19"/>
      <c r="AG240" s="19"/>
    </row>
    <row r="241" spans="1:33" hidden="1" outlineLevel="3" x14ac:dyDescent="0.2">
      <c r="A241" s="19"/>
      <c r="B241" s="19"/>
      <c r="C241" s="506">
        <f t="shared" si="89"/>
        <v>0</v>
      </c>
      <c r="D241" s="505">
        <f t="shared" si="89"/>
        <v>0</v>
      </c>
      <c r="E241" s="505">
        <f t="shared" si="89"/>
        <v>0</v>
      </c>
      <c r="F241" s="505">
        <f t="shared" si="89"/>
        <v>0</v>
      </c>
      <c r="G241" s="505">
        <f t="shared" si="89"/>
        <v>0</v>
      </c>
      <c r="H241" s="58"/>
      <c r="I241" s="232">
        <f>INDEX('Prop. prices'!$I$86:$AB$160,MATCH('Tariff schedule'!$C241,'Prop. prices'!$C$86:$C$160,0),MATCH('Tariff schedule'!I$16,'Prop. prices'!$I$5:$AB$5,0))</f>
        <v>0</v>
      </c>
      <c r="J241" s="232">
        <f>INDEX('Prop. prices'!$I$86:$AB$160,MATCH('Tariff schedule'!$C241,'Prop. prices'!$C$86:$C$160,0),MATCH('Tariff schedule'!J$16,'Prop. prices'!$I$5:$AB$5,0))</f>
        <v>0</v>
      </c>
      <c r="K241" s="232">
        <f>INDEX('Prop. prices'!$I$86:$AB$160,MATCH('Tariff schedule'!$C241,'Prop. prices'!$C$86:$C$160,0),MATCH('Tariff schedule'!K$16,'Prop. prices'!$I$5:$AB$5,0))</f>
        <v>0</v>
      </c>
      <c r="L241" s="232">
        <f>INDEX('Prop. prices'!$I$86:$AB$160,MATCH('Tariff schedule'!$C241,'Prop. prices'!$C$86:$C$160,0),MATCH('Tariff schedule'!L$16,'Prop. prices'!$I$5:$AB$5,0))</f>
        <v>0</v>
      </c>
      <c r="M241" s="232">
        <f>INDEX('Prop. prices'!$I$86:$AB$160,MATCH('Tariff schedule'!$C241,'Prop. prices'!$C$86:$C$160,0),MATCH('Tariff schedule'!M$16,'Prop. prices'!$I$5:$AB$5,0))</f>
        <v>0</v>
      </c>
      <c r="N241" s="232">
        <f>INDEX('Prop. prices'!$I$86:$AB$160,MATCH('Tariff schedule'!$C241,'Prop. prices'!$C$86:$C$160,0),MATCH('Tariff schedule'!N$16,'Prop. prices'!$I$5:$AB$5,0))</f>
        <v>0</v>
      </c>
      <c r="O241" s="232">
        <f>INDEX('Prop. prices'!$I$86:$AB$160,MATCH('Tariff schedule'!$C241,'Prop. prices'!$C$86:$C$160,0),MATCH('Tariff schedule'!O$16,'Prop. prices'!$I$5:$AB$5,0))</f>
        <v>0</v>
      </c>
      <c r="P241" s="232">
        <f>INDEX('Prop. prices'!$I$86:$AB$160,MATCH('Tariff schedule'!$C241,'Prop. prices'!$C$86:$C$160,0),MATCH('Tariff schedule'!P$16,'Prop. prices'!$I$5:$AB$5,0))</f>
        <v>0</v>
      </c>
      <c r="Q241" s="232">
        <f>INDEX('Prop. prices'!$I$86:$AB$160,MATCH('Tariff schedule'!$C241,'Prop. prices'!$C$86:$C$160,0),MATCH('Tariff schedule'!Q$16,'Prop. prices'!$I$5:$AB$5,0))</f>
        <v>0</v>
      </c>
      <c r="R241" s="232">
        <f>INDEX('Prop. prices'!$I$86:$AB$160,MATCH('Tariff schedule'!$C241,'Prop. prices'!$C$86:$C$160,0),MATCH('Tariff schedule'!R$16,'Prop. prices'!$I$5:$AB$5,0))</f>
        <v>0</v>
      </c>
      <c r="S241" s="232">
        <f>INDEX('Prop. prices'!$I$86:$AB$160,MATCH('Tariff schedule'!$C241,'Prop. prices'!$C$86:$C$160,0),MATCH('Tariff schedule'!S$16,'Prop. prices'!$I$5:$AB$5,0))</f>
        <v>0</v>
      </c>
      <c r="T241" s="232">
        <f>INDEX('Prop. prices'!$I$86:$AB$160,MATCH('Tariff schedule'!$C241,'Prop. prices'!$C$86:$C$160,0),MATCH('Tariff schedule'!T$16,'Prop. prices'!$I$5:$AB$5,0))</f>
        <v>0</v>
      </c>
      <c r="U241" s="232">
        <f>INDEX('Prop. prices'!$I$86:$AB$160,MATCH('Tariff schedule'!$C241,'Prop. prices'!$C$86:$C$160,0),MATCH('Tariff schedule'!U$16,'Prop. prices'!$I$5:$AB$5,0))</f>
        <v>0</v>
      </c>
      <c r="V241" s="232">
        <f>INDEX('Prop. prices'!$I$86:$AB$160,MATCH('Tariff schedule'!$C241,'Prop. prices'!$C$86:$C$160,0),MATCH('Tariff schedule'!V$16,'Prop. prices'!$I$5:$AB$5,0))</f>
        <v>0</v>
      </c>
      <c r="W241" s="232">
        <f>INDEX('Prop. prices'!$I$86:$AB$160,MATCH('Tariff schedule'!$C241,'Prop. prices'!$C$86:$C$160,0),MATCH('Tariff schedule'!W$16,'Prop. prices'!$I$5:$AB$5,0))</f>
        <v>0</v>
      </c>
      <c r="X241" s="232">
        <f>INDEX('Prop. prices'!$I$86:$AB$160,MATCH('Tariff schedule'!$C241,'Prop. prices'!$C$86:$C$160,0),MATCH('Tariff schedule'!X$16,'Prop. prices'!$I$5:$AB$5,0))</f>
        <v>0</v>
      </c>
      <c r="Y241" s="232">
        <f>INDEX('Prop. prices'!$I$86:$AB$160,MATCH('Tariff schedule'!$C241,'Prop. prices'!$C$86:$C$160,0),MATCH('Tariff schedule'!Y$16,'Prop. prices'!$I$5:$AB$5,0))</f>
        <v>0</v>
      </c>
      <c r="Z241" s="232">
        <f>INDEX('Prop. prices'!$I$86:$AB$160,MATCH('Tariff schedule'!$C241,'Prop. prices'!$C$86:$C$160,0),MATCH('Tariff schedule'!Z$16,'Prop. prices'!$I$5:$AB$5,0))</f>
        <v>0</v>
      </c>
      <c r="AA241" s="232">
        <f>INDEX('Prop. prices'!$I$86:$AB$160,MATCH('Tariff schedule'!$C241,'Prop. prices'!$C$86:$C$160,0),MATCH('Tariff schedule'!AA$16,'Prop. prices'!$I$5:$AB$5,0))</f>
        <v>0</v>
      </c>
      <c r="AB241" s="232">
        <f>INDEX('Prop. prices'!$I$86:$AB$160,MATCH('Tariff schedule'!$C241,'Prop. prices'!$C$86:$C$160,0),MATCH('Tariff schedule'!AB$16,'Prop. prices'!$I$5:$AB$5,0))</f>
        <v>0</v>
      </c>
      <c r="AC241" s="70"/>
      <c r="AD241" s="19"/>
      <c r="AE241" s="19"/>
      <c r="AF241" s="19"/>
      <c r="AG241" s="19"/>
    </row>
    <row r="242" spans="1:33" hidden="1" outlineLevel="3" x14ac:dyDescent="0.2">
      <c r="A242" s="19"/>
      <c r="B242" s="19"/>
      <c r="C242" s="506">
        <f t="shared" si="89"/>
        <v>0</v>
      </c>
      <c r="D242" s="505">
        <f t="shared" si="89"/>
        <v>0</v>
      </c>
      <c r="E242" s="505">
        <f t="shared" si="89"/>
        <v>0</v>
      </c>
      <c r="F242" s="505">
        <f t="shared" si="89"/>
        <v>0</v>
      </c>
      <c r="G242" s="505">
        <f t="shared" si="89"/>
        <v>0</v>
      </c>
      <c r="H242" s="58"/>
      <c r="I242" s="232">
        <f>INDEX('Prop. prices'!$I$86:$AB$160,MATCH('Tariff schedule'!$C242,'Prop. prices'!$C$86:$C$160,0),MATCH('Tariff schedule'!I$16,'Prop. prices'!$I$5:$AB$5,0))</f>
        <v>0</v>
      </c>
      <c r="J242" s="232">
        <f>INDEX('Prop. prices'!$I$86:$AB$160,MATCH('Tariff schedule'!$C242,'Prop. prices'!$C$86:$C$160,0),MATCH('Tariff schedule'!J$16,'Prop. prices'!$I$5:$AB$5,0))</f>
        <v>0</v>
      </c>
      <c r="K242" s="232">
        <f>INDEX('Prop. prices'!$I$86:$AB$160,MATCH('Tariff schedule'!$C242,'Prop. prices'!$C$86:$C$160,0),MATCH('Tariff schedule'!K$16,'Prop. prices'!$I$5:$AB$5,0))</f>
        <v>0</v>
      </c>
      <c r="L242" s="232">
        <f>INDEX('Prop. prices'!$I$86:$AB$160,MATCH('Tariff schedule'!$C242,'Prop. prices'!$C$86:$C$160,0),MATCH('Tariff schedule'!L$16,'Prop. prices'!$I$5:$AB$5,0))</f>
        <v>0</v>
      </c>
      <c r="M242" s="232">
        <f>INDEX('Prop. prices'!$I$86:$AB$160,MATCH('Tariff schedule'!$C242,'Prop. prices'!$C$86:$C$160,0),MATCH('Tariff schedule'!M$16,'Prop. prices'!$I$5:$AB$5,0))</f>
        <v>0</v>
      </c>
      <c r="N242" s="232">
        <f>INDEX('Prop. prices'!$I$86:$AB$160,MATCH('Tariff schedule'!$C242,'Prop. prices'!$C$86:$C$160,0),MATCH('Tariff schedule'!N$16,'Prop. prices'!$I$5:$AB$5,0))</f>
        <v>0</v>
      </c>
      <c r="O242" s="232">
        <f>INDEX('Prop. prices'!$I$86:$AB$160,MATCH('Tariff schedule'!$C242,'Prop. prices'!$C$86:$C$160,0),MATCH('Tariff schedule'!O$16,'Prop. prices'!$I$5:$AB$5,0))</f>
        <v>0</v>
      </c>
      <c r="P242" s="232">
        <f>INDEX('Prop. prices'!$I$86:$AB$160,MATCH('Tariff schedule'!$C242,'Prop. prices'!$C$86:$C$160,0),MATCH('Tariff schedule'!P$16,'Prop. prices'!$I$5:$AB$5,0))</f>
        <v>0</v>
      </c>
      <c r="Q242" s="232">
        <f>INDEX('Prop. prices'!$I$86:$AB$160,MATCH('Tariff schedule'!$C242,'Prop. prices'!$C$86:$C$160,0),MATCH('Tariff schedule'!Q$16,'Prop. prices'!$I$5:$AB$5,0))</f>
        <v>0</v>
      </c>
      <c r="R242" s="232">
        <f>INDEX('Prop. prices'!$I$86:$AB$160,MATCH('Tariff schedule'!$C242,'Prop. prices'!$C$86:$C$160,0),MATCH('Tariff schedule'!R$16,'Prop. prices'!$I$5:$AB$5,0))</f>
        <v>0</v>
      </c>
      <c r="S242" s="232">
        <f>INDEX('Prop. prices'!$I$86:$AB$160,MATCH('Tariff schedule'!$C242,'Prop. prices'!$C$86:$C$160,0),MATCH('Tariff schedule'!S$16,'Prop. prices'!$I$5:$AB$5,0))</f>
        <v>0</v>
      </c>
      <c r="T242" s="232">
        <f>INDEX('Prop. prices'!$I$86:$AB$160,MATCH('Tariff schedule'!$C242,'Prop. prices'!$C$86:$C$160,0),MATCH('Tariff schedule'!T$16,'Prop. prices'!$I$5:$AB$5,0))</f>
        <v>0</v>
      </c>
      <c r="U242" s="232">
        <f>INDEX('Prop. prices'!$I$86:$AB$160,MATCH('Tariff schedule'!$C242,'Prop. prices'!$C$86:$C$160,0),MATCH('Tariff schedule'!U$16,'Prop. prices'!$I$5:$AB$5,0))</f>
        <v>0</v>
      </c>
      <c r="V242" s="232">
        <f>INDEX('Prop. prices'!$I$86:$AB$160,MATCH('Tariff schedule'!$C242,'Prop. prices'!$C$86:$C$160,0),MATCH('Tariff schedule'!V$16,'Prop. prices'!$I$5:$AB$5,0))</f>
        <v>0</v>
      </c>
      <c r="W242" s="232">
        <f>INDEX('Prop. prices'!$I$86:$AB$160,MATCH('Tariff schedule'!$C242,'Prop. prices'!$C$86:$C$160,0),MATCH('Tariff schedule'!W$16,'Prop. prices'!$I$5:$AB$5,0))</f>
        <v>0</v>
      </c>
      <c r="X242" s="232">
        <f>INDEX('Prop. prices'!$I$86:$AB$160,MATCH('Tariff schedule'!$C242,'Prop. prices'!$C$86:$C$160,0),MATCH('Tariff schedule'!X$16,'Prop. prices'!$I$5:$AB$5,0))</f>
        <v>0</v>
      </c>
      <c r="Y242" s="232">
        <f>INDEX('Prop. prices'!$I$86:$AB$160,MATCH('Tariff schedule'!$C242,'Prop. prices'!$C$86:$C$160,0),MATCH('Tariff schedule'!Y$16,'Prop. prices'!$I$5:$AB$5,0))</f>
        <v>0</v>
      </c>
      <c r="Z242" s="232">
        <f>INDEX('Prop. prices'!$I$86:$AB$160,MATCH('Tariff schedule'!$C242,'Prop. prices'!$C$86:$C$160,0),MATCH('Tariff schedule'!Z$16,'Prop. prices'!$I$5:$AB$5,0))</f>
        <v>0</v>
      </c>
      <c r="AA242" s="232">
        <f>INDEX('Prop. prices'!$I$86:$AB$160,MATCH('Tariff schedule'!$C242,'Prop. prices'!$C$86:$C$160,0),MATCH('Tariff schedule'!AA$16,'Prop. prices'!$I$5:$AB$5,0))</f>
        <v>0</v>
      </c>
      <c r="AB242" s="232">
        <f>INDEX('Prop. prices'!$I$86:$AB$160,MATCH('Tariff schedule'!$C242,'Prop. prices'!$C$86:$C$160,0),MATCH('Tariff schedule'!AB$16,'Prop. prices'!$I$5:$AB$5,0))</f>
        <v>0</v>
      </c>
      <c r="AC242" s="70"/>
      <c r="AD242" s="19"/>
      <c r="AE242" s="19"/>
      <c r="AF242" s="19"/>
      <c r="AG242" s="19"/>
    </row>
    <row r="243" spans="1:33" hidden="1" outlineLevel="3" x14ac:dyDescent="0.2">
      <c r="A243" s="19"/>
      <c r="B243" s="19"/>
      <c r="C243" s="506">
        <f t="shared" si="89"/>
        <v>0</v>
      </c>
      <c r="D243" s="505">
        <f t="shared" si="89"/>
        <v>0</v>
      </c>
      <c r="E243" s="505">
        <f t="shared" si="89"/>
        <v>0</v>
      </c>
      <c r="F243" s="505">
        <f t="shared" si="89"/>
        <v>0</v>
      </c>
      <c r="G243" s="505">
        <f t="shared" si="89"/>
        <v>0</v>
      </c>
      <c r="H243" s="58"/>
      <c r="I243" s="232">
        <f>INDEX('Prop. prices'!$I$86:$AB$160,MATCH('Tariff schedule'!$C243,'Prop. prices'!$C$86:$C$160,0),MATCH('Tariff schedule'!I$16,'Prop. prices'!$I$5:$AB$5,0))</f>
        <v>0</v>
      </c>
      <c r="J243" s="232">
        <f>INDEX('Prop. prices'!$I$86:$AB$160,MATCH('Tariff schedule'!$C243,'Prop. prices'!$C$86:$C$160,0),MATCH('Tariff schedule'!J$16,'Prop. prices'!$I$5:$AB$5,0))</f>
        <v>0</v>
      </c>
      <c r="K243" s="232">
        <f>INDEX('Prop. prices'!$I$86:$AB$160,MATCH('Tariff schedule'!$C243,'Prop. prices'!$C$86:$C$160,0),MATCH('Tariff schedule'!K$16,'Prop. prices'!$I$5:$AB$5,0))</f>
        <v>0</v>
      </c>
      <c r="L243" s="232">
        <f>INDEX('Prop. prices'!$I$86:$AB$160,MATCH('Tariff schedule'!$C243,'Prop. prices'!$C$86:$C$160,0),MATCH('Tariff schedule'!L$16,'Prop. prices'!$I$5:$AB$5,0))</f>
        <v>0</v>
      </c>
      <c r="M243" s="232">
        <f>INDEX('Prop. prices'!$I$86:$AB$160,MATCH('Tariff schedule'!$C243,'Prop. prices'!$C$86:$C$160,0),MATCH('Tariff schedule'!M$16,'Prop. prices'!$I$5:$AB$5,0))</f>
        <v>0</v>
      </c>
      <c r="N243" s="232">
        <f>INDEX('Prop. prices'!$I$86:$AB$160,MATCH('Tariff schedule'!$C243,'Prop. prices'!$C$86:$C$160,0),MATCH('Tariff schedule'!N$16,'Prop. prices'!$I$5:$AB$5,0))</f>
        <v>0</v>
      </c>
      <c r="O243" s="232">
        <f>INDEX('Prop. prices'!$I$86:$AB$160,MATCH('Tariff schedule'!$C243,'Prop. prices'!$C$86:$C$160,0),MATCH('Tariff schedule'!O$16,'Prop. prices'!$I$5:$AB$5,0))</f>
        <v>0</v>
      </c>
      <c r="P243" s="232">
        <f>INDEX('Prop. prices'!$I$86:$AB$160,MATCH('Tariff schedule'!$C243,'Prop. prices'!$C$86:$C$160,0),MATCH('Tariff schedule'!P$16,'Prop. prices'!$I$5:$AB$5,0))</f>
        <v>0</v>
      </c>
      <c r="Q243" s="232">
        <f>INDEX('Prop. prices'!$I$86:$AB$160,MATCH('Tariff schedule'!$C243,'Prop. prices'!$C$86:$C$160,0),MATCH('Tariff schedule'!Q$16,'Prop. prices'!$I$5:$AB$5,0))</f>
        <v>0</v>
      </c>
      <c r="R243" s="232">
        <f>INDEX('Prop. prices'!$I$86:$AB$160,MATCH('Tariff schedule'!$C243,'Prop. prices'!$C$86:$C$160,0),MATCH('Tariff schedule'!R$16,'Prop. prices'!$I$5:$AB$5,0))</f>
        <v>0</v>
      </c>
      <c r="S243" s="232">
        <f>INDEX('Prop. prices'!$I$86:$AB$160,MATCH('Tariff schedule'!$C243,'Prop. prices'!$C$86:$C$160,0),MATCH('Tariff schedule'!S$16,'Prop. prices'!$I$5:$AB$5,0))</f>
        <v>0</v>
      </c>
      <c r="T243" s="232">
        <f>INDEX('Prop. prices'!$I$86:$AB$160,MATCH('Tariff schedule'!$C243,'Prop. prices'!$C$86:$C$160,0),MATCH('Tariff schedule'!T$16,'Prop. prices'!$I$5:$AB$5,0))</f>
        <v>0</v>
      </c>
      <c r="U243" s="232">
        <f>INDEX('Prop. prices'!$I$86:$AB$160,MATCH('Tariff schedule'!$C243,'Prop. prices'!$C$86:$C$160,0),MATCH('Tariff schedule'!U$16,'Prop. prices'!$I$5:$AB$5,0))</f>
        <v>0</v>
      </c>
      <c r="V243" s="232">
        <f>INDEX('Prop. prices'!$I$86:$AB$160,MATCH('Tariff schedule'!$C243,'Prop. prices'!$C$86:$C$160,0),MATCH('Tariff schedule'!V$16,'Prop. prices'!$I$5:$AB$5,0))</f>
        <v>0</v>
      </c>
      <c r="W243" s="232">
        <f>INDEX('Prop. prices'!$I$86:$AB$160,MATCH('Tariff schedule'!$C243,'Prop. prices'!$C$86:$C$160,0),MATCH('Tariff schedule'!W$16,'Prop. prices'!$I$5:$AB$5,0))</f>
        <v>0</v>
      </c>
      <c r="X243" s="232">
        <f>INDEX('Prop. prices'!$I$86:$AB$160,MATCH('Tariff schedule'!$C243,'Prop. prices'!$C$86:$C$160,0),MATCH('Tariff schedule'!X$16,'Prop. prices'!$I$5:$AB$5,0))</f>
        <v>0</v>
      </c>
      <c r="Y243" s="232">
        <f>INDEX('Prop. prices'!$I$86:$AB$160,MATCH('Tariff schedule'!$C243,'Prop. prices'!$C$86:$C$160,0),MATCH('Tariff schedule'!Y$16,'Prop. prices'!$I$5:$AB$5,0))</f>
        <v>0</v>
      </c>
      <c r="Z243" s="232">
        <f>INDEX('Prop. prices'!$I$86:$AB$160,MATCH('Tariff schedule'!$C243,'Prop. prices'!$C$86:$C$160,0),MATCH('Tariff schedule'!Z$16,'Prop. prices'!$I$5:$AB$5,0))</f>
        <v>0</v>
      </c>
      <c r="AA243" s="232">
        <f>INDEX('Prop. prices'!$I$86:$AB$160,MATCH('Tariff schedule'!$C243,'Prop. prices'!$C$86:$C$160,0),MATCH('Tariff schedule'!AA$16,'Prop. prices'!$I$5:$AB$5,0))</f>
        <v>0</v>
      </c>
      <c r="AB243" s="232">
        <f>INDEX('Prop. prices'!$I$86:$AB$160,MATCH('Tariff schedule'!$C243,'Prop. prices'!$C$86:$C$160,0),MATCH('Tariff schedule'!AB$16,'Prop. prices'!$I$5:$AB$5,0))</f>
        <v>0</v>
      </c>
      <c r="AC243" s="70"/>
      <c r="AD243" s="19"/>
      <c r="AE243" s="19"/>
      <c r="AF243" s="19"/>
      <c r="AG243" s="19"/>
    </row>
    <row r="244" spans="1:33" hidden="1" outlineLevel="3" x14ac:dyDescent="0.2">
      <c r="A244" s="19"/>
      <c r="B244" s="19"/>
      <c r="C244" s="506">
        <f t="shared" si="89"/>
        <v>0</v>
      </c>
      <c r="D244" s="505">
        <f t="shared" si="89"/>
        <v>0</v>
      </c>
      <c r="E244" s="505">
        <f t="shared" si="89"/>
        <v>0</v>
      </c>
      <c r="F244" s="505">
        <f t="shared" si="89"/>
        <v>0</v>
      </c>
      <c r="G244" s="505">
        <f t="shared" si="89"/>
        <v>0</v>
      </c>
      <c r="H244" s="58"/>
      <c r="I244" s="232">
        <f>INDEX('Prop. prices'!$I$86:$AB$160,MATCH('Tariff schedule'!$C244,'Prop. prices'!$C$86:$C$160,0),MATCH('Tariff schedule'!I$16,'Prop. prices'!$I$5:$AB$5,0))</f>
        <v>0</v>
      </c>
      <c r="J244" s="232">
        <f>INDEX('Prop. prices'!$I$86:$AB$160,MATCH('Tariff schedule'!$C244,'Prop. prices'!$C$86:$C$160,0),MATCH('Tariff schedule'!J$16,'Prop. prices'!$I$5:$AB$5,0))</f>
        <v>0</v>
      </c>
      <c r="K244" s="232">
        <f>INDEX('Prop. prices'!$I$86:$AB$160,MATCH('Tariff schedule'!$C244,'Prop. prices'!$C$86:$C$160,0),MATCH('Tariff schedule'!K$16,'Prop. prices'!$I$5:$AB$5,0))</f>
        <v>0</v>
      </c>
      <c r="L244" s="232">
        <f>INDEX('Prop. prices'!$I$86:$AB$160,MATCH('Tariff schedule'!$C244,'Prop. prices'!$C$86:$C$160,0),MATCH('Tariff schedule'!L$16,'Prop. prices'!$I$5:$AB$5,0))</f>
        <v>0</v>
      </c>
      <c r="M244" s="232">
        <f>INDEX('Prop. prices'!$I$86:$AB$160,MATCH('Tariff schedule'!$C244,'Prop. prices'!$C$86:$C$160,0),MATCH('Tariff schedule'!M$16,'Prop. prices'!$I$5:$AB$5,0))</f>
        <v>0</v>
      </c>
      <c r="N244" s="232">
        <f>INDEX('Prop. prices'!$I$86:$AB$160,MATCH('Tariff schedule'!$C244,'Prop. prices'!$C$86:$C$160,0),MATCH('Tariff schedule'!N$16,'Prop. prices'!$I$5:$AB$5,0))</f>
        <v>0</v>
      </c>
      <c r="O244" s="232">
        <f>INDEX('Prop. prices'!$I$86:$AB$160,MATCH('Tariff schedule'!$C244,'Prop. prices'!$C$86:$C$160,0),MATCH('Tariff schedule'!O$16,'Prop. prices'!$I$5:$AB$5,0))</f>
        <v>0</v>
      </c>
      <c r="P244" s="232">
        <f>INDEX('Prop. prices'!$I$86:$AB$160,MATCH('Tariff schedule'!$C244,'Prop. prices'!$C$86:$C$160,0),MATCH('Tariff schedule'!P$16,'Prop. prices'!$I$5:$AB$5,0))</f>
        <v>0</v>
      </c>
      <c r="Q244" s="232">
        <f>INDEX('Prop. prices'!$I$86:$AB$160,MATCH('Tariff schedule'!$C244,'Prop. prices'!$C$86:$C$160,0),MATCH('Tariff schedule'!Q$16,'Prop. prices'!$I$5:$AB$5,0))</f>
        <v>0</v>
      </c>
      <c r="R244" s="232">
        <f>INDEX('Prop. prices'!$I$86:$AB$160,MATCH('Tariff schedule'!$C244,'Prop. prices'!$C$86:$C$160,0),MATCH('Tariff schedule'!R$16,'Prop. prices'!$I$5:$AB$5,0))</f>
        <v>0</v>
      </c>
      <c r="S244" s="232">
        <f>INDEX('Prop. prices'!$I$86:$AB$160,MATCH('Tariff schedule'!$C244,'Prop. prices'!$C$86:$C$160,0),MATCH('Tariff schedule'!S$16,'Prop. prices'!$I$5:$AB$5,0))</f>
        <v>0</v>
      </c>
      <c r="T244" s="232">
        <f>INDEX('Prop. prices'!$I$86:$AB$160,MATCH('Tariff schedule'!$C244,'Prop. prices'!$C$86:$C$160,0),MATCH('Tariff schedule'!T$16,'Prop. prices'!$I$5:$AB$5,0))</f>
        <v>0</v>
      </c>
      <c r="U244" s="232">
        <f>INDEX('Prop. prices'!$I$86:$AB$160,MATCH('Tariff schedule'!$C244,'Prop. prices'!$C$86:$C$160,0),MATCH('Tariff schedule'!U$16,'Prop. prices'!$I$5:$AB$5,0))</f>
        <v>0</v>
      </c>
      <c r="V244" s="232">
        <f>INDEX('Prop. prices'!$I$86:$AB$160,MATCH('Tariff schedule'!$C244,'Prop. prices'!$C$86:$C$160,0),MATCH('Tariff schedule'!V$16,'Prop. prices'!$I$5:$AB$5,0))</f>
        <v>0</v>
      </c>
      <c r="W244" s="232">
        <f>INDEX('Prop. prices'!$I$86:$AB$160,MATCH('Tariff schedule'!$C244,'Prop. prices'!$C$86:$C$160,0),MATCH('Tariff schedule'!W$16,'Prop. prices'!$I$5:$AB$5,0))</f>
        <v>0</v>
      </c>
      <c r="X244" s="232">
        <f>INDEX('Prop. prices'!$I$86:$AB$160,MATCH('Tariff schedule'!$C244,'Prop. prices'!$C$86:$C$160,0),MATCH('Tariff schedule'!X$16,'Prop. prices'!$I$5:$AB$5,0))</f>
        <v>0</v>
      </c>
      <c r="Y244" s="232">
        <f>INDEX('Prop. prices'!$I$86:$AB$160,MATCH('Tariff schedule'!$C244,'Prop. prices'!$C$86:$C$160,0),MATCH('Tariff schedule'!Y$16,'Prop. prices'!$I$5:$AB$5,0))</f>
        <v>0</v>
      </c>
      <c r="Z244" s="232">
        <f>INDEX('Prop. prices'!$I$86:$AB$160,MATCH('Tariff schedule'!$C244,'Prop. prices'!$C$86:$C$160,0),MATCH('Tariff schedule'!Z$16,'Prop. prices'!$I$5:$AB$5,0))</f>
        <v>0</v>
      </c>
      <c r="AA244" s="232">
        <f>INDEX('Prop. prices'!$I$86:$AB$160,MATCH('Tariff schedule'!$C244,'Prop. prices'!$C$86:$C$160,0),MATCH('Tariff schedule'!AA$16,'Prop. prices'!$I$5:$AB$5,0))</f>
        <v>0</v>
      </c>
      <c r="AB244" s="232">
        <f>INDEX('Prop. prices'!$I$86:$AB$160,MATCH('Tariff schedule'!$C244,'Prop. prices'!$C$86:$C$160,0),MATCH('Tariff schedule'!AB$16,'Prop. prices'!$I$5:$AB$5,0))</f>
        <v>0</v>
      </c>
      <c r="AC244" s="70"/>
      <c r="AD244" s="19"/>
      <c r="AE244" s="19"/>
      <c r="AF244" s="19"/>
      <c r="AG244" s="19"/>
    </row>
    <row r="245" spans="1:33" hidden="1" outlineLevel="3" x14ac:dyDescent="0.2">
      <c r="A245" s="19"/>
      <c r="B245" s="19"/>
      <c r="C245" s="506">
        <f t="shared" ref="C245:G249" si="90">C89</f>
        <v>0</v>
      </c>
      <c r="D245" s="505">
        <f t="shared" si="90"/>
        <v>0</v>
      </c>
      <c r="E245" s="505">
        <f t="shared" si="90"/>
        <v>0</v>
      </c>
      <c r="F245" s="505">
        <f t="shared" si="90"/>
        <v>0</v>
      </c>
      <c r="G245" s="505">
        <f t="shared" si="90"/>
        <v>0</v>
      </c>
      <c r="H245" s="58"/>
      <c r="I245" s="232">
        <f>INDEX('Prop. prices'!$I$86:$AB$160,MATCH('Tariff schedule'!$C245,'Prop. prices'!$C$86:$C$160,0),MATCH('Tariff schedule'!I$16,'Prop. prices'!$I$5:$AB$5,0))</f>
        <v>0</v>
      </c>
      <c r="J245" s="232">
        <f>INDEX('Prop. prices'!$I$86:$AB$160,MATCH('Tariff schedule'!$C245,'Prop. prices'!$C$86:$C$160,0),MATCH('Tariff schedule'!J$16,'Prop. prices'!$I$5:$AB$5,0))</f>
        <v>0</v>
      </c>
      <c r="K245" s="232">
        <f>INDEX('Prop. prices'!$I$86:$AB$160,MATCH('Tariff schedule'!$C245,'Prop. prices'!$C$86:$C$160,0),MATCH('Tariff schedule'!K$16,'Prop. prices'!$I$5:$AB$5,0))</f>
        <v>0</v>
      </c>
      <c r="L245" s="232">
        <f>INDEX('Prop. prices'!$I$86:$AB$160,MATCH('Tariff schedule'!$C245,'Prop. prices'!$C$86:$C$160,0),MATCH('Tariff schedule'!L$16,'Prop. prices'!$I$5:$AB$5,0))</f>
        <v>0</v>
      </c>
      <c r="M245" s="232">
        <f>INDEX('Prop. prices'!$I$86:$AB$160,MATCH('Tariff schedule'!$C245,'Prop. prices'!$C$86:$C$160,0),MATCH('Tariff schedule'!M$16,'Prop. prices'!$I$5:$AB$5,0))</f>
        <v>0</v>
      </c>
      <c r="N245" s="232">
        <f>INDEX('Prop. prices'!$I$86:$AB$160,MATCH('Tariff schedule'!$C245,'Prop. prices'!$C$86:$C$160,0),MATCH('Tariff schedule'!N$16,'Prop. prices'!$I$5:$AB$5,0))</f>
        <v>0</v>
      </c>
      <c r="O245" s="232">
        <f>INDEX('Prop. prices'!$I$86:$AB$160,MATCH('Tariff schedule'!$C245,'Prop. prices'!$C$86:$C$160,0),MATCH('Tariff schedule'!O$16,'Prop. prices'!$I$5:$AB$5,0))</f>
        <v>0</v>
      </c>
      <c r="P245" s="232">
        <f>INDEX('Prop. prices'!$I$86:$AB$160,MATCH('Tariff schedule'!$C245,'Prop. prices'!$C$86:$C$160,0),MATCH('Tariff schedule'!P$16,'Prop. prices'!$I$5:$AB$5,0))</f>
        <v>0</v>
      </c>
      <c r="Q245" s="232">
        <f>INDEX('Prop. prices'!$I$86:$AB$160,MATCH('Tariff schedule'!$C245,'Prop. prices'!$C$86:$C$160,0),MATCH('Tariff schedule'!Q$16,'Prop. prices'!$I$5:$AB$5,0))</f>
        <v>0</v>
      </c>
      <c r="R245" s="232">
        <f>INDEX('Prop. prices'!$I$86:$AB$160,MATCH('Tariff schedule'!$C245,'Prop. prices'!$C$86:$C$160,0),MATCH('Tariff schedule'!R$16,'Prop. prices'!$I$5:$AB$5,0))</f>
        <v>0</v>
      </c>
      <c r="S245" s="232">
        <f>INDEX('Prop. prices'!$I$86:$AB$160,MATCH('Tariff schedule'!$C245,'Prop. prices'!$C$86:$C$160,0),MATCH('Tariff schedule'!S$16,'Prop. prices'!$I$5:$AB$5,0))</f>
        <v>0</v>
      </c>
      <c r="T245" s="232">
        <f>INDEX('Prop. prices'!$I$86:$AB$160,MATCH('Tariff schedule'!$C245,'Prop. prices'!$C$86:$C$160,0),MATCH('Tariff schedule'!T$16,'Prop. prices'!$I$5:$AB$5,0))</f>
        <v>0</v>
      </c>
      <c r="U245" s="232">
        <f>INDEX('Prop. prices'!$I$86:$AB$160,MATCH('Tariff schedule'!$C245,'Prop. prices'!$C$86:$C$160,0),MATCH('Tariff schedule'!U$16,'Prop. prices'!$I$5:$AB$5,0))</f>
        <v>0</v>
      </c>
      <c r="V245" s="232">
        <f>INDEX('Prop. prices'!$I$86:$AB$160,MATCH('Tariff schedule'!$C245,'Prop. prices'!$C$86:$C$160,0),MATCH('Tariff schedule'!V$16,'Prop. prices'!$I$5:$AB$5,0))</f>
        <v>0</v>
      </c>
      <c r="W245" s="232">
        <f>INDEX('Prop. prices'!$I$86:$AB$160,MATCH('Tariff schedule'!$C245,'Prop. prices'!$C$86:$C$160,0),MATCH('Tariff schedule'!W$16,'Prop. prices'!$I$5:$AB$5,0))</f>
        <v>0</v>
      </c>
      <c r="X245" s="232">
        <f>INDEX('Prop. prices'!$I$86:$AB$160,MATCH('Tariff schedule'!$C245,'Prop. prices'!$C$86:$C$160,0),MATCH('Tariff schedule'!X$16,'Prop. prices'!$I$5:$AB$5,0))</f>
        <v>0</v>
      </c>
      <c r="Y245" s="232">
        <f>INDEX('Prop. prices'!$I$86:$AB$160,MATCH('Tariff schedule'!$C245,'Prop. prices'!$C$86:$C$160,0),MATCH('Tariff schedule'!Y$16,'Prop. prices'!$I$5:$AB$5,0))</f>
        <v>0</v>
      </c>
      <c r="Z245" s="232">
        <f>INDEX('Prop. prices'!$I$86:$AB$160,MATCH('Tariff schedule'!$C245,'Prop. prices'!$C$86:$C$160,0),MATCH('Tariff schedule'!Z$16,'Prop. prices'!$I$5:$AB$5,0))</f>
        <v>0</v>
      </c>
      <c r="AA245" s="232">
        <f>INDEX('Prop. prices'!$I$86:$AB$160,MATCH('Tariff schedule'!$C245,'Prop. prices'!$C$86:$C$160,0),MATCH('Tariff schedule'!AA$16,'Prop. prices'!$I$5:$AB$5,0))</f>
        <v>0</v>
      </c>
      <c r="AB245" s="232">
        <f>INDEX('Prop. prices'!$I$86:$AB$160,MATCH('Tariff schedule'!$C245,'Prop. prices'!$C$86:$C$160,0),MATCH('Tariff schedule'!AB$16,'Prop. prices'!$I$5:$AB$5,0))</f>
        <v>0</v>
      </c>
      <c r="AC245" s="70"/>
      <c r="AD245" s="19"/>
      <c r="AE245" s="19"/>
      <c r="AF245" s="19"/>
      <c r="AG245" s="19"/>
    </row>
    <row r="246" spans="1:33" hidden="1" outlineLevel="3" x14ac:dyDescent="0.2">
      <c r="A246" s="19"/>
      <c r="B246" s="19"/>
      <c r="C246" s="506">
        <f t="shared" si="90"/>
        <v>0</v>
      </c>
      <c r="D246" s="505">
        <f t="shared" si="90"/>
        <v>0</v>
      </c>
      <c r="E246" s="505">
        <f t="shared" si="90"/>
        <v>0</v>
      </c>
      <c r="F246" s="505">
        <f t="shared" si="90"/>
        <v>0</v>
      </c>
      <c r="G246" s="505">
        <f t="shared" si="90"/>
        <v>0</v>
      </c>
      <c r="H246" s="58"/>
      <c r="I246" s="232">
        <f>INDEX('Prop. prices'!$I$86:$AB$160,MATCH('Tariff schedule'!$C246,'Prop. prices'!$C$86:$C$160,0),MATCH('Tariff schedule'!I$16,'Prop. prices'!$I$5:$AB$5,0))</f>
        <v>0</v>
      </c>
      <c r="J246" s="232">
        <f>INDEX('Prop. prices'!$I$86:$AB$160,MATCH('Tariff schedule'!$C246,'Prop. prices'!$C$86:$C$160,0),MATCH('Tariff schedule'!J$16,'Prop. prices'!$I$5:$AB$5,0))</f>
        <v>0</v>
      </c>
      <c r="K246" s="232">
        <f>INDEX('Prop. prices'!$I$86:$AB$160,MATCH('Tariff schedule'!$C246,'Prop. prices'!$C$86:$C$160,0),MATCH('Tariff schedule'!K$16,'Prop. prices'!$I$5:$AB$5,0))</f>
        <v>0</v>
      </c>
      <c r="L246" s="232">
        <f>INDEX('Prop. prices'!$I$86:$AB$160,MATCH('Tariff schedule'!$C246,'Prop. prices'!$C$86:$C$160,0),MATCH('Tariff schedule'!L$16,'Prop. prices'!$I$5:$AB$5,0))</f>
        <v>0</v>
      </c>
      <c r="M246" s="232">
        <f>INDEX('Prop. prices'!$I$86:$AB$160,MATCH('Tariff schedule'!$C246,'Prop. prices'!$C$86:$C$160,0),MATCH('Tariff schedule'!M$16,'Prop. prices'!$I$5:$AB$5,0))</f>
        <v>0</v>
      </c>
      <c r="N246" s="232">
        <f>INDEX('Prop. prices'!$I$86:$AB$160,MATCH('Tariff schedule'!$C246,'Prop. prices'!$C$86:$C$160,0),MATCH('Tariff schedule'!N$16,'Prop. prices'!$I$5:$AB$5,0))</f>
        <v>0</v>
      </c>
      <c r="O246" s="232">
        <f>INDEX('Prop. prices'!$I$86:$AB$160,MATCH('Tariff schedule'!$C246,'Prop. prices'!$C$86:$C$160,0),MATCH('Tariff schedule'!O$16,'Prop. prices'!$I$5:$AB$5,0))</f>
        <v>0</v>
      </c>
      <c r="P246" s="232">
        <f>INDEX('Prop. prices'!$I$86:$AB$160,MATCH('Tariff schedule'!$C246,'Prop. prices'!$C$86:$C$160,0),MATCH('Tariff schedule'!P$16,'Prop. prices'!$I$5:$AB$5,0))</f>
        <v>0</v>
      </c>
      <c r="Q246" s="232">
        <f>INDEX('Prop. prices'!$I$86:$AB$160,MATCH('Tariff schedule'!$C246,'Prop. prices'!$C$86:$C$160,0),MATCH('Tariff schedule'!Q$16,'Prop. prices'!$I$5:$AB$5,0))</f>
        <v>0</v>
      </c>
      <c r="R246" s="232">
        <f>INDEX('Prop. prices'!$I$86:$AB$160,MATCH('Tariff schedule'!$C246,'Prop. prices'!$C$86:$C$160,0),MATCH('Tariff schedule'!R$16,'Prop. prices'!$I$5:$AB$5,0))</f>
        <v>0</v>
      </c>
      <c r="S246" s="232">
        <f>INDEX('Prop. prices'!$I$86:$AB$160,MATCH('Tariff schedule'!$C246,'Prop. prices'!$C$86:$C$160,0),MATCH('Tariff schedule'!S$16,'Prop. prices'!$I$5:$AB$5,0))</f>
        <v>0</v>
      </c>
      <c r="T246" s="232">
        <f>INDEX('Prop. prices'!$I$86:$AB$160,MATCH('Tariff schedule'!$C246,'Prop. prices'!$C$86:$C$160,0),MATCH('Tariff schedule'!T$16,'Prop. prices'!$I$5:$AB$5,0))</f>
        <v>0</v>
      </c>
      <c r="U246" s="232">
        <f>INDEX('Prop. prices'!$I$86:$AB$160,MATCH('Tariff schedule'!$C246,'Prop. prices'!$C$86:$C$160,0),MATCH('Tariff schedule'!U$16,'Prop. prices'!$I$5:$AB$5,0))</f>
        <v>0</v>
      </c>
      <c r="V246" s="232">
        <f>INDEX('Prop. prices'!$I$86:$AB$160,MATCH('Tariff schedule'!$C246,'Prop. prices'!$C$86:$C$160,0),MATCH('Tariff schedule'!V$16,'Prop. prices'!$I$5:$AB$5,0))</f>
        <v>0</v>
      </c>
      <c r="W246" s="232">
        <f>INDEX('Prop. prices'!$I$86:$AB$160,MATCH('Tariff schedule'!$C246,'Prop. prices'!$C$86:$C$160,0),MATCH('Tariff schedule'!W$16,'Prop. prices'!$I$5:$AB$5,0))</f>
        <v>0</v>
      </c>
      <c r="X246" s="232">
        <f>INDEX('Prop. prices'!$I$86:$AB$160,MATCH('Tariff schedule'!$C246,'Prop. prices'!$C$86:$C$160,0),MATCH('Tariff schedule'!X$16,'Prop. prices'!$I$5:$AB$5,0))</f>
        <v>0</v>
      </c>
      <c r="Y246" s="232">
        <f>INDEX('Prop. prices'!$I$86:$AB$160,MATCH('Tariff schedule'!$C246,'Prop. prices'!$C$86:$C$160,0),MATCH('Tariff schedule'!Y$16,'Prop. prices'!$I$5:$AB$5,0))</f>
        <v>0</v>
      </c>
      <c r="Z246" s="232">
        <f>INDEX('Prop. prices'!$I$86:$AB$160,MATCH('Tariff schedule'!$C246,'Prop. prices'!$C$86:$C$160,0),MATCH('Tariff schedule'!Z$16,'Prop. prices'!$I$5:$AB$5,0))</f>
        <v>0</v>
      </c>
      <c r="AA246" s="232">
        <f>INDEX('Prop. prices'!$I$86:$AB$160,MATCH('Tariff schedule'!$C246,'Prop. prices'!$C$86:$C$160,0),MATCH('Tariff schedule'!AA$16,'Prop. prices'!$I$5:$AB$5,0))</f>
        <v>0</v>
      </c>
      <c r="AB246" s="232">
        <f>INDEX('Prop. prices'!$I$86:$AB$160,MATCH('Tariff schedule'!$C246,'Prop. prices'!$C$86:$C$160,0),MATCH('Tariff schedule'!AB$16,'Prop. prices'!$I$5:$AB$5,0))</f>
        <v>0</v>
      </c>
      <c r="AC246" s="70"/>
      <c r="AD246" s="19"/>
      <c r="AE246" s="19"/>
      <c r="AF246" s="19"/>
      <c r="AG246" s="19"/>
    </row>
    <row r="247" spans="1:33" hidden="1" outlineLevel="3" x14ac:dyDescent="0.2">
      <c r="A247" s="19"/>
      <c r="B247" s="19"/>
      <c r="C247" s="506">
        <f t="shared" si="90"/>
        <v>0</v>
      </c>
      <c r="D247" s="505">
        <f t="shared" si="90"/>
        <v>0</v>
      </c>
      <c r="E247" s="505">
        <f t="shared" si="90"/>
        <v>0</v>
      </c>
      <c r="F247" s="505">
        <f t="shared" si="90"/>
        <v>0</v>
      </c>
      <c r="G247" s="505">
        <f t="shared" si="90"/>
        <v>0</v>
      </c>
      <c r="H247" s="58"/>
      <c r="I247" s="232">
        <f>INDEX('Prop. prices'!$I$86:$AB$160,MATCH('Tariff schedule'!$C247,'Prop. prices'!$C$86:$C$160,0),MATCH('Tariff schedule'!I$16,'Prop. prices'!$I$5:$AB$5,0))</f>
        <v>0</v>
      </c>
      <c r="J247" s="232">
        <f>INDEX('Prop. prices'!$I$86:$AB$160,MATCH('Tariff schedule'!$C247,'Prop. prices'!$C$86:$C$160,0),MATCH('Tariff schedule'!J$16,'Prop. prices'!$I$5:$AB$5,0))</f>
        <v>0</v>
      </c>
      <c r="K247" s="232">
        <f>INDEX('Prop. prices'!$I$86:$AB$160,MATCH('Tariff schedule'!$C247,'Prop. prices'!$C$86:$C$160,0),MATCH('Tariff schedule'!K$16,'Prop. prices'!$I$5:$AB$5,0))</f>
        <v>0</v>
      </c>
      <c r="L247" s="232">
        <f>INDEX('Prop. prices'!$I$86:$AB$160,MATCH('Tariff schedule'!$C247,'Prop. prices'!$C$86:$C$160,0),MATCH('Tariff schedule'!L$16,'Prop. prices'!$I$5:$AB$5,0))</f>
        <v>0</v>
      </c>
      <c r="M247" s="232">
        <f>INDEX('Prop. prices'!$I$86:$AB$160,MATCH('Tariff schedule'!$C247,'Prop. prices'!$C$86:$C$160,0),MATCH('Tariff schedule'!M$16,'Prop. prices'!$I$5:$AB$5,0))</f>
        <v>0</v>
      </c>
      <c r="N247" s="232">
        <f>INDEX('Prop. prices'!$I$86:$AB$160,MATCH('Tariff schedule'!$C247,'Prop. prices'!$C$86:$C$160,0),MATCH('Tariff schedule'!N$16,'Prop. prices'!$I$5:$AB$5,0))</f>
        <v>0</v>
      </c>
      <c r="O247" s="232">
        <f>INDEX('Prop. prices'!$I$86:$AB$160,MATCH('Tariff schedule'!$C247,'Prop. prices'!$C$86:$C$160,0),MATCH('Tariff schedule'!O$16,'Prop. prices'!$I$5:$AB$5,0))</f>
        <v>0</v>
      </c>
      <c r="P247" s="232">
        <f>INDEX('Prop. prices'!$I$86:$AB$160,MATCH('Tariff schedule'!$C247,'Prop. prices'!$C$86:$C$160,0),MATCH('Tariff schedule'!P$16,'Prop. prices'!$I$5:$AB$5,0))</f>
        <v>0</v>
      </c>
      <c r="Q247" s="232">
        <f>INDEX('Prop. prices'!$I$86:$AB$160,MATCH('Tariff schedule'!$C247,'Prop. prices'!$C$86:$C$160,0),MATCH('Tariff schedule'!Q$16,'Prop. prices'!$I$5:$AB$5,0))</f>
        <v>0</v>
      </c>
      <c r="R247" s="232">
        <f>INDEX('Prop. prices'!$I$86:$AB$160,MATCH('Tariff schedule'!$C247,'Prop. prices'!$C$86:$C$160,0),MATCH('Tariff schedule'!R$16,'Prop. prices'!$I$5:$AB$5,0))</f>
        <v>0</v>
      </c>
      <c r="S247" s="232">
        <f>INDEX('Prop. prices'!$I$86:$AB$160,MATCH('Tariff schedule'!$C247,'Prop. prices'!$C$86:$C$160,0),MATCH('Tariff schedule'!S$16,'Prop. prices'!$I$5:$AB$5,0))</f>
        <v>0</v>
      </c>
      <c r="T247" s="232">
        <f>INDEX('Prop. prices'!$I$86:$AB$160,MATCH('Tariff schedule'!$C247,'Prop. prices'!$C$86:$C$160,0),MATCH('Tariff schedule'!T$16,'Prop. prices'!$I$5:$AB$5,0))</f>
        <v>0</v>
      </c>
      <c r="U247" s="232">
        <f>INDEX('Prop. prices'!$I$86:$AB$160,MATCH('Tariff schedule'!$C247,'Prop. prices'!$C$86:$C$160,0),MATCH('Tariff schedule'!U$16,'Prop. prices'!$I$5:$AB$5,0))</f>
        <v>0</v>
      </c>
      <c r="V247" s="232">
        <f>INDEX('Prop. prices'!$I$86:$AB$160,MATCH('Tariff schedule'!$C247,'Prop. prices'!$C$86:$C$160,0),MATCH('Tariff schedule'!V$16,'Prop. prices'!$I$5:$AB$5,0))</f>
        <v>0</v>
      </c>
      <c r="W247" s="232">
        <f>INDEX('Prop. prices'!$I$86:$AB$160,MATCH('Tariff schedule'!$C247,'Prop. prices'!$C$86:$C$160,0),MATCH('Tariff schedule'!W$16,'Prop. prices'!$I$5:$AB$5,0))</f>
        <v>0</v>
      </c>
      <c r="X247" s="232">
        <f>INDEX('Prop. prices'!$I$86:$AB$160,MATCH('Tariff schedule'!$C247,'Prop. prices'!$C$86:$C$160,0),MATCH('Tariff schedule'!X$16,'Prop. prices'!$I$5:$AB$5,0))</f>
        <v>0</v>
      </c>
      <c r="Y247" s="232">
        <f>INDEX('Prop. prices'!$I$86:$AB$160,MATCH('Tariff schedule'!$C247,'Prop. prices'!$C$86:$C$160,0),MATCH('Tariff schedule'!Y$16,'Prop. prices'!$I$5:$AB$5,0))</f>
        <v>0</v>
      </c>
      <c r="Z247" s="232">
        <f>INDEX('Prop. prices'!$I$86:$AB$160,MATCH('Tariff schedule'!$C247,'Prop. prices'!$C$86:$C$160,0),MATCH('Tariff schedule'!Z$16,'Prop. prices'!$I$5:$AB$5,0))</f>
        <v>0</v>
      </c>
      <c r="AA247" s="232">
        <f>INDEX('Prop. prices'!$I$86:$AB$160,MATCH('Tariff schedule'!$C247,'Prop. prices'!$C$86:$C$160,0),MATCH('Tariff schedule'!AA$16,'Prop. prices'!$I$5:$AB$5,0))</f>
        <v>0</v>
      </c>
      <c r="AB247" s="232">
        <f>INDEX('Prop. prices'!$I$86:$AB$160,MATCH('Tariff schedule'!$C247,'Prop. prices'!$C$86:$C$160,0),MATCH('Tariff schedule'!AB$16,'Prop. prices'!$I$5:$AB$5,0))</f>
        <v>0</v>
      </c>
      <c r="AC247" s="70"/>
      <c r="AD247" s="19"/>
      <c r="AE247" s="19"/>
      <c r="AF247" s="19"/>
      <c r="AG247" s="19"/>
    </row>
    <row r="248" spans="1:33" hidden="1" outlineLevel="3" x14ac:dyDescent="0.2">
      <c r="A248" s="19"/>
      <c r="B248" s="19"/>
      <c r="C248" s="506">
        <f t="shared" si="90"/>
        <v>0</v>
      </c>
      <c r="D248" s="505">
        <f t="shared" si="90"/>
        <v>0</v>
      </c>
      <c r="E248" s="505">
        <f t="shared" si="90"/>
        <v>0</v>
      </c>
      <c r="F248" s="505">
        <f t="shared" si="90"/>
        <v>0</v>
      </c>
      <c r="G248" s="505">
        <f t="shared" si="90"/>
        <v>0</v>
      </c>
      <c r="H248" s="58"/>
      <c r="I248" s="232">
        <f>INDEX('Prop. prices'!$I$86:$AB$160,MATCH('Tariff schedule'!$C248,'Prop. prices'!$C$86:$C$160,0),MATCH('Tariff schedule'!I$16,'Prop. prices'!$I$5:$AB$5,0))</f>
        <v>0</v>
      </c>
      <c r="J248" s="232">
        <f>INDEX('Prop. prices'!$I$86:$AB$160,MATCH('Tariff schedule'!$C248,'Prop. prices'!$C$86:$C$160,0),MATCH('Tariff schedule'!J$16,'Prop. prices'!$I$5:$AB$5,0))</f>
        <v>0</v>
      </c>
      <c r="K248" s="232">
        <f>INDEX('Prop. prices'!$I$86:$AB$160,MATCH('Tariff schedule'!$C248,'Prop. prices'!$C$86:$C$160,0),MATCH('Tariff schedule'!K$16,'Prop. prices'!$I$5:$AB$5,0))</f>
        <v>0</v>
      </c>
      <c r="L248" s="232">
        <f>INDEX('Prop. prices'!$I$86:$AB$160,MATCH('Tariff schedule'!$C248,'Prop. prices'!$C$86:$C$160,0),MATCH('Tariff schedule'!L$16,'Prop. prices'!$I$5:$AB$5,0))</f>
        <v>0</v>
      </c>
      <c r="M248" s="232">
        <f>INDEX('Prop. prices'!$I$86:$AB$160,MATCH('Tariff schedule'!$C248,'Prop. prices'!$C$86:$C$160,0),MATCH('Tariff schedule'!M$16,'Prop. prices'!$I$5:$AB$5,0))</f>
        <v>0</v>
      </c>
      <c r="N248" s="232">
        <f>INDEX('Prop. prices'!$I$86:$AB$160,MATCH('Tariff schedule'!$C248,'Prop. prices'!$C$86:$C$160,0),MATCH('Tariff schedule'!N$16,'Prop. prices'!$I$5:$AB$5,0))</f>
        <v>0</v>
      </c>
      <c r="O248" s="232">
        <f>INDEX('Prop. prices'!$I$86:$AB$160,MATCH('Tariff schedule'!$C248,'Prop. prices'!$C$86:$C$160,0),MATCH('Tariff schedule'!O$16,'Prop. prices'!$I$5:$AB$5,0))</f>
        <v>0</v>
      </c>
      <c r="P248" s="232">
        <f>INDEX('Prop. prices'!$I$86:$AB$160,MATCH('Tariff schedule'!$C248,'Prop. prices'!$C$86:$C$160,0),MATCH('Tariff schedule'!P$16,'Prop. prices'!$I$5:$AB$5,0))</f>
        <v>0</v>
      </c>
      <c r="Q248" s="232">
        <f>INDEX('Prop. prices'!$I$86:$AB$160,MATCH('Tariff schedule'!$C248,'Prop. prices'!$C$86:$C$160,0),MATCH('Tariff schedule'!Q$16,'Prop. prices'!$I$5:$AB$5,0))</f>
        <v>0</v>
      </c>
      <c r="R248" s="232">
        <f>INDEX('Prop. prices'!$I$86:$AB$160,MATCH('Tariff schedule'!$C248,'Prop. prices'!$C$86:$C$160,0),MATCH('Tariff schedule'!R$16,'Prop. prices'!$I$5:$AB$5,0))</f>
        <v>0</v>
      </c>
      <c r="S248" s="232">
        <f>INDEX('Prop. prices'!$I$86:$AB$160,MATCH('Tariff schedule'!$C248,'Prop. prices'!$C$86:$C$160,0),MATCH('Tariff schedule'!S$16,'Prop. prices'!$I$5:$AB$5,0))</f>
        <v>0</v>
      </c>
      <c r="T248" s="232">
        <f>INDEX('Prop. prices'!$I$86:$AB$160,MATCH('Tariff schedule'!$C248,'Prop. prices'!$C$86:$C$160,0),MATCH('Tariff schedule'!T$16,'Prop. prices'!$I$5:$AB$5,0))</f>
        <v>0</v>
      </c>
      <c r="U248" s="232">
        <f>INDEX('Prop. prices'!$I$86:$AB$160,MATCH('Tariff schedule'!$C248,'Prop. prices'!$C$86:$C$160,0),MATCH('Tariff schedule'!U$16,'Prop. prices'!$I$5:$AB$5,0))</f>
        <v>0</v>
      </c>
      <c r="V248" s="232">
        <f>INDEX('Prop. prices'!$I$86:$AB$160,MATCH('Tariff schedule'!$C248,'Prop. prices'!$C$86:$C$160,0),MATCH('Tariff schedule'!V$16,'Prop. prices'!$I$5:$AB$5,0))</f>
        <v>0</v>
      </c>
      <c r="W248" s="232">
        <f>INDEX('Prop. prices'!$I$86:$AB$160,MATCH('Tariff schedule'!$C248,'Prop. prices'!$C$86:$C$160,0),MATCH('Tariff schedule'!W$16,'Prop. prices'!$I$5:$AB$5,0))</f>
        <v>0</v>
      </c>
      <c r="X248" s="232">
        <f>INDEX('Prop. prices'!$I$86:$AB$160,MATCH('Tariff schedule'!$C248,'Prop. prices'!$C$86:$C$160,0),MATCH('Tariff schedule'!X$16,'Prop. prices'!$I$5:$AB$5,0))</f>
        <v>0</v>
      </c>
      <c r="Y248" s="232">
        <f>INDEX('Prop. prices'!$I$86:$AB$160,MATCH('Tariff schedule'!$C248,'Prop. prices'!$C$86:$C$160,0),MATCH('Tariff schedule'!Y$16,'Prop. prices'!$I$5:$AB$5,0))</f>
        <v>0</v>
      </c>
      <c r="Z248" s="232">
        <f>INDEX('Prop. prices'!$I$86:$AB$160,MATCH('Tariff schedule'!$C248,'Prop. prices'!$C$86:$C$160,0),MATCH('Tariff schedule'!Z$16,'Prop. prices'!$I$5:$AB$5,0))</f>
        <v>0</v>
      </c>
      <c r="AA248" s="232">
        <f>INDEX('Prop. prices'!$I$86:$AB$160,MATCH('Tariff schedule'!$C248,'Prop. prices'!$C$86:$C$160,0),MATCH('Tariff schedule'!AA$16,'Prop. prices'!$I$5:$AB$5,0))</f>
        <v>0</v>
      </c>
      <c r="AB248" s="232">
        <f>INDEX('Prop. prices'!$I$86:$AB$160,MATCH('Tariff schedule'!$C248,'Prop. prices'!$C$86:$C$160,0),MATCH('Tariff schedule'!AB$16,'Prop. prices'!$I$5:$AB$5,0))</f>
        <v>0</v>
      </c>
      <c r="AC248" s="70"/>
      <c r="AD248" s="19"/>
      <c r="AE248" s="19"/>
      <c r="AF248" s="19"/>
      <c r="AG248" s="19"/>
    </row>
    <row r="249" spans="1:33" hidden="1" outlineLevel="3" x14ac:dyDescent="0.2">
      <c r="A249" s="19"/>
      <c r="B249" s="19"/>
      <c r="C249" s="506">
        <f t="shared" si="90"/>
        <v>0</v>
      </c>
      <c r="D249" s="505">
        <f t="shared" si="90"/>
        <v>0</v>
      </c>
      <c r="E249" s="505">
        <f t="shared" si="90"/>
        <v>0</v>
      </c>
      <c r="F249" s="505">
        <f t="shared" si="90"/>
        <v>0</v>
      </c>
      <c r="G249" s="505">
        <f t="shared" si="90"/>
        <v>0</v>
      </c>
      <c r="H249" s="58"/>
      <c r="I249" s="232">
        <f>INDEX('Prop. prices'!$I$86:$AB$160,MATCH('Tariff schedule'!$C249,'Prop. prices'!$C$86:$C$160,0),MATCH('Tariff schedule'!I$16,'Prop. prices'!$I$5:$AB$5,0))</f>
        <v>0</v>
      </c>
      <c r="J249" s="232">
        <f>INDEX('Prop. prices'!$I$86:$AB$160,MATCH('Tariff schedule'!$C249,'Prop. prices'!$C$86:$C$160,0),MATCH('Tariff schedule'!J$16,'Prop. prices'!$I$5:$AB$5,0))</f>
        <v>0</v>
      </c>
      <c r="K249" s="232">
        <f>INDEX('Prop. prices'!$I$86:$AB$160,MATCH('Tariff schedule'!$C249,'Prop. prices'!$C$86:$C$160,0),MATCH('Tariff schedule'!K$16,'Prop. prices'!$I$5:$AB$5,0))</f>
        <v>0</v>
      </c>
      <c r="L249" s="232">
        <f>INDEX('Prop. prices'!$I$86:$AB$160,MATCH('Tariff schedule'!$C249,'Prop. prices'!$C$86:$C$160,0),MATCH('Tariff schedule'!L$16,'Prop. prices'!$I$5:$AB$5,0))</f>
        <v>0</v>
      </c>
      <c r="M249" s="232">
        <f>INDEX('Prop. prices'!$I$86:$AB$160,MATCH('Tariff schedule'!$C249,'Prop. prices'!$C$86:$C$160,0),MATCH('Tariff schedule'!M$16,'Prop. prices'!$I$5:$AB$5,0))</f>
        <v>0</v>
      </c>
      <c r="N249" s="232">
        <f>INDEX('Prop. prices'!$I$86:$AB$160,MATCH('Tariff schedule'!$C249,'Prop. prices'!$C$86:$C$160,0),MATCH('Tariff schedule'!N$16,'Prop. prices'!$I$5:$AB$5,0))</f>
        <v>0</v>
      </c>
      <c r="O249" s="232">
        <f>INDEX('Prop. prices'!$I$86:$AB$160,MATCH('Tariff schedule'!$C249,'Prop. prices'!$C$86:$C$160,0),MATCH('Tariff schedule'!O$16,'Prop. prices'!$I$5:$AB$5,0))</f>
        <v>0</v>
      </c>
      <c r="P249" s="232">
        <f>INDEX('Prop. prices'!$I$86:$AB$160,MATCH('Tariff schedule'!$C249,'Prop. prices'!$C$86:$C$160,0),MATCH('Tariff schedule'!P$16,'Prop. prices'!$I$5:$AB$5,0))</f>
        <v>0</v>
      </c>
      <c r="Q249" s="232">
        <f>INDEX('Prop. prices'!$I$86:$AB$160,MATCH('Tariff schedule'!$C249,'Prop. prices'!$C$86:$C$160,0),MATCH('Tariff schedule'!Q$16,'Prop. prices'!$I$5:$AB$5,0))</f>
        <v>0</v>
      </c>
      <c r="R249" s="232">
        <f>INDEX('Prop. prices'!$I$86:$AB$160,MATCH('Tariff schedule'!$C249,'Prop. prices'!$C$86:$C$160,0),MATCH('Tariff schedule'!R$16,'Prop. prices'!$I$5:$AB$5,0))</f>
        <v>0</v>
      </c>
      <c r="S249" s="232">
        <f>INDEX('Prop. prices'!$I$86:$AB$160,MATCH('Tariff schedule'!$C249,'Prop. prices'!$C$86:$C$160,0),MATCH('Tariff schedule'!S$16,'Prop. prices'!$I$5:$AB$5,0))</f>
        <v>0</v>
      </c>
      <c r="T249" s="232">
        <f>INDEX('Prop. prices'!$I$86:$AB$160,MATCH('Tariff schedule'!$C249,'Prop. prices'!$C$86:$C$160,0),MATCH('Tariff schedule'!T$16,'Prop. prices'!$I$5:$AB$5,0))</f>
        <v>0</v>
      </c>
      <c r="U249" s="232">
        <f>INDEX('Prop. prices'!$I$86:$AB$160,MATCH('Tariff schedule'!$C249,'Prop. prices'!$C$86:$C$160,0),MATCH('Tariff schedule'!U$16,'Prop. prices'!$I$5:$AB$5,0))</f>
        <v>0</v>
      </c>
      <c r="V249" s="232">
        <f>INDEX('Prop. prices'!$I$86:$AB$160,MATCH('Tariff schedule'!$C249,'Prop. prices'!$C$86:$C$160,0),MATCH('Tariff schedule'!V$16,'Prop. prices'!$I$5:$AB$5,0))</f>
        <v>0</v>
      </c>
      <c r="W249" s="232">
        <f>INDEX('Prop. prices'!$I$86:$AB$160,MATCH('Tariff schedule'!$C249,'Prop. prices'!$C$86:$C$160,0),MATCH('Tariff schedule'!W$16,'Prop. prices'!$I$5:$AB$5,0))</f>
        <v>0</v>
      </c>
      <c r="X249" s="232">
        <f>INDEX('Prop. prices'!$I$86:$AB$160,MATCH('Tariff schedule'!$C249,'Prop. prices'!$C$86:$C$160,0),MATCH('Tariff schedule'!X$16,'Prop. prices'!$I$5:$AB$5,0))</f>
        <v>0</v>
      </c>
      <c r="Y249" s="232">
        <f>INDEX('Prop. prices'!$I$86:$AB$160,MATCH('Tariff schedule'!$C249,'Prop. prices'!$C$86:$C$160,0),MATCH('Tariff schedule'!Y$16,'Prop. prices'!$I$5:$AB$5,0))</f>
        <v>0</v>
      </c>
      <c r="Z249" s="232">
        <f>INDEX('Prop. prices'!$I$86:$AB$160,MATCH('Tariff schedule'!$C249,'Prop. prices'!$C$86:$C$160,0),MATCH('Tariff schedule'!Z$16,'Prop. prices'!$I$5:$AB$5,0))</f>
        <v>0</v>
      </c>
      <c r="AA249" s="232">
        <f>INDEX('Prop. prices'!$I$86:$AB$160,MATCH('Tariff schedule'!$C249,'Prop. prices'!$C$86:$C$160,0),MATCH('Tariff schedule'!AA$16,'Prop. prices'!$I$5:$AB$5,0))</f>
        <v>0</v>
      </c>
      <c r="AB249" s="232">
        <f>INDEX('Prop. prices'!$I$86:$AB$160,MATCH('Tariff schedule'!$C249,'Prop. prices'!$C$86:$C$160,0),MATCH('Tariff schedule'!AB$16,'Prop. prices'!$I$5:$AB$5,0))</f>
        <v>0</v>
      </c>
      <c r="AC249" s="70"/>
      <c r="AD249" s="19"/>
      <c r="AE249" s="19"/>
      <c r="AF249" s="19"/>
      <c r="AG249" s="19"/>
    </row>
    <row r="250" spans="1:33" outlineLevel="2" collapsed="1" x14ac:dyDescent="0.2">
      <c r="A250" s="19"/>
      <c r="B250" s="19"/>
      <c r="C250" s="66"/>
      <c r="D250" s="58"/>
      <c r="E250" s="58"/>
      <c r="F250" s="58"/>
      <c r="G250" s="58"/>
      <c r="H250" s="58"/>
      <c r="I250" s="71"/>
      <c r="J250" s="71"/>
      <c r="K250" s="70"/>
      <c r="L250" s="70"/>
      <c r="M250" s="70"/>
      <c r="N250" s="72"/>
      <c r="O250" s="72"/>
      <c r="P250" s="72"/>
      <c r="Q250" s="72"/>
      <c r="R250" s="72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19"/>
      <c r="AE250" s="19"/>
      <c r="AF250" s="19"/>
      <c r="AG250" s="19"/>
    </row>
    <row r="251" spans="1:33" outlineLevel="1" x14ac:dyDescent="0.2">
      <c r="A251" s="19"/>
      <c r="B251" s="19"/>
      <c r="C251" s="66"/>
      <c r="D251" s="58"/>
      <c r="E251" s="58"/>
      <c r="F251" s="58"/>
      <c r="G251" s="58"/>
      <c r="H251" s="58"/>
      <c r="I251" s="71"/>
      <c r="J251" s="71"/>
      <c r="K251" s="70"/>
      <c r="L251" s="70"/>
      <c r="M251" s="70"/>
      <c r="N251" s="72"/>
      <c r="O251" s="72"/>
      <c r="P251" s="72"/>
      <c r="Q251" s="72"/>
      <c r="R251" s="72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19"/>
      <c r="AE251" s="19"/>
      <c r="AF251" s="19"/>
      <c r="AG251" s="19"/>
    </row>
    <row r="252" spans="1:33" outlineLevel="1" x14ac:dyDescent="0.2">
      <c r="A252" s="19"/>
      <c r="B252" s="19"/>
      <c r="C252" s="167" t="s">
        <v>220</v>
      </c>
      <c r="D252" s="20"/>
      <c r="E252" s="20"/>
      <c r="F252" s="20"/>
      <c r="G252" s="22"/>
      <c r="H252" s="22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19"/>
      <c r="AE252" s="19"/>
      <c r="AF252" s="19"/>
      <c r="AG252" s="19"/>
    </row>
    <row r="253" spans="1:33" hidden="1" outlineLevel="2" x14ac:dyDescent="0.2">
      <c r="A253" s="19"/>
      <c r="B253" s="19"/>
      <c r="C253" s="506" t="str">
        <f t="shared" ref="C253:G262" si="91">C19</f>
        <v>Residential time of use consumption</v>
      </c>
      <c r="D253" s="505" t="str">
        <f t="shared" si="91"/>
        <v>Residential</v>
      </c>
      <c r="E253" s="505" t="str">
        <f t="shared" si="91"/>
        <v>TAS93</v>
      </c>
      <c r="F253" s="505">
        <f t="shared" si="91"/>
        <v>0</v>
      </c>
      <c r="G253" s="505">
        <f t="shared" si="91"/>
        <v>0</v>
      </c>
      <c r="H253" s="22"/>
      <c r="I253" s="232">
        <f>INDEX('Prop. prices'!$I$164:$AB$238,MATCH('Tariff schedule'!$C253,'Prop. prices'!$C$164:$C$238,0),MATCH('Tariff schedule'!I$16,'Prop. prices'!$I$5:$AB$5,0))</f>
        <v>0</v>
      </c>
      <c r="J253" s="232">
        <f>INDEX('Prop. prices'!$I$164:$AB$238,MATCH('Tariff schedule'!$C253,'Prop. prices'!$C$164:$C$238,0),MATCH('Tariff schedule'!J$16,'Prop. prices'!$I$5:$AB$5,0))</f>
        <v>0</v>
      </c>
      <c r="K253" s="232">
        <f>INDEX('Prop. prices'!$I$164:$AB$238,MATCH('Tariff schedule'!$C253,'Prop. prices'!$C$164:$C$238,0),MATCH('Tariff schedule'!K$16,'Prop. prices'!$I$5:$AB$5,0))</f>
        <v>0</v>
      </c>
      <c r="L253" s="232">
        <f>INDEX('Prop. prices'!$I$164:$AB$238,MATCH('Tariff schedule'!$C253,'Prop. prices'!$C$164:$C$238,0),MATCH('Tariff schedule'!L$16,'Prop. prices'!$I$5:$AB$5,0))</f>
        <v>0</v>
      </c>
      <c r="M253" s="232">
        <f>INDEX('Prop. prices'!$I$164:$AB$238,MATCH('Tariff schedule'!$C253,'Prop. prices'!$C$164:$C$238,0),MATCH('Tariff schedule'!M$16,'Prop. prices'!$I$5:$AB$5,0))</f>
        <v>0</v>
      </c>
      <c r="N253" s="232">
        <f>INDEX('Prop. prices'!$I$164:$AB$238,MATCH('Tariff schedule'!$C253,'Prop. prices'!$C$164:$C$238,0),MATCH('Tariff schedule'!N$16,'Prop. prices'!$I$5:$AB$5,0))</f>
        <v>0</v>
      </c>
      <c r="O253" s="232">
        <f>INDEX('Prop. prices'!$I$164:$AB$238,MATCH('Tariff schedule'!$C253,'Prop. prices'!$C$164:$C$238,0),MATCH('Tariff schedule'!O$16,'Prop. prices'!$I$5:$AB$5,0))</f>
        <v>0</v>
      </c>
      <c r="P253" s="232">
        <f>INDEX('Prop. prices'!$I$164:$AB$238,MATCH('Tariff schedule'!$C253,'Prop. prices'!$C$164:$C$238,0),MATCH('Tariff schedule'!P$16,'Prop. prices'!$I$5:$AB$5,0))</f>
        <v>0</v>
      </c>
      <c r="Q253" s="232">
        <f>INDEX('Prop. prices'!$I$164:$AB$238,MATCH('Tariff schedule'!$C253,'Prop. prices'!$C$164:$C$238,0),MATCH('Tariff schedule'!Q$16,'Prop. prices'!$I$5:$AB$5,0))</f>
        <v>0</v>
      </c>
      <c r="R253" s="232">
        <f>INDEX('Prop. prices'!$I$164:$AB$238,MATCH('Tariff schedule'!$C253,'Prop. prices'!$C$164:$C$238,0),MATCH('Tariff schedule'!R$16,'Prop. prices'!$I$5:$AB$5,0))</f>
        <v>0</v>
      </c>
      <c r="S253" s="232">
        <f>INDEX('Prop. prices'!$I$164:$AB$238,MATCH('Tariff schedule'!$C253,'Prop. prices'!$C$164:$C$238,0),MATCH('Tariff schedule'!S$16,'Prop. prices'!$I$5:$AB$5,0))</f>
        <v>0</v>
      </c>
      <c r="T253" s="232">
        <f>INDEX('Prop. prices'!$I$164:$AB$238,MATCH('Tariff schedule'!$C253,'Prop. prices'!$C$164:$C$238,0),MATCH('Tariff schedule'!T$16,'Prop. prices'!$I$5:$AB$5,0))</f>
        <v>0</v>
      </c>
      <c r="U253" s="232">
        <f>INDEX('Prop. prices'!$I$164:$AB$238,MATCH('Tariff schedule'!$C253,'Prop. prices'!$C$164:$C$238,0),MATCH('Tariff schedule'!U$16,'Prop. prices'!$I$5:$AB$5,0))</f>
        <v>0</v>
      </c>
      <c r="V253" s="232">
        <f>INDEX('Prop. prices'!$I$164:$AB$238,MATCH('Tariff schedule'!$C253,'Prop. prices'!$C$164:$C$238,0),MATCH('Tariff schedule'!V$16,'Prop. prices'!$I$5:$AB$5,0))</f>
        <v>0</v>
      </c>
      <c r="W253" s="232">
        <f>INDEX('Prop. prices'!$I$164:$AB$238,MATCH('Tariff schedule'!$C253,'Prop. prices'!$C$164:$C$238,0),MATCH('Tariff schedule'!W$16,'Prop. prices'!$I$5:$AB$5,0))</f>
        <v>0</v>
      </c>
      <c r="X253" s="232">
        <f>INDEX('Prop. prices'!$I$164:$AB$238,MATCH('Tariff schedule'!$C253,'Prop. prices'!$C$164:$C$238,0),MATCH('Tariff schedule'!X$16,'Prop. prices'!$I$5:$AB$5,0))</f>
        <v>0</v>
      </c>
      <c r="Y253" s="232">
        <f>INDEX('Prop. prices'!$I$164:$AB$238,MATCH('Tariff schedule'!$C253,'Prop. prices'!$C$164:$C$238,0),MATCH('Tariff schedule'!Y$16,'Prop. prices'!$I$5:$AB$5,0))</f>
        <v>0</v>
      </c>
      <c r="Z253" s="232">
        <f>INDEX('Prop. prices'!$I$164:$AB$238,MATCH('Tariff schedule'!$C253,'Prop. prices'!$C$164:$C$238,0),MATCH('Tariff schedule'!Z$16,'Prop. prices'!$I$5:$AB$5,0))</f>
        <v>0</v>
      </c>
      <c r="AA253" s="232">
        <f>INDEX('Prop. prices'!$I$164:$AB$238,MATCH('Tariff schedule'!$C253,'Prop. prices'!$C$164:$C$238,0),MATCH('Tariff schedule'!AA$16,'Prop. prices'!$I$5:$AB$5,0))</f>
        <v>0</v>
      </c>
      <c r="AB253" s="232">
        <f>INDEX('Prop. prices'!$I$164:$AB$238,MATCH('Tariff schedule'!$C253,'Prop. prices'!$C$164:$C$238,0),MATCH('Tariff schedule'!AB$16,'Prop. prices'!$I$5:$AB$5,0))</f>
        <v>0</v>
      </c>
      <c r="AC253" s="70"/>
      <c r="AD253" s="19"/>
      <c r="AE253" s="19"/>
      <c r="AF253" s="19"/>
      <c r="AG253" s="19"/>
    </row>
    <row r="254" spans="1:33" s="59" customFormat="1" hidden="1" outlineLevel="2" x14ac:dyDescent="0.2">
      <c r="A254" s="57"/>
      <c r="B254" s="57"/>
      <c r="C254" s="506" t="str">
        <f t="shared" si="91"/>
        <v>Residential general light and power</v>
      </c>
      <c r="D254" s="505" t="str">
        <f t="shared" si="91"/>
        <v>Residential</v>
      </c>
      <c r="E254" s="505" t="str">
        <f t="shared" si="91"/>
        <v>TAS31</v>
      </c>
      <c r="F254" s="505">
        <f t="shared" si="91"/>
        <v>0</v>
      </c>
      <c r="G254" s="505">
        <f t="shared" si="91"/>
        <v>0</v>
      </c>
      <c r="H254" s="58"/>
      <c r="I254" s="232">
        <f>INDEX('Prop. prices'!$I$164:$AB$238,MATCH('Tariff schedule'!$C254,'Prop. prices'!$C$164:$C$238,0),MATCH('Tariff schedule'!I$16,'Prop. prices'!$I$5:$AB$5,0))</f>
        <v>0</v>
      </c>
      <c r="J254" s="232">
        <f>INDEX('Prop. prices'!$I$164:$AB$238,MATCH('Tariff schedule'!$C254,'Prop. prices'!$C$164:$C$238,0),MATCH('Tariff schedule'!J$16,'Prop. prices'!$I$5:$AB$5,0))</f>
        <v>0</v>
      </c>
      <c r="K254" s="232">
        <f>INDEX('Prop. prices'!$I$164:$AB$238,MATCH('Tariff schedule'!$C254,'Prop. prices'!$C$164:$C$238,0),MATCH('Tariff schedule'!K$16,'Prop. prices'!$I$5:$AB$5,0))</f>
        <v>0</v>
      </c>
      <c r="L254" s="232">
        <f>INDEX('Prop. prices'!$I$164:$AB$238,MATCH('Tariff schedule'!$C254,'Prop. prices'!$C$164:$C$238,0),MATCH('Tariff schedule'!L$16,'Prop. prices'!$I$5:$AB$5,0))</f>
        <v>0</v>
      </c>
      <c r="M254" s="232">
        <f>INDEX('Prop. prices'!$I$164:$AB$238,MATCH('Tariff schedule'!$C254,'Prop. prices'!$C$164:$C$238,0),MATCH('Tariff schedule'!M$16,'Prop. prices'!$I$5:$AB$5,0))</f>
        <v>0</v>
      </c>
      <c r="N254" s="232">
        <f>INDEX('Prop. prices'!$I$164:$AB$238,MATCH('Tariff schedule'!$C254,'Prop. prices'!$C$164:$C$238,0),MATCH('Tariff schedule'!N$16,'Prop. prices'!$I$5:$AB$5,0))</f>
        <v>0</v>
      </c>
      <c r="O254" s="232">
        <f>INDEX('Prop. prices'!$I$164:$AB$238,MATCH('Tariff schedule'!$C254,'Prop. prices'!$C$164:$C$238,0),MATCH('Tariff schedule'!O$16,'Prop. prices'!$I$5:$AB$5,0))</f>
        <v>0</v>
      </c>
      <c r="P254" s="232">
        <f>INDEX('Prop. prices'!$I$164:$AB$238,MATCH('Tariff schedule'!$C254,'Prop. prices'!$C$164:$C$238,0),MATCH('Tariff schedule'!P$16,'Prop. prices'!$I$5:$AB$5,0))</f>
        <v>0</v>
      </c>
      <c r="Q254" s="232">
        <f>INDEX('Prop. prices'!$I$164:$AB$238,MATCH('Tariff schedule'!$C254,'Prop. prices'!$C$164:$C$238,0),MATCH('Tariff schedule'!Q$16,'Prop. prices'!$I$5:$AB$5,0))</f>
        <v>0</v>
      </c>
      <c r="R254" s="232">
        <f>INDEX('Prop. prices'!$I$164:$AB$238,MATCH('Tariff schedule'!$C254,'Prop. prices'!$C$164:$C$238,0),MATCH('Tariff schedule'!R$16,'Prop. prices'!$I$5:$AB$5,0))</f>
        <v>0</v>
      </c>
      <c r="S254" s="232">
        <f>INDEX('Prop. prices'!$I$164:$AB$238,MATCH('Tariff schedule'!$C254,'Prop. prices'!$C$164:$C$238,0),MATCH('Tariff schedule'!S$16,'Prop. prices'!$I$5:$AB$5,0))</f>
        <v>0</v>
      </c>
      <c r="T254" s="232">
        <f>INDEX('Prop. prices'!$I$164:$AB$238,MATCH('Tariff schedule'!$C254,'Prop. prices'!$C$164:$C$238,0),MATCH('Tariff schedule'!T$16,'Prop. prices'!$I$5:$AB$5,0))</f>
        <v>0</v>
      </c>
      <c r="U254" s="232">
        <f>INDEX('Prop. prices'!$I$164:$AB$238,MATCH('Tariff schedule'!$C254,'Prop. prices'!$C$164:$C$238,0),MATCH('Tariff schedule'!U$16,'Prop. prices'!$I$5:$AB$5,0))</f>
        <v>0</v>
      </c>
      <c r="V254" s="232">
        <f>INDEX('Prop. prices'!$I$164:$AB$238,MATCH('Tariff schedule'!$C254,'Prop. prices'!$C$164:$C$238,0),MATCH('Tariff schedule'!V$16,'Prop. prices'!$I$5:$AB$5,0))</f>
        <v>0</v>
      </c>
      <c r="W254" s="232">
        <f>INDEX('Prop. prices'!$I$164:$AB$238,MATCH('Tariff schedule'!$C254,'Prop. prices'!$C$164:$C$238,0),MATCH('Tariff schedule'!W$16,'Prop. prices'!$I$5:$AB$5,0))</f>
        <v>0</v>
      </c>
      <c r="X254" s="232">
        <f>INDEX('Prop. prices'!$I$164:$AB$238,MATCH('Tariff schedule'!$C254,'Prop. prices'!$C$164:$C$238,0),MATCH('Tariff schedule'!X$16,'Prop. prices'!$I$5:$AB$5,0))</f>
        <v>0</v>
      </c>
      <c r="Y254" s="232">
        <f>INDEX('Prop. prices'!$I$164:$AB$238,MATCH('Tariff schedule'!$C254,'Prop. prices'!$C$164:$C$238,0),MATCH('Tariff schedule'!Y$16,'Prop. prices'!$I$5:$AB$5,0))</f>
        <v>0</v>
      </c>
      <c r="Z254" s="232">
        <f>INDEX('Prop. prices'!$I$164:$AB$238,MATCH('Tariff schedule'!$C254,'Prop. prices'!$C$164:$C$238,0),MATCH('Tariff schedule'!Z$16,'Prop. prices'!$I$5:$AB$5,0))</f>
        <v>0</v>
      </c>
      <c r="AA254" s="232">
        <f>INDEX('Prop. prices'!$I$164:$AB$238,MATCH('Tariff schedule'!$C254,'Prop. prices'!$C$164:$C$238,0),MATCH('Tariff schedule'!AA$16,'Prop. prices'!$I$5:$AB$5,0))</f>
        <v>0</v>
      </c>
      <c r="AB254" s="232">
        <f>INDEX('Prop. prices'!$I$164:$AB$238,MATCH('Tariff schedule'!$C254,'Prop. prices'!$C$164:$C$238,0),MATCH('Tariff schedule'!AB$16,'Prop. prices'!$I$5:$AB$5,0))</f>
        <v>0</v>
      </c>
      <c r="AC254" s="70"/>
      <c r="AD254" s="57"/>
      <c r="AE254" s="57"/>
      <c r="AF254" s="57"/>
      <c r="AG254" s="57"/>
    </row>
    <row r="255" spans="1:33" hidden="1" outlineLevel="2" x14ac:dyDescent="0.2">
      <c r="A255" s="19"/>
      <c r="B255" s="19"/>
      <c r="C255" s="506" t="str">
        <f t="shared" si="91"/>
        <v>Residential time of use demand</v>
      </c>
      <c r="D255" s="505" t="str">
        <f t="shared" si="91"/>
        <v>Residential</v>
      </c>
      <c r="E255" s="505" t="str">
        <f t="shared" si="91"/>
        <v>TAS87</v>
      </c>
      <c r="F255" s="505">
        <f t="shared" si="91"/>
        <v>0</v>
      </c>
      <c r="G255" s="505">
        <f t="shared" si="91"/>
        <v>0</v>
      </c>
      <c r="H255" s="58"/>
      <c r="I255" s="232">
        <f>INDEX('Prop. prices'!$I$164:$AB$238,MATCH('Tariff schedule'!$C255,'Prop. prices'!$C$164:$C$238,0),MATCH('Tariff schedule'!I$16,'Prop. prices'!$I$5:$AB$5,0))</f>
        <v>0</v>
      </c>
      <c r="J255" s="232">
        <f>INDEX('Prop. prices'!$I$164:$AB$238,MATCH('Tariff schedule'!$C255,'Prop. prices'!$C$164:$C$238,0),MATCH('Tariff schedule'!J$16,'Prop. prices'!$I$5:$AB$5,0))</f>
        <v>0</v>
      </c>
      <c r="K255" s="232">
        <f>INDEX('Prop. prices'!$I$164:$AB$238,MATCH('Tariff schedule'!$C255,'Prop. prices'!$C$164:$C$238,0),MATCH('Tariff schedule'!K$16,'Prop. prices'!$I$5:$AB$5,0))</f>
        <v>0</v>
      </c>
      <c r="L255" s="232">
        <f>INDEX('Prop. prices'!$I$164:$AB$238,MATCH('Tariff schedule'!$C255,'Prop. prices'!$C$164:$C$238,0),MATCH('Tariff schedule'!L$16,'Prop. prices'!$I$5:$AB$5,0))</f>
        <v>0</v>
      </c>
      <c r="M255" s="232">
        <f>INDEX('Prop. prices'!$I$164:$AB$238,MATCH('Tariff schedule'!$C255,'Prop. prices'!$C$164:$C$238,0),MATCH('Tariff schedule'!M$16,'Prop. prices'!$I$5:$AB$5,0))</f>
        <v>0</v>
      </c>
      <c r="N255" s="232">
        <f>INDEX('Prop. prices'!$I$164:$AB$238,MATCH('Tariff schedule'!$C255,'Prop. prices'!$C$164:$C$238,0),MATCH('Tariff schedule'!N$16,'Prop. prices'!$I$5:$AB$5,0))</f>
        <v>0</v>
      </c>
      <c r="O255" s="232">
        <f>INDEX('Prop. prices'!$I$164:$AB$238,MATCH('Tariff schedule'!$C255,'Prop. prices'!$C$164:$C$238,0),MATCH('Tariff schedule'!O$16,'Prop. prices'!$I$5:$AB$5,0))</f>
        <v>0</v>
      </c>
      <c r="P255" s="232">
        <f>INDEX('Prop. prices'!$I$164:$AB$238,MATCH('Tariff schedule'!$C255,'Prop. prices'!$C$164:$C$238,0),MATCH('Tariff schedule'!P$16,'Prop. prices'!$I$5:$AB$5,0))</f>
        <v>0</v>
      </c>
      <c r="Q255" s="232">
        <f>INDEX('Prop. prices'!$I$164:$AB$238,MATCH('Tariff schedule'!$C255,'Prop. prices'!$C$164:$C$238,0),MATCH('Tariff schedule'!Q$16,'Prop. prices'!$I$5:$AB$5,0))</f>
        <v>0</v>
      </c>
      <c r="R255" s="232">
        <f>INDEX('Prop. prices'!$I$164:$AB$238,MATCH('Tariff schedule'!$C255,'Prop. prices'!$C$164:$C$238,0),MATCH('Tariff schedule'!R$16,'Prop. prices'!$I$5:$AB$5,0))</f>
        <v>0</v>
      </c>
      <c r="S255" s="232">
        <f>INDEX('Prop. prices'!$I$164:$AB$238,MATCH('Tariff schedule'!$C255,'Prop. prices'!$C$164:$C$238,0),MATCH('Tariff schedule'!S$16,'Prop. prices'!$I$5:$AB$5,0))</f>
        <v>0</v>
      </c>
      <c r="T255" s="232">
        <f>INDEX('Prop. prices'!$I$164:$AB$238,MATCH('Tariff schedule'!$C255,'Prop. prices'!$C$164:$C$238,0),MATCH('Tariff schedule'!T$16,'Prop. prices'!$I$5:$AB$5,0))</f>
        <v>0</v>
      </c>
      <c r="U255" s="232">
        <f>INDEX('Prop. prices'!$I$164:$AB$238,MATCH('Tariff schedule'!$C255,'Prop. prices'!$C$164:$C$238,0),MATCH('Tariff schedule'!U$16,'Prop. prices'!$I$5:$AB$5,0))</f>
        <v>0</v>
      </c>
      <c r="V255" s="232">
        <f>INDEX('Prop. prices'!$I$164:$AB$238,MATCH('Tariff schedule'!$C255,'Prop. prices'!$C$164:$C$238,0),MATCH('Tariff schedule'!V$16,'Prop. prices'!$I$5:$AB$5,0))</f>
        <v>0</v>
      </c>
      <c r="W255" s="232">
        <f>INDEX('Prop. prices'!$I$164:$AB$238,MATCH('Tariff schedule'!$C255,'Prop. prices'!$C$164:$C$238,0),MATCH('Tariff schedule'!W$16,'Prop. prices'!$I$5:$AB$5,0))</f>
        <v>0</v>
      </c>
      <c r="X255" s="232">
        <f>INDEX('Prop. prices'!$I$164:$AB$238,MATCH('Tariff schedule'!$C255,'Prop. prices'!$C$164:$C$238,0),MATCH('Tariff schedule'!X$16,'Prop. prices'!$I$5:$AB$5,0))</f>
        <v>0</v>
      </c>
      <c r="Y255" s="232">
        <f>INDEX('Prop. prices'!$I$164:$AB$238,MATCH('Tariff schedule'!$C255,'Prop. prices'!$C$164:$C$238,0),MATCH('Tariff schedule'!Y$16,'Prop. prices'!$I$5:$AB$5,0))</f>
        <v>0</v>
      </c>
      <c r="Z255" s="232">
        <f>INDEX('Prop. prices'!$I$164:$AB$238,MATCH('Tariff schedule'!$C255,'Prop. prices'!$C$164:$C$238,0),MATCH('Tariff schedule'!Z$16,'Prop. prices'!$I$5:$AB$5,0))</f>
        <v>0</v>
      </c>
      <c r="AA255" s="232">
        <f>INDEX('Prop. prices'!$I$164:$AB$238,MATCH('Tariff schedule'!$C255,'Prop. prices'!$C$164:$C$238,0),MATCH('Tariff schedule'!AA$16,'Prop. prices'!$I$5:$AB$5,0))</f>
        <v>0</v>
      </c>
      <c r="AB255" s="232">
        <f>INDEX('Prop. prices'!$I$164:$AB$238,MATCH('Tariff schedule'!$C255,'Prop. prices'!$C$164:$C$238,0),MATCH('Tariff schedule'!AB$16,'Prop. prices'!$I$5:$AB$5,0))</f>
        <v>0</v>
      </c>
      <c r="AC255" s="70"/>
      <c r="AD255" s="19"/>
      <c r="AE255" s="19"/>
      <c r="AF255" s="19"/>
      <c r="AG255" s="19"/>
    </row>
    <row r="256" spans="1:33" hidden="1" outlineLevel="2" x14ac:dyDescent="0.2">
      <c r="A256" s="19"/>
      <c r="B256" s="19"/>
      <c r="C256" s="506" t="str">
        <f t="shared" si="91"/>
        <v>Residential time of use demand DER</v>
      </c>
      <c r="D256" s="505" t="str">
        <f t="shared" si="91"/>
        <v>Residential</v>
      </c>
      <c r="E256" s="505" t="str">
        <f t="shared" si="91"/>
        <v>TAS97</v>
      </c>
      <c r="F256" s="505">
        <f t="shared" si="91"/>
        <v>0</v>
      </c>
      <c r="G256" s="505">
        <f t="shared" si="91"/>
        <v>0</v>
      </c>
      <c r="H256" s="58"/>
      <c r="I256" s="232">
        <f>INDEX('Prop. prices'!$I$164:$AB$238,MATCH('Tariff schedule'!$C256,'Prop. prices'!$C$164:$C$238,0),MATCH('Tariff schedule'!I$16,'Prop. prices'!$I$5:$AB$5,0))</f>
        <v>0</v>
      </c>
      <c r="J256" s="232">
        <f>INDEX('Prop. prices'!$I$164:$AB$238,MATCH('Tariff schedule'!$C256,'Prop. prices'!$C$164:$C$238,0),MATCH('Tariff schedule'!J$16,'Prop. prices'!$I$5:$AB$5,0))</f>
        <v>0</v>
      </c>
      <c r="K256" s="232">
        <f>INDEX('Prop. prices'!$I$164:$AB$238,MATCH('Tariff schedule'!$C256,'Prop. prices'!$C$164:$C$238,0),MATCH('Tariff schedule'!K$16,'Prop. prices'!$I$5:$AB$5,0))</f>
        <v>0</v>
      </c>
      <c r="L256" s="232">
        <f>INDEX('Prop. prices'!$I$164:$AB$238,MATCH('Tariff schedule'!$C256,'Prop. prices'!$C$164:$C$238,0),MATCH('Tariff schedule'!L$16,'Prop. prices'!$I$5:$AB$5,0))</f>
        <v>0</v>
      </c>
      <c r="M256" s="232">
        <f>INDEX('Prop. prices'!$I$164:$AB$238,MATCH('Tariff schedule'!$C256,'Prop. prices'!$C$164:$C$238,0),MATCH('Tariff schedule'!M$16,'Prop. prices'!$I$5:$AB$5,0))</f>
        <v>0</v>
      </c>
      <c r="N256" s="232">
        <f>INDEX('Prop. prices'!$I$164:$AB$238,MATCH('Tariff schedule'!$C256,'Prop. prices'!$C$164:$C$238,0),MATCH('Tariff schedule'!N$16,'Prop. prices'!$I$5:$AB$5,0))</f>
        <v>0</v>
      </c>
      <c r="O256" s="232">
        <f>INDEX('Prop. prices'!$I$164:$AB$238,MATCH('Tariff schedule'!$C256,'Prop. prices'!$C$164:$C$238,0),MATCH('Tariff schedule'!O$16,'Prop. prices'!$I$5:$AB$5,0))</f>
        <v>0</v>
      </c>
      <c r="P256" s="232">
        <f>INDEX('Prop. prices'!$I$164:$AB$238,MATCH('Tariff schedule'!$C256,'Prop. prices'!$C$164:$C$238,0),MATCH('Tariff schedule'!P$16,'Prop. prices'!$I$5:$AB$5,0))</f>
        <v>0</v>
      </c>
      <c r="Q256" s="232">
        <f>INDEX('Prop. prices'!$I$164:$AB$238,MATCH('Tariff schedule'!$C256,'Prop. prices'!$C$164:$C$238,0),MATCH('Tariff schedule'!Q$16,'Prop. prices'!$I$5:$AB$5,0))</f>
        <v>0</v>
      </c>
      <c r="R256" s="232">
        <f>INDEX('Prop. prices'!$I$164:$AB$238,MATCH('Tariff schedule'!$C256,'Prop. prices'!$C$164:$C$238,0),MATCH('Tariff schedule'!R$16,'Prop. prices'!$I$5:$AB$5,0))</f>
        <v>0</v>
      </c>
      <c r="S256" s="232">
        <f>INDEX('Prop. prices'!$I$164:$AB$238,MATCH('Tariff schedule'!$C256,'Prop. prices'!$C$164:$C$238,0),MATCH('Tariff schedule'!S$16,'Prop. prices'!$I$5:$AB$5,0))</f>
        <v>0</v>
      </c>
      <c r="T256" s="232">
        <f>INDEX('Prop. prices'!$I$164:$AB$238,MATCH('Tariff schedule'!$C256,'Prop. prices'!$C$164:$C$238,0),MATCH('Tariff schedule'!T$16,'Prop. prices'!$I$5:$AB$5,0))</f>
        <v>0</v>
      </c>
      <c r="U256" s="232">
        <f>INDEX('Prop. prices'!$I$164:$AB$238,MATCH('Tariff schedule'!$C256,'Prop. prices'!$C$164:$C$238,0),MATCH('Tariff schedule'!U$16,'Prop. prices'!$I$5:$AB$5,0))</f>
        <v>0</v>
      </c>
      <c r="V256" s="232">
        <f>INDEX('Prop. prices'!$I$164:$AB$238,MATCH('Tariff schedule'!$C256,'Prop. prices'!$C$164:$C$238,0),MATCH('Tariff schedule'!V$16,'Prop. prices'!$I$5:$AB$5,0))</f>
        <v>0</v>
      </c>
      <c r="W256" s="232">
        <f>INDEX('Prop. prices'!$I$164:$AB$238,MATCH('Tariff schedule'!$C256,'Prop. prices'!$C$164:$C$238,0),MATCH('Tariff schedule'!W$16,'Prop. prices'!$I$5:$AB$5,0))</f>
        <v>0</v>
      </c>
      <c r="X256" s="232">
        <f>INDEX('Prop. prices'!$I$164:$AB$238,MATCH('Tariff schedule'!$C256,'Prop. prices'!$C$164:$C$238,0),MATCH('Tariff schedule'!X$16,'Prop. prices'!$I$5:$AB$5,0))</f>
        <v>0</v>
      </c>
      <c r="Y256" s="232">
        <f>INDEX('Prop. prices'!$I$164:$AB$238,MATCH('Tariff schedule'!$C256,'Prop. prices'!$C$164:$C$238,0),MATCH('Tariff schedule'!Y$16,'Prop. prices'!$I$5:$AB$5,0))</f>
        <v>0</v>
      </c>
      <c r="Z256" s="232">
        <f>INDEX('Prop. prices'!$I$164:$AB$238,MATCH('Tariff schedule'!$C256,'Prop. prices'!$C$164:$C$238,0),MATCH('Tariff schedule'!Z$16,'Prop. prices'!$I$5:$AB$5,0))</f>
        <v>0</v>
      </c>
      <c r="AA256" s="232">
        <f>INDEX('Prop. prices'!$I$164:$AB$238,MATCH('Tariff schedule'!$C256,'Prop. prices'!$C$164:$C$238,0),MATCH('Tariff schedule'!AA$16,'Prop. prices'!$I$5:$AB$5,0))</f>
        <v>0</v>
      </c>
      <c r="AB256" s="232">
        <f>INDEX('Prop. prices'!$I$164:$AB$238,MATCH('Tariff schedule'!$C256,'Prop. prices'!$C$164:$C$238,0),MATCH('Tariff schedule'!AB$16,'Prop. prices'!$I$5:$AB$5,0))</f>
        <v>0</v>
      </c>
      <c r="AC256" s="70"/>
      <c r="AD256" s="19"/>
      <c r="AE256" s="19"/>
      <c r="AF256" s="19"/>
      <c r="AG256" s="19"/>
    </row>
    <row r="257" spans="1:33" hidden="1" outlineLevel="2" x14ac:dyDescent="0.2">
      <c r="A257" s="19"/>
      <c r="B257" s="19"/>
      <c r="C257" s="506" t="str">
        <f t="shared" si="91"/>
        <v>Residential pay as you go</v>
      </c>
      <c r="D257" s="505" t="str">
        <f t="shared" si="91"/>
        <v>Residential</v>
      </c>
      <c r="E257" s="505" t="str">
        <f t="shared" si="91"/>
        <v>TAS101</v>
      </c>
      <c r="F257" s="505">
        <f t="shared" si="91"/>
        <v>0</v>
      </c>
      <c r="G257" s="505">
        <f t="shared" si="91"/>
        <v>0</v>
      </c>
      <c r="H257" s="58"/>
      <c r="I257" s="232">
        <f>INDEX('Prop. prices'!$I$164:$AB$238,MATCH('Tariff schedule'!$C257,'Prop. prices'!$C$164:$C$238,0),MATCH('Tariff schedule'!I$16,'Prop. prices'!$I$5:$AB$5,0))</f>
        <v>0</v>
      </c>
      <c r="J257" s="232">
        <f>INDEX('Prop. prices'!$I$164:$AB$238,MATCH('Tariff schedule'!$C257,'Prop. prices'!$C$164:$C$238,0),MATCH('Tariff schedule'!J$16,'Prop. prices'!$I$5:$AB$5,0))</f>
        <v>0</v>
      </c>
      <c r="K257" s="232">
        <f>INDEX('Prop. prices'!$I$164:$AB$238,MATCH('Tariff schedule'!$C257,'Prop. prices'!$C$164:$C$238,0),MATCH('Tariff schedule'!K$16,'Prop. prices'!$I$5:$AB$5,0))</f>
        <v>0</v>
      </c>
      <c r="L257" s="232">
        <f>INDEX('Prop. prices'!$I$164:$AB$238,MATCH('Tariff schedule'!$C257,'Prop. prices'!$C$164:$C$238,0),MATCH('Tariff schedule'!L$16,'Prop. prices'!$I$5:$AB$5,0))</f>
        <v>0</v>
      </c>
      <c r="M257" s="232">
        <f>INDEX('Prop. prices'!$I$164:$AB$238,MATCH('Tariff schedule'!$C257,'Prop. prices'!$C$164:$C$238,0),MATCH('Tariff schedule'!M$16,'Prop. prices'!$I$5:$AB$5,0))</f>
        <v>0</v>
      </c>
      <c r="N257" s="232">
        <f>INDEX('Prop. prices'!$I$164:$AB$238,MATCH('Tariff schedule'!$C257,'Prop. prices'!$C$164:$C$238,0),MATCH('Tariff schedule'!N$16,'Prop. prices'!$I$5:$AB$5,0))</f>
        <v>0</v>
      </c>
      <c r="O257" s="232">
        <f>INDEX('Prop. prices'!$I$164:$AB$238,MATCH('Tariff schedule'!$C257,'Prop. prices'!$C$164:$C$238,0),MATCH('Tariff schedule'!O$16,'Prop. prices'!$I$5:$AB$5,0))</f>
        <v>0</v>
      </c>
      <c r="P257" s="232">
        <f>INDEX('Prop. prices'!$I$164:$AB$238,MATCH('Tariff schedule'!$C257,'Prop. prices'!$C$164:$C$238,0),MATCH('Tariff schedule'!P$16,'Prop. prices'!$I$5:$AB$5,0))</f>
        <v>0</v>
      </c>
      <c r="Q257" s="232">
        <f>INDEX('Prop. prices'!$I$164:$AB$238,MATCH('Tariff schedule'!$C257,'Prop. prices'!$C$164:$C$238,0),MATCH('Tariff schedule'!Q$16,'Prop. prices'!$I$5:$AB$5,0))</f>
        <v>0</v>
      </c>
      <c r="R257" s="232">
        <f>INDEX('Prop. prices'!$I$164:$AB$238,MATCH('Tariff schedule'!$C257,'Prop. prices'!$C$164:$C$238,0),MATCH('Tariff schedule'!R$16,'Prop. prices'!$I$5:$AB$5,0))</f>
        <v>0</v>
      </c>
      <c r="S257" s="232">
        <f>INDEX('Prop. prices'!$I$164:$AB$238,MATCH('Tariff schedule'!$C257,'Prop. prices'!$C$164:$C$238,0),MATCH('Tariff schedule'!S$16,'Prop. prices'!$I$5:$AB$5,0))</f>
        <v>0</v>
      </c>
      <c r="T257" s="232">
        <f>INDEX('Prop. prices'!$I$164:$AB$238,MATCH('Tariff schedule'!$C257,'Prop. prices'!$C$164:$C$238,0),MATCH('Tariff schedule'!T$16,'Prop. prices'!$I$5:$AB$5,0))</f>
        <v>0</v>
      </c>
      <c r="U257" s="232">
        <f>INDEX('Prop. prices'!$I$164:$AB$238,MATCH('Tariff schedule'!$C257,'Prop. prices'!$C$164:$C$238,0),MATCH('Tariff schedule'!U$16,'Prop. prices'!$I$5:$AB$5,0))</f>
        <v>0</v>
      </c>
      <c r="V257" s="232">
        <f>INDEX('Prop. prices'!$I$164:$AB$238,MATCH('Tariff schedule'!$C257,'Prop. prices'!$C$164:$C$238,0),MATCH('Tariff schedule'!V$16,'Prop. prices'!$I$5:$AB$5,0))</f>
        <v>0</v>
      </c>
      <c r="W257" s="232">
        <f>INDEX('Prop. prices'!$I$164:$AB$238,MATCH('Tariff schedule'!$C257,'Prop. prices'!$C$164:$C$238,0),MATCH('Tariff schedule'!W$16,'Prop. prices'!$I$5:$AB$5,0))</f>
        <v>0</v>
      </c>
      <c r="X257" s="232">
        <f>INDEX('Prop. prices'!$I$164:$AB$238,MATCH('Tariff schedule'!$C257,'Prop. prices'!$C$164:$C$238,0),MATCH('Tariff schedule'!X$16,'Prop. prices'!$I$5:$AB$5,0))</f>
        <v>0</v>
      </c>
      <c r="Y257" s="232">
        <f>INDEX('Prop. prices'!$I$164:$AB$238,MATCH('Tariff schedule'!$C257,'Prop. prices'!$C$164:$C$238,0),MATCH('Tariff schedule'!Y$16,'Prop. prices'!$I$5:$AB$5,0))</f>
        <v>0</v>
      </c>
      <c r="Z257" s="232">
        <f>INDEX('Prop. prices'!$I$164:$AB$238,MATCH('Tariff schedule'!$C257,'Prop. prices'!$C$164:$C$238,0),MATCH('Tariff schedule'!Z$16,'Prop. prices'!$I$5:$AB$5,0))</f>
        <v>0</v>
      </c>
      <c r="AA257" s="232">
        <f>INDEX('Prop. prices'!$I$164:$AB$238,MATCH('Tariff schedule'!$C257,'Prop. prices'!$C$164:$C$238,0),MATCH('Tariff schedule'!AA$16,'Prop. prices'!$I$5:$AB$5,0))</f>
        <v>0</v>
      </c>
      <c r="AB257" s="232">
        <f>INDEX('Prop. prices'!$I$164:$AB$238,MATCH('Tariff schedule'!$C257,'Prop. prices'!$C$164:$C$238,0),MATCH('Tariff schedule'!AB$16,'Prop. prices'!$I$5:$AB$5,0))</f>
        <v>0</v>
      </c>
      <c r="AC257" s="70"/>
      <c r="AD257" s="19"/>
      <c r="AE257" s="19"/>
      <c r="AF257" s="19"/>
      <c r="AG257" s="19"/>
    </row>
    <row r="258" spans="1:33" hidden="1" outlineLevel="2" x14ac:dyDescent="0.2">
      <c r="A258" s="19"/>
      <c r="B258" s="19"/>
      <c r="C258" s="506" t="str">
        <f t="shared" si="91"/>
        <v>Residential pay as you go time of use</v>
      </c>
      <c r="D258" s="505" t="str">
        <f t="shared" si="91"/>
        <v>Residential</v>
      </c>
      <c r="E258" s="505" t="str">
        <f t="shared" si="91"/>
        <v>TAS92</v>
      </c>
      <c r="F258" s="505">
        <f t="shared" si="91"/>
        <v>0</v>
      </c>
      <c r="G258" s="505">
        <f t="shared" si="91"/>
        <v>0</v>
      </c>
      <c r="H258" s="58"/>
      <c r="I258" s="232">
        <f>INDEX('Prop. prices'!$I$164:$AB$238,MATCH('Tariff schedule'!$C258,'Prop. prices'!$C$164:$C$238,0),MATCH('Tariff schedule'!I$16,'Prop. prices'!$I$5:$AB$5,0))</f>
        <v>0</v>
      </c>
      <c r="J258" s="232">
        <f>INDEX('Prop. prices'!$I$164:$AB$238,MATCH('Tariff schedule'!$C258,'Prop. prices'!$C$164:$C$238,0),MATCH('Tariff schedule'!J$16,'Prop. prices'!$I$5:$AB$5,0))</f>
        <v>0</v>
      </c>
      <c r="K258" s="232">
        <f>INDEX('Prop. prices'!$I$164:$AB$238,MATCH('Tariff schedule'!$C258,'Prop. prices'!$C$164:$C$238,0),MATCH('Tariff schedule'!K$16,'Prop. prices'!$I$5:$AB$5,0))</f>
        <v>0</v>
      </c>
      <c r="L258" s="232">
        <f>INDEX('Prop. prices'!$I$164:$AB$238,MATCH('Tariff schedule'!$C258,'Prop. prices'!$C$164:$C$238,0),MATCH('Tariff schedule'!L$16,'Prop. prices'!$I$5:$AB$5,0))</f>
        <v>0</v>
      </c>
      <c r="M258" s="232">
        <f>INDEX('Prop. prices'!$I$164:$AB$238,MATCH('Tariff schedule'!$C258,'Prop. prices'!$C$164:$C$238,0),MATCH('Tariff schedule'!M$16,'Prop. prices'!$I$5:$AB$5,0))</f>
        <v>0</v>
      </c>
      <c r="N258" s="232">
        <f>INDEX('Prop. prices'!$I$164:$AB$238,MATCH('Tariff schedule'!$C258,'Prop. prices'!$C$164:$C$238,0),MATCH('Tariff schedule'!N$16,'Prop. prices'!$I$5:$AB$5,0))</f>
        <v>0</v>
      </c>
      <c r="O258" s="232">
        <f>INDEX('Prop. prices'!$I$164:$AB$238,MATCH('Tariff schedule'!$C258,'Prop. prices'!$C$164:$C$238,0),MATCH('Tariff schedule'!O$16,'Prop. prices'!$I$5:$AB$5,0))</f>
        <v>0</v>
      </c>
      <c r="P258" s="232">
        <f>INDEX('Prop. prices'!$I$164:$AB$238,MATCH('Tariff schedule'!$C258,'Prop. prices'!$C$164:$C$238,0),MATCH('Tariff schedule'!P$16,'Prop. prices'!$I$5:$AB$5,0))</f>
        <v>0</v>
      </c>
      <c r="Q258" s="232">
        <f>INDEX('Prop. prices'!$I$164:$AB$238,MATCH('Tariff schedule'!$C258,'Prop. prices'!$C$164:$C$238,0),MATCH('Tariff schedule'!Q$16,'Prop. prices'!$I$5:$AB$5,0))</f>
        <v>0</v>
      </c>
      <c r="R258" s="232">
        <f>INDEX('Prop. prices'!$I$164:$AB$238,MATCH('Tariff schedule'!$C258,'Prop. prices'!$C$164:$C$238,0),MATCH('Tariff schedule'!R$16,'Prop. prices'!$I$5:$AB$5,0))</f>
        <v>0</v>
      </c>
      <c r="S258" s="232">
        <f>INDEX('Prop. prices'!$I$164:$AB$238,MATCH('Tariff schedule'!$C258,'Prop. prices'!$C$164:$C$238,0),MATCH('Tariff schedule'!S$16,'Prop. prices'!$I$5:$AB$5,0))</f>
        <v>0</v>
      </c>
      <c r="T258" s="232">
        <f>INDEX('Prop. prices'!$I$164:$AB$238,MATCH('Tariff schedule'!$C258,'Prop. prices'!$C$164:$C$238,0),MATCH('Tariff schedule'!T$16,'Prop. prices'!$I$5:$AB$5,0))</f>
        <v>0</v>
      </c>
      <c r="U258" s="232">
        <f>INDEX('Prop. prices'!$I$164:$AB$238,MATCH('Tariff schedule'!$C258,'Prop. prices'!$C$164:$C$238,0),MATCH('Tariff schedule'!U$16,'Prop. prices'!$I$5:$AB$5,0))</f>
        <v>0</v>
      </c>
      <c r="V258" s="232">
        <f>INDEX('Prop. prices'!$I$164:$AB$238,MATCH('Tariff schedule'!$C258,'Prop. prices'!$C$164:$C$238,0),MATCH('Tariff schedule'!V$16,'Prop. prices'!$I$5:$AB$5,0))</f>
        <v>0</v>
      </c>
      <c r="W258" s="232">
        <f>INDEX('Prop. prices'!$I$164:$AB$238,MATCH('Tariff schedule'!$C258,'Prop. prices'!$C$164:$C$238,0),MATCH('Tariff schedule'!W$16,'Prop. prices'!$I$5:$AB$5,0))</f>
        <v>0</v>
      </c>
      <c r="X258" s="232">
        <f>INDEX('Prop. prices'!$I$164:$AB$238,MATCH('Tariff schedule'!$C258,'Prop. prices'!$C$164:$C$238,0),MATCH('Tariff schedule'!X$16,'Prop. prices'!$I$5:$AB$5,0))</f>
        <v>0</v>
      </c>
      <c r="Y258" s="232">
        <f>INDEX('Prop. prices'!$I$164:$AB$238,MATCH('Tariff schedule'!$C258,'Prop. prices'!$C$164:$C$238,0),MATCH('Tariff schedule'!Y$16,'Prop. prices'!$I$5:$AB$5,0))</f>
        <v>0</v>
      </c>
      <c r="Z258" s="232">
        <f>INDEX('Prop. prices'!$I$164:$AB$238,MATCH('Tariff schedule'!$C258,'Prop. prices'!$C$164:$C$238,0),MATCH('Tariff schedule'!Z$16,'Prop. prices'!$I$5:$AB$5,0))</f>
        <v>0</v>
      </c>
      <c r="AA258" s="232">
        <f>INDEX('Prop. prices'!$I$164:$AB$238,MATCH('Tariff schedule'!$C258,'Prop. prices'!$C$164:$C$238,0),MATCH('Tariff schedule'!AA$16,'Prop. prices'!$I$5:$AB$5,0))</f>
        <v>0</v>
      </c>
      <c r="AB258" s="232">
        <f>INDEX('Prop. prices'!$I$164:$AB$238,MATCH('Tariff schedule'!$C258,'Prop. prices'!$C$164:$C$238,0),MATCH('Tariff schedule'!AB$16,'Prop. prices'!$I$5:$AB$5,0))</f>
        <v>0</v>
      </c>
      <c r="AC258" s="70"/>
      <c r="AD258" s="19"/>
      <c r="AE258" s="19"/>
      <c r="AF258" s="19"/>
      <c r="AG258" s="19"/>
    </row>
    <row r="259" spans="1:33" hidden="1" outlineLevel="2" x14ac:dyDescent="0.2">
      <c r="A259" s="19"/>
      <c r="B259" s="19"/>
      <c r="C259" s="506" t="str">
        <f t="shared" si="91"/>
        <v>Small business time of use consumption</v>
      </c>
      <c r="D259" s="505" t="str">
        <f t="shared" si="91"/>
        <v>Small Business LV</v>
      </c>
      <c r="E259" s="505" t="str">
        <f t="shared" si="91"/>
        <v>TAS94</v>
      </c>
      <c r="F259" s="505">
        <f t="shared" si="91"/>
        <v>0</v>
      </c>
      <c r="G259" s="505">
        <f t="shared" si="91"/>
        <v>0</v>
      </c>
      <c r="H259" s="58"/>
      <c r="I259" s="232">
        <f>INDEX('Prop. prices'!$I$164:$AB$238,MATCH('Tariff schedule'!$C259,'Prop. prices'!$C$164:$C$238,0),MATCH('Tariff schedule'!I$16,'Prop. prices'!$I$5:$AB$5,0))</f>
        <v>0</v>
      </c>
      <c r="J259" s="232">
        <f>INDEX('Prop. prices'!$I$164:$AB$238,MATCH('Tariff schedule'!$C259,'Prop. prices'!$C$164:$C$238,0),MATCH('Tariff schedule'!J$16,'Prop. prices'!$I$5:$AB$5,0))</f>
        <v>0</v>
      </c>
      <c r="K259" s="232">
        <f>INDEX('Prop. prices'!$I$164:$AB$238,MATCH('Tariff schedule'!$C259,'Prop. prices'!$C$164:$C$238,0),MATCH('Tariff schedule'!K$16,'Prop. prices'!$I$5:$AB$5,0))</f>
        <v>0</v>
      </c>
      <c r="L259" s="232">
        <f>INDEX('Prop. prices'!$I$164:$AB$238,MATCH('Tariff schedule'!$C259,'Prop. prices'!$C$164:$C$238,0),MATCH('Tariff schedule'!L$16,'Prop. prices'!$I$5:$AB$5,0))</f>
        <v>0</v>
      </c>
      <c r="M259" s="232">
        <f>INDEX('Prop. prices'!$I$164:$AB$238,MATCH('Tariff schedule'!$C259,'Prop. prices'!$C$164:$C$238,0),MATCH('Tariff schedule'!M$16,'Prop. prices'!$I$5:$AB$5,0))</f>
        <v>0</v>
      </c>
      <c r="N259" s="232">
        <f>INDEX('Prop. prices'!$I$164:$AB$238,MATCH('Tariff schedule'!$C259,'Prop. prices'!$C$164:$C$238,0),MATCH('Tariff schedule'!N$16,'Prop. prices'!$I$5:$AB$5,0))</f>
        <v>0</v>
      </c>
      <c r="O259" s="232">
        <f>INDEX('Prop. prices'!$I$164:$AB$238,MATCH('Tariff schedule'!$C259,'Prop. prices'!$C$164:$C$238,0),MATCH('Tariff schedule'!O$16,'Prop. prices'!$I$5:$AB$5,0))</f>
        <v>0</v>
      </c>
      <c r="P259" s="232">
        <f>INDEX('Prop. prices'!$I$164:$AB$238,MATCH('Tariff schedule'!$C259,'Prop. prices'!$C$164:$C$238,0),MATCH('Tariff schedule'!P$16,'Prop. prices'!$I$5:$AB$5,0))</f>
        <v>0</v>
      </c>
      <c r="Q259" s="232">
        <f>INDEX('Prop. prices'!$I$164:$AB$238,MATCH('Tariff schedule'!$C259,'Prop. prices'!$C$164:$C$238,0),MATCH('Tariff schedule'!Q$16,'Prop. prices'!$I$5:$AB$5,0))</f>
        <v>0</v>
      </c>
      <c r="R259" s="232">
        <f>INDEX('Prop. prices'!$I$164:$AB$238,MATCH('Tariff schedule'!$C259,'Prop. prices'!$C$164:$C$238,0),MATCH('Tariff schedule'!R$16,'Prop. prices'!$I$5:$AB$5,0))</f>
        <v>0</v>
      </c>
      <c r="S259" s="232">
        <f>INDEX('Prop. prices'!$I$164:$AB$238,MATCH('Tariff schedule'!$C259,'Prop. prices'!$C$164:$C$238,0),MATCH('Tariff schedule'!S$16,'Prop. prices'!$I$5:$AB$5,0))</f>
        <v>0</v>
      </c>
      <c r="T259" s="232">
        <f>INDEX('Prop. prices'!$I$164:$AB$238,MATCH('Tariff schedule'!$C259,'Prop. prices'!$C$164:$C$238,0),MATCH('Tariff schedule'!T$16,'Prop. prices'!$I$5:$AB$5,0))</f>
        <v>0</v>
      </c>
      <c r="U259" s="232">
        <f>INDEX('Prop. prices'!$I$164:$AB$238,MATCH('Tariff schedule'!$C259,'Prop. prices'!$C$164:$C$238,0),MATCH('Tariff schedule'!U$16,'Prop. prices'!$I$5:$AB$5,0))</f>
        <v>0</v>
      </c>
      <c r="V259" s="232">
        <f>INDEX('Prop. prices'!$I$164:$AB$238,MATCH('Tariff schedule'!$C259,'Prop. prices'!$C$164:$C$238,0),MATCH('Tariff schedule'!V$16,'Prop. prices'!$I$5:$AB$5,0))</f>
        <v>0</v>
      </c>
      <c r="W259" s="232">
        <f>INDEX('Prop. prices'!$I$164:$AB$238,MATCH('Tariff schedule'!$C259,'Prop. prices'!$C$164:$C$238,0),MATCH('Tariff schedule'!W$16,'Prop. prices'!$I$5:$AB$5,0))</f>
        <v>0</v>
      </c>
      <c r="X259" s="232">
        <f>INDEX('Prop. prices'!$I$164:$AB$238,MATCH('Tariff schedule'!$C259,'Prop. prices'!$C$164:$C$238,0),MATCH('Tariff schedule'!X$16,'Prop. prices'!$I$5:$AB$5,0))</f>
        <v>0</v>
      </c>
      <c r="Y259" s="232">
        <f>INDEX('Prop. prices'!$I$164:$AB$238,MATCH('Tariff schedule'!$C259,'Prop. prices'!$C$164:$C$238,0),MATCH('Tariff schedule'!Y$16,'Prop. prices'!$I$5:$AB$5,0))</f>
        <v>0</v>
      </c>
      <c r="Z259" s="232">
        <f>INDEX('Prop. prices'!$I$164:$AB$238,MATCH('Tariff schedule'!$C259,'Prop. prices'!$C$164:$C$238,0),MATCH('Tariff schedule'!Z$16,'Prop. prices'!$I$5:$AB$5,0))</f>
        <v>0</v>
      </c>
      <c r="AA259" s="232">
        <f>INDEX('Prop. prices'!$I$164:$AB$238,MATCH('Tariff schedule'!$C259,'Prop. prices'!$C$164:$C$238,0),MATCH('Tariff schedule'!AA$16,'Prop. prices'!$I$5:$AB$5,0))</f>
        <v>0</v>
      </c>
      <c r="AB259" s="232">
        <f>INDEX('Prop. prices'!$I$164:$AB$238,MATCH('Tariff schedule'!$C259,'Prop. prices'!$C$164:$C$238,0),MATCH('Tariff schedule'!AB$16,'Prop. prices'!$I$5:$AB$5,0))</f>
        <v>0</v>
      </c>
      <c r="AC259" s="70"/>
      <c r="AD259" s="19"/>
      <c r="AE259" s="19"/>
      <c r="AF259" s="19"/>
      <c r="AG259" s="19"/>
    </row>
    <row r="260" spans="1:33" hidden="1" outlineLevel="2" x14ac:dyDescent="0.2">
      <c r="A260" s="19"/>
      <c r="B260" s="19"/>
      <c r="C260" s="506" t="str">
        <f t="shared" si="91"/>
        <v>Small business general light and power</v>
      </c>
      <c r="D260" s="505" t="str">
        <f t="shared" si="91"/>
        <v>Small Business LV</v>
      </c>
      <c r="E260" s="505" t="str">
        <f t="shared" si="91"/>
        <v>TAS22</v>
      </c>
      <c r="F260" s="505">
        <f t="shared" si="91"/>
        <v>0</v>
      </c>
      <c r="G260" s="505">
        <f t="shared" si="91"/>
        <v>0</v>
      </c>
      <c r="H260" s="58"/>
      <c r="I260" s="232">
        <f>INDEX('Prop. prices'!$I$164:$AB$238,MATCH('Tariff schedule'!$C260,'Prop. prices'!$C$164:$C$238,0),MATCH('Tariff schedule'!I$16,'Prop. prices'!$I$5:$AB$5,0))</f>
        <v>0</v>
      </c>
      <c r="J260" s="232">
        <f>INDEX('Prop. prices'!$I$164:$AB$238,MATCH('Tariff schedule'!$C260,'Prop. prices'!$C$164:$C$238,0),MATCH('Tariff schedule'!J$16,'Prop. prices'!$I$5:$AB$5,0))</f>
        <v>0</v>
      </c>
      <c r="K260" s="232">
        <f>INDEX('Prop. prices'!$I$164:$AB$238,MATCH('Tariff schedule'!$C260,'Prop. prices'!$C$164:$C$238,0),MATCH('Tariff schedule'!K$16,'Prop. prices'!$I$5:$AB$5,0))</f>
        <v>0</v>
      </c>
      <c r="L260" s="232">
        <f>INDEX('Prop. prices'!$I$164:$AB$238,MATCH('Tariff schedule'!$C260,'Prop. prices'!$C$164:$C$238,0),MATCH('Tariff schedule'!L$16,'Prop. prices'!$I$5:$AB$5,0))</f>
        <v>0</v>
      </c>
      <c r="M260" s="232">
        <f>INDEX('Prop. prices'!$I$164:$AB$238,MATCH('Tariff schedule'!$C260,'Prop. prices'!$C$164:$C$238,0),MATCH('Tariff schedule'!M$16,'Prop. prices'!$I$5:$AB$5,0))</f>
        <v>0</v>
      </c>
      <c r="N260" s="232">
        <f>INDEX('Prop. prices'!$I$164:$AB$238,MATCH('Tariff schedule'!$C260,'Prop. prices'!$C$164:$C$238,0),MATCH('Tariff schedule'!N$16,'Prop. prices'!$I$5:$AB$5,0))</f>
        <v>0</v>
      </c>
      <c r="O260" s="232">
        <f>INDEX('Prop. prices'!$I$164:$AB$238,MATCH('Tariff schedule'!$C260,'Prop. prices'!$C$164:$C$238,0),MATCH('Tariff schedule'!O$16,'Prop. prices'!$I$5:$AB$5,0))</f>
        <v>0</v>
      </c>
      <c r="P260" s="232">
        <f>INDEX('Prop. prices'!$I$164:$AB$238,MATCH('Tariff schedule'!$C260,'Prop. prices'!$C$164:$C$238,0),MATCH('Tariff schedule'!P$16,'Prop. prices'!$I$5:$AB$5,0))</f>
        <v>0</v>
      </c>
      <c r="Q260" s="232">
        <f>INDEX('Prop. prices'!$I$164:$AB$238,MATCH('Tariff schedule'!$C260,'Prop. prices'!$C$164:$C$238,0),MATCH('Tariff schedule'!Q$16,'Prop. prices'!$I$5:$AB$5,0))</f>
        <v>0</v>
      </c>
      <c r="R260" s="232">
        <f>INDEX('Prop. prices'!$I$164:$AB$238,MATCH('Tariff schedule'!$C260,'Prop. prices'!$C$164:$C$238,0),MATCH('Tariff schedule'!R$16,'Prop. prices'!$I$5:$AB$5,0))</f>
        <v>0</v>
      </c>
      <c r="S260" s="232">
        <f>INDEX('Prop. prices'!$I$164:$AB$238,MATCH('Tariff schedule'!$C260,'Prop. prices'!$C$164:$C$238,0),MATCH('Tariff schedule'!S$16,'Prop. prices'!$I$5:$AB$5,0))</f>
        <v>0</v>
      </c>
      <c r="T260" s="232">
        <f>INDEX('Prop. prices'!$I$164:$AB$238,MATCH('Tariff schedule'!$C260,'Prop. prices'!$C$164:$C$238,0),MATCH('Tariff schedule'!T$16,'Prop. prices'!$I$5:$AB$5,0))</f>
        <v>0</v>
      </c>
      <c r="U260" s="232">
        <f>INDEX('Prop. prices'!$I$164:$AB$238,MATCH('Tariff schedule'!$C260,'Prop. prices'!$C$164:$C$238,0),MATCH('Tariff schedule'!U$16,'Prop. prices'!$I$5:$AB$5,0))</f>
        <v>0</v>
      </c>
      <c r="V260" s="232">
        <f>INDEX('Prop. prices'!$I$164:$AB$238,MATCH('Tariff schedule'!$C260,'Prop. prices'!$C$164:$C$238,0),MATCH('Tariff schedule'!V$16,'Prop. prices'!$I$5:$AB$5,0))</f>
        <v>0</v>
      </c>
      <c r="W260" s="232">
        <f>INDEX('Prop. prices'!$I$164:$AB$238,MATCH('Tariff schedule'!$C260,'Prop. prices'!$C$164:$C$238,0),MATCH('Tariff schedule'!W$16,'Prop. prices'!$I$5:$AB$5,0))</f>
        <v>0</v>
      </c>
      <c r="X260" s="232">
        <f>INDEX('Prop. prices'!$I$164:$AB$238,MATCH('Tariff schedule'!$C260,'Prop. prices'!$C$164:$C$238,0),MATCH('Tariff schedule'!X$16,'Prop. prices'!$I$5:$AB$5,0))</f>
        <v>0</v>
      </c>
      <c r="Y260" s="232">
        <f>INDEX('Prop. prices'!$I$164:$AB$238,MATCH('Tariff schedule'!$C260,'Prop. prices'!$C$164:$C$238,0),MATCH('Tariff schedule'!Y$16,'Prop. prices'!$I$5:$AB$5,0))</f>
        <v>0</v>
      </c>
      <c r="Z260" s="232">
        <f>INDEX('Prop. prices'!$I$164:$AB$238,MATCH('Tariff schedule'!$C260,'Prop. prices'!$C$164:$C$238,0),MATCH('Tariff schedule'!Z$16,'Prop. prices'!$I$5:$AB$5,0))</f>
        <v>0</v>
      </c>
      <c r="AA260" s="232">
        <f>INDEX('Prop. prices'!$I$164:$AB$238,MATCH('Tariff schedule'!$C260,'Prop. prices'!$C$164:$C$238,0),MATCH('Tariff schedule'!AA$16,'Prop. prices'!$I$5:$AB$5,0))</f>
        <v>0</v>
      </c>
      <c r="AB260" s="232">
        <f>INDEX('Prop. prices'!$I$164:$AB$238,MATCH('Tariff schedule'!$C260,'Prop. prices'!$C$164:$C$238,0),MATCH('Tariff schedule'!AB$16,'Prop. prices'!$I$5:$AB$5,0))</f>
        <v>0</v>
      </c>
      <c r="AC260" s="70"/>
      <c r="AD260" s="19"/>
      <c r="AE260" s="19"/>
      <c r="AF260" s="19"/>
      <c r="AG260" s="19"/>
    </row>
    <row r="261" spans="1:33" hidden="1" outlineLevel="2" x14ac:dyDescent="0.2">
      <c r="A261" s="19"/>
      <c r="B261" s="19"/>
      <c r="C261" s="506" t="str">
        <f t="shared" si="91"/>
        <v>Small business time of use demand</v>
      </c>
      <c r="D261" s="505" t="str">
        <f t="shared" si="91"/>
        <v>Small Business LV</v>
      </c>
      <c r="E261" s="505" t="str">
        <f t="shared" si="91"/>
        <v>TAS88</v>
      </c>
      <c r="F261" s="505">
        <f t="shared" si="91"/>
        <v>0</v>
      </c>
      <c r="G261" s="505">
        <f t="shared" si="91"/>
        <v>0</v>
      </c>
      <c r="H261" s="58"/>
      <c r="I261" s="232">
        <f>INDEX('Prop. prices'!$I$164:$AB$238,MATCH('Tariff schedule'!$C261,'Prop. prices'!$C$164:$C$238,0),MATCH('Tariff schedule'!I$16,'Prop. prices'!$I$5:$AB$5,0))</f>
        <v>0</v>
      </c>
      <c r="J261" s="232">
        <f>INDEX('Prop. prices'!$I$164:$AB$238,MATCH('Tariff schedule'!$C261,'Prop. prices'!$C$164:$C$238,0),MATCH('Tariff schedule'!J$16,'Prop. prices'!$I$5:$AB$5,0))</f>
        <v>0</v>
      </c>
      <c r="K261" s="232">
        <f>INDEX('Prop. prices'!$I$164:$AB$238,MATCH('Tariff schedule'!$C261,'Prop. prices'!$C$164:$C$238,0),MATCH('Tariff schedule'!K$16,'Prop. prices'!$I$5:$AB$5,0))</f>
        <v>0</v>
      </c>
      <c r="L261" s="232">
        <f>INDEX('Prop. prices'!$I$164:$AB$238,MATCH('Tariff schedule'!$C261,'Prop. prices'!$C$164:$C$238,0),MATCH('Tariff schedule'!L$16,'Prop. prices'!$I$5:$AB$5,0))</f>
        <v>0</v>
      </c>
      <c r="M261" s="232">
        <f>INDEX('Prop. prices'!$I$164:$AB$238,MATCH('Tariff schedule'!$C261,'Prop. prices'!$C$164:$C$238,0),MATCH('Tariff schedule'!M$16,'Prop. prices'!$I$5:$AB$5,0))</f>
        <v>0</v>
      </c>
      <c r="N261" s="232">
        <f>INDEX('Prop. prices'!$I$164:$AB$238,MATCH('Tariff schedule'!$C261,'Prop. prices'!$C$164:$C$238,0),MATCH('Tariff schedule'!N$16,'Prop. prices'!$I$5:$AB$5,0))</f>
        <v>0</v>
      </c>
      <c r="O261" s="232">
        <f>INDEX('Prop. prices'!$I$164:$AB$238,MATCH('Tariff schedule'!$C261,'Prop. prices'!$C$164:$C$238,0),MATCH('Tariff schedule'!O$16,'Prop. prices'!$I$5:$AB$5,0))</f>
        <v>0</v>
      </c>
      <c r="P261" s="232">
        <f>INDEX('Prop. prices'!$I$164:$AB$238,MATCH('Tariff schedule'!$C261,'Prop. prices'!$C$164:$C$238,0),MATCH('Tariff schedule'!P$16,'Prop. prices'!$I$5:$AB$5,0))</f>
        <v>0</v>
      </c>
      <c r="Q261" s="232">
        <f>INDEX('Prop. prices'!$I$164:$AB$238,MATCH('Tariff schedule'!$C261,'Prop. prices'!$C$164:$C$238,0),MATCH('Tariff schedule'!Q$16,'Prop. prices'!$I$5:$AB$5,0))</f>
        <v>0</v>
      </c>
      <c r="R261" s="232">
        <f>INDEX('Prop. prices'!$I$164:$AB$238,MATCH('Tariff schedule'!$C261,'Prop. prices'!$C$164:$C$238,0),MATCH('Tariff schedule'!R$16,'Prop. prices'!$I$5:$AB$5,0))</f>
        <v>0</v>
      </c>
      <c r="S261" s="232">
        <f>INDEX('Prop. prices'!$I$164:$AB$238,MATCH('Tariff schedule'!$C261,'Prop. prices'!$C$164:$C$238,0),MATCH('Tariff schedule'!S$16,'Prop. prices'!$I$5:$AB$5,0))</f>
        <v>0</v>
      </c>
      <c r="T261" s="232">
        <f>INDEX('Prop. prices'!$I$164:$AB$238,MATCH('Tariff schedule'!$C261,'Prop. prices'!$C$164:$C$238,0),MATCH('Tariff schedule'!T$16,'Prop. prices'!$I$5:$AB$5,0))</f>
        <v>0</v>
      </c>
      <c r="U261" s="232">
        <f>INDEX('Prop. prices'!$I$164:$AB$238,MATCH('Tariff schedule'!$C261,'Prop. prices'!$C$164:$C$238,0),MATCH('Tariff schedule'!U$16,'Prop. prices'!$I$5:$AB$5,0))</f>
        <v>0</v>
      </c>
      <c r="V261" s="232">
        <f>INDEX('Prop. prices'!$I$164:$AB$238,MATCH('Tariff schedule'!$C261,'Prop. prices'!$C$164:$C$238,0),MATCH('Tariff schedule'!V$16,'Prop. prices'!$I$5:$AB$5,0))</f>
        <v>0</v>
      </c>
      <c r="W261" s="232">
        <f>INDEX('Prop. prices'!$I$164:$AB$238,MATCH('Tariff schedule'!$C261,'Prop. prices'!$C$164:$C$238,0),MATCH('Tariff schedule'!W$16,'Prop. prices'!$I$5:$AB$5,0))</f>
        <v>0</v>
      </c>
      <c r="X261" s="232">
        <f>INDEX('Prop. prices'!$I$164:$AB$238,MATCH('Tariff schedule'!$C261,'Prop. prices'!$C$164:$C$238,0),MATCH('Tariff schedule'!X$16,'Prop. prices'!$I$5:$AB$5,0))</f>
        <v>0</v>
      </c>
      <c r="Y261" s="232">
        <f>INDEX('Prop. prices'!$I$164:$AB$238,MATCH('Tariff schedule'!$C261,'Prop. prices'!$C$164:$C$238,0),MATCH('Tariff schedule'!Y$16,'Prop. prices'!$I$5:$AB$5,0))</f>
        <v>0</v>
      </c>
      <c r="Z261" s="232">
        <f>INDEX('Prop. prices'!$I$164:$AB$238,MATCH('Tariff schedule'!$C261,'Prop. prices'!$C$164:$C$238,0),MATCH('Tariff schedule'!Z$16,'Prop. prices'!$I$5:$AB$5,0))</f>
        <v>0</v>
      </c>
      <c r="AA261" s="232">
        <f>INDEX('Prop. prices'!$I$164:$AB$238,MATCH('Tariff schedule'!$C261,'Prop. prices'!$C$164:$C$238,0),MATCH('Tariff schedule'!AA$16,'Prop. prices'!$I$5:$AB$5,0))</f>
        <v>0</v>
      </c>
      <c r="AB261" s="232">
        <f>INDEX('Prop. prices'!$I$164:$AB$238,MATCH('Tariff schedule'!$C261,'Prop. prices'!$C$164:$C$238,0),MATCH('Tariff schedule'!AB$16,'Prop. prices'!$I$5:$AB$5,0))</f>
        <v>0</v>
      </c>
      <c r="AC261" s="70"/>
      <c r="AD261" s="19"/>
      <c r="AE261" s="19"/>
      <c r="AF261" s="19"/>
      <c r="AG261" s="19"/>
    </row>
    <row r="262" spans="1:33" hidden="1" outlineLevel="2" x14ac:dyDescent="0.2">
      <c r="A262" s="19"/>
      <c r="B262" s="19"/>
      <c r="C262" s="506" t="str">
        <f t="shared" si="91"/>
        <v>Small business time of use demand DER</v>
      </c>
      <c r="D262" s="505" t="str">
        <f t="shared" si="91"/>
        <v>Small Business LV</v>
      </c>
      <c r="E262" s="505" t="str">
        <f t="shared" si="91"/>
        <v>TAS98</v>
      </c>
      <c r="F262" s="505">
        <f t="shared" si="91"/>
        <v>0</v>
      </c>
      <c r="G262" s="505">
        <f t="shared" si="91"/>
        <v>0</v>
      </c>
      <c r="H262" s="58"/>
      <c r="I262" s="232">
        <f>INDEX('Prop. prices'!$I$164:$AB$238,MATCH('Tariff schedule'!$C262,'Prop. prices'!$C$164:$C$238,0),MATCH('Tariff schedule'!I$16,'Prop. prices'!$I$5:$AB$5,0))</f>
        <v>0</v>
      </c>
      <c r="J262" s="232">
        <f>INDEX('Prop. prices'!$I$164:$AB$238,MATCH('Tariff schedule'!$C262,'Prop. prices'!$C$164:$C$238,0),MATCH('Tariff schedule'!J$16,'Prop. prices'!$I$5:$AB$5,0))</f>
        <v>0</v>
      </c>
      <c r="K262" s="232">
        <f>INDEX('Prop. prices'!$I$164:$AB$238,MATCH('Tariff schedule'!$C262,'Prop. prices'!$C$164:$C$238,0),MATCH('Tariff schedule'!K$16,'Prop. prices'!$I$5:$AB$5,0))</f>
        <v>0</v>
      </c>
      <c r="L262" s="232">
        <f>INDEX('Prop. prices'!$I$164:$AB$238,MATCH('Tariff schedule'!$C262,'Prop. prices'!$C$164:$C$238,0),MATCH('Tariff schedule'!L$16,'Prop. prices'!$I$5:$AB$5,0))</f>
        <v>0</v>
      </c>
      <c r="M262" s="232">
        <f>INDEX('Prop. prices'!$I$164:$AB$238,MATCH('Tariff schedule'!$C262,'Prop. prices'!$C$164:$C$238,0),MATCH('Tariff schedule'!M$16,'Prop. prices'!$I$5:$AB$5,0))</f>
        <v>0</v>
      </c>
      <c r="N262" s="232">
        <f>INDEX('Prop. prices'!$I$164:$AB$238,MATCH('Tariff schedule'!$C262,'Prop. prices'!$C$164:$C$238,0),MATCH('Tariff schedule'!N$16,'Prop. prices'!$I$5:$AB$5,0))</f>
        <v>0</v>
      </c>
      <c r="O262" s="232">
        <f>INDEX('Prop. prices'!$I$164:$AB$238,MATCH('Tariff schedule'!$C262,'Prop. prices'!$C$164:$C$238,0),MATCH('Tariff schedule'!O$16,'Prop. prices'!$I$5:$AB$5,0))</f>
        <v>0</v>
      </c>
      <c r="P262" s="232">
        <f>INDEX('Prop. prices'!$I$164:$AB$238,MATCH('Tariff schedule'!$C262,'Prop. prices'!$C$164:$C$238,0),MATCH('Tariff schedule'!P$16,'Prop. prices'!$I$5:$AB$5,0))</f>
        <v>0</v>
      </c>
      <c r="Q262" s="232">
        <f>INDEX('Prop. prices'!$I$164:$AB$238,MATCH('Tariff schedule'!$C262,'Prop. prices'!$C$164:$C$238,0),MATCH('Tariff schedule'!Q$16,'Prop. prices'!$I$5:$AB$5,0))</f>
        <v>0</v>
      </c>
      <c r="R262" s="232">
        <f>INDEX('Prop. prices'!$I$164:$AB$238,MATCH('Tariff schedule'!$C262,'Prop. prices'!$C$164:$C$238,0),MATCH('Tariff schedule'!R$16,'Prop. prices'!$I$5:$AB$5,0))</f>
        <v>0</v>
      </c>
      <c r="S262" s="232">
        <f>INDEX('Prop. prices'!$I$164:$AB$238,MATCH('Tariff schedule'!$C262,'Prop. prices'!$C$164:$C$238,0),MATCH('Tariff schedule'!S$16,'Prop. prices'!$I$5:$AB$5,0))</f>
        <v>0</v>
      </c>
      <c r="T262" s="232">
        <f>INDEX('Prop. prices'!$I$164:$AB$238,MATCH('Tariff schedule'!$C262,'Prop. prices'!$C$164:$C$238,0),MATCH('Tariff schedule'!T$16,'Prop. prices'!$I$5:$AB$5,0))</f>
        <v>0</v>
      </c>
      <c r="U262" s="232">
        <f>INDEX('Prop. prices'!$I$164:$AB$238,MATCH('Tariff schedule'!$C262,'Prop. prices'!$C$164:$C$238,0),MATCH('Tariff schedule'!U$16,'Prop. prices'!$I$5:$AB$5,0))</f>
        <v>0</v>
      </c>
      <c r="V262" s="232">
        <f>INDEX('Prop. prices'!$I$164:$AB$238,MATCH('Tariff schedule'!$C262,'Prop. prices'!$C$164:$C$238,0),MATCH('Tariff schedule'!V$16,'Prop. prices'!$I$5:$AB$5,0))</f>
        <v>0</v>
      </c>
      <c r="W262" s="232">
        <f>INDEX('Prop. prices'!$I$164:$AB$238,MATCH('Tariff schedule'!$C262,'Prop. prices'!$C$164:$C$238,0),MATCH('Tariff schedule'!W$16,'Prop. prices'!$I$5:$AB$5,0))</f>
        <v>0</v>
      </c>
      <c r="X262" s="232">
        <f>INDEX('Prop. prices'!$I$164:$AB$238,MATCH('Tariff schedule'!$C262,'Prop. prices'!$C$164:$C$238,0),MATCH('Tariff schedule'!X$16,'Prop. prices'!$I$5:$AB$5,0))</f>
        <v>0</v>
      </c>
      <c r="Y262" s="232">
        <f>INDEX('Prop. prices'!$I$164:$AB$238,MATCH('Tariff schedule'!$C262,'Prop. prices'!$C$164:$C$238,0),MATCH('Tariff schedule'!Y$16,'Prop. prices'!$I$5:$AB$5,0))</f>
        <v>0</v>
      </c>
      <c r="Z262" s="232">
        <f>INDEX('Prop. prices'!$I$164:$AB$238,MATCH('Tariff schedule'!$C262,'Prop. prices'!$C$164:$C$238,0),MATCH('Tariff schedule'!Z$16,'Prop. prices'!$I$5:$AB$5,0))</f>
        <v>0</v>
      </c>
      <c r="AA262" s="232">
        <f>INDEX('Prop. prices'!$I$164:$AB$238,MATCH('Tariff schedule'!$C262,'Prop. prices'!$C$164:$C$238,0),MATCH('Tariff schedule'!AA$16,'Prop. prices'!$I$5:$AB$5,0))</f>
        <v>0</v>
      </c>
      <c r="AB262" s="232">
        <f>INDEX('Prop. prices'!$I$164:$AB$238,MATCH('Tariff schedule'!$C262,'Prop. prices'!$C$164:$C$238,0),MATCH('Tariff schedule'!AB$16,'Prop. prices'!$I$5:$AB$5,0))</f>
        <v>0</v>
      </c>
      <c r="AC262" s="70"/>
      <c r="AD262" s="19"/>
      <c r="AE262" s="19"/>
      <c r="AF262" s="19"/>
      <c r="AG262" s="19"/>
    </row>
    <row r="263" spans="1:33" hidden="1" outlineLevel="2" x14ac:dyDescent="0.2">
      <c r="A263" s="19"/>
      <c r="B263" s="19"/>
      <c r="C263" s="506" t="str">
        <f t="shared" ref="C263:G272" si="92">C29</f>
        <v>Large business kVA demand</v>
      </c>
      <c r="D263" s="505" t="str">
        <f t="shared" si="92"/>
        <v>Large Business LV</v>
      </c>
      <c r="E263" s="505" t="str">
        <f t="shared" si="92"/>
        <v>TAS82</v>
      </c>
      <c r="F263" s="505">
        <f t="shared" si="92"/>
        <v>0</v>
      </c>
      <c r="G263" s="505">
        <f t="shared" si="92"/>
        <v>0</v>
      </c>
      <c r="H263" s="58"/>
      <c r="I263" s="232">
        <f>INDEX('Prop. prices'!$I$164:$AB$238,MATCH('Tariff schedule'!$C263,'Prop. prices'!$C$164:$C$238,0),MATCH('Tariff schedule'!I$16,'Prop. prices'!$I$5:$AB$5,0))</f>
        <v>0</v>
      </c>
      <c r="J263" s="232">
        <f>INDEX('Prop. prices'!$I$164:$AB$238,MATCH('Tariff schedule'!$C263,'Prop. prices'!$C$164:$C$238,0),MATCH('Tariff schedule'!J$16,'Prop. prices'!$I$5:$AB$5,0))</f>
        <v>0</v>
      </c>
      <c r="K263" s="232">
        <f>INDEX('Prop. prices'!$I$164:$AB$238,MATCH('Tariff schedule'!$C263,'Prop. prices'!$C$164:$C$238,0),MATCH('Tariff schedule'!K$16,'Prop. prices'!$I$5:$AB$5,0))</f>
        <v>0</v>
      </c>
      <c r="L263" s="232">
        <f>INDEX('Prop. prices'!$I$164:$AB$238,MATCH('Tariff schedule'!$C263,'Prop. prices'!$C$164:$C$238,0),MATCH('Tariff schedule'!L$16,'Prop. prices'!$I$5:$AB$5,0))</f>
        <v>0</v>
      </c>
      <c r="M263" s="232">
        <f>INDEX('Prop. prices'!$I$164:$AB$238,MATCH('Tariff schedule'!$C263,'Prop. prices'!$C$164:$C$238,0),MATCH('Tariff schedule'!M$16,'Prop. prices'!$I$5:$AB$5,0))</f>
        <v>0</v>
      </c>
      <c r="N263" s="232">
        <f>INDEX('Prop. prices'!$I$164:$AB$238,MATCH('Tariff schedule'!$C263,'Prop. prices'!$C$164:$C$238,0),MATCH('Tariff schedule'!N$16,'Prop. prices'!$I$5:$AB$5,0))</f>
        <v>0</v>
      </c>
      <c r="O263" s="232">
        <f>INDEX('Prop. prices'!$I$164:$AB$238,MATCH('Tariff schedule'!$C263,'Prop. prices'!$C$164:$C$238,0),MATCH('Tariff schedule'!O$16,'Prop. prices'!$I$5:$AB$5,0))</f>
        <v>0</v>
      </c>
      <c r="P263" s="232">
        <f>INDEX('Prop. prices'!$I$164:$AB$238,MATCH('Tariff schedule'!$C263,'Prop. prices'!$C$164:$C$238,0),MATCH('Tariff schedule'!P$16,'Prop. prices'!$I$5:$AB$5,0))</f>
        <v>0</v>
      </c>
      <c r="Q263" s="232">
        <f>INDEX('Prop. prices'!$I$164:$AB$238,MATCH('Tariff schedule'!$C263,'Prop. prices'!$C$164:$C$238,0),MATCH('Tariff schedule'!Q$16,'Prop. prices'!$I$5:$AB$5,0))</f>
        <v>0</v>
      </c>
      <c r="R263" s="232">
        <f>INDEX('Prop. prices'!$I$164:$AB$238,MATCH('Tariff schedule'!$C263,'Prop. prices'!$C$164:$C$238,0),MATCH('Tariff schedule'!R$16,'Prop. prices'!$I$5:$AB$5,0))</f>
        <v>0</v>
      </c>
      <c r="S263" s="232">
        <f>INDEX('Prop. prices'!$I$164:$AB$238,MATCH('Tariff schedule'!$C263,'Prop. prices'!$C$164:$C$238,0),MATCH('Tariff schedule'!S$16,'Prop. prices'!$I$5:$AB$5,0))</f>
        <v>0</v>
      </c>
      <c r="T263" s="232">
        <f>INDEX('Prop. prices'!$I$164:$AB$238,MATCH('Tariff schedule'!$C263,'Prop. prices'!$C$164:$C$238,0),MATCH('Tariff schedule'!T$16,'Prop. prices'!$I$5:$AB$5,0))</f>
        <v>0</v>
      </c>
      <c r="U263" s="232">
        <f>INDEX('Prop. prices'!$I$164:$AB$238,MATCH('Tariff schedule'!$C263,'Prop. prices'!$C$164:$C$238,0),MATCH('Tariff schedule'!U$16,'Prop. prices'!$I$5:$AB$5,0))</f>
        <v>0</v>
      </c>
      <c r="V263" s="232">
        <f>INDEX('Prop. prices'!$I$164:$AB$238,MATCH('Tariff schedule'!$C263,'Prop. prices'!$C$164:$C$238,0),MATCH('Tariff schedule'!V$16,'Prop. prices'!$I$5:$AB$5,0))</f>
        <v>0</v>
      </c>
      <c r="W263" s="232">
        <f>INDEX('Prop. prices'!$I$164:$AB$238,MATCH('Tariff schedule'!$C263,'Prop. prices'!$C$164:$C$238,0),MATCH('Tariff schedule'!W$16,'Prop. prices'!$I$5:$AB$5,0))</f>
        <v>0</v>
      </c>
      <c r="X263" s="232">
        <f>INDEX('Prop. prices'!$I$164:$AB$238,MATCH('Tariff schedule'!$C263,'Prop. prices'!$C$164:$C$238,0),MATCH('Tariff schedule'!X$16,'Prop. prices'!$I$5:$AB$5,0))</f>
        <v>0</v>
      </c>
      <c r="Y263" s="232">
        <f>INDEX('Prop. prices'!$I$164:$AB$238,MATCH('Tariff schedule'!$C263,'Prop. prices'!$C$164:$C$238,0),MATCH('Tariff schedule'!Y$16,'Prop. prices'!$I$5:$AB$5,0))</f>
        <v>0</v>
      </c>
      <c r="Z263" s="232">
        <f>INDEX('Prop. prices'!$I$164:$AB$238,MATCH('Tariff schedule'!$C263,'Prop. prices'!$C$164:$C$238,0),MATCH('Tariff schedule'!Z$16,'Prop. prices'!$I$5:$AB$5,0))</f>
        <v>0</v>
      </c>
      <c r="AA263" s="232">
        <f>INDEX('Prop. prices'!$I$164:$AB$238,MATCH('Tariff schedule'!$C263,'Prop. prices'!$C$164:$C$238,0),MATCH('Tariff schedule'!AA$16,'Prop. prices'!$I$5:$AB$5,0))</f>
        <v>0</v>
      </c>
      <c r="AB263" s="232">
        <f>INDEX('Prop. prices'!$I$164:$AB$238,MATCH('Tariff schedule'!$C263,'Prop. prices'!$C$164:$C$238,0),MATCH('Tariff schedule'!AB$16,'Prop. prices'!$I$5:$AB$5,0))</f>
        <v>0</v>
      </c>
      <c r="AC263" s="70"/>
      <c r="AD263" s="19"/>
      <c r="AE263" s="19"/>
      <c r="AF263" s="19"/>
      <c r="AG263" s="19"/>
    </row>
    <row r="264" spans="1:33" hidden="1" outlineLevel="2" x14ac:dyDescent="0.2">
      <c r="A264" s="19"/>
      <c r="B264" s="19"/>
      <c r="C264" s="506" t="str">
        <f t="shared" si="92"/>
        <v>Large business time of use demand</v>
      </c>
      <c r="D264" s="505" t="str">
        <f t="shared" si="92"/>
        <v>Large Business LV</v>
      </c>
      <c r="E264" s="505" t="str">
        <f t="shared" si="92"/>
        <v>TAS89</v>
      </c>
      <c r="F264" s="505">
        <f t="shared" si="92"/>
        <v>0</v>
      </c>
      <c r="G264" s="505">
        <f t="shared" si="92"/>
        <v>0</v>
      </c>
      <c r="H264" s="58"/>
      <c r="I264" s="232">
        <f>INDEX('Prop. prices'!$I$164:$AB$238,MATCH('Tariff schedule'!$C264,'Prop. prices'!$C$164:$C$238,0),MATCH('Tariff schedule'!I$16,'Prop. prices'!$I$5:$AB$5,0))</f>
        <v>0</v>
      </c>
      <c r="J264" s="232">
        <f>INDEX('Prop. prices'!$I$164:$AB$238,MATCH('Tariff schedule'!$C264,'Prop. prices'!$C$164:$C$238,0),MATCH('Tariff schedule'!J$16,'Prop. prices'!$I$5:$AB$5,0))</f>
        <v>0</v>
      </c>
      <c r="K264" s="232">
        <f>INDEX('Prop. prices'!$I$164:$AB$238,MATCH('Tariff schedule'!$C264,'Prop. prices'!$C$164:$C$238,0),MATCH('Tariff schedule'!K$16,'Prop. prices'!$I$5:$AB$5,0))</f>
        <v>0</v>
      </c>
      <c r="L264" s="232">
        <f>INDEX('Prop. prices'!$I$164:$AB$238,MATCH('Tariff schedule'!$C264,'Prop. prices'!$C$164:$C$238,0),MATCH('Tariff schedule'!L$16,'Prop. prices'!$I$5:$AB$5,0))</f>
        <v>0</v>
      </c>
      <c r="M264" s="232">
        <f>INDEX('Prop. prices'!$I$164:$AB$238,MATCH('Tariff schedule'!$C264,'Prop. prices'!$C$164:$C$238,0),MATCH('Tariff schedule'!M$16,'Prop. prices'!$I$5:$AB$5,0))</f>
        <v>0</v>
      </c>
      <c r="N264" s="232">
        <f>INDEX('Prop. prices'!$I$164:$AB$238,MATCH('Tariff schedule'!$C264,'Prop. prices'!$C$164:$C$238,0),MATCH('Tariff schedule'!N$16,'Prop. prices'!$I$5:$AB$5,0))</f>
        <v>0</v>
      </c>
      <c r="O264" s="232">
        <f>INDEX('Prop. prices'!$I$164:$AB$238,MATCH('Tariff schedule'!$C264,'Prop. prices'!$C$164:$C$238,0),MATCH('Tariff schedule'!O$16,'Prop. prices'!$I$5:$AB$5,0))</f>
        <v>0</v>
      </c>
      <c r="P264" s="232">
        <f>INDEX('Prop. prices'!$I$164:$AB$238,MATCH('Tariff schedule'!$C264,'Prop. prices'!$C$164:$C$238,0),MATCH('Tariff schedule'!P$16,'Prop. prices'!$I$5:$AB$5,0))</f>
        <v>0</v>
      </c>
      <c r="Q264" s="232">
        <f>INDEX('Prop. prices'!$I$164:$AB$238,MATCH('Tariff schedule'!$C264,'Prop. prices'!$C$164:$C$238,0),MATCH('Tariff schedule'!Q$16,'Prop. prices'!$I$5:$AB$5,0))</f>
        <v>0</v>
      </c>
      <c r="R264" s="232">
        <f>INDEX('Prop. prices'!$I$164:$AB$238,MATCH('Tariff schedule'!$C264,'Prop. prices'!$C$164:$C$238,0),MATCH('Tariff schedule'!R$16,'Prop. prices'!$I$5:$AB$5,0))</f>
        <v>0</v>
      </c>
      <c r="S264" s="232">
        <f>INDEX('Prop. prices'!$I$164:$AB$238,MATCH('Tariff schedule'!$C264,'Prop. prices'!$C$164:$C$238,0),MATCH('Tariff schedule'!S$16,'Prop. prices'!$I$5:$AB$5,0))</f>
        <v>0</v>
      </c>
      <c r="T264" s="232">
        <f>INDEX('Prop. prices'!$I$164:$AB$238,MATCH('Tariff schedule'!$C264,'Prop. prices'!$C$164:$C$238,0),MATCH('Tariff schedule'!T$16,'Prop. prices'!$I$5:$AB$5,0))</f>
        <v>0</v>
      </c>
      <c r="U264" s="232">
        <f>INDEX('Prop. prices'!$I$164:$AB$238,MATCH('Tariff schedule'!$C264,'Prop. prices'!$C$164:$C$238,0),MATCH('Tariff schedule'!U$16,'Prop. prices'!$I$5:$AB$5,0))</f>
        <v>0</v>
      </c>
      <c r="V264" s="232">
        <f>INDEX('Prop. prices'!$I$164:$AB$238,MATCH('Tariff schedule'!$C264,'Prop. prices'!$C$164:$C$238,0),MATCH('Tariff schedule'!V$16,'Prop. prices'!$I$5:$AB$5,0))</f>
        <v>0</v>
      </c>
      <c r="W264" s="232">
        <f>INDEX('Prop. prices'!$I$164:$AB$238,MATCH('Tariff schedule'!$C264,'Prop. prices'!$C$164:$C$238,0),MATCH('Tariff schedule'!W$16,'Prop. prices'!$I$5:$AB$5,0))</f>
        <v>0</v>
      </c>
      <c r="X264" s="232">
        <f>INDEX('Prop. prices'!$I$164:$AB$238,MATCH('Tariff schedule'!$C264,'Prop. prices'!$C$164:$C$238,0),MATCH('Tariff schedule'!X$16,'Prop. prices'!$I$5:$AB$5,0))</f>
        <v>0</v>
      </c>
      <c r="Y264" s="232">
        <f>INDEX('Prop. prices'!$I$164:$AB$238,MATCH('Tariff schedule'!$C264,'Prop. prices'!$C$164:$C$238,0),MATCH('Tariff schedule'!Y$16,'Prop. prices'!$I$5:$AB$5,0))</f>
        <v>0</v>
      </c>
      <c r="Z264" s="232">
        <f>INDEX('Prop. prices'!$I$164:$AB$238,MATCH('Tariff schedule'!$C264,'Prop. prices'!$C$164:$C$238,0),MATCH('Tariff schedule'!Z$16,'Prop. prices'!$I$5:$AB$5,0))</f>
        <v>0</v>
      </c>
      <c r="AA264" s="232">
        <f>INDEX('Prop. prices'!$I$164:$AB$238,MATCH('Tariff schedule'!$C264,'Prop. prices'!$C$164:$C$238,0),MATCH('Tariff schedule'!AA$16,'Prop. prices'!$I$5:$AB$5,0))</f>
        <v>0</v>
      </c>
      <c r="AB264" s="232">
        <f>INDEX('Prop. prices'!$I$164:$AB$238,MATCH('Tariff schedule'!$C264,'Prop. prices'!$C$164:$C$238,0),MATCH('Tariff schedule'!AB$16,'Prop. prices'!$I$5:$AB$5,0))</f>
        <v>0</v>
      </c>
      <c r="AC264" s="70"/>
      <c r="AD264" s="19"/>
      <c r="AE264" s="19"/>
      <c r="AF264" s="19"/>
      <c r="AG264" s="19"/>
    </row>
    <row r="265" spans="1:33" hidden="1" outlineLevel="2" x14ac:dyDescent="0.2">
      <c r="A265" s="19"/>
      <c r="B265" s="19"/>
      <c r="C265" s="506" t="str">
        <f t="shared" si="92"/>
        <v>Irrigation time of use consumption</v>
      </c>
      <c r="D265" s="505" t="str">
        <f t="shared" si="92"/>
        <v>Irrigation</v>
      </c>
      <c r="E265" s="505" t="str">
        <f t="shared" si="92"/>
        <v>TAS75</v>
      </c>
      <c r="F265" s="505">
        <f t="shared" si="92"/>
        <v>0</v>
      </c>
      <c r="G265" s="505">
        <f t="shared" si="92"/>
        <v>0</v>
      </c>
      <c r="H265" s="58"/>
      <c r="I265" s="232">
        <f>INDEX('Prop. prices'!$I$164:$AB$238,MATCH('Tariff schedule'!$C265,'Prop. prices'!$C$164:$C$238,0),MATCH('Tariff schedule'!I$16,'Prop. prices'!$I$5:$AB$5,0))</f>
        <v>0</v>
      </c>
      <c r="J265" s="232">
        <f>INDEX('Prop. prices'!$I$164:$AB$238,MATCH('Tariff schedule'!$C265,'Prop. prices'!$C$164:$C$238,0),MATCH('Tariff schedule'!J$16,'Prop. prices'!$I$5:$AB$5,0))</f>
        <v>0</v>
      </c>
      <c r="K265" s="232">
        <f>INDEX('Prop. prices'!$I$164:$AB$238,MATCH('Tariff schedule'!$C265,'Prop. prices'!$C$164:$C$238,0),MATCH('Tariff schedule'!K$16,'Prop. prices'!$I$5:$AB$5,0))</f>
        <v>0</v>
      </c>
      <c r="L265" s="232">
        <f>INDEX('Prop. prices'!$I$164:$AB$238,MATCH('Tariff schedule'!$C265,'Prop. prices'!$C$164:$C$238,0),MATCH('Tariff schedule'!L$16,'Prop. prices'!$I$5:$AB$5,0))</f>
        <v>0</v>
      </c>
      <c r="M265" s="232">
        <f>INDEX('Prop. prices'!$I$164:$AB$238,MATCH('Tariff schedule'!$C265,'Prop. prices'!$C$164:$C$238,0),MATCH('Tariff schedule'!M$16,'Prop. prices'!$I$5:$AB$5,0))</f>
        <v>0</v>
      </c>
      <c r="N265" s="232">
        <f>INDEX('Prop. prices'!$I$164:$AB$238,MATCH('Tariff schedule'!$C265,'Prop. prices'!$C$164:$C$238,0),MATCH('Tariff schedule'!N$16,'Prop. prices'!$I$5:$AB$5,0))</f>
        <v>0</v>
      </c>
      <c r="O265" s="232">
        <f>INDEX('Prop. prices'!$I$164:$AB$238,MATCH('Tariff schedule'!$C265,'Prop. prices'!$C$164:$C$238,0),MATCH('Tariff schedule'!O$16,'Prop. prices'!$I$5:$AB$5,0))</f>
        <v>0</v>
      </c>
      <c r="P265" s="232">
        <f>INDEX('Prop. prices'!$I$164:$AB$238,MATCH('Tariff schedule'!$C265,'Prop. prices'!$C$164:$C$238,0),MATCH('Tariff schedule'!P$16,'Prop. prices'!$I$5:$AB$5,0))</f>
        <v>0</v>
      </c>
      <c r="Q265" s="232">
        <f>INDEX('Prop. prices'!$I$164:$AB$238,MATCH('Tariff schedule'!$C265,'Prop. prices'!$C$164:$C$238,0),MATCH('Tariff schedule'!Q$16,'Prop. prices'!$I$5:$AB$5,0))</f>
        <v>0</v>
      </c>
      <c r="R265" s="232">
        <f>INDEX('Prop. prices'!$I$164:$AB$238,MATCH('Tariff schedule'!$C265,'Prop. prices'!$C$164:$C$238,0),MATCH('Tariff schedule'!R$16,'Prop. prices'!$I$5:$AB$5,0))</f>
        <v>0</v>
      </c>
      <c r="S265" s="232">
        <f>INDEX('Prop. prices'!$I$164:$AB$238,MATCH('Tariff schedule'!$C265,'Prop. prices'!$C$164:$C$238,0),MATCH('Tariff schedule'!S$16,'Prop. prices'!$I$5:$AB$5,0))</f>
        <v>0</v>
      </c>
      <c r="T265" s="232">
        <f>INDEX('Prop. prices'!$I$164:$AB$238,MATCH('Tariff schedule'!$C265,'Prop. prices'!$C$164:$C$238,0),MATCH('Tariff schedule'!T$16,'Prop. prices'!$I$5:$AB$5,0))</f>
        <v>0</v>
      </c>
      <c r="U265" s="232">
        <f>INDEX('Prop. prices'!$I$164:$AB$238,MATCH('Tariff schedule'!$C265,'Prop. prices'!$C$164:$C$238,0),MATCH('Tariff schedule'!U$16,'Prop. prices'!$I$5:$AB$5,0))</f>
        <v>0</v>
      </c>
      <c r="V265" s="232">
        <f>INDEX('Prop. prices'!$I$164:$AB$238,MATCH('Tariff schedule'!$C265,'Prop. prices'!$C$164:$C$238,0),MATCH('Tariff schedule'!V$16,'Prop. prices'!$I$5:$AB$5,0))</f>
        <v>0</v>
      </c>
      <c r="W265" s="232">
        <f>INDEX('Prop. prices'!$I$164:$AB$238,MATCH('Tariff schedule'!$C265,'Prop. prices'!$C$164:$C$238,0),MATCH('Tariff schedule'!W$16,'Prop. prices'!$I$5:$AB$5,0))</f>
        <v>0</v>
      </c>
      <c r="X265" s="232">
        <f>INDEX('Prop. prices'!$I$164:$AB$238,MATCH('Tariff schedule'!$C265,'Prop. prices'!$C$164:$C$238,0),MATCH('Tariff schedule'!X$16,'Prop. prices'!$I$5:$AB$5,0))</f>
        <v>0</v>
      </c>
      <c r="Y265" s="232">
        <f>INDEX('Prop. prices'!$I$164:$AB$238,MATCH('Tariff schedule'!$C265,'Prop. prices'!$C$164:$C$238,0),MATCH('Tariff schedule'!Y$16,'Prop. prices'!$I$5:$AB$5,0))</f>
        <v>0</v>
      </c>
      <c r="Z265" s="232">
        <f>INDEX('Prop. prices'!$I$164:$AB$238,MATCH('Tariff schedule'!$C265,'Prop. prices'!$C$164:$C$238,0),MATCH('Tariff schedule'!Z$16,'Prop. prices'!$I$5:$AB$5,0))</f>
        <v>0</v>
      </c>
      <c r="AA265" s="232">
        <f>INDEX('Prop. prices'!$I$164:$AB$238,MATCH('Tariff schedule'!$C265,'Prop. prices'!$C$164:$C$238,0),MATCH('Tariff schedule'!AA$16,'Prop. prices'!$I$5:$AB$5,0))</f>
        <v>0</v>
      </c>
      <c r="AB265" s="232">
        <f>INDEX('Prop. prices'!$I$164:$AB$238,MATCH('Tariff schedule'!$C265,'Prop. prices'!$C$164:$C$238,0),MATCH('Tariff schedule'!AB$16,'Prop. prices'!$I$5:$AB$5,0))</f>
        <v>0</v>
      </c>
      <c r="AC265" s="70"/>
      <c r="AD265" s="19"/>
      <c r="AE265" s="19"/>
      <c r="AF265" s="19"/>
      <c r="AG265" s="19"/>
    </row>
    <row r="266" spans="1:33" hidden="1" outlineLevel="2" x14ac:dyDescent="0.2">
      <c r="A266" s="19"/>
      <c r="B266" s="19"/>
      <c r="C266" s="506" t="str">
        <f t="shared" si="92"/>
        <v>Business HV kVA specified demand &lt;2MVA</v>
      </c>
      <c r="D266" s="505" t="str">
        <f t="shared" si="92"/>
        <v>Large Business HV</v>
      </c>
      <c r="E266" s="505" t="str">
        <f t="shared" si="92"/>
        <v>TASSDM</v>
      </c>
      <c r="F266" s="505">
        <f t="shared" si="92"/>
        <v>0</v>
      </c>
      <c r="G266" s="505">
        <f t="shared" si="92"/>
        <v>0</v>
      </c>
      <c r="H266" s="58"/>
      <c r="I266" s="232">
        <f>INDEX('Prop. prices'!$I$164:$AB$238,MATCH('Tariff schedule'!$C266,'Prop. prices'!$C$164:$C$238,0),MATCH('Tariff schedule'!I$16,'Prop. prices'!$I$5:$AB$5,0))</f>
        <v>0</v>
      </c>
      <c r="J266" s="232">
        <f>INDEX('Prop. prices'!$I$164:$AB$238,MATCH('Tariff schedule'!$C266,'Prop. prices'!$C$164:$C$238,0),MATCH('Tariff schedule'!J$16,'Prop. prices'!$I$5:$AB$5,0))</f>
        <v>0</v>
      </c>
      <c r="K266" s="232">
        <f>INDEX('Prop. prices'!$I$164:$AB$238,MATCH('Tariff schedule'!$C266,'Prop. prices'!$C$164:$C$238,0),MATCH('Tariff schedule'!K$16,'Prop. prices'!$I$5:$AB$5,0))</f>
        <v>0</v>
      </c>
      <c r="L266" s="232">
        <f>INDEX('Prop. prices'!$I$164:$AB$238,MATCH('Tariff schedule'!$C266,'Prop. prices'!$C$164:$C$238,0),MATCH('Tariff schedule'!L$16,'Prop. prices'!$I$5:$AB$5,0))</f>
        <v>0</v>
      </c>
      <c r="M266" s="232">
        <f>INDEX('Prop. prices'!$I$164:$AB$238,MATCH('Tariff schedule'!$C266,'Prop. prices'!$C$164:$C$238,0),MATCH('Tariff schedule'!M$16,'Prop. prices'!$I$5:$AB$5,0))</f>
        <v>0</v>
      </c>
      <c r="N266" s="232">
        <f>INDEX('Prop. prices'!$I$164:$AB$238,MATCH('Tariff schedule'!$C266,'Prop. prices'!$C$164:$C$238,0),MATCH('Tariff schedule'!N$16,'Prop. prices'!$I$5:$AB$5,0))</f>
        <v>0</v>
      </c>
      <c r="O266" s="232">
        <f>INDEX('Prop. prices'!$I$164:$AB$238,MATCH('Tariff schedule'!$C266,'Prop. prices'!$C$164:$C$238,0),MATCH('Tariff schedule'!O$16,'Prop. prices'!$I$5:$AB$5,0))</f>
        <v>0</v>
      </c>
      <c r="P266" s="232">
        <f>INDEX('Prop. prices'!$I$164:$AB$238,MATCH('Tariff schedule'!$C266,'Prop. prices'!$C$164:$C$238,0),MATCH('Tariff schedule'!P$16,'Prop. prices'!$I$5:$AB$5,0))</f>
        <v>0</v>
      </c>
      <c r="Q266" s="232">
        <f>INDEX('Prop. prices'!$I$164:$AB$238,MATCH('Tariff schedule'!$C266,'Prop. prices'!$C$164:$C$238,0),MATCH('Tariff schedule'!Q$16,'Prop. prices'!$I$5:$AB$5,0))</f>
        <v>0</v>
      </c>
      <c r="R266" s="232">
        <f>INDEX('Prop. prices'!$I$164:$AB$238,MATCH('Tariff schedule'!$C266,'Prop. prices'!$C$164:$C$238,0),MATCH('Tariff schedule'!R$16,'Prop. prices'!$I$5:$AB$5,0))</f>
        <v>0</v>
      </c>
      <c r="S266" s="232">
        <f>INDEX('Prop. prices'!$I$164:$AB$238,MATCH('Tariff schedule'!$C266,'Prop. prices'!$C$164:$C$238,0),MATCH('Tariff schedule'!S$16,'Prop. prices'!$I$5:$AB$5,0))</f>
        <v>0</v>
      </c>
      <c r="T266" s="232">
        <f>INDEX('Prop. prices'!$I$164:$AB$238,MATCH('Tariff schedule'!$C266,'Prop. prices'!$C$164:$C$238,0),MATCH('Tariff schedule'!T$16,'Prop. prices'!$I$5:$AB$5,0))</f>
        <v>0</v>
      </c>
      <c r="U266" s="232">
        <f>INDEX('Prop. prices'!$I$164:$AB$238,MATCH('Tariff schedule'!$C266,'Prop. prices'!$C$164:$C$238,0),MATCH('Tariff schedule'!U$16,'Prop. prices'!$I$5:$AB$5,0))</f>
        <v>0</v>
      </c>
      <c r="V266" s="232">
        <f>INDEX('Prop. prices'!$I$164:$AB$238,MATCH('Tariff schedule'!$C266,'Prop. prices'!$C$164:$C$238,0),MATCH('Tariff schedule'!V$16,'Prop. prices'!$I$5:$AB$5,0))</f>
        <v>0</v>
      </c>
      <c r="W266" s="232">
        <f>INDEX('Prop. prices'!$I$164:$AB$238,MATCH('Tariff schedule'!$C266,'Prop. prices'!$C$164:$C$238,0),MATCH('Tariff schedule'!W$16,'Prop. prices'!$I$5:$AB$5,0))</f>
        <v>0</v>
      </c>
      <c r="X266" s="232">
        <f>INDEX('Prop. prices'!$I$164:$AB$238,MATCH('Tariff schedule'!$C266,'Prop. prices'!$C$164:$C$238,0),MATCH('Tariff schedule'!X$16,'Prop. prices'!$I$5:$AB$5,0))</f>
        <v>0</v>
      </c>
      <c r="Y266" s="232">
        <f>INDEX('Prop. prices'!$I$164:$AB$238,MATCH('Tariff schedule'!$C266,'Prop. prices'!$C$164:$C$238,0),MATCH('Tariff schedule'!Y$16,'Prop. prices'!$I$5:$AB$5,0))</f>
        <v>0</v>
      </c>
      <c r="Z266" s="232">
        <f>INDEX('Prop. prices'!$I$164:$AB$238,MATCH('Tariff schedule'!$C266,'Prop. prices'!$C$164:$C$238,0),MATCH('Tariff schedule'!Z$16,'Prop. prices'!$I$5:$AB$5,0))</f>
        <v>0</v>
      </c>
      <c r="AA266" s="232">
        <f>INDEX('Prop. prices'!$I$164:$AB$238,MATCH('Tariff schedule'!$C266,'Prop. prices'!$C$164:$C$238,0),MATCH('Tariff schedule'!AA$16,'Prop. prices'!$I$5:$AB$5,0))</f>
        <v>0</v>
      </c>
      <c r="AB266" s="232">
        <f>INDEX('Prop. prices'!$I$164:$AB$238,MATCH('Tariff schedule'!$C266,'Prop. prices'!$C$164:$C$238,0),MATCH('Tariff schedule'!AB$16,'Prop. prices'!$I$5:$AB$5,0))</f>
        <v>0</v>
      </c>
      <c r="AC266" s="70"/>
      <c r="AD266" s="19"/>
      <c r="AE266" s="19"/>
      <c r="AF266" s="19"/>
      <c r="AG266" s="19"/>
    </row>
    <row r="267" spans="1:33" hidden="1" outlineLevel="2" x14ac:dyDescent="0.2">
      <c r="A267" s="19"/>
      <c r="B267" s="19"/>
      <c r="C267" s="506" t="str">
        <f t="shared" si="92"/>
        <v>Business HV kVA specified demand &gt;2MVA</v>
      </c>
      <c r="D267" s="505" t="str">
        <f t="shared" si="92"/>
        <v>Large Business HV</v>
      </c>
      <c r="E267" s="505" t="str">
        <f t="shared" si="92"/>
        <v>TAS15*</v>
      </c>
      <c r="F267" s="505">
        <f t="shared" si="92"/>
        <v>0</v>
      </c>
      <c r="G267" s="505">
        <f t="shared" si="92"/>
        <v>0</v>
      </c>
      <c r="H267" s="58"/>
      <c r="I267" s="232">
        <f>INDEX('Prop. prices'!$I$164:$AB$238,MATCH('Tariff schedule'!$C267,'Prop. prices'!$C$164:$C$238,0),MATCH('Tariff schedule'!I$16,'Prop. prices'!$I$5:$AB$5,0))</f>
        <v>0</v>
      </c>
      <c r="J267" s="232">
        <f>INDEX('Prop. prices'!$I$164:$AB$238,MATCH('Tariff schedule'!$C267,'Prop. prices'!$C$164:$C$238,0),MATCH('Tariff schedule'!J$16,'Prop. prices'!$I$5:$AB$5,0))</f>
        <v>0</v>
      </c>
      <c r="K267" s="232">
        <f>INDEX('Prop. prices'!$I$164:$AB$238,MATCH('Tariff schedule'!$C267,'Prop. prices'!$C$164:$C$238,0),MATCH('Tariff schedule'!K$16,'Prop. prices'!$I$5:$AB$5,0))</f>
        <v>0</v>
      </c>
      <c r="L267" s="232">
        <f>INDEX('Prop. prices'!$I$164:$AB$238,MATCH('Tariff schedule'!$C267,'Prop. prices'!$C$164:$C$238,0),MATCH('Tariff schedule'!L$16,'Prop. prices'!$I$5:$AB$5,0))</f>
        <v>0</v>
      </c>
      <c r="M267" s="232">
        <f>INDEX('Prop. prices'!$I$164:$AB$238,MATCH('Tariff schedule'!$C267,'Prop. prices'!$C$164:$C$238,0),MATCH('Tariff schedule'!M$16,'Prop. prices'!$I$5:$AB$5,0))</f>
        <v>0</v>
      </c>
      <c r="N267" s="232">
        <f>INDEX('Prop. prices'!$I$164:$AB$238,MATCH('Tariff schedule'!$C267,'Prop. prices'!$C$164:$C$238,0),MATCH('Tariff schedule'!N$16,'Prop. prices'!$I$5:$AB$5,0))</f>
        <v>0</v>
      </c>
      <c r="O267" s="232">
        <f>INDEX('Prop. prices'!$I$164:$AB$238,MATCH('Tariff schedule'!$C267,'Prop. prices'!$C$164:$C$238,0),MATCH('Tariff schedule'!O$16,'Prop. prices'!$I$5:$AB$5,0))</f>
        <v>0</v>
      </c>
      <c r="P267" s="232">
        <f>INDEX('Prop. prices'!$I$164:$AB$238,MATCH('Tariff schedule'!$C267,'Prop. prices'!$C$164:$C$238,0),MATCH('Tariff schedule'!P$16,'Prop. prices'!$I$5:$AB$5,0))</f>
        <v>0</v>
      </c>
      <c r="Q267" s="232">
        <f>INDEX('Prop. prices'!$I$164:$AB$238,MATCH('Tariff schedule'!$C267,'Prop. prices'!$C$164:$C$238,0),MATCH('Tariff schedule'!Q$16,'Prop. prices'!$I$5:$AB$5,0))</f>
        <v>0</v>
      </c>
      <c r="R267" s="232">
        <f>INDEX('Prop. prices'!$I$164:$AB$238,MATCH('Tariff schedule'!$C267,'Prop. prices'!$C$164:$C$238,0),MATCH('Tariff schedule'!R$16,'Prop. prices'!$I$5:$AB$5,0))</f>
        <v>0</v>
      </c>
      <c r="S267" s="232">
        <f>INDEX('Prop. prices'!$I$164:$AB$238,MATCH('Tariff schedule'!$C267,'Prop. prices'!$C$164:$C$238,0),MATCH('Tariff schedule'!S$16,'Prop. prices'!$I$5:$AB$5,0))</f>
        <v>0</v>
      </c>
      <c r="T267" s="232">
        <f>INDEX('Prop. prices'!$I$164:$AB$238,MATCH('Tariff schedule'!$C267,'Prop. prices'!$C$164:$C$238,0),MATCH('Tariff schedule'!T$16,'Prop. prices'!$I$5:$AB$5,0))</f>
        <v>0</v>
      </c>
      <c r="U267" s="232">
        <f>INDEX('Prop. prices'!$I$164:$AB$238,MATCH('Tariff schedule'!$C267,'Prop. prices'!$C$164:$C$238,0),MATCH('Tariff schedule'!U$16,'Prop. prices'!$I$5:$AB$5,0))</f>
        <v>0</v>
      </c>
      <c r="V267" s="232">
        <f>INDEX('Prop. prices'!$I$164:$AB$238,MATCH('Tariff schedule'!$C267,'Prop. prices'!$C$164:$C$238,0),MATCH('Tariff schedule'!V$16,'Prop. prices'!$I$5:$AB$5,0))</f>
        <v>0</v>
      </c>
      <c r="W267" s="232">
        <f>INDEX('Prop. prices'!$I$164:$AB$238,MATCH('Tariff schedule'!$C267,'Prop. prices'!$C$164:$C$238,0),MATCH('Tariff schedule'!W$16,'Prop. prices'!$I$5:$AB$5,0))</f>
        <v>0</v>
      </c>
      <c r="X267" s="232">
        <f>INDEX('Prop. prices'!$I$164:$AB$238,MATCH('Tariff schedule'!$C267,'Prop. prices'!$C$164:$C$238,0),MATCH('Tariff schedule'!X$16,'Prop. prices'!$I$5:$AB$5,0))</f>
        <v>0</v>
      </c>
      <c r="Y267" s="232">
        <f>INDEX('Prop. prices'!$I$164:$AB$238,MATCH('Tariff schedule'!$C267,'Prop. prices'!$C$164:$C$238,0),MATCH('Tariff schedule'!Y$16,'Prop. prices'!$I$5:$AB$5,0))</f>
        <v>0</v>
      </c>
      <c r="Z267" s="232">
        <f>INDEX('Prop. prices'!$I$164:$AB$238,MATCH('Tariff schedule'!$C267,'Prop. prices'!$C$164:$C$238,0),MATCH('Tariff schedule'!Z$16,'Prop. prices'!$I$5:$AB$5,0))</f>
        <v>0</v>
      </c>
      <c r="AA267" s="232">
        <f>INDEX('Prop. prices'!$I$164:$AB$238,MATCH('Tariff schedule'!$C267,'Prop. prices'!$C$164:$C$238,0),MATCH('Tariff schedule'!AA$16,'Prop. prices'!$I$5:$AB$5,0))</f>
        <v>0</v>
      </c>
      <c r="AB267" s="232">
        <f>INDEX('Prop. prices'!$I$164:$AB$238,MATCH('Tariff schedule'!$C267,'Prop. prices'!$C$164:$C$238,0),MATCH('Tariff schedule'!AB$16,'Prop. prices'!$I$5:$AB$5,0))</f>
        <v>0</v>
      </c>
      <c r="AC267" s="70"/>
      <c r="AD267" s="19"/>
      <c r="AE267" s="19"/>
      <c r="AF267" s="19"/>
      <c r="AG267" s="19"/>
    </row>
    <row r="268" spans="1:33" hidden="1" outlineLevel="2" x14ac:dyDescent="0.2">
      <c r="A268" s="19"/>
      <c r="B268" s="19"/>
      <c r="C268" s="506" t="str">
        <f t="shared" si="92"/>
        <v>Uncontrolled low voltage heating and hot water</v>
      </c>
      <c r="D268" s="505" t="str">
        <f t="shared" si="92"/>
        <v>Uncontrolled energy</v>
      </c>
      <c r="E268" s="505" t="str">
        <f t="shared" si="92"/>
        <v>TAS41</v>
      </c>
      <c r="F268" s="505">
        <f t="shared" si="92"/>
        <v>0</v>
      </c>
      <c r="G268" s="505">
        <f t="shared" si="92"/>
        <v>0</v>
      </c>
      <c r="H268" s="58"/>
      <c r="I268" s="232">
        <f>INDEX('Prop. prices'!$I$164:$AB$238,MATCH('Tariff schedule'!$C268,'Prop. prices'!$C$164:$C$238,0),MATCH('Tariff schedule'!I$16,'Prop. prices'!$I$5:$AB$5,0))</f>
        <v>0</v>
      </c>
      <c r="J268" s="232">
        <f>INDEX('Prop. prices'!$I$164:$AB$238,MATCH('Tariff schedule'!$C268,'Prop. prices'!$C$164:$C$238,0),MATCH('Tariff schedule'!J$16,'Prop. prices'!$I$5:$AB$5,0))</f>
        <v>0</v>
      </c>
      <c r="K268" s="232">
        <f>INDEX('Prop. prices'!$I$164:$AB$238,MATCH('Tariff schedule'!$C268,'Prop. prices'!$C$164:$C$238,0),MATCH('Tariff schedule'!K$16,'Prop. prices'!$I$5:$AB$5,0))</f>
        <v>0</v>
      </c>
      <c r="L268" s="232">
        <f>INDEX('Prop. prices'!$I$164:$AB$238,MATCH('Tariff schedule'!$C268,'Prop. prices'!$C$164:$C$238,0),MATCH('Tariff schedule'!L$16,'Prop. prices'!$I$5:$AB$5,0))</f>
        <v>0</v>
      </c>
      <c r="M268" s="232">
        <f>INDEX('Prop. prices'!$I$164:$AB$238,MATCH('Tariff schedule'!$C268,'Prop. prices'!$C$164:$C$238,0),MATCH('Tariff schedule'!M$16,'Prop. prices'!$I$5:$AB$5,0))</f>
        <v>0</v>
      </c>
      <c r="N268" s="232">
        <f>INDEX('Prop. prices'!$I$164:$AB$238,MATCH('Tariff schedule'!$C268,'Prop. prices'!$C$164:$C$238,0),MATCH('Tariff schedule'!N$16,'Prop. prices'!$I$5:$AB$5,0))</f>
        <v>0</v>
      </c>
      <c r="O268" s="232">
        <f>INDEX('Prop. prices'!$I$164:$AB$238,MATCH('Tariff schedule'!$C268,'Prop. prices'!$C$164:$C$238,0),MATCH('Tariff schedule'!O$16,'Prop. prices'!$I$5:$AB$5,0))</f>
        <v>0</v>
      </c>
      <c r="P268" s="232">
        <f>INDEX('Prop. prices'!$I$164:$AB$238,MATCH('Tariff schedule'!$C268,'Prop. prices'!$C$164:$C$238,0),MATCH('Tariff schedule'!P$16,'Prop. prices'!$I$5:$AB$5,0))</f>
        <v>0</v>
      </c>
      <c r="Q268" s="232">
        <f>INDEX('Prop. prices'!$I$164:$AB$238,MATCH('Tariff schedule'!$C268,'Prop. prices'!$C$164:$C$238,0),MATCH('Tariff schedule'!Q$16,'Prop. prices'!$I$5:$AB$5,0))</f>
        <v>0</v>
      </c>
      <c r="R268" s="232">
        <f>INDEX('Prop. prices'!$I$164:$AB$238,MATCH('Tariff schedule'!$C268,'Prop. prices'!$C$164:$C$238,0),MATCH('Tariff schedule'!R$16,'Prop. prices'!$I$5:$AB$5,0))</f>
        <v>0</v>
      </c>
      <c r="S268" s="232">
        <f>INDEX('Prop. prices'!$I$164:$AB$238,MATCH('Tariff schedule'!$C268,'Prop. prices'!$C$164:$C$238,0),MATCH('Tariff schedule'!S$16,'Prop. prices'!$I$5:$AB$5,0))</f>
        <v>0</v>
      </c>
      <c r="T268" s="232">
        <f>INDEX('Prop. prices'!$I$164:$AB$238,MATCH('Tariff schedule'!$C268,'Prop. prices'!$C$164:$C$238,0),MATCH('Tariff schedule'!T$16,'Prop. prices'!$I$5:$AB$5,0))</f>
        <v>0</v>
      </c>
      <c r="U268" s="232">
        <f>INDEX('Prop. prices'!$I$164:$AB$238,MATCH('Tariff schedule'!$C268,'Prop. prices'!$C$164:$C$238,0),MATCH('Tariff schedule'!U$16,'Prop. prices'!$I$5:$AB$5,0))</f>
        <v>0</v>
      </c>
      <c r="V268" s="232">
        <f>INDEX('Prop. prices'!$I$164:$AB$238,MATCH('Tariff schedule'!$C268,'Prop. prices'!$C$164:$C$238,0),MATCH('Tariff schedule'!V$16,'Prop. prices'!$I$5:$AB$5,0))</f>
        <v>0</v>
      </c>
      <c r="W268" s="232">
        <f>INDEX('Prop. prices'!$I$164:$AB$238,MATCH('Tariff schedule'!$C268,'Prop. prices'!$C$164:$C$238,0),MATCH('Tariff schedule'!W$16,'Prop. prices'!$I$5:$AB$5,0))</f>
        <v>0</v>
      </c>
      <c r="X268" s="232">
        <f>INDEX('Prop. prices'!$I$164:$AB$238,MATCH('Tariff schedule'!$C268,'Prop. prices'!$C$164:$C$238,0),MATCH('Tariff schedule'!X$16,'Prop. prices'!$I$5:$AB$5,0))</f>
        <v>0</v>
      </c>
      <c r="Y268" s="232">
        <f>INDEX('Prop. prices'!$I$164:$AB$238,MATCH('Tariff schedule'!$C268,'Prop. prices'!$C$164:$C$238,0),MATCH('Tariff schedule'!Y$16,'Prop. prices'!$I$5:$AB$5,0))</f>
        <v>0</v>
      </c>
      <c r="Z268" s="232">
        <f>INDEX('Prop. prices'!$I$164:$AB$238,MATCH('Tariff schedule'!$C268,'Prop. prices'!$C$164:$C$238,0),MATCH('Tariff schedule'!Z$16,'Prop. prices'!$I$5:$AB$5,0))</f>
        <v>0</v>
      </c>
      <c r="AA268" s="232">
        <f>INDEX('Prop. prices'!$I$164:$AB$238,MATCH('Tariff schedule'!$C268,'Prop. prices'!$C$164:$C$238,0),MATCH('Tariff schedule'!AA$16,'Prop. prices'!$I$5:$AB$5,0))</f>
        <v>0</v>
      </c>
      <c r="AB268" s="232">
        <f>INDEX('Prop. prices'!$I$164:$AB$238,MATCH('Tariff schedule'!$C268,'Prop. prices'!$C$164:$C$238,0),MATCH('Tariff schedule'!AB$16,'Prop. prices'!$I$5:$AB$5,0))</f>
        <v>0</v>
      </c>
      <c r="AC268" s="70"/>
      <c r="AD268" s="19"/>
      <c r="AE268" s="19"/>
      <c r="AF268" s="19"/>
      <c r="AG268" s="19"/>
    </row>
    <row r="269" spans="1:33" hidden="1" outlineLevel="2" x14ac:dyDescent="0.2">
      <c r="A269" s="19"/>
      <c r="B269" s="19"/>
      <c r="C269" s="506" t="str">
        <f t="shared" si="92"/>
        <v>Controlled low voltage night period only</v>
      </c>
      <c r="D269" s="505" t="str">
        <f t="shared" si="92"/>
        <v>Controlled energy</v>
      </c>
      <c r="E269" s="505" t="str">
        <f t="shared" si="92"/>
        <v>TAS63</v>
      </c>
      <c r="F269" s="505">
        <f t="shared" si="92"/>
        <v>0</v>
      </c>
      <c r="G269" s="505">
        <f t="shared" si="92"/>
        <v>0</v>
      </c>
      <c r="H269" s="58"/>
      <c r="I269" s="232">
        <f>INDEX('Prop. prices'!$I$164:$AB$238,MATCH('Tariff schedule'!$C269,'Prop. prices'!$C$164:$C$238,0),MATCH('Tariff schedule'!I$16,'Prop. prices'!$I$5:$AB$5,0))</f>
        <v>0</v>
      </c>
      <c r="J269" s="232">
        <f>INDEX('Prop. prices'!$I$164:$AB$238,MATCH('Tariff schedule'!$C269,'Prop. prices'!$C$164:$C$238,0),MATCH('Tariff schedule'!J$16,'Prop. prices'!$I$5:$AB$5,0))</f>
        <v>0</v>
      </c>
      <c r="K269" s="232">
        <f>INDEX('Prop. prices'!$I$164:$AB$238,MATCH('Tariff schedule'!$C269,'Prop. prices'!$C$164:$C$238,0),MATCH('Tariff schedule'!K$16,'Prop. prices'!$I$5:$AB$5,0))</f>
        <v>0</v>
      </c>
      <c r="L269" s="232">
        <f>INDEX('Prop. prices'!$I$164:$AB$238,MATCH('Tariff schedule'!$C269,'Prop. prices'!$C$164:$C$238,0),MATCH('Tariff schedule'!L$16,'Prop. prices'!$I$5:$AB$5,0))</f>
        <v>0</v>
      </c>
      <c r="M269" s="232">
        <f>INDEX('Prop. prices'!$I$164:$AB$238,MATCH('Tariff schedule'!$C269,'Prop. prices'!$C$164:$C$238,0),MATCH('Tariff schedule'!M$16,'Prop. prices'!$I$5:$AB$5,0))</f>
        <v>0</v>
      </c>
      <c r="N269" s="232">
        <f>INDEX('Prop. prices'!$I$164:$AB$238,MATCH('Tariff schedule'!$C269,'Prop. prices'!$C$164:$C$238,0),MATCH('Tariff schedule'!N$16,'Prop. prices'!$I$5:$AB$5,0))</f>
        <v>0</v>
      </c>
      <c r="O269" s="232">
        <f>INDEX('Prop. prices'!$I$164:$AB$238,MATCH('Tariff schedule'!$C269,'Prop. prices'!$C$164:$C$238,0),MATCH('Tariff schedule'!O$16,'Prop. prices'!$I$5:$AB$5,0))</f>
        <v>0</v>
      </c>
      <c r="P269" s="232">
        <f>INDEX('Prop. prices'!$I$164:$AB$238,MATCH('Tariff schedule'!$C269,'Prop. prices'!$C$164:$C$238,0),MATCH('Tariff schedule'!P$16,'Prop. prices'!$I$5:$AB$5,0))</f>
        <v>0</v>
      </c>
      <c r="Q269" s="232">
        <f>INDEX('Prop. prices'!$I$164:$AB$238,MATCH('Tariff schedule'!$C269,'Prop. prices'!$C$164:$C$238,0),MATCH('Tariff schedule'!Q$16,'Prop. prices'!$I$5:$AB$5,0))</f>
        <v>0</v>
      </c>
      <c r="R269" s="232">
        <f>INDEX('Prop. prices'!$I$164:$AB$238,MATCH('Tariff schedule'!$C269,'Prop. prices'!$C$164:$C$238,0),MATCH('Tariff schedule'!R$16,'Prop. prices'!$I$5:$AB$5,0))</f>
        <v>0</v>
      </c>
      <c r="S269" s="232">
        <f>INDEX('Prop. prices'!$I$164:$AB$238,MATCH('Tariff schedule'!$C269,'Prop. prices'!$C$164:$C$238,0),MATCH('Tariff schedule'!S$16,'Prop. prices'!$I$5:$AB$5,0))</f>
        <v>0</v>
      </c>
      <c r="T269" s="232">
        <f>INDEX('Prop. prices'!$I$164:$AB$238,MATCH('Tariff schedule'!$C269,'Prop. prices'!$C$164:$C$238,0),MATCH('Tariff schedule'!T$16,'Prop. prices'!$I$5:$AB$5,0))</f>
        <v>0</v>
      </c>
      <c r="U269" s="232">
        <f>INDEX('Prop. prices'!$I$164:$AB$238,MATCH('Tariff schedule'!$C269,'Prop. prices'!$C$164:$C$238,0),MATCH('Tariff schedule'!U$16,'Prop. prices'!$I$5:$AB$5,0))</f>
        <v>0</v>
      </c>
      <c r="V269" s="232">
        <f>INDEX('Prop. prices'!$I$164:$AB$238,MATCH('Tariff schedule'!$C269,'Prop. prices'!$C$164:$C$238,0),MATCH('Tariff schedule'!V$16,'Prop. prices'!$I$5:$AB$5,0))</f>
        <v>0</v>
      </c>
      <c r="W269" s="232">
        <f>INDEX('Prop. prices'!$I$164:$AB$238,MATCH('Tariff schedule'!$C269,'Prop. prices'!$C$164:$C$238,0),MATCH('Tariff schedule'!W$16,'Prop. prices'!$I$5:$AB$5,0))</f>
        <v>0</v>
      </c>
      <c r="X269" s="232">
        <f>INDEX('Prop. prices'!$I$164:$AB$238,MATCH('Tariff schedule'!$C269,'Prop. prices'!$C$164:$C$238,0),MATCH('Tariff schedule'!X$16,'Prop. prices'!$I$5:$AB$5,0))</f>
        <v>0</v>
      </c>
      <c r="Y269" s="232">
        <f>INDEX('Prop. prices'!$I$164:$AB$238,MATCH('Tariff schedule'!$C269,'Prop. prices'!$C$164:$C$238,0),MATCH('Tariff schedule'!Y$16,'Prop. prices'!$I$5:$AB$5,0))</f>
        <v>0</v>
      </c>
      <c r="Z269" s="232">
        <f>INDEX('Prop. prices'!$I$164:$AB$238,MATCH('Tariff schedule'!$C269,'Prop. prices'!$C$164:$C$238,0),MATCH('Tariff schedule'!Z$16,'Prop. prices'!$I$5:$AB$5,0))</f>
        <v>0</v>
      </c>
      <c r="AA269" s="232">
        <f>INDEX('Prop. prices'!$I$164:$AB$238,MATCH('Tariff schedule'!$C269,'Prop. prices'!$C$164:$C$238,0),MATCH('Tariff schedule'!AA$16,'Prop. prices'!$I$5:$AB$5,0))</f>
        <v>0</v>
      </c>
      <c r="AB269" s="232">
        <f>INDEX('Prop. prices'!$I$164:$AB$238,MATCH('Tariff schedule'!$C269,'Prop. prices'!$C$164:$C$238,0),MATCH('Tariff schedule'!AB$16,'Prop. prices'!$I$5:$AB$5,0))</f>
        <v>0</v>
      </c>
      <c r="AC269" s="70"/>
      <c r="AD269" s="19"/>
      <c r="AE269" s="19"/>
      <c r="AF269" s="19"/>
      <c r="AG269" s="19"/>
    </row>
    <row r="270" spans="1:33" hidden="1" outlineLevel="2" x14ac:dyDescent="0.2">
      <c r="A270" s="19"/>
      <c r="B270" s="19"/>
      <c r="C270" s="506" t="str">
        <f t="shared" si="92"/>
        <v>Controlled low voltage off peak with afternoon boost</v>
      </c>
      <c r="D270" s="505" t="str">
        <f t="shared" si="92"/>
        <v>Controlled energy</v>
      </c>
      <c r="E270" s="505" t="str">
        <f t="shared" si="92"/>
        <v>TAS61</v>
      </c>
      <c r="F270" s="505">
        <f t="shared" si="92"/>
        <v>0</v>
      </c>
      <c r="G270" s="505">
        <f t="shared" si="92"/>
        <v>0</v>
      </c>
      <c r="H270" s="58"/>
      <c r="I270" s="232">
        <f>INDEX('Prop. prices'!$I$164:$AB$238,MATCH('Tariff schedule'!$C270,'Prop. prices'!$C$164:$C$238,0),MATCH('Tariff schedule'!I$16,'Prop. prices'!$I$5:$AB$5,0))</f>
        <v>0</v>
      </c>
      <c r="J270" s="232">
        <f>INDEX('Prop. prices'!$I$164:$AB$238,MATCH('Tariff schedule'!$C270,'Prop. prices'!$C$164:$C$238,0),MATCH('Tariff schedule'!J$16,'Prop. prices'!$I$5:$AB$5,0))</f>
        <v>0</v>
      </c>
      <c r="K270" s="232">
        <f>INDEX('Prop. prices'!$I$164:$AB$238,MATCH('Tariff schedule'!$C270,'Prop. prices'!$C$164:$C$238,0),MATCH('Tariff schedule'!K$16,'Prop. prices'!$I$5:$AB$5,0))</f>
        <v>0</v>
      </c>
      <c r="L270" s="232">
        <f>INDEX('Prop. prices'!$I$164:$AB$238,MATCH('Tariff schedule'!$C270,'Prop. prices'!$C$164:$C$238,0),MATCH('Tariff schedule'!L$16,'Prop. prices'!$I$5:$AB$5,0))</f>
        <v>0</v>
      </c>
      <c r="M270" s="232">
        <f>INDEX('Prop. prices'!$I$164:$AB$238,MATCH('Tariff schedule'!$C270,'Prop. prices'!$C$164:$C$238,0),MATCH('Tariff schedule'!M$16,'Prop. prices'!$I$5:$AB$5,0))</f>
        <v>0</v>
      </c>
      <c r="N270" s="232">
        <f>INDEX('Prop. prices'!$I$164:$AB$238,MATCH('Tariff schedule'!$C270,'Prop. prices'!$C$164:$C$238,0),MATCH('Tariff schedule'!N$16,'Prop. prices'!$I$5:$AB$5,0))</f>
        <v>0</v>
      </c>
      <c r="O270" s="232">
        <f>INDEX('Prop. prices'!$I$164:$AB$238,MATCH('Tariff schedule'!$C270,'Prop. prices'!$C$164:$C$238,0),MATCH('Tariff schedule'!O$16,'Prop. prices'!$I$5:$AB$5,0))</f>
        <v>0</v>
      </c>
      <c r="P270" s="232">
        <f>INDEX('Prop. prices'!$I$164:$AB$238,MATCH('Tariff schedule'!$C270,'Prop. prices'!$C$164:$C$238,0),MATCH('Tariff schedule'!P$16,'Prop. prices'!$I$5:$AB$5,0))</f>
        <v>0</v>
      </c>
      <c r="Q270" s="232">
        <f>INDEX('Prop. prices'!$I$164:$AB$238,MATCH('Tariff schedule'!$C270,'Prop. prices'!$C$164:$C$238,0),MATCH('Tariff schedule'!Q$16,'Prop. prices'!$I$5:$AB$5,0))</f>
        <v>0</v>
      </c>
      <c r="R270" s="232">
        <f>INDEX('Prop. prices'!$I$164:$AB$238,MATCH('Tariff schedule'!$C270,'Prop. prices'!$C$164:$C$238,0),MATCH('Tariff schedule'!R$16,'Prop. prices'!$I$5:$AB$5,0))</f>
        <v>0</v>
      </c>
      <c r="S270" s="232">
        <f>INDEX('Prop. prices'!$I$164:$AB$238,MATCH('Tariff schedule'!$C270,'Prop. prices'!$C$164:$C$238,0),MATCH('Tariff schedule'!S$16,'Prop. prices'!$I$5:$AB$5,0))</f>
        <v>0</v>
      </c>
      <c r="T270" s="232">
        <f>INDEX('Prop. prices'!$I$164:$AB$238,MATCH('Tariff schedule'!$C270,'Prop. prices'!$C$164:$C$238,0),MATCH('Tariff schedule'!T$16,'Prop. prices'!$I$5:$AB$5,0))</f>
        <v>0</v>
      </c>
      <c r="U270" s="232">
        <f>INDEX('Prop. prices'!$I$164:$AB$238,MATCH('Tariff schedule'!$C270,'Prop. prices'!$C$164:$C$238,0),MATCH('Tariff schedule'!U$16,'Prop. prices'!$I$5:$AB$5,0))</f>
        <v>0</v>
      </c>
      <c r="V270" s="232">
        <f>INDEX('Prop. prices'!$I$164:$AB$238,MATCH('Tariff schedule'!$C270,'Prop. prices'!$C$164:$C$238,0),MATCH('Tariff schedule'!V$16,'Prop. prices'!$I$5:$AB$5,0))</f>
        <v>0</v>
      </c>
      <c r="W270" s="232">
        <f>INDEX('Prop. prices'!$I$164:$AB$238,MATCH('Tariff schedule'!$C270,'Prop. prices'!$C$164:$C$238,0),MATCH('Tariff schedule'!W$16,'Prop. prices'!$I$5:$AB$5,0))</f>
        <v>0</v>
      </c>
      <c r="X270" s="232">
        <f>INDEX('Prop. prices'!$I$164:$AB$238,MATCH('Tariff schedule'!$C270,'Prop. prices'!$C$164:$C$238,0),MATCH('Tariff schedule'!X$16,'Prop. prices'!$I$5:$AB$5,0))</f>
        <v>0</v>
      </c>
      <c r="Y270" s="232">
        <f>INDEX('Prop. prices'!$I$164:$AB$238,MATCH('Tariff schedule'!$C270,'Prop. prices'!$C$164:$C$238,0),MATCH('Tariff schedule'!Y$16,'Prop. prices'!$I$5:$AB$5,0))</f>
        <v>0</v>
      </c>
      <c r="Z270" s="232">
        <f>INDEX('Prop. prices'!$I$164:$AB$238,MATCH('Tariff schedule'!$C270,'Prop. prices'!$C$164:$C$238,0),MATCH('Tariff schedule'!Z$16,'Prop. prices'!$I$5:$AB$5,0))</f>
        <v>0</v>
      </c>
      <c r="AA270" s="232">
        <f>INDEX('Prop. prices'!$I$164:$AB$238,MATCH('Tariff schedule'!$C270,'Prop. prices'!$C$164:$C$238,0),MATCH('Tariff schedule'!AA$16,'Prop. prices'!$I$5:$AB$5,0))</f>
        <v>0</v>
      </c>
      <c r="AB270" s="232">
        <f>INDEX('Prop. prices'!$I$164:$AB$238,MATCH('Tariff schedule'!$C270,'Prop. prices'!$C$164:$C$238,0),MATCH('Tariff schedule'!AB$16,'Prop. prices'!$I$5:$AB$5,0))</f>
        <v>0</v>
      </c>
      <c r="AC270" s="70"/>
      <c r="AD270" s="19"/>
      <c r="AE270" s="19"/>
      <c r="AF270" s="19"/>
      <c r="AG270" s="19"/>
    </row>
    <row r="271" spans="1:33" hidden="1" outlineLevel="2" x14ac:dyDescent="0.2">
      <c r="A271" s="19"/>
      <c r="B271" s="19"/>
      <c r="C271" s="506" t="str">
        <f t="shared" si="92"/>
        <v>Unmetered supply general</v>
      </c>
      <c r="D271" s="505" t="str">
        <f t="shared" si="92"/>
        <v>Unmetered supplies</v>
      </c>
      <c r="E271" s="505" t="str">
        <f t="shared" si="92"/>
        <v>TASUMS</v>
      </c>
      <c r="F271" s="505">
        <f t="shared" si="92"/>
        <v>0</v>
      </c>
      <c r="G271" s="505">
        <f t="shared" si="92"/>
        <v>0</v>
      </c>
      <c r="H271" s="58"/>
      <c r="I271" s="232">
        <f>INDEX('Prop. prices'!$I$164:$AB$238,MATCH('Tariff schedule'!$C271,'Prop. prices'!$C$164:$C$238,0),MATCH('Tariff schedule'!I$16,'Prop. prices'!$I$5:$AB$5,0))</f>
        <v>0</v>
      </c>
      <c r="J271" s="232">
        <f>INDEX('Prop. prices'!$I$164:$AB$238,MATCH('Tariff schedule'!$C271,'Prop. prices'!$C$164:$C$238,0),MATCH('Tariff schedule'!J$16,'Prop. prices'!$I$5:$AB$5,0))</f>
        <v>0</v>
      </c>
      <c r="K271" s="232">
        <f>INDEX('Prop. prices'!$I$164:$AB$238,MATCH('Tariff schedule'!$C271,'Prop. prices'!$C$164:$C$238,0),MATCH('Tariff schedule'!K$16,'Prop. prices'!$I$5:$AB$5,0))</f>
        <v>0</v>
      </c>
      <c r="L271" s="232">
        <f>INDEX('Prop. prices'!$I$164:$AB$238,MATCH('Tariff schedule'!$C271,'Prop. prices'!$C$164:$C$238,0),MATCH('Tariff schedule'!L$16,'Prop. prices'!$I$5:$AB$5,0))</f>
        <v>0</v>
      </c>
      <c r="M271" s="232">
        <f>INDEX('Prop. prices'!$I$164:$AB$238,MATCH('Tariff schedule'!$C271,'Prop. prices'!$C$164:$C$238,0),MATCH('Tariff schedule'!M$16,'Prop. prices'!$I$5:$AB$5,0))</f>
        <v>0</v>
      </c>
      <c r="N271" s="232">
        <f>INDEX('Prop. prices'!$I$164:$AB$238,MATCH('Tariff schedule'!$C271,'Prop. prices'!$C$164:$C$238,0),MATCH('Tariff schedule'!N$16,'Prop. prices'!$I$5:$AB$5,0))</f>
        <v>0</v>
      </c>
      <c r="O271" s="232">
        <f>INDEX('Prop. prices'!$I$164:$AB$238,MATCH('Tariff schedule'!$C271,'Prop. prices'!$C$164:$C$238,0),MATCH('Tariff schedule'!O$16,'Prop. prices'!$I$5:$AB$5,0))</f>
        <v>0</v>
      </c>
      <c r="P271" s="232">
        <f>INDEX('Prop. prices'!$I$164:$AB$238,MATCH('Tariff schedule'!$C271,'Prop. prices'!$C$164:$C$238,0),MATCH('Tariff schedule'!P$16,'Prop. prices'!$I$5:$AB$5,0))</f>
        <v>0</v>
      </c>
      <c r="Q271" s="232">
        <f>INDEX('Prop. prices'!$I$164:$AB$238,MATCH('Tariff schedule'!$C271,'Prop. prices'!$C$164:$C$238,0),MATCH('Tariff schedule'!Q$16,'Prop. prices'!$I$5:$AB$5,0))</f>
        <v>0</v>
      </c>
      <c r="R271" s="232">
        <f>INDEX('Prop. prices'!$I$164:$AB$238,MATCH('Tariff schedule'!$C271,'Prop. prices'!$C$164:$C$238,0),MATCH('Tariff schedule'!R$16,'Prop. prices'!$I$5:$AB$5,0))</f>
        <v>0</v>
      </c>
      <c r="S271" s="232">
        <f>INDEX('Prop. prices'!$I$164:$AB$238,MATCH('Tariff schedule'!$C271,'Prop. prices'!$C$164:$C$238,0),MATCH('Tariff schedule'!S$16,'Prop. prices'!$I$5:$AB$5,0))</f>
        <v>0</v>
      </c>
      <c r="T271" s="232">
        <f>INDEX('Prop. prices'!$I$164:$AB$238,MATCH('Tariff schedule'!$C271,'Prop. prices'!$C$164:$C$238,0),MATCH('Tariff schedule'!T$16,'Prop. prices'!$I$5:$AB$5,0))</f>
        <v>0</v>
      </c>
      <c r="U271" s="232">
        <f>INDEX('Prop. prices'!$I$164:$AB$238,MATCH('Tariff schedule'!$C271,'Prop. prices'!$C$164:$C$238,0),MATCH('Tariff schedule'!U$16,'Prop. prices'!$I$5:$AB$5,0))</f>
        <v>0</v>
      </c>
      <c r="V271" s="232">
        <f>INDEX('Prop. prices'!$I$164:$AB$238,MATCH('Tariff schedule'!$C271,'Prop. prices'!$C$164:$C$238,0),MATCH('Tariff schedule'!V$16,'Prop. prices'!$I$5:$AB$5,0))</f>
        <v>0</v>
      </c>
      <c r="W271" s="232">
        <f>INDEX('Prop. prices'!$I$164:$AB$238,MATCH('Tariff schedule'!$C271,'Prop. prices'!$C$164:$C$238,0),MATCH('Tariff schedule'!W$16,'Prop. prices'!$I$5:$AB$5,0))</f>
        <v>0</v>
      </c>
      <c r="X271" s="232">
        <f>INDEX('Prop. prices'!$I$164:$AB$238,MATCH('Tariff schedule'!$C271,'Prop. prices'!$C$164:$C$238,0),MATCH('Tariff schedule'!X$16,'Prop. prices'!$I$5:$AB$5,0))</f>
        <v>0</v>
      </c>
      <c r="Y271" s="232">
        <f>INDEX('Prop. prices'!$I$164:$AB$238,MATCH('Tariff schedule'!$C271,'Prop. prices'!$C$164:$C$238,0),MATCH('Tariff schedule'!Y$16,'Prop. prices'!$I$5:$AB$5,0))</f>
        <v>0</v>
      </c>
      <c r="Z271" s="232">
        <f>INDEX('Prop. prices'!$I$164:$AB$238,MATCH('Tariff schedule'!$C271,'Prop. prices'!$C$164:$C$238,0),MATCH('Tariff schedule'!Z$16,'Prop. prices'!$I$5:$AB$5,0))</f>
        <v>0</v>
      </c>
      <c r="AA271" s="232">
        <f>INDEX('Prop. prices'!$I$164:$AB$238,MATCH('Tariff schedule'!$C271,'Prop. prices'!$C$164:$C$238,0),MATCH('Tariff schedule'!AA$16,'Prop. prices'!$I$5:$AB$5,0))</f>
        <v>0</v>
      </c>
      <c r="AB271" s="232">
        <f>INDEX('Prop. prices'!$I$164:$AB$238,MATCH('Tariff schedule'!$C271,'Prop. prices'!$C$164:$C$238,0),MATCH('Tariff schedule'!AB$16,'Prop. prices'!$I$5:$AB$5,0))</f>
        <v>0</v>
      </c>
      <c r="AC271" s="70"/>
      <c r="AD271" s="19"/>
      <c r="AE271" s="19"/>
      <c r="AF271" s="19"/>
      <c r="AG271" s="19"/>
    </row>
    <row r="272" spans="1:33" hidden="1" outlineLevel="2" x14ac:dyDescent="0.2">
      <c r="A272" s="19"/>
      <c r="B272" s="19"/>
      <c r="C272" s="506" t="str">
        <f t="shared" si="92"/>
        <v>Street lighting</v>
      </c>
      <c r="D272" s="505" t="str">
        <f t="shared" si="92"/>
        <v>Street lighting</v>
      </c>
      <c r="E272" s="505" t="str">
        <f t="shared" si="92"/>
        <v>TASUMSSL</v>
      </c>
      <c r="F272" s="505">
        <f t="shared" si="92"/>
        <v>0</v>
      </c>
      <c r="G272" s="505">
        <f t="shared" si="92"/>
        <v>0</v>
      </c>
      <c r="H272" s="58"/>
      <c r="I272" s="232">
        <f>INDEX('Prop. prices'!$I$164:$AB$238,MATCH('Tariff schedule'!$C272,'Prop. prices'!$C$164:$C$238,0),MATCH('Tariff schedule'!I$16,'Prop. prices'!$I$5:$AB$5,0))</f>
        <v>0</v>
      </c>
      <c r="J272" s="232">
        <f>INDEX('Prop. prices'!$I$164:$AB$238,MATCH('Tariff schedule'!$C272,'Prop. prices'!$C$164:$C$238,0),MATCH('Tariff schedule'!J$16,'Prop. prices'!$I$5:$AB$5,0))</f>
        <v>0</v>
      </c>
      <c r="K272" s="232">
        <f>INDEX('Prop. prices'!$I$164:$AB$238,MATCH('Tariff schedule'!$C272,'Prop. prices'!$C$164:$C$238,0),MATCH('Tariff schedule'!K$16,'Prop. prices'!$I$5:$AB$5,0))</f>
        <v>0</v>
      </c>
      <c r="L272" s="232">
        <f>INDEX('Prop. prices'!$I$164:$AB$238,MATCH('Tariff schedule'!$C272,'Prop. prices'!$C$164:$C$238,0),MATCH('Tariff schedule'!L$16,'Prop. prices'!$I$5:$AB$5,0))</f>
        <v>0</v>
      </c>
      <c r="M272" s="232">
        <f>INDEX('Prop. prices'!$I$164:$AB$238,MATCH('Tariff schedule'!$C272,'Prop. prices'!$C$164:$C$238,0),MATCH('Tariff schedule'!M$16,'Prop. prices'!$I$5:$AB$5,0))</f>
        <v>0</v>
      </c>
      <c r="N272" s="232">
        <f>INDEX('Prop. prices'!$I$164:$AB$238,MATCH('Tariff schedule'!$C272,'Prop. prices'!$C$164:$C$238,0),MATCH('Tariff schedule'!N$16,'Prop. prices'!$I$5:$AB$5,0))</f>
        <v>0</v>
      </c>
      <c r="O272" s="232">
        <f>INDEX('Prop. prices'!$I$164:$AB$238,MATCH('Tariff schedule'!$C272,'Prop. prices'!$C$164:$C$238,0),MATCH('Tariff schedule'!O$16,'Prop. prices'!$I$5:$AB$5,0))</f>
        <v>0</v>
      </c>
      <c r="P272" s="232">
        <f>INDEX('Prop. prices'!$I$164:$AB$238,MATCH('Tariff schedule'!$C272,'Prop. prices'!$C$164:$C$238,0),MATCH('Tariff schedule'!P$16,'Prop. prices'!$I$5:$AB$5,0))</f>
        <v>0</v>
      </c>
      <c r="Q272" s="232">
        <f>INDEX('Prop. prices'!$I$164:$AB$238,MATCH('Tariff schedule'!$C272,'Prop. prices'!$C$164:$C$238,0),MATCH('Tariff schedule'!Q$16,'Prop. prices'!$I$5:$AB$5,0))</f>
        <v>0</v>
      </c>
      <c r="R272" s="232">
        <f>INDEX('Prop. prices'!$I$164:$AB$238,MATCH('Tariff schedule'!$C272,'Prop. prices'!$C$164:$C$238,0),MATCH('Tariff schedule'!R$16,'Prop. prices'!$I$5:$AB$5,0))</f>
        <v>0</v>
      </c>
      <c r="S272" s="232">
        <f>INDEX('Prop. prices'!$I$164:$AB$238,MATCH('Tariff schedule'!$C272,'Prop. prices'!$C$164:$C$238,0),MATCH('Tariff schedule'!S$16,'Prop. prices'!$I$5:$AB$5,0))</f>
        <v>0</v>
      </c>
      <c r="T272" s="232">
        <f>INDEX('Prop. prices'!$I$164:$AB$238,MATCH('Tariff schedule'!$C272,'Prop. prices'!$C$164:$C$238,0),MATCH('Tariff schedule'!T$16,'Prop. prices'!$I$5:$AB$5,0))</f>
        <v>0</v>
      </c>
      <c r="U272" s="232">
        <f>INDEX('Prop. prices'!$I$164:$AB$238,MATCH('Tariff schedule'!$C272,'Prop. prices'!$C$164:$C$238,0),MATCH('Tariff schedule'!U$16,'Prop. prices'!$I$5:$AB$5,0))</f>
        <v>0</v>
      </c>
      <c r="V272" s="232">
        <f>INDEX('Prop. prices'!$I$164:$AB$238,MATCH('Tariff schedule'!$C272,'Prop. prices'!$C$164:$C$238,0),MATCH('Tariff schedule'!V$16,'Prop. prices'!$I$5:$AB$5,0))</f>
        <v>0</v>
      </c>
      <c r="W272" s="232">
        <f>INDEX('Prop. prices'!$I$164:$AB$238,MATCH('Tariff schedule'!$C272,'Prop. prices'!$C$164:$C$238,0),MATCH('Tariff schedule'!W$16,'Prop. prices'!$I$5:$AB$5,0))</f>
        <v>0</v>
      </c>
      <c r="X272" s="232">
        <f>INDEX('Prop. prices'!$I$164:$AB$238,MATCH('Tariff schedule'!$C272,'Prop. prices'!$C$164:$C$238,0),MATCH('Tariff schedule'!X$16,'Prop. prices'!$I$5:$AB$5,0))</f>
        <v>0</v>
      </c>
      <c r="Y272" s="232">
        <f>INDEX('Prop. prices'!$I$164:$AB$238,MATCH('Tariff schedule'!$C272,'Prop. prices'!$C$164:$C$238,0),MATCH('Tariff schedule'!Y$16,'Prop. prices'!$I$5:$AB$5,0))</f>
        <v>0</v>
      </c>
      <c r="Z272" s="232">
        <f>INDEX('Prop. prices'!$I$164:$AB$238,MATCH('Tariff schedule'!$C272,'Prop. prices'!$C$164:$C$238,0),MATCH('Tariff schedule'!Z$16,'Prop. prices'!$I$5:$AB$5,0))</f>
        <v>0</v>
      </c>
      <c r="AA272" s="232">
        <f>INDEX('Prop. prices'!$I$164:$AB$238,MATCH('Tariff schedule'!$C272,'Prop. prices'!$C$164:$C$238,0),MATCH('Tariff schedule'!AA$16,'Prop. prices'!$I$5:$AB$5,0))</f>
        <v>0</v>
      </c>
      <c r="AB272" s="232">
        <f>INDEX('Prop. prices'!$I$164:$AB$238,MATCH('Tariff schedule'!$C272,'Prop. prices'!$C$164:$C$238,0),MATCH('Tariff schedule'!AB$16,'Prop. prices'!$I$5:$AB$5,0))</f>
        <v>0</v>
      </c>
      <c r="AC272" s="70"/>
      <c r="AD272" s="19"/>
      <c r="AE272" s="19"/>
      <c r="AF272" s="19"/>
      <c r="AG272" s="19"/>
    </row>
    <row r="273" spans="1:33" hidden="1" outlineLevel="2" x14ac:dyDescent="0.2">
      <c r="A273" s="19"/>
      <c r="B273" s="19"/>
      <c r="C273" s="506">
        <f t="shared" ref="C273:G282" si="93">C39</f>
        <v>0</v>
      </c>
      <c r="D273" s="505">
        <f t="shared" si="93"/>
        <v>0</v>
      </c>
      <c r="E273" s="505">
        <f t="shared" si="93"/>
        <v>0</v>
      </c>
      <c r="F273" s="505">
        <f t="shared" si="93"/>
        <v>0</v>
      </c>
      <c r="G273" s="505">
        <f t="shared" si="93"/>
        <v>0</v>
      </c>
      <c r="H273" s="58"/>
      <c r="I273" s="232">
        <f>INDEX('Prop. prices'!$I$164:$AB$238,MATCH('Tariff schedule'!$C273,'Prop. prices'!$C$164:$C$238,0),MATCH('Tariff schedule'!I$16,'Prop. prices'!$I$5:$AB$5,0))</f>
        <v>0</v>
      </c>
      <c r="J273" s="232">
        <f>INDEX('Prop. prices'!$I$164:$AB$238,MATCH('Tariff schedule'!$C273,'Prop. prices'!$C$164:$C$238,0),MATCH('Tariff schedule'!J$16,'Prop. prices'!$I$5:$AB$5,0))</f>
        <v>0</v>
      </c>
      <c r="K273" s="232">
        <f>INDEX('Prop. prices'!$I$164:$AB$238,MATCH('Tariff schedule'!$C273,'Prop. prices'!$C$164:$C$238,0),MATCH('Tariff schedule'!K$16,'Prop. prices'!$I$5:$AB$5,0))</f>
        <v>0</v>
      </c>
      <c r="L273" s="232">
        <f>INDEX('Prop. prices'!$I$164:$AB$238,MATCH('Tariff schedule'!$C273,'Prop. prices'!$C$164:$C$238,0),MATCH('Tariff schedule'!L$16,'Prop. prices'!$I$5:$AB$5,0))</f>
        <v>0</v>
      </c>
      <c r="M273" s="232">
        <f>INDEX('Prop. prices'!$I$164:$AB$238,MATCH('Tariff schedule'!$C273,'Prop. prices'!$C$164:$C$238,0),MATCH('Tariff schedule'!M$16,'Prop. prices'!$I$5:$AB$5,0))</f>
        <v>0</v>
      </c>
      <c r="N273" s="232">
        <f>INDEX('Prop. prices'!$I$164:$AB$238,MATCH('Tariff schedule'!$C273,'Prop. prices'!$C$164:$C$238,0),MATCH('Tariff schedule'!N$16,'Prop. prices'!$I$5:$AB$5,0))</f>
        <v>0</v>
      </c>
      <c r="O273" s="232">
        <f>INDEX('Prop. prices'!$I$164:$AB$238,MATCH('Tariff schedule'!$C273,'Prop. prices'!$C$164:$C$238,0),MATCH('Tariff schedule'!O$16,'Prop. prices'!$I$5:$AB$5,0))</f>
        <v>0</v>
      </c>
      <c r="P273" s="232">
        <f>INDEX('Prop. prices'!$I$164:$AB$238,MATCH('Tariff schedule'!$C273,'Prop. prices'!$C$164:$C$238,0),MATCH('Tariff schedule'!P$16,'Prop. prices'!$I$5:$AB$5,0))</f>
        <v>0</v>
      </c>
      <c r="Q273" s="232">
        <f>INDEX('Prop. prices'!$I$164:$AB$238,MATCH('Tariff schedule'!$C273,'Prop. prices'!$C$164:$C$238,0),MATCH('Tariff schedule'!Q$16,'Prop. prices'!$I$5:$AB$5,0))</f>
        <v>0</v>
      </c>
      <c r="R273" s="232">
        <f>INDEX('Prop. prices'!$I$164:$AB$238,MATCH('Tariff schedule'!$C273,'Prop. prices'!$C$164:$C$238,0),MATCH('Tariff schedule'!R$16,'Prop. prices'!$I$5:$AB$5,0))</f>
        <v>0</v>
      </c>
      <c r="S273" s="232">
        <f>INDEX('Prop. prices'!$I$164:$AB$238,MATCH('Tariff schedule'!$C273,'Prop. prices'!$C$164:$C$238,0),MATCH('Tariff schedule'!S$16,'Prop. prices'!$I$5:$AB$5,0))</f>
        <v>0</v>
      </c>
      <c r="T273" s="232">
        <f>INDEX('Prop. prices'!$I$164:$AB$238,MATCH('Tariff schedule'!$C273,'Prop. prices'!$C$164:$C$238,0),MATCH('Tariff schedule'!T$16,'Prop. prices'!$I$5:$AB$5,0))</f>
        <v>0</v>
      </c>
      <c r="U273" s="232">
        <f>INDEX('Prop. prices'!$I$164:$AB$238,MATCH('Tariff schedule'!$C273,'Prop. prices'!$C$164:$C$238,0),MATCH('Tariff schedule'!U$16,'Prop. prices'!$I$5:$AB$5,0))</f>
        <v>0</v>
      </c>
      <c r="V273" s="232">
        <f>INDEX('Prop. prices'!$I$164:$AB$238,MATCH('Tariff schedule'!$C273,'Prop. prices'!$C$164:$C$238,0),MATCH('Tariff schedule'!V$16,'Prop. prices'!$I$5:$AB$5,0))</f>
        <v>0</v>
      </c>
      <c r="W273" s="232">
        <f>INDEX('Prop. prices'!$I$164:$AB$238,MATCH('Tariff schedule'!$C273,'Prop. prices'!$C$164:$C$238,0),MATCH('Tariff schedule'!W$16,'Prop. prices'!$I$5:$AB$5,0))</f>
        <v>0</v>
      </c>
      <c r="X273" s="232">
        <f>INDEX('Prop. prices'!$I$164:$AB$238,MATCH('Tariff schedule'!$C273,'Prop. prices'!$C$164:$C$238,0),MATCH('Tariff schedule'!X$16,'Prop. prices'!$I$5:$AB$5,0))</f>
        <v>0</v>
      </c>
      <c r="Y273" s="232">
        <f>INDEX('Prop. prices'!$I$164:$AB$238,MATCH('Tariff schedule'!$C273,'Prop. prices'!$C$164:$C$238,0),MATCH('Tariff schedule'!Y$16,'Prop. prices'!$I$5:$AB$5,0))</f>
        <v>0</v>
      </c>
      <c r="Z273" s="232">
        <f>INDEX('Prop. prices'!$I$164:$AB$238,MATCH('Tariff schedule'!$C273,'Prop. prices'!$C$164:$C$238,0),MATCH('Tariff schedule'!Z$16,'Prop. prices'!$I$5:$AB$5,0))</f>
        <v>0</v>
      </c>
      <c r="AA273" s="232">
        <f>INDEX('Prop. prices'!$I$164:$AB$238,MATCH('Tariff schedule'!$C273,'Prop. prices'!$C$164:$C$238,0),MATCH('Tariff schedule'!AA$16,'Prop. prices'!$I$5:$AB$5,0))</f>
        <v>0</v>
      </c>
      <c r="AB273" s="232">
        <f>INDEX('Prop. prices'!$I$164:$AB$238,MATCH('Tariff schedule'!$C273,'Prop. prices'!$C$164:$C$238,0),MATCH('Tariff schedule'!AB$16,'Prop. prices'!$I$5:$AB$5,0))</f>
        <v>0</v>
      </c>
      <c r="AC273" s="70"/>
      <c r="AD273" s="19"/>
      <c r="AE273" s="19"/>
      <c r="AF273" s="19"/>
      <c r="AG273" s="19"/>
    </row>
    <row r="274" spans="1:33" hidden="1" outlineLevel="2" x14ac:dyDescent="0.2">
      <c r="A274" s="19"/>
      <c r="B274" s="19"/>
      <c r="C274" s="506">
        <f t="shared" si="93"/>
        <v>0</v>
      </c>
      <c r="D274" s="505">
        <f t="shared" si="93"/>
        <v>0</v>
      </c>
      <c r="E274" s="505">
        <f t="shared" si="93"/>
        <v>0</v>
      </c>
      <c r="F274" s="505">
        <f t="shared" si="93"/>
        <v>0</v>
      </c>
      <c r="G274" s="505">
        <f t="shared" si="93"/>
        <v>0</v>
      </c>
      <c r="H274" s="58"/>
      <c r="I274" s="232">
        <f>INDEX('Prop. prices'!$I$164:$AB$238,MATCH('Tariff schedule'!$C274,'Prop. prices'!$C$164:$C$238,0),MATCH('Tariff schedule'!I$16,'Prop. prices'!$I$5:$AB$5,0))</f>
        <v>0</v>
      </c>
      <c r="J274" s="232">
        <f>INDEX('Prop. prices'!$I$164:$AB$238,MATCH('Tariff schedule'!$C274,'Prop. prices'!$C$164:$C$238,0),MATCH('Tariff schedule'!J$16,'Prop. prices'!$I$5:$AB$5,0))</f>
        <v>0</v>
      </c>
      <c r="K274" s="232">
        <f>INDEX('Prop. prices'!$I$164:$AB$238,MATCH('Tariff schedule'!$C274,'Prop. prices'!$C$164:$C$238,0),MATCH('Tariff schedule'!K$16,'Prop. prices'!$I$5:$AB$5,0))</f>
        <v>0</v>
      </c>
      <c r="L274" s="232">
        <f>INDEX('Prop. prices'!$I$164:$AB$238,MATCH('Tariff schedule'!$C274,'Prop. prices'!$C$164:$C$238,0),MATCH('Tariff schedule'!L$16,'Prop. prices'!$I$5:$AB$5,0))</f>
        <v>0</v>
      </c>
      <c r="M274" s="232">
        <f>INDEX('Prop. prices'!$I$164:$AB$238,MATCH('Tariff schedule'!$C274,'Prop. prices'!$C$164:$C$238,0),MATCH('Tariff schedule'!M$16,'Prop. prices'!$I$5:$AB$5,0))</f>
        <v>0</v>
      </c>
      <c r="N274" s="232">
        <f>INDEX('Prop. prices'!$I$164:$AB$238,MATCH('Tariff schedule'!$C274,'Prop. prices'!$C$164:$C$238,0),MATCH('Tariff schedule'!N$16,'Prop. prices'!$I$5:$AB$5,0))</f>
        <v>0</v>
      </c>
      <c r="O274" s="232">
        <f>INDEX('Prop. prices'!$I$164:$AB$238,MATCH('Tariff schedule'!$C274,'Prop. prices'!$C$164:$C$238,0),MATCH('Tariff schedule'!O$16,'Prop. prices'!$I$5:$AB$5,0))</f>
        <v>0</v>
      </c>
      <c r="P274" s="232">
        <f>INDEX('Prop. prices'!$I$164:$AB$238,MATCH('Tariff schedule'!$C274,'Prop. prices'!$C$164:$C$238,0),MATCH('Tariff schedule'!P$16,'Prop. prices'!$I$5:$AB$5,0))</f>
        <v>0</v>
      </c>
      <c r="Q274" s="232">
        <f>INDEX('Prop. prices'!$I$164:$AB$238,MATCH('Tariff schedule'!$C274,'Prop. prices'!$C$164:$C$238,0),MATCH('Tariff schedule'!Q$16,'Prop. prices'!$I$5:$AB$5,0))</f>
        <v>0</v>
      </c>
      <c r="R274" s="232">
        <f>INDEX('Prop. prices'!$I$164:$AB$238,MATCH('Tariff schedule'!$C274,'Prop. prices'!$C$164:$C$238,0),MATCH('Tariff schedule'!R$16,'Prop. prices'!$I$5:$AB$5,0))</f>
        <v>0</v>
      </c>
      <c r="S274" s="232">
        <f>INDEX('Prop. prices'!$I$164:$AB$238,MATCH('Tariff schedule'!$C274,'Prop. prices'!$C$164:$C$238,0),MATCH('Tariff schedule'!S$16,'Prop. prices'!$I$5:$AB$5,0))</f>
        <v>0</v>
      </c>
      <c r="T274" s="232">
        <f>INDEX('Prop. prices'!$I$164:$AB$238,MATCH('Tariff schedule'!$C274,'Prop. prices'!$C$164:$C$238,0),MATCH('Tariff schedule'!T$16,'Prop. prices'!$I$5:$AB$5,0))</f>
        <v>0</v>
      </c>
      <c r="U274" s="232">
        <f>INDEX('Prop. prices'!$I$164:$AB$238,MATCH('Tariff schedule'!$C274,'Prop. prices'!$C$164:$C$238,0),MATCH('Tariff schedule'!U$16,'Prop. prices'!$I$5:$AB$5,0))</f>
        <v>0</v>
      </c>
      <c r="V274" s="232">
        <f>INDEX('Prop. prices'!$I$164:$AB$238,MATCH('Tariff schedule'!$C274,'Prop. prices'!$C$164:$C$238,0),MATCH('Tariff schedule'!V$16,'Prop. prices'!$I$5:$AB$5,0))</f>
        <v>0</v>
      </c>
      <c r="W274" s="232">
        <f>INDEX('Prop. prices'!$I$164:$AB$238,MATCH('Tariff schedule'!$C274,'Prop. prices'!$C$164:$C$238,0),MATCH('Tariff schedule'!W$16,'Prop. prices'!$I$5:$AB$5,0))</f>
        <v>0</v>
      </c>
      <c r="X274" s="232">
        <f>INDEX('Prop. prices'!$I$164:$AB$238,MATCH('Tariff schedule'!$C274,'Prop. prices'!$C$164:$C$238,0),MATCH('Tariff schedule'!X$16,'Prop. prices'!$I$5:$AB$5,0))</f>
        <v>0</v>
      </c>
      <c r="Y274" s="232">
        <f>INDEX('Prop. prices'!$I$164:$AB$238,MATCH('Tariff schedule'!$C274,'Prop. prices'!$C$164:$C$238,0),MATCH('Tariff schedule'!Y$16,'Prop. prices'!$I$5:$AB$5,0))</f>
        <v>0</v>
      </c>
      <c r="Z274" s="232">
        <f>INDEX('Prop. prices'!$I$164:$AB$238,MATCH('Tariff schedule'!$C274,'Prop. prices'!$C$164:$C$238,0),MATCH('Tariff schedule'!Z$16,'Prop. prices'!$I$5:$AB$5,0))</f>
        <v>0</v>
      </c>
      <c r="AA274" s="232">
        <f>INDEX('Prop. prices'!$I$164:$AB$238,MATCH('Tariff schedule'!$C274,'Prop. prices'!$C$164:$C$238,0),MATCH('Tariff schedule'!AA$16,'Prop. prices'!$I$5:$AB$5,0))</f>
        <v>0</v>
      </c>
      <c r="AB274" s="232">
        <f>INDEX('Prop. prices'!$I$164:$AB$238,MATCH('Tariff schedule'!$C274,'Prop. prices'!$C$164:$C$238,0),MATCH('Tariff schedule'!AB$16,'Prop. prices'!$I$5:$AB$5,0))</f>
        <v>0</v>
      </c>
      <c r="AC274" s="70"/>
      <c r="AD274" s="19"/>
      <c r="AE274" s="19"/>
      <c r="AF274" s="19"/>
      <c r="AG274" s="19"/>
    </row>
    <row r="275" spans="1:33" hidden="1" outlineLevel="2" x14ac:dyDescent="0.2">
      <c r="A275" s="19"/>
      <c r="B275" s="19"/>
      <c r="C275" s="506">
        <f t="shared" si="93"/>
        <v>0</v>
      </c>
      <c r="D275" s="505">
        <f t="shared" si="93"/>
        <v>0</v>
      </c>
      <c r="E275" s="505">
        <f t="shared" si="93"/>
        <v>0</v>
      </c>
      <c r="F275" s="505">
        <f t="shared" si="93"/>
        <v>0</v>
      </c>
      <c r="G275" s="505">
        <f t="shared" si="93"/>
        <v>0</v>
      </c>
      <c r="H275" s="58"/>
      <c r="I275" s="232">
        <f>INDEX('Prop. prices'!$I$164:$AB$238,MATCH('Tariff schedule'!$C275,'Prop. prices'!$C$164:$C$238,0),MATCH('Tariff schedule'!I$16,'Prop. prices'!$I$5:$AB$5,0))</f>
        <v>0</v>
      </c>
      <c r="J275" s="232">
        <f>INDEX('Prop. prices'!$I$164:$AB$238,MATCH('Tariff schedule'!$C275,'Prop. prices'!$C$164:$C$238,0),MATCH('Tariff schedule'!J$16,'Prop. prices'!$I$5:$AB$5,0))</f>
        <v>0</v>
      </c>
      <c r="K275" s="232">
        <f>INDEX('Prop. prices'!$I$164:$AB$238,MATCH('Tariff schedule'!$C275,'Prop. prices'!$C$164:$C$238,0),MATCH('Tariff schedule'!K$16,'Prop. prices'!$I$5:$AB$5,0))</f>
        <v>0</v>
      </c>
      <c r="L275" s="232">
        <f>INDEX('Prop. prices'!$I$164:$AB$238,MATCH('Tariff schedule'!$C275,'Prop. prices'!$C$164:$C$238,0),MATCH('Tariff schedule'!L$16,'Prop. prices'!$I$5:$AB$5,0))</f>
        <v>0</v>
      </c>
      <c r="M275" s="232">
        <f>INDEX('Prop. prices'!$I$164:$AB$238,MATCH('Tariff schedule'!$C275,'Prop. prices'!$C$164:$C$238,0),MATCH('Tariff schedule'!M$16,'Prop. prices'!$I$5:$AB$5,0))</f>
        <v>0</v>
      </c>
      <c r="N275" s="232">
        <f>INDEX('Prop. prices'!$I$164:$AB$238,MATCH('Tariff schedule'!$C275,'Prop. prices'!$C$164:$C$238,0),MATCH('Tariff schedule'!N$16,'Prop. prices'!$I$5:$AB$5,0))</f>
        <v>0</v>
      </c>
      <c r="O275" s="232">
        <f>INDEX('Prop. prices'!$I$164:$AB$238,MATCH('Tariff schedule'!$C275,'Prop. prices'!$C$164:$C$238,0),MATCH('Tariff schedule'!O$16,'Prop. prices'!$I$5:$AB$5,0))</f>
        <v>0</v>
      </c>
      <c r="P275" s="232">
        <f>INDEX('Prop. prices'!$I$164:$AB$238,MATCH('Tariff schedule'!$C275,'Prop. prices'!$C$164:$C$238,0),MATCH('Tariff schedule'!P$16,'Prop. prices'!$I$5:$AB$5,0))</f>
        <v>0</v>
      </c>
      <c r="Q275" s="232">
        <f>INDEX('Prop. prices'!$I$164:$AB$238,MATCH('Tariff schedule'!$C275,'Prop. prices'!$C$164:$C$238,0),MATCH('Tariff schedule'!Q$16,'Prop. prices'!$I$5:$AB$5,0))</f>
        <v>0</v>
      </c>
      <c r="R275" s="232">
        <f>INDEX('Prop. prices'!$I$164:$AB$238,MATCH('Tariff schedule'!$C275,'Prop. prices'!$C$164:$C$238,0),MATCH('Tariff schedule'!R$16,'Prop. prices'!$I$5:$AB$5,0))</f>
        <v>0</v>
      </c>
      <c r="S275" s="232">
        <f>INDEX('Prop. prices'!$I$164:$AB$238,MATCH('Tariff schedule'!$C275,'Prop. prices'!$C$164:$C$238,0),MATCH('Tariff schedule'!S$16,'Prop. prices'!$I$5:$AB$5,0))</f>
        <v>0</v>
      </c>
      <c r="T275" s="232">
        <f>INDEX('Prop. prices'!$I$164:$AB$238,MATCH('Tariff schedule'!$C275,'Prop. prices'!$C$164:$C$238,0),MATCH('Tariff schedule'!T$16,'Prop. prices'!$I$5:$AB$5,0))</f>
        <v>0</v>
      </c>
      <c r="U275" s="232">
        <f>INDEX('Prop. prices'!$I$164:$AB$238,MATCH('Tariff schedule'!$C275,'Prop. prices'!$C$164:$C$238,0),MATCH('Tariff schedule'!U$16,'Prop. prices'!$I$5:$AB$5,0))</f>
        <v>0</v>
      </c>
      <c r="V275" s="232">
        <f>INDEX('Prop. prices'!$I$164:$AB$238,MATCH('Tariff schedule'!$C275,'Prop. prices'!$C$164:$C$238,0),MATCH('Tariff schedule'!V$16,'Prop. prices'!$I$5:$AB$5,0))</f>
        <v>0</v>
      </c>
      <c r="W275" s="232">
        <f>INDEX('Prop. prices'!$I$164:$AB$238,MATCH('Tariff schedule'!$C275,'Prop. prices'!$C$164:$C$238,0),MATCH('Tariff schedule'!W$16,'Prop. prices'!$I$5:$AB$5,0))</f>
        <v>0</v>
      </c>
      <c r="X275" s="232">
        <f>INDEX('Prop. prices'!$I$164:$AB$238,MATCH('Tariff schedule'!$C275,'Prop. prices'!$C$164:$C$238,0),MATCH('Tariff schedule'!X$16,'Prop. prices'!$I$5:$AB$5,0))</f>
        <v>0</v>
      </c>
      <c r="Y275" s="232">
        <f>INDEX('Prop. prices'!$I$164:$AB$238,MATCH('Tariff schedule'!$C275,'Prop. prices'!$C$164:$C$238,0),MATCH('Tariff schedule'!Y$16,'Prop. prices'!$I$5:$AB$5,0))</f>
        <v>0</v>
      </c>
      <c r="Z275" s="232">
        <f>INDEX('Prop. prices'!$I$164:$AB$238,MATCH('Tariff schedule'!$C275,'Prop. prices'!$C$164:$C$238,0),MATCH('Tariff schedule'!Z$16,'Prop. prices'!$I$5:$AB$5,0))</f>
        <v>0</v>
      </c>
      <c r="AA275" s="232">
        <f>INDEX('Prop. prices'!$I$164:$AB$238,MATCH('Tariff schedule'!$C275,'Prop. prices'!$C$164:$C$238,0),MATCH('Tariff schedule'!AA$16,'Prop. prices'!$I$5:$AB$5,0))</f>
        <v>0</v>
      </c>
      <c r="AB275" s="232">
        <f>INDEX('Prop. prices'!$I$164:$AB$238,MATCH('Tariff schedule'!$C275,'Prop. prices'!$C$164:$C$238,0),MATCH('Tariff schedule'!AB$16,'Prop. prices'!$I$5:$AB$5,0))</f>
        <v>0</v>
      </c>
      <c r="AC275" s="70"/>
      <c r="AD275" s="19"/>
      <c r="AE275" s="19"/>
      <c r="AF275" s="19"/>
      <c r="AG275" s="19"/>
    </row>
    <row r="276" spans="1:33" hidden="1" outlineLevel="2" x14ac:dyDescent="0.2">
      <c r="A276" s="19"/>
      <c r="B276" s="19"/>
      <c r="C276" s="506">
        <f t="shared" si="93"/>
        <v>0</v>
      </c>
      <c r="D276" s="505">
        <f t="shared" si="93"/>
        <v>0</v>
      </c>
      <c r="E276" s="505">
        <f t="shared" si="93"/>
        <v>0</v>
      </c>
      <c r="F276" s="505">
        <f t="shared" si="93"/>
        <v>0</v>
      </c>
      <c r="G276" s="505">
        <f t="shared" si="93"/>
        <v>0</v>
      </c>
      <c r="H276" s="58"/>
      <c r="I276" s="232">
        <f>INDEX('Prop. prices'!$I$164:$AB$238,MATCH('Tariff schedule'!$C276,'Prop. prices'!$C$164:$C$238,0),MATCH('Tariff schedule'!I$16,'Prop. prices'!$I$5:$AB$5,0))</f>
        <v>0</v>
      </c>
      <c r="J276" s="232">
        <f>INDEX('Prop. prices'!$I$164:$AB$238,MATCH('Tariff schedule'!$C276,'Prop. prices'!$C$164:$C$238,0),MATCH('Tariff schedule'!J$16,'Prop. prices'!$I$5:$AB$5,0))</f>
        <v>0</v>
      </c>
      <c r="K276" s="232">
        <f>INDEX('Prop. prices'!$I$164:$AB$238,MATCH('Tariff schedule'!$C276,'Prop. prices'!$C$164:$C$238,0),MATCH('Tariff schedule'!K$16,'Prop. prices'!$I$5:$AB$5,0))</f>
        <v>0</v>
      </c>
      <c r="L276" s="232">
        <f>INDEX('Prop. prices'!$I$164:$AB$238,MATCH('Tariff schedule'!$C276,'Prop. prices'!$C$164:$C$238,0),MATCH('Tariff schedule'!L$16,'Prop. prices'!$I$5:$AB$5,0))</f>
        <v>0</v>
      </c>
      <c r="M276" s="232">
        <f>INDEX('Prop. prices'!$I$164:$AB$238,MATCH('Tariff schedule'!$C276,'Prop. prices'!$C$164:$C$238,0),MATCH('Tariff schedule'!M$16,'Prop. prices'!$I$5:$AB$5,0))</f>
        <v>0</v>
      </c>
      <c r="N276" s="232">
        <f>INDEX('Prop. prices'!$I$164:$AB$238,MATCH('Tariff schedule'!$C276,'Prop. prices'!$C$164:$C$238,0),MATCH('Tariff schedule'!N$16,'Prop. prices'!$I$5:$AB$5,0))</f>
        <v>0</v>
      </c>
      <c r="O276" s="232">
        <f>INDEX('Prop. prices'!$I$164:$AB$238,MATCH('Tariff schedule'!$C276,'Prop. prices'!$C$164:$C$238,0),MATCH('Tariff schedule'!O$16,'Prop. prices'!$I$5:$AB$5,0))</f>
        <v>0</v>
      </c>
      <c r="P276" s="232">
        <f>INDEX('Prop. prices'!$I$164:$AB$238,MATCH('Tariff schedule'!$C276,'Prop. prices'!$C$164:$C$238,0),MATCH('Tariff schedule'!P$16,'Prop. prices'!$I$5:$AB$5,0))</f>
        <v>0</v>
      </c>
      <c r="Q276" s="232">
        <f>INDEX('Prop. prices'!$I$164:$AB$238,MATCH('Tariff schedule'!$C276,'Prop. prices'!$C$164:$C$238,0),MATCH('Tariff schedule'!Q$16,'Prop. prices'!$I$5:$AB$5,0))</f>
        <v>0</v>
      </c>
      <c r="R276" s="232">
        <f>INDEX('Prop. prices'!$I$164:$AB$238,MATCH('Tariff schedule'!$C276,'Prop. prices'!$C$164:$C$238,0),MATCH('Tariff schedule'!R$16,'Prop. prices'!$I$5:$AB$5,0))</f>
        <v>0</v>
      </c>
      <c r="S276" s="232">
        <f>INDEX('Prop. prices'!$I$164:$AB$238,MATCH('Tariff schedule'!$C276,'Prop. prices'!$C$164:$C$238,0),MATCH('Tariff schedule'!S$16,'Prop. prices'!$I$5:$AB$5,0))</f>
        <v>0</v>
      </c>
      <c r="T276" s="232">
        <f>INDEX('Prop. prices'!$I$164:$AB$238,MATCH('Tariff schedule'!$C276,'Prop. prices'!$C$164:$C$238,0),MATCH('Tariff schedule'!T$16,'Prop. prices'!$I$5:$AB$5,0))</f>
        <v>0</v>
      </c>
      <c r="U276" s="232">
        <f>INDEX('Prop. prices'!$I$164:$AB$238,MATCH('Tariff schedule'!$C276,'Prop. prices'!$C$164:$C$238,0),MATCH('Tariff schedule'!U$16,'Prop. prices'!$I$5:$AB$5,0))</f>
        <v>0</v>
      </c>
      <c r="V276" s="232">
        <f>INDEX('Prop. prices'!$I$164:$AB$238,MATCH('Tariff schedule'!$C276,'Prop. prices'!$C$164:$C$238,0),MATCH('Tariff schedule'!V$16,'Prop. prices'!$I$5:$AB$5,0))</f>
        <v>0</v>
      </c>
      <c r="W276" s="232">
        <f>INDEX('Prop. prices'!$I$164:$AB$238,MATCH('Tariff schedule'!$C276,'Prop. prices'!$C$164:$C$238,0),MATCH('Tariff schedule'!W$16,'Prop. prices'!$I$5:$AB$5,0))</f>
        <v>0</v>
      </c>
      <c r="X276" s="232">
        <f>INDEX('Prop. prices'!$I$164:$AB$238,MATCH('Tariff schedule'!$C276,'Prop. prices'!$C$164:$C$238,0),MATCH('Tariff schedule'!X$16,'Prop. prices'!$I$5:$AB$5,0))</f>
        <v>0</v>
      </c>
      <c r="Y276" s="232">
        <f>INDEX('Prop. prices'!$I$164:$AB$238,MATCH('Tariff schedule'!$C276,'Prop. prices'!$C$164:$C$238,0),MATCH('Tariff schedule'!Y$16,'Prop. prices'!$I$5:$AB$5,0))</f>
        <v>0</v>
      </c>
      <c r="Z276" s="232">
        <f>INDEX('Prop. prices'!$I$164:$AB$238,MATCH('Tariff schedule'!$C276,'Prop. prices'!$C$164:$C$238,0),MATCH('Tariff schedule'!Z$16,'Prop. prices'!$I$5:$AB$5,0))</f>
        <v>0</v>
      </c>
      <c r="AA276" s="232">
        <f>INDEX('Prop. prices'!$I$164:$AB$238,MATCH('Tariff schedule'!$C276,'Prop. prices'!$C$164:$C$238,0),MATCH('Tariff schedule'!AA$16,'Prop. prices'!$I$5:$AB$5,0))</f>
        <v>0</v>
      </c>
      <c r="AB276" s="232">
        <f>INDEX('Prop. prices'!$I$164:$AB$238,MATCH('Tariff schedule'!$C276,'Prop. prices'!$C$164:$C$238,0),MATCH('Tariff schedule'!AB$16,'Prop. prices'!$I$5:$AB$5,0))</f>
        <v>0</v>
      </c>
      <c r="AC276" s="70"/>
      <c r="AD276" s="19"/>
      <c r="AE276" s="19"/>
      <c r="AF276" s="19"/>
      <c r="AG276" s="19"/>
    </row>
    <row r="277" spans="1:33" hidden="1" outlineLevel="2" x14ac:dyDescent="0.2">
      <c r="A277" s="19"/>
      <c r="B277" s="19"/>
      <c r="C277" s="506">
        <f t="shared" si="93"/>
        <v>0</v>
      </c>
      <c r="D277" s="505">
        <f t="shared" si="93"/>
        <v>0</v>
      </c>
      <c r="E277" s="505">
        <f t="shared" si="93"/>
        <v>0</v>
      </c>
      <c r="F277" s="505">
        <f t="shared" si="93"/>
        <v>0</v>
      </c>
      <c r="G277" s="505">
        <f t="shared" si="93"/>
        <v>0</v>
      </c>
      <c r="H277" s="58"/>
      <c r="I277" s="232">
        <f>INDEX('Prop. prices'!$I$164:$AB$238,MATCH('Tariff schedule'!$C277,'Prop. prices'!$C$164:$C$238,0),MATCH('Tariff schedule'!I$16,'Prop. prices'!$I$5:$AB$5,0))</f>
        <v>0</v>
      </c>
      <c r="J277" s="232">
        <f>INDEX('Prop. prices'!$I$164:$AB$238,MATCH('Tariff schedule'!$C277,'Prop. prices'!$C$164:$C$238,0),MATCH('Tariff schedule'!J$16,'Prop. prices'!$I$5:$AB$5,0))</f>
        <v>0</v>
      </c>
      <c r="K277" s="232">
        <f>INDEX('Prop. prices'!$I$164:$AB$238,MATCH('Tariff schedule'!$C277,'Prop. prices'!$C$164:$C$238,0),MATCH('Tariff schedule'!K$16,'Prop. prices'!$I$5:$AB$5,0))</f>
        <v>0</v>
      </c>
      <c r="L277" s="232">
        <f>INDEX('Prop. prices'!$I$164:$AB$238,MATCH('Tariff schedule'!$C277,'Prop. prices'!$C$164:$C$238,0),MATCH('Tariff schedule'!L$16,'Prop. prices'!$I$5:$AB$5,0))</f>
        <v>0</v>
      </c>
      <c r="M277" s="232">
        <f>INDEX('Prop. prices'!$I$164:$AB$238,MATCH('Tariff schedule'!$C277,'Prop. prices'!$C$164:$C$238,0),MATCH('Tariff schedule'!M$16,'Prop. prices'!$I$5:$AB$5,0))</f>
        <v>0</v>
      </c>
      <c r="N277" s="232">
        <f>INDEX('Prop. prices'!$I$164:$AB$238,MATCH('Tariff schedule'!$C277,'Prop. prices'!$C$164:$C$238,0),MATCH('Tariff schedule'!N$16,'Prop. prices'!$I$5:$AB$5,0))</f>
        <v>0</v>
      </c>
      <c r="O277" s="232">
        <f>INDEX('Prop. prices'!$I$164:$AB$238,MATCH('Tariff schedule'!$C277,'Prop. prices'!$C$164:$C$238,0),MATCH('Tariff schedule'!O$16,'Prop. prices'!$I$5:$AB$5,0))</f>
        <v>0</v>
      </c>
      <c r="P277" s="232">
        <f>INDEX('Prop. prices'!$I$164:$AB$238,MATCH('Tariff schedule'!$C277,'Prop. prices'!$C$164:$C$238,0),MATCH('Tariff schedule'!P$16,'Prop. prices'!$I$5:$AB$5,0))</f>
        <v>0</v>
      </c>
      <c r="Q277" s="232">
        <f>INDEX('Prop. prices'!$I$164:$AB$238,MATCH('Tariff schedule'!$C277,'Prop. prices'!$C$164:$C$238,0),MATCH('Tariff schedule'!Q$16,'Prop. prices'!$I$5:$AB$5,0))</f>
        <v>0</v>
      </c>
      <c r="R277" s="232">
        <f>INDEX('Prop. prices'!$I$164:$AB$238,MATCH('Tariff schedule'!$C277,'Prop. prices'!$C$164:$C$238,0),MATCH('Tariff schedule'!R$16,'Prop. prices'!$I$5:$AB$5,0))</f>
        <v>0</v>
      </c>
      <c r="S277" s="232">
        <f>INDEX('Prop. prices'!$I$164:$AB$238,MATCH('Tariff schedule'!$C277,'Prop. prices'!$C$164:$C$238,0),MATCH('Tariff schedule'!S$16,'Prop. prices'!$I$5:$AB$5,0))</f>
        <v>0</v>
      </c>
      <c r="T277" s="232">
        <f>INDEX('Prop. prices'!$I$164:$AB$238,MATCH('Tariff schedule'!$C277,'Prop. prices'!$C$164:$C$238,0),MATCH('Tariff schedule'!T$16,'Prop. prices'!$I$5:$AB$5,0))</f>
        <v>0</v>
      </c>
      <c r="U277" s="232">
        <f>INDEX('Prop. prices'!$I$164:$AB$238,MATCH('Tariff schedule'!$C277,'Prop. prices'!$C$164:$C$238,0),MATCH('Tariff schedule'!U$16,'Prop. prices'!$I$5:$AB$5,0))</f>
        <v>0</v>
      </c>
      <c r="V277" s="232">
        <f>INDEX('Prop. prices'!$I$164:$AB$238,MATCH('Tariff schedule'!$C277,'Prop. prices'!$C$164:$C$238,0),MATCH('Tariff schedule'!V$16,'Prop. prices'!$I$5:$AB$5,0))</f>
        <v>0</v>
      </c>
      <c r="W277" s="232">
        <f>INDEX('Prop. prices'!$I$164:$AB$238,MATCH('Tariff schedule'!$C277,'Prop. prices'!$C$164:$C$238,0),MATCH('Tariff schedule'!W$16,'Prop. prices'!$I$5:$AB$5,0))</f>
        <v>0</v>
      </c>
      <c r="X277" s="232">
        <f>INDEX('Prop. prices'!$I$164:$AB$238,MATCH('Tariff schedule'!$C277,'Prop. prices'!$C$164:$C$238,0),MATCH('Tariff schedule'!X$16,'Prop. prices'!$I$5:$AB$5,0))</f>
        <v>0</v>
      </c>
      <c r="Y277" s="232">
        <f>INDEX('Prop. prices'!$I$164:$AB$238,MATCH('Tariff schedule'!$C277,'Prop. prices'!$C$164:$C$238,0),MATCH('Tariff schedule'!Y$16,'Prop. prices'!$I$5:$AB$5,0))</f>
        <v>0</v>
      </c>
      <c r="Z277" s="232">
        <f>INDEX('Prop. prices'!$I$164:$AB$238,MATCH('Tariff schedule'!$C277,'Prop. prices'!$C$164:$C$238,0),MATCH('Tariff schedule'!Z$16,'Prop. prices'!$I$5:$AB$5,0))</f>
        <v>0</v>
      </c>
      <c r="AA277" s="232">
        <f>INDEX('Prop. prices'!$I$164:$AB$238,MATCH('Tariff schedule'!$C277,'Prop. prices'!$C$164:$C$238,0),MATCH('Tariff schedule'!AA$16,'Prop. prices'!$I$5:$AB$5,0))</f>
        <v>0</v>
      </c>
      <c r="AB277" s="232">
        <f>INDEX('Prop. prices'!$I$164:$AB$238,MATCH('Tariff schedule'!$C277,'Prop. prices'!$C$164:$C$238,0),MATCH('Tariff schedule'!AB$16,'Prop. prices'!$I$5:$AB$5,0))</f>
        <v>0</v>
      </c>
      <c r="AC277" s="70"/>
      <c r="AD277" s="19"/>
      <c r="AE277" s="19"/>
      <c r="AF277" s="19"/>
      <c r="AG277" s="19"/>
    </row>
    <row r="278" spans="1:33" hidden="1" outlineLevel="2" x14ac:dyDescent="0.2">
      <c r="A278" s="19"/>
      <c r="B278" s="19"/>
      <c r="C278" s="506">
        <f t="shared" si="93"/>
        <v>0</v>
      </c>
      <c r="D278" s="505">
        <f t="shared" si="93"/>
        <v>0</v>
      </c>
      <c r="E278" s="505">
        <f t="shared" si="93"/>
        <v>0</v>
      </c>
      <c r="F278" s="505">
        <f t="shared" si="93"/>
        <v>0</v>
      </c>
      <c r="G278" s="505">
        <f t="shared" si="93"/>
        <v>0</v>
      </c>
      <c r="H278" s="58"/>
      <c r="I278" s="232">
        <f>INDEX('Prop. prices'!$I$164:$AB$238,MATCH('Tariff schedule'!$C278,'Prop. prices'!$C$164:$C$238,0),MATCH('Tariff schedule'!I$16,'Prop. prices'!$I$5:$AB$5,0))</f>
        <v>0</v>
      </c>
      <c r="J278" s="232">
        <f>INDEX('Prop. prices'!$I$164:$AB$238,MATCH('Tariff schedule'!$C278,'Prop. prices'!$C$164:$C$238,0),MATCH('Tariff schedule'!J$16,'Prop. prices'!$I$5:$AB$5,0))</f>
        <v>0</v>
      </c>
      <c r="K278" s="232">
        <f>INDEX('Prop. prices'!$I$164:$AB$238,MATCH('Tariff schedule'!$C278,'Prop. prices'!$C$164:$C$238,0),MATCH('Tariff schedule'!K$16,'Prop. prices'!$I$5:$AB$5,0))</f>
        <v>0</v>
      </c>
      <c r="L278" s="232">
        <f>INDEX('Prop. prices'!$I$164:$AB$238,MATCH('Tariff schedule'!$C278,'Prop. prices'!$C$164:$C$238,0),MATCH('Tariff schedule'!L$16,'Prop. prices'!$I$5:$AB$5,0))</f>
        <v>0</v>
      </c>
      <c r="M278" s="232">
        <f>INDEX('Prop. prices'!$I$164:$AB$238,MATCH('Tariff schedule'!$C278,'Prop. prices'!$C$164:$C$238,0),MATCH('Tariff schedule'!M$16,'Prop. prices'!$I$5:$AB$5,0))</f>
        <v>0</v>
      </c>
      <c r="N278" s="232">
        <f>INDEX('Prop. prices'!$I$164:$AB$238,MATCH('Tariff schedule'!$C278,'Prop. prices'!$C$164:$C$238,0),MATCH('Tariff schedule'!N$16,'Prop. prices'!$I$5:$AB$5,0))</f>
        <v>0</v>
      </c>
      <c r="O278" s="232">
        <f>INDEX('Prop. prices'!$I$164:$AB$238,MATCH('Tariff schedule'!$C278,'Prop. prices'!$C$164:$C$238,0),MATCH('Tariff schedule'!O$16,'Prop. prices'!$I$5:$AB$5,0))</f>
        <v>0</v>
      </c>
      <c r="P278" s="232">
        <f>INDEX('Prop. prices'!$I$164:$AB$238,MATCH('Tariff schedule'!$C278,'Prop. prices'!$C$164:$C$238,0),MATCH('Tariff schedule'!P$16,'Prop. prices'!$I$5:$AB$5,0))</f>
        <v>0</v>
      </c>
      <c r="Q278" s="232">
        <f>INDEX('Prop. prices'!$I$164:$AB$238,MATCH('Tariff schedule'!$C278,'Prop. prices'!$C$164:$C$238,0),MATCH('Tariff schedule'!Q$16,'Prop. prices'!$I$5:$AB$5,0))</f>
        <v>0</v>
      </c>
      <c r="R278" s="232">
        <f>INDEX('Prop. prices'!$I$164:$AB$238,MATCH('Tariff schedule'!$C278,'Prop. prices'!$C$164:$C$238,0),MATCH('Tariff schedule'!R$16,'Prop. prices'!$I$5:$AB$5,0))</f>
        <v>0</v>
      </c>
      <c r="S278" s="232">
        <f>INDEX('Prop. prices'!$I$164:$AB$238,MATCH('Tariff schedule'!$C278,'Prop. prices'!$C$164:$C$238,0),MATCH('Tariff schedule'!S$16,'Prop. prices'!$I$5:$AB$5,0))</f>
        <v>0</v>
      </c>
      <c r="T278" s="232">
        <f>INDEX('Prop. prices'!$I$164:$AB$238,MATCH('Tariff schedule'!$C278,'Prop. prices'!$C$164:$C$238,0),MATCH('Tariff schedule'!T$16,'Prop. prices'!$I$5:$AB$5,0))</f>
        <v>0</v>
      </c>
      <c r="U278" s="232">
        <f>INDEX('Prop. prices'!$I$164:$AB$238,MATCH('Tariff schedule'!$C278,'Prop. prices'!$C$164:$C$238,0),MATCH('Tariff schedule'!U$16,'Prop. prices'!$I$5:$AB$5,0))</f>
        <v>0</v>
      </c>
      <c r="V278" s="232">
        <f>INDEX('Prop. prices'!$I$164:$AB$238,MATCH('Tariff schedule'!$C278,'Prop. prices'!$C$164:$C$238,0),MATCH('Tariff schedule'!V$16,'Prop. prices'!$I$5:$AB$5,0))</f>
        <v>0</v>
      </c>
      <c r="W278" s="232">
        <f>INDEX('Prop. prices'!$I$164:$AB$238,MATCH('Tariff schedule'!$C278,'Prop. prices'!$C$164:$C$238,0),MATCH('Tariff schedule'!W$16,'Prop. prices'!$I$5:$AB$5,0))</f>
        <v>0</v>
      </c>
      <c r="X278" s="232">
        <f>INDEX('Prop. prices'!$I$164:$AB$238,MATCH('Tariff schedule'!$C278,'Prop. prices'!$C$164:$C$238,0),MATCH('Tariff schedule'!X$16,'Prop. prices'!$I$5:$AB$5,0))</f>
        <v>0</v>
      </c>
      <c r="Y278" s="232">
        <f>INDEX('Prop. prices'!$I$164:$AB$238,MATCH('Tariff schedule'!$C278,'Prop. prices'!$C$164:$C$238,0),MATCH('Tariff schedule'!Y$16,'Prop. prices'!$I$5:$AB$5,0))</f>
        <v>0</v>
      </c>
      <c r="Z278" s="232">
        <f>INDEX('Prop. prices'!$I$164:$AB$238,MATCH('Tariff schedule'!$C278,'Prop. prices'!$C$164:$C$238,0),MATCH('Tariff schedule'!Z$16,'Prop. prices'!$I$5:$AB$5,0))</f>
        <v>0</v>
      </c>
      <c r="AA278" s="232">
        <f>INDEX('Prop. prices'!$I$164:$AB$238,MATCH('Tariff schedule'!$C278,'Prop. prices'!$C$164:$C$238,0),MATCH('Tariff schedule'!AA$16,'Prop. prices'!$I$5:$AB$5,0))</f>
        <v>0</v>
      </c>
      <c r="AB278" s="232">
        <f>INDEX('Prop. prices'!$I$164:$AB$238,MATCH('Tariff schedule'!$C278,'Prop. prices'!$C$164:$C$238,0),MATCH('Tariff schedule'!AB$16,'Prop. prices'!$I$5:$AB$5,0))</f>
        <v>0</v>
      </c>
      <c r="AC278" s="70"/>
      <c r="AD278" s="19"/>
      <c r="AE278" s="19"/>
      <c r="AF278" s="19"/>
      <c r="AG278" s="19"/>
    </row>
    <row r="279" spans="1:33" hidden="1" outlineLevel="2" x14ac:dyDescent="0.2">
      <c r="A279" s="19"/>
      <c r="B279" s="19"/>
      <c r="C279" s="506">
        <f t="shared" si="93"/>
        <v>0</v>
      </c>
      <c r="D279" s="505">
        <f t="shared" si="93"/>
        <v>0</v>
      </c>
      <c r="E279" s="505">
        <f t="shared" si="93"/>
        <v>0</v>
      </c>
      <c r="F279" s="505">
        <f t="shared" si="93"/>
        <v>0</v>
      </c>
      <c r="G279" s="505">
        <f t="shared" si="93"/>
        <v>0</v>
      </c>
      <c r="H279" s="58"/>
      <c r="I279" s="232">
        <f>INDEX('Prop. prices'!$I$164:$AB$238,MATCH('Tariff schedule'!$C279,'Prop. prices'!$C$164:$C$238,0),MATCH('Tariff schedule'!I$16,'Prop. prices'!$I$5:$AB$5,0))</f>
        <v>0</v>
      </c>
      <c r="J279" s="232">
        <f>INDEX('Prop. prices'!$I$164:$AB$238,MATCH('Tariff schedule'!$C279,'Prop. prices'!$C$164:$C$238,0),MATCH('Tariff schedule'!J$16,'Prop. prices'!$I$5:$AB$5,0))</f>
        <v>0</v>
      </c>
      <c r="K279" s="232">
        <f>INDEX('Prop. prices'!$I$164:$AB$238,MATCH('Tariff schedule'!$C279,'Prop. prices'!$C$164:$C$238,0),MATCH('Tariff schedule'!K$16,'Prop. prices'!$I$5:$AB$5,0))</f>
        <v>0</v>
      </c>
      <c r="L279" s="232">
        <f>INDEX('Prop. prices'!$I$164:$AB$238,MATCH('Tariff schedule'!$C279,'Prop. prices'!$C$164:$C$238,0),MATCH('Tariff schedule'!L$16,'Prop. prices'!$I$5:$AB$5,0))</f>
        <v>0</v>
      </c>
      <c r="M279" s="232">
        <f>INDEX('Prop. prices'!$I$164:$AB$238,MATCH('Tariff schedule'!$C279,'Prop. prices'!$C$164:$C$238,0),MATCH('Tariff schedule'!M$16,'Prop. prices'!$I$5:$AB$5,0))</f>
        <v>0</v>
      </c>
      <c r="N279" s="232">
        <f>INDEX('Prop. prices'!$I$164:$AB$238,MATCH('Tariff schedule'!$C279,'Prop. prices'!$C$164:$C$238,0),MATCH('Tariff schedule'!N$16,'Prop. prices'!$I$5:$AB$5,0))</f>
        <v>0</v>
      </c>
      <c r="O279" s="232">
        <f>INDEX('Prop. prices'!$I$164:$AB$238,MATCH('Tariff schedule'!$C279,'Prop. prices'!$C$164:$C$238,0),MATCH('Tariff schedule'!O$16,'Prop. prices'!$I$5:$AB$5,0))</f>
        <v>0</v>
      </c>
      <c r="P279" s="232">
        <f>INDEX('Prop. prices'!$I$164:$AB$238,MATCH('Tariff schedule'!$C279,'Prop. prices'!$C$164:$C$238,0),MATCH('Tariff schedule'!P$16,'Prop. prices'!$I$5:$AB$5,0))</f>
        <v>0</v>
      </c>
      <c r="Q279" s="232">
        <f>INDEX('Prop. prices'!$I$164:$AB$238,MATCH('Tariff schedule'!$C279,'Prop. prices'!$C$164:$C$238,0),MATCH('Tariff schedule'!Q$16,'Prop. prices'!$I$5:$AB$5,0))</f>
        <v>0</v>
      </c>
      <c r="R279" s="232">
        <f>INDEX('Prop. prices'!$I$164:$AB$238,MATCH('Tariff schedule'!$C279,'Prop. prices'!$C$164:$C$238,0),MATCH('Tariff schedule'!R$16,'Prop. prices'!$I$5:$AB$5,0))</f>
        <v>0</v>
      </c>
      <c r="S279" s="232">
        <f>INDEX('Prop. prices'!$I$164:$AB$238,MATCH('Tariff schedule'!$C279,'Prop. prices'!$C$164:$C$238,0),MATCH('Tariff schedule'!S$16,'Prop. prices'!$I$5:$AB$5,0))</f>
        <v>0</v>
      </c>
      <c r="T279" s="232">
        <f>INDEX('Prop. prices'!$I$164:$AB$238,MATCH('Tariff schedule'!$C279,'Prop. prices'!$C$164:$C$238,0),MATCH('Tariff schedule'!T$16,'Prop. prices'!$I$5:$AB$5,0))</f>
        <v>0</v>
      </c>
      <c r="U279" s="232">
        <f>INDEX('Prop. prices'!$I$164:$AB$238,MATCH('Tariff schedule'!$C279,'Prop. prices'!$C$164:$C$238,0),MATCH('Tariff schedule'!U$16,'Prop. prices'!$I$5:$AB$5,0))</f>
        <v>0</v>
      </c>
      <c r="V279" s="232">
        <f>INDEX('Prop. prices'!$I$164:$AB$238,MATCH('Tariff schedule'!$C279,'Prop. prices'!$C$164:$C$238,0),MATCH('Tariff schedule'!V$16,'Prop. prices'!$I$5:$AB$5,0))</f>
        <v>0</v>
      </c>
      <c r="W279" s="232">
        <f>INDEX('Prop. prices'!$I$164:$AB$238,MATCH('Tariff schedule'!$C279,'Prop. prices'!$C$164:$C$238,0),MATCH('Tariff schedule'!W$16,'Prop. prices'!$I$5:$AB$5,0))</f>
        <v>0</v>
      </c>
      <c r="X279" s="232">
        <f>INDEX('Prop. prices'!$I$164:$AB$238,MATCH('Tariff schedule'!$C279,'Prop. prices'!$C$164:$C$238,0),MATCH('Tariff schedule'!X$16,'Prop. prices'!$I$5:$AB$5,0))</f>
        <v>0</v>
      </c>
      <c r="Y279" s="232">
        <f>INDEX('Prop. prices'!$I$164:$AB$238,MATCH('Tariff schedule'!$C279,'Prop. prices'!$C$164:$C$238,0),MATCH('Tariff schedule'!Y$16,'Prop. prices'!$I$5:$AB$5,0))</f>
        <v>0</v>
      </c>
      <c r="Z279" s="232">
        <f>INDEX('Prop. prices'!$I$164:$AB$238,MATCH('Tariff schedule'!$C279,'Prop. prices'!$C$164:$C$238,0),MATCH('Tariff schedule'!Z$16,'Prop. prices'!$I$5:$AB$5,0))</f>
        <v>0</v>
      </c>
      <c r="AA279" s="232">
        <f>INDEX('Prop. prices'!$I$164:$AB$238,MATCH('Tariff schedule'!$C279,'Prop. prices'!$C$164:$C$238,0),MATCH('Tariff schedule'!AA$16,'Prop. prices'!$I$5:$AB$5,0))</f>
        <v>0</v>
      </c>
      <c r="AB279" s="232">
        <f>INDEX('Prop. prices'!$I$164:$AB$238,MATCH('Tariff schedule'!$C279,'Prop. prices'!$C$164:$C$238,0),MATCH('Tariff schedule'!AB$16,'Prop. prices'!$I$5:$AB$5,0))</f>
        <v>0</v>
      </c>
      <c r="AC279" s="70"/>
      <c r="AD279" s="19"/>
      <c r="AE279" s="19"/>
      <c r="AF279" s="19"/>
      <c r="AG279" s="19"/>
    </row>
    <row r="280" spans="1:33" hidden="1" outlineLevel="2" x14ac:dyDescent="0.2">
      <c r="A280" s="19"/>
      <c r="B280" s="19"/>
      <c r="C280" s="506">
        <f t="shared" si="93"/>
        <v>0</v>
      </c>
      <c r="D280" s="505">
        <f t="shared" si="93"/>
        <v>0</v>
      </c>
      <c r="E280" s="505">
        <f t="shared" si="93"/>
        <v>0</v>
      </c>
      <c r="F280" s="505">
        <f t="shared" si="93"/>
        <v>0</v>
      </c>
      <c r="G280" s="505">
        <f t="shared" si="93"/>
        <v>0</v>
      </c>
      <c r="H280" s="58"/>
      <c r="I280" s="232">
        <f>INDEX('Prop. prices'!$I$164:$AB$238,MATCH('Tariff schedule'!$C280,'Prop. prices'!$C$164:$C$238,0),MATCH('Tariff schedule'!I$16,'Prop. prices'!$I$5:$AB$5,0))</f>
        <v>0</v>
      </c>
      <c r="J280" s="232">
        <f>INDEX('Prop. prices'!$I$164:$AB$238,MATCH('Tariff schedule'!$C280,'Prop. prices'!$C$164:$C$238,0),MATCH('Tariff schedule'!J$16,'Prop. prices'!$I$5:$AB$5,0))</f>
        <v>0</v>
      </c>
      <c r="K280" s="232">
        <f>INDEX('Prop. prices'!$I$164:$AB$238,MATCH('Tariff schedule'!$C280,'Prop. prices'!$C$164:$C$238,0),MATCH('Tariff schedule'!K$16,'Prop. prices'!$I$5:$AB$5,0))</f>
        <v>0</v>
      </c>
      <c r="L280" s="232">
        <f>INDEX('Prop. prices'!$I$164:$AB$238,MATCH('Tariff schedule'!$C280,'Prop. prices'!$C$164:$C$238,0),MATCH('Tariff schedule'!L$16,'Prop. prices'!$I$5:$AB$5,0))</f>
        <v>0</v>
      </c>
      <c r="M280" s="232">
        <f>INDEX('Prop. prices'!$I$164:$AB$238,MATCH('Tariff schedule'!$C280,'Prop. prices'!$C$164:$C$238,0),MATCH('Tariff schedule'!M$16,'Prop. prices'!$I$5:$AB$5,0))</f>
        <v>0</v>
      </c>
      <c r="N280" s="232">
        <f>INDEX('Prop. prices'!$I$164:$AB$238,MATCH('Tariff schedule'!$C280,'Prop. prices'!$C$164:$C$238,0),MATCH('Tariff schedule'!N$16,'Prop. prices'!$I$5:$AB$5,0))</f>
        <v>0</v>
      </c>
      <c r="O280" s="232">
        <f>INDEX('Prop. prices'!$I$164:$AB$238,MATCH('Tariff schedule'!$C280,'Prop. prices'!$C$164:$C$238,0),MATCH('Tariff schedule'!O$16,'Prop. prices'!$I$5:$AB$5,0))</f>
        <v>0</v>
      </c>
      <c r="P280" s="232">
        <f>INDEX('Prop. prices'!$I$164:$AB$238,MATCH('Tariff schedule'!$C280,'Prop. prices'!$C$164:$C$238,0),MATCH('Tariff schedule'!P$16,'Prop. prices'!$I$5:$AB$5,0))</f>
        <v>0</v>
      </c>
      <c r="Q280" s="232">
        <f>INDEX('Prop. prices'!$I$164:$AB$238,MATCH('Tariff schedule'!$C280,'Prop. prices'!$C$164:$C$238,0),MATCH('Tariff schedule'!Q$16,'Prop. prices'!$I$5:$AB$5,0))</f>
        <v>0</v>
      </c>
      <c r="R280" s="232">
        <f>INDEX('Prop. prices'!$I$164:$AB$238,MATCH('Tariff schedule'!$C280,'Prop. prices'!$C$164:$C$238,0),MATCH('Tariff schedule'!R$16,'Prop. prices'!$I$5:$AB$5,0))</f>
        <v>0</v>
      </c>
      <c r="S280" s="232">
        <f>INDEX('Prop. prices'!$I$164:$AB$238,MATCH('Tariff schedule'!$C280,'Prop. prices'!$C$164:$C$238,0),MATCH('Tariff schedule'!S$16,'Prop. prices'!$I$5:$AB$5,0))</f>
        <v>0</v>
      </c>
      <c r="T280" s="232">
        <f>INDEX('Prop. prices'!$I$164:$AB$238,MATCH('Tariff schedule'!$C280,'Prop. prices'!$C$164:$C$238,0),MATCH('Tariff schedule'!T$16,'Prop. prices'!$I$5:$AB$5,0))</f>
        <v>0</v>
      </c>
      <c r="U280" s="232">
        <f>INDEX('Prop. prices'!$I$164:$AB$238,MATCH('Tariff schedule'!$C280,'Prop. prices'!$C$164:$C$238,0),MATCH('Tariff schedule'!U$16,'Prop. prices'!$I$5:$AB$5,0))</f>
        <v>0</v>
      </c>
      <c r="V280" s="232">
        <f>INDEX('Prop. prices'!$I$164:$AB$238,MATCH('Tariff schedule'!$C280,'Prop. prices'!$C$164:$C$238,0),MATCH('Tariff schedule'!V$16,'Prop. prices'!$I$5:$AB$5,0))</f>
        <v>0</v>
      </c>
      <c r="W280" s="232">
        <f>INDEX('Prop. prices'!$I$164:$AB$238,MATCH('Tariff schedule'!$C280,'Prop. prices'!$C$164:$C$238,0),MATCH('Tariff schedule'!W$16,'Prop. prices'!$I$5:$AB$5,0))</f>
        <v>0</v>
      </c>
      <c r="X280" s="232">
        <f>INDEX('Prop. prices'!$I$164:$AB$238,MATCH('Tariff schedule'!$C280,'Prop. prices'!$C$164:$C$238,0),MATCH('Tariff schedule'!X$16,'Prop. prices'!$I$5:$AB$5,0))</f>
        <v>0</v>
      </c>
      <c r="Y280" s="232">
        <f>INDEX('Prop. prices'!$I$164:$AB$238,MATCH('Tariff schedule'!$C280,'Prop. prices'!$C$164:$C$238,0),MATCH('Tariff schedule'!Y$16,'Prop. prices'!$I$5:$AB$5,0))</f>
        <v>0</v>
      </c>
      <c r="Z280" s="232">
        <f>INDEX('Prop. prices'!$I$164:$AB$238,MATCH('Tariff schedule'!$C280,'Prop. prices'!$C$164:$C$238,0),MATCH('Tariff schedule'!Z$16,'Prop. prices'!$I$5:$AB$5,0))</f>
        <v>0</v>
      </c>
      <c r="AA280" s="232">
        <f>INDEX('Prop. prices'!$I$164:$AB$238,MATCH('Tariff schedule'!$C280,'Prop. prices'!$C$164:$C$238,0),MATCH('Tariff schedule'!AA$16,'Prop. prices'!$I$5:$AB$5,0))</f>
        <v>0</v>
      </c>
      <c r="AB280" s="232">
        <f>INDEX('Prop. prices'!$I$164:$AB$238,MATCH('Tariff schedule'!$C280,'Prop. prices'!$C$164:$C$238,0),MATCH('Tariff schedule'!AB$16,'Prop. prices'!$I$5:$AB$5,0))</f>
        <v>0</v>
      </c>
      <c r="AC280" s="70"/>
      <c r="AD280" s="19"/>
      <c r="AE280" s="19"/>
      <c r="AF280" s="19"/>
      <c r="AG280" s="19"/>
    </row>
    <row r="281" spans="1:33" hidden="1" outlineLevel="2" x14ac:dyDescent="0.2">
      <c r="A281" s="19"/>
      <c r="B281" s="19"/>
      <c r="C281" s="506">
        <f t="shared" si="93"/>
        <v>0</v>
      </c>
      <c r="D281" s="505">
        <f t="shared" si="93"/>
        <v>0</v>
      </c>
      <c r="E281" s="505">
        <f t="shared" si="93"/>
        <v>0</v>
      </c>
      <c r="F281" s="505">
        <f t="shared" si="93"/>
        <v>0</v>
      </c>
      <c r="G281" s="505">
        <f t="shared" si="93"/>
        <v>0</v>
      </c>
      <c r="H281" s="58"/>
      <c r="I281" s="232">
        <f>INDEX('Prop. prices'!$I$164:$AB$238,MATCH('Tariff schedule'!$C281,'Prop. prices'!$C$164:$C$238,0),MATCH('Tariff schedule'!I$16,'Prop. prices'!$I$5:$AB$5,0))</f>
        <v>0</v>
      </c>
      <c r="J281" s="232">
        <f>INDEX('Prop. prices'!$I$164:$AB$238,MATCH('Tariff schedule'!$C281,'Prop. prices'!$C$164:$C$238,0),MATCH('Tariff schedule'!J$16,'Prop. prices'!$I$5:$AB$5,0))</f>
        <v>0</v>
      </c>
      <c r="K281" s="232">
        <f>INDEX('Prop. prices'!$I$164:$AB$238,MATCH('Tariff schedule'!$C281,'Prop. prices'!$C$164:$C$238,0),MATCH('Tariff schedule'!K$16,'Prop. prices'!$I$5:$AB$5,0))</f>
        <v>0</v>
      </c>
      <c r="L281" s="232">
        <f>INDEX('Prop. prices'!$I$164:$AB$238,MATCH('Tariff schedule'!$C281,'Prop. prices'!$C$164:$C$238,0),MATCH('Tariff schedule'!L$16,'Prop. prices'!$I$5:$AB$5,0))</f>
        <v>0</v>
      </c>
      <c r="M281" s="232">
        <f>INDEX('Prop. prices'!$I$164:$AB$238,MATCH('Tariff schedule'!$C281,'Prop. prices'!$C$164:$C$238,0),MATCH('Tariff schedule'!M$16,'Prop. prices'!$I$5:$AB$5,0))</f>
        <v>0</v>
      </c>
      <c r="N281" s="232">
        <f>INDEX('Prop. prices'!$I$164:$AB$238,MATCH('Tariff schedule'!$C281,'Prop. prices'!$C$164:$C$238,0),MATCH('Tariff schedule'!N$16,'Prop. prices'!$I$5:$AB$5,0))</f>
        <v>0</v>
      </c>
      <c r="O281" s="232">
        <f>INDEX('Prop. prices'!$I$164:$AB$238,MATCH('Tariff schedule'!$C281,'Prop. prices'!$C$164:$C$238,0),MATCH('Tariff schedule'!O$16,'Prop. prices'!$I$5:$AB$5,0))</f>
        <v>0</v>
      </c>
      <c r="P281" s="232">
        <f>INDEX('Prop. prices'!$I$164:$AB$238,MATCH('Tariff schedule'!$C281,'Prop. prices'!$C$164:$C$238,0),MATCH('Tariff schedule'!P$16,'Prop. prices'!$I$5:$AB$5,0))</f>
        <v>0</v>
      </c>
      <c r="Q281" s="232">
        <f>INDEX('Prop. prices'!$I$164:$AB$238,MATCH('Tariff schedule'!$C281,'Prop. prices'!$C$164:$C$238,0),MATCH('Tariff schedule'!Q$16,'Prop. prices'!$I$5:$AB$5,0))</f>
        <v>0</v>
      </c>
      <c r="R281" s="232">
        <f>INDEX('Prop. prices'!$I$164:$AB$238,MATCH('Tariff schedule'!$C281,'Prop. prices'!$C$164:$C$238,0),MATCH('Tariff schedule'!R$16,'Prop. prices'!$I$5:$AB$5,0))</f>
        <v>0</v>
      </c>
      <c r="S281" s="232">
        <f>INDEX('Prop. prices'!$I$164:$AB$238,MATCH('Tariff schedule'!$C281,'Prop. prices'!$C$164:$C$238,0),MATCH('Tariff schedule'!S$16,'Prop. prices'!$I$5:$AB$5,0))</f>
        <v>0</v>
      </c>
      <c r="T281" s="232">
        <f>INDEX('Prop. prices'!$I$164:$AB$238,MATCH('Tariff schedule'!$C281,'Prop. prices'!$C$164:$C$238,0),MATCH('Tariff schedule'!T$16,'Prop. prices'!$I$5:$AB$5,0))</f>
        <v>0</v>
      </c>
      <c r="U281" s="232">
        <f>INDEX('Prop. prices'!$I$164:$AB$238,MATCH('Tariff schedule'!$C281,'Prop. prices'!$C$164:$C$238,0),MATCH('Tariff schedule'!U$16,'Prop. prices'!$I$5:$AB$5,0))</f>
        <v>0</v>
      </c>
      <c r="V281" s="232">
        <f>INDEX('Prop. prices'!$I$164:$AB$238,MATCH('Tariff schedule'!$C281,'Prop. prices'!$C$164:$C$238,0),MATCH('Tariff schedule'!V$16,'Prop. prices'!$I$5:$AB$5,0))</f>
        <v>0</v>
      </c>
      <c r="W281" s="232">
        <f>INDEX('Prop. prices'!$I$164:$AB$238,MATCH('Tariff schedule'!$C281,'Prop. prices'!$C$164:$C$238,0),MATCH('Tariff schedule'!W$16,'Prop. prices'!$I$5:$AB$5,0))</f>
        <v>0</v>
      </c>
      <c r="X281" s="232">
        <f>INDEX('Prop. prices'!$I$164:$AB$238,MATCH('Tariff schedule'!$C281,'Prop. prices'!$C$164:$C$238,0),MATCH('Tariff schedule'!X$16,'Prop. prices'!$I$5:$AB$5,0))</f>
        <v>0</v>
      </c>
      <c r="Y281" s="232">
        <f>INDEX('Prop. prices'!$I$164:$AB$238,MATCH('Tariff schedule'!$C281,'Prop. prices'!$C$164:$C$238,0),MATCH('Tariff schedule'!Y$16,'Prop. prices'!$I$5:$AB$5,0))</f>
        <v>0</v>
      </c>
      <c r="Z281" s="232">
        <f>INDEX('Prop. prices'!$I$164:$AB$238,MATCH('Tariff schedule'!$C281,'Prop. prices'!$C$164:$C$238,0),MATCH('Tariff schedule'!Z$16,'Prop. prices'!$I$5:$AB$5,0))</f>
        <v>0</v>
      </c>
      <c r="AA281" s="232">
        <f>INDEX('Prop. prices'!$I$164:$AB$238,MATCH('Tariff schedule'!$C281,'Prop. prices'!$C$164:$C$238,0),MATCH('Tariff schedule'!AA$16,'Prop. prices'!$I$5:$AB$5,0))</f>
        <v>0</v>
      </c>
      <c r="AB281" s="232">
        <f>INDEX('Prop. prices'!$I$164:$AB$238,MATCH('Tariff schedule'!$C281,'Prop. prices'!$C$164:$C$238,0),MATCH('Tariff schedule'!AB$16,'Prop. prices'!$I$5:$AB$5,0))</f>
        <v>0</v>
      </c>
      <c r="AC281" s="70"/>
      <c r="AD281" s="19"/>
      <c r="AE281" s="19"/>
      <c r="AF281" s="19"/>
      <c r="AG281" s="19"/>
    </row>
    <row r="282" spans="1:33" hidden="1" outlineLevel="2" x14ac:dyDescent="0.2">
      <c r="A282" s="19"/>
      <c r="B282" s="19"/>
      <c r="C282" s="506">
        <f t="shared" si="93"/>
        <v>0</v>
      </c>
      <c r="D282" s="505">
        <f t="shared" si="93"/>
        <v>0</v>
      </c>
      <c r="E282" s="505">
        <f t="shared" si="93"/>
        <v>0</v>
      </c>
      <c r="F282" s="505">
        <f t="shared" si="93"/>
        <v>0</v>
      </c>
      <c r="G282" s="505">
        <f t="shared" si="93"/>
        <v>0</v>
      </c>
      <c r="H282" s="58"/>
      <c r="I282" s="232">
        <f>INDEX('Prop. prices'!$I$164:$AB$238,MATCH('Tariff schedule'!$C282,'Prop. prices'!$C$164:$C$238,0),MATCH('Tariff schedule'!I$16,'Prop. prices'!$I$5:$AB$5,0))</f>
        <v>0</v>
      </c>
      <c r="J282" s="232">
        <f>INDEX('Prop. prices'!$I$164:$AB$238,MATCH('Tariff schedule'!$C282,'Prop. prices'!$C$164:$C$238,0),MATCH('Tariff schedule'!J$16,'Prop. prices'!$I$5:$AB$5,0))</f>
        <v>0</v>
      </c>
      <c r="K282" s="232">
        <f>INDEX('Prop. prices'!$I$164:$AB$238,MATCH('Tariff schedule'!$C282,'Prop. prices'!$C$164:$C$238,0),MATCH('Tariff schedule'!K$16,'Prop. prices'!$I$5:$AB$5,0))</f>
        <v>0</v>
      </c>
      <c r="L282" s="232">
        <f>INDEX('Prop. prices'!$I$164:$AB$238,MATCH('Tariff schedule'!$C282,'Prop. prices'!$C$164:$C$238,0),MATCH('Tariff schedule'!L$16,'Prop. prices'!$I$5:$AB$5,0))</f>
        <v>0</v>
      </c>
      <c r="M282" s="232">
        <f>INDEX('Prop. prices'!$I$164:$AB$238,MATCH('Tariff schedule'!$C282,'Prop. prices'!$C$164:$C$238,0),MATCH('Tariff schedule'!M$16,'Prop. prices'!$I$5:$AB$5,0))</f>
        <v>0</v>
      </c>
      <c r="N282" s="232">
        <f>INDEX('Prop. prices'!$I$164:$AB$238,MATCH('Tariff schedule'!$C282,'Prop. prices'!$C$164:$C$238,0),MATCH('Tariff schedule'!N$16,'Prop. prices'!$I$5:$AB$5,0))</f>
        <v>0</v>
      </c>
      <c r="O282" s="232">
        <f>INDEX('Prop. prices'!$I$164:$AB$238,MATCH('Tariff schedule'!$C282,'Prop. prices'!$C$164:$C$238,0),MATCH('Tariff schedule'!O$16,'Prop. prices'!$I$5:$AB$5,0))</f>
        <v>0</v>
      </c>
      <c r="P282" s="232">
        <f>INDEX('Prop. prices'!$I$164:$AB$238,MATCH('Tariff schedule'!$C282,'Prop. prices'!$C$164:$C$238,0),MATCH('Tariff schedule'!P$16,'Prop. prices'!$I$5:$AB$5,0))</f>
        <v>0</v>
      </c>
      <c r="Q282" s="232">
        <f>INDEX('Prop. prices'!$I$164:$AB$238,MATCH('Tariff schedule'!$C282,'Prop. prices'!$C$164:$C$238,0),MATCH('Tariff schedule'!Q$16,'Prop. prices'!$I$5:$AB$5,0))</f>
        <v>0</v>
      </c>
      <c r="R282" s="232">
        <f>INDEX('Prop. prices'!$I$164:$AB$238,MATCH('Tariff schedule'!$C282,'Prop. prices'!$C$164:$C$238,0),MATCH('Tariff schedule'!R$16,'Prop. prices'!$I$5:$AB$5,0))</f>
        <v>0</v>
      </c>
      <c r="S282" s="232">
        <f>INDEX('Prop. prices'!$I$164:$AB$238,MATCH('Tariff schedule'!$C282,'Prop. prices'!$C$164:$C$238,0),MATCH('Tariff schedule'!S$16,'Prop. prices'!$I$5:$AB$5,0))</f>
        <v>0</v>
      </c>
      <c r="T282" s="232">
        <f>INDEX('Prop. prices'!$I$164:$AB$238,MATCH('Tariff schedule'!$C282,'Prop. prices'!$C$164:$C$238,0),MATCH('Tariff schedule'!T$16,'Prop. prices'!$I$5:$AB$5,0))</f>
        <v>0</v>
      </c>
      <c r="U282" s="232">
        <f>INDEX('Prop. prices'!$I$164:$AB$238,MATCH('Tariff schedule'!$C282,'Prop. prices'!$C$164:$C$238,0),MATCH('Tariff schedule'!U$16,'Prop. prices'!$I$5:$AB$5,0))</f>
        <v>0</v>
      </c>
      <c r="V282" s="232">
        <f>INDEX('Prop. prices'!$I$164:$AB$238,MATCH('Tariff schedule'!$C282,'Prop. prices'!$C$164:$C$238,0),MATCH('Tariff schedule'!V$16,'Prop. prices'!$I$5:$AB$5,0))</f>
        <v>0</v>
      </c>
      <c r="W282" s="232">
        <f>INDEX('Prop. prices'!$I$164:$AB$238,MATCH('Tariff schedule'!$C282,'Prop. prices'!$C$164:$C$238,0),MATCH('Tariff schedule'!W$16,'Prop. prices'!$I$5:$AB$5,0))</f>
        <v>0</v>
      </c>
      <c r="X282" s="232">
        <f>INDEX('Prop. prices'!$I$164:$AB$238,MATCH('Tariff schedule'!$C282,'Prop. prices'!$C$164:$C$238,0),MATCH('Tariff schedule'!X$16,'Prop. prices'!$I$5:$AB$5,0))</f>
        <v>0</v>
      </c>
      <c r="Y282" s="232">
        <f>INDEX('Prop. prices'!$I$164:$AB$238,MATCH('Tariff schedule'!$C282,'Prop. prices'!$C$164:$C$238,0),MATCH('Tariff schedule'!Y$16,'Prop. prices'!$I$5:$AB$5,0))</f>
        <v>0</v>
      </c>
      <c r="Z282" s="232">
        <f>INDEX('Prop. prices'!$I$164:$AB$238,MATCH('Tariff schedule'!$C282,'Prop. prices'!$C$164:$C$238,0),MATCH('Tariff schedule'!Z$16,'Prop. prices'!$I$5:$AB$5,0))</f>
        <v>0</v>
      </c>
      <c r="AA282" s="232">
        <f>INDEX('Prop. prices'!$I$164:$AB$238,MATCH('Tariff schedule'!$C282,'Prop. prices'!$C$164:$C$238,0),MATCH('Tariff schedule'!AA$16,'Prop. prices'!$I$5:$AB$5,0))</f>
        <v>0</v>
      </c>
      <c r="AB282" s="232">
        <f>INDEX('Prop. prices'!$I$164:$AB$238,MATCH('Tariff schedule'!$C282,'Prop. prices'!$C$164:$C$238,0),MATCH('Tariff schedule'!AB$16,'Prop. prices'!$I$5:$AB$5,0))</f>
        <v>0</v>
      </c>
      <c r="AC282" s="70"/>
      <c r="AD282" s="19"/>
      <c r="AE282" s="19"/>
      <c r="AF282" s="19"/>
      <c r="AG282" s="19"/>
    </row>
    <row r="283" spans="1:33" hidden="1" outlineLevel="2" x14ac:dyDescent="0.2">
      <c r="A283" s="19"/>
      <c r="B283" s="19"/>
      <c r="C283" s="506">
        <f t="shared" ref="C283:G292" si="94">C49</f>
        <v>0</v>
      </c>
      <c r="D283" s="505">
        <f t="shared" si="94"/>
        <v>0</v>
      </c>
      <c r="E283" s="505">
        <f t="shared" si="94"/>
        <v>0</v>
      </c>
      <c r="F283" s="505">
        <f t="shared" si="94"/>
        <v>0</v>
      </c>
      <c r="G283" s="505">
        <f t="shared" si="94"/>
        <v>0</v>
      </c>
      <c r="H283" s="58"/>
      <c r="I283" s="232">
        <f>INDEX('Prop. prices'!$I$164:$AB$238,MATCH('Tariff schedule'!$C283,'Prop. prices'!$C$164:$C$238,0),MATCH('Tariff schedule'!I$16,'Prop. prices'!$I$5:$AB$5,0))</f>
        <v>0</v>
      </c>
      <c r="J283" s="232">
        <f>INDEX('Prop. prices'!$I$164:$AB$238,MATCH('Tariff schedule'!$C283,'Prop. prices'!$C$164:$C$238,0),MATCH('Tariff schedule'!J$16,'Prop. prices'!$I$5:$AB$5,0))</f>
        <v>0</v>
      </c>
      <c r="K283" s="232">
        <f>INDEX('Prop. prices'!$I$164:$AB$238,MATCH('Tariff schedule'!$C283,'Prop. prices'!$C$164:$C$238,0),MATCH('Tariff schedule'!K$16,'Prop. prices'!$I$5:$AB$5,0))</f>
        <v>0</v>
      </c>
      <c r="L283" s="232">
        <f>INDEX('Prop. prices'!$I$164:$AB$238,MATCH('Tariff schedule'!$C283,'Prop. prices'!$C$164:$C$238,0),MATCH('Tariff schedule'!L$16,'Prop. prices'!$I$5:$AB$5,0))</f>
        <v>0</v>
      </c>
      <c r="M283" s="232">
        <f>INDEX('Prop. prices'!$I$164:$AB$238,MATCH('Tariff schedule'!$C283,'Prop. prices'!$C$164:$C$238,0),MATCH('Tariff schedule'!M$16,'Prop. prices'!$I$5:$AB$5,0))</f>
        <v>0</v>
      </c>
      <c r="N283" s="232">
        <f>INDEX('Prop. prices'!$I$164:$AB$238,MATCH('Tariff schedule'!$C283,'Prop. prices'!$C$164:$C$238,0),MATCH('Tariff schedule'!N$16,'Prop. prices'!$I$5:$AB$5,0))</f>
        <v>0</v>
      </c>
      <c r="O283" s="232">
        <f>INDEX('Prop. prices'!$I$164:$AB$238,MATCH('Tariff schedule'!$C283,'Prop. prices'!$C$164:$C$238,0),MATCH('Tariff schedule'!O$16,'Prop. prices'!$I$5:$AB$5,0))</f>
        <v>0</v>
      </c>
      <c r="P283" s="232">
        <f>INDEX('Prop. prices'!$I$164:$AB$238,MATCH('Tariff schedule'!$C283,'Prop. prices'!$C$164:$C$238,0),MATCH('Tariff schedule'!P$16,'Prop. prices'!$I$5:$AB$5,0))</f>
        <v>0</v>
      </c>
      <c r="Q283" s="232">
        <f>INDEX('Prop. prices'!$I$164:$AB$238,MATCH('Tariff schedule'!$C283,'Prop. prices'!$C$164:$C$238,0),MATCH('Tariff schedule'!Q$16,'Prop. prices'!$I$5:$AB$5,0))</f>
        <v>0</v>
      </c>
      <c r="R283" s="232">
        <f>INDEX('Prop. prices'!$I$164:$AB$238,MATCH('Tariff schedule'!$C283,'Prop. prices'!$C$164:$C$238,0),MATCH('Tariff schedule'!R$16,'Prop. prices'!$I$5:$AB$5,0))</f>
        <v>0</v>
      </c>
      <c r="S283" s="232">
        <f>INDEX('Prop. prices'!$I$164:$AB$238,MATCH('Tariff schedule'!$C283,'Prop. prices'!$C$164:$C$238,0),MATCH('Tariff schedule'!S$16,'Prop. prices'!$I$5:$AB$5,0))</f>
        <v>0</v>
      </c>
      <c r="T283" s="232">
        <f>INDEX('Prop. prices'!$I$164:$AB$238,MATCH('Tariff schedule'!$C283,'Prop. prices'!$C$164:$C$238,0),MATCH('Tariff schedule'!T$16,'Prop. prices'!$I$5:$AB$5,0))</f>
        <v>0</v>
      </c>
      <c r="U283" s="232">
        <f>INDEX('Prop. prices'!$I$164:$AB$238,MATCH('Tariff schedule'!$C283,'Prop. prices'!$C$164:$C$238,0),MATCH('Tariff schedule'!U$16,'Prop. prices'!$I$5:$AB$5,0))</f>
        <v>0</v>
      </c>
      <c r="V283" s="232">
        <f>INDEX('Prop. prices'!$I$164:$AB$238,MATCH('Tariff schedule'!$C283,'Prop. prices'!$C$164:$C$238,0),MATCH('Tariff schedule'!V$16,'Prop. prices'!$I$5:$AB$5,0))</f>
        <v>0</v>
      </c>
      <c r="W283" s="232">
        <f>INDEX('Prop. prices'!$I$164:$AB$238,MATCH('Tariff schedule'!$C283,'Prop. prices'!$C$164:$C$238,0),MATCH('Tariff schedule'!W$16,'Prop. prices'!$I$5:$AB$5,0))</f>
        <v>0</v>
      </c>
      <c r="X283" s="232">
        <f>INDEX('Prop. prices'!$I$164:$AB$238,MATCH('Tariff schedule'!$C283,'Prop. prices'!$C$164:$C$238,0),MATCH('Tariff schedule'!X$16,'Prop. prices'!$I$5:$AB$5,0))</f>
        <v>0</v>
      </c>
      <c r="Y283" s="232">
        <f>INDEX('Prop. prices'!$I$164:$AB$238,MATCH('Tariff schedule'!$C283,'Prop. prices'!$C$164:$C$238,0),MATCH('Tariff schedule'!Y$16,'Prop. prices'!$I$5:$AB$5,0))</f>
        <v>0</v>
      </c>
      <c r="Z283" s="232">
        <f>INDEX('Prop. prices'!$I$164:$AB$238,MATCH('Tariff schedule'!$C283,'Prop. prices'!$C$164:$C$238,0),MATCH('Tariff schedule'!Z$16,'Prop. prices'!$I$5:$AB$5,0))</f>
        <v>0</v>
      </c>
      <c r="AA283" s="232">
        <f>INDEX('Prop. prices'!$I$164:$AB$238,MATCH('Tariff schedule'!$C283,'Prop. prices'!$C$164:$C$238,0),MATCH('Tariff schedule'!AA$16,'Prop. prices'!$I$5:$AB$5,0))</f>
        <v>0</v>
      </c>
      <c r="AB283" s="232">
        <f>INDEX('Prop. prices'!$I$164:$AB$238,MATCH('Tariff schedule'!$C283,'Prop. prices'!$C$164:$C$238,0),MATCH('Tariff schedule'!AB$16,'Prop. prices'!$I$5:$AB$5,0))</f>
        <v>0</v>
      </c>
      <c r="AC283" s="70"/>
      <c r="AD283" s="19"/>
      <c r="AE283" s="19"/>
      <c r="AF283" s="19"/>
      <c r="AG283" s="19"/>
    </row>
    <row r="284" spans="1:33" hidden="1" outlineLevel="2" x14ac:dyDescent="0.2">
      <c r="A284" s="19"/>
      <c r="B284" s="19"/>
      <c r="C284" s="506">
        <f t="shared" si="94"/>
        <v>0</v>
      </c>
      <c r="D284" s="505">
        <f t="shared" si="94"/>
        <v>0</v>
      </c>
      <c r="E284" s="505">
        <f t="shared" si="94"/>
        <v>0</v>
      </c>
      <c r="F284" s="505">
        <f t="shared" si="94"/>
        <v>0</v>
      </c>
      <c r="G284" s="505">
        <f t="shared" si="94"/>
        <v>0</v>
      </c>
      <c r="H284" s="58"/>
      <c r="I284" s="232">
        <f>INDEX('Prop. prices'!$I$164:$AB$238,MATCH('Tariff schedule'!$C284,'Prop. prices'!$C$164:$C$238,0),MATCH('Tariff schedule'!I$16,'Prop. prices'!$I$5:$AB$5,0))</f>
        <v>0</v>
      </c>
      <c r="J284" s="232">
        <f>INDEX('Prop. prices'!$I$164:$AB$238,MATCH('Tariff schedule'!$C284,'Prop. prices'!$C$164:$C$238,0),MATCH('Tariff schedule'!J$16,'Prop. prices'!$I$5:$AB$5,0))</f>
        <v>0</v>
      </c>
      <c r="K284" s="232">
        <f>INDEX('Prop. prices'!$I$164:$AB$238,MATCH('Tariff schedule'!$C284,'Prop. prices'!$C$164:$C$238,0),MATCH('Tariff schedule'!K$16,'Prop. prices'!$I$5:$AB$5,0))</f>
        <v>0</v>
      </c>
      <c r="L284" s="232">
        <f>INDEX('Prop. prices'!$I$164:$AB$238,MATCH('Tariff schedule'!$C284,'Prop. prices'!$C$164:$C$238,0),MATCH('Tariff schedule'!L$16,'Prop. prices'!$I$5:$AB$5,0))</f>
        <v>0</v>
      </c>
      <c r="M284" s="232">
        <f>INDEX('Prop. prices'!$I$164:$AB$238,MATCH('Tariff schedule'!$C284,'Prop. prices'!$C$164:$C$238,0),MATCH('Tariff schedule'!M$16,'Prop. prices'!$I$5:$AB$5,0))</f>
        <v>0</v>
      </c>
      <c r="N284" s="232">
        <f>INDEX('Prop. prices'!$I$164:$AB$238,MATCH('Tariff schedule'!$C284,'Prop. prices'!$C$164:$C$238,0),MATCH('Tariff schedule'!N$16,'Prop. prices'!$I$5:$AB$5,0))</f>
        <v>0</v>
      </c>
      <c r="O284" s="232">
        <f>INDEX('Prop. prices'!$I$164:$AB$238,MATCH('Tariff schedule'!$C284,'Prop. prices'!$C$164:$C$238,0),MATCH('Tariff schedule'!O$16,'Prop. prices'!$I$5:$AB$5,0))</f>
        <v>0</v>
      </c>
      <c r="P284" s="232">
        <f>INDEX('Prop. prices'!$I$164:$AB$238,MATCH('Tariff schedule'!$C284,'Prop. prices'!$C$164:$C$238,0),MATCH('Tariff schedule'!P$16,'Prop. prices'!$I$5:$AB$5,0))</f>
        <v>0</v>
      </c>
      <c r="Q284" s="232">
        <f>INDEX('Prop. prices'!$I$164:$AB$238,MATCH('Tariff schedule'!$C284,'Prop. prices'!$C$164:$C$238,0),MATCH('Tariff schedule'!Q$16,'Prop. prices'!$I$5:$AB$5,0))</f>
        <v>0</v>
      </c>
      <c r="R284" s="232">
        <f>INDEX('Prop. prices'!$I$164:$AB$238,MATCH('Tariff schedule'!$C284,'Prop. prices'!$C$164:$C$238,0),MATCH('Tariff schedule'!R$16,'Prop. prices'!$I$5:$AB$5,0))</f>
        <v>0</v>
      </c>
      <c r="S284" s="232">
        <f>INDEX('Prop. prices'!$I$164:$AB$238,MATCH('Tariff schedule'!$C284,'Prop. prices'!$C$164:$C$238,0),MATCH('Tariff schedule'!S$16,'Prop. prices'!$I$5:$AB$5,0))</f>
        <v>0</v>
      </c>
      <c r="T284" s="232">
        <f>INDEX('Prop. prices'!$I$164:$AB$238,MATCH('Tariff schedule'!$C284,'Prop. prices'!$C$164:$C$238,0),MATCH('Tariff schedule'!T$16,'Prop. prices'!$I$5:$AB$5,0))</f>
        <v>0</v>
      </c>
      <c r="U284" s="232">
        <f>INDEX('Prop. prices'!$I$164:$AB$238,MATCH('Tariff schedule'!$C284,'Prop. prices'!$C$164:$C$238,0),MATCH('Tariff schedule'!U$16,'Prop. prices'!$I$5:$AB$5,0))</f>
        <v>0</v>
      </c>
      <c r="V284" s="232">
        <f>INDEX('Prop. prices'!$I$164:$AB$238,MATCH('Tariff schedule'!$C284,'Prop. prices'!$C$164:$C$238,0),MATCH('Tariff schedule'!V$16,'Prop. prices'!$I$5:$AB$5,0))</f>
        <v>0</v>
      </c>
      <c r="W284" s="232">
        <f>INDEX('Prop. prices'!$I$164:$AB$238,MATCH('Tariff schedule'!$C284,'Prop. prices'!$C$164:$C$238,0),MATCH('Tariff schedule'!W$16,'Prop. prices'!$I$5:$AB$5,0))</f>
        <v>0</v>
      </c>
      <c r="X284" s="232">
        <f>INDEX('Prop. prices'!$I$164:$AB$238,MATCH('Tariff schedule'!$C284,'Prop. prices'!$C$164:$C$238,0),MATCH('Tariff schedule'!X$16,'Prop. prices'!$I$5:$AB$5,0))</f>
        <v>0</v>
      </c>
      <c r="Y284" s="232">
        <f>INDEX('Prop. prices'!$I$164:$AB$238,MATCH('Tariff schedule'!$C284,'Prop. prices'!$C$164:$C$238,0),MATCH('Tariff schedule'!Y$16,'Prop. prices'!$I$5:$AB$5,0))</f>
        <v>0</v>
      </c>
      <c r="Z284" s="232">
        <f>INDEX('Prop. prices'!$I$164:$AB$238,MATCH('Tariff schedule'!$C284,'Prop. prices'!$C$164:$C$238,0),MATCH('Tariff schedule'!Z$16,'Prop. prices'!$I$5:$AB$5,0))</f>
        <v>0</v>
      </c>
      <c r="AA284" s="232">
        <f>INDEX('Prop. prices'!$I$164:$AB$238,MATCH('Tariff schedule'!$C284,'Prop. prices'!$C$164:$C$238,0),MATCH('Tariff schedule'!AA$16,'Prop. prices'!$I$5:$AB$5,0))</f>
        <v>0</v>
      </c>
      <c r="AB284" s="232">
        <f>INDEX('Prop. prices'!$I$164:$AB$238,MATCH('Tariff schedule'!$C284,'Prop. prices'!$C$164:$C$238,0),MATCH('Tariff schedule'!AB$16,'Prop. prices'!$I$5:$AB$5,0))</f>
        <v>0</v>
      </c>
      <c r="AC284" s="70"/>
      <c r="AD284" s="19"/>
      <c r="AE284" s="19"/>
      <c r="AF284" s="19"/>
      <c r="AG284" s="19"/>
    </row>
    <row r="285" spans="1:33" hidden="1" outlineLevel="2" x14ac:dyDescent="0.2">
      <c r="A285" s="19"/>
      <c r="B285" s="19"/>
      <c r="C285" s="506">
        <f t="shared" si="94"/>
        <v>0</v>
      </c>
      <c r="D285" s="505">
        <f t="shared" si="94"/>
        <v>0</v>
      </c>
      <c r="E285" s="505">
        <f t="shared" si="94"/>
        <v>0</v>
      </c>
      <c r="F285" s="505">
        <f t="shared" si="94"/>
        <v>0</v>
      </c>
      <c r="G285" s="505">
        <f t="shared" si="94"/>
        <v>0</v>
      </c>
      <c r="H285" s="58"/>
      <c r="I285" s="232">
        <f>INDEX('Prop. prices'!$I$164:$AB$238,MATCH('Tariff schedule'!$C285,'Prop. prices'!$C$164:$C$238,0),MATCH('Tariff schedule'!I$16,'Prop. prices'!$I$5:$AB$5,0))</f>
        <v>0</v>
      </c>
      <c r="J285" s="232">
        <f>INDEX('Prop. prices'!$I$164:$AB$238,MATCH('Tariff schedule'!$C285,'Prop. prices'!$C$164:$C$238,0),MATCH('Tariff schedule'!J$16,'Prop. prices'!$I$5:$AB$5,0))</f>
        <v>0</v>
      </c>
      <c r="K285" s="232">
        <f>INDEX('Prop. prices'!$I$164:$AB$238,MATCH('Tariff schedule'!$C285,'Prop. prices'!$C$164:$C$238,0),MATCH('Tariff schedule'!K$16,'Prop. prices'!$I$5:$AB$5,0))</f>
        <v>0</v>
      </c>
      <c r="L285" s="232">
        <f>INDEX('Prop. prices'!$I$164:$AB$238,MATCH('Tariff schedule'!$C285,'Prop. prices'!$C$164:$C$238,0),MATCH('Tariff schedule'!L$16,'Prop. prices'!$I$5:$AB$5,0))</f>
        <v>0</v>
      </c>
      <c r="M285" s="232">
        <f>INDEX('Prop. prices'!$I$164:$AB$238,MATCH('Tariff schedule'!$C285,'Prop. prices'!$C$164:$C$238,0),MATCH('Tariff schedule'!M$16,'Prop. prices'!$I$5:$AB$5,0))</f>
        <v>0</v>
      </c>
      <c r="N285" s="232">
        <f>INDEX('Prop. prices'!$I$164:$AB$238,MATCH('Tariff schedule'!$C285,'Prop. prices'!$C$164:$C$238,0),MATCH('Tariff schedule'!N$16,'Prop. prices'!$I$5:$AB$5,0))</f>
        <v>0</v>
      </c>
      <c r="O285" s="232">
        <f>INDEX('Prop. prices'!$I$164:$AB$238,MATCH('Tariff schedule'!$C285,'Prop. prices'!$C$164:$C$238,0),MATCH('Tariff schedule'!O$16,'Prop. prices'!$I$5:$AB$5,0))</f>
        <v>0</v>
      </c>
      <c r="P285" s="232">
        <f>INDEX('Prop. prices'!$I$164:$AB$238,MATCH('Tariff schedule'!$C285,'Prop. prices'!$C$164:$C$238,0),MATCH('Tariff schedule'!P$16,'Prop. prices'!$I$5:$AB$5,0))</f>
        <v>0</v>
      </c>
      <c r="Q285" s="232">
        <f>INDEX('Prop. prices'!$I$164:$AB$238,MATCH('Tariff schedule'!$C285,'Prop. prices'!$C$164:$C$238,0),MATCH('Tariff schedule'!Q$16,'Prop. prices'!$I$5:$AB$5,0))</f>
        <v>0</v>
      </c>
      <c r="R285" s="232">
        <f>INDEX('Prop. prices'!$I$164:$AB$238,MATCH('Tariff schedule'!$C285,'Prop. prices'!$C$164:$C$238,0),MATCH('Tariff schedule'!R$16,'Prop. prices'!$I$5:$AB$5,0))</f>
        <v>0</v>
      </c>
      <c r="S285" s="232">
        <f>INDEX('Prop. prices'!$I$164:$AB$238,MATCH('Tariff schedule'!$C285,'Prop. prices'!$C$164:$C$238,0),MATCH('Tariff schedule'!S$16,'Prop. prices'!$I$5:$AB$5,0))</f>
        <v>0</v>
      </c>
      <c r="T285" s="232">
        <f>INDEX('Prop. prices'!$I$164:$AB$238,MATCH('Tariff schedule'!$C285,'Prop. prices'!$C$164:$C$238,0),MATCH('Tariff schedule'!T$16,'Prop. prices'!$I$5:$AB$5,0))</f>
        <v>0</v>
      </c>
      <c r="U285" s="232">
        <f>INDEX('Prop. prices'!$I$164:$AB$238,MATCH('Tariff schedule'!$C285,'Prop. prices'!$C$164:$C$238,0),MATCH('Tariff schedule'!U$16,'Prop. prices'!$I$5:$AB$5,0))</f>
        <v>0</v>
      </c>
      <c r="V285" s="232">
        <f>INDEX('Prop. prices'!$I$164:$AB$238,MATCH('Tariff schedule'!$C285,'Prop. prices'!$C$164:$C$238,0),MATCH('Tariff schedule'!V$16,'Prop. prices'!$I$5:$AB$5,0))</f>
        <v>0</v>
      </c>
      <c r="W285" s="232">
        <f>INDEX('Prop. prices'!$I$164:$AB$238,MATCH('Tariff schedule'!$C285,'Prop. prices'!$C$164:$C$238,0),MATCH('Tariff schedule'!W$16,'Prop. prices'!$I$5:$AB$5,0))</f>
        <v>0</v>
      </c>
      <c r="X285" s="232">
        <f>INDEX('Prop. prices'!$I$164:$AB$238,MATCH('Tariff schedule'!$C285,'Prop. prices'!$C$164:$C$238,0),MATCH('Tariff schedule'!X$16,'Prop. prices'!$I$5:$AB$5,0))</f>
        <v>0</v>
      </c>
      <c r="Y285" s="232">
        <f>INDEX('Prop. prices'!$I$164:$AB$238,MATCH('Tariff schedule'!$C285,'Prop. prices'!$C$164:$C$238,0),MATCH('Tariff schedule'!Y$16,'Prop. prices'!$I$5:$AB$5,0))</f>
        <v>0</v>
      </c>
      <c r="Z285" s="232">
        <f>INDEX('Prop. prices'!$I$164:$AB$238,MATCH('Tariff schedule'!$C285,'Prop. prices'!$C$164:$C$238,0),MATCH('Tariff schedule'!Z$16,'Prop. prices'!$I$5:$AB$5,0))</f>
        <v>0</v>
      </c>
      <c r="AA285" s="232">
        <f>INDEX('Prop. prices'!$I$164:$AB$238,MATCH('Tariff schedule'!$C285,'Prop. prices'!$C$164:$C$238,0),MATCH('Tariff schedule'!AA$16,'Prop. prices'!$I$5:$AB$5,0))</f>
        <v>0</v>
      </c>
      <c r="AB285" s="232">
        <f>INDEX('Prop. prices'!$I$164:$AB$238,MATCH('Tariff schedule'!$C285,'Prop. prices'!$C$164:$C$238,0),MATCH('Tariff schedule'!AB$16,'Prop. prices'!$I$5:$AB$5,0))</f>
        <v>0</v>
      </c>
      <c r="AC285" s="70"/>
      <c r="AD285" s="19"/>
      <c r="AE285" s="19"/>
      <c r="AF285" s="19"/>
      <c r="AG285" s="19"/>
    </row>
    <row r="286" spans="1:33" hidden="1" outlineLevel="2" x14ac:dyDescent="0.2">
      <c r="A286" s="19"/>
      <c r="B286" s="19"/>
      <c r="C286" s="506">
        <f t="shared" si="94"/>
        <v>0</v>
      </c>
      <c r="D286" s="505">
        <f t="shared" si="94"/>
        <v>0</v>
      </c>
      <c r="E286" s="505">
        <f t="shared" si="94"/>
        <v>0</v>
      </c>
      <c r="F286" s="505">
        <f t="shared" si="94"/>
        <v>0</v>
      </c>
      <c r="G286" s="505">
        <f t="shared" si="94"/>
        <v>0</v>
      </c>
      <c r="H286" s="58"/>
      <c r="I286" s="232">
        <f>INDEX('Prop. prices'!$I$164:$AB$238,MATCH('Tariff schedule'!$C286,'Prop. prices'!$C$164:$C$238,0),MATCH('Tariff schedule'!I$16,'Prop. prices'!$I$5:$AB$5,0))</f>
        <v>0</v>
      </c>
      <c r="J286" s="232">
        <f>INDEX('Prop. prices'!$I$164:$AB$238,MATCH('Tariff schedule'!$C286,'Prop. prices'!$C$164:$C$238,0),MATCH('Tariff schedule'!J$16,'Prop. prices'!$I$5:$AB$5,0))</f>
        <v>0</v>
      </c>
      <c r="K286" s="232">
        <f>INDEX('Prop. prices'!$I$164:$AB$238,MATCH('Tariff schedule'!$C286,'Prop. prices'!$C$164:$C$238,0),MATCH('Tariff schedule'!K$16,'Prop. prices'!$I$5:$AB$5,0))</f>
        <v>0</v>
      </c>
      <c r="L286" s="232">
        <f>INDEX('Prop. prices'!$I$164:$AB$238,MATCH('Tariff schedule'!$C286,'Prop. prices'!$C$164:$C$238,0),MATCH('Tariff schedule'!L$16,'Prop. prices'!$I$5:$AB$5,0))</f>
        <v>0</v>
      </c>
      <c r="M286" s="232">
        <f>INDEX('Prop. prices'!$I$164:$AB$238,MATCH('Tariff schedule'!$C286,'Prop. prices'!$C$164:$C$238,0),MATCH('Tariff schedule'!M$16,'Prop. prices'!$I$5:$AB$5,0))</f>
        <v>0</v>
      </c>
      <c r="N286" s="232">
        <f>INDEX('Prop. prices'!$I$164:$AB$238,MATCH('Tariff schedule'!$C286,'Prop. prices'!$C$164:$C$238,0),MATCH('Tariff schedule'!N$16,'Prop. prices'!$I$5:$AB$5,0))</f>
        <v>0</v>
      </c>
      <c r="O286" s="232">
        <f>INDEX('Prop. prices'!$I$164:$AB$238,MATCH('Tariff schedule'!$C286,'Prop. prices'!$C$164:$C$238,0),MATCH('Tariff schedule'!O$16,'Prop. prices'!$I$5:$AB$5,0))</f>
        <v>0</v>
      </c>
      <c r="P286" s="232">
        <f>INDEX('Prop. prices'!$I$164:$AB$238,MATCH('Tariff schedule'!$C286,'Prop. prices'!$C$164:$C$238,0),MATCH('Tariff schedule'!P$16,'Prop. prices'!$I$5:$AB$5,0))</f>
        <v>0</v>
      </c>
      <c r="Q286" s="232">
        <f>INDEX('Prop. prices'!$I$164:$AB$238,MATCH('Tariff schedule'!$C286,'Prop. prices'!$C$164:$C$238,0),MATCH('Tariff schedule'!Q$16,'Prop. prices'!$I$5:$AB$5,0))</f>
        <v>0</v>
      </c>
      <c r="R286" s="232">
        <f>INDEX('Prop. prices'!$I$164:$AB$238,MATCH('Tariff schedule'!$C286,'Prop. prices'!$C$164:$C$238,0),MATCH('Tariff schedule'!R$16,'Prop. prices'!$I$5:$AB$5,0))</f>
        <v>0</v>
      </c>
      <c r="S286" s="232">
        <f>INDEX('Prop. prices'!$I$164:$AB$238,MATCH('Tariff schedule'!$C286,'Prop. prices'!$C$164:$C$238,0),MATCH('Tariff schedule'!S$16,'Prop. prices'!$I$5:$AB$5,0))</f>
        <v>0</v>
      </c>
      <c r="T286" s="232">
        <f>INDEX('Prop. prices'!$I$164:$AB$238,MATCH('Tariff schedule'!$C286,'Prop. prices'!$C$164:$C$238,0),MATCH('Tariff schedule'!T$16,'Prop. prices'!$I$5:$AB$5,0))</f>
        <v>0</v>
      </c>
      <c r="U286" s="232">
        <f>INDEX('Prop. prices'!$I$164:$AB$238,MATCH('Tariff schedule'!$C286,'Prop. prices'!$C$164:$C$238,0),MATCH('Tariff schedule'!U$16,'Prop. prices'!$I$5:$AB$5,0))</f>
        <v>0</v>
      </c>
      <c r="V286" s="232">
        <f>INDEX('Prop. prices'!$I$164:$AB$238,MATCH('Tariff schedule'!$C286,'Prop. prices'!$C$164:$C$238,0),MATCH('Tariff schedule'!V$16,'Prop. prices'!$I$5:$AB$5,0))</f>
        <v>0</v>
      </c>
      <c r="W286" s="232">
        <f>INDEX('Prop. prices'!$I$164:$AB$238,MATCH('Tariff schedule'!$C286,'Prop. prices'!$C$164:$C$238,0),MATCH('Tariff schedule'!W$16,'Prop. prices'!$I$5:$AB$5,0))</f>
        <v>0</v>
      </c>
      <c r="X286" s="232">
        <f>INDEX('Prop. prices'!$I$164:$AB$238,MATCH('Tariff schedule'!$C286,'Prop. prices'!$C$164:$C$238,0),MATCH('Tariff schedule'!X$16,'Prop. prices'!$I$5:$AB$5,0))</f>
        <v>0</v>
      </c>
      <c r="Y286" s="232">
        <f>INDEX('Prop. prices'!$I$164:$AB$238,MATCH('Tariff schedule'!$C286,'Prop. prices'!$C$164:$C$238,0),MATCH('Tariff schedule'!Y$16,'Prop. prices'!$I$5:$AB$5,0))</f>
        <v>0</v>
      </c>
      <c r="Z286" s="232">
        <f>INDEX('Prop. prices'!$I$164:$AB$238,MATCH('Tariff schedule'!$C286,'Prop. prices'!$C$164:$C$238,0),MATCH('Tariff schedule'!Z$16,'Prop. prices'!$I$5:$AB$5,0))</f>
        <v>0</v>
      </c>
      <c r="AA286" s="232">
        <f>INDEX('Prop. prices'!$I$164:$AB$238,MATCH('Tariff schedule'!$C286,'Prop. prices'!$C$164:$C$238,0),MATCH('Tariff schedule'!AA$16,'Prop. prices'!$I$5:$AB$5,0))</f>
        <v>0</v>
      </c>
      <c r="AB286" s="232">
        <f>INDEX('Prop. prices'!$I$164:$AB$238,MATCH('Tariff schedule'!$C286,'Prop. prices'!$C$164:$C$238,0),MATCH('Tariff schedule'!AB$16,'Prop. prices'!$I$5:$AB$5,0))</f>
        <v>0</v>
      </c>
      <c r="AC286" s="70"/>
      <c r="AD286" s="19"/>
      <c r="AE286" s="19"/>
      <c r="AF286" s="19"/>
      <c r="AG286" s="19"/>
    </row>
    <row r="287" spans="1:33" hidden="1" outlineLevel="2" x14ac:dyDescent="0.2">
      <c r="A287" s="19"/>
      <c r="B287" s="19"/>
      <c r="C287" s="506">
        <f t="shared" si="94"/>
        <v>0</v>
      </c>
      <c r="D287" s="505">
        <f t="shared" si="94"/>
        <v>0</v>
      </c>
      <c r="E287" s="505">
        <f t="shared" si="94"/>
        <v>0</v>
      </c>
      <c r="F287" s="505">
        <f t="shared" si="94"/>
        <v>0</v>
      </c>
      <c r="G287" s="505">
        <f t="shared" si="94"/>
        <v>0</v>
      </c>
      <c r="H287" s="58"/>
      <c r="I287" s="232">
        <f>INDEX('Prop. prices'!$I$164:$AB$238,MATCH('Tariff schedule'!$C287,'Prop. prices'!$C$164:$C$238,0),MATCH('Tariff schedule'!I$16,'Prop. prices'!$I$5:$AB$5,0))</f>
        <v>0</v>
      </c>
      <c r="J287" s="232">
        <f>INDEX('Prop. prices'!$I$164:$AB$238,MATCH('Tariff schedule'!$C287,'Prop. prices'!$C$164:$C$238,0),MATCH('Tariff schedule'!J$16,'Prop. prices'!$I$5:$AB$5,0))</f>
        <v>0</v>
      </c>
      <c r="K287" s="232">
        <f>INDEX('Prop. prices'!$I$164:$AB$238,MATCH('Tariff schedule'!$C287,'Prop. prices'!$C$164:$C$238,0),MATCH('Tariff schedule'!K$16,'Prop. prices'!$I$5:$AB$5,0))</f>
        <v>0</v>
      </c>
      <c r="L287" s="232">
        <f>INDEX('Prop. prices'!$I$164:$AB$238,MATCH('Tariff schedule'!$C287,'Prop. prices'!$C$164:$C$238,0),MATCH('Tariff schedule'!L$16,'Prop. prices'!$I$5:$AB$5,0))</f>
        <v>0</v>
      </c>
      <c r="M287" s="232">
        <f>INDEX('Prop. prices'!$I$164:$AB$238,MATCH('Tariff schedule'!$C287,'Prop. prices'!$C$164:$C$238,0),MATCH('Tariff schedule'!M$16,'Prop. prices'!$I$5:$AB$5,0))</f>
        <v>0</v>
      </c>
      <c r="N287" s="232">
        <f>INDEX('Prop. prices'!$I$164:$AB$238,MATCH('Tariff schedule'!$C287,'Prop. prices'!$C$164:$C$238,0),MATCH('Tariff schedule'!N$16,'Prop. prices'!$I$5:$AB$5,0))</f>
        <v>0</v>
      </c>
      <c r="O287" s="232">
        <f>INDEX('Prop. prices'!$I$164:$AB$238,MATCH('Tariff schedule'!$C287,'Prop. prices'!$C$164:$C$238,0),MATCH('Tariff schedule'!O$16,'Prop. prices'!$I$5:$AB$5,0))</f>
        <v>0</v>
      </c>
      <c r="P287" s="232">
        <f>INDEX('Prop. prices'!$I$164:$AB$238,MATCH('Tariff schedule'!$C287,'Prop. prices'!$C$164:$C$238,0),MATCH('Tariff schedule'!P$16,'Prop. prices'!$I$5:$AB$5,0))</f>
        <v>0</v>
      </c>
      <c r="Q287" s="232">
        <f>INDEX('Prop. prices'!$I$164:$AB$238,MATCH('Tariff schedule'!$C287,'Prop. prices'!$C$164:$C$238,0),MATCH('Tariff schedule'!Q$16,'Prop. prices'!$I$5:$AB$5,0))</f>
        <v>0</v>
      </c>
      <c r="R287" s="232">
        <f>INDEX('Prop. prices'!$I$164:$AB$238,MATCH('Tariff schedule'!$C287,'Prop. prices'!$C$164:$C$238,0),MATCH('Tariff schedule'!R$16,'Prop. prices'!$I$5:$AB$5,0))</f>
        <v>0</v>
      </c>
      <c r="S287" s="232">
        <f>INDEX('Prop. prices'!$I$164:$AB$238,MATCH('Tariff schedule'!$C287,'Prop. prices'!$C$164:$C$238,0),MATCH('Tariff schedule'!S$16,'Prop. prices'!$I$5:$AB$5,0))</f>
        <v>0</v>
      </c>
      <c r="T287" s="232">
        <f>INDEX('Prop. prices'!$I$164:$AB$238,MATCH('Tariff schedule'!$C287,'Prop. prices'!$C$164:$C$238,0),MATCH('Tariff schedule'!T$16,'Prop. prices'!$I$5:$AB$5,0))</f>
        <v>0</v>
      </c>
      <c r="U287" s="232">
        <f>INDEX('Prop. prices'!$I$164:$AB$238,MATCH('Tariff schedule'!$C287,'Prop. prices'!$C$164:$C$238,0),MATCH('Tariff schedule'!U$16,'Prop. prices'!$I$5:$AB$5,0))</f>
        <v>0</v>
      </c>
      <c r="V287" s="232">
        <f>INDEX('Prop. prices'!$I$164:$AB$238,MATCH('Tariff schedule'!$C287,'Prop. prices'!$C$164:$C$238,0),MATCH('Tariff schedule'!V$16,'Prop. prices'!$I$5:$AB$5,0))</f>
        <v>0</v>
      </c>
      <c r="W287" s="232">
        <f>INDEX('Prop. prices'!$I$164:$AB$238,MATCH('Tariff schedule'!$C287,'Prop. prices'!$C$164:$C$238,0),MATCH('Tariff schedule'!W$16,'Prop. prices'!$I$5:$AB$5,0))</f>
        <v>0</v>
      </c>
      <c r="X287" s="232">
        <f>INDEX('Prop. prices'!$I$164:$AB$238,MATCH('Tariff schedule'!$C287,'Prop. prices'!$C$164:$C$238,0),MATCH('Tariff schedule'!X$16,'Prop. prices'!$I$5:$AB$5,0))</f>
        <v>0</v>
      </c>
      <c r="Y287" s="232">
        <f>INDEX('Prop. prices'!$I$164:$AB$238,MATCH('Tariff schedule'!$C287,'Prop. prices'!$C$164:$C$238,0),MATCH('Tariff schedule'!Y$16,'Prop. prices'!$I$5:$AB$5,0))</f>
        <v>0</v>
      </c>
      <c r="Z287" s="232">
        <f>INDEX('Prop. prices'!$I$164:$AB$238,MATCH('Tariff schedule'!$C287,'Prop. prices'!$C$164:$C$238,0),MATCH('Tariff schedule'!Z$16,'Prop. prices'!$I$5:$AB$5,0))</f>
        <v>0</v>
      </c>
      <c r="AA287" s="232">
        <f>INDEX('Prop. prices'!$I$164:$AB$238,MATCH('Tariff schedule'!$C287,'Prop. prices'!$C$164:$C$238,0),MATCH('Tariff schedule'!AA$16,'Prop. prices'!$I$5:$AB$5,0))</f>
        <v>0</v>
      </c>
      <c r="AB287" s="232">
        <f>INDEX('Prop. prices'!$I$164:$AB$238,MATCH('Tariff schedule'!$C287,'Prop. prices'!$C$164:$C$238,0),MATCH('Tariff schedule'!AB$16,'Prop. prices'!$I$5:$AB$5,0))</f>
        <v>0</v>
      </c>
      <c r="AC287" s="70"/>
      <c r="AD287" s="19"/>
      <c r="AE287" s="19"/>
      <c r="AF287" s="19"/>
      <c r="AG287" s="19"/>
    </row>
    <row r="288" spans="1:33" hidden="1" outlineLevel="2" x14ac:dyDescent="0.2">
      <c r="A288" s="19"/>
      <c r="B288" s="19"/>
      <c r="C288" s="506">
        <f t="shared" si="94"/>
        <v>0</v>
      </c>
      <c r="D288" s="505">
        <f t="shared" si="94"/>
        <v>0</v>
      </c>
      <c r="E288" s="505">
        <f t="shared" si="94"/>
        <v>0</v>
      </c>
      <c r="F288" s="505">
        <f t="shared" si="94"/>
        <v>0</v>
      </c>
      <c r="G288" s="505">
        <f t="shared" si="94"/>
        <v>0</v>
      </c>
      <c r="H288" s="58"/>
      <c r="I288" s="232">
        <f>INDEX('Prop. prices'!$I$164:$AB$238,MATCH('Tariff schedule'!$C288,'Prop. prices'!$C$164:$C$238,0),MATCH('Tariff schedule'!I$16,'Prop. prices'!$I$5:$AB$5,0))</f>
        <v>0</v>
      </c>
      <c r="J288" s="232">
        <f>INDEX('Prop. prices'!$I$164:$AB$238,MATCH('Tariff schedule'!$C288,'Prop. prices'!$C$164:$C$238,0),MATCH('Tariff schedule'!J$16,'Prop. prices'!$I$5:$AB$5,0))</f>
        <v>0</v>
      </c>
      <c r="K288" s="232">
        <f>INDEX('Prop. prices'!$I$164:$AB$238,MATCH('Tariff schedule'!$C288,'Prop. prices'!$C$164:$C$238,0),MATCH('Tariff schedule'!K$16,'Prop. prices'!$I$5:$AB$5,0))</f>
        <v>0</v>
      </c>
      <c r="L288" s="232">
        <f>INDEX('Prop. prices'!$I$164:$AB$238,MATCH('Tariff schedule'!$C288,'Prop. prices'!$C$164:$C$238,0),MATCH('Tariff schedule'!L$16,'Prop. prices'!$I$5:$AB$5,0))</f>
        <v>0</v>
      </c>
      <c r="M288" s="232">
        <f>INDEX('Prop. prices'!$I$164:$AB$238,MATCH('Tariff schedule'!$C288,'Prop. prices'!$C$164:$C$238,0),MATCH('Tariff schedule'!M$16,'Prop. prices'!$I$5:$AB$5,0))</f>
        <v>0</v>
      </c>
      <c r="N288" s="232">
        <f>INDEX('Prop. prices'!$I$164:$AB$238,MATCH('Tariff schedule'!$C288,'Prop. prices'!$C$164:$C$238,0),MATCH('Tariff schedule'!N$16,'Prop. prices'!$I$5:$AB$5,0))</f>
        <v>0</v>
      </c>
      <c r="O288" s="232">
        <f>INDEX('Prop. prices'!$I$164:$AB$238,MATCH('Tariff schedule'!$C288,'Prop. prices'!$C$164:$C$238,0),MATCH('Tariff schedule'!O$16,'Prop. prices'!$I$5:$AB$5,0))</f>
        <v>0</v>
      </c>
      <c r="P288" s="232">
        <f>INDEX('Prop. prices'!$I$164:$AB$238,MATCH('Tariff schedule'!$C288,'Prop. prices'!$C$164:$C$238,0),MATCH('Tariff schedule'!P$16,'Prop. prices'!$I$5:$AB$5,0))</f>
        <v>0</v>
      </c>
      <c r="Q288" s="232">
        <f>INDEX('Prop. prices'!$I$164:$AB$238,MATCH('Tariff schedule'!$C288,'Prop. prices'!$C$164:$C$238,0),MATCH('Tariff schedule'!Q$16,'Prop. prices'!$I$5:$AB$5,0))</f>
        <v>0</v>
      </c>
      <c r="R288" s="232">
        <f>INDEX('Prop. prices'!$I$164:$AB$238,MATCH('Tariff schedule'!$C288,'Prop. prices'!$C$164:$C$238,0),MATCH('Tariff schedule'!R$16,'Prop. prices'!$I$5:$AB$5,0))</f>
        <v>0</v>
      </c>
      <c r="S288" s="232">
        <f>INDEX('Prop. prices'!$I$164:$AB$238,MATCH('Tariff schedule'!$C288,'Prop. prices'!$C$164:$C$238,0),MATCH('Tariff schedule'!S$16,'Prop. prices'!$I$5:$AB$5,0))</f>
        <v>0</v>
      </c>
      <c r="T288" s="232">
        <f>INDEX('Prop. prices'!$I$164:$AB$238,MATCH('Tariff schedule'!$C288,'Prop. prices'!$C$164:$C$238,0),MATCH('Tariff schedule'!T$16,'Prop. prices'!$I$5:$AB$5,0))</f>
        <v>0</v>
      </c>
      <c r="U288" s="232">
        <f>INDEX('Prop. prices'!$I$164:$AB$238,MATCH('Tariff schedule'!$C288,'Prop. prices'!$C$164:$C$238,0),MATCH('Tariff schedule'!U$16,'Prop. prices'!$I$5:$AB$5,0))</f>
        <v>0</v>
      </c>
      <c r="V288" s="232">
        <f>INDEX('Prop. prices'!$I$164:$AB$238,MATCH('Tariff schedule'!$C288,'Prop. prices'!$C$164:$C$238,0),MATCH('Tariff schedule'!V$16,'Prop. prices'!$I$5:$AB$5,0))</f>
        <v>0</v>
      </c>
      <c r="W288" s="232">
        <f>INDEX('Prop. prices'!$I$164:$AB$238,MATCH('Tariff schedule'!$C288,'Prop. prices'!$C$164:$C$238,0),MATCH('Tariff schedule'!W$16,'Prop. prices'!$I$5:$AB$5,0))</f>
        <v>0</v>
      </c>
      <c r="X288" s="232">
        <f>INDEX('Prop. prices'!$I$164:$AB$238,MATCH('Tariff schedule'!$C288,'Prop. prices'!$C$164:$C$238,0),MATCH('Tariff schedule'!X$16,'Prop. prices'!$I$5:$AB$5,0))</f>
        <v>0</v>
      </c>
      <c r="Y288" s="232">
        <f>INDEX('Prop. prices'!$I$164:$AB$238,MATCH('Tariff schedule'!$C288,'Prop. prices'!$C$164:$C$238,0),MATCH('Tariff schedule'!Y$16,'Prop. prices'!$I$5:$AB$5,0))</f>
        <v>0</v>
      </c>
      <c r="Z288" s="232">
        <f>INDEX('Prop. prices'!$I$164:$AB$238,MATCH('Tariff schedule'!$C288,'Prop. prices'!$C$164:$C$238,0),MATCH('Tariff schedule'!Z$16,'Prop. prices'!$I$5:$AB$5,0))</f>
        <v>0</v>
      </c>
      <c r="AA288" s="232">
        <f>INDEX('Prop. prices'!$I$164:$AB$238,MATCH('Tariff schedule'!$C288,'Prop. prices'!$C$164:$C$238,0),MATCH('Tariff schedule'!AA$16,'Prop. prices'!$I$5:$AB$5,0))</f>
        <v>0</v>
      </c>
      <c r="AB288" s="232">
        <f>INDEX('Prop. prices'!$I$164:$AB$238,MATCH('Tariff schedule'!$C288,'Prop. prices'!$C$164:$C$238,0),MATCH('Tariff schedule'!AB$16,'Prop. prices'!$I$5:$AB$5,0))</f>
        <v>0</v>
      </c>
      <c r="AC288" s="70"/>
      <c r="AD288" s="19"/>
      <c r="AE288" s="19"/>
      <c r="AF288" s="19"/>
      <c r="AG288" s="19"/>
    </row>
    <row r="289" spans="1:33" hidden="1" outlineLevel="2" x14ac:dyDescent="0.2">
      <c r="A289" s="19"/>
      <c r="B289" s="19"/>
      <c r="C289" s="506">
        <f t="shared" si="94"/>
        <v>0</v>
      </c>
      <c r="D289" s="505">
        <f t="shared" si="94"/>
        <v>0</v>
      </c>
      <c r="E289" s="505">
        <f t="shared" si="94"/>
        <v>0</v>
      </c>
      <c r="F289" s="505">
        <f t="shared" si="94"/>
        <v>0</v>
      </c>
      <c r="G289" s="505">
        <f t="shared" si="94"/>
        <v>0</v>
      </c>
      <c r="H289" s="58"/>
      <c r="I289" s="232">
        <f>INDEX('Prop. prices'!$I$164:$AB$238,MATCH('Tariff schedule'!$C289,'Prop. prices'!$C$164:$C$238,0),MATCH('Tariff schedule'!I$16,'Prop. prices'!$I$5:$AB$5,0))</f>
        <v>0</v>
      </c>
      <c r="J289" s="232">
        <f>INDEX('Prop. prices'!$I$164:$AB$238,MATCH('Tariff schedule'!$C289,'Prop. prices'!$C$164:$C$238,0),MATCH('Tariff schedule'!J$16,'Prop. prices'!$I$5:$AB$5,0))</f>
        <v>0</v>
      </c>
      <c r="K289" s="232">
        <f>INDEX('Prop. prices'!$I$164:$AB$238,MATCH('Tariff schedule'!$C289,'Prop. prices'!$C$164:$C$238,0),MATCH('Tariff schedule'!K$16,'Prop. prices'!$I$5:$AB$5,0))</f>
        <v>0</v>
      </c>
      <c r="L289" s="232">
        <f>INDEX('Prop. prices'!$I$164:$AB$238,MATCH('Tariff schedule'!$C289,'Prop. prices'!$C$164:$C$238,0),MATCH('Tariff schedule'!L$16,'Prop. prices'!$I$5:$AB$5,0))</f>
        <v>0</v>
      </c>
      <c r="M289" s="232">
        <f>INDEX('Prop. prices'!$I$164:$AB$238,MATCH('Tariff schedule'!$C289,'Prop. prices'!$C$164:$C$238,0),MATCH('Tariff schedule'!M$16,'Prop. prices'!$I$5:$AB$5,0))</f>
        <v>0</v>
      </c>
      <c r="N289" s="232">
        <f>INDEX('Prop. prices'!$I$164:$AB$238,MATCH('Tariff schedule'!$C289,'Prop. prices'!$C$164:$C$238,0),MATCH('Tariff schedule'!N$16,'Prop. prices'!$I$5:$AB$5,0))</f>
        <v>0</v>
      </c>
      <c r="O289" s="232">
        <f>INDEX('Prop. prices'!$I$164:$AB$238,MATCH('Tariff schedule'!$C289,'Prop. prices'!$C$164:$C$238,0),MATCH('Tariff schedule'!O$16,'Prop. prices'!$I$5:$AB$5,0))</f>
        <v>0</v>
      </c>
      <c r="P289" s="232">
        <f>INDEX('Prop. prices'!$I$164:$AB$238,MATCH('Tariff schedule'!$C289,'Prop. prices'!$C$164:$C$238,0),MATCH('Tariff schedule'!P$16,'Prop. prices'!$I$5:$AB$5,0))</f>
        <v>0</v>
      </c>
      <c r="Q289" s="232">
        <f>INDEX('Prop. prices'!$I$164:$AB$238,MATCH('Tariff schedule'!$C289,'Prop. prices'!$C$164:$C$238,0),MATCH('Tariff schedule'!Q$16,'Prop. prices'!$I$5:$AB$5,0))</f>
        <v>0</v>
      </c>
      <c r="R289" s="232">
        <f>INDEX('Prop. prices'!$I$164:$AB$238,MATCH('Tariff schedule'!$C289,'Prop. prices'!$C$164:$C$238,0),MATCH('Tariff schedule'!R$16,'Prop. prices'!$I$5:$AB$5,0))</f>
        <v>0</v>
      </c>
      <c r="S289" s="232">
        <f>INDEX('Prop. prices'!$I$164:$AB$238,MATCH('Tariff schedule'!$C289,'Prop. prices'!$C$164:$C$238,0),MATCH('Tariff schedule'!S$16,'Prop. prices'!$I$5:$AB$5,0))</f>
        <v>0</v>
      </c>
      <c r="T289" s="232">
        <f>INDEX('Prop. prices'!$I$164:$AB$238,MATCH('Tariff schedule'!$C289,'Prop. prices'!$C$164:$C$238,0),MATCH('Tariff schedule'!T$16,'Prop. prices'!$I$5:$AB$5,0))</f>
        <v>0</v>
      </c>
      <c r="U289" s="232">
        <f>INDEX('Prop. prices'!$I$164:$AB$238,MATCH('Tariff schedule'!$C289,'Prop. prices'!$C$164:$C$238,0),MATCH('Tariff schedule'!U$16,'Prop. prices'!$I$5:$AB$5,0))</f>
        <v>0</v>
      </c>
      <c r="V289" s="232">
        <f>INDEX('Prop. prices'!$I$164:$AB$238,MATCH('Tariff schedule'!$C289,'Prop. prices'!$C$164:$C$238,0),MATCH('Tariff schedule'!V$16,'Prop. prices'!$I$5:$AB$5,0))</f>
        <v>0</v>
      </c>
      <c r="W289" s="232">
        <f>INDEX('Prop. prices'!$I$164:$AB$238,MATCH('Tariff schedule'!$C289,'Prop. prices'!$C$164:$C$238,0),MATCH('Tariff schedule'!W$16,'Prop. prices'!$I$5:$AB$5,0))</f>
        <v>0</v>
      </c>
      <c r="X289" s="232">
        <f>INDEX('Prop. prices'!$I$164:$AB$238,MATCH('Tariff schedule'!$C289,'Prop. prices'!$C$164:$C$238,0),MATCH('Tariff schedule'!X$16,'Prop. prices'!$I$5:$AB$5,0))</f>
        <v>0</v>
      </c>
      <c r="Y289" s="232">
        <f>INDEX('Prop. prices'!$I$164:$AB$238,MATCH('Tariff schedule'!$C289,'Prop. prices'!$C$164:$C$238,0),MATCH('Tariff schedule'!Y$16,'Prop. prices'!$I$5:$AB$5,0))</f>
        <v>0</v>
      </c>
      <c r="Z289" s="232">
        <f>INDEX('Prop. prices'!$I$164:$AB$238,MATCH('Tariff schedule'!$C289,'Prop. prices'!$C$164:$C$238,0),MATCH('Tariff schedule'!Z$16,'Prop. prices'!$I$5:$AB$5,0))</f>
        <v>0</v>
      </c>
      <c r="AA289" s="232">
        <f>INDEX('Prop. prices'!$I$164:$AB$238,MATCH('Tariff schedule'!$C289,'Prop. prices'!$C$164:$C$238,0),MATCH('Tariff schedule'!AA$16,'Prop. prices'!$I$5:$AB$5,0))</f>
        <v>0</v>
      </c>
      <c r="AB289" s="232">
        <f>INDEX('Prop. prices'!$I$164:$AB$238,MATCH('Tariff schedule'!$C289,'Prop. prices'!$C$164:$C$238,0),MATCH('Tariff schedule'!AB$16,'Prop. prices'!$I$5:$AB$5,0))</f>
        <v>0</v>
      </c>
      <c r="AC289" s="70"/>
      <c r="AD289" s="19"/>
      <c r="AE289" s="19"/>
      <c r="AF289" s="19"/>
      <c r="AG289" s="19"/>
    </row>
    <row r="290" spans="1:33" hidden="1" outlineLevel="2" x14ac:dyDescent="0.2">
      <c r="A290" s="19"/>
      <c r="B290" s="19"/>
      <c r="C290" s="506">
        <f t="shared" si="94"/>
        <v>0</v>
      </c>
      <c r="D290" s="505">
        <f t="shared" si="94"/>
        <v>0</v>
      </c>
      <c r="E290" s="505">
        <f t="shared" si="94"/>
        <v>0</v>
      </c>
      <c r="F290" s="505">
        <f t="shared" si="94"/>
        <v>0</v>
      </c>
      <c r="G290" s="505">
        <f t="shared" si="94"/>
        <v>0</v>
      </c>
      <c r="H290" s="58"/>
      <c r="I290" s="232">
        <f>INDEX('Prop. prices'!$I$164:$AB$238,MATCH('Tariff schedule'!$C290,'Prop. prices'!$C$164:$C$238,0),MATCH('Tariff schedule'!I$16,'Prop. prices'!$I$5:$AB$5,0))</f>
        <v>0</v>
      </c>
      <c r="J290" s="232">
        <f>INDEX('Prop. prices'!$I$164:$AB$238,MATCH('Tariff schedule'!$C290,'Prop. prices'!$C$164:$C$238,0),MATCH('Tariff schedule'!J$16,'Prop. prices'!$I$5:$AB$5,0))</f>
        <v>0</v>
      </c>
      <c r="K290" s="232">
        <f>INDEX('Prop. prices'!$I$164:$AB$238,MATCH('Tariff schedule'!$C290,'Prop. prices'!$C$164:$C$238,0),MATCH('Tariff schedule'!K$16,'Prop. prices'!$I$5:$AB$5,0))</f>
        <v>0</v>
      </c>
      <c r="L290" s="232">
        <f>INDEX('Prop. prices'!$I$164:$AB$238,MATCH('Tariff schedule'!$C290,'Prop. prices'!$C$164:$C$238,0),MATCH('Tariff schedule'!L$16,'Prop. prices'!$I$5:$AB$5,0))</f>
        <v>0</v>
      </c>
      <c r="M290" s="232">
        <f>INDEX('Prop. prices'!$I$164:$AB$238,MATCH('Tariff schedule'!$C290,'Prop. prices'!$C$164:$C$238,0),MATCH('Tariff schedule'!M$16,'Prop. prices'!$I$5:$AB$5,0))</f>
        <v>0</v>
      </c>
      <c r="N290" s="232">
        <f>INDEX('Prop. prices'!$I$164:$AB$238,MATCH('Tariff schedule'!$C290,'Prop. prices'!$C$164:$C$238,0),MATCH('Tariff schedule'!N$16,'Prop. prices'!$I$5:$AB$5,0))</f>
        <v>0</v>
      </c>
      <c r="O290" s="232">
        <f>INDEX('Prop. prices'!$I$164:$AB$238,MATCH('Tariff schedule'!$C290,'Prop. prices'!$C$164:$C$238,0),MATCH('Tariff schedule'!O$16,'Prop. prices'!$I$5:$AB$5,0))</f>
        <v>0</v>
      </c>
      <c r="P290" s="232">
        <f>INDEX('Prop. prices'!$I$164:$AB$238,MATCH('Tariff schedule'!$C290,'Prop. prices'!$C$164:$C$238,0),MATCH('Tariff schedule'!P$16,'Prop. prices'!$I$5:$AB$5,0))</f>
        <v>0</v>
      </c>
      <c r="Q290" s="232">
        <f>INDEX('Prop. prices'!$I$164:$AB$238,MATCH('Tariff schedule'!$C290,'Prop. prices'!$C$164:$C$238,0),MATCH('Tariff schedule'!Q$16,'Prop. prices'!$I$5:$AB$5,0))</f>
        <v>0</v>
      </c>
      <c r="R290" s="232">
        <f>INDEX('Prop. prices'!$I$164:$AB$238,MATCH('Tariff schedule'!$C290,'Prop. prices'!$C$164:$C$238,0),MATCH('Tariff schedule'!R$16,'Prop. prices'!$I$5:$AB$5,0))</f>
        <v>0</v>
      </c>
      <c r="S290" s="232">
        <f>INDEX('Prop. prices'!$I$164:$AB$238,MATCH('Tariff schedule'!$C290,'Prop. prices'!$C$164:$C$238,0),MATCH('Tariff schedule'!S$16,'Prop. prices'!$I$5:$AB$5,0))</f>
        <v>0</v>
      </c>
      <c r="T290" s="232">
        <f>INDEX('Prop. prices'!$I$164:$AB$238,MATCH('Tariff schedule'!$C290,'Prop. prices'!$C$164:$C$238,0),MATCH('Tariff schedule'!T$16,'Prop. prices'!$I$5:$AB$5,0))</f>
        <v>0</v>
      </c>
      <c r="U290" s="232">
        <f>INDEX('Prop. prices'!$I$164:$AB$238,MATCH('Tariff schedule'!$C290,'Prop. prices'!$C$164:$C$238,0),MATCH('Tariff schedule'!U$16,'Prop. prices'!$I$5:$AB$5,0))</f>
        <v>0</v>
      </c>
      <c r="V290" s="232">
        <f>INDEX('Prop. prices'!$I$164:$AB$238,MATCH('Tariff schedule'!$C290,'Prop. prices'!$C$164:$C$238,0),MATCH('Tariff schedule'!V$16,'Prop. prices'!$I$5:$AB$5,0))</f>
        <v>0</v>
      </c>
      <c r="W290" s="232">
        <f>INDEX('Prop. prices'!$I$164:$AB$238,MATCH('Tariff schedule'!$C290,'Prop. prices'!$C$164:$C$238,0),MATCH('Tariff schedule'!W$16,'Prop. prices'!$I$5:$AB$5,0))</f>
        <v>0</v>
      </c>
      <c r="X290" s="232">
        <f>INDEX('Prop. prices'!$I$164:$AB$238,MATCH('Tariff schedule'!$C290,'Prop. prices'!$C$164:$C$238,0),MATCH('Tariff schedule'!X$16,'Prop. prices'!$I$5:$AB$5,0))</f>
        <v>0</v>
      </c>
      <c r="Y290" s="232">
        <f>INDEX('Prop. prices'!$I$164:$AB$238,MATCH('Tariff schedule'!$C290,'Prop. prices'!$C$164:$C$238,0),MATCH('Tariff schedule'!Y$16,'Prop. prices'!$I$5:$AB$5,0))</f>
        <v>0</v>
      </c>
      <c r="Z290" s="232">
        <f>INDEX('Prop. prices'!$I$164:$AB$238,MATCH('Tariff schedule'!$C290,'Prop. prices'!$C$164:$C$238,0),MATCH('Tariff schedule'!Z$16,'Prop. prices'!$I$5:$AB$5,0))</f>
        <v>0</v>
      </c>
      <c r="AA290" s="232">
        <f>INDEX('Prop. prices'!$I$164:$AB$238,MATCH('Tariff schedule'!$C290,'Prop. prices'!$C$164:$C$238,0),MATCH('Tariff schedule'!AA$16,'Prop. prices'!$I$5:$AB$5,0))</f>
        <v>0</v>
      </c>
      <c r="AB290" s="232">
        <f>INDEX('Prop. prices'!$I$164:$AB$238,MATCH('Tariff schedule'!$C290,'Prop. prices'!$C$164:$C$238,0),MATCH('Tariff schedule'!AB$16,'Prop. prices'!$I$5:$AB$5,0))</f>
        <v>0</v>
      </c>
      <c r="AC290" s="70"/>
      <c r="AD290" s="19"/>
      <c r="AE290" s="19"/>
      <c r="AF290" s="19"/>
      <c r="AG290" s="19"/>
    </row>
    <row r="291" spans="1:33" hidden="1" outlineLevel="2" x14ac:dyDescent="0.2">
      <c r="A291" s="19"/>
      <c r="B291" s="19"/>
      <c r="C291" s="506">
        <f t="shared" si="94"/>
        <v>0</v>
      </c>
      <c r="D291" s="505">
        <f t="shared" si="94"/>
        <v>0</v>
      </c>
      <c r="E291" s="505">
        <f t="shared" si="94"/>
        <v>0</v>
      </c>
      <c r="F291" s="505">
        <f t="shared" si="94"/>
        <v>0</v>
      </c>
      <c r="G291" s="505">
        <f t="shared" si="94"/>
        <v>0</v>
      </c>
      <c r="H291" s="58"/>
      <c r="I291" s="232">
        <f>INDEX('Prop. prices'!$I$164:$AB$238,MATCH('Tariff schedule'!$C291,'Prop. prices'!$C$164:$C$238,0),MATCH('Tariff schedule'!I$16,'Prop. prices'!$I$5:$AB$5,0))</f>
        <v>0</v>
      </c>
      <c r="J291" s="232">
        <f>INDEX('Prop. prices'!$I$164:$AB$238,MATCH('Tariff schedule'!$C291,'Prop. prices'!$C$164:$C$238,0),MATCH('Tariff schedule'!J$16,'Prop. prices'!$I$5:$AB$5,0))</f>
        <v>0</v>
      </c>
      <c r="K291" s="232">
        <f>INDEX('Prop. prices'!$I$164:$AB$238,MATCH('Tariff schedule'!$C291,'Prop. prices'!$C$164:$C$238,0),MATCH('Tariff schedule'!K$16,'Prop. prices'!$I$5:$AB$5,0))</f>
        <v>0</v>
      </c>
      <c r="L291" s="232">
        <f>INDEX('Prop. prices'!$I$164:$AB$238,MATCH('Tariff schedule'!$C291,'Prop. prices'!$C$164:$C$238,0),MATCH('Tariff schedule'!L$16,'Prop. prices'!$I$5:$AB$5,0))</f>
        <v>0</v>
      </c>
      <c r="M291" s="232">
        <f>INDEX('Prop. prices'!$I$164:$AB$238,MATCH('Tariff schedule'!$C291,'Prop. prices'!$C$164:$C$238,0),MATCH('Tariff schedule'!M$16,'Prop. prices'!$I$5:$AB$5,0))</f>
        <v>0</v>
      </c>
      <c r="N291" s="232">
        <f>INDEX('Prop. prices'!$I$164:$AB$238,MATCH('Tariff schedule'!$C291,'Prop. prices'!$C$164:$C$238,0),MATCH('Tariff schedule'!N$16,'Prop. prices'!$I$5:$AB$5,0))</f>
        <v>0</v>
      </c>
      <c r="O291" s="232">
        <f>INDEX('Prop. prices'!$I$164:$AB$238,MATCH('Tariff schedule'!$C291,'Prop. prices'!$C$164:$C$238,0),MATCH('Tariff schedule'!O$16,'Prop. prices'!$I$5:$AB$5,0))</f>
        <v>0</v>
      </c>
      <c r="P291" s="232">
        <f>INDEX('Prop. prices'!$I$164:$AB$238,MATCH('Tariff schedule'!$C291,'Prop. prices'!$C$164:$C$238,0),MATCH('Tariff schedule'!P$16,'Prop. prices'!$I$5:$AB$5,0))</f>
        <v>0</v>
      </c>
      <c r="Q291" s="232">
        <f>INDEX('Prop. prices'!$I$164:$AB$238,MATCH('Tariff schedule'!$C291,'Prop. prices'!$C$164:$C$238,0),MATCH('Tariff schedule'!Q$16,'Prop. prices'!$I$5:$AB$5,0))</f>
        <v>0</v>
      </c>
      <c r="R291" s="232">
        <f>INDEX('Prop. prices'!$I$164:$AB$238,MATCH('Tariff schedule'!$C291,'Prop. prices'!$C$164:$C$238,0),MATCH('Tariff schedule'!R$16,'Prop. prices'!$I$5:$AB$5,0))</f>
        <v>0</v>
      </c>
      <c r="S291" s="232">
        <f>INDEX('Prop. prices'!$I$164:$AB$238,MATCH('Tariff schedule'!$C291,'Prop. prices'!$C$164:$C$238,0),MATCH('Tariff schedule'!S$16,'Prop. prices'!$I$5:$AB$5,0))</f>
        <v>0</v>
      </c>
      <c r="T291" s="232">
        <f>INDEX('Prop. prices'!$I$164:$AB$238,MATCH('Tariff schedule'!$C291,'Prop. prices'!$C$164:$C$238,0),MATCH('Tariff schedule'!T$16,'Prop. prices'!$I$5:$AB$5,0))</f>
        <v>0</v>
      </c>
      <c r="U291" s="232">
        <f>INDEX('Prop. prices'!$I$164:$AB$238,MATCH('Tariff schedule'!$C291,'Prop. prices'!$C$164:$C$238,0),MATCH('Tariff schedule'!U$16,'Prop. prices'!$I$5:$AB$5,0))</f>
        <v>0</v>
      </c>
      <c r="V291" s="232">
        <f>INDEX('Prop. prices'!$I$164:$AB$238,MATCH('Tariff schedule'!$C291,'Prop. prices'!$C$164:$C$238,0),MATCH('Tariff schedule'!V$16,'Prop. prices'!$I$5:$AB$5,0))</f>
        <v>0</v>
      </c>
      <c r="W291" s="232">
        <f>INDEX('Prop. prices'!$I$164:$AB$238,MATCH('Tariff schedule'!$C291,'Prop. prices'!$C$164:$C$238,0),MATCH('Tariff schedule'!W$16,'Prop. prices'!$I$5:$AB$5,0))</f>
        <v>0</v>
      </c>
      <c r="X291" s="232">
        <f>INDEX('Prop. prices'!$I$164:$AB$238,MATCH('Tariff schedule'!$C291,'Prop. prices'!$C$164:$C$238,0),MATCH('Tariff schedule'!X$16,'Prop. prices'!$I$5:$AB$5,0))</f>
        <v>0</v>
      </c>
      <c r="Y291" s="232">
        <f>INDEX('Prop. prices'!$I$164:$AB$238,MATCH('Tariff schedule'!$C291,'Prop. prices'!$C$164:$C$238,0),MATCH('Tariff schedule'!Y$16,'Prop. prices'!$I$5:$AB$5,0))</f>
        <v>0</v>
      </c>
      <c r="Z291" s="232">
        <f>INDEX('Prop. prices'!$I$164:$AB$238,MATCH('Tariff schedule'!$C291,'Prop. prices'!$C$164:$C$238,0),MATCH('Tariff schedule'!Z$16,'Prop. prices'!$I$5:$AB$5,0))</f>
        <v>0</v>
      </c>
      <c r="AA291" s="232">
        <f>INDEX('Prop. prices'!$I$164:$AB$238,MATCH('Tariff schedule'!$C291,'Prop. prices'!$C$164:$C$238,0),MATCH('Tariff schedule'!AA$16,'Prop. prices'!$I$5:$AB$5,0))</f>
        <v>0</v>
      </c>
      <c r="AB291" s="232">
        <f>INDEX('Prop. prices'!$I$164:$AB$238,MATCH('Tariff schedule'!$C291,'Prop. prices'!$C$164:$C$238,0),MATCH('Tariff schedule'!AB$16,'Prop. prices'!$I$5:$AB$5,0))</f>
        <v>0</v>
      </c>
      <c r="AC291" s="70"/>
      <c r="AD291" s="19"/>
      <c r="AE291" s="19"/>
      <c r="AF291" s="19"/>
      <c r="AG291" s="19"/>
    </row>
    <row r="292" spans="1:33" hidden="1" outlineLevel="2" x14ac:dyDescent="0.2">
      <c r="A292" s="19"/>
      <c r="B292" s="19"/>
      <c r="C292" s="506">
        <f t="shared" si="94"/>
        <v>0</v>
      </c>
      <c r="D292" s="505">
        <f t="shared" si="94"/>
        <v>0</v>
      </c>
      <c r="E292" s="505">
        <f t="shared" si="94"/>
        <v>0</v>
      </c>
      <c r="F292" s="505">
        <f t="shared" si="94"/>
        <v>0</v>
      </c>
      <c r="G292" s="505">
        <f t="shared" si="94"/>
        <v>0</v>
      </c>
      <c r="H292" s="58"/>
      <c r="I292" s="232">
        <f>INDEX('Prop. prices'!$I$164:$AB$238,MATCH('Tariff schedule'!$C292,'Prop. prices'!$C$164:$C$238,0),MATCH('Tariff schedule'!I$16,'Prop. prices'!$I$5:$AB$5,0))</f>
        <v>0</v>
      </c>
      <c r="J292" s="232">
        <f>INDEX('Prop. prices'!$I$164:$AB$238,MATCH('Tariff schedule'!$C292,'Prop. prices'!$C$164:$C$238,0),MATCH('Tariff schedule'!J$16,'Prop. prices'!$I$5:$AB$5,0))</f>
        <v>0</v>
      </c>
      <c r="K292" s="232">
        <f>INDEX('Prop. prices'!$I$164:$AB$238,MATCH('Tariff schedule'!$C292,'Prop. prices'!$C$164:$C$238,0),MATCH('Tariff schedule'!K$16,'Prop. prices'!$I$5:$AB$5,0))</f>
        <v>0</v>
      </c>
      <c r="L292" s="232">
        <f>INDEX('Prop. prices'!$I$164:$AB$238,MATCH('Tariff schedule'!$C292,'Prop. prices'!$C$164:$C$238,0),MATCH('Tariff schedule'!L$16,'Prop. prices'!$I$5:$AB$5,0))</f>
        <v>0</v>
      </c>
      <c r="M292" s="232">
        <f>INDEX('Prop. prices'!$I$164:$AB$238,MATCH('Tariff schedule'!$C292,'Prop. prices'!$C$164:$C$238,0),MATCH('Tariff schedule'!M$16,'Prop. prices'!$I$5:$AB$5,0))</f>
        <v>0</v>
      </c>
      <c r="N292" s="232">
        <f>INDEX('Prop. prices'!$I$164:$AB$238,MATCH('Tariff schedule'!$C292,'Prop. prices'!$C$164:$C$238,0),MATCH('Tariff schedule'!N$16,'Prop. prices'!$I$5:$AB$5,0))</f>
        <v>0</v>
      </c>
      <c r="O292" s="232">
        <f>INDEX('Prop. prices'!$I$164:$AB$238,MATCH('Tariff schedule'!$C292,'Prop. prices'!$C$164:$C$238,0),MATCH('Tariff schedule'!O$16,'Prop. prices'!$I$5:$AB$5,0))</f>
        <v>0</v>
      </c>
      <c r="P292" s="232">
        <f>INDEX('Prop. prices'!$I$164:$AB$238,MATCH('Tariff schedule'!$C292,'Prop. prices'!$C$164:$C$238,0),MATCH('Tariff schedule'!P$16,'Prop. prices'!$I$5:$AB$5,0))</f>
        <v>0</v>
      </c>
      <c r="Q292" s="232">
        <f>INDEX('Prop. prices'!$I$164:$AB$238,MATCH('Tariff schedule'!$C292,'Prop. prices'!$C$164:$C$238,0),MATCH('Tariff schedule'!Q$16,'Prop. prices'!$I$5:$AB$5,0))</f>
        <v>0</v>
      </c>
      <c r="R292" s="232">
        <f>INDEX('Prop. prices'!$I$164:$AB$238,MATCH('Tariff schedule'!$C292,'Prop. prices'!$C$164:$C$238,0),MATCH('Tariff schedule'!R$16,'Prop. prices'!$I$5:$AB$5,0))</f>
        <v>0</v>
      </c>
      <c r="S292" s="232">
        <f>INDEX('Prop. prices'!$I$164:$AB$238,MATCH('Tariff schedule'!$C292,'Prop. prices'!$C$164:$C$238,0),MATCH('Tariff schedule'!S$16,'Prop. prices'!$I$5:$AB$5,0))</f>
        <v>0</v>
      </c>
      <c r="T292" s="232">
        <f>INDEX('Prop. prices'!$I$164:$AB$238,MATCH('Tariff schedule'!$C292,'Prop. prices'!$C$164:$C$238,0),MATCH('Tariff schedule'!T$16,'Prop. prices'!$I$5:$AB$5,0))</f>
        <v>0</v>
      </c>
      <c r="U292" s="232">
        <f>INDEX('Prop. prices'!$I$164:$AB$238,MATCH('Tariff schedule'!$C292,'Prop. prices'!$C$164:$C$238,0),MATCH('Tariff schedule'!U$16,'Prop. prices'!$I$5:$AB$5,0))</f>
        <v>0</v>
      </c>
      <c r="V292" s="232">
        <f>INDEX('Prop. prices'!$I$164:$AB$238,MATCH('Tariff schedule'!$C292,'Prop. prices'!$C$164:$C$238,0),MATCH('Tariff schedule'!V$16,'Prop. prices'!$I$5:$AB$5,0))</f>
        <v>0</v>
      </c>
      <c r="W292" s="232">
        <f>INDEX('Prop. prices'!$I$164:$AB$238,MATCH('Tariff schedule'!$C292,'Prop. prices'!$C$164:$C$238,0),MATCH('Tariff schedule'!W$16,'Prop. prices'!$I$5:$AB$5,0))</f>
        <v>0</v>
      </c>
      <c r="X292" s="232">
        <f>INDEX('Prop. prices'!$I$164:$AB$238,MATCH('Tariff schedule'!$C292,'Prop. prices'!$C$164:$C$238,0),MATCH('Tariff schedule'!X$16,'Prop. prices'!$I$5:$AB$5,0))</f>
        <v>0</v>
      </c>
      <c r="Y292" s="232">
        <f>INDEX('Prop. prices'!$I$164:$AB$238,MATCH('Tariff schedule'!$C292,'Prop. prices'!$C$164:$C$238,0),MATCH('Tariff schedule'!Y$16,'Prop. prices'!$I$5:$AB$5,0))</f>
        <v>0</v>
      </c>
      <c r="Z292" s="232">
        <f>INDEX('Prop. prices'!$I$164:$AB$238,MATCH('Tariff schedule'!$C292,'Prop. prices'!$C$164:$C$238,0),MATCH('Tariff schedule'!Z$16,'Prop. prices'!$I$5:$AB$5,0))</f>
        <v>0</v>
      </c>
      <c r="AA292" s="232">
        <f>INDEX('Prop. prices'!$I$164:$AB$238,MATCH('Tariff schedule'!$C292,'Prop. prices'!$C$164:$C$238,0),MATCH('Tariff schedule'!AA$16,'Prop. prices'!$I$5:$AB$5,0))</f>
        <v>0</v>
      </c>
      <c r="AB292" s="232">
        <f>INDEX('Prop. prices'!$I$164:$AB$238,MATCH('Tariff schedule'!$C292,'Prop. prices'!$C$164:$C$238,0),MATCH('Tariff schedule'!AB$16,'Prop. prices'!$I$5:$AB$5,0))</f>
        <v>0</v>
      </c>
      <c r="AC292" s="70"/>
      <c r="AD292" s="19"/>
      <c r="AE292" s="19"/>
      <c r="AF292" s="19"/>
      <c r="AG292" s="19"/>
    </row>
    <row r="293" spans="1:33" hidden="1" outlineLevel="2" x14ac:dyDescent="0.2">
      <c r="A293" s="19"/>
      <c r="B293" s="19"/>
      <c r="C293" s="506">
        <f t="shared" ref="C293:G302" si="95">C59</f>
        <v>0</v>
      </c>
      <c r="D293" s="505">
        <f t="shared" si="95"/>
        <v>0</v>
      </c>
      <c r="E293" s="505">
        <f t="shared" si="95"/>
        <v>0</v>
      </c>
      <c r="F293" s="505">
        <f t="shared" si="95"/>
        <v>0</v>
      </c>
      <c r="G293" s="505">
        <f t="shared" si="95"/>
        <v>0</v>
      </c>
      <c r="H293" s="58"/>
      <c r="I293" s="232">
        <f>INDEX('Prop. prices'!$I$164:$AB$238,MATCH('Tariff schedule'!$C293,'Prop. prices'!$C$164:$C$238,0),MATCH('Tariff schedule'!I$16,'Prop. prices'!$I$5:$AB$5,0))</f>
        <v>0</v>
      </c>
      <c r="J293" s="232">
        <f>INDEX('Prop. prices'!$I$164:$AB$238,MATCH('Tariff schedule'!$C293,'Prop. prices'!$C$164:$C$238,0),MATCH('Tariff schedule'!J$16,'Prop. prices'!$I$5:$AB$5,0))</f>
        <v>0</v>
      </c>
      <c r="K293" s="232">
        <f>INDEX('Prop. prices'!$I$164:$AB$238,MATCH('Tariff schedule'!$C293,'Prop. prices'!$C$164:$C$238,0),MATCH('Tariff schedule'!K$16,'Prop. prices'!$I$5:$AB$5,0))</f>
        <v>0</v>
      </c>
      <c r="L293" s="232">
        <f>INDEX('Prop. prices'!$I$164:$AB$238,MATCH('Tariff schedule'!$C293,'Prop. prices'!$C$164:$C$238,0),MATCH('Tariff schedule'!L$16,'Prop. prices'!$I$5:$AB$5,0))</f>
        <v>0</v>
      </c>
      <c r="M293" s="232">
        <f>INDEX('Prop. prices'!$I$164:$AB$238,MATCH('Tariff schedule'!$C293,'Prop. prices'!$C$164:$C$238,0),MATCH('Tariff schedule'!M$16,'Prop. prices'!$I$5:$AB$5,0))</f>
        <v>0</v>
      </c>
      <c r="N293" s="232">
        <f>INDEX('Prop. prices'!$I$164:$AB$238,MATCH('Tariff schedule'!$C293,'Prop. prices'!$C$164:$C$238,0),MATCH('Tariff schedule'!N$16,'Prop. prices'!$I$5:$AB$5,0))</f>
        <v>0</v>
      </c>
      <c r="O293" s="232">
        <f>INDEX('Prop. prices'!$I$164:$AB$238,MATCH('Tariff schedule'!$C293,'Prop. prices'!$C$164:$C$238,0),MATCH('Tariff schedule'!O$16,'Prop. prices'!$I$5:$AB$5,0))</f>
        <v>0</v>
      </c>
      <c r="P293" s="232">
        <f>INDEX('Prop. prices'!$I$164:$AB$238,MATCH('Tariff schedule'!$C293,'Prop. prices'!$C$164:$C$238,0),MATCH('Tariff schedule'!P$16,'Prop. prices'!$I$5:$AB$5,0))</f>
        <v>0</v>
      </c>
      <c r="Q293" s="232">
        <f>INDEX('Prop. prices'!$I$164:$AB$238,MATCH('Tariff schedule'!$C293,'Prop. prices'!$C$164:$C$238,0),MATCH('Tariff schedule'!Q$16,'Prop. prices'!$I$5:$AB$5,0))</f>
        <v>0</v>
      </c>
      <c r="R293" s="232">
        <f>INDEX('Prop. prices'!$I$164:$AB$238,MATCH('Tariff schedule'!$C293,'Prop. prices'!$C$164:$C$238,0),MATCH('Tariff schedule'!R$16,'Prop. prices'!$I$5:$AB$5,0))</f>
        <v>0</v>
      </c>
      <c r="S293" s="232">
        <f>INDEX('Prop. prices'!$I$164:$AB$238,MATCH('Tariff schedule'!$C293,'Prop. prices'!$C$164:$C$238,0),MATCH('Tariff schedule'!S$16,'Prop. prices'!$I$5:$AB$5,0))</f>
        <v>0</v>
      </c>
      <c r="T293" s="232">
        <f>INDEX('Prop. prices'!$I$164:$AB$238,MATCH('Tariff schedule'!$C293,'Prop. prices'!$C$164:$C$238,0),MATCH('Tariff schedule'!T$16,'Prop. prices'!$I$5:$AB$5,0))</f>
        <v>0</v>
      </c>
      <c r="U293" s="232">
        <f>INDEX('Prop. prices'!$I$164:$AB$238,MATCH('Tariff schedule'!$C293,'Prop. prices'!$C$164:$C$238,0),MATCH('Tariff schedule'!U$16,'Prop. prices'!$I$5:$AB$5,0))</f>
        <v>0</v>
      </c>
      <c r="V293" s="232">
        <f>INDEX('Prop. prices'!$I$164:$AB$238,MATCH('Tariff schedule'!$C293,'Prop. prices'!$C$164:$C$238,0),MATCH('Tariff schedule'!V$16,'Prop. prices'!$I$5:$AB$5,0))</f>
        <v>0</v>
      </c>
      <c r="W293" s="232">
        <f>INDEX('Prop. prices'!$I$164:$AB$238,MATCH('Tariff schedule'!$C293,'Prop. prices'!$C$164:$C$238,0),MATCH('Tariff schedule'!W$16,'Prop. prices'!$I$5:$AB$5,0))</f>
        <v>0</v>
      </c>
      <c r="X293" s="232">
        <f>INDEX('Prop. prices'!$I$164:$AB$238,MATCH('Tariff schedule'!$C293,'Prop. prices'!$C$164:$C$238,0),MATCH('Tariff schedule'!X$16,'Prop. prices'!$I$5:$AB$5,0))</f>
        <v>0</v>
      </c>
      <c r="Y293" s="232">
        <f>INDEX('Prop. prices'!$I$164:$AB$238,MATCH('Tariff schedule'!$C293,'Prop. prices'!$C$164:$C$238,0),MATCH('Tariff schedule'!Y$16,'Prop. prices'!$I$5:$AB$5,0))</f>
        <v>0</v>
      </c>
      <c r="Z293" s="232">
        <f>INDEX('Prop. prices'!$I$164:$AB$238,MATCH('Tariff schedule'!$C293,'Prop. prices'!$C$164:$C$238,0),MATCH('Tariff schedule'!Z$16,'Prop. prices'!$I$5:$AB$5,0))</f>
        <v>0</v>
      </c>
      <c r="AA293" s="232">
        <f>INDEX('Prop. prices'!$I$164:$AB$238,MATCH('Tariff schedule'!$C293,'Prop. prices'!$C$164:$C$238,0),MATCH('Tariff schedule'!AA$16,'Prop. prices'!$I$5:$AB$5,0))</f>
        <v>0</v>
      </c>
      <c r="AB293" s="232">
        <f>INDEX('Prop. prices'!$I$164:$AB$238,MATCH('Tariff schedule'!$C293,'Prop. prices'!$C$164:$C$238,0),MATCH('Tariff schedule'!AB$16,'Prop. prices'!$I$5:$AB$5,0))</f>
        <v>0</v>
      </c>
      <c r="AC293" s="70"/>
      <c r="AD293" s="19"/>
      <c r="AE293" s="19"/>
      <c r="AF293" s="19"/>
      <c r="AG293" s="19"/>
    </row>
    <row r="294" spans="1:33" hidden="1" outlineLevel="2" x14ac:dyDescent="0.2">
      <c r="A294" s="19"/>
      <c r="B294" s="19"/>
      <c r="C294" s="506">
        <f t="shared" si="95"/>
        <v>0</v>
      </c>
      <c r="D294" s="505">
        <f t="shared" si="95"/>
        <v>0</v>
      </c>
      <c r="E294" s="505">
        <f t="shared" si="95"/>
        <v>0</v>
      </c>
      <c r="F294" s="505">
        <f t="shared" si="95"/>
        <v>0</v>
      </c>
      <c r="G294" s="505">
        <f t="shared" si="95"/>
        <v>0</v>
      </c>
      <c r="H294" s="58"/>
      <c r="I294" s="232">
        <f>INDEX('Prop. prices'!$I$164:$AB$238,MATCH('Tariff schedule'!$C294,'Prop. prices'!$C$164:$C$238,0),MATCH('Tariff schedule'!I$16,'Prop. prices'!$I$5:$AB$5,0))</f>
        <v>0</v>
      </c>
      <c r="J294" s="232">
        <f>INDEX('Prop. prices'!$I$164:$AB$238,MATCH('Tariff schedule'!$C294,'Prop. prices'!$C$164:$C$238,0),MATCH('Tariff schedule'!J$16,'Prop. prices'!$I$5:$AB$5,0))</f>
        <v>0</v>
      </c>
      <c r="K294" s="232">
        <f>INDEX('Prop. prices'!$I$164:$AB$238,MATCH('Tariff schedule'!$C294,'Prop. prices'!$C$164:$C$238,0),MATCH('Tariff schedule'!K$16,'Prop. prices'!$I$5:$AB$5,0))</f>
        <v>0</v>
      </c>
      <c r="L294" s="232">
        <f>INDEX('Prop. prices'!$I$164:$AB$238,MATCH('Tariff schedule'!$C294,'Prop. prices'!$C$164:$C$238,0),MATCH('Tariff schedule'!L$16,'Prop. prices'!$I$5:$AB$5,0))</f>
        <v>0</v>
      </c>
      <c r="M294" s="232">
        <f>INDEX('Prop. prices'!$I$164:$AB$238,MATCH('Tariff schedule'!$C294,'Prop. prices'!$C$164:$C$238,0),MATCH('Tariff schedule'!M$16,'Prop. prices'!$I$5:$AB$5,0))</f>
        <v>0</v>
      </c>
      <c r="N294" s="232">
        <f>INDEX('Prop. prices'!$I$164:$AB$238,MATCH('Tariff schedule'!$C294,'Prop. prices'!$C$164:$C$238,0),MATCH('Tariff schedule'!N$16,'Prop. prices'!$I$5:$AB$5,0))</f>
        <v>0</v>
      </c>
      <c r="O294" s="232">
        <f>INDEX('Prop. prices'!$I$164:$AB$238,MATCH('Tariff schedule'!$C294,'Prop. prices'!$C$164:$C$238,0),MATCH('Tariff schedule'!O$16,'Prop. prices'!$I$5:$AB$5,0))</f>
        <v>0</v>
      </c>
      <c r="P294" s="232">
        <f>INDEX('Prop. prices'!$I$164:$AB$238,MATCH('Tariff schedule'!$C294,'Prop. prices'!$C$164:$C$238,0),MATCH('Tariff schedule'!P$16,'Prop. prices'!$I$5:$AB$5,0))</f>
        <v>0</v>
      </c>
      <c r="Q294" s="232">
        <f>INDEX('Prop. prices'!$I$164:$AB$238,MATCH('Tariff schedule'!$C294,'Prop. prices'!$C$164:$C$238,0),MATCH('Tariff schedule'!Q$16,'Prop. prices'!$I$5:$AB$5,0))</f>
        <v>0</v>
      </c>
      <c r="R294" s="232">
        <f>INDEX('Prop. prices'!$I$164:$AB$238,MATCH('Tariff schedule'!$C294,'Prop. prices'!$C$164:$C$238,0),MATCH('Tariff schedule'!R$16,'Prop. prices'!$I$5:$AB$5,0))</f>
        <v>0</v>
      </c>
      <c r="S294" s="232">
        <f>INDEX('Prop. prices'!$I$164:$AB$238,MATCH('Tariff schedule'!$C294,'Prop. prices'!$C$164:$C$238,0),MATCH('Tariff schedule'!S$16,'Prop. prices'!$I$5:$AB$5,0))</f>
        <v>0</v>
      </c>
      <c r="T294" s="232">
        <f>INDEX('Prop. prices'!$I$164:$AB$238,MATCH('Tariff schedule'!$C294,'Prop. prices'!$C$164:$C$238,0),MATCH('Tariff schedule'!T$16,'Prop. prices'!$I$5:$AB$5,0))</f>
        <v>0</v>
      </c>
      <c r="U294" s="232">
        <f>INDEX('Prop. prices'!$I$164:$AB$238,MATCH('Tariff schedule'!$C294,'Prop. prices'!$C$164:$C$238,0),MATCH('Tariff schedule'!U$16,'Prop. prices'!$I$5:$AB$5,0))</f>
        <v>0</v>
      </c>
      <c r="V294" s="232">
        <f>INDEX('Prop. prices'!$I$164:$AB$238,MATCH('Tariff schedule'!$C294,'Prop. prices'!$C$164:$C$238,0),MATCH('Tariff schedule'!V$16,'Prop. prices'!$I$5:$AB$5,0))</f>
        <v>0</v>
      </c>
      <c r="W294" s="232">
        <f>INDEX('Prop. prices'!$I$164:$AB$238,MATCH('Tariff schedule'!$C294,'Prop. prices'!$C$164:$C$238,0),MATCH('Tariff schedule'!W$16,'Prop. prices'!$I$5:$AB$5,0))</f>
        <v>0</v>
      </c>
      <c r="X294" s="232">
        <f>INDEX('Prop. prices'!$I$164:$AB$238,MATCH('Tariff schedule'!$C294,'Prop. prices'!$C$164:$C$238,0),MATCH('Tariff schedule'!X$16,'Prop. prices'!$I$5:$AB$5,0))</f>
        <v>0</v>
      </c>
      <c r="Y294" s="232">
        <f>INDEX('Prop. prices'!$I$164:$AB$238,MATCH('Tariff schedule'!$C294,'Prop. prices'!$C$164:$C$238,0),MATCH('Tariff schedule'!Y$16,'Prop. prices'!$I$5:$AB$5,0))</f>
        <v>0</v>
      </c>
      <c r="Z294" s="232">
        <f>INDEX('Prop. prices'!$I$164:$AB$238,MATCH('Tariff schedule'!$C294,'Prop. prices'!$C$164:$C$238,0),MATCH('Tariff schedule'!Z$16,'Prop. prices'!$I$5:$AB$5,0))</f>
        <v>0</v>
      </c>
      <c r="AA294" s="232">
        <f>INDEX('Prop. prices'!$I$164:$AB$238,MATCH('Tariff schedule'!$C294,'Prop. prices'!$C$164:$C$238,0),MATCH('Tariff schedule'!AA$16,'Prop. prices'!$I$5:$AB$5,0))</f>
        <v>0</v>
      </c>
      <c r="AB294" s="232">
        <f>INDEX('Prop. prices'!$I$164:$AB$238,MATCH('Tariff schedule'!$C294,'Prop. prices'!$C$164:$C$238,0),MATCH('Tariff schedule'!AB$16,'Prop. prices'!$I$5:$AB$5,0))</f>
        <v>0</v>
      </c>
      <c r="AC294" s="70"/>
      <c r="AD294" s="19"/>
      <c r="AE294" s="19"/>
      <c r="AF294" s="19"/>
      <c r="AG294" s="19"/>
    </row>
    <row r="295" spans="1:33" hidden="1" outlineLevel="2" x14ac:dyDescent="0.2">
      <c r="A295" s="19"/>
      <c r="B295" s="19"/>
      <c r="C295" s="506">
        <f t="shared" si="95"/>
        <v>0</v>
      </c>
      <c r="D295" s="505">
        <f t="shared" si="95"/>
        <v>0</v>
      </c>
      <c r="E295" s="505">
        <f t="shared" si="95"/>
        <v>0</v>
      </c>
      <c r="F295" s="505">
        <f t="shared" si="95"/>
        <v>0</v>
      </c>
      <c r="G295" s="505">
        <f t="shared" si="95"/>
        <v>0</v>
      </c>
      <c r="H295" s="58"/>
      <c r="I295" s="232">
        <f>INDEX('Prop. prices'!$I$164:$AB$238,MATCH('Tariff schedule'!$C295,'Prop. prices'!$C$164:$C$238,0),MATCH('Tariff schedule'!I$16,'Prop. prices'!$I$5:$AB$5,0))</f>
        <v>0</v>
      </c>
      <c r="J295" s="232">
        <f>INDEX('Prop. prices'!$I$164:$AB$238,MATCH('Tariff schedule'!$C295,'Prop. prices'!$C$164:$C$238,0),MATCH('Tariff schedule'!J$16,'Prop. prices'!$I$5:$AB$5,0))</f>
        <v>0</v>
      </c>
      <c r="K295" s="232">
        <f>INDEX('Prop. prices'!$I$164:$AB$238,MATCH('Tariff schedule'!$C295,'Prop. prices'!$C$164:$C$238,0),MATCH('Tariff schedule'!K$16,'Prop. prices'!$I$5:$AB$5,0))</f>
        <v>0</v>
      </c>
      <c r="L295" s="232">
        <f>INDEX('Prop. prices'!$I$164:$AB$238,MATCH('Tariff schedule'!$C295,'Prop. prices'!$C$164:$C$238,0),MATCH('Tariff schedule'!L$16,'Prop. prices'!$I$5:$AB$5,0))</f>
        <v>0</v>
      </c>
      <c r="M295" s="232">
        <f>INDEX('Prop. prices'!$I$164:$AB$238,MATCH('Tariff schedule'!$C295,'Prop. prices'!$C$164:$C$238,0),MATCH('Tariff schedule'!M$16,'Prop. prices'!$I$5:$AB$5,0))</f>
        <v>0</v>
      </c>
      <c r="N295" s="232">
        <f>INDEX('Prop. prices'!$I$164:$AB$238,MATCH('Tariff schedule'!$C295,'Prop. prices'!$C$164:$C$238,0),MATCH('Tariff schedule'!N$16,'Prop. prices'!$I$5:$AB$5,0))</f>
        <v>0</v>
      </c>
      <c r="O295" s="232">
        <f>INDEX('Prop. prices'!$I$164:$AB$238,MATCH('Tariff schedule'!$C295,'Prop. prices'!$C$164:$C$238,0),MATCH('Tariff schedule'!O$16,'Prop. prices'!$I$5:$AB$5,0))</f>
        <v>0</v>
      </c>
      <c r="P295" s="232">
        <f>INDEX('Prop. prices'!$I$164:$AB$238,MATCH('Tariff schedule'!$C295,'Prop. prices'!$C$164:$C$238,0),MATCH('Tariff schedule'!P$16,'Prop. prices'!$I$5:$AB$5,0))</f>
        <v>0</v>
      </c>
      <c r="Q295" s="232">
        <f>INDEX('Prop. prices'!$I$164:$AB$238,MATCH('Tariff schedule'!$C295,'Prop. prices'!$C$164:$C$238,0),MATCH('Tariff schedule'!Q$16,'Prop. prices'!$I$5:$AB$5,0))</f>
        <v>0</v>
      </c>
      <c r="R295" s="232">
        <f>INDEX('Prop. prices'!$I$164:$AB$238,MATCH('Tariff schedule'!$C295,'Prop. prices'!$C$164:$C$238,0),MATCH('Tariff schedule'!R$16,'Prop. prices'!$I$5:$AB$5,0))</f>
        <v>0</v>
      </c>
      <c r="S295" s="232">
        <f>INDEX('Prop. prices'!$I$164:$AB$238,MATCH('Tariff schedule'!$C295,'Prop. prices'!$C$164:$C$238,0),MATCH('Tariff schedule'!S$16,'Prop. prices'!$I$5:$AB$5,0))</f>
        <v>0</v>
      </c>
      <c r="T295" s="232">
        <f>INDEX('Prop. prices'!$I$164:$AB$238,MATCH('Tariff schedule'!$C295,'Prop. prices'!$C$164:$C$238,0),MATCH('Tariff schedule'!T$16,'Prop. prices'!$I$5:$AB$5,0))</f>
        <v>0</v>
      </c>
      <c r="U295" s="232">
        <f>INDEX('Prop. prices'!$I$164:$AB$238,MATCH('Tariff schedule'!$C295,'Prop. prices'!$C$164:$C$238,0),MATCH('Tariff schedule'!U$16,'Prop. prices'!$I$5:$AB$5,0))</f>
        <v>0</v>
      </c>
      <c r="V295" s="232">
        <f>INDEX('Prop. prices'!$I$164:$AB$238,MATCH('Tariff schedule'!$C295,'Prop. prices'!$C$164:$C$238,0),MATCH('Tariff schedule'!V$16,'Prop. prices'!$I$5:$AB$5,0))</f>
        <v>0</v>
      </c>
      <c r="W295" s="232">
        <f>INDEX('Prop. prices'!$I$164:$AB$238,MATCH('Tariff schedule'!$C295,'Prop. prices'!$C$164:$C$238,0),MATCH('Tariff schedule'!W$16,'Prop. prices'!$I$5:$AB$5,0))</f>
        <v>0</v>
      </c>
      <c r="X295" s="232">
        <f>INDEX('Prop. prices'!$I$164:$AB$238,MATCH('Tariff schedule'!$C295,'Prop. prices'!$C$164:$C$238,0),MATCH('Tariff schedule'!X$16,'Prop. prices'!$I$5:$AB$5,0))</f>
        <v>0</v>
      </c>
      <c r="Y295" s="232">
        <f>INDEX('Prop. prices'!$I$164:$AB$238,MATCH('Tariff schedule'!$C295,'Prop. prices'!$C$164:$C$238,0),MATCH('Tariff schedule'!Y$16,'Prop. prices'!$I$5:$AB$5,0))</f>
        <v>0</v>
      </c>
      <c r="Z295" s="232">
        <f>INDEX('Prop. prices'!$I$164:$AB$238,MATCH('Tariff schedule'!$C295,'Prop. prices'!$C$164:$C$238,0),MATCH('Tariff schedule'!Z$16,'Prop. prices'!$I$5:$AB$5,0))</f>
        <v>0</v>
      </c>
      <c r="AA295" s="232">
        <f>INDEX('Prop. prices'!$I$164:$AB$238,MATCH('Tariff schedule'!$C295,'Prop. prices'!$C$164:$C$238,0),MATCH('Tariff schedule'!AA$16,'Prop. prices'!$I$5:$AB$5,0))</f>
        <v>0</v>
      </c>
      <c r="AB295" s="232">
        <f>INDEX('Prop. prices'!$I$164:$AB$238,MATCH('Tariff schedule'!$C295,'Prop. prices'!$C$164:$C$238,0),MATCH('Tariff schedule'!AB$16,'Prop. prices'!$I$5:$AB$5,0))</f>
        <v>0</v>
      </c>
      <c r="AC295" s="70"/>
      <c r="AD295" s="19"/>
      <c r="AE295" s="19"/>
      <c r="AF295" s="19"/>
      <c r="AG295" s="19"/>
    </row>
    <row r="296" spans="1:33" hidden="1" outlineLevel="2" x14ac:dyDescent="0.2">
      <c r="A296" s="19"/>
      <c r="B296" s="19"/>
      <c r="C296" s="506">
        <f t="shared" si="95"/>
        <v>0</v>
      </c>
      <c r="D296" s="505">
        <f t="shared" si="95"/>
        <v>0</v>
      </c>
      <c r="E296" s="505">
        <f t="shared" si="95"/>
        <v>0</v>
      </c>
      <c r="F296" s="505">
        <f t="shared" si="95"/>
        <v>0</v>
      </c>
      <c r="G296" s="505">
        <f t="shared" si="95"/>
        <v>0</v>
      </c>
      <c r="H296" s="58"/>
      <c r="I296" s="232">
        <f>INDEX('Prop. prices'!$I$164:$AB$238,MATCH('Tariff schedule'!$C296,'Prop. prices'!$C$164:$C$238,0),MATCH('Tariff schedule'!I$16,'Prop. prices'!$I$5:$AB$5,0))</f>
        <v>0</v>
      </c>
      <c r="J296" s="232">
        <f>INDEX('Prop. prices'!$I$164:$AB$238,MATCH('Tariff schedule'!$C296,'Prop. prices'!$C$164:$C$238,0),MATCH('Tariff schedule'!J$16,'Prop. prices'!$I$5:$AB$5,0))</f>
        <v>0</v>
      </c>
      <c r="K296" s="232">
        <f>INDEX('Prop. prices'!$I$164:$AB$238,MATCH('Tariff schedule'!$C296,'Prop. prices'!$C$164:$C$238,0),MATCH('Tariff schedule'!K$16,'Prop. prices'!$I$5:$AB$5,0))</f>
        <v>0</v>
      </c>
      <c r="L296" s="232">
        <f>INDEX('Prop. prices'!$I$164:$AB$238,MATCH('Tariff schedule'!$C296,'Prop. prices'!$C$164:$C$238,0),MATCH('Tariff schedule'!L$16,'Prop. prices'!$I$5:$AB$5,0))</f>
        <v>0</v>
      </c>
      <c r="M296" s="232">
        <f>INDEX('Prop. prices'!$I$164:$AB$238,MATCH('Tariff schedule'!$C296,'Prop. prices'!$C$164:$C$238,0),MATCH('Tariff schedule'!M$16,'Prop. prices'!$I$5:$AB$5,0))</f>
        <v>0</v>
      </c>
      <c r="N296" s="232">
        <f>INDEX('Prop. prices'!$I$164:$AB$238,MATCH('Tariff schedule'!$C296,'Prop. prices'!$C$164:$C$238,0),MATCH('Tariff schedule'!N$16,'Prop. prices'!$I$5:$AB$5,0))</f>
        <v>0</v>
      </c>
      <c r="O296" s="232">
        <f>INDEX('Prop. prices'!$I$164:$AB$238,MATCH('Tariff schedule'!$C296,'Prop. prices'!$C$164:$C$238,0),MATCH('Tariff schedule'!O$16,'Prop. prices'!$I$5:$AB$5,0))</f>
        <v>0</v>
      </c>
      <c r="P296" s="232">
        <f>INDEX('Prop. prices'!$I$164:$AB$238,MATCH('Tariff schedule'!$C296,'Prop. prices'!$C$164:$C$238,0),MATCH('Tariff schedule'!P$16,'Prop. prices'!$I$5:$AB$5,0))</f>
        <v>0</v>
      </c>
      <c r="Q296" s="232">
        <f>INDEX('Prop. prices'!$I$164:$AB$238,MATCH('Tariff schedule'!$C296,'Prop. prices'!$C$164:$C$238,0),MATCH('Tariff schedule'!Q$16,'Prop. prices'!$I$5:$AB$5,0))</f>
        <v>0</v>
      </c>
      <c r="R296" s="232">
        <f>INDEX('Prop. prices'!$I$164:$AB$238,MATCH('Tariff schedule'!$C296,'Prop. prices'!$C$164:$C$238,0),MATCH('Tariff schedule'!R$16,'Prop. prices'!$I$5:$AB$5,0))</f>
        <v>0</v>
      </c>
      <c r="S296" s="232">
        <f>INDEX('Prop. prices'!$I$164:$AB$238,MATCH('Tariff schedule'!$C296,'Prop. prices'!$C$164:$C$238,0),MATCH('Tariff schedule'!S$16,'Prop. prices'!$I$5:$AB$5,0))</f>
        <v>0</v>
      </c>
      <c r="T296" s="232">
        <f>INDEX('Prop. prices'!$I$164:$AB$238,MATCH('Tariff schedule'!$C296,'Prop. prices'!$C$164:$C$238,0),MATCH('Tariff schedule'!T$16,'Prop. prices'!$I$5:$AB$5,0))</f>
        <v>0</v>
      </c>
      <c r="U296" s="232">
        <f>INDEX('Prop. prices'!$I$164:$AB$238,MATCH('Tariff schedule'!$C296,'Prop. prices'!$C$164:$C$238,0),MATCH('Tariff schedule'!U$16,'Prop. prices'!$I$5:$AB$5,0))</f>
        <v>0</v>
      </c>
      <c r="V296" s="232">
        <f>INDEX('Prop. prices'!$I$164:$AB$238,MATCH('Tariff schedule'!$C296,'Prop. prices'!$C$164:$C$238,0),MATCH('Tariff schedule'!V$16,'Prop. prices'!$I$5:$AB$5,0))</f>
        <v>0</v>
      </c>
      <c r="W296" s="232">
        <f>INDEX('Prop. prices'!$I$164:$AB$238,MATCH('Tariff schedule'!$C296,'Prop. prices'!$C$164:$C$238,0),MATCH('Tariff schedule'!W$16,'Prop. prices'!$I$5:$AB$5,0))</f>
        <v>0</v>
      </c>
      <c r="X296" s="232">
        <f>INDEX('Prop. prices'!$I$164:$AB$238,MATCH('Tariff schedule'!$C296,'Prop. prices'!$C$164:$C$238,0),MATCH('Tariff schedule'!X$16,'Prop. prices'!$I$5:$AB$5,0))</f>
        <v>0</v>
      </c>
      <c r="Y296" s="232">
        <f>INDEX('Prop. prices'!$I$164:$AB$238,MATCH('Tariff schedule'!$C296,'Prop. prices'!$C$164:$C$238,0),MATCH('Tariff schedule'!Y$16,'Prop. prices'!$I$5:$AB$5,0))</f>
        <v>0</v>
      </c>
      <c r="Z296" s="232">
        <f>INDEX('Prop. prices'!$I$164:$AB$238,MATCH('Tariff schedule'!$C296,'Prop. prices'!$C$164:$C$238,0),MATCH('Tariff schedule'!Z$16,'Prop. prices'!$I$5:$AB$5,0))</f>
        <v>0</v>
      </c>
      <c r="AA296" s="232">
        <f>INDEX('Prop. prices'!$I$164:$AB$238,MATCH('Tariff schedule'!$C296,'Prop. prices'!$C$164:$C$238,0),MATCH('Tariff schedule'!AA$16,'Prop. prices'!$I$5:$AB$5,0))</f>
        <v>0</v>
      </c>
      <c r="AB296" s="232">
        <f>INDEX('Prop. prices'!$I$164:$AB$238,MATCH('Tariff schedule'!$C296,'Prop. prices'!$C$164:$C$238,0),MATCH('Tariff schedule'!AB$16,'Prop. prices'!$I$5:$AB$5,0))</f>
        <v>0</v>
      </c>
      <c r="AC296" s="70"/>
      <c r="AD296" s="19"/>
      <c r="AE296" s="19"/>
      <c r="AF296" s="19"/>
      <c r="AG296" s="19"/>
    </row>
    <row r="297" spans="1:33" hidden="1" outlineLevel="2" x14ac:dyDescent="0.2">
      <c r="A297" s="19"/>
      <c r="B297" s="19"/>
      <c r="C297" s="506">
        <f t="shared" si="95"/>
        <v>0</v>
      </c>
      <c r="D297" s="505">
        <f t="shared" si="95"/>
        <v>0</v>
      </c>
      <c r="E297" s="505">
        <f t="shared" si="95"/>
        <v>0</v>
      </c>
      <c r="F297" s="505">
        <f t="shared" si="95"/>
        <v>0</v>
      </c>
      <c r="G297" s="505">
        <f t="shared" si="95"/>
        <v>0</v>
      </c>
      <c r="H297" s="58"/>
      <c r="I297" s="232">
        <f>INDEX('Prop. prices'!$I$164:$AB$238,MATCH('Tariff schedule'!$C297,'Prop. prices'!$C$164:$C$238,0),MATCH('Tariff schedule'!I$16,'Prop. prices'!$I$5:$AB$5,0))</f>
        <v>0</v>
      </c>
      <c r="J297" s="232">
        <f>INDEX('Prop. prices'!$I$164:$AB$238,MATCH('Tariff schedule'!$C297,'Prop. prices'!$C$164:$C$238,0),MATCH('Tariff schedule'!J$16,'Prop. prices'!$I$5:$AB$5,0))</f>
        <v>0</v>
      </c>
      <c r="K297" s="232">
        <f>INDEX('Prop. prices'!$I$164:$AB$238,MATCH('Tariff schedule'!$C297,'Prop. prices'!$C$164:$C$238,0),MATCH('Tariff schedule'!K$16,'Prop. prices'!$I$5:$AB$5,0))</f>
        <v>0</v>
      </c>
      <c r="L297" s="232">
        <f>INDEX('Prop. prices'!$I$164:$AB$238,MATCH('Tariff schedule'!$C297,'Prop. prices'!$C$164:$C$238,0),MATCH('Tariff schedule'!L$16,'Prop. prices'!$I$5:$AB$5,0))</f>
        <v>0</v>
      </c>
      <c r="M297" s="232">
        <f>INDEX('Prop. prices'!$I$164:$AB$238,MATCH('Tariff schedule'!$C297,'Prop. prices'!$C$164:$C$238,0),MATCH('Tariff schedule'!M$16,'Prop. prices'!$I$5:$AB$5,0))</f>
        <v>0</v>
      </c>
      <c r="N297" s="232">
        <f>INDEX('Prop. prices'!$I$164:$AB$238,MATCH('Tariff schedule'!$C297,'Prop. prices'!$C$164:$C$238,0),MATCH('Tariff schedule'!N$16,'Prop. prices'!$I$5:$AB$5,0))</f>
        <v>0</v>
      </c>
      <c r="O297" s="232">
        <f>INDEX('Prop. prices'!$I$164:$AB$238,MATCH('Tariff schedule'!$C297,'Prop. prices'!$C$164:$C$238,0),MATCH('Tariff schedule'!O$16,'Prop. prices'!$I$5:$AB$5,0))</f>
        <v>0</v>
      </c>
      <c r="P297" s="232">
        <f>INDEX('Prop. prices'!$I$164:$AB$238,MATCH('Tariff schedule'!$C297,'Prop. prices'!$C$164:$C$238,0),MATCH('Tariff schedule'!P$16,'Prop. prices'!$I$5:$AB$5,0))</f>
        <v>0</v>
      </c>
      <c r="Q297" s="232">
        <f>INDEX('Prop. prices'!$I$164:$AB$238,MATCH('Tariff schedule'!$C297,'Prop. prices'!$C$164:$C$238,0),MATCH('Tariff schedule'!Q$16,'Prop. prices'!$I$5:$AB$5,0))</f>
        <v>0</v>
      </c>
      <c r="R297" s="232">
        <f>INDEX('Prop. prices'!$I$164:$AB$238,MATCH('Tariff schedule'!$C297,'Prop. prices'!$C$164:$C$238,0),MATCH('Tariff schedule'!R$16,'Prop. prices'!$I$5:$AB$5,0))</f>
        <v>0</v>
      </c>
      <c r="S297" s="232">
        <f>INDEX('Prop. prices'!$I$164:$AB$238,MATCH('Tariff schedule'!$C297,'Prop. prices'!$C$164:$C$238,0),MATCH('Tariff schedule'!S$16,'Prop. prices'!$I$5:$AB$5,0))</f>
        <v>0</v>
      </c>
      <c r="T297" s="232">
        <f>INDEX('Prop. prices'!$I$164:$AB$238,MATCH('Tariff schedule'!$C297,'Prop. prices'!$C$164:$C$238,0),MATCH('Tariff schedule'!T$16,'Prop. prices'!$I$5:$AB$5,0))</f>
        <v>0</v>
      </c>
      <c r="U297" s="232">
        <f>INDEX('Prop. prices'!$I$164:$AB$238,MATCH('Tariff schedule'!$C297,'Prop. prices'!$C$164:$C$238,0),MATCH('Tariff schedule'!U$16,'Prop. prices'!$I$5:$AB$5,0))</f>
        <v>0</v>
      </c>
      <c r="V297" s="232">
        <f>INDEX('Prop. prices'!$I$164:$AB$238,MATCH('Tariff schedule'!$C297,'Prop. prices'!$C$164:$C$238,0),MATCH('Tariff schedule'!V$16,'Prop. prices'!$I$5:$AB$5,0))</f>
        <v>0</v>
      </c>
      <c r="W297" s="232">
        <f>INDEX('Prop. prices'!$I$164:$AB$238,MATCH('Tariff schedule'!$C297,'Prop. prices'!$C$164:$C$238,0),MATCH('Tariff schedule'!W$16,'Prop. prices'!$I$5:$AB$5,0))</f>
        <v>0</v>
      </c>
      <c r="X297" s="232">
        <f>INDEX('Prop. prices'!$I$164:$AB$238,MATCH('Tariff schedule'!$C297,'Prop. prices'!$C$164:$C$238,0),MATCH('Tariff schedule'!X$16,'Prop. prices'!$I$5:$AB$5,0))</f>
        <v>0</v>
      </c>
      <c r="Y297" s="232">
        <f>INDEX('Prop. prices'!$I$164:$AB$238,MATCH('Tariff schedule'!$C297,'Prop. prices'!$C$164:$C$238,0),MATCH('Tariff schedule'!Y$16,'Prop. prices'!$I$5:$AB$5,0))</f>
        <v>0</v>
      </c>
      <c r="Z297" s="232">
        <f>INDEX('Prop. prices'!$I$164:$AB$238,MATCH('Tariff schedule'!$C297,'Prop. prices'!$C$164:$C$238,0),MATCH('Tariff schedule'!Z$16,'Prop. prices'!$I$5:$AB$5,0))</f>
        <v>0</v>
      </c>
      <c r="AA297" s="232">
        <f>INDEX('Prop. prices'!$I$164:$AB$238,MATCH('Tariff schedule'!$C297,'Prop. prices'!$C$164:$C$238,0),MATCH('Tariff schedule'!AA$16,'Prop. prices'!$I$5:$AB$5,0))</f>
        <v>0</v>
      </c>
      <c r="AB297" s="232">
        <f>INDEX('Prop. prices'!$I$164:$AB$238,MATCH('Tariff schedule'!$C297,'Prop. prices'!$C$164:$C$238,0),MATCH('Tariff schedule'!AB$16,'Prop. prices'!$I$5:$AB$5,0))</f>
        <v>0</v>
      </c>
      <c r="AC297" s="70"/>
      <c r="AD297" s="19"/>
      <c r="AE297" s="19"/>
      <c r="AF297" s="19"/>
      <c r="AG297" s="19"/>
    </row>
    <row r="298" spans="1:33" hidden="1" outlineLevel="2" x14ac:dyDescent="0.2">
      <c r="A298" s="19"/>
      <c r="B298" s="19"/>
      <c r="C298" s="506">
        <f t="shared" si="95"/>
        <v>0</v>
      </c>
      <c r="D298" s="505">
        <f t="shared" si="95"/>
        <v>0</v>
      </c>
      <c r="E298" s="505">
        <f t="shared" si="95"/>
        <v>0</v>
      </c>
      <c r="F298" s="505">
        <f t="shared" si="95"/>
        <v>0</v>
      </c>
      <c r="G298" s="505">
        <f t="shared" si="95"/>
        <v>0</v>
      </c>
      <c r="H298" s="58"/>
      <c r="I298" s="232">
        <f>INDEX('Prop. prices'!$I$164:$AB$238,MATCH('Tariff schedule'!$C298,'Prop. prices'!$C$164:$C$238,0),MATCH('Tariff schedule'!I$16,'Prop. prices'!$I$5:$AB$5,0))</f>
        <v>0</v>
      </c>
      <c r="J298" s="232">
        <f>INDEX('Prop. prices'!$I$164:$AB$238,MATCH('Tariff schedule'!$C298,'Prop. prices'!$C$164:$C$238,0),MATCH('Tariff schedule'!J$16,'Prop. prices'!$I$5:$AB$5,0))</f>
        <v>0</v>
      </c>
      <c r="K298" s="232">
        <f>INDEX('Prop. prices'!$I$164:$AB$238,MATCH('Tariff schedule'!$C298,'Prop. prices'!$C$164:$C$238,0),MATCH('Tariff schedule'!K$16,'Prop. prices'!$I$5:$AB$5,0))</f>
        <v>0</v>
      </c>
      <c r="L298" s="232">
        <f>INDEX('Prop. prices'!$I$164:$AB$238,MATCH('Tariff schedule'!$C298,'Prop. prices'!$C$164:$C$238,0),MATCH('Tariff schedule'!L$16,'Prop. prices'!$I$5:$AB$5,0))</f>
        <v>0</v>
      </c>
      <c r="M298" s="232">
        <f>INDEX('Prop. prices'!$I$164:$AB$238,MATCH('Tariff schedule'!$C298,'Prop. prices'!$C$164:$C$238,0),MATCH('Tariff schedule'!M$16,'Prop. prices'!$I$5:$AB$5,0))</f>
        <v>0</v>
      </c>
      <c r="N298" s="232">
        <f>INDEX('Prop. prices'!$I$164:$AB$238,MATCH('Tariff schedule'!$C298,'Prop. prices'!$C$164:$C$238,0),MATCH('Tariff schedule'!N$16,'Prop. prices'!$I$5:$AB$5,0))</f>
        <v>0</v>
      </c>
      <c r="O298" s="232">
        <f>INDEX('Prop. prices'!$I$164:$AB$238,MATCH('Tariff schedule'!$C298,'Prop. prices'!$C$164:$C$238,0),MATCH('Tariff schedule'!O$16,'Prop. prices'!$I$5:$AB$5,0))</f>
        <v>0</v>
      </c>
      <c r="P298" s="232">
        <f>INDEX('Prop. prices'!$I$164:$AB$238,MATCH('Tariff schedule'!$C298,'Prop. prices'!$C$164:$C$238,0),MATCH('Tariff schedule'!P$16,'Prop. prices'!$I$5:$AB$5,0))</f>
        <v>0</v>
      </c>
      <c r="Q298" s="232">
        <f>INDEX('Prop. prices'!$I$164:$AB$238,MATCH('Tariff schedule'!$C298,'Prop. prices'!$C$164:$C$238,0),MATCH('Tariff schedule'!Q$16,'Prop. prices'!$I$5:$AB$5,0))</f>
        <v>0</v>
      </c>
      <c r="R298" s="232">
        <f>INDEX('Prop. prices'!$I$164:$AB$238,MATCH('Tariff schedule'!$C298,'Prop. prices'!$C$164:$C$238,0),MATCH('Tariff schedule'!R$16,'Prop. prices'!$I$5:$AB$5,0))</f>
        <v>0</v>
      </c>
      <c r="S298" s="232">
        <f>INDEX('Prop. prices'!$I$164:$AB$238,MATCH('Tariff schedule'!$C298,'Prop. prices'!$C$164:$C$238,0),MATCH('Tariff schedule'!S$16,'Prop. prices'!$I$5:$AB$5,0))</f>
        <v>0</v>
      </c>
      <c r="T298" s="232">
        <f>INDEX('Prop. prices'!$I$164:$AB$238,MATCH('Tariff schedule'!$C298,'Prop. prices'!$C$164:$C$238,0),MATCH('Tariff schedule'!T$16,'Prop. prices'!$I$5:$AB$5,0))</f>
        <v>0</v>
      </c>
      <c r="U298" s="232">
        <f>INDEX('Prop. prices'!$I$164:$AB$238,MATCH('Tariff schedule'!$C298,'Prop. prices'!$C$164:$C$238,0),MATCH('Tariff schedule'!U$16,'Prop. prices'!$I$5:$AB$5,0))</f>
        <v>0</v>
      </c>
      <c r="V298" s="232">
        <f>INDEX('Prop. prices'!$I$164:$AB$238,MATCH('Tariff schedule'!$C298,'Prop. prices'!$C$164:$C$238,0),MATCH('Tariff schedule'!V$16,'Prop. prices'!$I$5:$AB$5,0))</f>
        <v>0</v>
      </c>
      <c r="W298" s="232">
        <f>INDEX('Prop. prices'!$I$164:$AB$238,MATCH('Tariff schedule'!$C298,'Prop. prices'!$C$164:$C$238,0),MATCH('Tariff schedule'!W$16,'Prop. prices'!$I$5:$AB$5,0))</f>
        <v>0</v>
      </c>
      <c r="X298" s="232">
        <f>INDEX('Prop. prices'!$I$164:$AB$238,MATCH('Tariff schedule'!$C298,'Prop. prices'!$C$164:$C$238,0),MATCH('Tariff schedule'!X$16,'Prop. prices'!$I$5:$AB$5,0))</f>
        <v>0</v>
      </c>
      <c r="Y298" s="232">
        <f>INDEX('Prop. prices'!$I$164:$AB$238,MATCH('Tariff schedule'!$C298,'Prop. prices'!$C$164:$C$238,0),MATCH('Tariff schedule'!Y$16,'Prop. prices'!$I$5:$AB$5,0))</f>
        <v>0</v>
      </c>
      <c r="Z298" s="232">
        <f>INDEX('Prop. prices'!$I$164:$AB$238,MATCH('Tariff schedule'!$C298,'Prop. prices'!$C$164:$C$238,0),MATCH('Tariff schedule'!Z$16,'Prop. prices'!$I$5:$AB$5,0))</f>
        <v>0</v>
      </c>
      <c r="AA298" s="232">
        <f>INDEX('Prop. prices'!$I$164:$AB$238,MATCH('Tariff schedule'!$C298,'Prop. prices'!$C$164:$C$238,0),MATCH('Tariff schedule'!AA$16,'Prop. prices'!$I$5:$AB$5,0))</f>
        <v>0</v>
      </c>
      <c r="AB298" s="232">
        <f>INDEX('Prop. prices'!$I$164:$AB$238,MATCH('Tariff schedule'!$C298,'Prop. prices'!$C$164:$C$238,0),MATCH('Tariff schedule'!AB$16,'Prop. prices'!$I$5:$AB$5,0))</f>
        <v>0</v>
      </c>
      <c r="AC298" s="70"/>
      <c r="AD298" s="19"/>
      <c r="AE298" s="19"/>
      <c r="AF298" s="19"/>
      <c r="AG298" s="19"/>
    </row>
    <row r="299" spans="1:33" hidden="1" outlineLevel="2" x14ac:dyDescent="0.2">
      <c r="A299" s="19"/>
      <c r="B299" s="19"/>
      <c r="C299" s="506">
        <f t="shared" si="95"/>
        <v>0</v>
      </c>
      <c r="D299" s="505">
        <f t="shared" si="95"/>
        <v>0</v>
      </c>
      <c r="E299" s="505">
        <f t="shared" si="95"/>
        <v>0</v>
      </c>
      <c r="F299" s="505">
        <f t="shared" si="95"/>
        <v>0</v>
      </c>
      <c r="G299" s="505">
        <f t="shared" si="95"/>
        <v>0</v>
      </c>
      <c r="H299" s="58"/>
      <c r="I299" s="232">
        <f>INDEX('Prop. prices'!$I$164:$AB$238,MATCH('Tariff schedule'!$C299,'Prop. prices'!$C$164:$C$238,0),MATCH('Tariff schedule'!I$16,'Prop. prices'!$I$5:$AB$5,0))</f>
        <v>0</v>
      </c>
      <c r="J299" s="232">
        <f>INDEX('Prop. prices'!$I$164:$AB$238,MATCH('Tariff schedule'!$C299,'Prop. prices'!$C$164:$C$238,0),MATCH('Tariff schedule'!J$16,'Prop. prices'!$I$5:$AB$5,0))</f>
        <v>0</v>
      </c>
      <c r="K299" s="232">
        <f>INDEX('Prop. prices'!$I$164:$AB$238,MATCH('Tariff schedule'!$C299,'Prop. prices'!$C$164:$C$238,0),MATCH('Tariff schedule'!K$16,'Prop. prices'!$I$5:$AB$5,0))</f>
        <v>0</v>
      </c>
      <c r="L299" s="232">
        <f>INDEX('Prop. prices'!$I$164:$AB$238,MATCH('Tariff schedule'!$C299,'Prop. prices'!$C$164:$C$238,0),MATCH('Tariff schedule'!L$16,'Prop. prices'!$I$5:$AB$5,0))</f>
        <v>0</v>
      </c>
      <c r="M299" s="232">
        <f>INDEX('Prop. prices'!$I$164:$AB$238,MATCH('Tariff schedule'!$C299,'Prop. prices'!$C$164:$C$238,0),MATCH('Tariff schedule'!M$16,'Prop. prices'!$I$5:$AB$5,0))</f>
        <v>0</v>
      </c>
      <c r="N299" s="232">
        <f>INDEX('Prop. prices'!$I$164:$AB$238,MATCH('Tariff schedule'!$C299,'Prop. prices'!$C$164:$C$238,0),MATCH('Tariff schedule'!N$16,'Prop. prices'!$I$5:$AB$5,0))</f>
        <v>0</v>
      </c>
      <c r="O299" s="232">
        <f>INDEX('Prop. prices'!$I$164:$AB$238,MATCH('Tariff schedule'!$C299,'Prop. prices'!$C$164:$C$238,0),MATCH('Tariff schedule'!O$16,'Prop. prices'!$I$5:$AB$5,0))</f>
        <v>0</v>
      </c>
      <c r="P299" s="232">
        <f>INDEX('Prop. prices'!$I$164:$AB$238,MATCH('Tariff schedule'!$C299,'Prop. prices'!$C$164:$C$238,0),MATCH('Tariff schedule'!P$16,'Prop. prices'!$I$5:$AB$5,0))</f>
        <v>0</v>
      </c>
      <c r="Q299" s="232">
        <f>INDEX('Prop. prices'!$I$164:$AB$238,MATCH('Tariff schedule'!$C299,'Prop. prices'!$C$164:$C$238,0),MATCH('Tariff schedule'!Q$16,'Prop. prices'!$I$5:$AB$5,0))</f>
        <v>0</v>
      </c>
      <c r="R299" s="232">
        <f>INDEX('Prop. prices'!$I$164:$AB$238,MATCH('Tariff schedule'!$C299,'Prop. prices'!$C$164:$C$238,0),MATCH('Tariff schedule'!R$16,'Prop. prices'!$I$5:$AB$5,0))</f>
        <v>0</v>
      </c>
      <c r="S299" s="232">
        <f>INDEX('Prop. prices'!$I$164:$AB$238,MATCH('Tariff schedule'!$C299,'Prop. prices'!$C$164:$C$238,0),MATCH('Tariff schedule'!S$16,'Prop. prices'!$I$5:$AB$5,0))</f>
        <v>0</v>
      </c>
      <c r="T299" s="232">
        <f>INDEX('Prop. prices'!$I$164:$AB$238,MATCH('Tariff schedule'!$C299,'Prop. prices'!$C$164:$C$238,0),MATCH('Tariff schedule'!T$16,'Prop. prices'!$I$5:$AB$5,0))</f>
        <v>0</v>
      </c>
      <c r="U299" s="232">
        <f>INDEX('Prop. prices'!$I$164:$AB$238,MATCH('Tariff schedule'!$C299,'Prop. prices'!$C$164:$C$238,0),MATCH('Tariff schedule'!U$16,'Prop. prices'!$I$5:$AB$5,0))</f>
        <v>0</v>
      </c>
      <c r="V299" s="232">
        <f>INDEX('Prop. prices'!$I$164:$AB$238,MATCH('Tariff schedule'!$C299,'Prop. prices'!$C$164:$C$238,0),MATCH('Tariff schedule'!V$16,'Prop. prices'!$I$5:$AB$5,0))</f>
        <v>0</v>
      </c>
      <c r="W299" s="232">
        <f>INDEX('Prop. prices'!$I$164:$AB$238,MATCH('Tariff schedule'!$C299,'Prop. prices'!$C$164:$C$238,0),MATCH('Tariff schedule'!W$16,'Prop. prices'!$I$5:$AB$5,0))</f>
        <v>0</v>
      </c>
      <c r="X299" s="232">
        <f>INDEX('Prop. prices'!$I$164:$AB$238,MATCH('Tariff schedule'!$C299,'Prop. prices'!$C$164:$C$238,0),MATCH('Tariff schedule'!X$16,'Prop. prices'!$I$5:$AB$5,0))</f>
        <v>0</v>
      </c>
      <c r="Y299" s="232">
        <f>INDEX('Prop. prices'!$I$164:$AB$238,MATCH('Tariff schedule'!$C299,'Prop. prices'!$C$164:$C$238,0),MATCH('Tariff schedule'!Y$16,'Prop. prices'!$I$5:$AB$5,0))</f>
        <v>0</v>
      </c>
      <c r="Z299" s="232">
        <f>INDEX('Prop. prices'!$I$164:$AB$238,MATCH('Tariff schedule'!$C299,'Prop. prices'!$C$164:$C$238,0),MATCH('Tariff schedule'!Z$16,'Prop. prices'!$I$5:$AB$5,0))</f>
        <v>0</v>
      </c>
      <c r="AA299" s="232">
        <f>INDEX('Prop. prices'!$I$164:$AB$238,MATCH('Tariff schedule'!$C299,'Prop. prices'!$C$164:$C$238,0),MATCH('Tariff schedule'!AA$16,'Prop. prices'!$I$5:$AB$5,0))</f>
        <v>0</v>
      </c>
      <c r="AB299" s="232">
        <f>INDEX('Prop. prices'!$I$164:$AB$238,MATCH('Tariff schedule'!$C299,'Prop. prices'!$C$164:$C$238,0),MATCH('Tariff schedule'!AB$16,'Prop. prices'!$I$5:$AB$5,0))</f>
        <v>0</v>
      </c>
      <c r="AC299" s="70"/>
      <c r="AD299" s="19"/>
      <c r="AE299" s="19"/>
      <c r="AF299" s="19"/>
      <c r="AG299" s="19"/>
    </row>
    <row r="300" spans="1:33" hidden="1" outlineLevel="3" x14ac:dyDescent="0.2">
      <c r="A300" s="19"/>
      <c r="B300" s="19"/>
      <c r="C300" s="506">
        <f t="shared" si="95"/>
        <v>0</v>
      </c>
      <c r="D300" s="505">
        <f t="shared" si="95"/>
        <v>0</v>
      </c>
      <c r="E300" s="505">
        <f t="shared" si="95"/>
        <v>0</v>
      </c>
      <c r="F300" s="505">
        <f t="shared" si="95"/>
        <v>0</v>
      </c>
      <c r="G300" s="505">
        <f t="shared" si="95"/>
        <v>0</v>
      </c>
      <c r="H300" s="58"/>
      <c r="I300" s="232">
        <f>INDEX('Prop. prices'!$I$164:$AB$238,MATCH('Tariff schedule'!$C300,'Prop. prices'!$C$164:$C$238,0),MATCH('Tariff schedule'!I$16,'Prop. prices'!$I$5:$AB$5,0))</f>
        <v>0</v>
      </c>
      <c r="J300" s="232">
        <f>INDEX('Prop. prices'!$I$164:$AB$238,MATCH('Tariff schedule'!$C300,'Prop. prices'!$C$164:$C$238,0),MATCH('Tariff schedule'!J$16,'Prop. prices'!$I$5:$AB$5,0))</f>
        <v>0</v>
      </c>
      <c r="K300" s="232">
        <f>INDEX('Prop. prices'!$I$164:$AB$238,MATCH('Tariff schedule'!$C300,'Prop. prices'!$C$164:$C$238,0),MATCH('Tariff schedule'!K$16,'Prop. prices'!$I$5:$AB$5,0))</f>
        <v>0</v>
      </c>
      <c r="L300" s="232">
        <f>INDEX('Prop. prices'!$I$164:$AB$238,MATCH('Tariff schedule'!$C300,'Prop. prices'!$C$164:$C$238,0),MATCH('Tariff schedule'!L$16,'Prop. prices'!$I$5:$AB$5,0))</f>
        <v>0</v>
      </c>
      <c r="M300" s="232">
        <f>INDEX('Prop. prices'!$I$164:$AB$238,MATCH('Tariff schedule'!$C300,'Prop. prices'!$C$164:$C$238,0),MATCH('Tariff schedule'!M$16,'Prop. prices'!$I$5:$AB$5,0))</f>
        <v>0</v>
      </c>
      <c r="N300" s="232">
        <f>INDEX('Prop. prices'!$I$164:$AB$238,MATCH('Tariff schedule'!$C300,'Prop. prices'!$C$164:$C$238,0),MATCH('Tariff schedule'!N$16,'Prop. prices'!$I$5:$AB$5,0))</f>
        <v>0</v>
      </c>
      <c r="O300" s="232">
        <f>INDEX('Prop. prices'!$I$164:$AB$238,MATCH('Tariff schedule'!$C300,'Prop. prices'!$C$164:$C$238,0),MATCH('Tariff schedule'!O$16,'Prop. prices'!$I$5:$AB$5,0))</f>
        <v>0</v>
      </c>
      <c r="P300" s="232">
        <f>INDEX('Prop. prices'!$I$164:$AB$238,MATCH('Tariff schedule'!$C300,'Prop. prices'!$C$164:$C$238,0),MATCH('Tariff schedule'!P$16,'Prop. prices'!$I$5:$AB$5,0))</f>
        <v>0</v>
      </c>
      <c r="Q300" s="232">
        <f>INDEX('Prop. prices'!$I$164:$AB$238,MATCH('Tariff schedule'!$C300,'Prop. prices'!$C$164:$C$238,0),MATCH('Tariff schedule'!Q$16,'Prop. prices'!$I$5:$AB$5,0))</f>
        <v>0</v>
      </c>
      <c r="R300" s="232">
        <f>INDEX('Prop. prices'!$I$164:$AB$238,MATCH('Tariff schedule'!$C300,'Prop. prices'!$C$164:$C$238,0),MATCH('Tariff schedule'!R$16,'Prop. prices'!$I$5:$AB$5,0))</f>
        <v>0</v>
      </c>
      <c r="S300" s="232">
        <f>INDEX('Prop. prices'!$I$164:$AB$238,MATCH('Tariff schedule'!$C300,'Prop. prices'!$C$164:$C$238,0),MATCH('Tariff schedule'!S$16,'Prop. prices'!$I$5:$AB$5,0))</f>
        <v>0</v>
      </c>
      <c r="T300" s="232">
        <f>INDEX('Prop. prices'!$I$164:$AB$238,MATCH('Tariff schedule'!$C300,'Prop. prices'!$C$164:$C$238,0),MATCH('Tariff schedule'!T$16,'Prop. prices'!$I$5:$AB$5,0))</f>
        <v>0</v>
      </c>
      <c r="U300" s="232">
        <f>INDEX('Prop. prices'!$I$164:$AB$238,MATCH('Tariff schedule'!$C300,'Prop. prices'!$C$164:$C$238,0),MATCH('Tariff schedule'!U$16,'Prop. prices'!$I$5:$AB$5,0))</f>
        <v>0</v>
      </c>
      <c r="V300" s="232">
        <f>INDEX('Prop. prices'!$I$164:$AB$238,MATCH('Tariff schedule'!$C300,'Prop. prices'!$C$164:$C$238,0),MATCH('Tariff schedule'!V$16,'Prop. prices'!$I$5:$AB$5,0))</f>
        <v>0</v>
      </c>
      <c r="W300" s="232">
        <f>INDEX('Prop. prices'!$I$164:$AB$238,MATCH('Tariff schedule'!$C300,'Prop. prices'!$C$164:$C$238,0),MATCH('Tariff schedule'!W$16,'Prop. prices'!$I$5:$AB$5,0))</f>
        <v>0</v>
      </c>
      <c r="X300" s="232">
        <f>INDEX('Prop. prices'!$I$164:$AB$238,MATCH('Tariff schedule'!$C300,'Prop. prices'!$C$164:$C$238,0),MATCH('Tariff schedule'!X$16,'Prop. prices'!$I$5:$AB$5,0))</f>
        <v>0</v>
      </c>
      <c r="Y300" s="232">
        <f>INDEX('Prop. prices'!$I$164:$AB$238,MATCH('Tariff schedule'!$C300,'Prop. prices'!$C$164:$C$238,0),MATCH('Tariff schedule'!Y$16,'Prop. prices'!$I$5:$AB$5,0))</f>
        <v>0</v>
      </c>
      <c r="Z300" s="232">
        <f>INDEX('Prop. prices'!$I$164:$AB$238,MATCH('Tariff schedule'!$C300,'Prop. prices'!$C$164:$C$238,0),MATCH('Tariff schedule'!Z$16,'Prop. prices'!$I$5:$AB$5,0))</f>
        <v>0</v>
      </c>
      <c r="AA300" s="232">
        <f>INDEX('Prop. prices'!$I$164:$AB$238,MATCH('Tariff schedule'!$C300,'Prop. prices'!$C$164:$C$238,0),MATCH('Tariff schedule'!AA$16,'Prop. prices'!$I$5:$AB$5,0))</f>
        <v>0</v>
      </c>
      <c r="AB300" s="232">
        <f>INDEX('Prop. prices'!$I$164:$AB$238,MATCH('Tariff schedule'!$C300,'Prop. prices'!$C$164:$C$238,0),MATCH('Tariff schedule'!AB$16,'Prop. prices'!$I$5:$AB$5,0))</f>
        <v>0</v>
      </c>
      <c r="AC300" s="70"/>
      <c r="AD300" s="19"/>
      <c r="AE300" s="19"/>
      <c r="AF300" s="19"/>
      <c r="AG300" s="19"/>
    </row>
    <row r="301" spans="1:33" hidden="1" outlineLevel="3" x14ac:dyDescent="0.2">
      <c r="A301" s="19"/>
      <c r="B301" s="19"/>
      <c r="C301" s="506">
        <f t="shared" si="95"/>
        <v>0</v>
      </c>
      <c r="D301" s="505">
        <f t="shared" si="95"/>
        <v>0</v>
      </c>
      <c r="E301" s="505">
        <f t="shared" si="95"/>
        <v>0</v>
      </c>
      <c r="F301" s="505">
        <f t="shared" si="95"/>
        <v>0</v>
      </c>
      <c r="G301" s="505">
        <f t="shared" si="95"/>
        <v>0</v>
      </c>
      <c r="H301" s="58"/>
      <c r="I301" s="232">
        <f>INDEX('Prop. prices'!$I$164:$AB$238,MATCH('Tariff schedule'!$C301,'Prop. prices'!$C$164:$C$238,0),MATCH('Tariff schedule'!I$16,'Prop. prices'!$I$5:$AB$5,0))</f>
        <v>0</v>
      </c>
      <c r="J301" s="232">
        <f>INDEX('Prop. prices'!$I$164:$AB$238,MATCH('Tariff schedule'!$C301,'Prop. prices'!$C$164:$C$238,0),MATCH('Tariff schedule'!J$16,'Prop. prices'!$I$5:$AB$5,0))</f>
        <v>0</v>
      </c>
      <c r="K301" s="232">
        <f>INDEX('Prop. prices'!$I$164:$AB$238,MATCH('Tariff schedule'!$C301,'Prop. prices'!$C$164:$C$238,0),MATCH('Tariff schedule'!K$16,'Prop. prices'!$I$5:$AB$5,0))</f>
        <v>0</v>
      </c>
      <c r="L301" s="232">
        <f>INDEX('Prop. prices'!$I$164:$AB$238,MATCH('Tariff schedule'!$C301,'Prop. prices'!$C$164:$C$238,0),MATCH('Tariff schedule'!L$16,'Prop. prices'!$I$5:$AB$5,0))</f>
        <v>0</v>
      </c>
      <c r="M301" s="232">
        <f>INDEX('Prop. prices'!$I$164:$AB$238,MATCH('Tariff schedule'!$C301,'Prop. prices'!$C$164:$C$238,0),MATCH('Tariff schedule'!M$16,'Prop. prices'!$I$5:$AB$5,0))</f>
        <v>0</v>
      </c>
      <c r="N301" s="232">
        <f>INDEX('Prop. prices'!$I$164:$AB$238,MATCH('Tariff schedule'!$C301,'Prop. prices'!$C$164:$C$238,0),MATCH('Tariff schedule'!N$16,'Prop. prices'!$I$5:$AB$5,0))</f>
        <v>0</v>
      </c>
      <c r="O301" s="232">
        <f>INDEX('Prop. prices'!$I$164:$AB$238,MATCH('Tariff schedule'!$C301,'Prop. prices'!$C$164:$C$238,0),MATCH('Tariff schedule'!O$16,'Prop. prices'!$I$5:$AB$5,0))</f>
        <v>0</v>
      </c>
      <c r="P301" s="232">
        <f>INDEX('Prop. prices'!$I$164:$AB$238,MATCH('Tariff schedule'!$C301,'Prop. prices'!$C$164:$C$238,0),MATCH('Tariff schedule'!P$16,'Prop. prices'!$I$5:$AB$5,0))</f>
        <v>0</v>
      </c>
      <c r="Q301" s="232">
        <f>INDEX('Prop. prices'!$I$164:$AB$238,MATCH('Tariff schedule'!$C301,'Prop. prices'!$C$164:$C$238,0),MATCH('Tariff schedule'!Q$16,'Prop. prices'!$I$5:$AB$5,0))</f>
        <v>0</v>
      </c>
      <c r="R301" s="232">
        <f>INDEX('Prop. prices'!$I$164:$AB$238,MATCH('Tariff schedule'!$C301,'Prop. prices'!$C$164:$C$238,0),MATCH('Tariff schedule'!R$16,'Prop. prices'!$I$5:$AB$5,0))</f>
        <v>0</v>
      </c>
      <c r="S301" s="232">
        <f>INDEX('Prop. prices'!$I$164:$AB$238,MATCH('Tariff schedule'!$C301,'Prop. prices'!$C$164:$C$238,0),MATCH('Tariff schedule'!S$16,'Prop. prices'!$I$5:$AB$5,0))</f>
        <v>0</v>
      </c>
      <c r="T301" s="232">
        <f>INDEX('Prop. prices'!$I$164:$AB$238,MATCH('Tariff schedule'!$C301,'Prop. prices'!$C$164:$C$238,0),MATCH('Tariff schedule'!T$16,'Prop. prices'!$I$5:$AB$5,0))</f>
        <v>0</v>
      </c>
      <c r="U301" s="232">
        <f>INDEX('Prop. prices'!$I$164:$AB$238,MATCH('Tariff schedule'!$C301,'Prop. prices'!$C$164:$C$238,0),MATCH('Tariff schedule'!U$16,'Prop. prices'!$I$5:$AB$5,0))</f>
        <v>0</v>
      </c>
      <c r="V301" s="232">
        <f>INDEX('Prop. prices'!$I$164:$AB$238,MATCH('Tariff schedule'!$C301,'Prop. prices'!$C$164:$C$238,0),MATCH('Tariff schedule'!V$16,'Prop. prices'!$I$5:$AB$5,0))</f>
        <v>0</v>
      </c>
      <c r="W301" s="232">
        <f>INDEX('Prop. prices'!$I$164:$AB$238,MATCH('Tariff schedule'!$C301,'Prop. prices'!$C$164:$C$238,0),MATCH('Tariff schedule'!W$16,'Prop. prices'!$I$5:$AB$5,0))</f>
        <v>0</v>
      </c>
      <c r="X301" s="232">
        <f>INDEX('Prop. prices'!$I$164:$AB$238,MATCH('Tariff schedule'!$C301,'Prop. prices'!$C$164:$C$238,0),MATCH('Tariff schedule'!X$16,'Prop. prices'!$I$5:$AB$5,0))</f>
        <v>0</v>
      </c>
      <c r="Y301" s="232">
        <f>INDEX('Prop. prices'!$I$164:$AB$238,MATCH('Tariff schedule'!$C301,'Prop. prices'!$C$164:$C$238,0),MATCH('Tariff schedule'!Y$16,'Prop. prices'!$I$5:$AB$5,0))</f>
        <v>0</v>
      </c>
      <c r="Z301" s="232">
        <f>INDEX('Prop. prices'!$I$164:$AB$238,MATCH('Tariff schedule'!$C301,'Prop. prices'!$C$164:$C$238,0),MATCH('Tariff schedule'!Z$16,'Prop. prices'!$I$5:$AB$5,0))</f>
        <v>0</v>
      </c>
      <c r="AA301" s="232">
        <f>INDEX('Prop. prices'!$I$164:$AB$238,MATCH('Tariff schedule'!$C301,'Prop. prices'!$C$164:$C$238,0),MATCH('Tariff schedule'!AA$16,'Prop. prices'!$I$5:$AB$5,0))</f>
        <v>0</v>
      </c>
      <c r="AB301" s="232">
        <f>INDEX('Prop. prices'!$I$164:$AB$238,MATCH('Tariff schedule'!$C301,'Prop. prices'!$C$164:$C$238,0),MATCH('Tariff schedule'!AB$16,'Prop. prices'!$I$5:$AB$5,0))</f>
        <v>0</v>
      </c>
      <c r="AC301" s="70"/>
      <c r="AD301" s="19"/>
      <c r="AE301" s="19"/>
      <c r="AF301" s="19"/>
      <c r="AG301" s="19"/>
    </row>
    <row r="302" spans="1:33" hidden="1" outlineLevel="3" x14ac:dyDescent="0.2">
      <c r="A302" s="19"/>
      <c r="B302" s="19"/>
      <c r="C302" s="506">
        <f t="shared" si="95"/>
        <v>0</v>
      </c>
      <c r="D302" s="505">
        <f t="shared" si="95"/>
        <v>0</v>
      </c>
      <c r="E302" s="505">
        <f t="shared" si="95"/>
        <v>0</v>
      </c>
      <c r="F302" s="505">
        <f t="shared" si="95"/>
        <v>0</v>
      </c>
      <c r="G302" s="505">
        <f t="shared" si="95"/>
        <v>0</v>
      </c>
      <c r="H302" s="58"/>
      <c r="I302" s="232">
        <f>INDEX('Prop. prices'!$I$164:$AB$238,MATCH('Tariff schedule'!$C302,'Prop. prices'!$C$164:$C$238,0),MATCH('Tariff schedule'!I$16,'Prop. prices'!$I$5:$AB$5,0))</f>
        <v>0</v>
      </c>
      <c r="J302" s="232">
        <f>INDEX('Prop. prices'!$I$164:$AB$238,MATCH('Tariff schedule'!$C302,'Prop. prices'!$C$164:$C$238,0),MATCH('Tariff schedule'!J$16,'Prop. prices'!$I$5:$AB$5,0))</f>
        <v>0</v>
      </c>
      <c r="K302" s="232">
        <f>INDEX('Prop. prices'!$I$164:$AB$238,MATCH('Tariff schedule'!$C302,'Prop. prices'!$C$164:$C$238,0),MATCH('Tariff schedule'!K$16,'Prop. prices'!$I$5:$AB$5,0))</f>
        <v>0</v>
      </c>
      <c r="L302" s="232">
        <f>INDEX('Prop. prices'!$I$164:$AB$238,MATCH('Tariff schedule'!$C302,'Prop. prices'!$C$164:$C$238,0),MATCH('Tariff schedule'!L$16,'Prop. prices'!$I$5:$AB$5,0))</f>
        <v>0</v>
      </c>
      <c r="M302" s="232">
        <f>INDEX('Prop. prices'!$I$164:$AB$238,MATCH('Tariff schedule'!$C302,'Prop. prices'!$C$164:$C$238,0),MATCH('Tariff schedule'!M$16,'Prop. prices'!$I$5:$AB$5,0))</f>
        <v>0</v>
      </c>
      <c r="N302" s="232">
        <f>INDEX('Prop. prices'!$I$164:$AB$238,MATCH('Tariff schedule'!$C302,'Prop. prices'!$C$164:$C$238,0),MATCH('Tariff schedule'!N$16,'Prop. prices'!$I$5:$AB$5,0))</f>
        <v>0</v>
      </c>
      <c r="O302" s="232">
        <f>INDEX('Prop. prices'!$I$164:$AB$238,MATCH('Tariff schedule'!$C302,'Prop. prices'!$C$164:$C$238,0),MATCH('Tariff schedule'!O$16,'Prop. prices'!$I$5:$AB$5,0))</f>
        <v>0</v>
      </c>
      <c r="P302" s="232">
        <f>INDEX('Prop. prices'!$I$164:$AB$238,MATCH('Tariff schedule'!$C302,'Prop. prices'!$C$164:$C$238,0),MATCH('Tariff schedule'!P$16,'Prop. prices'!$I$5:$AB$5,0))</f>
        <v>0</v>
      </c>
      <c r="Q302" s="232">
        <f>INDEX('Prop. prices'!$I$164:$AB$238,MATCH('Tariff schedule'!$C302,'Prop. prices'!$C$164:$C$238,0),MATCH('Tariff schedule'!Q$16,'Prop. prices'!$I$5:$AB$5,0))</f>
        <v>0</v>
      </c>
      <c r="R302" s="232">
        <f>INDEX('Prop. prices'!$I$164:$AB$238,MATCH('Tariff schedule'!$C302,'Prop. prices'!$C$164:$C$238,0),MATCH('Tariff schedule'!R$16,'Prop. prices'!$I$5:$AB$5,0))</f>
        <v>0</v>
      </c>
      <c r="S302" s="232">
        <f>INDEX('Prop. prices'!$I$164:$AB$238,MATCH('Tariff schedule'!$C302,'Prop. prices'!$C$164:$C$238,0),MATCH('Tariff schedule'!S$16,'Prop. prices'!$I$5:$AB$5,0))</f>
        <v>0</v>
      </c>
      <c r="T302" s="232">
        <f>INDEX('Prop. prices'!$I$164:$AB$238,MATCH('Tariff schedule'!$C302,'Prop. prices'!$C$164:$C$238,0),MATCH('Tariff schedule'!T$16,'Prop. prices'!$I$5:$AB$5,0))</f>
        <v>0</v>
      </c>
      <c r="U302" s="232">
        <f>INDEX('Prop. prices'!$I$164:$AB$238,MATCH('Tariff schedule'!$C302,'Prop. prices'!$C$164:$C$238,0),MATCH('Tariff schedule'!U$16,'Prop. prices'!$I$5:$AB$5,0))</f>
        <v>0</v>
      </c>
      <c r="V302" s="232">
        <f>INDEX('Prop. prices'!$I$164:$AB$238,MATCH('Tariff schedule'!$C302,'Prop. prices'!$C$164:$C$238,0),MATCH('Tariff schedule'!V$16,'Prop. prices'!$I$5:$AB$5,0))</f>
        <v>0</v>
      </c>
      <c r="W302" s="232">
        <f>INDEX('Prop. prices'!$I$164:$AB$238,MATCH('Tariff schedule'!$C302,'Prop. prices'!$C$164:$C$238,0),MATCH('Tariff schedule'!W$16,'Prop. prices'!$I$5:$AB$5,0))</f>
        <v>0</v>
      </c>
      <c r="X302" s="232">
        <f>INDEX('Prop. prices'!$I$164:$AB$238,MATCH('Tariff schedule'!$C302,'Prop. prices'!$C$164:$C$238,0),MATCH('Tariff schedule'!X$16,'Prop. prices'!$I$5:$AB$5,0))</f>
        <v>0</v>
      </c>
      <c r="Y302" s="232">
        <f>INDEX('Prop. prices'!$I$164:$AB$238,MATCH('Tariff schedule'!$C302,'Prop. prices'!$C$164:$C$238,0),MATCH('Tariff schedule'!Y$16,'Prop. prices'!$I$5:$AB$5,0))</f>
        <v>0</v>
      </c>
      <c r="Z302" s="232">
        <f>INDEX('Prop. prices'!$I$164:$AB$238,MATCH('Tariff schedule'!$C302,'Prop. prices'!$C$164:$C$238,0),MATCH('Tariff schedule'!Z$16,'Prop. prices'!$I$5:$AB$5,0))</f>
        <v>0</v>
      </c>
      <c r="AA302" s="232">
        <f>INDEX('Prop. prices'!$I$164:$AB$238,MATCH('Tariff schedule'!$C302,'Prop. prices'!$C$164:$C$238,0),MATCH('Tariff schedule'!AA$16,'Prop. prices'!$I$5:$AB$5,0))</f>
        <v>0</v>
      </c>
      <c r="AB302" s="232">
        <f>INDEX('Prop. prices'!$I$164:$AB$238,MATCH('Tariff schedule'!$C302,'Prop. prices'!$C$164:$C$238,0),MATCH('Tariff schedule'!AB$16,'Prop. prices'!$I$5:$AB$5,0))</f>
        <v>0</v>
      </c>
      <c r="AC302" s="70"/>
      <c r="AD302" s="19"/>
      <c r="AE302" s="19"/>
      <c r="AF302" s="19"/>
      <c r="AG302" s="19"/>
    </row>
    <row r="303" spans="1:33" hidden="1" outlineLevel="3" x14ac:dyDescent="0.2">
      <c r="A303" s="19"/>
      <c r="B303" s="19"/>
      <c r="C303" s="506">
        <f t="shared" ref="C303:G312" si="96">C69</f>
        <v>0</v>
      </c>
      <c r="D303" s="505">
        <f t="shared" si="96"/>
        <v>0</v>
      </c>
      <c r="E303" s="505">
        <f t="shared" si="96"/>
        <v>0</v>
      </c>
      <c r="F303" s="505">
        <f t="shared" si="96"/>
        <v>0</v>
      </c>
      <c r="G303" s="505">
        <f t="shared" si="96"/>
        <v>0</v>
      </c>
      <c r="H303" s="58"/>
      <c r="I303" s="232">
        <f>INDEX('Prop. prices'!$I$164:$AB$238,MATCH('Tariff schedule'!$C303,'Prop. prices'!$C$164:$C$238,0),MATCH('Tariff schedule'!I$16,'Prop. prices'!$I$5:$AB$5,0))</f>
        <v>0</v>
      </c>
      <c r="J303" s="232">
        <f>INDEX('Prop. prices'!$I$164:$AB$238,MATCH('Tariff schedule'!$C303,'Prop. prices'!$C$164:$C$238,0),MATCH('Tariff schedule'!J$16,'Prop. prices'!$I$5:$AB$5,0))</f>
        <v>0</v>
      </c>
      <c r="K303" s="232">
        <f>INDEX('Prop. prices'!$I$164:$AB$238,MATCH('Tariff schedule'!$C303,'Prop. prices'!$C$164:$C$238,0),MATCH('Tariff schedule'!K$16,'Prop. prices'!$I$5:$AB$5,0))</f>
        <v>0</v>
      </c>
      <c r="L303" s="232">
        <f>INDEX('Prop. prices'!$I$164:$AB$238,MATCH('Tariff schedule'!$C303,'Prop. prices'!$C$164:$C$238,0),MATCH('Tariff schedule'!L$16,'Prop. prices'!$I$5:$AB$5,0))</f>
        <v>0</v>
      </c>
      <c r="M303" s="232">
        <f>INDEX('Prop. prices'!$I$164:$AB$238,MATCH('Tariff schedule'!$C303,'Prop. prices'!$C$164:$C$238,0),MATCH('Tariff schedule'!M$16,'Prop. prices'!$I$5:$AB$5,0))</f>
        <v>0</v>
      </c>
      <c r="N303" s="232">
        <f>INDEX('Prop. prices'!$I$164:$AB$238,MATCH('Tariff schedule'!$C303,'Prop. prices'!$C$164:$C$238,0),MATCH('Tariff schedule'!N$16,'Prop. prices'!$I$5:$AB$5,0))</f>
        <v>0</v>
      </c>
      <c r="O303" s="232">
        <f>INDEX('Prop. prices'!$I$164:$AB$238,MATCH('Tariff schedule'!$C303,'Prop. prices'!$C$164:$C$238,0),MATCH('Tariff schedule'!O$16,'Prop. prices'!$I$5:$AB$5,0))</f>
        <v>0</v>
      </c>
      <c r="P303" s="232">
        <f>INDEX('Prop. prices'!$I$164:$AB$238,MATCH('Tariff schedule'!$C303,'Prop. prices'!$C$164:$C$238,0),MATCH('Tariff schedule'!P$16,'Prop. prices'!$I$5:$AB$5,0))</f>
        <v>0</v>
      </c>
      <c r="Q303" s="232">
        <f>INDEX('Prop. prices'!$I$164:$AB$238,MATCH('Tariff schedule'!$C303,'Prop. prices'!$C$164:$C$238,0),MATCH('Tariff schedule'!Q$16,'Prop. prices'!$I$5:$AB$5,0))</f>
        <v>0</v>
      </c>
      <c r="R303" s="232">
        <f>INDEX('Prop. prices'!$I$164:$AB$238,MATCH('Tariff schedule'!$C303,'Prop. prices'!$C$164:$C$238,0),MATCH('Tariff schedule'!R$16,'Prop. prices'!$I$5:$AB$5,0))</f>
        <v>0</v>
      </c>
      <c r="S303" s="232">
        <f>INDEX('Prop. prices'!$I$164:$AB$238,MATCH('Tariff schedule'!$C303,'Prop. prices'!$C$164:$C$238,0),MATCH('Tariff schedule'!S$16,'Prop. prices'!$I$5:$AB$5,0))</f>
        <v>0</v>
      </c>
      <c r="T303" s="232">
        <f>INDEX('Prop. prices'!$I$164:$AB$238,MATCH('Tariff schedule'!$C303,'Prop. prices'!$C$164:$C$238,0),MATCH('Tariff schedule'!T$16,'Prop. prices'!$I$5:$AB$5,0))</f>
        <v>0</v>
      </c>
      <c r="U303" s="232">
        <f>INDEX('Prop. prices'!$I$164:$AB$238,MATCH('Tariff schedule'!$C303,'Prop. prices'!$C$164:$C$238,0),MATCH('Tariff schedule'!U$16,'Prop. prices'!$I$5:$AB$5,0))</f>
        <v>0</v>
      </c>
      <c r="V303" s="232">
        <f>INDEX('Prop. prices'!$I$164:$AB$238,MATCH('Tariff schedule'!$C303,'Prop. prices'!$C$164:$C$238,0),MATCH('Tariff schedule'!V$16,'Prop. prices'!$I$5:$AB$5,0))</f>
        <v>0</v>
      </c>
      <c r="W303" s="232">
        <f>INDEX('Prop. prices'!$I$164:$AB$238,MATCH('Tariff schedule'!$C303,'Prop. prices'!$C$164:$C$238,0),MATCH('Tariff schedule'!W$16,'Prop. prices'!$I$5:$AB$5,0))</f>
        <v>0</v>
      </c>
      <c r="X303" s="232">
        <f>INDEX('Prop. prices'!$I$164:$AB$238,MATCH('Tariff schedule'!$C303,'Prop. prices'!$C$164:$C$238,0),MATCH('Tariff schedule'!X$16,'Prop. prices'!$I$5:$AB$5,0))</f>
        <v>0</v>
      </c>
      <c r="Y303" s="232">
        <f>INDEX('Prop. prices'!$I$164:$AB$238,MATCH('Tariff schedule'!$C303,'Prop. prices'!$C$164:$C$238,0),MATCH('Tariff schedule'!Y$16,'Prop. prices'!$I$5:$AB$5,0))</f>
        <v>0</v>
      </c>
      <c r="Z303" s="232">
        <f>INDEX('Prop. prices'!$I$164:$AB$238,MATCH('Tariff schedule'!$C303,'Prop. prices'!$C$164:$C$238,0),MATCH('Tariff schedule'!Z$16,'Prop. prices'!$I$5:$AB$5,0))</f>
        <v>0</v>
      </c>
      <c r="AA303" s="232">
        <f>INDEX('Prop. prices'!$I$164:$AB$238,MATCH('Tariff schedule'!$C303,'Prop. prices'!$C$164:$C$238,0),MATCH('Tariff schedule'!AA$16,'Prop. prices'!$I$5:$AB$5,0))</f>
        <v>0</v>
      </c>
      <c r="AB303" s="232">
        <f>INDEX('Prop. prices'!$I$164:$AB$238,MATCH('Tariff schedule'!$C303,'Prop. prices'!$C$164:$C$238,0),MATCH('Tariff schedule'!AB$16,'Prop. prices'!$I$5:$AB$5,0))</f>
        <v>0</v>
      </c>
      <c r="AC303" s="70"/>
      <c r="AD303" s="19"/>
      <c r="AE303" s="19"/>
      <c r="AF303" s="19"/>
      <c r="AG303" s="19"/>
    </row>
    <row r="304" spans="1:33" hidden="1" outlineLevel="3" x14ac:dyDescent="0.2">
      <c r="A304" s="19"/>
      <c r="B304" s="19"/>
      <c r="C304" s="506">
        <f t="shared" si="96"/>
        <v>0</v>
      </c>
      <c r="D304" s="505">
        <f t="shared" si="96"/>
        <v>0</v>
      </c>
      <c r="E304" s="505">
        <f t="shared" si="96"/>
        <v>0</v>
      </c>
      <c r="F304" s="505">
        <f t="shared" si="96"/>
        <v>0</v>
      </c>
      <c r="G304" s="505">
        <f t="shared" si="96"/>
        <v>0</v>
      </c>
      <c r="H304" s="58"/>
      <c r="I304" s="232">
        <f>INDEX('Prop. prices'!$I$164:$AB$238,MATCH('Tariff schedule'!$C304,'Prop. prices'!$C$164:$C$238,0),MATCH('Tariff schedule'!I$16,'Prop. prices'!$I$5:$AB$5,0))</f>
        <v>0</v>
      </c>
      <c r="J304" s="232">
        <f>INDEX('Prop. prices'!$I$164:$AB$238,MATCH('Tariff schedule'!$C304,'Prop. prices'!$C$164:$C$238,0),MATCH('Tariff schedule'!J$16,'Prop. prices'!$I$5:$AB$5,0))</f>
        <v>0</v>
      </c>
      <c r="K304" s="232">
        <f>INDEX('Prop. prices'!$I$164:$AB$238,MATCH('Tariff schedule'!$C304,'Prop. prices'!$C$164:$C$238,0),MATCH('Tariff schedule'!K$16,'Prop. prices'!$I$5:$AB$5,0))</f>
        <v>0</v>
      </c>
      <c r="L304" s="232">
        <f>INDEX('Prop. prices'!$I$164:$AB$238,MATCH('Tariff schedule'!$C304,'Prop. prices'!$C$164:$C$238,0),MATCH('Tariff schedule'!L$16,'Prop. prices'!$I$5:$AB$5,0))</f>
        <v>0</v>
      </c>
      <c r="M304" s="232">
        <f>INDEX('Prop. prices'!$I$164:$AB$238,MATCH('Tariff schedule'!$C304,'Prop. prices'!$C$164:$C$238,0),MATCH('Tariff schedule'!M$16,'Prop. prices'!$I$5:$AB$5,0))</f>
        <v>0</v>
      </c>
      <c r="N304" s="232">
        <f>INDEX('Prop. prices'!$I$164:$AB$238,MATCH('Tariff schedule'!$C304,'Prop. prices'!$C$164:$C$238,0),MATCH('Tariff schedule'!N$16,'Prop. prices'!$I$5:$AB$5,0))</f>
        <v>0</v>
      </c>
      <c r="O304" s="232">
        <f>INDEX('Prop. prices'!$I$164:$AB$238,MATCH('Tariff schedule'!$C304,'Prop. prices'!$C$164:$C$238,0),MATCH('Tariff schedule'!O$16,'Prop. prices'!$I$5:$AB$5,0))</f>
        <v>0</v>
      </c>
      <c r="P304" s="232">
        <f>INDEX('Prop. prices'!$I$164:$AB$238,MATCH('Tariff schedule'!$C304,'Prop. prices'!$C$164:$C$238,0),MATCH('Tariff schedule'!P$16,'Prop. prices'!$I$5:$AB$5,0))</f>
        <v>0</v>
      </c>
      <c r="Q304" s="232">
        <f>INDEX('Prop. prices'!$I$164:$AB$238,MATCH('Tariff schedule'!$C304,'Prop. prices'!$C$164:$C$238,0),MATCH('Tariff schedule'!Q$16,'Prop. prices'!$I$5:$AB$5,0))</f>
        <v>0</v>
      </c>
      <c r="R304" s="232">
        <f>INDEX('Prop. prices'!$I$164:$AB$238,MATCH('Tariff schedule'!$C304,'Prop. prices'!$C$164:$C$238,0),MATCH('Tariff schedule'!R$16,'Prop. prices'!$I$5:$AB$5,0))</f>
        <v>0</v>
      </c>
      <c r="S304" s="232">
        <f>INDEX('Prop. prices'!$I$164:$AB$238,MATCH('Tariff schedule'!$C304,'Prop. prices'!$C$164:$C$238,0),MATCH('Tariff schedule'!S$16,'Prop. prices'!$I$5:$AB$5,0))</f>
        <v>0</v>
      </c>
      <c r="T304" s="232">
        <f>INDEX('Prop. prices'!$I$164:$AB$238,MATCH('Tariff schedule'!$C304,'Prop. prices'!$C$164:$C$238,0),MATCH('Tariff schedule'!T$16,'Prop. prices'!$I$5:$AB$5,0))</f>
        <v>0</v>
      </c>
      <c r="U304" s="232">
        <f>INDEX('Prop. prices'!$I$164:$AB$238,MATCH('Tariff schedule'!$C304,'Prop. prices'!$C$164:$C$238,0),MATCH('Tariff schedule'!U$16,'Prop. prices'!$I$5:$AB$5,0))</f>
        <v>0</v>
      </c>
      <c r="V304" s="232">
        <f>INDEX('Prop. prices'!$I$164:$AB$238,MATCH('Tariff schedule'!$C304,'Prop. prices'!$C$164:$C$238,0),MATCH('Tariff schedule'!V$16,'Prop. prices'!$I$5:$AB$5,0))</f>
        <v>0</v>
      </c>
      <c r="W304" s="232">
        <f>INDEX('Prop. prices'!$I$164:$AB$238,MATCH('Tariff schedule'!$C304,'Prop. prices'!$C$164:$C$238,0),MATCH('Tariff schedule'!W$16,'Prop. prices'!$I$5:$AB$5,0))</f>
        <v>0</v>
      </c>
      <c r="X304" s="232">
        <f>INDEX('Prop. prices'!$I$164:$AB$238,MATCH('Tariff schedule'!$C304,'Prop. prices'!$C$164:$C$238,0),MATCH('Tariff schedule'!X$16,'Prop. prices'!$I$5:$AB$5,0))</f>
        <v>0</v>
      </c>
      <c r="Y304" s="232">
        <f>INDEX('Prop. prices'!$I$164:$AB$238,MATCH('Tariff schedule'!$C304,'Prop. prices'!$C$164:$C$238,0),MATCH('Tariff schedule'!Y$16,'Prop. prices'!$I$5:$AB$5,0))</f>
        <v>0</v>
      </c>
      <c r="Z304" s="232">
        <f>INDEX('Prop. prices'!$I$164:$AB$238,MATCH('Tariff schedule'!$C304,'Prop. prices'!$C$164:$C$238,0),MATCH('Tariff schedule'!Z$16,'Prop. prices'!$I$5:$AB$5,0))</f>
        <v>0</v>
      </c>
      <c r="AA304" s="232">
        <f>INDEX('Prop. prices'!$I$164:$AB$238,MATCH('Tariff schedule'!$C304,'Prop. prices'!$C$164:$C$238,0),MATCH('Tariff schedule'!AA$16,'Prop. prices'!$I$5:$AB$5,0))</f>
        <v>0</v>
      </c>
      <c r="AB304" s="232">
        <f>INDEX('Prop. prices'!$I$164:$AB$238,MATCH('Tariff schedule'!$C304,'Prop. prices'!$C$164:$C$238,0),MATCH('Tariff schedule'!AB$16,'Prop. prices'!$I$5:$AB$5,0))</f>
        <v>0</v>
      </c>
      <c r="AC304" s="70"/>
      <c r="AD304" s="19"/>
      <c r="AE304" s="19"/>
      <c r="AF304" s="19"/>
      <c r="AG304" s="19"/>
    </row>
    <row r="305" spans="1:33" hidden="1" outlineLevel="3" x14ac:dyDescent="0.2">
      <c r="A305" s="19"/>
      <c r="B305" s="19"/>
      <c r="C305" s="506">
        <f t="shared" si="96"/>
        <v>0</v>
      </c>
      <c r="D305" s="505">
        <f t="shared" si="96"/>
        <v>0</v>
      </c>
      <c r="E305" s="505">
        <f t="shared" si="96"/>
        <v>0</v>
      </c>
      <c r="F305" s="505">
        <f t="shared" si="96"/>
        <v>0</v>
      </c>
      <c r="G305" s="505">
        <f t="shared" si="96"/>
        <v>0</v>
      </c>
      <c r="H305" s="58"/>
      <c r="I305" s="232">
        <f>INDEX('Prop. prices'!$I$164:$AB$238,MATCH('Tariff schedule'!$C305,'Prop. prices'!$C$164:$C$238,0),MATCH('Tariff schedule'!I$16,'Prop. prices'!$I$5:$AB$5,0))</f>
        <v>0</v>
      </c>
      <c r="J305" s="232">
        <f>INDEX('Prop. prices'!$I$164:$AB$238,MATCH('Tariff schedule'!$C305,'Prop. prices'!$C$164:$C$238,0),MATCH('Tariff schedule'!J$16,'Prop. prices'!$I$5:$AB$5,0))</f>
        <v>0</v>
      </c>
      <c r="K305" s="232">
        <f>INDEX('Prop. prices'!$I$164:$AB$238,MATCH('Tariff schedule'!$C305,'Prop. prices'!$C$164:$C$238,0),MATCH('Tariff schedule'!K$16,'Prop. prices'!$I$5:$AB$5,0))</f>
        <v>0</v>
      </c>
      <c r="L305" s="232">
        <f>INDEX('Prop. prices'!$I$164:$AB$238,MATCH('Tariff schedule'!$C305,'Prop. prices'!$C$164:$C$238,0),MATCH('Tariff schedule'!L$16,'Prop. prices'!$I$5:$AB$5,0))</f>
        <v>0</v>
      </c>
      <c r="M305" s="232">
        <f>INDEX('Prop. prices'!$I$164:$AB$238,MATCH('Tariff schedule'!$C305,'Prop. prices'!$C$164:$C$238,0),MATCH('Tariff schedule'!M$16,'Prop. prices'!$I$5:$AB$5,0))</f>
        <v>0</v>
      </c>
      <c r="N305" s="232">
        <f>INDEX('Prop. prices'!$I$164:$AB$238,MATCH('Tariff schedule'!$C305,'Prop. prices'!$C$164:$C$238,0),MATCH('Tariff schedule'!N$16,'Prop. prices'!$I$5:$AB$5,0))</f>
        <v>0</v>
      </c>
      <c r="O305" s="232">
        <f>INDEX('Prop. prices'!$I$164:$AB$238,MATCH('Tariff schedule'!$C305,'Prop. prices'!$C$164:$C$238,0),MATCH('Tariff schedule'!O$16,'Prop. prices'!$I$5:$AB$5,0))</f>
        <v>0</v>
      </c>
      <c r="P305" s="232">
        <f>INDEX('Prop. prices'!$I$164:$AB$238,MATCH('Tariff schedule'!$C305,'Prop. prices'!$C$164:$C$238,0),MATCH('Tariff schedule'!P$16,'Prop. prices'!$I$5:$AB$5,0))</f>
        <v>0</v>
      </c>
      <c r="Q305" s="232">
        <f>INDEX('Prop. prices'!$I$164:$AB$238,MATCH('Tariff schedule'!$C305,'Prop. prices'!$C$164:$C$238,0),MATCH('Tariff schedule'!Q$16,'Prop. prices'!$I$5:$AB$5,0))</f>
        <v>0</v>
      </c>
      <c r="R305" s="232">
        <f>INDEX('Prop. prices'!$I$164:$AB$238,MATCH('Tariff schedule'!$C305,'Prop. prices'!$C$164:$C$238,0),MATCH('Tariff schedule'!R$16,'Prop. prices'!$I$5:$AB$5,0))</f>
        <v>0</v>
      </c>
      <c r="S305" s="232">
        <f>INDEX('Prop. prices'!$I$164:$AB$238,MATCH('Tariff schedule'!$C305,'Prop. prices'!$C$164:$C$238,0),MATCH('Tariff schedule'!S$16,'Prop. prices'!$I$5:$AB$5,0))</f>
        <v>0</v>
      </c>
      <c r="T305" s="232">
        <f>INDEX('Prop. prices'!$I$164:$AB$238,MATCH('Tariff schedule'!$C305,'Prop. prices'!$C$164:$C$238,0),MATCH('Tariff schedule'!T$16,'Prop. prices'!$I$5:$AB$5,0))</f>
        <v>0</v>
      </c>
      <c r="U305" s="232">
        <f>INDEX('Prop. prices'!$I$164:$AB$238,MATCH('Tariff schedule'!$C305,'Prop. prices'!$C$164:$C$238,0),MATCH('Tariff schedule'!U$16,'Prop. prices'!$I$5:$AB$5,0))</f>
        <v>0</v>
      </c>
      <c r="V305" s="232">
        <f>INDEX('Prop. prices'!$I$164:$AB$238,MATCH('Tariff schedule'!$C305,'Prop. prices'!$C$164:$C$238,0),MATCH('Tariff schedule'!V$16,'Prop. prices'!$I$5:$AB$5,0))</f>
        <v>0</v>
      </c>
      <c r="W305" s="232">
        <f>INDEX('Prop. prices'!$I$164:$AB$238,MATCH('Tariff schedule'!$C305,'Prop. prices'!$C$164:$C$238,0),MATCH('Tariff schedule'!W$16,'Prop. prices'!$I$5:$AB$5,0))</f>
        <v>0</v>
      </c>
      <c r="X305" s="232">
        <f>INDEX('Prop. prices'!$I$164:$AB$238,MATCH('Tariff schedule'!$C305,'Prop. prices'!$C$164:$C$238,0),MATCH('Tariff schedule'!X$16,'Prop. prices'!$I$5:$AB$5,0))</f>
        <v>0</v>
      </c>
      <c r="Y305" s="232">
        <f>INDEX('Prop. prices'!$I$164:$AB$238,MATCH('Tariff schedule'!$C305,'Prop. prices'!$C$164:$C$238,0),MATCH('Tariff schedule'!Y$16,'Prop. prices'!$I$5:$AB$5,0))</f>
        <v>0</v>
      </c>
      <c r="Z305" s="232">
        <f>INDEX('Prop. prices'!$I$164:$AB$238,MATCH('Tariff schedule'!$C305,'Prop. prices'!$C$164:$C$238,0),MATCH('Tariff schedule'!Z$16,'Prop. prices'!$I$5:$AB$5,0))</f>
        <v>0</v>
      </c>
      <c r="AA305" s="232">
        <f>INDEX('Prop. prices'!$I$164:$AB$238,MATCH('Tariff schedule'!$C305,'Prop. prices'!$C$164:$C$238,0),MATCH('Tariff schedule'!AA$16,'Prop. prices'!$I$5:$AB$5,0))</f>
        <v>0</v>
      </c>
      <c r="AB305" s="232">
        <f>INDEX('Prop. prices'!$I$164:$AB$238,MATCH('Tariff schedule'!$C305,'Prop. prices'!$C$164:$C$238,0),MATCH('Tariff schedule'!AB$16,'Prop. prices'!$I$5:$AB$5,0))</f>
        <v>0</v>
      </c>
      <c r="AC305" s="70"/>
      <c r="AD305" s="19"/>
      <c r="AE305" s="19"/>
      <c r="AF305" s="19"/>
      <c r="AG305" s="19"/>
    </row>
    <row r="306" spans="1:33" hidden="1" outlineLevel="3" x14ac:dyDescent="0.2">
      <c r="A306" s="19"/>
      <c r="B306" s="19"/>
      <c r="C306" s="506">
        <f t="shared" si="96"/>
        <v>0</v>
      </c>
      <c r="D306" s="505">
        <f t="shared" si="96"/>
        <v>0</v>
      </c>
      <c r="E306" s="505">
        <f t="shared" si="96"/>
        <v>0</v>
      </c>
      <c r="F306" s="505">
        <f t="shared" si="96"/>
        <v>0</v>
      </c>
      <c r="G306" s="505">
        <f t="shared" si="96"/>
        <v>0</v>
      </c>
      <c r="H306" s="58"/>
      <c r="I306" s="232">
        <f>INDEX('Prop. prices'!$I$164:$AB$238,MATCH('Tariff schedule'!$C306,'Prop. prices'!$C$164:$C$238,0),MATCH('Tariff schedule'!I$16,'Prop. prices'!$I$5:$AB$5,0))</f>
        <v>0</v>
      </c>
      <c r="J306" s="232">
        <f>INDEX('Prop. prices'!$I$164:$AB$238,MATCH('Tariff schedule'!$C306,'Prop. prices'!$C$164:$C$238,0),MATCH('Tariff schedule'!J$16,'Prop. prices'!$I$5:$AB$5,0))</f>
        <v>0</v>
      </c>
      <c r="K306" s="232">
        <f>INDEX('Prop. prices'!$I$164:$AB$238,MATCH('Tariff schedule'!$C306,'Prop. prices'!$C$164:$C$238,0),MATCH('Tariff schedule'!K$16,'Prop. prices'!$I$5:$AB$5,0))</f>
        <v>0</v>
      </c>
      <c r="L306" s="232">
        <f>INDEX('Prop. prices'!$I$164:$AB$238,MATCH('Tariff schedule'!$C306,'Prop. prices'!$C$164:$C$238,0),MATCH('Tariff schedule'!L$16,'Prop. prices'!$I$5:$AB$5,0))</f>
        <v>0</v>
      </c>
      <c r="M306" s="232">
        <f>INDEX('Prop. prices'!$I$164:$AB$238,MATCH('Tariff schedule'!$C306,'Prop. prices'!$C$164:$C$238,0),MATCH('Tariff schedule'!M$16,'Prop. prices'!$I$5:$AB$5,0))</f>
        <v>0</v>
      </c>
      <c r="N306" s="232">
        <f>INDEX('Prop. prices'!$I$164:$AB$238,MATCH('Tariff schedule'!$C306,'Prop. prices'!$C$164:$C$238,0),MATCH('Tariff schedule'!N$16,'Prop. prices'!$I$5:$AB$5,0))</f>
        <v>0</v>
      </c>
      <c r="O306" s="232">
        <f>INDEX('Prop. prices'!$I$164:$AB$238,MATCH('Tariff schedule'!$C306,'Prop. prices'!$C$164:$C$238,0),MATCH('Tariff schedule'!O$16,'Prop. prices'!$I$5:$AB$5,0))</f>
        <v>0</v>
      </c>
      <c r="P306" s="232">
        <f>INDEX('Prop. prices'!$I$164:$AB$238,MATCH('Tariff schedule'!$C306,'Prop. prices'!$C$164:$C$238,0),MATCH('Tariff schedule'!P$16,'Prop. prices'!$I$5:$AB$5,0))</f>
        <v>0</v>
      </c>
      <c r="Q306" s="232">
        <f>INDEX('Prop. prices'!$I$164:$AB$238,MATCH('Tariff schedule'!$C306,'Prop. prices'!$C$164:$C$238,0),MATCH('Tariff schedule'!Q$16,'Prop. prices'!$I$5:$AB$5,0))</f>
        <v>0</v>
      </c>
      <c r="R306" s="232">
        <f>INDEX('Prop. prices'!$I$164:$AB$238,MATCH('Tariff schedule'!$C306,'Prop. prices'!$C$164:$C$238,0),MATCH('Tariff schedule'!R$16,'Prop. prices'!$I$5:$AB$5,0))</f>
        <v>0</v>
      </c>
      <c r="S306" s="232">
        <f>INDEX('Prop. prices'!$I$164:$AB$238,MATCH('Tariff schedule'!$C306,'Prop. prices'!$C$164:$C$238,0),MATCH('Tariff schedule'!S$16,'Prop. prices'!$I$5:$AB$5,0))</f>
        <v>0</v>
      </c>
      <c r="T306" s="232">
        <f>INDEX('Prop. prices'!$I$164:$AB$238,MATCH('Tariff schedule'!$C306,'Prop. prices'!$C$164:$C$238,0),MATCH('Tariff schedule'!T$16,'Prop. prices'!$I$5:$AB$5,0))</f>
        <v>0</v>
      </c>
      <c r="U306" s="232">
        <f>INDEX('Prop. prices'!$I$164:$AB$238,MATCH('Tariff schedule'!$C306,'Prop. prices'!$C$164:$C$238,0),MATCH('Tariff schedule'!U$16,'Prop. prices'!$I$5:$AB$5,0))</f>
        <v>0</v>
      </c>
      <c r="V306" s="232">
        <f>INDEX('Prop. prices'!$I$164:$AB$238,MATCH('Tariff schedule'!$C306,'Prop. prices'!$C$164:$C$238,0),MATCH('Tariff schedule'!V$16,'Prop. prices'!$I$5:$AB$5,0))</f>
        <v>0</v>
      </c>
      <c r="W306" s="232">
        <f>INDEX('Prop. prices'!$I$164:$AB$238,MATCH('Tariff schedule'!$C306,'Prop. prices'!$C$164:$C$238,0),MATCH('Tariff schedule'!W$16,'Prop. prices'!$I$5:$AB$5,0))</f>
        <v>0</v>
      </c>
      <c r="X306" s="232">
        <f>INDEX('Prop. prices'!$I$164:$AB$238,MATCH('Tariff schedule'!$C306,'Prop. prices'!$C$164:$C$238,0),MATCH('Tariff schedule'!X$16,'Prop. prices'!$I$5:$AB$5,0))</f>
        <v>0</v>
      </c>
      <c r="Y306" s="232">
        <f>INDEX('Prop. prices'!$I$164:$AB$238,MATCH('Tariff schedule'!$C306,'Prop. prices'!$C$164:$C$238,0),MATCH('Tariff schedule'!Y$16,'Prop. prices'!$I$5:$AB$5,0))</f>
        <v>0</v>
      </c>
      <c r="Z306" s="232">
        <f>INDEX('Prop. prices'!$I$164:$AB$238,MATCH('Tariff schedule'!$C306,'Prop. prices'!$C$164:$C$238,0),MATCH('Tariff schedule'!Z$16,'Prop. prices'!$I$5:$AB$5,0))</f>
        <v>0</v>
      </c>
      <c r="AA306" s="232">
        <f>INDEX('Prop. prices'!$I$164:$AB$238,MATCH('Tariff schedule'!$C306,'Prop. prices'!$C$164:$C$238,0),MATCH('Tariff schedule'!AA$16,'Prop. prices'!$I$5:$AB$5,0))</f>
        <v>0</v>
      </c>
      <c r="AB306" s="232">
        <f>INDEX('Prop. prices'!$I$164:$AB$238,MATCH('Tariff schedule'!$C306,'Prop. prices'!$C$164:$C$238,0),MATCH('Tariff schedule'!AB$16,'Prop. prices'!$I$5:$AB$5,0))</f>
        <v>0</v>
      </c>
      <c r="AC306" s="70"/>
      <c r="AD306" s="19"/>
      <c r="AE306" s="19"/>
      <c r="AF306" s="19"/>
      <c r="AG306" s="19"/>
    </row>
    <row r="307" spans="1:33" hidden="1" outlineLevel="3" x14ac:dyDescent="0.2">
      <c r="A307" s="19"/>
      <c r="B307" s="19"/>
      <c r="C307" s="506">
        <f t="shared" si="96"/>
        <v>0</v>
      </c>
      <c r="D307" s="505">
        <f t="shared" si="96"/>
        <v>0</v>
      </c>
      <c r="E307" s="505">
        <f t="shared" si="96"/>
        <v>0</v>
      </c>
      <c r="F307" s="505">
        <f t="shared" si="96"/>
        <v>0</v>
      </c>
      <c r="G307" s="505">
        <f t="shared" si="96"/>
        <v>0</v>
      </c>
      <c r="H307" s="58"/>
      <c r="I307" s="232">
        <f>INDEX('Prop. prices'!$I$164:$AB$238,MATCH('Tariff schedule'!$C307,'Prop. prices'!$C$164:$C$238,0),MATCH('Tariff schedule'!I$16,'Prop. prices'!$I$5:$AB$5,0))</f>
        <v>0</v>
      </c>
      <c r="J307" s="232">
        <f>INDEX('Prop. prices'!$I$164:$AB$238,MATCH('Tariff schedule'!$C307,'Prop. prices'!$C$164:$C$238,0),MATCH('Tariff schedule'!J$16,'Prop. prices'!$I$5:$AB$5,0))</f>
        <v>0</v>
      </c>
      <c r="K307" s="232">
        <f>INDEX('Prop. prices'!$I$164:$AB$238,MATCH('Tariff schedule'!$C307,'Prop. prices'!$C$164:$C$238,0),MATCH('Tariff schedule'!K$16,'Prop. prices'!$I$5:$AB$5,0))</f>
        <v>0</v>
      </c>
      <c r="L307" s="232">
        <f>INDEX('Prop. prices'!$I$164:$AB$238,MATCH('Tariff schedule'!$C307,'Prop. prices'!$C$164:$C$238,0),MATCH('Tariff schedule'!L$16,'Prop. prices'!$I$5:$AB$5,0))</f>
        <v>0</v>
      </c>
      <c r="M307" s="232">
        <f>INDEX('Prop. prices'!$I$164:$AB$238,MATCH('Tariff schedule'!$C307,'Prop. prices'!$C$164:$C$238,0),MATCH('Tariff schedule'!M$16,'Prop. prices'!$I$5:$AB$5,0))</f>
        <v>0</v>
      </c>
      <c r="N307" s="232">
        <f>INDEX('Prop. prices'!$I$164:$AB$238,MATCH('Tariff schedule'!$C307,'Prop. prices'!$C$164:$C$238,0),MATCH('Tariff schedule'!N$16,'Prop. prices'!$I$5:$AB$5,0))</f>
        <v>0</v>
      </c>
      <c r="O307" s="232">
        <f>INDEX('Prop. prices'!$I$164:$AB$238,MATCH('Tariff schedule'!$C307,'Prop. prices'!$C$164:$C$238,0),MATCH('Tariff schedule'!O$16,'Prop. prices'!$I$5:$AB$5,0))</f>
        <v>0</v>
      </c>
      <c r="P307" s="232">
        <f>INDEX('Prop. prices'!$I$164:$AB$238,MATCH('Tariff schedule'!$C307,'Prop. prices'!$C$164:$C$238,0),MATCH('Tariff schedule'!P$16,'Prop. prices'!$I$5:$AB$5,0))</f>
        <v>0</v>
      </c>
      <c r="Q307" s="232">
        <f>INDEX('Prop. prices'!$I$164:$AB$238,MATCH('Tariff schedule'!$C307,'Prop. prices'!$C$164:$C$238,0),MATCH('Tariff schedule'!Q$16,'Prop. prices'!$I$5:$AB$5,0))</f>
        <v>0</v>
      </c>
      <c r="R307" s="232">
        <f>INDEX('Prop. prices'!$I$164:$AB$238,MATCH('Tariff schedule'!$C307,'Prop. prices'!$C$164:$C$238,0),MATCH('Tariff schedule'!R$16,'Prop. prices'!$I$5:$AB$5,0))</f>
        <v>0</v>
      </c>
      <c r="S307" s="232">
        <f>INDEX('Prop. prices'!$I$164:$AB$238,MATCH('Tariff schedule'!$C307,'Prop. prices'!$C$164:$C$238,0),MATCH('Tariff schedule'!S$16,'Prop. prices'!$I$5:$AB$5,0))</f>
        <v>0</v>
      </c>
      <c r="T307" s="232">
        <f>INDEX('Prop. prices'!$I$164:$AB$238,MATCH('Tariff schedule'!$C307,'Prop. prices'!$C$164:$C$238,0),MATCH('Tariff schedule'!T$16,'Prop. prices'!$I$5:$AB$5,0))</f>
        <v>0</v>
      </c>
      <c r="U307" s="232">
        <f>INDEX('Prop. prices'!$I$164:$AB$238,MATCH('Tariff schedule'!$C307,'Prop. prices'!$C$164:$C$238,0),MATCH('Tariff schedule'!U$16,'Prop. prices'!$I$5:$AB$5,0))</f>
        <v>0</v>
      </c>
      <c r="V307" s="232">
        <f>INDEX('Prop. prices'!$I$164:$AB$238,MATCH('Tariff schedule'!$C307,'Prop. prices'!$C$164:$C$238,0),MATCH('Tariff schedule'!V$16,'Prop. prices'!$I$5:$AB$5,0))</f>
        <v>0</v>
      </c>
      <c r="W307" s="232">
        <f>INDEX('Prop. prices'!$I$164:$AB$238,MATCH('Tariff schedule'!$C307,'Prop. prices'!$C$164:$C$238,0),MATCH('Tariff schedule'!W$16,'Prop. prices'!$I$5:$AB$5,0))</f>
        <v>0</v>
      </c>
      <c r="X307" s="232">
        <f>INDEX('Prop. prices'!$I$164:$AB$238,MATCH('Tariff schedule'!$C307,'Prop. prices'!$C$164:$C$238,0),MATCH('Tariff schedule'!X$16,'Prop. prices'!$I$5:$AB$5,0))</f>
        <v>0</v>
      </c>
      <c r="Y307" s="232">
        <f>INDEX('Prop. prices'!$I$164:$AB$238,MATCH('Tariff schedule'!$C307,'Prop. prices'!$C$164:$C$238,0),MATCH('Tariff schedule'!Y$16,'Prop. prices'!$I$5:$AB$5,0))</f>
        <v>0</v>
      </c>
      <c r="Z307" s="232">
        <f>INDEX('Prop. prices'!$I$164:$AB$238,MATCH('Tariff schedule'!$C307,'Prop. prices'!$C$164:$C$238,0),MATCH('Tariff schedule'!Z$16,'Prop. prices'!$I$5:$AB$5,0))</f>
        <v>0</v>
      </c>
      <c r="AA307" s="232">
        <f>INDEX('Prop. prices'!$I$164:$AB$238,MATCH('Tariff schedule'!$C307,'Prop. prices'!$C$164:$C$238,0),MATCH('Tariff schedule'!AA$16,'Prop. prices'!$I$5:$AB$5,0))</f>
        <v>0</v>
      </c>
      <c r="AB307" s="232">
        <f>INDEX('Prop. prices'!$I$164:$AB$238,MATCH('Tariff schedule'!$C307,'Prop. prices'!$C$164:$C$238,0),MATCH('Tariff schedule'!AB$16,'Prop. prices'!$I$5:$AB$5,0))</f>
        <v>0</v>
      </c>
      <c r="AC307" s="70"/>
      <c r="AD307" s="19"/>
      <c r="AE307" s="19"/>
      <c r="AF307" s="19"/>
      <c r="AG307" s="19"/>
    </row>
    <row r="308" spans="1:33" hidden="1" outlineLevel="3" x14ac:dyDescent="0.2">
      <c r="A308" s="19"/>
      <c r="B308" s="19"/>
      <c r="C308" s="506">
        <f t="shared" si="96"/>
        <v>0</v>
      </c>
      <c r="D308" s="505">
        <f t="shared" si="96"/>
        <v>0</v>
      </c>
      <c r="E308" s="505">
        <f t="shared" si="96"/>
        <v>0</v>
      </c>
      <c r="F308" s="505">
        <f t="shared" si="96"/>
        <v>0</v>
      </c>
      <c r="G308" s="505">
        <f t="shared" si="96"/>
        <v>0</v>
      </c>
      <c r="H308" s="58"/>
      <c r="I308" s="232">
        <f>INDEX('Prop. prices'!$I$164:$AB$238,MATCH('Tariff schedule'!$C308,'Prop. prices'!$C$164:$C$238,0),MATCH('Tariff schedule'!I$16,'Prop. prices'!$I$5:$AB$5,0))</f>
        <v>0</v>
      </c>
      <c r="J308" s="232">
        <f>INDEX('Prop. prices'!$I$164:$AB$238,MATCH('Tariff schedule'!$C308,'Prop. prices'!$C$164:$C$238,0),MATCH('Tariff schedule'!J$16,'Prop. prices'!$I$5:$AB$5,0))</f>
        <v>0</v>
      </c>
      <c r="K308" s="232">
        <f>INDEX('Prop. prices'!$I$164:$AB$238,MATCH('Tariff schedule'!$C308,'Prop. prices'!$C$164:$C$238,0),MATCH('Tariff schedule'!K$16,'Prop. prices'!$I$5:$AB$5,0))</f>
        <v>0</v>
      </c>
      <c r="L308" s="232">
        <f>INDEX('Prop. prices'!$I$164:$AB$238,MATCH('Tariff schedule'!$C308,'Prop. prices'!$C$164:$C$238,0),MATCH('Tariff schedule'!L$16,'Prop. prices'!$I$5:$AB$5,0))</f>
        <v>0</v>
      </c>
      <c r="M308" s="232">
        <f>INDEX('Prop. prices'!$I$164:$AB$238,MATCH('Tariff schedule'!$C308,'Prop. prices'!$C$164:$C$238,0),MATCH('Tariff schedule'!M$16,'Prop. prices'!$I$5:$AB$5,0))</f>
        <v>0</v>
      </c>
      <c r="N308" s="232">
        <f>INDEX('Prop. prices'!$I$164:$AB$238,MATCH('Tariff schedule'!$C308,'Prop. prices'!$C$164:$C$238,0),MATCH('Tariff schedule'!N$16,'Prop. prices'!$I$5:$AB$5,0))</f>
        <v>0</v>
      </c>
      <c r="O308" s="232">
        <f>INDEX('Prop. prices'!$I$164:$AB$238,MATCH('Tariff schedule'!$C308,'Prop. prices'!$C$164:$C$238,0),MATCH('Tariff schedule'!O$16,'Prop. prices'!$I$5:$AB$5,0))</f>
        <v>0</v>
      </c>
      <c r="P308" s="232">
        <f>INDEX('Prop. prices'!$I$164:$AB$238,MATCH('Tariff schedule'!$C308,'Prop. prices'!$C$164:$C$238,0),MATCH('Tariff schedule'!P$16,'Prop. prices'!$I$5:$AB$5,0))</f>
        <v>0</v>
      </c>
      <c r="Q308" s="232">
        <f>INDEX('Prop. prices'!$I$164:$AB$238,MATCH('Tariff schedule'!$C308,'Prop. prices'!$C$164:$C$238,0),MATCH('Tariff schedule'!Q$16,'Prop. prices'!$I$5:$AB$5,0))</f>
        <v>0</v>
      </c>
      <c r="R308" s="232">
        <f>INDEX('Prop. prices'!$I$164:$AB$238,MATCH('Tariff schedule'!$C308,'Prop. prices'!$C$164:$C$238,0),MATCH('Tariff schedule'!R$16,'Prop. prices'!$I$5:$AB$5,0))</f>
        <v>0</v>
      </c>
      <c r="S308" s="232">
        <f>INDEX('Prop. prices'!$I$164:$AB$238,MATCH('Tariff schedule'!$C308,'Prop. prices'!$C$164:$C$238,0),MATCH('Tariff schedule'!S$16,'Prop. prices'!$I$5:$AB$5,0))</f>
        <v>0</v>
      </c>
      <c r="T308" s="232">
        <f>INDEX('Prop. prices'!$I$164:$AB$238,MATCH('Tariff schedule'!$C308,'Prop. prices'!$C$164:$C$238,0),MATCH('Tariff schedule'!T$16,'Prop. prices'!$I$5:$AB$5,0))</f>
        <v>0</v>
      </c>
      <c r="U308" s="232">
        <f>INDEX('Prop. prices'!$I$164:$AB$238,MATCH('Tariff schedule'!$C308,'Prop. prices'!$C$164:$C$238,0),MATCH('Tariff schedule'!U$16,'Prop. prices'!$I$5:$AB$5,0))</f>
        <v>0</v>
      </c>
      <c r="V308" s="232">
        <f>INDEX('Prop. prices'!$I$164:$AB$238,MATCH('Tariff schedule'!$C308,'Prop. prices'!$C$164:$C$238,0),MATCH('Tariff schedule'!V$16,'Prop. prices'!$I$5:$AB$5,0))</f>
        <v>0</v>
      </c>
      <c r="W308" s="232">
        <f>INDEX('Prop. prices'!$I$164:$AB$238,MATCH('Tariff schedule'!$C308,'Prop. prices'!$C$164:$C$238,0),MATCH('Tariff schedule'!W$16,'Prop. prices'!$I$5:$AB$5,0))</f>
        <v>0</v>
      </c>
      <c r="X308" s="232">
        <f>INDEX('Prop. prices'!$I$164:$AB$238,MATCH('Tariff schedule'!$C308,'Prop. prices'!$C$164:$C$238,0),MATCH('Tariff schedule'!X$16,'Prop. prices'!$I$5:$AB$5,0))</f>
        <v>0</v>
      </c>
      <c r="Y308" s="232">
        <f>INDEX('Prop. prices'!$I$164:$AB$238,MATCH('Tariff schedule'!$C308,'Prop. prices'!$C$164:$C$238,0),MATCH('Tariff schedule'!Y$16,'Prop. prices'!$I$5:$AB$5,0))</f>
        <v>0</v>
      </c>
      <c r="Z308" s="232">
        <f>INDEX('Prop. prices'!$I$164:$AB$238,MATCH('Tariff schedule'!$C308,'Prop. prices'!$C$164:$C$238,0),MATCH('Tariff schedule'!Z$16,'Prop. prices'!$I$5:$AB$5,0))</f>
        <v>0</v>
      </c>
      <c r="AA308" s="232">
        <f>INDEX('Prop. prices'!$I$164:$AB$238,MATCH('Tariff schedule'!$C308,'Prop. prices'!$C$164:$C$238,0),MATCH('Tariff schedule'!AA$16,'Prop. prices'!$I$5:$AB$5,0))</f>
        <v>0</v>
      </c>
      <c r="AB308" s="232">
        <f>INDEX('Prop. prices'!$I$164:$AB$238,MATCH('Tariff schedule'!$C308,'Prop. prices'!$C$164:$C$238,0),MATCH('Tariff schedule'!AB$16,'Prop. prices'!$I$5:$AB$5,0))</f>
        <v>0</v>
      </c>
      <c r="AC308" s="70"/>
      <c r="AD308" s="19"/>
      <c r="AE308" s="19"/>
      <c r="AF308" s="19"/>
      <c r="AG308" s="19"/>
    </row>
    <row r="309" spans="1:33" hidden="1" outlineLevel="3" x14ac:dyDescent="0.2">
      <c r="A309" s="19"/>
      <c r="B309" s="19"/>
      <c r="C309" s="506">
        <f t="shared" si="96"/>
        <v>0</v>
      </c>
      <c r="D309" s="505">
        <f t="shared" si="96"/>
        <v>0</v>
      </c>
      <c r="E309" s="505">
        <f t="shared" si="96"/>
        <v>0</v>
      </c>
      <c r="F309" s="505">
        <f t="shared" si="96"/>
        <v>0</v>
      </c>
      <c r="G309" s="505">
        <f t="shared" si="96"/>
        <v>0</v>
      </c>
      <c r="H309" s="58"/>
      <c r="I309" s="232">
        <f>INDEX('Prop. prices'!$I$164:$AB$238,MATCH('Tariff schedule'!$C309,'Prop. prices'!$C$164:$C$238,0),MATCH('Tariff schedule'!I$16,'Prop. prices'!$I$5:$AB$5,0))</f>
        <v>0</v>
      </c>
      <c r="J309" s="232">
        <f>INDEX('Prop. prices'!$I$164:$AB$238,MATCH('Tariff schedule'!$C309,'Prop. prices'!$C$164:$C$238,0),MATCH('Tariff schedule'!J$16,'Prop. prices'!$I$5:$AB$5,0))</f>
        <v>0</v>
      </c>
      <c r="K309" s="232">
        <f>INDEX('Prop. prices'!$I$164:$AB$238,MATCH('Tariff schedule'!$C309,'Prop. prices'!$C$164:$C$238,0),MATCH('Tariff schedule'!K$16,'Prop. prices'!$I$5:$AB$5,0))</f>
        <v>0</v>
      </c>
      <c r="L309" s="232">
        <f>INDEX('Prop. prices'!$I$164:$AB$238,MATCH('Tariff schedule'!$C309,'Prop. prices'!$C$164:$C$238,0),MATCH('Tariff schedule'!L$16,'Prop. prices'!$I$5:$AB$5,0))</f>
        <v>0</v>
      </c>
      <c r="M309" s="232">
        <f>INDEX('Prop. prices'!$I$164:$AB$238,MATCH('Tariff schedule'!$C309,'Prop. prices'!$C$164:$C$238,0),MATCH('Tariff schedule'!M$16,'Prop. prices'!$I$5:$AB$5,0))</f>
        <v>0</v>
      </c>
      <c r="N309" s="232">
        <f>INDEX('Prop. prices'!$I$164:$AB$238,MATCH('Tariff schedule'!$C309,'Prop. prices'!$C$164:$C$238,0),MATCH('Tariff schedule'!N$16,'Prop. prices'!$I$5:$AB$5,0))</f>
        <v>0</v>
      </c>
      <c r="O309" s="232">
        <f>INDEX('Prop. prices'!$I$164:$AB$238,MATCH('Tariff schedule'!$C309,'Prop. prices'!$C$164:$C$238,0),MATCH('Tariff schedule'!O$16,'Prop. prices'!$I$5:$AB$5,0))</f>
        <v>0</v>
      </c>
      <c r="P309" s="232">
        <f>INDEX('Prop. prices'!$I$164:$AB$238,MATCH('Tariff schedule'!$C309,'Prop. prices'!$C$164:$C$238,0),MATCH('Tariff schedule'!P$16,'Prop. prices'!$I$5:$AB$5,0))</f>
        <v>0</v>
      </c>
      <c r="Q309" s="232">
        <f>INDEX('Prop. prices'!$I$164:$AB$238,MATCH('Tariff schedule'!$C309,'Prop. prices'!$C$164:$C$238,0),MATCH('Tariff schedule'!Q$16,'Prop. prices'!$I$5:$AB$5,0))</f>
        <v>0</v>
      </c>
      <c r="R309" s="232">
        <f>INDEX('Prop. prices'!$I$164:$AB$238,MATCH('Tariff schedule'!$C309,'Prop. prices'!$C$164:$C$238,0),MATCH('Tariff schedule'!R$16,'Prop. prices'!$I$5:$AB$5,0))</f>
        <v>0</v>
      </c>
      <c r="S309" s="232">
        <f>INDEX('Prop. prices'!$I$164:$AB$238,MATCH('Tariff schedule'!$C309,'Prop. prices'!$C$164:$C$238,0),MATCH('Tariff schedule'!S$16,'Prop. prices'!$I$5:$AB$5,0))</f>
        <v>0</v>
      </c>
      <c r="T309" s="232">
        <f>INDEX('Prop. prices'!$I$164:$AB$238,MATCH('Tariff schedule'!$C309,'Prop. prices'!$C$164:$C$238,0),MATCH('Tariff schedule'!T$16,'Prop. prices'!$I$5:$AB$5,0))</f>
        <v>0</v>
      </c>
      <c r="U309" s="232">
        <f>INDEX('Prop. prices'!$I$164:$AB$238,MATCH('Tariff schedule'!$C309,'Prop. prices'!$C$164:$C$238,0),MATCH('Tariff schedule'!U$16,'Prop. prices'!$I$5:$AB$5,0))</f>
        <v>0</v>
      </c>
      <c r="V309" s="232">
        <f>INDEX('Prop. prices'!$I$164:$AB$238,MATCH('Tariff schedule'!$C309,'Prop. prices'!$C$164:$C$238,0),MATCH('Tariff schedule'!V$16,'Prop. prices'!$I$5:$AB$5,0))</f>
        <v>0</v>
      </c>
      <c r="W309" s="232">
        <f>INDEX('Prop. prices'!$I$164:$AB$238,MATCH('Tariff schedule'!$C309,'Prop. prices'!$C$164:$C$238,0),MATCH('Tariff schedule'!W$16,'Prop. prices'!$I$5:$AB$5,0))</f>
        <v>0</v>
      </c>
      <c r="X309" s="232">
        <f>INDEX('Prop. prices'!$I$164:$AB$238,MATCH('Tariff schedule'!$C309,'Prop. prices'!$C$164:$C$238,0),MATCH('Tariff schedule'!X$16,'Prop. prices'!$I$5:$AB$5,0))</f>
        <v>0</v>
      </c>
      <c r="Y309" s="232">
        <f>INDEX('Prop. prices'!$I$164:$AB$238,MATCH('Tariff schedule'!$C309,'Prop. prices'!$C$164:$C$238,0),MATCH('Tariff schedule'!Y$16,'Prop. prices'!$I$5:$AB$5,0))</f>
        <v>0</v>
      </c>
      <c r="Z309" s="232">
        <f>INDEX('Prop. prices'!$I$164:$AB$238,MATCH('Tariff schedule'!$C309,'Prop. prices'!$C$164:$C$238,0),MATCH('Tariff schedule'!Z$16,'Prop. prices'!$I$5:$AB$5,0))</f>
        <v>0</v>
      </c>
      <c r="AA309" s="232">
        <f>INDEX('Prop. prices'!$I$164:$AB$238,MATCH('Tariff schedule'!$C309,'Prop. prices'!$C$164:$C$238,0),MATCH('Tariff schedule'!AA$16,'Prop. prices'!$I$5:$AB$5,0))</f>
        <v>0</v>
      </c>
      <c r="AB309" s="232">
        <f>INDEX('Prop. prices'!$I$164:$AB$238,MATCH('Tariff schedule'!$C309,'Prop. prices'!$C$164:$C$238,0),MATCH('Tariff schedule'!AB$16,'Prop. prices'!$I$5:$AB$5,0))</f>
        <v>0</v>
      </c>
      <c r="AC309" s="70"/>
      <c r="AD309" s="19"/>
      <c r="AE309" s="19"/>
      <c r="AF309" s="19"/>
      <c r="AG309" s="19"/>
    </row>
    <row r="310" spans="1:33" hidden="1" outlineLevel="3" x14ac:dyDescent="0.2">
      <c r="A310" s="19"/>
      <c r="B310" s="19"/>
      <c r="C310" s="506">
        <f t="shared" si="96"/>
        <v>0</v>
      </c>
      <c r="D310" s="505">
        <f t="shared" si="96"/>
        <v>0</v>
      </c>
      <c r="E310" s="505">
        <f t="shared" si="96"/>
        <v>0</v>
      </c>
      <c r="F310" s="505">
        <f t="shared" si="96"/>
        <v>0</v>
      </c>
      <c r="G310" s="505">
        <f t="shared" si="96"/>
        <v>0</v>
      </c>
      <c r="H310" s="58"/>
      <c r="I310" s="232">
        <f>INDEX('Prop. prices'!$I$164:$AB$238,MATCH('Tariff schedule'!$C310,'Prop. prices'!$C$164:$C$238,0),MATCH('Tariff schedule'!I$16,'Prop. prices'!$I$5:$AB$5,0))</f>
        <v>0</v>
      </c>
      <c r="J310" s="232">
        <f>INDEX('Prop. prices'!$I$164:$AB$238,MATCH('Tariff schedule'!$C310,'Prop. prices'!$C$164:$C$238,0),MATCH('Tariff schedule'!J$16,'Prop. prices'!$I$5:$AB$5,0))</f>
        <v>0</v>
      </c>
      <c r="K310" s="232">
        <f>INDEX('Prop. prices'!$I$164:$AB$238,MATCH('Tariff schedule'!$C310,'Prop. prices'!$C$164:$C$238,0),MATCH('Tariff schedule'!K$16,'Prop. prices'!$I$5:$AB$5,0))</f>
        <v>0</v>
      </c>
      <c r="L310" s="232">
        <f>INDEX('Prop. prices'!$I$164:$AB$238,MATCH('Tariff schedule'!$C310,'Prop. prices'!$C$164:$C$238,0),MATCH('Tariff schedule'!L$16,'Prop. prices'!$I$5:$AB$5,0))</f>
        <v>0</v>
      </c>
      <c r="M310" s="232">
        <f>INDEX('Prop. prices'!$I$164:$AB$238,MATCH('Tariff schedule'!$C310,'Prop. prices'!$C$164:$C$238,0),MATCH('Tariff schedule'!M$16,'Prop. prices'!$I$5:$AB$5,0))</f>
        <v>0</v>
      </c>
      <c r="N310" s="232">
        <f>INDEX('Prop. prices'!$I$164:$AB$238,MATCH('Tariff schedule'!$C310,'Prop. prices'!$C$164:$C$238,0),MATCH('Tariff schedule'!N$16,'Prop. prices'!$I$5:$AB$5,0))</f>
        <v>0</v>
      </c>
      <c r="O310" s="232">
        <f>INDEX('Prop. prices'!$I$164:$AB$238,MATCH('Tariff schedule'!$C310,'Prop. prices'!$C$164:$C$238,0),MATCH('Tariff schedule'!O$16,'Prop. prices'!$I$5:$AB$5,0))</f>
        <v>0</v>
      </c>
      <c r="P310" s="232">
        <f>INDEX('Prop. prices'!$I$164:$AB$238,MATCH('Tariff schedule'!$C310,'Prop. prices'!$C$164:$C$238,0),MATCH('Tariff schedule'!P$16,'Prop. prices'!$I$5:$AB$5,0))</f>
        <v>0</v>
      </c>
      <c r="Q310" s="232">
        <f>INDEX('Prop. prices'!$I$164:$AB$238,MATCH('Tariff schedule'!$C310,'Prop. prices'!$C$164:$C$238,0),MATCH('Tariff schedule'!Q$16,'Prop. prices'!$I$5:$AB$5,0))</f>
        <v>0</v>
      </c>
      <c r="R310" s="232">
        <f>INDEX('Prop. prices'!$I$164:$AB$238,MATCH('Tariff schedule'!$C310,'Prop. prices'!$C$164:$C$238,0),MATCH('Tariff schedule'!R$16,'Prop. prices'!$I$5:$AB$5,0))</f>
        <v>0</v>
      </c>
      <c r="S310" s="232">
        <f>INDEX('Prop. prices'!$I$164:$AB$238,MATCH('Tariff schedule'!$C310,'Prop. prices'!$C$164:$C$238,0),MATCH('Tariff schedule'!S$16,'Prop. prices'!$I$5:$AB$5,0))</f>
        <v>0</v>
      </c>
      <c r="T310" s="232">
        <f>INDEX('Prop. prices'!$I$164:$AB$238,MATCH('Tariff schedule'!$C310,'Prop. prices'!$C$164:$C$238,0),MATCH('Tariff schedule'!T$16,'Prop. prices'!$I$5:$AB$5,0))</f>
        <v>0</v>
      </c>
      <c r="U310" s="232">
        <f>INDEX('Prop. prices'!$I$164:$AB$238,MATCH('Tariff schedule'!$C310,'Prop. prices'!$C$164:$C$238,0),MATCH('Tariff schedule'!U$16,'Prop. prices'!$I$5:$AB$5,0))</f>
        <v>0</v>
      </c>
      <c r="V310" s="232">
        <f>INDEX('Prop. prices'!$I$164:$AB$238,MATCH('Tariff schedule'!$C310,'Prop. prices'!$C$164:$C$238,0),MATCH('Tariff schedule'!V$16,'Prop. prices'!$I$5:$AB$5,0))</f>
        <v>0</v>
      </c>
      <c r="W310" s="232">
        <f>INDEX('Prop. prices'!$I$164:$AB$238,MATCH('Tariff schedule'!$C310,'Prop. prices'!$C$164:$C$238,0),MATCH('Tariff schedule'!W$16,'Prop. prices'!$I$5:$AB$5,0))</f>
        <v>0</v>
      </c>
      <c r="X310" s="232">
        <f>INDEX('Prop. prices'!$I$164:$AB$238,MATCH('Tariff schedule'!$C310,'Prop. prices'!$C$164:$C$238,0),MATCH('Tariff schedule'!X$16,'Prop. prices'!$I$5:$AB$5,0))</f>
        <v>0</v>
      </c>
      <c r="Y310" s="232">
        <f>INDEX('Prop. prices'!$I$164:$AB$238,MATCH('Tariff schedule'!$C310,'Prop. prices'!$C$164:$C$238,0),MATCH('Tariff schedule'!Y$16,'Prop. prices'!$I$5:$AB$5,0))</f>
        <v>0</v>
      </c>
      <c r="Z310" s="232">
        <f>INDEX('Prop. prices'!$I$164:$AB$238,MATCH('Tariff schedule'!$C310,'Prop. prices'!$C$164:$C$238,0),MATCH('Tariff schedule'!Z$16,'Prop. prices'!$I$5:$AB$5,0))</f>
        <v>0</v>
      </c>
      <c r="AA310" s="232">
        <f>INDEX('Prop. prices'!$I$164:$AB$238,MATCH('Tariff schedule'!$C310,'Prop. prices'!$C$164:$C$238,0),MATCH('Tariff schedule'!AA$16,'Prop. prices'!$I$5:$AB$5,0))</f>
        <v>0</v>
      </c>
      <c r="AB310" s="232">
        <f>INDEX('Prop. prices'!$I$164:$AB$238,MATCH('Tariff schedule'!$C310,'Prop. prices'!$C$164:$C$238,0),MATCH('Tariff schedule'!AB$16,'Prop. prices'!$I$5:$AB$5,0))</f>
        <v>0</v>
      </c>
      <c r="AC310" s="70"/>
      <c r="AD310" s="19"/>
      <c r="AE310" s="19"/>
      <c r="AF310" s="19"/>
      <c r="AG310" s="19"/>
    </row>
    <row r="311" spans="1:33" hidden="1" outlineLevel="3" x14ac:dyDescent="0.2">
      <c r="A311" s="19"/>
      <c r="B311" s="19"/>
      <c r="C311" s="506">
        <f t="shared" si="96"/>
        <v>0</v>
      </c>
      <c r="D311" s="505">
        <f t="shared" si="96"/>
        <v>0</v>
      </c>
      <c r="E311" s="505">
        <f t="shared" si="96"/>
        <v>0</v>
      </c>
      <c r="F311" s="505">
        <f t="shared" si="96"/>
        <v>0</v>
      </c>
      <c r="G311" s="505">
        <f t="shared" si="96"/>
        <v>0</v>
      </c>
      <c r="H311" s="58"/>
      <c r="I311" s="232">
        <f>INDEX('Prop. prices'!$I$164:$AB$238,MATCH('Tariff schedule'!$C311,'Prop. prices'!$C$164:$C$238,0),MATCH('Tariff schedule'!I$16,'Prop. prices'!$I$5:$AB$5,0))</f>
        <v>0</v>
      </c>
      <c r="J311" s="232">
        <f>INDEX('Prop. prices'!$I$164:$AB$238,MATCH('Tariff schedule'!$C311,'Prop. prices'!$C$164:$C$238,0),MATCH('Tariff schedule'!J$16,'Prop. prices'!$I$5:$AB$5,0))</f>
        <v>0</v>
      </c>
      <c r="K311" s="232">
        <f>INDEX('Prop. prices'!$I$164:$AB$238,MATCH('Tariff schedule'!$C311,'Prop. prices'!$C$164:$C$238,0),MATCH('Tariff schedule'!K$16,'Prop. prices'!$I$5:$AB$5,0))</f>
        <v>0</v>
      </c>
      <c r="L311" s="232">
        <f>INDEX('Prop. prices'!$I$164:$AB$238,MATCH('Tariff schedule'!$C311,'Prop. prices'!$C$164:$C$238,0),MATCH('Tariff schedule'!L$16,'Prop. prices'!$I$5:$AB$5,0))</f>
        <v>0</v>
      </c>
      <c r="M311" s="232">
        <f>INDEX('Prop. prices'!$I$164:$AB$238,MATCH('Tariff schedule'!$C311,'Prop. prices'!$C$164:$C$238,0),MATCH('Tariff schedule'!M$16,'Prop. prices'!$I$5:$AB$5,0))</f>
        <v>0</v>
      </c>
      <c r="N311" s="232">
        <f>INDEX('Prop. prices'!$I$164:$AB$238,MATCH('Tariff schedule'!$C311,'Prop. prices'!$C$164:$C$238,0),MATCH('Tariff schedule'!N$16,'Prop. prices'!$I$5:$AB$5,0))</f>
        <v>0</v>
      </c>
      <c r="O311" s="232">
        <f>INDEX('Prop. prices'!$I$164:$AB$238,MATCH('Tariff schedule'!$C311,'Prop. prices'!$C$164:$C$238,0),MATCH('Tariff schedule'!O$16,'Prop. prices'!$I$5:$AB$5,0))</f>
        <v>0</v>
      </c>
      <c r="P311" s="232">
        <f>INDEX('Prop. prices'!$I$164:$AB$238,MATCH('Tariff schedule'!$C311,'Prop. prices'!$C$164:$C$238,0),MATCH('Tariff schedule'!P$16,'Prop. prices'!$I$5:$AB$5,0))</f>
        <v>0</v>
      </c>
      <c r="Q311" s="232">
        <f>INDEX('Prop. prices'!$I$164:$AB$238,MATCH('Tariff schedule'!$C311,'Prop. prices'!$C$164:$C$238,0),MATCH('Tariff schedule'!Q$16,'Prop. prices'!$I$5:$AB$5,0))</f>
        <v>0</v>
      </c>
      <c r="R311" s="232">
        <f>INDEX('Prop. prices'!$I$164:$AB$238,MATCH('Tariff schedule'!$C311,'Prop. prices'!$C$164:$C$238,0),MATCH('Tariff schedule'!R$16,'Prop. prices'!$I$5:$AB$5,0))</f>
        <v>0</v>
      </c>
      <c r="S311" s="232">
        <f>INDEX('Prop. prices'!$I$164:$AB$238,MATCH('Tariff schedule'!$C311,'Prop. prices'!$C$164:$C$238,0),MATCH('Tariff schedule'!S$16,'Prop. prices'!$I$5:$AB$5,0))</f>
        <v>0</v>
      </c>
      <c r="T311" s="232">
        <f>INDEX('Prop. prices'!$I$164:$AB$238,MATCH('Tariff schedule'!$C311,'Prop. prices'!$C$164:$C$238,0),MATCH('Tariff schedule'!T$16,'Prop. prices'!$I$5:$AB$5,0))</f>
        <v>0</v>
      </c>
      <c r="U311" s="232">
        <f>INDEX('Prop. prices'!$I$164:$AB$238,MATCH('Tariff schedule'!$C311,'Prop. prices'!$C$164:$C$238,0),MATCH('Tariff schedule'!U$16,'Prop. prices'!$I$5:$AB$5,0))</f>
        <v>0</v>
      </c>
      <c r="V311" s="232">
        <f>INDEX('Prop. prices'!$I$164:$AB$238,MATCH('Tariff schedule'!$C311,'Prop. prices'!$C$164:$C$238,0),MATCH('Tariff schedule'!V$16,'Prop. prices'!$I$5:$AB$5,0))</f>
        <v>0</v>
      </c>
      <c r="W311" s="232">
        <f>INDEX('Prop. prices'!$I$164:$AB$238,MATCH('Tariff schedule'!$C311,'Prop. prices'!$C$164:$C$238,0),MATCH('Tariff schedule'!W$16,'Prop. prices'!$I$5:$AB$5,0))</f>
        <v>0</v>
      </c>
      <c r="X311" s="232">
        <f>INDEX('Prop. prices'!$I$164:$AB$238,MATCH('Tariff schedule'!$C311,'Prop. prices'!$C$164:$C$238,0),MATCH('Tariff schedule'!X$16,'Prop. prices'!$I$5:$AB$5,0))</f>
        <v>0</v>
      </c>
      <c r="Y311" s="232">
        <f>INDEX('Prop. prices'!$I$164:$AB$238,MATCH('Tariff schedule'!$C311,'Prop. prices'!$C$164:$C$238,0),MATCH('Tariff schedule'!Y$16,'Prop. prices'!$I$5:$AB$5,0))</f>
        <v>0</v>
      </c>
      <c r="Z311" s="232">
        <f>INDEX('Prop. prices'!$I$164:$AB$238,MATCH('Tariff schedule'!$C311,'Prop. prices'!$C$164:$C$238,0),MATCH('Tariff schedule'!Z$16,'Prop. prices'!$I$5:$AB$5,0))</f>
        <v>0</v>
      </c>
      <c r="AA311" s="232">
        <f>INDEX('Prop. prices'!$I$164:$AB$238,MATCH('Tariff schedule'!$C311,'Prop. prices'!$C$164:$C$238,0),MATCH('Tariff schedule'!AA$16,'Prop. prices'!$I$5:$AB$5,0))</f>
        <v>0</v>
      </c>
      <c r="AB311" s="232">
        <f>INDEX('Prop. prices'!$I$164:$AB$238,MATCH('Tariff schedule'!$C311,'Prop. prices'!$C$164:$C$238,0),MATCH('Tariff schedule'!AB$16,'Prop. prices'!$I$5:$AB$5,0))</f>
        <v>0</v>
      </c>
      <c r="AC311" s="70"/>
      <c r="AD311" s="19"/>
      <c r="AE311" s="19"/>
      <c r="AF311" s="19"/>
      <c r="AG311" s="19"/>
    </row>
    <row r="312" spans="1:33" hidden="1" outlineLevel="3" x14ac:dyDescent="0.2">
      <c r="A312" s="19"/>
      <c r="B312" s="19"/>
      <c r="C312" s="506">
        <f t="shared" si="96"/>
        <v>0</v>
      </c>
      <c r="D312" s="505">
        <f t="shared" si="96"/>
        <v>0</v>
      </c>
      <c r="E312" s="505">
        <f t="shared" si="96"/>
        <v>0</v>
      </c>
      <c r="F312" s="505">
        <f t="shared" si="96"/>
        <v>0</v>
      </c>
      <c r="G312" s="505">
        <f t="shared" si="96"/>
        <v>0</v>
      </c>
      <c r="H312" s="58"/>
      <c r="I312" s="232">
        <f>INDEX('Prop. prices'!$I$164:$AB$238,MATCH('Tariff schedule'!$C312,'Prop. prices'!$C$164:$C$238,0),MATCH('Tariff schedule'!I$16,'Prop. prices'!$I$5:$AB$5,0))</f>
        <v>0</v>
      </c>
      <c r="J312" s="232">
        <f>INDEX('Prop. prices'!$I$164:$AB$238,MATCH('Tariff schedule'!$C312,'Prop. prices'!$C$164:$C$238,0),MATCH('Tariff schedule'!J$16,'Prop. prices'!$I$5:$AB$5,0))</f>
        <v>0</v>
      </c>
      <c r="K312" s="232">
        <f>INDEX('Prop. prices'!$I$164:$AB$238,MATCH('Tariff schedule'!$C312,'Prop. prices'!$C$164:$C$238,0),MATCH('Tariff schedule'!K$16,'Prop. prices'!$I$5:$AB$5,0))</f>
        <v>0</v>
      </c>
      <c r="L312" s="232">
        <f>INDEX('Prop. prices'!$I$164:$AB$238,MATCH('Tariff schedule'!$C312,'Prop. prices'!$C$164:$C$238,0),MATCH('Tariff schedule'!L$16,'Prop. prices'!$I$5:$AB$5,0))</f>
        <v>0</v>
      </c>
      <c r="M312" s="232">
        <f>INDEX('Prop. prices'!$I$164:$AB$238,MATCH('Tariff schedule'!$C312,'Prop. prices'!$C$164:$C$238,0),MATCH('Tariff schedule'!M$16,'Prop. prices'!$I$5:$AB$5,0))</f>
        <v>0</v>
      </c>
      <c r="N312" s="232">
        <f>INDEX('Prop. prices'!$I$164:$AB$238,MATCH('Tariff schedule'!$C312,'Prop. prices'!$C$164:$C$238,0),MATCH('Tariff schedule'!N$16,'Prop. prices'!$I$5:$AB$5,0))</f>
        <v>0</v>
      </c>
      <c r="O312" s="232">
        <f>INDEX('Prop. prices'!$I$164:$AB$238,MATCH('Tariff schedule'!$C312,'Prop. prices'!$C$164:$C$238,0),MATCH('Tariff schedule'!O$16,'Prop. prices'!$I$5:$AB$5,0))</f>
        <v>0</v>
      </c>
      <c r="P312" s="232">
        <f>INDEX('Prop. prices'!$I$164:$AB$238,MATCH('Tariff schedule'!$C312,'Prop. prices'!$C$164:$C$238,0),MATCH('Tariff schedule'!P$16,'Prop. prices'!$I$5:$AB$5,0))</f>
        <v>0</v>
      </c>
      <c r="Q312" s="232">
        <f>INDEX('Prop. prices'!$I$164:$AB$238,MATCH('Tariff schedule'!$C312,'Prop. prices'!$C$164:$C$238,0),MATCH('Tariff schedule'!Q$16,'Prop. prices'!$I$5:$AB$5,0))</f>
        <v>0</v>
      </c>
      <c r="R312" s="232">
        <f>INDEX('Prop. prices'!$I$164:$AB$238,MATCH('Tariff schedule'!$C312,'Prop. prices'!$C$164:$C$238,0),MATCH('Tariff schedule'!R$16,'Prop. prices'!$I$5:$AB$5,0))</f>
        <v>0</v>
      </c>
      <c r="S312" s="232">
        <f>INDEX('Prop. prices'!$I$164:$AB$238,MATCH('Tariff schedule'!$C312,'Prop. prices'!$C$164:$C$238,0),MATCH('Tariff schedule'!S$16,'Prop. prices'!$I$5:$AB$5,0))</f>
        <v>0</v>
      </c>
      <c r="T312" s="232">
        <f>INDEX('Prop. prices'!$I$164:$AB$238,MATCH('Tariff schedule'!$C312,'Prop. prices'!$C$164:$C$238,0),MATCH('Tariff schedule'!T$16,'Prop. prices'!$I$5:$AB$5,0))</f>
        <v>0</v>
      </c>
      <c r="U312" s="232">
        <f>INDEX('Prop. prices'!$I$164:$AB$238,MATCH('Tariff schedule'!$C312,'Prop. prices'!$C$164:$C$238,0),MATCH('Tariff schedule'!U$16,'Prop. prices'!$I$5:$AB$5,0))</f>
        <v>0</v>
      </c>
      <c r="V312" s="232">
        <f>INDEX('Prop. prices'!$I$164:$AB$238,MATCH('Tariff schedule'!$C312,'Prop. prices'!$C$164:$C$238,0),MATCH('Tariff schedule'!V$16,'Prop. prices'!$I$5:$AB$5,0))</f>
        <v>0</v>
      </c>
      <c r="W312" s="232">
        <f>INDEX('Prop. prices'!$I$164:$AB$238,MATCH('Tariff schedule'!$C312,'Prop. prices'!$C$164:$C$238,0),MATCH('Tariff schedule'!W$16,'Prop. prices'!$I$5:$AB$5,0))</f>
        <v>0</v>
      </c>
      <c r="X312" s="232">
        <f>INDEX('Prop. prices'!$I$164:$AB$238,MATCH('Tariff schedule'!$C312,'Prop. prices'!$C$164:$C$238,0),MATCH('Tariff schedule'!X$16,'Prop. prices'!$I$5:$AB$5,0))</f>
        <v>0</v>
      </c>
      <c r="Y312" s="232">
        <f>INDEX('Prop. prices'!$I$164:$AB$238,MATCH('Tariff schedule'!$C312,'Prop. prices'!$C$164:$C$238,0),MATCH('Tariff schedule'!Y$16,'Prop. prices'!$I$5:$AB$5,0))</f>
        <v>0</v>
      </c>
      <c r="Z312" s="232">
        <f>INDEX('Prop. prices'!$I$164:$AB$238,MATCH('Tariff schedule'!$C312,'Prop. prices'!$C$164:$C$238,0),MATCH('Tariff schedule'!Z$16,'Prop. prices'!$I$5:$AB$5,0))</f>
        <v>0</v>
      </c>
      <c r="AA312" s="232">
        <f>INDEX('Prop. prices'!$I$164:$AB$238,MATCH('Tariff schedule'!$C312,'Prop. prices'!$C$164:$C$238,0),MATCH('Tariff schedule'!AA$16,'Prop. prices'!$I$5:$AB$5,0))</f>
        <v>0</v>
      </c>
      <c r="AB312" s="232">
        <f>INDEX('Prop. prices'!$I$164:$AB$238,MATCH('Tariff schedule'!$C312,'Prop. prices'!$C$164:$C$238,0),MATCH('Tariff schedule'!AB$16,'Prop. prices'!$I$5:$AB$5,0))</f>
        <v>0</v>
      </c>
      <c r="AC312" s="70"/>
      <c r="AD312" s="19"/>
      <c r="AE312" s="19"/>
      <c r="AF312" s="19"/>
      <c r="AG312" s="19"/>
    </row>
    <row r="313" spans="1:33" hidden="1" outlineLevel="3" x14ac:dyDescent="0.2">
      <c r="A313" s="19"/>
      <c r="B313" s="19"/>
      <c r="C313" s="506">
        <f t="shared" ref="C313:G322" si="97">C79</f>
        <v>0</v>
      </c>
      <c r="D313" s="505">
        <f t="shared" si="97"/>
        <v>0</v>
      </c>
      <c r="E313" s="505">
        <f t="shared" si="97"/>
        <v>0</v>
      </c>
      <c r="F313" s="505">
        <f t="shared" si="97"/>
        <v>0</v>
      </c>
      <c r="G313" s="505">
        <f t="shared" si="97"/>
        <v>0</v>
      </c>
      <c r="H313" s="58"/>
      <c r="I313" s="232">
        <f>INDEX('Prop. prices'!$I$164:$AB$238,MATCH('Tariff schedule'!$C313,'Prop. prices'!$C$164:$C$238,0),MATCH('Tariff schedule'!I$16,'Prop. prices'!$I$5:$AB$5,0))</f>
        <v>0</v>
      </c>
      <c r="J313" s="232">
        <f>INDEX('Prop. prices'!$I$164:$AB$238,MATCH('Tariff schedule'!$C313,'Prop. prices'!$C$164:$C$238,0),MATCH('Tariff schedule'!J$16,'Prop. prices'!$I$5:$AB$5,0))</f>
        <v>0</v>
      </c>
      <c r="K313" s="232">
        <f>INDEX('Prop. prices'!$I$164:$AB$238,MATCH('Tariff schedule'!$C313,'Prop. prices'!$C$164:$C$238,0),MATCH('Tariff schedule'!K$16,'Prop. prices'!$I$5:$AB$5,0))</f>
        <v>0</v>
      </c>
      <c r="L313" s="232">
        <f>INDEX('Prop. prices'!$I$164:$AB$238,MATCH('Tariff schedule'!$C313,'Prop. prices'!$C$164:$C$238,0),MATCH('Tariff schedule'!L$16,'Prop. prices'!$I$5:$AB$5,0))</f>
        <v>0</v>
      </c>
      <c r="M313" s="232">
        <f>INDEX('Prop. prices'!$I$164:$AB$238,MATCH('Tariff schedule'!$C313,'Prop. prices'!$C$164:$C$238,0),MATCH('Tariff schedule'!M$16,'Prop. prices'!$I$5:$AB$5,0))</f>
        <v>0</v>
      </c>
      <c r="N313" s="232">
        <f>INDEX('Prop. prices'!$I$164:$AB$238,MATCH('Tariff schedule'!$C313,'Prop. prices'!$C$164:$C$238,0),MATCH('Tariff schedule'!N$16,'Prop. prices'!$I$5:$AB$5,0))</f>
        <v>0</v>
      </c>
      <c r="O313" s="232">
        <f>INDEX('Prop. prices'!$I$164:$AB$238,MATCH('Tariff schedule'!$C313,'Prop. prices'!$C$164:$C$238,0),MATCH('Tariff schedule'!O$16,'Prop. prices'!$I$5:$AB$5,0))</f>
        <v>0</v>
      </c>
      <c r="P313" s="232">
        <f>INDEX('Prop. prices'!$I$164:$AB$238,MATCH('Tariff schedule'!$C313,'Prop. prices'!$C$164:$C$238,0),MATCH('Tariff schedule'!P$16,'Prop. prices'!$I$5:$AB$5,0))</f>
        <v>0</v>
      </c>
      <c r="Q313" s="232">
        <f>INDEX('Prop. prices'!$I$164:$AB$238,MATCH('Tariff schedule'!$C313,'Prop. prices'!$C$164:$C$238,0),MATCH('Tariff schedule'!Q$16,'Prop. prices'!$I$5:$AB$5,0))</f>
        <v>0</v>
      </c>
      <c r="R313" s="232">
        <f>INDEX('Prop. prices'!$I$164:$AB$238,MATCH('Tariff schedule'!$C313,'Prop. prices'!$C$164:$C$238,0),MATCH('Tariff schedule'!R$16,'Prop. prices'!$I$5:$AB$5,0))</f>
        <v>0</v>
      </c>
      <c r="S313" s="232">
        <f>INDEX('Prop. prices'!$I$164:$AB$238,MATCH('Tariff schedule'!$C313,'Prop. prices'!$C$164:$C$238,0),MATCH('Tariff schedule'!S$16,'Prop. prices'!$I$5:$AB$5,0))</f>
        <v>0</v>
      </c>
      <c r="T313" s="232">
        <f>INDEX('Prop. prices'!$I$164:$AB$238,MATCH('Tariff schedule'!$C313,'Prop. prices'!$C$164:$C$238,0),MATCH('Tariff schedule'!T$16,'Prop. prices'!$I$5:$AB$5,0))</f>
        <v>0</v>
      </c>
      <c r="U313" s="232">
        <f>INDEX('Prop. prices'!$I$164:$AB$238,MATCH('Tariff schedule'!$C313,'Prop. prices'!$C$164:$C$238,0),MATCH('Tariff schedule'!U$16,'Prop. prices'!$I$5:$AB$5,0))</f>
        <v>0</v>
      </c>
      <c r="V313" s="232">
        <f>INDEX('Prop. prices'!$I$164:$AB$238,MATCH('Tariff schedule'!$C313,'Prop. prices'!$C$164:$C$238,0),MATCH('Tariff schedule'!V$16,'Prop. prices'!$I$5:$AB$5,0))</f>
        <v>0</v>
      </c>
      <c r="W313" s="232">
        <f>INDEX('Prop. prices'!$I$164:$AB$238,MATCH('Tariff schedule'!$C313,'Prop. prices'!$C$164:$C$238,0),MATCH('Tariff schedule'!W$16,'Prop. prices'!$I$5:$AB$5,0))</f>
        <v>0</v>
      </c>
      <c r="X313" s="232">
        <f>INDEX('Prop. prices'!$I$164:$AB$238,MATCH('Tariff schedule'!$C313,'Prop. prices'!$C$164:$C$238,0),MATCH('Tariff schedule'!X$16,'Prop. prices'!$I$5:$AB$5,0))</f>
        <v>0</v>
      </c>
      <c r="Y313" s="232">
        <f>INDEX('Prop. prices'!$I$164:$AB$238,MATCH('Tariff schedule'!$C313,'Prop. prices'!$C$164:$C$238,0),MATCH('Tariff schedule'!Y$16,'Prop. prices'!$I$5:$AB$5,0))</f>
        <v>0</v>
      </c>
      <c r="Z313" s="232">
        <f>INDEX('Prop. prices'!$I$164:$AB$238,MATCH('Tariff schedule'!$C313,'Prop. prices'!$C$164:$C$238,0),MATCH('Tariff schedule'!Z$16,'Prop. prices'!$I$5:$AB$5,0))</f>
        <v>0</v>
      </c>
      <c r="AA313" s="232">
        <f>INDEX('Prop. prices'!$I$164:$AB$238,MATCH('Tariff schedule'!$C313,'Prop. prices'!$C$164:$C$238,0),MATCH('Tariff schedule'!AA$16,'Prop. prices'!$I$5:$AB$5,0))</f>
        <v>0</v>
      </c>
      <c r="AB313" s="232">
        <f>INDEX('Prop. prices'!$I$164:$AB$238,MATCH('Tariff schedule'!$C313,'Prop. prices'!$C$164:$C$238,0),MATCH('Tariff schedule'!AB$16,'Prop. prices'!$I$5:$AB$5,0))</f>
        <v>0</v>
      </c>
      <c r="AC313" s="70"/>
      <c r="AD313" s="19"/>
      <c r="AE313" s="19"/>
      <c r="AF313" s="19"/>
      <c r="AG313" s="19"/>
    </row>
    <row r="314" spans="1:33" hidden="1" outlineLevel="3" x14ac:dyDescent="0.2">
      <c r="A314" s="19"/>
      <c r="B314" s="19"/>
      <c r="C314" s="506">
        <f t="shared" si="97"/>
        <v>0</v>
      </c>
      <c r="D314" s="505">
        <f t="shared" si="97"/>
        <v>0</v>
      </c>
      <c r="E314" s="505">
        <f t="shared" si="97"/>
        <v>0</v>
      </c>
      <c r="F314" s="505">
        <f t="shared" si="97"/>
        <v>0</v>
      </c>
      <c r="G314" s="505">
        <f t="shared" si="97"/>
        <v>0</v>
      </c>
      <c r="H314" s="58"/>
      <c r="I314" s="232">
        <f>INDEX('Prop. prices'!$I$164:$AB$238,MATCH('Tariff schedule'!$C314,'Prop. prices'!$C$164:$C$238,0),MATCH('Tariff schedule'!I$16,'Prop. prices'!$I$5:$AB$5,0))</f>
        <v>0</v>
      </c>
      <c r="J314" s="232">
        <f>INDEX('Prop. prices'!$I$164:$AB$238,MATCH('Tariff schedule'!$C314,'Prop. prices'!$C$164:$C$238,0),MATCH('Tariff schedule'!J$16,'Prop. prices'!$I$5:$AB$5,0))</f>
        <v>0</v>
      </c>
      <c r="K314" s="232">
        <f>INDEX('Prop. prices'!$I$164:$AB$238,MATCH('Tariff schedule'!$C314,'Prop. prices'!$C$164:$C$238,0),MATCH('Tariff schedule'!K$16,'Prop. prices'!$I$5:$AB$5,0))</f>
        <v>0</v>
      </c>
      <c r="L314" s="232">
        <f>INDEX('Prop. prices'!$I$164:$AB$238,MATCH('Tariff schedule'!$C314,'Prop. prices'!$C$164:$C$238,0),MATCH('Tariff schedule'!L$16,'Prop. prices'!$I$5:$AB$5,0))</f>
        <v>0</v>
      </c>
      <c r="M314" s="232">
        <f>INDEX('Prop. prices'!$I$164:$AB$238,MATCH('Tariff schedule'!$C314,'Prop. prices'!$C$164:$C$238,0),MATCH('Tariff schedule'!M$16,'Prop. prices'!$I$5:$AB$5,0))</f>
        <v>0</v>
      </c>
      <c r="N314" s="232">
        <f>INDEX('Prop. prices'!$I$164:$AB$238,MATCH('Tariff schedule'!$C314,'Prop. prices'!$C$164:$C$238,0),MATCH('Tariff schedule'!N$16,'Prop. prices'!$I$5:$AB$5,0))</f>
        <v>0</v>
      </c>
      <c r="O314" s="232">
        <f>INDEX('Prop. prices'!$I$164:$AB$238,MATCH('Tariff schedule'!$C314,'Prop. prices'!$C$164:$C$238,0),MATCH('Tariff schedule'!O$16,'Prop. prices'!$I$5:$AB$5,0))</f>
        <v>0</v>
      </c>
      <c r="P314" s="232">
        <f>INDEX('Prop. prices'!$I$164:$AB$238,MATCH('Tariff schedule'!$C314,'Prop. prices'!$C$164:$C$238,0),MATCH('Tariff schedule'!P$16,'Prop. prices'!$I$5:$AB$5,0))</f>
        <v>0</v>
      </c>
      <c r="Q314" s="232">
        <f>INDEX('Prop. prices'!$I$164:$AB$238,MATCH('Tariff schedule'!$C314,'Prop. prices'!$C$164:$C$238,0),MATCH('Tariff schedule'!Q$16,'Prop. prices'!$I$5:$AB$5,0))</f>
        <v>0</v>
      </c>
      <c r="R314" s="232">
        <f>INDEX('Prop. prices'!$I$164:$AB$238,MATCH('Tariff schedule'!$C314,'Prop. prices'!$C$164:$C$238,0),MATCH('Tariff schedule'!R$16,'Prop. prices'!$I$5:$AB$5,0))</f>
        <v>0</v>
      </c>
      <c r="S314" s="232">
        <f>INDEX('Prop. prices'!$I$164:$AB$238,MATCH('Tariff schedule'!$C314,'Prop. prices'!$C$164:$C$238,0),MATCH('Tariff schedule'!S$16,'Prop. prices'!$I$5:$AB$5,0))</f>
        <v>0</v>
      </c>
      <c r="T314" s="232">
        <f>INDEX('Prop. prices'!$I$164:$AB$238,MATCH('Tariff schedule'!$C314,'Prop. prices'!$C$164:$C$238,0),MATCH('Tariff schedule'!T$16,'Prop. prices'!$I$5:$AB$5,0))</f>
        <v>0</v>
      </c>
      <c r="U314" s="232">
        <f>INDEX('Prop. prices'!$I$164:$AB$238,MATCH('Tariff schedule'!$C314,'Prop. prices'!$C$164:$C$238,0),MATCH('Tariff schedule'!U$16,'Prop. prices'!$I$5:$AB$5,0))</f>
        <v>0</v>
      </c>
      <c r="V314" s="232">
        <f>INDEX('Prop. prices'!$I$164:$AB$238,MATCH('Tariff schedule'!$C314,'Prop. prices'!$C$164:$C$238,0),MATCH('Tariff schedule'!V$16,'Prop. prices'!$I$5:$AB$5,0))</f>
        <v>0</v>
      </c>
      <c r="W314" s="232">
        <f>INDEX('Prop. prices'!$I$164:$AB$238,MATCH('Tariff schedule'!$C314,'Prop. prices'!$C$164:$C$238,0),MATCH('Tariff schedule'!W$16,'Prop. prices'!$I$5:$AB$5,0))</f>
        <v>0</v>
      </c>
      <c r="X314" s="232">
        <f>INDEX('Prop. prices'!$I$164:$AB$238,MATCH('Tariff schedule'!$C314,'Prop. prices'!$C$164:$C$238,0),MATCH('Tariff schedule'!X$16,'Prop. prices'!$I$5:$AB$5,0))</f>
        <v>0</v>
      </c>
      <c r="Y314" s="232">
        <f>INDEX('Prop. prices'!$I$164:$AB$238,MATCH('Tariff schedule'!$C314,'Prop. prices'!$C$164:$C$238,0),MATCH('Tariff schedule'!Y$16,'Prop. prices'!$I$5:$AB$5,0))</f>
        <v>0</v>
      </c>
      <c r="Z314" s="232">
        <f>INDEX('Prop. prices'!$I$164:$AB$238,MATCH('Tariff schedule'!$C314,'Prop. prices'!$C$164:$C$238,0),MATCH('Tariff schedule'!Z$16,'Prop. prices'!$I$5:$AB$5,0))</f>
        <v>0</v>
      </c>
      <c r="AA314" s="232">
        <f>INDEX('Prop. prices'!$I$164:$AB$238,MATCH('Tariff schedule'!$C314,'Prop. prices'!$C$164:$C$238,0),MATCH('Tariff schedule'!AA$16,'Prop. prices'!$I$5:$AB$5,0))</f>
        <v>0</v>
      </c>
      <c r="AB314" s="232">
        <f>INDEX('Prop. prices'!$I$164:$AB$238,MATCH('Tariff schedule'!$C314,'Prop. prices'!$C$164:$C$238,0),MATCH('Tariff schedule'!AB$16,'Prop. prices'!$I$5:$AB$5,0))</f>
        <v>0</v>
      </c>
      <c r="AC314" s="70"/>
      <c r="AD314" s="19"/>
      <c r="AE314" s="19"/>
      <c r="AF314" s="19"/>
      <c r="AG314" s="19"/>
    </row>
    <row r="315" spans="1:33" hidden="1" outlineLevel="3" x14ac:dyDescent="0.2">
      <c r="A315" s="19"/>
      <c r="B315" s="19"/>
      <c r="C315" s="506">
        <f t="shared" si="97"/>
        <v>0</v>
      </c>
      <c r="D315" s="505">
        <f t="shared" si="97"/>
        <v>0</v>
      </c>
      <c r="E315" s="505">
        <f t="shared" si="97"/>
        <v>0</v>
      </c>
      <c r="F315" s="505">
        <f t="shared" si="97"/>
        <v>0</v>
      </c>
      <c r="G315" s="505">
        <f t="shared" si="97"/>
        <v>0</v>
      </c>
      <c r="H315" s="58"/>
      <c r="I315" s="232">
        <f>INDEX('Prop. prices'!$I$164:$AB$238,MATCH('Tariff schedule'!$C315,'Prop. prices'!$C$164:$C$238,0),MATCH('Tariff schedule'!I$16,'Prop. prices'!$I$5:$AB$5,0))</f>
        <v>0</v>
      </c>
      <c r="J315" s="232">
        <f>INDEX('Prop. prices'!$I$164:$AB$238,MATCH('Tariff schedule'!$C315,'Prop. prices'!$C$164:$C$238,0),MATCH('Tariff schedule'!J$16,'Prop. prices'!$I$5:$AB$5,0))</f>
        <v>0</v>
      </c>
      <c r="K315" s="232">
        <f>INDEX('Prop. prices'!$I$164:$AB$238,MATCH('Tariff schedule'!$C315,'Prop. prices'!$C$164:$C$238,0),MATCH('Tariff schedule'!K$16,'Prop. prices'!$I$5:$AB$5,0))</f>
        <v>0</v>
      </c>
      <c r="L315" s="232">
        <f>INDEX('Prop. prices'!$I$164:$AB$238,MATCH('Tariff schedule'!$C315,'Prop. prices'!$C$164:$C$238,0),MATCH('Tariff schedule'!L$16,'Prop. prices'!$I$5:$AB$5,0))</f>
        <v>0</v>
      </c>
      <c r="M315" s="232">
        <f>INDEX('Prop. prices'!$I$164:$AB$238,MATCH('Tariff schedule'!$C315,'Prop. prices'!$C$164:$C$238,0),MATCH('Tariff schedule'!M$16,'Prop. prices'!$I$5:$AB$5,0))</f>
        <v>0</v>
      </c>
      <c r="N315" s="232">
        <f>INDEX('Prop. prices'!$I$164:$AB$238,MATCH('Tariff schedule'!$C315,'Prop. prices'!$C$164:$C$238,0),MATCH('Tariff schedule'!N$16,'Prop. prices'!$I$5:$AB$5,0))</f>
        <v>0</v>
      </c>
      <c r="O315" s="232">
        <f>INDEX('Prop. prices'!$I$164:$AB$238,MATCH('Tariff schedule'!$C315,'Prop. prices'!$C$164:$C$238,0),MATCH('Tariff schedule'!O$16,'Prop. prices'!$I$5:$AB$5,0))</f>
        <v>0</v>
      </c>
      <c r="P315" s="232">
        <f>INDEX('Prop. prices'!$I$164:$AB$238,MATCH('Tariff schedule'!$C315,'Prop. prices'!$C$164:$C$238,0),MATCH('Tariff schedule'!P$16,'Prop. prices'!$I$5:$AB$5,0))</f>
        <v>0</v>
      </c>
      <c r="Q315" s="232">
        <f>INDEX('Prop. prices'!$I$164:$AB$238,MATCH('Tariff schedule'!$C315,'Prop. prices'!$C$164:$C$238,0),MATCH('Tariff schedule'!Q$16,'Prop. prices'!$I$5:$AB$5,0))</f>
        <v>0</v>
      </c>
      <c r="R315" s="232">
        <f>INDEX('Prop. prices'!$I$164:$AB$238,MATCH('Tariff schedule'!$C315,'Prop. prices'!$C$164:$C$238,0),MATCH('Tariff schedule'!R$16,'Prop. prices'!$I$5:$AB$5,0))</f>
        <v>0</v>
      </c>
      <c r="S315" s="232">
        <f>INDEX('Prop. prices'!$I$164:$AB$238,MATCH('Tariff schedule'!$C315,'Prop. prices'!$C$164:$C$238,0),MATCH('Tariff schedule'!S$16,'Prop. prices'!$I$5:$AB$5,0))</f>
        <v>0</v>
      </c>
      <c r="T315" s="232">
        <f>INDEX('Prop. prices'!$I$164:$AB$238,MATCH('Tariff schedule'!$C315,'Prop. prices'!$C$164:$C$238,0),MATCH('Tariff schedule'!T$16,'Prop. prices'!$I$5:$AB$5,0))</f>
        <v>0</v>
      </c>
      <c r="U315" s="232">
        <f>INDEX('Prop. prices'!$I$164:$AB$238,MATCH('Tariff schedule'!$C315,'Prop. prices'!$C$164:$C$238,0),MATCH('Tariff schedule'!U$16,'Prop. prices'!$I$5:$AB$5,0))</f>
        <v>0</v>
      </c>
      <c r="V315" s="232">
        <f>INDEX('Prop. prices'!$I$164:$AB$238,MATCH('Tariff schedule'!$C315,'Prop. prices'!$C$164:$C$238,0),MATCH('Tariff schedule'!V$16,'Prop. prices'!$I$5:$AB$5,0))</f>
        <v>0</v>
      </c>
      <c r="W315" s="232">
        <f>INDEX('Prop. prices'!$I$164:$AB$238,MATCH('Tariff schedule'!$C315,'Prop. prices'!$C$164:$C$238,0),MATCH('Tariff schedule'!W$16,'Prop. prices'!$I$5:$AB$5,0))</f>
        <v>0</v>
      </c>
      <c r="X315" s="232">
        <f>INDEX('Prop. prices'!$I$164:$AB$238,MATCH('Tariff schedule'!$C315,'Prop. prices'!$C$164:$C$238,0),MATCH('Tariff schedule'!X$16,'Prop. prices'!$I$5:$AB$5,0))</f>
        <v>0</v>
      </c>
      <c r="Y315" s="232">
        <f>INDEX('Prop. prices'!$I$164:$AB$238,MATCH('Tariff schedule'!$C315,'Prop. prices'!$C$164:$C$238,0),MATCH('Tariff schedule'!Y$16,'Prop. prices'!$I$5:$AB$5,0))</f>
        <v>0</v>
      </c>
      <c r="Z315" s="232">
        <f>INDEX('Prop. prices'!$I$164:$AB$238,MATCH('Tariff schedule'!$C315,'Prop. prices'!$C$164:$C$238,0),MATCH('Tariff schedule'!Z$16,'Prop. prices'!$I$5:$AB$5,0))</f>
        <v>0</v>
      </c>
      <c r="AA315" s="232">
        <f>INDEX('Prop. prices'!$I$164:$AB$238,MATCH('Tariff schedule'!$C315,'Prop. prices'!$C$164:$C$238,0),MATCH('Tariff schedule'!AA$16,'Prop. prices'!$I$5:$AB$5,0))</f>
        <v>0</v>
      </c>
      <c r="AB315" s="232">
        <f>INDEX('Prop. prices'!$I$164:$AB$238,MATCH('Tariff schedule'!$C315,'Prop. prices'!$C$164:$C$238,0),MATCH('Tariff schedule'!AB$16,'Prop. prices'!$I$5:$AB$5,0))</f>
        <v>0</v>
      </c>
      <c r="AC315" s="70"/>
      <c r="AD315" s="19"/>
      <c r="AE315" s="19"/>
      <c r="AF315" s="19"/>
      <c r="AG315" s="19"/>
    </row>
    <row r="316" spans="1:33" hidden="1" outlineLevel="3" x14ac:dyDescent="0.2">
      <c r="A316" s="19"/>
      <c r="B316" s="19"/>
      <c r="C316" s="506">
        <f t="shared" si="97"/>
        <v>0</v>
      </c>
      <c r="D316" s="505">
        <f t="shared" si="97"/>
        <v>0</v>
      </c>
      <c r="E316" s="505">
        <f t="shared" si="97"/>
        <v>0</v>
      </c>
      <c r="F316" s="505">
        <f t="shared" si="97"/>
        <v>0</v>
      </c>
      <c r="G316" s="505">
        <f t="shared" si="97"/>
        <v>0</v>
      </c>
      <c r="H316" s="58"/>
      <c r="I316" s="232">
        <f>INDEX('Prop. prices'!$I$164:$AB$238,MATCH('Tariff schedule'!$C316,'Prop. prices'!$C$164:$C$238,0),MATCH('Tariff schedule'!I$16,'Prop. prices'!$I$5:$AB$5,0))</f>
        <v>0</v>
      </c>
      <c r="J316" s="232">
        <f>INDEX('Prop. prices'!$I$164:$AB$238,MATCH('Tariff schedule'!$C316,'Prop. prices'!$C$164:$C$238,0),MATCH('Tariff schedule'!J$16,'Prop. prices'!$I$5:$AB$5,0))</f>
        <v>0</v>
      </c>
      <c r="K316" s="232">
        <f>INDEX('Prop. prices'!$I$164:$AB$238,MATCH('Tariff schedule'!$C316,'Prop. prices'!$C$164:$C$238,0),MATCH('Tariff schedule'!K$16,'Prop. prices'!$I$5:$AB$5,0))</f>
        <v>0</v>
      </c>
      <c r="L316" s="232">
        <f>INDEX('Prop. prices'!$I$164:$AB$238,MATCH('Tariff schedule'!$C316,'Prop. prices'!$C$164:$C$238,0),MATCH('Tariff schedule'!L$16,'Prop. prices'!$I$5:$AB$5,0))</f>
        <v>0</v>
      </c>
      <c r="M316" s="232">
        <f>INDEX('Prop. prices'!$I$164:$AB$238,MATCH('Tariff schedule'!$C316,'Prop. prices'!$C$164:$C$238,0),MATCH('Tariff schedule'!M$16,'Prop. prices'!$I$5:$AB$5,0))</f>
        <v>0</v>
      </c>
      <c r="N316" s="232">
        <f>INDEX('Prop. prices'!$I$164:$AB$238,MATCH('Tariff schedule'!$C316,'Prop. prices'!$C$164:$C$238,0),MATCH('Tariff schedule'!N$16,'Prop. prices'!$I$5:$AB$5,0))</f>
        <v>0</v>
      </c>
      <c r="O316" s="232">
        <f>INDEX('Prop. prices'!$I$164:$AB$238,MATCH('Tariff schedule'!$C316,'Prop. prices'!$C$164:$C$238,0),MATCH('Tariff schedule'!O$16,'Prop. prices'!$I$5:$AB$5,0))</f>
        <v>0</v>
      </c>
      <c r="P316" s="232">
        <f>INDEX('Prop. prices'!$I$164:$AB$238,MATCH('Tariff schedule'!$C316,'Prop. prices'!$C$164:$C$238,0),MATCH('Tariff schedule'!P$16,'Prop. prices'!$I$5:$AB$5,0))</f>
        <v>0</v>
      </c>
      <c r="Q316" s="232">
        <f>INDEX('Prop. prices'!$I$164:$AB$238,MATCH('Tariff schedule'!$C316,'Prop. prices'!$C$164:$C$238,0),MATCH('Tariff schedule'!Q$16,'Prop. prices'!$I$5:$AB$5,0))</f>
        <v>0</v>
      </c>
      <c r="R316" s="232">
        <f>INDEX('Prop. prices'!$I$164:$AB$238,MATCH('Tariff schedule'!$C316,'Prop. prices'!$C$164:$C$238,0),MATCH('Tariff schedule'!R$16,'Prop. prices'!$I$5:$AB$5,0))</f>
        <v>0</v>
      </c>
      <c r="S316" s="232">
        <f>INDEX('Prop. prices'!$I$164:$AB$238,MATCH('Tariff schedule'!$C316,'Prop. prices'!$C$164:$C$238,0),MATCH('Tariff schedule'!S$16,'Prop. prices'!$I$5:$AB$5,0))</f>
        <v>0</v>
      </c>
      <c r="T316" s="232">
        <f>INDEX('Prop. prices'!$I$164:$AB$238,MATCH('Tariff schedule'!$C316,'Prop. prices'!$C$164:$C$238,0),MATCH('Tariff schedule'!T$16,'Prop. prices'!$I$5:$AB$5,0))</f>
        <v>0</v>
      </c>
      <c r="U316" s="232">
        <f>INDEX('Prop. prices'!$I$164:$AB$238,MATCH('Tariff schedule'!$C316,'Prop. prices'!$C$164:$C$238,0),MATCH('Tariff schedule'!U$16,'Prop. prices'!$I$5:$AB$5,0))</f>
        <v>0</v>
      </c>
      <c r="V316" s="232">
        <f>INDEX('Prop. prices'!$I$164:$AB$238,MATCH('Tariff schedule'!$C316,'Prop. prices'!$C$164:$C$238,0),MATCH('Tariff schedule'!V$16,'Prop. prices'!$I$5:$AB$5,0))</f>
        <v>0</v>
      </c>
      <c r="W316" s="232">
        <f>INDEX('Prop. prices'!$I$164:$AB$238,MATCH('Tariff schedule'!$C316,'Prop. prices'!$C$164:$C$238,0),MATCH('Tariff schedule'!W$16,'Prop. prices'!$I$5:$AB$5,0))</f>
        <v>0</v>
      </c>
      <c r="X316" s="232">
        <f>INDEX('Prop. prices'!$I$164:$AB$238,MATCH('Tariff schedule'!$C316,'Prop. prices'!$C$164:$C$238,0),MATCH('Tariff schedule'!X$16,'Prop. prices'!$I$5:$AB$5,0))</f>
        <v>0</v>
      </c>
      <c r="Y316" s="232">
        <f>INDEX('Prop. prices'!$I$164:$AB$238,MATCH('Tariff schedule'!$C316,'Prop. prices'!$C$164:$C$238,0),MATCH('Tariff schedule'!Y$16,'Prop. prices'!$I$5:$AB$5,0))</f>
        <v>0</v>
      </c>
      <c r="Z316" s="232">
        <f>INDEX('Prop. prices'!$I$164:$AB$238,MATCH('Tariff schedule'!$C316,'Prop. prices'!$C$164:$C$238,0),MATCH('Tariff schedule'!Z$16,'Prop. prices'!$I$5:$AB$5,0))</f>
        <v>0</v>
      </c>
      <c r="AA316" s="232">
        <f>INDEX('Prop. prices'!$I$164:$AB$238,MATCH('Tariff schedule'!$C316,'Prop. prices'!$C$164:$C$238,0),MATCH('Tariff schedule'!AA$16,'Prop. prices'!$I$5:$AB$5,0))</f>
        <v>0</v>
      </c>
      <c r="AB316" s="232">
        <f>INDEX('Prop. prices'!$I$164:$AB$238,MATCH('Tariff schedule'!$C316,'Prop. prices'!$C$164:$C$238,0),MATCH('Tariff schedule'!AB$16,'Prop. prices'!$I$5:$AB$5,0))</f>
        <v>0</v>
      </c>
      <c r="AC316" s="70"/>
      <c r="AD316" s="19"/>
      <c r="AE316" s="19"/>
      <c r="AF316" s="19"/>
      <c r="AG316" s="19"/>
    </row>
    <row r="317" spans="1:33" hidden="1" outlineLevel="3" x14ac:dyDescent="0.2">
      <c r="A317" s="19"/>
      <c r="B317" s="19"/>
      <c r="C317" s="506">
        <f t="shared" si="97"/>
        <v>0</v>
      </c>
      <c r="D317" s="505">
        <f t="shared" si="97"/>
        <v>0</v>
      </c>
      <c r="E317" s="505">
        <f t="shared" si="97"/>
        <v>0</v>
      </c>
      <c r="F317" s="505">
        <f t="shared" si="97"/>
        <v>0</v>
      </c>
      <c r="G317" s="505">
        <f t="shared" si="97"/>
        <v>0</v>
      </c>
      <c r="H317" s="58"/>
      <c r="I317" s="232">
        <f>INDEX('Prop. prices'!$I$164:$AB$238,MATCH('Tariff schedule'!$C317,'Prop. prices'!$C$164:$C$238,0),MATCH('Tariff schedule'!I$16,'Prop. prices'!$I$5:$AB$5,0))</f>
        <v>0</v>
      </c>
      <c r="J317" s="232">
        <f>INDEX('Prop. prices'!$I$164:$AB$238,MATCH('Tariff schedule'!$C317,'Prop. prices'!$C$164:$C$238,0),MATCH('Tariff schedule'!J$16,'Prop. prices'!$I$5:$AB$5,0))</f>
        <v>0</v>
      </c>
      <c r="K317" s="232">
        <f>INDEX('Prop. prices'!$I$164:$AB$238,MATCH('Tariff schedule'!$C317,'Prop. prices'!$C$164:$C$238,0),MATCH('Tariff schedule'!K$16,'Prop. prices'!$I$5:$AB$5,0))</f>
        <v>0</v>
      </c>
      <c r="L317" s="232">
        <f>INDEX('Prop. prices'!$I$164:$AB$238,MATCH('Tariff schedule'!$C317,'Prop. prices'!$C$164:$C$238,0),MATCH('Tariff schedule'!L$16,'Prop. prices'!$I$5:$AB$5,0))</f>
        <v>0</v>
      </c>
      <c r="M317" s="232">
        <f>INDEX('Prop. prices'!$I$164:$AB$238,MATCH('Tariff schedule'!$C317,'Prop. prices'!$C$164:$C$238,0),MATCH('Tariff schedule'!M$16,'Prop. prices'!$I$5:$AB$5,0))</f>
        <v>0</v>
      </c>
      <c r="N317" s="232">
        <f>INDEX('Prop. prices'!$I$164:$AB$238,MATCH('Tariff schedule'!$C317,'Prop. prices'!$C$164:$C$238,0),MATCH('Tariff schedule'!N$16,'Prop. prices'!$I$5:$AB$5,0))</f>
        <v>0</v>
      </c>
      <c r="O317" s="232">
        <f>INDEX('Prop. prices'!$I$164:$AB$238,MATCH('Tariff schedule'!$C317,'Prop. prices'!$C$164:$C$238,0),MATCH('Tariff schedule'!O$16,'Prop. prices'!$I$5:$AB$5,0))</f>
        <v>0</v>
      </c>
      <c r="P317" s="232">
        <f>INDEX('Prop. prices'!$I$164:$AB$238,MATCH('Tariff schedule'!$C317,'Prop. prices'!$C$164:$C$238,0),MATCH('Tariff schedule'!P$16,'Prop. prices'!$I$5:$AB$5,0))</f>
        <v>0</v>
      </c>
      <c r="Q317" s="232">
        <f>INDEX('Prop. prices'!$I$164:$AB$238,MATCH('Tariff schedule'!$C317,'Prop. prices'!$C$164:$C$238,0),MATCH('Tariff schedule'!Q$16,'Prop. prices'!$I$5:$AB$5,0))</f>
        <v>0</v>
      </c>
      <c r="R317" s="232">
        <f>INDEX('Prop. prices'!$I$164:$AB$238,MATCH('Tariff schedule'!$C317,'Prop. prices'!$C$164:$C$238,0),MATCH('Tariff schedule'!R$16,'Prop. prices'!$I$5:$AB$5,0))</f>
        <v>0</v>
      </c>
      <c r="S317" s="232">
        <f>INDEX('Prop. prices'!$I$164:$AB$238,MATCH('Tariff schedule'!$C317,'Prop. prices'!$C$164:$C$238,0),MATCH('Tariff schedule'!S$16,'Prop. prices'!$I$5:$AB$5,0))</f>
        <v>0</v>
      </c>
      <c r="T317" s="232">
        <f>INDEX('Prop. prices'!$I$164:$AB$238,MATCH('Tariff schedule'!$C317,'Prop. prices'!$C$164:$C$238,0),MATCH('Tariff schedule'!T$16,'Prop. prices'!$I$5:$AB$5,0))</f>
        <v>0</v>
      </c>
      <c r="U317" s="232">
        <f>INDEX('Prop. prices'!$I$164:$AB$238,MATCH('Tariff schedule'!$C317,'Prop. prices'!$C$164:$C$238,0),MATCH('Tariff schedule'!U$16,'Prop. prices'!$I$5:$AB$5,0))</f>
        <v>0</v>
      </c>
      <c r="V317" s="232">
        <f>INDEX('Prop. prices'!$I$164:$AB$238,MATCH('Tariff schedule'!$C317,'Prop. prices'!$C$164:$C$238,0),MATCH('Tariff schedule'!V$16,'Prop. prices'!$I$5:$AB$5,0))</f>
        <v>0</v>
      </c>
      <c r="W317" s="232">
        <f>INDEX('Prop. prices'!$I$164:$AB$238,MATCH('Tariff schedule'!$C317,'Prop. prices'!$C$164:$C$238,0),MATCH('Tariff schedule'!W$16,'Prop. prices'!$I$5:$AB$5,0))</f>
        <v>0</v>
      </c>
      <c r="X317" s="232">
        <f>INDEX('Prop. prices'!$I$164:$AB$238,MATCH('Tariff schedule'!$C317,'Prop. prices'!$C$164:$C$238,0),MATCH('Tariff schedule'!X$16,'Prop. prices'!$I$5:$AB$5,0))</f>
        <v>0</v>
      </c>
      <c r="Y317" s="232">
        <f>INDEX('Prop. prices'!$I$164:$AB$238,MATCH('Tariff schedule'!$C317,'Prop. prices'!$C$164:$C$238,0),MATCH('Tariff schedule'!Y$16,'Prop. prices'!$I$5:$AB$5,0))</f>
        <v>0</v>
      </c>
      <c r="Z317" s="232">
        <f>INDEX('Prop. prices'!$I$164:$AB$238,MATCH('Tariff schedule'!$C317,'Prop. prices'!$C$164:$C$238,0),MATCH('Tariff schedule'!Z$16,'Prop. prices'!$I$5:$AB$5,0))</f>
        <v>0</v>
      </c>
      <c r="AA317" s="232">
        <f>INDEX('Prop. prices'!$I$164:$AB$238,MATCH('Tariff schedule'!$C317,'Prop. prices'!$C$164:$C$238,0),MATCH('Tariff schedule'!AA$16,'Prop. prices'!$I$5:$AB$5,0))</f>
        <v>0</v>
      </c>
      <c r="AB317" s="232">
        <f>INDEX('Prop. prices'!$I$164:$AB$238,MATCH('Tariff schedule'!$C317,'Prop. prices'!$C$164:$C$238,0),MATCH('Tariff schedule'!AB$16,'Prop. prices'!$I$5:$AB$5,0))</f>
        <v>0</v>
      </c>
      <c r="AC317" s="70"/>
      <c r="AD317" s="19"/>
      <c r="AE317" s="19"/>
      <c r="AF317" s="19"/>
      <c r="AG317" s="19"/>
    </row>
    <row r="318" spans="1:33" hidden="1" outlineLevel="3" x14ac:dyDescent="0.2">
      <c r="A318" s="19"/>
      <c r="B318" s="19"/>
      <c r="C318" s="506">
        <f t="shared" si="97"/>
        <v>0</v>
      </c>
      <c r="D318" s="505">
        <f t="shared" si="97"/>
        <v>0</v>
      </c>
      <c r="E318" s="505">
        <f t="shared" si="97"/>
        <v>0</v>
      </c>
      <c r="F318" s="505">
        <f t="shared" si="97"/>
        <v>0</v>
      </c>
      <c r="G318" s="505">
        <f t="shared" si="97"/>
        <v>0</v>
      </c>
      <c r="H318" s="58"/>
      <c r="I318" s="232">
        <f>INDEX('Prop. prices'!$I$164:$AB$238,MATCH('Tariff schedule'!$C318,'Prop. prices'!$C$164:$C$238,0),MATCH('Tariff schedule'!I$16,'Prop. prices'!$I$5:$AB$5,0))</f>
        <v>0</v>
      </c>
      <c r="J318" s="232">
        <f>INDEX('Prop. prices'!$I$164:$AB$238,MATCH('Tariff schedule'!$C318,'Prop. prices'!$C$164:$C$238,0),MATCH('Tariff schedule'!J$16,'Prop. prices'!$I$5:$AB$5,0))</f>
        <v>0</v>
      </c>
      <c r="K318" s="232">
        <f>INDEX('Prop. prices'!$I$164:$AB$238,MATCH('Tariff schedule'!$C318,'Prop. prices'!$C$164:$C$238,0),MATCH('Tariff schedule'!K$16,'Prop. prices'!$I$5:$AB$5,0))</f>
        <v>0</v>
      </c>
      <c r="L318" s="232">
        <f>INDEX('Prop. prices'!$I$164:$AB$238,MATCH('Tariff schedule'!$C318,'Prop. prices'!$C$164:$C$238,0),MATCH('Tariff schedule'!L$16,'Prop. prices'!$I$5:$AB$5,0))</f>
        <v>0</v>
      </c>
      <c r="M318" s="232">
        <f>INDEX('Prop. prices'!$I$164:$AB$238,MATCH('Tariff schedule'!$C318,'Prop. prices'!$C$164:$C$238,0),MATCH('Tariff schedule'!M$16,'Prop. prices'!$I$5:$AB$5,0))</f>
        <v>0</v>
      </c>
      <c r="N318" s="232">
        <f>INDEX('Prop. prices'!$I$164:$AB$238,MATCH('Tariff schedule'!$C318,'Prop. prices'!$C$164:$C$238,0),MATCH('Tariff schedule'!N$16,'Prop. prices'!$I$5:$AB$5,0))</f>
        <v>0</v>
      </c>
      <c r="O318" s="232">
        <f>INDEX('Prop. prices'!$I$164:$AB$238,MATCH('Tariff schedule'!$C318,'Prop. prices'!$C$164:$C$238,0),MATCH('Tariff schedule'!O$16,'Prop. prices'!$I$5:$AB$5,0))</f>
        <v>0</v>
      </c>
      <c r="P318" s="232">
        <f>INDEX('Prop. prices'!$I$164:$AB$238,MATCH('Tariff schedule'!$C318,'Prop. prices'!$C$164:$C$238,0),MATCH('Tariff schedule'!P$16,'Prop. prices'!$I$5:$AB$5,0))</f>
        <v>0</v>
      </c>
      <c r="Q318" s="232">
        <f>INDEX('Prop. prices'!$I$164:$AB$238,MATCH('Tariff schedule'!$C318,'Prop. prices'!$C$164:$C$238,0),MATCH('Tariff schedule'!Q$16,'Prop. prices'!$I$5:$AB$5,0))</f>
        <v>0</v>
      </c>
      <c r="R318" s="232">
        <f>INDEX('Prop. prices'!$I$164:$AB$238,MATCH('Tariff schedule'!$C318,'Prop. prices'!$C$164:$C$238,0),MATCH('Tariff schedule'!R$16,'Prop. prices'!$I$5:$AB$5,0))</f>
        <v>0</v>
      </c>
      <c r="S318" s="232">
        <f>INDEX('Prop. prices'!$I$164:$AB$238,MATCH('Tariff schedule'!$C318,'Prop. prices'!$C$164:$C$238,0),MATCH('Tariff schedule'!S$16,'Prop. prices'!$I$5:$AB$5,0))</f>
        <v>0</v>
      </c>
      <c r="T318" s="232">
        <f>INDEX('Prop. prices'!$I$164:$AB$238,MATCH('Tariff schedule'!$C318,'Prop. prices'!$C$164:$C$238,0),MATCH('Tariff schedule'!T$16,'Prop. prices'!$I$5:$AB$5,0))</f>
        <v>0</v>
      </c>
      <c r="U318" s="232">
        <f>INDEX('Prop. prices'!$I$164:$AB$238,MATCH('Tariff schedule'!$C318,'Prop. prices'!$C$164:$C$238,0),MATCH('Tariff schedule'!U$16,'Prop. prices'!$I$5:$AB$5,0))</f>
        <v>0</v>
      </c>
      <c r="V318" s="232">
        <f>INDEX('Prop. prices'!$I$164:$AB$238,MATCH('Tariff schedule'!$C318,'Prop. prices'!$C$164:$C$238,0),MATCH('Tariff schedule'!V$16,'Prop. prices'!$I$5:$AB$5,0))</f>
        <v>0</v>
      </c>
      <c r="W318" s="232">
        <f>INDEX('Prop. prices'!$I$164:$AB$238,MATCH('Tariff schedule'!$C318,'Prop. prices'!$C$164:$C$238,0),MATCH('Tariff schedule'!W$16,'Prop. prices'!$I$5:$AB$5,0))</f>
        <v>0</v>
      </c>
      <c r="X318" s="232">
        <f>INDEX('Prop. prices'!$I$164:$AB$238,MATCH('Tariff schedule'!$C318,'Prop. prices'!$C$164:$C$238,0),MATCH('Tariff schedule'!X$16,'Prop. prices'!$I$5:$AB$5,0))</f>
        <v>0</v>
      </c>
      <c r="Y318" s="232">
        <f>INDEX('Prop. prices'!$I$164:$AB$238,MATCH('Tariff schedule'!$C318,'Prop. prices'!$C$164:$C$238,0),MATCH('Tariff schedule'!Y$16,'Prop. prices'!$I$5:$AB$5,0))</f>
        <v>0</v>
      </c>
      <c r="Z318" s="232">
        <f>INDEX('Prop. prices'!$I$164:$AB$238,MATCH('Tariff schedule'!$C318,'Prop. prices'!$C$164:$C$238,0),MATCH('Tariff schedule'!Z$16,'Prop. prices'!$I$5:$AB$5,0))</f>
        <v>0</v>
      </c>
      <c r="AA318" s="232">
        <f>INDEX('Prop. prices'!$I$164:$AB$238,MATCH('Tariff schedule'!$C318,'Prop. prices'!$C$164:$C$238,0),MATCH('Tariff schedule'!AA$16,'Prop. prices'!$I$5:$AB$5,0))</f>
        <v>0</v>
      </c>
      <c r="AB318" s="232">
        <f>INDEX('Prop. prices'!$I$164:$AB$238,MATCH('Tariff schedule'!$C318,'Prop. prices'!$C$164:$C$238,0),MATCH('Tariff schedule'!AB$16,'Prop. prices'!$I$5:$AB$5,0))</f>
        <v>0</v>
      </c>
      <c r="AC318" s="70"/>
      <c r="AD318" s="19"/>
      <c r="AE318" s="19"/>
      <c r="AF318" s="19"/>
      <c r="AG318" s="19"/>
    </row>
    <row r="319" spans="1:33" hidden="1" outlineLevel="3" x14ac:dyDescent="0.2">
      <c r="A319" s="19"/>
      <c r="B319" s="19"/>
      <c r="C319" s="506">
        <f t="shared" si="97"/>
        <v>0</v>
      </c>
      <c r="D319" s="505">
        <f t="shared" si="97"/>
        <v>0</v>
      </c>
      <c r="E319" s="505">
        <f t="shared" si="97"/>
        <v>0</v>
      </c>
      <c r="F319" s="505">
        <f t="shared" si="97"/>
        <v>0</v>
      </c>
      <c r="G319" s="505">
        <f t="shared" si="97"/>
        <v>0</v>
      </c>
      <c r="H319" s="58"/>
      <c r="I319" s="232">
        <f>INDEX('Prop. prices'!$I$164:$AB$238,MATCH('Tariff schedule'!$C319,'Prop. prices'!$C$164:$C$238,0),MATCH('Tariff schedule'!I$16,'Prop. prices'!$I$5:$AB$5,0))</f>
        <v>0</v>
      </c>
      <c r="J319" s="232">
        <f>INDEX('Prop. prices'!$I$164:$AB$238,MATCH('Tariff schedule'!$C319,'Prop. prices'!$C$164:$C$238,0),MATCH('Tariff schedule'!J$16,'Prop. prices'!$I$5:$AB$5,0))</f>
        <v>0</v>
      </c>
      <c r="K319" s="232">
        <f>INDEX('Prop. prices'!$I$164:$AB$238,MATCH('Tariff schedule'!$C319,'Prop. prices'!$C$164:$C$238,0),MATCH('Tariff schedule'!K$16,'Prop. prices'!$I$5:$AB$5,0))</f>
        <v>0</v>
      </c>
      <c r="L319" s="232">
        <f>INDEX('Prop. prices'!$I$164:$AB$238,MATCH('Tariff schedule'!$C319,'Prop. prices'!$C$164:$C$238,0),MATCH('Tariff schedule'!L$16,'Prop. prices'!$I$5:$AB$5,0))</f>
        <v>0</v>
      </c>
      <c r="M319" s="232">
        <f>INDEX('Prop. prices'!$I$164:$AB$238,MATCH('Tariff schedule'!$C319,'Prop. prices'!$C$164:$C$238,0),MATCH('Tariff schedule'!M$16,'Prop. prices'!$I$5:$AB$5,0))</f>
        <v>0</v>
      </c>
      <c r="N319" s="232">
        <f>INDEX('Prop. prices'!$I$164:$AB$238,MATCH('Tariff schedule'!$C319,'Prop. prices'!$C$164:$C$238,0),MATCH('Tariff schedule'!N$16,'Prop. prices'!$I$5:$AB$5,0))</f>
        <v>0</v>
      </c>
      <c r="O319" s="232">
        <f>INDEX('Prop. prices'!$I$164:$AB$238,MATCH('Tariff schedule'!$C319,'Prop. prices'!$C$164:$C$238,0),MATCH('Tariff schedule'!O$16,'Prop. prices'!$I$5:$AB$5,0))</f>
        <v>0</v>
      </c>
      <c r="P319" s="232">
        <f>INDEX('Prop. prices'!$I$164:$AB$238,MATCH('Tariff schedule'!$C319,'Prop. prices'!$C$164:$C$238,0),MATCH('Tariff schedule'!P$16,'Prop. prices'!$I$5:$AB$5,0))</f>
        <v>0</v>
      </c>
      <c r="Q319" s="232">
        <f>INDEX('Prop. prices'!$I$164:$AB$238,MATCH('Tariff schedule'!$C319,'Prop. prices'!$C$164:$C$238,0),MATCH('Tariff schedule'!Q$16,'Prop. prices'!$I$5:$AB$5,0))</f>
        <v>0</v>
      </c>
      <c r="R319" s="232">
        <f>INDEX('Prop. prices'!$I$164:$AB$238,MATCH('Tariff schedule'!$C319,'Prop. prices'!$C$164:$C$238,0),MATCH('Tariff schedule'!R$16,'Prop. prices'!$I$5:$AB$5,0))</f>
        <v>0</v>
      </c>
      <c r="S319" s="232">
        <f>INDEX('Prop. prices'!$I$164:$AB$238,MATCH('Tariff schedule'!$C319,'Prop. prices'!$C$164:$C$238,0),MATCH('Tariff schedule'!S$16,'Prop. prices'!$I$5:$AB$5,0))</f>
        <v>0</v>
      </c>
      <c r="T319" s="232">
        <f>INDEX('Prop. prices'!$I$164:$AB$238,MATCH('Tariff schedule'!$C319,'Prop. prices'!$C$164:$C$238,0),MATCH('Tariff schedule'!T$16,'Prop. prices'!$I$5:$AB$5,0))</f>
        <v>0</v>
      </c>
      <c r="U319" s="232">
        <f>INDEX('Prop. prices'!$I$164:$AB$238,MATCH('Tariff schedule'!$C319,'Prop. prices'!$C$164:$C$238,0),MATCH('Tariff schedule'!U$16,'Prop. prices'!$I$5:$AB$5,0))</f>
        <v>0</v>
      </c>
      <c r="V319" s="232">
        <f>INDEX('Prop. prices'!$I$164:$AB$238,MATCH('Tariff schedule'!$C319,'Prop. prices'!$C$164:$C$238,0),MATCH('Tariff schedule'!V$16,'Prop. prices'!$I$5:$AB$5,0))</f>
        <v>0</v>
      </c>
      <c r="W319" s="232">
        <f>INDEX('Prop. prices'!$I$164:$AB$238,MATCH('Tariff schedule'!$C319,'Prop. prices'!$C$164:$C$238,0),MATCH('Tariff schedule'!W$16,'Prop. prices'!$I$5:$AB$5,0))</f>
        <v>0</v>
      </c>
      <c r="X319" s="232">
        <f>INDEX('Prop. prices'!$I$164:$AB$238,MATCH('Tariff schedule'!$C319,'Prop. prices'!$C$164:$C$238,0),MATCH('Tariff schedule'!X$16,'Prop. prices'!$I$5:$AB$5,0))</f>
        <v>0</v>
      </c>
      <c r="Y319" s="232">
        <f>INDEX('Prop. prices'!$I$164:$AB$238,MATCH('Tariff schedule'!$C319,'Prop. prices'!$C$164:$C$238,0),MATCH('Tariff schedule'!Y$16,'Prop. prices'!$I$5:$AB$5,0))</f>
        <v>0</v>
      </c>
      <c r="Z319" s="232">
        <f>INDEX('Prop. prices'!$I$164:$AB$238,MATCH('Tariff schedule'!$C319,'Prop. prices'!$C$164:$C$238,0),MATCH('Tariff schedule'!Z$16,'Prop. prices'!$I$5:$AB$5,0))</f>
        <v>0</v>
      </c>
      <c r="AA319" s="232">
        <f>INDEX('Prop. prices'!$I$164:$AB$238,MATCH('Tariff schedule'!$C319,'Prop. prices'!$C$164:$C$238,0),MATCH('Tariff schedule'!AA$16,'Prop. prices'!$I$5:$AB$5,0))</f>
        <v>0</v>
      </c>
      <c r="AB319" s="232">
        <f>INDEX('Prop. prices'!$I$164:$AB$238,MATCH('Tariff schedule'!$C319,'Prop. prices'!$C$164:$C$238,0),MATCH('Tariff schedule'!AB$16,'Prop. prices'!$I$5:$AB$5,0))</f>
        <v>0</v>
      </c>
      <c r="AC319" s="70"/>
      <c r="AD319" s="19"/>
      <c r="AE319" s="19"/>
      <c r="AF319" s="19"/>
      <c r="AG319" s="19"/>
    </row>
    <row r="320" spans="1:33" hidden="1" outlineLevel="3" x14ac:dyDescent="0.2">
      <c r="A320" s="19"/>
      <c r="B320" s="19"/>
      <c r="C320" s="506">
        <f t="shared" si="97"/>
        <v>0</v>
      </c>
      <c r="D320" s="505">
        <f t="shared" si="97"/>
        <v>0</v>
      </c>
      <c r="E320" s="505">
        <f t="shared" si="97"/>
        <v>0</v>
      </c>
      <c r="F320" s="505">
        <f t="shared" si="97"/>
        <v>0</v>
      </c>
      <c r="G320" s="505">
        <f t="shared" si="97"/>
        <v>0</v>
      </c>
      <c r="H320" s="58"/>
      <c r="I320" s="232">
        <f>INDEX('Prop. prices'!$I$164:$AB$238,MATCH('Tariff schedule'!$C320,'Prop. prices'!$C$164:$C$238,0),MATCH('Tariff schedule'!I$16,'Prop. prices'!$I$5:$AB$5,0))</f>
        <v>0</v>
      </c>
      <c r="J320" s="232">
        <f>INDEX('Prop. prices'!$I$164:$AB$238,MATCH('Tariff schedule'!$C320,'Prop. prices'!$C$164:$C$238,0),MATCH('Tariff schedule'!J$16,'Prop. prices'!$I$5:$AB$5,0))</f>
        <v>0</v>
      </c>
      <c r="K320" s="232">
        <f>INDEX('Prop. prices'!$I$164:$AB$238,MATCH('Tariff schedule'!$C320,'Prop. prices'!$C$164:$C$238,0),MATCH('Tariff schedule'!K$16,'Prop. prices'!$I$5:$AB$5,0))</f>
        <v>0</v>
      </c>
      <c r="L320" s="232">
        <f>INDEX('Prop. prices'!$I$164:$AB$238,MATCH('Tariff schedule'!$C320,'Prop. prices'!$C$164:$C$238,0),MATCH('Tariff schedule'!L$16,'Prop. prices'!$I$5:$AB$5,0))</f>
        <v>0</v>
      </c>
      <c r="M320" s="232">
        <f>INDEX('Prop. prices'!$I$164:$AB$238,MATCH('Tariff schedule'!$C320,'Prop. prices'!$C$164:$C$238,0),MATCH('Tariff schedule'!M$16,'Prop. prices'!$I$5:$AB$5,0))</f>
        <v>0</v>
      </c>
      <c r="N320" s="232">
        <f>INDEX('Prop. prices'!$I$164:$AB$238,MATCH('Tariff schedule'!$C320,'Prop. prices'!$C$164:$C$238,0),MATCH('Tariff schedule'!N$16,'Prop. prices'!$I$5:$AB$5,0))</f>
        <v>0</v>
      </c>
      <c r="O320" s="232">
        <f>INDEX('Prop. prices'!$I$164:$AB$238,MATCH('Tariff schedule'!$C320,'Prop. prices'!$C$164:$C$238,0),MATCH('Tariff schedule'!O$16,'Prop. prices'!$I$5:$AB$5,0))</f>
        <v>0</v>
      </c>
      <c r="P320" s="232">
        <f>INDEX('Prop. prices'!$I$164:$AB$238,MATCH('Tariff schedule'!$C320,'Prop. prices'!$C$164:$C$238,0),MATCH('Tariff schedule'!P$16,'Prop. prices'!$I$5:$AB$5,0))</f>
        <v>0</v>
      </c>
      <c r="Q320" s="232">
        <f>INDEX('Prop. prices'!$I$164:$AB$238,MATCH('Tariff schedule'!$C320,'Prop. prices'!$C$164:$C$238,0),MATCH('Tariff schedule'!Q$16,'Prop. prices'!$I$5:$AB$5,0))</f>
        <v>0</v>
      </c>
      <c r="R320" s="232">
        <f>INDEX('Prop. prices'!$I$164:$AB$238,MATCH('Tariff schedule'!$C320,'Prop. prices'!$C$164:$C$238,0),MATCH('Tariff schedule'!R$16,'Prop. prices'!$I$5:$AB$5,0))</f>
        <v>0</v>
      </c>
      <c r="S320" s="232">
        <f>INDEX('Prop. prices'!$I$164:$AB$238,MATCH('Tariff schedule'!$C320,'Prop. prices'!$C$164:$C$238,0),MATCH('Tariff schedule'!S$16,'Prop. prices'!$I$5:$AB$5,0))</f>
        <v>0</v>
      </c>
      <c r="T320" s="232">
        <f>INDEX('Prop. prices'!$I$164:$AB$238,MATCH('Tariff schedule'!$C320,'Prop. prices'!$C$164:$C$238,0),MATCH('Tariff schedule'!T$16,'Prop. prices'!$I$5:$AB$5,0))</f>
        <v>0</v>
      </c>
      <c r="U320" s="232">
        <f>INDEX('Prop. prices'!$I$164:$AB$238,MATCH('Tariff schedule'!$C320,'Prop. prices'!$C$164:$C$238,0),MATCH('Tariff schedule'!U$16,'Prop. prices'!$I$5:$AB$5,0))</f>
        <v>0</v>
      </c>
      <c r="V320" s="232">
        <f>INDEX('Prop. prices'!$I$164:$AB$238,MATCH('Tariff schedule'!$C320,'Prop. prices'!$C$164:$C$238,0),MATCH('Tariff schedule'!V$16,'Prop. prices'!$I$5:$AB$5,0))</f>
        <v>0</v>
      </c>
      <c r="W320" s="232">
        <f>INDEX('Prop. prices'!$I$164:$AB$238,MATCH('Tariff schedule'!$C320,'Prop. prices'!$C$164:$C$238,0),MATCH('Tariff schedule'!W$16,'Prop. prices'!$I$5:$AB$5,0))</f>
        <v>0</v>
      </c>
      <c r="X320" s="232">
        <f>INDEX('Prop. prices'!$I$164:$AB$238,MATCH('Tariff schedule'!$C320,'Prop. prices'!$C$164:$C$238,0),MATCH('Tariff schedule'!X$16,'Prop. prices'!$I$5:$AB$5,0))</f>
        <v>0</v>
      </c>
      <c r="Y320" s="232">
        <f>INDEX('Prop. prices'!$I$164:$AB$238,MATCH('Tariff schedule'!$C320,'Prop. prices'!$C$164:$C$238,0),MATCH('Tariff schedule'!Y$16,'Prop. prices'!$I$5:$AB$5,0))</f>
        <v>0</v>
      </c>
      <c r="Z320" s="232">
        <f>INDEX('Prop. prices'!$I$164:$AB$238,MATCH('Tariff schedule'!$C320,'Prop. prices'!$C$164:$C$238,0),MATCH('Tariff schedule'!Z$16,'Prop. prices'!$I$5:$AB$5,0))</f>
        <v>0</v>
      </c>
      <c r="AA320" s="232">
        <f>INDEX('Prop. prices'!$I$164:$AB$238,MATCH('Tariff schedule'!$C320,'Prop. prices'!$C$164:$C$238,0),MATCH('Tariff schedule'!AA$16,'Prop. prices'!$I$5:$AB$5,0))</f>
        <v>0</v>
      </c>
      <c r="AB320" s="232">
        <f>INDEX('Prop. prices'!$I$164:$AB$238,MATCH('Tariff schedule'!$C320,'Prop. prices'!$C$164:$C$238,0),MATCH('Tariff schedule'!AB$16,'Prop. prices'!$I$5:$AB$5,0))</f>
        <v>0</v>
      </c>
      <c r="AC320" s="70"/>
      <c r="AD320" s="19"/>
      <c r="AE320" s="19"/>
      <c r="AF320" s="19"/>
      <c r="AG320" s="19"/>
    </row>
    <row r="321" spans="1:33" hidden="1" outlineLevel="3" x14ac:dyDescent="0.2">
      <c r="A321" s="19"/>
      <c r="B321" s="19"/>
      <c r="C321" s="506">
        <f t="shared" si="97"/>
        <v>0</v>
      </c>
      <c r="D321" s="505">
        <f t="shared" si="97"/>
        <v>0</v>
      </c>
      <c r="E321" s="505">
        <f t="shared" si="97"/>
        <v>0</v>
      </c>
      <c r="F321" s="505">
        <f t="shared" si="97"/>
        <v>0</v>
      </c>
      <c r="G321" s="505">
        <f t="shared" si="97"/>
        <v>0</v>
      </c>
      <c r="H321" s="58"/>
      <c r="I321" s="232">
        <f>INDEX('Prop. prices'!$I$164:$AB$238,MATCH('Tariff schedule'!$C321,'Prop. prices'!$C$164:$C$238,0),MATCH('Tariff schedule'!I$16,'Prop. prices'!$I$5:$AB$5,0))</f>
        <v>0</v>
      </c>
      <c r="J321" s="232">
        <f>INDEX('Prop. prices'!$I$164:$AB$238,MATCH('Tariff schedule'!$C321,'Prop. prices'!$C$164:$C$238,0),MATCH('Tariff schedule'!J$16,'Prop. prices'!$I$5:$AB$5,0))</f>
        <v>0</v>
      </c>
      <c r="K321" s="232">
        <f>INDEX('Prop. prices'!$I$164:$AB$238,MATCH('Tariff schedule'!$C321,'Prop. prices'!$C$164:$C$238,0),MATCH('Tariff schedule'!K$16,'Prop. prices'!$I$5:$AB$5,0))</f>
        <v>0</v>
      </c>
      <c r="L321" s="232">
        <f>INDEX('Prop. prices'!$I$164:$AB$238,MATCH('Tariff schedule'!$C321,'Prop. prices'!$C$164:$C$238,0),MATCH('Tariff schedule'!L$16,'Prop. prices'!$I$5:$AB$5,0))</f>
        <v>0</v>
      </c>
      <c r="M321" s="232">
        <f>INDEX('Prop. prices'!$I$164:$AB$238,MATCH('Tariff schedule'!$C321,'Prop. prices'!$C$164:$C$238,0),MATCH('Tariff schedule'!M$16,'Prop. prices'!$I$5:$AB$5,0))</f>
        <v>0</v>
      </c>
      <c r="N321" s="232">
        <f>INDEX('Prop. prices'!$I$164:$AB$238,MATCH('Tariff schedule'!$C321,'Prop. prices'!$C$164:$C$238,0),MATCH('Tariff schedule'!N$16,'Prop. prices'!$I$5:$AB$5,0))</f>
        <v>0</v>
      </c>
      <c r="O321" s="232">
        <f>INDEX('Prop. prices'!$I$164:$AB$238,MATCH('Tariff schedule'!$C321,'Prop. prices'!$C$164:$C$238,0),MATCH('Tariff schedule'!O$16,'Prop. prices'!$I$5:$AB$5,0))</f>
        <v>0</v>
      </c>
      <c r="P321" s="232">
        <f>INDEX('Prop. prices'!$I$164:$AB$238,MATCH('Tariff schedule'!$C321,'Prop. prices'!$C$164:$C$238,0),MATCH('Tariff schedule'!P$16,'Prop. prices'!$I$5:$AB$5,0))</f>
        <v>0</v>
      </c>
      <c r="Q321" s="232">
        <f>INDEX('Prop. prices'!$I$164:$AB$238,MATCH('Tariff schedule'!$C321,'Prop. prices'!$C$164:$C$238,0),MATCH('Tariff schedule'!Q$16,'Prop. prices'!$I$5:$AB$5,0))</f>
        <v>0</v>
      </c>
      <c r="R321" s="232">
        <f>INDEX('Prop. prices'!$I$164:$AB$238,MATCH('Tariff schedule'!$C321,'Prop. prices'!$C$164:$C$238,0),MATCH('Tariff schedule'!R$16,'Prop. prices'!$I$5:$AB$5,0))</f>
        <v>0</v>
      </c>
      <c r="S321" s="232">
        <f>INDEX('Prop. prices'!$I$164:$AB$238,MATCH('Tariff schedule'!$C321,'Prop. prices'!$C$164:$C$238,0),MATCH('Tariff schedule'!S$16,'Prop. prices'!$I$5:$AB$5,0))</f>
        <v>0</v>
      </c>
      <c r="T321" s="232">
        <f>INDEX('Prop. prices'!$I$164:$AB$238,MATCH('Tariff schedule'!$C321,'Prop. prices'!$C$164:$C$238,0),MATCH('Tariff schedule'!T$16,'Prop. prices'!$I$5:$AB$5,0))</f>
        <v>0</v>
      </c>
      <c r="U321" s="232">
        <f>INDEX('Prop. prices'!$I$164:$AB$238,MATCH('Tariff schedule'!$C321,'Prop. prices'!$C$164:$C$238,0),MATCH('Tariff schedule'!U$16,'Prop. prices'!$I$5:$AB$5,0))</f>
        <v>0</v>
      </c>
      <c r="V321" s="232">
        <f>INDEX('Prop. prices'!$I$164:$AB$238,MATCH('Tariff schedule'!$C321,'Prop. prices'!$C$164:$C$238,0),MATCH('Tariff schedule'!V$16,'Prop. prices'!$I$5:$AB$5,0))</f>
        <v>0</v>
      </c>
      <c r="W321" s="232">
        <f>INDEX('Prop. prices'!$I$164:$AB$238,MATCH('Tariff schedule'!$C321,'Prop. prices'!$C$164:$C$238,0),MATCH('Tariff schedule'!W$16,'Prop. prices'!$I$5:$AB$5,0))</f>
        <v>0</v>
      </c>
      <c r="X321" s="232">
        <f>INDEX('Prop. prices'!$I$164:$AB$238,MATCH('Tariff schedule'!$C321,'Prop. prices'!$C$164:$C$238,0),MATCH('Tariff schedule'!X$16,'Prop. prices'!$I$5:$AB$5,0))</f>
        <v>0</v>
      </c>
      <c r="Y321" s="232">
        <f>INDEX('Prop. prices'!$I$164:$AB$238,MATCH('Tariff schedule'!$C321,'Prop. prices'!$C$164:$C$238,0),MATCH('Tariff schedule'!Y$16,'Prop. prices'!$I$5:$AB$5,0))</f>
        <v>0</v>
      </c>
      <c r="Z321" s="232">
        <f>INDEX('Prop. prices'!$I$164:$AB$238,MATCH('Tariff schedule'!$C321,'Prop. prices'!$C$164:$C$238,0),MATCH('Tariff schedule'!Z$16,'Prop. prices'!$I$5:$AB$5,0))</f>
        <v>0</v>
      </c>
      <c r="AA321" s="232">
        <f>INDEX('Prop. prices'!$I$164:$AB$238,MATCH('Tariff schedule'!$C321,'Prop. prices'!$C$164:$C$238,0),MATCH('Tariff schedule'!AA$16,'Prop. prices'!$I$5:$AB$5,0))</f>
        <v>0</v>
      </c>
      <c r="AB321" s="232">
        <f>INDEX('Prop. prices'!$I$164:$AB$238,MATCH('Tariff schedule'!$C321,'Prop. prices'!$C$164:$C$238,0),MATCH('Tariff schedule'!AB$16,'Prop. prices'!$I$5:$AB$5,0))</f>
        <v>0</v>
      </c>
      <c r="AC321" s="70"/>
      <c r="AD321" s="19"/>
      <c r="AE321" s="19"/>
      <c r="AF321" s="19"/>
      <c r="AG321" s="19"/>
    </row>
    <row r="322" spans="1:33" hidden="1" outlineLevel="3" x14ac:dyDescent="0.2">
      <c r="A322" s="19"/>
      <c r="B322" s="19"/>
      <c r="C322" s="506">
        <f t="shared" si="97"/>
        <v>0</v>
      </c>
      <c r="D322" s="505">
        <f t="shared" si="97"/>
        <v>0</v>
      </c>
      <c r="E322" s="505">
        <f t="shared" si="97"/>
        <v>0</v>
      </c>
      <c r="F322" s="505">
        <f t="shared" si="97"/>
        <v>0</v>
      </c>
      <c r="G322" s="505">
        <f t="shared" si="97"/>
        <v>0</v>
      </c>
      <c r="H322" s="58"/>
      <c r="I322" s="232">
        <f>INDEX('Prop. prices'!$I$164:$AB$238,MATCH('Tariff schedule'!$C322,'Prop. prices'!$C$164:$C$238,0),MATCH('Tariff schedule'!I$16,'Prop. prices'!$I$5:$AB$5,0))</f>
        <v>0</v>
      </c>
      <c r="J322" s="232">
        <f>INDEX('Prop. prices'!$I$164:$AB$238,MATCH('Tariff schedule'!$C322,'Prop. prices'!$C$164:$C$238,0),MATCH('Tariff schedule'!J$16,'Prop. prices'!$I$5:$AB$5,0))</f>
        <v>0</v>
      </c>
      <c r="K322" s="232">
        <f>INDEX('Prop. prices'!$I$164:$AB$238,MATCH('Tariff schedule'!$C322,'Prop. prices'!$C$164:$C$238,0),MATCH('Tariff schedule'!K$16,'Prop. prices'!$I$5:$AB$5,0))</f>
        <v>0</v>
      </c>
      <c r="L322" s="232">
        <f>INDEX('Prop. prices'!$I$164:$AB$238,MATCH('Tariff schedule'!$C322,'Prop. prices'!$C$164:$C$238,0),MATCH('Tariff schedule'!L$16,'Prop. prices'!$I$5:$AB$5,0))</f>
        <v>0</v>
      </c>
      <c r="M322" s="232">
        <f>INDEX('Prop. prices'!$I$164:$AB$238,MATCH('Tariff schedule'!$C322,'Prop. prices'!$C$164:$C$238,0),MATCH('Tariff schedule'!M$16,'Prop. prices'!$I$5:$AB$5,0))</f>
        <v>0</v>
      </c>
      <c r="N322" s="232">
        <f>INDEX('Prop. prices'!$I$164:$AB$238,MATCH('Tariff schedule'!$C322,'Prop. prices'!$C$164:$C$238,0),MATCH('Tariff schedule'!N$16,'Prop. prices'!$I$5:$AB$5,0))</f>
        <v>0</v>
      </c>
      <c r="O322" s="232">
        <f>INDEX('Prop. prices'!$I$164:$AB$238,MATCH('Tariff schedule'!$C322,'Prop. prices'!$C$164:$C$238,0),MATCH('Tariff schedule'!O$16,'Prop. prices'!$I$5:$AB$5,0))</f>
        <v>0</v>
      </c>
      <c r="P322" s="232">
        <f>INDEX('Prop. prices'!$I$164:$AB$238,MATCH('Tariff schedule'!$C322,'Prop. prices'!$C$164:$C$238,0),MATCH('Tariff schedule'!P$16,'Prop. prices'!$I$5:$AB$5,0))</f>
        <v>0</v>
      </c>
      <c r="Q322" s="232">
        <f>INDEX('Prop. prices'!$I$164:$AB$238,MATCH('Tariff schedule'!$C322,'Prop. prices'!$C$164:$C$238,0),MATCH('Tariff schedule'!Q$16,'Prop. prices'!$I$5:$AB$5,0))</f>
        <v>0</v>
      </c>
      <c r="R322" s="232">
        <f>INDEX('Prop. prices'!$I$164:$AB$238,MATCH('Tariff schedule'!$C322,'Prop. prices'!$C$164:$C$238,0),MATCH('Tariff schedule'!R$16,'Prop. prices'!$I$5:$AB$5,0))</f>
        <v>0</v>
      </c>
      <c r="S322" s="232">
        <f>INDEX('Prop. prices'!$I$164:$AB$238,MATCH('Tariff schedule'!$C322,'Prop. prices'!$C$164:$C$238,0),MATCH('Tariff schedule'!S$16,'Prop. prices'!$I$5:$AB$5,0))</f>
        <v>0</v>
      </c>
      <c r="T322" s="232">
        <f>INDEX('Prop. prices'!$I$164:$AB$238,MATCH('Tariff schedule'!$C322,'Prop. prices'!$C$164:$C$238,0),MATCH('Tariff schedule'!T$16,'Prop. prices'!$I$5:$AB$5,0))</f>
        <v>0</v>
      </c>
      <c r="U322" s="232">
        <f>INDEX('Prop. prices'!$I$164:$AB$238,MATCH('Tariff schedule'!$C322,'Prop. prices'!$C$164:$C$238,0),MATCH('Tariff schedule'!U$16,'Prop. prices'!$I$5:$AB$5,0))</f>
        <v>0</v>
      </c>
      <c r="V322" s="232">
        <f>INDEX('Prop. prices'!$I$164:$AB$238,MATCH('Tariff schedule'!$C322,'Prop. prices'!$C$164:$C$238,0),MATCH('Tariff schedule'!V$16,'Prop. prices'!$I$5:$AB$5,0))</f>
        <v>0</v>
      </c>
      <c r="W322" s="232">
        <f>INDEX('Prop. prices'!$I$164:$AB$238,MATCH('Tariff schedule'!$C322,'Prop. prices'!$C$164:$C$238,0),MATCH('Tariff schedule'!W$16,'Prop. prices'!$I$5:$AB$5,0))</f>
        <v>0</v>
      </c>
      <c r="X322" s="232">
        <f>INDEX('Prop. prices'!$I$164:$AB$238,MATCH('Tariff schedule'!$C322,'Prop. prices'!$C$164:$C$238,0),MATCH('Tariff schedule'!X$16,'Prop. prices'!$I$5:$AB$5,0))</f>
        <v>0</v>
      </c>
      <c r="Y322" s="232">
        <f>INDEX('Prop. prices'!$I$164:$AB$238,MATCH('Tariff schedule'!$C322,'Prop. prices'!$C$164:$C$238,0),MATCH('Tariff schedule'!Y$16,'Prop. prices'!$I$5:$AB$5,0))</f>
        <v>0</v>
      </c>
      <c r="Z322" s="232">
        <f>INDEX('Prop. prices'!$I$164:$AB$238,MATCH('Tariff schedule'!$C322,'Prop. prices'!$C$164:$C$238,0),MATCH('Tariff schedule'!Z$16,'Prop. prices'!$I$5:$AB$5,0))</f>
        <v>0</v>
      </c>
      <c r="AA322" s="232">
        <f>INDEX('Prop. prices'!$I$164:$AB$238,MATCH('Tariff schedule'!$C322,'Prop. prices'!$C$164:$C$238,0),MATCH('Tariff schedule'!AA$16,'Prop. prices'!$I$5:$AB$5,0))</f>
        <v>0</v>
      </c>
      <c r="AB322" s="232">
        <f>INDEX('Prop. prices'!$I$164:$AB$238,MATCH('Tariff schedule'!$C322,'Prop. prices'!$C$164:$C$238,0),MATCH('Tariff schedule'!AB$16,'Prop. prices'!$I$5:$AB$5,0))</f>
        <v>0</v>
      </c>
      <c r="AC322" s="70"/>
      <c r="AD322" s="19"/>
      <c r="AE322" s="19"/>
      <c r="AF322" s="19"/>
      <c r="AG322" s="19"/>
    </row>
    <row r="323" spans="1:33" hidden="1" outlineLevel="3" x14ac:dyDescent="0.2">
      <c r="A323" s="19"/>
      <c r="B323" s="19"/>
      <c r="C323" s="506">
        <f t="shared" ref="C323:G327" si="98">C89</f>
        <v>0</v>
      </c>
      <c r="D323" s="505">
        <f t="shared" si="98"/>
        <v>0</v>
      </c>
      <c r="E323" s="505">
        <f t="shared" si="98"/>
        <v>0</v>
      </c>
      <c r="F323" s="505">
        <f t="shared" si="98"/>
        <v>0</v>
      </c>
      <c r="G323" s="505">
        <f t="shared" si="98"/>
        <v>0</v>
      </c>
      <c r="H323" s="58"/>
      <c r="I323" s="232">
        <f>INDEX('Prop. prices'!$I$164:$AB$238,MATCH('Tariff schedule'!$C323,'Prop. prices'!$C$164:$C$238,0),MATCH('Tariff schedule'!I$16,'Prop. prices'!$I$5:$AB$5,0))</f>
        <v>0</v>
      </c>
      <c r="J323" s="232">
        <f>INDEX('Prop. prices'!$I$164:$AB$238,MATCH('Tariff schedule'!$C323,'Prop. prices'!$C$164:$C$238,0),MATCH('Tariff schedule'!J$16,'Prop. prices'!$I$5:$AB$5,0))</f>
        <v>0</v>
      </c>
      <c r="K323" s="232">
        <f>INDEX('Prop. prices'!$I$164:$AB$238,MATCH('Tariff schedule'!$C323,'Prop. prices'!$C$164:$C$238,0),MATCH('Tariff schedule'!K$16,'Prop. prices'!$I$5:$AB$5,0))</f>
        <v>0</v>
      </c>
      <c r="L323" s="232">
        <f>INDEX('Prop. prices'!$I$164:$AB$238,MATCH('Tariff schedule'!$C323,'Prop. prices'!$C$164:$C$238,0),MATCH('Tariff schedule'!L$16,'Prop. prices'!$I$5:$AB$5,0))</f>
        <v>0</v>
      </c>
      <c r="M323" s="232">
        <f>INDEX('Prop. prices'!$I$164:$AB$238,MATCH('Tariff schedule'!$C323,'Prop. prices'!$C$164:$C$238,0),MATCH('Tariff schedule'!M$16,'Prop. prices'!$I$5:$AB$5,0))</f>
        <v>0</v>
      </c>
      <c r="N323" s="232">
        <f>INDEX('Prop. prices'!$I$164:$AB$238,MATCH('Tariff schedule'!$C323,'Prop. prices'!$C$164:$C$238,0),MATCH('Tariff schedule'!N$16,'Prop. prices'!$I$5:$AB$5,0))</f>
        <v>0</v>
      </c>
      <c r="O323" s="232">
        <f>INDEX('Prop. prices'!$I$164:$AB$238,MATCH('Tariff schedule'!$C323,'Prop. prices'!$C$164:$C$238,0),MATCH('Tariff schedule'!O$16,'Prop. prices'!$I$5:$AB$5,0))</f>
        <v>0</v>
      </c>
      <c r="P323" s="232">
        <f>INDEX('Prop. prices'!$I$164:$AB$238,MATCH('Tariff schedule'!$C323,'Prop. prices'!$C$164:$C$238,0),MATCH('Tariff schedule'!P$16,'Prop. prices'!$I$5:$AB$5,0))</f>
        <v>0</v>
      </c>
      <c r="Q323" s="232">
        <f>INDEX('Prop. prices'!$I$164:$AB$238,MATCH('Tariff schedule'!$C323,'Prop. prices'!$C$164:$C$238,0),MATCH('Tariff schedule'!Q$16,'Prop. prices'!$I$5:$AB$5,0))</f>
        <v>0</v>
      </c>
      <c r="R323" s="232">
        <f>INDEX('Prop. prices'!$I$164:$AB$238,MATCH('Tariff schedule'!$C323,'Prop. prices'!$C$164:$C$238,0),MATCH('Tariff schedule'!R$16,'Prop. prices'!$I$5:$AB$5,0))</f>
        <v>0</v>
      </c>
      <c r="S323" s="232">
        <f>INDEX('Prop. prices'!$I$164:$AB$238,MATCH('Tariff schedule'!$C323,'Prop. prices'!$C$164:$C$238,0),MATCH('Tariff schedule'!S$16,'Prop. prices'!$I$5:$AB$5,0))</f>
        <v>0</v>
      </c>
      <c r="T323" s="232">
        <f>INDEX('Prop. prices'!$I$164:$AB$238,MATCH('Tariff schedule'!$C323,'Prop. prices'!$C$164:$C$238,0),MATCH('Tariff schedule'!T$16,'Prop. prices'!$I$5:$AB$5,0))</f>
        <v>0</v>
      </c>
      <c r="U323" s="232">
        <f>INDEX('Prop. prices'!$I$164:$AB$238,MATCH('Tariff schedule'!$C323,'Prop. prices'!$C$164:$C$238,0),MATCH('Tariff schedule'!U$16,'Prop. prices'!$I$5:$AB$5,0))</f>
        <v>0</v>
      </c>
      <c r="V323" s="232">
        <f>INDEX('Prop. prices'!$I$164:$AB$238,MATCH('Tariff schedule'!$C323,'Prop. prices'!$C$164:$C$238,0),MATCH('Tariff schedule'!V$16,'Prop. prices'!$I$5:$AB$5,0))</f>
        <v>0</v>
      </c>
      <c r="W323" s="232">
        <f>INDEX('Prop. prices'!$I$164:$AB$238,MATCH('Tariff schedule'!$C323,'Prop. prices'!$C$164:$C$238,0),MATCH('Tariff schedule'!W$16,'Prop. prices'!$I$5:$AB$5,0))</f>
        <v>0</v>
      </c>
      <c r="X323" s="232">
        <f>INDEX('Prop. prices'!$I$164:$AB$238,MATCH('Tariff schedule'!$C323,'Prop. prices'!$C$164:$C$238,0),MATCH('Tariff schedule'!X$16,'Prop. prices'!$I$5:$AB$5,0))</f>
        <v>0</v>
      </c>
      <c r="Y323" s="232">
        <f>INDEX('Prop. prices'!$I$164:$AB$238,MATCH('Tariff schedule'!$C323,'Prop. prices'!$C$164:$C$238,0),MATCH('Tariff schedule'!Y$16,'Prop. prices'!$I$5:$AB$5,0))</f>
        <v>0</v>
      </c>
      <c r="Z323" s="232">
        <f>INDEX('Prop. prices'!$I$164:$AB$238,MATCH('Tariff schedule'!$C323,'Prop. prices'!$C$164:$C$238,0),MATCH('Tariff schedule'!Z$16,'Prop. prices'!$I$5:$AB$5,0))</f>
        <v>0</v>
      </c>
      <c r="AA323" s="232">
        <f>INDEX('Prop. prices'!$I$164:$AB$238,MATCH('Tariff schedule'!$C323,'Prop. prices'!$C$164:$C$238,0),MATCH('Tariff schedule'!AA$16,'Prop. prices'!$I$5:$AB$5,0))</f>
        <v>0</v>
      </c>
      <c r="AB323" s="232">
        <f>INDEX('Prop. prices'!$I$164:$AB$238,MATCH('Tariff schedule'!$C323,'Prop. prices'!$C$164:$C$238,0),MATCH('Tariff schedule'!AB$16,'Prop. prices'!$I$5:$AB$5,0))</f>
        <v>0</v>
      </c>
      <c r="AC323" s="70"/>
      <c r="AD323" s="19"/>
      <c r="AE323" s="19"/>
      <c r="AF323" s="19"/>
      <c r="AG323" s="19"/>
    </row>
    <row r="324" spans="1:33" hidden="1" outlineLevel="3" x14ac:dyDescent="0.2">
      <c r="A324" s="19"/>
      <c r="B324" s="19"/>
      <c r="C324" s="506">
        <f t="shared" si="98"/>
        <v>0</v>
      </c>
      <c r="D324" s="505">
        <f t="shared" si="98"/>
        <v>0</v>
      </c>
      <c r="E324" s="505">
        <f t="shared" si="98"/>
        <v>0</v>
      </c>
      <c r="F324" s="505">
        <f t="shared" si="98"/>
        <v>0</v>
      </c>
      <c r="G324" s="505">
        <f t="shared" si="98"/>
        <v>0</v>
      </c>
      <c r="H324" s="58"/>
      <c r="I324" s="232">
        <f>INDEX('Prop. prices'!$I$164:$AB$238,MATCH('Tariff schedule'!$C324,'Prop. prices'!$C$164:$C$238,0),MATCH('Tariff schedule'!I$16,'Prop. prices'!$I$5:$AB$5,0))</f>
        <v>0</v>
      </c>
      <c r="J324" s="232">
        <f>INDEX('Prop. prices'!$I$164:$AB$238,MATCH('Tariff schedule'!$C324,'Prop. prices'!$C$164:$C$238,0),MATCH('Tariff schedule'!J$16,'Prop. prices'!$I$5:$AB$5,0))</f>
        <v>0</v>
      </c>
      <c r="K324" s="232">
        <f>INDEX('Prop. prices'!$I$164:$AB$238,MATCH('Tariff schedule'!$C324,'Prop. prices'!$C$164:$C$238,0),MATCH('Tariff schedule'!K$16,'Prop. prices'!$I$5:$AB$5,0))</f>
        <v>0</v>
      </c>
      <c r="L324" s="232">
        <f>INDEX('Prop. prices'!$I$164:$AB$238,MATCH('Tariff schedule'!$C324,'Prop. prices'!$C$164:$C$238,0),MATCH('Tariff schedule'!L$16,'Prop. prices'!$I$5:$AB$5,0))</f>
        <v>0</v>
      </c>
      <c r="M324" s="232">
        <f>INDEX('Prop. prices'!$I$164:$AB$238,MATCH('Tariff schedule'!$C324,'Prop. prices'!$C$164:$C$238,0),MATCH('Tariff schedule'!M$16,'Prop. prices'!$I$5:$AB$5,0))</f>
        <v>0</v>
      </c>
      <c r="N324" s="232">
        <f>INDEX('Prop. prices'!$I$164:$AB$238,MATCH('Tariff schedule'!$C324,'Prop. prices'!$C$164:$C$238,0),MATCH('Tariff schedule'!N$16,'Prop. prices'!$I$5:$AB$5,0))</f>
        <v>0</v>
      </c>
      <c r="O324" s="232">
        <f>INDEX('Prop. prices'!$I$164:$AB$238,MATCH('Tariff schedule'!$C324,'Prop. prices'!$C$164:$C$238,0),MATCH('Tariff schedule'!O$16,'Prop. prices'!$I$5:$AB$5,0))</f>
        <v>0</v>
      </c>
      <c r="P324" s="232">
        <f>INDEX('Prop. prices'!$I$164:$AB$238,MATCH('Tariff schedule'!$C324,'Prop. prices'!$C$164:$C$238,0),MATCH('Tariff schedule'!P$16,'Prop. prices'!$I$5:$AB$5,0))</f>
        <v>0</v>
      </c>
      <c r="Q324" s="232">
        <f>INDEX('Prop. prices'!$I$164:$AB$238,MATCH('Tariff schedule'!$C324,'Prop. prices'!$C$164:$C$238,0),MATCH('Tariff schedule'!Q$16,'Prop. prices'!$I$5:$AB$5,0))</f>
        <v>0</v>
      </c>
      <c r="R324" s="232">
        <f>INDEX('Prop. prices'!$I$164:$AB$238,MATCH('Tariff schedule'!$C324,'Prop. prices'!$C$164:$C$238,0),MATCH('Tariff schedule'!R$16,'Prop. prices'!$I$5:$AB$5,0))</f>
        <v>0</v>
      </c>
      <c r="S324" s="232">
        <f>INDEX('Prop. prices'!$I$164:$AB$238,MATCH('Tariff schedule'!$C324,'Prop. prices'!$C$164:$C$238,0),MATCH('Tariff schedule'!S$16,'Prop. prices'!$I$5:$AB$5,0))</f>
        <v>0</v>
      </c>
      <c r="T324" s="232">
        <f>INDEX('Prop. prices'!$I$164:$AB$238,MATCH('Tariff schedule'!$C324,'Prop. prices'!$C$164:$C$238,0),MATCH('Tariff schedule'!T$16,'Prop. prices'!$I$5:$AB$5,0))</f>
        <v>0</v>
      </c>
      <c r="U324" s="232">
        <f>INDEX('Prop. prices'!$I$164:$AB$238,MATCH('Tariff schedule'!$C324,'Prop. prices'!$C$164:$C$238,0),MATCH('Tariff schedule'!U$16,'Prop. prices'!$I$5:$AB$5,0))</f>
        <v>0</v>
      </c>
      <c r="V324" s="232">
        <f>INDEX('Prop. prices'!$I$164:$AB$238,MATCH('Tariff schedule'!$C324,'Prop. prices'!$C$164:$C$238,0),MATCH('Tariff schedule'!V$16,'Prop. prices'!$I$5:$AB$5,0))</f>
        <v>0</v>
      </c>
      <c r="W324" s="232">
        <f>INDEX('Prop. prices'!$I$164:$AB$238,MATCH('Tariff schedule'!$C324,'Prop. prices'!$C$164:$C$238,0),MATCH('Tariff schedule'!W$16,'Prop. prices'!$I$5:$AB$5,0))</f>
        <v>0</v>
      </c>
      <c r="X324" s="232">
        <f>INDEX('Prop. prices'!$I$164:$AB$238,MATCH('Tariff schedule'!$C324,'Prop. prices'!$C$164:$C$238,0),MATCH('Tariff schedule'!X$16,'Prop. prices'!$I$5:$AB$5,0))</f>
        <v>0</v>
      </c>
      <c r="Y324" s="232">
        <f>INDEX('Prop. prices'!$I$164:$AB$238,MATCH('Tariff schedule'!$C324,'Prop. prices'!$C$164:$C$238,0),MATCH('Tariff schedule'!Y$16,'Prop. prices'!$I$5:$AB$5,0))</f>
        <v>0</v>
      </c>
      <c r="Z324" s="232">
        <f>INDEX('Prop. prices'!$I$164:$AB$238,MATCH('Tariff schedule'!$C324,'Prop. prices'!$C$164:$C$238,0),MATCH('Tariff schedule'!Z$16,'Prop. prices'!$I$5:$AB$5,0))</f>
        <v>0</v>
      </c>
      <c r="AA324" s="232">
        <f>INDEX('Prop. prices'!$I$164:$AB$238,MATCH('Tariff schedule'!$C324,'Prop. prices'!$C$164:$C$238,0),MATCH('Tariff schedule'!AA$16,'Prop. prices'!$I$5:$AB$5,0))</f>
        <v>0</v>
      </c>
      <c r="AB324" s="232">
        <f>INDEX('Prop. prices'!$I$164:$AB$238,MATCH('Tariff schedule'!$C324,'Prop. prices'!$C$164:$C$238,0),MATCH('Tariff schedule'!AB$16,'Prop. prices'!$I$5:$AB$5,0))</f>
        <v>0</v>
      </c>
      <c r="AC324" s="70"/>
      <c r="AD324" s="19"/>
      <c r="AE324" s="19"/>
      <c r="AF324" s="19"/>
      <c r="AG324" s="19"/>
    </row>
    <row r="325" spans="1:33" hidden="1" outlineLevel="3" x14ac:dyDescent="0.2">
      <c r="A325" s="19"/>
      <c r="B325" s="19"/>
      <c r="C325" s="506">
        <f t="shared" si="98"/>
        <v>0</v>
      </c>
      <c r="D325" s="505">
        <f t="shared" si="98"/>
        <v>0</v>
      </c>
      <c r="E325" s="505">
        <f t="shared" si="98"/>
        <v>0</v>
      </c>
      <c r="F325" s="505">
        <f t="shared" si="98"/>
        <v>0</v>
      </c>
      <c r="G325" s="505">
        <f t="shared" si="98"/>
        <v>0</v>
      </c>
      <c r="H325" s="58"/>
      <c r="I325" s="232">
        <f>INDEX('Prop. prices'!$I$164:$AB$238,MATCH('Tariff schedule'!$C325,'Prop. prices'!$C$164:$C$238,0),MATCH('Tariff schedule'!I$16,'Prop. prices'!$I$5:$AB$5,0))</f>
        <v>0</v>
      </c>
      <c r="J325" s="232">
        <f>INDEX('Prop. prices'!$I$164:$AB$238,MATCH('Tariff schedule'!$C325,'Prop. prices'!$C$164:$C$238,0),MATCH('Tariff schedule'!J$16,'Prop. prices'!$I$5:$AB$5,0))</f>
        <v>0</v>
      </c>
      <c r="K325" s="232">
        <f>INDEX('Prop. prices'!$I$164:$AB$238,MATCH('Tariff schedule'!$C325,'Prop. prices'!$C$164:$C$238,0),MATCH('Tariff schedule'!K$16,'Prop. prices'!$I$5:$AB$5,0))</f>
        <v>0</v>
      </c>
      <c r="L325" s="232">
        <f>INDEX('Prop. prices'!$I$164:$AB$238,MATCH('Tariff schedule'!$C325,'Prop. prices'!$C$164:$C$238,0),MATCH('Tariff schedule'!L$16,'Prop. prices'!$I$5:$AB$5,0))</f>
        <v>0</v>
      </c>
      <c r="M325" s="232">
        <f>INDEX('Prop. prices'!$I$164:$AB$238,MATCH('Tariff schedule'!$C325,'Prop. prices'!$C$164:$C$238,0),MATCH('Tariff schedule'!M$16,'Prop. prices'!$I$5:$AB$5,0))</f>
        <v>0</v>
      </c>
      <c r="N325" s="232">
        <f>INDEX('Prop. prices'!$I$164:$AB$238,MATCH('Tariff schedule'!$C325,'Prop. prices'!$C$164:$C$238,0),MATCH('Tariff schedule'!N$16,'Prop. prices'!$I$5:$AB$5,0))</f>
        <v>0</v>
      </c>
      <c r="O325" s="232">
        <f>INDEX('Prop. prices'!$I$164:$AB$238,MATCH('Tariff schedule'!$C325,'Prop. prices'!$C$164:$C$238,0),MATCH('Tariff schedule'!O$16,'Prop. prices'!$I$5:$AB$5,0))</f>
        <v>0</v>
      </c>
      <c r="P325" s="232">
        <f>INDEX('Prop. prices'!$I$164:$AB$238,MATCH('Tariff schedule'!$C325,'Prop. prices'!$C$164:$C$238,0),MATCH('Tariff schedule'!P$16,'Prop. prices'!$I$5:$AB$5,0))</f>
        <v>0</v>
      </c>
      <c r="Q325" s="232">
        <f>INDEX('Prop. prices'!$I$164:$AB$238,MATCH('Tariff schedule'!$C325,'Prop. prices'!$C$164:$C$238,0),MATCH('Tariff schedule'!Q$16,'Prop. prices'!$I$5:$AB$5,0))</f>
        <v>0</v>
      </c>
      <c r="R325" s="232">
        <f>INDEX('Prop. prices'!$I$164:$AB$238,MATCH('Tariff schedule'!$C325,'Prop. prices'!$C$164:$C$238,0),MATCH('Tariff schedule'!R$16,'Prop. prices'!$I$5:$AB$5,0))</f>
        <v>0</v>
      </c>
      <c r="S325" s="232">
        <f>INDEX('Prop. prices'!$I$164:$AB$238,MATCH('Tariff schedule'!$C325,'Prop. prices'!$C$164:$C$238,0),MATCH('Tariff schedule'!S$16,'Prop. prices'!$I$5:$AB$5,0))</f>
        <v>0</v>
      </c>
      <c r="T325" s="232">
        <f>INDEX('Prop. prices'!$I$164:$AB$238,MATCH('Tariff schedule'!$C325,'Prop. prices'!$C$164:$C$238,0),MATCH('Tariff schedule'!T$16,'Prop. prices'!$I$5:$AB$5,0))</f>
        <v>0</v>
      </c>
      <c r="U325" s="232">
        <f>INDEX('Prop. prices'!$I$164:$AB$238,MATCH('Tariff schedule'!$C325,'Prop. prices'!$C$164:$C$238,0),MATCH('Tariff schedule'!U$16,'Prop. prices'!$I$5:$AB$5,0))</f>
        <v>0</v>
      </c>
      <c r="V325" s="232">
        <f>INDEX('Prop. prices'!$I$164:$AB$238,MATCH('Tariff schedule'!$C325,'Prop. prices'!$C$164:$C$238,0),MATCH('Tariff schedule'!V$16,'Prop. prices'!$I$5:$AB$5,0))</f>
        <v>0</v>
      </c>
      <c r="W325" s="232">
        <f>INDEX('Prop. prices'!$I$164:$AB$238,MATCH('Tariff schedule'!$C325,'Prop. prices'!$C$164:$C$238,0),MATCH('Tariff schedule'!W$16,'Prop. prices'!$I$5:$AB$5,0))</f>
        <v>0</v>
      </c>
      <c r="X325" s="232">
        <f>INDEX('Prop. prices'!$I$164:$AB$238,MATCH('Tariff schedule'!$C325,'Prop. prices'!$C$164:$C$238,0),MATCH('Tariff schedule'!X$16,'Prop. prices'!$I$5:$AB$5,0))</f>
        <v>0</v>
      </c>
      <c r="Y325" s="232">
        <f>INDEX('Prop. prices'!$I$164:$AB$238,MATCH('Tariff schedule'!$C325,'Prop. prices'!$C$164:$C$238,0),MATCH('Tariff schedule'!Y$16,'Prop. prices'!$I$5:$AB$5,0))</f>
        <v>0</v>
      </c>
      <c r="Z325" s="232">
        <f>INDEX('Prop. prices'!$I$164:$AB$238,MATCH('Tariff schedule'!$C325,'Prop. prices'!$C$164:$C$238,0),MATCH('Tariff schedule'!Z$16,'Prop. prices'!$I$5:$AB$5,0))</f>
        <v>0</v>
      </c>
      <c r="AA325" s="232">
        <f>INDEX('Prop. prices'!$I$164:$AB$238,MATCH('Tariff schedule'!$C325,'Prop. prices'!$C$164:$C$238,0),MATCH('Tariff schedule'!AA$16,'Prop. prices'!$I$5:$AB$5,0))</f>
        <v>0</v>
      </c>
      <c r="AB325" s="232">
        <f>INDEX('Prop. prices'!$I$164:$AB$238,MATCH('Tariff schedule'!$C325,'Prop. prices'!$C$164:$C$238,0),MATCH('Tariff schedule'!AB$16,'Prop. prices'!$I$5:$AB$5,0))</f>
        <v>0</v>
      </c>
      <c r="AC325" s="70"/>
      <c r="AD325" s="19"/>
      <c r="AE325" s="19"/>
      <c r="AF325" s="19"/>
      <c r="AG325" s="19"/>
    </row>
    <row r="326" spans="1:33" hidden="1" outlineLevel="3" x14ac:dyDescent="0.2">
      <c r="A326" s="19"/>
      <c r="B326" s="19"/>
      <c r="C326" s="506">
        <f t="shared" si="98"/>
        <v>0</v>
      </c>
      <c r="D326" s="505">
        <f t="shared" si="98"/>
        <v>0</v>
      </c>
      <c r="E326" s="505">
        <f t="shared" si="98"/>
        <v>0</v>
      </c>
      <c r="F326" s="505">
        <f t="shared" si="98"/>
        <v>0</v>
      </c>
      <c r="G326" s="505">
        <f t="shared" si="98"/>
        <v>0</v>
      </c>
      <c r="H326" s="58"/>
      <c r="I326" s="232">
        <f>INDEX('Prop. prices'!$I$164:$AB$238,MATCH('Tariff schedule'!$C326,'Prop. prices'!$C$164:$C$238,0),MATCH('Tariff schedule'!I$16,'Prop. prices'!$I$5:$AB$5,0))</f>
        <v>0</v>
      </c>
      <c r="J326" s="232">
        <f>INDEX('Prop. prices'!$I$164:$AB$238,MATCH('Tariff schedule'!$C326,'Prop. prices'!$C$164:$C$238,0),MATCH('Tariff schedule'!J$16,'Prop. prices'!$I$5:$AB$5,0))</f>
        <v>0</v>
      </c>
      <c r="K326" s="232">
        <f>INDEX('Prop. prices'!$I$164:$AB$238,MATCH('Tariff schedule'!$C326,'Prop. prices'!$C$164:$C$238,0),MATCH('Tariff schedule'!K$16,'Prop. prices'!$I$5:$AB$5,0))</f>
        <v>0</v>
      </c>
      <c r="L326" s="232">
        <f>INDEX('Prop. prices'!$I$164:$AB$238,MATCH('Tariff schedule'!$C326,'Prop. prices'!$C$164:$C$238,0),MATCH('Tariff schedule'!L$16,'Prop. prices'!$I$5:$AB$5,0))</f>
        <v>0</v>
      </c>
      <c r="M326" s="232">
        <f>INDEX('Prop. prices'!$I$164:$AB$238,MATCH('Tariff schedule'!$C326,'Prop. prices'!$C$164:$C$238,0),MATCH('Tariff schedule'!M$16,'Prop. prices'!$I$5:$AB$5,0))</f>
        <v>0</v>
      </c>
      <c r="N326" s="232">
        <f>INDEX('Prop. prices'!$I$164:$AB$238,MATCH('Tariff schedule'!$C326,'Prop. prices'!$C$164:$C$238,0),MATCH('Tariff schedule'!N$16,'Prop. prices'!$I$5:$AB$5,0))</f>
        <v>0</v>
      </c>
      <c r="O326" s="232">
        <f>INDEX('Prop. prices'!$I$164:$AB$238,MATCH('Tariff schedule'!$C326,'Prop. prices'!$C$164:$C$238,0),MATCH('Tariff schedule'!O$16,'Prop. prices'!$I$5:$AB$5,0))</f>
        <v>0</v>
      </c>
      <c r="P326" s="232">
        <f>INDEX('Prop. prices'!$I$164:$AB$238,MATCH('Tariff schedule'!$C326,'Prop. prices'!$C$164:$C$238,0),MATCH('Tariff schedule'!P$16,'Prop. prices'!$I$5:$AB$5,0))</f>
        <v>0</v>
      </c>
      <c r="Q326" s="232">
        <f>INDEX('Prop. prices'!$I$164:$AB$238,MATCH('Tariff schedule'!$C326,'Prop. prices'!$C$164:$C$238,0),MATCH('Tariff schedule'!Q$16,'Prop. prices'!$I$5:$AB$5,0))</f>
        <v>0</v>
      </c>
      <c r="R326" s="232">
        <f>INDEX('Prop. prices'!$I$164:$AB$238,MATCH('Tariff schedule'!$C326,'Prop. prices'!$C$164:$C$238,0),MATCH('Tariff schedule'!R$16,'Prop. prices'!$I$5:$AB$5,0))</f>
        <v>0</v>
      </c>
      <c r="S326" s="232">
        <f>INDEX('Prop. prices'!$I$164:$AB$238,MATCH('Tariff schedule'!$C326,'Prop. prices'!$C$164:$C$238,0),MATCH('Tariff schedule'!S$16,'Prop. prices'!$I$5:$AB$5,0))</f>
        <v>0</v>
      </c>
      <c r="T326" s="232">
        <f>INDEX('Prop. prices'!$I$164:$AB$238,MATCH('Tariff schedule'!$C326,'Prop. prices'!$C$164:$C$238,0),MATCH('Tariff schedule'!T$16,'Prop. prices'!$I$5:$AB$5,0))</f>
        <v>0</v>
      </c>
      <c r="U326" s="232">
        <f>INDEX('Prop. prices'!$I$164:$AB$238,MATCH('Tariff schedule'!$C326,'Prop. prices'!$C$164:$C$238,0),MATCH('Tariff schedule'!U$16,'Prop. prices'!$I$5:$AB$5,0))</f>
        <v>0</v>
      </c>
      <c r="V326" s="232">
        <f>INDEX('Prop. prices'!$I$164:$AB$238,MATCH('Tariff schedule'!$C326,'Prop. prices'!$C$164:$C$238,0),MATCH('Tariff schedule'!V$16,'Prop. prices'!$I$5:$AB$5,0))</f>
        <v>0</v>
      </c>
      <c r="W326" s="232">
        <f>INDEX('Prop. prices'!$I$164:$AB$238,MATCH('Tariff schedule'!$C326,'Prop. prices'!$C$164:$C$238,0),MATCH('Tariff schedule'!W$16,'Prop. prices'!$I$5:$AB$5,0))</f>
        <v>0</v>
      </c>
      <c r="X326" s="232">
        <f>INDEX('Prop. prices'!$I$164:$AB$238,MATCH('Tariff schedule'!$C326,'Prop. prices'!$C$164:$C$238,0),MATCH('Tariff schedule'!X$16,'Prop. prices'!$I$5:$AB$5,0))</f>
        <v>0</v>
      </c>
      <c r="Y326" s="232">
        <f>INDEX('Prop. prices'!$I$164:$AB$238,MATCH('Tariff schedule'!$C326,'Prop. prices'!$C$164:$C$238,0),MATCH('Tariff schedule'!Y$16,'Prop. prices'!$I$5:$AB$5,0))</f>
        <v>0</v>
      </c>
      <c r="Z326" s="232">
        <f>INDEX('Prop. prices'!$I$164:$AB$238,MATCH('Tariff schedule'!$C326,'Prop. prices'!$C$164:$C$238,0),MATCH('Tariff schedule'!Z$16,'Prop. prices'!$I$5:$AB$5,0))</f>
        <v>0</v>
      </c>
      <c r="AA326" s="232">
        <f>INDEX('Prop. prices'!$I$164:$AB$238,MATCH('Tariff schedule'!$C326,'Prop. prices'!$C$164:$C$238,0),MATCH('Tariff schedule'!AA$16,'Prop. prices'!$I$5:$AB$5,0))</f>
        <v>0</v>
      </c>
      <c r="AB326" s="232">
        <f>INDEX('Prop. prices'!$I$164:$AB$238,MATCH('Tariff schedule'!$C326,'Prop. prices'!$C$164:$C$238,0),MATCH('Tariff schedule'!AB$16,'Prop. prices'!$I$5:$AB$5,0))</f>
        <v>0</v>
      </c>
      <c r="AC326" s="70"/>
      <c r="AD326" s="19"/>
      <c r="AE326" s="19"/>
      <c r="AF326" s="19"/>
      <c r="AG326" s="19"/>
    </row>
    <row r="327" spans="1:33" hidden="1" outlineLevel="3" x14ac:dyDescent="0.2">
      <c r="A327" s="19"/>
      <c r="B327" s="19"/>
      <c r="C327" s="506">
        <f t="shared" si="98"/>
        <v>0</v>
      </c>
      <c r="D327" s="505">
        <f t="shared" si="98"/>
        <v>0</v>
      </c>
      <c r="E327" s="505">
        <f t="shared" si="98"/>
        <v>0</v>
      </c>
      <c r="F327" s="505">
        <f t="shared" si="98"/>
        <v>0</v>
      </c>
      <c r="G327" s="505">
        <f t="shared" si="98"/>
        <v>0</v>
      </c>
      <c r="H327" s="58"/>
      <c r="I327" s="232">
        <f>INDEX('Prop. prices'!$I$164:$AB$238,MATCH('Tariff schedule'!$C327,'Prop. prices'!$C$164:$C$238,0),MATCH('Tariff schedule'!I$16,'Prop. prices'!$I$5:$AB$5,0))</f>
        <v>0</v>
      </c>
      <c r="J327" s="232">
        <f>INDEX('Prop. prices'!$I$164:$AB$238,MATCH('Tariff schedule'!$C327,'Prop. prices'!$C$164:$C$238,0),MATCH('Tariff schedule'!J$16,'Prop. prices'!$I$5:$AB$5,0))</f>
        <v>0</v>
      </c>
      <c r="K327" s="232">
        <f>INDEX('Prop. prices'!$I$164:$AB$238,MATCH('Tariff schedule'!$C327,'Prop. prices'!$C$164:$C$238,0),MATCH('Tariff schedule'!K$16,'Prop. prices'!$I$5:$AB$5,0))</f>
        <v>0</v>
      </c>
      <c r="L327" s="232">
        <f>INDEX('Prop. prices'!$I$164:$AB$238,MATCH('Tariff schedule'!$C327,'Prop. prices'!$C$164:$C$238,0),MATCH('Tariff schedule'!L$16,'Prop. prices'!$I$5:$AB$5,0))</f>
        <v>0</v>
      </c>
      <c r="M327" s="232">
        <f>INDEX('Prop. prices'!$I$164:$AB$238,MATCH('Tariff schedule'!$C327,'Prop. prices'!$C$164:$C$238,0),MATCH('Tariff schedule'!M$16,'Prop. prices'!$I$5:$AB$5,0))</f>
        <v>0</v>
      </c>
      <c r="N327" s="232">
        <f>INDEX('Prop. prices'!$I$164:$AB$238,MATCH('Tariff schedule'!$C327,'Prop. prices'!$C$164:$C$238,0),MATCH('Tariff schedule'!N$16,'Prop. prices'!$I$5:$AB$5,0))</f>
        <v>0</v>
      </c>
      <c r="O327" s="232">
        <f>INDEX('Prop. prices'!$I$164:$AB$238,MATCH('Tariff schedule'!$C327,'Prop. prices'!$C$164:$C$238,0),MATCH('Tariff schedule'!O$16,'Prop. prices'!$I$5:$AB$5,0))</f>
        <v>0</v>
      </c>
      <c r="P327" s="232">
        <f>INDEX('Prop. prices'!$I$164:$AB$238,MATCH('Tariff schedule'!$C327,'Prop. prices'!$C$164:$C$238,0),MATCH('Tariff schedule'!P$16,'Prop. prices'!$I$5:$AB$5,0))</f>
        <v>0</v>
      </c>
      <c r="Q327" s="232">
        <f>INDEX('Prop. prices'!$I$164:$AB$238,MATCH('Tariff schedule'!$C327,'Prop. prices'!$C$164:$C$238,0),MATCH('Tariff schedule'!Q$16,'Prop. prices'!$I$5:$AB$5,0))</f>
        <v>0</v>
      </c>
      <c r="R327" s="232">
        <f>INDEX('Prop. prices'!$I$164:$AB$238,MATCH('Tariff schedule'!$C327,'Prop. prices'!$C$164:$C$238,0),MATCH('Tariff schedule'!R$16,'Prop. prices'!$I$5:$AB$5,0))</f>
        <v>0</v>
      </c>
      <c r="S327" s="232">
        <f>INDEX('Prop. prices'!$I$164:$AB$238,MATCH('Tariff schedule'!$C327,'Prop. prices'!$C$164:$C$238,0),MATCH('Tariff schedule'!S$16,'Prop. prices'!$I$5:$AB$5,0))</f>
        <v>0</v>
      </c>
      <c r="T327" s="232">
        <f>INDEX('Prop. prices'!$I$164:$AB$238,MATCH('Tariff schedule'!$C327,'Prop. prices'!$C$164:$C$238,0),MATCH('Tariff schedule'!T$16,'Prop. prices'!$I$5:$AB$5,0))</f>
        <v>0</v>
      </c>
      <c r="U327" s="232">
        <f>INDEX('Prop. prices'!$I$164:$AB$238,MATCH('Tariff schedule'!$C327,'Prop. prices'!$C$164:$C$238,0),MATCH('Tariff schedule'!U$16,'Prop. prices'!$I$5:$AB$5,0))</f>
        <v>0</v>
      </c>
      <c r="V327" s="232">
        <f>INDEX('Prop. prices'!$I$164:$AB$238,MATCH('Tariff schedule'!$C327,'Prop. prices'!$C$164:$C$238,0),MATCH('Tariff schedule'!V$16,'Prop. prices'!$I$5:$AB$5,0))</f>
        <v>0</v>
      </c>
      <c r="W327" s="232">
        <f>INDEX('Prop. prices'!$I$164:$AB$238,MATCH('Tariff schedule'!$C327,'Prop. prices'!$C$164:$C$238,0),MATCH('Tariff schedule'!W$16,'Prop. prices'!$I$5:$AB$5,0))</f>
        <v>0</v>
      </c>
      <c r="X327" s="232">
        <f>INDEX('Prop. prices'!$I$164:$AB$238,MATCH('Tariff schedule'!$C327,'Prop. prices'!$C$164:$C$238,0),MATCH('Tariff schedule'!X$16,'Prop. prices'!$I$5:$AB$5,0))</f>
        <v>0</v>
      </c>
      <c r="Y327" s="232">
        <f>INDEX('Prop. prices'!$I$164:$AB$238,MATCH('Tariff schedule'!$C327,'Prop. prices'!$C$164:$C$238,0),MATCH('Tariff schedule'!Y$16,'Prop. prices'!$I$5:$AB$5,0))</f>
        <v>0</v>
      </c>
      <c r="Z327" s="232">
        <f>INDEX('Prop. prices'!$I$164:$AB$238,MATCH('Tariff schedule'!$C327,'Prop. prices'!$C$164:$C$238,0),MATCH('Tariff schedule'!Z$16,'Prop. prices'!$I$5:$AB$5,0))</f>
        <v>0</v>
      </c>
      <c r="AA327" s="232">
        <f>INDEX('Prop. prices'!$I$164:$AB$238,MATCH('Tariff schedule'!$C327,'Prop. prices'!$C$164:$C$238,0),MATCH('Tariff schedule'!AA$16,'Prop. prices'!$I$5:$AB$5,0))</f>
        <v>0</v>
      </c>
      <c r="AB327" s="232">
        <f>INDEX('Prop. prices'!$I$164:$AB$238,MATCH('Tariff schedule'!$C327,'Prop. prices'!$C$164:$C$238,0),MATCH('Tariff schedule'!AB$16,'Prop. prices'!$I$5:$AB$5,0))</f>
        <v>0</v>
      </c>
      <c r="AC327" s="70"/>
      <c r="AD327" s="19"/>
      <c r="AE327" s="19"/>
      <c r="AF327" s="19"/>
      <c r="AG327" s="19"/>
    </row>
    <row r="328" spans="1:33" hidden="1" outlineLevel="2" collapsed="1" x14ac:dyDescent="0.2">
      <c r="A328" s="19"/>
      <c r="B328" s="19"/>
      <c r="C328" s="66"/>
      <c r="D328" s="58"/>
      <c r="E328" s="58"/>
      <c r="F328" s="58"/>
      <c r="G328" s="58"/>
      <c r="H328" s="58"/>
      <c r="I328" s="71"/>
      <c r="J328" s="71"/>
      <c r="K328" s="70"/>
      <c r="L328" s="70"/>
      <c r="M328" s="70"/>
      <c r="N328" s="72"/>
      <c r="O328" s="72"/>
      <c r="P328" s="72"/>
      <c r="Q328" s="72"/>
      <c r="R328" s="72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19"/>
      <c r="AE328" s="19"/>
      <c r="AF328" s="19"/>
      <c r="AG328" s="19"/>
    </row>
    <row r="329" spans="1:33" outlineLevel="1" collapsed="1" x14ac:dyDescent="0.2">
      <c r="A329" s="19"/>
      <c r="B329" s="19"/>
      <c r="C329" s="66"/>
      <c r="D329" s="58"/>
      <c r="E329" s="58"/>
      <c r="F329" s="58"/>
      <c r="G329" s="58"/>
      <c r="H329" s="58"/>
      <c r="I329" s="58"/>
      <c r="J329" s="58"/>
      <c r="K329" s="20"/>
      <c r="L329" s="20"/>
      <c r="M329" s="20"/>
      <c r="N329" s="37"/>
      <c r="O329" s="37"/>
      <c r="P329" s="37"/>
      <c r="Q329" s="37"/>
      <c r="R329" s="37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</row>
    <row r="330" spans="1:33" x14ac:dyDescent="0.2">
      <c r="A330" s="19"/>
      <c r="B330" s="19"/>
      <c r="C330" s="36"/>
      <c r="D330" s="20"/>
      <c r="E330" s="20"/>
      <c r="F330" s="20"/>
      <c r="G330" s="22"/>
      <c r="H330" s="22"/>
      <c r="I330" s="22"/>
      <c r="J330" s="20"/>
      <c r="K330" s="20"/>
      <c r="L330" s="20"/>
      <c r="M330" s="20"/>
      <c r="N330" s="37"/>
      <c r="O330" s="37"/>
      <c r="P330" s="37"/>
      <c r="Q330" s="37"/>
      <c r="R330" s="37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</row>
    <row r="331" spans="1:33" ht="44.25" customHeight="1" x14ac:dyDescent="0.2">
      <c r="A331" s="11"/>
      <c r="B331" s="12" t="str">
        <f>"Tariff schedule 3 | "&amp;forecastyear&amp;" prices - CONFIDENTIAL tariffs"</f>
        <v>Tariff schedule 3 | 2022–23 prices - CONFIDENTIAL tariffs</v>
      </c>
      <c r="C331" s="11"/>
      <c r="D331" s="32" t="str">
        <f>D16</f>
        <v>Tariff class</v>
      </c>
      <c r="E331" s="32" t="str">
        <f>tariffid1</f>
        <v>Code</v>
      </c>
      <c r="F331" s="32" t="str">
        <f>tariffid2</f>
        <v>Trans. Node</v>
      </c>
      <c r="G331" s="32" t="str">
        <f>tariffid3</f>
        <v>Other identifier</v>
      </c>
      <c r="H331" s="32"/>
      <c r="I331" s="603" t="str">
        <f t="shared" ref="I331:AB331" si="99">I16</f>
        <v>Service</v>
      </c>
      <c r="J331" s="603" t="str">
        <f t="shared" si="99"/>
        <v>All energy</v>
      </c>
      <c r="K331" s="603" t="str">
        <f t="shared" si="99"/>
        <v>Peak energy</v>
      </c>
      <c r="L331" s="603" t="str">
        <f t="shared" si="99"/>
        <v>Shoulder energy</v>
      </c>
      <c r="M331" s="603" t="str">
        <f t="shared" si="99"/>
        <v>Off-peak energy</v>
      </c>
      <c r="N331" s="603" t="str">
        <f t="shared" si="99"/>
        <v>All demand</v>
      </c>
      <c r="O331" s="603" t="str">
        <f t="shared" si="99"/>
        <v>Peak demand</v>
      </c>
      <c r="P331" s="603" t="str">
        <f t="shared" si="99"/>
        <v>Off-peak demand</v>
      </c>
      <c r="Q331" s="603" t="str">
        <f t="shared" si="99"/>
        <v>Specified demand</v>
      </c>
      <c r="R331" s="603" t="str">
        <f t="shared" si="99"/>
        <v>Excess daily demand</v>
      </c>
      <c r="S331" s="603" t="str">
        <f t="shared" si="99"/>
        <v>Daily demand connection</v>
      </c>
      <c r="T331" s="603" t="str">
        <f t="shared" si="99"/>
        <v>Excess daily demand connection</v>
      </c>
      <c r="U331" s="603" t="str">
        <f t="shared" si="99"/>
        <v>All demand (lamps)</v>
      </c>
      <c r="V331" s="183">
        <f t="shared" si="99"/>
        <v>0</v>
      </c>
      <c r="W331" s="183">
        <f t="shared" si="99"/>
        <v>0</v>
      </c>
      <c r="X331" s="183">
        <f t="shared" si="99"/>
        <v>0</v>
      </c>
      <c r="Y331" s="183">
        <f t="shared" si="99"/>
        <v>0</v>
      </c>
      <c r="Z331" s="183">
        <f t="shared" si="99"/>
        <v>0</v>
      </c>
      <c r="AA331" s="183">
        <f t="shared" si="99"/>
        <v>0</v>
      </c>
      <c r="AB331" s="183">
        <f t="shared" si="99"/>
        <v>0</v>
      </c>
      <c r="AC331" s="32"/>
      <c r="AD331" s="15"/>
      <c r="AE331" s="15"/>
      <c r="AF331" s="15"/>
      <c r="AG331" s="15"/>
    </row>
    <row r="332" spans="1:33" outlineLevel="1" x14ac:dyDescent="0.2">
      <c r="A332" s="19"/>
      <c r="B332" s="19"/>
      <c r="C332" s="36"/>
      <c r="D332" s="20"/>
      <c r="E332" s="20"/>
      <c r="F332" s="20"/>
      <c r="G332" s="22"/>
      <c r="H332" s="22"/>
      <c r="I332" s="170" t="str">
        <f t="shared" ref="I332:AB332" si="100">I17</f>
        <v>cents/day</v>
      </c>
      <c r="J332" s="170" t="str">
        <f t="shared" si="100"/>
        <v>cents/kWh</v>
      </c>
      <c r="K332" s="170" t="str">
        <f t="shared" si="100"/>
        <v>cents/kWh</v>
      </c>
      <c r="L332" s="170" t="str">
        <f t="shared" si="100"/>
        <v>cents/kWh</v>
      </c>
      <c r="M332" s="170" t="str">
        <f t="shared" si="100"/>
        <v>cents/kWh</v>
      </c>
      <c r="N332" s="170" t="str">
        <f t="shared" si="100"/>
        <v>cents/kVA</v>
      </c>
      <c r="O332" s="170" t="str">
        <f t="shared" si="100"/>
        <v>cents/kVA</v>
      </c>
      <c r="P332" s="170" t="str">
        <f t="shared" si="100"/>
        <v>cents/kVA</v>
      </c>
      <c r="Q332" s="170" t="str">
        <f t="shared" si="100"/>
        <v>cents/kVA</v>
      </c>
      <c r="R332" s="170" t="str">
        <f t="shared" si="100"/>
        <v>cents/kVA</v>
      </c>
      <c r="S332" s="170" t="str">
        <f t="shared" si="100"/>
        <v>cents/kVA</v>
      </c>
      <c r="T332" s="170" t="str">
        <f t="shared" si="100"/>
        <v>cents/kVA</v>
      </c>
      <c r="U332" s="170" t="str">
        <f t="shared" si="100"/>
        <v>cents/LmpWtts/day</v>
      </c>
      <c r="V332" s="170">
        <f t="shared" si="100"/>
        <v>0</v>
      </c>
      <c r="W332" s="170">
        <f t="shared" si="100"/>
        <v>0</v>
      </c>
      <c r="X332" s="170">
        <f t="shared" si="100"/>
        <v>0</v>
      </c>
      <c r="Y332" s="170">
        <f t="shared" si="100"/>
        <v>0</v>
      </c>
      <c r="Z332" s="170">
        <f t="shared" si="100"/>
        <v>0</v>
      </c>
      <c r="AA332" s="170">
        <f t="shared" si="100"/>
        <v>0</v>
      </c>
      <c r="AB332" s="170">
        <f t="shared" si="100"/>
        <v>0</v>
      </c>
      <c r="AC332" s="22"/>
      <c r="AD332" s="19"/>
      <c r="AE332" s="19"/>
      <c r="AF332" s="19"/>
      <c r="AG332" s="19"/>
    </row>
    <row r="333" spans="1:33" outlineLevel="1" x14ac:dyDescent="0.2">
      <c r="A333" s="19"/>
      <c r="B333" s="19"/>
      <c r="C333" s="167" t="str">
        <f>C18</f>
        <v>Total network prices</v>
      </c>
      <c r="D333" s="20"/>
      <c r="E333" s="20"/>
      <c r="F333" s="20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19"/>
      <c r="AE333" s="19"/>
      <c r="AF333" s="19"/>
      <c r="AG333" s="19"/>
    </row>
    <row r="334" spans="1:33" s="612" customFormat="1" outlineLevel="2" x14ac:dyDescent="0.2">
      <c r="A334" s="606"/>
      <c r="B334" s="606"/>
      <c r="C334" s="607"/>
      <c r="D334" s="608"/>
      <c r="E334" s="608"/>
      <c r="F334" s="608"/>
      <c r="G334" s="608"/>
      <c r="H334" s="609"/>
      <c r="I334" s="610"/>
      <c r="J334" s="610"/>
      <c r="K334" s="610"/>
      <c r="L334" s="610"/>
      <c r="M334" s="610"/>
      <c r="N334" s="610"/>
      <c r="O334" s="610"/>
      <c r="P334" s="610"/>
      <c r="Q334" s="610"/>
      <c r="R334" s="610"/>
      <c r="S334" s="610"/>
      <c r="T334" s="610"/>
      <c r="U334" s="610"/>
      <c r="V334" s="610"/>
      <c r="W334" s="610"/>
      <c r="X334" s="610"/>
      <c r="Y334" s="610"/>
      <c r="Z334" s="610"/>
      <c r="AA334" s="610"/>
      <c r="AB334" s="610"/>
      <c r="AC334" s="611"/>
      <c r="AD334" s="606"/>
      <c r="AE334" s="606"/>
      <c r="AF334" s="606"/>
      <c r="AG334" s="606"/>
    </row>
    <row r="335" spans="1:33" s="612" customFormat="1" outlineLevel="2" x14ac:dyDescent="0.2">
      <c r="A335" s="606"/>
      <c r="B335" s="606"/>
      <c r="C335" s="607"/>
      <c r="D335" s="608"/>
      <c r="E335" s="608"/>
      <c r="F335" s="608"/>
      <c r="G335" s="608"/>
      <c r="H335" s="609"/>
      <c r="I335" s="610"/>
      <c r="J335" s="610"/>
      <c r="K335" s="610"/>
      <c r="L335" s="610"/>
      <c r="M335" s="610"/>
      <c r="N335" s="610"/>
      <c r="O335" s="610"/>
      <c r="P335" s="610"/>
      <c r="Q335" s="610"/>
      <c r="R335" s="610"/>
      <c r="S335" s="610"/>
      <c r="T335" s="610"/>
      <c r="U335" s="610"/>
      <c r="V335" s="610"/>
      <c r="W335" s="610"/>
      <c r="X335" s="610"/>
      <c r="Y335" s="610"/>
      <c r="Z335" s="610"/>
      <c r="AA335" s="610"/>
      <c r="AB335" s="610"/>
      <c r="AC335" s="611"/>
      <c r="AD335" s="606"/>
      <c r="AE335" s="606"/>
      <c r="AF335" s="606"/>
      <c r="AG335" s="606"/>
    </row>
    <row r="336" spans="1:33" s="612" customFormat="1" outlineLevel="2" x14ac:dyDescent="0.2">
      <c r="A336" s="606"/>
      <c r="B336" s="606"/>
      <c r="C336" s="607"/>
      <c r="D336" s="608"/>
      <c r="E336" s="608"/>
      <c r="F336" s="608"/>
      <c r="G336" s="608"/>
      <c r="H336" s="609"/>
      <c r="I336" s="610"/>
      <c r="J336" s="610"/>
      <c r="K336" s="610"/>
      <c r="L336" s="610"/>
      <c r="M336" s="610"/>
      <c r="N336" s="610"/>
      <c r="O336" s="610"/>
      <c r="P336" s="610"/>
      <c r="Q336" s="610"/>
      <c r="R336" s="610"/>
      <c r="S336" s="610"/>
      <c r="T336" s="610"/>
      <c r="U336" s="610"/>
      <c r="V336" s="610"/>
      <c r="W336" s="610"/>
      <c r="X336" s="610"/>
      <c r="Y336" s="610"/>
      <c r="Z336" s="610"/>
      <c r="AA336" s="610"/>
      <c r="AB336" s="610"/>
      <c r="AC336" s="611"/>
      <c r="AD336" s="606"/>
      <c r="AE336" s="606"/>
      <c r="AF336" s="606"/>
      <c r="AG336" s="606"/>
    </row>
    <row r="337" spans="1:33" s="612" customFormat="1" outlineLevel="2" x14ac:dyDescent="0.2">
      <c r="A337" s="606"/>
      <c r="B337" s="606"/>
      <c r="C337" s="607"/>
      <c r="D337" s="608"/>
      <c r="E337" s="608"/>
      <c r="F337" s="608"/>
      <c r="G337" s="608"/>
      <c r="H337" s="609"/>
      <c r="I337" s="610"/>
      <c r="J337" s="610"/>
      <c r="K337" s="610"/>
      <c r="L337" s="610"/>
      <c r="M337" s="610"/>
      <c r="N337" s="610"/>
      <c r="O337" s="610"/>
      <c r="P337" s="610"/>
      <c r="Q337" s="610"/>
      <c r="R337" s="610"/>
      <c r="S337" s="610"/>
      <c r="T337" s="610"/>
      <c r="U337" s="610"/>
      <c r="V337" s="610"/>
      <c r="W337" s="610"/>
      <c r="X337" s="610"/>
      <c r="Y337" s="610"/>
      <c r="Z337" s="610"/>
      <c r="AA337" s="610"/>
      <c r="AB337" s="610"/>
      <c r="AC337" s="611"/>
      <c r="AD337" s="606"/>
      <c r="AE337" s="606"/>
      <c r="AF337" s="606"/>
      <c r="AG337" s="606"/>
    </row>
    <row r="338" spans="1:33" s="612" customFormat="1" outlineLevel="2" x14ac:dyDescent="0.2">
      <c r="A338" s="606"/>
      <c r="B338" s="606"/>
      <c r="C338" s="607"/>
      <c r="D338" s="608"/>
      <c r="E338" s="608"/>
      <c r="F338" s="608"/>
      <c r="G338" s="608"/>
      <c r="H338" s="609"/>
      <c r="I338" s="610"/>
      <c r="J338" s="610"/>
      <c r="K338" s="610"/>
      <c r="L338" s="610"/>
      <c r="M338" s="610"/>
      <c r="N338" s="610"/>
      <c r="O338" s="610"/>
      <c r="P338" s="610"/>
      <c r="Q338" s="610"/>
      <c r="R338" s="610"/>
      <c r="S338" s="610"/>
      <c r="T338" s="610"/>
      <c r="U338" s="610"/>
      <c r="V338" s="610"/>
      <c r="W338" s="610"/>
      <c r="X338" s="610"/>
      <c r="Y338" s="610"/>
      <c r="Z338" s="610"/>
      <c r="AA338" s="610"/>
      <c r="AB338" s="610"/>
      <c r="AC338" s="611"/>
      <c r="AD338" s="606"/>
      <c r="AE338" s="606"/>
      <c r="AF338" s="606"/>
      <c r="AG338" s="606"/>
    </row>
    <row r="339" spans="1:33" s="612" customFormat="1" outlineLevel="2" x14ac:dyDescent="0.2">
      <c r="A339" s="606"/>
      <c r="B339" s="606"/>
      <c r="C339" s="607"/>
      <c r="D339" s="608"/>
      <c r="E339" s="608"/>
      <c r="F339" s="608"/>
      <c r="G339" s="608"/>
      <c r="H339" s="609"/>
      <c r="I339" s="610"/>
      <c r="J339" s="610"/>
      <c r="K339" s="610"/>
      <c r="L339" s="610"/>
      <c r="M339" s="610"/>
      <c r="N339" s="610"/>
      <c r="O339" s="610"/>
      <c r="P339" s="610"/>
      <c r="Q339" s="610"/>
      <c r="R339" s="610"/>
      <c r="S339" s="610"/>
      <c r="T339" s="610"/>
      <c r="U339" s="610"/>
      <c r="V339" s="610"/>
      <c r="W339" s="610"/>
      <c r="X339" s="610"/>
      <c r="Y339" s="610"/>
      <c r="Z339" s="610"/>
      <c r="AA339" s="610"/>
      <c r="AB339" s="610"/>
      <c r="AC339" s="611"/>
      <c r="AD339" s="606"/>
      <c r="AE339" s="606"/>
      <c r="AF339" s="606"/>
      <c r="AG339" s="606"/>
    </row>
    <row r="340" spans="1:33" s="612" customFormat="1" outlineLevel="2" x14ac:dyDescent="0.2">
      <c r="A340" s="606"/>
      <c r="B340" s="606"/>
      <c r="C340" s="607"/>
      <c r="D340" s="608"/>
      <c r="E340" s="608"/>
      <c r="F340" s="608"/>
      <c r="G340" s="608"/>
      <c r="H340" s="609"/>
      <c r="I340" s="610"/>
      <c r="J340" s="610"/>
      <c r="K340" s="610"/>
      <c r="L340" s="610"/>
      <c r="M340" s="610"/>
      <c r="N340" s="610"/>
      <c r="O340" s="610"/>
      <c r="P340" s="610"/>
      <c r="Q340" s="610"/>
      <c r="R340" s="610"/>
      <c r="S340" s="610"/>
      <c r="T340" s="610"/>
      <c r="U340" s="610"/>
      <c r="V340" s="610"/>
      <c r="W340" s="610"/>
      <c r="X340" s="610"/>
      <c r="Y340" s="610"/>
      <c r="Z340" s="610"/>
      <c r="AA340" s="610"/>
      <c r="AB340" s="610"/>
      <c r="AC340" s="611"/>
      <c r="AD340" s="606"/>
      <c r="AE340" s="606"/>
      <c r="AF340" s="606"/>
      <c r="AG340" s="606"/>
    </row>
    <row r="341" spans="1:33" s="612" customFormat="1" outlineLevel="2" x14ac:dyDescent="0.2">
      <c r="A341" s="606"/>
      <c r="B341" s="606"/>
      <c r="C341" s="607"/>
      <c r="D341" s="608"/>
      <c r="E341" s="608"/>
      <c r="F341" s="608"/>
      <c r="G341" s="608"/>
      <c r="H341" s="609"/>
      <c r="I341" s="610"/>
      <c r="J341" s="610"/>
      <c r="K341" s="610"/>
      <c r="L341" s="610"/>
      <c r="M341" s="610"/>
      <c r="N341" s="610"/>
      <c r="O341" s="610"/>
      <c r="P341" s="610"/>
      <c r="Q341" s="610"/>
      <c r="R341" s="610"/>
      <c r="S341" s="610"/>
      <c r="T341" s="610"/>
      <c r="U341" s="610"/>
      <c r="V341" s="610"/>
      <c r="W341" s="610"/>
      <c r="X341" s="610"/>
      <c r="Y341" s="610"/>
      <c r="Z341" s="610"/>
      <c r="AA341" s="610"/>
      <c r="AB341" s="610"/>
      <c r="AC341" s="611"/>
      <c r="AD341" s="606"/>
      <c r="AE341" s="606"/>
      <c r="AF341" s="606"/>
      <c r="AG341" s="606"/>
    </row>
    <row r="342" spans="1:33" s="612" customFormat="1" outlineLevel="2" x14ac:dyDescent="0.2">
      <c r="A342" s="606"/>
      <c r="B342" s="606"/>
      <c r="C342" s="607"/>
      <c r="D342" s="608"/>
      <c r="E342" s="608"/>
      <c r="F342" s="608"/>
      <c r="G342" s="608"/>
      <c r="H342" s="609"/>
      <c r="I342" s="610"/>
      <c r="J342" s="610"/>
      <c r="K342" s="610"/>
      <c r="L342" s="610"/>
      <c r="M342" s="610"/>
      <c r="N342" s="610"/>
      <c r="O342" s="610"/>
      <c r="P342" s="610"/>
      <c r="Q342" s="610"/>
      <c r="R342" s="610"/>
      <c r="S342" s="610"/>
      <c r="T342" s="610"/>
      <c r="U342" s="610"/>
      <c r="V342" s="610"/>
      <c r="W342" s="610"/>
      <c r="X342" s="610"/>
      <c r="Y342" s="610"/>
      <c r="Z342" s="610"/>
      <c r="AA342" s="610"/>
      <c r="AB342" s="610"/>
      <c r="AC342" s="611"/>
      <c r="AD342" s="606"/>
      <c r="AE342" s="606"/>
      <c r="AF342" s="606"/>
      <c r="AG342" s="606"/>
    </row>
    <row r="343" spans="1:33" s="612" customFormat="1" outlineLevel="2" x14ac:dyDescent="0.2">
      <c r="A343" s="606"/>
      <c r="B343" s="606"/>
      <c r="C343" s="607"/>
      <c r="D343" s="608"/>
      <c r="E343" s="608"/>
      <c r="F343" s="608"/>
      <c r="G343" s="608"/>
      <c r="H343" s="609"/>
      <c r="I343" s="610"/>
      <c r="J343" s="610"/>
      <c r="K343" s="610"/>
      <c r="L343" s="610"/>
      <c r="M343" s="610"/>
      <c r="N343" s="610"/>
      <c r="O343" s="610"/>
      <c r="P343" s="610"/>
      <c r="Q343" s="610"/>
      <c r="R343" s="610"/>
      <c r="S343" s="610"/>
      <c r="T343" s="610"/>
      <c r="U343" s="610"/>
      <c r="V343" s="610"/>
      <c r="W343" s="610"/>
      <c r="X343" s="610"/>
      <c r="Y343" s="610"/>
      <c r="Z343" s="610"/>
      <c r="AA343" s="610"/>
      <c r="AB343" s="610"/>
      <c r="AC343" s="611"/>
      <c r="AD343" s="606"/>
      <c r="AE343" s="606"/>
      <c r="AF343" s="606"/>
      <c r="AG343" s="606"/>
    </row>
    <row r="344" spans="1:33" s="612" customFormat="1" outlineLevel="2" x14ac:dyDescent="0.2">
      <c r="A344" s="606"/>
      <c r="B344" s="606"/>
      <c r="C344" s="607"/>
      <c r="D344" s="608"/>
      <c r="E344" s="608"/>
      <c r="F344" s="608"/>
      <c r="G344" s="608"/>
      <c r="H344" s="609"/>
      <c r="I344" s="610"/>
      <c r="J344" s="610"/>
      <c r="K344" s="610"/>
      <c r="L344" s="610"/>
      <c r="M344" s="610"/>
      <c r="N344" s="610"/>
      <c r="O344" s="610"/>
      <c r="P344" s="610"/>
      <c r="Q344" s="610"/>
      <c r="R344" s="610"/>
      <c r="S344" s="610"/>
      <c r="T344" s="610"/>
      <c r="U344" s="610"/>
      <c r="V344" s="610"/>
      <c r="W344" s="610"/>
      <c r="X344" s="610"/>
      <c r="Y344" s="610"/>
      <c r="Z344" s="610"/>
      <c r="AA344" s="610"/>
      <c r="AB344" s="610"/>
      <c r="AC344" s="611"/>
      <c r="AD344" s="606"/>
      <c r="AE344" s="606"/>
      <c r="AF344" s="606"/>
      <c r="AG344" s="606"/>
    </row>
    <row r="345" spans="1:33" s="612" customFormat="1" outlineLevel="2" x14ac:dyDescent="0.2">
      <c r="A345" s="606"/>
      <c r="B345" s="606"/>
      <c r="C345" s="607"/>
      <c r="D345" s="608"/>
      <c r="E345" s="608"/>
      <c r="F345" s="608"/>
      <c r="G345" s="608"/>
      <c r="H345" s="609"/>
      <c r="I345" s="610"/>
      <c r="J345" s="610"/>
      <c r="K345" s="610"/>
      <c r="L345" s="610"/>
      <c r="M345" s="610"/>
      <c r="N345" s="610"/>
      <c r="O345" s="610"/>
      <c r="P345" s="610"/>
      <c r="Q345" s="610"/>
      <c r="R345" s="610"/>
      <c r="S345" s="610"/>
      <c r="T345" s="610"/>
      <c r="U345" s="610"/>
      <c r="V345" s="610"/>
      <c r="W345" s="610"/>
      <c r="X345" s="610"/>
      <c r="Y345" s="610"/>
      <c r="Z345" s="610"/>
      <c r="AA345" s="610"/>
      <c r="AB345" s="610"/>
      <c r="AC345" s="611"/>
      <c r="AD345" s="606"/>
      <c r="AE345" s="606"/>
      <c r="AF345" s="606"/>
      <c r="AG345" s="606"/>
    </row>
    <row r="346" spans="1:33" s="612" customFormat="1" outlineLevel="2" x14ac:dyDescent="0.2">
      <c r="A346" s="606"/>
      <c r="B346" s="606"/>
      <c r="C346" s="607"/>
      <c r="D346" s="608"/>
      <c r="E346" s="608"/>
      <c r="F346" s="608"/>
      <c r="G346" s="608"/>
      <c r="H346" s="609"/>
      <c r="I346" s="610"/>
      <c r="J346" s="610"/>
      <c r="K346" s="610"/>
      <c r="L346" s="610"/>
      <c r="M346" s="610"/>
      <c r="N346" s="610"/>
      <c r="O346" s="610"/>
      <c r="P346" s="610"/>
      <c r="Q346" s="610"/>
      <c r="R346" s="610"/>
      <c r="S346" s="610"/>
      <c r="T346" s="610"/>
      <c r="U346" s="610"/>
      <c r="V346" s="610"/>
      <c r="W346" s="610"/>
      <c r="X346" s="610"/>
      <c r="Y346" s="610"/>
      <c r="Z346" s="610"/>
      <c r="AA346" s="610"/>
      <c r="AB346" s="610"/>
      <c r="AC346" s="611"/>
      <c r="AD346" s="606"/>
      <c r="AE346" s="606"/>
      <c r="AF346" s="606"/>
      <c r="AG346" s="606"/>
    </row>
    <row r="347" spans="1:33" s="612" customFormat="1" outlineLevel="2" x14ac:dyDescent="0.2">
      <c r="A347" s="606"/>
      <c r="B347" s="606"/>
      <c r="C347" s="607"/>
      <c r="D347" s="608"/>
      <c r="E347" s="608"/>
      <c r="F347" s="608"/>
      <c r="G347" s="608"/>
      <c r="H347" s="609"/>
      <c r="I347" s="610"/>
      <c r="J347" s="610"/>
      <c r="K347" s="610"/>
      <c r="L347" s="610"/>
      <c r="M347" s="610"/>
      <c r="N347" s="610"/>
      <c r="O347" s="610"/>
      <c r="P347" s="610"/>
      <c r="Q347" s="610"/>
      <c r="R347" s="610"/>
      <c r="S347" s="610"/>
      <c r="T347" s="610"/>
      <c r="U347" s="610"/>
      <c r="V347" s="610"/>
      <c r="W347" s="610"/>
      <c r="X347" s="610"/>
      <c r="Y347" s="610"/>
      <c r="Z347" s="610"/>
      <c r="AA347" s="610"/>
      <c r="AB347" s="610"/>
      <c r="AC347" s="611"/>
      <c r="AD347" s="606"/>
      <c r="AE347" s="606"/>
      <c r="AF347" s="606"/>
      <c r="AG347" s="606"/>
    </row>
    <row r="348" spans="1:33" s="612" customFormat="1" outlineLevel="2" x14ac:dyDescent="0.2">
      <c r="A348" s="606"/>
      <c r="B348" s="606"/>
      <c r="C348" s="607"/>
      <c r="D348" s="608"/>
      <c r="E348" s="608"/>
      <c r="F348" s="608"/>
      <c r="G348" s="608"/>
      <c r="H348" s="609"/>
      <c r="I348" s="610"/>
      <c r="J348" s="610"/>
      <c r="K348" s="610"/>
      <c r="L348" s="610"/>
      <c r="M348" s="610"/>
      <c r="N348" s="610"/>
      <c r="O348" s="610"/>
      <c r="P348" s="610"/>
      <c r="Q348" s="610"/>
      <c r="R348" s="610"/>
      <c r="S348" s="610"/>
      <c r="T348" s="610"/>
      <c r="U348" s="610"/>
      <c r="V348" s="610"/>
      <c r="W348" s="610"/>
      <c r="X348" s="610"/>
      <c r="Y348" s="610"/>
      <c r="Z348" s="610"/>
      <c r="AA348" s="610"/>
      <c r="AB348" s="610"/>
      <c r="AC348" s="611"/>
      <c r="AD348" s="606"/>
      <c r="AE348" s="606"/>
      <c r="AF348" s="606"/>
      <c r="AG348" s="606"/>
    </row>
    <row r="349" spans="1:33" s="612" customFormat="1" outlineLevel="2" x14ac:dyDescent="0.2">
      <c r="A349" s="606"/>
      <c r="B349" s="606"/>
      <c r="C349" s="607"/>
      <c r="D349" s="608"/>
      <c r="E349" s="608"/>
      <c r="F349" s="608"/>
      <c r="G349" s="608"/>
      <c r="H349" s="609"/>
      <c r="I349" s="610"/>
      <c r="J349" s="610"/>
      <c r="K349" s="610"/>
      <c r="L349" s="610"/>
      <c r="M349" s="610"/>
      <c r="N349" s="610"/>
      <c r="O349" s="610"/>
      <c r="P349" s="610"/>
      <c r="Q349" s="610"/>
      <c r="R349" s="610"/>
      <c r="S349" s="610"/>
      <c r="T349" s="610"/>
      <c r="U349" s="610"/>
      <c r="V349" s="610"/>
      <c r="W349" s="610"/>
      <c r="X349" s="610"/>
      <c r="Y349" s="610"/>
      <c r="Z349" s="610"/>
      <c r="AA349" s="610"/>
      <c r="AB349" s="610"/>
      <c r="AC349" s="611"/>
      <c r="AD349" s="606"/>
      <c r="AE349" s="606"/>
      <c r="AF349" s="606"/>
      <c r="AG349" s="606"/>
    </row>
    <row r="350" spans="1:33" s="612" customFormat="1" outlineLevel="2" x14ac:dyDescent="0.2">
      <c r="A350" s="606"/>
      <c r="B350" s="606"/>
      <c r="C350" s="607"/>
      <c r="D350" s="608"/>
      <c r="E350" s="608"/>
      <c r="F350" s="608"/>
      <c r="G350" s="608"/>
      <c r="H350" s="609"/>
      <c r="I350" s="610"/>
      <c r="J350" s="610"/>
      <c r="K350" s="610"/>
      <c r="L350" s="610"/>
      <c r="M350" s="610"/>
      <c r="N350" s="610"/>
      <c r="O350" s="610"/>
      <c r="P350" s="610"/>
      <c r="Q350" s="610"/>
      <c r="R350" s="610"/>
      <c r="S350" s="610"/>
      <c r="T350" s="610"/>
      <c r="U350" s="610"/>
      <c r="V350" s="610"/>
      <c r="W350" s="610"/>
      <c r="X350" s="610"/>
      <c r="Y350" s="610"/>
      <c r="Z350" s="610"/>
      <c r="AA350" s="610"/>
      <c r="AB350" s="610"/>
      <c r="AC350" s="611"/>
      <c r="AD350" s="606"/>
      <c r="AE350" s="606"/>
      <c r="AF350" s="606"/>
      <c r="AG350" s="606"/>
    </row>
    <row r="351" spans="1:33" s="612" customFormat="1" outlineLevel="2" x14ac:dyDescent="0.2">
      <c r="A351" s="606"/>
      <c r="B351" s="606"/>
      <c r="C351" s="607"/>
      <c r="D351" s="608"/>
      <c r="E351" s="608"/>
      <c r="F351" s="608"/>
      <c r="G351" s="608"/>
      <c r="H351" s="609"/>
      <c r="I351" s="610"/>
      <c r="J351" s="610"/>
      <c r="K351" s="610"/>
      <c r="L351" s="610"/>
      <c r="M351" s="610"/>
      <c r="N351" s="610"/>
      <c r="O351" s="610"/>
      <c r="P351" s="610"/>
      <c r="Q351" s="610"/>
      <c r="R351" s="610"/>
      <c r="S351" s="610"/>
      <c r="T351" s="610"/>
      <c r="U351" s="610"/>
      <c r="V351" s="610"/>
      <c r="W351" s="610"/>
      <c r="X351" s="610"/>
      <c r="Y351" s="610"/>
      <c r="Z351" s="610"/>
      <c r="AA351" s="610"/>
      <c r="AB351" s="610"/>
      <c r="AC351" s="611"/>
      <c r="AD351" s="606"/>
      <c r="AE351" s="606"/>
      <c r="AF351" s="606"/>
      <c r="AG351" s="606"/>
    </row>
    <row r="352" spans="1:33" s="612" customFormat="1" outlineLevel="2" x14ac:dyDescent="0.2">
      <c r="A352" s="606"/>
      <c r="B352" s="606"/>
      <c r="C352" s="607"/>
      <c r="D352" s="608"/>
      <c r="E352" s="608"/>
      <c r="F352" s="608"/>
      <c r="G352" s="608"/>
      <c r="H352" s="609"/>
      <c r="I352" s="610"/>
      <c r="J352" s="610"/>
      <c r="K352" s="610"/>
      <c r="L352" s="610"/>
      <c r="M352" s="610"/>
      <c r="N352" s="610"/>
      <c r="O352" s="610"/>
      <c r="P352" s="610"/>
      <c r="Q352" s="610"/>
      <c r="R352" s="610"/>
      <c r="S352" s="610"/>
      <c r="T352" s="610"/>
      <c r="U352" s="610"/>
      <c r="V352" s="610"/>
      <c r="W352" s="610"/>
      <c r="X352" s="610"/>
      <c r="Y352" s="610"/>
      <c r="Z352" s="610"/>
      <c r="AA352" s="610"/>
      <c r="AB352" s="610"/>
      <c r="AC352" s="611"/>
      <c r="AD352" s="606"/>
      <c r="AE352" s="606"/>
      <c r="AF352" s="606"/>
      <c r="AG352" s="606"/>
    </row>
    <row r="353" spans="1:33" s="612" customFormat="1" outlineLevel="2" x14ac:dyDescent="0.2">
      <c r="A353" s="606"/>
      <c r="B353" s="606"/>
      <c r="C353" s="607"/>
      <c r="D353" s="608"/>
      <c r="E353" s="608"/>
      <c r="F353" s="608"/>
      <c r="G353" s="608"/>
      <c r="H353" s="609"/>
      <c r="I353" s="610"/>
      <c r="J353" s="610"/>
      <c r="K353" s="610"/>
      <c r="L353" s="610"/>
      <c r="M353" s="610"/>
      <c r="N353" s="610"/>
      <c r="O353" s="610"/>
      <c r="P353" s="610"/>
      <c r="Q353" s="610"/>
      <c r="R353" s="610"/>
      <c r="S353" s="610"/>
      <c r="T353" s="610"/>
      <c r="U353" s="610"/>
      <c r="V353" s="610"/>
      <c r="W353" s="610"/>
      <c r="X353" s="610"/>
      <c r="Y353" s="610"/>
      <c r="Z353" s="610"/>
      <c r="AA353" s="610"/>
      <c r="AB353" s="610"/>
      <c r="AC353" s="611"/>
      <c r="AD353" s="606"/>
      <c r="AE353" s="606"/>
      <c r="AF353" s="606"/>
      <c r="AG353" s="606"/>
    </row>
    <row r="354" spans="1:33" s="612" customFormat="1" outlineLevel="2" x14ac:dyDescent="0.2">
      <c r="A354" s="606"/>
      <c r="B354" s="606"/>
      <c r="C354" s="607"/>
      <c r="D354" s="608"/>
      <c r="E354" s="608"/>
      <c r="F354" s="608"/>
      <c r="G354" s="608"/>
      <c r="H354" s="609"/>
      <c r="I354" s="610"/>
      <c r="J354" s="610"/>
      <c r="K354" s="610"/>
      <c r="L354" s="610"/>
      <c r="M354" s="610"/>
      <c r="N354" s="610"/>
      <c r="O354" s="610"/>
      <c r="P354" s="610"/>
      <c r="Q354" s="610"/>
      <c r="R354" s="610"/>
      <c r="S354" s="610"/>
      <c r="T354" s="610"/>
      <c r="U354" s="610"/>
      <c r="V354" s="610"/>
      <c r="W354" s="610"/>
      <c r="X354" s="610"/>
      <c r="Y354" s="610"/>
      <c r="Z354" s="610"/>
      <c r="AA354" s="610"/>
      <c r="AB354" s="610"/>
      <c r="AC354" s="611"/>
      <c r="AD354" s="606"/>
      <c r="AE354" s="606"/>
      <c r="AF354" s="606"/>
      <c r="AG354" s="606"/>
    </row>
    <row r="355" spans="1:33" s="612" customFormat="1" outlineLevel="2" x14ac:dyDescent="0.2">
      <c r="A355" s="606"/>
      <c r="B355" s="606"/>
      <c r="C355" s="607"/>
      <c r="D355" s="608"/>
      <c r="E355" s="608"/>
      <c r="F355" s="608"/>
      <c r="G355" s="608"/>
      <c r="H355" s="609"/>
      <c r="I355" s="610"/>
      <c r="J355" s="610"/>
      <c r="K355" s="610"/>
      <c r="L355" s="610"/>
      <c r="M355" s="610"/>
      <c r="N355" s="610"/>
      <c r="O355" s="610"/>
      <c r="P355" s="610"/>
      <c r="Q355" s="610"/>
      <c r="R355" s="610"/>
      <c r="S355" s="610"/>
      <c r="T355" s="610"/>
      <c r="U355" s="610"/>
      <c r="V355" s="610"/>
      <c r="W355" s="610"/>
      <c r="X355" s="610"/>
      <c r="Y355" s="610"/>
      <c r="Z355" s="610"/>
      <c r="AA355" s="610"/>
      <c r="AB355" s="610"/>
      <c r="AC355" s="611"/>
      <c r="AD355" s="606"/>
      <c r="AE355" s="606"/>
      <c r="AF355" s="606"/>
      <c r="AG355" s="606"/>
    </row>
    <row r="356" spans="1:33" s="612" customFormat="1" outlineLevel="2" x14ac:dyDescent="0.2">
      <c r="A356" s="606"/>
      <c r="B356" s="606"/>
      <c r="C356" s="607"/>
      <c r="D356" s="608"/>
      <c r="E356" s="608"/>
      <c r="F356" s="608"/>
      <c r="G356" s="608"/>
      <c r="H356" s="609"/>
      <c r="I356" s="610"/>
      <c r="J356" s="610"/>
      <c r="K356" s="610"/>
      <c r="L356" s="610"/>
      <c r="M356" s="610"/>
      <c r="N356" s="610"/>
      <c r="O356" s="610"/>
      <c r="P356" s="610"/>
      <c r="Q356" s="610"/>
      <c r="R356" s="610"/>
      <c r="S356" s="610"/>
      <c r="T356" s="610"/>
      <c r="U356" s="610"/>
      <c r="V356" s="610"/>
      <c r="W356" s="610"/>
      <c r="X356" s="610"/>
      <c r="Y356" s="610"/>
      <c r="Z356" s="610"/>
      <c r="AA356" s="610"/>
      <c r="AB356" s="610"/>
      <c r="AC356" s="611"/>
      <c r="AD356" s="606"/>
      <c r="AE356" s="606"/>
      <c r="AF356" s="606"/>
      <c r="AG356" s="606"/>
    </row>
    <row r="357" spans="1:33" s="612" customFormat="1" outlineLevel="2" x14ac:dyDescent="0.2">
      <c r="A357" s="606"/>
      <c r="B357" s="606"/>
      <c r="C357" s="607"/>
      <c r="D357" s="608"/>
      <c r="E357" s="608"/>
      <c r="F357" s="608"/>
      <c r="G357" s="608"/>
      <c r="H357" s="609"/>
      <c r="I357" s="610"/>
      <c r="J357" s="610"/>
      <c r="K357" s="610"/>
      <c r="L357" s="610"/>
      <c r="M357" s="610"/>
      <c r="N357" s="610"/>
      <c r="O357" s="610"/>
      <c r="P357" s="610"/>
      <c r="Q357" s="610"/>
      <c r="R357" s="610"/>
      <c r="S357" s="610"/>
      <c r="T357" s="610"/>
      <c r="U357" s="610"/>
      <c r="V357" s="610"/>
      <c r="W357" s="610"/>
      <c r="X357" s="610"/>
      <c r="Y357" s="610"/>
      <c r="Z357" s="610"/>
      <c r="AA357" s="610"/>
      <c r="AB357" s="610"/>
      <c r="AC357" s="611"/>
      <c r="AD357" s="606"/>
      <c r="AE357" s="606"/>
      <c r="AF357" s="606"/>
      <c r="AG357" s="606"/>
    </row>
    <row r="358" spans="1:33" s="612" customFormat="1" outlineLevel="2" x14ac:dyDescent="0.2">
      <c r="A358" s="606"/>
      <c r="B358" s="606"/>
      <c r="C358" s="607"/>
      <c r="D358" s="608"/>
      <c r="E358" s="608"/>
      <c r="F358" s="608"/>
      <c r="G358" s="608"/>
      <c r="H358" s="609"/>
      <c r="I358" s="610"/>
      <c r="J358" s="610"/>
      <c r="K358" s="610"/>
      <c r="L358" s="610"/>
      <c r="M358" s="610"/>
      <c r="N358" s="610"/>
      <c r="O358" s="610"/>
      <c r="P358" s="610"/>
      <c r="Q358" s="610"/>
      <c r="R358" s="610"/>
      <c r="S358" s="610"/>
      <c r="T358" s="610"/>
      <c r="U358" s="610"/>
      <c r="V358" s="610"/>
      <c r="W358" s="610"/>
      <c r="X358" s="610"/>
      <c r="Y358" s="610"/>
      <c r="Z358" s="610"/>
      <c r="AA358" s="610"/>
      <c r="AB358" s="610"/>
      <c r="AC358" s="611"/>
      <c r="AD358" s="606"/>
      <c r="AE358" s="606"/>
      <c r="AF358" s="606"/>
      <c r="AG358" s="606"/>
    </row>
    <row r="359" spans="1:33" s="612" customFormat="1" outlineLevel="2" x14ac:dyDescent="0.2">
      <c r="A359" s="606"/>
      <c r="B359" s="606"/>
      <c r="C359" s="607"/>
      <c r="D359" s="608"/>
      <c r="E359" s="608"/>
      <c r="F359" s="608"/>
      <c r="G359" s="608"/>
      <c r="H359" s="609"/>
      <c r="I359" s="610"/>
      <c r="J359" s="610"/>
      <c r="K359" s="610"/>
      <c r="L359" s="610"/>
      <c r="M359" s="610"/>
      <c r="N359" s="610"/>
      <c r="O359" s="610"/>
      <c r="P359" s="610"/>
      <c r="Q359" s="610"/>
      <c r="R359" s="610"/>
      <c r="S359" s="610"/>
      <c r="T359" s="610"/>
      <c r="U359" s="610"/>
      <c r="V359" s="610"/>
      <c r="W359" s="610"/>
      <c r="X359" s="610"/>
      <c r="Y359" s="610"/>
      <c r="Z359" s="610"/>
      <c r="AA359" s="610"/>
      <c r="AB359" s="610"/>
      <c r="AC359" s="611"/>
      <c r="AD359" s="606"/>
      <c r="AE359" s="606"/>
      <c r="AF359" s="606"/>
      <c r="AG359" s="606"/>
    </row>
    <row r="360" spans="1:33" s="612" customFormat="1" outlineLevel="2" x14ac:dyDescent="0.2">
      <c r="A360" s="606"/>
      <c r="B360" s="606"/>
      <c r="C360" s="607"/>
      <c r="D360" s="608"/>
      <c r="E360" s="608"/>
      <c r="F360" s="608"/>
      <c r="G360" s="608"/>
      <c r="H360" s="609"/>
      <c r="I360" s="610"/>
      <c r="J360" s="610"/>
      <c r="K360" s="610"/>
      <c r="L360" s="610"/>
      <c r="M360" s="610"/>
      <c r="N360" s="610"/>
      <c r="O360" s="610"/>
      <c r="P360" s="610"/>
      <c r="Q360" s="610"/>
      <c r="R360" s="610"/>
      <c r="S360" s="610"/>
      <c r="T360" s="610"/>
      <c r="U360" s="610"/>
      <c r="V360" s="610"/>
      <c r="W360" s="610"/>
      <c r="X360" s="610"/>
      <c r="Y360" s="610"/>
      <c r="Z360" s="610"/>
      <c r="AA360" s="610"/>
      <c r="AB360" s="610"/>
      <c r="AC360" s="611"/>
      <c r="AD360" s="606"/>
      <c r="AE360" s="606"/>
      <c r="AF360" s="606"/>
      <c r="AG360" s="606"/>
    </row>
    <row r="361" spans="1:33" s="612" customFormat="1" outlineLevel="2" x14ac:dyDescent="0.2">
      <c r="A361" s="606"/>
      <c r="B361" s="606"/>
      <c r="C361" s="607"/>
      <c r="D361" s="608"/>
      <c r="E361" s="608"/>
      <c r="F361" s="608"/>
      <c r="G361" s="608"/>
      <c r="H361" s="609"/>
      <c r="I361" s="610"/>
      <c r="J361" s="610"/>
      <c r="K361" s="610"/>
      <c r="L361" s="610"/>
      <c r="M361" s="610"/>
      <c r="N361" s="610"/>
      <c r="O361" s="610"/>
      <c r="P361" s="610"/>
      <c r="Q361" s="610"/>
      <c r="R361" s="610"/>
      <c r="S361" s="610"/>
      <c r="T361" s="610"/>
      <c r="U361" s="610"/>
      <c r="V361" s="610"/>
      <c r="W361" s="610"/>
      <c r="X361" s="610"/>
      <c r="Y361" s="610"/>
      <c r="Z361" s="610"/>
      <c r="AA361" s="610"/>
      <c r="AB361" s="610"/>
      <c r="AC361" s="611"/>
      <c r="AD361" s="606"/>
      <c r="AE361" s="606"/>
      <c r="AF361" s="606"/>
      <c r="AG361" s="606"/>
    </row>
    <row r="362" spans="1:33" s="612" customFormat="1" outlineLevel="2" x14ac:dyDescent="0.2">
      <c r="A362" s="606"/>
      <c r="B362" s="606"/>
      <c r="C362" s="607"/>
      <c r="D362" s="608"/>
      <c r="E362" s="608"/>
      <c r="F362" s="608"/>
      <c r="G362" s="608"/>
      <c r="H362" s="609"/>
      <c r="I362" s="610"/>
      <c r="J362" s="610"/>
      <c r="K362" s="610"/>
      <c r="L362" s="610"/>
      <c r="M362" s="610"/>
      <c r="N362" s="610"/>
      <c r="O362" s="610"/>
      <c r="P362" s="610"/>
      <c r="Q362" s="610"/>
      <c r="R362" s="610"/>
      <c r="S362" s="610"/>
      <c r="T362" s="610"/>
      <c r="U362" s="610"/>
      <c r="V362" s="610"/>
      <c r="W362" s="610"/>
      <c r="X362" s="610"/>
      <c r="Y362" s="610"/>
      <c r="Z362" s="610"/>
      <c r="AA362" s="610"/>
      <c r="AB362" s="610"/>
      <c r="AC362" s="611"/>
      <c r="AD362" s="606"/>
      <c r="AE362" s="606"/>
      <c r="AF362" s="606"/>
      <c r="AG362" s="606"/>
    </row>
    <row r="363" spans="1:33" s="612" customFormat="1" outlineLevel="2" x14ac:dyDescent="0.2">
      <c r="A363" s="606"/>
      <c r="B363" s="606"/>
      <c r="C363" s="607"/>
      <c r="D363" s="608"/>
      <c r="E363" s="608"/>
      <c r="F363" s="608"/>
      <c r="G363" s="608"/>
      <c r="H363" s="609"/>
      <c r="I363" s="610"/>
      <c r="J363" s="610"/>
      <c r="K363" s="610"/>
      <c r="L363" s="610"/>
      <c r="M363" s="610"/>
      <c r="N363" s="610"/>
      <c r="O363" s="610"/>
      <c r="P363" s="610"/>
      <c r="Q363" s="610"/>
      <c r="R363" s="610"/>
      <c r="S363" s="610"/>
      <c r="T363" s="610"/>
      <c r="U363" s="610"/>
      <c r="V363" s="610"/>
      <c r="W363" s="610"/>
      <c r="X363" s="610"/>
      <c r="Y363" s="610"/>
      <c r="Z363" s="610"/>
      <c r="AA363" s="610"/>
      <c r="AB363" s="610"/>
      <c r="AC363" s="611"/>
      <c r="AD363" s="606"/>
      <c r="AE363" s="606"/>
      <c r="AF363" s="606"/>
      <c r="AG363" s="606"/>
    </row>
    <row r="364" spans="1:33" s="612" customFormat="1" outlineLevel="2" x14ac:dyDescent="0.2">
      <c r="A364" s="606"/>
      <c r="B364" s="606"/>
      <c r="C364" s="607"/>
      <c r="D364" s="608"/>
      <c r="E364" s="608"/>
      <c r="F364" s="608"/>
      <c r="G364" s="608"/>
      <c r="H364" s="609"/>
      <c r="I364" s="610"/>
      <c r="J364" s="610"/>
      <c r="K364" s="610"/>
      <c r="L364" s="610"/>
      <c r="M364" s="610"/>
      <c r="N364" s="610"/>
      <c r="O364" s="610"/>
      <c r="P364" s="610"/>
      <c r="Q364" s="610"/>
      <c r="R364" s="610"/>
      <c r="S364" s="610"/>
      <c r="T364" s="610"/>
      <c r="U364" s="610"/>
      <c r="V364" s="610"/>
      <c r="W364" s="610"/>
      <c r="X364" s="610"/>
      <c r="Y364" s="610"/>
      <c r="Z364" s="610"/>
      <c r="AA364" s="610"/>
      <c r="AB364" s="610"/>
      <c r="AC364" s="611"/>
      <c r="AD364" s="606"/>
      <c r="AE364" s="606"/>
      <c r="AF364" s="606"/>
      <c r="AG364" s="606"/>
    </row>
    <row r="365" spans="1:33" s="612" customFormat="1" outlineLevel="2" x14ac:dyDescent="0.2">
      <c r="A365" s="606"/>
      <c r="B365" s="606"/>
      <c r="C365" s="607"/>
      <c r="D365" s="608"/>
      <c r="E365" s="608"/>
      <c r="F365" s="608"/>
      <c r="G365" s="608"/>
      <c r="H365" s="609"/>
      <c r="I365" s="610"/>
      <c r="J365" s="610"/>
      <c r="K365" s="610"/>
      <c r="L365" s="610"/>
      <c r="M365" s="610"/>
      <c r="N365" s="610"/>
      <c r="O365" s="610"/>
      <c r="P365" s="610"/>
      <c r="Q365" s="610"/>
      <c r="R365" s="610"/>
      <c r="S365" s="610"/>
      <c r="T365" s="610"/>
      <c r="U365" s="610"/>
      <c r="V365" s="610"/>
      <c r="W365" s="610"/>
      <c r="X365" s="610"/>
      <c r="Y365" s="610"/>
      <c r="Z365" s="610"/>
      <c r="AA365" s="610"/>
      <c r="AB365" s="610"/>
      <c r="AC365" s="611"/>
      <c r="AD365" s="606"/>
      <c r="AE365" s="606"/>
      <c r="AF365" s="606"/>
      <c r="AG365" s="606"/>
    </row>
    <row r="366" spans="1:33" s="612" customFormat="1" hidden="1" outlineLevel="3" x14ac:dyDescent="0.2">
      <c r="A366" s="606"/>
      <c r="B366" s="606"/>
      <c r="C366" s="607"/>
      <c r="D366" s="608"/>
      <c r="E366" s="608"/>
      <c r="F366" s="608"/>
      <c r="G366" s="608"/>
      <c r="H366" s="609"/>
      <c r="I366" s="610"/>
      <c r="J366" s="610"/>
      <c r="K366" s="610"/>
      <c r="L366" s="610"/>
      <c r="M366" s="610"/>
      <c r="N366" s="610"/>
      <c r="O366" s="610"/>
      <c r="P366" s="610"/>
      <c r="Q366" s="610"/>
      <c r="R366" s="610"/>
      <c r="S366" s="610"/>
      <c r="T366" s="610"/>
      <c r="U366" s="610"/>
      <c r="V366" s="610"/>
      <c r="W366" s="610"/>
      <c r="X366" s="610"/>
      <c r="Y366" s="610"/>
      <c r="Z366" s="610"/>
      <c r="AA366" s="610"/>
      <c r="AB366" s="610"/>
      <c r="AC366" s="611"/>
      <c r="AD366" s="606"/>
      <c r="AE366" s="606"/>
      <c r="AF366" s="606"/>
      <c r="AG366" s="606"/>
    </row>
    <row r="367" spans="1:33" s="612" customFormat="1" hidden="1" outlineLevel="3" x14ac:dyDescent="0.2">
      <c r="A367" s="606"/>
      <c r="B367" s="606"/>
      <c r="C367" s="607"/>
      <c r="D367" s="608"/>
      <c r="E367" s="608"/>
      <c r="F367" s="608"/>
      <c r="G367" s="608"/>
      <c r="H367" s="609"/>
      <c r="I367" s="610"/>
      <c r="J367" s="610"/>
      <c r="K367" s="610"/>
      <c r="L367" s="610"/>
      <c r="M367" s="610"/>
      <c r="N367" s="610"/>
      <c r="O367" s="610"/>
      <c r="P367" s="610"/>
      <c r="Q367" s="610"/>
      <c r="R367" s="610"/>
      <c r="S367" s="610"/>
      <c r="T367" s="610"/>
      <c r="U367" s="610"/>
      <c r="V367" s="610"/>
      <c r="W367" s="610"/>
      <c r="X367" s="610"/>
      <c r="Y367" s="610"/>
      <c r="Z367" s="610"/>
      <c r="AA367" s="610"/>
      <c r="AB367" s="610"/>
      <c r="AC367" s="611"/>
      <c r="AD367" s="606"/>
      <c r="AE367" s="606"/>
      <c r="AF367" s="606"/>
      <c r="AG367" s="606"/>
    </row>
    <row r="368" spans="1:33" s="612" customFormat="1" hidden="1" outlineLevel="3" x14ac:dyDescent="0.2">
      <c r="A368" s="606"/>
      <c r="B368" s="606"/>
      <c r="C368" s="607"/>
      <c r="D368" s="608"/>
      <c r="E368" s="608"/>
      <c r="F368" s="608"/>
      <c r="G368" s="608"/>
      <c r="H368" s="609"/>
      <c r="I368" s="610"/>
      <c r="J368" s="610"/>
      <c r="K368" s="610"/>
      <c r="L368" s="610"/>
      <c r="M368" s="610"/>
      <c r="N368" s="610"/>
      <c r="O368" s="610"/>
      <c r="P368" s="610"/>
      <c r="Q368" s="610"/>
      <c r="R368" s="610"/>
      <c r="S368" s="610"/>
      <c r="T368" s="610"/>
      <c r="U368" s="610"/>
      <c r="V368" s="610"/>
      <c r="W368" s="610"/>
      <c r="X368" s="610"/>
      <c r="Y368" s="610"/>
      <c r="Z368" s="610"/>
      <c r="AA368" s="610"/>
      <c r="AB368" s="610"/>
      <c r="AC368" s="611"/>
      <c r="AD368" s="606"/>
      <c r="AE368" s="606"/>
      <c r="AF368" s="606"/>
      <c r="AG368" s="606"/>
    </row>
    <row r="369" spans="1:33" s="612" customFormat="1" hidden="1" outlineLevel="3" x14ac:dyDescent="0.2">
      <c r="A369" s="606"/>
      <c r="B369" s="606"/>
      <c r="C369" s="607"/>
      <c r="D369" s="608"/>
      <c r="E369" s="608"/>
      <c r="F369" s="608"/>
      <c r="G369" s="608"/>
      <c r="H369" s="609"/>
      <c r="I369" s="610"/>
      <c r="J369" s="610"/>
      <c r="K369" s="610"/>
      <c r="L369" s="610"/>
      <c r="M369" s="610"/>
      <c r="N369" s="610"/>
      <c r="O369" s="610"/>
      <c r="P369" s="610"/>
      <c r="Q369" s="610"/>
      <c r="R369" s="610"/>
      <c r="S369" s="610"/>
      <c r="T369" s="610"/>
      <c r="U369" s="610"/>
      <c r="V369" s="610"/>
      <c r="W369" s="610"/>
      <c r="X369" s="610"/>
      <c r="Y369" s="610"/>
      <c r="Z369" s="610"/>
      <c r="AA369" s="610"/>
      <c r="AB369" s="610"/>
      <c r="AC369" s="611"/>
      <c r="AD369" s="606"/>
      <c r="AE369" s="606"/>
      <c r="AF369" s="606"/>
      <c r="AG369" s="606"/>
    </row>
    <row r="370" spans="1:33" s="612" customFormat="1" hidden="1" outlineLevel="3" x14ac:dyDescent="0.2">
      <c r="A370" s="606"/>
      <c r="B370" s="606"/>
      <c r="C370" s="607"/>
      <c r="D370" s="608"/>
      <c r="E370" s="608"/>
      <c r="F370" s="608"/>
      <c r="G370" s="608"/>
      <c r="H370" s="609"/>
      <c r="I370" s="610"/>
      <c r="J370" s="610"/>
      <c r="K370" s="610"/>
      <c r="L370" s="610"/>
      <c r="M370" s="610"/>
      <c r="N370" s="610"/>
      <c r="O370" s="610"/>
      <c r="P370" s="610"/>
      <c r="Q370" s="610"/>
      <c r="R370" s="610"/>
      <c r="S370" s="610"/>
      <c r="T370" s="610"/>
      <c r="U370" s="610"/>
      <c r="V370" s="610"/>
      <c r="W370" s="610"/>
      <c r="X370" s="610"/>
      <c r="Y370" s="610"/>
      <c r="Z370" s="610"/>
      <c r="AA370" s="610"/>
      <c r="AB370" s="610"/>
      <c r="AC370" s="611"/>
      <c r="AD370" s="606"/>
      <c r="AE370" s="606"/>
      <c r="AF370" s="606"/>
      <c r="AG370" s="606"/>
    </row>
    <row r="371" spans="1:33" s="612" customFormat="1" hidden="1" outlineLevel="3" x14ac:dyDescent="0.2">
      <c r="A371" s="606"/>
      <c r="B371" s="606"/>
      <c r="C371" s="607"/>
      <c r="D371" s="608"/>
      <c r="E371" s="608"/>
      <c r="F371" s="608"/>
      <c r="G371" s="608"/>
      <c r="H371" s="609"/>
      <c r="I371" s="610"/>
      <c r="J371" s="610"/>
      <c r="K371" s="610"/>
      <c r="L371" s="610"/>
      <c r="M371" s="610"/>
      <c r="N371" s="610"/>
      <c r="O371" s="610"/>
      <c r="P371" s="610"/>
      <c r="Q371" s="610"/>
      <c r="R371" s="610"/>
      <c r="S371" s="610"/>
      <c r="T371" s="610"/>
      <c r="U371" s="610"/>
      <c r="V371" s="610"/>
      <c r="W371" s="610"/>
      <c r="X371" s="610"/>
      <c r="Y371" s="610"/>
      <c r="Z371" s="610"/>
      <c r="AA371" s="610"/>
      <c r="AB371" s="610"/>
      <c r="AC371" s="611"/>
      <c r="AD371" s="606"/>
      <c r="AE371" s="606"/>
      <c r="AF371" s="606"/>
      <c r="AG371" s="606"/>
    </row>
    <row r="372" spans="1:33" s="612" customFormat="1" hidden="1" outlineLevel="3" x14ac:dyDescent="0.2">
      <c r="A372" s="606"/>
      <c r="B372" s="606"/>
      <c r="C372" s="607"/>
      <c r="D372" s="608"/>
      <c r="E372" s="608"/>
      <c r="F372" s="608"/>
      <c r="G372" s="608"/>
      <c r="H372" s="609"/>
      <c r="I372" s="610"/>
      <c r="J372" s="610"/>
      <c r="K372" s="610"/>
      <c r="L372" s="610"/>
      <c r="M372" s="610"/>
      <c r="N372" s="610"/>
      <c r="O372" s="610"/>
      <c r="P372" s="610"/>
      <c r="Q372" s="610"/>
      <c r="R372" s="610"/>
      <c r="S372" s="610"/>
      <c r="T372" s="610"/>
      <c r="U372" s="610"/>
      <c r="V372" s="610"/>
      <c r="W372" s="610"/>
      <c r="X372" s="610"/>
      <c r="Y372" s="610"/>
      <c r="Z372" s="610"/>
      <c r="AA372" s="610"/>
      <c r="AB372" s="610"/>
      <c r="AC372" s="611"/>
      <c r="AD372" s="606"/>
      <c r="AE372" s="606"/>
      <c r="AF372" s="606"/>
      <c r="AG372" s="606"/>
    </row>
    <row r="373" spans="1:33" s="612" customFormat="1" hidden="1" outlineLevel="3" x14ac:dyDescent="0.2">
      <c r="A373" s="606"/>
      <c r="B373" s="606"/>
      <c r="C373" s="607"/>
      <c r="D373" s="608"/>
      <c r="E373" s="608"/>
      <c r="F373" s="608"/>
      <c r="G373" s="608"/>
      <c r="H373" s="609"/>
      <c r="I373" s="610"/>
      <c r="J373" s="610"/>
      <c r="K373" s="610"/>
      <c r="L373" s="610"/>
      <c r="M373" s="610"/>
      <c r="N373" s="610"/>
      <c r="O373" s="610"/>
      <c r="P373" s="610"/>
      <c r="Q373" s="610"/>
      <c r="R373" s="610"/>
      <c r="S373" s="610"/>
      <c r="T373" s="610"/>
      <c r="U373" s="610"/>
      <c r="V373" s="610"/>
      <c r="W373" s="610"/>
      <c r="X373" s="610"/>
      <c r="Y373" s="610"/>
      <c r="Z373" s="610"/>
      <c r="AA373" s="610"/>
      <c r="AB373" s="610"/>
      <c r="AC373" s="611"/>
      <c r="AD373" s="606"/>
      <c r="AE373" s="606"/>
      <c r="AF373" s="606"/>
      <c r="AG373" s="606"/>
    </row>
    <row r="374" spans="1:33" s="612" customFormat="1" hidden="1" outlineLevel="3" x14ac:dyDescent="0.2">
      <c r="A374" s="606"/>
      <c r="B374" s="606"/>
      <c r="C374" s="607"/>
      <c r="D374" s="608"/>
      <c r="E374" s="608"/>
      <c r="F374" s="608"/>
      <c r="G374" s="608"/>
      <c r="H374" s="609"/>
      <c r="I374" s="610"/>
      <c r="J374" s="610"/>
      <c r="K374" s="610"/>
      <c r="L374" s="610"/>
      <c r="M374" s="610"/>
      <c r="N374" s="610"/>
      <c r="O374" s="610"/>
      <c r="P374" s="610"/>
      <c r="Q374" s="610"/>
      <c r="R374" s="610"/>
      <c r="S374" s="610"/>
      <c r="T374" s="610"/>
      <c r="U374" s="610"/>
      <c r="V374" s="610"/>
      <c r="W374" s="610"/>
      <c r="X374" s="610"/>
      <c r="Y374" s="610"/>
      <c r="Z374" s="610"/>
      <c r="AA374" s="610"/>
      <c r="AB374" s="610"/>
      <c r="AC374" s="611"/>
      <c r="AD374" s="606"/>
      <c r="AE374" s="606"/>
      <c r="AF374" s="606"/>
      <c r="AG374" s="606"/>
    </row>
    <row r="375" spans="1:33" s="612" customFormat="1" hidden="1" outlineLevel="3" x14ac:dyDescent="0.2">
      <c r="A375" s="606"/>
      <c r="B375" s="606"/>
      <c r="C375" s="607"/>
      <c r="D375" s="608"/>
      <c r="E375" s="608"/>
      <c r="F375" s="608"/>
      <c r="G375" s="608"/>
      <c r="H375" s="609"/>
      <c r="I375" s="610"/>
      <c r="J375" s="610"/>
      <c r="K375" s="610"/>
      <c r="L375" s="610"/>
      <c r="M375" s="610"/>
      <c r="N375" s="610"/>
      <c r="O375" s="610"/>
      <c r="P375" s="610"/>
      <c r="Q375" s="610"/>
      <c r="R375" s="610"/>
      <c r="S375" s="610"/>
      <c r="T375" s="610"/>
      <c r="U375" s="610"/>
      <c r="V375" s="610"/>
      <c r="W375" s="610"/>
      <c r="X375" s="610"/>
      <c r="Y375" s="610"/>
      <c r="Z375" s="610"/>
      <c r="AA375" s="610"/>
      <c r="AB375" s="610"/>
      <c r="AC375" s="611"/>
      <c r="AD375" s="606"/>
      <c r="AE375" s="606"/>
      <c r="AF375" s="606"/>
      <c r="AG375" s="606"/>
    </row>
    <row r="376" spans="1:33" s="612" customFormat="1" hidden="1" outlineLevel="3" x14ac:dyDescent="0.2">
      <c r="A376" s="606"/>
      <c r="B376" s="606"/>
      <c r="C376" s="607"/>
      <c r="D376" s="608"/>
      <c r="E376" s="608"/>
      <c r="F376" s="608"/>
      <c r="G376" s="608"/>
      <c r="H376" s="609"/>
      <c r="I376" s="610"/>
      <c r="J376" s="610"/>
      <c r="K376" s="610"/>
      <c r="L376" s="610"/>
      <c r="M376" s="610"/>
      <c r="N376" s="610"/>
      <c r="O376" s="610"/>
      <c r="P376" s="610"/>
      <c r="Q376" s="610"/>
      <c r="R376" s="610"/>
      <c r="S376" s="610"/>
      <c r="T376" s="610"/>
      <c r="U376" s="610"/>
      <c r="V376" s="610"/>
      <c r="W376" s="610"/>
      <c r="X376" s="610"/>
      <c r="Y376" s="610"/>
      <c r="Z376" s="610"/>
      <c r="AA376" s="610"/>
      <c r="AB376" s="610"/>
      <c r="AC376" s="611"/>
      <c r="AD376" s="606"/>
      <c r="AE376" s="606"/>
      <c r="AF376" s="606"/>
      <c r="AG376" s="606"/>
    </row>
    <row r="377" spans="1:33" s="612" customFormat="1" hidden="1" outlineLevel="3" x14ac:dyDescent="0.2">
      <c r="A377" s="606"/>
      <c r="B377" s="606"/>
      <c r="C377" s="607"/>
      <c r="D377" s="608"/>
      <c r="E377" s="608"/>
      <c r="F377" s="608"/>
      <c r="G377" s="608"/>
      <c r="H377" s="609"/>
      <c r="I377" s="610"/>
      <c r="J377" s="610"/>
      <c r="K377" s="610"/>
      <c r="L377" s="610"/>
      <c r="M377" s="610"/>
      <c r="N377" s="610"/>
      <c r="O377" s="610"/>
      <c r="P377" s="610"/>
      <c r="Q377" s="610"/>
      <c r="R377" s="610"/>
      <c r="S377" s="610"/>
      <c r="T377" s="610"/>
      <c r="U377" s="610"/>
      <c r="V377" s="610"/>
      <c r="W377" s="610"/>
      <c r="X377" s="610"/>
      <c r="Y377" s="610"/>
      <c r="Z377" s="610"/>
      <c r="AA377" s="610"/>
      <c r="AB377" s="610"/>
      <c r="AC377" s="611"/>
      <c r="AD377" s="606"/>
      <c r="AE377" s="606"/>
      <c r="AF377" s="606"/>
      <c r="AG377" s="606"/>
    </row>
    <row r="378" spans="1:33" s="612" customFormat="1" hidden="1" outlineLevel="3" x14ac:dyDescent="0.2">
      <c r="A378" s="606"/>
      <c r="B378" s="606"/>
      <c r="C378" s="607"/>
      <c r="D378" s="608"/>
      <c r="E378" s="608"/>
      <c r="F378" s="608"/>
      <c r="G378" s="608"/>
      <c r="H378" s="609"/>
      <c r="I378" s="610"/>
      <c r="J378" s="610"/>
      <c r="K378" s="610"/>
      <c r="L378" s="610"/>
      <c r="M378" s="610"/>
      <c r="N378" s="610"/>
      <c r="O378" s="610"/>
      <c r="P378" s="610"/>
      <c r="Q378" s="610"/>
      <c r="R378" s="610"/>
      <c r="S378" s="610"/>
      <c r="T378" s="610"/>
      <c r="U378" s="610"/>
      <c r="V378" s="610"/>
      <c r="W378" s="610"/>
      <c r="X378" s="610"/>
      <c r="Y378" s="610"/>
      <c r="Z378" s="610"/>
      <c r="AA378" s="610"/>
      <c r="AB378" s="610"/>
      <c r="AC378" s="611"/>
      <c r="AD378" s="606"/>
      <c r="AE378" s="606"/>
      <c r="AF378" s="606"/>
      <c r="AG378" s="606"/>
    </row>
    <row r="379" spans="1:33" s="612" customFormat="1" hidden="1" outlineLevel="3" x14ac:dyDescent="0.2">
      <c r="A379" s="606"/>
      <c r="B379" s="606"/>
      <c r="C379" s="607"/>
      <c r="D379" s="608"/>
      <c r="E379" s="608"/>
      <c r="F379" s="608"/>
      <c r="G379" s="608"/>
      <c r="H379" s="609"/>
      <c r="I379" s="610"/>
      <c r="J379" s="610"/>
      <c r="K379" s="610"/>
      <c r="L379" s="610"/>
      <c r="M379" s="610"/>
      <c r="N379" s="610"/>
      <c r="O379" s="610"/>
      <c r="P379" s="610"/>
      <c r="Q379" s="610"/>
      <c r="R379" s="610"/>
      <c r="S379" s="610"/>
      <c r="T379" s="610"/>
      <c r="U379" s="610"/>
      <c r="V379" s="610"/>
      <c r="W379" s="610"/>
      <c r="X379" s="610"/>
      <c r="Y379" s="610"/>
      <c r="Z379" s="610"/>
      <c r="AA379" s="610"/>
      <c r="AB379" s="610"/>
      <c r="AC379" s="611"/>
      <c r="AD379" s="606"/>
      <c r="AE379" s="606"/>
      <c r="AF379" s="606"/>
      <c r="AG379" s="606"/>
    </row>
    <row r="380" spans="1:33" s="612" customFormat="1" hidden="1" outlineLevel="3" x14ac:dyDescent="0.2">
      <c r="A380" s="606"/>
      <c r="B380" s="606"/>
      <c r="C380" s="607"/>
      <c r="D380" s="608"/>
      <c r="E380" s="608"/>
      <c r="F380" s="608"/>
      <c r="G380" s="608"/>
      <c r="H380" s="609"/>
      <c r="I380" s="610"/>
      <c r="J380" s="610"/>
      <c r="K380" s="610"/>
      <c r="L380" s="610"/>
      <c r="M380" s="610"/>
      <c r="N380" s="610"/>
      <c r="O380" s="610"/>
      <c r="P380" s="610"/>
      <c r="Q380" s="610"/>
      <c r="R380" s="610"/>
      <c r="S380" s="610"/>
      <c r="T380" s="610"/>
      <c r="U380" s="610"/>
      <c r="V380" s="610"/>
      <c r="W380" s="610"/>
      <c r="X380" s="610"/>
      <c r="Y380" s="610"/>
      <c r="Z380" s="610"/>
      <c r="AA380" s="610"/>
      <c r="AB380" s="610"/>
      <c r="AC380" s="611"/>
      <c r="AD380" s="606"/>
      <c r="AE380" s="606"/>
      <c r="AF380" s="606"/>
      <c r="AG380" s="606"/>
    </row>
    <row r="381" spans="1:33" s="612" customFormat="1" hidden="1" outlineLevel="3" x14ac:dyDescent="0.2">
      <c r="A381" s="606"/>
      <c r="B381" s="606"/>
      <c r="C381" s="607"/>
      <c r="D381" s="608"/>
      <c r="E381" s="608"/>
      <c r="F381" s="608"/>
      <c r="G381" s="608"/>
      <c r="H381" s="609"/>
      <c r="I381" s="610"/>
      <c r="J381" s="610"/>
      <c r="K381" s="610"/>
      <c r="L381" s="610"/>
      <c r="M381" s="610"/>
      <c r="N381" s="610"/>
      <c r="O381" s="610"/>
      <c r="P381" s="610"/>
      <c r="Q381" s="610"/>
      <c r="R381" s="610"/>
      <c r="S381" s="610"/>
      <c r="T381" s="610"/>
      <c r="U381" s="610"/>
      <c r="V381" s="610"/>
      <c r="W381" s="610"/>
      <c r="X381" s="610"/>
      <c r="Y381" s="610"/>
      <c r="Z381" s="610"/>
      <c r="AA381" s="610"/>
      <c r="AB381" s="610"/>
      <c r="AC381" s="611"/>
      <c r="AD381" s="606"/>
      <c r="AE381" s="606"/>
      <c r="AF381" s="606"/>
      <c r="AG381" s="606"/>
    </row>
    <row r="382" spans="1:33" s="612" customFormat="1" hidden="1" outlineLevel="3" x14ac:dyDescent="0.2">
      <c r="A382" s="606"/>
      <c r="B382" s="606"/>
      <c r="C382" s="607"/>
      <c r="D382" s="608"/>
      <c r="E382" s="608"/>
      <c r="F382" s="608"/>
      <c r="G382" s="608"/>
      <c r="H382" s="609"/>
      <c r="I382" s="610"/>
      <c r="J382" s="610"/>
      <c r="K382" s="610"/>
      <c r="L382" s="610"/>
      <c r="M382" s="610"/>
      <c r="N382" s="610"/>
      <c r="O382" s="610"/>
      <c r="P382" s="610"/>
      <c r="Q382" s="610"/>
      <c r="R382" s="610"/>
      <c r="S382" s="610"/>
      <c r="T382" s="610"/>
      <c r="U382" s="610"/>
      <c r="V382" s="610"/>
      <c r="W382" s="610"/>
      <c r="X382" s="610"/>
      <c r="Y382" s="610"/>
      <c r="Z382" s="610"/>
      <c r="AA382" s="610"/>
      <c r="AB382" s="610"/>
      <c r="AC382" s="611"/>
      <c r="AD382" s="606"/>
      <c r="AE382" s="606"/>
      <c r="AF382" s="606"/>
      <c r="AG382" s="606"/>
    </row>
    <row r="383" spans="1:33" s="612" customFormat="1" hidden="1" outlineLevel="3" x14ac:dyDescent="0.2">
      <c r="A383" s="606"/>
      <c r="B383" s="606"/>
      <c r="C383" s="607"/>
      <c r="D383" s="608"/>
      <c r="E383" s="608"/>
      <c r="F383" s="608"/>
      <c r="G383" s="608"/>
      <c r="H383" s="609"/>
      <c r="I383" s="610"/>
      <c r="J383" s="610"/>
      <c r="K383" s="610"/>
      <c r="L383" s="610"/>
      <c r="M383" s="610"/>
      <c r="N383" s="610"/>
      <c r="O383" s="610"/>
      <c r="P383" s="610"/>
      <c r="Q383" s="610"/>
      <c r="R383" s="610"/>
      <c r="S383" s="610"/>
      <c r="T383" s="610"/>
      <c r="U383" s="610"/>
      <c r="V383" s="610"/>
      <c r="W383" s="610"/>
      <c r="X383" s="610"/>
      <c r="Y383" s="610"/>
      <c r="Z383" s="610"/>
      <c r="AA383" s="610"/>
      <c r="AB383" s="610"/>
      <c r="AC383" s="611"/>
      <c r="AD383" s="606"/>
      <c r="AE383" s="606"/>
      <c r="AF383" s="606"/>
      <c r="AG383" s="606"/>
    </row>
    <row r="384" spans="1:33" s="612" customFormat="1" hidden="1" outlineLevel="3" x14ac:dyDescent="0.2">
      <c r="A384" s="606"/>
      <c r="B384" s="606"/>
      <c r="C384" s="607"/>
      <c r="D384" s="608"/>
      <c r="E384" s="608"/>
      <c r="F384" s="608"/>
      <c r="G384" s="608"/>
      <c r="H384" s="609"/>
      <c r="I384" s="610"/>
      <c r="J384" s="610"/>
      <c r="K384" s="610"/>
      <c r="L384" s="610"/>
      <c r="M384" s="610"/>
      <c r="N384" s="610"/>
      <c r="O384" s="610"/>
      <c r="P384" s="610"/>
      <c r="Q384" s="610"/>
      <c r="R384" s="610"/>
      <c r="S384" s="610"/>
      <c r="T384" s="610"/>
      <c r="U384" s="610"/>
      <c r="V384" s="610"/>
      <c r="W384" s="610"/>
      <c r="X384" s="610"/>
      <c r="Y384" s="610"/>
      <c r="Z384" s="610"/>
      <c r="AA384" s="610"/>
      <c r="AB384" s="610"/>
      <c r="AC384" s="611"/>
      <c r="AD384" s="606"/>
      <c r="AE384" s="606"/>
      <c r="AF384" s="606"/>
      <c r="AG384" s="606"/>
    </row>
    <row r="385" spans="1:33" s="612" customFormat="1" hidden="1" outlineLevel="3" x14ac:dyDescent="0.2">
      <c r="A385" s="606"/>
      <c r="B385" s="606"/>
      <c r="C385" s="607"/>
      <c r="D385" s="608"/>
      <c r="E385" s="608"/>
      <c r="F385" s="608"/>
      <c r="G385" s="608"/>
      <c r="H385" s="609"/>
      <c r="I385" s="610"/>
      <c r="J385" s="610"/>
      <c r="K385" s="610"/>
      <c r="L385" s="610"/>
      <c r="M385" s="610"/>
      <c r="N385" s="610"/>
      <c r="O385" s="610"/>
      <c r="P385" s="610"/>
      <c r="Q385" s="610"/>
      <c r="R385" s="610"/>
      <c r="S385" s="610"/>
      <c r="T385" s="610"/>
      <c r="U385" s="610"/>
      <c r="V385" s="610"/>
      <c r="W385" s="610"/>
      <c r="X385" s="610"/>
      <c r="Y385" s="610"/>
      <c r="Z385" s="610"/>
      <c r="AA385" s="610"/>
      <c r="AB385" s="610"/>
      <c r="AC385" s="611"/>
      <c r="AD385" s="606"/>
      <c r="AE385" s="606"/>
      <c r="AF385" s="606"/>
      <c r="AG385" s="606"/>
    </row>
    <row r="386" spans="1:33" s="612" customFormat="1" hidden="1" outlineLevel="3" x14ac:dyDescent="0.2">
      <c r="A386" s="606"/>
      <c r="B386" s="606"/>
      <c r="C386" s="607"/>
      <c r="D386" s="608"/>
      <c r="E386" s="608"/>
      <c r="F386" s="608"/>
      <c r="G386" s="608"/>
      <c r="H386" s="609"/>
      <c r="I386" s="610"/>
      <c r="J386" s="610"/>
      <c r="K386" s="610"/>
      <c r="L386" s="610"/>
      <c r="M386" s="610"/>
      <c r="N386" s="610"/>
      <c r="O386" s="610"/>
      <c r="P386" s="610"/>
      <c r="Q386" s="610"/>
      <c r="R386" s="610"/>
      <c r="S386" s="610"/>
      <c r="T386" s="610"/>
      <c r="U386" s="610"/>
      <c r="V386" s="610"/>
      <c r="W386" s="610"/>
      <c r="X386" s="610"/>
      <c r="Y386" s="610"/>
      <c r="Z386" s="610"/>
      <c r="AA386" s="610"/>
      <c r="AB386" s="610"/>
      <c r="AC386" s="611"/>
      <c r="AD386" s="606"/>
      <c r="AE386" s="606"/>
      <c r="AF386" s="606"/>
      <c r="AG386" s="606"/>
    </row>
    <row r="387" spans="1:33" s="612" customFormat="1" hidden="1" outlineLevel="3" x14ac:dyDescent="0.2">
      <c r="A387" s="606"/>
      <c r="B387" s="606"/>
      <c r="C387" s="607"/>
      <c r="D387" s="608"/>
      <c r="E387" s="608"/>
      <c r="F387" s="608"/>
      <c r="G387" s="608"/>
      <c r="H387" s="609"/>
      <c r="I387" s="610"/>
      <c r="J387" s="610"/>
      <c r="K387" s="610"/>
      <c r="L387" s="610"/>
      <c r="M387" s="610"/>
      <c r="N387" s="610"/>
      <c r="O387" s="610"/>
      <c r="P387" s="610"/>
      <c r="Q387" s="610"/>
      <c r="R387" s="610"/>
      <c r="S387" s="610"/>
      <c r="T387" s="610"/>
      <c r="U387" s="610"/>
      <c r="V387" s="610"/>
      <c r="W387" s="610"/>
      <c r="X387" s="610"/>
      <c r="Y387" s="610"/>
      <c r="Z387" s="610"/>
      <c r="AA387" s="610"/>
      <c r="AB387" s="610"/>
      <c r="AC387" s="611"/>
      <c r="AD387" s="606"/>
      <c r="AE387" s="606"/>
      <c r="AF387" s="606"/>
      <c r="AG387" s="606"/>
    </row>
    <row r="388" spans="1:33" s="612" customFormat="1" hidden="1" outlineLevel="3" x14ac:dyDescent="0.2">
      <c r="A388" s="606"/>
      <c r="B388" s="606"/>
      <c r="C388" s="607"/>
      <c r="D388" s="608"/>
      <c r="E388" s="608"/>
      <c r="F388" s="608"/>
      <c r="G388" s="608"/>
      <c r="H388" s="609"/>
      <c r="I388" s="610"/>
      <c r="J388" s="610"/>
      <c r="K388" s="610"/>
      <c r="L388" s="610"/>
      <c r="M388" s="610"/>
      <c r="N388" s="610"/>
      <c r="O388" s="610"/>
      <c r="P388" s="610"/>
      <c r="Q388" s="610"/>
      <c r="R388" s="610"/>
      <c r="S388" s="610"/>
      <c r="T388" s="610"/>
      <c r="U388" s="610"/>
      <c r="V388" s="610"/>
      <c r="W388" s="610"/>
      <c r="X388" s="610"/>
      <c r="Y388" s="610"/>
      <c r="Z388" s="610"/>
      <c r="AA388" s="610"/>
      <c r="AB388" s="610"/>
      <c r="AC388" s="611"/>
      <c r="AD388" s="606"/>
      <c r="AE388" s="606"/>
      <c r="AF388" s="606"/>
      <c r="AG388" s="606"/>
    </row>
    <row r="389" spans="1:33" s="612" customFormat="1" hidden="1" outlineLevel="3" x14ac:dyDescent="0.2">
      <c r="A389" s="606"/>
      <c r="B389" s="606"/>
      <c r="C389" s="607"/>
      <c r="D389" s="608"/>
      <c r="E389" s="608"/>
      <c r="F389" s="608"/>
      <c r="G389" s="608"/>
      <c r="H389" s="609"/>
      <c r="I389" s="610"/>
      <c r="J389" s="610"/>
      <c r="K389" s="610"/>
      <c r="L389" s="610"/>
      <c r="M389" s="610"/>
      <c r="N389" s="610"/>
      <c r="O389" s="610"/>
      <c r="P389" s="610"/>
      <c r="Q389" s="610"/>
      <c r="R389" s="610"/>
      <c r="S389" s="610"/>
      <c r="T389" s="610"/>
      <c r="U389" s="610"/>
      <c r="V389" s="610"/>
      <c r="W389" s="610"/>
      <c r="X389" s="610"/>
      <c r="Y389" s="610"/>
      <c r="Z389" s="610"/>
      <c r="AA389" s="610"/>
      <c r="AB389" s="610"/>
      <c r="AC389" s="611"/>
      <c r="AD389" s="606"/>
      <c r="AE389" s="606"/>
      <c r="AF389" s="606"/>
      <c r="AG389" s="606"/>
    </row>
    <row r="390" spans="1:33" s="612" customFormat="1" hidden="1" outlineLevel="3" x14ac:dyDescent="0.2">
      <c r="A390" s="606"/>
      <c r="B390" s="606"/>
      <c r="C390" s="607"/>
      <c r="D390" s="608"/>
      <c r="E390" s="608"/>
      <c r="F390" s="608"/>
      <c r="G390" s="608"/>
      <c r="H390" s="609"/>
      <c r="I390" s="610"/>
      <c r="J390" s="610"/>
      <c r="K390" s="610"/>
      <c r="L390" s="610"/>
      <c r="M390" s="610"/>
      <c r="N390" s="610"/>
      <c r="O390" s="610"/>
      <c r="P390" s="610"/>
      <c r="Q390" s="610"/>
      <c r="R390" s="610"/>
      <c r="S390" s="610"/>
      <c r="T390" s="610"/>
      <c r="U390" s="610"/>
      <c r="V390" s="610"/>
      <c r="W390" s="610"/>
      <c r="X390" s="610"/>
      <c r="Y390" s="610"/>
      <c r="Z390" s="610"/>
      <c r="AA390" s="610"/>
      <c r="AB390" s="610"/>
      <c r="AC390" s="611"/>
      <c r="AD390" s="606"/>
      <c r="AE390" s="606"/>
      <c r="AF390" s="606"/>
      <c r="AG390" s="606"/>
    </row>
    <row r="391" spans="1:33" s="612" customFormat="1" hidden="1" outlineLevel="3" x14ac:dyDescent="0.2">
      <c r="A391" s="606"/>
      <c r="B391" s="606"/>
      <c r="C391" s="607"/>
      <c r="D391" s="608"/>
      <c r="E391" s="608"/>
      <c r="F391" s="608"/>
      <c r="G391" s="608"/>
      <c r="H391" s="609"/>
      <c r="I391" s="610"/>
      <c r="J391" s="610"/>
      <c r="K391" s="610"/>
      <c r="L391" s="610"/>
      <c r="M391" s="610"/>
      <c r="N391" s="610"/>
      <c r="O391" s="610"/>
      <c r="P391" s="610"/>
      <c r="Q391" s="610"/>
      <c r="R391" s="610"/>
      <c r="S391" s="610"/>
      <c r="T391" s="610"/>
      <c r="U391" s="610"/>
      <c r="V391" s="610"/>
      <c r="W391" s="610"/>
      <c r="X391" s="610"/>
      <c r="Y391" s="610"/>
      <c r="Z391" s="610"/>
      <c r="AA391" s="610"/>
      <c r="AB391" s="610"/>
      <c r="AC391" s="611"/>
      <c r="AD391" s="606"/>
      <c r="AE391" s="606"/>
      <c r="AF391" s="606"/>
      <c r="AG391" s="606"/>
    </row>
    <row r="392" spans="1:33" s="612" customFormat="1" hidden="1" outlineLevel="3" x14ac:dyDescent="0.2">
      <c r="A392" s="606"/>
      <c r="B392" s="606"/>
      <c r="C392" s="607"/>
      <c r="D392" s="608"/>
      <c r="E392" s="608"/>
      <c r="F392" s="608"/>
      <c r="G392" s="608"/>
      <c r="H392" s="609"/>
      <c r="I392" s="610"/>
      <c r="J392" s="610"/>
      <c r="K392" s="610"/>
      <c r="L392" s="610"/>
      <c r="M392" s="610"/>
      <c r="N392" s="610"/>
      <c r="O392" s="610"/>
      <c r="P392" s="610"/>
      <c r="Q392" s="610"/>
      <c r="R392" s="610"/>
      <c r="S392" s="610"/>
      <c r="T392" s="610"/>
      <c r="U392" s="610"/>
      <c r="V392" s="610"/>
      <c r="W392" s="610"/>
      <c r="X392" s="610"/>
      <c r="Y392" s="610"/>
      <c r="Z392" s="610"/>
      <c r="AA392" s="610"/>
      <c r="AB392" s="610"/>
      <c r="AC392" s="611"/>
      <c r="AD392" s="606"/>
      <c r="AE392" s="606"/>
      <c r="AF392" s="606"/>
      <c r="AG392" s="606"/>
    </row>
    <row r="393" spans="1:33" s="612" customFormat="1" hidden="1" outlineLevel="3" x14ac:dyDescent="0.2">
      <c r="A393" s="606"/>
      <c r="B393" s="606"/>
      <c r="C393" s="607"/>
      <c r="D393" s="608"/>
      <c r="E393" s="608"/>
      <c r="F393" s="608"/>
      <c r="G393" s="608"/>
      <c r="H393" s="609"/>
      <c r="I393" s="610"/>
      <c r="J393" s="610"/>
      <c r="K393" s="610"/>
      <c r="L393" s="610"/>
      <c r="M393" s="610"/>
      <c r="N393" s="610"/>
      <c r="O393" s="610"/>
      <c r="P393" s="610"/>
      <c r="Q393" s="610"/>
      <c r="R393" s="610"/>
      <c r="S393" s="610"/>
      <c r="T393" s="610"/>
      <c r="U393" s="610"/>
      <c r="V393" s="610"/>
      <c r="W393" s="610"/>
      <c r="X393" s="610"/>
      <c r="Y393" s="610"/>
      <c r="Z393" s="610"/>
      <c r="AA393" s="610"/>
      <c r="AB393" s="610"/>
      <c r="AC393" s="611"/>
      <c r="AD393" s="606"/>
      <c r="AE393" s="606"/>
      <c r="AF393" s="606"/>
      <c r="AG393" s="606"/>
    </row>
    <row r="394" spans="1:33" s="612" customFormat="1" hidden="1" outlineLevel="3" x14ac:dyDescent="0.2">
      <c r="A394" s="606"/>
      <c r="B394" s="606"/>
      <c r="C394" s="607"/>
      <c r="D394" s="608"/>
      <c r="E394" s="608"/>
      <c r="F394" s="608"/>
      <c r="G394" s="608"/>
      <c r="H394" s="609"/>
      <c r="I394" s="610"/>
      <c r="J394" s="610"/>
      <c r="K394" s="610"/>
      <c r="L394" s="610"/>
      <c r="M394" s="610"/>
      <c r="N394" s="610"/>
      <c r="O394" s="610"/>
      <c r="P394" s="610"/>
      <c r="Q394" s="610"/>
      <c r="R394" s="610"/>
      <c r="S394" s="610"/>
      <c r="T394" s="610"/>
      <c r="U394" s="610"/>
      <c r="V394" s="610"/>
      <c r="W394" s="610"/>
      <c r="X394" s="610"/>
      <c r="Y394" s="610"/>
      <c r="Z394" s="610"/>
      <c r="AA394" s="610"/>
      <c r="AB394" s="610"/>
      <c r="AC394" s="611"/>
      <c r="AD394" s="606"/>
      <c r="AE394" s="606"/>
      <c r="AF394" s="606"/>
      <c r="AG394" s="606"/>
    </row>
    <row r="395" spans="1:33" s="612" customFormat="1" hidden="1" outlineLevel="3" x14ac:dyDescent="0.2">
      <c r="A395" s="606"/>
      <c r="B395" s="606"/>
      <c r="C395" s="607"/>
      <c r="D395" s="608"/>
      <c r="E395" s="608"/>
      <c r="F395" s="608"/>
      <c r="G395" s="608"/>
      <c r="H395" s="609"/>
      <c r="I395" s="610"/>
      <c r="J395" s="610"/>
      <c r="K395" s="610"/>
      <c r="L395" s="610"/>
      <c r="M395" s="610"/>
      <c r="N395" s="610"/>
      <c r="O395" s="610"/>
      <c r="P395" s="610"/>
      <c r="Q395" s="610"/>
      <c r="R395" s="610"/>
      <c r="S395" s="610"/>
      <c r="T395" s="610"/>
      <c r="U395" s="610"/>
      <c r="V395" s="610"/>
      <c r="W395" s="610"/>
      <c r="X395" s="610"/>
      <c r="Y395" s="610"/>
      <c r="Z395" s="610"/>
      <c r="AA395" s="610"/>
      <c r="AB395" s="610"/>
      <c r="AC395" s="611"/>
      <c r="AD395" s="606"/>
      <c r="AE395" s="606"/>
      <c r="AF395" s="606"/>
      <c r="AG395" s="606"/>
    </row>
    <row r="396" spans="1:33" s="612" customFormat="1" hidden="1" outlineLevel="3" x14ac:dyDescent="0.2">
      <c r="A396" s="606"/>
      <c r="B396" s="606"/>
      <c r="C396" s="607"/>
      <c r="D396" s="608"/>
      <c r="E396" s="608"/>
      <c r="F396" s="608"/>
      <c r="G396" s="608"/>
      <c r="H396" s="609"/>
      <c r="I396" s="610"/>
      <c r="J396" s="610"/>
      <c r="K396" s="610"/>
      <c r="L396" s="610"/>
      <c r="M396" s="610"/>
      <c r="N396" s="610"/>
      <c r="O396" s="610"/>
      <c r="P396" s="610"/>
      <c r="Q396" s="610"/>
      <c r="R396" s="610"/>
      <c r="S396" s="610"/>
      <c r="T396" s="610"/>
      <c r="U396" s="610"/>
      <c r="V396" s="610"/>
      <c r="W396" s="610"/>
      <c r="X396" s="610"/>
      <c r="Y396" s="610"/>
      <c r="Z396" s="610"/>
      <c r="AA396" s="610"/>
      <c r="AB396" s="610"/>
      <c r="AC396" s="611"/>
      <c r="AD396" s="606"/>
      <c r="AE396" s="606"/>
      <c r="AF396" s="606"/>
      <c r="AG396" s="606"/>
    </row>
    <row r="397" spans="1:33" s="612" customFormat="1" hidden="1" outlineLevel="3" x14ac:dyDescent="0.2">
      <c r="A397" s="606"/>
      <c r="B397" s="606"/>
      <c r="C397" s="607"/>
      <c r="D397" s="608"/>
      <c r="E397" s="608"/>
      <c r="F397" s="608"/>
      <c r="G397" s="608"/>
      <c r="H397" s="609"/>
      <c r="I397" s="610"/>
      <c r="J397" s="610"/>
      <c r="K397" s="610"/>
      <c r="L397" s="610"/>
      <c r="M397" s="610"/>
      <c r="N397" s="610"/>
      <c r="O397" s="610"/>
      <c r="P397" s="610"/>
      <c r="Q397" s="610"/>
      <c r="R397" s="610"/>
      <c r="S397" s="610"/>
      <c r="T397" s="610"/>
      <c r="U397" s="610"/>
      <c r="V397" s="610"/>
      <c r="W397" s="610"/>
      <c r="X397" s="610"/>
      <c r="Y397" s="610"/>
      <c r="Z397" s="610"/>
      <c r="AA397" s="610"/>
      <c r="AB397" s="610"/>
      <c r="AC397" s="611"/>
      <c r="AD397" s="606"/>
      <c r="AE397" s="606"/>
      <c r="AF397" s="606"/>
      <c r="AG397" s="606"/>
    </row>
    <row r="398" spans="1:33" s="612" customFormat="1" hidden="1" outlineLevel="3" x14ac:dyDescent="0.2">
      <c r="A398" s="606"/>
      <c r="B398" s="606"/>
      <c r="C398" s="607"/>
      <c r="D398" s="608"/>
      <c r="E398" s="608"/>
      <c r="F398" s="608"/>
      <c r="G398" s="608"/>
      <c r="H398" s="609"/>
      <c r="I398" s="610"/>
      <c r="J398" s="610"/>
      <c r="K398" s="610"/>
      <c r="L398" s="610"/>
      <c r="M398" s="610"/>
      <c r="N398" s="610"/>
      <c r="O398" s="610"/>
      <c r="P398" s="610"/>
      <c r="Q398" s="610"/>
      <c r="R398" s="610"/>
      <c r="S398" s="610"/>
      <c r="T398" s="610"/>
      <c r="U398" s="610"/>
      <c r="V398" s="610"/>
      <c r="W398" s="610"/>
      <c r="X398" s="610"/>
      <c r="Y398" s="610"/>
      <c r="Z398" s="610"/>
      <c r="AA398" s="610"/>
      <c r="AB398" s="610"/>
      <c r="AC398" s="611"/>
      <c r="AD398" s="606"/>
      <c r="AE398" s="606"/>
      <c r="AF398" s="606"/>
      <c r="AG398" s="606"/>
    </row>
    <row r="399" spans="1:33" s="612" customFormat="1" hidden="1" outlineLevel="3" x14ac:dyDescent="0.2">
      <c r="A399" s="606"/>
      <c r="B399" s="606"/>
      <c r="C399" s="607"/>
      <c r="D399" s="608"/>
      <c r="E399" s="608"/>
      <c r="F399" s="608"/>
      <c r="G399" s="608"/>
      <c r="H399" s="609"/>
      <c r="I399" s="610"/>
      <c r="J399" s="610"/>
      <c r="K399" s="610"/>
      <c r="L399" s="610"/>
      <c r="M399" s="610"/>
      <c r="N399" s="610"/>
      <c r="O399" s="610"/>
      <c r="P399" s="610"/>
      <c r="Q399" s="610"/>
      <c r="R399" s="610"/>
      <c r="S399" s="610"/>
      <c r="T399" s="610"/>
      <c r="U399" s="610"/>
      <c r="V399" s="610"/>
      <c r="W399" s="610"/>
      <c r="X399" s="610"/>
      <c r="Y399" s="610"/>
      <c r="Z399" s="610"/>
      <c r="AA399" s="610"/>
      <c r="AB399" s="610"/>
      <c r="AC399" s="611"/>
      <c r="AD399" s="606"/>
      <c r="AE399" s="606"/>
      <c r="AF399" s="606"/>
      <c r="AG399" s="606"/>
    </row>
    <row r="400" spans="1:33" s="612" customFormat="1" hidden="1" outlineLevel="3" x14ac:dyDescent="0.2">
      <c r="A400" s="606"/>
      <c r="B400" s="606"/>
      <c r="C400" s="607"/>
      <c r="D400" s="608"/>
      <c r="E400" s="608"/>
      <c r="F400" s="608"/>
      <c r="G400" s="608"/>
      <c r="H400" s="609"/>
      <c r="I400" s="610"/>
      <c r="J400" s="610"/>
      <c r="K400" s="610"/>
      <c r="L400" s="610"/>
      <c r="M400" s="610"/>
      <c r="N400" s="610"/>
      <c r="O400" s="610"/>
      <c r="P400" s="610"/>
      <c r="Q400" s="610"/>
      <c r="R400" s="610"/>
      <c r="S400" s="610"/>
      <c r="T400" s="610"/>
      <c r="U400" s="610"/>
      <c r="V400" s="610"/>
      <c r="W400" s="610"/>
      <c r="X400" s="610"/>
      <c r="Y400" s="610"/>
      <c r="Z400" s="610"/>
      <c r="AA400" s="610"/>
      <c r="AB400" s="610"/>
      <c r="AC400" s="611"/>
      <c r="AD400" s="606"/>
      <c r="AE400" s="606"/>
      <c r="AF400" s="606"/>
      <c r="AG400" s="606"/>
    </row>
    <row r="401" spans="1:33" s="612" customFormat="1" hidden="1" outlineLevel="3" x14ac:dyDescent="0.2">
      <c r="A401" s="606"/>
      <c r="B401" s="606"/>
      <c r="C401" s="607"/>
      <c r="D401" s="608"/>
      <c r="E401" s="608"/>
      <c r="F401" s="608"/>
      <c r="G401" s="608"/>
      <c r="H401" s="609"/>
      <c r="I401" s="610"/>
      <c r="J401" s="610"/>
      <c r="K401" s="610"/>
      <c r="L401" s="610"/>
      <c r="M401" s="610"/>
      <c r="N401" s="610"/>
      <c r="O401" s="610"/>
      <c r="P401" s="610"/>
      <c r="Q401" s="610"/>
      <c r="R401" s="610"/>
      <c r="S401" s="610"/>
      <c r="T401" s="610"/>
      <c r="U401" s="610"/>
      <c r="V401" s="610"/>
      <c r="W401" s="610"/>
      <c r="X401" s="610"/>
      <c r="Y401" s="610"/>
      <c r="Z401" s="610"/>
      <c r="AA401" s="610"/>
      <c r="AB401" s="610"/>
      <c r="AC401" s="611"/>
      <c r="AD401" s="606"/>
      <c r="AE401" s="606"/>
      <c r="AF401" s="606"/>
      <c r="AG401" s="606"/>
    </row>
    <row r="402" spans="1:33" s="612" customFormat="1" hidden="1" outlineLevel="3" x14ac:dyDescent="0.2">
      <c r="A402" s="606"/>
      <c r="B402" s="606"/>
      <c r="C402" s="607"/>
      <c r="D402" s="608"/>
      <c r="E402" s="608"/>
      <c r="F402" s="608"/>
      <c r="G402" s="608"/>
      <c r="H402" s="609"/>
      <c r="I402" s="610"/>
      <c r="J402" s="610"/>
      <c r="K402" s="610"/>
      <c r="L402" s="610"/>
      <c r="M402" s="610"/>
      <c r="N402" s="610"/>
      <c r="O402" s="610"/>
      <c r="P402" s="610"/>
      <c r="Q402" s="610"/>
      <c r="R402" s="610"/>
      <c r="S402" s="610"/>
      <c r="T402" s="610"/>
      <c r="U402" s="610"/>
      <c r="V402" s="610"/>
      <c r="W402" s="610"/>
      <c r="X402" s="610"/>
      <c r="Y402" s="610"/>
      <c r="Z402" s="610"/>
      <c r="AA402" s="610"/>
      <c r="AB402" s="610"/>
      <c r="AC402" s="611"/>
      <c r="AD402" s="606"/>
      <c r="AE402" s="606"/>
      <c r="AF402" s="606"/>
      <c r="AG402" s="606"/>
    </row>
    <row r="403" spans="1:33" s="612" customFormat="1" hidden="1" outlineLevel="3" x14ac:dyDescent="0.2">
      <c r="A403" s="606"/>
      <c r="B403" s="606"/>
      <c r="C403" s="607"/>
      <c r="D403" s="608"/>
      <c r="E403" s="608"/>
      <c r="F403" s="608"/>
      <c r="G403" s="608"/>
      <c r="H403" s="609"/>
      <c r="I403" s="610"/>
      <c r="J403" s="610"/>
      <c r="K403" s="610"/>
      <c r="L403" s="610"/>
      <c r="M403" s="610"/>
      <c r="N403" s="610"/>
      <c r="O403" s="610"/>
      <c r="P403" s="610"/>
      <c r="Q403" s="610"/>
      <c r="R403" s="610"/>
      <c r="S403" s="610"/>
      <c r="T403" s="610"/>
      <c r="U403" s="610"/>
      <c r="V403" s="610"/>
      <c r="W403" s="610"/>
      <c r="X403" s="610"/>
      <c r="Y403" s="610"/>
      <c r="Z403" s="610"/>
      <c r="AA403" s="610"/>
      <c r="AB403" s="610"/>
      <c r="AC403" s="611"/>
      <c r="AD403" s="606"/>
      <c r="AE403" s="606"/>
      <c r="AF403" s="606"/>
      <c r="AG403" s="606"/>
    </row>
    <row r="404" spans="1:33" s="612" customFormat="1" hidden="1" outlineLevel="3" x14ac:dyDescent="0.2">
      <c r="A404" s="606"/>
      <c r="B404" s="606"/>
      <c r="C404" s="607"/>
      <c r="D404" s="608"/>
      <c r="E404" s="608"/>
      <c r="F404" s="608"/>
      <c r="G404" s="608"/>
      <c r="H404" s="609"/>
      <c r="I404" s="610"/>
      <c r="J404" s="610"/>
      <c r="K404" s="610"/>
      <c r="L404" s="610"/>
      <c r="M404" s="610"/>
      <c r="N404" s="610"/>
      <c r="O404" s="610"/>
      <c r="P404" s="610"/>
      <c r="Q404" s="610"/>
      <c r="R404" s="610"/>
      <c r="S404" s="610"/>
      <c r="T404" s="610"/>
      <c r="U404" s="610"/>
      <c r="V404" s="610"/>
      <c r="W404" s="610"/>
      <c r="X404" s="610"/>
      <c r="Y404" s="610"/>
      <c r="Z404" s="610"/>
      <c r="AA404" s="610"/>
      <c r="AB404" s="610"/>
      <c r="AC404" s="611"/>
      <c r="AD404" s="606"/>
      <c r="AE404" s="606"/>
      <c r="AF404" s="606"/>
      <c r="AG404" s="606"/>
    </row>
    <row r="405" spans="1:33" s="612" customFormat="1" hidden="1" outlineLevel="3" x14ac:dyDescent="0.2">
      <c r="A405" s="606"/>
      <c r="B405" s="606"/>
      <c r="C405" s="607"/>
      <c r="D405" s="608"/>
      <c r="E405" s="608"/>
      <c r="F405" s="608"/>
      <c r="G405" s="608"/>
      <c r="H405" s="609"/>
      <c r="I405" s="610"/>
      <c r="J405" s="610"/>
      <c r="K405" s="610"/>
      <c r="L405" s="610"/>
      <c r="M405" s="610"/>
      <c r="N405" s="610"/>
      <c r="O405" s="610"/>
      <c r="P405" s="610"/>
      <c r="Q405" s="610"/>
      <c r="R405" s="610"/>
      <c r="S405" s="610"/>
      <c r="T405" s="610"/>
      <c r="U405" s="610"/>
      <c r="V405" s="610"/>
      <c r="W405" s="610"/>
      <c r="X405" s="610"/>
      <c r="Y405" s="610"/>
      <c r="Z405" s="610"/>
      <c r="AA405" s="610"/>
      <c r="AB405" s="610"/>
      <c r="AC405" s="611"/>
      <c r="AD405" s="606"/>
      <c r="AE405" s="606"/>
      <c r="AF405" s="606"/>
      <c r="AG405" s="606"/>
    </row>
    <row r="406" spans="1:33" s="612" customFormat="1" hidden="1" outlineLevel="3" x14ac:dyDescent="0.2">
      <c r="A406" s="606"/>
      <c r="B406" s="606"/>
      <c r="C406" s="607"/>
      <c r="D406" s="608"/>
      <c r="E406" s="608"/>
      <c r="F406" s="608"/>
      <c r="G406" s="608"/>
      <c r="H406" s="609"/>
      <c r="I406" s="610"/>
      <c r="J406" s="610"/>
      <c r="K406" s="610"/>
      <c r="L406" s="610"/>
      <c r="M406" s="610"/>
      <c r="N406" s="610"/>
      <c r="O406" s="610"/>
      <c r="P406" s="610"/>
      <c r="Q406" s="610"/>
      <c r="R406" s="610"/>
      <c r="S406" s="610"/>
      <c r="T406" s="610"/>
      <c r="U406" s="610"/>
      <c r="V406" s="610"/>
      <c r="W406" s="610"/>
      <c r="X406" s="610"/>
      <c r="Y406" s="610"/>
      <c r="Z406" s="610"/>
      <c r="AA406" s="610"/>
      <c r="AB406" s="610"/>
      <c r="AC406" s="611"/>
      <c r="AD406" s="606"/>
      <c r="AE406" s="606"/>
      <c r="AF406" s="606"/>
      <c r="AG406" s="606"/>
    </row>
    <row r="407" spans="1:33" s="612" customFormat="1" hidden="1" outlineLevel="3" x14ac:dyDescent="0.2">
      <c r="A407" s="606"/>
      <c r="B407" s="606"/>
      <c r="C407" s="607"/>
      <c r="D407" s="608"/>
      <c r="E407" s="608"/>
      <c r="F407" s="608"/>
      <c r="G407" s="608"/>
      <c r="H407" s="609"/>
      <c r="I407" s="610"/>
      <c r="J407" s="610"/>
      <c r="K407" s="610"/>
      <c r="L407" s="610"/>
      <c r="M407" s="610"/>
      <c r="N407" s="610"/>
      <c r="O407" s="610"/>
      <c r="P407" s="610"/>
      <c r="Q407" s="610"/>
      <c r="R407" s="610"/>
      <c r="S407" s="610"/>
      <c r="T407" s="610"/>
      <c r="U407" s="610"/>
      <c r="V407" s="610"/>
      <c r="W407" s="610"/>
      <c r="X407" s="610"/>
      <c r="Y407" s="610"/>
      <c r="Z407" s="610"/>
      <c r="AA407" s="610"/>
      <c r="AB407" s="610"/>
      <c r="AC407" s="611"/>
      <c r="AD407" s="606"/>
      <c r="AE407" s="606"/>
      <c r="AF407" s="606"/>
      <c r="AG407" s="606"/>
    </row>
    <row r="408" spans="1:33" s="612" customFormat="1" hidden="1" outlineLevel="3" x14ac:dyDescent="0.2">
      <c r="A408" s="606"/>
      <c r="B408" s="606"/>
      <c r="C408" s="607"/>
      <c r="D408" s="608"/>
      <c r="E408" s="608"/>
      <c r="F408" s="608"/>
      <c r="G408" s="608"/>
      <c r="H408" s="609"/>
      <c r="I408" s="610"/>
      <c r="J408" s="610"/>
      <c r="K408" s="610"/>
      <c r="L408" s="610"/>
      <c r="M408" s="610"/>
      <c r="N408" s="610"/>
      <c r="O408" s="610"/>
      <c r="P408" s="610"/>
      <c r="Q408" s="610"/>
      <c r="R408" s="610"/>
      <c r="S408" s="610"/>
      <c r="T408" s="610"/>
      <c r="U408" s="610"/>
      <c r="V408" s="610"/>
      <c r="W408" s="610"/>
      <c r="X408" s="610"/>
      <c r="Y408" s="610"/>
      <c r="Z408" s="610"/>
      <c r="AA408" s="610"/>
      <c r="AB408" s="610"/>
      <c r="AC408" s="611"/>
      <c r="AD408" s="606"/>
      <c r="AE408" s="606"/>
      <c r="AF408" s="606"/>
      <c r="AG408" s="606"/>
    </row>
    <row r="409" spans="1:33" s="612" customFormat="1" hidden="1" outlineLevel="3" x14ac:dyDescent="0.2">
      <c r="A409" s="606"/>
      <c r="B409" s="606"/>
      <c r="C409" s="607"/>
      <c r="D409" s="608"/>
      <c r="E409" s="608"/>
      <c r="F409" s="608"/>
      <c r="G409" s="608"/>
      <c r="H409" s="609"/>
      <c r="I409" s="610"/>
      <c r="J409" s="610"/>
      <c r="K409" s="610"/>
      <c r="L409" s="610"/>
      <c r="M409" s="610"/>
      <c r="N409" s="610"/>
      <c r="O409" s="610"/>
      <c r="P409" s="610"/>
      <c r="Q409" s="610"/>
      <c r="R409" s="610"/>
      <c r="S409" s="610"/>
      <c r="T409" s="610"/>
      <c r="U409" s="610"/>
      <c r="V409" s="610"/>
      <c r="W409" s="610"/>
      <c r="X409" s="610"/>
      <c r="Y409" s="610"/>
      <c r="Z409" s="610"/>
      <c r="AA409" s="610"/>
      <c r="AB409" s="610"/>
      <c r="AC409" s="611"/>
      <c r="AD409" s="606"/>
      <c r="AE409" s="606"/>
      <c r="AF409" s="606"/>
      <c r="AG409" s="606"/>
    </row>
    <row r="410" spans="1:33" s="612" customFormat="1" hidden="1" outlineLevel="3" x14ac:dyDescent="0.2">
      <c r="A410" s="606"/>
      <c r="B410" s="606"/>
      <c r="C410" s="607"/>
      <c r="D410" s="608"/>
      <c r="E410" s="608"/>
      <c r="F410" s="608"/>
      <c r="G410" s="608"/>
      <c r="H410" s="609"/>
      <c r="I410" s="610"/>
      <c r="J410" s="610"/>
      <c r="K410" s="610"/>
      <c r="L410" s="610"/>
      <c r="M410" s="610"/>
      <c r="N410" s="610"/>
      <c r="O410" s="610"/>
      <c r="P410" s="610"/>
      <c r="Q410" s="610"/>
      <c r="R410" s="610"/>
      <c r="S410" s="610"/>
      <c r="T410" s="610"/>
      <c r="U410" s="610"/>
      <c r="V410" s="610"/>
      <c r="W410" s="610"/>
      <c r="X410" s="610"/>
      <c r="Y410" s="610"/>
      <c r="Z410" s="610"/>
      <c r="AA410" s="610"/>
      <c r="AB410" s="610"/>
      <c r="AC410" s="611"/>
      <c r="AD410" s="606"/>
      <c r="AE410" s="606"/>
      <c r="AF410" s="606"/>
      <c r="AG410" s="606"/>
    </row>
    <row r="411" spans="1:33" s="612" customFormat="1" hidden="1" outlineLevel="3" x14ac:dyDescent="0.2">
      <c r="A411" s="606"/>
      <c r="B411" s="606"/>
      <c r="C411" s="607"/>
      <c r="D411" s="608"/>
      <c r="E411" s="608"/>
      <c r="F411" s="608"/>
      <c r="G411" s="608"/>
      <c r="H411" s="609"/>
      <c r="I411" s="610"/>
      <c r="J411" s="610"/>
      <c r="K411" s="610"/>
      <c r="L411" s="610"/>
      <c r="M411" s="610"/>
      <c r="N411" s="610"/>
      <c r="O411" s="610"/>
      <c r="P411" s="610"/>
      <c r="Q411" s="610"/>
      <c r="R411" s="610"/>
      <c r="S411" s="610"/>
      <c r="T411" s="610"/>
      <c r="U411" s="610"/>
      <c r="V411" s="610"/>
      <c r="W411" s="610"/>
      <c r="X411" s="610"/>
      <c r="Y411" s="610"/>
      <c r="Z411" s="610"/>
      <c r="AA411" s="610"/>
      <c r="AB411" s="610"/>
      <c r="AC411" s="611"/>
      <c r="AD411" s="606"/>
      <c r="AE411" s="606"/>
      <c r="AF411" s="606"/>
      <c r="AG411" s="606"/>
    </row>
    <row r="412" spans="1:33" s="612" customFormat="1" hidden="1" outlineLevel="3" x14ac:dyDescent="0.2">
      <c r="A412" s="606"/>
      <c r="B412" s="606"/>
      <c r="C412" s="607"/>
      <c r="D412" s="608"/>
      <c r="E412" s="608"/>
      <c r="F412" s="608"/>
      <c r="G412" s="608"/>
      <c r="H412" s="609"/>
      <c r="I412" s="610"/>
      <c r="J412" s="610"/>
      <c r="K412" s="610"/>
      <c r="L412" s="610"/>
      <c r="M412" s="610"/>
      <c r="N412" s="610"/>
      <c r="O412" s="610"/>
      <c r="P412" s="610"/>
      <c r="Q412" s="610"/>
      <c r="R412" s="610"/>
      <c r="S412" s="610"/>
      <c r="T412" s="610"/>
      <c r="U412" s="610"/>
      <c r="V412" s="610"/>
      <c r="W412" s="610"/>
      <c r="X412" s="610"/>
      <c r="Y412" s="610"/>
      <c r="Z412" s="610"/>
      <c r="AA412" s="610"/>
      <c r="AB412" s="610"/>
      <c r="AC412" s="611"/>
      <c r="AD412" s="606"/>
      <c r="AE412" s="606"/>
      <c r="AF412" s="606"/>
      <c r="AG412" s="606"/>
    </row>
    <row r="413" spans="1:33" s="612" customFormat="1" hidden="1" outlineLevel="3" x14ac:dyDescent="0.2">
      <c r="A413" s="606"/>
      <c r="B413" s="606"/>
      <c r="C413" s="607"/>
      <c r="D413" s="608"/>
      <c r="E413" s="608"/>
      <c r="F413" s="608"/>
      <c r="G413" s="608"/>
      <c r="H413" s="609"/>
      <c r="I413" s="610"/>
      <c r="J413" s="610"/>
      <c r="K413" s="610"/>
      <c r="L413" s="610"/>
      <c r="M413" s="610"/>
      <c r="N413" s="610"/>
      <c r="O413" s="610"/>
      <c r="P413" s="610"/>
      <c r="Q413" s="610"/>
      <c r="R413" s="610"/>
      <c r="S413" s="610"/>
      <c r="T413" s="610"/>
      <c r="U413" s="610"/>
      <c r="V413" s="610"/>
      <c r="W413" s="610"/>
      <c r="X413" s="610"/>
      <c r="Y413" s="610"/>
      <c r="Z413" s="610"/>
      <c r="AA413" s="610"/>
      <c r="AB413" s="610"/>
      <c r="AC413" s="611"/>
      <c r="AD413" s="606"/>
      <c r="AE413" s="606"/>
      <c r="AF413" s="606"/>
      <c r="AG413" s="606"/>
    </row>
    <row r="414" spans="1:33" s="612" customFormat="1" hidden="1" outlineLevel="3" x14ac:dyDescent="0.2">
      <c r="A414" s="606"/>
      <c r="B414" s="606"/>
      <c r="C414" s="607"/>
      <c r="D414" s="608"/>
      <c r="E414" s="608"/>
      <c r="F414" s="608"/>
      <c r="G414" s="608"/>
      <c r="H414" s="609"/>
      <c r="I414" s="610"/>
      <c r="J414" s="610"/>
      <c r="K414" s="610"/>
      <c r="L414" s="610"/>
      <c r="M414" s="610"/>
      <c r="N414" s="610"/>
      <c r="O414" s="610"/>
      <c r="P414" s="610"/>
      <c r="Q414" s="610"/>
      <c r="R414" s="610"/>
      <c r="S414" s="610"/>
      <c r="T414" s="610"/>
      <c r="U414" s="610"/>
      <c r="V414" s="610"/>
      <c r="W414" s="610"/>
      <c r="X414" s="610"/>
      <c r="Y414" s="610"/>
      <c r="Z414" s="610"/>
      <c r="AA414" s="610"/>
      <c r="AB414" s="610"/>
      <c r="AC414" s="611"/>
      <c r="AD414" s="606"/>
      <c r="AE414" s="606"/>
      <c r="AF414" s="606"/>
      <c r="AG414" s="606"/>
    </row>
    <row r="415" spans="1:33" s="612" customFormat="1" hidden="1" outlineLevel="3" x14ac:dyDescent="0.2">
      <c r="A415" s="606"/>
      <c r="B415" s="606"/>
      <c r="C415" s="607"/>
      <c r="D415" s="608"/>
      <c r="E415" s="608"/>
      <c r="F415" s="608"/>
      <c r="G415" s="608"/>
      <c r="H415" s="609"/>
      <c r="I415" s="610"/>
      <c r="J415" s="610"/>
      <c r="K415" s="610"/>
      <c r="L415" s="610"/>
      <c r="M415" s="610"/>
      <c r="N415" s="610"/>
      <c r="O415" s="610"/>
      <c r="P415" s="610"/>
      <c r="Q415" s="610"/>
      <c r="R415" s="610"/>
      <c r="S415" s="610"/>
      <c r="T415" s="610"/>
      <c r="U415" s="610"/>
      <c r="V415" s="610"/>
      <c r="W415" s="610"/>
      <c r="X415" s="610"/>
      <c r="Y415" s="610"/>
      <c r="Z415" s="610"/>
      <c r="AA415" s="610"/>
      <c r="AB415" s="610"/>
      <c r="AC415" s="611"/>
      <c r="AD415" s="606"/>
      <c r="AE415" s="606"/>
      <c r="AF415" s="606"/>
      <c r="AG415" s="606"/>
    </row>
    <row r="416" spans="1:33" s="612" customFormat="1" hidden="1" outlineLevel="3" x14ac:dyDescent="0.2">
      <c r="A416" s="606"/>
      <c r="B416" s="606"/>
      <c r="C416" s="607"/>
      <c r="D416" s="608"/>
      <c r="E416" s="608"/>
      <c r="F416" s="608"/>
      <c r="G416" s="608"/>
      <c r="H416" s="609"/>
      <c r="I416" s="610"/>
      <c r="J416" s="610"/>
      <c r="K416" s="610"/>
      <c r="L416" s="610"/>
      <c r="M416" s="610"/>
      <c r="N416" s="610"/>
      <c r="O416" s="610"/>
      <c r="P416" s="610"/>
      <c r="Q416" s="610"/>
      <c r="R416" s="610"/>
      <c r="S416" s="610"/>
      <c r="T416" s="610"/>
      <c r="U416" s="610"/>
      <c r="V416" s="610"/>
      <c r="W416" s="610"/>
      <c r="X416" s="610"/>
      <c r="Y416" s="610"/>
      <c r="Z416" s="610"/>
      <c r="AA416" s="610"/>
      <c r="AB416" s="610"/>
      <c r="AC416" s="611"/>
      <c r="AD416" s="606"/>
      <c r="AE416" s="606"/>
      <c r="AF416" s="606"/>
      <c r="AG416" s="606"/>
    </row>
    <row r="417" spans="1:33" s="612" customFormat="1" hidden="1" outlineLevel="3" x14ac:dyDescent="0.2">
      <c r="A417" s="606"/>
      <c r="B417" s="606"/>
      <c r="C417" s="607"/>
      <c r="D417" s="608"/>
      <c r="E417" s="608"/>
      <c r="F417" s="608"/>
      <c r="G417" s="608"/>
      <c r="H417" s="609"/>
      <c r="I417" s="610"/>
      <c r="J417" s="610"/>
      <c r="K417" s="610"/>
      <c r="L417" s="610"/>
      <c r="M417" s="610"/>
      <c r="N417" s="610"/>
      <c r="O417" s="610"/>
      <c r="P417" s="610"/>
      <c r="Q417" s="610"/>
      <c r="R417" s="610"/>
      <c r="S417" s="610"/>
      <c r="T417" s="610"/>
      <c r="U417" s="610"/>
      <c r="V417" s="610"/>
      <c r="W417" s="610"/>
      <c r="X417" s="610"/>
      <c r="Y417" s="610"/>
      <c r="Z417" s="610"/>
      <c r="AA417" s="610"/>
      <c r="AB417" s="610"/>
      <c r="AC417" s="611"/>
      <c r="AD417" s="606"/>
      <c r="AE417" s="606"/>
      <c r="AF417" s="606"/>
      <c r="AG417" s="606"/>
    </row>
    <row r="418" spans="1:33" s="612" customFormat="1" hidden="1" outlineLevel="3" x14ac:dyDescent="0.2">
      <c r="A418" s="606"/>
      <c r="B418" s="606"/>
      <c r="C418" s="607"/>
      <c r="D418" s="608"/>
      <c r="E418" s="608"/>
      <c r="F418" s="608"/>
      <c r="G418" s="608"/>
      <c r="H418" s="609"/>
      <c r="I418" s="610"/>
      <c r="J418" s="610"/>
      <c r="K418" s="610"/>
      <c r="L418" s="610"/>
      <c r="M418" s="610"/>
      <c r="N418" s="610"/>
      <c r="O418" s="610"/>
      <c r="P418" s="610"/>
      <c r="Q418" s="610"/>
      <c r="R418" s="610"/>
      <c r="S418" s="610"/>
      <c r="T418" s="610"/>
      <c r="U418" s="610"/>
      <c r="V418" s="610"/>
      <c r="W418" s="610"/>
      <c r="X418" s="610"/>
      <c r="Y418" s="610"/>
      <c r="Z418" s="610"/>
      <c r="AA418" s="610"/>
      <c r="AB418" s="610"/>
      <c r="AC418" s="611"/>
      <c r="AD418" s="606"/>
      <c r="AE418" s="606"/>
      <c r="AF418" s="606"/>
      <c r="AG418" s="606"/>
    </row>
    <row r="419" spans="1:33" s="612" customFormat="1" hidden="1" outlineLevel="3" x14ac:dyDescent="0.2">
      <c r="A419" s="606"/>
      <c r="B419" s="606"/>
      <c r="C419" s="607"/>
      <c r="D419" s="608"/>
      <c r="E419" s="608"/>
      <c r="F419" s="608"/>
      <c r="G419" s="608"/>
      <c r="H419" s="609"/>
      <c r="I419" s="610"/>
      <c r="J419" s="610"/>
      <c r="K419" s="610"/>
      <c r="L419" s="610"/>
      <c r="M419" s="610"/>
      <c r="N419" s="610"/>
      <c r="O419" s="610"/>
      <c r="P419" s="610"/>
      <c r="Q419" s="610"/>
      <c r="R419" s="610"/>
      <c r="S419" s="610"/>
      <c r="T419" s="610"/>
      <c r="U419" s="610"/>
      <c r="V419" s="610"/>
      <c r="W419" s="610"/>
      <c r="X419" s="610"/>
      <c r="Y419" s="610"/>
      <c r="Z419" s="610"/>
      <c r="AA419" s="610"/>
      <c r="AB419" s="610"/>
      <c r="AC419" s="611"/>
      <c r="AD419" s="606"/>
      <c r="AE419" s="606"/>
      <c r="AF419" s="606"/>
      <c r="AG419" s="606"/>
    </row>
    <row r="420" spans="1:33" s="612" customFormat="1" hidden="1" outlineLevel="3" x14ac:dyDescent="0.2">
      <c r="A420" s="606"/>
      <c r="B420" s="606"/>
      <c r="C420" s="607"/>
      <c r="D420" s="608"/>
      <c r="E420" s="608"/>
      <c r="F420" s="608"/>
      <c r="G420" s="608"/>
      <c r="H420" s="609"/>
      <c r="I420" s="610"/>
      <c r="J420" s="610"/>
      <c r="K420" s="610"/>
      <c r="L420" s="610"/>
      <c r="M420" s="610"/>
      <c r="N420" s="610"/>
      <c r="O420" s="610"/>
      <c r="P420" s="610"/>
      <c r="Q420" s="610"/>
      <c r="R420" s="610"/>
      <c r="S420" s="610"/>
      <c r="T420" s="610"/>
      <c r="U420" s="610"/>
      <c r="V420" s="610"/>
      <c r="W420" s="610"/>
      <c r="X420" s="610"/>
      <c r="Y420" s="610"/>
      <c r="Z420" s="610"/>
      <c r="AA420" s="610"/>
      <c r="AB420" s="610"/>
      <c r="AC420" s="611"/>
      <c r="AD420" s="606"/>
      <c r="AE420" s="606"/>
      <c r="AF420" s="606"/>
      <c r="AG420" s="606"/>
    </row>
    <row r="421" spans="1:33" s="612" customFormat="1" hidden="1" outlineLevel="3" x14ac:dyDescent="0.2">
      <c r="A421" s="606"/>
      <c r="B421" s="606"/>
      <c r="C421" s="607"/>
      <c r="D421" s="608"/>
      <c r="E421" s="608"/>
      <c r="F421" s="608"/>
      <c r="G421" s="608"/>
      <c r="H421" s="609"/>
      <c r="I421" s="610"/>
      <c r="J421" s="610"/>
      <c r="K421" s="610"/>
      <c r="L421" s="610"/>
      <c r="M421" s="610"/>
      <c r="N421" s="610"/>
      <c r="O421" s="610"/>
      <c r="P421" s="610"/>
      <c r="Q421" s="610"/>
      <c r="R421" s="610"/>
      <c r="S421" s="610"/>
      <c r="T421" s="610"/>
      <c r="U421" s="610"/>
      <c r="V421" s="610"/>
      <c r="W421" s="610"/>
      <c r="X421" s="610"/>
      <c r="Y421" s="610"/>
      <c r="Z421" s="610"/>
      <c r="AA421" s="610"/>
      <c r="AB421" s="610"/>
      <c r="AC421" s="611"/>
      <c r="AD421" s="606"/>
      <c r="AE421" s="606"/>
      <c r="AF421" s="606"/>
      <c r="AG421" s="606"/>
    </row>
    <row r="422" spans="1:33" s="612" customFormat="1" hidden="1" outlineLevel="3" x14ac:dyDescent="0.2">
      <c r="A422" s="606"/>
      <c r="B422" s="606"/>
      <c r="C422" s="607"/>
      <c r="D422" s="608"/>
      <c r="E422" s="608"/>
      <c r="F422" s="608"/>
      <c r="G422" s="608"/>
      <c r="H422" s="609"/>
      <c r="I422" s="610"/>
      <c r="J422" s="610"/>
      <c r="K422" s="610"/>
      <c r="L422" s="610"/>
      <c r="M422" s="610"/>
      <c r="N422" s="610"/>
      <c r="O422" s="610"/>
      <c r="P422" s="610"/>
      <c r="Q422" s="610"/>
      <c r="R422" s="610"/>
      <c r="S422" s="610"/>
      <c r="T422" s="610"/>
      <c r="U422" s="610"/>
      <c r="V422" s="610"/>
      <c r="W422" s="610"/>
      <c r="X422" s="610"/>
      <c r="Y422" s="610"/>
      <c r="Z422" s="610"/>
      <c r="AA422" s="610"/>
      <c r="AB422" s="610"/>
      <c r="AC422" s="611"/>
      <c r="AD422" s="606"/>
      <c r="AE422" s="606"/>
      <c r="AF422" s="606"/>
      <c r="AG422" s="606"/>
    </row>
    <row r="423" spans="1:33" s="612" customFormat="1" hidden="1" outlineLevel="3" x14ac:dyDescent="0.2">
      <c r="A423" s="606"/>
      <c r="B423" s="606"/>
      <c r="C423" s="607"/>
      <c r="D423" s="608"/>
      <c r="E423" s="608"/>
      <c r="F423" s="608"/>
      <c r="G423" s="608"/>
      <c r="H423" s="609"/>
      <c r="I423" s="610"/>
      <c r="J423" s="610"/>
      <c r="K423" s="610"/>
      <c r="L423" s="610"/>
      <c r="M423" s="610"/>
      <c r="N423" s="610"/>
      <c r="O423" s="610"/>
      <c r="P423" s="610"/>
      <c r="Q423" s="610"/>
      <c r="R423" s="610"/>
      <c r="S423" s="610"/>
      <c r="T423" s="610"/>
      <c r="U423" s="610"/>
      <c r="V423" s="610"/>
      <c r="W423" s="610"/>
      <c r="X423" s="610"/>
      <c r="Y423" s="610"/>
      <c r="Z423" s="610"/>
      <c r="AA423" s="610"/>
      <c r="AB423" s="610"/>
      <c r="AC423" s="611"/>
      <c r="AD423" s="606"/>
      <c r="AE423" s="606"/>
      <c r="AF423" s="606"/>
      <c r="AG423" s="606"/>
    </row>
    <row r="424" spans="1:33" s="612" customFormat="1" hidden="1" outlineLevel="3" x14ac:dyDescent="0.2">
      <c r="A424" s="606"/>
      <c r="B424" s="606"/>
      <c r="C424" s="607"/>
      <c r="D424" s="608"/>
      <c r="E424" s="608"/>
      <c r="F424" s="608"/>
      <c r="G424" s="608"/>
      <c r="H424" s="609"/>
      <c r="I424" s="610"/>
      <c r="J424" s="610"/>
      <c r="K424" s="610"/>
      <c r="L424" s="610"/>
      <c r="M424" s="610"/>
      <c r="N424" s="610"/>
      <c r="O424" s="610"/>
      <c r="P424" s="610"/>
      <c r="Q424" s="610"/>
      <c r="R424" s="610"/>
      <c r="S424" s="610"/>
      <c r="T424" s="610"/>
      <c r="U424" s="610"/>
      <c r="V424" s="610"/>
      <c r="W424" s="610"/>
      <c r="X424" s="610"/>
      <c r="Y424" s="610"/>
      <c r="Z424" s="610"/>
      <c r="AA424" s="610"/>
      <c r="AB424" s="610"/>
      <c r="AC424" s="611"/>
      <c r="AD424" s="606"/>
      <c r="AE424" s="606"/>
      <c r="AF424" s="606"/>
      <c r="AG424" s="606"/>
    </row>
    <row r="425" spans="1:33" s="612" customFormat="1" hidden="1" outlineLevel="3" x14ac:dyDescent="0.2">
      <c r="A425" s="606"/>
      <c r="B425" s="606"/>
      <c r="C425" s="607"/>
      <c r="D425" s="608"/>
      <c r="E425" s="608"/>
      <c r="F425" s="608"/>
      <c r="G425" s="608"/>
      <c r="H425" s="609"/>
      <c r="I425" s="610"/>
      <c r="J425" s="610"/>
      <c r="K425" s="610"/>
      <c r="L425" s="610"/>
      <c r="M425" s="610"/>
      <c r="N425" s="610"/>
      <c r="O425" s="610"/>
      <c r="P425" s="610"/>
      <c r="Q425" s="610"/>
      <c r="R425" s="610"/>
      <c r="S425" s="610"/>
      <c r="T425" s="610"/>
      <c r="U425" s="610"/>
      <c r="V425" s="610"/>
      <c r="W425" s="610"/>
      <c r="X425" s="610"/>
      <c r="Y425" s="610"/>
      <c r="Z425" s="610"/>
      <c r="AA425" s="610"/>
      <c r="AB425" s="610"/>
      <c r="AC425" s="611"/>
      <c r="AD425" s="606"/>
      <c r="AE425" s="606"/>
      <c r="AF425" s="606"/>
      <c r="AG425" s="606"/>
    </row>
    <row r="426" spans="1:33" s="612" customFormat="1" hidden="1" outlineLevel="3" x14ac:dyDescent="0.2">
      <c r="A426" s="606"/>
      <c r="B426" s="606"/>
      <c r="C426" s="607"/>
      <c r="D426" s="608"/>
      <c r="E426" s="608"/>
      <c r="F426" s="608"/>
      <c r="G426" s="608"/>
      <c r="H426" s="609"/>
      <c r="I426" s="610"/>
      <c r="J426" s="610"/>
      <c r="K426" s="610"/>
      <c r="L426" s="610"/>
      <c r="M426" s="610"/>
      <c r="N426" s="610"/>
      <c r="O426" s="610"/>
      <c r="P426" s="610"/>
      <c r="Q426" s="610"/>
      <c r="R426" s="610"/>
      <c r="S426" s="610"/>
      <c r="T426" s="610"/>
      <c r="U426" s="610"/>
      <c r="V426" s="610"/>
      <c r="W426" s="610"/>
      <c r="X426" s="610"/>
      <c r="Y426" s="610"/>
      <c r="Z426" s="610"/>
      <c r="AA426" s="610"/>
      <c r="AB426" s="610"/>
      <c r="AC426" s="611"/>
      <c r="AD426" s="606"/>
      <c r="AE426" s="606"/>
      <c r="AF426" s="606"/>
      <c r="AG426" s="606"/>
    </row>
    <row r="427" spans="1:33" s="612" customFormat="1" hidden="1" outlineLevel="3" x14ac:dyDescent="0.2">
      <c r="A427" s="606"/>
      <c r="B427" s="606"/>
      <c r="C427" s="607"/>
      <c r="D427" s="608"/>
      <c r="E427" s="608"/>
      <c r="F427" s="608"/>
      <c r="G427" s="608"/>
      <c r="H427" s="609"/>
      <c r="I427" s="610"/>
      <c r="J427" s="610"/>
      <c r="K427" s="610"/>
      <c r="L427" s="610"/>
      <c r="M427" s="610"/>
      <c r="N427" s="610"/>
      <c r="O427" s="610"/>
      <c r="P427" s="610"/>
      <c r="Q427" s="610"/>
      <c r="R427" s="610"/>
      <c r="S427" s="610"/>
      <c r="T427" s="610"/>
      <c r="U427" s="610"/>
      <c r="V427" s="610"/>
      <c r="W427" s="610"/>
      <c r="X427" s="610"/>
      <c r="Y427" s="610"/>
      <c r="Z427" s="610"/>
      <c r="AA427" s="610"/>
      <c r="AB427" s="610"/>
      <c r="AC427" s="611"/>
      <c r="AD427" s="606"/>
      <c r="AE427" s="606"/>
      <c r="AF427" s="606"/>
      <c r="AG427" s="606"/>
    </row>
    <row r="428" spans="1:33" s="612" customFormat="1" hidden="1" outlineLevel="3" x14ac:dyDescent="0.2">
      <c r="A428" s="606"/>
      <c r="B428" s="606"/>
      <c r="C428" s="607"/>
      <c r="D428" s="608"/>
      <c r="E428" s="608"/>
      <c r="F428" s="608"/>
      <c r="G428" s="608"/>
      <c r="H428" s="609"/>
      <c r="I428" s="610"/>
      <c r="J428" s="610"/>
      <c r="K428" s="610"/>
      <c r="L428" s="610"/>
      <c r="M428" s="610"/>
      <c r="N428" s="610"/>
      <c r="O428" s="610"/>
      <c r="P428" s="610"/>
      <c r="Q428" s="610"/>
      <c r="R428" s="610"/>
      <c r="S428" s="610"/>
      <c r="T428" s="610"/>
      <c r="U428" s="610"/>
      <c r="V428" s="610"/>
      <c r="W428" s="610"/>
      <c r="X428" s="610"/>
      <c r="Y428" s="610"/>
      <c r="Z428" s="610"/>
      <c r="AA428" s="610"/>
      <c r="AB428" s="610"/>
      <c r="AC428" s="611"/>
      <c r="AD428" s="606"/>
      <c r="AE428" s="606"/>
      <c r="AF428" s="606"/>
      <c r="AG428" s="606"/>
    </row>
    <row r="429" spans="1:33" s="612" customFormat="1" hidden="1" outlineLevel="3" x14ac:dyDescent="0.2">
      <c r="A429" s="606"/>
      <c r="B429" s="606"/>
      <c r="C429" s="607"/>
      <c r="D429" s="608"/>
      <c r="E429" s="608"/>
      <c r="F429" s="608"/>
      <c r="G429" s="608"/>
      <c r="H429" s="609"/>
      <c r="I429" s="610"/>
      <c r="J429" s="610"/>
      <c r="K429" s="610"/>
      <c r="L429" s="610"/>
      <c r="M429" s="610"/>
      <c r="N429" s="610"/>
      <c r="O429" s="610"/>
      <c r="P429" s="610"/>
      <c r="Q429" s="610"/>
      <c r="R429" s="610"/>
      <c r="S429" s="610"/>
      <c r="T429" s="610"/>
      <c r="U429" s="610"/>
      <c r="V429" s="610"/>
      <c r="W429" s="610"/>
      <c r="X429" s="610"/>
      <c r="Y429" s="610"/>
      <c r="Z429" s="610"/>
      <c r="AA429" s="610"/>
      <c r="AB429" s="610"/>
      <c r="AC429" s="611"/>
      <c r="AD429" s="606"/>
      <c r="AE429" s="606"/>
      <c r="AF429" s="606"/>
      <c r="AG429" s="606"/>
    </row>
    <row r="430" spans="1:33" s="612" customFormat="1" hidden="1" outlineLevel="3" x14ac:dyDescent="0.2">
      <c r="A430" s="606"/>
      <c r="B430" s="606"/>
      <c r="C430" s="607"/>
      <c r="D430" s="608"/>
      <c r="E430" s="608"/>
      <c r="F430" s="608"/>
      <c r="G430" s="608"/>
      <c r="H430" s="609"/>
      <c r="I430" s="610"/>
      <c r="J430" s="610"/>
      <c r="K430" s="610"/>
      <c r="L430" s="610"/>
      <c r="M430" s="610"/>
      <c r="N430" s="610"/>
      <c r="O430" s="610"/>
      <c r="P430" s="610"/>
      <c r="Q430" s="610"/>
      <c r="R430" s="610"/>
      <c r="S430" s="610"/>
      <c r="T430" s="610"/>
      <c r="U430" s="610"/>
      <c r="V430" s="610"/>
      <c r="W430" s="610"/>
      <c r="X430" s="610"/>
      <c r="Y430" s="610"/>
      <c r="Z430" s="610"/>
      <c r="AA430" s="610"/>
      <c r="AB430" s="610"/>
      <c r="AC430" s="611"/>
      <c r="AD430" s="606"/>
      <c r="AE430" s="606"/>
      <c r="AF430" s="606"/>
      <c r="AG430" s="606"/>
    </row>
    <row r="431" spans="1:33" s="612" customFormat="1" hidden="1" outlineLevel="3" x14ac:dyDescent="0.2">
      <c r="A431" s="606"/>
      <c r="B431" s="606"/>
      <c r="C431" s="607"/>
      <c r="D431" s="608"/>
      <c r="E431" s="608"/>
      <c r="F431" s="608"/>
      <c r="G431" s="608"/>
      <c r="H431" s="609"/>
      <c r="I431" s="610"/>
      <c r="J431" s="610"/>
      <c r="K431" s="610"/>
      <c r="L431" s="610"/>
      <c r="M431" s="610"/>
      <c r="N431" s="610"/>
      <c r="O431" s="610"/>
      <c r="P431" s="610"/>
      <c r="Q431" s="610"/>
      <c r="R431" s="610"/>
      <c r="S431" s="610"/>
      <c r="T431" s="610"/>
      <c r="U431" s="610"/>
      <c r="V431" s="610"/>
      <c r="W431" s="610"/>
      <c r="X431" s="610"/>
      <c r="Y431" s="610"/>
      <c r="Z431" s="610"/>
      <c r="AA431" s="610"/>
      <c r="AB431" s="610"/>
      <c r="AC431" s="611"/>
      <c r="AD431" s="606"/>
      <c r="AE431" s="606"/>
      <c r="AF431" s="606"/>
      <c r="AG431" s="606"/>
    </row>
    <row r="432" spans="1:33" s="612" customFormat="1" hidden="1" outlineLevel="3" x14ac:dyDescent="0.2">
      <c r="A432" s="606"/>
      <c r="B432" s="606"/>
      <c r="C432" s="607"/>
      <c r="D432" s="608"/>
      <c r="E432" s="608"/>
      <c r="F432" s="608"/>
      <c r="G432" s="608"/>
      <c r="H432" s="609"/>
      <c r="I432" s="610"/>
      <c r="J432" s="610"/>
      <c r="K432" s="610"/>
      <c r="L432" s="610"/>
      <c r="M432" s="610"/>
      <c r="N432" s="610"/>
      <c r="O432" s="610"/>
      <c r="P432" s="610"/>
      <c r="Q432" s="610"/>
      <c r="R432" s="610"/>
      <c r="S432" s="610"/>
      <c r="T432" s="610"/>
      <c r="U432" s="610"/>
      <c r="V432" s="610"/>
      <c r="W432" s="610"/>
      <c r="X432" s="610"/>
      <c r="Y432" s="610"/>
      <c r="Z432" s="610"/>
      <c r="AA432" s="610"/>
      <c r="AB432" s="610"/>
      <c r="AC432" s="611"/>
      <c r="AD432" s="606"/>
      <c r="AE432" s="606"/>
      <c r="AF432" s="606"/>
      <c r="AG432" s="606"/>
    </row>
    <row r="433" spans="1:33" s="612" customFormat="1" hidden="1" outlineLevel="3" x14ac:dyDescent="0.2">
      <c r="A433" s="606"/>
      <c r="B433" s="606"/>
      <c r="C433" s="607"/>
      <c r="D433" s="608"/>
      <c r="E433" s="608"/>
      <c r="F433" s="608"/>
      <c r="G433" s="608"/>
      <c r="H433" s="609"/>
      <c r="I433" s="610"/>
      <c r="J433" s="610"/>
      <c r="K433" s="610"/>
      <c r="L433" s="610"/>
      <c r="M433" s="610"/>
      <c r="N433" s="610"/>
      <c r="O433" s="610"/>
      <c r="P433" s="610"/>
      <c r="Q433" s="610"/>
      <c r="R433" s="610"/>
      <c r="S433" s="610"/>
      <c r="T433" s="610"/>
      <c r="U433" s="610"/>
      <c r="V433" s="610"/>
      <c r="W433" s="610"/>
      <c r="X433" s="610"/>
      <c r="Y433" s="610"/>
      <c r="Z433" s="610"/>
      <c r="AA433" s="610"/>
      <c r="AB433" s="610"/>
      <c r="AC433" s="611"/>
      <c r="AD433" s="606"/>
      <c r="AE433" s="606"/>
      <c r="AF433" s="606"/>
      <c r="AG433" s="606"/>
    </row>
    <row r="434" spans="1:33" s="612" customFormat="1" outlineLevel="2" collapsed="1" x14ac:dyDescent="0.2">
      <c r="A434" s="606"/>
      <c r="B434" s="606"/>
      <c r="C434" s="613"/>
      <c r="D434" s="609"/>
      <c r="E434" s="609"/>
      <c r="F434" s="609"/>
      <c r="G434" s="609"/>
      <c r="H434" s="609"/>
      <c r="I434" s="614"/>
      <c r="J434" s="614"/>
      <c r="K434" s="611"/>
      <c r="L434" s="611"/>
      <c r="M434" s="611"/>
      <c r="N434" s="615"/>
      <c r="O434" s="615"/>
      <c r="P434" s="615"/>
      <c r="Q434" s="615"/>
      <c r="R434" s="615"/>
      <c r="S434" s="611"/>
      <c r="T434" s="611"/>
      <c r="U434" s="611"/>
      <c r="V434" s="611"/>
      <c r="W434" s="611"/>
      <c r="X434" s="611"/>
      <c r="Y434" s="611"/>
      <c r="Z434" s="611"/>
      <c r="AA434" s="611"/>
      <c r="AB434" s="611"/>
      <c r="AC434" s="611"/>
      <c r="AD434" s="606"/>
      <c r="AE434" s="606"/>
      <c r="AF434" s="606"/>
      <c r="AG434" s="606"/>
    </row>
    <row r="435" spans="1:33" s="612" customFormat="1" outlineLevel="1" x14ac:dyDescent="0.2">
      <c r="A435" s="606"/>
      <c r="B435" s="606"/>
      <c r="C435" s="613"/>
      <c r="D435" s="609"/>
      <c r="E435" s="609"/>
      <c r="F435" s="609"/>
      <c r="G435" s="609"/>
      <c r="H435" s="609"/>
      <c r="I435" s="614"/>
      <c r="J435" s="614"/>
      <c r="K435" s="611"/>
      <c r="L435" s="611"/>
      <c r="M435" s="611"/>
      <c r="N435" s="615"/>
      <c r="O435" s="615"/>
      <c r="P435" s="615"/>
      <c r="Q435" s="615"/>
      <c r="R435" s="615"/>
      <c r="S435" s="611"/>
      <c r="T435" s="611"/>
      <c r="U435" s="611"/>
      <c r="V435" s="611"/>
      <c r="W435" s="611"/>
      <c r="X435" s="611"/>
      <c r="Y435" s="611"/>
      <c r="Z435" s="611"/>
      <c r="AA435" s="611"/>
      <c r="AB435" s="611"/>
      <c r="AC435" s="611"/>
      <c r="AD435" s="606"/>
      <c r="AE435" s="606"/>
      <c r="AF435" s="606"/>
      <c r="AG435" s="606"/>
    </row>
    <row r="436" spans="1:33" s="612" customFormat="1" outlineLevel="1" x14ac:dyDescent="0.2">
      <c r="A436" s="606"/>
      <c r="B436" s="606"/>
      <c r="C436" s="616"/>
      <c r="D436" s="617"/>
      <c r="E436" s="617"/>
      <c r="F436" s="617"/>
      <c r="G436" s="618"/>
      <c r="H436" s="618"/>
      <c r="I436" s="618"/>
      <c r="J436" s="618"/>
      <c r="K436" s="618"/>
      <c r="L436" s="618"/>
      <c r="M436" s="618"/>
      <c r="N436" s="618"/>
      <c r="O436" s="618"/>
      <c r="P436" s="618"/>
      <c r="Q436" s="618"/>
      <c r="R436" s="618"/>
      <c r="S436" s="618"/>
      <c r="T436" s="618"/>
      <c r="U436" s="618"/>
      <c r="V436" s="618"/>
      <c r="W436" s="618"/>
      <c r="X436" s="618"/>
      <c r="Y436" s="618"/>
      <c r="Z436" s="618"/>
      <c r="AA436" s="618"/>
      <c r="AB436" s="618"/>
      <c r="AC436" s="618"/>
      <c r="AD436" s="606"/>
      <c r="AE436" s="606"/>
      <c r="AF436" s="606"/>
      <c r="AG436" s="606"/>
    </row>
    <row r="437" spans="1:33" s="612" customFormat="1" outlineLevel="2" x14ac:dyDescent="0.2">
      <c r="A437" s="606"/>
      <c r="B437" s="606"/>
      <c r="C437" s="607"/>
      <c r="D437" s="608"/>
      <c r="E437" s="608"/>
      <c r="F437" s="608"/>
      <c r="G437" s="608"/>
      <c r="H437" s="609"/>
      <c r="I437" s="610"/>
      <c r="J437" s="610"/>
      <c r="K437" s="610"/>
      <c r="L437" s="610"/>
      <c r="M437" s="610"/>
      <c r="N437" s="610"/>
      <c r="O437" s="610"/>
      <c r="P437" s="610"/>
      <c r="Q437" s="610"/>
      <c r="R437" s="610"/>
      <c r="S437" s="610"/>
      <c r="T437" s="610"/>
      <c r="U437" s="610"/>
      <c r="V437" s="610"/>
      <c r="W437" s="610"/>
      <c r="X437" s="610"/>
      <c r="Y437" s="610"/>
      <c r="Z437" s="610"/>
      <c r="AA437" s="610"/>
      <c r="AB437" s="610"/>
      <c r="AC437" s="611"/>
      <c r="AD437" s="606"/>
      <c r="AE437" s="606"/>
      <c r="AF437" s="606"/>
      <c r="AG437" s="606"/>
    </row>
    <row r="438" spans="1:33" s="612" customFormat="1" outlineLevel="2" x14ac:dyDescent="0.2">
      <c r="A438" s="606"/>
      <c r="B438" s="606"/>
      <c r="C438" s="607"/>
      <c r="D438" s="608"/>
      <c r="E438" s="608"/>
      <c r="F438" s="608"/>
      <c r="G438" s="608"/>
      <c r="H438" s="609"/>
      <c r="I438" s="610"/>
      <c r="J438" s="610"/>
      <c r="K438" s="610"/>
      <c r="L438" s="610"/>
      <c r="M438" s="610"/>
      <c r="N438" s="610"/>
      <c r="O438" s="610"/>
      <c r="P438" s="610"/>
      <c r="Q438" s="610"/>
      <c r="R438" s="610"/>
      <c r="S438" s="610"/>
      <c r="T438" s="610"/>
      <c r="U438" s="610"/>
      <c r="V438" s="610"/>
      <c r="W438" s="610"/>
      <c r="X438" s="610"/>
      <c r="Y438" s="610"/>
      <c r="Z438" s="610"/>
      <c r="AA438" s="610"/>
      <c r="AB438" s="610"/>
      <c r="AC438" s="611"/>
      <c r="AD438" s="606"/>
      <c r="AE438" s="606"/>
      <c r="AF438" s="606"/>
      <c r="AG438" s="606"/>
    </row>
    <row r="439" spans="1:33" s="612" customFormat="1" outlineLevel="2" x14ac:dyDescent="0.2">
      <c r="A439" s="606"/>
      <c r="B439" s="606"/>
      <c r="C439" s="607"/>
      <c r="D439" s="608"/>
      <c r="E439" s="608"/>
      <c r="F439" s="608"/>
      <c r="G439" s="608"/>
      <c r="H439" s="609"/>
      <c r="I439" s="610"/>
      <c r="J439" s="610"/>
      <c r="K439" s="610"/>
      <c r="L439" s="610"/>
      <c r="M439" s="610"/>
      <c r="N439" s="610"/>
      <c r="O439" s="610"/>
      <c r="P439" s="610"/>
      <c r="Q439" s="610"/>
      <c r="R439" s="610"/>
      <c r="S439" s="610"/>
      <c r="T439" s="610"/>
      <c r="U439" s="610"/>
      <c r="V439" s="610"/>
      <c r="W439" s="610"/>
      <c r="X439" s="610"/>
      <c r="Y439" s="610"/>
      <c r="Z439" s="610"/>
      <c r="AA439" s="610"/>
      <c r="AB439" s="610"/>
      <c r="AC439" s="611"/>
      <c r="AD439" s="606"/>
      <c r="AE439" s="606"/>
      <c r="AF439" s="606"/>
      <c r="AG439" s="606"/>
    </row>
    <row r="440" spans="1:33" s="612" customFormat="1" outlineLevel="2" x14ac:dyDescent="0.2">
      <c r="A440" s="606"/>
      <c r="B440" s="606"/>
      <c r="C440" s="607"/>
      <c r="D440" s="608"/>
      <c r="E440" s="608"/>
      <c r="F440" s="608"/>
      <c r="G440" s="608"/>
      <c r="H440" s="609"/>
      <c r="I440" s="610"/>
      <c r="J440" s="610"/>
      <c r="K440" s="610"/>
      <c r="L440" s="610"/>
      <c r="M440" s="610"/>
      <c r="N440" s="610"/>
      <c r="O440" s="610"/>
      <c r="P440" s="610"/>
      <c r="Q440" s="610"/>
      <c r="R440" s="610"/>
      <c r="S440" s="610"/>
      <c r="T440" s="610"/>
      <c r="U440" s="610"/>
      <c r="V440" s="610"/>
      <c r="W440" s="610"/>
      <c r="X440" s="610"/>
      <c r="Y440" s="610"/>
      <c r="Z440" s="610"/>
      <c r="AA440" s="610"/>
      <c r="AB440" s="610"/>
      <c r="AC440" s="611"/>
      <c r="AD440" s="606"/>
      <c r="AE440" s="606"/>
      <c r="AF440" s="606"/>
      <c r="AG440" s="606"/>
    </row>
    <row r="441" spans="1:33" s="612" customFormat="1" outlineLevel="2" x14ac:dyDescent="0.2">
      <c r="A441" s="606"/>
      <c r="B441" s="606"/>
      <c r="C441" s="607"/>
      <c r="D441" s="608"/>
      <c r="E441" s="608"/>
      <c r="F441" s="608"/>
      <c r="G441" s="608"/>
      <c r="H441" s="609"/>
      <c r="I441" s="610"/>
      <c r="J441" s="610"/>
      <c r="K441" s="610"/>
      <c r="L441" s="610"/>
      <c r="M441" s="610"/>
      <c r="N441" s="610"/>
      <c r="O441" s="610"/>
      <c r="P441" s="610"/>
      <c r="Q441" s="610"/>
      <c r="R441" s="610"/>
      <c r="S441" s="610"/>
      <c r="T441" s="610"/>
      <c r="U441" s="610"/>
      <c r="V441" s="610"/>
      <c r="W441" s="610"/>
      <c r="X441" s="610"/>
      <c r="Y441" s="610"/>
      <c r="Z441" s="610"/>
      <c r="AA441" s="610"/>
      <c r="AB441" s="610"/>
      <c r="AC441" s="611"/>
      <c r="AD441" s="606"/>
      <c r="AE441" s="606"/>
      <c r="AF441" s="606"/>
      <c r="AG441" s="606"/>
    </row>
    <row r="442" spans="1:33" s="612" customFormat="1" outlineLevel="2" x14ac:dyDescent="0.2">
      <c r="A442" s="606"/>
      <c r="B442" s="606"/>
      <c r="C442" s="607"/>
      <c r="D442" s="608"/>
      <c r="E442" s="608"/>
      <c r="F442" s="608"/>
      <c r="G442" s="608"/>
      <c r="H442" s="609"/>
      <c r="I442" s="610"/>
      <c r="J442" s="610"/>
      <c r="K442" s="610"/>
      <c r="L442" s="610"/>
      <c r="M442" s="610"/>
      <c r="N442" s="610"/>
      <c r="O442" s="610"/>
      <c r="P442" s="610"/>
      <c r="Q442" s="610"/>
      <c r="R442" s="610"/>
      <c r="S442" s="610"/>
      <c r="T442" s="610"/>
      <c r="U442" s="610"/>
      <c r="V442" s="610"/>
      <c r="W442" s="610"/>
      <c r="X442" s="610"/>
      <c r="Y442" s="610"/>
      <c r="Z442" s="610"/>
      <c r="AA442" s="610"/>
      <c r="AB442" s="610"/>
      <c r="AC442" s="611"/>
      <c r="AD442" s="606"/>
      <c r="AE442" s="606"/>
      <c r="AF442" s="606"/>
      <c r="AG442" s="606"/>
    </row>
    <row r="443" spans="1:33" s="612" customFormat="1" outlineLevel="2" x14ac:dyDescent="0.2">
      <c r="A443" s="606"/>
      <c r="B443" s="606"/>
      <c r="C443" s="607"/>
      <c r="D443" s="608"/>
      <c r="E443" s="608"/>
      <c r="F443" s="608"/>
      <c r="G443" s="608"/>
      <c r="H443" s="609"/>
      <c r="I443" s="610"/>
      <c r="J443" s="610"/>
      <c r="K443" s="610"/>
      <c r="L443" s="610"/>
      <c r="M443" s="610"/>
      <c r="N443" s="610"/>
      <c r="O443" s="610"/>
      <c r="P443" s="610"/>
      <c r="Q443" s="610"/>
      <c r="R443" s="610"/>
      <c r="S443" s="610"/>
      <c r="T443" s="610"/>
      <c r="U443" s="610"/>
      <c r="V443" s="610"/>
      <c r="W443" s="610"/>
      <c r="X443" s="610"/>
      <c r="Y443" s="610"/>
      <c r="Z443" s="610"/>
      <c r="AA443" s="610"/>
      <c r="AB443" s="610"/>
      <c r="AC443" s="611"/>
      <c r="AD443" s="606"/>
      <c r="AE443" s="606"/>
      <c r="AF443" s="606"/>
      <c r="AG443" s="606"/>
    </row>
    <row r="444" spans="1:33" s="612" customFormat="1" outlineLevel="2" x14ac:dyDescent="0.2">
      <c r="A444" s="606"/>
      <c r="B444" s="606"/>
      <c r="C444" s="607"/>
      <c r="D444" s="608"/>
      <c r="E444" s="608"/>
      <c r="F444" s="608"/>
      <c r="G444" s="608"/>
      <c r="H444" s="619"/>
      <c r="I444" s="610"/>
      <c r="J444" s="610"/>
      <c r="K444" s="610"/>
      <c r="L444" s="610"/>
      <c r="M444" s="610"/>
      <c r="N444" s="610"/>
      <c r="O444" s="610"/>
      <c r="P444" s="610"/>
      <c r="Q444" s="610"/>
      <c r="R444" s="610"/>
      <c r="S444" s="610"/>
      <c r="T444" s="610"/>
      <c r="U444" s="610"/>
      <c r="V444" s="610"/>
      <c r="W444" s="610"/>
      <c r="X444" s="610"/>
      <c r="Y444" s="610"/>
      <c r="Z444" s="610"/>
      <c r="AA444" s="610"/>
      <c r="AB444" s="610"/>
      <c r="AC444" s="611"/>
      <c r="AD444" s="606"/>
      <c r="AE444" s="606"/>
      <c r="AF444" s="606"/>
      <c r="AG444" s="606"/>
    </row>
    <row r="445" spans="1:33" s="612" customFormat="1" outlineLevel="2" x14ac:dyDescent="0.2">
      <c r="A445" s="606"/>
      <c r="B445" s="606"/>
      <c r="C445" s="607"/>
      <c r="D445" s="608"/>
      <c r="E445" s="608"/>
      <c r="F445" s="608"/>
      <c r="G445" s="608"/>
      <c r="H445" s="609"/>
      <c r="I445" s="610"/>
      <c r="J445" s="610"/>
      <c r="K445" s="610"/>
      <c r="L445" s="610"/>
      <c r="M445" s="610"/>
      <c r="N445" s="610"/>
      <c r="O445" s="610"/>
      <c r="P445" s="610"/>
      <c r="Q445" s="610"/>
      <c r="R445" s="610"/>
      <c r="S445" s="610"/>
      <c r="T445" s="610"/>
      <c r="U445" s="610"/>
      <c r="V445" s="610"/>
      <c r="W445" s="610"/>
      <c r="X445" s="610"/>
      <c r="Y445" s="610"/>
      <c r="Z445" s="610"/>
      <c r="AA445" s="610"/>
      <c r="AB445" s="610"/>
      <c r="AC445" s="611"/>
      <c r="AD445" s="606"/>
      <c r="AE445" s="606"/>
      <c r="AF445" s="606"/>
      <c r="AG445" s="606"/>
    </row>
    <row r="446" spans="1:33" s="612" customFormat="1" outlineLevel="2" x14ac:dyDescent="0.2">
      <c r="A446" s="606"/>
      <c r="B446" s="606"/>
      <c r="C446" s="607"/>
      <c r="D446" s="608"/>
      <c r="E446" s="608"/>
      <c r="F446" s="608"/>
      <c r="G446" s="608"/>
      <c r="H446" s="609"/>
      <c r="I446" s="610"/>
      <c r="J446" s="610"/>
      <c r="K446" s="610"/>
      <c r="L446" s="610"/>
      <c r="M446" s="610"/>
      <c r="N446" s="610"/>
      <c r="O446" s="610"/>
      <c r="P446" s="610"/>
      <c r="Q446" s="610"/>
      <c r="R446" s="610"/>
      <c r="S446" s="610"/>
      <c r="T446" s="610"/>
      <c r="U446" s="610"/>
      <c r="V446" s="610"/>
      <c r="W446" s="610"/>
      <c r="X446" s="610"/>
      <c r="Y446" s="610"/>
      <c r="Z446" s="610"/>
      <c r="AA446" s="610"/>
      <c r="AB446" s="610"/>
      <c r="AC446" s="611"/>
      <c r="AD446" s="606"/>
      <c r="AE446" s="606"/>
      <c r="AF446" s="606"/>
      <c r="AG446" s="606"/>
    </row>
    <row r="447" spans="1:33" s="612" customFormat="1" outlineLevel="2" x14ac:dyDescent="0.2">
      <c r="A447" s="606"/>
      <c r="B447" s="606"/>
      <c r="C447" s="607"/>
      <c r="D447" s="608"/>
      <c r="E447" s="608"/>
      <c r="F447" s="608"/>
      <c r="G447" s="608"/>
      <c r="H447" s="609"/>
      <c r="I447" s="610"/>
      <c r="J447" s="610"/>
      <c r="K447" s="610"/>
      <c r="L447" s="610"/>
      <c r="M447" s="610"/>
      <c r="N447" s="610"/>
      <c r="O447" s="610"/>
      <c r="P447" s="610"/>
      <c r="Q447" s="610"/>
      <c r="R447" s="610"/>
      <c r="S447" s="610"/>
      <c r="T447" s="610"/>
      <c r="U447" s="610"/>
      <c r="V447" s="610"/>
      <c r="W447" s="610"/>
      <c r="X447" s="610"/>
      <c r="Y447" s="610"/>
      <c r="Z447" s="610"/>
      <c r="AA447" s="610"/>
      <c r="AB447" s="610"/>
      <c r="AC447" s="611"/>
      <c r="AD447" s="606"/>
      <c r="AE447" s="606"/>
      <c r="AF447" s="606"/>
      <c r="AG447" s="606"/>
    </row>
    <row r="448" spans="1:33" s="612" customFormat="1" outlineLevel="2" x14ac:dyDescent="0.2">
      <c r="A448" s="606"/>
      <c r="B448" s="606"/>
      <c r="C448" s="607"/>
      <c r="D448" s="608"/>
      <c r="E448" s="608"/>
      <c r="F448" s="608"/>
      <c r="G448" s="608"/>
      <c r="H448" s="609"/>
      <c r="I448" s="610"/>
      <c r="J448" s="610"/>
      <c r="K448" s="610"/>
      <c r="L448" s="610"/>
      <c r="M448" s="610"/>
      <c r="N448" s="610"/>
      <c r="O448" s="610"/>
      <c r="P448" s="610"/>
      <c r="Q448" s="610"/>
      <c r="R448" s="610"/>
      <c r="S448" s="610"/>
      <c r="T448" s="610"/>
      <c r="U448" s="610"/>
      <c r="V448" s="610"/>
      <c r="W448" s="610"/>
      <c r="X448" s="610"/>
      <c r="Y448" s="610"/>
      <c r="Z448" s="610"/>
      <c r="AA448" s="610"/>
      <c r="AB448" s="610"/>
      <c r="AC448" s="611"/>
      <c r="AD448" s="606"/>
      <c r="AE448" s="606"/>
      <c r="AF448" s="606"/>
      <c r="AG448" s="606"/>
    </row>
    <row r="449" spans="1:33" s="612" customFormat="1" outlineLevel="2" x14ac:dyDescent="0.2">
      <c r="A449" s="606"/>
      <c r="B449" s="606"/>
      <c r="C449" s="607"/>
      <c r="D449" s="608"/>
      <c r="E449" s="608"/>
      <c r="F449" s="608"/>
      <c r="G449" s="608"/>
      <c r="H449" s="609"/>
      <c r="I449" s="610"/>
      <c r="J449" s="610"/>
      <c r="K449" s="610"/>
      <c r="L449" s="610"/>
      <c r="M449" s="610"/>
      <c r="N449" s="610"/>
      <c r="O449" s="610"/>
      <c r="P449" s="610"/>
      <c r="Q449" s="610"/>
      <c r="R449" s="610"/>
      <c r="S449" s="610"/>
      <c r="T449" s="610"/>
      <c r="U449" s="610"/>
      <c r="V449" s="610"/>
      <c r="W449" s="610"/>
      <c r="X449" s="610"/>
      <c r="Y449" s="610"/>
      <c r="Z449" s="610"/>
      <c r="AA449" s="610"/>
      <c r="AB449" s="610"/>
      <c r="AC449" s="611"/>
      <c r="AD449" s="606"/>
      <c r="AE449" s="606"/>
      <c r="AF449" s="606"/>
      <c r="AG449" s="606"/>
    </row>
    <row r="450" spans="1:33" s="612" customFormat="1" outlineLevel="2" x14ac:dyDescent="0.2">
      <c r="A450" s="606"/>
      <c r="B450" s="606"/>
      <c r="C450" s="607"/>
      <c r="D450" s="608"/>
      <c r="E450" s="608"/>
      <c r="F450" s="608"/>
      <c r="G450" s="608"/>
      <c r="H450" s="609"/>
      <c r="I450" s="610"/>
      <c r="J450" s="610"/>
      <c r="K450" s="610"/>
      <c r="L450" s="610"/>
      <c r="M450" s="610"/>
      <c r="N450" s="610"/>
      <c r="O450" s="610"/>
      <c r="P450" s="610"/>
      <c r="Q450" s="610"/>
      <c r="R450" s="610"/>
      <c r="S450" s="610"/>
      <c r="T450" s="610"/>
      <c r="U450" s="610"/>
      <c r="V450" s="610"/>
      <c r="W450" s="610"/>
      <c r="X450" s="610"/>
      <c r="Y450" s="610"/>
      <c r="Z450" s="610"/>
      <c r="AA450" s="610"/>
      <c r="AB450" s="610"/>
      <c r="AC450" s="611"/>
      <c r="AD450" s="606"/>
      <c r="AE450" s="606"/>
      <c r="AF450" s="606"/>
      <c r="AG450" s="606"/>
    </row>
    <row r="451" spans="1:33" s="612" customFormat="1" outlineLevel="2" x14ac:dyDescent="0.2">
      <c r="A451" s="606"/>
      <c r="B451" s="606"/>
      <c r="C451" s="607"/>
      <c r="D451" s="608"/>
      <c r="E451" s="608"/>
      <c r="F451" s="608"/>
      <c r="G451" s="608"/>
      <c r="H451" s="609"/>
      <c r="I451" s="610"/>
      <c r="J451" s="610"/>
      <c r="K451" s="610"/>
      <c r="L451" s="610"/>
      <c r="M451" s="610"/>
      <c r="N451" s="610"/>
      <c r="O451" s="610"/>
      <c r="P451" s="610"/>
      <c r="Q451" s="610"/>
      <c r="R451" s="610"/>
      <c r="S451" s="610"/>
      <c r="T451" s="610"/>
      <c r="U451" s="610"/>
      <c r="V451" s="610"/>
      <c r="W451" s="610"/>
      <c r="X451" s="610"/>
      <c r="Y451" s="610"/>
      <c r="Z451" s="610"/>
      <c r="AA451" s="610"/>
      <c r="AB451" s="610"/>
      <c r="AC451" s="611"/>
      <c r="AD451" s="606"/>
      <c r="AE451" s="606"/>
      <c r="AF451" s="606"/>
      <c r="AG451" s="606"/>
    </row>
    <row r="452" spans="1:33" s="612" customFormat="1" outlineLevel="2" x14ac:dyDescent="0.2">
      <c r="A452" s="606"/>
      <c r="B452" s="606"/>
      <c r="C452" s="607"/>
      <c r="D452" s="608"/>
      <c r="E452" s="608"/>
      <c r="F452" s="608"/>
      <c r="G452" s="608"/>
      <c r="H452" s="609"/>
      <c r="I452" s="610"/>
      <c r="J452" s="610"/>
      <c r="K452" s="610"/>
      <c r="L452" s="610"/>
      <c r="M452" s="610"/>
      <c r="N452" s="610"/>
      <c r="O452" s="610"/>
      <c r="P452" s="610"/>
      <c r="Q452" s="610"/>
      <c r="R452" s="610"/>
      <c r="S452" s="610"/>
      <c r="T452" s="610"/>
      <c r="U452" s="610"/>
      <c r="V452" s="610"/>
      <c r="W452" s="610"/>
      <c r="X452" s="610"/>
      <c r="Y452" s="610"/>
      <c r="Z452" s="610"/>
      <c r="AA452" s="610"/>
      <c r="AB452" s="610"/>
      <c r="AC452" s="611"/>
      <c r="AD452" s="606"/>
      <c r="AE452" s="606"/>
      <c r="AF452" s="606"/>
      <c r="AG452" s="606"/>
    </row>
    <row r="453" spans="1:33" s="612" customFormat="1" outlineLevel="2" x14ac:dyDescent="0.2">
      <c r="A453" s="606"/>
      <c r="B453" s="606"/>
      <c r="C453" s="607"/>
      <c r="D453" s="608"/>
      <c r="E453" s="608"/>
      <c r="F453" s="608"/>
      <c r="G453" s="608"/>
      <c r="H453" s="609"/>
      <c r="I453" s="610"/>
      <c r="J453" s="610"/>
      <c r="K453" s="610"/>
      <c r="L453" s="610"/>
      <c r="M453" s="610"/>
      <c r="N453" s="610"/>
      <c r="O453" s="610"/>
      <c r="P453" s="610"/>
      <c r="Q453" s="610"/>
      <c r="R453" s="610"/>
      <c r="S453" s="610"/>
      <c r="T453" s="610"/>
      <c r="U453" s="610"/>
      <c r="V453" s="610"/>
      <c r="W453" s="610"/>
      <c r="X453" s="610"/>
      <c r="Y453" s="610"/>
      <c r="Z453" s="610"/>
      <c r="AA453" s="610"/>
      <c r="AB453" s="610"/>
      <c r="AC453" s="611"/>
      <c r="AD453" s="606"/>
      <c r="AE453" s="606"/>
      <c r="AF453" s="606"/>
      <c r="AG453" s="606"/>
    </row>
    <row r="454" spans="1:33" s="612" customFormat="1" outlineLevel="2" x14ac:dyDescent="0.2">
      <c r="A454" s="606"/>
      <c r="B454" s="606"/>
      <c r="C454" s="607"/>
      <c r="D454" s="608"/>
      <c r="E454" s="608"/>
      <c r="F454" s="608"/>
      <c r="G454" s="608"/>
      <c r="H454" s="609"/>
      <c r="I454" s="610"/>
      <c r="J454" s="610"/>
      <c r="K454" s="610"/>
      <c r="L454" s="610"/>
      <c r="M454" s="610"/>
      <c r="N454" s="610"/>
      <c r="O454" s="610"/>
      <c r="P454" s="610"/>
      <c r="Q454" s="610"/>
      <c r="R454" s="610"/>
      <c r="S454" s="610"/>
      <c r="T454" s="610"/>
      <c r="U454" s="610"/>
      <c r="V454" s="610"/>
      <c r="W454" s="610"/>
      <c r="X454" s="610"/>
      <c r="Y454" s="610"/>
      <c r="Z454" s="610"/>
      <c r="AA454" s="610"/>
      <c r="AB454" s="610"/>
      <c r="AC454" s="611"/>
      <c r="AD454" s="606"/>
      <c r="AE454" s="606"/>
      <c r="AF454" s="606"/>
      <c r="AG454" s="606"/>
    </row>
    <row r="455" spans="1:33" s="612" customFormat="1" outlineLevel="2" x14ac:dyDescent="0.2">
      <c r="A455" s="606"/>
      <c r="B455" s="606"/>
      <c r="C455" s="607"/>
      <c r="D455" s="608"/>
      <c r="E455" s="608"/>
      <c r="F455" s="608"/>
      <c r="G455" s="608"/>
      <c r="H455" s="609"/>
      <c r="I455" s="610"/>
      <c r="J455" s="610"/>
      <c r="K455" s="610"/>
      <c r="L455" s="610"/>
      <c r="M455" s="610"/>
      <c r="N455" s="610"/>
      <c r="O455" s="610"/>
      <c r="P455" s="610"/>
      <c r="Q455" s="610"/>
      <c r="R455" s="610"/>
      <c r="S455" s="610"/>
      <c r="T455" s="610"/>
      <c r="U455" s="610"/>
      <c r="V455" s="610"/>
      <c r="W455" s="610"/>
      <c r="X455" s="610"/>
      <c r="Y455" s="610"/>
      <c r="Z455" s="610"/>
      <c r="AA455" s="610"/>
      <c r="AB455" s="610"/>
      <c r="AC455" s="611"/>
      <c r="AD455" s="606"/>
      <c r="AE455" s="606"/>
      <c r="AF455" s="606"/>
      <c r="AG455" s="606"/>
    </row>
    <row r="456" spans="1:33" s="612" customFormat="1" outlineLevel="2" x14ac:dyDescent="0.2">
      <c r="A456" s="606"/>
      <c r="B456" s="606"/>
      <c r="C456" s="607"/>
      <c r="D456" s="608"/>
      <c r="E456" s="608"/>
      <c r="F456" s="608"/>
      <c r="G456" s="608"/>
      <c r="H456" s="609"/>
      <c r="I456" s="610"/>
      <c r="J456" s="610"/>
      <c r="K456" s="610"/>
      <c r="L456" s="610"/>
      <c r="M456" s="610"/>
      <c r="N456" s="610"/>
      <c r="O456" s="610"/>
      <c r="P456" s="610"/>
      <c r="Q456" s="610"/>
      <c r="R456" s="610"/>
      <c r="S456" s="610"/>
      <c r="T456" s="610"/>
      <c r="U456" s="610"/>
      <c r="V456" s="610"/>
      <c r="W456" s="610"/>
      <c r="X456" s="610"/>
      <c r="Y456" s="610"/>
      <c r="Z456" s="610"/>
      <c r="AA456" s="610"/>
      <c r="AB456" s="610"/>
      <c r="AC456" s="611"/>
      <c r="AD456" s="606"/>
      <c r="AE456" s="606"/>
      <c r="AF456" s="606"/>
      <c r="AG456" s="606"/>
    </row>
    <row r="457" spans="1:33" s="612" customFormat="1" outlineLevel="2" x14ac:dyDescent="0.2">
      <c r="A457" s="606"/>
      <c r="B457" s="606"/>
      <c r="C457" s="607"/>
      <c r="D457" s="608"/>
      <c r="E457" s="608"/>
      <c r="F457" s="608"/>
      <c r="G457" s="608"/>
      <c r="H457" s="609"/>
      <c r="I457" s="610"/>
      <c r="J457" s="610"/>
      <c r="K457" s="610"/>
      <c r="L457" s="610"/>
      <c r="M457" s="610"/>
      <c r="N457" s="610"/>
      <c r="O457" s="610"/>
      <c r="P457" s="610"/>
      <c r="Q457" s="610"/>
      <c r="R457" s="610"/>
      <c r="S457" s="610"/>
      <c r="T457" s="610"/>
      <c r="U457" s="610"/>
      <c r="V457" s="610"/>
      <c r="W457" s="610"/>
      <c r="X457" s="610"/>
      <c r="Y457" s="610"/>
      <c r="Z457" s="610"/>
      <c r="AA457" s="610"/>
      <c r="AB457" s="610"/>
      <c r="AC457" s="611"/>
      <c r="AD457" s="606"/>
      <c r="AE457" s="606"/>
      <c r="AF457" s="606"/>
      <c r="AG457" s="606"/>
    </row>
    <row r="458" spans="1:33" s="612" customFormat="1" outlineLevel="2" x14ac:dyDescent="0.2">
      <c r="A458" s="606"/>
      <c r="B458" s="606"/>
      <c r="C458" s="607"/>
      <c r="D458" s="608"/>
      <c r="E458" s="608"/>
      <c r="F458" s="608"/>
      <c r="G458" s="608"/>
      <c r="H458" s="609"/>
      <c r="I458" s="610"/>
      <c r="J458" s="610"/>
      <c r="K458" s="610"/>
      <c r="L458" s="610"/>
      <c r="M458" s="610"/>
      <c r="N458" s="610"/>
      <c r="O458" s="610"/>
      <c r="P458" s="610"/>
      <c r="Q458" s="610"/>
      <c r="R458" s="610"/>
      <c r="S458" s="610"/>
      <c r="T458" s="610"/>
      <c r="U458" s="610"/>
      <c r="V458" s="610"/>
      <c r="W458" s="610"/>
      <c r="X458" s="610"/>
      <c r="Y458" s="610"/>
      <c r="Z458" s="610"/>
      <c r="AA458" s="610"/>
      <c r="AB458" s="610"/>
      <c r="AC458" s="611"/>
      <c r="AD458" s="606"/>
      <c r="AE458" s="606"/>
      <c r="AF458" s="606"/>
      <c r="AG458" s="606"/>
    </row>
    <row r="459" spans="1:33" s="612" customFormat="1" outlineLevel="2" x14ac:dyDescent="0.2">
      <c r="A459" s="606"/>
      <c r="B459" s="606"/>
      <c r="C459" s="607"/>
      <c r="D459" s="608"/>
      <c r="E459" s="608"/>
      <c r="F459" s="608"/>
      <c r="G459" s="608"/>
      <c r="H459" s="609"/>
      <c r="I459" s="610"/>
      <c r="J459" s="610"/>
      <c r="K459" s="610"/>
      <c r="L459" s="610"/>
      <c r="M459" s="610"/>
      <c r="N459" s="610"/>
      <c r="O459" s="610"/>
      <c r="P459" s="610"/>
      <c r="Q459" s="610"/>
      <c r="R459" s="610"/>
      <c r="S459" s="610"/>
      <c r="T459" s="610"/>
      <c r="U459" s="610"/>
      <c r="V459" s="610"/>
      <c r="W459" s="610"/>
      <c r="X459" s="610"/>
      <c r="Y459" s="610"/>
      <c r="Z459" s="610"/>
      <c r="AA459" s="610"/>
      <c r="AB459" s="610"/>
      <c r="AC459" s="611"/>
      <c r="AD459" s="606"/>
      <c r="AE459" s="606"/>
      <c r="AF459" s="606"/>
      <c r="AG459" s="606"/>
    </row>
    <row r="460" spans="1:33" s="612" customFormat="1" outlineLevel="2" x14ac:dyDescent="0.2">
      <c r="A460" s="606"/>
      <c r="B460" s="606"/>
      <c r="C460" s="607"/>
      <c r="D460" s="608"/>
      <c r="E460" s="608"/>
      <c r="F460" s="608"/>
      <c r="G460" s="608"/>
      <c r="H460" s="609"/>
      <c r="I460" s="610"/>
      <c r="J460" s="610"/>
      <c r="K460" s="610"/>
      <c r="L460" s="610"/>
      <c r="M460" s="610"/>
      <c r="N460" s="610"/>
      <c r="O460" s="610"/>
      <c r="P460" s="610"/>
      <c r="Q460" s="610"/>
      <c r="R460" s="610"/>
      <c r="S460" s="610"/>
      <c r="T460" s="610"/>
      <c r="U460" s="610"/>
      <c r="V460" s="610"/>
      <c r="W460" s="610"/>
      <c r="X460" s="610"/>
      <c r="Y460" s="610"/>
      <c r="Z460" s="610"/>
      <c r="AA460" s="610"/>
      <c r="AB460" s="610"/>
      <c r="AC460" s="611"/>
      <c r="AD460" s="606"/>
      <c r="AE460" s="606"/>
      <c r="AF460" s="606"/>
      <c r="AG460" s="606"/>
    </row>
    <row r="461" spans="1:33" s="612" customFormat="1" outlineLevel="2" x14ac:dyDescent="0.2">
      <c r="A461" s="606"/>
      <c r="B461" s="606"/>
      <c r="C461" s="607"/>
      <c r="D461" s="608"/>
      <c r="E461" s="608"/>
      <c r="F461" s="608"/>
      <c r="G461" s="608"/>
      <c r="H461" s="609"/>
      <c r="I461" s="610"/>
      <c r="J461" s="610"/>
      <c r="K461" s="610"/>
      <c r="L461" s="610"/>
      <c r="M461" s="610"/>
      <c r="N461" s="610"/>
      <c r="O461" s="610"/>
      <c r="P461" s="610"/>
      <c r="Q461" s="610"/>
      <c r="R461" s="610"/>
      <c r="S461" s="610"/>
      <c r="T461" s="610"/>
      <c r="U461" s="610"/>
      <c r="V461" s="610"/>
      <c r="W461" s="610"/>
      <c r="X461" s="610"/>
      <c r="Y461" s="610"/>
      <c r="Z461" s="610"/>
      <c r="AA461" s="610"/>
      <c r="AB461" s="610"/>
      <c r="AC461" s="611"/>
      <c r="AD461" s="606"/>
      <c r="AE461" s="606"/>
      <c r="AF461" s="606"/>
      <c r="AG461" s="606"/>
    </row>
    <row r="462" spans="1:33" s="612" customFormat="1" outlineLevel="2" x14ac:dyDescent="0.2">
      <c r="A462" s="606"/>
      <c r="B462" s="606"/>
      <c r="C462" s="607"/>
      <c r="D462" s="608"/>
      <c r="E462" s="608"/>
      <c r="F462" s="608"/>
      <c r="G462" s="608"/>
      <c r="H462" s="609"/>
      <c r="I462" s="610"/>
      <c r="J462" s="610"/>
      <c r="K462" s="610"/>
      <c r="L462" s="610"/>
      <c r="M462" s="610"/>
      <c r="N462" s="610"/>
      <c r="O462" s="610"/>
      <c r="P462" s="610"/>
      <c r="Q462" s="610"/>
      <c r="R462" s="610"/>
      <c r="S462" s="610"/>
      <c r="T462" s="610"/>
      <c r="U462" s="610"/>
      <c r="V462" s="610"/>
      <c r="W462" s="610"/>
      <c r="X462" s="610"/>
      <c r="Y462" s="610"/>
      <c r="Z462" s="610"/>
      <c r="AA462" s="610"/>
      <c r="AB462" s="610"/>
      <c r="AC462" s="611"/>
      <c r="AD462" s="606"/>
      <c r="AE462" s="606"/>
      <c r="AF462" s="606"/>
      <c r="AG462" s="606"/>
    </row>
    <row r="463" spans="1:33" s="612" customFormat="1" outlineLevel="2" x14ac:dyDescent="0.2">
      <c r="A463" s="606"/>
      <c r="B463" s="606"/>
      <c r="C463" s="607"/>
      <c r="D463" s="608"/>
      <c r="E463" s="608"/>
      <c r="F463" s="608"/>
      <c r="G463" s="608"/>
      <c r="H463" s="609"/>
      <c r="I463" s="610"/>
      <c r="J463" s="610"/>
      <c r="K463" s="610"/>
      <c r="L463" s="610"/>
      <c r="M463" s="610"/>
      <c r="N463" s="610"/>
      <c r="O463" s="610"/>
      <c r="P463" s="610"/>
      <c r="Q463" s="610"/>
      <c r="R463" s="610"/>
      <c r="S463" s="610"/>
      <c r="T463" s="610"/>
      <c r="U463" s="610"/>
      <c r="V463" s="610"/>
      <c r="W463" s="610"/>
      <c r="X463" s="610"/>
      <c r="Y463" s="610"/>
      <c r="Z463" s="610"/>
      <c r="AA463" s="610"/>
      <c r="AB463" s="610"/>
      <c r="AC463" s="611"/>
      <c r="AD463" s="606"/>
      <c r="AE463" s="606"/>
      <c r="AF463" s="606"/>
      <c r="AG463" s="606"/>
    </row>
    <row r="464" spans="1:33" s="612" customFormat="1" outlineLevel="2" x14ac:dyDescent="0.2">
      <c r="A464" s="606"/>
      <c r="B464" s="606"/>
      <c r="C464" s="607"/>
      <c r="D464" s="608"/>
      <c r="E464" s="608"/>
      <c r="F464" s="608"/>
      <c r="G464" s="608"/>
      <c r="H464" s="609"/>
      <c r="I464" s="610"/>
      <c r="J464" s="610"/>
      <c r="K464" s="610"/>
      <c r="L464" s="610"/>
      <c r="M464" s="610"/>
      <c r="N464" s="610"/>
      <c r="O464" s="610"/>
      <c r="P464" s="610"/>
      <c r="Q464" s="610"/>
      <c r="R464" s="610"/>
      <c r="S464" s="610"/>
      <c r="T464" s="610"/>
      <c r="U464" s="610"/>
      <c r="V464" s="610"/>
      <c r="W464" s="610"/>
      <c r="X464" s="610"/>
      <c r="Y464" s="610"/>
      <c r="Z464" s="610"/>
      <c r="AA464" s="610"/>
      <c r="AB464" s="610"/>
      <c r="AC464" s="611"/>
      <c r="AD464" s="606"/>
      <c r="AE464" s="606"/>
      <c r="AF464" s="606"/>
      <c r="AG464" s="606"/>
    </row>
    <row r="465" spans="1:33" s="612" customFormat="1" outlineLevel="2" x14ac:dyDescent="0.2">
      <c r="A465" s="606"/>
      <c r="B465" s="606"/>
      <c r="C465" s="607"/>
      <c r="D465" s="608"/>
      <c r="E465" s="608"/>
      <c r="F465" s="608"/>
      <c r="G465" s="608"/>
      <c r="H465" s="609"/>
      <c r="I465" s="610"/>
      <c r="J465" s="610"/>
      <c r="K465" s="610"/>
      <c r="L465" s="610"/>
      <c r="M465" s="610"/>
      <c r="N465" s="610"/>
      <c r="O465" s="610"/>
      <c r="P465" s="610"/>
      <c r="Q465" s="610"/>
      <c r="R465" s="610"/>
      <c r="S465" s="610"/>
      <c r="T465" s="610"/>
      <c r="U465" s="610"/>
      <c r="V465" s="610"/>
      <c r="W465" s="610"/>
      <c r="X465" s="610"/>
      <c r="Y465" s="610"/>
      <c r="Z465" s="610"/>
      <c r="AA465" s="610"/>
      <c r="AB465" s="610"/>
      <c r="AC465" s="611"/>
      <c r="AD465" s="606"/>
      <c r="AE465" s="606"/>
      <c r="AF465" s="606"/>
      <c r="AG465" s="606"/>
    </row>
    <row r="466" spans="1:33" s="612" customFormat="1" outlineLevel="2" x14ac:dyDescent="0.2">
      <c r="A466" s="606"/>
      <c r="B466" s="606"/>
      <c r="C466" s="607"/>
      <c r="D466" s="608"/>
      <c r="E466" s="608"/>
      <c r="F466" s="608"/>
      <c r="G466" s="608"/>
      <c r="H466" s="609"/>
      <c r="I466" s="610"/>
      <c r="J466" s="610"/>
      <c r="K466" s="610"/>
      <c r="L466" s="610"/>
      <c r="M466" s="610"/>
      <c r="N466" s="610"/>
      <c r="O466" s="610"/>
      <c r="P466" s="610"/>
      <c r="Q466" s="610"/>
      <c r="R466" s="610"/>
      <c r="S466" s="610"/>
      <c r="T466" s="610"/>
      <c r="U466" s="610"/>
      <c r="V466" s="610"/>
      <c r="W466" s="610"/>
      <c r="X466" s="610"/>
      <c r="Y466" s="610"/>
      <c r="Z466" s="610"/>
      <c r="AA466" s="610"/>
      <c r="AB466" s="610"/>
      <c r="AC466" s="611"/>
      <c r="AD466" s="606"/>
      <c r="AE466" s="606"/>
      <c r="AF466" s="606"/>
      <c r="AG466" s="606"/>
    </row>
    <row r="467" spans="1:33" s="612" customFormat="1" outlineLevel="2" x14ac:dyDescent="0.2">
      <c r="A467" s="606"/>
      <c r="B467" s="606"/>
      <c r="C467" s="607"/>
      <c r="D467" s="608"/>
      <c r="E467" s="608"/>
      <c r="F467" s="608"/>
      <c r="G467" s="608"/>
      <c r="H467" s="609"/>
      <c r="I467" s="610"/>
      <c r="J467" s="610"/>
      <c r="K467" s="610"/>
      <c r="L467" s="610"/>
      <c r="M467" s="610"/>
      <c r="N467" s="610"/>
      <c r="O467" s="610"/>
      <c r="P467" s="610"/>
      <c r="Q467" s="610"/>
      <c r="R467" s="610"/>
      <c r="S467" s="610"/>
      <c r="T467" s="610"/>
      <c r="U467" s="610"/>
      <c r="V467" s="610"/>
      <c r="W467" s="610"/>
      <c r="X467" s="610"/>
      <c r="Y467" s="610"/>
      <c r="Z467" s="610"/>
      <c r="AA467" s="610"/>
      <c r="AB467" s="610"/>
      <c r="AC467" s="611"/>
      <c r="AD467" s="606"/>
      <c r="AE467" s="606"/>
      <c r="AF467" s="606"/>
      <c r="AG467" s="606"/>
    </row>
    <row r="468" spans="1:33" s="612" customFormat="1" outlineLevel="2" x14ac:dyDescent="0.2">
      <c r="A468" s="606"/>
      <c r="B468" s="606"/>
      <c r="C468" s="607"/>
      <c r="D468" s="608"/>
      <c r="E468" s="608"/>
      <c r="F468" s="608"/>
      <c r="G468" s="608"/>
      <c r="H468" s="609"/>
      <c r="I468" s="610"/>
      <c r="J468" s="610"/>
      <c r="K468" s="610"/>
      <c r="L468" s="610"/>
      <c r="M468" s="610"/>
      <c r="N468" s="610"/>
      <c r="O468" s="610"/>
      <c r="P468" s="610"/>
      <c r="Q468" s="610"/>
      <c r="R468" s="610"/>
      <c r="S468" s="610"/>
      <c r="T468" s="610"/>
      <c r="U468" s="610"/>
      <c r="V468" s="610"/>
      <c r="W468" s="610"/>
      <c r="X468" s="610"/>
      <c r="Y468" s="610"/>
      <c r="Z468" s="610"/>
      <c r="AA468" s="610"/>
      <c r="AB468" s="610"/>
      <c r="AC468" s="611"/>
      <c r="AD468" s="606"/>
      <c r="AE468" s="606"/>
      <c r="AF468" s="606"/>
      <c r="AG468" s="606"/>
    </row>
    <row r="469" spans="1:33" s="612" customFormat="1" hidden="1" outlineLevel="3" x14ac:dyDescent="0.2">
      <c r="A469" s="606"/>
      <c r="B469" s="606"/>
      <c r="C469" s="607"/>
      <c r="D469" s="608"/>
      <c r="E469" s="608"/>
      <c r="F469" s="608"/>
      <c r="G469" s="608"/>
      <c r="H469" s="609"/>
      <c r="I469" s="610"/>
      <c r="J469" s="610"/>
      <c r="K469" s="610"/>
      <c r="L469" s="610"/>
      <c r="M469" s="610"/>
      <c r="N469" s="610"/>
      <c r="O469" s="610"/>
      <c r="P469" s="610"/>
      <c r="Q469" s="610"/>
      <c r="R469" s="610"/>
      <c r="S469" s="610"/>
      <c r="T469" s="610"/>
      <c r="U469" s="610"/>
      <c r="V469" s="610"/>
      <c r="W469" s="610"/>
      <c r="X469" s="610"/>
      <c r="Y469" s="610"/>
      <c r="Z469" s="610"/>
      <c r="AA469" s="610"/>
      <c r="AB469" s="610"/>
      <c r="AC469" s="611"/>
      <c r="AD469" s="606"/>
      <c r="AE469" s="606"/>
      <c r="AF469" s="606"/>
      <c r="AG469" s="606"/>
    </row>
    <row r="470" spans="1:33" s="612" customFormat="1" hidden="1" outlineLevel="3" x14ac:dyDescent="0.2">
      <c r="A470" s="606"/>
      <c r="B470" s="606"/>
      <c r="C470" s="607"/>
      <c r="D470" s="608"/>
      <c r="E470" s="608"/>
      <c r="F470" s="608"/>
      <c r="G470" s="608"/>
      <c r="H470" s="609"/>
      <c r="I470" s="610"/>
      <c r="J470" s="610"/>
      <c r="K470" s="610"/>
      <c r="L470" s="610"/>
      <c r="M470" s="610"/>
      <c r="N470" s="610"/>
      <c r="O470" s="610"/>
      <c r="P470" s="610"/>
      <c r="Q470" s="610"/>
      <c r="R470" s="610"/>
      <c r="S470" s="610"/>
      <c r="T470" s="610"/>
      <c r="U470" s="610"/>
      <c r="V470" s="610"/>
      <c r="W470" s="610"/>
      <c r="X470" s="610"/>
      <c r="Y470" s="610"/>
      <c r="Z470" s="610"/>
      <c r="AA470" s="610"/>
      <c r="AB470" s="610"/>
      <c r="AC470" s="611"/>
      <c r="AD470" s="606"/>
      <c r="AE470" s="606"/>
      <c r="AF470" s="606"/>
      <c r="AG470" s="606"/>
    </row>
    <row r="471" spans="1:33" s="612" customFormat="1" hidden="1" outlineLevel="3" x14ac:dyDescent="0.2">
      <c r="A471" s="606"/>
      <c r="B471" s="606"/>
      <c r="C471" s="607"/>
      <c r="D471" s="608"/>
      <c r="E471" s="608"/>
      <c r="F471" s="608"/>
      <c r="G471" s="608"/>
      <c r="H471" s="609"/>
      <c r="I471" s="610"/>
      <c r="J471" s="610"/>
      <c r="K471" s="610"/>
      <c r="L471" s="610"/>
      <c r="M471" s="610"/>
      <c r="N471" s="610"/>
      <c r="O471" s="610"/>
      <c r="P471" s="610"/>
      <c r="Q471" s="610"/>
      <c r="R471" s="610"/>
      <c r="S471" s="610"/>
      <c r="T471" s="610"/>
      <c r="U471" s="610"/>
      <c r="V471" s="610"/>
      <c r="W471" s="610"/>
      <c r="X471" s="610"/>
      <c r="Y471" s="610"/>
      <c r="Z471" s="610"/>
      <c r="AA471" s="610"/>
      <c r="AB471" s="610"/>
      <c r="AC471" s="611"/>
      <c r="AD471" s="606"/>
      <c r="AE471" s="606"/>
      <c r="AF471" s="606"/>
      <c r="AG471" s="606"/>
    </row>
    <row r="472" spans="1:33" s="612" customFormat="1" hidden="1" outlineLevel="3" x14ac:dyDescent="0.2">
      <c r="A472" s="606"/>
      <c r="B472" s="606"/>
      <c r="C472" s="607"/>
      <c r="D472" s="608"/>
      <c r="E472" s="608"/>
      <c r="F472" s="608"/>
      <c r="G472" s="608"/>
      <c r="H472" s="609"/>
      <c r="I472" s="610"/>
      <c r="J472" s="610"/>
      <c r="K472" s="610"/>
      <c r="L472" s="610"/>
      <c r="M472" s="610"/>
      <c r="N472" s="610"/>
      <c r="O472" s="610"/>
      <c r="P472" s="610"/>
      <c r="Q472" s="610"/>
      <c r="R472" s="610"/>
      <c r="S472" s="610"/>
      <c r="T472" s="610"/>
      <c r="U472" s="610"/>
      <c r="V472" s="610"/>
      <c r="W472" s="610"/>
      <c r="X472" s="610"/>
      <c r="Y472" s="610"/>
      <c r="Z472" s="610"/>
      <c r="AA472" s="610"/>
      <c r="AB472" s="610"/>
      <c r="AC472" s="611"/>
      <c r="AD472" s="606"/>
      <c r="AE472" s="606"/>
      <c r="AF472" s="606"/>
      <c r="AG472" s="606"/>
    </row>
    <row r="473" spans="1:33" s="612" customFormat="1" hidden="1" outlineLevel="3" x14ac:dyDescent="0.2">
      <c r="A473" s="606"/>
      <c r="B473" s="606"/>
      <c r="C473" s="607"/>
      <c r="D473" s="608"/>
      <c r="E473" s="608"/>
      <c r="F473" s="608"/>
      <c r="G473" s="608"/>
      <c r="H473" s="609"/>
      <c r="I473" s="610"/>
      <c r="J473" s="610"/>
      <c r="K473" s="610"/>
      <c r="L473" s="610"/>
      <c r="M473" s="610"/>
      <c r="N473" s="610"/>
      <c r="O473" s="610"/>
      <c r="P473" s="610"/>
      <c r="Q473" s="610"/>
      <c r="R473" s="610"/>
      <c r="S473" s="610"/>
      <c r="T473" s="610"/>
      <c r="U473" s="610"/>
      <c r="V473" s="610"/>
      <c r="W473" s="610"/>
      <c r="X473" s="610"/>
      <c r="Y473" s="610"/>
      <c r="Z473" s="610"/>
      <c r="AA473" s="610"/>
      <c r="AB473" s="610"/>
      <c r="AC473" s="611"/>
      <c r="AD473" s="606"/>
      <c r="AE473" s="606"/>
      <c r="AF473" s="606"/>
      <c r="AG473" s="606"/>
    </row>
    <row r="474" spans="1:33" s="612" customFormat="1" hidden="1" outlineLevel="3" x14ac:dyDescent="0.2">
      <c r="A474" s="606"/>
      <c r="B474" s="606"/>
      <c r="C474" s="607"/>
      <c r="D474" s="608"/>
      <c r="E474" s="608"/>
      <c r="F474" s="608"/>
      <c r="G474" s="608"/>
      <c r="H474" s="609"/>
      <c r="I474" s="610"/>
      <c r="J474" s="610"/>
      <c r="K474" s="610"/>
      <c r="L474" s="610"/>
      <c r="M474" s="610"/>
      <c r="N474" s="610"/>
      <c r="O474" s="610"/>
      <c r="P474" s="610"/>
      <c r="Q474" s="610"/>
      <c r="R474" s="610"/>
      <c r="S474" s="610"/>
      <c r="T474" s="610"/>
      <c r="U474" s="610"/>
      <c r="V474" s="610"/>
      <c r="W474" s="610"/>
      <c r="X474" s="610"/>
      <c r="Y474" s="610"/>
      <c r="Z474" s="610"/>
      <c r="AA474" s="610"/>
      <c r="AB474" s="610"/>
      <c r="AC474" s="611"/>
      <c r="AD474" s="606"/>
      <c r="AE474" s="606"/>
      <c r="AF474" s="606"/>
      <c r="AG474" s="606"/>
    </row>
    <row r="475" spans="1:33" s="612" customFormat="1" hidden="1" outlineLevel="3" x14ac:dyDescent="0.2">
      <c r="A475" s="606"/>
      <c r="B475" s="606"/>
      <c r="C475" s="607"/>
      <c r="D475" s="608"/>
      <c r="E475" s="608"/>
      <c r="F475" s="608"/>
      <c r="G475" s="608"/>
      <c r="H475" s="609"/>
      <c r="I475" s="610"/>
      <c r="J475" s="610"/>
      <c r="K475" s="610"/>
      <c r="L475" s="610"/>
      <c r="M475" s="610"/>
      <c r="N475" s="610"/>
      <c r="O475" s="610"/>
      <c r="P475" s="610"/>
      <c r="Q475" s="610"/>
      <c r="R475" s="610"/>
      <c r="S475" s="610"/>
      <c r="T475" s="610"/>
      <c r="U475" s="610"/>
      <c r="V475" s="610"/>
      <c r="W475" s="610"/>
      <c r="X475" s="610"/>
      <c r="Y475" s="610"/>
      <c r="Z475" s="610"/>
      <c r="AA475" s="610"/>
      <c r="AB475" s="610"/>
      <c r="AC475" s="611"/>
      <c r="AD475" s="606"/>
      <c r="AE475" s="606"/>
      <c r="AF475" s="606"/>
      <c r="AG475" s="606"/>
    </row>
    <row r="476" spans="1:33" s="612" customFormat="1" hidden="1" outlineLevel="3" x14ac:dyDescent="0.2">
      <c r="A476" s="606"/>
      <c r="B476" s="606"/>
      <c r="C476" s="607"/>
      <c r="D476" s="608"/>
      <c r="E476" s="608"/>
      <c r="F476" s="608"/>
      <c r="G476" s="608"/>
      <c r="H476" s="609"/>
      <c r="I476" s="610"/>
      <c r="J476" s="610"/>
      <c r="K476" s="610"/>
      <c r="L476" s="610"/>
      <c r="M476" s="610"/>
      <c r="N476" s="610"/>
      <c r="O476" s="610"/>
      <c r="P476" s="610"/>
      <c r="Q476" s="610"/>
      <c r="R476" s="610"/>
      <c r="S476" s="610"/>
      <c r="T476" s="610"/>
      <c r="U476" s="610"/>
      <c r="V476" s="610"/>
      <c r="W476" s="610"/>
      <c r="X476" s="610"/>
      <c r="Y476" s="610"/>
      <c r="Z476" s="610"/>
      <c r="AA476" s="610"/>
      <c r="AB476" s="610"/>
      <c r="AC476" s="611"/>
      <c r="AD476" s="606"/>
      <c r="AE476" s="606"/>
      <c r="AF476" s="606"/>
      <c r="AG476" s="606"/>
    </row>
    <row r="477" spans="1:33" s="612" customFormat="1" hidden="1" outlineLevel="3" x14ac:dyDescent="0.2">
      <c r="A477" s="606"/>
      <c r="B477" s="606"/>
      <c r="C477" s="607"/>
      <c r="D477" s="608"/>
      <c r="E477" s="608"/>
      <c r="F477" s="608"/>
      <c r="G477" s="608"/>
      <c r="H477" s="609"/>
      <c r="I477" s="610"/>
      <c r="J477" s="610"/>
      <c r="K477" s="610"/>
      <c r="L477" s="610"/>
      <c r="M477" s="610"/>
      <c r="N477" s="610"/>
      <c r="O477" s="610"/>
      <c r="P477" s="610"/>
      <c r="Q477" s="610"/>
      <c r="R477" s="610"/>
      <c r="S477" s="610"/>
      <c r="T477" s="610"/>
      <c r="U477" s="610"/>
      <c r="V477" s="610"/>
      <c r="W477" s="610"/>
      <c r="X477" s="610"/>
      <c r="Y477" s="610"/>
      <c r="Z477" s="610"/>
      <c r="AA477" s="610"/>
      <c r="AB477" s="610"/>
      <c r="AC477" s="611"/>
      <c r="AD477" s="606"/>
      <c r="AE477" s="606"/>
      <c r="AF477" s="606"/>
      <c r="AG477" s="606"/>
    </row>
    <row r="478" spans="1:33" s="612" customFormat="1" hidden="1" outlineLevel="3" x14ac:dyDescent="0.2">
      <c r="A478" s="606"/>
      <c r="B478" s="606"/>
      <c r="C478" s="607"/>
      <c r="D478" s="608"/>
      <c r="E478" s="608"/>
      <c r="F478" s="608"/>
      <c r="G478" s="608"/>
      <c r="H478" s="609"/>
      <c r="I478" s="610"/>
      <c r="J478" s="610"/>
      <c r="K478" s="610"/>
      <c r="L478" s="610"/>
      <c r="M478" s="610"/>
      <c r="N478" s="610"/>
      <c r="O478" s="610"/>
      <c r="P478" s="610"/>
      <c r="Q478" s="610"/>
      <c r="R478" s="610"/>
      <c r="S478" s="610"/>
      <c r="T478" s="610"/>
      <c r="U478" s="610"/>
      <c r="V478" s="610"/>
      <c r="W478" s="610"/>
      <c r="X478" s="610"/>
      <c r="Y478" s="610"/>
      <c r="Z478" s="610"/>
      <c r="AA478" s="610"/>
      <c r="AB478" s="610"/>
      <c r="AC478" s="611"/>
      <c r="AD478" s="606"/>
      <c r="AE478" s="606"/>
      <c r="AF478" s="606"/>
      <c r="AG478" s="606"/>
    </row>
    <row r="479" spans="1:33" s="612" customFormat="1" hidden="1" outlineLevel="3" x14ac:dyDescent="0.2">
      <c r="A479" s="606"/>
      <c r="B479" s="606"/>
      <c r="C479" s="607"/>
      <c r="D479" s="608"/>
      <c r="E479" s="608"/>
      <c r="F479" s="608"/>
      <c r="G479" s="608"/>
      <c r="H479" s="609"/>
      <c r="I479" s="610"/>
      <c r="J479" s="610"/>
      <c r="K479" s="610"/>
      <c r="L479" s="610"/>
      <c r="M479" s="610"/>
      <c r="N479" s="610"/>
      <c r="O479" s="610"/>
      <c r="P479" s="610"/>
      <c r="Q479" s="610"/>
      <c r="R479" s="610"/>
      <c r="S479" s="610"/>
      <c r="T479" s="610"/>
      <c r="U479" s="610"/>
      <c r="V479" s="610"/>
      <c r="W479" s="610"/>
      <c r="X479" s="610"/>
      <c r="Y479" s="610"/>
      <c r="Z479" s="610"/>
      <c r="AA479" s="610"/>
      <c r="AB479" s="610"/>
      <c r="AC479" s="611"/>
      <c r="AD479" s="606"/>
      <c r="AE479" s="606"/>
      <c r="AF479" s="606"/>
      <c r="AG479" s="606"/>
    </row>
    <row r="480" spans="1:33" s="612" customFormat="1" hidden="1" outlineLevel="3" x14ac:dyDescent="0.2">
      <c r="A480" s="606"/>
      <c r="B480" s="606"/>
      <c r="C480" s="607"/>
      <c r="D480" s="608"/>
      <c r="E480" s="608"/>
      <c r="F480" s="608"/>
      <c r="G480" s="608"/>
      <c r="H480" s="609"/>
      <c r="I480" s="610"/>
      <c r="J480" s="610"/>
      <c r="K480" s="610"/>
      <c r="L480" s="610"/>
      <c r="M480" s="610"/>
      <c r="N480" s="610"/>
      <c r="O480" s="610"/>
      <c r="P480" s="610"/>
      <c r="Q480" s="610"/>
      <c r="R480" s="610"/>
      <c r="S480" s="610"/>
      <c r="T480" s="610"/>
      <c r="U480" s="610"/>
      <c r="V480" s="610"/>
      <c r="W480" s="610"/>
      <c r="X480" s="610"/>
      <c r="Y480" s="610"/>
      <c r="Z480" s="610"/>
      <c r="AA480" s="610"/>
      <c r="AB480" s="610"/>
      <c r="AC480" s="611"/>
      <c r="AD480" s="606"/>
      <c r="AE480" s="606"/>
      <c r="AF480" s="606"/>
      <c r="AG480" s="606"/>
    </row>
    <row r="481" spans="1:33" s="612" customFormat="1" hidden="1" outlineLevel="3" x14ac:dyDescent="0.2">
      <c r="A481" s="606"/>
      <c r="B481" s="606"/>
      <c r="C481" s="607"/>
      <c r="D481" s="608"/>
      <c r="E481" s="608"/>
      <c r="F481" s="608"/>
      <c r="G481" s="608"/>
      <c r="H481" s="609"/>
      <c r="I481" s="610"/>
      <c r="J481" s="610"/>
      <c r="K481" s="610"/>
      <c r="L481" s="610"/>
      <c r="M481" s="610"/>
      <c r="N481" s="610"/>
      <c r="O481" s="610"/>
      <c r="P481" s="610"/>
      <c r="Q481" s="610"/>
      <c r="R481" s="610"/>
      <c r="S481" s="610"/>
      <c r="T481" s="610"/>
      <c r="U481" s="610"/>
      <c r="V481" s="610"/>
      <c r="W481" s="610"/>
      <c r="X481" s="610"/>
      <c r="Y481" s="610"/>
      <c r="Z481" s="610"/>
      <c r="AA481" s="610"/>
      <c r="AB481" s="610"/>
      <c r="AC481" s="611"/>
      <c r="AD481" s="606"/>
      <c r="AE481" s="606"/>
      <c r="AF481" s="606"/>
      <c r="AG481" s="606"/>
    </row>
    <row r="482" spans="1:33" s="612" customFormat="1" hidden="1" outlineLevel="3" x14ac:dyDescent="0.2">
      <c r="A482" s="606"/>
      <c r="B482" s="606"/>
      <c r="C482" s="607"/>
      <c r="D482" s="608"/>
      <c r="E482" s="608"/>
      <c r="F482" s="608"/>
      <c r="G482" s="608"/>
      <c r="H482" s="609"/>
      <c r="I482" s="610"/>
      <c r="J482" s="610"/>
      <c r="K482" s="610"/>
      <c r="L482" s="610"/>
      <c r="M482" s="610"/>
      <c r="N482" s="610"/>
      <c r="O482" s="610"/>
      <c r="P482" s="610"/>
      <c r="Q482" s="610"/>
      <c r="R482" s="610"/>
      <c r="S482" s="610"/>
      <c r="T482" s="610"/>
      <c r="U482" s="610"/>
      <c r="V482" s="610"/>
      <c r="W482" s="610"/>
      <c r="X482" s="610"/>
      <c r="Y482" s="610"/>
      <c r="Z482" s="610"/>
      <c r="AA482" s="610"/>
      <c r="AB482" s="610"/>
      <c r="AC482" s="611"/>
      <c r="AD482" s="606"/>
      <c r="AE482" s="606"/>
      <c r="AF482" s="606"/>
      <c r="AG482" s="606"/>
    </row>
    <row r="483" spans="1:33" s="612" customFormat="1" hidden="1" outlineLevel="3" x14ac:dyDescent="0.2">
      <c r="A483" s="606"/>
      <c r="B483" s="606"/>
      <c r="C483" s="607"/>
      <c r="D483" s="608"/>
      <c r="E483" s="608"/>
      <c r="F483" s="608"/>
      <c r="G483" s="608"/>
      <c r="H483" s="609"/>
      <c r="I483" s="610"/>
      <c r="J483" s="610"/>
      <c r="K483" s="610"/>
      <c r="L483" s="610"/>
      <c r="M483" s="610"/>
      <c r="N483" s="610"/>
      <c r="O483" s="610"/>
      <c r="P483" s="610"/>
      <c r="Q483" s="610"/>
      <c r="R483" s="610"/>
      <c r="S483" s="610"/>
      <c r="T483" s="610"/>
      <c r="U483" s="610"/>
      <c r="V483" s="610"/>
      <c r="W483" s="610"/>
      <c r="X483" s="610"/>
      <c r="Y483" s="610"/>
      <c r="Z483" s="610"/>
      <c r="AA483" s="610"/>
      <c r="AB483" s="610"/>
      <c r="AC483" s="611"/>
      <c r="AD483" s="606"/>
      <c r="AE483" s="606"/>
      <c r="AF483" s="606"/>
      <c r="AG483" s="606"/>
    </row>
    <row r="484" spans="1:33" s="612" customFormat="1" hidden="1" outlineLevel="3" x14ac:dyDescent="0.2">
      <c r="A484" s="606"/>
      <c r="B484" s="606"/>
      <c r="C484" s="607"/>
      <c r="D484" s="608"/>
      <c r="E484" s="608"/>
      <c r="F484" s="608"/>
      <c r="G484" s="608"/>
      <c r="H484" s="609"/>
      <c r="I484" s="610"/>
      <c r="J484" s="610"/>
      <c r="K484" s="610"/>
      <c r="L484" s="610"/>
      <c r="M484" s="610"/>
      <c r="N484" s="610"/>
      <c r="O484" s="610"/>
      <c r="P484" s="610"/>
      <c r="Q484" s="610"/>
      <c r="R484" s="610"/>
      <c r="S484" s="610"/>
      <c r="T484" s="610"/>
      <c r="U484" s="610"/>
      <c r="V484" s="610"/>
      <c r="W484" s="610"/>
      <c r="X484" s="610"/>
      <c r="Y484" s="610"/>
      <c r="Z484" s="610"/>
      <c r="AA484" s="610"/>
      <c r="AB484" s="610"/>
      <c r="AC484" s="611"/>
      <c r="AD484" s="606"/>
      <c r="AE484" s="606"/>
      <c r="AF484" s="606"/>
      <c r="AG484" s="606"/>
    </row>
    <row r="485" spans="1:33" s="612" customFormat="1" hidden="1" outlineLevel="3" x14ac:dyDescent="0.2">
      <c r="A485" s="606"/>
      <c r="B485" s="606"/>
      <c r="C485" s="607"/>
      <c r="D485" s="608"/>
      <c r="E485" s="608"/>
      <c r="F485" s="608"/>
      <c r="G485" s="608"/>
      <c r="H485" s="609"/>
      <c r="I485" s="610"/>
      <c r="J485" s="610"/>
      <c r="K485" s="610"/>
      <c r="L485" s="610"/>
      <c r="M485" s="610"/>
      <c r="N485" s="610"/>
      <c r="O485" s="610"/>
      <c r="P485" s="610"/>
      <c r="Q485" s="610"/>
      <c r="R485" s="610"/>
      <c r="S485" s="610"/>
      <c r="T485" s="610"/>
      <c r="U485" s="610"/>
      <c r="V485" s="610"/>
      <c r="W485" s="610"/>
      <c r="X485" s="610"/>
      <c r="Y485" s="610"/>
      <c r="Z485" s="610"/>
      <c r="AA485" s="610"/>
      <c r="AB485" s="610"/>
      <c r="AC485" s="611"/>
      <c r="AD485" s="606"/>
      <c r="AE485" s="606"/>
      <c r="AF485" s="606"/>
      <c r="AG485" s="606"/>
    </row>
    <row r="486" spans="1:33" s="612" customFormat="1" hidden="1" outlineLevel="3" x14ac:dyDescent="0.2">
      <c r="A486" s="606"/>
      <c r="B486" s="606"/>
      <c r="C486" s="607"/>
      <c r="D486" s="608"/>
      <c r="E486" s="608"/>
      <c r="F486" s="608"/>
      <c r="G486" s="608"/>
      <c r="H486" s="609"/>
      <c r="I486" s="610"/>
      <c r="J486" s="610"/>
      <c r="K486" s="610"/>
      <c r="L486" s="610"/>
      <c r="M486" s="610"/>
      <c r="N486" s="610"/>
      <c r="O486" s="610"/>
      <c r="P486" s="610"/>
      <c r="Q486" s="610"/>
      <c r="R486" s="610"/>
      <c r="S486" s="610"/>
      <c r="T486" s="610"/>
      <c r="U486" s="610"/>
      <c r="V486" s="610"/>
      <c r="W486" s="610"/>
      <c r="X486" s="610"/>
      <c r="Y486" s="610"/>
      <c r="Z486" s="610"/>
      <c r="AA486" s="610"/>
      <c r="AB486" s="610"/>
      <c r="AC486" s="611"/>
      <c r="AD486" s="606"/>
      <c r="AE486" s="606"/>
      <c r="AF486" s="606"/>
      <c r="AG486" s="606"/>
    </row>
    <row r="487" spans="1:33" s="612" customFormat="1" hidden="1" outlineLevel="3" x14ac:dyDescent="0.2">
      <c r="A487" s="606"/>
      <c r="B487" s="606"/>
      <c r="C487" s="607"/>
      <c r="D487" s="608"/>
      <c r="E487" s="608"/>
      <c r="F487" s="608"/>
      <c r="G487" s="608"/>
      <c r="H487" s="609"/>
      <c r="I487" s="610"/>
      <c r="J487" s="610"/>
      <c r="K487" s="610"/>
      <c r="L487" s="610"/>
      <c r="M487" s="610"/>
      <c r="N487" s="610"/>
      <c r="O487" s="610"/>
      <c r="P487" s="610"/>
      <c r="Q487" s="610"/>
      <c r="R487" s="610"/>
      <c r="S487" s="610"/>
      <c r="T487" s="610"/>
      <c r="U487" s="610"/>
      <c r="V487" s="610"/>
      <c r="W487" s="610"/>
      <c r="X487" s="610"/>
      <c r="Y487" s="610"/>
      <c r="Z487" s="610"/>
      <c r="AA487" s="610"/>
      <c r="AB487" s="610"/>
      <c r="AC487" s="611"/>
      <c r="AD487" s="606"/>
      <c r="AE487" s="606"/>
      <c r="AF487" s="606"/>
      <c r="AG487" s="606"/>
    </row>
    <row r="488" spans="1:33" s="612" customFormat="1" hidden="1" outlineLevel="3" x14ac:dyDescent="0.2">
      <c r="A488" s="606"/>
      <c r="B488" s="606"/>
      <c r="C488" s="607"/>
      <c r="D488" s="608"/>
      <c r="E488" s="608"/>
      <c r="F488" s="608"/>
      <c r="G488" s="608"/>
      <c r="H488" s="609"/>
      <c r="I488" s="610"/>
      <c r="J488" s="610"/>
      <c r="K488" s="610"/>
      <c r="L488" s="610"/>
      <c r="M488" s="610"/>
      <c r="N488" s="610"/>
      <c r="O488" s="610"/>
      <c r="P488" s="610"/>
      <c r="Q488" s="610"/>
      <c r="R488" s="610"/>
      <c r="S488" s="610"/>
      <c r="T488" s="610"/>
      <c r="U488" s="610"/>
      <c r="V488" s="610"/>
      <c r="W488" s="610"/>
      <c r="X488" s="610"/>
      <c r="Y488" s="610"/>
      <c r="Z488" s="610"/>
      <c r="AA488" s="610"/>
      <c r="AB488" s="610"/>
      <c r="AC488" s="611"/>
      <c r="AD488" s="606"/>
      <c r="AE488" s="606"/>
      <c r="AF488" s="606"/>
      <c r="AG488" s="606"/>
    </row>
    <row r="489" spans="1:33" s="612" customFormat="1" hidden="1" outlineLevel="3" x14ac:dyDescent="0.2">
      <c r="A489" s="606"/>
      <c r="B489" s="606"/>
      <c r="C489" s="607"/>
      <c r="D489" s="608"/>
      <c r="E489" s="608"/>
      <c r="F489" s="608"/>
      <c r="G489" s="608"/>
      <c r="H489" s="609"/>
      <c r="I489" s="610"/>
      <c r="J489" s="610"/>
      <c r="K489" s="610"/>
      <c r="L489" s="610"/>
      <c r="M489" s="610"/>
      <c r="N489" s="610"/>
      <c r="O489" s="610"/>
      <c r="P489" s="610"/>
      <c r="Q489" s="610"/>
      <c r="R489" s="610"/>
      <c r="S489" s="610"/>
      <c r="T489" s="610"/>
      <c r="U489" s="610"/>
      <c r="V489" s="610"/>
      <c r="W489" s="610"/>
      <c r="X489" s="610"/>
      <c r="Y489" s="610"/>
      <c r="Z489" s="610"/>
      <c r="AA489" s="610"/>
      <c r="AB489" s="610"/>
      <c r="AC489" s="611"/>
      <c r="AD489" s="606"/>
      <c r="AE489" s="606"/>
      <c r="AF489" s="606"/>
      <c r="AG489" s="606"/>
    </row>
    <row r="490" spans="1:33" s="612" customFormat="1" hidden="1" outlineLevel="3" x14ac:dyDescent="0.2">
      <c r="A490" s="606"/>
      <c r="B490" s="606"/>
      <c r="C490" s="607"/>
      <c r="D490" s="608"/>
      <c r="E490" s="608"/>
      <c r="F490" s="608"/>
      <c r="G490" s="608"/>
      <c r="H490" s="609"/>
      <c r="I490" s="610"/>
      <c r="J490" s="610"/>
      <c r="K490" s="610"/>
      <c r="L490" s="610"/>
      <c r="M490" s="610"/>
      <c r="N490" s="610"/>
      <c r="O490" s="610"/>
      <c r="P490" s="610"/>
      <c r="Q490" s="610"/>
      <c r="R490" s="610"/>
      <c r="S490" s="610"/>
      <c r="T490" s="610"/>
      <c r="U490" s="610"/>
      <c r="V490" s="610"/>
      <c r="W490" s="610"/>
      <c r="X490" s="610"/>
      <c r="Y490" s="610"/>
      <c r="Z490" s="610"/>
      <c r="AA490" s="610"/>
      <c r="AB490" s="610"/>
      <c r="AC490" s="611"/>
      <c r="AD490" s="606"/>
      <c r="AE490" s="606"/>
      <c r="AF490" s="606"/>
      <c r="AG490" s="606"/>
    </row>
    <row r="491" spans="1:33" s="612" customFormat="1" hidden="1" outlineLevel="3" x14ac:dyDescent="0.2">
      <c r="A491" s="606"/>
      <c r="B491" s="606"/>
      <c r="C491" s="607"/>
      <c r="D491" s="608"/>
      <c r="E491" s="608"/>
      <c r="F491" s="608"/>
      <c r="G491" s="608"/>
      <c r="H491" s="609"/>
      <c r="I491" s="610"/>
      <c r="J491" s="610"/>
      <c r="K491" s="610"/>
      <c r="L491" s="610"/>
      <c r="M491" s="610"/>
      <c r="N491" s="610"/>
      <c r="O491" s="610"/>
      <c r="P491" s="610"/>
      <c r="Q491" s="610"/>
      <c r="R491" s="610"/>
      <c r="S491" s="610"/>
      <c r="T491" s="610"/>
      <c r="U491" s="610"/>
      <c r="V491" s="610"/>
      <c r="W491" s="610"/>
      <c r="X491" s="610"/>
      <c r="Y491" s="610"/>
      <c r="Z491" s="610"/>
      <c r="AA491" s="610"/>
      <c r="AB491" s="610"/>
      <c r="AC491" s="611"/>
      <c r="AD491" s="606"/>
      <c r="AE491" s="606"/>
      <c r="AF491" s="606"/>
      <c r="AG491" s="606"/>
    </row>
    <row r="492" spans="1:33" s="612" customFormat="1" hidden="1" outlineLevel="3" x14ac:dyDescent="0.2">
      <c r="A492" s="606"/>
      <c r="B492" s="606"/>
      <c r="C492" s="607"/>
      <c r="D492" s="608"/>
      <c r="E492" s="608"/>
      <c r="F492" s="608"/>
      <c r="G492" s="608"/>
      <c r="H492" s="609"/>
      <c r="I492" s="610"/>
      <c r="J492" s="610"/>
      <c r="K492" s="610"/>
      <c r="L492" s="610"/>
      <c r="M492" s="610"/>
      <c r="N492" s="610"/>
      <c r="O492" s="610"/>
      <c r="P492" s="610"/>
      <c r="Q492" s="610"/>
      <c r="R492" s="610"/>
      <c r="S492" s="610"/>
      <c r="T492" s="610"/>
      <c r="U492" s="610"/>
      <c r="V492" s="610"/>
      <c r="W492" s="610"/>
      <c r="X492" s="610"/>
      <c r="Y492" s="610"/>
      <c r="Z492" s="610"/>
      <c r="AA492" s="610"/>
      <c r="AB492" s="610"/>
      <c r="AC492" s="611"/>
      <c r="AD492" s="606"/>
      <c r="AE492" s="606"/>
      <c r="AF492" s="606"/>
      <c r="AG492" s="606"/>
    </row>
    <row r="493" spans="1:33" s="612" customFormat="1" hidden="1" outlineLevel="3" x14ac:dyDescent="0.2">
      <c r="A493" s="606"/>
      <c r="B493" s="606"/>
      <c r="C493" s="607"/>
      <c r="D493" s="608"/>
      <c r="E493" s="608"/>
      <c r="F493" s="608"/>
      <c r="G493" s="608"/>
      <c r="H493" s="609"/>
      <c r="I493" s="610"/>
      <c r="J493" s="610"/>
      <c r="K493" s="610"/>
      <c r="L493" s="610"/>
      <c r="M493" s="610"/>
      <c r="N493" s="610"/>
      <c r="O493" s="610"/>
      <c r="P493" s="610"/>
      <c r="Q493" s="610"/>
      <c r="R493" s="610"/>
      <c r="S493" s="610"/>
      <c r="T493" s="610"/>
      <c r="U493" s="610"/>
      <c r="V493" s="610"/>
      <c r="W493" s="610"/>
      <c r="X493" s="610"/>
      <c r="Y493" s="610"/>
      <c r="Z493" s="610"/>
      <c r="AA493" s="610"/>
      <c r="AB493" s="610"/>
      <c r="AC493" s="611"/>
      <c r="AD493" s="606"/>
      <c r="AE493" s="606"/>
      <c r="AF493" s="606"/>
      <c r="AG493" s="606"/>
    </row>
    <row r="494" spans="1:33" s="612" customFormat="1" hidden="1" outlineLevel="3" x14ac:dyDescent="0.2">
      <c r="A494" s="606"/>
      <c r="B494" s="606"/>
      <c r="C494" s="607"/>
      <c r="D494" s="608"/>
      <c r="E494" s="608"/>
      <c r="F494" s="608"/>
      <c r="G494" s="608"/>
      <c r="H494" s="609"/>
      <c r="I494" s="610"/>
      <c r="J494" s="610"/>
      <c r="K494" s="610"/>
      <c r="L494" s="610"/>
      <c r="M494" s="610"/>
      <c r="N494" s="610"/>
      <c r="O494" s="610"/>
      <c r="P494" s="610"/>
      <c r="Q494" s="610"/>
      <c r="R494" s="610"/>
      <c r="S494" s="610"/>
      <c r="T494" s="610"/>
      <c r="U494" s="610"/>
      <c r="V494" s="610"/>
      <c r="W494" s="610"/>
      <c r="X494" s="610"/>
      <c r="Y494" s="610"/>
      <c r="Z494" s="610"/>
      <c r="AA494" s="610"/>
      <c r="AB494" s="610"/>
      <c r="AC494" s="611"/>
      <c r="AD494" s="606"/>
      <c r="AE494" s="606"/>
      <c r="AF494" s="606"/>
      <c r="AG494" s="606"/>
    </row>
    <row r="495" spans="1:33" s="612" customFormat="1" hidden="1" outlineLevel="3" x14ac:dyDescent="0.2">
      <c r="A495" s="606"/>
      <c r="B495" s="606"/>
      <c r="C495" s="607"/>
      <c r="D495" s="608"/>
      <c r="E495" s="608"/>
      <c r="F495" s="608"/>
      <c r="G495" s="608"/>
      <c r="H495" s="609"/>
      <c r="I495" s="610"/>
      <c r="J495" s="610"/>
      <c r="K495" s="610"/>
      <c r="L495" s="610"/>
      <c r="M495" s="610"/>
      <c r="N495" s="610"/>
      <c r="O495" s="610"/>
      <c r="P495" s="610"/>
      <c r="Q495" s="610"/>
      <c r="R495" s="610"/>
      <c r="S495" s="610"/>
      <c r="T495" s="610"/>
      <c r="U495" s="610"/>
      <c r="V495" s="610"/>
      <c r="W495" s="610"/>
      <c r="X495" s="610"/>
      <c r="Y495" s="610"/>
      <c r="Z495" s="610"/>
      <c r="AA495" s="610"/>
      <c r="AB495" s="610"/>
      <c r="AC495" s="611"/>
      <c r="AD495" s="606"/>
      <c r="AE495" s="606"/>
      <c r="AF495" s="606"/>
      <c r="AG495" s="606"/>
    </row>
    <row r="496" spans="1:33" s="612" customFormat="1" hidden="1" outlineLevel="3" x14ac:dyDescent="0.2">
      <c r="A496" s="606"/>
      <c r="B496" s="606"/>
      <c r="C496" s="607"/>
      <c r="D496" s="608"/>
      <c r="E496" s="608"/>
      <c r="F496" s="608"/>
      <c r="G496" s="608"/>
      <c r="H496" s="609"/>
      <c r="I496" s="610"/>
      <c r="J496" s="610"/>
      <c r="K496" s="610"/>
      <c r="L496" s="610"/>
      <c r="M496" s="610"/>
      <c r="N496" s="610"/>
      <c r="O496" s="610"/>
      <c r="P496" s="610"/>
      <c r="Q496" s="610"/>
      <c r="R496" s="610"/>
      <c r="S496" s="610"/>
      <c r="T496" s="610"/>
      <c r="U496" s="610"/>
      <c r="V496" s="610"/>
      <c r="W496" s="610"/>
      <c r="X496" s="610"/>
      <c r="Y496" s="610"/>
      <c r="Z496" s="610"/>
      <c r="AA496" s="610"/>
      <c r="AB496" s="610"/>
      <c r="AC496" s="611"/>
      <c r="AD496" s="606"/>
      <c r="AE496" s="606"/>
      <c r="AF496" s="606"/>
      <c r="AG496" s="606"/>
    </row>
    <row r="497" spans="1:33" s="612" customFormat="1" hidden="1" outlineLevel="3" x14ac:dyDescent="0.2">
      <c r="A497" s="606"/>
      <c r="B497" s="606"/>
      <c r="C497" s="607"/>
      <c r="D497" s="608"/>
      <c r="E497" s="608"/>
      <c r="F497" s="608"/>
      <c r="G497" s="608"/>
      <c r="H497" s="609"/>
      <c r="I497" s="610"/>
      <c r="J497" s="610"/>
      <c r="K497" s="610"/>
      <c r="L497" s="610"/>
      <c r="M497" s="610"/>
      <c r="N497" s="610"/>
      <c r="O497" s="610"/>
      <c r="P497" s="610"/>
      <c r="Q497" s="610"/>
      <c r="R497" s="610"/>
      <c r="S497" s="610"/>
      <c r="T497" s="610"/>
      <c r="U497" s="610"/>
      <c r="V497" s="610"/>
      <c r="W497" s="610"/>
      <c r="X497" s="610"/>
      <c r="Y497" s="610"/>
      <c r="Z497" s="610"/>
      <c r="AA497" s="610"/>
      <c r="AB497" s="610"/>
      <c r="AC497" s="611"/>
      <c r="AD497" s="606"/>
      <c r="AE497" s="606"/>
      <c r="AF497" s="606"/>
      <c r="AG497" s="606"/>
    </row>
    <row r="498" spans="1:33" s="612" customFormat="1" hidden="1" outlineLevel="3" x14ac:dyDescent="0.2">
      <c r="A498" s="606"/>
      <c r="B498" s="606"/>
      <c r="C498" s="607"/>
      <c r="D498" s="608"/>
      <c r="E498" s="608"/>
      <c r="F498" s="608"/>
      <c r="G498" s="608"/>
      <c r="H498" s="609"/>
      <c r="I498" s="610"/>
      <c r="J498" s="610"/>
      <c r="K498" s="610"/>
      <c r="L498" s="610"/>
      <c r="M498" s="610"/>
      <c r="N498" s="610"/>
      <c r="O498" s="610"/>
      <c r="P498" s="610"/>
      <c r="Q498" s="610"/>
      <c r="R498" s="610"/>
      <c r="S498" s="610"/>
      <c r="T498" s="610"/>
      <c r="U498" s="610"/>
      <c r="V498" s="610"/>
      <c r="W498" s="610"/>
      <c r="X498" s="610"/>
      <c r="Y498" s="610"/>
      <c r="Z498" s="610"/>
      <c r="AA498" s="610"/>
      <c r="AB498" s="610"/>
      <c r="AC498" s="611"/>
      <c r="AD498" s="606"/>
      <c r="AE498" s="606"/>
      <c r="AF498" s="606"/>
      <c r="AG498" s="606"/>
    </row>
    <row r="499" spans="1:33" s="612" customFormat="1" hidden="1" outlineLevel="3" x14ac:dyDescent="0.2">
      <c r="A499" s="606"/>
      <c r="B499" s="606"/>
      <c r="C499" s="607"/>
      <c r="D499" s="608"/>
      <c r="E499" s="608"/>
      <c r="F499" s="608"/>
      <c r="G499" s="608"/>
      <c r="H499" s="609"/>
      <c r="I499" s="610"/>
      <c r="J499" s="610"/>
      <c r="K499" s="610"/>
      <c r="L499" s="610"/>
      <c r="M499" s="610"/>
      <c r="N499" s="610"/>
      <c r="O499" s="610"/>
      <c r="P499" s="610"/>
      <c r="Q499" s="610"/>
      <c r="R499" s="610"/>
      <c r="S499" s="610"/>
      <c r="T499" s="610"/>
      <c r="U499" s="610"/>
      <c r="V499" s="610"/>
      <c r="W499" s="610"/>
      <c r="X499" s="610"/>
      <c r="Y499" s="610"/>
      <c r="Z499" s="610"/>
      <c r="AA499" s="610"/>
      <c r="AB499" s="610"/>
      <c r="AC499" s="611"/>
      <c r="AD499" s="606"/>
      <c r="AE499" s="606"/>
      <c r="AF499" s="606"/>
      <c r="AG499" s="606"/>
    </row>
    <row r="500" spans="1:33" s="612" customFormat="1" hidden="1" outlineLevel="3" x14ac:dyDescent="0.2">
      <c r="A500" s="606"/>
      <c r="B500" s="606"/>
      <c r="C500" s="607"/>
      <c r="D500" s="608"/>
      <c r="E500" s="608"/>
      <c r="F500" s="608"/>
      <c r="G500" s="608"/>
      <c r="H500" s="609"/>
      <c r="I500" s="610"/>
      <c r="J500" s="610"/>
      <c r="K500" s="610"/>
      <c r="L500" s="610"/>
      <c r="M500" s="610"/>
      <c r="N500" s="610"/>
      <c r="O500" s="610"/>
      <c r="P500" s="610"/>
      <c r="Q500" s="610"/>
      <c r="R500" s="610"/>
      <c r="S500" s="610"/>
      <c r="T500" s="610"/>
      <c r="U500" s="610"/>
      <c r="V500" s="610"/>
      <c r="W500" s="610"/>
      <c r="X500" s="610"/>
      <c r="Y500" s="610"/>
      <c r="Z500" s="610"/>
      <c r="AA500" s="610"/>
      <c r="AB500" s="610"/>
      <c r="AC500" s="611"/>
      <c r="AD500" s="606"/>
      <c r="AE500" s="606"/>
      <c r="AF500" s="606"/>
      <c r="AG500" s="606"/>
    </row>
    <row r="501" spans="1:33" s="612" customFormat="1" hidden="1" outlineLevel="3" x14ac:dyDescent="0.2">
      <c r="A501" s="606"/>
      <c r="B501" s="606"/>
      <c r="C501" s="607"/>
      <c r="D501" s="608"/>
      <c r="E501" s="608"/>
      <c r="F501" s="608"/>
      <c r="G501" s="608"/>
      <c r="H501" s="609"/>
      <c r="I501" s="610"/>
      <c r="J501" s="610"/>
      <c r="K501" s="610"/>
      <c r="L501" s="610"/>
      <c r="M501" s="610"/>
      <c r="N501" s="610"/>
      <c r="O501" s="610"/>
      <c r="P501" s="610"/>
      <c r="Q501" s="610"/>
      <c r="R501" s="610"/>
      <c r="S501" s="610"/>
      <c r="T501" s="610"/>
      <c r="U501" s="610"/>
      <c r="V501" s="610"/>
      <c r="W501" s="610"/>
      <c r="X501" s="610"/>
      <c r="Y501" s="610"/>
      <c r="Z501" s="610"/>
      <c r="AA501" s="610"/>
      <c r="AB501" s="610"/>
      <c r="AC501" s="611"/>
      <c r="AD501" s="606"/>
      <c r="AE501" s="606"/>
      <c r="AF501" s="606"/>
      <c r="AG501" s="606"/>
    </row>
    <row r="502" spans="1:33" s="612" customFormat="1" hidden="1" outlineLevel="3" x14ac:dyDescent="0.2">
      <c r="A502" s="606"/>
      <c r="B502" s="606"/>
      <c r="C502" s="607"/>
      <c r="D502" s="608"/>
      <c r="E502" s="608"/>
      <c r="F502" s="608"/>
      <c r="G502" s="608"/>
      <c r="H502" s="609"/>
      <c r="I502" s="610"/>
      <c r="J502" s="610"/>
      <c r="K502" s="610"/>
      <c r="L502" s="610"/>
      <c r="M502" s="610"/>
      <c r="N502" s="610"/>
      <c r="O502" s="610"/>
      <c r="P502" s="610"/>
      <c r="Q502" s="610"/>
      <c r="R502" s="610"/>
      <c r="S502" s="610"/>
      <c r="T502" s="610"/>
      <c r="U502" s="610"/>
      <c r="V502" s="610"/>
      <c r="W502" s="610"/>
      <c r="X502" s="610"/>
      <c r="Y502" s="610"/>
      <c r="Z502" s="610"/>
      <c r="AA502" s="610"/>
      <c r="AB502" s="610"/>
      <c r="AC502" s="611"/>
      <c r="AD502" s="606"/>
      <c r="AE502" s="606"/>
      <c r="AF502" s="606"/>
      <c r="AG502" s="606"/>
    </row>
    <row r="503" spans="1:33" s="612" customFormat="1" hidden="1" outlineLevel="3" x14ac:dyDescent="0.2">
      <c r="A503" s="606"/>
      <c r="B503" s="606"/>
      <c r="C503" s="607"/>
      <c r="D503" s="608"/>
      <c r="E503" s="608"/>
      <c r="F503" s="608"/>
      <c r="G503" s="608"/>
      <c r="H503" s="609"/>
      <c r="I503" s="610"/>
      <c r="J503" s="610"/>
      <c r="K503" s="610"/>
      <c r="L503" s="610"/>
      <c r="M503" s="610"/>
      <c r="N503" s="610"/>
      <c r="O503" s="610"/>
      <c r="P503" s="610"/>
      <c r="Q503" s="610"/>
      <c r="R503" s="610"/>
      <c r="S503" s="610"/>
      <c r="T503" s="610"/>
      <c r="U503" s="610"/>
      <c r="V503" s="610"/>
      <c r="W503" s="610"/>
      <c r="X503" s="610"/>
      <c r="Y503" s="610"/>
      <c r="Z503" s="610"/>
      <c r="AA503" s="610"/>
      <c r="AB503" s="610"/>
      <c r="AC503" s="611"/>
      <c r="AD503" s="606"/>
      <c r="AE503" s="606"/>
      <c r="AF503" s="606"/>
      <c r="AG503" s="606"/>
    </row>
    <row r="504" spans="1:33" s="612" customFormat="1" hidden="1" outlineLevel="3" x14ac:dyDescent="0.2">
      <c r="A504" s="606"/>
      <c r="B504" s="606"/>
      <c r="C504" s="607"/>
      <c r="D504" s="608"/>
      <c r="E504" s="608"/>
      <c r="F504" s="608"/>
      <c r="G504" s="608"/>
      <c r="H504" s="609"/>
      <c r="I504" s="610"/>
      <c r="J504" s="610"/>
      <c r="K504" s="610"/>
      <c r="L504" s="610"/>
      <c r="M504" s="610"/>
      <c r="N504" s="610"/>
      <c r="O504" s="610"/>
      <c r="P504" s="610"/>
      <c r="Q504" s="610"/>
      <c r="R504" s="610"/>
      <c r="S504" s="610"/>
      <c r="T504" s="610"/>
      <c r="U504" s="610"/>
      <c r="V504" s="610"/>
      <c r="W504" s="610"/>
      <c r="X504" s="610"/>
      <c r="Y504" s="610"/>
      <c r="Z504" s="610"/>
      <c r="AA504" s="610"/>
      <c r="AB504" s="610"/>
      <c r="AC504" s="611"/>
      <c r="AD504" s="606"/>
      <c r="AE504" s="606"/>
      <c r="AF504" s="606"/>
      <c r="AG504" s="606"/>
    </row>
    <row r="505" spans="1:33" s="612" customFormat="1" hidden="1" outlineLevel="3" x14ac:dyDescent="0.2">
      <c r="A505" s="606"/>
      <c r="B505" s="606"/>
      <c r="C505" s="607"/>
      <c r="D505" s="608"/>
      <c r="E505" s="608"/>
      <c r="F505" s="608"/>
      <c r="G505" s="608"/>
      <c r="H505" s="609"/>
      <c r="I505" s="610"/>
      <c r="J505" s="610"/>
      <c r="K505" s="610"/>
      <c r="L505" s="610"/>
      <c r="M505" s="610"/>
      <c r="N505" s="610"/>
      <c r="O505" s="610"/>
      <c r="P505" s="610"/>
      <c r="Q505" s="610"/>
      <c r="R505" s="610"/>
      <c r="S505" s="610"/>
      <c r="T505" s="610"/>
      <c r="U505" s="610"/>
      <c r="V505" s="610"/>
      <c r="W505" s="610"/>
      <c r="X505" s="610"/>
      <c r="Y505" s="610"/>
      <c r="Z505" s="610"/>
      <c r="AA505" s="610"/>
      <c r="AB505" s="610"/>
      <c r="AC505" s="611"/>
      <c r="AD505" s="606"/>
      <c r="AE505" s="606"/>
      <c r="AF505" s="606"/>
      <c r="AG505" s="606"/>
    </row>
    <row r="506" spans="1:33" s="612" customFormat="1" hidden="1" outlineLevel="3" x14ac:dyDescent="0.2">
      <c r="A506" s="606"/>
      <c r="B506" s="606"/>
      <c r="C506" s="607"/>
      <c r="D506" s="608"/>
      <c r="E506" s="608"/>
      <c r="F506" s="608"/>
      <c r="G506" s="608"/>
      <c r="H506" s="609"/>
      <c r="I506" s="610"/>
      <c r="J506" s="610"/>
      <c r="K506" s="610"/>
      <c r="L506" s="610"/>
      <c r="M506" s="610"/>
      <c r="N506" s="610"/>
      <c r="O506" s="610"/>
      <c r="P506" s="610"/>
      <c r="Q506" s="610"/>
      <c r="R506" s="610"/>
      <c r="S506" s="610"/>
      <c r="T506" s="610"/>
      <c r="U506" s="610"/>
      <c r="V506" s="610"/>
      <c r="W506" s="610"/>
      <c r="X506" s="610"/>
      <c r="Y506" s="610"/>
      <c r="Z506" s="610"/>
      <c r="AA506" s="610"/>
      <c r="AB506" s="610"/>
      <c r="AC506" s="611"/>
      <c r="AD506" s="606"/>
      <c r="AE506" s="606"/>
      <c r="AF506" s="606"/>
      <c r="AG506" s="606"/>
    </row>
    <row r="507" spans="1:33" s="612" customFormat="1" hidden="1" outlineLevel="3" x14ac:dyDescent="0.2">
      <c r="A507" s="606"/>
      <c r="B507" s="606"/>
      <c r="C507" s="607"/>
      <c r="D507" s="608"/>
      <c r="E507" s="608"/>
      <c r="F507" s="608"/>
      <c r="G507" s="608"/>
      <c r="H507" s="609"/>
      <c r="I507" s="610"/>
      <c r="J507" s="610"/>
      <c r="K507" s="610"/>
      <c r="L507" s="610"/>
      <c r="M507" s="610"/>
      <c r="N507" s="610"/>
      <c r="O507" s="610"/>
      <c r="P507" s="610"/>
      <c r="Q507" s="610"/>
      <c r="R507" s="610"/>
      <c r="S507" s="610"/>
      <c r="T507" s="610"/>
      <c r="U507" s="610"/>
      <c r="V507" s="610"/>
      <c r="W507" s="610"/>
      <c r="X507" s="610"/>
      <c r="Y507" s="610"/>
      <c r="Z507" s="610"/>
      <c r="AA507" s="610"/>
      <c r="AB507" s="610"/>
      <c r="AC507" s="611"/>
      <c r="AD507" s="606"/>
      <c r="AE507" s="606"/>
      <c r="AF507" s="606"/>
      <c r="AG507" s="606"/>
    </row>
    <row r="508" spans="1:33" s="612" customFormat="1" hidden="1" outlineLevel="3" x14ac:dyDescent="0.2">
      <c r="A508" s="606"/>
      <c r="B508" s="606"/>
      <c r="C508" s="607"/>
      <c r="D508" s="608"/>
      <c r="E508" s="608"/>
      <c r="F508" s="608"/>
      <c r="G508" s="608"/>
      <c r="H508" s="609"/>
      <c r="I508" s="610"/>
      <c r="J508" s="610"/>
      <c r="K508" s="610"/>
      <c r="L508" s="610"/>
      <c r="M508" s="610"/>
      <c r="N508" s="610"/>
      <c r="O508" s="610"/>
      <c r="P508" s="610"/>
      <c r="Q508" s="610"/>
      <c r="R508" s="610"/>
      <c r="S508" s="610"/>
      <c r="T508" s="610"/>
      <c r="U508" s="610"/>
      <c r="V508" s="610"/>
      <c r="W508" s="610"/>
      <c r="X508" s="610"/>
      <c r="Y508" s="610"/>
      <c r="Z508" s="610"/>
      <c r="AA508" s="610"/>
      <c r="AB508" s="610"/>
      <c r="AC508" s="611"/>
      <c r="AD508" s="606"/>
      <c r="AE508" s="606"/>
      <c r="AF508" s="606"/>
      <c r="AG508" s="606"/>
    </row>
    <row r="509" spans="1:33" s="612" customFormat="1" hidden="1" outlineLevel="3" x14ac:dyDescent="0.2">
      <c r="A509" s="606"/>
      <c r="B509" s="606"/>
      <c r="C509" s="607"/>
      <c r="D509" s="608"/>
      <c r="E509" s="608"/>
      <c r="F509" s="608"/>
      <c r="G509" s="608"/>
      <c r="H509" s="609"/>
      <c r="I509" s="610"/>
      <c r="J509" s="610"/>
      <c r="K509" s="610"/>
      <c r="L509" s="610"/>
      <c r="M509" s="610"/>
      <c r="N509" s="610"/>
      <c r="O509" s="610"/>
      <c r="P509" s="610"/>
      <c r="Q509" s="610"/>
      <c r="R509" s="610"/>
      <c r="S509" s="610"/>
      <c r="T509" s="610"/>
      <c r="U509" s="610"/>
      <c r="V509" s="610"/>
      <c r="W509" s="610"/>
      <c r="X509" s="610"/>
      <c r="Y509" s="610"/>
      <c r="Z509" s="610"/>
      <c r="AA509" s="610"/>
      <c r="AB509" s="610"/>
      <c r="AC509" s="611"/>
      <c r="AD509" s="606"/>
      <c r="AE509" s="606"/>
      <c r="AF509" s="606"/>
      <c r="AG509" s="606"/>
    </row>
    <row r="510" spans="1:33" s="612" customFormat="1" hidden="1" outlineLevel="3" x14ac:dyDescent="0.2">
      <c r="A510" s="606"/>
      <c r="B510" s="606"/>
      <c r="C510" s="607"/>
      <c r="D510" s="608"/>
      <c r="E510" s="608"/>
      <c r="F510" s="608"/>
      <c r="G510" s="608"/>
      <c r="H510" s="609"/>
      <c r="I510" s="610"/>
      <c r="J510" s="610"/>
      <c r="K510" s="610"/>
      <c r="L510" s="610"/>
      <c r="M510" s="610"/>
      <c r="N510" s="610"/>
      <c r="O510" s="610"/>
      <c r="P510" s="610"/>
      <c r="Q510" s="610"/>
      <c r="R510" s="610"/>
      <c r="S510" s="610"/>
      <c r="T510" s="610"/>
      <c r="U510" s="610"/>
      <c r="V510" s="610"/>
      <c r="W510" s="610"/>
      <c r="X510" s="610"/>
      <c r="Y510" s="610"/>
      <c r="Z510" s="610"/>
      <c r="AA510" s="610"/>
      <c r="AB510" s="610"/>
      <c r="AC510" s="611"/>
      <c r="AD510" s="606"/>
      <c r="AE510" s="606"/>
      <c r="AF510" s="606"/>
      <c r="AG510" s="606"/>
    </row>
    <row r="511" spans="1:33" s="612" customFormat="1" hidden="1" outlineLevel="3" x14ac:dyDescent="0.2">
      <c r="A511" s="606"/>
      <c r="B511" s="606"/>
      <c r="C511" s="607"/>
      <c r="D511" s="608"/>
      <c r="E511" s="608"/>
      <c r="F511" s="608"/>
      <c r="G511" s="608"/>
      <c r="H511" s="609"/>
      <c r="I511" s="610"/>
      <c r="J511" s="610"/>
      <c r="K511" s="610"/>
      <c r="L511" s="610"/>
      <c r="M511" s="610"/>
      <c r="N511" s="610"/>
      <c r="O511" s="610"/>
      <c r="P511" s="610"/>
      <c r="Q511" s="610"/>
      <c r="R511" s="610"/>
      <c r="S511" s="610"/>
      <c r="T511" s="610"/>
      <c r="U511" s="610"/>
      <c r="V511" s="610"/>
      <c r="W511" s="610"/>
      <c r="X511" s="610"/>
      <c r="Y511" s="610"/>
      <c r="Z511" s="610"/>
      <c r="AA511" s="610"/>
      <c r="AB511" s="610"/>
      <c r="AC511" s="611"/>
      <c r="AD511" s="606"/>
      <c r="AE511" s="606"/>
      <c r="AF511" s="606"/>
      <c r="AG511" s="606"/>
    </row>
    <row r="512" spans="1:33" s="612" customFormat="1" hidden="1" outlineLevel="3" x14ac:dyDescent="0.2">
      <c r="A512" s="606"/>
      <c r="B512" s="606"/>
      <c r="C512" s="607"/>
      <c r="D512" s="608"/>
      <c r="E512" s="608"/>
      <c r="F512" s="608"/>
      <c r="G512" s="608"/>
      <c r="H512" s="609"/>
      <c r="I512" s="610"/>
      <c r="J512" s="610"/>
      <c r="K512" s="610"/>
      <c r="L512" s="610"/>
      <c r="M512" s="610"/>
      <c r="N512" s="610"/>
      <c r="O512" s="610"/>
      <c r="P512" s="610"/>
      <c r="Q512" s="610"/>
      <c r="R512" s="610"/>
      <c r="S512" s="610"/>
      <c r="T512" s="610"/>
      <c r="U512" s="610"/>
      <c r="V512" s="610"/>
      <c r="W512" s="610"/>
      <c r="X512" s="610"/>
      <c r="Y512" s="610"/>
      <c r="Z512" s="610"/>
      <c r="AA512" s="610"/>
      <c r="AB512" s="610"/>
      <c r="AC512" s="611"/>
      <c r="AD512" s="606"/>
      <c r="AE512" s="606"/>
      <c r="AF512" s="606"/>
      <c r="AG512" s="606"/>
    </row>
    <row r="513" spans="1:33" s="612" customFormat="1" hidden="1" outlineLevel="3" x14ac:dyDescent="0.2">
      <c r="A513" s="606"/>
      <c r="B513" s="606"/>
      <c r="C513" s="607"/>
      <c r="D513" s="608"/>
      <c r="E513" s="608"/>
      <c r="F513" s="608"/>
      <c r="G513" s="608"/>
      <c r="H513" s="609"/>
      <c r="I513" s="610"/>
      <c r="J513" s="610"/>
      <c r="K513" s="610"/>
      <c r="L513" s="610"/>
      <c r="M513" s="610"/>
      <c r="N513" s="610"/>
      <c r="O513" s="610"/>
      <c r="P513" s="610"/>
      <c r="Q513" s="610"/>
      <c r="R513" s="610"/>
      <c r="S513" s="610"/>
      <c r="T513" s="610"/>
      <c r="U513" s="610"/>
      <c r="V513" s="610"/>
      <c r="W513" s="610"/>
      <c r="X513" s="610"/>
      <c r="Y513" s="610"/>
      <c r="Z513" s="610"/>
      <c r="AA513" s="610"/>
      <c r="AB513" s="610"/>
      <c r="AC513" s="611"/>
      <c r="AD513" s="606"/>
      <c r="AE513" s="606"/>
      <c r="AF513" s="606"/>
      <c r="AG513" s="606"/>
    </row>
    <row r="514" spans="1:33" s="612" customFormat="1" hidden="1" outlineLevel="3" x14ac:dyDescent="0.2">
      <c r="A514" s="606"/>
      <c r="B514" s="606"/>
      <c r="C514" s="607"/>
      <c r="D514" s="608"/>
      <c r="E514" s="608"/>
      <c r="F514" s="608"/>
      <c r="G514" s="608"/>
      <c r="H514" s="609"/>
      <c r="I514" s="610"/>
      <c r="J514" s="610"/>
      <c r="K514" s="610"/>
      <c r="L514" s="610"/>
      <c r="M514" s="610"/>
      <c r="N514" s="610"/>
      <c r="O514" s="610"/>
      <c r="P514" s="610"/>
      <c r="Q514" s="610"/>
      <c r="R514" s="610"/>
      <c r="S514" s="610"/>
      <c r="T514" s="610"/>
      <c r="U514" s="610"/>
      <c r="V514" s="610"/>
      <c r="W514" s="610"/>
      <c r="X514" s="610"/>
      <c r="Y514" s="610"/>
      <c r="Z514" s="610"/>
      <c r="AA514" s="610"/>
      <c r="AB514" s="610"/>
      <c r="AC514" s="611"/>
      <c r="AD514" s="606"/>
      <c r="AE514" s="606"/>
      <c r="AF514" s="606"/>
      <c r="AG514" s="606"/>
    </row>
    <row r="515" spans="1:33" s="612" customFormat="1" hidden="1" outlineLevel="3" x14ac:dyDescent="0.2">
      <c r="A515" s="606"/>
      <c r="B515" s="606"/>
      <c r="C515" s="607"/>
      <c r="D515" s="608"/>
      <c r="E515" s="608"/>
      <c r="F515" s="608"/>
      <c r="G515" s="608"/>
      <c r="H515" s="609"/>
      <c r="I515" s="610"/>
      <c r="J515" s="610"/>
      <c r="K515" s="610"/>
      <c r="L515" s="610"/>
      <c r="M515" s="610"/>
      <c r="N515" s="610"/>
      <c r="O515" s="610"/>
      <c r="P515" s="610"/>
      <c r="Q515" s="610"/>
      <c r="R515" s="610"/>
      <c r="S515" s="610"/>
      <c r="T515" s="610"/>
      <c r="U515" s="610"/>
      <c r="V515" s="610"/>
      <c r="W515" s="610"/>
      <c r="X515" s="610"/>
      <c r="Y515" s="610"/>
      <c r="Z515" s="610"/>
      <c r="AA515" s="610"/>
      <c r="AB515" s="610"/>
      <c r="AC515" s="611"/>
      <c r="AD515" s="606"/>
      <c r="AE515" s="606"/>
      <c r="AF515" s="606"/>
      <c r="AG515" s="606"/>
    </row>
    <row r="516" spans="1:33" s="612" customFormat="1" hidden="1" outlineLevel="3" x14ac:dyDescent="0.2">
      <c r="A516" s="606"/>
      <c r="B516" s="606"/>
      <c r="C516" s="607"/>
      <c r="D516" s="608"/>
      <c r="E516" s="608"/>
      <c r="F516" s="608"/>
      <c r="G516" s="608"/>
      <c r="H516" s="609"/>
      <c r="I516" s="610"/>
      <c r="J516" s="610"/>
      <c r="K516" s="610"/>
      <c r="L516" s="610"/>
      <c r="M516" s="610"/>
      <c r="N516" s="610"/>
      <c r="O516" s="610"/>
      <c r="P516" s="610"/>
      <c r="Q516" s="610"/>
      <c r="R516" s="610"/>
      <c r="S516" s="610"/>
      <c r="T516" s="610"/>
      <c r="U516" s="610"/>
      <c r="V516" s="610"/>
      <c r="W516" s="610"/>
      <c r="X516" s="610"/>
      <c r="Y516" s="610"/>
      <c r="Z516" s="610"/>
      <c r="AA516" s="610"/>
      <c r="AB516" s="610"/>
      <c r="AC516" s="611"/>
      <c r="AD516" s="606"/>
      <c r="AE516" s="606"/>
      <c r="AF516" s="606"/>
      <c r="AG516" s="606"/>
    </row>
    <row r="517" spans="1:33" s="612" customFormat="1" hidden="1" outlineLevel="3" x14ac:dyDescent="0.2">
      <c r="A517" s="606"/>
      <c r="B517" s="606"/>
      <c r="C517" s="607"/>
      <c r="D517" s="608"/>
      <c r="E517" s="608"/>
      <c r="F517" s="608"/>
      <c r="G517" s="608"/>
      <c r="H517" s="609"/>
      <c r="I517" s="610"/>
      <c r="J517" s="610"/>
      <c r="K517" s="610"/>
      <c r="L517" s="610"/>
      <c r="M517" s="610"/>
      <c r="N517" s="610"/>
      <c r="O517" s="610"/>
      <c r="P517" s="610"/>
      <c r="Q517" s="610"/>
      <c r="R517" s="610"/>
      <c r="S517" s="610"/>
      <c r="T517" s="610"/>
      <c r="U517" s="610"/>
      <c r="V517" s="610"/>
      <c r="W517" s="610"/>
      <c r="X517" s="610"/>
      <c r="Y517" s="610"/>
      <c r="Z517" s="610"/>
      <c r="AA517" s="610"/>
      <c r="AB517" s="610"/>
      <c r="AC517" s="611"/>
      <c r="AD517" s="606"/>
      <c r="AE517" s="606"/>
      <c r="AF517" s="606"/>
      <c r="AG517" s="606"/>
    </row>
    <row r="518" spans="1:33" s="612" customFormat="1" hidden="1" outlineLevel="3" x14ac:dyDescent="0.2">
      <c r="A518" s="606"/>
      <c r="B518" s="606"/>
      <c r="C518" s="607"/>
      <c r="D518" s="608"/>
      <c r="E518" s="608"/>
      <c r="F518" s="608"/>
      <c r="G518" s="608"/>
      <c r="H518" s="609"/>
      <c r="I518" s="610"/>
      <c r="J518" s="610"/>
      <c r="K518" s="610"/>
      <c r="L518" s="610"/>
      <c r="M518" s="610"/>
      <c r="N518" s="610"/>
      <c r="O518" s="610"/>
      <c r="P518" s="610"/>
      <c r="Q518" s="610"/>
      <c r="R518" s="610"/>
      <c r="S518" s="610"/>
      <c r="T518" s="610"/>
      <c r="U518" s="610"/>
      <c r="V518" s="610"/>
      <c r="W518" s="610"/>
      <c r="X518" s="610"/>
      <c r="Y518" s="610"/>
      <c r="Z518" s="610"/>
      <c r="AA518" s="610"/>
      <c r="AB518" s="610"/>
      <c r="AC518" s="611"/>
      <c r="AD518" s="606"/>
      <c r="AE518" s="606"/>
      <c r="AF518" s="606"/>
      <c r="AG518" s="606"/>
    </row>
    <row r="519" spans="1:33" s="612" customFormat="1" hidden="1" outlineLevel="3" x14ac:dyDescent="0.2">
      <c r="A519" s="606"/>
      <c r="B519" s="606"/>
      <c r="C519" s="607"/>
      <c r="D519" s="608"/>
      <c r="E519" s="608"/>
      <c r="F519" s="608"/>
      <c r="G519" s="608"/>
      <c r="H519" s="609"/>
      <c r="I519" s="610"/>
      <c r="J519" s="610"/>
      <c r="K519" s="610"/>
      <c r="L519" s="610"/>
      <c r="M519" s="610"/>
      <c r="N519" s="610"/>
      <c r="O519" s="610"/>
      <c r="P519" s="610"/>
      <c r="Q519" s="610"/>
      <c r="R519" s="610"/>
      <c r="S519" s="610"/>
      <c r="T519" s="610"/>
      <c r="U519" s="610"/>
      <c r="V519" s="610"/>
      <c r="W519" s="610"/>
      <c r="X519" s="610"/>
      <c r="Y519" s="610"/>
      <c r="Z519" s="610"/>
      <c r="AA519" s="610"/>
      <c r="AB519" s="610"/>
      <c r="AC519" s="611"/>
      <c r="AD519" s="606"/>
      <c r="AE519" s="606"/>
      <c r="AF519" s="606"/>
      <c r="AG519" s="606"/>
    </row>
    <row r="520" spans="1:33" s="612" customFormat="1" hidden="1" outlineLevel="3" x14ac:dyDescent="0.2">
      <c r="A520" s="606"/>
      <c r="B520" s="606"/>
      <c r="C520" s="607"/>
      <c r="D520" s="608"/>
      <c r="E520" s="608"/>
      <c r="F520" s="608"/>
      <c r="G520" s="608"/>
      <c r="H520" s="609"/>
      <c r="I520" s="610"/>
      <c r="J520" s="610"/>
      <c r="K520" s="610"/>
      <c r="L520" s="610"/>
      <c r="M520" s="610"/>
      <c r="N520" s="610"/>
      <c r="O520" s="610"/>
      <c r="P520" s="610"/>
      <c r="Q520" s="610"/>
      <c r="R520" s="610"/>
      <c r="S520" s="610"/>
      <c r="T520" s="610"/>
      <c r="U520" s="610"/>
      <c r="V520" s="610"/>
      <c r="W520" s="610"/>
      <c r="X520" s="610"/>
      <c r="Y520" s="610"/>
      <c r="Z520" s="610"/>
      <c r="AA520" s="610"/>
      <c r="AB520" s="610"/>
      <c r="AC520" s="611"/>
      <c r="AD520" s="606"/>
      <c r="AE520" s="606"/>
      <c r="AF520" s="606"/>
      <c r="AG520" s="606"/>
    </row>
    <row r="521" spans="1:33" s="612" customFormat="1" hidden="1" outlineLevel="3" x14ac:dyDescent="0.2">
      <c r="A521" s="606"/>
      <c r="B521" s="606"/>
      <c r="C521" s="607"/>
      <c r="D521" s="608"/>
      <c r="E521" s="608"/>
      <c r="F521" s="608"/>
      <c r="G521" s="608"/>
      <c r="H521" s="609"/>
      <c r="I521" s="610"/>
      <c r="J521" s="610"/>
      <c r="K521" s="610"/>
      <c r="L521" s="610"/>
      <c r="M521" s="610"/>
      <c r="N521" s="610"/>
      <c r="O521" s="610"/>
      <c r="P521" s="610"/>
      <c r="Q521" s="610"/>
      <c r="R521" s="610"/>
      <c r="S521" s="610"/>
      <c r="T521" s="610"/>
      <c r="U521" s="610"/>
      <c r="V521" s="610"/>
      <c r="W521" s="610"/>
      <c r="X521" s="610"/>
      <c r="Y521" s="610"/>
      <c r="Z521" s="610"/>
      <c r="AA521" s="610"/>
      <c r="AB521" s="610"/>
      <c r="AC521" s="611"/>
      <c r="AD521" s="606"/>
      <c r="AE521" s="606"/>
      <c r="AF521" s="606"/>
      <c r="AG521" s="606"/>
    </row>
    <row r="522" spans="1:33" s="612" customFormat="1" hidden="1" outlineLevel="3" x14ac:dyDescent="0.2">
      <c r="A522" s="606"/>
      <c r="B522" s="606"/>
      <c r="C522" s="607"/>
      <c r="D522" s="608"/>
      <c r="E522" s="608"/>
      <c r="F522" s="608"/>
      <c r="G522" s="608"/>
      <c r="H522" s="609"/>
      <c r="I522" s="610"/>
      <c r="J522" s="610"/>
      <c r="K522" s="610"/>
      <c r="L522" s="610"/>
      <c r="M522" s="610"/>
      <c r="N522" s="610"/>
      <c r="O522" s="610"/>
      <c r="P522" s="610"/>
      <c r="Q522" s="610"/>
      <c r="R522" s="610"/>
      <c r="S522" s="610"/>
      <c r="T522" s="610"/>
      <c r="U522" s="610"/>
      <c r="V522" s="610"/>
      <c r="W522" s="610"/>
      <c r="X522" s="610"/>
      <c r="Y522" s="610"/>
      <c r="Z522" s="610"/>
      <c r="AA522" s="610"/>
      <c r="AB522" s="610"/>
      <c r="AC522" s="611"/>
      <c r="AD522" s="606"/>
      <c r="AE522" s="606"/>
      <c r="AF522" s="606"/>
      <c r="AG522" s="606"/>
    </row>
    <row r="523" spans="1:33" s="612" customFormat="1" hidden="1" outlineLevel="3" x14ac:dyDescent="0.2">
      <c r="A523" s="606"/>
      <c r="B523" s="606"/>
      <c r="C523" s="607"/>
      <c r="D523" s="608"/>
      <c r="E523" s="608"/>
      <c r="F523" s="608"/>
      <c r="G523" s="608"/>
      <c r="H523" s="609"/>
      <c r="I523" s="610"/>
      <c r="J523" s="610"/>
      <c r="K523" s="610"/>
      <c r="L523" s="610"/>
      <c r="M523" s="610"/>
      <c r="N523" s="610"/>
      <c r="O523" s="610"/>
      <c r="P523" s="610"/>
      <c r="Q523" s="610"/>
      <c r="R523" s="610"/>
      <c r="S523" s="610"/>
      <c r="T523" s="610"/>
      <c r="U523" s="610"/>
      <c r="V523" s="610"/>
      <c r="W523" s="610"/>
      <c r="X523" s="610"/>
      <c r="Y523" s="610"/>
      <c r="Z523" s="610"/>
      <c r="AA523" s="610"/>
      <c r="AB523" s="610"/>
      <c r="AC523" s="611"/>
      <c r="AD523" s="606"/>
      <c r="AE523" s="606"/>
      <c r="AF523" s="606"/>
      <c r="AG523" s="606"/>
    </row>
    <row r="524" spans="1:33" s="612" customFormat="1" hidden="1" outlineLevel="3" x14ac:dyDescent="0.2">
      <c r="A524" s="606"/>
      <c r="B524" s="606"/>
      <c r="C524" s="607"/>
      <c r="D524" s="608"/>
      <c r="E524" s="608"/>
      <c r="F524" s="608"/>
      <c r="G524" s="608"/>
      <c r="H524" s="609"/>
      <c r="I524" s="610"/>
      <c r="J524" s="610"/>
      <c r="K524" s="610"/>
      <c r="L524" s="610"/>
      <c r="M524" s="610"/>
      <c r="N524" s="610"/>
      <c r="O524" s="610"/>
      <c r="P524" s="610"/>
      <c r="Q524" s="610"/>
      <c r="R524" s="610"/>
      <c r="S524" s="610"/>
      <c r="T524" s="610"/>
      <c r="U524" s="610"/>
      <c r="V524" s="610"/>
      <c r="W524" s="610"/>
      <c r="X524" s="610"/>
      <c r="Y524" s="610"/>
      <c r="Z524" s="610"/>
      <c r="AA524" s="610"/>
      <c r="AB524" s="610"/>
      <c r="AC524" s="611"/>
      <c r="AD524" s="606"/>
      <c r="AE524" s="606"/>
      <c r="AF524" s="606"/>
      <c r="AG524" s="606"/>
    </row>
    <row r="525" spans="1:33" s="612" customFormat="1" hidden="1" outlineLevel="3" x14ac:dyDescent="0.2">
      <c r="A525" s="606"/>
      <c r="B525" s="606"/>
      <c r="C525" s="607"/>
      <c r="D525" s="608"/>
      <c r="E525" s="608"/>
      <c r="F525" s="608"/>
      <c r="G525" s="608"/>
      <c r="H525" s="609"/>
      <c r="I525" s="610"/>
      <c r="J525" s="610"/>
      <c r="K525" s="610"/>
      <c r="L525" s="610"/>
      <c r="M525" s="610"/>
      <c r="N525" s="610"/>
      <c r="O525" s="610"/>
      <c r="P525" s="610"/>
      <c r="Q525" s="610"/>
      <c r="R525" s="610"/>
      <c r="S525" s="610"/>
      <c r="T525" s="610"/>
      <c r="U525" s="610"/>
      <c r="V525" s="610"/>
      <c r="W525" s="610"/>
      <c r="X525" s="610"/>
      <c r="Y525" s="610"/>
      <c r="Z525" s="610"/>
      <c r="AA525" s="610"/>
      <c r="AB525" s="610"/>
      <c r="AC525" s="611"/>
      <c r="AD525" s="606"/>
      <c r="AE525" s="606"/>
      <c r="AF525" s="606"/>
      <c r="AG525" s="606"/>
    </row>
    <row r="526" spans="1:33" s="612" customFormat="1" hidden="1" outlineLevel="3" x14ac:dyDescent="0.2">
      <c r="A526" s="606"/>
      <c r="B526" s="606"/>
      <c r="C526" s="607"/>
      <c r="D526" s="608"/>
      <c r="E526" s="608"/>
      <c r="F526" s="608"/>
      <c r="G526" s="608"/>
      <c r="H526" s="609"/>
      <c r="I526" s="610"/>
      <c r="J526" s="610"/>
      <c r="K526" s="610"/>
      <c r="L526" s="610"/>
      <c r="M526" s="610"/>
      <c r="N526" s="610"/>
      <c r="O526" s="610"/>
      <c r="P526" s="610"/>
      <c r="Q526" s="610"/>
      <c r="R526" s="610"/>
      <c r="S526" s="610"/>
      <c r="T526" s="610"/>
      <c r="U526" s="610"/>
      <c r="V526" s="610"/>
      <c r="W526" s="610"/>
      <c r="X526" s="610"/>
      <c r="Y526" s="610"/>
      <c r="Z526" s="610"/>
      <c r="AA526" s="610"/>
      <c r="AB526" s="610"/>
      <c r="AC526" s="611"/>
      <c r="AD526" s="606"/>
      <c r="AE526" s="606"/>
      <c r="AF526" s="606"/>
      <c r="AG526" s="606"/>
    </row>
    <row r="527" spans="1:33" s="612" customFormat="1" hidden="1" outlineLevel="3" x14ac:dyDescent="0.2">
      <c r="A527" s="606"/>
      <c r="B527" s="606"/>
      <c r="C527" s="607"/>
      <c r="D527" s="608"/>
      <c r="E527" s="608"/>
      <c r="F527" s="608"/>
      <c r="G527" s="608"/>
      <c r="H527" s="609"/>
      <c r="I527" s="610"/>
      <c r="J527" s="610"/>
      <c r="K527" s="610"/>
      <c r="L527" s="610"/>
      <c r="M527" s="610"/>
      <c r="N527" s="610"/>
      <c r="O527" s="610"/>
      <c r="P527" s="610"/>
      <c r="Q527" s="610"/>
      <c r="R527" s="610"/>
      <c r="S527" s="610"/>
      <c r="T527" s="610"/>
      <c r="U527" s="610"/>
      <c r="V527" s="610"/>
      <c r="W527" s="610"/>
      <c r="X527" s="610"/>
      <c r="Y527" s="610"/>
      <c r="Z527" s="610"/>
      <c r="AA527" s="610"/>
      <c r="AB527" s="610"/>
      <c r="AC527" s="611"/>
      <c r="AD527" s="606"/>
      <c r="AE527" s="606"/>
      <c r="AF527" s="606"/>
      <c r="AG527" s="606"/>
    </row>
    <row r="528" spans="1:33" s="612" customFormat="1" hidden="1" outlineLevel="3" x14ac:dyDescent="0.2">
      <c r="A528" s="606"/>
      <c r="B528" s="606"/>
      <c r="C528" s="607"/>
      <c r="D528" s="608"/>
      <c r="E528" s="608"/>
      <c r="F528" s="608"/>
      <c r="G528" s="608"/>
      <c r="H528" s="609"/>
      <c r="I528" s="610"/>
      <c r="J528" s="610"/>
      <c r="K528" s="610"/>
      <c r="L528" s="610"/>
      <c r="M528" s="610"/>
      <c r="N528" s="610"/>
      <c r="O528" s="610"/>
      <c r="P528" s="610"/>
      <c r="Q528" s="610"/>
      <c r="R528" s="610"/>
      <c r="S528" s="610"/>
      <c r="T528" s="610"/>
      <c r="U528" s="610"/>
      <c r="V528" s="610"/>
      <c r="W528" s="610"/>
      <c r="X528" s="610"/>
      <c r="Y528" s="610"/>
      <c r="Z528" s="610"/>
      <c r="AA528" s="610"/>
      <c r="AB528" s="610"/>
      <c r="AC528" s="611"/>
      <c r="AD528" s="606"/>
      <c r="AE528" s="606"/>
      <c r="AF528" s="606"/>
      <c r="AG528" s="606"/>
    </row>
    <row r="529" spans="1:33" s="612" customFormat="1" hidden="1" outlineLevel="3" x14ac:dyDescent="0.2">
      <c r="A529" s="606"/>
      <c r="B529" s="606"/>
      <c r="C529" s="607"/>
      <c r="D529" s="608"/>
      <c r="E529" s="608"/>
      <c r="F529" s="608"/>
      <c r="G529" s="608"/>
      <c r="H529" s="609"/>
      <c r="I529" s="610"/>
      <c r="J529" s="610"/>
      <c r="K529" s="610"/>
      <c r="L529" s="610"/>
      <c r="M529" s="610"/>
      <c r="N529" s="610"/>
      <c r="O529" s="610"/>
      <c r="P529" s="610"/>
      <c r="Q529" s="610"/>
      <c r="R529" s="610"/>
      <c r="S529" s="610"/>
      <c r="T529" s="610"/>
      <c r="U529" s="610"/>
      <c r="V529" s="610"/>
      <c r="W529" s="610"/>
      <c r="X529" s="610"/>
      <c r="Y529" s="610"/>
      <c r="Z529" s="610"/>
      <c r="AA529" s="610"/>
      <c r="AB529" s="610"/>
      <c r="AC529" s="611"/>
      <c r="AD529" s="606"/>
      <c r="AE529" s="606"/>
      <c r="AF529" s="606"/>
      <c r="AG529" s="606"/>
    </row>
    <row r="530" spans="1:33" s="612" customFormat="1" hidden="1" outlineLevel="3" x14ac:dyDescent="0.2">
      <c r="A530" s="606"/>
      <c r="B530" s="606"/>
      <c r="C530" s="607"/>
      <c r="D530" s="608"/>
      <c r="E530" s="608"/>
      <c r="F530" s="608"/>
      <c r="G530" s="608"/>
      <c r="H530" s="609"/>
      <c r="I530" s="610"/>
      <c r="J530" s="610"/>
      <c r="K530" s="610"/>
      <c r="L530" s="610"/>
      <c r="M530" s="610"/>
      <c r="N530" s="610"/>
      <c r="O530" s="610"/>
      <c r="P530" s="610"/>
      <c r="Q530" s="610"/>
      <c r="R530" s="610"/>
      <c r="S530" s="610"/>
      <c r="T530" s="610"/>
      <c r="U530" s="610"/>
      <c r="V530" s="610"/>
      <c r="W530" s="610"/>
      <c r="X530" s="610"/>
      <c r="Y530" s="610"/>
      <c r="Z530" s="610"/>
      <c r="AA530" s="610"/>
      <c r="AB530" s="610"/>
      <c r="AC530" s="611"/>
      <c r="AD530" s="606"/>
      <c r="AE530" s="606"/>
      <c r="AF530" s="606"/>
      <c r="AG530" s="606"/>
    </row>
    <row r="531" spans="1:33" s="612" customFormat="1" hidden="1" outlineLevel="3" x14ac:dyDescent="0.2">
      <c r="A531" s="606"/>
      <c r="B531" s="606"/>
      <c r="C531" s="607"/>
      <c r="D531" s="608"/>
      <c r="E531" s="608"/>
      <c r="F531" s="608"/>
      <c r="G531" s="608"/>
      <c r="H531" s="609"/>
      <c r="I531" s="610"/>
      <c r="J531" s="610"/>
      <c r="K531" s="610"/>
      <c r="L531" s="610"/>
      <c r="M531" s="610"/>
      <c r="N531" s="610"/>
      <c r="O531" s="610"/>
      <c r="P531" s="610"/>
      <c r="Q531" s="610"/>
      <c r="R531" s="610"/>
      <c r="S531" s="610"/>
      <c r="T531" s="610"/>
      <c r="U531" s="610"/>
      <c r="V531" s="610"/>
      <c r="W531" s="610"/>
      <c r="X531" s="610"/>
      <c r="Y531" s="610"/>
      <c r="Z531" s="610"/>
      <c r="AA531" s="610"/>
      <c r="AB531" s="610"/>
      <c r="AC531" s="611"/>
      <c r="AD531" s="606"/>
      <c r="AE531" s="606"/>
      <c r="AF531" s="606"/>
      <c r="AG531" s="606"/>
    </row>
    <row r="532" spans="1:33" s="612" customFormat="1" hidden="1" outlineLevel="3" x14ac:dyDescent="0.2">
      <c r="A532" s="606"/>
      <c r="B532" s="606"/>
      <c r="C532" s="607"/>
      <c r="D532" s="608"/>
      <c r="E532" s="608"/>
      <c r="F532" s="608"/>
      <c r="G532" s="608"/>
      <c r="H532" s="609"/>
      <c r="I532" s="610"/>
      <c r="J532" s="610"/>
      <c r="K532" s="610"/>
      <c r="L532" s="610"/>
      <c r="M532" s="610"/>
      <c r="N532" s="610"/>
      <c r="O532" s="610"/>
      <c r="P532" s="610"/>
      <c r="Q532" s="610"/>
      <c r="R532" s="610"/>
      <c r="S532" s="610"/>
      <c r="T532" s="610"/>
      <c r="U532" s="610"/>
      <c r="V532" s="610"/>
      <c r="W532" s="610"/>
      <c r="X532" s="610"/>
      <c r="Y532" s="610"/>
      <c r="Z532" s="610"/>
      <c r="AA532" s="610"/>
      <c r="AB532" s="610"/>
      <c r="AC532" s="611"/>
      <c r="AD532" s="606"/>
      <c r="AE532" s="606"/>
      <c r="AF532" s="606"/>
      <c r="AG532" s="606"/>
    </row>
    <row r="533" spans="1:33" s="612" customFormat="1" hidden="1" outlineLevel="3" x14ac:dyDescent="0.2">
      <c r="A533" s="606"/>
      <c r="B533" s="606"/>
      <c r="C533" s="607"/>
      <c r="D533" s="608"/>
      <c r="E533" s="608"/>
      <c r="F533" s="608"/>
      <c r="G533" s="608"/>
      <c r="H533" s="609"/>
      <c r="I533" s="610"/>
      <c r="J533" s="610"/>
      <c r="K533" s="610"/>
      <c r="L533" s="610"/>
      <c r="M533" s="610"/>
      <c r="N533" s="610"/>
      <c r="O533" s="610"/>
      <c r="P533" s="610"/>
      <c r="Q533" s="610"/>
      <c r="R533" s="610"/>
      <c r="S533" s="610"/>
      <c r="T533" s="610"/>
      <c r="U533" s="610"/>
      <c r="V533" s="610"/>
      <c r="W533" s="610"/>
      <c r="X533" s="610"/>
      <c r="Y533" s="610"/>
      <c r="Z533" s="610"/>
      <c r="AA533" s="610"/>
      <c r="AB533" s="610"/>
      <c r="AC533" s="611"/>
      <c r="AD533" s="606"/>
      <c r="AE533" s="606"/>
      <c r="AF533" s="606"/>
      <c r="AG533" s="606"/>
    </row>
    <row r="534" spans="1:33" s="612" customFormat="1" hidden="1" outlineLevel="3" x14ac:dyDescent="0.2">
      <c r="A534" s="606"/>
      <c r="B534" s="606"/>
      <c r="C534" s="607"/>
      <c r="D534" s="608"/>
      <c r="E534" s="608"/>
      <c r="F534" s="608"/>
      <c r="G534" s="608"/>
      <c r="H534" s="609"/>
      <c r="I534" s="610"/>
      <c r="J534" s="610"/>
      <c r="K534" s="610"/>
      <c r="L534" s="610"/>
      <c r="M534" s="610"/>
      <c r="N534" s="610"/>
      <c r="O534" s="610"/>
      <c r="P534" s="610"/>
      <c r="Q534" s="610"/>
      <c r="R534" s="610"/>
      <c r="S534" s="610"/>
      <c r="T534" s="610"/>
      <c r="U534" s="610"/>
      <c r="V534" s="610"/>
      <c r="W534" s="610"/>
      <c r="X534" s="610"/>
      <c r="Y534" s="610"/>
      <c r="Z534" s="610"/>
      <c r="AA534" s="610"/>
      <c r="AB534" s="610"/>
      <c r="AC534" s="611"/>
      <c r="AD534" s="606"/>
      <c r="AE534" s="606"/>
      <c r="AF534" s="606"/>
      <c r="AG534" s="606"/>
    </row>
    <row r="535" spans="1:33" s="612" customFormat="1" hidden="1" outlineLevel="3" x14ac:dyDescent="0.2">
      <c r="A535" s="606"/>
      <c r="B535" s="606"/>
      <c r="C535" s="607"/>
      <c r="D535" s="608"/>
      <c r="E535" s="608"/>
      <c r="F535" s="608"/>
      <c r="G535" s="608"/>
      <c r="H535" s="609"/>
      <c r="I535" s="610"/>
      <c r="J535" s="610"/>
      <c r="K535" s="610"/>
      <c r="L535" s="610"/>
      <c r="M535" s="610"/>
      <c r="N535" s="610"/>
      <c r="O535" s="610"/>
      <c r="P535" s="610"/>
      <c r="Q535" s="610"/>
      <c r="R535" s="610"/>
      <c r="S535" s="610"/>
      <c r="T535" s="610"/>
      <c r="U535" s="610"/>
      <c r="V535" s="610"/>
      <c r="W535" s="610"/>
      <c r="X535" s="610"/>
      <c r="Y535" s="610"/>
      <c r="Z535" s="610"/>
      <c r="AA535" s="610"/>
      <c r="AB535" s="610"/>
      <c r="AC535" s="611"/>
      <c r="AD535" s="606"/>
      <c r="AE535" s="606"/>
      <c r="AF535" s="606"/>
      <c r="AG535" s="606"/>
    </row>
    <row r="536" spans="1:33" s="612" customFormat="1" hidden="1" outlineLevel="3" x14ac:dyDescent="0.2">
      <c r="A536" s="606"/>
      <c r="B536" s="606"/>
      <c r="C536" s="607"/>
      <c r="D536" s="608"/>
      <c r="E536" s="608"/>
      <c r="F536" s="608"/>
      <c r="G536" s="608"/>
      <c r="H536" s="609"/>
      <c r="I536" s="610"/>
      <c r="J536" s="610"/>
      <c r="K536" s="610"/>
      <c r="L536" s="610"/>
      <c r="M536" s="610"/>
      <c r="N536" s="610"/>
      <c r="O536" s="610"/>
      <c r="P536" s="610"/>
      <c r="Q536" s="610"/>
      <c r="R536" s="610"/>
      <c r="S536" s="610"/>
      <c r="T536" s="610"/>
      <c r="U536" s="610"/>
      <c r="V536" s="610"/>
      <c r="W536" s="610"/>
      <c r="X536" s="610"/>
      <c r="Y536" s="610"/>
      <c r="Z536" s="610"/>
      <c r="AA536" s="610"/>
      <c r="AB536" s="610"/>
      <c r="AC536" s="611"/>
      <c r="AD536" s="606"/>
      <c r="AE536" s="606"/>
      <c r="AF536" s="606"/>
      <c r="AG536" s="606"/>
    </row>
    <row r="537" spans="1:33" s="612" customFormat="1" outlineLevel="2" collapsed="1" x14ac:dyDescent="0.2">
      <c r="A537" s="606"/>
      <c r="B537" s="606"/>
      <c r="C537" s="613"/>
      <c r="D537" s="609"/>
      <c r="E537" s="609"/>
      <c r="F537" s="609"/>
      <c r="G537" s="609"/>
      <c r="H537" s="609"/>
      <c r="I537" s="614"/>
      <c r="J537" s="614"/>
      <c r="K537" s="611"/>
      <c r="L537" s="611"/>
      <c r="M537" s="611"/>
      <c r="N537" s="615"/>
      <c r="O537" s="615"/>
      <c r="P537" s="615"/>
      <c r="Q537" s="615"/>
      <c r="R537" s="615"/>
      <c r="S537" s="611"/>
      <c r="T537" s="611"/>
      <c r="U537" s="611"/>
      <c r="V537" s="611"/>
      <c r="W537" s="611"/>
      <c r="X537" s="611"/>
      <c r="Y537" s="611"/>
      <c r="Z537" s="611"/>
      <c r="AA537" s="611"/>
      <c r="AB537" s="611"/>
      <c r="AC537" s="611"/>
      <c r="AD537" s="606"/>
      <c r="AE537" s="606"/>
      <c r="AF537" s="606"/>
      <c r="AG537" s="606"/>
    </row>
    <row r="538" spans="1:33" s="612" customFormat="1" outlineLevel="1" x14ac:dyDescent="0.2">
      <c r="A538" s="606"/>
      <c r="B538" s="606"/>
      <c r="C538" s="613"/>
      <c r="D538" s="609"/>
      <c r="E538" s="609"/>
      <c r="F538" s="609"/>
      <c r="G538" s="609"/>
      <c r="H538" s="609"/>
      <c r="I538" s="614"/>
      <c r="J538" s="614"/>
      <c r="K538" s="611"/>
      <c r="L538" s="611"/>
      <c r="M538" s="611"/>
      <c r="N538" s="615"/>
      <c r="O538" s="615"/>
      <c r="P538" s="615"/>
      <c r="Q538" s="615"/>
      <c r="R538" s="615"/>
      <c r="S538" s="611"/>
      <c r="T538" s="611"/>
      <c r="U538" s="611"/>
      <c r="V538" s="611"/>
      <c r="W538" s="611"/>
      <c r="X538" s="611"/>
      <c r="Y538" s="611"/>
      <c r="Z538" s="611"/>
      <c r="AA538" s="611"/>
      <c r="AB538" s="611"/>
      <c r="AC538" s="611"/>
      <c r="AD538" s="606"/>
      <c r="AE538" s="606"/>
      <c r="AF538" s="606"/>
      <c r="AG538" s="606"/>
    </row>
    <row r="539" spans="1:33" s="612" customFormat="1" outlineLevel="1" x14ac:dyDescent="0.2">
      <c r="A539" s="606"/>
      <c r="B539" s="606"/>
      <c r="C539" s="616"/>
      <c r="D539" s="617"/>
      <c r="E539" s="617"/>
      <c r="F539" s="617"/>
      <c r="G539" s="618"/>
      <c r="H539" s="618"/>
      <c r="I539" s="611"/>
      <c r="J539" s="611"/>
      <c r="K539" s="611"/>
      <c r="L539" s="611"/>
      <c r="M539" s="611"/>
      <c r="N539" s="611"/>
      <c r="O539" s="611"/>
      <c r="P539" s="611"/>
      <c r="Q539" s="611"/>
      <c r="R539" s="611"/>
      <c r="S539" s="611"/>
      <c r="T539" s="611"/>
      <c r="U539" s="611"/>
      <c r="V539" s="611"/>
      <c r="W539" s="611"/>
      <c r="X539" s="611"/>
      <c r="Y539" s="611"/>
      <c r="Z539" s="611"/>
      <c r="AA539" s="611"/>
      <c r="AB539" s="611"/>
      <c r="AC539" s="611"/>
      <c r="AD539" s="606"/>
      <c r="AE539" s="606"/>
      <c r="AF539" s="606"/>
      <c r="AG539" s="606"/>
    </row>
    <row r="540" spans="1:33" s="612" customFormat="1" outlineLevel="2" x14ac:dyDescent="0.2">
      <c r="A540" s="606"/>
      <c r="B540" s="606"/>
      <c r="C540" s="607"/>
      <c r="D540" s="608"/>
      <c r="E540" s="608"/>
      <c r="F540" s="608"/>
      <c r="G540" s="608"/>
      <c r="H540" s="609"/>
      <c r="I540" s="610"/>
      <c r="J540" s="610"/>
      <c r="K540" s="610"/>
      <c r="L540" s="610"/>
      <c r="M540" s="610"/>
      <c r="N540" s="610"/>
      <c r="O540" s="610"/>
      <c r="P540" s="610"/>
      <c r="Q540" s="610"/>
      <c r="R540" s="610"/>
      <c r="S540" s="610"/>
      <c r="T540" s="610"/>
      <c r="U540" s="610"/>
      <c r="V540" s="610"/>
      <c r="W540" s="610"/>
      <c r="X540" s="610"/>
      <c r="Y540" s="610"/>
      <c r="Z540" s="610"/>
      <c r="AA540" s="610"/>
      <c r="AB540" s="610"/>
      <c r="AC540" s="611"/>
      <c r="AD540" s="606"/>
      <c r="AE540" s="606"/>
      <c r="AF540" s="606"/>
      <c r="AG540" s="606"/>
    </row>
    <row r="541" spans="1:33" s="612" customFormat="1" outlineLevel="2" x14ac:dyDescent="0.2">
      <c r="A541" s="606"/>
      <c r="B541" s="606"/>
      <c r="C541" s="607"/>
      <c r="D541" s="608"/>
      <c r="E541" s="608"/>
      <c r="F541" s="608"/>
      <c r="G541" s="608"/>
      <c r="H541" s="609"/>
      <c r="I541" s="610"/>
      <c r="J541" s="610"/>
      <c r="K541" s="610"/>
      <c r="L541" s="610"/>
      <c r="M541" s="610"/>
      <c r="N541" s="610"/>
      <c r="O541" s="610"/>
      <c r="P541" s="610"/>
      <c r="Q541" s="610"/>
      <c r="R541" s="610"/>
      <c r="S541" s="610"/>
      <c r="T541" s="610"/>
      <c r="U541" s="610"/>
      <c r="V541" s="610"/>
      <c r="W541" s="610"/>
      <c r="X541" s="610"/>
      <c r="Y541" s="610"/>
      <c r="Z541" s="610"/>
      <c r="AA541" s="610"/>
      <c r="AB541" s="610"/>
      <c r="AC541" s="611"/>
      <c r="AD541" s="606"/>
      <c r="AE541" s="606"/>
      <c r="AF541" s="606"/>
      <c r="AG541" s="606"/>
    </row>
    <row r="542" spans="1:33" s="612" customFormat="1" outlineLevel="2" x14ac:dyDescent="0.2">
      <c r="A542" s="606"/>
      <c r="B542" s="606"/>
      <c r="C542" s="607"/>
      <c r="D542" s="608"/>
      <c r="E542" s="608"/>
      <c r="F542" s="608"/>
      <c r="G542" s="608"/>
      <c r="H542" s="609"/>
      <c r="I542" s="610"/>
      <c r="J542" s="610"/>
      <c r="K542" s="610"/>
      <c r="L542" s="610"/>
      <c r="M542" s="610"/>
      <c r="N542" s="610"/>
      <c r="O542" s="610"/>
      <c r="P542" s="610"/>
      <c r="Q542" s="610"/>
      <c r="R542" s="610"/>
      <c r="S542" s="610"/>
      <c r="T542" s="610"/>
      <c r="U542" s="610"/>
      <c r="V542" s="610"/>
      <c r="W542" s="610"/>
      <c r="X542" s="610"/>
      <c r="Y542" s="610"/>
      <c r="Z542" s="610"/>
      <c r="AA542" s="610"/>
      <c r="AB542" s="610"/>
      <c r="AC542" s="611"/>
      <c r="AD542" s="606"/>
      <c r="AE542" s="606"/>
      <c r="AF542" s="606"/>
      <c r="AG542" s="606"/>
    </row>
    <row r="543" spans="1:33" s="612" customFormat="1" outlineLevel="2" x14ac:dyDescent="0.2">
      <c r="A543" s="606"/>
      <c r="B543" s="606"/>
      <c r="C543" s="607"/>
      <c r="D543" s="608"/>
      <c r="E543" s="608"/>
      <c r="F543" s="608"/>
      <c r="G543" s="608"/>
      <c r="H543" s="609"/>
      <c r="I543" s="610"/>
      <c r="J543" s="610"/>
      <c r="K543" s="610"/>
      <c r="L543" s="610"/>
      <c r="M543" s="610"/>
      <c r="N543" s="610"/>
      <c r="O543" s="610"/>
      <c r="P543" s="610"/>
      <c r="Q543" s="610"/>
      <c r="R543" s="610"/>
      <c r="S543" s="610"/>
      <c r="T543" s="610"/>
      <c r="U543" s="610"/>
      <c r="V543" s="610"/>
      <c r="W543" s="610"/>
      <c r="X543" s="610"/>
      <c r="Y543" s="610"/>
      <c r="Z543" s="610"/>
      <c r="AA543" s="610"/>
      <c r="AB543" s="610"/>
      <c r="AC543" s="611"/>
      <c r="AD543" s="606"/>
      <c r="AE543" s="606"/>
      <c r="AF543" s="606"/>
      <c r="AG543" s="606"/>
    </row>
    <row r="544" spans="1:33" s="612" customFormat="1" outlineLevel="2" x14ac:dyDescent="0.2">
      <c r="A544" s="606"/>
      <c r="B544" s="606"/>
      <c r="C544" s="607"/>
      <c r="D544" s="608"/>
      <c r="E544" s="608"/>
      <c r="F544" s="608"/>
      <c r="G544" s="608"/>
      <c r="H544" s="609"/>
      <c r="I544" s="610"/>
      <c r="J544" s="610"/>
      <c r="K544" s="610"/>
      <c r="L544" s="610"/>
      <c r="M544" s="610"/>
      <c r="N544" s="610"/>
      <c r="O544" s="610"/>
      <c r="P544" s="610"/>
      <c r="Q544" s="610"/>
      <c r="R544" s="610"/>
      <c r="S544" s="610"/>
      <c r="T544" s="610"/>
      <c r="U544" s="610"/>
      <c r="V544" s="610"/>
      <c r="W544" s="610"/>
      <c r="X544" s="610"/>
      <c r="Y544" s="610"/>
      <c r="Z544" s="610"/>
      <c r="AA544" s="610"/>
      <c r="AB544" s="610"/>
      <c r="AC544" s="611"/>
      <c r="AD544" s="606"/>
      <c r="AE544" s="606"/>
      <c r="AF544" s="606"/>
      <c r="AG544" s="606"/>
    </row>
    <row r="545" spans="1:33" s="612" customFormat="1" outlineLevel="2" x14ac:dyDescent="0.2">
      <c r="A545" s="606"/>
      <c r="B545" s="606"/>
      <c r="C545" s="607"/>
      <c r="D545" s="608"/>
      <c r="E545" s="608"/>
      <c r="F545" s="608"/>
      <c r="G545" s="608"/>
      <c r="H545" s="609"/>
      <c r="I545" s="610"/>
      <c r="J545" s="610"/>
      <c r="K545" s="610"/>
      <c r="L545" s="610"/>
      <c r="M545" s="610"/>
      <c r="N545" s="610"/>
      <c r="O545" s="610"/>
      <c r="P545" s="610"/>
      <c r="Q545" s="610"/>
      <c r="R545" s="610"/>
      <c r="S545" s="610"/>
      <c r="T545" s="610"/>
      <c r="U545" s="610"/>
      <c r="V545" s="610"/>
      <c r="W545" s="610"/>
      <c r="X545" s="610"/>
      <c r="Y545" s="610"/>
      <c r="Z545" s="610"/>
      <c r="AA545" s="610"/>
      <c r="AB545" s="610"/>
      <c r="AC545" s="611"/>
      <c r="AD545" s="606"/>
      <c r="AE545" s="606"/>
      <c r="AF545" s="606"/>
      <c r="AG545" s="606"/>
    </row>
    <row r="546" spans="1:33" s="612" customFormat="1" outlineLevel="2" x14ac:dyDescent="0.2">
      <c r="A546" s="606"/>
      <c r="B546" s="606"/>
      <c r="C546" s="607"/>
      <c r="D546" s="608"/>
      <c r="E546" s="608"/>
      <c r="F546" s="608"/>
      <c r="G546" s="608"/>
      <c r="H546" s="609"/>
      <c r="I546" s="610"/>
      <c r="J546" s="610"/>
      <c r="K546" s="610"/>
      <c r="L546" s="610"/>
      <c r="M546" s="610"/>
      <c r="N546" s="610"/>
      <c r="O546" s="610"/>
      <c r="P546" s="610"/>
      <c r="Q546" s="610"/>
      <c r="R546" s="610"/>
      <c r="S546" s="610"/>
      <c r="T546" s="610"/>
      <c r="U546" s="610"/>
      <c r="V546" s="610"/>
      <c r="W546" s="610"/>
      <c r="X546" s="610"/>
      <c r="Y546" s="610"/>
      <c r="Z546" s="610"/>
      <c r="AA546" s="610"/>
      <c r="AB546" s="610"/>
      <c r="AC546" s="611"/>
      <c r="AD546" s="606"/>
      <c r="AE546" s="606"/>
      <c r="AF546" s="606"/>
      <c r="AG546" s="606"/>
    </row>
    <row r="547" spans="1:33" s="612" customFormat="1" outlineLevel="2" x14ac:dyDescent="0.2">
      <c r="A547" s="606"/>
      <c r="B547" s="606"/>
      <c r="C547" s="607"/>
      <c r="D547" s="608"/>
      <c r="E547" s="608"/>
      <c r="F547" s="608"/>
      <c r="G547" s="608"/>
      <c r="H547" s="609"/>
      <c r="I547" s="610"/>
      <c r="J547" s="610"/>
      <c r="K547" s="610"/>
      <c r="L547" s="610"/>
      <c r="M547" s="610"/>
      <c r="N547" s="610"/>
      <c r="O547" s="610"/>
      <c r="P547" s="610"/>
      <c r="Q547" s="610"/>
      <c r="R547" s="610"/>
      <c r="S547" s="610"/>
      <c r="T547" s="610"/>
      <c r="U547" s="610"/>
      <c r="V547" s="610"/>
      <c r="W547" s="610"/>
      <c r="X547" s="610"/>
      <c r="Y547" s="610"/>
      <c r="Z547" s="610"/>
      <c r="AA547" s="610"/>
      <c r="AB547" s="610"/>
      <c r="AC547" s="611"/>
      <c r="AD547" s="606"/>
      <c r="AE547" s="606"/>
      <c r="AF547" s="606"/>
      <c r="AG547" s="606"/>
    </row>
    <row r="548" spans="1:33" s="612" customFormat="1" outlineLevel="2" x14ac:dyDescent="0.2">
      <c r="A548" s="606"/>
      <c r="B548" s="606"/>
      <c r="C548" s="607"/>
      <c r="D548" s="608"/>
      <c r="E548" s="608"/>
      <c r="F548" s="608"/>
      <c r="G548" s="608"/>
      <c r="H548" s="609"/>
      <c r="I548" s="610"/>
      <c r="J548" s="610"/>
      <c r="K548" s="610"/>
      <c r="L548" s="610"/>
      <c r="M548" s="610"/>
      <c r="N548" s="610"/>
      <c r="O548" s="610"/>
      <c r="P548" s="610"/>
      <c r="Q548" s="610"/>
      <c r="R548" s="610"/>
      <c r="S548" s="610"/>
      <c r="T548" s="610"/>
      <c r="U548" s="610"/>
      <c r="V548" s="610"/>
      <c r="W548" s="610"/>
      <c r="X548" s="610"/>
      <c r="Y548" s="610"/>
      <c r="Z548" s="610"/>
      <c r="AA548" s="610"/>
      <c r="AB548" s="610"/>
      <c r="AC548" s="611"/>
      <c r="AD548" s="606"/>
      <c r="AE548" s="606"/>
      <c r="AF548" s="606"/>
      <c r="AG548" s="606"/>
    </row>
    <row r="549" spans="1:33" s="612" customFormat="1" outlineLevel="2" x14ac:dyDescent="0.2">
      <c r="A549" s="606"/>
      <c r="B549" s="606"/>
      <c r="C549" s="607"/>
      <c r="D549" s="608"/>
      <c r="E549" s="608"/>
      <c r="F549" s="608"/>
      <c r="G549" s="608"/>
      <c r="H549" s="609"/>
      <c r="I549" s="610"/>
      <c r="J549" s="610"/>
      <c r="K549" s="610"/>
      <c r="L549" s="610"/>
      <c r="M549" s="610"/>
      <c r="N549" s="610"/>
      <c r="O549" s="610"/>
      <c r="P549" s="610"/>
      <c r="Q549" s="610"/>
      <c r="R549" s="610"/>
      <c r="S549" s="610"/>
      <c r="T549" s="610"/>
      <c r="U549" s="610"/>
      <c r="V549" s="610"/>
      <c r="W549" s="610"/>
      <c r="X549" s="610"/>
      <c r="Y549" s="610"/>
      <c r="Z549" s="610"/>
      <c r="AA549" s="610"/>
      <c r="AB549" s="610"/>
      <c r="AC549" s="611"/>
      <c r="AD549" s="606"/>
      <c r="AE549" s="606"/>
      <c r="AF549" s="606"/>
      <c r="AG549" s="606"/>
    </row>
    <row r="550" spans="1:33" s="612" customFormat="1" outlineLevel="2" x14ac:dyDescent="0.2">
      <c r="A550" s="606"/>
      <c r="B550" s="606"/>
      <c r="C550" s="607"/>
      <c r="D550" s="608"/>
      <c r="E550" s="608"/>
      <c r="F550" s="608"/>
      <c r="G550" s="608"/>
      <c r="H550" s="609"/>
      <c r="I550" s="610"/>
      <c r="J550" s="610"/>
      <c r="K550" s="610"/>
      <c r="L550" s="610"/>
      <c r="M550" s="610"/>
      <c r="N550" s="610"/>
      <c r="O550" s="610"/>
      <c r="P550" s="610"/>
      <c r="Q550" s="610"/>
      <c r="R550" s="610"/>
      <c r="S550" s="610"/>
      <c r="T550" s="610"/>
      <c r="U550" s="610"/>
      <c r="V550" s="610"/>
      <c r="W550" s="610"/>
      <c r="X550" s="610"/>
      <c r="Y550" s="610"/>
      <c r="Z550" s="610"/>
      <c r="AA550" s="610"/>
      <c r="AB550" s="610"/>
      <c r="AC550" s="611"/>
      <c r="AD550" s="606"/>
      <c r="AE550" s="606"/>
      <c r="AF550" s="606"/>
      <c r="AG550" s="606"/>
    </row>
    <row r="551" spans="1:33" s="612" customFormat="1" outlineLevel="2" x14ac:dyDescent="0.2">
      <c r="A551" s="606"/>
      <c r="B551" s="606"/>
      <c r="C551" s="607"/>
      <c r="D551" s="608"/>
      <c r="E551" s="608"/>
      <c r="F551" s="608"/>
      <c r="G551" s="608"/>
      <c r="H551" s="609"/>
      <c r="I551" s="610"/>
      <c r="J551" s="610"/>
      <c r="K551" s="610"/>
      <c r="L551" s="610"/>
      <c r="M551" s="610"/>
      <c r="N551" s="610"/>
      <c r="O551" s="610"/>
      <c r="P551" s="610"/>
      <c r="Q551" s="610"/>
      <c r="R551" s="610"/>
      <c r="S551" s="610"/>
      <c r="T551" s="610"/>
      <c r="U551" s="610"/>
      <c r="V551" s="610"/>
      <c r="W551" s="610"/>
      <c r="X551" s="610"/>
      <c r="Y551" s="610"/>
      <c r="Z551" s="610"/>
      <c r="AA551" s="610"/>
      <c r="AB551" s="610"/>
      <c r="AC551" s="611"/>
      <c r="AD551" s="606"/>
      <c r="AE551" s="606"/>
      <c r="AF551" s="606"/>
      <c r="AG551" s="606"/>
    </row>
    <row r="552" spans="1:33" s="612" customFormat="1" outlineLevel="2" x14ac:dyDescent="0.2">
      <c r="A552" s="606"/>
      <c r="B552" s="606"/>
      <c r="C552" s="607"/>
      <c r="D552" s="608"/>
      <c r="E552" s="608"/>
      <c r="F552" s="608"/>
      <c r="G552" s="608"/>
      <c r="H552" s="609"/>
      <c r="I552" s="610"/>
      <c r="J552" s="610"/>
      <c r="K552" s="610"/>
      <c r="L552" s="610"/>
      <c r="M552" s="610"/>
      <c r="N552" s="610"/>
      <c r="O552" s="610"/>
      <c r="P552" s="610"/>
      <c r="Q552" s="610"/>
      <c r="R552" s="610"/>
      <c r="S552" s="610"/>
      <c r="T552" s="610"/>
      <c r="U552" s="610"/>
      <c r="V552" s="610"/>
      <c r="W552" s="610"/>
      <c r="X552" s="610"/>
      <c r="Y552" s="610"/>
      <c r="Z552" s="610"/>
      <c r="AA552" s="610"/>
      <c r="AB552" s="610"/>
      <c r="AC552" s="611"/>
      <c r="AD552" s="606"/>
      <c r="AE552" s="606"/>
      <c r="AF552" s="606"/>
      <c r="AG552" s="606"/>
    </row>
    <row r="553" spans="1:33" s="612" customFormat="1" outlineLevel="2" x14ac:dyDescent="0.2">
      <c r="A553" s="606"/>
      <c r="B553" s="606"/>
      <c r="C553" s="607"/>
      <c r="D553" s="608"/>
      <c r="E553" s="608"/>
      <c r="F553" s="608"/>
      <c r="G553" s="608"/>
      <c r="H553" s="609"/>
      <c r="I553" s="610"/>
      <c r="J553" s="610"/>
      <c r="K553" s="610"/>
      <c r="L553" s="610"/>
      <c r="M553" s="610"/>
      <c r="N553" s="610"/>
      <c r="O553" s="610"/>
      <c r="P553" s="610"/>
      <c r="Q553" s="610"/>
      <c r="R553" s="610"/>
      <c r="S553" s="610"/>
      <c r="T553" s="610"/>
      <c r="U553" s="610"/>
      <c r="V553" s="610"/>
      <c r="W553" s="610"/>
      <c r="X553" s="610"/>
      <c r="Y553" s="610"/>
      <c r="Z553" s="610"/>
      <c r="AA553" s="610"/>
      <c r="AB553" s="610"/>
      <c r="AC553" s="611"/>
      <c r="AD553" s="606"/>
      <c r="AE553" s="606"/>
      <c r="AF553" s="606"/>
      <c r="AG553" s="606"/>
    </row>
    <row r="554" spans="1:33" s="612" customFormat="1" outlineLevel="2" x14ac:dyDescent="0.2">
      <c r="A554" s="606"/>
      <c r="B554" s="606"/>
      <c r="C554" s="607"/>
      <c r="D554" s="608"/>
      <c r="E554" s="608"/>
      <c r="F554" s="608"/>
      <c r="G554" s="608"/>
      <c r="H554" s="609"/>
      <c r="I554" s="610"/>
      <c r="J554" s="610"/>
      <c r="K554" s="610"/>
      <c r="L554" s="610"/>
      <c r="M554" s="610"/>
      <c r="N554" s="610"/>
      <c r="O554" s="610"/>
      <c r="P554" s="610"/>
      <c r="Q554" s="610"/>
      <c r="R554" s="610"/>
      <c r="S554" s="610"/>
      <c r="T554" s="610"/>
      <c r="U554" s="610"/>
      <c r="V554" s="610"/>
      <c r="W554" s="610"/>
      <c r="X554" s="610"/>
      <c r="Y554" s="610"/>
      <c r="Z554" s="610"/>
      <c r="AA554" s="610"/>
      <c r="AB554" s="610"/>
      <c r="AC554" s="611"/>
      <c r="AD554" s="606"/>
      <c r="AE554" s="606"/>
      <c r="AF554" s="606"/>
      <c r="AG554" s="606"/>
    </row>
    <row r="555" spans="1:33" s="612" customFormat="1" outlineLevel="2" x14ac:dyDescent="0.2">
      <c r="A555" s="606"/>
      <c r="B555" s="606"/>
      <c r="C555" s="607"/>
      <c r="D555" s="608"/>
      <c r="E555" s="608"/>
      <c r="F555" s="608"/>
      <c r="G555" s="608"/>
      <c r="H555" s="609"/>
      <c r="I555" s="610"/>
      <c r="J555" s="610"/>
      <c r="K555" s="610"/>
      <c r="L555" s="610"/>
      <c r="M555" s="610"/>
      <c r="N555" s="610"/>
      <c r="O555" s="610"/>
      <c r="P555" s="610"/>
      <c r="Q555" s="610"/>
      <c r="R555" s="610"/>
      <c r="S555" s="610"/>
      <c r="T555" s="610"/>
      <c r="U555" s="610"/>
      <c r="V555" s="610"/>
      <c r="W555" s="610"/>
      <c r="X555" s="610"/>
      <c r="Y555" s="610"/>
      <c r="Z555" s="610"/>
      <c r="AA555" s="610"/>
      <c r="AB555" s="610"/>
      <c r="AC555" s="611"/>
      <c r="AD555" s="606"/>
      <c r="AE555" s="606"/>
      <c r="AF555" s="606"/>
      <c r="AG555" s="606"/>
    </row>
    <row r="556" spans="1:33" s="612" customFormat="1" outlineLevel="2" x14ac:dyDescent="0.2">
      <c r="A556" s="606"/>
      <c r="B556" s="606"/>
      <c r="C556" s="607"/>
      <c r="D556" s="608"/>
      <c r="E556" s="608"/>
      <c r="F556" s="608"/>
      <c r="G556" s="608"/>
      <c r="H556" s="609"/>
      <c r="I556" s="610"/>
      <c r="J556" s="610"/>
      <c r="K556" s="610"/>
      <c r="L556" s="610"/>
      <c r="M556" s="610"/>
      <c r="N556" s="610"/>
      <c r="O556" s="610"/>
      <c r="P556" s="610"/>
      <c r="Q556" s="610"/>
      <c r="R556" s="610"/>
      <c r="S556" s="610"/>
      <c r="T556" s="610"/>
      <c r="U556" s="610"/>
      <c r="V556" s="610"/>
      <c r="W556" s="610"/>
      <c r="X556" s="610"/>
      <c r="Y556" s="610"/>
      <c r="Z556" s="610"/>
      <c r="AA556" s="610"/>
      <c r="AB556" s="610"/>
      <c r="AC556" s="611"/>
      <c r="AD556" s="606"/>
      <c r="AE556" s="606"/>
      <c r="AF556" s="606"/>
      <c r="AG556" s="606"/>
    </row>
    <row r="557" spans="1:33" s="612" customFormat="1" outlineLevel="2" x14ac:dyDescent="0.2">
      <c r="A557" s="606"/>
      <c r="B557" s="606"/>
      <c r="C557" s="607"/>
      <c r="D557" s="608"/>
      <c r="E557" s="608"/>
      <c r="F557" s="608"/>
      <c r="G557" s="608"/>
      <c r="H557" s="609"/>
      <c r="I557" s="610"/>
      <c r="J557" s="610"/>
      <c r="K557" s="610"/>
      <c r="L557" s="610"/>
      <c r="M557" s="610"/>
      <c r="N557" s="610"/>
      <c r="O557" s="610"/>
      <c r="P557" s="610"/>
      <c r="Q557" s="610"/>
      <c r="R557" s="610"/>
      <c r="S557" s="610"/>
      <c r="T557" s="610"/>
      <c r="U557" s="610"/>
      <c r="V557" s="610"/>
      <c r="W557" s="610"/>
      <c r="X557" s="610"/>
      <c r="Y557" s="610"/>
      <c r="Z557" s="610"/>
      <c r="AA557" s="610"/>
      <c r="AB557" s="610"/>
      <c r="AC557" s="611"/>
      <c r="AD557" s="606"/>
      <c r="AE557" s="606"/>
      <c r="AF557" s="606"/>
      <c r="AG557" s="606"/>
    </row>
    <row r="558" spans="1:33" s="612" customFormat="1" outlineLevel="2" x14ac:dyDescent="0.2">
      <c r="A558" s="606"/>
      <c r="B558" s="606"/>
      <c r="C558" s="607"/>
      <c r="D558" s="608"/>
      <c r="E558" s="608"/>
      <c r="F558" s="608"/>
      <c r="G558" s="608"/>
      <c r="H558" s="609"/>
      <c r="I558" s="610"/>
      <c r="J558" s="610"/>
      <c r="K558" s="610"/>
      <c r="L558" s="610"/>
      <c r="M558" s="610"/>
      <c r="N558" s="610"/>
      <c r="O558" s="610"/>
      <c r="P558" s="610"/>
      <c r="Q558" s="610"/>
      <c r="R558" s="610"/>
      <c r="S558" s="610"/>
      <c r="T558" s="610"/>
      <c r="U558" s="610"/>
      <c r="V558" s="610"/>
      <c r="W558" s="610"/>
      <c r="X558" s="610"/>
      <c r="Y558" s="610"/>
      <c r="Z558" s="610"/>
      <c r="AA558" s="610"/>
      <c r="AB558" s="610"/>
      <c r="AC558" s="611"/>
      <c r="AD558" s="606"/>
      <c r="AE558" s="606"/>
      <c r="AF558" s="606"/>
      <c r="AG558" s="606"/>
    </row>
    <row r="559" spans="1:33" s="612" customFormat="1" outlineLevel="2" x14ac:dyDescent="0.2">
      <c r="A559" s="606"/>
      <c r="B559" s="606"/>
      <c r="C559" s="607"/>
      <c r="D559" s="608"/>
      <c r="E559" s="608"/>
      <c r="F559" s="608"/>
      <c r="G559" s="608"/>
      <c r="H559" s="609"/>
      <c r="I559" s="610"/>
      <c r="J559" s="610"/>
      <c r="K559" s="610"/>
      <c r="L559" s="610"/>
      <c r="M559" s="610"/>
      <c r="N559" s="610"/>
      <c r="O559" s="610"/>
      <c r="P559" s="610"/>
      <c r="Q559" s="610"/>
      <c r="R559" s="610"/>
      <c r="S559" s="610"/>
      <c r="T559" s="610"/>
      <c r="U559" s="610"/>
      <c r="V559" s="610"/>
      <c r="W559" s="610"/>
      <c r="X559" s="610"/>
      <c r="Y559" s="610"/>
      <c r="Z559" s="610"/>
      <c r="AA559" s="610"/>
      <c r="AB559" s="610"/>
      <c r="AC559" s="611"/>
      <c r="AD559" s="606"/>
      <c r="AE559" s="606"/>
      <c r="AF559" s="606"/>
      <c r="AG559" s="606"/>
    </row>
    <row r="560" spans="1:33" s="612" customFormat="1" outlineLevel="2" x14ac:dyDescent="0.2">
      <c r="A560" s="606"/>
      <c r="B560" s="606"/>
      <c r="C560" s="607"/>
      <c r="D560" s="608"/>
      <c r="E560" s="608"/>
      <c r="F560" s="608"/>
      <c r="G560" s="608"/>
      <c r="H560" s="609"/>
      <c r="I560" s="610"/>
      <c r="J560" s="610"/>
      <c r="K560" s="610"/>
      <c r="L560" s="610"/>
      <c r="M560" s="610"/>
      <c r="N560" s="610"/>
      <c r="O560" s="610"/>
      <c r="P560" s="610"/>
      <c r="Q560" s="610"/>
      <c r="R560" s="610"/>
      <c r="S560" s="610"/>
      <c r="T560" s="610"/>
      <c r="U560" s="610"/>
      <c r="V560" s="610"/>
      <c r="W560" s="610"/>
      <c r="X560" s="610"/>
      <c r="Y560" s="610"/>
      <c r="Z560" s="610"/>
      <c r="AA560" s="610"/>
      <c r="AB560" s="610"/>
      <c r="AC560" s="611"/>
      <c r="AD560" s="606"/>
      <c r="AE560" s="606"/>
      <c r="AF560" s="606"/>
      <c r="AG560" s="606"/>
    </row>
    <row r="561" spans="1:33" s="612" customFormat="1" outlineLevel="2" x14ac:dyDescent="0.2">
      <c r="A561" s="606"/>
      <c r="B561" s="606"/>
      <c r="C561" s="607"/>
      <c r="D561" s="608"/>
      <c r="E561" s="608"/>
      <c r="F561" s="608"/>
      <c r="G561" s="608"/>
      <c r="H561" s="609"/>
      <c r="I561" s="610"/>
      <c r="J561" s="610"/>
      <c r="K561" s="610"/>
      <c r="L561" s="610"/>
      <c r="M561" s="610"/>
      <c r="N561" s="610"/>
      <c r="O561" s="610"/>
      <c r="P561" s="610"/>
      <c r="Q561" s="610"/>
      <c r="R561" s="610"/>
      <c r="S561" s="610"/>
      <c r="T561" s="610"/>
      <c r="U561" s="610"/>
      <c r="V561" s="610"/>
      <c r="W561" s="610"/>
      <c r="X561" s="610"/>
      <c r="Y561" s="610"/>
      <c r="Z561" s="610"/>
      <c r="AA561" s="610"/>
      <c r="AB561" s="610"/>
      <c r="AC561" s="611"/>
      <c r="AD561" s="606"/>
      <c r="AE561" s="606"/>
      <c r="AF561" s="606"/>
      <c r="AG561" s="606"/>
    </row>
    <row r="562" spans="1:33" s="612" customFormat="1" outlineLevel="2" x14ac:dyDescent="0.2">
      <c r="A562" s="606"/>
      <c r="B562" s="606"/>
      <c r="C562" s="607"/>
      <c r="D562" s="608"/>
      <c r="E562" s="608"/>
      <c r="F562" s="608"/>
      <c r="G562" s="608"/>
      <c r="H562" s="609"/>
      <c r="I562" s="610"/>
      <c r="J562" s="610"/>
      <c r="K562" s="610"/>
      <c r="L562" s="610"/>
      <c r="M562" s="610"/>
      <c r="N562" s="610"/>
      <c r="O562" s="610"/>
      <c r="P562" s="610"/>
      <c r="Q562" s="610"/>
      <c r="R562" s="610"/>
      <c r="S562" s="610"/>
      <c r="T562" s="610"/>
      <c r="U562" s="610"/>
      <c r="V562" s="610"/>
      <c r="W562" s="610"/>
      <c r="X562" s="610"/>
      <c r="Y562" s="610"/>
      <c r="Z562" s="610"/>
      <c r="AA562" s="610"/>
      <c r="AB562" s="610"/>
      <c r="AC562" s="611"/>
      <c r="AD562" s="606"/>
      <c r="AE562" s="606"/>
      <c r="AF562" s="606"/>
      <c r="AG562" s="606"/>
    </row>
    <row r="563" spans="1:33" s="612" customFormat="1" outlineLevel="2" x14ac:dyDescent="0.2">
      <c r="A563" s="606"/>
      <c r="B563" s="606"/>
      <c r="C563" s="607"/>
      <c r="D563" s="608"/>
      <c r="E563" s="608"/>
      <c r="F563" s="608"/>
      <c r="G563" s="608"/>
      <c r="H563" s="609"/>
      <c r="I563" s="610"/>
      <c r="J563" s="610"/>
      <c r="K563" s="610"/>
      <c r="L563" s="610"/>
      <c r="M563" s="610"/>
      <c r="N563" s="610"/>
      <c r="O563" s="610"/>
      <c r="P563" s="610"/>
      <c r="Q563" s="610"/>
      <c r="R563" s="610"/>
      <c r="S563" s="610"/>
      <c r="T563" s="610"/>
      <c r="U563" s="610"/>
      <c r="V563" s="610"/>
      <c r="W563" s="610"/>
      <c r="X563" s="610"/>
      <c r="Y563" s="610"/>
      <c r="Z563" s="610"/>
      <c r="AA563" s="610"/>
      <c r="AB563" s="610"/>
      <c r="AC563" s="611"/>
      <c r="AD563" s="606"/>
      <c r="AE563" s="606"/>
      <c r="AF563" s="606"/>
      <c r="AG563" s="606"/>
    </row>
    <row r="564" spans="1:33" s="612" customFormat="1" outlineLevel="2" x14ac:dyDescent="0.2">
      <c r="A564" s="606"/>
      <c r="B564" s="606"/>
      <c r="C564" s="607"/>
      <c r="D564" s="608"/>
      <c r="E564" s="608"/>
      <c r="F564" s="608"/>
      <c r="G564" s="608"/>
      <c r="H564" s="609"/>
      <c r="I564" s="610"/>
      <c r="J564" s="610"/>
      <c r="K564" s="610"/>
      <c r="L564" s="610"/>
      <c r="M564" s="610"/>
      <c r="N564" s="610"/>
      <c r="O564" s="610"/>
      <c r="P564" s="610"/>
      <c r="Q564" s="610"/>
      <c r="R564" s="610"/>
      <c r="S564" s="610"/>
      <c r="T564" s="610"/>
      <c r="U564" s="610"/>
      <c r="V564" s="610"/>
      <c r="W564" s="610"/>
      <c r="X564" s="610"/>
      <c r="Y564" s="610"/>
      <c r="Z564" s="610"/>
      <c r="AA564" s="610"/>
      <c r="AB564" s="610"/>
      <c r="AC564" s="611"/>
      <c r="AD564" s="606"/>
      <c r="AE564" s="606"/>
      <c r="AF564" s="606"/>
      <c r="AG564" s="606"/>
    </row>
    <row r="565" spans="1:33" s="612" customFormat="1" outlineLevel="2" x14ac:dyDescent="0.2">
      <c r="A565" s="606"/>
      <c r="B565" s="606"/>
      <c r="C565" s="607"/>
      <c r="D565" s="608"/>
      <c r="E565" s="608"/>
      <c r="F565" s="608"/>
      <c r="G565" s="608"/>
      <c r="H565" s="609"/>
      <c r="I565" s="610"/>
      <c r="J565" s="610"/>
      <c r="K565" s="610"/>
      <c r="L565" s="610"/>
      <c r="M565" s="610"/>
      <c r="N565" s="610"/>
      <c r="O565" s="610"/>
      <c r="P565" s="610"/>
      <c r="Q565" s="610"/>
      <c r="R565" s="610"/>
      <c r="S565" s="610"/>
      <c r="T565" s="610"/>
      <c r="U565" s="610"/>
      <c r="V565" s="610"/>
      <c r="W565" s="610"/>
      <c r="X565" s="610"/>
      <c r="Y565" s="610"/>
      <c r="Z565" s="610"/>
      <c r="AA565" s="610"/>
      <c r="AB565" s="610"/>
      <c r="AC565" s="611"/>
      <c r="AD565" s="606"/>
      <c r="AE565" s="606"/>
      <c r="AF565" s="606"/>
      <c r="AG565" s="606"/>
    </row>
    <row r="566" spans="1:33" s="612" customFormat="1" outlineLevel="2" x14ac:dyDescent="0.2">
      <c r="A566" s="606"/>
      <c r="B566" s="606"/>
      <c r="C566" s="607"/>
      <c r="D566" s="608"/>
      <c r="E566" s="608"/>
      <c r="F566" s="608"/>
      <c r="G566" s="608"/>
      <c r="H566" s="609"/>
      <c r="I566" s="610"/>
      <c r="J566" s="610"/>
      <c r="K566" s="610"/>
      <c r="L566" s="610"/>
      <c r="M566" s="610"/>
      <c r="N566" s="610"/>
      <c r="O566" s="610"/>
      <c r="P566" s="610"/>
      <c r="Q566" s="610"/>
      <c r="R566" s="610"/>
      <c r="S566" s="610"/>
      <c r="T566" s="610"/>
      <c r="U566" s="610"/>
      <c r="V566" s="610"/>
      <c r="W566" s="610"/>
      <c r="X566" s="610"/>
      <c r="Y566" s="610"/>
      <c r="Z566" s="610"/>
      <c r="AA566" s="610"/>
      <c r="AB566" s="610"/>
      <c r="AC566" s="611"/>
      <c r="AD566" s="606"/>
      <c r="AE566" s="606"/>
      <c r="AF566" s="606"/>
      <c r="AG566" s="606"/>
    </row>
    <row r="567" spans="1:33" s="612" customFormat="1" outlineLevel="2" x14ac:dyDescent="0.2">
      <c r="A567" s="606"/>
      <c r="B567" s="606"/>
      <c r="C567" s="607"/>
      <c r="D567" s="608"/>
      <c r="E567" s="608"/>
      <c r="F567" s="608"/>
      <c r="G567" s="608"/>
      <c r="H567" s="609"/>
      <c r="I567" s="610"/>
      <c r="J567" s="610"/>
      <c r="K567" s="610"/>
      <c r="L567" s="610"/>
      <c r="M567" s="610"/>
      <c r="N567" s="610"/>
      <c r="O567" s="610"/>
      <c r="P567" s="610"/>
      <c r="Q567" s="610"/>
      <c r="R567" s="610"/>
      <c r="S567" s="610"/>
      <c r="T567" s="610"/>
      <c r="U567" s="610"/>
      <c r="V567" s="610"/>
      <c r="W567" s="610"/>
      <c r="X567" s="610"/>
      <c r="Y567" s="610"/>
      <c r="Z567" s="610"/>
      <c r="AA567" s="610"/>
      <c r="AB567" s="610"/>
      <c r="AC567" s="611"/>
      <c r="AD567" s="606"/>
      <c r="AE567" s="606"/>
      <c r="AF567" s="606"/>
      <c r="AG567" s="606"/>
    </row>
    <row r="568" spans="1:33" s="612" customFormat="1" outlineLevel="2" x14ac:dyDescent="0.2">
      <c r="A568" s="606"/>
      <c r="B568" s="606"/>
      <c r="C568" s="607"/>
      <c r="D568" s="608"/>
      <c r="E568" s="608"/>
      <c r="F568" s="608"/>
      <c r="G568" s="608"/>
      <c r="H568" s="609"/>
      <c r="I568" s="610"/>
      <c r="J568" s="610"/>
      <c r="K568" s="610"/>
      <c r="L568" s="610"/>
      <c r="M568" s="610"/>
      <c r="N568" s="610"/>
      <c r="O568" s="610"/>
      <c r="P568" s="610"/>
      <c r="Q568" s="610"/>
      <c r="R568" s="610"/>
      <c r="S568" s="610"/>
      <c r="T568" s="610"/>
      <c r="U568" s="610"/>
      <c r="V568" s="610"/>
      <c r="W568" s="610"/>
      <c r="X568" s="610"/>
      <c r="Y568" s="610"/>
      <c r="Z568" s="610"/>
      <c r="AA568" s="610"/>
      <c r="AB568" s="610"/>
      <c r="AC568" s="611"/>
      <c r="AD568" s="606"/>
      <c r="AE568" s="606"/>
      <c r="AF568" s="606"/>
      <c r="AG568" s="606"/>
    </row>
    <row r="569" spans="1:33" s="612" customFormat="1" outlineLevel="2" x14ac:dyDescent="0.2">
      <c r="A569" s="606"/>
      <c r="B569" s="606"/>
      <c r="C569" s="607"/>
      <c r="D569" s="608"/>
      <c r="E569" s="608"/>
      <c r="F569" s="608"/>
      <c r="G569" s="608"/>
      <c r="H569" s="609"/>
      <c r="I569" s="610"/>
      <c r="J569" s="610"/>
      <c r="K569" s="610"/>
      <c r="L569" s="610"/>
      <c r="M569" s="610"/>
      <c r="N569" s="610"/>
      <c r="O569" s="610"/>
      <c r="P569" s="610"/>
      <c r="Q569" s="610"/>
      <c r="R569" s="610"/>
      <c r="S569" s="610"/>
      <c r="T569" s="610"/>
      <c r="U569" s="610"/>
      <c r="V569" s="610"/>
      <c r="W569" s="610"/>
      <c r="X569" s="610"/>
      <c r="Y569" s="610"/>
      <c r="Z569" s="610"/>
      <c r="AA569" s="610"/>
      <c r="AB569" s="610"/>
      <c r="AC569" s="611"/>
      <c r="AD569" s="606"/>
      <c r="AE569" s="606"/>
      <c r="AF569" s="606"/>
      <c r="AG569" s="606"/>
    </row>
    <row r="570" spans="1:33" s="612" customFormat="1" outlineLevel="2" x14ac:dyDescent="0.2">
      <c r="A570" s="606"/>
      <c r="B570" s="606"/>
      <c r="C570" s="607"/>
      <c r="D570" s="608"/>
      <c r="E570" s="608"/>
      <c r="F570" s="608"/>
      <c r="G570" s="608"/>
      <c r="H570" s="609"/>
      <c r="I570" s="610"/>
      <c r="J570" s="610"/>
      <c r="K570" s="610"/>
      <c r="L570" s="610"/>
      <c r="M570" s="610"/>
      <c r="N570" s="610"/>
      <c r="O570" s="610"/>
      <c r="P570" s="610"/>
      <c r="Q570" s="610"/>
      <c r="R570" s="610"/>
      <c r="S570" s="610"/>
      <c r="T570" s="610"/>
      <c r="U570" s="610"/>
      <c r="V570" s="610"/>
      <c r="W570" s="610"/>
      <c r="X570" s="610"/>
      <c r="Y570" s="610"/>
      <c r="Z570" s="610"/>
      <c r="AA570" s="610"/>
      <c r="AB570" s="610"/>
      <c r="AC570" s="611"/>
      <c r="AD570" s="606"/>
      <c r="AE570" s="606"/>
      <c r="AF570" s="606"/>
      <c r="AG570" s="606"/>
    </row>
    <row r="571" spans="1:33" s="612" customFormat="1" outlineLevel="2" x14ac:dyDescent="0.2">
      <c r="A571" s="606"/>
      <c r="B571" s="606"/>
      <c r="C571" s="607"/>
      <c r="D571" s="608"/>
      <c r="E571" s="608"/>
      <c r="F571" s="608"/>
      <c r="G571" s="608"/>
      <c r="H571" s="609"/>
      <c r="I571" s="610"/>
      <c r="J571" s="610"/>
      <c r="K571" s="610"/>
      <c r="L571" s="610"/>
      <c r="M571" s="610"/>
      <c r="N571" s="610"/>
      <c r="O571" s="610"/>
      <c r="P571" s="610"/>
      <c r="Q571" s="610"/>
      <c r="R571" s="610"/>
      <c r="S571" s="610"/>
      <c r="T571" s="610"/>
      <c r="U571" s="610"/>
      <c r="V571" s="610"/>
      <c r="W571" s="610"/>
      <c r="X571" s="610"/>
      <c r="Y571" s="610"/>
      <c r="Z571" s="610"/>
      <c r="AA571" s="610"/>
      <c r="AB571" s="610"/>
      <c r="AC571" s="611"/>
      <c r="AD571" s="606"/>
      <c r="AE571" s="606"/>
      <c r="AF571" s="606"/>
      <c r="AG571" s="606"/>
    </row>
    <row r="572" spans="1:33" s="612" customFormat="1" hidden="1" outlineLevel="3" x14ac:dyDescent="0.2">
      <c r="A572" s="606"/>
      <c r="B572" s="606"/>
      <c r="C572" s="607"/>
      <c r="D572" s="608"/>
      <c r="E572" s="608"/>
      <c r="F572" s="608"/>
      <c r="G572" s="608"/>
      <c r="H572" s="609"/>
      <c r="I572" s="610"/>
      <c r="J572" s="610"/>
      <c r="K572" s="610"/>
      <c r="L572" s="610"/>
      <c r="M572" s="610"/>
      <c r="N572" s="610"/>
      <c r="O572" s="610"/>
      <c r="P572" s="610"/>
      <c r="Q572" s="610"/>
      <c r="R572" s="610"/>
      <c r="S572" s="610"/>
      <c r="T572" s="610"/>
      <c r="U572" s="610"/>
      <c r="V572" s="610"/>
      <c r="W572" s="610"/>
      <c r="X572" s="610"/>
      <c r="Y572" s="610"/>
      <c r="Z572" s="610"/>
      <c r="AA572" s="610"/>
      <c r="AB572" s="610"/>
      <c r="AC572" s="611"/>
      <c r="AD572" s="606"/>
      <c r="AE572" s="606"/>
      <c r="AF572" s="606"/>
      <c r="AG572" s="606"/>
    </row>
    <row r="573" spans="1:33" s="612" customFormat="1" hidden="1" outlineLevel="3" x14ac:dyDescent="0.2">
      <c r="A573" s="606"/>
      <c r="B573" s="606"/>
      <c r="C573" s="607"/>
      <c r="D573" s="608"/>
      <c r="E573" s="608"/>
      <c r="F573" s="608"/>
      <c r="G573" s="608"/>
      <c r="H573" s="609"/>
      <c r="I573" s="610"/>
      <c r="J573" s="610"/>
      <c r="K573" s="610"/>
      <c r="L573" s="610"/>
      <c r="M573" s="610"/>
      <c r="N573" s="610"/>
      <c r="O573" s="610"/>
      <c r="P573" s="610"/>
      <c r="Q573" s="610"/>
      <c r="R573" s="610"/>
      <c r="S573" s="610"/>
      <c r="T573" s="610"/>
      <c r="U573" s="610"/>
      <c r="V573" s="610"/>
      <c r="W573" s="610"/>
      <c r="X573" s="610"/>
      <c r="Y573" s="610"/>
      <c r="Z573" s="610"/>
      <c r="AA573" s="610"/>
      <c r="AB573" s="610"/>
      <c r="AC573" s="611"/>
      <c r="AD573" s="606"/>
      <c r="AE573" s="606"/>
      <c r="AF573" s="606"/>
      <c r="AG573" s="606"/>
    </row>
    <row r="574" spans="1:33" s="612" customFormat="1" hidden="1" outlineLevel="3" x14ac:dyDescent="0.2">
      <c r="A574" s="606"/>
      <c r="B574" s="606"/>
      <c r="C574" s="607"/>
      <c r="D574" s="608"/>
      <c r="E574" s="608"/>
      <c r="F574" s="608"/>
      <c r="G574" s="608"/>
      <c r="H574" s="609"/>
      <c r="I574" s="610"/>
      <c r="J574" s="610"/>
      <c r="K574" s="610"/>
      <c r="L574" s="610"/>
      <c r="M574" s="610"/>
      <c r="N574" s="610"/>
      <c r="O574" s="610"/>
      <c r="P574" s="610"/>
      <c r="Q574" s="610"/>
      <c r="R574" s="610"/>
      <c r="S574" s="610"/>
      <c r="T574" s="610"/>
      <c r="U574" s="610"/>
      <c r="V574" s="610"/>
      <c r="W574" s="610"/>
      <c r="X574" s="610"/>
      <c r="Y574" s="610"/>
      <c r="Z574" s="610"/>
      <c r="AA574" s="610"/>
      <c r="AB574" s="610"/>
      <c r="AC574" s="611"/>
      <c r="AD574" s="606"/>
      <c r="AE574" s="606"/>
      <c r="AF574" s="606"/>
      <c r="AG574" s="606"/>
    </row>
    <row r="575" spans="1:33" s="612" customFormat="1" hidden="1" outlineLevel="3" x14ac:dyDescent="0.2">
      <c r="A575" s="606"/>
      <c r="B575" s="606"/>
      <c r="C575" s="607"/>
      <c r="D575" s="608"/>
      <c r="E575" s="608"/>
      <c r="F575" s="608"/>
      <c r="G575" s="608"/>
      <c r="H575" s="609"/>
      <c r="I575" s="610"/>
      <c r="J575" s="610"/>
      <c r="K575" s="610"/>
      <c r="L575" s="610"/>
      <c r="M575" s="610"/>
      <c r="N575" s="610"/>
      <c r="O575" s="610"/>
      <c r="P575" s="610"/>
      <c r="Q575" s="610"/>
      <c r="R575" s="610"/>
      <c r="S575" s="610"/>
      <c r="T575" s="610"/>
      <c r="U575" s="610"/>
      <c r="V575" s="610"/>
      <c r="W575" s="610"/>
      <c r="X575" s="610"/>
      <c r="Y575" s="610"/>
      <c r="Z575" s="610"/>
      <c r="AA575" s="610"/>
      <c r="AB575" s="610"/>
      <c r="AC575" s="611"/>
      <c r="AD575" s="606"/>
      <c r="AE575" s="606"/>
      <c r="AF575" s="606"/>
      <c r="AG575" s="606"/>
    </row>
    <row r="576" spans="1:33" s="612" customFormat="1" hidden="1" outlineLevel="3" x14ac:dyDescent="0.2">
      <c r="A576" s="606"/>
      <c r="B576" s="606"/>
      <c r="C576" s="607"/>
      <c r="D576" s="608"/>
      <c r="E576" s="608"/>
      <c r="F576" s="608"/>
      <c r="G576" s="608"/>
      <c r="H576" s="609"/>
      <c r="I576" s="610"/>
      <c r="J576" s="610"/>
      <c r="K576" s="610"/>
      <c r="L576" s="610"/>
      <c r="M576" s="610"/>
      <c r="N576" s="610"/>
      <c r="O576" s="610"/>
      <c r="P576" s="610"/>
      <c r="Q576" s="610"/>
      <c r="R576" s="610"/>
      <c r="S576" s="610"/>
      <c r="T576" s="610"/>
      <c r="U576" s="610"/>
      <c r="V576" s="610"/>
      <c r="W576" s="610"/>
      <c r="X576" s="610"/>
      <c r="Y576" s="610"/>
      <c r="Z576" s="610"/>
      <c r="AA576" s="610"/>
      <c r="AB576" s="610"/>
      <c r="AC576" s="611"/>
      <c r="AD576" s="606"/>
      <c r="AE576" s="606"/>
      <c r="AF576" s="606"/>
      <c r="AG576" s="606"/>
    </row>
    <row r="577" spans="1:33" s="612" customFormat="1" hidden="1" outlineLevel="3" x14ac:dyDescent="0.2">
      <c r="A577" s="606"/>
      <c r="B577" s="606"/>
      <c r="C577" s="607"/>
      <c r="D577" s="608"/>
      <c r="E577" s="608"/>
      <c r="F577" s="608"/>
      <c r="G577" s="608"/>
      <c r="H577" s="609"/>
      <c r="I577" s="610"/>
      <c r="J577" s="610"/>
      <c r="K577" s="610"/>
      <c r="L577" s="610"/>
      <c r="M577" s="610"/>
      <c r="N577" s="610"/>
      <c r="O577" s="610"/>
      <c r="P577" s="610"/>
      <c r="Q577" s="610"/>
      <c r="R577" s="610"/>
      <c r="S577" s="610"/>
      <c r="T577" s="610"/>
      <c r="U577" s="610"/>
      <c r="V577" s="610"/>
      <c r="W577" s="610"/>
      <c r="X577" s="610"/>
      <c r="Y577" s="610"/>
      <c r="Z577" s="610"/>
      <c r="AA577" s="610"/>
      <c r="AB577" s="610"/>
      <c r="AC577" s="611"/>
      <c r="AD577" s="606"/>
      <c r="AE577" s="606"/>
      <c r="AF577" s="606"/>
      <c r="AG577" s="606"/>
    </row>
    <row r="578" spans="1:33" s="612" customFormat="1" hidden="1" outlineLevel="3" x14ac:dyDescent="0.2">
      <c r="A578" s="606"/>
      <c r="B578" s="606"/>
      <c r="C578" s="607"/>
      <c r="D578" s="608"/>
      <c r="E578" s="608"/>
      <c r="F578" s="608"/>
      <c r="G578" s="608"/>
      <c r="H578" s="609"/>
      <c r="I578" s="610"/>
      <c r="J578" s="610"/>
      <c r="K578" s="610"/>
      <c r="L578" s="610"/>
      <c r="M578" s="610"/>
      <c r="N578" s="610"/>
      <c r="O578" s="610"/>
      <c r="P578" s="610"/>
      <c r="Q578" s="610"/>
      <c r="R578" s="610"/>
      <c r="S578" s="610"/>
      <c r="T578" s="610"/>
      <c r="U578" s="610"/>
      <c r="V578" s="610"/>
      <c r="W578" s="610"/>
      <c r="X578" s="610"/>
      <c r="Y578" s="610"/>
      <c r="Z578" s="610"/>
      <c r="AA578" s="610"/>
      <c r="AB578" s="610"/>
      <c r="AC578" s="611"/>
      <c r="AD578" s="606"/>
      <c r="AE578" s="606"/>
      <c r="AF578" s="606"/>
      <c r="AG578" s="606"/>
    </row>
    <row r="579" spans="1:33" s="612" customFormat="1" hidden="1" outlineLevel="3" x14ac:dyDescent="0.2">
      <c r="A579" s="606"/>
      <c r="B579" s="606"/>
      <c r="C579" s="607"/>
      <c r="D579" s="608"/>
      <c r="E579" s="608"/>
      <c r="F579" s="608"/>
      <c r="G579" s="608"/>
      <c r="H579" s="609"/>
      <c r="I579" s="610"/>
      <c r="J579" s="610"/>
      <c r="K579" s="610"/>
      <c r="L579" s="610"/>
      <c r="M579" s="610"/>
      <c r="N579" s="610"/>
      <c r="O579" s="610"/>
      <c r="P579" s="610"/>
      <c r="Q579" s="610"/>
      <c r="R579" s="610"/>
      <c r="S579" s="610"/>
      <c r="T579" s="610"/>
      <c r="U579" s="610"/>
      <c r="V579" s="610"/>
      <c r="W579" s="610"/>
      <c r="X579" s="610"/>
      <c r="Y579" s="610"/>
      <c r="Z579" s="610"/>
      <c r="AA579" s="610"/>
      <c r="AB579" s="610"/>
      <c r="AC579" s="611"/>
      <c r="AD579" s="606"/>
      <c r="AE579" s="606"/>
      <c r="AF579" s="606"/>
      <c r="AG579" s="606"/>
    </row>
    <row r="580" spans="1:33" s="612" customFormat="1" hidden="1" outlineLevel="3" x14ac:dyDescent="0.2">
      <c r="A580" s="606"/>
      <c r="B580" s="606"/>
      <c r="C580" s="607"/>
      <c r="D580" s="608"/>
      <c r="E580" s="608"/>
      <c r="F580" s="608"/>
      <c r="G580" s="608"/>
      <c r="H580" s="609"/>
      <c r="I580" s="610"/>
      <c r="J580" s="610"/>
      <c r="K580" s="610"/>
      <c r="L580" s="610"/>
      <c r="M580" s="610"/>
      <c r="N580" s="610"/>
      <c r="O580" s="610"/>
      <c r="P580" s="610"/>
      <c r="Q580" s="610"/>
      <c r="R580" s="610"/>
      <c r="S580" s="610"/>
      <c r="T580" s="610"/>
      <c r="U580" s="610"/>
      <c r="V580" s="610"/>
      <c r="W580" s="610"/>
      <c r="X580" s="610"/>
      <c r="Y580" s="610"/>
      <c r="Z580" s="610"/>
      <c r="AA580" s="610"/>
      <c r="AB580" s="610"/>
      <c r="AC580" s="611"/>
      <c r="AD580" s="606"/>
      <c r="AE580" s="606"/>
      <c r="AF580" s="606"/>
      <c r="AG580" s="606"/>
    </row>
    <row r="581" spans="1:33" s="612" customFormat="1" hidden="1" outlineLevel="3" x14ac:dyDescent="0.2">
      <c r="A581" s="606"/>
      <c r="B581" s="606"/>
      <c r="C581" s="607"/>
      <c r="D581" s="608"/>
      <c r="E581" s="608"/>
      <c r="F581" s="608"/>
      <c r="G581" s="608"/>
      <c r="H581" s="609"/>
      <c r="I581" s="610"/>
      <c r="J581" s="610"/>
      <c r="K581" s="610"/>
      <c r="L581" s="610"/>
      <c r="M581" s="610"/>
      <c r="N581" s="610"/>
      <c r="O581" s="610"/>
      <c r="P581" s="610"/>
      <c r="Q581" s="610"/>
      <c r="R581" s="610"/>
      <c r="S581" s="610"/>
      <c r="T581" s="610"/>
      <c r="U581" s="610"/>
      <c r="V581" s="610"/>
      <c r="W581" s="610"/>
      <c r="X581" s="610"/>
      <c r="Y581" s="610"/>
      <c r="Z581" s="610"/>
      <c r="AA581" s="610"/>
      <c r="AB581" s="610"/>
      <c r="AC581" s="611"/>
      <c r="AD581" s="606"/>
      <c r="AE581" s="606"/>
      <c r="AF581" s="606"/>
      <c r="AG581" s="606"/>
    </row>
    <row r="582" spans="1:33" s="612" customFormat="1" hidden="1" outlineLevel="3" x14ac:dyDescent="0.2">
      <c r="A582" s="606"/>
      <c r="B582" s="606"/>
      <c r="C582" s="607"/>
      <c r="D582" s="608"/>
      <c r="E582" s="608"/>
      <c r="F582" s="608"/>
      <c r="G582" s="608"/>
      <c r="H582" s="609"/>
      <c r="I582" s="610"/>
      <c r="J582" s="610"/>
      <c r="K582" s="610"/>
      <c r="L582" s="610"/>
      <c r="M582" s="610"/>
      <c r="N582" s="610"/>
      <c r="O582" s="610"/>
      <c r="P582" s="610"/>
      <c r="Q582" s="610"/>
      <c r="R582" s="610"/>
      <c r="S582" s="610"/>
      <c r="T582" s="610"/>
      <c r="U582" s="610"/>
      <c r="V582" s="610"/>
      <c r="W582" s="610"/>
      <c r="X582" s="610"/>
      <c r="Y582" s="610"/>
      <c r="Z582" s="610"/>
      <c r="AA582" s="610"/>
      <c r="AB582" s="610"/>
      <c r="AC582" s="611"/>
      <c r="AD582" s="606"/>
      <c r="AE582" s="606"/>
      <c r="AF582" s="606"/>
      <c r="AG582" s="606"/>
    </row>
    <row r="583" spans="1:33" s="612" customFormat="1" hidden="1" outlineLevel="3" x14ac:dyDescent="0.2">
      <c r="A583" s="606"/>
      <c r="B583" s="606"/>
      <c r="C583" s="607"/>
      <c r="D583" s="608"/>
      <c r="E583" s="608"/>
      <c r="F583" s="608"/>
      <c r="G583" s="608"/>
      <c r="H583" s="609"/>
      <c r="I583" s="610"/>
      <c r="J583" s="610"/>
      <c r="K583" s="610"/>
      <c r="L583" s="610"/>
      <c r="M583" s="610"/>
      <c r="N583" s="610"/>
      <c r="O583" s="610"/>
      <c r="P583" s="610"/>
      <c r="Q583" s="610"/>
      <c r="R583" s="610"/>
      <c r="S583" s="610"/>
      <c r="T583" s="610"/>
      <c r="U583" s="610"/>
      <c r="V583" s="610"/>
      <c r="W583" s="610"/>
      <c r="X583" s="610"/>
      <c r="Y583" s="610"/>
      <c r="Z583" s="610"/>
      <c r="AA583" s="610"/>
      <c r="AB583" s="610"/>
      <c r="AC583" s="611"/>
      <c r="AD583" s="606"/>
      <c r="AE583" s="606"/>
      <c r="AF583" s="606"/>
      <c r="AG583" s="606"/>
    </row>
    <row r="584" spans="1:33" s="612" customFormat="1" hidden="1" outlineLevel="3" x14ac:dyDescent="0.2">
      <c r="A584" s="606"/>
      <c r="B584" s="606"/>
      <c r="C584" s="607"/>
      <c r="D584" s="608"/>
      <c r="E584" s="608"/>
      <c r="F584" s="608"/>
      <c r="G584" s="608"/>
      <c r="H584" s="609"/>
      <c r="I584" s="610"/>
      <c r="J584" s="610"/>
      <c r="K584" s="610"/>
      <c r="L584" s="610"/>
      <c r="M584" s="610"/>
      <c r="N584" s="610"/>
      <c r="O584" s="610"/>
      <c r="P584" s="610"/>
      <c r="Q584" s="610"/>
      <c r="R584" s="610"/>
      <c r="S584" s="610"/>
      <c r="T584" s="610"/>
      <c r="U584" s="610"/>
      <c r="V584" s="610"/>
      <c r="W584" s="610"/>
      <c r="X584" s="610"/>
      <c r="Y584" s="610"/>
      <c r="Z584" s="610"/>
      <c r="AA584" s="610"/>
      <c r="AB584" s="610"/>
      <c r="AC584" s="611"/>
      <c r="AD584" s="606"/>
      <c r="AE584" s="606"/>
      <c r="AF584" s="606"/>
      <c r="AG584" s="606"/>
    </row>
    <row r="585" spans="1:33" s="612" customFormat="1" hidden="1" outlineLevel="3" x14ac:dyDescent="0.2">
      <c r="A585" s="606"/>
      <c r="B585" s="606"/>
      <c r="C585" s="607"/>
      <c r="D585" s="608"/>
      <c r="E585" s="608"/>
      <c r="F585" s="608"/>
      <c r="G585" s="608"/>
      <c r="H585" s="609"/>
      <c r="I585" s="610"/>
      <c r="J585" s="610"/>
      <c r="K585" s="610"/>
      <c r="L585" s="610"/>
      <c r="M585" s="610"/>
      <c r="N585" s="610"/>
      <c r="O585" s="610"/>
      <c r="P585" s="610"/>
      <c r="Q585" s="610"/>
      <c r="R585" s="610"/>
      <c r="S585" s="610"/>
      <c r="T585" s="610"/>
      <c r="U585" s="610"/>
      <c r="V585" s="610"/>
      <c r="W585" s="610"/>
      <c r="X585" s="610"/>
      <c r="Y585" s="610"/>
      <c r="Z585" s="610"/>
      <c r="AA585" s="610"/>
      <c r="AB585" s="610"/>
      <c r="AC585" s="611"/>
      <c r="AD585" s="606"/>
      <c r="AE585" s="606"/>
      <c r="AF585" s="606"/>
      <c r="AG585" s="606"/>
    </row>
    <row r="586" spans="1:33" s="612" customFormat="1" hidden="1" outlineLevel="3" x14ac:dyDescent="0.2">
      <c r="A586" s="606"/>
      <c r="B586" s="606"/>
      <c r="C586" s="607"/>
      <c r="D586" s="608"/>
      <c r="E586" s="608"/>
      <c r="F586" s="608"/>
      <c r="G586" s="608"/>
      <c r="H586" s="609"/>
      <c r="I586" s="610"/>
      <c r="J586" s="610"/>
      <c r="K586" s="610"/>
      <c r="L586" s="610"/>
      <c r="M586" s="610"/>
      <c r="N586" s="610"/>
      <c r="O586" s="610"/>
      <c r="P586" s="610"/>
      <c r="Q586" s="610"/>
      <c r="R586" s="610"/>
      <c r="S586" s="610"/>
      <c r="T586" s="610"/>
      <c r="U586" s="610"/>
      <c r="V586" s="610"/>
      <c r="W586" s="610"/>
      <c r="X586" s="610"/>
      <c r="Y586" s="610"/>
      <c r="Z586" s="610"/>
      <c r="AA586" s="610"/>
      <c r="AB586" s="610"/>
      <c r="AC586" s="611"/>
      <c r="AD586" s="606"/>
      <c r="AE586" s="606"/>
      <c r="AF586" s="606"/>
      <c r="AG586" s="606"/>
    </row>
    <row r="587" spans="1:33" s="612" customFormat="1" hidden="1" outlineLevel="3" x14ac:dyDescent="0.2">
      <c r="A587" s="606"/>
      <c r="B587" s="606"/>
      <c r="C587" s="607"/>
      <c r="D587" s="608"/>
      <c r="E587" s="608"/>
      <c r="F587" s="608"/>
      <c r="G587" s="608"/>
      <c r="H587" s="609"/>
      <c r="I587" s="610"/>
      <c r="J587" s="610"/>
      <c r="K587" s="610"/>
      <c r="L587" s="610"/>
      <c r="M587" s="610"/>
      <c r="N587" s="610"/>
      <c r="O587" s="610"/>
      <c r="P587" s="610"/>
      <c r="Q587" s="610"/>
      <c r="R587" s="610"/>
      <c r="S587" s="610"/>
      <c r="T587" s="610"/>
      <c r="U587" s="610"/>
      <c r="V587" s="610"/>
      <c r="W587" s="610"/>
      <c r="X587" s="610"/>
      <c r="Y587" s="610"/>
      <c r="Z587" s="610"/>
      <c r="AA587" s="610"/>
      <c r="AB587" s="610"/>
      <c r="AC587" s="611"/>
      <c r="AD587" s="606"/>
      <c r="AE587" s="606"/>
      <c r="AF587" s="606"/>
      <c r="AG587" s="606"/>
    </row>
    <row r="588" spans="1:33" s="612" customFormat="1" hidden="1" outlineLevel="3" x14ac:dyDescent="0.2">
      <c r="A588" s="606"/>
      <c r="B588" s="606"/>
      <c r="C588" s="607"/>
      <c r="D588" s="608"/>
      <c r="E588" s="608"/>
      <c r="F588" s="608"/>
      <c r="G588" s="608"/>
      <c r="H588" s="609"/>
      <c r="I588" s="610"/>
      <c r="J588" s="610"/>
      <c r="K588" s="610"/>
      <c r="L588" s="610"/>
      <c r="M588" s="610"/>
      <c r="N588" s="610"/>
      <c r="O588" s="610"/>
      <c r="P588" s="610"/>
      <c r="Q588" s="610"/>
      <c r="R588" s="610"/>
      <c r="S588" s="610"/>
      <c r="T588" s="610"/>
      <c r="U588" s="610"/>
      <c r="V588" s="610"/>
      <c r="W588" s="610"/>
      <c r="X588" s="610"/>
      <c r="Y588" s="610"/>
      <c r="Z588" s="610"/>
      <c r="AA588" s="610"/>
      <c r="AB588" s="610"/>
      <c r="AC588" s="611"/>
      <c r="AD588" s="606"/>
      <c r="AE588" s="606"/>
      <c r="AF588" s="606"/>
      <c r="AG588" s="606"/>
    </row>
    <row r="589" spans="1:33" s="612" customFormat="1" hidden="1" outlineLevel="3" x14ac:dyDescent="0.2">
      <c r="A589" s="606"/>
      <c r="B589" s="606"/>
      <c r="C589" s="607"/>
      <c r="D589" s="608"/>
      <c r="E589" s="608"/>
      <c r="F589" s="608"/>
      <c r="G589" s="608"/>
      <c r="H589" s="609"/>
      <c r="I589" s="610"/>
      <c r="J589" s="610"/>
      <c r="K589" s="610"/>
      <c r="L589" s="610"/>
      <c r="M589" s="610"/>
      <c r="N589" s="610"/>
      <c r="O589" s="610"/>
      <c r="P589" s="610"/>
      <c r="Q589" s="610"/>
      <c r="R589" s="610"/>
      <c r="S589" s="610"/>
      <c r="T589" s="610"/>
      <c r="U589" s="610"/>
      <c r="V589" s="610"/>
      <c r="W589" s="610"/>
      <c r="X589" s="610"/>
      <c r="Y589" s="610"/>
      <c r="Z589" s="610"/>
      <c r="AA589" s="610"/>
      <c r="AB589" s="610"/>
      <c r="AC589" s="611"/>
      <c r="AD589" s="606"/>
      <c r="AE589" s="606"/>
      <c r="AF589" s="606"/>
      <c r="AG589" s="606"/>
    </row>
    <row r="590" spans="1:33" s="612" customFormat="1" hidden="1" outlineLevel="3" x14ac:dyDescent="0.2">
      <c r="A590" s="606"/>
      <c r="B590" s="606"/>
      <c r="C590" s="607"/>
      <c r="D590" s="608"/>
      <c r="E590" s="608"/>
      <c r="F590" s="608"/>
      <c r="G590" s="608"/>
      <c r="H590" s="609"/>
      <c r="I590" s="610"/>
      <c r="J590" s="610"/>
      <c r="K590" s="610"/>
      <c r="L590" s="610"/>
      <c r="M590" s="610"/>
      <c r="N590" s="610"/>
      <c r="O590" s="610"/>
      <c r="P590" s="610"/>
      <c r="Q590" s="610"/>
      <c r="R590" s="610"/>
      <c r="S590" s="610"/>
      <c r="T590" s="610"/>
      <c r="U590" s="610"/>
      <c r="V590" s="610"/>
      <c r="W590" s="610"/>
      <c r="X590" s="610"/>
      <c r="Y590" s="610"/>
      <c r="Z590" s="610"/>
      <c r="AA590" s="610"/>
      <c r="AB590" s="610"/>
      <c r="AC590" s="611"/>
      <c r="AD590" s="606"/>
      <c r="AE590" s="606"/>
      <c r="AF590" s="606"/>
      <c r="AG590" s="606"/>
    </row>
    <row r="591" spans="1:33" s="612" customFormat="1" hidden="1" outlineLevel="3" x14ac:dyDescent="0.2">
      <c r="A591" s="606"/>
      <c r="B591" s="606"/>
      <c r="C591" s="607"/>
      <c r="D591" s="608"/>
      <c r="E591" s="608"/>
      <c r="F591" s="608"/>
      <c r="G591" s="608"/>
      <c r="H591" s="609"/>
      <c r="I591" s="610"/>
      <c r="J591" s="610"/>
      <c r="K591" s="610"/>
      <c r="L591" s="610"/>
      <c r="M591" s="610"/>
      <c r="N591" s="610"/>
      <c r="O591" s="610"/>
      <c r="P591" s="610"/>
      <c r="Q591" s="610"/>
      <c r="R591" s="610"/>
      <c r="S591" s="610"/>
      <c r="T591" s="610"/>
      <c r="U591" s="610"/>
      <c r="V591" s="610"/>
      <c r="W591" s="610"/>
      <c r="X591" s="610"/>
      <c r="Y591" s="610"/>
      <c r="Z591" s="610"/>
      <c r="AA591" s="610"/>
      <c r="AB591" s="610"/>
      <c r="AC591" s="611"/>
      <c r="AD591" s="606"/>
      <c r="AE591" s="606"/>
      <c r="AF591" s="606"/>
      <c r="AG591" s="606"/>
    </row>
    <row r="592" spans="1:33" s="612" customFormat="1" hidden="1" outlineLevel="3" x14ac:dyDescent="0.2">
      <c r="A592" s="606"/>
      <c r="B592" s="606"/>
      <c r="C592" s="607"/>
      <c r="D592" s="608"/>
      <c r="E592" s="608"/>
      <c r="F592" s="608"/>
      <c r="G592" s="608"/>
      <c r="H592" s="609"/>
      <c r="I592" s="610"/>
      <c r="J592" s="610"/>
      <c r="K592" s="610"/>
      <c r="L592" s="610"/>
      <c r="M592" s="610"/>
      <c r="N592" s="610"/>
      <c r="O592" s="610"/>
      <c r="P592" s="610"/>
      <c r="Q592" s="610"/>
      <c r="R592" s="610"/>
      <c r="S592" s="610"/>
      <c r="T592" s="610"/>
      <c r="U592" s="610"/>
      <c r="V592" s="610"/>
      <c r="W592" s="610"/>
      <c r="X592" s="610"/>
      <c r="Y592" s="610"/>
      <c r="Z592" s="610"/>
      <c r="AA592" s="610"/>
      <c r="AB592" s="610"/>
      <c r="AC592" s="611"/>
      <c r="AD592" s="606"/>
      <c r="AE592" s="606"/>
      <c r="AF592" s="606"/>
      <c r="AG592" s="606"/>
    </row>
    <row r="593" spans="1:33" s="612" customFormat="1" hidden="1" outlineLevel="3" x14ac:dyDescent="0.2">
      <c r="A593" s="606"/>
      <c r="B593" s="606"/>
      <c r="C593" s="607"/>
      <c r="D593" s="608"/>
      <c r="E593" s="608"/>
      <c r="F593" s="608"/>
      <c r="G593" s="608"/>
      <c r="H593" s="609"/>
      <c r="I593" s="610"/>
      <c r="J593" s="610"/>
      <c r="K593" s="610"/>
      <c r="L593" s="610"/>
      <c r="M593" s="610"/>
      <c r="N593" s="610"/>
      <c r="O593" s="610"/>
      <c r="P593" s="610"/>
      <c r="Q593" s="610"/>
      <c r="R593" s="610"/>
      <c r="S593" s="610"/>
      <c r="T593" s="610"/>
      <c r="U593" s="610"/>
      <c r="V593" s="610"/>
      <c r="W593" s="610"/>
      <c r="X593" s="610"/>
      <c r="Y593" s="610"/>
      <c r="Z593" s="610"/>
      <c r="AA593" s="610"/>
      <c r="AB593" s="610"/>
      <c r="AC593" s="611"/>
      <c r="AD593" s="606"/>
      <c r="AE593" s="606"/>
      <c r="AF593" s="606"/>
      <c r="AG593" s="606"/>
    </row>
    <row r="594" spans="1:33" s="612" customFormat="1" hidden="1" outlineLevel="3" x14ac:dyDescent="0.2">
      <c r="A594" s="606"/>
      <c r="B594" s="606"/>
      <c r="C594" s="607"/>
      <c r="D594" s="608"/>
      <c r="E594" s="608"/>
      <c r="F594" s="608"/>
      <c r="G594" s="608"/>
      <c r="H594" s="609"/>
      <c r="I594" s="610"/>
      <c r="J594" s="610"/>
      <c r="K594" s="610"/>
      <c r="L594" s="610"/>
      <c r="M594" s="610"/>
      <c r="N594" s="610"/>
      <c r="O594" s="610"/>
      <c r="P594" s="610"/>
      <c r="Q594" s="610"/>
      <c r="R594" s="610"/>
      <c r="S594" s="610"/>
      <c r="T594" s="610"/>
      <c r="U594" s="610"/>
      <c r="V594" s="610"/>
      <c r="W594" s="610"/>
      <c r="X594" s="610"/>
      <c r="Y594" s="610"/>
      <c r="Z594" s="610"/>
      <c r="AA594" s="610"/>
      <c r="AB594" s="610"/>
      <c r="AC594" s="611"/>
      <c r="AD594" s="606"/>
      <c r="AE594" s="606"/>
      <c r="AF594" s="606"/>
      <c r="AG594" s="606"/>
    </row>
    <row r="595" spans="1:33" s="612" customFormat="1" hidden="1" outlineLevel="3" x14ac:dyDescent="0.2">
      <c r="A595" s="606"/>
      <c r="B595" s="606"/>
      <c r="C595" s="607"/>
      <c r="D595" s="608"/>
      <c r="E595" s="608"/>
      <c r="F595" s="608"/>
      <c r="G595" s="608"/>
      <c r="H595" s="609"/>
      <c r="I595" s="610"/>
      <c r="J595" s="610"/>
      <c r="K595" s="610"/>
      <c r="L595" s="610"/>
      <c r="M595" s="610"/>
      <c r="N595" s="610"/>
      <c r="O595" s="610"/>
      <c r="P595" s="610"/>
      <c r="Q595" s="610"/>
      <c r="R595" s="610"/>
      <c r="S595" s="610"/>
      <c r="T595" s="610"/>
      <c r="U595" s="610"/>
      <c r="V595" s="610"/>
      <c r="W595" s="610"/>
      <c r="X595" s="610"/>
      <c r="Y595" s="610"/>
      <c r="Z595" s="610"/>
      <c r="AA595" s="610"/>
      <c r="AB595" s="610"/>
      <c r="AC595" s="611"/>
      <c r="AD595" s="606"/>
      <c r="AE595" s="606"/>
      <c r="AF595" s="606"/>
      <c r="AG595" s="606"/>
    </row>
    <row r="596" spans="1:33" s="612" customFormat="1" hidden="1" outlineLevel="3" x14ac:dyDescent="0.2">
      <c r="A596" s="606"/>
      <c r="B596" s="606"/>
      <c r="C596" s="607"/>
      <c r="D596" s="608"/>
      <c r="E596" s="608"/>
      <c r="F596" s="608"/>
      <c r="G596" s="608"/>
      <c r="H596" s="609"/>
      <c r="I596" s="610"/>
      <c r="J596" s="610"/>
      <c r="K596" s="610"/>
      <c r="L596" s="610"/>
      <c r="M596" s="610"/>
      <c r="N596" s="610"/>
      <c r="O596" s="610"/>
      <c r="P596" s="610"/>
      <c r="Q596" s="610"/>
      <c r="R596" s="610"/>
      <c r="S596" s="610"/>
      <c r="T596" s="610"/>
      <c r="U596" s="610"/>
      <c r="V596" s="610"/>
      <c r="W596" s="610"/>
      <c r="X596" s="610"/>
      <c r="Y596" s="610"/>
      <c r="Z596" s="610"/>
      <c r="AA596" s="610"/>
      <c r="AB596" s="610"/>
      <c r="AC596" s="611"/>
      <c r="AD596" s="606"/>
      <c r="AE596" s="606"/>
      <c r="AF596" s="606"/>
      <c r="AG596" s="606"/>
    </row>
    <row r="597" spans="1:33" s="612" customFormat="1" hidden="1" outlineLevel="3" x14ac:dyDescent="0.2">
      <c r="A597" s="606"/>
      <c r="B597" s="606"/>
      <c r="C597" s="607"/>
      <c r="D597" s="608"/>
      <c r="E597" s="608"/>
      <c r="F597" s="608"/>
      <c r="G597" s="608"/>
      <c r="H597" s="609"/>
      <c r="I597" s="610"/>
      <c r="J597" s="610"/>
      <c r="K597" s="610"/>
      <c r="L597" s="610"/>
      <c r="M597" s="610"/>
      <c r="N597" s="610"/>
      <c r="O597" s="610"/>
      <c r="P597" s="610"/>
      <c r="Q597" s="610"/>
      <c r="R597" s="610"/>
      <c r="S597" s="610"/>
      <c r="T597" s="610"/>
      <c r="U597" s="610"/>
      <c r="V597" s="610"/>
      <c r="W597" s="610"/>
      <c r="X597" s="610"/>
      <c r="Y597" s="610"/>
      <c r="Z597" s="610"/>
      <c r="AA597" s="610"/>
      <c r="AB597" s="610"/>
      <c r="AC597" s="611"/>
      <c r="AD597" s="606"/>
      <c r="AE597" s="606"/>
      <c r="AF597" s="606"/>
      <c r="AG597" s="606"/>
    </row>
    <row r="598" spans="1:33" s="612" customFormat="1" hidden="1" outlineLevel="3" x14ac:dyDescent="0.2">
      <c r="A598" s="606"/>
      <c r="B598" s="606"/>
      <c r="C598" s="607"/>
      <c r="D598" s="608"/>
      <c r="E598" s="608"/>
      <c r="F598" s="608"/>
      <c r="G598" s="608"/>
      <c r="H598" s="609"/>
      <c r="I598" s="610"/>
      <c r="J598" s="610"/>
      <c r="K598" s="610"/>
      <c r="L598" s="610"/>
      <c r="M598" s="610"/>
      <c r="N598" s="610"/>
      <c r="O598" s="610"/>
      <c r="P598" s="610"/>
      <c r="Q598" s="610"/>
      <c r="R598" s="610"/>
      <c r="S598" s="610"/>
      <c r="T598" s="610"/>
      <c r="U598" s="610"/>
      <c r="V598" s="610"/>
      <c r="W598" s="610"/>
      <c r="X598" s="610"/>
      <c r="Y598" s="610"/>
      <c r="Z598" s="610"/>
      <c r="AA598" s="610"/>
      <c r="AB598" s="610"/>
      <c r="AC598" s="611"/>
      <c r="AD598" s="606"/>
      <c r="AE598" s="606"/>
      <c r="AF598" s="606"/>
      <c r="AG598" s="606"/>
    </row>
    <row r="599" spans="1:33" s="612" customFormat="1" hidden="1" outlineLevel="3" x14ac:dyDescent="0.2">
      <c r="A599" s="606"/>
      <c r="B599" s="606"/>
      <c r="C599" s="607"/>
      <c r="D599" s="608"/>
      <c r="E599" s="608"/>
      <c r="F599" s="608"/>
      <c r="G599" s="608"/>
      <c r="H599" s="609"/>
      <c r="I599" s="610"/>
      <c r="J599" s="610"/>
      <c r="K599" s="610"/>
      <c r="L599" s="610"/>
      <c r="M599" s="610"/>
      <c r="N599" s="610"/>
      <c r="O599" s="610"/>
      <c r="P599" s="610"/>
      <c r="Q599" s="610"/>
      <c r="R599" s="610"/>
      <c r="S599" s="610"/>
      <c r="T599" s="610"/>
      <c r="U599" s="610"/>
      <c r="V599" s="610"/>
      <c r="W599" s="610"/>
      <c r="X599" s="610"/>
      <c r="Y599" s="610"/>
      <c r="Z599" s="610"/>
      <c r="AA599" s="610"/>
      <c r="AB599" s="610"/>
      <c r="AC599" s="611"/>
      <c r="AD599" s="606"/>
      <c r="AE599" s="606"/>
      <c r="AF599" s="606"/>
      <c r="AG599" s="606"/>
    </row>
    <row r="600" spans="1:33" s="612" customFormat="1" hidden="1" outlineLevel="3" x14ac:dyDescent="0.2">
      <c r="A600" s="606"/>
      <c r="B600" s="606"/>
      <c r="C600" s="607"/>
      <c r="D600" s="608"/>
      <c r="E600" s="608"/>
      <c r="F600" s="608"/>
      <c r="G600" s="608"/>
      <c r="H600" s="609"/>
      <c r="I600" s="610"/>
      <c r="J600" s="610"/>
      <c r="K600" s="610"/>
      <c r="L600" s="610"/>
      <c r="M600" s="610"/>
      <c r="N600" s="610"/>
      <c r="O600" s="610"/>
      <c r="P600" s="610"/>
      <c r="Q600" s="610"/>
      <c r="R600" s="610"/>
      <c r="S600" s="610"/>
      <c r="T600" s="610"/>
      <c r="U600" s="610"/>
      <c r="V600" s="610"/>
      <c r="W600" s="610"/>
      <c r="X600" s="610"/>
      <c r="Y600" s="610"/>
      <c r="Z600" s="610"/>
      <c r="AA600" s="610"/>
      <c r="AB600" s="610"/>
      <c r="AC600" s="611"/>
      <c r="AD600" s="606"/>
      <c r="AE600" s="606"/>
      <c r="AF600" s="606"/>
      <c r="AG600" s="606"/>
    </row>
    <row r="601" spans="1:33" s="612" customFormat="1" hidden="1" outlineLevel="3" x14ac:dyDescent="0.2">
      <c r="A601" s="606"/>
      <c r="B601" s="606"/>
      <c r="C601" s="607"/>
      <c r="D601" s="608"/>
      <c r="E601" s="608"/>
      <c r="F601" s="608"/>
      <c r="G601" s="608"/>
      <c r="H601" s="609"/>
      <c r="I601" s="610"/>
      <c r="J601" s="610"/>
      <c r="K601" s="610"/>
      <c r="L601" s="610"/>
      <c r="M601" s="610"/>
      <c r="N601" s="610"/>
      <c r="O601" s="610"/>
      <c r="P601" s="610"/>
      <c r="Q601" s="610"/>
      <c r="R601" s="610"/>
      <c r="S601" s="610"/>
      <c r="T601" s="610"/>
      <c r="U601" s="610"/>
      <c r="V601" s="610"/>
      <c r="W601" s="610"/>
      <c r="X601" s="610"/>
      <c r="Y601" s="610"/>
      <c r="Z601" s="610"/>
      <c r="AA601" s="610"/>
      <c r="AB601" s="610"/>
      <c r="AC601" s="611"/>
      <c r="AD601" s="606"/>
      <c r="AE601" s="606"/>
      <c r="AF601" s="606"/>
      <c r="AG601" s="606"/>
    </row>
    <row r="602" spans="1:33" s="612" customFormat="1" hidden="1" outlineLevel="3" x14ac:dyDescent="0.2">
      <c r="A602" s="606"/>
      <c r="B602" s="606"/>
      <c r="C602" s="607"/>
      <c r="D602" s="608"/>
      <c r="E602" s="608"/>
      <c r="F602" s="608"/>
      <c r="G602" s="608"/>
      <c r="H602" s="609"/>
      <c r="I602" s="610"/>
      <c r="J602" s="610"/>
      <c r="K602" s="610"/>
      <c r="L602" s="610"/>
      <c r="M602" s="610"/>
      <c r="N602" s="610"/>
      <c r="O602" s="610"/>
      <c r="P602" s="610"/>
      <c r="Q602" s="610"/>
      <c r="R602" s="610"/>
      <c r="S602" s="610"/>
      <c r="T602" s="610"/>
      <c r="U602" s="610"/>
      <c r="V602" s="610"/>
      <c r="W602" s="610"/>
      <c r="X602" s="610"/>
      <c r="Y602" s="610"/>
      <c r="Z602" s="610"/>
      <c r="AA602" s="610"/>
      <c r="AB602" s="610"/>
      <c r="AC602" s="611"/>
      <c r="AD602" s="606"/>
      <c r="AE602" s="606"/>
      <c r="AF602" s="606"/>
      <c r="AG602" s="606"/>
    </row>
    <row r="603" spans="1:33" s="612" customFormat="1" hidden="1" outlineLevel="3" x14ac:dyDescent="0.2">
      <c r="A603" s="606"/>
      <c r="B603" s="606"/>
      <c r="C603" s="607"/>
      <c r="D603" s="608"/>
      <c r="E603" s="608"/>
      <c r="F603" s="608"/>
      <c r="G603" s="608"/>
      <c r="H603" s="609"/>
      <c r="I603" s="610"/>
      <c r="J603" s="610"/>
      <c r="K603" s="610"/>
      <c r="L603" s="610"/>
      <c r="M603" s="610"/>
      <c r="N603" s="610"/>
      <c r="O603" s="610"/>
      <c r="P603" s="610"/>
      <c r="Q603" s="610"/>
      <c r="R603" s="610"/>
      <c r="S603" s="610"/>
      <c r="T603" s="610"/>
      <c r="U603" s="610"/>
      <c r="V603" s="610"/>
      <c r="W603" s="610"/>
      <c r="X603" s="610"/>
      <c r="Y603" s="610"/>
      <c r="Z603" s="610"/>
      <c r="AA603" s="610"/>
      <c r="AB603" s="610"/>
      <c r="AC603" s="611"/>
      <c r="AD603" s="606"/>
      <c r="AE603" s="606"/>
      <c r="AF603" s="606"/>
      <c r="AG603" s="606"/>
    </row>
    <row r="604" spans="1:33" s="612" customFormat="1" hidden="1" outlineLevel="3" x14ac:dyDescent="0.2">
      <c r="A604" s="606"/>
      <c r="B604" s="606"/>
      <c r="C604" s="607"/>
      <c r="D604" s="608"/>
      <c r="E604" s="608"/>
      <c r="F604" s="608"/>
      <c r="G604" s="608"/>
      <c r="H604" s="609"/>
      <c r="I604" s="610"/>
      <c r="J604" s="610"/>
      <c r="K604" s="610"/>
      <c r="L604" s="610"/>
      <c r="M604" s="610"/>
      <c r="N604" s="610"/>
      <c r="O604" s="610"/>
      <c r="P604" s="610"/>
      <c r="Q604" s="610"/>
      <c r="R604" s="610"/>
      <c r="S604" s="610"/>
      <c r="T604" s="610"/>
      <c r="U604" s="610"/>
      <c r="V604" s="610"/>
      <c r="W604" s="610"/>
      <c r="X604" s="610"/>
      <c r="Y604" s="610"/>
      <c r="Z604" s="610"/>
      <c r="AA604" s="610"/>
      <c r="AB604" s="610"/>
      <c r="AC604" s="611"/>
      <c r="AD604" s="606"/>
      <c r="AE604" s="606"/>
      <c r="AF604" s="606"/>
      <c r="AG604" s="606"/>
    </row>
    <row r="605" spans="1:33" s="612" customFormat="1" hidden="1" outlineLevel="3" x14ac:dyDescent="0.2">
      <c r="A605" s="606"/>
      <c r="B605" s="606"/>
      <c r="C605" s="607"/>
      <c r="D605" s="608"/>
      <c r="E605" s="608"/>
      <c r="F605" s="608"/>
      <c r="G605" s="608"/>
      <c r="H605" s="609"/>
      <c r="I605" s="610"/>
      <c r="J605" s="610"/>
      <c r="K605" s="610"/>
      <c r="L605" s="610"/>
      <c r="M605" s="610"/>
      <c r="N605" s="610"/>
      <c r="O605" s="610"/>
      <c r="P605" s="610"/>
      <c r="Q605" s="610"/>
      <c r="R605" s="610"/>
      <c r="S605" s="610"/>
      <c r="T605" s="610"/>
      <c r="U605" s="610"/>
      <c r="V605" s="610"/>
      <c r="W605" s="610"/>
      <c r="X605" s="610"/>
      <c r="Y605" s="610"/>
      <c r="Z605" s="610"/>
      <c r="AA605" s="610"/>
      <c r="AB605" s="610"/>
      <c r="AC605" s="611"/>
      <c r="AD605" s="606"/>
      <c r="AE605" s="606"/>
      <c r="AF605" s="606"/>
      <c r="AG605" s="606"/>
    </row>
    <row r="606" spans="1:33" s="612" customFormat="1" hidden="1" outlineLevel="3" x14ac:dyDescent="0.2">
      <c r="A606" s="606"/>
      <c r="B606" s="606"/>
      <c r="C606" s="607"/>
      <c r="D606" s="608"/>
      <c r="E606" s="608"/>
      <c r="F606" s="608"/>
      <c r="G606" s="608"/>
      <c r="H606" s="609"/>
      <c r="I606" s="610"/>
      <c r="J606" s="610"/>
      <c r="K606" s="610"/>
      <c r="L606" s="610"/>
      <c r="M606" s="610"/>
      <c r="N606" s="610"/>
      <c r="O606" s="610"/>
      <c r="P606" s="610"/>
      <c r="Q606" s="610"/>
      <c r="R606" s="610"/>
      <c r="S606" s="610"/>
      <c r="T606" s="610"/>
      <c r="U606" s="610"/>
      <c r="V606" s="610"/>
      <c r="W606" s="610"/>
      <c r="X606" s="610"/>
      <c r="Y606" s="610"/>
      <c r="Z606" s="610"/>
      <c r="AA606" s="610"/>
      <c r="AB606" s="610"/>
      <c r="AC606" s="611"/>
      <c r="AD606" s="606"/>
      <c r="AE606" s="606"/>
      <c r="AF606" s="606"/>
      <c r="AG606" s="606"/>
    </row>
    <row r="607" spans="1:33" s="612" customFormat="1" hidden="1" outlineLevel="3" x14ac:dyDescent="0.2">
      <c r="A607" s="606"/>
      <c r="B607" s="606"/>
      <c r="C607" s="607"/>
      <c r="D607" s="608"/>
      <c r="E607" s="608"/>
      <c r="F607" s="608"/>
      <c r="G607" s="608"/>
      <c r="H607" s="609"/>
      <c r="I607" s="610"/>
      <c r="J607" s="610"/>
      <c r="K607" s="610"/>
      <c r="L607" s="610"/>
      <c r="M607" s="610"/>
      <c r="N607" s="610"/>
      <c r="O607" s="610"/>
      <c r="P607" s="610"/>
      <c r="Q607" s="610"/>
      <c r="R607" s="610"/>
      <c r="S607" s="610"/>
      <c r="T607" s="610"/>
      <c r="U607" s="610"/>
      <c r="V607" s="610"/>
      <c r="W607" s="610"/>
      <c r="X607" s="610"/>
      <c r="Y607" s="610"/>
      <c r="Z607" s="610"/>
      <c r="AA607" s="610"/>
      <c r="AB607" s="610"/>
      <c r="AC607" s="611"/>
      <c r="AD607" s="606"/>
      <c r="AE607" s="606"/>
      <c r="AF607" s="606"/>
      <c r="AG607" s="606"/>
    </row>
    <row r="608" spans="1:33" s="612" customFormat="1" hidden="1" outlineLevel="3" x14ac:dyDescent="0.2">
      <c r="A608" s="606"/>
      <c r="B608" s="606"/>
      <c r="C608" s="607"/>
      <c r="D608" s="608"/>
      <c r="E608" s="608"/>
      <c r="F608" s="608"/>
      <c r="G608" s="608"/>
      <c r="H608" s="609"/>
      <c r="I608" s="610"/>
      <c r="J608" s="610"/>
      <c r="K608" s="610"/>
      <c r="L608" s="610"/>
      <c r="M608" s="610"/>
      <c r="N608" s="610"/>
      <c r="O608" s="610"/>
      <c r="P608" s="610"/>
      <c r="Q608" s="610"/>
      <c r="R608" s="610"/>
      <c r="S608" s="610"/>
      <c r="T608" s="610"/>
      <c r="U608" s="610"/>
      <c r="V608" s="610"/>
      <c r="W608" s="610"/>
      <c r="X608" s="610"/>
      <c r="Y608" s="610"/>
      <c r="Z608" s="610"/>
      <c r="AA608" s="610"/>
      <c r="AB608" s="610"/>
      <c r="AC608" s="611"/>
      <c r="AD608" s="606"/>
      <c r="AE608" s="606"/>
      <c r="AF608" s="606"/>
      <c r="AG608" s="606"/>
    </row>
    <row r="609" spans="1:33" s="612" customFormat="1" hidden="1" outlineLevel="3" x14ac:dyDescent="0.2">
      <c r="A609" s="606"/>
      <c r="B609" s="606"/>
      <c r="C609" s="607"/>
      <c r="D609" s="608"/>
      <c r="E609" s="608"/>
      <c r="F609" s="608"/>
      <c r="G609" s="608"/>
      <c r="H609" s="609"/>
      <c r="I609" s="610"/>
      <c r="J609" s="610"/>
      <c r="K609" s="610"/>
      <c r="L609" s="610"/>
      <c r="M609" s="610"/>
      <c r="N609" s="610"/>
      <c r="O609" s="610"/>
      <c r="P609" s="610"/>
      <c r="Q609" s="610"/>
      <c r="R609" s="610"/>
      <c r="S609" s="610"/>
      <c r="T609" s="610"/>
      <c r="U609" s="610"/>
      <c r="V609" s="610"/>
      <c r="W609" s="610"/>
      <c r="X609" s="610"/>
      <c r="Y609" s="610"/>
      <c r="Z609" s="610"/>
      <c r="AA609" s="610"/>
      <c r="AB609" s="610"/>
      <c r="AC609" s="611"/>
      <c r="AD609" s="606"/>
      <c r="AE609" s="606"/>
      <c r="AF609" s="606"/>
      <c r="AG609" s="606"/>
    </row>
    <row r="610" spans="1:33" s="612" customFormat="1" hidden="1" outlineLevel="3" x14ac:dyDescent="0.2">
      <c r="A610" s="606"/>
      <c r="B610" s="606"/>
      <c r="C610" s="607"/>
      <c r="D610" s="608"/>
      <c r="E610" s="608"/>
      <c r="F610" s="608"/>
      <c r="G610" s="608"/>
      <c r="H610" s="609"/>
      <c r="I610" s="610"/>
      <c r="J610" s="610"/>
      <c r="K610" s="610"/>
      <c r="L610" s="610"/>
      <c r="M610" s="610"/>
      <c r="N610" s="610"/>
      <c r="O610" s="610"/>
      <c r="P610" s="610"/>
      <c r="Q610" s="610"/>
      <c r="R610" s="610"/>
      <c r="S610" s="610"/>
      <c r="T610" s="610"/>
      <c r="U610" s="610"/>
      <c r="V610" s="610"/>
      <c r="W610" s="610"/>
      <c r="X610" s="610"/>
      <c r="Y610" s="610"/>
      <c r="Z610" s="610"/>
      <c r="AA610" s="610"/>
      <c r="AB610" s="610"/>
      <c r="AC610" s="611"/>
      <c r="AD610" s="606"/>
      <c r="AE610" s="606"/>
      <c r="AF610" s="606"/>
      <c r="AG610" s="606"/>
    </row>
    <row r="611" spans="1:33" s="612" customFormat="1" hidden="1" outlineLevel="3" x14ac:dyDescent="0.2">
      <c r="A611" s="606"/>
      <c r="B611" s="606"/>
      <c r="C611" s="607"/>
      <c r="D611" s="608"/>
      <c r="E611" s="608"/>
      <c r="F611" s="608"/>
      <c r="G611" s="608"/>
      <c r="H611" s="609"/>
      <c r="I611" s="610"/>
      <c r="J611" s="610"/>
      <c r="K611" s="610"/>
      <c r="L611" s="610"/>
      <c r="M611" s="610"/>
      <c r="N611" s="610"/>
      <c r="O611" s="610"/>
      <c r="P611" s="610"/>
      <c r="Q611" s="610"/>
      <c r="R611" s="610"/>
      <c r="S611" s="610"/>
      <c r="T611" s="610"/>
      <c r="U611" s="610"/>
      <c r="V611" s="610"/>
      <c r="W611" s="610"/>
      <c r="X611" s="610"/>
      <c r="Y611" s="610"/>
      <c r="Z611" s="610"/>
      <c r="AA611" s="610"/>
      <c r="AB611" s="610"/>
      <c r="AC611" s="611"/>
      <c r="AD611" s="606"/>
      <c r="AE611" s="606"/>
      <c r="AF611" s="606"/>
      <c r="AG611" s="606"/>
    </row>
    <row r="612" spans="1:33" s="612" customFormat="1" hidden="1" outlineLevel="3" x14ac:dyDescent="0.2">
      <c r="A612" s="606"/>
      <c r="B612" s="606"/>
      <c r="C612" s="607"/>
      <c r="D612" s="608"/>
      <c r="E612" s="608"/>
      <c r="F612" s="608"/>
      <c r="G612" s="608"/>
      <c r="H612" s="609"/>
      <c r="I612" s="610"/>
      <c r="J612" s="610"/>
      <c r="K612" s="610"/>
      <c r="L612" s="610"/>
      <c r="M612" s="610"/>
      <c r="N612" s="610"/>
      <c r="O612" s="610"/>
      <c r="P612" s="610"/>
      <c r="Q612" s="610"/>
      <c r="R612" s="610"/>
      <c r="S612" s="610"/>
      <c r="T612" s="610"/>
      <c r="U612" s="610"/>
      <c r="V612" s="610"/>
      <c r="W612" s="610"/>
      <c r="X612" s="610"/>
      <c r="Y612" s="610"/>
      <c r="Z612" s="610"/>
      <c r="AA612" s="610"/>
      <c r="AB612" s="610"/>
      <c r="AC612" s="611"/>
      <c r="AD612" s="606"/>
      <c r="AE612" s="606"/>
      <c r="AF612" s="606"/>
      <c r="AG612" s="606"/>
    </row>
    <row r="613" spans="1:33" s="612" customFormat="1" hidden="1" outlineLevel="3" x14ac:dyDescent="0.2">
      <c r="A613" s="606"/>
      <c r="B613" s="606"/>
      <c r="C613" s="607"/>
      <c r="D613" s="608"/>
      <c r="E613" s="608"/>
      <c r="F613" s="608"/>
      <c r="G613" s="608"/>
      <c r="H613" s="609"/>
      <c r="I613" s="610"/>
      <c r="J613" s="610"/>
      <c r="K613" s="610"/>
      <c r="L613" s="610"/>
      <c r="M613" s="610"/>
      <c r="N613" s="610"/>
      <c r="O613" s="610"/>
      <c r="P613" s="610"/>
      <c r="Q613" s="610"/>
      <c r="R613" s="610"/>
      <c r="S613" s="610"/>
      <c r="T613" s="610"/>
      <c r="U613" s="610"/>
      <c r="V613" s="610"/>
      <c r="W613" s="610"/>
      <c r="X613" s="610"/>
      <c r="Y613" s="610"/>
      <c r="Z613" s="610"/>
      <c r="AA613" s="610"/>
      <c r="AB613" s="610"/>
      <c r="AC613" s="611"/>
      <c r="AD613" s="606"/>
      <c r="AE613" s="606"/>
      <c r="AF613" s="606"/>
      <c r="AG613" s="606"/>
    </row>
    <row r="614" spans="1:33" s="612" customFormat="1" hidden="1" outlineLevel="3" x14ac:dyDescent="0.2">
      <c r="A614" s="606"/>
      <c r="B614" s="606"/>
      <c r="C614" s="607"/>
      <c r="D614" s="608"/>
      <c r="E614" s="608"/>
      <c r="F614" s="608"/>
      <c r="G614" s="608"/>
      <c r="H614" s="609"/>
      <c r="I614" s="610"/>
      <c r="J614" s="610"/>
      <c r="K614" s="610"/>
      <c r="L614" s="610"/>
      <c r="M614" s="610"/>
      <c r="N614" s="610"/>
      <c r="O614" s="610"/>
      <c r="P614" s="610"/>
      <c r="Q614" s="610"/>
      <c r="R614" s="610"/>
      <c r="S614" s="610"/>
      <c r="T614" s="610"/>
      <c r="U614" s="610"/>
      <c r="V614" s="610"/>
      <c r="W614" s="610"/>
      <c r="X614" s="610"/>
      <c r="Y614" s="610"/>
      <c r="Z614" s="610"/>
      <c r="AA614" s="610"/>
      <c r="AB614" s="610"/>
      <c r="AC614" s="611"/>
      <c r="AD614" s="606"/>
      <c r="AE614" s="606"/>
      <c r="AF614" s="606"/>
      <c r="AG614" s="606"/>
    </row>
    <row r="615" spans="1:33" s="612" customFormat="1" hidden="1" outlineLevel="3" x14ac:dyDescent="0.2">
      <c r="A615" s="606"/>
      <c r="B615" s="606"/>
      <c r="C615" s="607"/>
      <c r="D615" s="608"/>
      <c r="E615" s="608"/>
      <c r="F615" s="608"/>
      <c r="G615" s="608"/>
      <c r="H615" s="609"/>
      <c r="I615" s="610"/>
      <c r="J615" s="610"/>
      <c r="K615" s="610"/>
      <c r="L615" s="610"/>
      <c r="M615" s="610"/>
      <c r="N615" s="610"/>
      <c r="O615" s="610"/>
      <c r="P615" s="610"/>
      <c r="Q615" s="610"/>
      <c r="R615" s="610"/>
      <c r="S615" s="610"/>
      <c r="T615" s="610"/>
      <c r="U615" s="610"/>
      <c r="V615" s="610"/>
      <c r="W615" s="610"/>
      <c r="X615" s="610"/>
      <c r="Y615" s="610"/>
      <c r="Z615" s="610"/>
      <c r="AA615" s="610"/>
      <c r="AB615" s="610"/>
      <c r="AC615" s="611"/>
      <c r="AD615" s="606"/>
      <c r="AE615" s="606"/>
      <c r="AF615" s="606"/>
      <c r="AG615" s="606"/>
    </row>
    <row r="616" spans="1:33" s="612" customFormat="1" hidden="1" outlineLevel="3" x14ac:dyDescent="0.2">
      <c r="A616" s="606"/>
      <c r="B616" s="606"/>
      <c r="C616" s="607"/>
      <c r="D616" s="608"/>
      <c r="E616" s="608"/>
      <c r="F616" s="608"/>
      <c r="G616" s="608"/>
      <c r="H616" s="609"/>
      <c r="I616" s="610"/>
      <c r="J616" s="610"/>
      <c r="K616" s="610"/>
      <c r="L616" s="610"/>
      <c r="M616" s="610"/>
      <c r="N616" s="610"/>
      <c r="O616" s="610"/>
      <c r="P616" s="610"/>
      <c r="Q616" s="610"/>
      <c r="R616" s="610"/>
      <c r="S616" s="610"/>
      <c r="T616" s="610"/>
      <c r="U616" s="610"/>
      <c r="V616" s="610"/>
      <c r="W616" s="610"/>
      <c r="X616" s="610"/>
      <c r="Y616" s="610"/>
      <c r="Z616" s="610"/>
      <c r="AA616" s="610"/>
      <c r="AB616" s="610"/>
      <c r="AC616" s="611"/>
      <c r="AD616" s="606"/>
      <c r="AE616" s="606"/>
      <c r="AF616" s="606"/>
      <c r="AG616" s="606"/>
    </row>
    <row r="617" spans="1:33" s="612" customFormat="1" hidden="1" outlineLevel="3" x14ac:dyDescent="0.2">
      <c r="A617" s="606"/>
      <c r="B617" s="606"/>
      <c r="C617" s="607"/>
      <c r="D617" s="608"/>
      <c r="E617" s="608"/>
      <c r="F617" s="608"/>
      <c r="G617" s="608"/>
      <c r="H617" s="609"/>
      <c r="I617" s="610"/>
      <c r="J617" s="610"/>
      <c r="K617" s="610"/>
      <c r="L617" s="610"/>
      <c r="M617" s="610"/>
      <c r="N617" s="610"/>
      <c r="O617" s="610"/>
      <c r="P617" s="610"/>
      <c r="Q617" s="610"/>
      <c r="R617" s="610"/>
      <c r="S617" s="610"/>
      <c r="T617" s="610"/>
      <c r="U617" s="610"/>
      <c r="V617" s="610"/>
      <c r="W617" s="610"/>
      <c r="X617" s="610"/>
      <c r="Y617" s="610"/>
      <c r="Z617" s="610"/>
      <c r="AA617" s="610"/>
      <c r="AB617" s="610"/>
      <c r="AC617" s="611"/>
      <c r="AD617" s="606"/>
      <c r="AE617" s="606"/>
      <c r="AF617" s="606"/>
      <c r="AG617" s="606"/>
    </row>
    <row r="618" spans="1:33" s="612" customFormat="1" hidden="1" outlineLevel="3" x14ac:dyDescent="0.2">
      <c r="A618" s="606"/>
      <c r="B618" s="606"/>
      <c r="C618" s="607"/>
      <c r="D618" s="608"/>
      <c r="E618" s="608"/>
      <c r="F618" s="608"/>
      <c r="G618" s="608"/>
      <c r="H618" s="609"/>
      <c r="I618" s="610"/>
      <c r="J618" s="610"/>
      <c r="K618" s="610"/>
      <c r="L618" s="610"/>
      <c r="M618" s="610"/>
      <c r="N618" s="610"/>
      <c r="O618" s="610"/>
      <c r="P618" s="610"/>
      <c r="Q618" s="610"/>
      <c r="R618" s="610"/>
      <c r="S618" s="610"/>
      <c r="T618" s="610"/>
      <c r="U618" s="610"/>
      <c r="V618" s="610"/>
      <c r="W618" s="610"/>
      <c r="X618" s="610"/>
      <c r="Y618" s="610"/>
      <c r="Z618" s="610"/>
      <c r="AA618" s="610"/>
      <c r="AB618" s="610"/>
      <c r="AC618" s="611"/>
      <c r="AD618" s="606"/>
      <c r="AE618" s="606"/>
      <c r="AF618" s="606"/>
      <c r="AG618" s="606"/>
    </row>
    <row r="619" spans="1:33" s="612" customFormat="1" hidden="1" outlineLevel="3" x14ac:dyDescent="0.2">
      <c r="A619" s="606"/>
      <c r="B619" s="606"/>
      <c r="C619" s="607"/>
      <c r="D619" s="608"/>
      <c r="E619" s="608"/>
      <c r="F619" s="608"/>
      <c r="G619" s="608"/>
      <c r="H619" s="609"/>
      <c r="I619" s="610"/>
      <c r="J619" s="610"/>
      <c r="K619" s="610"/>
      <c r="L619" s="610"/>
      <c r="M619" s="610"/>
      <c r="N619" s="610"/>
      <c r="O619" s="610"/>
      <c r="P619" s="610"/>
      <c r="Q619" s="610"/>
      <c r="R619" s="610"/>
      <c r="S619" s="610"/>
      <c r="T619" s="610"/>
      <c r="U619" s="610"/>
      <c r="V619" s="610"/>
      <c r="W619" s="610"/>
      <c r="X619" s="610"/>
      <c r="Y619" s="610"/>
      <c r="Z619" s="610"/>
      <c r="AA619" s="610"/>
      <c r="AB619" s="610"/>
      <c r="AC619" s="611"/>
      <c r="AD619" s="606"/>
      <c r="AE619" s="606"/>
      <c r="AF619" s="606"/>
      <c r="AG619" s="606"/>
    </row>
    <row r="620" spans="1:33" s="612" customFormat="1" hidden="1" outlineLevel="3" x14ac:dyDescent="0.2">
      <c r="A620" s="606"/>
      <c r="B620" s="606"/>
      <c r="C620" s="607"/>
      <c r="D620" s="608"/>
      <c r="E620" s="608"/>
      <c r="F620" s="608"/>
      <c r="G620" s="608"/>
      <c r="H620" s="609"/>
      <c r="I620" s="610"/>
      <c r="J620" s="610"/>
      <c r="K620" s="610"/>
      <c r="L620" s="610"/>
      <c r="M620" s="610"/>
      <c r="N620" s="610"/>
      <c r="O620" s="610"/>
      <c r="P620" s="610"/>
      <c r="Q620" s="610"/>
      <c r="R620" s="610"/>
      <c r="S620" s="610"/>
      <c r="T620" s="610"/>
      <c r="U620" s="610"/>
      <c r="V620" s="610"/>
      <c r="W620" s="610"/>
      <c r="X620" s="610"/>
      <c r="Y620" s="610"/>
      <c r="Z620" s="610"/>
      <c r="AA620" s="610"/>
      <c r="AB620" s="610"/>
      <c r="AC620" s="611"/>
      <c r="AD620" s="606"/>
      <c r="AE620" s="606"/>
      <c r="AF620" s="606"/>
      <c r="AG620" s="606"/>
    </row>
    <row r="621" spans="1:33" s="612" customFormat="1" hidden="1" outlineLevel="3" x14ac:dyDescent="0.2">
      <c r="A621" s="606"/>
      <c r="B621" s="606"/>
      <c r="C621" s="607"/>
      <c r="D621" s="608"/>
      <c r="E621" s="608"/>
      <c r="F621" s="608"/>
      <c r="G621" s="608"/>
      <c r="H621" s="609"/>
      <c r="I621" s="610"/>
      <c r="J621" s="610"/>
      <c r="K621" s="610"/>
      <c r="L621" s="610"/>
      <c r="M621" s="610"/>
      <c r="N621" s="610"/>
      <c r="O621" s="610"/>
      <c r="P621" s="610"/>
      <c r="Q621" s="610"/>
      <c r="R621" s="610"/>
      <c r="S621" s="610"/>
      <c r="T621" s="610"/>
      <c r="U621" s="610"/>
      <c r="V621" s="610"/>
      <c r="W621" s="610"/>
      <c r="X621" s="610"/>
      <c r="Y621" s="610"/>
      <c r="Z621" s="610"/>
      <c r="AA621" s="610"/>
      <c r="AB621" s="610"/>
      <c r="AC621" s="611"/>
      <c r="AD621" s="606"/>
      <c r="AE621" s="606"/>
      <c r="AF621" s="606"/>
      <c r="AG621" s="606"/>
    </row>
    <row r="622" spans="1:33" s="612" customFormat="1" hidden="1" outlineLevel="3" x14ac:dyDescent="0.2">
      <c r="A622" s="606"/>
      <c r="B622" s="606"/>
      <c r="C622" s="607"/>
      <c r="D622" s="608"/>
      <c r="E622" s="608"/>
      <c r="F622" s="608"/>
      <c r="G622" s="608"/>
      <c r="H622" s="609"/>
      <c r="I622" s="610"/>
      <c r="J622" s="610"/>
      <c r="K622" s="610"/>
      <c r="L622" s="610"/>
      <c r="M622" s="610"/>
      <c r="N622" s="610"/>
      <c r="O622" s="610"/>
      <c r="P622" s="610"/>
      <c r="Q622" s="610"/>
      <c r="R622" s="610"/>
      <c r="S622" s="610"/>
      <c r="T622" s="610"/>
      <c r="U622" s="610"/>
      <c r="V622" s="610"/>
      <c r="W622" s="610"/>
      <c r="X622" s="610"/>
      <c r="Y622" s="610"/>
      <c r="Z622" s="610"/>
      <c r="AA622" s="610"/>
      <c r="AB622" s="610"/>
      <c r="AC622" s="611"/>
      <c r="AD622" s="606"/>
      <c r="AE622" s="606"/>
      <c r="AF622" s="606"/>
      <c r="AG622" s="606"/>
    </row>
    <row r="623" spans="1:33" s="612" customFormat="1" hidden="1" outlineLevel="3" x14ac:dyDescent="0.2">
      <c r="A623" s="606"/>
      <c r="B623" s="606"/>
      <c r="C623" s="607"/>
      <c r="D623" s="608"/>
      <c r="E623" s="608"/>
      <c r="F623" s="608"/>
      <c r="G623" s="608"/>
      <c r="H623" s="609"/>
      <c r="I623" s="610"/>
      <c r="J623" s="610"/>
      <c r="K623" s="610"/>
      <c r="L623" s="610"/>
      <c r="M623" s="610"/>
      <c r="N623" s="610"/>
      <c r="O623" s="610"/>
      <c r="P623" s="610"/>
      <c r="Q623" s="610"/>
      <c r="R623" s="610"/>
      <c r="S623" s="610"/>
      <c r="T623" s="610"/>
      <c r="U623" s="610"/>
      <c r="V623" s="610"/>
      <c r="W623" s="610"/>
      <c r="X623" s="610"/>
      <c r="Y623" s="610"/>
      <c r="Z623" s="610"/>
      <c r="AA623" s="610"/>
      <c r="AB623" s="610"/>
      <c r="AC623" s="611"/>
      <c r="AD623" s="606"/>
      <c r="AE623" s="606"/>
      <c r="AF623" s="606"/>
      <c r="AG623" s="606"/>
    </row>
    <row r="624" spans="1:33" s="612" customFormat="1" hidden="1" outlineLevel="3" x14ac:dyDescent="0.2">
      <c r="A624" s="606"/>
      <c r="B624" s="606"/>
      <c r="C624" s="607"/>
      <c r="D624" s="608"/>
      <c r="E624" s="608"/>
      <c r="F624" s="608"/>
      <c r="G624" s="608"/>
      <c r="H624" s="609"/>
      <c r="I624" s="610"/>
      <c r="J624" s="610"/>
      <c r="K624" s="610"/>
      <c r="L624" s="610"/>
      <c r="M624" s="610"/>
      <c r="N624" s="610"/>
      <c r="O624" s="610"/>
      <c r="P624" s="610"/>
      <c r="Q624" s="610"/>
      <c r="R624" s="610"/>
      <c r="S624" s="610"/>
      <c r="T624" s="610"/>
      <c r="U624" s="610"/>
      <c r="V624" s="610"/>
      <c r="W624" s="610"/>
      <c r="X624" s="610"/>
      <c r="Y624" s="610"/>
      <c r="Z624" s="610"/>
      <c r="AA624" s="610"/>
      <c r="AB624" s="610"/>
      <c r="AC624" s="611"/>
      <c r="AD624" s="606"/>
      <c r="AE624" s="606"/>
      <c r="AF624" s="606"/>
      <c r="AG624" s="606"/>
    </row>
    <row r="625" spans="1:33" s="612" customFormat="1" hidden="1" outlineLevel="3" x14ac:dyDescent="0.2">
      <c r="A625" s="606"/>
      <c r="B625" s="606"/>
      <c r="C625" s="607"/>
      <c r="D625" s="608"/>
      <c r="E625" s="608"/>
      <c r="F625" s="608"/>
      <c r="G625" s="608"/>
      <c r="H625" s="609"/>
      <c r="I625" s="610"/>
      <c r="J625" s="610"/>
      <c r="K625" s="610"/>
      <c r="L625" s="610"/>
      <c r="M625" s="610"/>
      <c r="N625" s="610"/>
      <c r="O625" s="610"/>
      <c r="P625" s="610"/>
      <c r="Q625" s="610"/>
      <c r="R625" s="610"/>
      <c r="S625" s="610"/>
      <c r="T625" s="610"/>
      <c r="U625" s="610"/>
      <c r="V625" s="610"/>
      <c r="W625" s="610"/>
      <c r="X625" s="610"/>
      <c r="Y625" s="610"/>
      <c r="Z625" s="610"/>
      <c r="AA625" s="610"/>
      <c r="AB625" s="610"/>
      <c r="AC625" s="611"/>
      <c r="AD625" s="606"/>
      <c r="AE625" s="606"/>
      <c r="AF625" s="606"/>
      <c r="AG625" s="606"/>
    </row>
    <row r="626" spans="1:33" s="612" customFormat="1" hidden="1" outlineLevel="3" x14ac:dyDescent="0.2">
      <c r="A626" s="606"/>
      <c r="B626" s="606"/>
      <c r="C626" s="607"/>
      <c r="D626" s="608"/>
      <c r="E626" s="608"/>
      <c r="F626" s="608"/>
      <c r="G626" s="608"/>
      <c r="H626" s="609"/>
      <c r="I626" s="610"/>
      <c r="J626" s="610"/>
      <c r="K626" s="610"/>
      <c r="L626" s="610"/>
      <c r="M626" s="610"/>
      <c r="N626" s="610"/>
      <c r="O626" s="610"/>
      <c r="P626" s="610"/>
      <c r="Q626" s="610"/>
      <c r="R626" s="610"/>
      <c r="S626" s="610"/>
      <c r="T626" s="610"/>
      <c r="U626" s="610"/>
      <c r="V626" s="610"/>
      <c r="W626" s="610"/>
      <c r="X626" s="610"/>
      <c r="Y626" s="610"/>
      <c r="Z626" s="610"/>
      <c r="AA626" s="610"/>
      <c r="AB626" s="610"/>
      <c r="AC626" s="611"/>
      <c r="AD626" s="606"/>
      <c r="AE626" s="606"/>
      <c r="AF626" s="606"/>
      <c r="AG626" s="606"/>
    </row>
    <row r="627" spans="1:33" s="612" customFormat="1" hidden="1" outlineLevel="3" x14ac:dyDescent="0.2">
      <c r="A627" s="606"/>
      <c r="B627" s="606"/>
      <c r="C627" s="607"/>
      <c r="D627" s="608"/>
      <c r="E627" s="608"/>
      <c r="F627" s="608"/>
      <c r="G627" s="608"/>
      <c r="H627" s="609"/>
      <c r="I627" s="610"/>
      <c r="J627" s="610"/>
      <c r="K627" s="610"/>
      <c r="L627" s="610"/>
      <c r="M627" s="610"/>
      <c r="N627" s="610"/>
      <c r="O627" s="610"/>
      <c r="P627" s="610"/>
      <c r="Q627" s="610"/>
      <c r="R627" s="610"/>
      <c r="S627" s="610"/>
      <c r="T627" s="610"/>
      <c r="U627" s="610"/>
      <c r="V627" s="610"/>
      <c r="W627" s="610"/>
      <c r="X627" s="610"/>
      <c r="Y627" s="610"/>
      <c r="Z627" s="610"/>
      <c r="AA627" s="610"/>
      <c r="AB627" s="610"/>
      <c r="AC627" s="611"/>
      <c r="AD627" s="606"/>
      <c r="AE627" s="606"/>
      <c r="AF627" s="606"/>
      <c r="AG627" s="606"/>
    </row>
    <row r="628" spans="1:33" s="612" customFormat="1" hidden="1" outlineLevel="3" x14ac:dyDescent="0.2">
      <c r="A628" s="606"/>
      <c r="B628" s="606"/>
      <c r="C628" s="607"/>
      <c r="D628" s="608"/>
      <c r="E628" s="608"/>
      <c r="F628" s="608"/>
      <c r="G628" s="608"/>
      <c r="H628" s="609"/>
      <c r="I628" s="610"/>
      <c r="J628" s="610"/>
      <c r="K628" s="610"/>
      <c r="L628" s="610"/>
      <c r="M628" s="610"/>
      <c r="N628" s="610"/>
      <c r="O628" s="610"/>
      <c r="P628" s="610"/>
      <c r="Q628" s="610"/>
      <c r="R628" s="610"/>
      <c r="S628" s="610"/>
      <c r="T628" s="610"/>
      <c r="U628" s="610"/>
      <c r="V628" s="610"/>
      <c r="W628" s="610"/>
      <c r="X628" s="610"/>
      <c r="Y628" s="610"/>
      <c r="Z628" s="610"/>
      <c r="AA628" s="610"/>
      <c r="AB628" s="610"/>
      <c r="AC628" s="611"/>
      <c r="AD628" s="606"/>
      <c r="AE628" s="606"/>
      <c r="AF628" s="606"/>
      <c r="AG628" s="606"/>
    </row>
    <row r="629" spans="1:33" s="612" customFormat="1" hidden="1" outlineLevel="3" x14ac:dyDescent="0.2">
      <c r="A629" s="606"/>
      <c r="B629" s="606"/>
      <c r="C629" s="607"/>
      <c r="D629" s="608"/>
      <c r="E629" s="608"/>
      <c r="F629" s="608"/>
      <c r="G629" s="608"/>
      <c r="H629" s="609"/>
      <c r="I629" s="610"/>
      <c r="J629" s="610"/>
      <c r="K629" s="610"/>
      <c r="L629" s="610"/>
      <c r="M629" s="610"/>
      <c r="N629" s="610"/>
      <c r="O629" s="610"/>
      <c r="P629" s="610"/>
      <c r="Q629" s="610"/>
      <c r="R629" s="610"/>
      <c r="S629" s="610"/>
      <c r="T629" s="610"/>
      <c r="U629" s="610"/>
      <c r="V629" s="610"/>
      <c r="W629" s="610"/>
      <c r="X629" s="610"/>
      <c r="Y629" s="610"/>
      <c r="Z629" s="610"/>
      <c r="AA629" s="610"/>
      <c r="AB629" s="610"/>
      <c r="AC629" s="611"/>
      <c r="AD629" s="606"/>
      <c r="AE629" s="606"/>
      <c r="AF629" s="606"/>
      <c r="AG629" s="606"/>
    </row>
    <row r="630" spans="1:33" s="612" customFormat="1" hidden="1" outlineLevel="3" x14ac:dyDescent="0.2">
      <c r="A630" s="606"/>
      <c r="B630" s="606"/>
      <c r="C630" s="607"/>
      <c r="D630" s="608"/>
      <c r="E630" s="608"/>
      <c r="F630" s="608"/>
      <c r="G630" s="608"/>
      <c r="H630" s="609"/>
      <c r="I630" s="610"/>
      <c r="J630" s="610"/>
      <c r="K630" s="610"/>
      <c r="L630" s="610"/>
      <c r="M630" s="610"/>
      <c r="N630" s="610"/>
      <c r="O630" s="610"/>
      <c r="P630" s="610"/>
      <c r="Q630" s="610"/>
      <c r="R630" s="610"/>
      <c r="S630" s="610"/>
      <c r="T630" s="610"/>
      <c r="U630" s="610"/>
      <c r="V630" s="610"/>
      <c r="W630" s="610"/>
      <c r="X630" s="610"/>
      <c r="Y630" s="610"/>
      <c r="Z630" s="610"/>
      <c r="AA630" s="610"/>
      <c r="AB630" s="610"/>
      <c r="AC630" s="611"/>
      <c r="AD630" s="606"/>
      <c r="AE630" s="606"/>
      <c r="AF630" s="606"/>
      <c r="AG630" s="606"/>
    </row>
    <row r="631" spans="1:33" s="612" customFormat="1" hidden="1" outlineLevel="3" x14ac:dyDescent="0.2">
      <c r="A631" s="606"/>
      <c r="B631" s="606"/>
      <c r="C631" s="607"/>
      <c r="D631" s="608"/>
      <c r="E631" s="608"/>
      <c r="F631" s="608"/>
      <c r="G631" s="608"/>
      <c r="H631" s="609"/>
      <c r="I631" s="610"/>
      <c r="J631" s="610"/>
      <c r="K631" s="610"/>
      <c r="L631" s="610"/>
      <c r="M631" s="610"/>
      <c r="N631" s="610"/>
      <c r="O631" s="610"/>
      <c r="P631" s="610"/>
      <c r="Q631" s="610"/>
      <c r="R631" s="610"/>
      <c r="S631" s="610"/>
      <c r="T631" s="610"/>
      <c r="U631" s="610"/>
      <c r="V631" s="610"/>
      <c r="W631" s="610"/>
      <c r="X631" s="610"/>
      <c r="Y631" s="610"/>
      <c r="Z631" s="610"/>
      <c r="AA631" s="610"/>
      <c r="AB631" s="610"/>
      <c r="AC631" s="611"/>
      <c r="AD631" s="606"/>
      <c r="AE631" s="606"/>
      <c r="AF631" s="606"/>
      <c r="AG631" s="606"/>
    </row>
    <row r="632" spans="1:33" s="612" customFormat="1" hidden="1" outlineLevel="3" x14ac:dyDescent="0.2">
      <c r="A632" s="606"/>
      <c r="B632" s="606"/>
      <c r="C632" s="607"/>
      <c r="D632" s="608"/>
      <c r="E632" s="608"/>
      <c r="F632" s="608"/>
      <c r="G632" s="608"/>
      <c r="H632" s="609"/>
      <c r="I632" s="610"/>
      <c r="J632" s="610"/>
      <c r="K632" s="610"/>
      <c r="L632" s="610"/>
      <c r="M632" s="610"/>
      <c r="N632" s="610"/>
      <c r="O632" s="610"/>
      <c r="P632" s="610"/>
      <c r="Q632" s="610"/>
      <c r="R632" s="610"/>
      <c r="S632" s="610"/>
      <c r="T632" s="610"/>
      <c r="U632" s="610"/>
      <c r="V632" s="610"/>
      <c r="W632" s="610"/>
      <c r="X632" s="610"/>
      <c r="Y632" s="610"/>
      <c r="Z632" s="610"/>
      <c r="AA632" s="610"/>
      <c r="AB632" s="610"/>
      <c r="AC632" s="611"/>
      <c r="AD632" s="606"/>
      <c r="AE632" s="606"/>
      <c r="AF632" s="606"/>
      <c r="AG632" s="606"/>
    </row>
    <row r="633" spans="1:33" s="612" customFormat="1" hidden="1" outlineLevel="3" x14ac:dyDescent="0.2">
      <c r="A633" s="606"/>
      <c r="B633" s="606"/>
      <c r="C633" s="607"/>
      <c r="D633" s="608"/>
      <c r="E633" s="608"/>
      <c r="F633" s="608"/>
      <c r="G633" s="608"/>
      <c r="H633" s="609"/>
      <c r="I633" s="610"/>
      <c r="J633" s="610"/>
      <c r="K633" s="610"/>
      <c r="L633" s="610"/>
      <c r="M633" s="610"/>
      <c r="N633" s="610"/>
      <c r="O633" s="610"/>
      <c r="P633" s="610"/>
      <c r="Q633" s="610"/>
      <c r="R633" s="610"/>
      <c r="S633" s="610"/>
      <c r="T633" s="610"/>
      <c r="U633" s="610"/>
      <c r="V633" s="610"/>
      <c r="W633" s="610"/>
      <c r="X633" s="610"/>
      <c r="Y633" s="610"/>
      <c r="Z633" s="610"/>
      <c r="AA633" s="610"/>
      <c r="AB633" s="610"/>
      <c r="AC633" s="611"/>
      <c r="AD633" s="606"/>
      <c r="AE633" s="606"/>
      <c r="AF633" s="606"/>
      <c r="AG633" s="606"/>
    </row>
    <row r="634" spans="1:33" s="612" customFormat="1" hidden="1" outlineLevel="3" x14ac:dyDescent="0.2">
      <c r="A634" s="606"/>
      <c r="B634" s="606"/>
      <c r="C634" s="607"/>
      <c r="D634" s="608"/>
      <c r="E634" s="608"/>
      <c r="F634" s="608"/>
      <c r="G634" s="608"/>
      <c r="H634" s="609"/>
      <c r="I634" s="610"/>
      <c r="J634" s="610"/>
      <c r="K634" s="610"/>
      <c r="L634" s="610"/>
      <c r="M634" s="610"/>
      <c r="N634" s="610"/>
      <c r="O634" s="610"/>
      <c r="P634" s="610"/>
      <c r="Q634" s="610"/>
      <c r="R634" s="610"/>
      <c r="S634" s="610"/>
      <c r="T634" s="610"/>
      <c r="U634" s="610"/>
      <c r="V634" s="610"/>
      <c r="W634" s="610"/>
      <c r="X634" s="610"/>
      <c r="Y634" s="610"/>
      <c r="Z634" s="610"/>
      <c r="AA634" s="610"/>
      <c r="AB634" s="610"/>
      <c r="AC634" s="611"/>
      <c r="AD634" s="606"/>
      <c r="AE634" s="606"/>
      <c r="AF634" s="606"/>
      <c r="AG634" s="606"/>
    </row>
    <row r="635" spans="1:33" s="612" customFormat="1" hidden="1" outlineLevel="3" x14ac:dyDescent="0.2">
      <c r="A635" s="606"/>
      <c r="B635" s="606"/>
      <c r="C635" s="607"/>
      <c r="D635" s="608"/>
      <c r="E635" s="608"/>
      <c r="F635" s="608"/>
      <c r="G635" s="608"/>
      <c r="H635" s="609"/>
      <c r="I635" s="610"/>
      <c r="J635" s="610"/>
      <c r="K635" s="610"/>
      <c r="L635" s="610"/>
      <c r="M635" s="610"/>
      <c r="N635" s="610"/>
      <c r="O635" s="610"/>
      <c r="P635" s="610"/>
      <c r="Q635" s="610"/>
      <c r="R635" s="610"/>
      <c r="S635" s="610"/>
      <c r="T635" s="610"/>
      <c r="U635" s="610"/>
      <c r="V635" s="610"/>
      <c r="W635" s="610"/>
      <c r="X635" s="610"/>
      <c r="Y635" s="610"/>
      <c r="Z635" s="610"/>
      <c r="AA635" s="610"/>
      <c r="AB635" s="610"/>
      <c r="AC635" s="611"/>
      <c r="AD635" s="606"/>
      <c r="AE635" s="606"/>
      <c r="AF635" s="606"/>
      <c r="AG635" s="606"/>
    </row>
    <row r="636" spans="1:33" s="612" customFormat="1" hidden="1" outlineLevel="3" x14ac:dyDescent="0.2">
      <c r="A636" s="606"/>
      <c r="B636" s="606"/>
      <c r="C636" s="607"/>
      <c r="D636" s="608"/>
      <c r="E636" s="608"/>
      <c r="F636" s="608"/>
      <c r="G636" s="608"/>
      <c r="H636" s="609"/>
      <c r="I636" s="610"/>
      <c r="J636" s="610"/>
      <c r="K636" s="610"/>
      <c r="L636" s="610"/>
      <c r="M636" s="610"/>
      <c r="N636" s="610"/>
      <c r="O636" s="610"/>
      <c r="P636" s="610"/>
      <c r="Q636" s="610"/>
      <c r="R636" s="610"/>
      <c r="S636" s="610"/>
      <c r="T636" s="610"/>
      <c r="U636" s="610"/>
      <c r="V636" s="610"/>
      <c r="W636" s="610"/>
      <c r="X636" s="610"/>
      <c r="Y636" s="610"/>
      <c r="Z636" s="610"/>
      <c r="AA636" s="610"/>
      <c r="AB636" s="610"/>
      <c r="AC636" s="611"/>
      <c r="AD636" s="606"/>
      <c r="AE636" s="606"/>
      <c r="AF636" s="606"/>
      <c r="AG636" s="606"/>
    </row>
    <row r="637" spans="1:33" s="612" customFormat="1" hidden="1" outlineLevel="3" x14ac:dyDescent="0.2">
      <c r="A637" s="606"/>
      <c r="B637" s="606"/>
      <c r="C637" s="607"/>
      <c r="D637" s="608"/>
      <c r="E637" s="608"/>
      <c r="F637" s="608"/>
      <c r="G637" s="608"/>
      <c r="H637" s="609"/>
      <c r="I637" s="610"/>
      <c r="J637" s="610"/>
      <c r="K637" s="610"/>
      <c r="L637" s="610"/>
      <c r="M637" s="610"/>
      <c r="N637" s="610"/>
      <c r="O637" s="610"/>
      <c r="P637" s="610"/>
      <c r="Q637" s="610"/>
      <c r="R637" s="610"/>
      <c r="S637" s="610"/>
      <c r="T637" s="610"/>
      <c r="U637" s="610"/>
      <c r="V637" s="610"/>
      <c r="W637" s="610"/>
      <c r="X637" s="610"/>
      <c r="Y637" s="610"/>
      <c r="Z637" s="610"/>
      <c r="AA637" s="610"/>
      <c r="AB637" s="610"/>
      <c r="AC637" s="611"/>
      <c r="AD637" s="606"/>
      <c r="AE637" s="606"/>
      <c r="AF637" s="606"/>
      <c r="AG637" s="606"/>
    </row>
    <row r="638" spans="1:33" s="612" customFormat="1" hidden="1" outlineLevel="3" x14ac:dyDescent="0.2">
      <c r="A638" s="606"/>
      <c r="B638" s="606"/>
      <c r="C638" s="607"/>
      <c r="D638" s="608"/>
      <c r="E638" s="608"/>
      <c r="F638" s="608"/>
      <c r="G638" s="608"/>
      <c r="H638" s="609"/>
      <c r="I638" s="610"/>
      <c r="J638" s="610"/>
      <c r="K638" s="610"/>
      <c r="L638" s="610"/>
      <c r="M638" s="610"/>
      <c r="N638" s="610"/>
      <c r="O638" s="610"/>
      <c r="P638" s="610"/>
      <c r="Q638" s="610"/>
      <c r="R638" s="610"/>
      <c r="S638" s="610"/>
      <c r="T638" s="610"/>
      <c r="U638" s="610"/>
      <c r="V638" s="610"/>
      <c r="W638" s="610"/>
      <c r="X638" s="610"/>
      <c r="Y638" s="610"/>
      <c r="Z638" s="610"/>
      <c r="AA638" s="610"/>
      <c r="AB638" s="610"/>
      <c r="AC638" s="611"/>
      <c r="AD638" s="606"/>
      <c r="AE638" s="606"/>
      <c r="AF638" s="606"/>
      <c r="AG638" s="606"/>
    </row>
    <row r="639" spans="1:33" s="612" customFormat="1" hidden="1" outlineLevel="3" x14ac:dyDescent="0.2">
      <c r="A639" s="606"/>
      <c r="B639" s="606"/>
      <c r="C639" s="607"/>
      <c r="D639" s="608"/>
      <c r="E639" s="608"/>
      <c r="F639" s="608"/>
      <c r="G639" s="608"/>
      <c r="H639" s="609"/>
      <c r="I639" s="610"/>
      <c r="J639" s="610"/>
      <c r="K639" s="610"/>
      <c r="L639" s="610"/>
      <c r="M639" s="610"/>
      <c r="N639" s="610"/>
      <c r="O639" s="610"/>
      <c r="P639" s="610"/>
      <c r="Q639" s="610"/>
      <c r="R639" s="610"/>
      <c r="S639" s="610"/>
      <c r="T639" s="610"/>
      <c r="U639" s="610"/>
      <c r="V639" s="610"/>
      <c r="W639" s="610"/>
      <c r="X639" s="610"/>
      <c r="Y639" s="610"/>
      <c r="Z639" s="610"/>
      <c r="AA639" s="610"/>
      <c r="AB639" s="610"/>
      <c r="AC639" s="611"/>
      <c r="AD639" s="606"/>
      <c r="AE639" s="606"/>
      <c r="AF639" s="606"/>
      <c r="AG639" s="606"/>
    </row>
    <row r="640" spans="1:33" s="612" customFormat="1" outlineLevel="2" collapsed="1" x14ac:dyDescent="0.2">
      <c r="A640" s="606"/>
      <c r="B640" s="606"/>
      <c r="C640" s="620"/>
      <c r="D640" s="621"/>
      <c r="E640" s="609"/>
      <c r="F640" s="609"/>
      <c r="G640" s="609"/>
      <c r="H640" s="609"/>
      <c r="I640" s="614"/>
      <c r="J640" s="614"/>
      <c r="K640" s="611"/>
      <c r="L640" s="611"/>
      <c r="M640" s="611"/>
      <c r="N640" s="615"/>
      <c r="O640" s="615"/>
      <c r="P640" s="615"/>
      <c r="Q640" s="615"/>
      <c r="R640" s="615"/>
      <c r="S640" s="611"/>
      <c r="T640" s="611"/>
      <c r="U640" s="611"/>
      <c r="V640" s="611"/>
      <c r="W640" s="611"/>
      <c r="X640" s="611"/>
      <c r="Y640" s="611"/>
      <c r="Z640" s="611"/>
      <c r="AA640" s="611"/>
      <c r="AB640" s="611"/>
      <c r="AC640" s="611"/>
      <c r="AD640" s="606"/>
      <c r="AE640" s="606"/>
      <c r="AF640" s="606"/>
      <c r="AG640" s="606"/>
    </row>
    <row r="641" spans="1:33" s="612" customFormat="1" outlineLevel="1" x14ac:dyDescent="0.2">
      <c r="A641" s="606"/>
      <c r="B641" s="606"/>
      <c r="C641" s="613"/>
      <c r="D641" s="609"/>
      <c r="E641" s="609"/>
      <c r="F641" s="609"/>
      <c r="G641" s="609"/>
      <c r="H641" s="609"/>
      <c r="I641" s="614"/>
      <c r="J641" s="614"/>
      <c r="K641" s="611"/>
      <c r="L641" s="611"/>
      <c r="M641" s="611"/>
      <c r="N641" s="615"/>
      <c r="O641" s="615"/>
      <c r="P641" s="615"/>
      <c r="Q641" s="615"/>
      <c r="R641" s="615"/>
      <c r="S641" s="611"/>
      <c r="T641" s="611"/>
      <c r="U641" s="611"/>
      <c r="V641" s="611"/>
      <c r="W641" s="611"/>
      <c r="X641" s="611"/>
      <c r="Y641" s="611"/>
      <c r="Z641" s="611"/>
      <c r="AA641" s="611"/>
      <c r="AB641" s="611"/>
      <c r="AC641" s="611"/>
      <c r="AD641" s="606"/>
      <c r="AE641" s="606"/>
      <c r="AF641" s="606"/>
      <c r="AG641" s="606"/>
    </row>
    <row r="642" spans="1:33" s="612" customFormat="1" outlineLevel="1" x14ac:dyDescent="0.2">
      <c r="A642" s="606"/>
      <c r="B642" s="606"/>
      <c r="C642" s="616"/>
      <c r="D642" s="617"/>
      <c r="E642" s="617"/>
      <c r="F642" s="617"/>
      <c r="G642" s="618"/>
      <c r="H642" s="618"/>
      <c r="I642" s="611"/>
      <c r="J642" s="611"/>
      <c r="K642" s="611"/>
      <c r="L642" s="611"/>
      <c r="M642" s="611"/>
      <c r="N642" s="611"/>
      <c r="O642" s="611"/>
      <c r="P642" s="611"/>
      <c r="Q642" s="611"/>
      <c r="R642" s="611"/>
      <c r="S642" s="611"/>
      <c r="T642" s="611"/>
      <c r="U642" s="611"/>
      <c r="V642" s="611"/>
      <c r="W642" s="611"/>
      <c r="X642" s="611"/>
      <c r="Y642" s="611"/>
      <c r="Z642" s="611"/>
      <c r="AA642" s="611"/>
      <c r="AB642" s="611"/>
      <c r="AC642" s="611"/>
      <c r="AD642" s="606"/>
      <c r="AE642" s="606"/>
      <c r="AF642" s="606"/>
      <c r="AG642" s="606"/>
    </row>
    <row r="643" spans="1:33" s="612" customFormat="1" hidden="1" outlineLevel="2" x14ac:dyDescent="0.2">
      <c r="A643" s="606"/>
      <c r="B643" s="606"/>
      <c r="C643" s="607"/>
      <c r="D643" s="608"/>
      <c r="E643" s="608"/>
      <c r="F643" s="608"/>
      <c r="G643" s="608"/>
      <c r="H643" s="609"/>
      <c r="I643" s="610"/>
      <c r="J643" s="610"/>
      <c r="K643" s="610"/>
      <c r="L643" s="610"/>
      <c r="M643" s="610"/>
      <c r="N643" s="610"/>
      <c r="O643" s="610"/>
      <c r="P643" s="610"/>
      <c r="Q643" s="610"/>
      <c r="R643" s="610"/>
      <c r="S643" s="610"/>
      <c r="T643" s="610"/>
      <c r="U643" s="610"/>
      <c r="V643" s="610"/>
      <c r="W643" s="610"/>
      <c r="X643" s="610"/>
      <c r="Y643" s="610"/>
      <c r="Z643" s="610"/>
      <c r="AA643" s="610"/>
      <c r="AB643" s="610"/>
      <c r="AC643" s="611"/>
      <c r="AD643" s="606"/>
      <c r="AE643" s="606"/>
      <c r="AF643" s="606"/>
      <c r="AG643" s="606"/>
    </row>
    <row r="644" spans="1:33" s="612" customFormat="1" hidden="1" outlineLevel="2" x14ac:dyDescent="0.2">
      <c r="A644" s="606"/>
      <c r="B644" s="606"/>
      <c r="C644" s="607"/>
      <c r="D644" s="608"/>
      <c r="E644" s="608"/>
      <c r="F644" s="608"/>
      <c r="G644" s="608"/>
      <c r="H644" s="609"/>
      <c r="I644" s="610"/>
      <c r="J644" s="610"/>
      <c r="K644" s="610"/>
      <c r="L644" s="610"/>
      <c r="M644" s="610"/>
      <c r="N644" s="610"/>
      <c r="O644" s="610"/>
      <c r="P644" s="610"/>
      <c r="Q644" s="610"/>
      <c r="R644" s="610"/>
      <c r="S644" s="610"/>
      <c r="T644" s="610"/>
      <c r="U644" s="610"/>
      <c r="V644" s="610"/>
      <c r="W644" s="610"/>
      <c r="X644" s="610"/>
      <c r="Y644" s="610"/>
      <c r="Z644" s="610"/>
      <c r="AA644" s="610"/>
      <c r="AB644" s="610"/>
      <c r="AC644" s="611"/>
      <c r="AD644" s="606"/>
      <c r="AE644" s="606"/>
      <c r="AF644" s="606"/>
      <c r="AG644" s="606"/>
    </row>
    <row r="645" spans="1:33" s="612" customFormat="1" hidden="1" outlineLevel="2" x14ac:dyDescent="0.2">
      <c r="A645" s="606"/>
      <c r="B645" s="606"/>
      <c r="C645" s="607"/>
      <c r="D645" s="608"/>
      <c r="E645" s="608"/>
      <c r="F645" s="608"/>
      <c r="G645" s="608"/>
      <c r="H645" s="609"/>
      <c r="I645" s="610"/>
      <c r="J645" s="610"/>
      <c r="K645" s="610"/>
      <c r="L645" s="610"/>
      <c r="M645" s="610"/>
      <c r="N645" s="610"/>
      <c r="O645" s="610"/>
      <c r="P645" s="610"/>
      <c r="Q645" s="610"/>
      <c r="R645" s="610"/>
      <c r="S645" s="610"/>
      <c r="T645" s="610"/>
      <c r="U645" s="610"/>
      <c r="V645" s="610"/>
      <c r="W645" s="610"/>
      <c r="X645" s="610"/>
      <c r="Y645" s="610"/>
      <c r="Z645" s="610"/>
      <c r="AA645" s="610"/>
      <c r="AB645" s="610"/>
      <c r="AC645" s="611"/>
      <c r="AD645" s="606"/>
      <c r="AE645" s="606"/>
      <c r="AF645" s="606"/>
      <c r="AG645" s="606"/>
    </row>
    <row r="646" spans="1:33" s="612" customFormat="1" hidden="1" outlineLevel="2" x14ac:dyDescent="0.2">
      <c r="A646" s="606"/>
      <c r="B646" s="606"/>
      <c r="C646" s="607"/>
      <c r="D646" s="608"/>
      <c r="E646" s="608"/>
      <c r="F646" s="608"/>
      <c r="G646" s="608"/>
      <c r="H646" s="609"/>
      <c r="I646" s="610"/>
      <c r="J646" s="610"/>
      <c r="K646" s="610"/>
      <c r="L646" s="610"/>
      <c r="M646" s="610"/>
      <c r="N646" s="610"/>
      <c r="O646" s="610"/>
      <c r="P646" s="610"/>
      <c r="Q646" s="610"/>
      <c r="R646" s="610"/>
      <c r="S646" s="610"/>
      <c r="T646" s="610"/>
      <c r="U646" s="610"/>
      <c r="V646" s="610"/>
      <c r="W646" s="610"/>
      <c r="X646" s="610"/>
      <c r="Y646" s="610"/>
      <c r="Z646" s="610"/>
      <c r="AA646" s="610"/>
      <c r="AB646" s="610"/>
      <c r="AC646" s="611"/>
      <c r="AD646" s="606"/>
      <c r="AE646" s="606"/>
      <c r="AF646" s="606"/>
      <c r="AG646" s="606"/>
    </row>
    <row r="647" spans="1:33" s="612" customFormat="1" hidden="1" outlineLevel="2" x14ac:dyDescent="0.2">
      <c r="A647" s="606"/>
      <c r="B647" s="606"/>
      <c r="C647" s="607"/>
      <c r="D647" s="608"/>
      <c r="E647" s="608"/>
      <c r="F647" s="608"/>
      <c r="G647" s="608"/>
      <c r="H647" s="609"/>
      <c r="I647" s="610"/>
      <c r="J647" s="610"/>
      <c r="K647" s="610"/>
      <c r="L647" s="610"/>
      <c r="M647" s="610"/>
      <c r="N647" s="610"/>
      <c r="O647" s="610"/>
      <c r="P647" s="610"/>
      <c r="Q647" s="610"/>
      <c r="R647" s="610"/>
      <c r="S647" s="610"/>
      <c r="T647" s="610"/>
      <c r="U647" s="610"/>
      <c r="V647" s="610"/>
      <c r="W647" s="610"/>
      <c r="X647" s="610"/>
      <c r="Y647" s="610"/>
      <c r="Z647" s="610"/>
      <c r="AA647" s="610"/>
      <c r="AB647" s="610"/>
      <c r="AC647" s="611"/>
      <c r="AD647" s="606"/>
      <c r="AE647" s="606"/>
      <c r="AF647" s="606"/>
      <c r="AG647" s="606"/>
    </row>
    <row r="648" spans="1:33" s="612" customFormat="1" hidden="1" outlineLevel="2" x14ac:dyDescent="0.2">
      <c r="A648" s="606"/>
      <c r="B648" s="606"/>
      <c r="C648" s="607"/>
      <c r="D648" s="608"/>
      <c r="E648" s="608"/>
      <c r="F648" s="608"/>
      <c r="G648" s="608"/>
      <c r="H648" s="609"/>
      <c r="I648" s="610"/>
      <c r="J648" s="610"/>
      <c r="K648" s="610"/>
      <c r="L648" s="610"/>
      <c r="M648" s="610"/>
      <c r="N648" s="610"/>
      <c r="O648" s="610"/>
      <c r="P648" s="610"/>
      <c r="Q648" s="610"/>
      <c r="R648" s="610"/>
      <c r="S648" s="610"/>
      <c r="T648" s="610"/>
      <c r="U648" s="610"/>
      <c r="V648" s="610"/>
      <c r="W648" s="610"/>
      <c r="X648" s="610"/>
      <c r="Y648" s="610"/>
      <c r="Z648" s="610"/>
      <c r="AA648" s="610"/>
      <c r="AB648" s="610"/>
      <c r="AC648" s="611"/>
      <c r="AD648" s="606"/>
      <c r="AE648" s="606"/>
      <c r="AF648" s="606"/>
      <c r="AG648" s="606"/>
    </row>
    <row r="649" spans="1:33" s="612" customFormat="1" hidden="1" outlineLevel="2" x14ac:dyDescent="0.2">
      <c r="A649" s="606"/>
      <c r="B649" s="606"/>
      <c r="C649" s="607"/>
      <c r="D649" s="608"/>
      <c r="E649" s="608"/>
      <c r="F649" s="608"/>
      <c r="G649" s="608"/>
      <c r="H649" s="609"/>
      <c r="I649" s="610"/>
      <c r="J649" s="610"/>
      <c r="K649" s="610"/>
      <c r="L649" s="610"/>
      <c r="M649" s="610"/>
      <c r="N649" s="610"/>
      <c r="O649" s="610"/>
      <c r="P649" s="610"/>
      <c r="Q649" s="610"/>
      <c r="R649" s="610"/>
      <c r="S649" s="610"/>
      <c r="T649" s="610"/>
      <c r="U649" s="610"/>
      <c r="V649" s="610"/>
      <c r="W649" s="610"/>
      <c r="X649" s="610"/>
      <c r="Y649" s="610"/>
      <c r="Z649" s="610"/>
      <c r="AA649" s="610"/>
      <c r="AB649" s="610"/>
      <c r="AC649" s="611"/>
      <c r="AD649" s="606"/>
      <c r="AE649" s="606"/>
      <c r="AF649" s="606"/>
      <c r="AG649" s="606"/>
    </row>
    <row r="650" spans="1:33" s="612" customFormat="1" hidden="1" outlineLevel="2" x14ac:dyDescent="0.2">
      <c r="A650" s="606"/>
      <c r="B650" s="606"/>
      <c r="C650" s="607"/>
      <c r="D650" s="608"/>
      <c r="E650" s="608"/>
      <c r="F650" s="608"/>
      <c r="G650" s="608"/>
      <c r="H650" s="609"/>
      <c r="I650" s="610"/>
      <c r="J650" s="610"/>
      <c r="K650" s="610"/>
      <c r="L650" s="610"/>
      <c r="M650" s="610"/>
      <c r="N650" s="610"/>
      <c r="O650" s="610"/>
      <c r="P650" s="610"/>
      <c r="Q650" s="610"/>
      <c r="R650" s="610"/>
      <c r="S650" s="610"/>
      <c r="T650" s="610"/>
      <c r="U650" s="610"/>
      <c r="V650" s="610"/>
      <c r="W650" s="610"/>
      <c r="X650" s="610"/>
      <c r="Y650" s="610"/>
      <c r="Z650" s="610"/>
      <c r="AA650" s="610"/>
      <c r="AB650" s="610"/>
      <c r="AC650" s="611"/>
      <c r="AD650" s="606"/>
      <c r="AE650" s="606"/>
      <c r="AF650" s="606"/>
      <c r="AG650" s="606"/>
    </row>
    <row r="651" spans="1:33" s="612" customFormat="1" hidden="1" outlineLevel="2" x14ac:dyDescent="0.2">
      <c r="A651" s="606"/>
      <c r="B651" s="606"/>
      <c r="C651" s="607"/>
      <c r="D651" s="608"/>
      <c r="E651" s="608"/>
      <c r="F651" s="608"/>
      <c r="G651" s="608"/>
      <c r="H651" s="609"/>
      <c r="I651" s="610"/>
      <c r="J651" s="610"/>
      <c r="K651" s="610"/>
      <c r="L651" s="610"/>
      <c r="M651" s="610"/>
      <c r="N651" s="610"/>
      <c r="O651" s="610"/>
      <c r="P651" s="610"/>
      <c r="Q651" s="610"/>
      <c r="R651" s="610"/>
      <c r="S651" s="610"/>
      <c r="T651" s="610"/>
      <c r="U651" s="610"/>
      <c r="V651" s="610"/>
      <c r="W651" s="610"/>
      <c r="X651" s="610"/>
      <c r="Y651" s="610"/>
      <c r="Z651" s="610"/>
      <c r="AA651" s="610"/>
      <c r="AB651" s="610"/>
      <c r="AC651" s="611"/>
      <c r="AD651" s="606"/>
      <c r="AE651" s="606"/>
      <c r="AF651" s="606"/>
      <c r="AG651" s="606"/>
    </row>
    <row r="652" spans="1:33" s="612" customFormat="1" hidden="1" outlineLevel="2" x14ac:dyDescent="0.2">
      <c r="A652" s="606"/>
      <c r="B652" s="606"/>
      <c r="C652" s="607"/>
      <c r="D652" s="608"/>
      <c r="E652" s="608"/>
      <c r="F652" s="608"/>
      <c r="G652" s="608"/>
      <c r="H652" s="609"/>
      <c r="I652" s="610"/>
      <c r="J652" s="610"/>
      <c r="K652" s="610"/>
      <c r="L652" s="610"/>
      <c r="M652" s="610"/>
      <c r="N652" s="610"/>
      <c r="O652" s="610"/>
      <c r="P652" s="610"/>
      <c r="Q652" s="610"/>
      <c r="R652" s="610"/>
      <c r="S652" s="610"/>
      <c r="T652" s="610"/>
      <c r="U652" s="610"/>
      <c r="V652" s="610"/>
      <c r="W652" s="610"/>
      <c r="X652" s="610"/>
      <c r="Y652" s="610"/>
      <c r="Z652" s="610"/>
      <c r="AA652" s="610"/>
      <c r="AB652" s="610"/>
      <c r="AC652" s="611"/>
      <c r="AD652" s="606"/>
      <c r="AE652" s="606"/>
      <c r="AF652" s="606"/>
      <c r="AG652" s="606"/>
    </row>
    <row r="653" spans="1:33" s="612" customFormat="1" hidden="1" outlineLevel="2" x14ac:dyDescent="0.2">
      <c r="A653" s="606"/>
      <c r="B653" s="606"/>
      <c r="C653" s="607"/>
      <c r="D653" s="608"/>
      <c r="E653" s="608"/>
      <c r="F653" s="608"/>
      <c r="G653" s="608"/>
      <c r="H653" s="609"/>
      <c r="I653" s="610"/>
      <c r="J653" s="610"/>
      <c r="K653" s="610"/>
      <c r="L653" s="610"/>
      <c r="M653" s="610"/>
      <c r="N653" s="610"/>
      <c r="O653" s="610"/>
      <c r="P653" s="610"/>
      <c r="Q653" s="610"/>
      <c r="R653" s="610"/>
      <c r="S653" s="610"/>
      <c r="T653" s="610"/>
      <c r="U653" s="610"/>
      <c r="V653" s="610"/>
      <c r="W653" s="610"/>
      <c r="X653" s="610"/>
      <c r="Y653" s="610"/>
      <c r="Z653" s="610"/>
      <c r="AA653" s="610"/>
      <c r="AB653" s="610"/>
      <c r="AC653" s="611"/>
      <c r="AD653" s="606"/>
      <c r="AE653" s="606"/>
      <c r="AF653" s="606"/>
      <c r="AG653" s="606"/>
    </row>
    <row r="654" spans="1:33" s="612" customFormat="1" hidden="1" outlineLevel="3" x14ac:dyDescent="0.2">
      <c r="A654" s="606"/>
      <c r="B654" s="606"/>
      <c r="C654" s="607"/>
      <c r="D654" s="608"/>
      <c r="E654" s="608"/>
      <c r="F654" s="608"/>
      <c r="G654" s="608"/>
      <c r="H654" s="609"/>
      <c r="I654" s="610"/>
      <c r="J654" s="610"/>
      <c r="K654" s="610"/>
      <c r="L654" s="610"/>
      <c r="M654" s="610"/>
      <c r="N654" s="610"/>
      <c r="O654" s="610"/>
      <c r="P654" s="610"/>
      <c r="Q654" s="610"/>
      <c r="R654" s="610"/>
      <c r="S654" s="610"/>
      <c r="T654" s="610"/>
      <c r="U654" s="610"/>
      <c r="V654" s="610"/>
      <c r="W654" s="610"/>
      <c r="X654" s="610"/>
      <c r="Y654" s="610"/>
      <c r="Z654" s="610"/>
      <c r="AA654" s="610"/>
      <c r="AB654" s="610"/>
      <c r="AC654" s="611"/>
      <c r="AD654" s="606"/>
      <c r="AE654" s="606"/>
      <c r="AF654" s="606"/>
      <c r="AG654" s="606"/>
    </row>
    <row r="655" spans="1:33" s="612" customFormat="1" hidden="1" outlineLevel="3" x14ac:dyDescent="0.2">
      <c r="A655" s="606"/>
      <c r="B655" s="606"/>
      <c r="C655" s="607"/>
      <c r="D655" s="608"/>
      <c r="E655" s="608"/>
      <c r="F655" s="608"/>
      <c r="G655" s="608"/>
      <c r="H655" s="609"/>
      <c r="I655" s="610"/>
      <c r="J655" s="610"/>
      <c r="K655" s="610"/>
      <c r="L655" s="610"/>
      <c r="M655" s="610"/>
      <c r="N655" s="610"/>
      <c r="O655" s="610"/>
      <c r="P655" s="610"/>
      <c r="Q655" s="610"/>
      <c r="R655" s="610"/>
      <c r="S655" s="610"/>
      <c r="T655" s="610"/>
      <c r="U655" s="610"/>
      <c r="V655" s="610"/>
      <c r="W655" s="610"/>
      <c r="X655" s="610"/>
      <c r="Y655" s="610"/>
      <c r="Z655" s="610"/>
      <c r="AA655" s="610"/>
      <c r="AB655" s="610"/>
      <c r="AC655" s="611"/>
      <c r="AD655" s="606"/>
      <c r="AE655" s="606"/>
      <c r="AF655" s="606"/>
      <c r="AG655" s="606"/>
    </row>
    <row r="656" spans="1:33" s="612" customFormat="1" hidden="1" outlineLevel="3" x14ac:dyDescent="0.2">
      <c r="A656" s="606"/>
      <c r="B656" s="606"/>
      <c r="C656" s="607"/>
      <c r="D656" s="608"/>
      <c r="E656" s="608"/>
      <c r="F656" s="608"/>
      <c r="G656" s="608"/>
      <c r="H656" s="609"/>
      <c r="I656" s="610"/>
      <c r="J656" s="610"/>
      <c r="K656" s="610"/>
      <c r="L656" s="610"/>
      <c r="M656" s="610"/>
      <c r="N656" s="610"/>
      <c r="O656" s="610"/>
      <c r="P656" s="610"/>
      <c r="Q656" s="610"/>
      <c r="R656" s="610"/>
      <c r="S656" s="610"/>
      <c r="T656" s="610"/>
      <c r="U656" s="610"/>
      <c r="V656" s="610"/>
      <c r="W656" s="610"/>
      <c r="X656" s="610"/>
      <c r="Y656" s="610"/>
      <c r="Z656" s="610"/>
      <c r="AA656" s="610"/>
      <c r="AB656" s="610"/>
      <c r="AC656" s="611"/>
      <c r="AD656" s="606"/>
      <c r="AE656" s="606"/>
      <c r="AF656" s="606"/>
      <c r="AG656" s="606"/>
    </row>
    <row r="657" spans="1:33" s="612" customFormat="1" hidden="1" outlineLevel="3" x14ac:dyDescent="0.2">
      <c r="A657" s="606"/>
      <c r="B657" s="606"/>
      <c r="C657" s="607"/>
      <c r="D657" s="608"/>
      <c r="E657" s="608"/>
      <c r="F657" s="608"/>
      <c r="G657" s="608"/>
      <c r="H657" s="609"/>
      <c r="I657" s="610"/>
      <c r="J657" s="610"/>
      <c r="K657" s="610"/>
      <c r="L657" s="610"/>
      <c r="M657" s="610"/>
      <c r="N657" s="610"/>
      <c r="O657" s="610"/>
      <c r="P657" s="610"/>
      <c r="Q657" s="610"/>
      <c r="R657" s="610"/>
      <c r="S657" s="610"/>
      <c r="T657" s="610"/>
      <c r="U657" s="610"/>
      <c r="V657" s="610"/>
      <c r="W657" s="610"/>
      <c r="X657" s="610"/>
      <c r="Y657" s="610"/>
      <c r="Z657" s="610"/>
      <c r="AA657" s="610"/>
      <c r="AB657" s="610"/>
      <c r="AC657" s="611"/>
      <c r="AD657" s="606"/>
      <c r="AE657" s="606"/>
      <c r="AF657" s="606"/>
      <c r="AG657" s="606"/>
    </row>
    <row r="658" spans="1:33" s="612" customFormat="1" hidden="1" outlineLevel="3" x14ac:dyDescent="0.2">
      <c r="A658" s="606"/>
      <c r="B658" s="606"/>
      <c r="C658" s="607"/>
      <c r="D658" s="608"/>
      <c r="E658" s="608"/>
      <c r="F658" s="608"/>
      <c r="G658" s="608"/>
      <c r="H658" s="609"/>
      <c r="I658" s="610"/>
      <c r="J658" s="610"/>
      <c r="K658" s="610"/>
      <c r="L658" s="610"/>
      <c r="M658" s="610"/>
      <c r="N658" s="610"/>
      <c r="O658" s="610"/>
      <c r="P658" s="610"/>
      <c r="Q658" s="610"/>
      <c r="R658" s="610"/>
      <c r="S658" s="610"/>
      <c r="T658" s="610"/>
      <c r="U658" s="610"/>
      <c r="V658" s="610"/>
      <c r="W658" s="610"/>
      <c r="X658" s="610"/>
      <c r="Y658" s="610"/>
      <c r="Z658" s="610"/>
      <c r="AA658" s="610"/>
      <c r="AB658" s="610"/>
      <c r="AC658" s="611"/>
      <c r="AD658" s="606"/>
      <c r="AE658" s="606"/>
      <c r="AF658" s="606"/>
      <c r="AG658" s="606"/>
    </row>
    <row r="659" spans="1:33" s="612" customFormat="1" hidden="1" outlineLevel="3" x14ac:dyDescent="0.2">
      <c r="A659" s="606"/>
      <c r="B659" s="606"/>
      <c r="C659" s="607"/>
      <c r="D659" s="608"/>
      <c r="E659" s="608"/>
      <c r="F659" s="608"/>
      <c r="G659" s="608"/>
      <c r="H659" s="609"/>
      <c r="I659" s="610"/>
      <c r="J659" s="610"/>
      <c r="K659" s="610"/>
      <c r="L659" s="610"/>
      <c r="M659" s="610"/>
      <c r="N659" s="610"/>
      <c r="O659" s="610"/>
      <c r="P659" s="610"/>
      <c r="Q659" s="610"/>
      <c r="R659" s="610"/>
      <c r="S659" s="610"/>
      <c r="T659" s="610"/>
      <c r="U659" s="610"/>
      <c r="V659" s="610"/>
      <c r="W659" s="610"/>
      <c r="X659" s="610"/>
      <c r="Y659" s="610"/>
      <c r="Z659" s="610"/>
      <c r="AA659" s="610"/>
      <c r="AB659" s="610"/>
      <c r="AC659" s="611"/>
      <c r="AD659" s="606"/>
      <c r="AE659" s="606"/>
      <c r="AF659" s="606"/>
      <c r="AG659" s="606"/>
    </row>
    <row r="660" spans="1:33" s="612" customFormat="1" hidden="1" outlineLevel="3" x14ac:dyDescent="0.2">
      <c r="A660" s="606"/>
      <c r="B660" s="606"/>
      <c r="C660" s="607"/>
      <c r="D660" s="608"/>
      <c r="E660" s="608"/>
      <c r="F660" s="608"/>
      <c r="G660" s="608"/>
      <c r="H660" s="609"/>
      <c r="I660" s="610"/>
      <c r="J660" s="610"/>
      <c r="K660" s="610"/>
      <c r="L660" s="610"/>
      <c r="M660" s="610"/>
      <c r="N660" s="610"/>
      <c r="O660" s="610"/>
      <c r="P660" s="610"/>
      <c r="Q660" s="610"/>
      <c r="R660" s="610"/>
      <c r="S660" s="610"/>
      <c r="T660" s="610"/>
      <c r="U660" s="610"/>
      <c r="V660" s="610"/>
      <c r="W660" s="610"/>
      <c r="X660" s="610"/>
      <c r="Y660" s="610"/>
      <c r="Z660" s="610"/>
      <c r="AA660" s="610"/>
      <c r="AB660" s="610"/>
      <c r="AC660" s="611"/>
      <c r="AD660" s="606"/>
      <c r="AE660" s="606"/>
      <c r="AF660" s="606"/>
      <c r="AG660" s="606"/>
    </row>
    <row r="661" spans="1:33" s="612" customFormat="1" hidden="1" outlineLevel="3" x14ac:dyDescent="0.2">
      <c r="A661" s="606"/>
      <c r="B661" s="606"/>
      <c r="C661" s="607"/>
      <c r="D661" s="608"/>
      <c r="E661" s="608"/>
      <c r="F661" s="608"/>
      <c r="G661" s="608"/>
      <c r="H661" s="609"/>
      <c r="I661" s="610"/>
      <c r="J661" s="610"/>
      <c r="K661" s="610"/>
      <c r="L661" s="610"/>
      <c r="M661" s="610"/>
      <c r="N661" s="610"/>
      <c r="O661" s="610"/>
      <c r="P661" s="610"/>
      <c r="Q661" s="610"/>
      <c r="R661" s="610"/>
      <c r="S661" s="610"/>
      <c r="T661" s="610"/>
      <c r="U661" s="610"/>
      <c r="V661" s="610"/>
      <c r="W661" s="610"/>
      <c r="X661" s="610"/>
      <c r="Y661" s="610"/>
      <c r="Z661" s="610"/>
      <c r="AA661" s="610"/>
      <c r="AB661" s="610"/>
      <c r="AC661" s="611"/>
      <c r="AD661" s="606"/>
      <c r="AE661" s="606"/>
      <c r="AF661" s="606"/>
      <c r="AG661" s="606"/>
    </row>
    <row r="662" spans="1:33" s="612" customFormat="1" hidden="1" outlineLevel="3" x14ac:dyDescent="0.2">
      <c r="A662" s="606"/>
      <c r="B662" s="606"/>
      <c r="C662" s="607"/>
      <c r="D662" s="608"/>
      <c r="E662" s="608"/>
      <c r="F662" s="608"/>
      <c r="G662" s="608"/>
      <c r="H662" s="609"/>
      <c r="I662" s="610"/>
      <c r="J662" s="610"/>
      <c r="K662" s="610"/>
      <c r="L662" s="610"/>
      <c r="M662" s="610"/>
      <c r="N662" s="610"/>
      <c r="O662" s="610"/>
      <c r="P662" s="610"/>
      <c r="Q662" s="610"/>
      <c r="R662" s="610"/>
      <c r="S662" s="610"/>
      <c r="T662" s="610"/>
      <c r="U662" s="610"/>
      <c r="V662" s="610"/>
      <c r="W662" s="610"/>
      <c r="X662" s="610"/>
      <c r="Y662" s="610"/>
      <c r="Z662" s="610"/>
      <c r="AA662" s="610"/>
      <c r="AB662" s="610"/>
      <c r="AC662" s="611"/>
      <c r="AD662" s="606"/>
      <c r="AE662" s="606"/>
      <c r="AF662" s="606"/>
      <c r="AG662" s="606"/>
    </row>
    <row r="663" spans="1:33" s="612" customFormat="1" hidden="1" outlineLevel="3" x14ac:dyDescent="0.2">
      <c r="A663" s="606"/>
      <c r="B663" s="606"/>
      <c r="C663" s="607"/>
      <c r="D663" s="608"/>
      <c r="E663" s="608"/>
      <c r="F663" s="608"/>
      <c r="G663" s="608"/>
      <c r="H663" s="609"/>
      <c r="I663" s="610"/>
      <c r="J663" s="610"/>
      <c r="K663" s="610"/>
      <c r="L663" s="610"/>
      <c r="M663" s="610"/>
      <c r="N663" s="610"/>
      <c r="O663" s="610"/>
      <c r="P663" s="610"/>
      <c r="Q663" s="610"/>
      <c r="R663" s="610"/>
      <c r="S663" s="610"/>
      <c r="T663" s="610"/>
      <c r="U663" s="610"/>
      <c r="V663" s="610"/>
      <c r="W663" s="610"/>
      <c r="X663" s="610"/>
      <c r="Y663" s="610"/>
      <c r="Z663" s="610"/>
      <c r="AA663" s="610"/>
      <c r="AB663" s="610"/>
      <c r="AC663" s="611"/>
      <c r="AD663" s="606"/>
      <c r="AE663" s="606"/>
      <c r="AF663" s="606"/>
      <c r="AG663" s="606"/>
    </row>
    <row r="664" spans="1:33" s="612" customFormat="1" hidden="1" outlineLevel="3" x14ac:dyDescent="0.2">
      <c r="A664" s="606"/>
      <c r="B664" s="606"/>
      <c r="C664" s="607"/>
      <c r="D664" s="608"/>
      <c r="E664" s="608"/>
      <c r="F664" s="608"/>
      <c r="G664" s="608"/>
      <c r="H664" s="609"/>
      <c r="I664" s="610"/>
      <c r="J664" s="610"/>
      <c r="K664" s="610"/>
      <c r="L664" s="610"/>
      <c r="M664" s="610"/>
      <c r="N664" s="610"/>
      <c r="O664" s="610"/>
      <c r="P664" s="610"/>
      <c r="Q664" s="610"/>
      <c r="R664" s="610"/>
      <c r="S664" s="610"/>
      <c r="T664" s="610"/>
      <c r="U664" s="610"/>
      <c r="V664" s="610"/>
      <c r="W664" s="610"/>
      <c r="X664" s="610"/>
      <c r="Y664" s="610"/>
      <c r="Z664" s="610"/>
      <c r="AA664" s="610"/>
      <c r="AB664" s="610"/>
      <c r="AC664" s="611"/>
      <c r="AD664" s="606"/>
      <c r="AE664" s="606"/>
      <c r="AF664" s="606"/>
      <c r="AG664" s="606"/>
    </row>
    <row r="665" spans="1:33" s="612" customFormat="1" hidden="1" outlineLevel="3" x14ac:dyDescent="0.2">
      <c r="A665" s="606"/>
      <c r="B665" s="606"/>
      <c r="C665" s="607"/>
      <c r="D665" s="608"/>
      <c r="E665" s="608"/>
      <c r="F665" s="608"/>
      <c r="G665" s="608"/>
      <c r="H665" s="609"/>
      <c r="I665" s="610"/>
      <c r="J665" s="610"/>
      <c r="K665" s="610"/>
      <c r="L665" s="610"/>
      <c r="M665" s="610"/>
      <c r="N665" s="610"/>
      <c r="O665" s="610"/>
      <c r="P665" s="610"/>
      <c r="Q665" s="610"/>
      <c r="R665" s="610"/>
      <c r="S665" s="610"/>
      <c r="T665" s="610"/>
      <c r="U665" s="610"/>
      <c r="V665" s="610"/>
      <c r="W665" s="610"/>
      <c r="X665" s="610"/>
      <c r="Y665" s="610"/>
      <c r="Z665" s="610"/>
      <c r="AA665" s="610"/>
      <c r="AB665" s="610"/>
      <c r="AC665" s="611"/>
      <c r="AD665" s="606"/>
      <c r="AE665" s="606"/>
      <c r="AF665" s="606"/>
      <c r="AG665" s="606"/>
    </row>
    <row r="666" spans="1:33" s="612" customFormat="1" hidden="1" outlineLevel="3" x14ac:dyDescent="0.2">
      <c r="A666" s="606"/>
      <c r="B666" s="606"/>
      <c r="C666" s="607"/>
      <c r="D666" s="608"/>
      <c r="E666" s="608"/>
      <c r="F666" s="608"/>
      <c r="G666" s="608"/>
      <c r="H666" s="609"/>
      <c r="I666" s="610"/>
      <c r="J666" s="610"/>
      <c r="K666" s="610"/>
      <c r="L666" s="610"/>
      <c r="M666" s="610"/>
      <c r="N666" s="610"/>
      <c r="O666" s="610"/>
      <c r="P666" s="610"/>
      <c r="Q666" s="610"/>
      <c r="R666" s="610"/>
      <c r="S666" s="610"/>
      <c r="T666" s="610"/>
      <c r="U666" s="610"/>
      <c r="V666" s="610"/>
      <c r="W666" s="610"/>
      <c r="X666" s="610"/>
      <c r="Y666" s="610"/>
      <c r="Z666" s="610"/>
      <c r="AA666" s="610"/>
      <c r="AB666" s="610"/>
      <c r="AC666" s="611"/>
      <c r="AD666" s="606"/>
      <c r="AE666" s="606"/>
      <c r="AF666" s="606"/>
      <c r="AG666" s="606"/>
    </row>
    <row r="667" spans="1:33" s="612" customFormat="1" hidden="1" outlineLevel="3" x14ac:dyDescent="0.2">
      <c r="A667" s="606"/>
      <c r="B667" s="606"/>
      <c r="C667" s="607"/>
      <c r="D667" s="608"/>
      <c r="E667" s="608"/>
      <c r="F667" s="608"/>
      <c r="G667" s="608"/>
      <c r="H667" s="609"/>
      <c r="I667" s="610"/>
      <c r="J667" s="610"/>
      <c r="K667" s="610"/>
      <c r="L667" s="610"/>
      <c r="M667" s="610"/>
      <c r="N667" s="610"/>
      <c r="O667" s="610"/>
      <c r="P667" s="610"/>
      <c r="Q667" s="610"/>
      <c r="R667" s="610"/>
      <c r="S667" s="610"/>
      <c r="T667" s="610"/>
      <c r="U667" s="610"/>
      <c r="V667" s="610"/>
      <c r="W667" s="610"/>
      <c r="X667" s="610"/>
      <c r="Y667" s="610"/>
      <c r="Z667" s="610"/>
      <c r="AA667" s="610"/>
      <c r="AB667" s="610"/>
      <c r="AC667" s="611"/>
      <c r="AD667" s="606"/>
      <c r="AE667" s="606"/>
      <c r="AF667" s="606"/>
      <c r="AG667" s="606"/>
    </row>
    <row r="668" spans="1:33" s="612" customFormat="1" hidden="1" outlineLevel="3" x14ac:dyDescent="0.2">
      <c r="A668" s="606"/>
      <c r="B668" s="606"/>
      <c r="C668" s="607"/>
      <c r="D668" s="608"/>
      <c r="E668" s="608"/>
      <c r="F668" s="608"/>
      <c r="G668" s="608"/>
      <c r="H668" s="609"/>
      <c r="I668" s="610"/>
      <c r="J668" s="610"/>
      <c r="K668" s="610"/>
      <c r="L668" s="610"/>
      <c r="M668" s="610"/>
      <c r="N668" s="610"/>
      <c r="O668" s="610"/>
      <c r="P668" s="610"/>
      <c r="Q668" s="610"/>
      <c r="R668" s="610"/>
      <c r="S668" s="610"/>
      <c r="T668" s="610"/>
      <c r="U668" s="610"/>
      <c r="V668" s="610"/>
      <c r="W668" s="610"/>
      <c r="X668" s="610"/>
      <c r="Y668" s="610"/>
      <c r="Z668" s="610"/>
      <c r="AA668" s="610"/>
      <c r="AB668" s="610"/>
      <c r="AC668" s="611"/>
      <c r="AD668" s="606"/>
      <c r="AE668" s="606"/>
      <c r="AF668" s="606"/>
      <c r="AG668" s="606"/>
    </row>
    <row r="669" spans="1:33" s="612" customFormat="1" hidden="1" outlineLevel="3" x14ac:dyDescent="0.2">
      <c r="A669" s="606"/>
      <c r="B669" s="606"/>
      <c r="C669" s="607"/>
      <c r="D669" s="608"/>
      <c r="E669" s="608"/>
      <c r="F669" s="608"/>
      <c r="G669" s="608"/>
      <c r="H669" s="609"/>
      <c r="I669" s="610"/>
      <c r="J669" s="610"/>
      <c r="K669" s="610"/>
      <c r="L669" s="610"/>
      <c r="M669" s="610"/>
      <c r="N669" s="610"/>
      <c r="O669" s="610"/>
      <c r="P669" s="610"/>
      <c r="Q669" s="610"/>
      <c r="R669" s="610"/>
      <c r="S669" s="610"/>
      <c r="T669" s="610"/>
      <c r="U669" s="610"/>
      <c r="V669" s="610"/>
      <c r="W669" s="610"/>
      <c r="X669" s="610"/>
      <c r="Y669" s="610"/>
      <c r="Z669" s="610"/>
      <c r="AA669" s="610"/>
      <c r="AB669" s="610"/>
      <c r="AC669" s="611"/>
      <c r="AD669" s="606"/>
      <c r="AE669" s="606"/>
      <c r="AF669" s="606"/>
      <c r="AG669" s="606"/>
    </row>
    <row r="670" spans="1:33" s="612" customFormat="1" hidden="1" outlineLevel="3" x14ac:dyDescent="0.2">
      <c r="A670" s="606"/>
      <c r="B670" s="606"/>
      <c r="C670" s="607"/>
      <c r="D670" s="608"/>
      <c r="E670" s="608"/>
      <c r="F670" s="608"/>
      <c r="G670" s="608"/>
      <c r="H670" s="609"/>
      <c r="I670" s="610"/>
      <c r="J670" s="610"/>
      <c r="K670" s="610"/>
      <c r="L670" s="610"/>
      <c r="M670" s="610"/>
      <c r="N670" s="610"/>
      <c r="O670" s="610"/>
      <c r="P670" s="610"/>
      <c r="Q670" s="610"/>
      <c r="R670" s="610"/>
      <c r="S670" s="610"/>
      <c r="T670" s="610"/>
      <c r="U670" s="610"/>
      <c r="V670" s="610"/>
      <c r="W670" s="610"/>
      <c r="X670" s="610"/>
      <c r="Y670" s="610"/>
      <c r="Z670" s="610"/>
      <c r="AA670" s="610"/>
      <c r="AB670" s="610"/>
      <c r="AC670" s="611"/>
      <c r="AD670" s="606"/>
      <c r="AE670" s="606"/>
      <c r="AF670" s="606"/>
      <c r="AG670" s="606"/>
    </row>
    <row r="671" spans="1:33" s="612" customFormat="1" hidden="1" outlineLevel="3" x14ac:dyDescent="0.2">
      <c r="A671" s="606"/>
      <c r="B671" s="606"/>
      <c r="C671" s="607"/>
      <c r="D671" s="608"/>
      <c r="E671" s="608"/>
      <c r="F671" s="608"/>
      <c r="G671" s="608"/>
      <c r="H671" s="609"/>
      <c r="I671" s="610"/>
      <c r="J671" s="610"/>
      <c r="K671" s="610"/>
      <c r="L671" s="610"/>
      <c r="M671" s="610"/>
      <c r="N671" s="610"/>
      <c r="O671" s="610"/>
      <c r="P671" s="610"/>
      <c r="Q671" s="610"/>
      <c r="R671" s="610"/>
      <c r="S671" s="610"/>
      <c r="T671" s="610"/>
      <c r="U671" s="610"/>
      <c r="V671" s="610"/>
      <c r="W671" s="610"/>
      <c r="X671" s="610"/>
      <c r="Y671" s="610"/>
      <c r="Z671" s="610"/>
      <c r="AA671" s="610"/>
      <c r="AB671" s="610"/>
      <c r="AC671" s="611"/>
      <c r="AD671" s="606"/>
      <c r="AE671" s="606"/>
      <c r="AF671" s="606"/>
      <c r="AG671" s="606"/>
    </row>
    <row r="672" spans="1:33" s="612" customFormat="1" hidden="1" outlineLevel="3" x14ac:dyDescent="0.2">
      <c r="A672" s="606"/>
      <c r="B672" s="606"/>
      <c r="C672" s="607"/>
      <c r="D672" s="608"/>
      <c r="E672" s="608"/>
      <c r="F672" s="608"/>
      <c r="G672" s="608"/>
      <c r="H672" s="609"/>
      <c r="I672" s="610"/>
      <c r="J672" s="610"/>
      <c r="K672" s="610"/>
      <c r="L672" s="610"/>
      <c r="M672" s="610"/>
      <c r="N672" s="610"/>
      <c r="O672" s="610"/>
      <c r="P672" s="610"/>
      <c r="Q672" s="610"/>
      <c r="R672" s="610"/>
      <c r="S672" s="610"/>
      <c r="T672" s="610"/>
      <c r="U672" s="610"/>
      <c r="V672" s="610"/>
      <c r="W672" s="610"/>
      <c r="X672" s="610"/>
      <c r="Y672" s="610"/>
      <c r="Z672" s="610"/>
      <c r="AA672" s="610"/>
      <c r="AB672" s="610"/>
      <c r="AC672" s="611"/>
      <c r="AD672" s="606"/>
      <c r="AE672" s="606"/>
      <c r="AF672" s="606"/>
      <c r="AG672" s="606"/>
    </row>
    <row r="673" spans="1:33" s="612" customFormat="1" hidden="1" outlineLevel="3" x14ac:dyDescent="0.2">
      <c r="A673" s="606"/>
      <c r="B673" s="606"/>
      <c r="C673" s="607"/>
      <c r="D673" s="608"/>
      <c r="E673" s="608"/>
      <c r="F673" s="608"/>
      <c r="G673" s="608"/>
      <c r="H673" s="609"/>
      <c r="I673" s="610"/>
      <c r="J673" s="610"/>
      <c r="K673" s="610"/>
      <c r="L673" s="610"/>
      <c r="M673" s="610"/>
      <c r="N673" s="610"/>
      <c r="O673" s="610"/>
      <c r="P673" s="610"/>
      <c r="Q673" s="610"/>
      <c r="R673" s="610"/>
      <c r="S673" s="610"/>
      <c r="T673" s="610"/>
      <c r="U673" s="610"/>
      <c r="V673" s="610"/>
      <c r="W673" s="610"/>
      <c r="X673" s="610"/>
      <c r="Y673" s="610"/>
      <c r="Z673" s="610"/>
      <c r="AA673" s="610"/>
      <c r="AB673" s="610"/>
      <c r="AC673" s="611"/>
      <c r="AD673" s="606"/>
      <c r="AE673" s="606"/>
      <c r="AF673" s="606"/>
      <c r="AG673" s="606"/>
    </row>
    <row r="674" spans="1:33" s="612" customFormat="1" hidden="1" outlineLevel="3" x14ac:dyDescent="0.2">
      <c r="A674" s="606"/>
      <c r="B674" s="606"/>
      <c r="C674" s="607"/>
      <c r="D674" s="608"/>
      <c r="E674" s="608"/>
      <c r="F674" s="608"/>
      <c r="G674" s="608"/>
      <c r="H674" s="609"/>
      <c r="I674" s="610"/>
      <c r="J674" s="610"/>
      <c r="K674" s="610"/>
      <c r="L674" s="610"/>
      <c r="M674" s="610"/>
      <c r="N674" s="610"/>
      <c r="O674" s="610"/>
      <c r="P674" s="610"/>
      <c r="Q674" s="610"/>
      <c r="R674" s="610"/>
      <c r="S674" s="610"/>
      <c r="T674" s="610"/>
      <c r="U674" s="610"/>
      <c r="V674" s="610"/>
      <c r="W674" s="610"/>
      <c r="X674" s="610"/>
      <c r="Y674" s="610"/>
      <c r="Z674" s="610"/>
      <c r="AA674" s="610"/>
      <c r="AB674" s="610"/>
      <c r="AC674" s="611"/>
      <c r="AD674" s="606"/>
      <c r="AE674" s="606"/>
      <c r="AF674" s="606"/>
      <c r="AG674" s="606"/>
    </row>
    <row r="675" spans="1:33" s="612" customFormat="1" hidden="1" outlineLevel="3" x14ac:dyDescent="0.2">
      <c r="A675" s="606"/>
      <c r="B675" s="606"/>
      <c r="C675" s="607"/>
      <c r="D675" s="608"/>
      <c r="E675" s="608"/>
      <c r="F675" s="608"/>
      <c r="G675" s="608"/>
      <c r="H675" s="609"/>
      <c r="I675" s="610"/>
      <c r="J675" s="610"/>
      <c r="K675" s="610"/>
      <c r="L675" s="610"/>
      <c r="M675" s="610"/>
      <c r="N675" s="610"/>
      <c r="O675" s="610"/>
      <c r="P675" s="610"/>
      <c r="Q675" s="610"/>
      <c r="R675" s="610"/>
      <c r="S675" s="610"/>
      <c r="T675" s="610"/>
      <c r="U675" s="610"/>
      <c r="V675" s="610"/>
      <c r="W675" s="610"/>
      <c r="X675" s="610"/>
      <c r="Y675" s="610"/>
      <c r="Z675" s="610"/>
      <c r="AA675" s="610"/>
      <c r="AB675" s="610"/>
      <c r="AC675" s="611"/>
      <c r="AD675" s="606"/>
      <c r="AE675" s="606"/>
      <c r="AF675" s="606"/>
      <c r="AG675" s="606"/>
    </row>
    <row r="676" spans="1:33" s="612" customFormat="1" hidden="1" outlineLevel="3" x14ac:dyDescent="0.2">
      <c r="A676" s="606"/>
      <c r="B676" s="606"/>
      <c r="C676" s="607"/>
      <c r="D676" s="608"/>
      <c r="E676" s="608"/>
      <c r="F676" s="608"/>
      <c r="G676" s="608"/>
      <c r="H676" s="609"/>
      <c r="I676" s="610"/>
      <c r="J676" s="610"/>
      <c r="K676" s="610"/>
      <c r="L676" s="610"/>
      <c r="M676" s="610"/>
      <c r="N676" s="610"/>
      <c r="O676" s="610"/>
      <c r="P676" s="610"/>
      <c r="Q676" s="610"/>
      <c r="R676" s="610"/>
      <c r="S676" s="610"/>
      <c r="T676" s="610"/>
      <c r="U676" s="610"/>
      <c r="V676" s="610"/>
      <c r="W676" s="610"/>
      <c r="X676" s="610"/>
      <c r="Y676" s="610"/>
      <c r="Z676" s="610"/>
      <c r="AA676" s="610"/>
      <c r="AB676" s="610"/>
      <c r="AC676" s="611"/>
      <c r="AD676" s="606"/>
      <c r="AE676" s="606"/>
      <c r="AF676" s="606"/>
      <c r="AG676" s="606"/>
    </row>
    <row r="677" spans="1:33" s="612" customFormat="1" hidden="1" outlineLevel="3" x14ac:dyDescent="0.2">
      <c r="A677" s="606"/>
      <c r="B677" s="606"/>
      <c r="C677" s="607"/>
      <c r="D677" s="608"/>
      <c r="E677" s="608"/>
      <c r="F677" s="608"/>
      <c r="G677" s="608"/>
      <c r="H677" s="609"/>
      <c r="I677" s="610"/>
      <c r="J677" s="610"/>
      <c r="K677" s="610"/>
      <c r="L677" s="610"/>
      <c r="M677" s="610"/>
      <c r="N677" s="610"/>
      <c r="O677" s="610"/>
      <c r="P677" s="610"/>
      <c r="Q677" s="610"/>
      <c r="R677" s="610"/>
      <c r="S677" s="610"/>
      <c r="T677" s="610"/>
      <c r="U677" s="610"/>
      <c r="V677" s="610"/>
      <c r="W677" s="610"/>
      <c r="X677" s="610"/>
      <c r="Y677" s="610"/>
      <c r="Z677" s="610"/>
      <c r="AA677" s="610"/>
      <c r="AB677" s="610"/>
      <c r="AC677" s="611"/>
      <c r="AD677" s="606"/>
      <c r="AE677" s="606"/>
      <c r="AF677" s="606"/>
      <c r="AG677" s="606"/>
    </row>
    <row r="678" spans="1:33" s="612" customFormat="1" hidden="1" outlineLevel="3" x14ac:dyDescent="0.2">
      <c r="A678" s="606"/>
      <c r="B678" s="606"/>
      <c r="C678" s="607"/>
      <c r="D678" s="608"/>
      <c r="E678" s="608"/>
      <c r="F678" s="608"/>
      <c r="G678" s="608"/>
      <c r="H678" s="609"/>
      <c r="I678" s="610"/>
      <c r="J678" s="610"/>
      <c r="K678" s="610"/>
      <c r="L678" s="610"/>
      <c r="M678" s="610"/>
      <c r="N678" s="610"/>
      <c r="O678" s="610"/>
      <c r="P678" s="610"/>
      <c r="Q678" s="610"/>
      <c r="R678" s="610"/>
      <c r="S678" s="610"/>
      <c r="T678" s="610"/>
      <c r="U678" s="610"/>
      <c r="V678" s="610"/>
      <c r="W678" s="610"/>
      <c r="X678" s="610"/>
      <c r="Y678" s="610"/>
      <c r="Z678" s="610"/>
      <c r="AA678" s="610"/>
      <c r="AB678" s="610"/>
      <c r="AC678" s="611"/>
      <c r="AD678" s="606"/>
      <c r="AE678" s="606"/>
      <c r="AF678" s="606"/>
      <c r="AG678" s="606"/>
    </row>
    <row r="679" spans="1:33" s="612" customFormat="1" hidden="1" outlineLevel="3" x14ac:dyDescent="0.2">
      <c r="A679" s="606"/>
      <c r="B679" s="606"/>
      <c r="C679" s="607"/>
      <c r="D679" s="608"/>
      <c r="E679" s="608"/>
      <c r="F679" s="608"/>
      <c r="G679" s="608"/>
      <c r="H679" s="609"/>
      <c r="I679" s="610"/>
      <c r="J679" s="610"/>
      <c r="K679" s="610"/>
      <c r="L679" s="610"/>
      <c r="M679" s="610"/>
      <c r="N679" s="610"/>
      <c r="O679" s="610"/>
      <c r="P679" s="610"/>
      <c r="Q679" s="610"/>
      <c r="R679" s="610"/>
      <c r="S679" s="610"/>
      <c r="T679" s="610"/>
      <c r="U679" s="610"/>
      <c r="V679" s="610"/>
      <c r="W679" s="610"/>
      <c r="X679" s="610"/>
      <c r="Y679" s="610"/>
      <c r="Z679" s="610"/>
      <c r="AA679" s="610"/>
      <c r="AB679" s="610"/>
      <c r="AC679" s="611"/>
      <c r="AD679" s="606"/>
      <c r="AE679" s="606"/>
      <c r="AF679" s="606"/>
      <c r="AG679" s="606"/>
    </row>
    <row r="680" spans="1:33" s="612" customFormat="1" hidden="1" outlineLevel="3" x14ac:dyDescent="0.2">
      <c r="A680" s="606"/>
      <c r="B680" s="606"/>
      <c r="C680" s="607"/>
      <c r="D680" s="608"/>
      <c r="E680" s="608"/>
      <c r="F680" s="608"/>
      <c r="G680" s="608"/>
      <c r="H680" s="609"/>
      <c r="I680" s="610"/>
      <c r="J680" s="610"/>
      <c r="K680" s="610"/>
      <c r="L680" s="610"/>
      <c r="M680" s="610"/>
      <c r="N680" s="610"/>
      <c r="O680" s="610"/>
      <c r="P680" s="610"/>
      <c r="Q680" s="610"/>
      <c r="R680" s="610"/>
      <c r="S680" s="610"/>
      <c r="T680" s="610"/>
      <c r="U680" s="610"/>
      <c r="V680" s="610"/>
      <c r="W680" s="610"/>
      <c r="X680" s="610"/>
      <c r="Y680" s="610"/>
      <c r="Z680" s="610"/>
      <c r="AA680" s="610"/>
      <c r="AB680" s="610"/>
      <c r="AC680" s="611"/>
      <c r="AD680" s="606"/>
      <c r="AE680" s="606"/>
      <c r="AF680" s="606"/>
      <c r="AG680" s="606"/>
    </row>
    <row r="681" spans="1:33" s="612" customFormat="1" hidden="1" outlineLevel="3" x14ac:dyDescent="0.2">
      <c r="A681" s="606"/>
      <c r="B681" s="606"/>
      <c r="C681" s="607"/>
      <c r="D681" s="608"/>
      <c r="E681" s="608"/>
      <c r="F681" s="608"/>
      <c r="G681" s="608"/>
      <c r="H681" s="609"/>
      <c r="I681" s="610"/>
      <c r="J681" s="610"/>
      <c r="K681" s="610"/>
      <c r="L681" s="610"/>
      <c r="M681" s="610"/>
      <c r="N681" s="610"/>
      <c r="O681" s="610"/>
      <c r="P681" s="610"/>
      <c r="Q681" s="610"/>
      <c r="R681" s="610"/>
      <c r="S681" s="610"/>
      <c r="T681" s="610"/>
      <c r="U681" s="610"/>
      <c r="V681" s="610"/>
      <c r="W681" s="610"/>
      <c r="X681" s="610"/>
      <c r="Y681" s="610"/>
      <c r="Z681" s="610"/>
      <c r="AA681" s="610"/>
      <c r="AB681" s="610"/>
      <c r="AC681" s="611"/>
      <c r="AD681" s="606"/>
      <c r="AE681" s="606"/>
      <c r="AF681" s="606"/>
      <c r="AG681" s="606"/>
    </row>
    <row r="682" spans="1:33" s="612" customFormat="1" hidden="1" outlineLevel="3" x14ac:dyDescent="0.2">
      <c r="A682" s="606"/>
      <c r="B682" s="606"/>
      <c r="C682" s="607"/>
      <c r="D682" s="608"/>
      <c r="E682" s="608"/>
      <c r="F682" s="608"/>
      <c r="G682" s="608"/>
      <c r="H682" s="609"/>
      <c r="I682" s="610"/>
      <c r="J682" s="610"/>
      <c r="K682" s="610"/>
      <c r="L682" s="610"/>
      <c r="M682" s="610"/>
      <c r="N682" s="610"/>
      <c r="O682" s="610"/>
      <c r="P682" s="610"/>
      <c r="Q682" s="610"/>
      <c r="R682" s="610"/>
      <c r="S682" s="610"/>
      <c r="T682" s="610"/>
      <c r="U682" s="610"/>
      <c r="V682" s="610"/>
      <c r="W682" s="610"/>
      <c r="X682" s="610"/>
      <c r="Y682" s="610"/>
      <c r="Z682" s="610"/>
      <c r="AA682" s="610"/>
      <c r="AB682" s="610"/>
      <c r="AC682" s="611"/>
      <c r="AD682" s="606"/>
      <c r="AE682" s="606"/>
      <c r="AF682" s="606"/>
      <c r="AG682" s="606"/>
    </row>
    <row r="683" spans="1:33" s="612" customFormat="1" hidden="1" outlineLevel="3" x14ac:dyDescent="0.2">
      <c r="A683" s="606"/>
      <c r="B683" s="606"/>
      <c r="C683" s="607"/>
      <c r="D683" s="608"/>
      <c r="E683" s="608"/>
      <c r="F683" s="608"/>
      <c r="G683" s="608"/>
      <c r="H683" s="609"/>
      <c r="I683" s="610"/>
      <c r="J683" s="610"/>
      <c r="K683" s="610"/>
      <c r="L683" s="610"/>
      <c r="M683" s="610"/>
      <c r="N683" s="610"/>
      <c r="O683" s="610"/>
      <c r="P683" s="610"/>
      <c r="Q683" s="610"/>
      <c r="R683" s="610"/>
      <c r="S683" s="610"/>
      <c r="T683" s="610"/>
      <c r="U683" s="610"/>
      <c r="V683" s="610"/>
      <c r="W683" s="610"/>
      <c r="X683" s="610"/>
      <c r="Y683" s="610"/>
      <c r="Z683" s="610"/>
      <c r="AA683" s="610"/>
      <c r="AB683" s="610"/>
      <c r="AC683" s="611"/>
      <c r="AD683" s="606"/>
      <c r="AE683" s="606"/>
      <c r="AF683" s="606"/>
      <c r="AG683" s="606"/>
    </row>
    <row r="684" spans="1:33" s="612" customFormat="1" hidden="1" outlineLevel="3" x14ac:dyDescent="0.2">
      <c r="A684" s="606"/>
      <c r="B684" s="606"/>
      <c r="C684" s="607"/>
      <c r="D684" s="608"/>
      <c r="E684" s="608"/>
      <c r="F684" s="608"/>
      <c r="G684" s="608"/>
      <c r="H684" s="609"/>
      <c r="I684" s="610"/>
      <c r="J684" s="610"/>
      <c r="K684" s="610"/>
      <c r="L684" s="610"/>
      <c r="M684" s="610"/>
      <c r="N684" s="610"/>
      <c r="O684" s="610"/>
      <c r="P684" s="610"/>
      <c r="Q684" s="610"/>
      <c r="R684" s="610"/>
      <c r="S684" s="610"/>
      <c r="T684" s="610"/>
      <c r="U684" s="610"/>
      <c r="V684" s="610"/>
      <c r="W684" s="610"/>
      <c r="X684" s="610"/>
      <c r="Y684" s="610"/>
      <c r="Z684" s="610"/>
      <c r="AA684" s="610"/>
      <c r="AB684" s="610"/>
      <c r="AC684" s="611"/>
      <c r="AD684" s="606"/>
      <c r="AE684" s="606"/>
      <c r="AF684" s="606"/>
      <c r="AG684" s="606"/>
    </row>
    <row r="685" spans="1:33" s="612" customFormat="1" hidden="1" outlineLevel="3" x14ac:dyDescent="0.2">
      <c r="A685" s="606"/>
      <c r="B685" s="606"/>
      <c r="C685" s="607"/>
      <c r="D685" s="608"/>
      <c r="E685" s="608"/>
      <c r="F685" s="608"/>
      <c r="G685" s="608"/>
      <c r="H685" s="609"/>
      <c r="I685" s="610"/>
      <c r="J685" s="610"/>
      <c r="K685" s="610"/>
      <c r="L685" s="610"/>
      <c r="M685" s="610"/>
      <c r="N685" s="610"/>
      <c r="O685" s="610"/>
      <c r="P685" s="610"/>
      <c r="Q685" s="610"/>
      <c r="R685" s="610"/>
      <c r="S685" s="610"/>
      <c r="T685" s="610"/>
      <c r="U685" s="610"/>
      <c r="V685" s="610"/>
      <c r="W685" s="610"/>
      <c r="X685" s="610"/>
      <c r="Y685" s="610"/>
      <c r="Z685" s="610"/>
      <c r="AA685" s="610"/>
      <c r="AB685" s="610"/>
      <c r="AC685" s="611"/>
      <c r="AD685" s="606"/>
      <c r="AE685" s="606"/>
      <c r="AF685" s="606"/>
      <c r="AG685" s="606"/>
    </row>
    <row r="686" spans="1:33" s="612" customFormat="1" hidden="1" outlineLevel="3" x14ac:dyDescent="0.2">
      <c r="A686" s="606"/>
      <c r="B686" s="606"/>
      <c r="C686" s="607"/>
      <c r="D686" s="608"/>
      <c r="E686" s="608"/>
      <c r="F686" s="608"/>
      <c r="G686" s="608"/>
      <c r="H686" s="609"/>
      <c r="I686" s="610"/>
      <c r="J686" s="610"/>
      <c r="K686" s="610"/>
      <c r="L686" s="610"/>
      <c r="M686" s="610"/>
      <c r="N686" s="610"/>
      <c r="O686" s="610"/>
      <c r="P686" s="610"/>
      <c r="Q686" s="610"/>
      <c r="R686" s="610"/>
      <c r="S686" s="610"/>
      <c r="T686" s="610"/>
      <c r="U686" s="610"/>
      <c r="V686" s="610"/>
      <c r="W686" s="610"/>
      <c r="X686" s="610"/>
      <c r="Y686" s="610"/>
      <c r="Z686" s="610"/>
      <c r="AA686" s="610"/>
      <c r="AB686" s="610"/>
      <c r="AC686" s="611"/>
      <c r="AD686" s="606"/>
      <c r="AE686" s="606"/>
      <c r="AF686" s="606"/>
      <c r="AG686" s="606"/>
    </row>
    <row r="687" spans="1:33" s="612" customFormat="1" hidden="1" outlineLevel="3" x14ac:dyDescent="0.2">
      <c r="A687" s="606"/>
      <c r="B687" s="606"/>
      <c r="C687" s="607"/>
      <c r="D687" s="608"/>
      <c r="E687" s="608"/>
      <c r="F687" s="608"/>
      <c r="G687" s="608"/>
      <c r="H687" s="609"/>
      <c r="I687" s="610"/>
      <c r="J687" s="610"/>
      <c r="K687" s="610"/>
      <c r="L687" s="610"/>
      <c r="M687" s="610"/>
      <c r="N687" s="610"/>
      <c r="O687" s="610"/>
      <c r="P687" s="610"/>
      <c r="Q687" s="610"/>
      <c r="R687" s="610"/>
      <c r="S687" s="610"/>
      <c r="T687" s="610"/>
      <c r="U687" s="610"/>
      <c r="V687" s="610"/>
      <c r="W687" s="610"/>
      <c r="X687" s="610"/>
      <c r="Y687" s="610"/>
      <c r="Z687" s="610"/>
      <c r="AA687" s="610"/>
      <c r="AB687" s="610"/>
      <c r="AC687" s="611"/>
      <c r="AD687" s="606"/>
      <c r="AE687" s="606"/>
      <c r="AF687" s="606"/>
      <c r="AG687" s="606"/>
    </row>
    <row r="688" spans="1:33" s="612" customFormat="1" hidden="1" outlineLevel="3" x14ac:dyDescent="0.2">
      <c r="A688" s="606"/>
      <c r="B688" s="606"/>
      <c r="C688" s="607"/>
      <c r="D688" s="608"/>
      <c r="E688" s="608"/>
      <c r="F688" s="608"/>
      <c r="G688" s="608"/>
      <c r="H688" s="609"/>
      <c r="I688" s="610"/>
      <c r="J688" s="610"/>
      <c r="K688" s="610"/>
      <c r="L688" s="610"/>
      <c r="M688" s="610"/>
      <c r="N688" s="610"/>
      <c r="O688" s="610"/>
      <c r="P688" s="610"/>
      <c r="Q688" s="610"/>
      <c r="R688" s="610"/>
      <c r="S688" s="610"/>
      <c r="T688" s="610"/>
      <c r="U688" s="610"/>
      <c r="V688" s="610"/>
      <c r="W688" s="610"/>
      <c r="X688" s="610"/>
      <c r="Y688" s="610"/>
      <c r="Z688" s="610"/>
      <c r="AA688" s="610"/>
      <c r="AB688" s="610"/>
      <c r="AC688" s="611"/>
      <c r="AD688" s="606"/>
      <c r="AE688" s="606"/>
      <c r="AF688" s="606"/>
      <c r="AG688" s="606"/>
    </row>
    <row r="689" spans="1:33" s="612" customFormat="1" hidden="1" outlineLevel="3" x14ac:dyDescent="0.2">
      <c r="A689" s="606"/>
      <c r="B689" s="606"/>
      <c r="C689" s="607"/>
      <c r="D689" s="608"/>
      <c r="E689" s="608"/>
      <c r="F689" s="608"/>
      <c r="G689" s="608"/>
      <c r="H689" s="609"/>
      <c r="I689" s="610"/>
      <c r="J689" s="610"/>
      <c r="K689" s="610"/>
      <c r="L689" s="610"/>
      <c r="M689" s="610"/>
      <c r="N689" s="610"/>
      <c r="O689" s="610"/>
      <c r="P689" s="610"/>
      <c r="Q689" s="610"/>
      <c r="R689" s="610"/>
      <c r="S689" s="610"/>
      <c r="T689" s="610"/>
      <c r="U689" s="610"/>
      <c r="V689" s="610"/>
      <c r="W689" s="610"/>
      <c r="X689" s="610"/>
      <c r="Y689" s="610"/>
      <c r="Z689" s="610"/>
      <c r="AA689" s="610"/>
      <c r="AB689" s="610"/>
      <c r="AC689" s="611"/>
      <c r="AD689" s="606"/>
      <c r="AE689" s="606"/>
      <c r="AF689" s="606"/>
      <c r="AG689" s="606"/>
    </row>
    <row r="690" spans="1:33" s="612" customFormat="1" hidden="1" outlineLevel="3" x14ac:dyDescent="0.2">
      <c r="A690" s="606"/>
      <c r="B690" s="606"/>
      <c r="C690" s="607"/>
      <c r="D690" s="608"/>
      <c r="E690" s="608"/>
      <c r="F690" s="608"/>
      <c r="G690" s="608"/>
      <c r="H690" s="609"/>
      <c r="I690" s="610"/>
      <c r="J690" s="610"/>
      <c r="K690" s="610"/>
      <c r="L690" s="610"/>
      <c r="M690" s="610"/>
      <c r="N690" s="610"/>
      <c r="O690" s="610"/>
      <c r="P690" s="610"/>
      <c r="Q690" s="610"/>
      <c r="R690" s="610"/>
      <c r="S690" s="610"/>
      <c r="T690" s="610"/>
      <c r="U690" s="610"/>
      <c r="V690" s="610"/>
      <c r="W690" s="610"/>
      <c r="X690" s="610"/>
      <c r="Y690" s="610"/>
      <c r="Z690" s="610"/>
      <c r="AA690" s="610"/>
      <c r="AB690" s="610"/>
      <c r="AC690" s="611"/>
      <c r="AD690" s="606"/>
      <c r="AE690" s="606"/>
      <c r="AF690" s="606"/>
      <c r="AG690" s="606"/>
    </row>
    <row r="691" spans="1:33" s="612" customFormat="1" hidden="1" outlineLevel="3" x14ac:dyDescent="0.2">
      <c r="A691" s="606"/>
      <c r="B691" s="606"/>
      <c r="C691" s="607"/>
      <c r="D691" s="608"/>
      <c r="E691" s="608"/>
      <c r="F691" s="608"/>
      <c r="G691" s="608"/>
      <c r="H691" s="609"/>
      <c r="I691" s="610"/>
      <c r="J691" s="610"/>
      <c r="K691" s="610"/>
      <c r="L691" s="610"/>
      <c r="M691" s="610"/>
      <c r="N691" s="610"/>
      <c r="O691" s="610"/>
      <c r="P691" s="610"/>
      <c r="Q691" s="610"/>
      <c r="R691" s="610"/>
      <c r="S691" s="610"/>
      <c r="T691" s="610"/>
      <c r="U691" s="610"/>
      <c r="V691" s="610"/>
      <c r="W691" s="610"/>
      <c r="X691" s="610"/>
      <c r="Y691" s="610"/>
      <c r="Z691" s="610"/>
      <c r="AA691" s="610"/>
      <c r="AB691" s="610"/>
      <c r="AC691" s="611"/>
      <c r="AD691" s="606"/>
      <c r="AE691" s="606"/>
      <c r="AF691" s="606"/>
      <c r="AG691" s="606"/>
    </row>
    <row r="692" spans="1:33" s="612" customFormat="1" hidden="1" outlineLevel="3" x14ac:dyDescent="0.2">
      <c r="A692" s="606"/>
      <c r="B692" s="606"/>
      <c r="C692" s="607"/>
      <c r="D692" s="608"/>
      <c r="E692" s="608"/>
      <c r="F692" s="608"/>
      <c r="G692" s="608"/>
      <c r="H692" s="609"/>
      <c r="I692" s="610"/>
      <c r="J692" s="610"/>
      <c r="K692" s="610"/>
      <c r="L692" s="610"/>
      <c r="M692" s="610"/>
      <c r="N692" s="610"/>
      <c r="O692" s="610"/>
      <c r="P692" s="610"/>
      <c r="Q692" s="610"/>
      <c r="R692" s="610"/>
      <c r="S692" s="610"/>
      <c r="T692" s="610"/>
      <c r="U692" s="610"/>
      <c r="V692" s="610"/>
      <c r="W692" s="610"/>
      <c r="X692" s="610"/>
      <c r="Y692" s="610"/>
      <c r="Z692" s="610"/>
      <c r="AA692" s="610"/>
      <c r="AB692" s="610"/>
      <c r="AC692" s="611"/>
      <c r="AD692" s="606"/>
      <c r="AE692" s="606"/>
      <c r="AF692" s="606"/>
      <c r="AG692" s="606"/>
    </row>
    <row r="693" spans="1:33" s="612" customFormat="1" hidden="1" outlineLevel="3" x14ac:dyDescent="0.2">
      <c r="A693" s="606"/>
      <c r="B693" s="606"/>
      <c r="C693" s="607"/>
      <c r="D693" s="608"/>
      <c r="E693" s="608"/>
      <c r="F693" s="608"/>
      <c r="G693" s="608"/>
      <c r="H693" s="609"/>
      <c r="I693" s="610"/>
      <c r="J693" s="610"/>
      <c r="K693" s="610"/>
      <c r="L693" s="610"/>
      <c r="M693" s="610"/>
      <c r="N693" s="610"/>
      <c r="O693" s="610"/>
      <c r="P693" s="610"/>
      <c r="Q693" s="610"/>
      <c r="R693" s="610"/>
      <c r="S693" s="610"/>
      <c r="T693" s="610"/>
      <c r="U693" s="610"/>
      <c r="V693" s="610"/>
      <c r="W693" s="610"/>
      <c r="X693" s="610"/>
      <c r="Y693" s="610"/>
      <c r="Z693" s="610"/>
      <c r="AA693" s="610"/>
      <c r="AB693" s="610"/>
      <c r="AC693" s="611"/>
      <c r="AD693" s="606"/>
      <c r="AE693" s="606"/>
      <c r="AF693" s="606"/>
      <c r="AG693" s="606"/>
    </row>
    <row r="694" spans="1:33" s="612" customFormat="1" hidden="1" outlineLevel="3" x14ac:dyDescent="0.2">
      <c r="A694" s="606"/>
      <c r="B694" s="606"/>
      <c r="C694" s="607"/>
      <c r="D694" s="608"/>
      <c r="E694" s="608"/>
      <c r="F694" s="608"/>
      <c r="G694" s="608"/>
      <c r="H694" s="609"/>
      <c r="I694" s="610"/>
      <c r="J694" s="610"/>
      <c r="K694" s="610"/>
      <c r="L694" s="610"/>
      <c r="M694" s="610"/>
      <c r="N694" s="610"/>
      <c r="O694" s="610"/>
      <c r="P694" s="610"/>
      <c r="Q694" s="610"/>
      <c r="R694" s="610"/>
      <c r="S694" s="610"/>
      <c r="T694" s="610"/>
      <c r="U694" s="610"/>
      <c r="V694" s="610"/>
      <c r="W694" s="610"/>
      <c r="X694" s="610"/>
      <c r="Y694" s="610"/>
      <c r="Z694" s="610"/>
      <c r="AA694" s="610"/>
      <c r="AB694" s="610"/>
      <c r="AC694" s="611"/>
      <c r="AD694" s="606"/>
      <c r="AE694" s="606"/>
      <c r="AF694" s="606"/>
      <c r="AG694" s="606"/>
    </row>
    <row r="695" spans="1:33" s="612" customFormat="1" hidden="1" outlineLevel="3" x14ac:dyDescent="0.2">
      <c r="A695" s="606"/>
      <c r="B695" s="606"/>
      <c r="C695" s="607"/>
      <c r="D695" s="608"/>
      <c r="E695" s="608"/>
      <c r="F695" s="608"/>
      <c r="G695" s="608"/>
      <c r="H695" s="609"/>
      <c r="I695" s="610"/>
      <c r="J695" s="610"/>
      <c r="K695" s="610"/>
      <c r="L695" s="610"/>
      <c r="M695" s="610"/>
      <c r="N695" s="610"/>
      <c r="O695" s="610"/>
      <c r="P695" s="610"/>
      <c r="Q695" s="610"/>
      <c r="R695" s="610"/>
      <c r="S695" s="610"/>
      <c r="T695" s="610"/>
      <c r="U695" s="610"/>
      <c r="V695" s="610"/>
      <c r="W695" s="610"/>
      <c r="X695" s="610"/>
      <c r="Y695" s="610"/>
      <c r="Z695" s="610"/>
      <c r="AA695" s="610"/>
      <c r="AB695" s="610"/>
      <c r="AC695" s="611"/>
      <c r="AD695" s="606"/>
      <c r="AE695" s="606"/>
      <c r="AF695" s="606"/>
      <c r="AG695" s="606"/>
    </row>
    <row r="696" spans="1:33" s="612" customFormat="1" hidden="1" outlineLevel="3" x14ac:dyDescent="0.2">
      <c r="A696" s="606"/>
      <c r="B696" s="606"/>
      <c r="C696" s="607"/>
      <c r="D696" s="608"/>
      <c r="E696" s="608"/>
      <c r="F696" s="608"/>
      <c r="G696" s="608"/>
      <c r="H696" s="609"/>
      <c r="I696" s="610"/>
      <c r="J696" s="610"/>
      <c r="K696" s="610"/>
      <c r="L696" s="610"/>
      <c r="M696" s="610"/>
      <c r="N696" s="610"/>
      <c r="O696" s="610"/>
      <c r="P696" s="610"/>
      <c r="Q696" s="610"/>
      <c r="R696" s="610"/>
      <c r="S696" s="610"/>
      <c r="T696" s="610"/>
      <c r="U696" s="610"/>
      <c r="V696" s="610"/>
      <c r="W696" s="610"/>
      <c r="X696" s="610"/>
      <c r="Y696" s="610"/>
      <c r="Z696" s="610"/>
      <c r="AA696" s="610"/>
      <c r="AB696" s="610"/>
      <c r="AC696" s="611"/>
      <c r="AD696" s="606"/>
      <c r="AE696" s="606"/>
      <c r="AF696" s="606"/>
      <c r="AG696" s="606"/>
    </row>
    <row r="697" spans="1:33" s="612" customFormat="1" hidden="1" outlineLevel="3" x14ac:dyDescent="0.2">
      <c r="A697" s="606"/>
      <c r="B697" s="606"/>
      <c r="C697" s="607"/>
      <c r="D697" s="608"/>
      <c r="E697" s="608"/>
      <c r="F697" s="608"/>
      <c r="G697" s="608"/>
      <c r="H697" s="609"/>
      <c r="I697" s="610"/>
      <c r="J697" s="610"/>
      <c r="K697" s="610"/>
      <c r="L697" s="610"/>
      <c r="M697" s="610"/>
      <c r="N697" s="610"/>
      <c r="O697" s="610"/>
      <c r="P697" s="610"/>
      <c r="Q697" s="610"/>
      <c r="R697" s="610"/>
      <c r="S697" s="610"/>
      <c r="T697" s="610"/>
      <c r="U697" s="610"/>
      <c r="V697" s="610"/>
      <c r="W697" s="610"/>
      <c r="X697" s="610"/>
      <c r="Y697" s="610"/>
      <c r="Z697" s="610"/>
      <c r="AA697" s="610"/>
      <c r="AB697" s="610"/>
      <c r="AC697" s="611"/>
      <c r="AD697" s="606"/>
      <c r="AE697" s="606"/>
      <c r="AF697" s="606"/>
      <c r="AG697" s="606"/>
    </row>
    <row r="698" spans="1:33" s="612" customFormat="1" hidden="1" outlineLevel="3" x14ac:dyDescent="0.2">
      <c r="A698" s="606"/>
      <c r="B698" s="606"/>
      <c r="C698" s="607"/>
      <c r="D698" s="608"/>
      <c r="E698" s="608"/>
      <c r="F698" s="608"/>
      <c r="G698" s="608"/>
      <c r="H698" s="609"/>
      <c r="I698" s="610"/>
      <c r="J698" s="610"/>
      <c r="K698" s="610"/>
      <c r="L698" s="610"/>
      <c r="M698" s="610"/>
      <c r="N698" s="610"/>
      <c r="O698" s="610"/>
      <c r="P698" s="610"/>
      <c r="Q698" s="610"/>
      <c r="R698" s="610"/>
      <c r="S698" s="610"/>
      <c r="T698" s="610"/>
      <c r="U698" s="610"/>
      <c r="V698" s="610"/>
      <c r="W698" s="610"/>
      <c r="X698" s="610"/>
      <c r="Y698" s="610"/>
      <c r="Z698" s="610"/>
      <c r="AA698" s="610"/>
      <c r="AB698" s="610"/>
      <c r="AC698" s="611"/>
      <c r="AD698" s="606"/>
      <c r="AE698" s="606"/>
      <c r="AF698" s="606"/>
      <c r="AG698" s="606"/>
    </row>
    <row r="699" spans="1:33" s="612" customFormat="1" hidden="1" outlineLevel="3" x14ac:dyDescent="0.2">
      <c r="A699" s="606"/>
      <c r="B699" s="606"/>
      <c r="C699" s="607"/>
      <c r="D699" s="608"/>
      <c r="E699" s="608"/>
      <c r="F699" s="608"/>
      <c r="G699" s="608"/>
      <c r="H699" s="609"/>
      <c r="I699" s="610"/>
      <c r="J699" s="610"/>
      <c r="K699" s="610"/>
      <c r="L699" s="610"/>
      <c r="M699" s="610"/>
      <c r="N699" s="610"/>
      <c r="O699" s="610"/>
      <c r="P699" s="610"/>
      <c r="Q699" s="610"/>
      <c r="R699" s="610"/>
      <c r="S699" s="610"/>
      <c r="T699" s="610"/>
      <c r="U699" s="610"/>
      <c r="V699" s="610"/>
      <c r="W699" s="610"/>
      <c r="X699" s="610"/>
      <c r="Y699" s="610"/>
      <c r="Z699" s="610"/>
      <c r="AA699" s="610"/>
      <c r="AB699" s="610"/>
      <c r="AC699" s="611"/>
      <c r="AD699" s="606"/>
      <c r="AE699" s="606"/>
      <c r="AF699" s="606"/>
      <c r="AG699" s="606"/>
    </row>
    <row r="700" spans="1:33" s="612" customFormat="1" hidden="1" outlineLevel="3" x14ac:dyDescent="0.2">
      <c r="A700" s="606"/>
      <c r="B700" s="606"/>
      <c r="C700" s="607"/>
      <c r="D700" s="608"/>
      <c r="E700" s="608"/>
      <c r="F700" s="608"/>
      <c r="G700" s="608"/>
      <c r="H700" s="609"/>
      <c r="I700" s="610"/>
      <c r="J700" s="610"/>
      <c r="K700" s="610"/>
      <c r="L700" s="610"/>
      <c r="M700" s="610"/>
      <c r="N700" s="610"/>
      <c r="O700" s="610"/>
      <c r="P700" s="610"/>
      <c r="Q700" s="610"/>
      <c r="R700" s="610"/>
      <c r="S700" s="610"/>
      <c r="T700" s="610"/>
      <c r="U700" s="610"/>
      <c r="V700" s="610"/>
      <c r="W700" s="610"/>
      <c r="X700" s="610"/>
      <c r="Y700" s="610"/>
      <c r="Z700" s="610"/>
      <c r="AA700" s="610"/>
      <c r="AB700" s="610"/>
      <c r="AC700" s="611"/>
      <c r="AD700" s="606"/>
      <c r="AE700" s="606"/>
      <c r="AF700" s="606"/>
      <c r="AG700" s="606"/>
    </row>
    <row r="701" spans="1:33" s="612" customFormat="1" hidden="1" outlineLevel="3" x14ac:dyDescent="0.2">
      <c r="A701" s="606"/>
      <c r="B701" s="606"/>
      <c r="C701" s="607"/>
      <c r="D701" s="608"/>
      <c r="E701" s="608"/>
      <c r="F701" s="608"/>
      <c r="G701" s="608"/>
      <c r="H701" s="609"/>
      <c r="I701" s="610"/>
      <c r="J701" s="610"/>
      <c r="K701" s="610"/>
      <c r="L701" s="610"/>
      <c r="M701" s="610"/>
      <c r="N701" s="610"/>
      <c r="O701" s="610"/>
      <c r="P701" s="610"/>
      <c r="Q701" s="610"/>
      <c r="R701" s="610"/>
      <c r="S701" s="610"/>
      <c r="T701" s="610"/>
      <c r="U701" s="610"/>
      <c r="V701" s="610"/>
      <c r="W701" s="610"/>
      <c r="X701" s="610"/>
      <c r="Y701" s="610"/>
      <c r="Z701" s="610"/>
      <c r="AA701" s="610"/>
      <c r="AB701" s="610"/>
      <c r="AC701" s="611"/>
      <c r="AD701" s="606"/>
      <c r="AE701" s="606"/>
      <c r="AF701" s="606"/>
      <c r="AG701" s="606"/>
    </row>
    <row r="702" spans="1:33" s="612" customFormat="1" hidden="1" outlineLevel="3" x14ac:dyDescent="0.2">
      <c r="A702" s="606"/>
      <c r="B702" s="606"/>
      <c r="C702" s="607"/>
      <c r="D702" s="608"/>
      <c r="E702" s="608"/>
      <c r="F702" s="608"/>
      <c r="G702" s="608"/>
      <c r="H702" s="609"/>
      <c r="I702" s="610"/>
      <c r="J702" s="610"/>
      <c r="K702" s="610"/>
      <c r="L702" s="610"/>
      <c r="M702" s="610"/>
      <c r="N702" s="610"/>
      <c r="O702" s="610"/>
      <c r="P702" s="610"/>
      <c r="Q702" s="610"/>
      <c r="R702" s="610"/>
      <c r="S702" s="610"/>
      <c r="T702" s="610"/>
      <c r="U702" s="610"/>
      <c r="V702" s="610"/>
      <c r="W702" s="610"/>
      <c r="X702" s="610"/>
      <c r="Y702" s="610"/>
      <c r="Z702" s="610"/>
      <c r="AA702" s="610"/>
      <c r="AB702" s="610"/>
      <c r="AC702" s="611"/>
      <c r="AD702" s="606"/>
      <c r="AE702" s="606"/>
      <c r="AF702" s="606"/>
      <c r="AG702" s="606"/>
    </row>
    <row r="703" spans="1:33" s="612" customFormat="1" hidden="1" outlineLevel="3" x14ac:dyDescent="0.2">
      <c r="A703" s="606"/>
      <c r="B703" s="606"/>
      <c r="C703" s="607"/>
      <c r="D703" s="608"/>
      <c r="E703" s="608"/>
      <c r="F703" s="608"/>
      <c r="G703" s="608"/>
      <c r="H703" s="609"/>
      <c r="I703" s="610"/>
      <c r="J703" s="610"/>
      <c r="K703" s="610"/>
      <c r="L703" s="610"/>
      <c r="M703" s="610"/>
      <c r="N703" s="610"/>
      <c r="O703" s="610"/>
      <c r="P703" s="610"/>
      <c r="Q703" s="610"/>
      <c r="R703" s="610"/>
      <c r="S703" s="610"/>
      <c r="T703" s="610"/>
      <c r="U703" s="610"/>
      <c r="V703" s="610"/>
      <c r="W703" s="610"/>
      <c r="X703" s="610"/>
      <c r="Y703" s="610"/>
      <c r="Z703" s="610"/>
      <c r="AA703" s="610"/>
      <c r="AB703" s="610"/>
      <c r="AC703" s="611"/>
      <c r="AD703" s="606"/>
      <c r="AE703" s="606"/>
      <c r="AF703" s="606"/>
      <c r="AG703" s="606"/>
    </row>
    <row r="704" spans="1:33" s="612" customFormat="1" hidden="1" outlineLevel="3" x14ac:dyDescent="0.2">
      <c r="A704" s="606"/>
      <c r="B704" s="606"/>
      <c r="C704" s="607"/>
      <c r="D704" s="608"/>
      <c r="E704" s="608"/>
      <c r="F704" s="608"/>
      <c r="G704" s="608"/>
      <c r="H704" s="609"/>
      <c r="I704" s="610"/>
      <c r="J704" s="610"/>
      <c r="K704" s="610"/>
      <c r="L704" s="610"/>
      <c r="M704" s="610"/>
      <c r="N704" s="610"/>
      <c r="O704" s="610"/>
      <c r="P704" s="610"/>
      <c r="Q704" s="610"/>
      <c r="R704" s="610"/>
      <c r="S704" s="610"/>
      <c r="T704" s="610"/>
      <c r="U704" s="610"/>
      <c r="V704" s="610"/>
      <c r="W704" s="610"/>
      <c r="X704" s="610"/>
      <c r="Y704" s="610"/>
      <c r="Z704" s="610"/>
      <c r="AA704" s="610"/>
      <c r="AB704" s="610"/>
      <c r="AC704" s="611"/>
      <c r="AD704" s="606"/>
      <c r="AE704" s="606"/>
      <c r="AF704" s="606"/>
      <c r="AG704" s="606"/>
    </row>
    <row r="705" spans="1:33" s="612" customFormat="1" hidden="1" outlineLevel="3" x14ac:dyDescent="0.2">
      <c r="A705" s="606"/>
      <c r="B705" s="606"/>
      <c r="C705" s="607"/>
      <c r="D705" s="608"/>
      <c r="E705" s="608"/>
      <c r="F705" s="608"/>
      <c r="G705" s="608"/>
      <c r="H705" s="609"/>
      <c r="I705" s="610"/>
      <c r="J705" s="610"/>
      <c r="K705" s="610"/>
      <c r="L705" s="610"/>
      <c r="M705" s="610"/>
      <c r="N705" s="610"/>
      <c r="O705" s="610"/>
      <c r="P705" s="610"/>
      <c r="Q705" s="610"/>
      <c r="R705" s="610"/>
      <c r="S705" s="610"/>
      <c r="T705" s="610"/>
      <c r="U705" s="610"/>
      <c r="V705" s="610"/>
      <c r="W705" s="610"/>
      <c r="X705" s="610"/>
      <c r="Y705" s="610"/>
      <c r="Z705" s="610"/>
      <c r="AA705" s="610"/>
      <c r="AB705" s="610"/>
      <c r="AC705" s="611"/>
      <c r="AD705" s="606"/>
      <c r="AE705" s="606"/>
      <c r="AF705" s="606"/>
      <c r="AG705" s="606"/>
    </row>
    <row r="706" spans="1:33" s="612" customFormat="1" hidden="1" outlineLevel="3" x14ac:dyDescent="0.2">
      <c r="A706" s="606"/>
      <c r="B706" s="606"/>
      <c r="C706" s="607"/>
      <c r="D706" s="608"/>
      <c r="E706" s="608"/>
      <c r="F706" s="608"/>
      <c r="G706" s="608"/>
      <c r="H706" s="609"/>
      <c r="I706" s="610"/>
      <c r="J706" s="610"/>
      <c r="K706" s="610"/>
      <c r="L706" s="610"/>
      <c r="M706" s="610"/>
      <c r="N706" s="610"/>
      <c r="O706" s="610"/>
      <c r="P706" s="610"/>
      <c r="Q706" s="610"/>
      <c r="R706" s="610"/>
      <c r="S706" s="610"/>
      <c r="T706" s="610"/>
      <c r="U706" s="610"/>
      <c r="V706" s="610"/>
      <c r="W706" s="610"/>
      <c r="X706" s="610"/>
      <c r="Y706" s="610"/>
      <c r="Z706" s="610"/>
      <c r="AA706" s="610"/>
      <c r="AB706" s="610"/>
      <c r="AC706" s="611"/>
      <c r="AD706" s="606"/>
      <c r="AE706" s="606"/>
      <c r="AF706" s="606"/>
      <c r="AG706" s="606"/>
    </row>
    <row r="707" spans="1:33" s="612" customFormat="1" hidden="1" outlineLevel="3" x14ac:dyDescent="0.2">
      <c r="A707" s="606"/>
      <c r="B707" s="606"/>
      <c r="C707" s="607"/>
      <c r="D707" s="608"/>
      <c r="E707" s="608"/>
      <c r="F707" s="608"/>
      <c r="G707" s="608"/>
      <c r="H707" s="609"/>
      <c r="I707" s="610"/>
      <c r="J707" s="610"/>
      <c r="K707" s="610"/>
      <c r="L707" s="610"/>
      <c r="M707" s="610"/>
      <c r="N707" s="610"/>
      <c r="O707" s="610"/>
      <c r="P707" s="610"/>
      <c r="Q707" s="610"/>
      <c r="R707" s="610"/>
      <c r="S707" s="610"/>
      <c r="T707" s="610"/>
      <c r="U707" s="610"/>
      <c r="V707" s="610"/>
      <c r="W707" s="610"/>
      <c r="X707" s="610"/>
      <c r="Y707" s="610"/>
      <c r="Z707" s="610"/>
      <c r="AA707" s="610"/>
      <c r="AB707" s="610"/>
      <c r="AC707" s="611"/>
      <c r="AD707" s="606"/>
      <c r="AE707" s="606"/>
      <c r="AF707" s="606"/>
      <c r="AG707" s="606"/>
    </row>
    <row r="708" spans="1:33" s="612" customFormat="1" hidden="1" outlineLevel="3" x14ac:dyDescent="0.2">
      <c r="A708" s="606"/>
      <c r="B708" s="606"/>
      <c r="C708" s="607"/>
      <c r="D708" s="608"/>
      <c r="E708" s="608"/>
      <c r="F708" s="608"/>
      <c r="G708" s="608"/>
      <c r="H708" s="609"/>
      <c r="I708" s="610"/>
      <c r="J708" s="610"/>
      <c r="K708" s="610"/>
      <c r="L708" s="610"/>
      <c r="M708" s="610"/>
      <c r="N708" s="610"/>
      <c r="O708" s="610"/>
      <c r="P708" s="610"/>
      <c r="Q708" s="610"/>
      <c r="R708" s="610"/>
      <c r="S708" s="610"/>
      <c r="T708" s="610"/>
      <c r="U708" s="610"/>
      <c r="V708" s="610"/>
      <c r="W708" s="610"/>
      <c r="X708" s="610"/>
      <c r="Y708" s="610"/>
      <c r="Z708" s="610"/>
      <c r="AA708" s="610"/>
      <c r="AB708" s="610"/>
      <c r="AC708" s="611"/>
      <c r="AD708" s="606"/>
      <c r="AE708" s="606"/>
      <c r="AF708" s="606"/>
      <c r="AG708" s="606"/>
    </row>
    <row r="709" spans="1:33" s="612" customFormat="1" hidden="1" outlineLevel="3" x14ac:dyDescent="0.2">
      <c r="A709" s="606"/>
      <c r="B709" s="606"/>
      <c r="C709" s="607"/>
      <c r="D709" s="608"/>
      <c r="E709" s="608"/>
      <c r="F709" s="608"/>
      <c r="G709" s="608"/>
      <c r="H709" s="609"/>
      <c r="I709" s="610"/>
      <c r="J709" s="610"/>
      <c r="K709" s="610"/>
      <c r="L709" s="610"/>
      <c r="M709" s="610"/>
      <c r="N709" s="610"/>
      <c r="O709" s="610"/>
      <c r="P709" s="610"/>
      <c r="Q709" s="610"/>
      <c r="R709" s="610"/>
      <c r="S709" s="610"/>
      <c r="T709" s="610"/>
      <c r="U709" s="610"/>
      <c r="V709" s="610"/>
      <c r="W709" s="610"/>
      <c r="X709" s="610"/>
      <c r="Y709" s="610"/>
      <c r="Z709" s="610"/>
      <c r="AA709" s="610"/>
      <c r="AB709" s="610"/>
      <c r="AC709" s="611"/>
      <c r="AD709" s="606"/>
      <c r="AE709" s="606"/>
      <c r="AF709" s="606"/>
      <c r="AG709" s="606"/>
    </row>
    <row r="710" spans="1:33" s="612" customFormat="1" hidden="1" outlineLevel="3" x14ac:dyDescent="0.2">
      <c r="A710" s="606"/>
      <c r="B710" s="606"/>
      <c r="C710" s="607"/>
      <c r="D710" s="608"/>
      <c r="E710" s="608"/>
      <c r="F710" s="608"/>
      <c r="G710" s="608"/>
      <c r="H710" s="609"/>
      <c r="I710" s="610"/>
      <c r="J710" s="610"/>
      <c r="K710" s="610"/>
      <c r="L710" s="610"/>
      <c r="M710" s="610"/>
      <c r="N710" s="610"/>
      <c r="O710" s="610"/>
      <c r="P710" s="610"/>
      <c r="Q710" s="610"/>
      <c r="R710" s="610"/>
      <c r="S710" s="610"/>
      <c r="T710" s="610"/>
      <c r="U710" s="610"/>
      <c r="V710" s="610"/>
      <c r="W710" s="610"/>
      <c r="X710" s="610"/>
      <c r="Y710" s="610"/>
      <c r="Z710" s="610"/>
      <c r="AA710" s="610"/>
      <c r="AB710" s="610"/>
      <c r="AC710" s="611"/>
      <c r="AD710" s="606"/>
      <c r="AE710" s="606"/>
      <c r="AF710" s="606"/>
      <c r="AG710" s="606"/>
    </row>
    <row r="711" spans="1:33" s="612" customFormat="1" hidden="1" outlineLevel="3" x14ac:dyDescent="0.2">
      <c r="A711" s="606"/>
      <c r="B711" s="606"/>
      <c r="C711" s="607"/>
      <c r="D711" s="608"/>
      <c r="E711" s="608"/>
      <c r="F711" s="608"/>
      <c r="G711" s="608"/>
      <c r="H711" s="609"/>
      <c r="I711" s="610"/>
      <c r="J711" s="610"/>
      <c r="K711" s="610"/>
      <c r="L711" s="610"/>
      <c r="M711" s="610"/>
      <c r="N711" s="610"/>
      <c r="O711" s="610"/>
      <c r="P711" s="610"/>
      <c r="Q711" s="610"/>
      <c r="R711" s="610"/>
      <c r="S711" s="610"/>
      <c r="T711" s="610"/>
      <c r="U711" s="610"/>
      <c r="V711" s="610"/>
      <c r="W711" s="610"/>
      <c r="X711" s="610"/>
      <c r="Y711" s="610"/>
      <c r="Z711" s="610"/>
      <c r="AA711" s="610"/>
      <c r="AB711" s="610"/>
      <c r="AC711" s="611"/>
      <c r="AD711" s="606"/>
      <c r="AE711" s="606"/>
      <c r="AF711" s="606"/>
      <c r="AG711" s="606"/>
    </row>
    <row r="712" spans="1:33" s="612" customFormat="1" hidden="1" outlineLevel="3" x14ac:dyDescent="0.2">
      <c r="A712" s="606"/>
      <c r="B712" s="606"/>
      <c r="C712" s="607"/>
      <c r="D712" s="608"/>
      <c r="E712" s="608"/>
      <c r="F712" s="608"/>
      <c r="G712" s="608"/>
      <c r="H712" s="609"/>
      <c r="I712" s="610"/>
      <c r="J712" s="610"/>
      <c r="K712" s="610"/>
      <c r="L712" s="610"/>
      <c r="M712" s="610"/>
      <c r="N712" s="610"/>
      <c r="O712" s="610"/>
      <c r="P712" s="610"/>
      <c r="Q712" s="610"/>
      <c r="R712" s="610"/>
      <c r="S712" s="610"/>
      <c r="T712" s="610"/>
      <c r="U712" s="610"/>
      <c r="V712" s="610"/>
      <c r="W712" s="610"/>
      <c r="X712" s="610"/>
      <c r="Y712" s="610"/>
      <c r="Z712" s="610"/>
      <c r="AA712" s="610"/>
      <c r="AB712" s="610"/>
      <c r="AC712" s="611"/>
      <c r="AD712" s="606"/>
      <c r="AE712" s="606"/>
      <c r="AF712" s="606"/>
      <c r="AG712" s="606"/>
    </row>
    <row r="713" spans="1:33" s="612" customFormat="1" hidden="1" outlineLevel="3" x14ac:dyDescent="0.2">
      <c r="A713" s="606"/>
      <c r="B713" s="606"/>
      <c r="C713" s="607"/>
      <c r="D713" s="608"/>
      <c r="E713" s="608"/>
      <c r="F713" s="608"/>
      <c r="G713" s="608"/>
      <c r="H713" s="609"/>
      <c r="I713" s="610"/>
      <c r="J713" s="610"/>
      <c r="K713" s="610"/>
      <c r="L713" s="610"/>
      <c r="M713" s="610"/>
      <c r="N713" s="610"/>
      <c r="O713" s="610"/>
      <c r="P713" s="610"/>
      <c r="Q713" s="610"/>
      <c r="R713" s="610"/>
      <c r="S713" s="610"/>
      <c r="T713" s="610"/>
      <c r="U713" s="610"/>
      <c r="V713" s="610"/>
      <c r="W713" s="610"/>
      <c r="X713" s="610"/>
      <c r="Y713" s="610"/>
      <c r="Z713" s="610"/>
      <c r="AA713" s="610"/>
      <c r="AB713" s="610"/>
      <c r="AC713" s="611"/>
      <c r="AD713" s="606"/>
      <c r="AE713" s="606"/>
      <c r="AF713" s="606"/>
      <c r="AG713" s="606"/>
    </row>
    <row r="714" spans="1:33" s="612" customFormat="1" hidden="1" outlineLevel="3" x14ac:dyDescent="0.2">
      <c r="A714" s="606"/>
      <c r="B714" s="606"/>
      <c r="C714" s="607"/>
      <c r="D714" s="608"/>
      <c r="E714" s="608"/>
      <c r="F714" s="608"/>
      <c r="G714" s="608"/>
      <c r="H714" s="609"/>
      <c r="I714" s="610"/>
      <c r="J714" s="610"/>
      <c r="K714" s="610"/>
      <c r="L714" s="610"/>
      <c r="M714" s="610"/>
      <c r="N714" s="610"/>
      <c r="O714" s="610"/>
      <c r="P714" s="610"/>
      <c r="Q714" s="610"/>
      <c r="R714" s="610"/>
      <c r="S714" s="610"/>
      <c r="T714" s="610"/>
      <c r="U714" s="610"/>
      <c r="V714" s="610"/>
      <c r="W714" s="610"/>
      <c r="X714" s="610"/>
      <c r="Y714" s="610"/>
      <c r="Z714" s="610"/>
      <c r="AA714" s="610"/>
      <c r="AB714" s="610"/>
      <c r="AC714" s="611"/>
      <c r="AD714" s="606"/>
      <c r="AE714" s="606"/>
      <c r="AF714" s="606"/>
      <c r="AG714" s="606"/>
    </row>
    <row r="715" spans="1:33" s="612" customFormat="1" hidden="1" outlineLevel="3" x14ac:dyDescent="0.2">
      <c r="A715" s="606"/>
      <c r="B715" s="606"/>
      <c r="C715" s="607"/>
      <c r="D715" s="608"/>
      <c r="E715" s="608"/>
      <c r="F715" s="608"/>
      <c r="G715" s="608"/>
      <c r="H715" s="609"/>
      <c r="I715" s="610"/>
      <c r="J715" s="610"/>
      <c r="K715" s="610"/>
      <c r="L715" s="610"/>
      <c r="M715" s="610"/>
      <c r="N715" s="610"/>
      <c r="O715" s="610"/>
      <c r="P715" s="610"/>
      <c r="Q715" s="610"/>
      <c r="R715" s="610"/>
      <c r="S715" s="610"/>
      <c r="T715" s="610"/>
      <c r="U715" s="610"/>
      <c r="V715" s="610"/>
      <c r="W715" s="610"/>
      <c r="X715" s="610"/>
      <c r="Y715" s="610"/>
      <c r="Z715" s="610"/>
      <c r="AA715" s="610"/>
      <c r="AB715" s="610"/>
      <c r="AC715" s="611"/>
      <c r="AD715" s="606"/>
      <c r="AE715" s="606"/>
      <c r="AF715" s="606"/>
      <c r="AG715" s="606"/>
    </row>
    <row r="716" spans="1:33" s="612" customFormat="1" hidden="1" outlineLevel="3" x14ac:dyDescent="0.2">
      <c r="A716" s="606"/>
      <c r="B716" s="606"/>
      <c r="C716" s="607"/>
      <c r="D716" s="608"/>
      <c r="E716" s="608"/>
      <c r="F716" s="608"/>
      <c r="G716" s="608"/>
      <c r="H716" s="609"/>
      <c r="I716" s="610"/>
      <c r="J716" s="610"/>
      <c r="K716" s="610"/>
      <c r="L716" s="610"/>
      <c r="M716" s="610"/>
      <c r="N716" s="610"/>
      <c r="O716" s="610"/>
      <c r="P716" s="610"/>
      <c r="Q716" s="610"/>
      <c r="R716" s="610"/>
      <c r="S716" s="610"/>
      <c r="T716" s="610"/>
      <c r="U716" s="610"/>
      <c r="V716" s="610"/>
      <c r="W716" s="610"/>
      <c r="X716" s="610"/>
      <c r="Y716" s="610"/>
      <c r="Z716" s="610"/>
      <c r="AA716" s="610"/>
      <c r="AB716" s="610"/>
      <c r="AC716" s="611"/>
      <c r="AD716" s="606"/>
      <c r="AE716" s="606"/>
      <c r="AF716" s="606"/>
      <c r="AG716" s="606"/>
    </row>
    <row r="717" spans="1:33" s="612" customFormat="1" hidden="1" outlineLevel="3" x14ac:dyDescent="0.2">
      <c r="A717" s="606"/>
      <c r="B717" s="606"/>
      <c r="C717" s="607"/>
      <c r="D717" s="608"/>
      <c r="E717" s="608"/>
      <c r="F717" s="608"/>
      <c r="G717" s="608"/>
      <c r="H717" s="609"/>
      <c r="I717" s="610"/>
      <c r="J717" s="610"/>
      <c r="K717" s="610"/>
      <c r="L717" s="610"/>
      <c r="M717" s="610"/>
      <c r="N717" s="610"/>
      <c r="O717" s="610"/>
      <c r="P717" s="610"/>
      <c r="Q717" s="610"/>
      <c r="R717" s="610"/>
      <c r="S717" s="610"/>
      <c r="T717" s="610"/>
      <c r="U717" s="610"/>
      <c r="V717" s="610"/>
      <c r="W717" s="610"/>
      <c r="X717" s="610"/>
      <c r="Y717" s="610"/>
      <c r="Z717" s="610"/>
      <c r="AA717" s="610"/>
      <c r="AB717" s="610"/>
      <c r="AC717" s="611"/>
      <c r="AD717" s="606"/>
      <c r="AE717" s="606"/>
      <c r="AF717" s="606"/>
      <c r="AG717" s="606"/>
    </row>
    <row r="718" spans="1:33" s="612" customFormat="1" hidden="1" outlineLevel="3" x14ac:dyDescent="0.2">
      <c r="A718" s="606"/>
      <c r="B718" s="606"/>
      <c r="C718" s="607"/>
      <c r="D718" s="608"/>
      <c r="E718" s="608"/>
      <c r="F718" s="608"/>
      <c r="G718" s="608"/>
      <c r="H718" s="609"/>
      <c r="I718" s="610"/>
      <c r="J718" s="610"/>
      <c r="K718" s="610"/>
      <c r="L718" s="610"/>
      <c r="M718" s="610"/>
      <c r="N718" s="610"/>
      <c r="O718" s="610"/>
      <c r="P718" s="610"/>
      <c r="Q718" s="610"/>
      <c r="R718" s="610"/>
      <c r="S718" s="610"/>
      <c r="T718" s="610"/>
      <c r="U718" s="610"/>
      <c r="V718" s="610"/>
      <c r="W718" s="610"/>
      <c r="X718" s="610"/>
      <c r="Y718" s="610"/>
      <c r="Z718" s="610"/>
      <c r="AA718" s="610"/>
      <c r="AB718" s="610"/>
      <c r="AC718" s="611"/>
      <c r="AD718" s="606"/>
      <c r="AE718" s="606"/>
      <c r="AF718" s="606"/>
      <c r="AG718" s="606"/>
    </row>
    <row r="719" spans="1:33" s="612" customFormat="1" hidden="1" outlineLevel="3" x14ac:dyDescent="0.2">
      <c r="A719" s="606"/>
      <c r="B719" s="606"/>
      <c r="C719" s="607"/>
      <c r="D719" s="608"/>
      <c r="E719" s="608"/>
      <c r="F719" s="608"/>
      <c r="G719" s="608"/>
      <c r="H719" s="609"/>
      <c r="I719" s="610"/>
      <c r="J719" s="610"/>
      <c r="K719" s="610"/>
      <c r="L719" s="610"/>
      <c r="M719" s="610"/>
      <c r="N719" s="610"/>
      <c r="O719" s="610"/>
      <c r="P719" s="610"/>
      <c r="Q719" s="610"/>
      <c r="R719" s="610"/>
      <c r="S719" s="610"/>
      <c r="T719" s="610"/>
      <c r="U719" s="610"/>
      <c r="V719" s="610"/>
      <c r="W719" s="610"/>
      <c r="X719" s="610"/>
      <c r="Y719" s="610"/>
      <c r="Z719" s="610"/>
      <c r="AA719" s="610"/>
      <c r="AB719" s="610"/>
      <c r="AC719" s="611"/>
      <c r="AD719" s="606"/>
      <c r="AE719" s="606"/>
      <c r="AF719" s="606"/>
      <c r="AG719" s="606"/>
    </row>
    <row r="720" spans="1:33" s="612" customFormat="1" hidden="1" outlineLevel="3" x14ac:dyDescent="0.2">
      <c r="A720" s="606"/>
      <c r="B720" s="606"/>
      <c r="C720" s="607"/>
      <c r="D720" s="608"/>
      <c r="E720" s="608"/>
      <c r="F720" s="608"/>
      <c r="G720" s="608"/>
      <c r="H720" s="609"/>
      <c r="I720" s="610"/>
      <c r="J720" s="610"/>
      <c r="K720" s="610"/>
      <c r="L720" s="610"/>
      <c r="M720" s="610"/>
      <c r="N720" s="610"/>
      <c r="O720" s="610"/>
      <c r="P720" s="610"/>
      <c r="Q720" s="610"/>
      <c r="R720" s="610"/>
      <c r="S720" s="610"/>
      <c r="T720" s="610"/>
      <c r="U720" s="610"/>
      <c r="V720" s="610"/>
      <c r="W720" s="610"/>
      <c r="X720" s="610"/>
      <c r="Y720" s="610"/>
      <c r="Z720" s="610"/>
      <c r="AA720" s="610"/>
      <c r="AB720" s="610"/>
      <c r="AC720" s="611"/>
      <c r="AD720" s="606"/>
      <c r="AE720" s="606"/>
      <c r="AF720" s="606"/>
      <c r="AG720" s="606"/>
    </row>
    <row r="721" spans="1:33" s="612" customFormat="1" hidden="1" outlineLevel="3" x14ac:dyDescent="0.2">
      <c r="A721" s="606"/>
      <c r="B721" s="606"/>
      <c r="C721" s="607"/>
      <c r="D721" s="608"/>
      <c r="E721" s="608"/>
      <c r="F721" s="608"/>
      <c r="G721" s="608"/>
      <c r="H721" s="609"/>
      <c r="I721" s="610"/>
      <c r="J721" s="610"/>
      <c r="K721" s="610"/>
      <c r="L721" s="610"/>
      <c r="M721" s="610"/>
      <c r="N721" s="610"/>
      <c r="O721" s="610"/>
      <c r="P721" s="610"/>
      <c r="Q721" s="610"/>
      <c r="R721" s="610"/>
      <c r="S721" s="610"/>
      <c r="T721" s="610"/>
      <c r="U721" s="610"/>
      <c r="V721" s="610"/>
      <c r="W721" s="610"/>
      <c r="X721" s="610"/>
      <c r="Y721" s="610"/>
      <c r="Z721" s="610"/>
      <c r="AA721" s="610"/>
      <c r="AB721" s="610"/>
      <c r="AC721" s="611"/>
      <c r="AD721" s="606"/>
      <c r="AE721" s="606"/>
      <c r="AF721" s="606"/>
      <c r="AG721" s="606"/>
    </row>
    <row r="722" spans="1:33" s="612" customFormat="1" hidden="1" outlineLevel="3" x14ac:dyDescent="0.2">
      <c r="A722" s="606"/>
      <c r="B722" s="606"/>
      <c r="C722" s="607"/>
      <c r="D722" s="608"/>
      <c r="E722" s="608"/>
      <c r="F722" s="608"/>
      <c r="G722" s="608"/>
      <c r="H722" s="609"/>
      <c r="I722" s="610"/>
      <c r="J722" s="610"/>
      <c r="K722" s="610"/>
      <c r="L722" s="610"/>
      <c r="M722" s="610"/>
      <c r="N722" s="610"/>
      <c r="O722" s="610"/>
      <c r="P722" s="610"/>
      <c r="Q722" s="610"/>
      <c r="R722" s="610"/>
      <c r="S722" s="610"/>
      <c r="T722" s="610"/>
      <c r="U722" s="610"/>
      <c r="V722" s="610"/>
      <c r="W722" s="610"/>
      <c r="X722" s="610"/>
      <c r="Y722" s="610"/>
      <c r="Z722" s="610"/>
      <c r="AA722" s="610"/>
      <c r="AB722" s="610"/>
      <c r="AC722" s="611"/>
      <c r="AD722" s="606"/>
      <c r="AE722" s="606"/>
      <c r="AF722" s="606"/>
      <c r="AG722" s="606"/>
    </row>
    <row r="723" spans="1:33" s="612" customFormat="1" hidden="1" outlineLevel="3" x14ac:dyDescent="0.2">
      <c r="A723" s="606"/>
      <c r="B723" s="606"/>
      <c r="C723" s="607"/>
      <c r="D723" s="608"/>
      <c r="E723" s="608"/>
      <c r="F723" s="608"/>
      <c r="G723" s="608"/>
      <c r="H723" s="609"/>
      <c r="I723" s="610"/>
      <c r="J723" s="610"/>
      <c r="K723" s="610"/>
      <c r="L723" s="610"/>
      <c r="M723" s="610"/>
      <c r="N723" s="610"/>
      <c r="O723" s="610"/>
      <c r="P723" s="610"/>
      <c r="Q723" s="610"/>
      <c r="R723" s="610"/>
      <c r="S723" s="610"/>
      <c r="T723" s="610"/>
      <c r="U723" s="610"/>
      <c r="V723" s="610"/>
      <c r="W723" s="610"/>
      <c r="X723" s="610"/>
      <c r="Y723" s="610"/>
      <c r="Z723" s="610"/>
      <c r="AA723" s="610"/>
      <c r="AB723" s="610"/>
      <c r="AC723" s="611"/>
      <c r="AD723" s="606"/>
      <c r="AE723" s="606"/>
      <c r="AF723" s="606"/>
      <c r="AG723" s="606"/>
    </row>
    <row r="724" spans="1:33" s="612" customFormat="1" hidden="1" outlineLevel="3" x14ac:dyDescent="0.2">
      <c r="A724" s="606"/>
      <c r="B724" s="606"/>
      <c r="C724" s="607"/>
      <c r="D724" s="608"/>
      <c r="E724" s="608"/>
      <c r="F724" s="608"/>
      <c r="G724" s="608"/>
      <c r="H724" s="609"/>
      <c r="I724" s="610"/>
      <c r="J724" s="610"/>
      <c r="K724" s="610"/>
      <c r="L724" s="610"/>
      <c r="M724" s="610"/>
      <c r="N724" s="610"/>
      <c r="O724" s="610"/>
      <c r="P724" s="610"/>
      <c r="Q724" s="610"/>
      <c r="R724" s="610"/>
      <c r="S724" s="610"/>
      <c r="T724" s="610"/>
      <c r="U724" s="610"/>
      <c r="V724" s="610"/>
      <c r="W724" s="610"/>
      <c r="X724" s="610"/>
      <c r="Y724" s="610"/>
      <c r="Z724" s="610"/>
      <c r="AA724" s="610"/>
      <c r="AB724" s="610"/>
      <c r="AC724" s="611"/>
      <c r="AD724" s="606"/>
      <c r="AE724" s="606"/>
      <c r="AF724" s="606"/>
      <c r="AG724" s="606"/>
    </row>
    <row r="725" spans="1:33" s="612" customFormat="1" hidden="1" outlineLevel="3" x14ac:dyDescent="0.2">
      <c r="A725" s="606"/>
      <c r="B725" s="606"/>
      <c r="C725" s="607"/>
      <c r="D725" s="608"/>
      <c r="E725" s="608"/>
      <c r="F725" s="608"/>
      <c r="G725" s="608"/>
      <c r="H725" s="609"/>
      <c r="I725" s="610"/>
      <c r="J725" s="610"/>
      <c r="K725" s="610"/>
      <c r="L725" s="610"/>
      <c r="M725" s="610"/>
      <c r="N725" s="610"/>
      <c r="O725" s="610"/>
      <c r="P725" s="610"/>
      <c r="Q725" s="610"/>
      <c r="R725" s="610"/>
      <c r="S725" s="610"/>
      <c r="T725" s="610"/>
      <c r="U725" s="610"/>
      <c r="V725" s="610"/>
      <c r="W725" s="610"/>
      <c r="X725" s="610"/>
      <c r="Y725" s="610"/>
      <c r="Z725" s="610"/>
      <c r="AA725" s="610"/>
      <c r="AB725" s="610"/>
      <c r="AC725" s="611"/>
      <c r="AD725" s="606"/>
      <c r="AE725" s="606"/>
      <c r="AF725" s="606"/>
      <c r="AG725" s="606"/>
    </row>
    <row r="726" spans="1:33" s="612" customFormat="1" hidden="1" outlineLevel="3" x14ac:dyDescent="0.2">
      <c r="A726" s="606"/>
      <c r="B726" s="606"/>
      <c r="C726" s="607"/>
      <c r="D726" s="608"/>
      <c r="E726" s="608"/>
      <c r="F726" s="608"/>
      <c r="G726" s="608"/>
      <c r="H726" s="609"/>
      <c r="I726" s="610"/>
      <c r="J726" s="610"/>
      <c r="K726" s="610"/>
      <c r="L726" s="610"/>
      <c r="M726" s="610"/>
      <c r="N726" s="610"/>
      <c r="O726" s="610"/>
      <c r="P726" s="610"/>
      <c r="Q726" s="610"/>
      <c r="R726" s="610"/>
      <c r="S726" s="610"/>
      <c r="T726" s="610"/>
      <c r="U726" s="610"/>
      <c r="V726" s="610"/>
      <c r="W726" s="610"/>
      <c r="X726" s="610"/>
      <c r="Y726" s="610"/>
      <c r="Z726" s="610"/>
      <c r="AA726" s="610"/>
      <c r="AB726" s="610"/>
      <c r="AC726" s="611"/>
      <c r="AD726" s="606"/>
      <c r="AE726" s="606"/>
      <c r="AF726" s="606"/>
      <c r="AG726" s="606"/>
    </row>
    <row r="727" spans="1:33" s="612" customFormat="1" hidden="1" outlineLevel="3" x14ac:dyDescent="0.2">
      <c r="A727" s="606"/>
      <c r="B727" s="606"/>
      <c r="C727" s="607"/>
      <c r="D727" s="608"/>
      <c r="E727" s="608"/>
      <c r="F727" s="608"/>
      <c r="G727" s="608"/>
      <c r="H727" s="609"/>
      <c r="I727" s="610"/>
      <c r="J727" s="610"/>
      <c r="K727" s="610"/>
      <c r="L727" s="610"/>
      <c r="M727" s="610"/>
      <c r="N727" s="610"/>
      <c r="O727" s="610"/>
      <c r="P727" s="610"/>
      <c r="Q727" s="610"/>
      <c r="R727" s="610"/>
      <c r="S727" s="610"/>
      <c r="T727" s="610"/>
      <c r="U727" s="610"/>
      <c r="V727" s="610"/>
      <c r="W727" s="610"/>
      <c r="X727" s="610"/>
      <c r="Y727" s="610"/>
      <c r="Z727" s="610"/>
      <c r="AA727" s="610"/>
      <c r="AB727" s="610"/>
      <c r="AC727" s="611"/>
      <c r="AD727" s="606"/>
      <c r="AE727" s="606"/>
      <c r="AF727" s="606"/>
      <c r="AG727" s="606"/>
    </row>
    <row r="728" spans="1:33" s="612" customFormat="1" hidden="1" outlineLevel="3" x14ac:dyDescent="0.2">
      <c r="A728" s="606"/>
      <c r="B728" s="606"/>
      <c r="C728" s="607"/>
      <c r="D728" s="608"/>
      <c r="E728" s="608"/>
      <c r="F728" s="608"/>
      <c r="G728" s="608"/>
      <c r="H728" s="609"/>
      <c r="I728" s="610"/>
      <c r="J728" s="610"/>
      <c r="K728" s="610"/>
      <c r="L728" s="610"/>
      <c r="M728" s="610"/>
      <c r="N728" s="610"/>
      <c r="O728" s="610"/>
      <c r="P728" s="610"/>
      <c r="Q728" s="610"/>
      <c r="R728" s="610"/>
      <c r="S728" s="610"/>
      <c r="T728" s="610"/>
      <c r="U728" s="610"/>
      <c r="V728" s="610"/>
      <c r="W728" s="610"/>
      <c r="X728" s="610"/>
      <c r="Y728" s="610"/>
      <c r="Z728" s="610"/>
      <c r="AA728" s="610"/>
      <c r="AB728" s="610"/>
      <c r="AC728" s="611"/>
      <c r="AD728" s="606"/>
      <c r="AE728" s="606"/>
      <c r="AF728" s="606"/>
      <c r="AG728" s="606"/>
    </row>
    <row r="729" spans="1:33" s="612" customFormat="1" hidden="1" outlineLevel="3" x14ac:dyDescent="0.2">
      <c r="A729" s="606"/>
      <c r="B729" s="606"/>
      <c r="C729" s="607"/>
      <c r="D729" s="608"/>
      <c r="E729" s="608"/>
      <c r="F729" s="608"/>
      <c r="G729" s="608"/>
      <c r="H729" s="609"/>
      <c r="I729" s="610"/>
      <c r="J729" s="610"/>
      <c r="K729" s="610"/>
      <c r="L729" s="610"/>
      <c r="M729" s="610"/>
      <c r="N729" s="610"/>
      <c r="O729" s="610"/>
      <c r="P729" s="610"/>
      <c r="Q729" s="610"/>
      <c r="R729" s="610"/>
      <c r="S729" s="610"/>
      <c r="T729" s="610"/>
      <c r="U729" s="610"/>
      <c r="V729" s="610"/>
      <c r="W729" s="610"/>
      <c r="X729" s="610"/>
      <c r="Y729" s="610"/>
      <c r="Z729" s="610"/>
      <c r="AA729" s="610"/>
      <c r="AB729" s="610"/>
      <c r="AC729" s="611"/>
      <c r="AD729" s="606"/>
      <c r="AE729" s="606"/>
      <c r="AF729" s="606"/>
      <c r="AG729" s="606"/>
    </row>
    <row r="730" spans="1:33" s="612" customFormat="1" hidden="1" outlineLevel="3" x14ac:dyDescent="0.2">
      <c r="A730" s="606"/>
      <c r="B730" s="606"/>
      <c r="C730" s="607"/>
      <c r="D730" s="608"/>
      <c r="E730" s="608"/>
      <c r="F730" s="608"/>
      <c r="G730" s="608"/>
      <c r="H730" s="609"/>
      <c r="I730" s="610"/>
      <c r="J730" s="610"/>
      <c r="K730" s="610"/>
      <c r="L730" s="610"/>
      <c r="M730" s="610"/>
      <c r="N730" s="610"/>
      <c r="O730" s="610"/>
      <c r="P730" s="610"/>
      <c r="Q730" s="610"/>
      <c r="R730" s="610"/>
      <c r="S730" s="610"/>
      <c r="T730" s="610"/>
      <c r="U730" s="610"/>
      <c r="V730" s="610"/>
      <c r="W730" s="610"/>
      <c r="X730" s="610"/>
      <c r="Y730" s="610"/>
      <c r="Z730" s="610"/>
      <c r="AA730" s="610"/>
      <c r="AB730" s="610"/>
      <c r="AC730" s="611"/>
      <c r="AD730" s="606"/>
      <c r="AE730" s="606"/>
      <c r="AF730" s="606"/>
      <c r="AG730" s="606"/>
    </row>
    <row r="731" spans="1:33" s="612" customFormat="1" hidden="1" outlineLevel="3" x14ac:dyDescent="0.2">
      <c r="A731" s="606"/>
      <c r="B731" s="606"/>
      <c r="C731" s="607"/>
      <c r="D731" s="608"/>
      <c r="E731" s="608"/>
      <c r="F731" s="608"/>
      <c r="G731" s="608"/>
      <c r="H731" s="609"/>
      <c r="I731" s="610"/>
      <c r="J731" s="610"/>
      <c r="K731" s="610"/>
      <c r="L731" s="610"/>
      <c r="M731" s="610"/>
      <c r="N731" s="610"/>
      <c r="O731" s="610"/>
      <c r="P731" s="610"/>
      <c r="Q731" s="610"/>
      <c r="R731" s="610"/>
      <c r="S731" s="610"/>
      <c r="T731" s="610"/>
      <c r="U731" s="610"/>
      <c r="V731" s="610"/>
      <c r="W731" s="610"/>
      <c r="X731" s="610"/>
      <c r="Y731" s="610"/>
      <c r="Z731" s="610"/>
      <c r="AA731" s="610"/>
      <c r="AB731" s="610"/>
      <c r="AC731" s="611"/>
      <c r="AD731" s="606"/>
      <c r="AE731" s="606"/>
      <c r="AF731" s="606"/>
      <c r="AG731" s="606"/>
    </row>
    <row r="732" spans="1:33" s="612" customFormat="1" hidden="1" outlineLevel="3" x14ac:dyDescent="0.2">
      <c r="A732" s="606"/>
      <c r="B732" s="606"/>
      <c r="C732" s="607"/>
      <c r="D732" s="608"/>
      <c r="E732" s="608"/>
      <c r="F732" s="608"/>
      <c r="G732" s="608"/>
      <c r="H732" s="609"/>
      <c r="I732" s="610"/>
      <c r="J732" s="610"/>
      <c r="K732" s="610"/>
      <c r="L732" s="610"/>
      <c r="M732" s="610"/>
      <c r="N732" s="610"/>
      <c r="O732" s="610"/>
      <c r="P732" s="610"/>
      <c r="Q732" s="610"/>
      <c r="R732" s="610"/>
      <c r="S732" s="610"/>
      <c r="T732" s="610"/>
      <c r="U732" s="610"/>
      <c r="V732" s="610"/>
      <c r="W732" s="610"/>
      <c r="X732" s="610"/>
      <c r="Y732" s="610"/>
      <c r="Z732" s="610"/>
      <c r="AA732" s="610"/>
      <c r="AB732" s="610"/>
      <c r="AC732" s="611"/>
      <c r="AD732" s="606"/>
      <c r="AE732" s="606"/>
      <c r="AF732" s="606"/>
      <c r="AG732" s="606"/>
    </row>
    <row r="733" spans="1:33" s="612" customFormat="1" hidden="1" outlineLevel="3" x14ac:dyDescent="0.2">
      <c r="A733" s="606"/>
      <c r="B733" s="606"/>
      <c r="C733" s="607"/>
      <c r="D733" s="608"/>
      <c r="E733" s="608"/>
      <c r="F733" s="608"/>
      <c r="G733" s="608"/>
      <c r="H733" s="609"/>
      <c r="I733" s="610"/>
      <c r="J733" s="610"/>
      <c r="K733" s="610"/>
      <c r="L733" s="610"/>
      <c r="M733" s="610"/>
      <c r="N733" s="610"/>
      <c r="O733" s="610"/>
      <c r="P733" s="610"/>
      <c r="Q733" s="610"/>
      <c r="R733" s="610"/>
      <c r="S733" s="610"/>
      <c r="T733" s="610"/>
      <c r="U733" s="610"/>
      <c r="V733" s="610"/>
      <c r="W733" s="610"/>
      <c r="X733" s="610"/>
      <c r="Y733" s="610"/>
      <c r="Z733" s="610"/>
      <c r="AA733" s="610"/>
      <c r="AB733" s="610"/>
      <c r="AC733" s="611"/>
      <c r="AD733" s="606"/>
      <c r="AE733" s="606"/>
      <c r="AF733" s="606"/>
      <c r="AG733" s="606"/>
    </row>
    <row r="734" spans="1:33" s="612" customFormat="1" hidden="1" outlineLevel="3" x14ac:dyDescent="0.2">
      <c r="A734" s="606"/>
      <c r="B734" s="606"/>
      <c r="C734" s="607"/>
      <c r="D734" s="608"/>
      <c r="E734" s="608"/>
      <c r="F734" s="608"/>
      <c r="G734" s="608"/>
      <c r="H734" s="609"/>
      <c r="I734" s="610"/>
      <c r="J734" s="610"/>
      <c r="K734" s="610"/>
      <c r="L734" s="610"/>
      <c r="M734" s="610"/>
      <c r="N734" s="610"/>
      <c r="O734" s="610"/>
      <c r="P734" s="610"/>
      <c r="Q734" s="610"/>
      <c r="R734" s="610"/>
      <c r="S734" s="610"/>
      <c r="T734" s="610"/>
      <c r="U734" s="610"/>
      <c r="V734" s="610"/>
      <c r="W734" s="610"/>
      <c r="X734" s="610"/>
      <c r="Y734" s="610"/>
      <c r="Z734" s="610"/>
      <c r="AA734" s="610"/>
      <c r="AB734" s="610"/>
      <c r="AC734" s="611"/>
      <c r="AD734" s="606"/>
      <c r="AE734" s="606"/>
      <c r="AF734" s="606"/>
      <c r="AG734" s="606"/>
    </row>
    <row r="735" spans="1:33" s="612" customFormat="1" hidden="1" outlineLevel="3" x14ac:dyDescent="0.2">
      <c r="A735" s="606"/>
      <c r="B735" s="606"/>
      <c r="C735" s="607"/>
      <c r="D735" s="608"/>
      <c r="E735" s="608"/>
      <c r="F735" s="608"/>
      <c r="G735" s="608"/>
      <c r="H735" s="609"/>
      <c r="I735" s="610"/>
      <c r="J735" s="610"/>
      <c r="K735" s="610"/>
      <c r="L735" s="610"/>
      <c r="M735" s="610"/>
      <c r="N735" s="610"/>
      <c r="O735" s="610"/>
      <c r="P735" s="610"/>
      <c r="Q735" s="610"/>
      <c r="R735" s="610"/>
      <c r="S735" s="610"/>
      <c r="T735" s="610"/>
      <c r="U735" s="610"/>
      <c r="V735" s="610"/>
      <c r="W735" s="610"/>
      <c r="X735" s="610"/>
      <c r="Y735" s="610"/>
      <c r="Z735" s="610"/>
      <c r="AA735" s="610"/>
      <c r="AB735" s="610"/>
      <c r="AC735" s="611"/>
      <c r="AD735" s="606"/>
      <c r="AE735" s="606"/>
      <c r="AF735" s="606"/>
      <c r="AG735" s="606"/>
    </row>
    <row r="736" spans="1:33" s="612" customFormat="1" hidden="1" outlineLevel="3" x14ac:dyDescent="0.2">
      <c r="A736" s="606"/>
      <c r="B736" s="606"/>
      <c r="C736" s="607"/>
      <c r="D736" s="608"/>
      <c r="E736" s="608"/>
      <c r="F736" s="608"/>
      <c r="G736" s="608"/>
      <c r="H736" s="609"/>
      <c r="I736" s="610"/>
      <c r="J736" s="610"/>
      <c r="K736" s="610"/>
      <c r="L736" s="610"/>
      <c r="M736" s="610"/>
      <c r="N736" s="610"/>
      <c r="O736" s="610"/>
      <c r="P736" s="610"/>
      <c r="Q736" s="610"/>
      <c r="R736" s="610"/>
      <c r="S736" s="610"/>
      <c r="T736" s="610"/>
      <c r="U736" s="610"/>
      <c r="V736" s="610"/>
      <c r="W736" s="610"/>
      <c r="X736" s="610"/>
      <c r="Y736" s="610"/>
      <c r="Z736" s="610"/>
      <c r="AA736" s="610"/>
      <c r="AB736" s="610"/>
      <c r="AC736" s="611"/>
      <c r="AD736" s="606"/>
      <c r="AE736" s="606"/>
      <c r="AF736" s="606"/>
      <c r="AG736" s="606"/>
    </row>
    <row r="737" spans="1:33" s="612" customFormat="1" hidden="1" outlineLevel="3" x14ac:dyDescent="0.2">
      <c r="A737" s="606"/>
      <c r="B737" s="606"/>
      <c r="C737" s="607"/>
      <c r="D737" s="608"/>
      <c r="E737" s="608"/>
      <c r="F737" s="608"/>
      <c r="G737" s="608"/>
      <c r="H737" s="609"/>
      <c r="I737" s="610"/>
      <c r="J737" s="610"/>
      <c r="K737" s="610"/>
      <c r="L737" s="610"/>
      <c r="M737" s="610"/>
      <c r="N737" s="610"/>
      <c r="O737" s="610"/>
      <c r="P737" s="610"/>
      <c r="Q737" s="610"/>
      <c r="R737" s="610"/>
      <c r="S737" s="610"/>
      <c r="T737" s="610"/>
      <c r="U737" s="610"/>
      <c r="V737" s="610"/>
      <c r="W737" s="610"/>
      <c r="X737" s="610"/>
      <c r="Y737" s="610"/>
      <c r="Z737" s="610"/>
      <c r="AA737" s="610"/>
      <c r="AB737" s="610"/>
      <c r="AC737" s="611"/>
      <c r="AD737" s="606"/>
      <c r="AE737" s="606"/>
      <c r="AF737" s="606"/>
      <c r="AG737" s="606"/>
    </row>
    <row r="738" spans="1:33" s="612" customFormat="1" hidden="1" outlineLevel="3" x14ac:dyDescent="0.2">
      <c r="A738" s="606"/>
      <c r="B738" s="606"/>
      <c r="C738" s="607"/>
      <c r="D738" s="608"/>
      <c r="E738" s="608"/>
      <c r="F738" s="608"/>
      <c r="G738" s="608"/>
      <c r="H738" s="609"/>
      <c r="I738" s="610"/>
      <c r="J738" s="610"/>
      <c r="K738" s="610"/>
      <c r="L738" s="610"/>
      <c r="M738" s="610"/>
      <c r="N738" s="610"/>
      <c r="O738" s="610"/>
      <c r="P738" s="610"/>
      <c r="Q738" s="610"/>
      <c r="R738" s="610"/>
      <c r="S738" s="610"/>
      <c r="T738" s="610"/>
      <c r="U738" s="610"/>
      <c r="V738" s="610"/>
      <c r="W738" s="610"/>
      <c r="X738" s="610"/>
      <c r="Y738" s="610"/>
      <c r="Z738" s="610"/>
      <c r="AA738" s="610"/>
      <c r="AB738" s="610"/>
      <c r="AC738" s="611"/>
      <c r="AD738" s="606"/>
      <c r="AE738" s="606"/>
      <c r="AF738" s="606"/>
      <c r="AG738" s="606"/>
    </row>
    <row r="739" spans="1:33" s="612" customFormat="1" hidden="1" outlineLevel="3" x14ac:dyDescent="0.2">
      <c r="A739" s="606"/>
      <c r="B739" s="606"/>
      <c r="C739" s="607"/>
      <c r="D739" s="608"/>
      <c r="E739" s="608"/>
      <c r="F739" s="608"/>
      <c r="G739" s="608"/>
      <c r="H739" s="609"/>
      <c r="I739" s="610"/>
      <c r="J739" s="610"/>
      <c r="K739" s="610"/>
      <c r="L739" s="610"/>
      <c r="M739" s="610"/>
      <c r="N739" s="610"/>
      <c r="O739" s="610"/>
      <c r="P739" s="610"/>
      <c r="Q739" s="610"/>
      <c r="R739" s="610"/>
      <c r="S739" s="610"/>
      <c r="T739" s="610"/>
      <c r="U739" s="610"/>
      <c r="V739" s="610"/>
      <c r="W739" s="610"/>
      <c r="X739" s="610"/>
      <c r="Y739" s="610"/>
      <c r="Z739" s="610"/>
      <c r="AA739" s="610"/>
      <c r="AB739" s="610"/>
      <c r="AC739" s="611"/>
      <c r="AD739" s="606"/>
      <c r="AE739" s="606"/>
      <c r="AF739" s="606"/>
      <c r="AG739" s="606"/>
    </row>
    <row r="740" spans="1:33" s="612" customFormat="1" hidden="1" outlineLevel="3" x14ac:dyDescent="0.2">
      <c r="A740" s="606"/>
      <c r="B740" s="606"/>
      <c r="C740" s="607"/>
      <c r="D740" s="608"/>
      <c r="E740" s="608"/>
      <c r="F740" s="608"/>
      <c r="G740" s="608"/>
      <c r="H740" s="609"/>
      <c r="I740" s="610"/>
      <c r="J740" s="610"/>
      <c r="K740" s="610"/>
      <c r="L740" s="610"/>
      <c r="M740" s="610"/>
      <c r="N740" s="610"/>
      <c r="O740" s="610"/>
      <c r="P740" s="610"/>
      <c r="Q740" s="610"/>
      <c r="R740" s="610"/>
      <c r="S740" s="610"/>
      <c r="T740" s="610"/>
      <c r="U740" s="610"/>
      <c r="V740" s="610"/>
      <c r="W740" s="610"/>
      <c r="X740" s="610"/>
      <c r="Y740" s="610"/>
      <c r="Z740" s="610"/>
      <c r="AA740" s="610"/>
      <c r="AB740" s="610"/>
      <c r="AC740" s="611"/>
      <c r="AD740" s="606"/>
      <c r="AE740" s="606"/>
      <c r="AF740" s="606"/>
      <c r="AG740" s="606"/>
    </row>
    <row r="741" spans="1:33" s="612" customFormat="1" hidden="1" outlineLevel="3" x14ac:dyDescent="0.2">
      <c r="A741" s="606"/>
      <c r="B741" s="606"/>
      <c r="C741" s="607"/>
      <c r="D741" s="608"/>
      <c r="E741" s="608"/>
      <c r="F741" s="608"/>
      <c r="G741" s="608"/>
      <c r="H741" s="609"/>
      <c r="I741" s="610"/>
      <c r="J741" s="610"/>
      <c r="K741" s="610"/>
      <c r="L741" s="610"/>
      <c r="M741" s="610"/>
      <c r="N741" s="610"/>
      <c r="O741" s="610"/>
      <c r="P741" s="610"/>
      <c r="Q741" s="610"/>
      <c r="R741" s="610"/>
      <c r="S741" s="610"/>
      <c r="T741" s="610"/>
      <c r="U741" s="610"/>
      <c r="V741" s="610"/>
      <c r="W741" s="610"/>
      <c r="X741" s="610"/>
      <c r="Y741" s="610"/>
      <c r="Z741" s="610"/>
      <c r="AA741" s="610"/>
      <c r="AB741" s="610"/>
      <c r="AC741" s="611"/>
      <c r="AD741" s="606"/>
      <c r="AE741" s="606"/>
      <c r="AF741" s="606"/>
      <c r="AG741" s="606"/>
    </row>
    <row r="742" spans="1:33" s="612" customFormat="1" hidden="1" outlineLevel="3" x14ac:dyDescent="0.2">
      <c r="A742" s="606"/>
      <c r="B742" s="606"/>
      <c r="C742" s="607"/>
      <c r="D742" s="608"/>
      <c r="E742" s="608"/>
      <c r="F742" s="608"/>
      <c r="G742" s="608"/>
      <c r="H742" s="609"/>
      <c r="I742" s="610"/>
      <c r="J742" s="610"/>
      <c r="K742" s="610"/>
      <c r="L742" s="610"/>
      <c r="M742" s="610"/>
      <c r="N742" s="610"/>
      <c r="O742" s="610"/>
      <c r="P742" s="610"/>
      <c r="Q742" s="610"/>
      <c r="R742" s="610"/>
      <c r="S742" s="610"/>
      <c r="T742" s="610"/>
      <c r="U742" s="610"/>
      <c r="V742" s="610"/>
      <c r="W742" s="610"/>
      <c r="X742" s="610"/>
      <c r="Y742" s="610"/>
      <c r="Z742" s="610"/>
      <c r="AA742" s="610"/>
      <c r="AB742" s="610"/>
      <c r="AC742" s="611"/>
      <c r="AD742" s="606"/>
      <c r="AE742" s="606"/>
      <c r="AF742" s="606"/>
      <c r="AG742" s="606"/>
    </row>
    <row r="743" spans="1:33" s="612" customFormat="1" hidden="1" outlineLevel="2" collapsed="1" x14ac:dyDescent="0.2">
      <c r="A743" s="606"/>
      <c r="B743" s="606"/>
      <c r="C743" s="613"/>
      <c r="D743" s="613"/>
      <c r="E743" s="609"/>
      <c r="F743" s="609"/>
      <c r="G743" s="609"/>
      <c r="H743" s="609"/>
      <c r="I743" s="614"/>
      <c r="J743" s="614"/>
      <c r="K743" s="614"/>
      <c r="L743" s="614"/>
      <c r="M743" s="614"/>
      <c r="N743" s="614"/>
      <c r="O743" s="614"/>
      <c r="P743" s="614"/>
      <c r="Q743" s="614"/>
      <c r="R743" s="614"/>
      <c r="S743" s="614"/>
      <c r="T743" s="614"/>
      <c r="U743" s="614"/>
      <c r="V743" s="614"/>
      <c r="W743" s="614"/>
      <c r="X743" s="614"/>
      <c r="Y743" s="614"/>
      <c r="Z743" s="614"/>
      <c r="AA743" s="614"/>
      <c r="AB743" s="614"/>
      <c r="AC743" s="611"/>
      <c r="AD743" s="606"/>
      <c r="AE743" s="606"/>
      <c r="AF743" s="606"/>
      <c r="AG743" s="606"/>
    </row>
    <row r="744" spans="1:33" s="612" customFormat="1" outlineLevel="1" collapsed="1" x14ac:dyDescent="0.2">
      <c r="A744" s="606"/>
      <c r="B744" s="606"/>
      <c r="C744" s="613"/>
      <c r="D744" s="609"/>
      <c r="E744" s="609"/>
      <c r="F744" s="609"/>
      <c r="G744" s="609"/>
      <c r="H744" s="609"/>
      <c r="I744" s="609"/>
      <c r="J744" s="609"/>
      <c r="K744" s="617"/>
      <c r="L744" s="617"/>
      <c r="M744" s="617"/>
      <c r="N744" s="622"/>
      <c r="O744" s="622"/>
      <c r="P744" s="622"/>
      <c r="Q744" s="622"/>
      <c r="R744" s="622"/>
      <c r="S744" s="606"/>
      <c r="T744" s="606"/>
      <c r="U744" s="606"/>
      <c r="V744" s="606"/>
      <c r="W744" s="606"/>
      <c r="X744" s="606"/>
      <c r="Y744" s="606"/>
      <c r="Z744" s="606"/>
      <c r="AA744" s="606"/>
      <c r="AB744" s="606"/>
      <c r="AC744" s="606"/>
      <c r="AD744" s="606"/>
      <c r="AE744" s="606"/>
      <c r="AF744" s="606"/>
      <c r="AG744" s="606"/>
    </row>
    <row r="745" spans="1:33" s="612" customFormat="1" x14ac:dyDescent="0.2">
      <c r="A745" s="606"/>
      <c r="B745" s="606"/>
      <c r="C745" s="623"/>
      <c r="D745" s="617"/>
      <c r="E745" s="617"/>
      <c r="F745" s="617"/>
      <c r="G745" s="618"/>
      <c r="H745" s="618"/>
      <c r="I745" s="618"/>
      <c r="J745" s="617"/>
      <c r="K745" s="617"/>
      <c r="L745" s="617"/>
      <c r="M745" s="617"/>
      <c r="N745" s="622"/>
      <c r="O745" s="622"/>
      <c r="P745" s="622"/>
      <c r="Q745" s="622"/>
      <c r="R745" s="622"/>
      <c r="S745" s="606"/>
      <c r="T745" s="606"/>
      <c r="U745" s="606"/>
      <c r="V745" s="606"/>
      <c r="W745" s="606"/>
      <c r="X745" s="606"/>
      <c r="Y745" s="606"/>
      <c r="Z745" s="606"/>
      <c r="AA745" s="606"/>
      <c r="AB745" s="606"/>
      <c r="AC745" s="606"/>
      <c r="AD745" s="606"/>
      <c r="AE745" s="606"/>
      <c r="AF745" s="606"/>
      <c r="AG745" s="606"/>
    </row>
    <row r="746" spans="1:33" ht="12.75" x14ac:dyDescent="0.2">
      <c r="A746" s="11"/>
      <c r="B746" s="12" t="s">
        <v>8</v>
      </c>
      <c r="C746" s="11"/>
      <c r="D746" s="11"/>
      <c r="E746" s="11"/>
      <c r="F746" s="11"/>
      <c r="G746" s="13"/>
      <c r="H746" s="13"/>
      <c r="I746" s="13"/>
      <c r="J746" s="13"/>
      <c r="K746" s="13"/>
      <c r="L746" s="13"/>
      <c r="M746" s="13"/>
      <c r="N746" s="14"/>
      <c r="O746" s="15"/>
      <c r="P746" s="14"/>
      <c r="Q746" s="15"/>
      <c r="R746" s="14"/>
      <c r="S746" s="14"/>
      <c r="T746" s="14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</row>
  </sheetData>
  <sheetProtection formatColumns="0" formatRows="0"/>
  <hyperlinks>
    <hyperlink ref="I1" location="'Pricing model'!A51" display="Back to Index" xr:uid="{00000000-0004-0000-0200-000000000000}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">
    <tabColor theme="7" tint="0.79998168889431442"/>
  </sheetPr>
  <dimension ref="A1:AT1226"/>
  <sheetViews>
    <sheetView showGridLines="0" topLeftCell="A1090" zoomScaleNormal="100" workbookViewId="0"/>
  </sheetViews>
  <sheetFormatPr defaultColWidth="0" defaultRowHeight="11.25" zeroHeight="1" outlineLevelRow="3" outlineLevelCol="1" x14ac:dyDescent="0.2"/>
  <cols>
    <col min="1" max="2" width="1.42578125" style="18" customWidth="1"/>
    <col min="3" max="3" width="40.5703125" style="18" customWidth="1"/>
    <col min="4" max="4" width="9.85546875" style="18" customWidth="1"/>
    <col min="5" max="5" width="8.85546875" style="18" customWidth="1"/>
    <col min="6" max="6" width="4.7109375" style="18" customWidth="1"/>
    <col min="7" max="7" width="10" style="18" customWidth="1"/>
    <col min="8" max="8" width="3.140625" style="18" customWidth="1"/>
    <col min="9" max="15" width="9.28515625" style="18" customWidth="1"/>
    <col min="16" max="17" width="9.85546875" style="18" customWidth="1"/>
    <col min="18" max="22" width="9.28515625" style="18" customWidth="1"/>
    <col min="23" max="28" width="9.28515625" style="18" hidden="1" customWidth="1" outlineLevel="1"/>
    <col min="29" max="29" width="9.28515625" style="18" customWidth="1" collapsed="1"/>
    <col min="30" max="30" width="3.28515625" style="18" customWidth="1"/>
    <col min="31" max="31" width="1.5703125" style="18" hidden="1" customWidth="1"/>
    <col min="32" max="33" width="8" style="18" hidden="1" customWidth="1"/>
    <col min="34" max="43" width="9.28515625" style="18" hidden="1" customWidth="1"/>
    <col min="44" max="45" width="0" style="18" hidden="1" customWidth="1"/>
    <col min="46" max="46" width="1.5703125" style="18" hidden="1" customWidth="1"/>
    <col min="47" max="16384" width="8" style="18" hidden="1"/>
  </cols>
  <sheetData>
    <row r="1" spans="1:33" ht="15.75" x14ac:dyDescent="0.25">
      <c r="A1" s="1"/>
      <c r="B1" s="2" t="str">
        <f>'Calculations&gt;&gt;'!B1</f>
        <v>AER pricing model - TasNetworks 2022–23</v>
      </c>
      <c r="C1" s="2"/>
      <c r="D1" s="2"/>
      <c r="E1" s="2"/>
      <c r="F1" s="2"/>
      <c r="G1" s="3"/>
      <c r="H1" s="4"/>
      <c r="I1" s="160" t="s">
        <v>0</v>
      </c>
      <c r="J1" s="111"/>
      <c r="K1" s="112"/>
      <c r="L1" s="112"/>
      <c r="M1" s="51"/>
      <c r="P1" s="111"/>
      <c r="Q1" s="113"/>
      <c r="S1" s="114"/>
      <c r="T1" s="113"/>
      <c r="U1" s="113"/>
      <c r="V1" s="3"/>
      <c r="W1" s="3"/>
      <c r="X1" s="3"/>
      <c r="Y1" s="5"/>
      <c r="Z1" s="5"/>
      <c r="AA1" s="5"/>
      <c r="AB1" s="5"/>
      <c r="AC1" s="5"/>
      <c r="AD1" s="1"/>
    </row>
    <row r="2" spans="1:33" ht="13.5" thickBot="1" x14ac:dyDescent="0.25">
      <c r="A2" s="6"/>
      <c r="B2" s="7" t="str">
        <f>'Calculations&gt;&gt;'!C14</f>
        <v>Movements</v>
      </c>
      <c r="C2" s="7"/>
      <c r="D2" s="7"/>
      <c r="E2" s="7"/>
      <c r="F2" s="7"/>
      <c r="G2" s="8"/>
      <c r="H2" s="8"/>
      <c r="I2" s="8"/>
      <c r="J2" s="8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3" x14ac:dyDescent="0.2">
      <c r="A3" s="27"/>
      <c r="B3" s="296" t="str">
        <f>'Calculations&gt;&gt;'!D14</f>
        <v>Calculates network costs and consumption profiles for each residential and small business tariff</v>
      </c>
      <c r="C3" s="27"/>
      <c r="D3" s="27"/>
      <c r="E3" s="28"/>
      <c r="F3" s="28"/>
      <c r="G3" s="28"/>
      <c r="H3" s="28"/>
      <c r="I3" s="28"/>
      <c r="J3" s="28"/>
      <c r="K3" s="29"/>
      <c r="L3" s="30"/>
      <c r="M3" s="30"/>
      <c r="N3" s="30"/>
      <c r="O3" s="30"/>
      <c r="P3" s="30"/>
      <c r="Q3" s="30"/>
      <c r="R3" s="30"/>
      <c r="S3" s="30"/>
      <c r="T3" s="30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3" x14ac:dyDescent="0.2">
      <c r="A4" s="9"/>
      <c r="B4" s="9"/>
      <c r="C4" s="9"/>
      <c r="D4" s="9"/>
      <c r="E4" s="10"/>
      <c r="F4" s="10"/>
      <c r="G4" s="10"/>
      <c r="H4" s="10"/>
      <c r="I4" s="253">
        <v>1</v>
      </c>
      <c r="J4" s="216">
        <v>2</v>
      </c>
      <c r="K4" s="216">
        <v>3</v>
      </c>
      <c r="L4" s="253">
        <v>4</v>
      </c>
      <c r="M4" s="216">
        <v>5</v>
      </c>
      <c r="N4" s="216">
        <v>6</v>
      </c>
      <c r="O4" s="253">
        <v>7</v>
      </c>
      <c r="P4" s="216">
        <v>8</v>
      </c>
      <c r="Q4" s="216">
        <v>9</v>
      </c>
      <c r="R4" s="253">
        <v>10</v>
      </c>
      <c r="S4" s="216">
        <v>11</v>
      </c>
      <c r="T4" s="216">
        <v>12</v>
      </c>
      <c r="U4" s="253">
        <v>13</v>
      </c>
      <c r="V4" s="216">
        <v>14</v>
      </c>
      <c r="W4" s="216">
        <v>15</v>
      </c>
      <c r="X4" s="253">
        <v>16</v>
      </c>
      <c r="Y4" s="216">
        <v>17</v>
      </c>
      <c r="Z4" s="216">
        <v>18</v>
      </c>
      <c r="AA4" s="253">
        <v>19</v>
      </c>
      <c r="AB4" s="216">
        <v>20</v>
      </c>
      <c r="AC4" s="19"/>
      <c r="AD4" s="9"/>
      <c r="AE4" s="9"/>
      <c r="AF4" s="9"/>
      <c r="AG4" s="9"/>
    </row>
    <row r="5" spans="1:33" ht="12.75" x14ac:dyDescent="0.2">
      <c r="A5" s="11"/>
      <c r="B5" s="12" t="s">
        <v>562</v>
      </c>
      <c r="C5" s="11"/>
      <c r="D5" s="32" t="s">
        <v>389</v>
      </c>
      <c r="E5" s="32" t="s">
        <v>258</v>
      </c>
      <c r="F5" s="32"/>
      <c r="G5" s="169"/>
      <c r="H5" s="169"/>
      <c r="I5" s="169" t="str">
        <f>IFERROR(INDEX(Tariffs!$J$22:$J$41,MATCH(I4,Tariffs!$W$22:$W$41,0)),0)</f>
        <v>Service</v>
      </c>
      <c r="J5" s="169" t="str">
        <f>IFERROR(INDEX(Tariffs!$J$22:$J$41,MATCH(J4,Tariffs!$W$22:$W$41,0)),0)</f>
        <v>All energy</v>
      </c>
      <c r="K5" s="169" t="str">
        <f>IFERROR(INDEX(Tariffs!$J$22:$J$41,MATCH(K4,Tariffs!$W$22:$W$41,0)),0)</f>
        <v>Peak energy</v>
      </c>
      <c r="L5" s="169" t="str">
        <f>IFERROR(INDEX(Tariffs!$J$22:$J$41,MATCH(L4,Tariffs!$W$22:$W$41,0)),0)</f>
        <v>Shoulder energy</v>
      </c>
      <c r="M5" s="169" t="str">
        <f>IFERROR(INDEX(Tariffs!$J$22:$J$41,MATCH(M4,Tariffs!$W$22:$W$41,0)),0)</f>
        <v>Off-peak energy</v>
      </c>
      <c r="N5" s="169">
        <f>IFERROR(INDEX(Tariffs!$J$22:$J$41,MATCH(N4,Tariffs!$W$22:$W$41,0)),0)</f>
        <v>0</v>
      </c>
      <c r="O5" s="169">
        <f>IFERROR(INDEX(Tariffs!$J$22:$J$41,MATCH(O4,Tariffs!$W$22:$W$41,0)),0)</f>
        <v>0</v>
      </c>
      <c r="P5" s="169">
        <f>IFERROR(INDEX(Tariffs!$J$22:$J$41,MATCH(P4,Tariffs!$W$22:$W$41,0)),0)</f>
        <v>0</v>
      </c>
      <c r="Q5" s="169">
        <f>IFERROR(INDEX(Tariffs!$J$22:$J$41,MATCH(Q4,Tariffs!$W$22:$W$41,0)),0)</f>
        <v>0</v>
      </c>
      <c r="R5" s="169">
        <f>IFERROR(INDEX(Tariffs!$J$22:$J$41,MATCH(R4,Tariffs!$W$22:$W$41,0)),0)</f>
        <v>0</v>
      </c>
      <c r="S5" s="169">
        <f>IFERROR(INDEX(Tariffs!$J$22:$J$41,MATCH(S4,Tariffs!$W$22:$W$41,0)),0)</f>
        <v>0</v>
      </c>
      <c r="T5" s="169">
        <f>IFERROR(INDEX(Tariffs!$J$22:$J$41,MATCH(T4,Tariffs!$W$22:$W$41,0)),0)</f>
        <v>0</v>
      </c>
      <c r="U5" s="169">
        <f>IFERROR(INDEX(Tariffs!$J$22:$J$41,MATCH(U4,Tariffs!$W$22:$W$41,0)),0)</f>
        <v>0</v>
      </c>
      <c r="V5" s="169">
        <f>IFERROR(INDEX(Tariffs!$J$22:$J$41,MATCH(V4,Tariffs!$W$22:$W$41,0)),0)</f>
        <v>0</v>
      </c>
      <c r="W5" s="169">
        <f>IFERROR(INDEX(Tariffs!$J$22:$J$41,MATCH(W4,Tariffs!$W$22:$W$41,0)),0)</f>
        <v>0</v>
      </c>
      <c r="X5" s="169">
        <f>IFERROR(INDEX(Tariffs!$J$22:$J$41,MATCH(X4,Tariffs!$W$22:$W$41,0)),0)</f>
        <v>0</v>
      </c>
      <c r="Y5" s="169">
        <f>IFERROR(INDEX(Tariffs!$J$22:$J$41,MATCH(Y4,Tariffs!$W$22:$W$41,0)),0)</f>
        <v>0</v>
      </c>
      <c r="Z5" s="169">
        <f>IFERROR(INDEX(Tariffs!$J$22:$J$41,MATCH(Z4,Tariffs!$W$22:$W$41,0)),0)</f>
        <v>0</v>
      </c>
      <c r="AA5" s="169">
        <f>IFERROR(INDEX(Tariffs!$J$22:$J$41,MATCH(AA4,Tariffs!$W$22:$W$41,0)),0)</f>
        <v>0</v>
      </c>
      <c r="AB5" s="169">
        <f>IFERROR(INDEX(Tariffs!$J$22:$J$41,MATCH(AB4,Tariffs!$W$22:$W$41,0)),0)</f>
        <v>0</v>
      </c>
      <c r="AC5" s="64"/>
      <c r="AD5" s="15"/>
      <c r="AE5" s="15"/>
      <c r="AF5" s="15"/>
      <c r="AG5" s="15"/>
    </row>
    <row r="6" spans="1:33" x14ac:dyDescent="0.2">
      <c r="A6" s="19"/>
      <c r="B6" s="19"/>
      <c r="C6" s="36"/>
      <c r="D6" s="36"/>
      <c r="E6" s="20"/>
      <c r="F6" s="20"/>
      <c r="G6" s="170"/>
      <c r="H6" s="170"/>
      <c r="I6" s="170" t="str">
        <f t="shared" ref="I6:AB6" si="0">IF(I5=0,0,dollars)</f>
        <v>$dollars</v>
      </c>
      <c r="J6" s="170" t="str">
        <f t="shared" si="0"/>
        <v>$dollars</v>
      </c>
      <c r="K6" s="170" t="str">
        <f t="shared" si="0"/>
        <v>$dollars</v>
      </c>
      <c r="L6" s="170" t="str">
        <f t="shared" si="0"/>
        <v>$dollars</v>
      </c>
      <c r="M6" s="170" t="str">
        <f t="shared" si="0"/>
        <v>$dollars</v>
      </c>
      <c r="N6" s="170">
        <f t="shared" si="0"/>
        <v>0</v>
      </c>
      <c r="O6" s="170">
        <f t="shared" si="0"/>
        <v>0</v>
      </c>
      <c r="P6" s="170">
        <f t="shared" si="0"/>
        <v>0</v>
      </c>
      <c r="Q6" s="170">
        <f t="shared" si="0"/>
        <v>0</v>
      </c>
      <c r="R6" s="170">
        <f t="shared" si="0"/>
        <v>0</v>
      </c>
      <c r="S6" s="170">
        <f t="shared" si="0"/>
        <v>0</v>
      </c>
      <c r="T6" s="170">
        <f t="shared" si="0"/>
        <v>0</v>
      </c>
      <c r="U6" s="170">
        <f t="shared" si="0"/>
        <v>0</v>
      </c>
      <c r="V6" s="170">
        <f t="shared" si="0"/>
        <v>0</v>
      </c>
      <c r="W6" s="170">
        <f t="shared" si="0"/>
        <v>0</v>
      </c>
      <c r="X6" s="170">
        <f t="shared" si="0"/>
        <v>0</v>
      </c>
      <c r="Y6" s="170">
        <f t="shared" si="0"/>
        <v>0</v>
      </c>
      <c r="Z6" s="170">
        <f t="shared" si="0"/>
        <v>0</v>
      </c>
      <c r="AA6" s="170">
        <f t="shared" si="0"/>
        <v>0</v>
      </c>
      <c r="AB6" s="170">
        <f t="shared" si="0"/>
        <v>0</v>
      </c>
      <c r="AC6" s="19"/>
      <c r="AD6" s="19"/>
      <c r="AE6" s="19"/>
      <c r="AF6" s="19"/>
      <c r="AG6" s="19"/>
    </row>
    <row r="7" spans="1:33" x14ac:dyDescent="0.2">
      <c r="A7" s="19"/>
      <c r="B7" s="19"/>
      <c r="C7" s="167" t="s">
        <v>390</v>
      </c>
      <c r="D7" s="36"/>
      <c r="E7" s="20"/>
      <c r="F7" s="20"/>
      <c r="G7" s="170"/>
      <c r="H7" s="170"/>
      <c r="I7" s="254" t="str" cm="1">
        <f t="array" ref="I7">_xlfn.IFNA(INDEX(Tariffs!$T$22:$U$41,MATCH(Movements!I5,Tariffs!$J$22:$J$41,0),IF(INDEX(Tariffs!$D$22:$D$41,MATCH(Movements!I5,Tariffs!$J$22:$J$41,0))="Fixed",2,1)),0)</f>
        <v>Fixed</v>
      </c>
      <c r="J7" s="254" t="str" cm="1">
        <f t="array" ref="J7">_xlfn.IFNA(INDEX(Tariffs!$T$22:$U$41,MATCH(Movements!J5,Tariffs!$J$22:$J$41,0),IF(INDEX(Tariffs!$D$22:$D$41,MATCH(Movements!J5,Tariffs!$J$22:$J$41,0))="Fixed",2,1)),0)</f>
        <v>Anytime</v>
      </c>
      <c r="K7" s="254" t="str" cm="1">
        <f t="array" ref="K7">_xlfn.IFNA(INDEX(Tariffs!$T$22:$U$41,MATCH(Movements!K5,Tariffs!$J$22:$J$41,0),IF(INDEX(Tariffs!$D$22:$D$41,MATCH(Movements!K5,Tariffs!$J$22:$J$41,0))="Fixed",2,1)),0)</f>
        <v>Peak</v>
      </c>
      <c r="L7" s="254" t="str" cm="1">
        <f t="array" ref="L7">_xlfn.IFNA(INDEX(Tariffs!$T$22:$U$41,MATCH(Movements!L5,Tariffs!$J$22:$J$41,0),IF(INDEX(Tariffs!$D$22:$D$41,MATCH(Movements!L5,Tariffs!$J$22:$J$41,0))="Fixed",2,1)),0)</f>
        <v>Shoulder</v>
      </c>
      <c r="M7" s="254" t="str" cm="1">
        <f t="array" ref="M7">_xlfn.IFNA(INDEX(Tariffs!$T$22:$U$41,MATCH(Movements!M5,Tariffs!$J$22:$J$41,0),IF(INDEX(Tariffs!$D$22:$D$41,MATCH(Movements!M5,Tariffs!$J$22:$J$41,0))="Fixed",2,1)),0)</f>
        <v>Off-peak</v>
      </c>
      <c r="N7" s="254" cm="1">
        <f t="array" ref="N7">_xlfn.IFNA(INDEX(Tariffs!$T$22:$U$41,MATCH(Movements!N5,Tariffs!$J$22:$J$41,0),IF(INDEX(Tariffs!$D$22:$D$41,MATCH(Movements!N5,Tariffs!$J$22:$J$41,0))="Fixed",2,1)),0)</f>
        <v>0</v>
      </c>
      <c r="O7" s="254" cm="1">
        <f t="array" ref="O7">_xlfn.IFNA(INDEX(Tariffs!$T$22:$U$41,MATCH(Movements!O5,Tariffs!$J$22:$J$41,0),IF(INDEX(Tariffs!$D$22:$D$41,MATCH(Movements!O5,Tariffs!$J$22:$J$41,0))="Fixed",2,1)),0)</f>
        <v>0</v>
      </c>
      <c r="P7" s="254" cm="1">
        <f t="array" ref="P7">_xlfn.IFNA(INDEX(Tariffs!$T$22:$U$41,MATCH(Movements!P5,Tariffs!$J$22:$J$41,0),IF(INDEX(Tariffs!$D$22:$D$41,MATCH(Movements!P5,Tariffs!$J$22:$J$41,0))="Fixed",2,1)),0)</f>
        <v>0</v>
      </c>
      <c r="Q7" s="254" cm="1">
        <f t="array" ref="Q7">_xlfn.IFNA(INDEX(Tariffs!$T$22:$U$41,MATCH(Movements!Q5,Tariffs!$J$22:$J$41,0),IF(INDEX(Tariffs!$D$22:$D$41,MATCH(Movements!Q5,Tariffs!$J$22:$J$41,0))="Fixed",2,1)),0)</f>
        <v>0</v>
      </c>
      <c r="R7" s="254" cm="1">
        <f t="array" ref="R7">_xlfn.IFNA(INDEX(Tariffs!$T$22:$U$41,MATCH(Movements!R5,Tariffs!$J$22:$J$41,0),IF(INDEX(Tariffs!$D$22:$D$41,MATCH(Movements!R5,Tariffs!$J$22:$J$41,0))="Fixed",2,1)),0)</f>
        <v>0</v>
      </c>
      <c r="S7" s="254" cm="1">
        <f t="array" ref="S7">_xlfn.IFNA(INDEX(Tariffs!$T$22:$U$41,MATCH(Movements!S5,Tariffs!$J$22:$J$41,0),IF(INDEX(Tariffs!$D$22:$D$41,MATCH(Movements!S5,Tariffs!$J$22:$J$41,0))="Fixed",2,1)),0)</f>
        <v>0</v>
      </c>
      <c r="T7" s="254" cm="1">
        <f t="array" ref="T7">_xlfn.IFNA(INDEX(Tariffs!$T$22:$U$41,MATCH(Movements!T5,Tariffs!$J$22:$J$41,0),IF(INDEX(Tariffs!$D$22:$D$41,MATCH(Movements!T5,Tariffs!$J$22:$J$41,0))="Fixed",2,1)),0)</f>
        <v>0</v>
      </c>
      <c r="U7" s="254" cm="1">
        <f t="array" ref="U7">_xlfn.IFNA(INDEX(Tariffs!$T$22:$U$41,MATCH(Movements!U5,Tariffs!$J$22:$J$41,0),IF(INDEX(Tariffs!$D$22:$D$41,MATCH(Movements!U5,Tariffs!$J$22:$J$41,0))="Fixed",2,1)),0)</f>
        <v>0</v>
      </c>
      <c r="V7" s="254" cm="1">
        <f t="array" ref="V7">_xlfn.IFNA(INDEX(Tariffs!$T$22:$U$41,MATCH(Movements!V5,Tariffs!$J$22:$J$41,0),IF(INDEX(Tariffs!$D$22:$D$41,MATCH(Movements!V5,Tariffs!$J$22:$J$41,0))="Fixed",2,1)),0)</f>
        <v>0</v>
      </c>
      <c r="W7" s="254" cm="1">
        <f t="array" ref="W7">_xlfn.IFNA(INDEX(Tariffs!$T$22:$U$41,MATCH(Movements!W5,Tariffs!$J$22:$J$41,0),IF(INDEX(Tariffs!$D$22:$D$41,MATCH(Movements!W5,Tariffs!$J$22:$J$41,0))="Fixed",2,1)),0)</f>
        <v>0</v>
      </c>
      <c r="X7" s="254" cm="1">
        <f t="array" ref="X7">_xlfn.IFNA(INDEX(Tariffs!$T$22:$U$41,MATCH(Movements!X5,Tariffs!$J$22:$J$41,0),IF(INDEX(Tariffs!$D$22:$D$41,MATCH(Movements!X5,Tariffs!$J$22:$J$41,0))="Fixed",2,1)),0)</f>
        <v>0</v>
      </c>
      <c r="Y7" s="254" cm="1">
        <f t="array" ref="Y7">_xlfn.IFNA(INDEX(Tariffs!$T$22:$U$41,MATCH(Movements!Y5,Tariffs!$J$22:$J$41,0),IF(INDEX(Tariffs!$D$22:$D$41,MATCH(Movements!Y5,Tariffs!$J$22:$J$41,0))="Fixed",2,1)),0)</f>
        <v>0</v>
      </c>
      <c r="Z7" s="254" cm="1">
        <f t="array" ref="Z7">_xlfn.IFNA(INDEX(Tariffs!$T$22:$U$41,MATCH(Movements!Z5,Tariffs!$J$22:$J$41,0),IF(INDEX(Tariffs!$D$22:$D$41,MATCH(Movements!Z5,Tariffs!$J$22:$J$41,0))="Fixed",2,1)),0)</f>
        <v>0</v>
      </c>
      <c r="AA7" s="254" cm="1">
        <f t="array" ref="AA7">_xlfn.IFNA(INDEX(Tariffs!$T$22:$U$41,MATCH(Movements!AA5,Tariffs!$J$22:$J$41,0),IF(INDEX(Tariffs!$D$22:$D$41,MATCH(Movements!AA5,Tariffs!$J$22:$J$41,0))="Fixed",2,1)),0)</f>
        <v>0</v>
      </c>
      <c r="AB7" s="254" cm="1">
        <f t="array" ref="AB7">_xlfn.IFNA(INDEX(Tariffs!$T$22:$U$41,MATCH(Movements!AB5,Tariffs!$J$22:$J$41,0),IF(INDEX(Tariffs!$D$22:$D$41,MATCH(Movements!AB5,Tariffs!$J$22:$J$41,0))="Fixed",2,1)),0)</f>
        <v>0</v>
      </c>
      <c r="AC7" s="147"/>
      <c r="AD7" s="19"/>
      <c r="AE7" s="19"/>
      <c r="AF7" s="19"/>
      <c r="AG7" s="19"/>
    </row>
    <row r="8" spans="1:33" x14ac:dyDescent="0.2">
      <c r="A8" s="19"/>
      <c r="B8" s="19"/>
      <c r="C8" s="167" t="s">
        <v>370</v>
      </c>
      <c r="D8" s="36"/>
      <c r="E8" s="20"/>
      <c r="F8" s="20"/>
      <c r="G8" s="170"/>
      <c r="H8" s="170"/>
      <c r="I8" s="197">
        <f>_xlfn.IFNA(INDEX(Tariffs!$P$22:$P$41,MATCH(Movements!I5,Tariffs!$J$22:$J$41,0)),0)</f>
        <v>3.65</v>
      </c>
      <c r="J8" s="197">
        <f>_xlfn.IFNA(INDEX(Tariffs!$P$22:$P$41,MATCH(Movements!J5,Tariffs!$J$22:$J$41,0)),0)</f>
        <v>0.01</v>
      </c>
      <c r="K8" s="197">
        <f>_xlfn.IFNA(INDEX(Tariffs!$P$22:$P$41,MATCH(Movements!K5,Tariffs!$J$22:$J$41,0)),0)</f>
        <v>0.01</v>
      </c>
      <c r="L8" s="197">
        <f>_xlfn.IFNA(INDEX(Tariffs!$P$22:$P$41,MATCH(Movements!L5,Tariffs!$J$22:$J$41,0)),0)</f>
        <v>0.01</v>
      </c>
      <c r="M8" s="197">
        <f>_xlfn.IFNA(INDEX(Tariffs!$P$22:$P$41,MATCH(Movements!M5,Tariffs!$J$22:$J$41,0)),0)</f>
        <v>0.01</v>
      </c>
      <c r="N8" s="197">
        <f>_xlfn.IFNA(INDEX(Tariffs!$P$22:$P$41,MATCH(Movements!N5,Tariffs!$J$22:$J$41,0)),0)</f>
        <v>0</v>
      </c>
      <c r="O8" s="197">
        <f>_xlfn.IFNA(INDEX(Tariffs!$P$22:$P$41,MATCH(Movements!O5,Tariffs!$J$22:$J$41,0)),0)</f>
        <v>0</v>
      </c>
      <c r="P8" s="197">
        <f>_xlfn.IFNA(INDEX(Tariffs!$P$22:$P$41,MATCH(Movements!P5,Tariffs!$J$22:$J$41,0)),0)</f>
        <v>0</v>
      </c>
      <c r="Q8" s="197">
        <f>_xlfn.IFNA(INDEX(Tariffs!$P$22:$P$41,MATCH(Movements!Q5,Tariffs!$J$22:$J$41,0)),0)</f>
        <v>0</v>
      </c>
      <c r="R8" s="197">
        <f>_xlfn.IFNA(INDEX(Tariffs!$P$22:$P$41,MATCH(Movements!R5,Tariffs!$J$22:$J$41,0)),0)</f>
        <v>0</v>
      </c>
      <c r="S8" s="197">
        <f>_xlfn.IFNA(INDEX(Tariffs!$P$22:$P$41,MATCH(Movements!S5,Tariffs!$J$22:$J$41,0)),0)</f>
        <v>0</v>
      </c>
      <c r="T8" s="197">
        <f>_xlfn.IFNA(INDEX(Tariffs!$P$22:$P$41,MATCH(Movements!T5,Tariffs!$J$22:$J$41,0)),0)</f>
        <v>0</v>
      </c>
      <c r="U8" s="197">
        <f>_xlfn.IFNA(INDEX(Tariffs!$P$22:$P$41,MATCH(Movements!U5,Tariffs!$J$22:$J$41,0)),0)</f>
        <v>0</v>
      </c>
      <c r="V8" s="197">
        <f>_xlfn.IFNA(INDEX(Tariffs!$P$22:$P$41,MATCH(Movements!V5,Tariffs!$J$22:$J$41,0)),0)</f>
        <v>0</v>
      </c>
      <c r="W8" s="197">
        <f>_xlfn.IFNA(INDEX(Tariffs!$P$22:$P$41,MATCH(Movements!W5,Tariffs!$J$22:$J$41,0)),0)</f>
        <v>0</v>
      </c>
      <c r="X8" s="197">
        <f>_xlfn.IFNA(INDEX(Tariffs!$P$22:$P$41,MATCH(Movements!X5,Tariffs!$J$22:$J$41,0)),0)</f>
        <v>0</v>
      </c>
      <c r="Y8" s="197">
        <f>_xlfn.IFNA(INDEX(Tariffs!$P$22:$P$41,MATCH(Movements!Y5,Tariffs!$J$22:$J$41,0)),0)</f>
        <v>0</v>
      </c>
      <c r="Z8" s="197">
        <f>_xlfn.IFNA(INDEX(Tariffs!$P$22:$P$41,MATCH(Movements!Z5,Tariffs!$J$22:$J$41,0)),0)</f>
        <v>0</v>
      </c>
      <c r="AA8" s="197">
        <f>_xlfn.IFNA(INDEX(Tariffs!$P$22:$P$41,MATCH(Movements!AA5,Tariffs!$J$22:$J$41,0)),0)</f>
        <v>0</v>
      </c>
      <c r="AB8" s="197">
        <f>_xlfn.IFNA(INDEX(Tariffs!$P$22:$P$41,MATCH(Movements!AB5,Tariffs!$J$22:$J$41,0)),0)</f>
        <v>0</v>
      </c>
      <c r="AD8" s="19"/>
      <c r="AE8" s="19"/>
      <c r="AF8" s="19"/>
      <c r="AG8" s="19"/>
    </row>
    <row r="9" spans="1:33" x14ac:dyDescent="0.2">
      <c r="A9" s="19"/>
      <c r="B9" s="19"/>
      <c r="C9" s="256"/>
      <c r="D9" s="36"/>
      <c r="E9" s="20"/>
      <c r="F9" s="20"/>
      <c r="G9" s="170"/>
      <c r="H9" s="170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147"/>
      <c r="AD9" s="19"/>
      <c r="AE9" s="19"/>
      <c r="AF9" s="19"/>
      <c r="AG9" s="19"/>
    </row>
    <row r="10" spans="1:33" outlineLevel="1" x14ac:dyDescent="0.2">
      <c r="A10" s="19"/>
      <c r="B10" s="19"/>
      <c r="C10" s="167" t="s">
        <v>265</v>
      </c>
      <c r="D10" s="255" t="str">
        <f>D5</f>
        <v>Block?</v>
      </c>
      <c r="E10" s="22" t="str">
        <f>E5</f>
        <v>TOU?</v>
      </c>
      <c r="F10" s="20"/>
      <c r="G10" s="170"/>
      <c r="H10" s="170"/>
      <c r="I10" s="257" t="str">
        <f>Tariffs!Q44</f>
        <v>Block 1</v>
      </c>
      <c r="J10" s="257" t="str">
        <f>Tariffs!R44</f>
        <v>Block 2</v>
      </c>
      <c r="K10" s="257" t="str">
        <f>Tariffs!S44</f>
        <v>Block 3</v>
      </c>
      <c r="L10" s="254"/>
      <c r="M10" s="257" t="s">
        <v>403</v>
      </c>
      <c r="N10" s="257" t="str">
        <f>forecastyear</f>
        <v>2022–23</v>
      </c>
      <c r="O10" s="257" t="str">
        <f>currentyear</f>
        <v>2021–22</v>
      </c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147"/>
      <c r="AD10" s="19"/>
      <c r="AE10" s="19"/>
      <c r="AF10" s="19"/>
      <c r="AG10" s="19"/>
    </row>
    <row r="11" spans="1:33" outlineLevel="2" x14ac:dyDescent="0.2">
      <c r="A11" s="19"/>
      <c r="B11" s="147">
        <v>1</v>
      </c>
      <c r="C11" s="506" t="str">
        <f>_xlfn.IFNA(INDEX(Tariffs!$C$46:$C$120,MATCH(B11,Tariffs!$W$46:$W$120,0)),0)</f>
        <v>Residential time of use consumption</v>
      </c>
      <c r="D11" s="505">
        <f>_xlfn.IFNA(INDEX(Tariffs!$P$46:$P$120,MATCH(C11,Tariffs!$C$46:$C$120,0)),0)</f>
        <v>0</v>
      </c>
      <c r="E11" s="505" t="str">
        <f>_xlfn.IFNA(INDEX(Tariffs!$M$46:$M$120,MATCH(C11,Tariffs!$C$46:$C$120,0)),0)</f>
        <v>yes</v>
      </c>
      <c r="F11" s="512"/>
      <c r="G11" s="512"/>
      <c r="H11" s="170"/>
      <c r="I11" s="438">
        <f>_xlfn.IFNA(INDEX(Tariffs!Q$46:Q$120,MATCH(Movements!$C11,Tariffs!$C$46:$C$120,0)),0)</f>
        <v>0</v>
      </c>
      <c r="J11" s="438">
        <f>_xlfn.IFNA(INDEX(Tariffs!R$46:R$120,MATCH(Movements!$C11,Tariffs!$C$46:$C$120,0)),0)</f>
        <v>0</v>
      </c>
      <c r="K11" s="438">
        <f>_xlfn.IFNA(INDEX(Tariffs!S$46:S$120,MATCH(Movements!$C11,Tariffs!$C$46:$C$120,0)),0)</f>
        <v>0</v>
      </c>
      <c r="L11" s="562"/>
      <c r="M11" s="438" t="str">
        <f>_xlfn.IFNA(INDEX(Tariffs!$V$46:$V$120,MATCH(Movements!C11,Tariffs!$C$46:$C$120,0)),0)</f>
        <v>Domestic LV - Single Phase</v>
      </c>
      <c r="N11" s="198">
        <f>_xlfn.IFNA(INDEX(Metering!$K$7:$R$48,MATCH(Movements!M11,Metering!$C$7:$C$48,0),MATCH(forecastyear,Metering!$K$5:$R$5,0)),0)</f>
        <v>25.799999999999997</v>
      </c>
      <c r="O11" s="198">
        <f>_xlfn.IFNA(INDEX(Metering!$K$7:$R$48,MATCH(Movements!M11,Metering!$C$7:$C$48,0),MATCH(currentyear,Metering!$K$5:$R$5,0)),0)</f>
        <v>24.590050000000002</v>
      </c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70"/>
      <c r="AD11" s="19"/>
      <c r="AE11" s="19"/>
      <c r="AF11" s="19"/>
      <c r="AG11" s="19"/>
    </row>
    <row r="12" spans="1:33" s="59" customFormat="1" outlineLevel="2" x14ac:dyDescent="0.2">
      <c r="A12" s="57"/>
      <c r="B12" s="566">
        <v>2</v>
      </c>
      <c r="C12" s="506" t="str">
        <f>_xlfn.IFNA(INDEX(Tariffs!$C$46:$C$120,MATCH(B12,Tariffs!$W$46:$W$120,0)),0)</f>
        <v>Residential general light and power</v>
      </c>
      <c r="D12" s="505">
        <f>_xlfn.IFNA(INDEX(Tariffs!$P$46:$P$120,MATCH(C12,Tariffs!$C$46:$C$120,0)),0)</f>
        <v>0</v>
      </c>
      <c r="E12" s="505" t="str">
        <f>_xlfn.IFNA(INDEX(Tariffs!$M$46:$M$120,MATCH(C12,Tariffs!$C$46:$C$120,0)),0)</f>
        <v>no</v>
      </c>
      <c r="F12" s="536"/>
      <c r="G12" s="512"/>
      <c r="H12" s="536"/>
      <c r="I12" s="438">
        <f>_xlfn.IFNA(INDEX(Tariffs!Q$46:Q$120,MATCH(Movements!$C12,Tariffs!$C$46:$C$120,0)),0)</f>
        <v>0</v>
      </c>
      <c r="J12" s="438">
        <f>_xlfn.IFNA(INDEX(Tariffs!R$46:R$120,MATCH(Movements!$C12,Tariffs!$C$46:$C$120,0)),0)</f>
        <v>0</v>
      </c>
      <c r="K12" s="438">
        <f>_xlfn.IFNA(INDEX(Tariffs!S$46:S$120,MATCH(Movements!$C12,Tariffs!$C$46:$C$120,0)),0)</f>
        <v>0</v>
      </c>
      <c r="L12" s="562"/>
      <c r="M12" s="438" t="str">
        <f>_xlfn.IFNA(INDEX(Tariffs!$V$46:$V$120,MATCH(Movements!C12,Tariffs!$C$46:$C$120,0)),0)</f>
        <v>Domestic LV - Single Phase</v>
      </c>
      <c r="N12" s="198">
        <f>_xlfn.IFNA(INDEX(Metering!$K$7:$R$48,MATCH(Movements!M12,Metering!$C$7:$C$48,0),MATCH(forecastyear,Metering!$K$5:$R$5,0)),0)</f>
        <v>25.799999999999997</v>
      </c>
      <c r="O12" s="198">
        <f>_xlfn.IFNA(INDEX(Metering!$K$7:$R$48,MATCH(Movements!M12,Metering!$C$7:$C$48,0),MATCH(currentyear,Metering!$K$5:$R$5,0)),0)</f>
        <v>24.590050000000002</v>
      </c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70"/>
      <c r="AD12" s="57"/>
      <c r="AE12" s="57"/>
      <c r="AF12" s="57"/>
      <c r="AG12" s="57"/>
    </row>
    <row r="13" spans="1:33" outlineLevel="2" x14ac:dyDescent="0.2">
      <c r="A13" s="19"/>
      <c r="B13" s="147">
        <v>3</v>
      </c>
      <c r="C13" s="506" t="str">
        <f>_xlfn.IFNA(INDEX(Tariffs!$C$46:$C$120,MATCH(B13,Tariffs!$W$46:$W$120,0)),0)</f>
        <v>Residential pay as you go</v>
      </c>
      <c r="D13" s="505">
        <f>_xlfn.IFNA(INDEX(Tariffs!$P$46:$P$120,MATCH(C13,Tariffs!$C$46:$C$120,0)),0)</f>
        <v>0</v>
      </c>
      <c r="E13" s="505" t="str">
        <f>_xlfn.IFNA(INDEX(Tariffs!$M$46:$M$120,MATCH(C13,Tariffs!$C$46:$C$120,0)),0)</f>
        <v>no</v>
      </c>
      <c r="F13" s="536"/>
      <c r="G13" s="512"/>
      <c r="H13" s="536"/>
      <c r="I13" s="438">
        <f>_xlfn.IFNA(INDEX(Tariffs!Q$46:Q$120,MATCH(Movements!$C13,Tariffs!$C$46:$C$120,0)),0)</f>
        <v>0</v>
      </c>
      <c r="J13" s="438">
        <f>_xlfn.IFNA(INDEX(Tariffs!R$46:R$120,MATCH(Movements!$C13,Tariffs!$C$46:$C$120,0)),0)</f>
        <v>0</v>
      </c>
      <c r="K13" s="438">
        <f>_xlfn.IFNA(INDEX(Tariffs!S$46:S$120,MATCH(Movements!$C13,Tariffs!$C$46:$C$120,0)),0)</f>
        <v>0</v>
      </c>
      <c r="L13" s="562"/>
      <c r="M13" s="438" t="str">
        <f>_xlfn.IFNA(INDEX(Tariffs!$V$46:$V$120,MATCH(Movements!C13,Tariffs!$C$46:$C$120,0)),0)</f>
        <v>Domestic LV - Single Phase</v>
      </c>
      <c r="N13" s="198">
        <f>_xlfn.IFNA(INDEX(Metering!$K$7:$R$48,MATCH(Movements!M13,Metering!$C$7:$C$48,0),MATCH(forecastyear,Metering!$K$5:$R$5,0)),0)</f>
        <v>25.799999999999997</v>
      </c>
      <c r="O13" s="198">
        <f>_xlfn.IFNA(INDEX(Metering!$K$7:$R$48,MATCH(Movements!M13,Metering!$C$7:$C$48,0),MATCH(currentyear,Metering!$K$5:$R$5,0)),0)</f>
        <v>24.590050000000002</v>
      </c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70"/>
      <c r="AD13" s="19"/>
      <c r="AE13" s="19"/>
      <c r="AF13" s="19"/>
      <c r="AG13" s="19"/>
    </row>
    <row r="14" spans="1:33" outlineLevel="2" x14ac:dyDescent="0.2">
      <c r="A14" s="19"/>
      <c r="B14" s="147">
        <v>4</v>
      </c>
      <c r="C14" s="506" t="str">
        <f>_xlfn.IFNA(INDEX(Tariffs!$C$46:$C$120,MATCH(B14,Tariffs!$W$46:$W$120,0)),0)</f>
        <v>Residential pay as you go time of use</v>
      </c>
      <c r="D14" s="505">
        <f>_xlfn.IFNA(INDEX(Tariffs!$P$46:$P$120,MATCH(C14,Tariffs!$C$46:$C$120,0)),0)</f>
        <v>0</v>
      </c>
      <c r="E14" s="505" t="str">
        <f>_xlfn.IFNA(INDEX(Tariffs!$M$46:$M$120,MATCH(C14,Tariffs!$C$46:$C$120,0)),0)</f>
        <v>no</v>
      </c>
      <c r="F14" s="536"/>
      <c r="G14" s="512"/>
      <c r="H14" s="536"/>
      <c r="I14" s="438">
        <f>_xlfn.IFNA(INDEX(Tariffs!Q$46:Q$120,MATCH(Movements!$C14,Tariffs!$C$46:$C$120,0)),0)</f>
        <v>0</v>
      </c>
      <c r="J14" s="438">
        <f>_xlfn.IFNA(INDEX(Tariffs!R$46:R$120,MATCH(Movements!$C14,Tariffs!$C$46:$C$120,0)),0)</f>
        <v>0</v>
      </c>
      <c r="K14" s="438">
        <f>_xlfn.IFNA(INDEX(Tariffs!S$46:S$120,MATCH(Movements!$C14,Tariffs!$C$46:$C$120,0)),0)</f>
        <v>0</v>
      </c>
      <c r="L14" s="562"/>
      <c r="M14" s="438" t="str">
        <f>_xlfn.IFNA(INDEX(Tariffs!$V$46:$V$120,MATCH(Movements!C14,Tariffs!$C$46:$C$120,0)),0)</f>
        <v>Domestic LV - Single Phase</v>
      </c>
      <c r="N14" s="198">
        <f>_xlfn.IFNA(INDEX(Metering!$K$7:$R$48,MATCH(Movements!M14,Metering!$C$7:$C$48,0),MATCH(forecastyear,Metering!$K$5:$R$5,0)),0)</f>
        <v>25.799999999999997</v>
      </c>
      <c r="O14" s="198">
        <f>_xlfn.IFNA(INDEX(Metering!$K$7:$R$48,MATCH(Movements!M14,Metering!$C$7:$C$48,0),MATCH(currentyear,Metering!$K$5:$R$5,0)),0)</f>
        <v>24.590050000000002</v>
      </c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70"/>
      <c r="AD14" s="19"/>
      <c r="AE14" s="19"/>
      <c r="AF14" s="19"/>
      <c r="AG14" s="19"/>
    </row>
    <row r="15" spans="1:33" outlineLevel="2" x14ac:dyDescent="0.2">
      <c r="A15" s="19"/>
      <c r="B15" s="147">
        <v>5</v>
      </c>
      <c r="C15" s="506">
        <f>_xlfn.IFNA(INDEX(Tariffs!$C$46:$C$120,MATCH(B15,Tariffs!$W$46:$W$120,0)),0)</f>
        <v>0</v>
      </c>
      <c r="D15" s="505">
        <f>_xlfn.IFNA(INDEX(Tariffs!$P$46:$P$120,MATCH(C15,Tariffs!$C$46:$C$120,0)),0)</f>
        <v>0</v>
      </c>
      <c r="E15" s="505">
        <f>_xlfn.IFNA(INDEX(Tariffs!$M$46:$M$120,MATCH(C15,Tariffs!$C$46:$C$120,0)),0)</f>
        <v>0</v>
      </c>
      <c r="F15" s="536"/>
      <c r="G15" s="512"/>
      <c r="H15" s="536"/>
      <c r="I15" s="438">
        <f>_xlfn.IFNA(INDEX(Tariffs!Q$46:Q$120,MATCH(Movements!$C15,Tariffs!$C$46:$C$120,0)),0)</f>
        <v>0</v>
      </c>
      <c r="J15" s="438">
        <f>_xlfn.IFNA(INDEX(Tariffs!R$46:R$120,MATCH(Movements!$C15,Tariffs!$C$46:$C$120,0)),0)</f>
        <v>0</v>
      </c>
      <c r="K15" s="438">
        <f>_xlfn.IFNA(INDEX(Tariffs!S$46:S$120,MATCH(Movements!$C15,Tariffs!$C$46:$C$120,0)),0)</f>
        <v>0</v>
      </c>
      <c r="L15" s="562"/>
      <c r="M15" s="438">
        <f>_xlfn.IFNA(INDEX(Tariffs!$V$46:$V$120,MATCH(Movements!C15,Tariffs!$C$46:$C$120,0)),0)</f>
        <v>0</v>
      </c>
      <c r="N15" s="198">
        <f>_xlfn.IFNA(INDEX(Metering!$K$7:$R$48,MATCH(Movements!M15,Metering!$C$7:$C$48,0),MATCH(forecastyear,Metering!$K$5:$R$5,0)),0)</f>
        <v>0</v>
      </c>
      <c r="O15" s="198">
        <f>_xlfn.IFNA(INDEX(Metering!$K$7:$R$48,MATCH(Movements!M15,Metering!$C$7:$C$48,0),MATCH(currentyear,Metering!$K$5:$R$5,0)),0)</f>
        <v>0</v>
      </c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70"/>
      <c r="AD15" s="19"/>
      <c r="AE15" s="19"/>
      <c r="AF15" s="19"/>
      <c r="AG15" s="19"/>
    </row>
    <row r="16" spans="1:33" hidden="1" outlineLevel="3" x14ac:dyDescent="0.2">
      <c r="A16" s="19"/>
      <c r="B16" s="147">
        <v>6</v>
      </c>
      <c r="C16" s="506">
        <f>_xlfn.IFNA(INDEX(Tariffs!$C$46:$C$120,MATCH(B16,Tariffs!$W$46:$W$120,0)),0)</f>
        <v>0</v>
      </c>
      <c r="D16" s="505">
        <f>_xlfn.IFNA(INDEX(Tariffs!$P$46:$P$120,MATCH(C16,Tariffs!$C$46:$C$120,0)),0)</f>
        <v>0</v>
      </c>
      <c r="E16" s="505">
        <f>_xlfn.IFNA(INDEX(Tariffs!$M$46:$M$120,MATCH(C16,Tariffs!$C$46:$C$120,0)),0)</f>
        <v>0</v>
      </c>
      <c r="F16" s="536"/>
      <c r="G16" s="512"/>
      <c r="H16" s="536"/>
      <c r="I16" s="438">
        <f>_xlfn.IFNA(INDEX(Tariffs!Q$46:Q$120,MATCH(Movements!$C16,Tariffs!$C$46:$C$120,0)),0)</f>
        <v>0</v>
      </c>
      <c r="J16" s="438">
        <f>_xlfn.IFNA(INDEX(Tariffs!R$46:R$120,MATCH(Movements!$C16,Tariffs!$C$46:$C$120,0)),0)</f>
        <v>0</v>
      </c>
      <c r="K16" s="438">
        <f>_xlfn.IFNA(INDEX(Tariffs!S$46:S$120,MATCH(Movements!$C16,Tariffs!$C$46:$C$120,0)),0)</f>
        <v>0</v>
      </c>
      <c r="L16" s="562"/>
      <c r="M16" s="438">
        <f>_xlfn.IFNA(INDEX(Tariffs!$V$46:$V$120,MATCH(Movements!C16,Tariffs!$C$46:$C$120,0)),0)</f>
        <v>0</v>
      </c>
      <c r="N16" s="198">
        <f>_xlfn.IFNA(INDEX(Metering!$K$7:$R$48,MATCH(Movements!M16,Metering!$C$7:$C$48,0),MATCH(forecastyear,Metering!$K$5:$R$5,0)),0)</f>
        <v>0</v>
      </c>
      <c r="O16" s="198">
        <f>_xlfn.IFNA(INDEX(Metering!$K$7:$R$48,MATCH(Movements!M16,Metering!$C$7:$C$48,0),MATCH(currentyear,Metering!$K$5:$R$5,0)),0)</f>
        <v>0</v>
      </c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70"/>
      <c r="AD16" s="19"/>
      <c r="AE16" s="19"/>
      <c r="AF16" s="19"/>
      <c r="AG16" s="19"/>
    </row>
    <row r="17" spans="1:33" hidden="1" outlineLevel="3" x14ac:dyDescent="0.2">
      <c r="A17" s="19"/>
      <c r="B17" s="147">
        <v>7</v>
      </c>
      <c r="C17" s="506">
        <f>_xlfn.IFNA(INDEX(Tariffs!$C$46:$C$120,MATCH(B17,Tariffs!$W$46:$W$120,0)),0)</f>
        <v>0</v>
      </c>
      <c r="D17" s="505">
        <f>_xlfn.IFNA(INDEX(Tariffs!$P$46:$P$120,MATCH(C17,Tariffs!$C$46:$C$120,0)),0)</f>
        <v>0</v>
      </c>
      <c r="E17" s="505">
        <f>_xlfn.IFNA(INDEX(Tariffs!$M$46:$M$120,MATCH(C17,Tariffs!$C$46:$C$120,0)),0)</f>
        <v>0</v>
      </c>
      <c r="F17" s="536"/>
      <c r="G17" s="512"/>
      <c r="H17" s="536"/>
      <c r="I17" s="438">
        <f>_xlfn.IFNA(INDEX(Tariffs!Q$46:Q$120,MATCH(Movements!$C17,Tariffs!$C$46:$C$120,0)),0)</f>
        <v>0</v>
      </c>
      <c r="J17" s="438">
        <f>_xlfn.IFNA(INDEX(Tariffs!R$46:R$120,MATCH(Movements!$C17,Tariffs!$C$46:$C$120,0)),0)</f>
        <v>0</v>
      </c>
      <c r="K17" s="438">
        <f>_xlfn.IFNA(INDEX(Tariffs!S$46:S$120,MATCH(Movements!$C17,Tariffs!$C$46:$C$120,0)),0)</f>
        <v>0</v>
      </c>
      <c r="L17" s="562"/>
      <c r="M17" s="438">
        <f>_xlfn.IFNA(INDEX(Tariffs!$V$46:$V$120,MATCH(Movements!C17,Tariffs!$C$46:$C$120,0)),0)</f>
        <v>0</v>
      </c>
      <c r="N17" s="198">
        <f>_xlfn.IFNA(INDEX(Metering!$K$7:$R$48,MATCH(Movements!M17,Metering!$C$7:$C$48,0),MATCH(forecastyear,Metering!$K$5:$R$5,0)),0)</f>
        <v>0</v>
      </c>
      <c r="O17" s="198">
        <f>_xlfn.IFNA(INDEX(Metering!$K$7:$R$48,MATCH(Movements!M17,Metering!$C$7:$C$48,0),MATCH(currentyear,Metering!$K$5:$R$5,0)),0)</f>
        <v>0</v>
      </c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70"/>
      <c r="AD17" s="19"/>
      <c r="AE17" s="19"/>
      <c r="AF17" s="19"/>
      <c r="AG17" s="19"/>
    </row>
    <row r="18" spans="1:33" hidden="1" outlineLevel="3" x14ac:dyDescent="0.2">
      <c r="A18" s="19"/>
      <c r="B18" s="147">
        <v>8</v>
      </c>
      <c r="C18" s="506">
        <f>_xlfn.IFNA(INDEX(Tariffs!$C$46:$C$120,MATCH(B18,Tariffs!$W$46:$W$120,0)),0)</f>
        <v>0</v>
      </c>
      <c r="D18" s="505">
        <f>_xlfn.IFNA(INDEX(Tariffs!$P$46:$P$120,MATCH(C18,Tariffs!$C$46:$C$120,0)),0)</f>
        <v>0</v>
      </c>
      <c r="E18" s="505">
        <f>_xlfn.IFNA(INDEX(Tariffs!$M$46:$M$120,MATCH(C18,Tariffs!$C$46:$C$120,0)),0)</f>
        <v>0</v>
      </c>
      <c r="F18" s="536"/>
      <c r="G18" s="512"/>
      <c r="H18" s="536"/>
      <c r="I18" s="438">
        <f>_xlfn.IFNA(INDEX(Tariffs!Q$46:Q$120,MATCH(Movements!$C18,Tariffs!$C$46:$C$120,0)),0)</f>
        <v>0</v>
      </c>
      <c r="J18" s="438">
        <f>_xlfn.IFNA(INDEX(Tariffs!R$46:R$120,MATCH(Movements!$C18,Tariffs!$C$46:$C$120,0)),0)</f>
        <v>0</v>
      </c>
      <c r="K18" s="438">
        <f>_xlfn.IFNA(INDEX(Tariffs!S$46:S$120,MATCH(Movements!$C18,Tariffs!$C$46:$C$120,0)),0)</f>
        <v>0</v>
      </c>
      <c r="L18" s="562"/>
      <c r="M18" s="438">
        <f>_xlfn.IFNA(INDEX(Tariffs!$V$46:$V$120,MATCH(Movements!C18,Tariffs!$C$46:$C$120,0)),0)</f>
        <v>0</v>
      </c>
      <c r="N18" s="198">
        <f>_xlfn.IFNA(INDEX(Metering!$K$7:$R$48,MATCH(Movements!M18,Metering!$C$7:$C$48,0),MATCH(forecastyear,Metering!$K$5:$R$5,0)),0)</f>
        <v>0</v>
      </c>
      <c r="O18" s="198">
        <f>_xlfn.IFNA(INDEX(Metering!$K$7:$R$48,MATCH(Movements!M18,Metering!$C$7:$C$48,0),MATCH(currentyear,Metering!$K$5:$R$5,0)),0)</f>
        <v>0</v>
      </c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70"/>
      <c r="AD18" s="19"/>
      <c r="AE18" s="19"/>
      <c r="AF18" s="19"/>
      <c r="AG18" s="19"/>
    </row>
    <row r="19" spans="1:33" hidden="1" outlineLevel="3" x14ac:dyDescent="0.2">
      <c r="A19" s="19"/>
      <c r="B19" s="566">
        <v>9</v>
      </c>
      <c r="C19" s="506">
        <f>_xlfn.IFNA(INDEX(Tariffs!$C$46:$C$120,MATCH(B19,Tariffs!$W$46:$W$120,0)),0)</f>
        <v>0</v>
      </c>
      <c r="D19" s="505">
        <f>_xlfn.IFNA(INDEX(Tariffs!$P$46:$P$120,MATCH(C19,Tariffs!$C$46:$C$120,0)),0)</f>
        <v>0</v>
      </c>
      <c r="E19" s="505">
        <f>_xlfn.IFNA(INDEX(Tariffs!$M$46:$M$120,MATCH(C19,Tariffs!$C$46:$C$120,0)),0)</f>
        <v>0</v>
      </c>
      <c r="F19" s="536"/>
      <c r="G19" s="512"/>
      <c r="H19" s="536"/>
      <c r="I19" s="438">
        <f>_xlfn.IFNA(INDEX(Tariffs!Q$46:Q$120,MATCH(Movements!$C19,Tariffs!$C$46:$C$120,0)),0)</f>
        <v>0</v>
      </c>
      <c r="J19" s="438">
        <f>_xlfn.IFNA(INDEX(Tariffs!R$46:R$120,MATCH(Movements!$C19,Tariffs!$C$46:$C$120,0)),0)</f>
        <v>0</v>
      </c>
      <c r="K19" s="438">
        <f>_xlfn.IFNA(INDEX(Tariffs!S$46:S$120,MATCH(Movements!$C19,Tariffs!$C$46:$C$120,0)),0)</f>
        <v>0</v>
      </c>
      <c r="L19" s="562"/>
      <c r="M19" s="438">
        <f>_xlfn.IFNA(INDEX(Tariffs!$V$46:$V$120,MATCH(Movements!C19,Tariffs!$C$46:$C$120,0)),0)</f>
        <v>0</v>
      </c>
      <c r="N19" s="198">
        <f>_xlfn.IFNA(INDEX(Metering!$K$7:$R$48,MATCH(Movements!M19,Metering!$C$7:$C$48,0),MATCH(forecastyear,Metering!$K$5:$R$5,0)),0)</f>
        <v>0</v>
      </c>
      <c r="O19" s="198">
        <f>_xlfn.IFNA(INDEX(Metering!$K$7:$R$48,MATCH(Movements!M19,Metering!$C$7:$C$48,0),MATCH(currentyear,Metering!$K$5:$R$5,0)),0)</f>
        <v>0</v>
      </c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70"/>
      <c r="AD19" s="19"/>
      <c r="AE19" s="19"/>
      <c r="AF19" s="19"/>
      <c r="AG19" s="19"/>
    </row>
    <row r="20" spans="1:33" hidden="1" outlineLevel="3" x14ac:dyDescent="0.2">
      <c r="A20" s="19"/>
      <c r="B20" s="147">
        <v>10</v>
      </c>
      <c r="C20" s="506">
        <f>_xlfn.IFNA(INDEX(Tariffs!$C$46:$C$120,MATCH(B20,Tariffs!$W$46:$W$120,0)),0)</f>
        <v>0</v>
      </c>
      <c r="D20" s="505">
        <f>_xlfn.IFNA(INDEX(Tariffs!$P$46:$P$120,MATCH(C20,Tariffs!$C$46:$C$120,0)),0)</f>
        <v>0</v>
      </c>
      <c r="E20" s="505">
        <f>_xlfn.IFNA(INDEX(Tariffs!$M$46:$M$120,MATCH(C20,Tariffs!$C$46:$C$120,0)),0)</f>
        <v>0</v>
      </c>
      <c r="F20" s="536"/>
      <c r="G20" s="512"/>
      <c r="H20" s="536"/>
      <c r="I20" s="438">
        <f>_xlfn.IFNA(INDEX(Tariffs!Q$46:Q$120,MATCH(Movements!$C20,Tariffs!$C$46:$C$120,0)),0)</f>
        <v>0</v>
      </c>
      <c r="J20" s="438">
        <f>_xlfn.IFNA(INDEX(Tariffs!R$46:R$120,MATCH(Movements!$C20,Tariffs!$C$46:$C$120,0)),0)</f>
        <v>0</v>
      </c>
      <c r="K20" s="438">
        <f>_xlfn.IFNA(INDEX(Tariffs!S$46:S$120,MATCH(Movements!$C20,Tariffs!$C$46:$C$120,0)),0)</f>
        <v>0</v>
      </c>
      <c r="L20" s="562"/>
      <c r="M20" s="438">
        <f>_xlfn.IFNA(INDEX(Tariffs!$V$46:$V$120,MATCH(Movements!C20,Tariffs!$C$46:$C$120,0)),0)</f>
        <v>0</v>
      </c>
      <c r="N20" s="198">
        <f>_xlfn.IFNA(INDEX(Metering!$K$7:$R$48,MATCH(Movements!M20,Metering!$C$7:$C$48,0),MATCH(forecastyear,Metering!$K$5:$R$5,0)),0)</f>
        <v>0</v>
      </c>
      <c r="O20" s="198">
        <f>_xlfn.IFNA(INDEX(Metering!$K$7:$R$48,MATCH(Movements!M20,Metering!$C$7:$C$48,0),MATCH(currentyear,Metering!$K$5:$R$5,0)),0)</f>
        <v>0</v>
      </c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70"/>
      <c r="AD20" s="19"/>
      <c r="AE20" s="19"/>
      <c r="AF20" s="19"/>
      <c r="AG20" s="19"/>
    </row>
    <row r="21" spans="1:33" hidden="1" outlineLevel="3" x14ac:dyDescent="0.2">
      <c r="A21" s="19"/>
      <c r="B21" s="147">
        <v>11</v>
      </c>
      <c r="C21" s="506">
        <f>_xlfn.IFNA(INDEX(Tariffs!$C$46:$C$120,MATCH(B21,Tariffs!$W$46:$W$120,0)),0)</f>
        <v>0</v>
      </c>
      <c r="D21" s="505">
        <f>_xlfn.IFNA(INDEX(Tariffs!$P$46:$P$120,MATCH(C21,Tariffs!$C$46:$C$120,0)),0)</f>
        <v>0</v>
      </c>
      <c r="E21" s="505">
        <f>_xlfn.IFNA(INDEX(Tariffs!$M$46:$M$120,MATCH(C21,Tariffs!$C$46:$C$120,0)),0)</f>
        <v>0</v>
      </c>
      <c r="F21" s="536"/>
      <c r="G21" s="512"/>
      <c r="H21" s="536"/>
      <c r="I21" s="438">
        <f>_xlfn.IFNA(INDEX(Tariffs!Q$46:Q$120,MATCH(Movements!$C21,Tariffs!$C$46:$C$120,0)),0)</f>
        <v>0</v>
      </c>
      <c r="J21" s="438">
        <f>_xlfn.IFNA(INDEX(Tariffs!R$46:R$120,MATCH(Movements!$C21,Tariffs!$C$46:$C$120,0)),0)</f>
        <v>0</v>
      </c>
      <c r="K21" s="438">
        <f>_xlfn.IFNA(INDEX(Tariffs!S$46:S$120,MATCH(Movements!$C21,Tariffs!$C$46:$C$120,0)),0)</f>
        <v>0</v>
      </c>
      <c r="L21" s="562"/>
      <c r="M21" s="438">
        <f>_xlfn.IFNA(INDEX(Tariffs!$V$46:$V$120,MATCH(Movements!C21,Tariffs!$C$46:$C$120,0)),0)</f>
        <v>0</v>
      </c>
      <c r="N21" s="198">
        <f>_xlfn.IFNA(INDEX(Metering!$K$7:$R$48,MATCH(Movements!M21,Metering!$C$7:$C$48,0),MATCH(forecastyear,Metering!$K$5:$R$5,0)),0)</f>
        <v>0</v>
      </c>
      <c r="O21" s="198">
        <f>_xlfn.IFNA(INDEX(Metering!$K$7:$R$48,MATCH(Movements!M21,Metering!$C$7:$C$48,0),MATCH(currentyear,Metering!$K$5:$R$5,0)),0)</f>
        <v>0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70"/>
      <c r="AD21" s="19"/>
      <c r="AE21" s="19"/>
      <c r="AF21" s="19"/>
      <c r="AG21" s="19"/>
    </row>
    <row r="22" spans="1:33" hidden="1" outlineLevel="3" x14ac:dyDescent="0.2">
      <c r="A22" s="19"/>
      <c r="B22" s="147">
        <v>12</v>
      </c>
      <c r="C22" s="506">
        <f>_xlfn.IFNA(INDEX(Tariffs!$C$46:$C$120,MATCH(B22,Tariffs!$W$46:$W$120,0)),0)</f>
        <v>0</v>
      </c>
      <c r="D22" s="505">
        <f>_xlfn.IFNA(INDEX(Tariffs!$P$46:$P$120,MATCH(C22,Tariffs!$C$46:$C$120,0)),0)</f>
        <v>0</v>
      </c>
      <c r="E22" s="505">
        <f>_xlfn.IFNA(INDEX(Tariffs!$M$46:$M$120,MATCH(C22,Tariffs!$C$46:$C$120,0)),0)</f>
        <v>0</v>
      </c>
      <c r="F22" s="536"/>
      <c r="G22" s="512"/>
      <c r="H22" s="536"/>
      <c r="I22" s="438">
        <f>_xlfn.IFNA(INDEX(Tariffs!Q$46:Q$120,MATCH(Movements!$C22,Tariffs!$C$46:$C$120,0)),0)</f>
        <v>0</v>
      </c>
      <c r="J22" s="438">
        <f>_xlfn.IFNA(INDEX(Tariffs!R$46:R$120,MATCH(Movements!$C22,Tariffs!$C$46:$C$120,0)),0)</f>
        <v>0</v>
      </c>
      <c r="K22" s="438">
        <f>_xlfn.IFNA(INDEX(Tariffs!S$46:S$120,MATCH(Movements!$C22,Tariffs!$C$46:$C$120,0)),0)</f>
        <v>0</v>
      </c>
      <c r="L22" s="562"/>
      <c r="M22" s="438">
        <f>_xlfn.IFNA(INDEX(Tariffs!$V$46:$V$120,MATCH(Movements!C22,Tariffs!$C$46:$C$120,0)),0)</f>
        <v>0</v>
      </c>
      <c r="N22" s="198">
        <f>_xlfn.IFNA(INDEX(Metering!$K$7:$R$48,MATCH(Movements!M22,Metering!$C$7:$C$48,0),MATCH(forecastyear,Metering!$K$5:$R$5,0)),0)</f>
        <v>0</v>
      </c>
      <c r="O22" s="198">
        <f>_xlfn.IFNA(INDEX(Metering!$K$7:$R$48,MATCH(Movements!M22,Metering!$C$7:$C$48,0),MATCH(currentyear,Metering!$K$5:$R$5,0)),0)</f>
        <v>0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70"/>
      <c r="AD22" s="19"/>
      <c r="AE22" s="19"/>
      <c r="AF22" s="19"/>
      <c r="AG22" s="19"/>
    </row>
    <row r="23" spans="1:33" hidden="1" outlineLevel="3" x14ac:dyDescent="0.2">
      <c r="A23" s="19"/>
      <c r="B23" s="147">
        <v>13</v>
      </c>
      <c r="C23" s="506">
        <f>_xlfn.IFNA(INDEX(Tariffs!$C$46:$C$120,MATCH(B23,Tariffs!$W$46:$W$120,0)),0)</f>
        <v>0</v>
      </c>
      <c r="D23" s="505">
        <f>_xlfn.IFNA(INDEX(Tariffs!$P$46:$P$120,MATCH(C23,Tariffs!$C$46:$C$120,0)),0)</f>
        <v>0</v>
      </c>
      <c r="E23" s="505">
        <f>_xlfn.IFNA(INDEX(Tariffs!$M$46:$M$120,MATCH(C23,Tariffs!$C$46:$C$120,0)),0)</f>
        <v>0</v>
      </c>
      <c r="F23" s="536"/>
      <c r="G23" s="512"/>
      <c r="H23" s="536"/>
      <c r="I23" s="438">
        <f>_xlfn.IFNA(INDEX(Tariffs!Q$46:Q$120,MATCH(Movements!$C23,Tariffs!$C$46:$C$120,0)),0)</f>
        <v>0</v>
      </c>
      <c r="J23" s="438">
        <f>_xlfn.IFNA(INDEX(Tariffs!R$46:R$120,MATCH(Movements!$C23,Tariffs!$C$46:$C$120,0)),0)</f>
        <v>0</v>
      </c>
      <c r="K23" s="438">
        <f>_xlfn.IFNA(INDEX(Tariffs!S$46:S$120,MATCH(Movements!$C23,Tariffs!$C$46:$C$120,0)),0)</f>
        <v>0</v>
      </c>
      <c r="L23" s="562"/>
      <c r="M23" s="438">
        <f>_xlfn.IFNA(INDEX(Tariffs!$V$46:$V$120,MATCH(Movements!C23,Tariffs!$C$46:$C$120,0)),0)</f>
        <v>0</v>
      </c>
      <c r="N23" s="198">
        <f>_xlfn.IFNA(INDEX(Metering!$K$7:$R$48,MATCH(Movements!M23,Metering!$C$7:$C$48,0),MATCH(forecastyear,Metering!$K$5:$R$5,0)),0)</f>
        <v>0</v>
      </c>
      <c r="O23" s="198">
        <f>_xlfn.IFNA(INDEX(Metering!$K$7:$R$48,MATCH(Movements!M23,Metering!$C$7:$C$48,0),MATCH(currentyear,Metering!$K$5:$R$5,0)),0)</f>
        <v>0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70"/>
      <c r="AD23" s="19"/>
      <c r="AE23" s="19"/>
      <c r="AF23" s="19"/>
      <c r="AG23" s="19"/>
    </row>
    <row r="24" spans="1:33" hidden="1" outlineLevel="3" x14ac:dyDescent="0.2">
      <c r="A24" s="19"/>
      <c r="B24" s="147">
        <v>14</v>
      </c>
      <c r="C24" s="506">
        <f>_xlfn.IFNA(INDEX(Tariffs!$C$46:$C$120,MATCH(B24,Tariffs!$W$46:$W$120,0)),0)</f>
        <v>0</v>
      </c>
      <c r="D24" s="505">
        <f>_xlfn.IFNA(INDEX(Tariffs!$P$46:$P$120,MATCH(C24,Tariffs!$C$46:$C$120,0)),0)</f>
        <v>0</v>
      </c>
      <c r="E24" s="505">
        <f>_xlfn.IFNA(INDEX(Tariffs!$M$46:$M$120,MATCH(C24,Tariffs!$C$46:$C$120,0)),0)</f>
        <v>0</v>
      </c>
      <c r="F24" s="536"/>
      <c r="G24" s="512"/>
      <c r="H24" s="536"/>
      <c r="I24" s="438">
        <f>_xlfn.IFNA(INDEX(Tariffs!Q$46:Q$120,MATCH(Movements!$C24,Tariffs!$C$46:$C$120,0)),0)</f>
        <v>0</v>
      </c>
      <c r="J24" s="438">
        <f>_xlfn.IFNA(INDEX(Tariffs!R$46:R$120,MATCH(Movements!$C24,Tariffs!$C$46:$C$120,0)),0)</f>
        <v>0</v>
      </c>
      <c r="K24" s="438">
        <f>_xlfn.IFNA(INDEX(Tariffs!S$46:S$120,MATCH(Movements!$C24,Tariffs!$C$46:$C$120,0)),0)</f>
        <v>0</v>
      </c>
      <c r="L24" s="562"/>
      <c r="M24" s="438">
        <f>_xlfn.IFNA(INDEX(Tariffs!$V$46:$V$120,MATCH(Movements!C24,Tariffs!$C$46:$C$120,0)),0)</f>
        <v>0</v>
      </c>
      <c r="N24" s="198">
        <f>_xlfn.IFNA(INDEX(Metering!$K$7:$R$48,MATCH(Movements!M24,Metering!$C$7:$C$48,0),MATCH(forecastyear,Metering!$K$5:$R$5,0)),0)</f>
        <v>0</v>
      </c>
      <c r="O24" s="198">
        <f>_xlfn.IFNA(INDEX(Metering!$K$7:$R$48,MATCH(Movements!M24,Metering!$C$7:$C$48,0),MATCH(currentyear,Metering!$K$5:$R$5,0)),0)</f>
        <v>0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70"/>
      <c r="AD24" s="19"/>
      <c r="AE24" s="19"/>
      <c r="AF24" s="19"/>
      <c r="AG24" s="19"/>
    </row>
    <row r="25" spans="1:33" hidden="1" outlineLevel="3" x14ac:dyDescent="0.2">
      <c r="A25" s="19"/>
      <c r="B25" s="147">
        <v>15</v>
      </c>
      <c r="C25" s="506">
        <f>_xlfn.IFNA(INDEX(Tariffs!$C$46:$C$120,MATCH(B25,Tariffs!$W$46:$W$120,0)),0)</f>
        <v>0</v>
      </c>
      <c r="D25" s="505">
        <f>_xlfn.IFNA(INDEX(Tariffs!$P$46:$P$120,MATCH(C25,Tariffs!$C$46:$C$120,0)),0)</f>
        <v>0</v>
      </c>
      <c r="E25" s="505">
        <f>_xlfn.IFNA(INDEX(Tariffs!$M$46:$M$120,MATCH(C25,Tariffs!$C$46:$C$120,0)),0)</f>
        <v>0</v>
      </c>
      <c r="F25" s="536"/>
      <c r="G25" s="512"/>
      <c r="H25" s="536"/>
      <c r="I25" s="438">
        <f>_xlfn.IFNA(INDEX(Tariffs!Q$46:Q$120,MATCH(Movements!$C25,Tariffs!$C$46:$C$120,0)),0)</f>
        <v>0</v>
      </c>
      <c r="J25" s="438">
        <f>_xlfn.IFNA(INDEX(Tariffs!R$46:R$120,MATCH(Movements!$C25,Tariffs!$C$46:$C$120,0)),0)</f>
        <v>0</v>
      </c>
      <c r="K25" s="438">
        <f>_xlfn.IFNA(INDEX(Tariffs!S$46:S$120,MATCH(Movements!$C25,Tariffs!$C$46:$C$120,0)),0)</f>
        <v>0</v>
      </c>
      <c r="L25" s="562"/>
      <c r="M25" s="438">
        <f>_xlfn.IFNA(INDEX(Tariffs!$V$46:$V$120,MATCH(Movements!C25,Tariffs!$C$46:$C$120,0)),0)</f>
        <v>0</v>
      </c>
      <c r="N25" s="198">
        <f>_xlfn.IFNA(INDEX(Metering!$K$7:$R$48,MATCH(Movements!M25,Metering!$C$7:$C$48,0),MATCH(forecastyear,Metering!$K$5:$R$5,0)),0)</f>
        <v>0</v>
      </c>
      <c r="O25" s="198">
        <f>_xlfn.IFNA(INDEX(Metering!$K$7:$R$48,MATCH(Movements!M25,Metering!$C$7:$C$48,0),MATCH(currentyear,Metering!$K$5:$R$5,0)),0)</f>
        <v>0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70"/>
      <c r="AD25" s="19"/>
      <c r="AE25" s="19"/>
      <c r="AF25" s="19"/>
      <c r="AG25" s="19"/>
    </row>
    <row r="26" spans="1:33" hidden="1" outlineLevel="3" x14ac:dyDescent="0.2">
      <c r="A26" s="19"/>
      <c r="B26" s="566">
        <v>16</v>
      </c>
      <c r="C26" s="506">
        <f>_xlfn.IFNA(INDEX(Tariffs!$C$46:$C$120,MATCH(B26,Tariffs!$W$46:$W$120,0)),0)</f>
        <v>0</v>
      </c>
      <c r="D26" s="505">
        <f>_xlfn.IFNA(INDEX(Tariffs!$P$46:$P$120,MATCH(C26,Tariffs!$C$46:$C$120,0)),0)</f>
        <v>0</v>
      </c>
      <c r="E26" s="505">
        <f>_xlfn.IFNA(INDEX(Tariffs!$M$46:$M$120,MATCH(C26,Tariffs!$C$46:$C$120,0)),0)</f>
        <v>0</v>
      </c>
      <c r="F26" s="536"/>
      <c r="G26" s="512"/>
      <c r="H26" s="536"/>
      <c r="I26" s="438">
        <f>_xlfn.IFNA(INDEX(Tariffs!Q$46:Q$120,MATCH(Movements!$C26,Tariffs!$C$46:$C$120,0)),0)</f>
        <v>0</v>
      </c>
      <c r="J26" s="438">
        <f>_xlfn.IFNA(INDEX(Tariffs!R$46:R$120,MATCH(Movements!$C26,Tariffs!$C$46:$C$120,0)),0)</f>
        <v>0</v>
      </c>
      <c r="K26" s="438">
        <f>_xlfn.IFNA(INDEX(Tariffs!S$46:S$120,MATCH(Movements!$C26,Tariffs!$C$46:$C$120,0)),0)</f>
        <v>0</v>
      </c>
      <c r="L26" s="562"/>
      <c r="M26" s="438">
        <f>_xlfn.IFNA(INDEX(Tariffs!$V$46:$V$120,MATCH(Movements!C26,Tariffs!$C$46:$C$120,0)),0)</f>
        <v>0</v>
      </c>
      <c r="N26" s="198">
        <f>_xlfn.IFNA(INDEX(Metering!$K$7:$R$48,MATCH(Movements!M26,Metering!$C$7:$C$48,0),MATCH(forecastyear,Metering!$K$5:$R$5,0)),0)</f>
        <v>0</v>
      </c>
      <c r="O26" s="198">
        <f>_xlfn.IFNA(INDEX(Metering!$K$7:$R$48,MATCH(Movements!M26,Metering!$C$7:$C$48,0),MATCH(currentyear,Metering!$K$5:$R$5,0)),0)</f>
        <v>0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70"/>
      <c r="AD26" s="19"/>
      <c r="AE26" s="19"/>
      <c r="AF26" s="19"/>
      <c r="AG26" s="19"/>
    </row>
    <row r="27" spans="1:33" hidden="1" outlineLevel="3" x14ac:dyDescent="0.2">
      <c r="A27" s="19"/>
      <c r="B27" s="147">
        <v>17</v>
      </c>
      <c r="C27" s="506">
        <f>_xlfn.IFNA(INDEX(Tariffs!$C$46:$C$120,MATCH(B27,Tariffs!$W$46:$W$120,0)),0)</f>
        <v>0</v>
      </c>
      <c r="D27" s="505">
        <f>_xlfn.IFNA(INDEX(Tariffs!$P$46:$P$120,MATCH(C27,Tariffs!$C$46:$C$120,0)),0)</f>
        <v>0</v>
      </c>
      <c r="E27" s="505">
        <f>_xlfn.IFNA(INDEX(Tariffs!$M$46:$M$120,MATCH(C27,Tariffs!$C$46:$C$120,0)),0)</f>
        <v>0</v>
      </c>
      <c r="F27" s="536"/>
      <c r="G27" s="512"/>
      <c r="H27" s="536"/>
      <c r="I27" s="438">
        <f>_xlfn.IFNA(INDEX(Tariffs!Q$46:Q$120,MATCH(Movements!$C27,Tariffs!$C$46:$C$120,0)),0)</f>
        <v>0</v>
      </c>
      <c r="J27" s="438">
        <f>_xlfn.IFNA(INDEX(Tariffs!R$46:R$120,MATCH(Movements!$C27,Tariffs!$C$46:$C$120,0)),0)</f>
        <v>0</v>
      </c>
      <c r="K27" s="438">
        <f>_xlfn.IFNA(INDEX(Tariffs!S$46:S$120,MATCH(Movements!$C27,Tariffs!$C$46:$C$120,0)),0)</f>
        <v>0</v>
      </c>
      <c r="L27" s="562"/>
      <c r="M27" s="438">
        <f>_xlfn.IFNA(INDEX(Tariffs!$V$46:$V$120,MATCH(Movements!C27,Tariffs!$C$46:$C$120,0)),0)</f>
        <v>0</v>
      </c>
      <c r="N27" s="198">
        <f>_xlfn.IFNA(INDEX(Metering!$K$7:$R$48,MATCH(Movements!M27,Metering!$C$7:$C$48,0),MATCH(forecastyear,Metering!$K$5:$R$5,0)),0)</f>
        <v>0</v>
      </c>
      <c r="O27" s="198">
        <f>_xlfn.IFNA(INDEX(Metering!$K$7:$R$48,MATCH(Movements!M27,Metering!$C$7:$C$48,0),MATCH(currentyear,Metering!$K$5:$R$5,0)),0)</f>
        <v>0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70"/>
      <c r="AD27" s="19"/>
      <c r="AE27" s="19"/>
      <c r="AF27" s="19"/>
      <c r="AG27" s="19"/>
    </row>
    <row r="28" spans="1:33" hidden="1" outlineLevel="3" x14ac:dyDescent="0.2">
      <c r="A28" s="19"/>
      <c r="B28" s="147">
        <v>18</v>
      </c>
      <c r="C28" s="506">
        <f>_xlfn.IFNA(INDEX(Tariffs!$C$46:$C$120,MATCH(B28,Tariffs!$W$46:$W$120,0)),0)</f>
        <v>0</v>
      </c>
      <c r="D28" s="505">
        <f>_xlfn.IFNA(INDEX(Tariffs!$P$46:$P$120,MATCH(C28,Tariffs!$C$46:$C$120,0)),0)</f>
        <v>0</v>
      </c>
      <c r="E28" s="505">
        <f>_xlfn.IFNA(INDEX(Tariffs!$M$46:$M$120,MATCH(C28,Tariffs!$C$46:$C$120,0)),0)</f>
        <v>0</v>
      </c>
      <c r="F28" s="536"/>
      <c r="G28" s="512"/>
      <c r="H28" s="536"/>
      <c r="I28" s="438">
        <f>_xlfn.IFNA(INDEX(Tariffs!Q$46:Q$120,MATCH(Movements!$C28,Tariffs!$C$46:$C$120,0)),0)</f>
        <v>0</v>
      </c>
      <c r="J28" s="438">
        <f>_xlfn.IFNA(INDEX(Tariffs!R$46:R$120,MATCH(Movements!$C28,Tariffs!$C$46:$C$120,0)),0)</f>
        <v>0</v>
      </c>
      <c r="K28" s="438">
        <f>_xlfn.IFNA(INDEX(Tariffs!S$46:S$120,MATCH(Movements!$C28,Tariffs!$C$46:$C$120,0)),0)</f>
        <v>0</v>
      </c>
      <c r="L28" s="562"/>
      <c r="M28" s="438">
        <f>_xlfn.IFNA(INDEX(Tariffs!$V$46:$V$120,MATCH(Movements!C28,Tariffs!$C$46:$C$120,0)),0)</f>
        <v>0</v>
      </c>
      <c r="N28" s="198">
        <f>_xlfn.IFNA(INDEX(Metering!$K$7:$R$48,MATCH(Movements!M28,Metering!$C$7:$C$48,0),MATCH(forecastyear,Metering!$K$5:$R$5,0)),0)</f>
        <v>0</v>
      </c>
      <c r="O28" s="198">
        <f>_xlfn.IFNA(INDEX(Metering!$K$7:$R$48,MATCH(Movements!M28,Metering!$C$7:$C$48,0),MATCH(currentyear,Metering!$K$5:$R$5,0)),0)</f>
        <v>0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70"/>
      <c r="AD28" s="19"/>
      <c r="AE28" s="19"/>
      <c r="AF28" s="19"/>
      <c r="AG28" s="19"/>
    </row>
    <row r="29" spans="1:33" hidden="1" outlineLevel="3" x14ac:dyDescent="0.2">
      <c r="A29" s="19"/>
      <c r="B29" s="147">
        <v>19</v>
      </c>
      <c r="C29" s="506">
        <f>_xlfn.IFNA(INDEX(Tariffs!$C$46:$C$120,MATCH(B29,Tariffs!$W$46:$W$120,0)),0)</f>
        <v>0</v>
      </c>
      <c r="D29" s="505">
        <f>_xlfn.IFNA(INDEX(Tariffs!$P$46:$P$120,MATCH(C29,Tariffs!$C$46:$C$120,0)),0)</f>
        <v>0</v>
      </c>
      <c r="E29" s="505">
        <f>_xlfn.IFNA(INDEX(Tariffs!$M$46:$M$120,MATCH(C29,Tariffs!$C$46:$C$120,0)),0)</f>
        <v>0</v>
      </c>
      <c r="F29" s="536"/>
      <c r="G29" s="512"/>
      <c r="H29" s="536"/>
      <c r="I29" s="438">
        <f>_xlfn.IFNA(INDEX(Tariffs!Q$46:Q$120,MATCH(Movements!$C29,Tariffs!$C$46:$C$120,0)),0)</f>
        <v>0</v>
      </c>
      <c r="J29" s="438">
        <f>_xlfn.IFNA(INDEX(Tariffs!R$46:R$120,MATCH(Movements!$C29,Tariffs!$C$46:$C$120,0)),0)</f>
        <v>0</v>
      </c>
      <c r="K29" s="438">
        <f>_xlfn.IFNA(INDEX(Tariffs!S$46:S$120,MATCH(Movements!$C29,Tariffs!$C$46:$C$120,0)),0)</f>
        <v>0</v>
      </c>
      <c r="L29" s="562"/>
      <c r="M29" s="438">
        <f>_xlfn.IFNA(INDEX(Tariffs!$V$46:$V$120,MATCH(Movements!C29,Tariffs!$C$46:$C$120,0)),0)</f>
        <v>0</v>
      </c>
      <c r="N29" s="198">
        <f>_xlfn.IFNA(INDEX(Metering!$K$7:$R$48,MATCH(Movements!M29,Metering!$C$7:$C$48,0),MATCH(forecastyear,Metering!$K$5:$R$5,0)),0)</f>
        <v>0</v>
      </c>
      <c r="O29" s="198">
        <f>_xlfn.IFNA(INDEX(Metering!$K$7:$R$48,MATCH(Movements!M29,Metering!$C$7:$C$48,0),MATCH(currentyear,Metering!$K$5:$R$5,0)),0)</f>
        <v>0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70"/>
      <c r="AD29" s="19"/>
      <c r="AE29" s="19"/>
      <c r="AF29" s="19"/>
      <c r="AG29" s="19"/>
    </row>
    <row r="30" spans="1:33" hidden="1" outlineLevel="3" x14ac:dyDescent="0.2">
      <c r="A30" s="19"/>
      <c r="B30" s="147">
        <v>20</v>
      </c>
      <c r="C30" s="506">
        <f>_xlfn.IFNA(INDEX(Tariffs!$C$46:$C$120,MATCH(B30,Tariffs!$W$46:$W$120,0)),0)</f>
        <v>0</v>
      </c>
      <c r="D30" s="505">
        <f>_xlfn.IFNA(INDEX(Tariffs!$P$46:$P$120,MATCH(C30,Tariffs!$C$46:$C$120,0)),0)</f>
        <v>0</v>
      </c>
      <c r="E30" s="505">
        <f>_xlfn.IFNA(INDEX(Tariffs!$M$46:$M$120,MATCH(C30,Tariffs!$C$46:$C$120,0)),0)</f>
        <v>0</v>
      </c>
      <c r="F30" s="536"/>
      <c r="G30" s="512"/>
      <c r="H30" s="536"/>
      <c r="I30" s="438">
        <f>_xlfn.IFNA(INDEX(Tariffs!Q$46:Q$120,MATCH(Movements!$C30,Tariffs!$C$46:$C$120,0)),0)</f>
        <v>0</v>
      </c>
      <c r="J30" s="438">
        <f>_xlfn.IFNA(INDEX(Tariffs!R$46:R$120,MATCH(Movements!$C30,Tariffs!$C$46:$C$120,0)),0)</f>
        <v>0</v>
      </c>
      <c r="K30" s="438">
        <f>_xlfn.IFNA(INDEX(Tariffs!S$46:S$120,MATCH(Movements!$C30,Tariffs!$C$46:$C$120,0)),0)</f>
        <v>0</v>
      </c>
      <c r="L30" s="562"/>
      <c r="M30" s="438">
        <f>_xlfn.IFNA(INDEX(Tariffs!$V$46:$V$120,MATCH(Movements!C30,Tariffs!$C$46:$C$120,0)),0)</f>
        <v>0</v>
      </c>
      <c r="N30" s="198">
        <f>_xlfn.IFNA(INDEX(Metering!$K$7:$R$48,MATCH(Movements!M30,Metering!$C$7:$C$48,0),MATCH(forecastyear,Metering!$K$5:$R$5,0)),0)</f>
        <v>0</v>
      </c>
      <c r="O30" s="198">
        <f>_xlfn.IFNA(INDEX(Metering!$K$7:$R$48,MATCH(Movements!M30,Metering!$C$7:$C$48,0),MATCH(currentyear,Metering!$K$5:$R$5,0)),0)</f>
        <v>0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70"/>
      <c r="AD30" s="19"/>
      <c r="AE30" s="19"/>
      <c r="AF30" s="19"/>
      <c r="AG30" s="19"/>
    </row>
    <row r="31" spans="1:33" hidden="1" outlineLevel="3" x14ac:dyDescent="0.2">
      <c r="A31" s="19"/>
      <c r="B31" s="147">
        <v>21</v>
      </c>
      <c r="C31" s="506">
        <f>_xlfn.IFNA(INDEX(Tariffs!$C$46:$C$120,MATCH(B31,Tariffs!$W$46:$W$120,0)),0)</f>
        <v>0</v>
      </c>
      <c r="D31" s="505">
        <f>_xlfn.IFNA(INDEX(Tariffs!$P$46:$P$120,MATCH(C31,Tariffs!$C$46:$C$120,0)),0)</f>
        <v>0</v>
      </c>
      <c r="E31" s="505">
        <f>_xlfn.IFNA(INDEX(Tariffs!$M$46:$M$120,MATCH(C31,Tariffs!$C$46:$C$120,0)),0)</f>
        <v>0</v>
      </c>
      <c r="F31" s="536"/>
      <c r="G31" s="512"/>
      <c r="H31" s="536"/>
      <c r="I31" s="438">
        <f>_xlfn.IFNA(INDEX(Tariffs!Q$46:Q$120,MATCH(Movements!$C31,Tariffs!$C$46:$C$120,0)),0)</f>
        <v>0</v>
      </c>
      <c r="J31" s="438">
        <f>_xlfn.IFNA(INDEX(Tariffs!R$46:R$120,MATCH(Movements!$C31,Tariffs!$C$46:$C$120,0)),0)</f>
        <v>0</v>
      </c>
      <c r="K31" s="438">
        <f>_xlfn.IFNA(INDEX(Tariffs!S$46:S$120,MATCH(Movements!$C31,Tariffs!$C$46:$C$120,0)),0)</f>
        <v>0</v>
      </c>
      <c r="L31" s="562"/>
      <c r="M31" s="438">
        <f>_xlfn.IFNA(INDEX(Tariffs!$V$46:$V$120,MATCH(Movements!C31,Tariffs!$C$46:$C$120,0)),0)</f>
        <v>0</v>
      </c>
      <c r="N31" s="198">
        <f>_xlfn.IFNA(INDEX(Metering!$K$7:$R$48,MATCH(Movements!M31,Metering!$C$7:$C$48,0),MATCH(forecastyear,Metering!$K$5:$R$5,0)),0)</f>
        <v>0</v>
      </c>
      <c r="O31" s="198">
        <f>_xlfn.IFNA(INDEX(Metering!$K$7:$R$48,MATCH(Movements!M31,Metering!$C$7:$C$48,0),MATCH(currentyear,Metering!$K$5:$R$5,0)),0)</f>
        <v>0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70"/>
      <c r="AD31" s="19"/>
      <c r="AE31" s="19"/>
      <c r="AF31" s="19"/>
      <c r="AG31" s="19"/>
    </row>
    <row r="32" spans="1:33" hidden="1" outlineLevel="3" x14ac:dyDescent="0.2">
      <c r="A32" s="19"/>
      <c r="B32" s="147">
        <v>22</v>
      </c>
      <c r="C32" s="506">
        <f>_xlfn.IFNA(INDEX(Tariffs!$C$46:$C$120,MATCH(B32,Tariffs!$W$46:$W$120,0)),0)</f>
        <v>0</v>
      </c>
      <c r="D32" s="505">
        <f>_xlfn.IFNA(INDEX(Tariffs!$P$46:$P$120,MATCH(C32,Tariffs!$C$46:$C$120,0)),0)</f>
        <v>0</v>
      </c>
      <c r="E32" s="505">
        <f>_xlfn.IFNA(INDEX(Tariffs!$M$46:$M$120,MATCH(C32,Tariffs!$C$46:$C$120,0)),0)</f>
        <v>0</v>
      </c>
      <c r="F32" s="536"/>
      <c r="G32" s="512"/>
      <c r="H32" s="536"/>
      <c r="I32" s="438">
        <f>_xlfn.IFNA(INDEX(Tariffs!Q$46:Q$120,MATCH(Movements!$C32,Tariffs!$C$46:$C$120,0)),0)</f>
        <v>0</v>
      </c>
      <c r="J32" s="438">
        <f>_xlfn.IFNA(INDEX(Tariffs!R$46:R$120,MATCH(Movements!$C32,Tariffs!$C$46:$C$120,0)),0)</f>
        <v>0</v>
      </c>
      <c r="K32" s="438">
        <f>_xlfn.IFNA(INDEX(Tariffs!S$46:S$120,MATCH(Movements!$C32,Tariffs!$C$46:$C$120,0)),0)</f>
        <v>0</v>
      </c>
      <c r="L32" s="562"/>
      <c r="M32" s="438">
        <f>_xlfn.IFNA(INDEX(Tariffs!$V$46:$V$120,MATCH(Movements!C32,Tariffs!$C$46:$C$120,0)),0)</f>
        <v>0</v>
      </c>
      <c r="N32" s="198">
        <f>_xlfn.IFNA(INDEX(Metering!$K$7:$R$48,MATCH(Movements!M32,Metering!$C$7:$C$48,0),MATCH(forecastyear,Metering!$K$5:$R$5,0)),0)</f>
        <v>0</v>
      </c>
      <c r="O32" s="198">
        <f>_xlfn.IFNA(INDEX(Metering!$K$7:$R$48,MATCH(Movements!M32,Metering!$C$7:$C$48,0),MATCH(currentyear,Metering!$K$5:$R$5,0)),0)</f>
        <v>0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70"/>
      <c r="AD32" s="19"/>
      <c r="AE32" s="19"/>
      <c r="AF32" s="19"/>
      <c r="AG32" s="19"/>
    </row>
    <row r="33" spans="1:33" hidden="1" outlineLevel="3" x14ac:dyDescent="0.2">
      <c r="A33" s="19"/>
      <c r="B33" s="566">
        <v>23</v>
      </c>
      <c r="C33" s="506">
        <f>_xlfn.IFNA(INDEX(Tariffs!$C$46:$C$120,MATCH(B33,Tariffs!$W$46:$W$120,0)),0)</f>
        <v>0</v>
      </c>
      <c r="D33" s="505">
        <f>_xlfn.IFNA(INDEX(Tariffs!$P$46:$P$120,MATCH(C33,Tariffs!$C$46:$C$120,0)),0)</f>
        <v>0</v>
      </c>
      <c r="E33" s="505">
        <f>_xlfn.IFNA(INDEX(Tariffs!$M$46:$M$120,MATCH(C33,Tariffs!$C$46:$C$120,0)),0)</f>
        <v>0</v>
      </c>
      <c r="F33" s="536"/>
      <c r="G33" s="512"/>
      <c r="H33" s="536"/>
      <c r="I33" s="438">
        <f>_xlfn.IFNA(INDEX(Tariffs!Q$46:Q$120,MATCH(Movements!$C33,Tariffs!$C$46:$C$120,0)),0)</f>
        <v>0</v>
      </c>
      <c r="J33" s="438">
        <f>_xlfn.IFNA(INDEX(Tariffs!R$46:R$120,MATCH(Movements!$C33,Tariffs!$C$46:$C$120,0)),0)</f>
        <v>0</v>
      </c>
      <c r="K33" s="438">
        <f>_xlfn.IFNA(INDEX(Tariffs!S$46:S$120,MATCH(Movements!$C33,Tariffs!$C$46:$C$120,0)),0)</f>
        <v>0</v>
      </c>
      <c r="L33" s="562"/>
      <c r="M33" s="438">
        <f>_xlfn.IFNA(INDEX(Tariffs!$V$46:$V$120,MATCH(Movements!C33,Tariffs!$C$46:$C$120,0)),0)</f>
        <v>0</v>
      </c>
      <c r="N33" s="198">
        <f>_xlfn.IFNA(INDEX(Metering!$K$7:$R$48,MATCH(Movements!M33,Metering!$C$7:$C$48,0),MATCH(forecastyear,Metering!$K$5:$R$5,0)),0)</f>
        <v>0</v>
      </c>
      <c r="O33" s="198">
        <f>_xlfn.IFNA(INDEX(Metering!$K$7:$R$48,MATCH(Movements!M33,Metering!$C$7:$C$48,0),MATCH(currentyear,Metering!$K$5:$R$5,0)),0)</f>
        <v>0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70"/>
      <c r="AD33" s="19"/>
      <c r="AE33" s="19"/>
      <c r="AF33" s="19"/>
      <c r="AG33" s="19"/>
    </row>
    <row r="34" spans="1:33" hidden="1" outlineLevel="3" x14ac:dyDescent="0.2">
      <c r="A34" s="19"/>
      <c r="B34" s="147">
        <v>24</v>
      </c>
      <c r="C34" s="506">
        <f>_xlfn.IFNA(INDEX(Tariffs!$C$46:$C$120,MATCH(B34,Tariffs!$W$46:$W$120,0)),0)</f>
        <v>0</v>
      </c>
      <c r="D34" s="505">
        <f>_xlfn.IFNA(INDEX(Tariffs!$P$46:$P$120,MATCH(C34,Tariffs!$C$46:$C$120,0)),0)</f>
        <v>0</v>
      </c>
      <c r="E34" s="505">
        <f>_xlfn.IFNA(INDEX(Tariffs!$M$46:$M$120,MATCH(C34,Tariffs!$C$46:$C$120,0)),0)</f>
        <v>0</v>
      </c>
      <c r="F34" s="536"/>
      <c r="G34" s="512"/>
      <c r="H34" s="536"/>
      <c r="I34" s="438">
        <f>_xlfn.IFNA(INDEX(Tariffs!Q$46:Q$120,MATCH(Movements!$C34,Tariffs!$C$46:$C$120,0)),0)</f>
        <v>0</v>
      </c>
      <c r="J34" s="438">
        <f>_xlfn.IFNA(INDEX(Tariffs!R$46:R$120,MATCH(Movements!$C34,Tariffs!$C$46:$C$120,0)),0)</f>
        <v>0</v>
      </c>
      <c r="K34" s="438">
        <f>_xlfn.IFNA(INDEX(Tariffs!S$46:S$120,MATCH(Movements!$C34,Tariffs!$C$46:$C$120,0)),0)</f>
        <v>0</v>
      </c>
      <c r="L34" s="562"/>
      <c r="M34" s="438">
        <f>_xlfn.IFNA(INDEX(Tariffs!$V$46:$V$120,MATCH(Movements!C34,Tariffs!$C$46:$C$120,0)),0)</f>
        <v>0</v>
      </c>
      <c r="N34" s="198">
        <f>_xlfn.IFNA(INDEX(Metering!$K$7:$R$48,MATCH(Movements!M34,Metering!$C$7:$C$48,0),MATCH(forecastyear,Metering!$K$5:$R$5,0)),0)</f>
        <v>0</v>
      </c>
      <c r="O34" s="198">
        <f>_xlfn.IFNA(INDEX(Metering!$K$7:$R$48,MATCH(Movements!M34,Metering!$C$7:$C$48,0),MATCH(currentyear,Metering!$K$5:$R$5,0)),0)</f>
        <v>0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70"/>
      <c r="AD34" s="19"/>
      <c r="AE34" s="19"/>
      <c r="AF34" s="19"/>
      <c r="AG34" s="19"/>
    </row>
    <row r="35" spans="1:33" hidden="1" outlineLevel="3" x14ac:dyDescent="0.2">
      <c r="A35" s="19"/>
      <c r="B35" s="147">
        <v>25</v>
      </c>
      <c r="C35" s="506">
        <f>_xlfn.IFNA(INDEX(Tariffs!$C$46:$C$120,MATCH(B35,Tariffs!$W$46:$W$120,0)),0)</f>
        <v>0</v>
      </c>
      <c r="D35" s="505">
        <f>_xlfn.IFNA(INDEX(Tariffs!$P$46:$P$120,MATCH(C35,Tariffs!$C$46:$C$120,0)),0)</f>
        <v>0</v>
      </c>
      <c r="E35" s="505">
        <f>_xlfn.IFNA(INDEX(Tariffs!$M$46:$M$120,MATCH(C35,Tariffs!$C$46:$C$120,0)),0)</f>
        <v>0</v>
      </c>
      <c r="F35" s="536"/>
      <c r="G35" s="512"/>
      <c r="H35" s="536"/>
      <c r="I35" s="438">
        <f>_xlfn.IFNA(INDEX(Tariffs!Q$46:Q$120,MATCH(Movements!$C35,Tariffs!$C$46:$C$120,0)),0)</f>
        <v>0</v>
      </c>
      <c r="J35" s="438">
        <f>_xlfn.IFNA(INDEX(Tariffs!R$46:R$120,MATCH(Movements!$C35,Tariffs!$C$46:$C$120,0)),0)</f>
        <v>0</v>
      </c>
      <c r="K35" s="438">
        <f>_xlfn.IFNA(INDEX(Tariffs!S$46:S$120,MATCH(Movements!$C35,Tariffs!$C$46:$C$120,0)),0)</f>
        <v>0</v>
      </c>
      <c r="L35" s="562"/>
      <c r="M35" s="438">
        <f>_xlfn.IFNA(INDEX(Tariffs!$V$46:$V$120,MATCH(Movements!C35,Tariffs!$C$46:$C$120,0)),0)</f>
        <v>0</v>
      </c>
      <c r="N35" s="198">
        <f>_xlfn.IFNA(INDEX(Metering!$K$7:$R$48,MATCH(Movements!M35,Metering!$C$7:$C$48,0),MATCH(forecastyear,Metering!$K$5:$R$5,0)),0)</f>
        <v>0</v>
      </c>
      <c r="O35" s="198">
        <f>_xlfn.IFNA(INDEX(Metering!$K$7:$R$48,MATCH(Movements!M35,Metering!$C$7:$C$48,0),MATCH(currentyear,Metering!$K$5:$R$5,0)),0)</f>
        <v>0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70"/>
      <c r="AD35" s="19"/>
      <c r="AE35" s="19"/>
      <c r="AF35" s="19"/>
      <c r="AG35" s="19"/>
    </row>
    <row r="36" spans="1:33" hidden="1" outlineLevel="3" x14ac:dyDescent="0.2">
      <c r="A36" s="19"/>
      <c r="B36" s="147">
        <v>26</v>
      </c>
      <c r="C36" s="506">
        <f>_xlfn.IFNA(INDEX(Tariffs!$C$46:$C$120,MATCH(B36,Tariffs!$W$46:$W$120,0)),0)</f>
        <v>0</v>
      </c>
      <c r="D36" s="505">
        <f>_xlfn.IFNA(INDEX(Tariffs!$P$46:$P$120,MATCH(C36,Tariffs!$C$46:$C$120,0)),0)</f>
        <v>0</v>
      </c>
      <c r="E36" s="505">
        <f>_xlfn.IFNA(INDEX(Tariffs!$M$46:$M$120,MATCH(C36,Tariffs!$C$46:$C$120,0)),0)</f>
        <v>0</v>
      </c>
      <c r="F36" s="536"/>
      <c r="G36" s="512"/>
      <c r="H36" s="536"/>
      <c r="I36" s="438">
        <f>_xlfn.IFNA(INDEX(Tariffs!Q$46:Q$120,MATCH(Movements!$C36,Tariffs!$C$46:$C$120,0)),0)</f>
        <v>0</v>
      </c>
      <c r="J36" s="438">
        <f>_xlfn.IFNA(INDEX(Tariffs!R$46:R$120,MATCH(Movements!$C36,Tariffs!$C$46:$C$120,0)),0)</f>
        <v>0</v>
      </c>
      <c r="K36" s="438">
        <f>_xlfn.IFNA(INDEX(Tariffs!S$46:S$120,MATCH(Movements!$C36,Tariffs!$C$46:$C$120,0)),0)</f>
        <v>0</v>
      </c>
      <c r="L36" s="562"/>
      <c r="M36" s="438">
        <f>_xlfn.IFNA(INDEX(Tariffs!$V$46:$V$120,MATCH(Movements!C36,Tariffs!$C$46:$C$120,0)),0)</f>
        <v>0</v>
      </c>
      <c r="N36" s="198">
        <f>_xlfn.IFNA(INDEX(Metering!$K$7:$R$48,MATCH(Movements!M36,Metering!$C$7:$C$48,0),MATCH(forecastyear,Metering!$K$5:$R$5,0)),0)</f>
        <v>0</v>
      </c>
      <c r="O36" s="198">
        <f>_xlfn.IFNA(INDEX(Metering!$K$7:$R$48,MATCH(Movements!M36,Metering!$C$7:$C$48,0),MATCH(currentyear,Metering!$K$5:$R$5,0)),0)</f>
        <v>0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70"/>
      <c r="AD36" s="19"/>
      <c r="AE36" s="19"/>
      <c r="AF36" s="19"/>
      <c r="AG36" s="19"/>
    </row>
    <row r="37" spans="1:33" hidden="1" outlineLevel="3" x14ac:dyDescent="0.2">
      <c r="A37" s="19"/>
      <c r="B37" s="147">
        <v>27</v>
      </c>
      <c r="C37" s="506">
        <f>_xlfn.IFNA(INDEX(Tariffs!$C$46:$C$120,MATCH(B37,Tariffs!$W$46:$W$120,0)),0)</f>
        <v>0</v>
      </c>
      <c r="D37" s="505">
        <f>_xlfn.IFNA(INDEX(Tariffs!$P$46:$P$120,MATCH(C37,Tariffs!$C$46:$C$120,0)),0)</f>
        <v>0</v>
      </c>
      <c r="E37" s="505">
        <f>_xlfn.IFNA(INDEX(Tariffs!$M$46:$M$120,MATCH(C37,Tariffs!$C$46:$C$120,0)),0)</f>
        <v>0</v>
      </c>
      <c r="F37" s="536"/>
      <c r="G37" s="512"/>
      <c r="H37" s="536"/>
      <c r="I37" s="438">
        <f>_xlfn.IFNA(INDEX(Tariffs!Q$46:Q$120,MATCH(Movements!$C37,Tariffs!$C$46:$C$120,0)),0)</f>
        <v>0</v>
      </c>
      <c r="J37" s="438">
        <f>_xlfn.IFNA(INDEX(Tariffs!R$46:R$120,MATCH(Movements!$C37,Tariffs!$C$46:$C$120,0)),0)</f>
        <v>0</v>
      </c>
      <c r="K37" s="438">
        <f>_xlfn.IFNA(INDEX(Tariffs!S$46:S$120,MATCH(Movements!$C37,Tariffs!$C$46:$C$120,0)),0)</f>
        <v>0</v>
      </c>
      <c r="L37" s="562"/>
      <c r="M37" s="438">
        <f>_xlfn.IFNA(INDEX(Tariffs!$V$46:$V$120,MATCH(Movements!C37,Tariffs!$C$46:$C$120,0)),0)</f>
        <v>0</v>
      </c>
      <c r="N37" s="198">
        <f>_xlfn.IFNA(INDEX(Metering!$K$7:$R$48,MATCH(Movements!M37,Metering!$C$7:$C$48,0),MATCH(forecastyear,Metering!$K$5:$R$5,0)),0)</f>
        <v>0</v>
      </c>
      <c r="O37" s="198">
        <f>_xlfn.IFNA(INDEX(Metering!$K$7:$R$48,MATCH(Movements!M37,Metering!$C$7:$C$48,0),MATCH(currentyear,Metering!$K$5:$R$5,0)),0)</f>
        <v>0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70"/>
      <c r="AD37" s="19"/>
      <c r="AE37" s="19"/>
      <c r="AF37" s="19"/>
      <c r="AG37" s="19"/>
    </row>
    <row r="38" spans="1:33" hidden="1" outlineLevel="3" x14ac:dyDescent="0.2">
      <c r="A38" s="19"/>
      <c r="B38" s="147">
        <v>28</v>
      </c>
      <c r="C38" s="506">
        <f>_xlfn.IFNA(INDEX(Tariffs!$C$46:$C$120,MATCH(B38,Tariffs!$W$46:$W$120,0)),0)</f>
        <v>0</v>
      </c>
      <c r="D38" s="505">
        <f>_xlfn.IFNA(INDEX(Tariffs!$P$46:$P$120,MATCH(C38,Tariffs!$C$46:$C$120,0)),0)</f>
        <v>0</v>
      </c>
      <c r="E38" s="505">
        <f>_xlfn.IFNA(INDEX(Tariffs!$M$46:$M$120,MATCH(C38,Tariffs!$C$46:$C$120,0)),0)</f>
        <v>0</v>
      </c>
      <c r="F38" s="536"/>
      <c r="G38" s="512"/>
      <c r="H38" s="536"/>
      <c r="I38" s="438">
        <f>_xlfn.IFNA(INDEX(Tariffs!Q$46:Q$120,MATCH(Movements!$C38,Tariffs!$C$46:$C$120,0)),0)</f>
        <v>0</v>
      </c>
      <c r="J38" s="438">
        <f>_xlfn.IFNA(INDEX(Tariffs!R$46:R$120,MATCH(Movements!$C38,Tariffs!$C$46:$C$120,0)),0)</f>
        <v>0</v>
      </c>
      <c r="K38" s="438">
        <f>_xlfn.IFNA(INDEX(Tariffs!S$46:S$120,MATCH(Movements!$C38,Tariffs!$C$46:$C$120,0)),0)</f>
        <v>0</v>
      </c>
      <c r="L38" s="562"/>
      <c r="M38" s="438">
        <f>_xlfn.IFNA(INDEX(Tariffs!$V$46:$V$120,MATCH(Movements!C38,Tariffs!$C$46:$C$120,0)),0)</f>
        <v>0</v>
      </c>
      <c r="N38" s="198">
        <f>_xlfn.IFNA(INDEX(Metering!$K$7:$R$48,MATCH(Movements!M38,Metering!$C$7:$C$48,0),MATCH(forecastyear,Metering!$K$5:$R$5,0)),0)</f>
        <v>0</v>
      </c>
      <c r="O38" s="198">
        <f>_xlfn.IFNA(INDEX(Metering!$K$7:$R$48,MATCH(Movements!M38,Metering!$C$7:$C$48,0),MATCH(currentyear,Metering!$K$5:$R$5,0)),0)</f>
        <v>0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70"/>
      <c r="AD38" s="19"/>
      <c r="AE38" s="19"/>
      <c r="AF38" s="19"/>
      <c r="AG38" s="19"/>
    </row>
    <row r="39" spans="1:33" hidden="1" outlineLevel="3" x14ac:dyDescent="0.2">
      <c r="A39" s="19"/>
      <c r="B39" s="147">
        <v>29</v>
      </c>
      <c r="C39" s="506">
        <f>_xlfn.IFNA(INDEX(Tariffs!$C$46:$C$120,MATCH(B39,Tariffs!$W$46:$W$120,0)),0)</f>
        <v>0</v>
      </c>
      <c r="D39" s="505">
        <f>_xlfn.IFNA(INDEX(Tariffs!$P$46:$P$120,MATCH(C39,Tariffs!$C$46:$C$120,0)),0)</f>
        <v>0</v>
      </c>
      <c r="E39" s="505">
        <f>_xlfn.IFNA(INDEX(Tariffs!$M$46:$M$120,MATCH(C39,Tariffs!$C$46:$C$120,0)),0)</f>
        <v>0</v>
      </c>
      <c r="F39" s="536"/>
      <c r="G39" s="512"/>
      <c r="H39" s="536"/>
      <c r="I39" s="438">
        <f>_xlfn.IFNA(INDEX(Tariffs!Q$46:Q$120,MATCH(Movements!$C39,Tariffs!$C$46:$C$120,0)),0)</f>
        <v>0</v>
      </c>
      <c r="J39" s="438">
        <f>_xlfn.IFNA(INDEX(Tariffs!R$46:R$120,MATCH(Movements!$C39,Tariffs!$C$46:$C$120,0)),0)</f>
        <v>0</v>
      </c>
      <c r="K39" s="438">
        <f>_xlfn.IFNA(INDEX(Tariffs!S$46:S$120,MATCH(Movements!$C39,Tariffs!$C$46:$C$120,0)),0)</f>
        <v>0</v>
      </c>
      <c r="L39" s="562"/>
      <c r="M39" s="438">
        <f>_xlfn.IFNA(INDEX(Tariffs!$V$46:$V$120,MATCH(Movements!C39,Tariffs!$C$46:$C$120,0)),0)</f>
        <v>0</v>
      </c>
      <c r="N39" s="198">
        <f>_xlfn.IFNA(INDEX(Metering!$K$7:$R$48,MATCH(Movements!M39,Metering!$C$7:$C$48,0),MATCH(forecastyear,Metering!$K$5:$R$5,0)),0)</f>
        <v>0</v>
      </c>
      <c r="O39" s="198">
        <f>_xlfn.IFNA(INDEX(Metering!$K$7:$R$48,MATCH(Movements!M39,Metering!$C$7:$C$48,0),MATCH(currentyear,Metering!$K$5:$R$5,0)),0)</f>
        <v>0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70"/>
      <c r="AD39" s="19"/>
      <c r="AE39" s="19"/>
      <c r="AF39" s="19"/>
      <c r="AG39" s="19"/>
    </row>
    <row r="40" spans="1:33" hidden="1" outlineLevel="3" x14ac:dyDescent="0.2">
      <c r="A40" s="19"/>
      <c r="B40" s="566">
        <v>30</v>
      </c>
      <c r="C40" s="506">
        <f>_xlfn.IFNA(INDEX(Tariffs!$C$46:$C$120,MATCH(B40,Tariffs!$W$46:$W$120,0)),0)</f>
        <v>0</v>
      </c>
      <c r="D40" s="505">
        <f>_xlfn.IFNA(INDEX(Tariffs!$P$46:$P$120,MATCH(C40,Tariffs!$C$46:$C$120,0)),0)</f>
        <v>0</v>
      </c>
      <c r="E40" s="505">
        <f>_xlfn.IFNA(INDEX(Tariffs!$M$46:$M$120,MATCH(C40,Tariffs!$C$46:$C$120,0)),0)</f>
        <v>0</v>
      </c>
      <c r="F40" s="536"/>
      <c r="G40" s="512"/>
      <c r="H40" s="536"/>
      <c r="I40" s="438">
        <f>_xlfn.IFNA(INDEX(Tariffs!Q$46:Q$120,MATCH(Movements!$C40,Tariffs!$C$46:$C$120,0)),0)</f>
        <v>0</v>
      </c>
      <c r="J40" s="438">
        <f>_xlfn.IFNA(INDEX(Tariffs!R$46:R$120,MATCH(Movements!$C40,Tariffs!$C$46:$C$120,0)),0)</f>
        <v>0</v>
      </c>
      <c r="K40" s="438">
        <f>_xlfn.IFNA(INDEX(Tariffs!S$46:S$120,MATCH(Movements!$C40,Tariffs!$C$46:$C$120,0)),0)</f>
        <v>0</v>
      </c>
      <c r="L40" s="562"/>
      <c r="M40" s="438">
        <f>_xlfn.IFNA(INDEX(Tariffs!$V$46:$V$120,MATCH(Movements!C40,Tariffs!$C$46:$C$120,0)),0)</f>
        <v>0</v>
      </c>
      <c r="N40" s="198">
        <f>_xlfn.IFNA(INDEX(Metering!$K$7:$R$48,MATCH(Movements!M40,Metering!$C$7:$C$48,0),MATCH(forecastyear,Metering!$K$5:$R$5,0)),0)</f>
        <v>0</v>
      </c>
      <c r="O40" s="198">
        <f>_xlfn.IFNA(INDEX(Metering!$K$7:$R$48,MATCH(Movements!M40,Metering!$C$7:$C$48,0),MATCH(currentyear,Metering!$K$5:$R$5,0)),0)</f>
        <v>0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70"/>
      <c r="AD40" s="19"/>
      <c r="AE40" s="19"/>
      <c r="AF40" s="19"/>
      <c r="AG40" s="19"/>
    </row>
    <row r="41" spans="1:33" outlineLevel="2" collapsed="1" x14ac:dyDescent="0.2">
      <c r="A41" s="19"/>
      <c r="B41" s="147"/>
      <c r="C41" s="560"/>
      <c r="D41" s="558"/>
      <c r="E41" s="559"/>
      <c r="F41" s="536"/>
      <c r="G41" s="536"/>
      <c r="H41" s="536"/>
      <c r="I41" s="217"/>
      <c r="J41" s="217"/>
      <c r="K41" s="563"/>
      <c r="L41" s="562"/>
      <c r="M41" s="564"/>
      <c r="N41" s="139"/>
      <c r="O41" s="139"/>
      <c r="P41" s="139"/>
      <c r="Q41" s="139"/>
      <c r="R41" s="139"/>
      <c r="S41" s="138"/>
      <c r="T41" s="138"/>
      <c r="U41" s="138"/>
      <c r="V41" s="70"/>
      <c r="W41" s="70"/>
      <c r="X41" s="70"/>
      <c r="Y41" s="70"/>
      <c r="Z41" s="70"/>
      <c r="AA41" s="70"/>
      <c r="AB41" s="70"/>
      <c r="AC41" s="70"/>
      <c r="AD41" s="19"/>
      <c r="AE41" s="19"/>
      <c r="AF41" s="19"/>
      <c r="AG41" s="19"/>
    </row>
    <row r="42" spans="1:33" outlineLevel="2" x14ac:dyDescent="0.2">
      <c r="A42" s="19"/>
      <c r="B42" s="147">
        <v>1</v>
      </c>
      <c r="C42" s="506" t="str">
        <f>_xlfn.IFNA(INDEX(Tariffs!$C$46:$C$120,MATCH(B42,Tariffs!$X$46:$X$120,0)),0)</f>
        <v>Small business time of use consumption</v>
      </c>
      <c r="D42" s="505">
        <f>_xlfn.IFNA(INDEX(Tariffs!$P$46:$P$120,MATCH(C42,Tariffs!$C$46:$C$120,0)),0)</f>
        <v>0</v>
      </c>
      <c r="E42" s="505" t="str">
        <f>_xlfn.IFNA(INDEX(Tariffs!$M$46:$M$120,MATCH(C42,Tariffs!$C$46:$C$120,0)),0)</f>
        <v>yes</v>
      </c>
      <c r="F42" s="512"/>
      <c r="G42" s="512"/>
      <c r="H42" s="170"/>
      <c r="I42" s="438">
        <f>_xlfn.IFNA(INDEX(Tariffs!Q$46:Q$120,MATCH(Movements!$C42,Tariffs!$C$46:$C$120,0)),0)</f>
        <v>0</v>
      </c>
      <c r="J42" s="438">
        <f>_xlfn.IFNA(INDEX(Tariffs!R$46:R$120,MATCH(Movements!$C42,Tariffs!$C$46:$C$120,0)),0)</f>
        <v>0</v>
      </c>
      <c r="K42" s="438">
        <f>_xlfn.IFNA(INDEX(Tariffs!S$46:S$120,MATCH(Movements!$C42,Tariffs!$C$46:$C$120,0)),0)</f>
        <v>0</v>
      </c>
      <c r="L42" s="562"/>
      <c r="M42" s="438" t="str">
        <f>_xlfn.IFNA(INDEX(Tariffs!$V$46:$V$120,MATCH(Movements!C42,Tariffs!$C$46:$C$120,0)),0)</f>
        <v>Domestic LV - Single Phase</v>
      </c>
      <c r="N42" s="198">
        <f>_xlfn.IFNA(INDEX(Metering!$K$7:$R$48,MATCH(Movements!M42,Metering!$C$7:$C$48,0),MATCH(forecastyear,Metering!$K$5:$R$5,0)),0)</f>
        <v>25.799999999999997</v>
      </c>
      <c r="O42" s="198">
        <f>_xlfn.IFNA(INDEX(Metering!$K$7:$R$48,MATCH(Movements!M42,Metering!$C$7:$C$48,0),MATCH(currentyear,Metering!$K$5:$R$5,0)),0)</f>
        <v>24.590050000000002</v>
      </c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70"/>
      <c r="AD42" s="19"/>
      <c r="AE42" s="19"/>
      <c r="AF42" s="19"/>
      <c r="AG42" s="19"/>
    </row>
    <row r="43" spans="1:33" s="59" customFormat="1" outlineLevel="2" x14ac:dyDescent="0.2">
      <c r="A43" s="57"/>
      <c r="B43" s="566">
        <v>2</v>
      </c>
      <c r="C43" s="506" t="str">
        <f>_xlfn.IFNA(INDEX(Tariffs!$C$46:$C$120,MATCH(B43,Tariffs!$X$46:$X$120,0)),0)</f>
        <v>Small business general light and power</v>
      </c>
      <c r="D43" s="505">
        <f>_xlfn.IFNA(INDEX(Tariffs!$P$46:$P$120,MATCH(C43,Tariffs!$C$46:$C$120,0)),0)</f>
        <v>0</v>
      </c>
      <c r="E43" s="505" t="str">
        <f>_xlfn.IFNA(INDEX(Tariffs!$M$46:$M$120,MATCH(C43,Tariffs!$C$46:$C$120,0)),0)</f>
        <v>no</v>
      </c>
      <c r="F43" s="536"/>
      <c r="G43" s="512"/>
      <c r="H43" s="536"/>
      <c r="I43" s="438">
        <f>_xlfn.IFNA(INDEX(Tariffs!Q$46:Q$120,MATCH(Movements!$C43,Tariffs!$C$46:$C$120,0)),0)</f>
        <v>0</v>
      </c>
      <c r="J43" s="438">
        <f>_xlfn.IFNA(INDEX(Tariffs!R$46:R$120,MATCH(Movements!$C43,Tariffs!$C$46:$C$120,0)),0)</f>
        <v>0</v>
      </c>
      <c r="K43" s="438">
        <f>_xlfn.IFNA(INDEX(Tariffs!S$46:S$120,MATCH(Movements!$C43,Tariffs!$C$46:$C$120,0)),0)</f>
        <v>0</v>
      </c>
      <c r="L43" s="562"/>
      <c r="M43" s="438" t="str">
        <f>_xlfn.IFNA(INDEX(Tariffs!$V$46:$V$120,MATCH(Movements!C43,Tariffs!$C$46:$C$120,0)),0)</f>
        <v>Business LV - Single Phase</v>
      </c>
      <c r="N43" s="198">
        <f>_xlfn.IFNA(INDEX(Metering!$K$7:$R$48,MATCH(Movements!M43,Metering!$C$7:$C$48,0),MATCH(forecastyear,Metering!$K$5:$R$5,0)),0)</f>
        <v>26.689999999999998</v>
      </c>
      <c r="O43" s="198">
        <f>_xlfn.IFNA(INDEX(Metering!$K$7:$R$48,MATCH(Movements!M43,Metering!$C$7:$C$48,0),MATCH(currentyear,Metering!$K$5:$R$5,0)),0)</f>
        <v>25.436849999999996</v>
      </c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70"/>
      <c r="AD43" s="57"/>
      <c r="AE43" s="57"/>
      <c r="AF43" s="57"/>
      <c r="AG43" s="57"/>
    </row>
    <row r="44" spans="1:33" outlineLevel="2" x14ac:dyDescent="0.2">
      <c r="A44" s="19"/>
      <c r="B44" s="147">
        <v>3</v>
      </c>
      <c r="C44" s="506">
        <f>_xlfn.IFNA(INDEX(Tariffs!$C$46:$C$120,MATCH(B44,Tariffs!$X$46:$X$120,0)),0)</f>
        <v>0</v>
      </c>
      <c r="D44" s="505">
        <f>_xlfn.IFNA(INDEX(Tariffs!$P$46:$P$120,MATCH(C44,Tariffs!$C$46:$C$120,0)),0)</f>
        <v>0</v>
      </c>
      <c r="E44" s="505">
        <f>_xlfn.IFNA(INDEX(Tariffs!$M$46:$M$120,MATCH(C44,Tariffs!$C$46:$C$120,0)),0)</f>
        <v>0</v>
      </c>
      <c r="F44" s="536"/>
      <c r="G44" s="512"/>
      <c r="H44" s="536"/>
      <c r="I44" s="438">
        <f>_xlfn.IFNA(INDEX(Tariffs!Q$46:Q$120,MATCH(Movements!$C44,Tariffs!$C$46:$C$120,0)),0)</f>
        <v>0</v>
      </c>
      <c r="J44" s="438">
        <f>_xlfn.IFNA(INDEX(Tariffs!R$46:R$120,MATCH(Movements!$C44,Tariffs!$C$46:$C$120,0)),0)</f>
        <v>0</v>
      </c>
      <c r="K44" s="438">
        <f>_xlfn.IFNA(INDEX(Tariffs!S$46:S$120,MATCH(Movements!$C44,Tariffs!$C$46:$C$120,0)),0)</f>
        <v>0</v>
      </c>
      <c r="L44" s="562"/>
      <c r="M44" s="438">
        <f>_xlfn.IFNA(INDEX(Tariffs!$V$46:$V$120,MATCH(Movements!C44,Tariffs!$C$46:$C$120,0)),0)</f>
        <v>0</v>
      </c>
      <c r="N44" s="198">
        <f>_xlfn.IFNA(INDEX(Metering!$K$7:$R$48,MATCH(Movements!M44,Metering!$C$7:$C$48,0),MATCH(forecastyear,Metering!$K$5:$R$5,0)),0)</f>
        <v>0</v>
      </c>
      <c r="O44" s="198">
        <f>_xlfn.IFNA(INDEX(Metering!$K$7:$R$48,MATCH(Movements!M44,Metering!$C$7:$C$48,0),MATCH(currentyear,Metering!$K$5:$R$5,0)),0)</f>
        <v>0</v>
      </c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70"/>
      <c r="AD44" s="19"/>
      <c r="AE44" s="19"/>
      <c r="AF44" s="19"/>
      <c r="AG44" s="19"/>
    </row>
    <row r="45" spans="1:33" hidden="1" outlineLevel="3" x14ac:dyDescent="0.2">
      <c r="A45" s="19"/>
      <c r="B45" s="147">
        <v>4</v>
      </c>
      <c r="C45" s="506">
        <f>_xlfn.IFNA(INDEX(Tariffs!$C$46:$C$120,MATCH(B45,Tariffs!$X$46:$X$120,0)),0)</f>
        <v>0</v>
      </c>
      <c r="D45" s="505">
        <f>_xlfn.IFNA(INDEX(Tariffs!$P$46:$P$120,MATCH(C45,Tariffs!$C$46:$C$120,0)),0)</f>
        <v>0</v>
      </c>
      <c r="E45" s="505">
        <f>_xlfn.IFNA(INDEX(Tariffs!$M$46:$M$120,MATCH(C45,Tariffs!$C$46:$C$120,0)),0)</f>
        <v>0</v>
      </c>
      <c r="F45" s="536"/>
      <c r="G45" s="512"/>
      <c r="H45" s="536"/>
      <c r="I45" s="438">
        <f>_xlfn.IFNA(INDEX(Tariffs!Q$46:Q$120,MATCH(Movements!$C45,Tariffs!$C$46:$C$120,0)),0)</f>
        <v>0</v>
      </c>
      <c r="J45" s="438">
        <f>_xlfn.IFNA(INDEX(Tariffs!R$46:R$120,MATCH(Movements!$C45,Tariffs!$C$46:$C$120,0)),0)</f>
        <v>0</v>
      </c>
      <c r="K45" s="438">
        <f>_xlfn.IFNA(INDEX(Tariffs!S$46:S$120,MATCH(Movements!$C45,Tariffs!$C$46:$C$120,0)),0)</f>
        <v>0</v>
      </c>
      <c r="L45" s="562"/>
      <c r="M45" s="438">
        <f>_xlfn.IFNA(INDEX(Tariffs!$V$46:$V$120,MATCH(Movements!C45,Tariffs!$C$46:$C$120,0)),0)</f>
        <v>0</v>
      </c>
      <c r="N45" s="198">
        <f>_xlfn.IFNA(INDEX(Metering!$K$7:$R$48,MATCH(Movements!M45,Metering!$C$7:$C$48,0),MATCH(forecastyear,Metering!$K$5:$R$5,0)),0)</f>
        <v>0</v>
      </c>
      <c r="O45" s="198">
        <f>_xlfn.IFNA(INDEX(Metering!$K$7:$R$48,MATCH(Movements!M45,Metering!$C$7:$C$48,0),MATCH(currentyear,Metering!$K$5:$R$5,0)),0)</f>
        <v>0</v>
      </c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70"/>
      <c r="AD45" s="19"/>
      <c r="AE45" s="19"/>
      <c r="AF45" s="19"/>
      <c r="AG45" s="19"/>
    </row>
    <row r="46" spans="1:33" hidden="1" outlineLevel="3" x14ac:dyDescent="0.2">
      <c r="A46" s="19"/>
      <c r="B46" s="147">
        <v>5</v>
      </c>
      <c r="C46" s="506">
        <f>_xlfn.IFNA(INDEX(Tariffs!$C$46:$C$120,MATCH(B46,Tariffs!$X$46:$X$120,0)),0)</f>
        <v>0</v>
      </c>
      <c r="D46" s="505">
        <f>_xlfn.IFNA(INDEX(Tariffs!$P$46:$P$120,MATCH(C46,Tariffs!$C$46:$C$120,0)),0)</f>
        <v>0</v>
      </c>
      <c r="E46" s="505">
        <f>_xlfn.IFNA(INDEX(Tariffs!$M$46:$M$120,MATCH(C46,Tariffs!$C$46:$C$120,0)),0)</f>
        <v>0</v>
      </c>
      <c r="F46" s="536"/>
      <c r="G46" s="512"/>
      <c r="H46" s="536"/>
      <c r="I46" s="438">
        <f>_xlfn.IFNA(INDEX(Tariffs!Q$46:Q$120,MATCH(Movements!$C46,Tariffs!$C$46:$C$120,0)),0)</f>
        <v>0</v>
      </c>
      <c r="J46" s="438">
        <f>_xlfn.IFNA(INDEX(Tariffs!R$46:R$120,MATCH(Movements!$C46,Tariffs!$C$46:$C$120,0)),0)</f>
        <v>0</v>
      </c>
      <c r="K46" s="438">
        <f>_xlfn.IFNA(INDEX(Tariffs!S$46:S$120,MATCH(Movements!$C46,Tariffs!$C$46:$C$120,0)),0)</f>
        <v>0</v>
      </c>
      <c r="L46" s="562"/>
      <c r="M46" s="438">
        <f>_xlfn.IFNA(INDEX(Tariffs!$V$46:$V$120,MATCH(Movements!C46,Tariffs!$C$46:$C$120,0)),0)</f>
        <v>0</v>
      </c>
      <c r="N46" s="198">
        <f>_xlfn.IFNA(INDEX(Metering!$K$7:$R$48,MATCH(Movements!M46,Metering!$C$7:$C$48,0),MATCH(forecastyear,Metering!$K$5:$R$5,0)),0)</f>
        <v>0</v>
      </c>
      <c r="O46" s="198">
        <f>_xlfn.IFNA(INDEX(Metering!$K$7:$R$48,MATCH(Movements!M46,Metering!$C$7:$C$48,0),MATCH(currentyear,Metering!$K$5:$R$5,0)),0)</f>
        <v>0</v>
      </c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70"/>
      <c r="AD46" s="19"/>
      <c r="AE46" s="19"/>
      <c r="AF46" s="19"/>
      <c r="AG46" s="19"/>
    </row>
    <row r="47" spans="1:33" hidden="1" outlineLevel="3" x14ac:dyDescent="0.2">
      <c r="A47" s="19"/>
      <c r="B47" s="147">
        <v>6</v>
      </c>
      <c r="C47" s="506">
        <f>_xlfn.IFNA(INDEX(Tariffs!$C$46:$C$120,MATCH(B47,Tariffs!$X$46:$X$120,0)),0)</f>
        <v>0</v>
      </c>
      <c r="D47" s="505">
        <f>_xlfn.IFNA(INDEX(Tariffs!$P$46:$P$120,MATCH(C47,Tariffs!$C$46:$C$120,0)),0)</f>
        <v>0</v>
      </c>
      <c r="E47" s="505">
        <f>_xlfn.IFNA(INDEX(Tariffs!$M$46:$M$120,MATCH(C47,Tariffs!$C$46:$C$120,0)),0)</f>
        <v>0</v>
      </c>
      <c r="F47" s="536"/>
      <c r="G47" s="512"/>
      <c r="H47" s="536"/>
      <c r="I47" s="438">
        <f>_xlfn.IFNA(INDEX(Tariffs!Q$46:Q$120,MATCH(Movements!$C47,Tariffs!$C$46:$C$120,0)),0)</f>
        <v>0</v>
      </c>
      <c r="J47" s="438">
        <f>_xlfn.IFNA(INDEX(Tariffs!R$46:R$120,MATCH(Movements!$C47,Tariffs!$C$46:$C$120,0)),0)</f>
        <v>0</v>
      </c>
      <c r="K47" s="438">
        <f>_xlfn.IFNA(INDEX(Tariffs!S$46:S$120,MATCH(Movements!$C47,Tariffs!$C$46:$C$120,0)),0)</f>
        <v>0</v>
      </c>
      <c r="L47" s="562"/>
      <c r="M47" s="438">
        <f>_xlfn.IFNA(INDEX(Tariffs!$V$46:$V$120,MATCH(Movements!C47,Tariffs!$C$46:$C$120,0)),0)</f>
        <v>0</v>
      </c>
      <c r="N47" s="198">
        <f>_xlfn.IFNA(INDEX(Metering!$K$7:$R$48,MATCH(Movements!M47,Metering!$C$7:$C$48,0),MATCH(forecastyear,Metering!$K$5:$R$5,0)),0)</f>
        <v>0</v>
      </c>
      <c r="O47" s="198">
        <f>_xlfn.IFNA(INDEX(Metering!$K$7:$R$48,MATCH(Movements!M47,Metering!$C$7:$C$48,0),MATCH(currentyear,Metering!$K$5:$R$5,0)),0)</f>
        <v>0</v>
      </c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70"/>
      <c r="AD47" s="19"/>
      <c r="AE47" s="19"/>
      <c r="AF47" s="19"/>
      <c r="AG47" s="19"/>
    </row>
    <row r="48" spans="1:33" hidden="1" outlineLevel="3" x14ac:dyDescent="0.2">
      <c r="A48" s="19"/>
      <c r="B48" s="147">
        <v>7</v>
      </c>
      <c r="C48" s="506">
        <f>_xlfn.IFNA(INDEX(Tariffs!$C$46:$C$120,MATCH(B48,Tariffs!$X$46:$X$120,0)),0)</f>
        <v>0</v>
      </c>
      <c r="D48" s="505">
        <f>_xlfn.IFNA(INDEX(Tariffs!$P$46:$P$120,MATCH(C48,Tariffs!$C$46:$C$120,0)),0)</f>
        <v>0</v>
      </c>
      <c r="E48" s="505">
        <f>_xlfn.IFNA(INDEX(Tariffs!$M$46:$M$120,MATCH(C48,Tariffs!$C$46:$C$120,0)),0)</f>
        <v>0</v>
      </c>
      <c r="F48" s="536"/>
      <c r="G48" s="512"/>
      <c r="H48" s="536"/>
      <c r="I48" s="438">
        <f>_xlfn.IFNA(INDEX(Tariffs!Q$46:Q$120,MATCH(Movements!$C48,Tariffs!$C$46:$C$120,0)),0)</f>
        <v>0</v>
      </c>
      <c r="J48" s="438">
        <f>_xlfn.IFNA(INDEX(Tariffs!R$46:R$120,MATCH(Movements!$C48,Tariffs!$C$46:$C$120,0)),0)</f>
        <v>0</v>
      </c>
      <c r="K48" s="438">
        <f>_xlfn.IFNA(INDEX(Tariffs!S$46:S$120,MATCH(Movements!$C48,Tariffs!$C$46:$C$120,0)),0)</f>
        <v>0</v>
      </c>
      <c r="L48" s="562"/>
      <c r="M48" s="438">
        <f>_xlfn.IFNA(INDEX(Tariffs!$V$46:$V$120,MATCH(Movements!C48,Tariffs!$C$46:$C$120,0)),0)</f>
        <v>0</v>
      </c>
      <c r="N48" s="198">
        <f>_xlfn.IFNA(INDEX(Metering!$K$7:$R$48,MATCH(Movements!M48,Metering!$C$7:$C$48,0),MATCH(forecastyear,Metering!$K$5:$R$5,0)),0)</f>
        <v>0</v>
      </c>
      <c r="O48" s="198">
        <f>_xlfn.IFNA(INDEX(Metering!$K$7:$R$48,MATCH(Movements!M48,Metering!$C$7:$C$48,0),MATCH(currentyear,Metering!$K$5:$R$5,0)),0)</f>
        <v>0</v>
      </c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70"/>
      <c r="AD48" s="19"/>
      <c r="AE48" s="19"/>
      <c r="AF48" s="19"/>
      <c r="AG48" s="19"/>
    </row>
    <row r="49" spans="1:33" hidden="1" outlineLevel="3" x14ac:dyDescent="0.2">
      <c r="A49" s="19"/>
      <c r="B49" s="147">
        <v>8</v>
      </c>
      <c r="C49" s="506">
        <f>_xlfn.IFNA(INDEX(Tariffs!$C$46:$C$120,MATCH(B49,Tariffs!$X$46:$X$120,0)),0)</f>
        <v>0</v>
      </c>
      <c r="D49" s="505">
        <f>_xlfn.IFNA(INDEX(Tariffs!$P$46:$P$120,MATCH(C49,Tariffs!$C$46:$C$120,0)),0)</f>
        <v>0</v>
      </c>
      <c r="E49" s="505">
        <f>_xlfn.IFNA(INDEX(Tariffs!$M$46:$M$120,MATCH(C49,Tariffs!$C$46:$C$120,0)),0)</f>
        <v>0</v>
      </c>
      <c r="F49" s="536"/>
      <c r="G49" s="512"/>
      <c r="H49" s="536"/>
      <c r="I49" s="438">
        <f>_xlfn.IFNA(INDEX(Tariffs!Q$46:Q$120,MATCH(Movements!$C49,Tariffs!$C$46:$C$120,0)),0)</f>
        <v>0</v>
      </c>
      <c r="J49" s="438">
        <f>_xlfn.IFNA(INDEX(Tariffs!R$46:R$120,MATCH(Movements!$C49,Tariffs!$C$46:$C$120,0)),0)</f>
        <v>0</v>
      </c>
      <c r="K49" s="438">
        <f>_xlfn.IFNA(INDEX(Tariffs!S$46:S$120,MATCH(Movements!$C49,Tariffs!$C$46:$C$120,0)),0)</f>
        <v>0</v>
      </c>
      <c r="L49" s="562"/>
      <c r="M49" s="438">
        <f>_xlfn.IFNA(INDEX(Tariffs!$V$46:$V$120,MATCH(Movements!C49,Tariffs!$C$46:$C$120,0)),0)</f>
        <v>0</v>
      </c>
      <c r="N49" s="198">
        <f>_xlfn.IFNA(INDEX(Metering!$K$7:$R$48,MATCH(Movements!M49,Metering!$C$7:$C$48,0),MATCH(forecastyear,Metering!$K$5:$R$5,0)),0)</f>
        <v>0</v>
      </c>
      <c r="O49" s="198">
        <f>_xlfn.IFNA(INDEX(Metering!$K$7:$R$48,MATCH(Movements!M49,Metering!$C$7:$C$48,0),MATCH(currentyear,Metering!$K$5:$R$5,0)),0)</f>
        <v>0</v>
      </c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70"/>
      <c r="AD49" s="19"/>
      <c r="AE49" s="19"/>
      <c r="AF49" s="19"/>
      <c r="AG49" s="19"/>
    </row>
    <row r="50" spans="1:33" hidden="1" outlineLevel="3" x14ac:dyDescent="0.2">
      <c r="A50" s="19"/>
      <c r="B50" s="566">
        <v>9</v>
      </c>
      <c r="C50" s="506">
        <f>_xlfn.IFNA(INDEX(Tariffs!$C$46:$C$120,MATCH(B50,Tariffs!$X$46:$X$120,0)),0)</f>
        <v>0</v>
      </c>
      <c r="D50" s="505">
        <f>_xlfn.IFNA(INDEX(Tariffs!$P$46:$P$120,MATCH(C50,Tariffs!$C$46:$C$120,0)),0)</f>
        <v>0</v>
      </c>
      <c r="E50" s="505">
        <f>_xlfn.IFNA(INDEX(Tariffs!$M$46:$M$120,MATCH(C50,Tariffs!$C$46:$C$120,0)),0)</f>
        <v>0</v>
      </c>
      <c r="F50" s="536"/>
      <c r="G50" s="512"/>
      <c r="H50" s="536"/>
      <c r="I50" s="438">
        <f>_xlfn.IFNA(INDEX(Tariffs!Q$46:Q$120,MATCH(Movements!$C50,Tariffs!$C$46:$C$120,0)),0)</f>
        <v>0</v>
      </c>
      <c r="J50" s="438">
        <f>_xlfn.IFNA(INDEX(Tariffs!R$46:R$120,MATCH(Movements!$C50,Tariffs!$C$46:$C$120,0)),0)</f>
        <v>0</v>
      </c>
      <c r="K50" s="438">
        <f>_xlfn.IFNA(INDEX(Tariffs!S$46:S$120,MATCH(Movements!$C50,Tariffs!$C$46:$C$120,0)),0)</f>
        <v>0</v>
      </c>
      <c r="L50" s="562"/>
      <c r="M50" s="438">
        <f>_xlfn.IFNA(INDEX(Tariffs!$V$46:$V$120,MATCH(Movements!C50,Tariffs!$C$46:$C$120,0)),0)</f>
        <v>0</v>
      </c>
      <c r="N50" s="198">
        <f>_xlfn.IFNA(INDEX(Metering!$K$7:$R$48,MATCH(Movements!M50,Metering!$C$7:$C$48,0),MATCH(forecastyear,Metering!$K$5:$R$5,0)),0)</f>
        <v>0</v>
      </c>
      <c r="O50" s="198">
        <f>_xlfn.IFNA(INDEX(Metering!$K$7:$R$48,MATCH(Movements!M50,Metering!$C$7:$C$48,0),MATCH(currentyear,Metering!$K$5:$R$5,0)),0)</f>
        <v>0</v>
      </c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70"/>
      <c r="AD50" s="19"/>
      <c r="AE50" s="19"/>
      <c r="AF50" s="19"/>
      <c r="AG50" s="19"/>
    </row>
    <row r="51" spans="1:33" hidden="1" outlineLevel="3" x14ac:dyDescent="0.2">
      <c r="A51" s="19"/>
      <c r="B51" s="147">
        <v>10</v>
      </c>
      <c r="C51" s="506">
        <f>_xlfn.IFNA(INDEX(Tariffs!$C$46:$C$120,MATCH(B51,Tariffs!$X$46:$X$120,0)),0)</f>
        <v>0</v>
      </c>
      <c r="D51" s="505">
        <f>_xlfn.IFNA(INDEX(Tariffs!$P$46:$P$120,MATCH(C51,Tariffs!$C$46:$C$120,0)),0)</f>
        <v>0</v>
      </c>
      <c r="E51" s="505">
        <f>_xlfn.IFNA(INDEX(Tariffs!$M$46:$M$120,MATCH(C51,Tariffs!$C$46:$C$120,0)),0)</f>
        <v>0</v>
      </c>
      <c r="F51" s="536"/>
      <c r="G51" s="512"/>
      <c r="H51" s="536"/>
      <c r="I51" s="438">
        <f>_xlfn.IFNA(INDEX(Tariffs!Q$46:Q$120,MATCH(Movements!$C51,Tariffs!$C$46:$C$120,0)),0)</f>
        <v>0</v>
      </c>
      <c r="J51" s="438">
        <f>_xlfn.IFNA(INDEX(Tariffs!R$46:R$120,MATCH(Movements!$C51,Tariffs!$C$46:$C$120,0)),0)</f>
        <v>0</v>
      </c>
      <c r="K51" s="438">
        <f>_xlfn.IFNA(INDEX(Tariffs!S$46:S$120,MATCH(Movements!$C51,Tariffs!$C$46:$C$120,0)),0)</f>
        <v>0</v>
      </c>
      <c r="L51" s="562"/>
      <c r="M51" s="438">
        <f>_xlfn.IFNA(INDEX(Tariffs!$V$46:$V$120,MATCH(Movements!C51,Tariffs!$C$46:$C$120,0)),0)</f>
        <v>0</v>
      </c>
      <c r="N51" s="198">
        <f>_xlfn.IFNA(INDEX(Metering!$K$7:$R$48,MATCH(Movements!M51,Metering!$C$7:$C$48,0),MATCH(forecastyear,Metering!$K$5:$R$5,0)),0)</f>
        <v>0</v>
      </c>
      <c r="O51" s="198">
        <f>_xlfn.IFNA(INDEX(Metering!$K$7:$R$48,MATCH(Movements!M51,Metering!$C$7:$C$48,0),MATCH(currentyear,Metering!$K$5:$R$5,0)),0)</f>
        <v>0</v>
      </c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70"/>
      <c r="AD51" s="19"/>
      <c r="AE51" s="19"/>
      <c r="AF51" s="19"/>
      <c r="AG51" s="19"/>
    </row>
    <row r="52" spans="1:33" hidden="1" outlineLevel="3" x14ac:dyDescent="0.2">
      <c r="A52" s="19"/>
      <c r="B52" s="147">
        <v>11</v>
      </c>
      <c r="C52" s="506">
        <f>_xlfn.IFNA(INDEX(Tariffs!$C$46:$C$120,MATCH(B52,Tariffs!$X$46:$X$120,0)),0)</f>
        <v>0</v>
      </c>
      <c r="D52" s="505">
        <f>_xlfn.IFNA(INDEX(Tariffs!$P$46:$P$120,MATCH(C52,Tariffs!$C$46:$C$120,0)),0)</f>
        <v>0</v>
      </c>
      <c r="E52" s="505">
        <f>_xlfn.IFNA(INDEX(Tariffs!$M$46:$M$120,MATCH(C52,Tariffs!$C$46:$C$120,0)),0)</f>
        <v>0</v>
      </c>
      <c r="F52" s="536"/>
      <c r="G52" s="512"/>
      <c r="H52" s="536"/>
      <c r="I52" s="438">
        <f>_xlfn.IFNA(INDEX(Tariffs!Q$46:Q$120,MATCH(Movements!$C52,Tariffs!$C$46:$C$120,0)),0)</f>
        <v>0</v>
      </c>
      <c r="J52" s="438">
        <f>_xlfn.IFNA(INDEX(Tariffs!R$46:R$120,MATCH(Movements!$C52,Tariffs!$C$46:$C$120,0)),0)</f>
        <v>0</v>
      </c>
      <c r="K52" s="438">
        <f>_xlfn.IFNA(INDEX(Tariffs!S$46:S$120,MATCH(Movements!$C52,Tariffs!$C$46:$C$120,0)),0)</f>
        <v>0</v>
      </c>
      <c r="L52" s="562"/>
      <c r="M52" s="438">
        <f>_xlfn.IFNA(INDEX(Tariffs!$V$46:$V$120,MATCH(Movements!C52,Tariffs!$C$46:$C$120,0)),0)</f>
        <v>0</v>
      </c>
      <c r="N52" s="198">
        <f>_xlfn.IFNA(INDEX(Metering!$K$7:$R$48,MATCH(Movements!M52,Metering!$C$7:$C$48,0),MATCH(forecastyear,Metering!$K$5:$R$5,0)),0)</f>
        <v>0</v>
      </c>
      <c r="O52" s="198">
        <f>_xlfn.IFNA(INDEX(Metering!$K$7:$R$48,MATCH(Movements!M52,Metering!$C$7:$C$48,0),MATCH(currentyear,Metering!$K$5:$R$5,0)),0)</f>
        <v>0</v>
      </c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70"/>
      <c r="AD52" s="19"/>
      <c r="AE52" s="19"/>
      <c r="AF52" s="19"/>
      <c r="AG52" s="19"/>
    </row>
    <row r="53" spans="1:33" hidden="1" outlineLevel="3" x14ac:dyDescent="0.2">
      <c r="A53" s="19"/>
      <c r="B53" s="147">
        <v>12</v>
      </c>
      <c r="C53" s="506">
        <f>_xlfn.IFNA(INDEX(Tariffs!$C$46:$C$120,MATCH(B53,Tariffs!$X$46:$X$120,0)),0)</f>
        <v>0</v>
      </c>
      <c r="D53" s="505">
        <f>_xlfn.IFNA(INDEX(Tariffs!$P$46:$P$120,MATCH(C53,Tariffs!$C$46:$C$120,0)),0)</f>
        <v>0</v>
      </c>
      <c r="E53" s="505">
        <f>_xlfn.IFNA(INDEX(Tariffs!$M$46:$M$120,MATCH(C53,Tariffs!$C$46:$C$120,0)),0)</f>
        <v>0</v>
      </c>
      <c r="F53" s="536"/>
      <c r="G53" s="512"/>
      <c r="H53" s="536"/>
      <c r="I53" s="438">
        <f>_xlfn.IFNA(INDEX(Tariffs!Q$46:Q$120,MATCH(Movements!$C53,Tariffs!$C$46:$C$120,0)),0)</f>
        <v>0</v>
      </c>
      <c r="J53" s="438">
        <f>_xlfn.IFNA(INDEX(Tariffs!R$46:R$120,MATCH(Movements!$C53,Tariffs!$C$46:$C$120,0)),0)</f>
        <v>0</v>
      </c>
      <c r="K53" s="438">
        <f>_xlfn.IFNA(INDEX(Tariffs!S$46:S$120,MATCH(Movements!$C53,Tariffs!$C$46:$C$120,0)),0)</f>
        <v>0</v>
      </c>
      <c r="L53" s="562"/>
      <c r="M53" s="438">
        <f>_xlfn.IFNA(INDEX(Tariffs!$V$46:$V$120,MATCH(Movements!C53,Tariffs!$C$46:$C$120,0)),0)</f>
        <v>0</v>
      </c>
      <c r="N53" s="198">
        <f>_xlfn.IFNA(INDEX(Metering!$K$7:$R$48,MATCH(Movements!M53,Metering!$C$7:$C$48,0),MATCH(forecastyear,Metering!$K$5:$R$5,0)),0)</f>
        <v>0</v>
      </c>
      <c r="O53" s="198">
        <f>_xlfn.IFNA(INDEX(Metering!$K$7:$R$48,MATCH(Movements!M53,Metering!$C$7:$C$48,0),MATCH(currentyear,Metering!$K$5:$R$5,0)),0)</f>
        <v>0</v>
      </c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70"/>
      <c r="AD53" s="19"/>
      <c r="AE53" s="19"/>
      <c r="AF53" s="19"/>
      <c r="AG53" s="19"/>
    </row>
    <row r="54" spans="1:33" hidden="1" outlineLevel="3" x14ac:dyDescent="0.2">
      <c r="A54" s="19"/>
      <c r="B54" s="147">
        <v>13</v>
      </c>
      <c r="C54" s="506">
        <f>_xlfn.IFNA(INDEX(Tariffs!$C$46:$C$120,MATCH(B54,Tariffs!$X$46:$X$120,0)),0)</f>
        <v>0</v>
      </c>
      <c r="D54" s="505">
        <f>_xlfn.IFNA(INDEX(Tariffs!$P$46:$P$120,MATCH(C54,Tariffs!$C$46:$C$120,0)),0)</f>
        <v>0</v>
      </c>
      <c r="E54" s="505">
        <f>_xlfn.IFNA(INDEX(Tariffs!$M$46:$M$120,MATCH(C54,Tariffs!$C$46:$C$120,0)),0)</f>
        <v>0</v>
      </c>
      <c r="F54" s="536"/>
      <c r="G54" s="512"/>
      <c r="H54" s="536"/>
      <c r="I54" s="438">
        <f>_xlfn.IFNA(INDEX(Tariffs!Q$46:Q$120,MATCH(Movements!$C54,Tariffs!$C$46:$C$120,0)),0)</f>
        <v>0</v>
      </c>
      <c r="J54" s="438">
        <f>_xlfn.IFNA(INDEX(Tariffs!R$46:R$120,MATCH(Movements!$C54,Tariffs!$C$46:$C$120,0)),0)</f>
        <v>0</v>
      </c>
      <c r="K54" s="438">
        <f>_xlfn.IFNA(INDEX(Tariffs!S$46:S$120,MATCH(Movements!$C54,Tariffs!$C$46:$C$120,0)),0)</f>
        <v>0</v>
      </c>
      <c r="L54" s="562"/>
      <c r="M54" s="438">
        <f>_xlfn.IFNA(INDEX(Tariffs!$V$46:$V$120,MATCH(Movements!C54,Tariffs!$C$46:$C$120,0)),0)</f>
        <v>0</v>
      </c>
      <c r="N54" s="198">
        <f>_xlfn.IFNA(INDEX(Metering!$K$7:$R$48,MATCH(Movements!M54,Metering!$C$7:$C$48,0),MATCH(forecastyear,Metering!$K$5:$R$5,0)),0)</f>
        <v>0</v>
      </c>
      <c r="O54" s="198">
        <f>_xlfn.IFNA(INDEX(Metering!$K$7:$R$48,MATCH(Movements!M54,Metering!$C$7:$C$48,0),MATCH(currentyear,Metering!$K$5:$R$5,0)),0)</f>
        <v>0</v>
      </c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70"/>
      <c r="AD54" s="19"/>
      <c r="AE54" s="19"/>
      <c r="AF54" s="19"/>
      <c r="AG54" s="19"/>
    </row>
    <row r="55" spans="1:33" hidden="1" outlineLevel="3" x14ac:dyDescent="0.2">
      <c r="A55" s="19"/>
      <c r="B55" s="147">
        <v>14</v>
      </c>
      <c r="C55" s="506">
        <f>_xlfn.IFNA(INDEX(Tariffs!$C$46:$C$120,MATCH(B55,Tariffs!$X$46:$X$120,0)),0)</f>
        <v>0</v>
      </c>
      <c r="D55" s="505">
        <f>_xlfn.IFNA(INDEX(Tariffs!$P$46:$P$120,MATCH(C55,Tariffs!$C$46:$C$120,0)),0)</f>
        <v>0</v>
      </c>
      <c r="E55" s="505">
        <f>_xlfn.IFNA(INDEX(Tariffs!$M$46:$M$120,MATCH(C55,Tariffs!$C$46:$C$120,0)),0)</f>
        <v>0</v>
      </c>
      <c r="F55" s="536"/>
      <c r="G55" s="512"/>
      <c r="H55" s="536"/>
      <c r="I55" s="438">
        <f>_xlfn.IFNA(INDEX(Tariffs!Q$46:Q$120,MATCH(Movements!$C55,Tariffs!$C$46:$C$120,0)),0)</f>
        <v>0</v>
      </c>
      <c r="J55" s="438">
        <f>_xlfn.IFNA(INDEX(Tariffs!R$46:R$120,MATCH(Movements!$C55,Tariffs!$C$46:$C$120,0)),0)</f>
        <v>0</v>
      </c>
      <c r="K55" s="438">
        <f>_xlfn.IFNA(INDEX(Tariffs!S$46:S$120,MATCH(Movements!$C55,Tariffs!$C$46:$C$120,0)),0)</f>
        <v>0</v>
      </c>
      <c r="L55" s="562"/>
      <c r="M55" s="438">
        <f>_xlfn.IFNA(INDEX(Tariffs!$V$46:$V$120,MATCH(Movements!C55,Tariffs!$C$46:$C$120,0)),0)</f>
        <v>0</v>
      </c>
      <c r="N55" s="198">
        <f>_xlfn.IFNA(INDEX(Metering!$K$7:$R$48,MATCH(Movements!M55,Metering!$C$7:$C$48,0),MATCH(forecastyear,Metering!$K$5:$R$5,0)),0)</f>
        <v>0</v>
      </c>
      <c r="O55" s="198">
        <f>_xlfn.IFNA(INDEX(Metering!$K$7:$R$48,MATCH(Movements!M55,Metering!$C$7:$C$48,0),MATCH(currentyear,Metering!$K$5:$R$5,0)),0)</f>
        <v>0</v>
      </c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70"/>
      <c r="AD55" s="19"/>
      <c r="AE55" s="19"/>
      <c r="AF55" s="19"/>
      <c r="AG55" s="19"/>
    </row>
    <row r="56" spans="1:33" hidden="1" outlineLevel="3" x14ac:dyDescent="0.2">
      <c r="A56" s="19"/>
      <c r="B56" s="147">
        <v>15</v>
      </c>
      <c r="C56" s="506">
        <f>_xlfn.IFNA(INDEX(Tariffs!$C$46:$C$120,MATCH(B56,Tariffs!$X$46:$X$120,0)),0)</f>
        <v>0</v>
      </c>
      <c r="D56" s="505">
        <f>_xlfn.IFNA(INDEX(Tariffs!$P$46:$P$120,MATCH(C56,Tariffs!$C$46:$C$120,0)),0)</f>
        <v>0</v>
      </c>
      <c r="E56" s="505">
        <f>_xlfn.IFNA(INDEX(Tariffs!$M$46:$M$120,MATCH(C56,Tariffs!$C$46:$C$120,0)),0)</f>
        <v>0</v>
      </c>
      <c r="F56" s="536"/>
      <c r="G56" s="512"/>
      <c r="H56" s="536"/>
      <c r="I56" s="438">
        <f>_xlfn.IFNA(INDEX(Tariffs!Q$46:Q$120,MATCH(Movements!$C56,Tariffs!$C$46:$C$120,0)),0)</f>
        <v>0</v>
      </c>
      <c r="J56" s="438">
        <f>_xlfn.IFNA(INDEX(Tariffs!R$46:R$120,MATCH(Movements!$C56,Tariffs!$C$46:$C$120,0)),0)</f>
        <v>0</v>
      </c>
      <c r="K56" s="438">
        <f>_xlfn.IFNA(INDEX(Tariffs!S$46:S$120,MATCH(Movements!$C56,Tariffs!$C$46:$C$120,0)),0)</f>
        <v>0</v>
      </c>
      <c r="L56" s="562"/>
      <c r="M56" s="438">
        <f>_xlfn.IFNA(INDEX(Tariffs!$V$46:$V$120,MATCH(Movements!C56,Tariffs!$C$46:$C$120,0)),0)</f>
        <v>0</v>
      </c>
      <c r="N56" s="198">
        <f>_xlfn.IFNA(INDEX(Metering!$K$7:$R$48,MATCH(Movements!M56,Metering!$C$7:$C$48,0),MATCH(forecastyear,Metering!$K$5:$R$5,0)),0)</f>
        <v>0</v>
      </c>
      <c r="O56" s="198">
        <f>_xlfn.IFNA(INDEX(Metering!$K$7:$R$48,MATCH(Movements!M56,Metering!$C$7:$C$48,0),MATCH(currentyear,Metering!$K$5:$R$5,0)),0)</f>
        <v>0</v>
      </c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70"/>
      <c r="AD56" s="19"/>
      <c r="AE56" s="19"/>
      <c r="AF56" s="19"/>
      <c r="AG56" s="19"/>
    </row>
    <row r="57" spans="1:33" hidden="1" outlineLevel="3" x14ac:dyDescent="0.2">
      <c r="A57" s="19"/>
      <c r="B57" s="566">
        <v>16</v>
      </c>
      <c r="C57" s="506">
        <f>_xlfn.IFNA(INDEX(Tariffs!$C$46:$C$120,MATCH(B57,Tariffs!$X$46:$X$120,0)),0)</f>
        <v>0</v>
      </c>
      <c r="D57" s="505">
        <f>_xlfn.IFNA(INDEX(Tariffs!$P$46:$P$120,MATCH(C57,Tariffs!$C$46:$C$120,0)),0)</f>
        <v>0</v>
      </c>
      <c r="E57" s="505">
        <f>_xlfn.IFNA(INDEX(Tariffs!$M$46:$M$120,MATCH(C57,Tariffs!$C$46:$C$120,0)),0)</f>
        <v>0</v>
      </c>
      <c r="F57" s="536"/>
      <c r="G57" s="512"/>
      <c r="H57" s="536"/>
      <c r="I57" s="438">
        <f>_xlfn.IFNA(INDEX(Tariffs!Q$46:Q$120,MATCH(Movements!$C57,Tariffs!$C$46:$C$120,0)),0)</f>
        <v>0</v>
      </c>
      <c r="J57" s="438">
        <f>_xlfn.IFNA(INDEX(Tariffs!R$46:R$120,MATCH(Movements!$C57,Tariffs!$C$46:$C$120,0)),0)</f>
        <v>0</v>
      </c>
      <c r="K57" s="438">
        <f>_xlfn.IFNA(INDEX(Tariffs!S$46:S$120,MATCH(Movements!$C57,Tariffs!$C$46:$C$120,0)),0)</f>
        <v>0</v>
      </c>
      <c r="L57" s="562"/>
      <c r="M57" s="438">
        <f>_xlfn.IFNA(INDEX(Tariffs!$V$46:$V$120,MATCH(Movements!C57,Tariffs!$C$46:$C$120,0)),0)</f>
        <v>0</v>
      </c>
      <c r="N57" s="198">
        <f>_xlfn.IFNA(INDEX(Metering!$K$7:$R$48,MATCH(Movements!M57,Metering!$C$7:$C$48,0),MATCH(forecastyear,Metering!$K$5:$R$5,0)),0)</f>
        <v>0</v>
      </c>
      <c r="O57" s="198">
        <f>_xlfn.IFNA(INDEX(Metering!$K$7:$R$48,MATCH(Movements!M57,Metering!$C$7:$C$48,0),MATCH(currentyear,Metering!$K$5:$R$5,0)),0)</f>
        <v>0</v>
      </c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70"/>
      <c r="AD57" s="19"/>
      <c r="AE57" s="19"/>
      <c r="AF57" s="19"/>
      <c r="AG57" s="19"/>
    </row>
    <row r="58" spans="1:33" hidden="1" outlineLevel="3" x14ac:dyDescent="0.2">
      <c r="A58" s="19"/>
      <c r="B58" s="147">
        <v>17</v>
      </c>
      <c r="C58" s="506">
        <f>_xlfn.IFNA(INDEX(Tariffs!$C$46:$C$120,MATCH(B58,Tariffs!$X$46:$X$120,0)),0)</f>
        <v>0</v>
      </c>
      <c r="D58" s="505">
        <f>_xlfn.IFNA(INDEX(Tariffs!$P$46:$P$120,MATCH(C58,Tariffs!$C$46:$C$120,0)),0)</f>
        <v>0</v>
      </c>
      <c r="E58" s="505">
        <f>_xlfn.IFNA(INDEX(Tariffs!$M$46:$M$120,MATCH(C58,Tariffs!$C$46:$C$120,0)),0)</f>
        <v>0</v>
      </c>
      <c r="F58" s="536"/>
      <c r="G58" s="512"/>
      <c r="H58" s="536"/>
      <c r="I58" s="438">
        <f>_xlfn.IFNA(INDEX(Tariffs!Q$46:Q$120,MATCH(Movements!$C58,Tariffs!$C$46:$C$120,0)),0)</f>
        <v>0</v>
      </c>
      <c r="J58" s="438">
        <f>_xlfn.IFNA(INDEX(Tariffs!R$46:R$120,MATCH(Movements!$C58,Tariffs!$C$46:$C$120,0)),0)</f>
        <v>0</v>
      </c>
      <c r="K58" s="438">
        <f>_xlfn.IFNA(INDEX(Tariffs!S$46:S$120,MATCH(Movements!$C58,Tariffs!$C$46:$C$120,0)),0)</f>
        <v>0</v>
      </c>
      <c r="L58" s="562"/>
      <c r="M58" s="438">
        <f>_xlfn.IFNA(INDEX(Tariffs!$V$46:$V$120,MATCH(Movements!C58,Tariffs!$C$46:$C$120,0)),0)</f>
        <v>0</v>
      </c>
      <c r="N58" s="198">
        <f>_xlfn.IFNA(INDEX(Metering!$K$7:$R$48,MATCH(Movements!M58,Metering!$C$7:$C$48,0),MATCH(forecastyear,Metering!$K$5:$R$5,0)),0)</f>
        <v>0</v>
      </c>
      <c r="O58" s="198">
        <f>_xlfn.IFNA(INDEX(Metering!$K$7:$R$48,MATCH(Movements!M58,Metering!$C$7:$C$48,0),MATCH(currentyear,Metering!$K$5:$R$5,0)),0)</f>
        <v>0</v>
      </c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70"/>
      <c r="AD58" s="19"/>
      <c r="AE58" s="19"/>
      <c r="AF58" s="19"/>
      <c r="AG58" s="19"/>
    </row>
    <row r="59" spans="1:33" hidden="1" outlineLevel="3" x14ac:dyDescent="0.2">
      <c r="A59" s="19"/>
      <c r="B59" s="147">
        <v>18</v>
      </c>
      <c r="C59" s="506">
        <f>_xlfn.IFNA(INDEX(Tariffs!$C$46:$C$120,MATCH(B59,Tariffs!$X$46:$X$120,0)),0)</f>
        <v>0</v>
      </c>
      <c r="D59" s="505">
        <f>_xlfn.IFNA(INDEX(Tariffs!$P$46:$P$120,MATCH(C59,Tariffs!$C$46:$C$120,0)),0)</f>
        <v>0</v>
      </c>
      <c r="E59" s="505">
        <f>_xlfn.IFNA(INDEX(Tariffs!$M$46:$M$120,MATCH(C59,Tariffs!$C$46:$C$120,0)),0)</f>
        <v>0</v>
      </c>
      <c r="F59" s="536"/>
      <c r="G59" s="512"/>
      <c r="H59" s="536"/>
      <c r="I59" s="438">
        <f>_xlfn.IFNA(INDEX(Tariffs!Q$46:Q$120,MATCH(Movements!$C59,Tariffs!$C$46:$C$120,0)),0)</f>
        <v>0</v>
      </c>
      <c r="J59" s="438">
        <f>_xlfn.IFNA(INDEX(Tariffs!R$46:R$120,MATCH(Movements!$C59,Tariffs!$C$46:$C$120,0)),0)</f>
        <v>0</v>
      </c>
      <c r="K59" s="438">
        <f>_xlfn.IFNA(INDEX(Tariffs!S$46:S$120,MATCH(Movements!$C59,Tariffs!$C$46:$C$120,0)),0)</f>
        <v>0</v>
      </c>
      <c r="L59" s="562"/>
      <c r="M59" s="438">
        <f>_xlfn.IFNA(INDEX(Tariffs!$V$46:$V$120,MATCH(Movements!C59,Tariffs!$C$46:$C$120,0)),0)</f>
        <v>0</v>
      </c>
      <c r="N59" s="198">
        <f>_xlfn.IFNA(INDEX(Metering!$K$7:$R$48,MATCH(Movements!M59,Metering!$C$7:$C$48,0),MATCH(forecastyear,Metering!$K$5:$R$5,0)),0)</f>
        <v>0</v>
      </c>
      <c r="O59" s="198">
        <f>_xlfn.IFNA(INDEX(Metering!$K$7:$R$48,MATCH(Movements!M59,Metering!$C$7:$C$48,0),MATCH(currentyear,Metering!$K$5:$R$5,0)),0)</f>
        <v>0</v>
      </c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70"/>
      <c r="AD59" s="19"/>
      <c r="AE59" s="19"/>
      <c r="AF59" s="19"/>
      <c r="AG59" s="19"/>
    </row>
    <row r="60" spans="1:33" hidden="1" outlineLevel="3" x14ac:dyDescent="0.2">
      <c r="A60" s="19"/>
      <c r="B60" s="147">
        <v>19</v>
      </c>
      <c r="C60" s="506">
        <f>_xlfn.IFNA(INDEX(Tariffs!$C$46:$C$120,MATCH(B60,Tariffs!$X$46:$X$120,0)),0)</f>
        <v>0</v>
      </c>
      <c r="D60" s="505">
        <f>_xlfn.IFNA(INDEX(Tariffs!$P$46:$P$120,MATCH(C60,Tariffs!$C$46:$C$120,0)),0)</f>
        <v>0</v>
      </c>
      <c r="E60" s="505">
        <f>_xlfn.IFNA(INDEX(Tariffs!$M$46:$M$120,MATCH(C60,Tariffs!$C$46:$C$120,0)),0)</f>
        <v>0</v>
      </c>
      <c r="F60" s="536"/>
      <c r="G60" s="512"/>
      <c r="H60" s="536"/>
      <c r="I60" s="438">
        <f>_xlfn.IFNA(INDEX(Tariffs!Q$46:Q$120,MATCH(Movements!$C60,Tariffs!$C$46:$C$120,0)),0)</f>
        <v>0</v>
      </c>
      <c r="J60" s="438">
        <f>_xlfn.IFNA(INDEX(Tariffs!R$46:R$120,MATCH(Movements!$C60,Tariffs!$C$46:$C$120,0)),0)</f>
        <v>0</v>
      </c>
      <c r="K60" s="438">
        <f>_xlfn.IFNA(INDEX(Tariffs!S$46:S$120,MATCH(Movements!$C60,Tariffs!$C$46:$C$120,0)),0)</f>
        <v>0</v>
      </c>
      <c r="L60" s="562"/>
      <c r="M60" s="438">
        <f>_xlfn.IFNA(INDEX(Tariffs!$V$46:$V$120,MATCH(Movements!C60,Tariffs!$C$46:$C$120,0)),0)</f>
        <v>0</v>
      </c>
      <c r="N60" s="198">
        <f>_xlfn.IFNA(INDEX(Metering!$K$7:$R$48,MATCH(Movements!M60,Metering!$C$7:$C$48,0),MATCH(forecastyear,Metering!$K$5:$R$5,0)),0)</f>
        <v>0</v>
      </c>
      <c r="O60" s="198">
        <f>_xlfn.IFNA(INDEX(Metering!$K$7:$R$48,MATCH(Movements!M60,Metering!$C$7:$C$48,0),MATCH(currentyear,Metering!$K$5:$R$5,0)),0)</f>
        <v>0</v>
      </c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70"/>
      <c r="AD60" s="19"/>
      <c r="AE60" s="19"/>
      <c r="AF60" s="19"/>
      <c r="AG60" s="19"/>
    </row>
    <row r="61" spans="1:33" hidden="1" outlineLevel="3" x14ac:dyDescent="0.2">
      <c r="A61" s="19"/>
      <c r="B61" s="147">
        <v>20</v>
      </c>
      <c r="C61" s="506">
        <f>_xlfn.IFNA(INDEX(Tariffs!$C$46:$C$120,MATCH(B61,Tariffs!$X$46:$X$120,0)),0)</f>
        <v>0</v>
      </c>
      <c r="D61" s="505">
        <f>_xlfn.IFNA(INDEX(Tariffs!$P$46:$P$120,MATCH(C61,Tariffs!$C$46:$C$120,0)),0)</f>
        <v>0</v>
      </c>
      <c r="E61" s="505">
        <f>_xlfn.IFNA(INDEX(Tariffs!$M$46:$M$120,MATCH(C61,Tariffs!$C$46:$C$120,0)),0)</f>
        <v>0</v>
      </c>
      <c r="F61" s="536"/>
      <c r="G61" s="512"/>
      <c r="H61" s="536"/>
      <c r="I61" s="438">
        <f>_xlfn.IFNA(INDEX(Tariffs!Q$46:Q$120,MATCH(Movements!$C61,Tariffs!$C$46:$C$120,0)),0)</f>
        <v>0</v>
      </c>
      <c r="J61" s="438">
        <f>_xlfn.IFNA(INDEX(Tariffs!R$46:R$120,MATCH(Movements!$C61,Tariffs!$C$46:$C$120,0)),0)</f>
        <v>0</v>
      </c>
      <c r="K61" s="438">
        <f>_xlfn.IFNA(INDEX(Tariffs!S$46:S$120,MATCH(Movements!$C61,Tariffs!$C$46:$C$120,0)),0)</f>
        <v>0</v>
      </c>
      <c r="L61" s="562"/>
      <c r="M61" s="438">
        <f>_xlfn.IFNA(INDEX(Tariffs!$V$46:$V$120,MATCH(Movements!C61,Tariffs!$C$46:$C$120,0)),0)</f>
        <v>0</v>
      </c>
      <c r="N61" s="198">
        <f>_xlfn.IFNA(INDEX(Metering!$K$7:$R$48,MATCH(Movements!M61,Metering!$C$7:$C$48,0),MATCH(forecastyear,Metering!$K$5:$R$5,0)),0)</f>
        <v>0</v>
      </c>
      <c r="O61" s="198">
        <f>_xlfn.IFNA(INDEX(Metering!$K$7:$R$48,MATCH(Movements!M61,Metering!$C$7:$C$48,0),MATCH(currentyear,Metering!$K$5:$R$5,0)),0)</f>
        <v>0</v>
      </c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70"/>
      <c r="AD61" s="19"/>
      <c r="AE61" s="19"/>
      <c r="AF61" s="19"/>
      <c r="AG61" s="19"/>
    </row>
    <row r="62" spans="1:33" hidden="1" outlineLevel="3" x14ac:dyDescent="0.2">
      <c r="A62" s="19"/>
      <c r="B62" s="147">
        <v>21</v>
      </c>
      <c r="C62" s="506">
        <f>_xlfn.IFNA(INDEX(Tariffs!$C$46:$C$120,MATCH(B62,Tariffs!$X$46:$X$120,0)),0)</f>
        <v>0</v>
      </c>
      <c r="D62" s="505">
        <f>_xlfn.IFNA(INDEX(Tariffs!$P$46:$P$120,MATCH(C62,Tariffs!$C$46:$C$120,0)),0)</f>
        <v>0</v>
      </c>
      <c r="E62" s="505">
        <f>_xlfn.IFNA(INDEX(Tariffs!$M$46:$M$120,MATCH(C62,Tariffs!$C$46:$C$120,0)),0)</f>
        <v>0</v>
      </c>
      <c r="F62" s="536"/>
      <c r="G62" s="512"/>
      <c r="H62" s="536"/>
      <c r="I62" s="438">
        <f>_xlfn.IFNA(INDEX(Tariffs!Q$46:Q$120,MATCH(Movements!$C62,Tariffs!$C$46:$C$120,0)),0)</f>
        <v>0</v>
      </c>
      <c r="J62" s="438">
        <f>_xlfn.IFNA(INDEX(Tariffs!R$46:R$120,MATCH(Movements!$C62,Tariffs!$C$46:$C$120,0)),0)</f>
        <v>0</v>
      </c>
      <c r="K62" s="438">
        <f>_xlfn.IFNA(INDEX(Tariffs!S$46:S$120,MATCH(Movements!$C62,Tariffs!$C$46:$C$120,0)),0)</f>
        <v>0</v>
      </c>
      <c r="L62" s="562"/>
      <c r="M62" s="438">
        <f>_xlfn.IFNA(INDEX(Tariffs!$V$46:$V$120,MATCH(Movements!C62,Tariffs!$C$46:$C$120,0)),0)</f>
        <v>0</v>
      </c>
      <c r="N62" s="198">
        <f>_xlfn.IFNA(INDEX(Metering!$K$7:$R$48,MATCH(Movements!M62,Metering!$C$7:$C$48,0),MATCH(forecastyear,Metering!$K$5:$R$5,0)),0)</f>
        <v>0</v>
      </c>
      <c r="O62" s="198">
        <f>_xlfn.IFNA(INDEX(Metering!$K$7:$R$48,MATCH(Movements!M62,Metering!$C$7:$C$48,0),MATCH(currentyear,Metering!$K$5:$R$5,0)),0)</f>
        <v>0</v>
      </c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70"/>
      <c r="AD62" s="19"/>
      <c r="AE62" s="19"/>
      <c r="AF62" s="19"/>
      <c r="AG62" s="19"/>
    </row>
    <row r="63" spans="1:33" hidden="1" outlineLevel="3" x14ac:dyDescent="0.2">
      <c r="A63" s="19"/>
      <c r="B63" s="147">
        <v>22</v>
      </c>
      <c r="C63" s="506">
        <f>_xlfn.IFNA(INDEX(Tariffs!$C$46:$C$120,MATCH(B63,Tariffs!$X$46:$X$120,0)),0)</f>
        <v>0</v>
      </c>
      <c r="D63" s="505">
        <f>_xlfn.IFNA(INDEX(Tariffs!$P$46:$P$120,MATCH(C63,Tariffs!$C$46:$C$120,0)),0)</f>
        <v>0</v>
      </c>
      <c r="E63" s="505">
        <f>_xlfn.IFNA(INDEX(Tariffs!$M$46:$M$120,MATCH(C63,Tariffs!$C$46:$C$120,0)),0)</f>
        <v>0</v>
      </c>
      <c r="F63" s="536"/>
      <c r="G63" s="512"/>
      <c r="H63" s="536"/>
      <c r="I63" s="438">
        <f>_xlfn.IFNA(INDEX(Tariffs!Q$46:Q$120,MATCH(Movements!$C63,Tariffs!$C$46:$C$120,0)),0)</f>
        <v>0</v>
      </c>
      <c r="J63" s="438">
        <f>_xlfn.IFNA(INDEX(Tariffs!R$46:R$120,MATCH(Movements!$C63,Tariffs!$C$46:$C$120,0)),0)</f>
        <v>0</v>
      </c>
      <c r="K63" s="438">
        <f>_xlfn.IFNA(INDEX(Tariffs!S$46:S$120,MATCH(Movements!$C63,Tariffs!$C$46:$C$120,0)),0)</f>
        <v>0</v>
      </c>
      <c r="L63" s="562"/>
      <c r="M63" s="438">
        <f>_xlfn.IFNA(INDEX(Tariffs!$V$46:$V$120,MATCH(Movements!C63,Tariffs!$C$46:$C$120,0)),0)</f>
        <v>0</v>
      </c>
      <c r="N63" s="198">
        <f>_xlfn.IFNA(INDEX(Metering!$K$7:$R$48,MATCH(Movements!M63,Metering!$C$7:$C$48,0),MATCH(forecastyear,Metering!$K$5:$R$5,0)),0)</f>
        <v>0</v>
      </c>
      <c r="O63" s="198">
        <f>_xlfn.IFNA(INDEX(Metering!$K$7:$R$48,MATCH(Movements!M63,Metering!$C$7:$C$48,0),MATCH(currentyear,Metering!$K$5:$R$5,0)),0)</f>
        <v>0</v>
      </c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70"/>
      <c r="AD63" s="19"/>
      <c r="AE63" s="19"/>
      <c r="AF63" s="19"/>
      <c r="AG63" s="19"/>
    </row>
    <row r="64" spans="1:33" hidden="1" outlineLevel="3" x14ac:dyDescent="0.2">
      <c r="A64" s="19"/>
      <c r="B64" s="566">
        <v>23</v>
      </c>
      <c r="C64" s="506">
        <f>_xlfn.IFNA(INDEX(Tariffs!$C$46:$C$120,MATCH(B64,Tariffs!$X$46:$X$120,0)),0)</f>
        <v>0</v>
      </c>
      <c r="D64" s="505">
        <f>_xlfn.IFNA(INDEX(Tariffs!$P$46:$P$120,MATCH(C64,Tariffs!$C$46:$C$120,0)),0)</f>
        <v>0</v>
      </c>
      <c r="E64" s="505">
        <f>_xlfn.IFNA(INDEX(Tariffs!$M$46:$M$120,MATCH(C64,Tariffs!$C$46:$C$120,0)),0)</f>
        <v>0</v>
      </c>
      <c r="F64" s="536"/>
      <c r="G64" s="512"/>
      <c r="H64" s="536"/>
      <c r="I64" s="438">
        <f>_xlfn.IFNA(INDEX(Tariffs!Q$46:Q$120,MATCH(Movements!$C64,Tariffs!$C$46:$C$120,0)),0)</f>
        <v>0</v>
      </c>
      <c r="J64" s="438">
        <f>_xlfn.IFNA(INDEX(Tariffs!R$46:R$120,MATCH(Movements!$C64,Tariffs!$C$46:$C$120,0)),0)</f>
        <v>0</v>
      </c>
      <c r="K64" s="438">
        <f>_xlfn.IFNA(INDEX(Tariffs!S$46:S$120,MATCH(Movements!$C64,Tariffs!$C$46:$C$120,0)),0)</f>
        <v>0</v>
      </c>
      <c r="L64" s="562"/>
      <c r="M64" s="438">
        <f>_xlfn.IFNA(INDEX(Tariffs!$V$46:$V$120,MATCH(Movements!C64,Tariffs!$C$46:$C$120,0)),0)</f>
        <v>0</v>
      </c>
      <c r="N64" s="198">
        <f>_xlfn.IFNA(INDEX(Metering!$K$7:$R$48,MATCH(Movements!M64,Metering!$C$7:$C$48,0),MATCH(forecastyear,Metering!$K$5:$R$5,0)),0)</f>
        <v>0</v>
      </c>
      <c r="O64" s="198">
        <f>_xlfn.IFNA(INDEX(Metering!$K$7:$R$48,MATCH(Movements!M64,Metering!$C$7:$C$48,0),MATCH(currentyear,Metering!$K$5:$R$5,0)),0)</f>
        <v>0</v>
      </c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70"/>
      <c r="AD64" s="19"/>
      <c r="AE64" s="19"/>
      <c r="AF64" s="19"/>
      <c r="AG64" s="19"/>
    </row>
    <row r="65" spans="1:33" hidden="1" outlineLevel="3" x14ac:dyDescent="0.2">
      <c r="A65" s="19"/>
      <c r="B65" s="147">
        <v>24</v>
      </c>
      <c r="C65" s="506">
        <f>_xlfn.IFNA(INDEX(Tariffs!$C$46:$C$120,MATCH(B65,Tariffs!$X$46:$X$120,0)),0)</f>
        <v>0</v>
      </c>
      <c r="D65" s="505">
        <f>_xlfn.IFNA(INDEX(Tariffs!$P$46:$P$120,MATCH(C65,Tariffs!$C$46:$C$120,0)),0)</f>
        <v>0</v>
      </c>
      <c r="E65" s="505">
        <f>_xlfn.IFNA(INDEX(Tariffs!$M$46:$M$120,MATCH(C65,Tariffs!$C$46:$C$120,0)),0)</f>
        <v>0</v>
      </c>
      <c r="F65" s="536"/>
      <c r="G65" s="512"/>
      <c r="H65" s="536"/>
      <c r="I65" s="438">
        <f>_xlfn.IFNA(INDEX(Tariffs!Q$46:Q$120,MATCH(Movements!$C65,Tariffs!$C$46:$C$120,0)),0)</f>
        <v>0</v>
      </c>
      <c r="J65" s="438">
        <f>_xlfn.IFNA(INDEX(Tariffs!R$46:R$120,MATCH(Movements!$C65,Tariffs!$C$46:$C$120,0)),0)</f>
        <v>0</v>
      </c>
      <c r="K65" s="438">
        <f>_xlfn.IFNA(INDEX(Tariffs!S$46:S$120,MATCH(Movements!$C65,Tariffs!$C$46:$C$120,0)),0)</f>
        <v>0</v>
      </c>
      <c r="L65" s="562"/>
      <c r="M65" s="438">
        <f>_xlfn.IFNA(INDEX(Tariffs!$V$46:$V$120,MATCH(Movements!C65,Tariffs!$C$46:$C$120,0)),0)</f>
        <v>0</v>
      </c>
      <c r="N65" s="198">
        <f>_xlfn.IFNA(INDEX(Metering!$K$7:$R$48,MATCH(Movements!M65,Metering!$C$7:$C$48,0),MATCH(forecastyear,Metering!$K$5:$R$5,0)),0)</f>
        <v>0</v>
      </c>
      <c r="O65" s="198">
        <f>_xlfn.IFNA(INDEX(Metering!$K$7:$R$48,MATCH(Movements!M65,Metering!$C$7:$C$48,0),MATCH(currentyear,Metering!$K$5:$R$5,0)),0)</f>
        <v>0</v>
      </c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70"/>
      <c r="AD65" s="19"/>
      <c r="AE65" s="19"/>
      <c r="AF65" s="19"/>
      <c r="AG65" s="19"/>
    </row>
    <row r="66" spans="1:33" hidden="1" outlineLevel="3" x14ac:dyDescent="0.2">
      <c r="A66" s="19"/>
      <c r="B66" s="147">
        <v>25</v>
      </c>
      <c r="C66" s="506">
        <f>_xlfn.IFNA(INDEX(Tariffs!$C$46:$C$120,MATCH(B66,Tariffs!$X$46:$X$120,0)),0)</f>
        <v>0</v>
      </c>
      <c r="D66" s="505">
        <f>_xlfn.IFNA(INDEX(Tariffs!$P$46:$P$120,MATCH(C66,Tariffs!$C$46:$C$120,0)),0)</f>
        <v>0</v>
      </c>
      <c r="E66" s="505">
        <f>_xlfn.IFNA(INDEX(Tariffs!$M$46:$M$120,MATCH(C66,Tariffs!$C$46:$C$120,0)),0)</f>
        <v>0</v>
      </c>
      <c r="F66" s="536"/>
      <c r="G66" s="512"/>
      <c r="H66" s="536"/>
      <c r="I66" s="438">
        <f>_xlfn.IFNA(INDEX(Tariffs!Q$46:Q$120,MATCH(Movements!$C66,Tariffs!$C$46:$C$120,0)),0)</f>
        <v>0</v>
      </c>
      <c r="J66" s="438">
        <f>_xlfn.IFNA(INDEX(Tariffs!R$46:R$120,MATCH(Movements!$C66,Tariffs!$C$46:$C$120,0)),0)</f>
        <v>0</v>
      </c>
      <c r="K66" s="438">
        <f>_xlfn.IFNA(INDEX(Tariffs!S$46:S$120,MATCH(Movements!$C66,Tariffs!$C$46:$C$120,0)),0)</f>
        <v>0</v>
      </c>
      <c r="L66" s="562"/>
      <c r="M66" s="438">
        <f>_xlfn.IFNA(INDEX(Tariffs!$V$46:$V$120,MATCH(Movements!C66,Tariffs!$C$46:$C$120,0)),0)</f>
        <v>0</v>
      </c>
      <c r="N66" s="198">
        <f>_xlfn.IFNA(INDEX(Metering!$K$7:$R$48,MATCH(Movements!M66,Metering!$C$7:$C$48,0),MATCH(forecastyear,Metering!$K$5:$R$5,0)),0)</f>
        <v>0</v>
      </c>
      <c r="O66" s="198">
        <f>_xlfn.IFNA(INDEX(Metering!$K$7:$R$48,MATCH(Movements!M66,Metering!$C$7:$C$48,0),MATCH(currentyear,Metering!$K$5:$R$5,0)),0)</f>
        <v>0</v>
      </c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70"/>
      <c r="AD66" s="19"/>
      <c r="AE66" s="19"/>
      <c r="AF66" s="19"/>
      <c r="AG66" s="19"/>
    </row>
    <row r="67" spans="1:33" hidden="1" outlineLevel="3" x14ac:dyDescent="0.2">
      <c r="A67" s="19"/>
      <c r="B67" s="147">
        <v>26</v>
      </c>
      <c r="C67" s="506">
        <f>_xlfn.IFNA(INDEX(Tariffs!$C$46:$C$120,MATCH(B67,Tariffs!$X$46:$X$120,0)),0)</f>
        <v>0</v>
      </c>
      <c r="D67" s="505">
        <f>_xlfn.IFNA(INDEX(Tariffs!$P$46:$P$120,MATCH(C67,Tariffs!$C$46:$C$120,0)),0)</f>
        <v>0</v>
      </c>
      <c r="E67" s="505">
        <f>_xlfn.IFNA(INDEX(Tariffs!$M$46:$M$120,MATCH(C67,Tariffs!$C$46:$C$120,0)),0)</f>
        <v>0</v>
      </c>
      <c r="F67" s="536"/>
      <c r="G67" s="512"/>
      <c r="H67" s="536"/>
      <c r="I67" s="438">
        <f>_xlfn.IFNA(INDEX(Tariffs!Q$46:Q$120,MATCH(Movements!$C67,Tariffs!$C$46:$C$120,0)),0)</f>
        <v>0</v>
      </c>
      <c r="J67" s="438">
        <f>_xlfn.IFNA(INDEX(Tariffs!R$46:R$120,MATCH(Movements!$C67,Tariffs!$C$46:$C$120,0)),0)</f>
        <v>0</v>
      </c>
      <c r="K67" s="438">
        <f>_xlfn.IFNA(INDEX(Tariffs!S$46:S$120,MATCH(Movements!$C67,Tariffs!$C$46:$C$120,0)),0)</f>
        <v>0</v>
      </c>
      <c r="L67" s="562"/>
      <c r="M67" s="438">
        <f>_xlfn.IFNA(INDEX(Tariffs!$V$46:$V$120,MATCH(Movements!C67,Tariffs!$C$46:$C$120,0)),0)</f>
        <v>0</v>
      </c>
      <c r="N67" s="198">
        <f>_xlfn.IFNA(INDEX(Metering!$K$7:$R$48,MATCH(Movements!M67,Metering!$C$7:$C$48,0),MATCH(forecastyear,Metering!$K$5:$R$5,0)),0)</f>
        <v>0</v>
      </c>
      <c r="O67" s="198">
        <f>_xlfn.IFNA(INDEX(Metering!$K$7:$R$48,MATCH(Movements!M67,Metering!$C$7:$C$48,0),MATCH(currentyear,Metering!$K$5:$R$5,0)),0)</f>
        <v>0</v>
      </c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70"/>
      <c r="AD67" s="19"/>
      <c r="AE67" s="19"/>
      <c r="AF67" s="19"/>
      <c r="AG67" s="19"/>
    </row>
    <row r="68" spans="1:33" hidden="1" outlineLevel="3" x14ac:dyDescent="0.2">
      <c r="A68" s="19"/>
      <c r="B68" s="147">
        <v>27</v>
      </c>
      <c r="C68" s="506">
        <f>_xlfn.IFNA(INDEX(Tariffs!$C$46:$C$120,MATCH(B68,Tariffs!$X$46:$X$120,0)),0)</f>
        <v>0</v>
      </c>
      <c r="D68" s="505">
        <f>_xlfn.IFNA(INDEX(Tariffs!$P$46:$P$120,MATCH(C68,Tariffs!$C$46:$C$120,0)),0)</f>
        <v>0</v>
      </c>
      <c r="E68" s="505">
        <f>_xlfn.IFNA(INDEX(Tariffs!$M$46:$M$120,MATCH(C68,Tariffs!$C$46:$C$120,0)),0)</f>
        <v>0</v>
      </c>
      <c r="F68" s="536"/>
      <c r="G68" s="512"/>
      <c r="H68" s="536"/>
      <c r="I68" s="438">
        <f>_xlfn.IFNA(INDEX(Tariffs!Q$46:Q$120,MATCH(Movements!$C68,Tariffs!$C$46:$C$120,0)),0)</f>
        <v>0</v>
      </c>
      <c r="J68" s="438">
        <f>_xlfn.IFNA(INDEX(Tariffs!R$46:R$120,MATCH(Movements!$C68,Tariffs!$C$46:$C$120,0)),0)</f>
        <v>0</v>
      </c>
      <c r="K68" s="438">
        <f>_xlfn.IFNA(INDEX(Tariffs!S$46:S$120,MATCH(Movements!$C68,Tariffs!$C$46:$C$120,0)),0)</f>
        <v>0</v>
      </c>
      <c r="L68" s="562"/>
      <c r="M68" s="438">
        <f>_xlfn.IFNA(INDEX(Tariffs!$V$46:$V$120,MATCH(Movements!C68,Tariffs!$C$46:$C$120,0)),0)</f>
        <v>0</v>
      </c>
      <c r="N68" s="198">
        <f>_xlfn.IFNA(INDEX(Metering!$K$7:$R$48,MATCH(Movements!M68,Metering!$C$7:$C$48,0),MATCH(forecastyear,Metering!$K$5:$R$5,0)),0)</f>
        <v>0</v>
      </c>
      <c r="O68" s="198">
        <f>_xlfn.IFNA(INDEX(Metering!$K$7:$R$48,MATCH(Movements!M68,Metering!$C$7:$C$48,0),MATCH(currentyear,Metering!$K$5:$R$5,0)),0)</f>
        <v>0</v>
      </c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70"/>
      <c r="AD68" s="19"/>
      <c r="AE68" s="19"/>
      <c r="AF68" s="19"/>
      <c r="AG68" s="19"/>
    </row>
    <row r="69" spans="1:33" hidden="1" outlineLevel="3" x14ac:dyDescent="0.2">
      <c r="A69" s="19"/>
      <c r="B69" s="147">
        <v>28</v>
      </c>
      <c r="C69" s="506">
        <f>_xlfn.IFNA(INDEX(Tariffs!$C$46:$C$120,MATCH(B69,Tariffs!$X$46:$X$120,0)),0)</f>
        <v>0</v>
      </c>
      <c r="D69" s="505">
        <f>_xlfn.IFNA(INDEX(Tariffs!$P$46:$P$120,MATCH(C69,Tariffs!$C$46:$C$120,0)),0)</f>
        <v>0</v>
      </c>
      <c r="E69" s="505">
        <f>_xlfn.IFNA(INDEX(Tariffs!$M$46:$M$120,MATCH(C69,Tariffs!$C$46:$C$120,0)),0)</f>
        <v>0</v>
      </c>
      <c r="F69" s="536"/>
      <c r="G69" s="512"/>
      <c r="H69" s="536"/>
      <c r="I69" s="438">
        <f>_xlfn.IFNA(INDEX(Tariffs!Q$46:Q$120,MATCH(Movements!$C69,Tariffs!$C$46:$C$120,0)),0)</f>
        <v>0</v>
      </c>
      <c r="J69" s="438">
        <f>_xlfn.IFNA(INDEX(Tariffs!R$46:R$120,MATCH(Movements!$C69,Tariffs!$C$46:$C$120,0)),0)</f>
        <v>0</v>
      </c>
      <c r="K69" s="438">
        <f>_xlfn.IFNA(INDEX(Tariffs!S$46:S$120,MATCH(Movements!$C69,Tariffs!$C$46:$C$120,0)),0)</f>
        <v>0</v>
      </c>
      <c r="L69" s="562"/>
      <c r="M69" s="438">
        <f>_xlfn.IFNA(INDEX(Tariffs!$V$46:$V$120,MATCH(Movements!C69,Tariffs!$C$46:$C$120,0)),0)</f>
        <v>0</v>
      </c>
      <c r="N69" s="198">
        <f>_xlfn.IFNA(INDEX(Metering!$K$7:$R$48,MATCH(Movements!M69,Metering!$C$7:$C$48,0),MATCH(forecastyear,Metering!$K$5:$R$5,0)),0)</f>
        <v>0</v>
      </c>
      <c r="O69" s="198">
        <f>_xlfn.IFNA(INDEX(Metering!$K$7:$R$48,MATCH(Movements!M69,Metering!$C$7:$C$48,0),MATCH(currentyear,Metering!$K$5:$R$5,0)),0)</f>
        <v>0</v>
      </c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70"/>
      <c r="AD69" s="19"/>
      <c r="AE69" s="19"/>
      <c r="AF69" s="19"/>
      <c r="AG69" s="19"/>
    </row>
    <row r="70" spans="1:33" hidden="1" outlineLevel="3" x14ac:dyDescent="0.2">
      <c r="A70" s="19"/>
      <c r="B70" s="147">
        <v>29</v>
      </c>
      <c r="C70" s="506">
        <f>_xlfn.IFNA(INDEX(Tariffs!$C$46:$C$120,MATCH(B70,Tariffs!$X$46:$X$120,0)),0)</f>
        <v>0</v>
      </c>
      <c r="D70" s="505">
        <f>_xlfn.IFNA(INDEX(Tariffs!$P$46:$P$120,MATCH(C70,Tariffs!$C$46:$C$120,0)),0)</f>
        <v>0</v>
      </c>
      <c r="E70" s="505">
        <f>_xlfn.IFNA(INDEX(Tariffs!$M$46:$M$120,MATCH(C70,Tariffs!$C$46:$C$120,0)),0)</f>
        <v>0</v>
      </c>
      <c r="F70" s="536"/>
      <c r="G70" s="512"/>
      <c r="H70" s="536"/>
      <c r="I70" s="438">
        <f>_xlfn.IFNA(INDEX(Tariffs!Q$46:Q$120,MATCH(Movements!$C70,Tariffs!$C$46:$C$120,0)),0)</f>
        <v>0</v>
      </c>
      <c r="J70" s="438">
        <f>_xlfn.IFNA(INDEX(Tariffs!R$46:R$120,MATCH(Movements!$C70,Tariffs!$C$46:$C$120,0)),0)</f>
        <v>0</v>
      </c>
      <c r="K70" s="438">
        <f>_xlfn.IFNA(INDEX(Tariffs!S$46:S$120,MATCH(Movements!$C70,Tariffs!$C$46:$C$120,0)),0)</f>
        <v>0</v>
      </c>
      <c r="L70" s="562"/>
      <c r="M70" s="438">
        <f>_xlfn.IFNA(INDEX(Tariffs!$V$46:$V$120,MATCH(Movements!C70,Tariffs!$C$46:$C$120,0)),0)</f>
        <v>0</v>
      </c>
      <c r="N70" s="198">
        <f>_xlfn.IFNA(INDEX(Metering!$K$7:$R$48,MATCH(Movements!M70,Metering!$C$7:$C$48,0),MATCH(forecastyear,Metering!$K$5:$R$5,0)),0)</f>
        <v>0</v>
      </c>
      <c r="O70" s="198">
        <f>_xlfn.IFNA(INDEX(Metering!$K$7:$R$48,MATCH(Movements!M70,Metering!$C$7:$C$48,0),MATCH(currentyear,Metering!$K$5:$R$5,0)),0)</f>
        <v>0</v>
      </c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70"/>
      <c r="AD70" s="19"/>
      <c r="AE70" s="19"/>
      <c r="AF70" s="19"/>
      <c r="AG70" s="19"/>
    </row>
    <row r="71" spans="1:33" hidden="1" outlineLevel="3" x14ac:dyDescent="0.2">
      <c r="A71" s="19"/>
      <c r="B71" s="566">
        <v>30</v>
      </c>
      <c r="C71" s="506">
        <f>_xlfn.IFNA(INDEX(Tariffs!$C$46:$C$120,MATCH(B71,Tariffs!$X$46:$X$120,0)),0)</f>
        <v>0</v>
      </c>
      <c r="D71" s="505">
        <f>_xlfn.IFNA(INDEX(Tariffs!$P$46:$P$120,MATCH(C71,Tariffs!$C$46:$C$120,0)),0)</f>
        <v>0</v>
      </c>
      <c r="E71" s="505">
        <f>_xlfn.IFNA(INDEX(Tariffs!$M$46:$M$120,MATCH(C71,Tariffs!$C$46:$C$120,0)),0)</f>
        <v>0</v>
      </c>
      <c r="F71" s="536"/>
      <c r="G71" s="512"/>
      <c r="H71" s="536"/>
      <c r="I71" s="438">
        <f>_xlfn.IFNA(INDEX(Tariffs!Q$46:Q$120,MATCH(Movements!$C71,Tariffs!$C$46:$C$120,0)),0)</f>
        <v>0</v>
      </c>
      <c r="J71" s="438">
        <f>_xlfn.IFNA(INDEX(Tariffs!R$46:R$120,MATCH(Movements!$C71,Tariffs!$C$46:$C$120,0)),0)</f>
        <v>0</v>
      </c>
      <c r="K71" s="438">
        <f>_xlfn.IFNA(INDEX(Tariffs!S$46:S$120,MATCH(Movements!$C71,Tariffs!$C$46:$C$120,0)),0)</f>
        <v>0</v>
      </c>
      <c r="L71" s="562"/>
      <c r="M71" s="438">
        <f>_xlfn.IFNA(INDEX(Tariffs!$V$46:$V$120,MATCH(Movements!C71,Tariffs!$C$46:$C$120,0)),0)</f>
        <v>0</v>
      </c>
      <c r="N71" s="198">
        <f>_xlfn.IFNA(INDEX(Metering!$K$7:$R$48,MATCH(Movements!M71,Metering!$C$7:$C$48,0),MATCH(forecastyear,Metering!$K$5:$R$5,0)),0)</f>
        <v>0</v>
      </c>
      <c r="O71" s="198">
        <f>_xlfn.IFNA(INDEX(Metering!$K$7:$R$48,MATCH(Movements!M71,Metering!$C$7:$C$48,0),MATCH(currentyear,Metering!$K$5:$R$5,0)),0)</f>
        <v>0</v>
      </c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70"/>
      <c r="AD71" s="19"/>
      <c r="AE71" s="19"/>
      <c r="AF71" s="19"/>
      <c r="AG71" s="19"/>
    </row>
    <row r="72" spans="1:33" outlineLevel="2" collapsed="1" x14ac:dyDescent="0.2">
      <c r="A72" s="19"/>
      <c r="B72" s="147"/>
      <c r="C72" s="560"/>
      <c r="D72" s="558"/>
      <c r="E72" s="559"/>
      <c r="F72" s="536"/>
      <c r="G72" s="536"/>
      <c r="H72" s="536"/>
      <c r="I72" s="217"/>
      <c r="J72" s="217"/>
      <c r="K72" s="563"/>
      <c r="L72" s="562"/>
      <c r="M72" s="562"/>
      <c r="N72" s="138"/>
      <c r="O72" s="138"/>
      <c r="P72" s="139"/>
      <c r="Q72" s="139"/>
      <c r="R72" s="139"/>
      <c r="S72" s="138"/>
      <c r="T72" s="138"/>
      <c r="U72" s="138"/>
      <c r="V72" s="70"/>
      <c r="W72" s="70"/>
      <c r="X72" s="70"/>
      <c r="Y72" s="70"/>
      <c r="Z72" s="70"/>
      <c r="AA72" s="70"/>
      <c r="AB72" s="70"/>
      <c r="AC72" s="70"/>
      <c r="AD72" s="19"/>
      <c r="AE72" s="19"/>
      <c r="AF72" s="19"/>
      <c r="AG72" s="19"/>
    </row>
    <row r="73" spans="1:33" x14ac:dyDescent="0.2">
      <c r="A73" s="19"/>
      <c r="B73" s="19"/>
      <c r="C73" s="36"/>
      <c r="D73" s="36"/>
      <c r="E73" s="20"/>
      <c r="F73" s="20"/>
      <c r="G73" s="170"/>
      <c r="H73" s="170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147"/>
      <c r="AD73" s="19"/>
      <c r="AE73" s="19"/>
      <c r="AF73" s="19"/>
      <c r="AG73" s="19"/>
    </row>
    <row r="74" spans="1:33" ht="12.75" x14ac:dyDescent="0.2">
      <c r="A74" s="11"/>
      <c r="B74" s="12" t="str">
        <f>"Calculation table 32 | "&amp;forecastyear&amp;" Network costs - residential"</f>
        <v>Calculation table 32 | 2022–23 Network costs - residential</v>
      </c>
      <c r="C74" s="11"/>
      <c r="D74" s="32" t="s">
        <v>389</v>
      </c>
      <c r="E74" s="32" t="s">
        <v>258</v>
      </c>
      <c r="F74" s="32"/>
      <c r="G74" s="169" t="s">
        <v>240</v>
      </c>
      <c r="H74" s="169"/>
      <c r="I74" s="169" t="str">
        <f>I5</f>
        <v>Service</v>
      </c>
      <c r="J74" s="169" t="str">
        <f t="shared" ref="J74:AB74" si="1">J5</f>
        <v>All energy</v>
      </c>
      <c r="K74" s="169" t="str">
        <f t="shared" si="1"/>
        <v>Peak energy</v>
      </c>
      <c r="L74" s="169" t="str">
        <f t="shared" si="1"/>
        <v>Shoulder energy</v>
      </c>
      <c r="M74" s="169" t="str">
        <f t="shared" si="1"/>
        <v>Off-peak energy</v>
      </c>
      <c r="N74" s="169">
        <f t="shared" si="1"/>
        <v>0</v>
      </c>
      <c r="O74" s="169">
        <f t="shared" si="1"/>
        <v>0</v>
      </c>
      <c r="P74" s="169">
        <f t="shared" si="1"/>
        <v>0</v>
      </c>
      <c r="Q74" s="169">
        <f t="shared" si="1"/>
        <v>0</v>
      </c>
      <c r="R74" s="169">
        <f t="shared" si="1"/>
        <v>0</v>
      </c>
      <c r="S74" s="169">
        <f t="shared" si="1"/>
        <v>0</v>
      </c>
      <c r="T74" s="169">
        <f t="shared" si="1"/>
        <v>0</v>
      </c>
      <c r="U74" s="169">
        <f t="shared" si="1"/>
        <v>0</v>
      </c>
      <c r="V74" s="169">
        <f t="shared" si="1"/>
        <v>0</v>
      </c>
      <c r="W74" s="169">
        <f t="shared" si="1"/>
        <v>0</v>
      </c>
      <c r="X74" s="169">
        <f t="shared" si="1"/>
        <v>0</v>
      </c>
      <c r="Y74" s="169">
        <f t="shared" si="1"/>
        <v>0</v>
      </c>
      <c r="Z74" s="169">
        <f t="shared" si="1"/>
        <v>0</v>
      </c>
      <c r="AA74" s="169">
        <f t="shared" si="1"/>
        <v>0</v>
      </c>
      <c r="AB74" s="169">
        <f t="shared" si="1"/>
        <v>0</v>
      </c>
      <c r="AC74" s="64"/>
      <c r="AD74" s="15"/>
      <c r="AE74" s="15"/>
      <c r="AF74" s="15"/>
      <c r="AG74" s="15"/>
    </row>
    <row r="75" spans="1:33" x14ac:dyDescent="0.2">
      <c r="A75" s="19"/>
      <c r="B75" s="19"/>
      <c r="C75" s="36"/>
      <c r="D75" s="36"/>
      <c r="E75" s="20"/>
      <c r="F75" s="20"/>
      <c r="G75" s="170" t="str">
        <f>I75</f>
        <v>$dollars</v>
      </c>
      <c r="H75" s="170"/>
      <c r="I75" s="170" t="str">
        <f>I6</f>
        <v>$dollars</v>
      </c>
      <c r="J75" s="170" t="str">
        <f t="shared" ref="J75:AB75" si="2">J6</f>
        <v>$dollars</v>
      </c>
      <c r="K75" s="170" t="str">
        <f t="shared" si="2"/>
        <v>$dollars</v>
      </c>
      <c r="L75" s="170" t="str">
        <f t="shared" si="2"/>
        <v>$dollars</v>
      </c>
      <c r="M75" s="170" t="str">
        <f t="shared" si="2"/>
        <v>$dollars</v>
      </c>
      <c r="N75" s="170">
        <f t="shared" si="2"/>
        <v>0</v>
      </c>
      <c r="O75" s="170">
        <f t="shared" si="2"/>
        <v>0</v>
      </c>
      <c r="P75" s="170">
        <f t="shared" si="2"/>
        <v>0</v>
      </c>
      <c r="Q75" s="170">
        <f t="shared" si="2"/>
        <v>0</v>
      </c>
      <c r="R75" s="170">
        <f t="shared" si="2"/>
        <v>0</v>
      </c>
      <c r="S75" s="170">
        <f t="shared" si="2"/>
        <v>0</v>
      </c>
      <c r="T75" s="170">
        <f t="shared" si="2"/>
        <v>0</v>
      </c>
      <c r="U75" s="170">
        <f t="shared" si="2"/>
        <v>0</v>
      </c>
      <c r="V75" s="170">
        <f t="shared" si="2"/>
        <v>0</v>
      </c>
      <c r="W75" s="170">
        <f t="shared" si="2"/>
        <v>0</v>
      </c>
      <c r="X75" s="170">
        <f t="shared" si="2"/>
        <v>0</v>
      </c>
      <c r="Y75" s="170">
        <f t="shared" si="2"/>
        <v>0</v>
      </c>
      <c r="Z75" s="170">
        <f t="shared" si="2"/>
        <v>0</v>
      </c>
      <c r="AA75" s="170">
        <f t="shared" si="2"/>
        <v>0</v>
      </c>
      <c r="AB75" s="170">
        <f t="shared" si="2"/>
        <v>0</v>
      </c>
      <c r="AC75" s="19"/>
      <c r="AD75" s="19"/>
      <c r="AE75" s="19"/>
      <c r="AF75" s="19"/>
      <c r="AG75" s="19"/>
    </row>
    <row r="76" spans="1:33" outlineLevel="1" x14ac:dyDescent="0.2">
      <c r="A76" s="19"/>
      <c r="B76" s="19"/>
      <c r="C76" s="167" t="s">
        <v>136</v>
      </c>
      <c r="D76" s="167"/>
      <c r="E76" s="20"/>
      <c r="F76" s="20"/>
      <c r="G76" s="22"/>
      <c r="H76" s="22"/>
      <c r="AD76" s="19"/>
      <c r="AE76" s="19"/>
      <c r="AF76" s="19"/>
      <c r="AG76" s="19"/>
    </row>
    <row r="77" spans="1:33" outlineLevel="2" x14ac:dyDescent="0.2">
      <c r="A77" s="19"/>
      <c r="B77" s="97">
        <v>1</v>
      </c>
      <c r="C77" s="506" t="str">
        <f t="shared" ref="C77:E106" si="3">C11</f>
        <v>Residential time of use consumption</v>
      </c>
      <c r="D77" s="505">
        <f t="shared" si="3"/>
        <v>0</v>
      </c>
      <c r="E77" s="505" t="str">
        <f t="shared" si="3"/>
        <v>yes</v>
      </c>
      <c r="F77" s="20"/>
      <c r="G77" s="199">
        <f t="shared" ref="G77:G106" si="4">SUM(I77:AB77)</f>
        <v>602.82538420457661</v>
      </c>
      <c r="H77" s="22"/>
      <c r="I77" s="198">
        <f>_xlfn.IFNA(IF(I$7="Fixed",1,IF(AND($D77="yes",I$7="Block"),INDEX($O617:$Q617,1,MATCH(I$5,$I11:$K11,0)),INDEX(Movements!$G617:$M617,1,MATCH(I$7,Movements!$G$614:$M$614,0))))
*I821*I$8,0)</f>
        <v>216.55085</v>
      </c>
      <c r="J77" s="198">
        <f>_xlfn.IFNA(IF(J$7="Fixed",1,IF(AND($D77="yes",J$7="Block"),INDEX($O617:$Q617,1,MATCH(J$5,$I11:$K11,0)),INDEX(Movements!$G617:$M617,1,MATCH(J$7,Movements!$G$614:$M$614,0))))
*J821*J$8,0)</f>
        <v>0</v>
      </c>
      <c r="K77" s="198">
        <f>_xlfn.IFNA(IF(K$7="Fixed",1,IF(AND($D77="yes",K$7="Block"),INDEX($O617:$Q617,1,MATCH(K$5,$I11:$K11,0)),INDEX(Movements!$G617:$M617,1,MATCH(K$7,Movements!$G$614:$M$614,0))))
*K821*K$8,0)</f>
        <v>265.90108225328163</v>
      </c>
      <c r="L77" s="198">
        <f>_xlfn.IFNA(IF(L$7="Fixed",1,IF(AND($D77="yes",L$7="Block"),INDEX($O617:$Q617,1,MATCH(L$5,$I11:$K11,0)),INDEX(Movements!$G617:$M617,1,MATCH(L$7,Movements!$G$614:$M$614,0))))
*L821*L$8,0)</f>
        <v>0</v>
      </c>
      <c r="M77" s="198">
        <f>_xlfn.IFNA(IF(M$7="Fixed",1,IF(AND($D77="yes",M$7="Block"),INDEX($O617:$Q617,1,MATCH(M$5,$I11:$K11,0)),INDEX(Movements!$G617:$M617,1,MATCH(M$7,Movements!$G$614:$M$614,0))))
*M821*M$8,0)</f>
        <v>120.373451951295</v>
      </c>
      <c r="N77" s="198">
        <f>_xlfn.IFNA(IF(N$7="Fixed",1,IF(AND($D77="yes",N$7="Block"),INDEX($O617:$Q617,1,MATCH(N$5,$I11:$K11,0)),INDEX(Movements!$G617:$M617,1,MATCH(N$7,Movements!$G$614:$M$614,0))))
*N821*N$8,0)</f>
        <v>0</v>
      </c>
      <c r="O77" s="198">
        <f>_xlfn.IFNA(IF(O$7="Fixed",1,IF(AND($D77="yes",O$7="Block"),INDEX($O617:$Q617,1,MATCH(O$5,$I11:$K11,0)),INDEX(Movements!$G617:$M617,1,MATCH(O$7,Movements!$G$614:$M$614,0))))
*O821*O$8,0)</f>
        <v>0</v>
      </c>
      <c r="P77" s="198">
        <f>_xlfn.IFNA(IF(P$7="Fixed",1,IF(AND($D77="yes",P$7="Block"),INDEX($O617:$Q617,1,MATCH(P$5,$I11:$K11,0)),INDEX(Movements!$G617:$M617,1,MATCH(P$7,Movements!$G$614:$M$614,0))))
*P821*P$8,0)</f>
        <v>0</v>
      </c>
      <c r="Q77" s="198">
        <f>_xlfn.IFNA(IF(Q$7="Fixed",1,IF(AND($D77="yes",Q$7="Block"),INDEX($O617:$Q617,1,MATCH(Q$5,$I11:$K11,0)),INDEX(Movements!$G617:$M617,1,MATCH(Q$7,Movements!$G$614:$M$614,0))))
*Q821*Q$8,0)</f>
        <v>0</v>
      </c>
      <c r="R77" s="198">
        <f>_xlfn.IFNA(IF(R$7="Fixed",1,IF(AND($D77="yes",R$7="Block"),INDEX($O617:$Q617,1,MATCH(R$5,$I11:$K11,0)),INDEX(Movements!$G617:$M617,1,MATCH(R$7,Movements!$G$614:$M$614,0))))
*R821*R$8,0)</f>
        <v>0</v>
      </c>
      <c r="S77" s="198">
        <f>_xlfn.IFNA(IF(S$7="Fixed",1,IF(AND($D77="yes",S$7="Block"),INDEX($O617:$Q617,1,MATCH(S$5,$I11:$K11,0)),INDEX(Movements!$G617:$M617,1,MATCH(S$7,Movements!$G$614:$M$614,0))))
*S821*S$8,0)</f>
        <v>0</v>
      </c>
      <c r="T77" s="198">
        <f>_xlfn.IFNA(IF(T$7="Fixed",1,IF(AND($D77="yes",T$7="Block"),INDEX($O617:$Q617,1,MATCH(T$5,$I11:$K11,0)),INDEX(Movements!$G617:$M617,1,MATCH(T$7,Movements!$G$614:$M$614,0))))
*T821*T$8,0)</f>
        <v>0</v>
      </c>
      <c r="U77" s="198">
        <f>_xlfn.IFNA(IF(U$7="Fixed",1,IF(AND($D77="yes",U$7="Block"),INDEX($O617:$Q617,1,MATCH(U$5,$I11:$K11,0)),INDEX(Movements!$G617:$M617,1,MATCH(U$7,Movements!$G$614:$M$614,0))))
*U821*U$8,0)</f>
        <v>0</v>
      </c>
      <c r="V77" s="198">
        <f>_xlfn.IFNA(IF(V$7="Fixed",1,IF(AND($D77="yes",V$7="Block"),INDEX($O617:$Q617,1,MATCH(V$5,$I11:$K11,0)),INDEX(Movements!$G617:$M617,1,MATCH(V$7,Movements!$G$614:$M$614,0))))
*V821*V$8,0)</f>
        <v>0</v>
      </c>
      <c r="W77" s="198">
        <f>_xlfn.IFNA(IF(W$7="Fixed",1,IF(AND($D77="yes",W$7="Block"),INDEX($O617:$Q617,1,MATCH(W$5,$I11:$K11,0)),INDEX(Movements!$G617:$M617,1,MATCH(W$7,Movements!$G$614:$M$614,0))))
*W821*W$8,0)</f>
        <v>0</v>
      </c>
      <c r="X77" s="198">
        <f>_xlfn.IFNA(IF(X$7="Fixed",1,IF(AND($D77="yes",X$7="Block"),INDEX($O617:$Q617,1,MATCH(X$5,$I11:$K11,0)),INDEX(Movements!$G617:$M617,1,MATCH(X$7,Movements!$G$614:$M$614,0))))
*X821*X$8,0)</f>
        <v>0</v>
      </c>
      <c r="Y77" s="198">
        <f>_xlfn.IFNA(IF(Y$7="Fixed",1,IF(AND($D77="yes",Y$7="Block"),INDEX($O617:$Q617,1,MATCH(Y$5,$I11:$K11,0)),INDEX(Movements!$G617:$M617,1,MATCH(Y$7,Movements!$G$614:$M$614,0))))
*Y821*Y$8,0)</f>
        <v>0</v>
      </c>
      <c r="Z77" s="198">
        <f>_xlfn.IFNA(IF(Z$7="Fixed",1,IF(AND($D77="yes",Z$7="Block"),INDEX($O617:$Q617,1,MATCH(Z$5,$I11:$K11,0)),INDEX(Movements!$G617:$M617,1,MATCH(Z$7,Movements!$G$614:$M$614,0))))
*Z821*Z$8,0)</f>
        <v>0</v>
      </c>
      <c r="AA77" s="198">
        <f>_xlfn.IFNA(IF(AA$7="Fixed",1,IF(AND($D77="yes",AA$7="Block"),INDEX($O617:$Q617,1,MATCH(AA$5,$I11:$K11,0)),INDEX(Movements!$G617:$M617,1,MATCH(AA$7,Movements!$G$614:$M$614,0))))
*AA821*AA$8,0)</f>
        <v>0</v>
      </c>
      <c r="AB77" s="198">
        <f>_xlfn.IFNA(IF(AB$7="Fixed",1,IF(AND($D77="yes",AB$7="Block"),INDEX($O617:$Q617,1,MATCH(AB$5,$I11:$K11,0)),INDEX(Movements!$G617:$M617,1,MATCH(AB$7,Movements!$G$614:$M$614,0))))
*AB821*AB$8,0)</f>
        <v>0</v>
      </c>
      <c r="AC77" s="70"/>
      <c r="AD77" s="19"/>
      <c r="AE77" s="19"/>
      <c r="AF77" s="19"/>
      <c r="AG77" s="19"/>
    </row>
    <row r="78" spans="1:33" s="59" customFormat="1" outlineLevel="2" x14ac:dyDescent="0.2">
      <c r="A78" s="57"/>
      <c r="B78" s="98">
        <v>2</v>
      </c>
      <c r="C78" s="506" t="str">
        <f t="shared" si="3"/>
        <v>Residential general light and power</v>
      </c>
      <c r="D78" s="505">
        <f t="shared" si="3"/>
        <v>0</v>
      </c>
      <c r="E78" s="505" t="str">
        <f t="shared" si="3"/>
        <v>no</v>
      </c>
      <c r="F78" s="58"/>
      <c r="G78" s="199">
        <f t="shared" si="4"/>
        <v>407.80603207239545</v>
      </c>
      <c r="H78" s="58"/>
      <c r="I78" s="198">
        <f>_xlfn.IFNA(IF(I$7="Fixed",1,IF(AND($D78="yes",I$7="Block"),INDEX($O618:$Q618,1,MATCH(I$5,$I12:$K12,0)),INDEX(Movements!$G618:$M618,1,MATCH(I$7,Movements!$G$614:$M$614,0))))
*I822*I$8,0)</f>
        <v>198.08185</v>
      </c>
      <c r="J78" s="198">
        <f>_xlfn.IFNA(IF(J$7="Fixed",1,IF(AND($D78="yes",J$7="Block"),INDEX($O618:$Q618,1,MATCH(J$5,$I12:$K12,0)),INDEX(Movements!$G618:$M618,1,MATCH(J$7,Movements!$G$614:$M$614,0))))
*J822*J$8,0)</f>
        <v>209.72418207239545</v>
      </c>
      <c r="K78" s="198">
        <f>_xlfn.IFNA(IF(K$7="Fixed",1,IF(AND($D78="yes",K$7="Block"),INDEX($O618:$Q618,1,MATCH(K$5,$I12:$K12,0)),INDEX(Movements!$G618:$M618,1,MATCH(K$7,Movements!$G$614:$M$614,0))))
*K822*K$8,0)</f>
        <v>0</v>
      </c>
      <c r="L78" s="198">
        <f>_xlfn.IFNA(IF(L$7="Fixed",1,IF(AND($D78="yes",L$7="Block"),INDEX($O618:$Q618,1,MATCH(L$5,$I12:$K12,0)),INDEX(Movements!$G618:$M618,1,MATCH(L$7,Movements!$G$614:$M$614,0))))
*L822*L$8,0)</f>
        <v>0</v>
      </c>
      <c r="M78" s="198">
        <f>_xlfn.IFNA(IF(M$7="Fixed",1,IF(AND($D78="yes",M$7="Block"),INDEX($O618:$Q618,1,MATCH(M$5,$I12:$K12,0)),INDEX(Movements!$G618:$M618,1,MATCH(M$7,Movements!$G$614:$M$614,0))))
*M822*M$8,0)</f>
        <v>0</v>
      </c>
      <c r="N78" s="198">
        <f>_xlfn.IFNA(IF(N$7="Fixed",1,IF(AND($D78="yes",N$7="Block"),INDEX($O618:$Q618,1,MATCH(N$5,$I12:$K12,0)),INDEX(Movements!$G618:$M618,1,MATCH(N$7,Movements!$G$614:$M$614,0))))
*N822*N$8,0)</f>
        <v>0</v>
      </c>
      <c r="O78" s="198">
        <f>_xlfn.IFNA(IF(O$7="Fixed",1,IF(AND($D78="yes",O$7="Block"),INDEX($O618:$Q618,1,MATCH(O$5,$I12:$K12,0)),INDEX(Movements!$G618:$M618,1,MATCH(O$7,Movements!$G$614:$M$614,0))))
*O822*O$8,0)</f>
        <v>0</v>
      </c>
      <c r="P78" s="198">
        <f>_xlfn.IFNA(IF(P$7="Fixed",1,IF(AND($D78="yes",P$7="Block"),INDEX($O618:$Q618,1,MATCH(P$5,$I12:$K12,0)),INDEX(Movements!$G618:$M618,1,MATCH(P$7,Movements!$G$614:$M$614,0))))
*P822*P$8,0)</f>
        <v>0</v>
      </c>
      <c r="Q78" s="198">
        <f>_xlfn.IFNA(IF(Q$7="Fixed",1,IF(AND($D78="yes",Q$7="Block"),INDEX($O618:$Q618,1,MATCH(Q$5,$I12:$K12,0)),INDEX(Movements!$G618:$M618,1,MATCH(Q$7,Movements!$G$614:$M$614,0))))
*Q822*Q$8,0)</f>
        <v>0</v>
      </c>
      <c r="R78" s="198">
        <f>_xlfn.IFNA(IF(R$7="Fixed",1,IF(AND($D78="yes",R$7="Block"),INDEX($O618:$Q618,1,MATCH(R$5,$I12:$K12,0)),INDEX(Movements!$G618:$M618,1,MATCH(R$7,Movements!$G$614:$M$614,0))))
*R822*R$8,0)</f>
        <v>0</v>
      </c>
      <c r="S78" s="198">
        <f>_xlfn.IFNA(IF(S$7="Fixed",1,IF(AND($D78="yes",S$7="Block"),INDEX($O618:$Q618,1,MATCH(S$5,$I12:$K12,0)),INDEX(Movements!$G618:$M618,1,MATCH(S$7,Movements!$G$614:$M$614,0))))
*S822*S$8,0)</f>
        <v>0</v>
      </c>
      <c r="T78" s="198">
        <f>_xlfn.IFNA(IF(T$7="Fixed",1,IF(AND($D78="yes",T$7="Block"),INDEX($O618:$Q618,1,MATCH(T$5,$I12:$K12,0)),INDEX(Movements!$G618:$M618,1,MATCH(T$7,Movements!$G$614:$M$614,0))))
*T822*T$8,0)</f>
        <v>0</v>
      </c>
      <c r="U78" s="198">
        <f>_xlfn.IFNA(IF(U$7="Fixed",1,IF(AND($D78="yes",U$7="Block"),INDEX($O618:$Q618,1,MATCH(U$5,$I12:$K12,0)),INDEX(Movements!$G618:$M618,1,MATCH(U$7,Movements!$G$614:$M$614,0))))
*U822*U$8,0)</f>
        <v>0</v>
      </c>
      <c r="V78" s="198">
        <f>_xlfn.IFNA(IF(V$7="Fixed",1,IF(AND($D78="yes",V$7="Block"),INDEX($O618:$Q618,1,MATCH(V$5,$I12:$K12,0)),INDEX(Movements!$G618:$M618,1,MATCH(V$7,Movements!$G$614:$M$614,0))))
*V822*V$8,0)</f>
        <v>0</v>
      </c>
      <c r="W78" s="198">
        <f>_xlfn.IFNA(IF(W$7="Fixed",1,IF(AND($D78="yes",W$7="Block"),INDEX($O618:$Q618,1,MATCH(W$5,$I12:$K12,0)),INDEX(Movements!$G618:$M618,1,MATCH(W$7,Movements!$G$614:$M$614,0))))
*W822*W$8,0)</f>
        <v>0</v>
      </c>
      <c r="X78" s="198">
        <f>_xlfn.IFNA(IF(X$7="Fixed",1,IF(AND($D78="yes",X$7="Block"),INDEX($O618:$Q618,1,MATCH(X$5,$I12:$K12,0)),INDEX(Movements!$G618:$M618,1,MATCH(X$7,Movements!$G$614:$M$614,0))))
*X822*X$8,0)</f>
        <v>0</v>
      </c>
      <c r="Y78" s="198">
        <f>_xlfn.IFNA(IF(Y$7="Fixed",1,IF(AND($D78="yes",Y$7="Block"),INDEX($O618:$Q618,1,MATCH(Y$5,$I12:$K12,0)),INDEX(Movements!$G618:$M618,1,MATCH(Y$7,Movements!$G$614:$M$614,0))))
*Y822*Y$8,0)</f>
        <v>0</v>
      </c>
      <c r="Z78" s="198">
        <f>_xlfn.IFNA(IF(Z$7="Fixed",1,IF(AND($D78="yes",Z$7="Block"),INDEX($O618:$Q618,1,MATCH(Z$5,$I12:$K12,0)),INDEX(Movements!$G618:$M618,1,MATCH(Z$7,Movements!$G$614:$M$614,0))))
*Z822*Z$8,0)</f>
        <v>0</v>
      </c>
      <c r="AA78" s="198">
        <f>_xlfn.IFNA(IF(AA$7="Fixed",1,IF(AND($D78="yes",AA$7="Block"),INDEX($O618:$Q618,1,MATCH(AA$5,$I12:$K12,0)),INDEX(Movements!$G618:$M618,1,MATCH(AA$7,Movements!$G$614:$M$614,0))))
*AA822*AA$8,0)</f>
        <v>0</v>
      </c>
      <c r="AB78" s="198">
        <f>_xlfn.IFNA(IF(AB$7="Fixed",1,IF(AND($D78="yes",AB$7="Block"),INDEX($O618:$Q618,1,MATCH(AB$5,$I12:$K12,0)),INDEX(Movements!$G618:$M618,1,MATCH(AB$7,Movements!$G$614:$M$614,0))))
*AB822*AB$8,0)</f>
        <v>0</v>
      </c>
      <c r="AC78" s="70"/>
      <c r="AD78" s="57"/>
      <c r="AE78" s="57"/>
      <c r="AF78" s="57"/>
      <c r="AG78" s="57"/>
    </row>
    <row r="79" spans="1:33" outlineLevel="2" x14ac:dyDescent="0.2">
      <c r="A79" s="19"/>
      <c r="B79" s="97">
        <v>3</v>
      </c>
      <c r="C79" s="506" t="str">
        <f t="shared" si="3"/>
        <v>Residential pay as you go</v>
      </c>
      <c r="D79" s="505">
        <f t="shared" si="3"/>
        <v>0</v>
      </c>
      <c r="E79" s="505" t="str">
        <f t="shared" si="3"/>
        <v>no</v>
      </c>
      <c r="F79" s="58"/>
      <c r="G79" s="199">
        <f t="shared" si="4"/>
        <v>199.69880000000001</v>
      </c>
      <c r="H79" s="58"/>
      <c r="I79" s="198">
        <f>_xlfn.IFNA(IF(I$7="Fixed",1,IF(AND($D79="yes",I$7="Block"),INDEX($O619:$Q619,1,MATCH(I$5,$I13:$K13,0)),INDEX(Movements!$G619:$M619,1,MATCH(I$7,Movements!$G$614:$M$614,0))))
*I823*I$8,0)</f>
        <v>199.69880000000001</v>
      </c>
      <c r="J79" s="198">
        <f>_xlfn.IFNA(IF(J$7="Fixed",1,IF(AND($D79="yes",J$7="Block"),INDEX($O619:$Q619,1,MATCH(J$5,$I13:$K13,0)),INDEX(Movements!$G619:$M619,1,MATCH(J$7,Movements!$G$614:$M$614,0))))
*J823*J$8,0)</f>
        <v>0</v>
      </c>
      <c r="K79" s="198">
        <f>_xlfn.IFNA(IF(K$7="Fixed",1,IF(AND($D79="yes",K$7="Block"),INDEX($O619:$Q619,1,MATCH(K$5,$I13:$K13,0)),INDEX(Movements!$G619:$M619,1,MATCH(K$7,Movements!$G$614:$M$614,0))))
*K823*K$8,0)</f>
        <v>0</v>
      </c>
      <c r="L79" s="198">
        <f>_xlfn.IFNA(IF(L$7="Fixed",1,IF(AND($D79="yes",L$7="Block"),INDEX($O619:$Q619,1,MATCH(L$5,$I13:$K13,0)),INDEX(Movements!$G619:$M619,1,MATCH(L$7,Movements!$G$614:$M$614,0))))
*L823*L$8,0)</f>
        <v>0</v>
      </c>
      <c r="M79" s="198">
        <f>_xlfn.IFNA(IF(M$7="Fixed",1,IF(AND($D79="yes",M$7="Block"),INDEX($O619:$Q619,1,MATCH(M$5,$I13:$K13,0)),INDEX(Movements!$G619:$M619,1,MATCH(M$7,Movements!$G$614:$M$614,0))))
*M823*M$8,0)</f>
        <v>0</v>
      </c>
      <c r="N79" s="198">
        <f>_xlfn.IFNA(IF(N$7="Fixed",1,IF(AND($D79="yes",N$7="Block"),INDEX($O619:$Q619,1,MATCH(N$5,$I13:$K13,0)),INDEX(Movements!$G619:$M619,1,MATCH(N$7,Movements!$G$614:$M$614,0))))
*N823*N$8,0)</f>
        <v>0</v>
      </c>
      <c r="O79" s="198">
        <f>_xlfn.IFNA(IF(O$7="Fixed",1,IF(AND($D79="yes",O$7="Block"),INDEX($O619:$Q619,1,MATCH(O$5,$I13:$K13,0)),INDEX(Movements!$G619:$M619,1,MATCH(O$7,Movements!$G$614:$M$614,0))))
*O823*O$8,0)</f>
        <v>0</v>
      </c>
      <c r="P79" s="198">
        <f>_xlfn.IFNA(IF(P$7="Fixed",1,IF(AND($D79="yes",P$7="Block"),INDEX($O619:$Q619,1,MATCH(P$5,$I13:$K13,0)),INDEX(Movements!$G619:$M619,1,MATCH(P$7,Movements!$G$614:$M$614,0))))
*P823*P$8,0)</f>
        <v>0</v>
      </c>
      <c r="Q79" s="198">
        <f>_xlfn.IFNA(IF(Q$7="Fixed",1,IF(AND($D79="yes",Q$7="Block"),INDEX($O619:$Q619,1,MATCH(Q$5,$I13:$K13,0)),INDEX(Movements!$G619:$M619,1,MATCH(Q$7,Movements!$G$614:$M$614,0))))
*Q823*Q$8,0)</f>
        <v>0</v>
      </c>
      <c r="R79" s="198">
        <f>_xlfn.IFNA(IF(R$7="Fixed",1,IF(AND($D79="yes",R$7="Block"),INDEX($O619:$Q619,1,MATCH(R$5,$I13:$K13,0)),INDEX(Movements!$G619:$M619,1,MATCH(R$7,Movements!$G$614:$M$614,0))))
*R823*R$8,0)</f>
        <v>0</v>
      </c>
      <c r="S79" s="198">
        <f>_xlfn.IFNA(IF(S$7="Fixed",1,IF(AND($D79="yes",S$7="Block"),INDEX($O619:$Q619,1,MATCH(S$5,$I13:$K13,0)),INDEX(Movements!$G619:$M619,1,MATCH(S$7,Movements!$G$614:$M$614,0))))
*S823*S$8,0)</f>
        <v>0</v>
      </c>
      <c r="T79" s="198">
        <f>_xlfn.IFNA(IF(T$7="Fixed",1,IF(AND($D79="yes",T$7="Block"),INDEX($O619:$Q619,1,MATCH(T$5,$I13:$K13,0)),INDEX(Movements!$G619:$M619,1,MATCH(T$7,Movements!$G$614:$M$614,0))))
*T823*T$8,0)</f>
        <v>0</v>
      </c>
      <c r="U79" s="198">
        <f>_xlfn.IFNA(IF(U$7="Fixed",1,IF(AND($D79="yes",U$7="Block"),INDEX($O619:$Q619,1,MATCH(U$5,$I13:$K13,0)),INDEX(Movements!$G619:$M619,1,MATCH(U$7,Movements!$G$614:$M$614,0))))
*U823*U$8,0)</f>
        <v>0</v>
      </c>
      <c r="V79" s="198">
        <f>_xlfn.IFNA(IF(V$7="Fixed",1,IF(AND($D79="yes",V$7="Block"),INDEX($O619:$Q619,1,MATCH(V$5,$I13:$K13,0)),INDEX(Movements!$G619:$M619,1,MATCH(V$7,Movements!$G$614:$M$614,0))))
*V823*V$8,0)</f>
        <v>0</v>
      </c>
      <c r="W79" s="198">
        <f>_xlfn.IFNA(IF(W$7="Fixed",1,IF(AND($D79="yes",W$7="Block"),INDEX($O619:$Q619,1,MATCH(W$5,$I13:$K13,0)),INDEX(Movements!$G619:$M619,1,MATCH(W$7,Movements!$G$614:$M$614,0))))
*W823*W$8,0)</f>
        <v>0</v>
      </c>
      <c r="X79" s="198">
        <f>_xlfn.IFNA(IF(X$7="Fixed",1,IF(AND($D79="yes",X$7="Block"),INDEX($O619:$Q619,1,MATCH(X$5,$I13:$K13,0)),INDEX(Movements!$G619:$M619,1,MATCH(X$7,Movements!$G$614:$M$614,0))))
*X823*X$8,0)</f>
        <v>0</v>
      </c>
      <c r="Y79" s="198">
        <f>_xlfn.IFNA(IF(Y$7="Fixed",1,IF(AND($D79="yes",Y$7="Block"),INDEX($O619:$Q619,1,MATCH(Y$5,$I13:$K13,0)),INDEX(Movements!$G619:$M619,1,MATCH(Y$7,Movements!$G$614:$M$614,0))))
*Y823*Y$8,0)</f>
        <v>0</v>
      </c>
      <c r="Z79" s="198">
        <f>_xlfn.IFNA(IF(Z$7="Fixed",1,IF(AND($D79="yes",Z$7="Block"),INDEX($O619:$Q619,1,MATCH(Z$5,$I13:$K13,0)),INDEX(Movements!$G619:$M619,1,MATCH(Z$7,Movements!$G$614:$M$614,0))))
*Z823*Z$8,0)</f>
        <v>0</v>
      </c>
      <c r="AA79" s="198">
        <f>_xlfn.IFNA(IF(AA$7="Fixed",1,IF(AND($D79="yes",AA$7="Block"),INDEX($O619:$Q619,1,MATCH(AA$5,$I13:$K13,0)),INDEX(Movements!$G619:$M619,1,MATCH(AA$7,Movements!$G$614:$M$614,0))))
*AA823*AA$8,0)</f>
        <v>0</v>
      </c>
      <c r="AB79" s="198">
        <f>_xlfn.IFNA(IF(AB$7="Fixed",1,IF(AND($D79="yes",AB$7="Block"),INDEX($O619:$Q619,1,MATCH(AB$5,$I13:$K13,0)),INDEX(Movements!$G619:$M619,1,MATCH(AB$7,Movements!$G$614:$M$614,0))))
*AB823*AB$8,0)</f>
        <v>0</v>
      </c>
      <c r="AC79" s="70"/>
      <c r="AD79" s="19"/>
      <c r="AE79" s="19"/>
      <c r="AF79" s="19"/>
      <c r="AG79" s="19"/>
    </row>
    <row r="80" spans="1:33" outlineLevel="2" x14ac:dyDescent="0.2">
      <c r="A80" s="19"/>
      <c r="B80" s="97">
        <v>4</v>
      </c>
      <c r="C80" s="506" t="str">
        <f t="shared" si="3"/>
        <v>Residential pay as you go time of use</v>
      </c>
      <c r="D80" s="505">
        <f t="shared" si="3"/>
        <v>0</v>
      </c>
      <c r="E80" s="505" t="str">
        <f t="shared" si="3"/>
        <v>no</v>
      </c>
      <c r="F80" s="58"/>
      <c r="G80" s="199">
        <f t="shared" si="4"/>
        <v>216.55085</v>
      </c>
      <c r="H80" s="58"/>
      <c r="I80" s="198">
        <f>_xlfn.IFNA(IF(I$7="Fixed",1,IF(AND($D80="yes",I$7="Block"),INDEX($O620:$Q620,1,MATCH(I$5,$I14:$K14,0)),INDEX(Movements!$G620:$M620,1,MATCH(I$7,Movements!$G$614:$M$614,0))))
*I824*I$8,0)</f>
        <v>216.55085</v>
      </c>
      <c r="J80" s="198">
        <f>_xlfn.IFNA(IF(J$7="Fixed",1,IF(AND($D80="yes",J$7="Block"),INDEX($O620:$Q620,1,MATCH(J$5,$I14:$K14,0)),INDEX(Movements!$G620:$M620,1,MATCH(J$7,Movements!$G$614:$M$614,0))))
*J824*J$8,0)</f>
        <v>0</v>
      </c>
      <c r="K80" s="198">
        <f>_xlfn.IFNA(IF(K$7="Fixed",1,IF(AND($D80="yes",K$7="Block"),INDEX($O620:$Q620,1,MATCH(K$5,$I14:$K14,0)),INDEX(Movements!$G620:$M620,1,MATCH(K$7,Movements!$G$614:$M$614,0))))
*K824*K$8,0)</f>
        <v>0</v>
      </c>
      <c r="L80" s="198">
        <f>_xlfn.IFNA(IF(L$7="Fixed",1,IF(AND($D80="yes",L$7="Block"),INDEX($O620:$Q620,1,MATCH(L$5,$I14:$K14,0)),INDEX(Movements!$G620:$M620,1,MATCH(L$7,Movements!$G$614:$M$614,0))))
*L824*L$8,0)</f>
        <v>0</v>
      </c>
      <c r="M80" s="198">
        <f>_xlfn.IFNA(IF(M$7="Fixed",1,IF(AND($D80="yes",M$7="Block"),INDEX($O620:$Q620,1,MATCH(M$5,$I14:$K14,0)),INDEX(Movements!$G620:$M620,1,MATCH(M$7,Movements!$G$614:$M$614,0))))
*M824*M$8,0)</f>
        <v>0</v>
      </c>
      <c r="N80" s="198">
        <f>_xlfn.IFNA(IF(N$7="Fixed",1,IF(AND($D80="yes",N$7="Block"),INDEX($O620:$Q620,1,MATCH(N$5,$I14:$K14,0)),INDEX(Movements!$G620:$M620,1,MATCH(N$7,Movements!$G$614:$M$614,0))))
*N824*N$8,0)</f>
        <v>0</v>
      </c>
      <c r="O80" s="198">
        <f>_xlfn.IFNA(IF(O$7="Fixed",1,IF(AND($D80="yes",O$7="Block"),INDEX($O620:$Q620,1,MATCH(O$5,$I14:$K14,0)),INDEX(Movements!$G620:$M620,1,MATCH(O$7,Movements!$G$614:$M$614,0))))
*O824*O$8,0)</f>
        <v>0</v>
      </c>
      <c r="P80" s="198">
        <f>_xlfn.IFNA(IF(P$7="Fixed",1,IF(AND($D80="yes",P$7="Block"),INDEX($O620:$Q620,1,MATCH(P$5,$I14:$K14,0)),INDEX(Movements!$G620:$M620,1,MATCH(P$7,Movements!$G$614:$M$614,0))))
*P824*P$8,0)</f>
        <v>0</v>
      </c>
      <c r="Q80" s="198">
        <f>_xlfn.IFNA(IF(Q$7="Fixed",1,IF(AND($D80="yes",Q$7="Block"),INDEX($O620:$Q620,1,MATCH(Q$5,$I14:$K14,0)),INDEX(Movements!$G620:$M620,1,MATCH(Q$7,Movements!$G$614:$M$614,0))))
*Q824*Q$8,0)</f>
        <v>0</v>
      </c>
      <c r="R80" s="198">
        <f>_xlfn.IFNA(IF(R$7="Fixed",1,IF(AND($D80="yes",R$7="Block"),INDEX($O620:$Q620,1,MATCH(R$5,$I14:$K14,0)),INDEX(Movements!$G620:$M620,1,MATCH(R$7,Movements!$G$614:$M$614,0))))
*R824*R$8,0)</f>
        <v>0</v>
      </c>
      <c r="S80" s="198">
        <f>_xlfn.IFNA(IF(S$7="Fixed",1,IF(AND($D80="yes",S$7="Block"),INDEX($O620:$Q620,1,MATCH(S$5,$I14:$K14,0)),INDEX(Movements!$G620:$M620,1,MATCH(S$7,Movements!$G$614:$M$614,0))))
*S824*S$8,0)</f>
        <v>0</v>
      </c>
      <c r="T80" s="198">
        <f>_xlfn.IFNA(IF(T$7="Fixed",1,IF(AND($D80="yes",T$7="Block"),INDEX($O620:$Q620,1,MATCH(T$5,$I14:$K14,0)),INDEX(Movements!$G620:$M620,1,MATCH(T$7,Movements!$G$614:$M$614,0))))
*T824*T$8,0)</f>
        <v>0</v>
      </c>
      <c r="U80" s="198">
        <f>_xlfn.IFNA(IF(U$7="Fixed",1,IF(AND($D80="yes",U$7="Block"),INDEX($O620:$Q620,1,MATCH(U$5,$I14:$K14,0)),INDEX(Movements!$G620:$M620,1,MATCH(U$7,Movements!$G$614:$M$614,0))))
*U824*U$8,0)</f>
        <v>0</v>
      </c>
      <c r="V80" s="198">
        <f>_xlfn.IFNA(IF(V$7="Fixed",1,IF(AND($D80="yes",V$7="Block"),INDEX($O620:$Q620,1,MATCH(V$5,$I14:$K14,0)),INDEX(Movements!$G620:$M620,1,MATCH(V$7,Movements!$G$614:$M$614,0))))
*V824*V$8,0)</f>
        <v>0</v>
      </c>
      <c r="W80" s="198">
        <f>_xlfn.IFNA(IF(W$7="Fixed",1,IF(AND($D80="yes",W$7="Block"),INDEX($O620:$Q620,1,MATCH(W$5,$I14:$K14,0)),INDEX(Movements!$G620:$M620,1,MATCH(W$7,Movements!$G$614:$M$614,0))))
*W824*W$8,0)</f>
        <v>0</v>
      </c>
      <c r="X80" s="198">
        <f>_xlfn.IFNA(IF(X$7="Fixed",1,IF(AND($D80="yes",X$7="Block"),INDEX($O620:$Q620,1,MATCH(X$5,$I14:$K14,0)),INDEX(Movements!$G620:$M620,1,MATCH(X$7,Movements!$G$614:$M$614,0))))
*X824*X$8,0)</f>
        <v>0</v>
      </c>
      <c r="Y80" s="198">
        <f>_xlfn.IFNA(IF(Y$7="Fixed",1,IF(AND($D80="yes",Y$7="Block"),INDEX($O620:$Q620,1,MATCH(Y$5,$I14:$K14,0)),INDEX(Movements!$G620:$M620,1,MATCH(Y$7,Movements!$G$614:$M$614,0))))
*Y824*Y$8,0)</f>
        <v>0</v>
      </c>
      <c r="Z80" s="198">
        <f>_xlfn.IFNA(IF(Z$7="Fixed",1,IF(AND($D80="yes",Z$7="Block"),INDEX($O620:$Q620,1,MATCH(Z$5,$I14:$K14,0)),INDEX(Movements!$G620:$M620,1,MATCH(Z$7,Movements!$G$614:$M$614,0))))
*Z824*Z$8,0)</f>
        <v>0</v>
      </c>
      <c r="AA80" s="198">
        <f>_xlfn.IFNA(IF(AA$7="Fixed",1,IF(AND($D80="yes",AA$7="Block"),INDEX($O620:$Q620,1,MATCH(AA$5,$I14:$K14,0)),INDEX(Movements!$G620:$M620,1,MATCH(AA$7,Movements!$G$614:$M$614,0))))
*AA824*AA$8,0)</f>
        <v>0</v>
      </c>
      <c r="AB80" s="198">
        <f>_xlfn.IFNA(IF(AB$7="Fixed",1,IF(AND($D80="yes",AB$7="Block"),INDEX($O620:$Q620,1,MATCH(AB$5,$I14:$K14,0)),INDEX(Movements!$G620:$M620,1,MATCH(AB$7,Movements!$G$614:$M$614,0))))
*AB824*AB$8,0)</f>
        <v>0</v>
      </c>
      <c r="AC80" s="70"/>
      <c r="AD80" s="19"/>
      <c r="AE80" s="19"/>
      <c r="AF80" s="19"/>
      <c r="AG80" s="19"/>
    </row>
    <row r="81" spans="1:33" outlineLevel="2" x14ac:dyDescent="0.2">
      <c r="A81" s="19"/>
      <c r="B81" s="97">
        <v>5</v>
      </c>
      <c r="C81" s="506">
        <f t="shared" si="3"/>
        <v>0</v>
      </c>
      <c r="D81" s="505">
        <f t="shared" si="3"/>
        <v>0</v>
      </c>
      <c r="E81" s="505">
        <f t="shared" si="3"/>
        <v>0</v>
      </c>
      <c r="F81" s="58"/>
      <c r="G81" s="199">
        <f t="shared" si="4"/>
        <v>0</v>
      </c>
      <c r="H81" s="58"/>
      <c r="I81" s="198">
        <f>_xlfn.IFNA(IF(I$7="Fixed",1,IF(AND($D81="yes",I$7="Block"),INDEX($O621:$Q621,1,MATCH(I$5,$I15:$K15,0)),INDEX(Movements!$G621:$M621,1,MATCH(I$7,Movements!$G$614:$M$614,0))))
*I825*I$8,0)</f>
        <v>0</v>
      </c>
      <c r="J81" s="198">
        <f>_xlfn.IFNA(IF(J$7="Fixed",1,IF(AND($D81="yes",J$7="Block"),INDEX($O621:$Q621,1,MATCH(J$5,$I15:$K15,0)),INDEX(Movements!$G621:$M621,1,MATCH(J$7,Movements!$G$614:$M$614,0))))
*J825*J$8,0)</f>
        <v>0</v>
      </c>
      <c r="K81" s="198">
        <f>_xlfn.IFNA(IF(K$7="Fixed",1,IF(AND($D81="yes",K$7="Block"),INDEX($O621:$Q621,1,MATCH(K$5,$I15:$K15,0)),INDEX(Movements!$G621:$M621,1,MATCH(K$7,Movements!$G$614:$M$614,0))))
*K825*K$8,0)</f>
        <v>0</v>
      </c>
      <c r="L81" s="198">
        <f>_xlfn.IFNA(IF(L$7="Fixed",1,IF(AND($D81="yes",L$7="Block"),INDEX($O621:$Q621,1,MATCH(L$5,$I15:$K15,0)),INDEX(Movements!$G621:$M621,1,MATCH(L$7,Movements!$G$614:$M$614,0))))
*L825*L$8,0)</f>
        <v>0</v>
      </c>
      <c r="M81" s="198">
        <f>_xlfn.IFNA(IF(M$7="Fixed",1,IF(AND($D81="yes",M$7="Block"),INDEX($O621:$Q621,1,MATCH(M$5,$I15:$K15,0)),INDEX(Movements!$G621:$M621,1,MATCH(M$7,Movements!$G$614:$M$614,0))))
*M825*M$8,0)</f>
        <v>0</v>
      </c>
      <c r="N81" s="198">
        <f>_xlfn.IFNA(IF(N$7="Fixed",1,IF(AND($D81="yes",N$7="Block"),INDEX($O621:$Q621,1,MATCH(N$5,$I15:$K15,0)),INDEX(Movements!$G621:$M621,1,MATCH(N$7,Movements!$G$614:$M$614,0))))
*N825*N$8,0)</f>
        <v>0</v>
      </c>
      <c r="O81" s="198">
        <f>_xlfn.IFNA(IF(O$7="Fixed",1,IF(AND($D81="yes",O$7="Block"),INDEX($O621:$Q621,1,MATCH(O$5,$I15:$K15,0)),INDEX(Movements!$G621:$M621,1,MATCH(O$7,Movements!$G$614:$M$614,0))))
*O825*O$8,0)</f>
        <v>0</v>
      </c>
      <c r="P81" s="198">
        <f>_xlfn.IFNA(IF(P$7="Fixed",1,IF(AND($D81="yes",P$7="Block"),INDEX($O621:$Q621,1,MATCH(P$5,$I15:$K15,0)),INDEX(Movements!$G621:$M621,1,MATCH(P$7,Movements!$G$614:$M$614,0))))
*P825*P$8,0)</f>
        <v>0</v>
      </c>
      <c r="Q81" s="198">
        <f>_xlfn.IFNA(IF(Q$7="Fixed",1,IF(AND($D81="yes",Q$7="Block"),INDEX($O621:$Q621,1,MATCH(Q$5,$I15:$K15,0)),INDEX(Movements!$G621:$M621,1,MATCH(Q$7,Movements!$G$614:$M$614,0))))
*Q825*Q$8,0)</f>
        <v>0</v>
      </c>
      <c r="R81" s="198">
        <f>_xlfn.IFNA(IF(R$7="Fixed",1,IF(AND($D81="yes",R$7="Block"),INDEX($O621:$Q621,1,MATCH(R$5,$I15:$K15,0)),INDEX(Movements!$G621:$M621,1,MATCH(R$7,Movements!$G$614:$M$614,0))))
*R825*R$8,0)</f>
        <v>0</v>
      </c>
      <c r="S81" s="198">
        <f>_xlfn.IFNA(IF(S$7="Fixed",1,IF(AND($D81="yes",S$7="Block"),INDEX($O621:$Q621,1,MATCH(S$5,$I15:$K15,0)),INDEX(Movements!$G621:$M621,1,MATCH(S$7,Movements!$G$614:$M$614,0))))
*S825*S$8,0)</f>
        <v>0</v>
      </c>
      <c r="T81" s="198">
        <f>_xlfn.IFNA(IF(T$7="Fixed",1,IF(AND($D81="yes",T$7="Block"),INDEX($O621:$Q621,1,MATCH(T$5,$I15:$K15,0)),INDEX(Movements!$G621:$M621,1,MATCH(T$7,Movements!$G$614:$M$614,0))))
*T825*T$8,0)</f>
        <v>0</v>
      </c>
      <c r="U81" s="198">
        <f>_xlfn.IFNA(IF(U$7="Fixed",1,IF(AND($D81="yes",U$7="Block"),INDEX($O621:$Q621,1,MATCH(U$5,$I15:$K15,0)),INDEX(Movements!$G621:$M621,1,MATCH(U$7,Movements!$G$614:$M$614,0))))
*U825*U$8,0)</f>
        <v>0</v>
      </c>
      <c r="V81" s="198">
        <f>_xlfn.IFNA(IF(V$7="Fixed",1,IF(AND($D81="yes",V$7="Block"),INDEX($O621:$Q621,1,MATCH(V$5,$I15:$K15,0)),INDEX(Movements!$G621:$M621,1,MATCH(V$7,Movements!$G$614:$M$614,0))))
*V825*V$8,0)</f>
        <v>0</v>
      </c>
      <c r="W81" s="198">
        <f>_xlfn.IFNA(IF(W$7="Fixed",1,IF(AND($D81="yes",W$7="Block"),INDEX($O621:$Q621,1,MATCH(W$5,$I15:$K15,0)),INDEX(Movements!$G621:$M621,1,MATCH(W$7,Movements!$G$614:$M$614,0))))
*W825*W$8,0)</f>
        <v>0</v>
      </c>
      <c r="X81" s="198">
        <f>_xlfn.IFNA(IF(X$7="Fixed",1,IF(AND($D81="yes",X$7="Block"),INDEX($O621:$Q621,1,MATCH(X$5,$I15:$K15,0)),INDEX(Movements!$G621:$M621,1,MATCH(X$7,Movements!$G$614:$M$614,0))))
*X825*X$8,0)</f>
        <v>0</v>
      </c>
      <c r="Y81" s="198">
        <f>_xlfn.IFNA(IF(Y$7="Fixed",1,IF(AND($D81="yes",Y$7="Block"),INDEX($O621:$Q621,1,MATCH(Y$5,$I15:$K15,0)),INDEX(Movements!$G621:$M621,1,MATCH(Y$7,Movements!$G$614:$M$614,0))))
*Y825*Y$8,0)</f>
        <v>0</v>
      </c>
      <c r="Z81" s="198">
        <f>_xlfn.IFNA(IF(Z$7="Fixed",1,IF(AND($D81="yes",Z$7="Block"),INDEX($O621:$Q621,1,MATCH(Z$5,$I15:$K15,0)),INDEX(Movements!$G621:$M621,1,MATCH(Z$7,Movements!$G$614:$M$614,0))))
*Z825*Z$8,0)</f>
        <v>0</v>
      </c>
      <c r="AA81" s="198">
        <f>_xlfn.IFNA(IF(AA$7="Fixed",1,IF(AND($D81="yes",AA$7="Block"),INDEX($O621:$Q621,1,MATCH(AA$5,$I15:$K15,0)),INDEX(Movements!$G621:$M621,1,MATCH(AA$7,Movements!$G$614:$M$614,0))))
*AA825*AA$8,0)</f>
        <v>0</v>
      </c>
      <c r="AB81" s="198">
        <f>_xlfn.IFNA(IF(AB$7="Fixed",1,IF(AND($D81="yes",AB$7="Block"),INDEX($O621:$Q621,1,MATCH(AB$5,$I15:$K15,0)),INDEX(Movements!$G621:$M621,1,MATCH(AB$7,Movements!$G$614:$M$614,0))))
*AB825*AB$8,0)</f>
        <v>0</v>
      </c>
      <c r="AC81" s="70"/>
      <c r="AD81" s="19"/>
      <c r="AE81" s="19"/>
      <c r="AF81" s="19"/>
      <c r="AG81" s="19"/>
    </row>
    <row r="82" spans="1:33" hidden="1" outlineLevel="3" x14ac:dyDescent="0.2">
      <c r="A82" s="19"/>
      <c r="B82" s="97">
        <v>6</v>
      </c>
      <c r="C82" s="506">
        <f t="shared" si="3"/>
        <v>0</v>
      </c>
      <c r="D82" s="505">
        <f t="shared" si="3"/>
        <v>0</v>
      </c>
      <c r="E82" s="505">
        <f t="shared" si="3"/>
        <v>0</v>
      </c>
      <c r="F82" s="58"/>
      <c r="G82" s="199">
        <f t="shared" si="4"/>
        <v>0</v>
      </c>
      <c r="H82" s="58"/>
      <c r="I82" s="198">
        <f>_xlfn.IFNA(IF(I$7="Fixed",1,IF(AND($D82="yes",I$7="Block"),INDEX($O622:$Q622,1,MATCH(I$5,$I16:$K16,0)),INDEX(Movements!$G622:$M622,1,MATCH(I$7,Movements!$G$614:$M$614,0))))
*I826*I$8,0)</f>
        <v>0</v>
      </c>
      <c r="J82" s="198">
        <f>_xlfn.IFNA(IF(J$7="Fixed",1,IF(AND($D82="yes",J$7="Block"),INDEX($O622:$Q622,1,MATCH(J$5,$I16:$K16,0)),INDEX(Movements!$G622:$M622,1,MATCH(J$7,Movements!$G$614:$M$614,0))))
*J826*J$8,0)</f>
        <v>0</v>
      </c>
      <c r="K82" s="198">
        <f>_xlfn.IFNA(IF(K$7="Fixed",1,IF(AND($D82="yes",K$7="Block"),INDEX($O622:$Q622,1,MATCH(K$5,$I16:$K16,0)),INDEX(Movements!$G622:$M622,1,MATCH(K$7,Movements!$G$614:$M$614,0))))
*K826*K$8,0)</f>
        <v>0</v>
      </c>
      <c r="L82" s="198">
        <f>_xlfn.IFNA(IF(L$7="Fixed",1,IF(AND($D82="yes",L$7="Block"),INDEX($O622:$Q622,1,MATCH(L$5,$I16:$K16,0)),INDEX(Movements!$G622:$M622,1,MATCH(L$7,Movements!$G$614:$M$614,0))))
*L826*L$8,0)</f>
        <v>0</v>
      </c>
      <c r="M82" s="198">
        <f>_xlfn.IFNA(IF(M$7="Fixed",1,IF(AND($D82="yes",M$7="Block"),INDEX($O622:$Q622,1,MATCH(M$5,$I16:$K16,0)),INDEX(Movements!$G622:$M622,1,MATCH(M$7,Movements!$G$614:$M$614,0))))
*M826*M$8,0)</f>
        <v>0</v>
      </c>
      <c r="N82" s="198">
        <f>_xlfn.IFNA(IF(N$7="Fixed",1,IF(AND($D82="yes",N$7="Block"),INDEX($O622:$Q622,1,MATCH(N$5,$I16:$K16,0)),INDEX(Movements!$G622:$M622,1,MATCH(N$7,Movements!$G$614:$M$614,0))))
*N826*N$8,0)</f>
        <v>0</v>
      </c>
      <c r="O82" s="198">
        <f>_xlfn.IFNA(IF(O$7="Fixed",1,IF(AND($D82="yes",O$7="Block"),INDEX($O622:$Q622,1,MATCH(O$5,$I16:$K16,0)),INDEX(Movements!$G622:$M622,1,MATCH(O$7,Movements!$G$614:$M$614,0))))
*O826*O$8,0)</f>
        <v>0</v>
      </c>
      <c r="P82" s="198">
        <f>_xlfn.IFNA(IF(P$7="Fixed",1,IF(AND($D82="yes",P$7="Block"),INDEX($O622:$Q622,1,MATCH(P$5,$I16:$K16,0)),INDEX(Movements!$G622:$M622,1,MATCH(P$7,Movements!$G$614:$M$614,0))))
*P826*P$8,0)</f>
        <v>0</v>
      </c>
      <c r="Q82" s="198">
        <f>_xlfn.IFNA(IF(Q$7="Fixed",1,IF(AND($D82="yes",Q$7="Block"),INDEX($O622:$Q622,1,MATCH(Q$5,$I16:$K16,0)),INDEX(Movements!$G622:$M622,1,MATCH(Q$7,Movements!$G$614:$M$614,0))))
*Q826*Q$8,0)</f>
        <v>0</v>
      </c>
      <c r="R82" s="198">
        <f>_xlfn.IFNA(IF(R$7="Fixed",1,IF(AND($D82="yes",R$7="Block"),INDEX($O622:$Q622,1,MATCH(R$5,$I16:$K16,0)),INDEX(Movements!$G622:$M622,1,MATCH(R$7,Movements!$G$614:$M$614,0))))
*R826*R$8,0)</f>
        <v>0</v>
      </c>
      <c r="S82" s="198">
        <f>_xlfn.IFNA(IF(S$7="Fixed",1,IF(AND($D82="yes",S$7="Block"),INDEX($O622:$Q622,1,MATCH(S$5,$I16:$K16,0)),INDEX(Movements!$G622:$M622,1,MATCH(S$7,Movements!$G$614:$M$614,0))))
*S826*S$8,0)</f>
        <v>0</v>
      </c>
      <c r="T82" s="198">
        <f>_xlfn.IFNA(IF(T$7="Fixed",1,IF(AND($D82="yes",T$7="Block"),INDEX($O622:$Q622,1,MATCH(T$5,$I16:$K16,0)),INDEX(Movements!$G622:$M622,1,MATCH(T$7,Movements!$G$614:$M$614,0))))
*T826*T$8,0)</f>
        <v>0</v>
      </c>
      <c r="U82" s="198">
        <f>_xlfn.IFNA(IF(U$7="Fixed",1,IF(AND($D82="yes",U$7="Block"),INDEX($O622:$Q622,1,MATCH(U$5,$I16:$K16,0)),INDEX(Movements!$G622:$M622,1,MATCH(U$7,Movements!$G$614:$M$614,0))))
*U826*U$8,0)</f>
        <v>0</v>
      </c>
      <c r="V82" s="198">
        <f>_xlfn.IFNA(IF(V$7="Fixed",1,IF(AND($D82="yes",V$7="Block"),INDEX($O622:$Q622,1,MATCH(V$5,$I16:$K16,0)),INDEX(Movements!$G622:$M622,1,MATCH(V$7,Movements!$G$614:$M$614,0))))
*V826*V$8,0)</f>
        <v>0</v>
      </c>
      <c r="W82" s="198">
        <f>_xlfn.IFNA(IF(W$7="Fixed",1,IF(AND($D82="yes",W$7="Block"),INDEX($O622:$Q622,1,MATCH(W$5,$I16:$K16,0)),INDEX(Movements!$G622:$M622,1,MATCH(W$7,Movements!$G$614:$M$614,0))))
*W826*W$8,0)</f>
        <v>0</v>
      </c>
      <c r="X82" s="198">
        <f>_xlfn.IFNA(IF(X$7="Fixed",1,IF(AND($D82="yes",X$7="Block"),INDEX($O622:$Q622,1,MATCH(X$5,$I16:$K16,0)),INDEX(Movements!$G622:$M622,1,MATCH(X$7,Movements!$G$614:$M$614,0))))
*X826*X$8,0)</f>
        <v>0</v>
      </c>
      <c r="Y82" s="198">
        <f>_xlfn.IFNA(IF(Y$7="Fixed",1,IF(AND($D82="yes",Y$7="Block"),INDEX($O622:$Q622,1,MATCH(Y$5,$I16:$K16,0)),INDEX(Movements!$G622:$M622,1,MATCH(Y$7,Movements!$G$614:$M$614,0))))
*Y826*Y$8,0)</f>
        <v>0</v>
      </c>
      <c r="Z82" s="198">
        <f>_xlfn.IFNA(IF(Z$7="Fixed",1,IF(AND($D82="yes",Z$7="Block"),INDEX($O622:$Q622,1,MATCH(Z$5,$I16:$K16,0)),INDEX(Movements!$G622:$M622,1,MATCH(Z$7,Movements!$G$614:$M$614,0))))
*Z826*Z$8,0)</f>
        <v>0</v>
      </c>
      <c r="AA82" s="198">
        <f>_xlfn.IFNA(IF(AA$7="Fixed",1,IF(AND($D82="yes",AA$7="Block"),INDEX($O622:$Q622,1,MATCH(AA$5,$I16:$K16,0)),INDEX(Movements!$G622:$M622,1,MATCH(AA$7,Movements!$G$614:$M$614,0))))
*AA826*AA$8,0)</f>
        <v>0</v>
      </c>
      <c r="AB82" s="198">
        <f>_xlfn.IFNA(IF(AB$7="Fixed",1,IF(AND($D82="yes",AB$7="Block"),INDEX($O622:$Q622,1,MATCH(AB$5,$I16:$K16,0)),INDEX(Movements!$G622:$M622,1,MATCH(AB$7,Movements!$G$614:$M$614,0))))
*AB826*AB$8,0)</f>
        <v>0</v>
      </c>
      <c r="AC82" s="70"/>
      <c r="AD82" s="19"/>
      <c r="AE82" s="19"/>
      <c r="AF82" s="19"/>
      <c r="AG82" s="19"/>
    </row>
    <row r="83" spans="1:33" hidden="1" outlineLevel="3" x14ac:dyDescent="0.2">
      <c r="A83" s="19"/>
      <c r="B83" s="97">
        <v>7</v>
      </c>
      <c r="C83" s="506">
        <f t="shared" si="3"/>
        <v>0</v>
      </c>
      <c r="D83" s="505">
        <f t="shared" si="3"/>
        <v>0</v>
      </c>
      <c r="E83" s="505">
        <f t="shared" si="3"/>
        <v>0</v>
      </c>
      <c r="F83" s="58"/>
      <c r="G83" s="199">
        <f t="shared" si="4"/>
        <v>0</v>
      </c>
      <c r="H83" s="58"/>
      <c r="I83" s="198">
        <f>_xlfn.IFNA(IF(I$7="Fixed",1,IF(AND($D83="yes",I$7="Block"),INDEX($O623:$Q623,1,MATCH(I$5,$I17:$K17,0)),INDEX(Movements!$G623:$M623,1,MATCH(I$7,Movements!$G$614:$M$614,0))))
*I827*I$8,0)</f>
        <v>0</v>
      </c>
      <c r="J83" s="198">
        <f>_xlfn.IFNA(IF(J$7="Fixed",1,IF(AND($D83="yes",J$7="Block"),INDEX($O623:$Q623,1,MATCH(J$5,$I17:$K17,0)),INDEX(Movements!$G623:$M623,1,MATCH(J$7,Movements!$G$614:$M$614,0))))
*J827*J$8,0)</f>
        <v>0</v>
      </c>
      <c r="K83" s="198">
        <f>_xlfn.IFNA(IF(K$7="Fixed",1,IF(AND($D83="yes",K$7="Block"),INDEX($O623:$Q623,1,MATCH(K$5,$I17:$K17,0)),INDEX(Movements!$G623:$M623,1,MATCH(K$7,Movements!$G$614:$M$614,0))))
*K827*K$8,0)</f>
        <v>0</v>
      </c>
      <c r="L83" s="198">
        <f>_xlfn.IFNA(IF(L$7="Fixed",1,IF(AND($D83="yes",L$7="Block"),INDEX($O623:$Q623,1,MATCH(L$5,$I17:$K17,0)),INDEX(Movements!$G623:$M623,1,MATCH(L$7,Movements!$G$614:$M$614,0))))
*L827*L$8,0)</f>
        <v>0</v>
      </c>
      <c r="M83" s="198">
        <f>_xlfn.IFNA(IF(M$7="Fixed",1,IF(AND($D83="yes",M$7="Block"),INDEX($O623:$Q623,1,MATCH(M$5,$I17:$K17,0)),INDEX(Movements!$G623:$M623,1,MATCH(M$7,Movements!$G$614:$M$614,0))))
*M827*M$8,0)</f>
        <v>0</v>
      </c>
      <c r="N83" s="198">
        <f>_xlfn.IFNA(IF(N$7="Fixed",1,IF(AND($D83="yes",N$7="Block"),INDEX($O623:$Q623,1,MATCH(N$5,$I17:$K17,0)),INDEX(Movements!$G623:$M623,1,MATCH(N$7,Movements!$G$614:$M$614,0))))
*N827*N$8,0)</f>
        <v>0</v>
      </c>
      <c r="O83" s="198">
        <f>_xlfn.IFNA(IF(O$7="Fixed",1,IF(AND($D83="yes",O$7="Block"),INDEX($O623:$Q623,1,MATCH(O$5,$I17:$K17,0)),INDEX(Movements!$G623:$M623,1,MATCH(O$7,Movements!$G$614:$M$614,0))))
*O827*O$8,0)</f>
        <v>0</v>
      </c>
      <c r="P83" s="198">
        <f>_xlfn.IFNA(IF(P$7="Fixed",1,IF(AND($D83="yes",P$7="Block"),INDEX($O623:$Q623,1,MATCH(P$5,$I17:$K17,0)),INDEX(Movements!$G623:$M623,1,MATCH(P$7,Movements!$G$614:$M$614,0))))
*P827*P$8,0)</f>
        <v>0</v>
      </c>
      <c r="Q83" s="198">
        <f>_xlfn.IFNA(IF(Q$7="Fixed",1,IF(AND($D83="yes",Q$7="Block"),INDEX($O623:$Q623,1,MATCH(Q$5,$I17:$K17,0)),INDEX(Movements!$G623:$M623,1,MATCH(Q$7,Movements!$G$614:$M$614,0))))
*Q827*Q$8,0)</f>
        <v>0</v>
      </c>
      <c r="R83" s="198">
        <f>_xlfn.IFNA(IF(R$7="Fixed",1,IF(AND($D83="yes",R$7="Block"),INDEX($O623:$Q623,1,MATCH(R$5,$I17:$K17,0)),INDEX(Movements!$G623:$M623,1,MATCH(R$7,Movements!$G$614:$M$614,0))))
*R827*R$8,0)</f>
        <v>0</v>
      </c>
      <c r="S83" s="198">
        <f>_xlfn.IFNA(IF(S$7="Fixed",1,IF(AND($D83="yes",S$7="Block"),INDEX($O623:$Q623,1,MATCH(S$5,$I17:$K17,0)),INDEX(Movements!$G623:$M623,1,MATCH(S$7,Movements!$G$614:$M$614,0))))
*S827*S$8,0)</f>
        <v>0</v>
      </c>
      <c r="T83" s="198">
        <f>_xlfn.IFNA(IF(T$7="Fixed",1,IF(AND($D83="yes",T$7="Block"),INDEX($O623:$Q623,1,MATCH(T$5,$I17:$K17,0)),INDEX(Movements!$G623:$M623,1,MATCH(T$7,Movements!$G$614:$M$614,0))))
*T827*T$8,0)</f>
        <v>0</v>
      </c>
      <c r="U83" s="198">
        <f>_xlfn.IFNA(IF(U$7="Fixed",1,IF(AND($D83="yes",U$7="Block"),INDEX($O623:$Q623,1,MATCH(U$5,$I17:$K17,0)),INDEX(Movements!$G623:$M623,1,MATCH(U$7,Movements!$G$614:$M$614,0))))
*U827*U$8,0)</f>
        <v>0</v>
      </c>
      <c r="V83" s="198">
        <f>_xlfn.IFNA(IF(V$7="Fixed",1,IF(AND($D83="yes",V$7="Block"),INDEX($O623:$Q623,1,MATCH(V$5,$I17:$K17,0)),INDEX(Movements!$G623:$M623,1,MATCH(V$7,Movements!$G$614:$M$614,0))))
*V827*V$8,0)</f>
        <v>0</v>
      </c>
      <c r="W83" s="198">
        <f>_xlfn.IFNA(IF(W$7="Fixed",1,IF(AND($D83="yes",W$7="Block"),INDEX($O623:$Q623,1,MATCH(W$5,$I17:$K17,0)),INDEX(Movements!$G623:$M623,1,MATCH(W$7,Movements!$G$614:$M$614,0))))
*W827*W$8,0)</f>
        <v>0</v>
      </c>
      <c r="X83" s="198">
        <f>_xlfn.IFNA(IF(X$7="Fixed",1,IF(AND($D83="yes",X$7="Block"),INDEX($O623:$Q623,1,MATCH(X$5,$I17:$K17,0)),INDEX(Movements!$G623:$M623,1,MATCH(X$7,Movements!$G$614:$M$614,0))))
*X827*X$8,0)</f>
        <v>0</v>
      </c>
      <c r="Y83" s="198">
        <f>_xlfn.IFNA(IF(Y$7="Fixed",1,IF(AND($D83="yes",Y$7="Block"),INDEX($O623:$Q623,1,MATCH(Y$5,$I17:$K17,0)),INDEX(Movements!$G623:$M623,1,MATCH(Y$7,Movements!$G$614:$M$614,0))))
*Y827*Y$8,0)</f>
        <v>0</v>
      </c>
      <c r="Z83" s="198">
        <f>_xlfn.IFNA(IF(Z$7="Fixed",1,IF(AND($D83="yes",Z$7="Block"),INDEX($O623:$Q623,1,MATCH(Z$5,$I17:$K17,0)),INDEX(Movements!$G623:$M623,1,MATCH(Z$7,Movements!$G$614:$M$614,0))))
*Z827*Z$8,0)</f>
        <v>0</v>
      </c>
      <c r="AA83" s="198">
        <f>_xlfn.IFNA(IF(AA$7="Fixed",1,IF(AND($D83="yes",AA$7="Block"),INDEX($O623:$Q623,1,MATCH(AA$5,$I17:$K17,0)),INDEX(Movements!$G623:$M623,1,MATCH(AA$7,Movements!$G$614:$M$614,0))))
*AA827*AA$8,0)</f>
        <v>0</v>
      </c>
      <c r="AB83" s="198">
        <f>_xlfn.IFNA(IF(AB$7="Fixed",1,IF(AND($D83="yes",AB$7="Block"),INDEX($O623:$Q623,1,MATCH(AB$5,$I17:$K17,0)),INDEX(Movements!$G623:$M623,1,MATCH(AB$7,Movements!$G$614:$M$614,0))))
*AB827*AB$8,0)</f>
        <v>0</v>
      </c>
      <c r="AC83" s="70"/>
      <c r="AD83" s="19"/>
      <c r="AE83" s="19"/>
      <c r="AF83" s="19"/>
      <c r="AG83" s="19"/>
    </row>
    <row r="84" spans="1:33" hidden="1" outlineLevel="3" x14ac:dyDescent="0.2">
      <c r="A84" s="19"/>
      <c r="B84" s="97">
        <v>8</v>
      </c>
      <c r="C84" s="506">
        <f t="shared" si="3"/>
        <v>0</v>
      </c>
      <c r="D84" s="505">
        <f t="shared" si="3"/>
        <v>0</v>
      </c>
      <c r="E84" s="505">
        <f t="shared" si="3"/>
        <v>0</v>
      </c>
      <c r="F84" s="58"/>
      <c r="G84" s="199">
        <f t="shared" si="4"/>
        <v>0</v>
      </c>
      <c r="H84" s="58"/>
      <c r="I84" s="198">
        <f>_xlfn.IFNA(IF(I$7="Fixed",1,IF(AND($D84="yes",I$7="Block"),INDEX($O624:$Q624,1,MATCH(I$5,$I18:$K18,0)),INDEX(Movements!$G624:$M624,1,MATCH(I$7,Movements!$G$614:$M$614,0))))
*I828*I$8,0)</f>
        <v>0</v>
      </c>
      <c r="J84" s="198">
        <f>_xlfn.IFNA(IF(J$7="Fixed",1,IF(AND($D84="yes",J$7="Block"),INDEX($O624:$Q624,1,MATCH(J$5,$I18:$K18,0)),INDEX(Movements!$G624:$M624,1,MATCH(J$7,Movements!$G$614:$M$614,0))))
*J828*J$8,0)</f>
        <v>0</v>
      </c>
      <c r="K84" s="198">
        <f>_xlfn.IFNA(IF(K$7="Fixed",1,IF(AND($D84="yes",K$7="Block"),INDEX($O624:$Q624,1,MATCH(K$5,$I18:$K18,0)),INDEX(Movements!$G624:$M624,1,MATCH(K$7,Movements!$G$614:$M$614,0))))
*K828*K$8,0)</f>
        <v>0</v>
      </c>
      <c r="L84" s="198">
        <f>_xlfn.IFNA(IF(L$7="Fixed",1,IF(AND($D84="yes",L$7="Block"),INDEX($O624:$Q624,1,MATCH(L$5,$I18:$K18,0)),INDEX(Movements!$G624:$M624,1,MATCH(L$7,Movements!$G$614:$M$614,0))))
*L828*L$8,0)</f>
        <v>0</v>
      </c>
      <c r="M84" s="198">
        <f>_xlfn.IFNA(IF(M$7="Fixed",1,IF(AND($D84="yes",M$7="Block"),INDEX($O624:$Q624,1,MATCH(M$5,$I18:$K18,0)),INDEX(Movements!$G624:$M624,1,MATCH(M$7,Movements!$G$614:$M$614,0))))
*M828*M$8,0)</f>
        <v>0</v>
      </c>
      <c r="N84" s="198">
        <f>_xlfn.IFNA(IF(N$7="Fixed",1,IF(AND($D84="yes",N$7="Block"),INDEX($O624:$Q624,1,MATCH(N$5,$I18:$K18,0)),INDEX(Movements!$G624:$M624,1,MATCH(N$7,Movements!$G$614:$M$614,0))))
*N828*N$8,0)</f>
        <v>0</v>
      </c>
      <c r="O84" s="198">
        <f>_xlfn.IFNA(IF(O$7="Fixed",1,IF(AND($D84="yes",O$7="Block"),INDEX($O624:$Q624,1,MATCH(O$5,$I18:$K18,0)),INDEX(Movements!$G624:$M624,1,MATCH(O$7,Movements!$G$614:$M$614,0))))
*O828*O$8,0)</f>
        <v>0</v>
      </c>
      <c r="P84" s="198">
        <f>_xlfn.IFNA(IF(P$7="Fixed",1,IF(AND($D84="yes",P$7="Block"),INDEX($O624:$Q624,1,MATCH(P$5,$I18:$K18,0)),INDEX(Movements!$G624:$M624,1,MATCH(P$7,Movements!$G$614:$M$614,0))))
*P828*P$8,0)</f>
        <v>0</v>
      </c>
      <c r="Q84" s="198">
        <f>_xlfn.IFNA(IF(Q$7="Fixed",1,IF(AND($D84="yes",Q$7="Block"),INDEX($O624:$Q624,1,MATCH(Q$5,$I18:$K18,0)),INDEX(Movements!$G624:$M624,1,MATCH(Q$7,Movements!$G$614:$M$614,0))))
*Q828*Q$8,0)</f>
        <v>0</v>
      </c>
      <c r="R84" s="198">
        <f>_xlfn.IFNA(IF(R$7="Fixed",1,IF(AND($D84="yes",R$7="Block"),INDEX($O624:$Q624,1,MATCH(R$5,$I18:$K18,0)),INDEX(Movements!$G624:$M624,1,MATCH(R$7,Movements!$G$614:$M$614,0))))
*R828*R$8,0)</f>
        <v>0</v>
      </c>
      <c r="S84" s="198">
        <f>_xlfn.IFNA(IF(S$7="Fixed",1,IF(AND($D84="yes",S$7="Block"),INDEX($O624:$Q624,1,MATCH(S$5,$I18:$K18,0)),INDEX(Movements!$G624:$M624,1,MATCH(S$7,Movements!$G$614:$M$614,0))))
*S828*S$8,0)</f>
        <v>0</v>
      </c>
      <c r="T84" s="198">
        <f>_xlfn.IFNA(IF(T$7="Fixed",1,IF(AND($D84="yes",T$7="Block"),INDEX($O624:$Q624,1,MATCH(T$5,$I18:$K18,0)),INDEX(Movements!$G624:$M624,1,MATCH(T$7,Movements!$G$614:$M$614,0))))
*T828*T$8,0)</f>
        <v>0</v>
      </c>
      <c r="U84" s="198">
        <f>_xlfn.IFNA(IF(U$7="Fixed",1,IF(AND($D84="yes",U$7="Block"),INDEX($O624:$Q624,1,MATCH(U$5,$I18:$K18,0)),INDEX(Movements!$G624:$M624,1,MATCH(U$7,Movements!$G$614:$M$614,0))))
*U828*U$8,0)</f>
        <v>0</v>
      </c>
      <c r="V84" s="198">
        <f>_xlfn.IFNA(IF(V$7="Fixed",1,IF(AND($D84="yes",V$7="Block"),INDEX($O624:$Q624,1,MATCH(V$5,$I18:$K18,0)),INDEX(Movements!$G624:$M624,1,MATCH(V$7,Movements!$G$614:$M$614,0))))
*V828*V$8,0)</f>
        <v>0</v>
      </c>
      <c r="W84" s="198">
        <f>_xlfn.IFNA(IF(W$7="Fixed",1,IF(AND($D84="yes",W$7="Block"),INDEX($O624:$Q624,1,MATCH(W$5,$I18:$K18,0)),INDEX(Movements!$G624:$M624,1,MATCH(W$7,Movements!$G$614:$M$614,0))))
*W828*W$8,0)</f>
        <v>0</v>
      </c>
      <c r="X84" s="198">
        <f>_xlfn.IFNA(IF(X$7="Fixed",1,IF(AND($D84="yes",X$7="Block"),INDEX($O624:$Q624,1,MATCH(X$5,$I18:$K18,0)),INDEX(Movements!$G624:$M624,1,MATCH(X$7,Movements!$G$614:$M$614,0))))
*X828*X$8,0)</f>
        <v>0</v>
      </c>
      <c r="Y84" s="198">
        <f>_xlfn.IFNA(IF(Y$7="Fixed",1,IF(AND($D84="yes",Y$7="Block"),INDEX($O624:$Q624,1,MATCH(Y$5,$I18:$K18,0)),INDEX(Movements!$G624:$M624,1,MATCH(Y$7,Movements!$G$614:$M$614,0))))
*Y828*Y$8,0)</f>
        <v>0</v>
      </c>
      <c r="Z84" s="198">
        <f>_xlfn.IFNA(IF(Z$7="Fixed",1,IF(AND($D84="yes",Z$7="Block"),INDEX($O624:$Q624,1,MATCH(Z$5,$I18:$K18,0)),INDEX(Movements!$G624:$M624,1,MATCH(Z$7,Movements!$G$614:$M$614,0))))
*Z828*Z$8,0)</f>
        <v>0</v>
      </c>
      <c r="AA84" s="198">
        <f>_xlfn.IFNA(IF(AA$7="Fixed",1,IF(AND($D84="yes",AA$7="Block"),INDEX($O624:$Q624,1,MATCH(AA$5,$I18:$K18,0)),INDEX(Movements!$G624:$M624,1,MATCH(AA$7,Movements!$G$614:$M$614,0))))
*AA828*AA$8,0)</f>
        <v>0</v>
      </c>
      <c r="AB84" s="198">
        <f>_xlfn.IFNA(IF(AB$7="Fixed",1,IF(AND($D84="yes",AB$7="Block"),INDEX($O624:$Q624,1,MATCH(AB$5,$I18:$K18,0)),INDEX(Movements!$G624:$M624,1,MATCH(AB$7,Movements!$G$614:$M$614,0))))
*AB828*AB$8,0)</f>
        <v>0</v>
      </c>
      <c r="AC84" s="70"/>
      <c r="AD84" s="19"/>
      <c r="AE84" s="19"/>
      <c r="AF84" s="19"/>
      <c r="AG84" s="19"/>
    </row>
    <row r="85" spans="1:33" hidden="1" outlineLevel="3" x14ac:dyDescent="0.2">
      <c r="A85" s="19"/>
      <c r="B85" s="98">
        <v>9</v>
      </c>
      <c r="C85" s="506">
        <f t="shared" si="3"/>
        <v>0</v>
      </c>
      <c r="D85" s="505">
        <f t="shared" si="3"/>
        <v>0</v>
      </c>
      <c r="E85" s="505">
        <f t="shared" si="3"/>
        <v>0</v>
      </c>
      <c r="F85" s="58"/>
      <c r="G85" s="199">
        <f t="shared" si="4"/>
        <v>0</v>
      </c>
      <c r="H85" s="58"/>
      <c r="I85" s="198">
        <f>_xlfn.IFNA(IF(I$7="Fixed",1,IF(AND($D85="yes",I$7="Block"),INDEX($O625:$Q625,1,MATCH(I$5,$I19:$K19,0)),INDEX(Movements!$G625:$M625,1,MATCH(I$7,Movements!$G$614:$M$614,0))))
*I829*I$8,0)</f>
        <v>0</v>
      </c>
      <c r="J85" s="198">
        <f>_xlfn.IFNA(IF(J$7="Fixed",1,IF(AND($D85="yes",J$7="Block"),INDEX($O625:$Q625,1,MATCH(J$5,$I19:$K19,0)),INDEX(Movements!$G625:$M625,1,MATCH(J$7,Movements!$G$614:$M$614,0))))
*J829*J$8,0)</f>
        <v>0</v>
      </c>
      <c r="K85" s="198">
        <f>_xlfn.IFNA(IF(K$7="Fixed",1,IF(AND($D85="yes",K$7="Block"),INDEX($O625:$Q625,1,MATCH(K$5,$I19:$K19,0)),INDEX(Movements!$G625:$M625,1,MATCH(K$7,Movements!$G$614:$M$614,0))))
*K829*K$8,0)</f>
        <v>0</v>
      </c>
      <c r="L85" s="198">
        <f>_xlfn.IFNA(IF(L$7="Fixed",1,IF(AND($D85="yes",L$7="Block"),INDEX($O625:$Q625,1,MATCH(L$5,$I19:$K19,0)),INDEX(Movements!$G625:$M625,1,MATCH(L$7,Movements!$G$614:$M$614,0))))
*L829*L$8,0)</f>
        <v>0</v>
      </c>
      <c r="M85" s="198">
        <f>_xlfn.IFNA(IF(M$7="Fixed",1,IF(AND($D85="yes",M$7="Block"),INDEX($O625:$Q625,1,MATCH(M$5,$I19:$K19,0)),INDEX(Movements!$G625:$M625,1,MATCH(M$7,Movements!$G$614:$M$614,0))))
*M829*M$8,0)</f>
        <v>0</v>
      </c>
      <c r="N85" s="198">
        <f>_xlfn.IFNA(IF(N$7="Fixed",1,IF(AND($D85="yes",N$7="Block"),INDEX($O625:$Q625,1,MATCH(N$5,$I19:$K19,0)),INDEX(Movements!$G625:$M625,1,MATCH(N$7,Movements!$G$614:$M$614,0))))
*N829*N$8,0)</f>
        <v>0</v>
      </c>
      <c r="O85" s="198">
        <f>_xlfn.IFNA(IF(O$7="Fixed",1,IF(AND($D85="yes",O$7="Block"),INDEX($O625:$Q625,1,MATCH(O$5,$I19:$K19,0)),INDEX(Movements!$G625:$M625,1,MATCH(O$7,Movements!$G$614:$M$614,0))))
*O829*O$8,0)</f>
        <v>0</v>
      </c>
      <c r="P85" s="198">
        <f>_xlfn.IFNA(IF(P$7="Fixed",1,IF(AND($D85="yes",P$7="Block"),INDEX($O625:$Q625,1,MATCH(P$5,$I19:$K19,0)),INDEX(Movements!$G625:$M625,1,MATCH(P$7,Movements!$G$614:$M$614,0))))
*P829*P$8,0)</f>
        <v>0</v>
      </c>
      <c r="Q85" s="198">
        <f>_xlfn.IFNA(IF(Q$7="Fixed",1,IF(AND($D85="yes",Q$7="Block"),INDEX($O625:$Q625,1,MATCH(Q$5,$I19:$K19,0)),INDEX(Movements!$G625:$M625,1,MATCH(Q$7,Movements!$G$614:$M$614,0))))
*Q829*Q$8,0)</f>
        <v>0</v>
      </c>
      <c r="R85" s="198">
        <f>_xlfn.IFNA(IF(R$7="Fixed",1,IF(AND($D85="yes",R$7="Block"),INDEX($O625:$Q625,1,MATCH(R$5,$I19:$K19,0)),INDEX(Movements!$G625:$M625,1,MATCH(R$7,Movements!$G$614:$M$614,0))))
*R829*R$8,0)</f>
        <v>0</v>
      </c>
      <c r="S85" s="198">
        <f>_xlfn.IFNA(IF(S$7="Fixed",1,IF(AND($D85="yes",S$7="Block"),INDEX($O625:$Q625,1,MATCH(S$5,$I19:$K19,0)),INDEX(Movements!$G625:$M625,1,MATCH(S$7,Movements!$G$614:$M$614,0))))
*S829*S$8,0)</f>
        <v>0</v>
      </c>
      <c r="T85" s="198">
        <f>_xlfn.IFNA(IF(T$7="Fixed",1,IF(AND($D85="yes",T$7="Block"),INDEX($O625:$Q625,1,MATCH(T$5,$I19:$K19,0)),INDEX(Movements!$G625:$M625,1,MATCH(T$7,Movements!$G$614:$M$614,0))))
*T829*T$8,0)</f>
        <v>0</v>
      </c>
      <c r="U85" s="198">
        <f>_xlfn.IFNA(IF(U$7="Fixed",1,IF(AND($D85="yes",U$7="Block"),INDEX($O625:$Q625,1,MATCH(U$5,$I19:$K19,0)),INDEX(Movements!$G625:$M625,1,MATCH(U$7,Movements!$G$614:$M$614,0))))
*U829*U$8,0)</f>
        <v>0</v>
      </c>
      <c r="V85" s="198">
        <f>_xlfn.IFNA(IF(V$7="Fixed",1,IF(AND($D85="yes",V$7="Block"),INDEX($O625:$Q625,1,MATCH(V$5,$I19:$K19,0)),INDEX(Movements!$G625:$M625,1,MATCH(V$7,Movements!$G$614:$M$614,0))))
*V829*V$8,0)</f>
        <v>0</v>
      </c>
      <c r="W85" s="198">
        <f>_xlfn.IFNA(IF(W$7="Fixed",1,IF(AND($D85="yes",W$7="Block"),INDEX($O625:$Q625,1,MATCH(W$5,$I19:$K19,0)),INDEX(Movements!$G625:$M625,1,MATCH(W$7,Movements!$G$614:$M$614,0))))
*W829*W$8,0)</f>
        <v>0</v>
      </c>
      <c r="X85" s="198">
        <f>_xlfn.IFNA(IF(X$7="Fixed",1,IF(AND($D85="yes",X$7="Block"),INDEX($O625:$Q625,1,MATCH(X$5,$I19:$K19,0)),INDEX(Movements!$G625:$M625,1,MATCH(X$7,Movements!$G$614:$M$614,0))))
*X829*X$8,0)</f>
        <v>0</v>
      </c>
      <c r="Y85" s="198">
        <f>_xlfn.IFNA(IF(Y$7="Fixed",1,IF(AND($D85="yes",Y$7="Block"),INDEX($O625:$Q625,1,MATCH(Y$5,$I19:$K19,0)),INDEX(Movements!$G625:$M625,1,MATCH(Y$7,Movements!$G$614:$M$614,0))))
*Y829*Y$8,0)</f>
        <v>0</v>
      </c>
      <c r="Z85" s="198">
        <f>_xlfn.IFNA(IF(Z$7="Fixed",1,IF(AND($D85="yes",Z$7="Block"),INDEX($O625:$Q625,1,MATCH(Z$5,$I19:$K19,0)),INDEX(Movements!$G625:$M625,1,MATCH(Z$7,Movements!$G$614:$M$614,0))))
*Z829*Z$8,0)</f>
        <v>0</v>
      </c>
      <c r="AA85" s="198">
        <f>_xlfn.IFNA(IF(AA$7="Fixed",1,IF(AND($D85="yes",AA$7="Block"),INDEX($O625:$Q625,1,MATCH(AA$5,$I19:$K19,0)),INDEX(Movements!$G625:$M625,1,MATCH(AA$7,Movements!$G$614:$M$614,0))))
*AA829*AA$8,0)</f>
        <v>0</v>
      </c>
      <c r="AB85" s="198">
        <f>_xlfn.IFNA(IF(AB$7="Fixed",1,IF(AND($D85="yes",AB$7="Block"),INDEX($O625:$Q625,1,MATCH(AB$5,$I19:$K19,0)),INDEX(Movements!$G625:$M625,1,MATCH(AB$7,Movements!$G$614:$M$614,0))))
*AB829*AB$8,0)</f>
        <v>0</v>
      </c>
      <c r="AC85" s="70"/>
      <c r="AD85" s="19"/>
      <c r="AE85" s="19"/>
      <c r="AF85" s="19"/>
      <c r="AG85" s="19"/>
    </row>
    <row r="86" spans="1:33" hidden="1" outlineLevel="3" x14ac:dyDescent="0.2">
      <c r="A86" s="19"/>
      <c r="B86" s="97">
        <v>10</v>
      </c>
      <c r="C86" s="506">
        <f t="shared" si="3"/>
        <v>0</v>
      </c>
      <c r="D86" s="505">
        <f t="shared" si="3"/>
        <v>0</v>
      </c>
      <c r="E86" s="505">
        <f t="shared" si="3"/>
        <v>0</v>
      </c>
      <c r="F86" s="58"/>
      <c r="G86" s="199">
        <f t="shared" si="4"/>
        <v>0</v>
      </c>
      <c r="H86" s="58"/>
      <c r="I86" s="198">
        <f>_xlfn.IFNA(IF(I$7="Fixed",1,IF(AND($D86="yes",I$7="Block"),INDEX($O626:$Q626,1,MATCH(I$5,$I20:$K20,0)),INDEX(Movements!$G626:$M626,1,MATCH(I$7,Movements!$G$614:$M$614,0))))
*I830*I$8,0)</f>
        <v>0</v>
      </c>
      <c r="J86" s="198">
        <f>_xlfn.IFNA(IF(J$7="Fixed",1,IF(AND($D86="yes",J$7="Block"),INDEX($O626:$Q626,1,MATCH(J$5,$I20:$K20,0)),INDEX(Movements!$G626:$M626,1,MATCH(J$7,Movements!$G$614:$M$614,0))))
*J830*J$8,0)</f>
        <v>0</v>
      </c>
      <c r="K86" s="198">
        <f>_xlfn.IFNA(IF(K$7="Fixed",1,IF(AND($D86="yes",K$7="Block"),INDEX($O626:$Q626,1,MATCH(K$5,$I20:$K20,0)),INDEX(Movements!$G626:$M626,1,MATCH(K$7,Movements!$G$614:$M$614,0))))
*K830*K$8,0)</f>
        <v>0</v>
      </c>
      <c r="L86" s="198">
        <f>_xlfn.IFNA(IF(L$7="Fixed",1,IF(AND($D86="yes",L$7="Block"),INDEX($O626:$Q626,1,MATCH(L$5,$I20:$K20,0)),INDEX(Movements!$G626:$M626,1,MATCH(L$7,Movements!$G$614:$M$614,0))))
*L830*L$8,0)</f>
        <v>0</v>
      </c>
      <c r="M86" s="198">
        <f>_xlfn.IFNA(IF(M$7="Fixed",1,IF(AND($D86="yes",M$7="Block"),INDEX($O626:$Q626,1,MATCH(M$5,$I20:$K20,0)),INDEX(Movements!$G626:$M626,1,MATCH(M$7,Movements!$G$614:$M$614,0))))
*M830*M$8,0)</f>
        <v>0</v>
      </c>
      <c r="N86" s="198">
        <f>_xlfn.IFNA(IF(N$7="Fixed",1,IF(AND($D86="yes",N$7="Block"),INDEX($O626:$Q626,1,MATCH(N$5,$I20:$K20,0)),INDEX(Movements!$G626:$M626,1,MATCH(N$7,Movements!$G$614:$M$614,0))))
*N830*N$8,0)</f>
        <v>0</v>
      </c>
      <c r="O86" s="198">
        <f>_xlfn.IFNA(IF(O$7="Fixed",1,IF(AND($D86="yes",O$7="Block"),INDEX($O626:$Q626,1,MATCH(O$5,$I20:$K20,0)),INDEX(Movements!$G626:$M626,1,MATCH(O$7,Movements!$G$614:$M$614,0))))
*O830*O$8,0)</f>
        <v>0</v>
      </c>
      <c r="P86" s="198">
        <f>_xlfn.IFNA(IF(P$7="Fixed",1,IF(AND($D86="yes",P$7="Block"),INDEX($O626:$Q626,1,MATCH(P$5,$I20:$K20,0)),INDEX(Movements!$G626:$M626,1,MATCH(P$7,Movements!$G$614:$M$614,0))))
*P830*P$8,0)</f>
        <v>0</v>
      </c>
      <c r="Q86" s="198">
        <f>_xlfn.IFNA(IF(Q$7="Fixed",1,IF(AND($D86="yes",Q$7="Block"),INDEX($O626:$Q626,1,MATCH(Q$5,$I20:$K20,0)),INDEX(Movements!$G626:$M626,1,MATCH(Q$7,Movements!$G$614:$M$614,0))))
*Q830*Q$8,0)</f>
        <v>0</v>
      </c>
      <c r="R86" s="198">
        <f>_xlfn.IFNA(IF(R$7="Fixed",1,IF(AND($D86="yes",R$7="Block"),INDEX($O626:$Q626,1,MATCH(R$5,$I20:$K20,0)),INDEX(Movements!$G626:$M626,1,MATCH(R$7,Movements!$G$614:$M$614,0))))
*R830*R$8,0)</f>
        <v>0</v>
      </c>
      <c r="S86" s="198">
        <f>_xlfn.IFNA(IF(S$7="Fixed",1,IF(AND($D86="yes",S$7="Block"),INDEX($O626:$Q626,1,MATCH(S$5,$I20:$K20,0)),INDEX(Movements!$G626:$M626,1,MATCH(S$7,Movements!$G$614:$M$614,0))))
*S830*S$8,0)</f>
        <v>0</v>
      </c>
      <c r="T86" s="198">
        <f>_xlfn.IFNA(IF(T$7="Fixed",1,IF(AND($D86="yes",T$7="Block"),INDEX($O626:$Q626,1,MATCH(T$5,$I20:$K20,0)),INDEX(Movements!$G626:$M626,1,MATCH(T$7,Movements!$G$614:$M$614,0))))
*T830*T$8,0)</f>
        <v>0</v>
      </c>
      <c r="U86" s="198">
        <f>_xlfn.IFNA(IF(U$7="Fixed",1,IF(AND($D86="yes",U$7="Block"),INDEX($O626:$Q626,1,MATCH(U$5,$I20:$K20,0)),INDEX(Movements!$G626:$M626,1,MATCH(U$7,Movements!$G$614:$M$614,0))))
*U830*U$8,0)</f>
        <v>0</v>
      </c>
      <c r="V86" s="198">
        <f>_xlfn.IFNA(IF(V$7="Fixed",1,IF(AND($D86="yes",V$7="Block"),INDEX($O626:$Q626,1,MATCH(V$5,$I20:$K20,0)),INDEX(Movements!$G626:$M626,1,MATCH(V$7,Movements!$G$614:$M$614,0))))
*V830*V$8,0)</f>
        <v>0</v>
      </c>
      <c r="W86" s="198">
        <f>_xlfn.IFNA(IF(W$7="Fixed",1,IF(AND($D86="yes",W$7="Block"),INDEX($O626:$Q626,1,MATCH(W$5,$I20:$K20,0)),INDEX(Movements!$G626:$M626,1,MATCH(W$7,Movements!$G$614:$M$614,0))))
*W830*W$8,0)</f>
        <v>0</v>
      </c>
      <c r="X86" s="198">
        <f>_xlfn.IFNA(IF(X$7="Fixed",1,IF(AND($D86="yes",X$7="Block"),INDEX($O626:$Q626,1,MATCH(X$5,$I20:$K20,0)),INDEX(Movements!$G626:$M626,1,MATCH(X$7,Movements!$G$614:$M$614,0))))
*X830*X$8,0)</f>
        <v>0</v>
      </c>
      <c r="Y86" s="198">
        <f>_xlfn.IFNA(IF(Y$7="Fixed",1,IF(AND($D86="yes",Y$7="Block"),INDEX($O626:$Q626,1,MATCH(Y$5,$I20:$K20,0)),INDEX(Movements!$G626:$M626,1,MATCH(Y$7,Movements!$G$614:$M$614,0))))
*Y830*Y$8,0)</f>
        <v>0</v>
      </c>
      <c r="Z86" s="198">
        <f>_xlfn.IFNA(IF(Z$7="Fixed",1,IF(AND($D86="yes",Z$7="Block"),INDEX($O626:$Q626,1,MATCH(Z$5,$I20:$K20,0)),INDEX(Movements!$G626:$M626,1,MATCH(Z$7,Movements!$G$614:$M$614,0))))
*Z830*Z$8,0)</f>
        <v>0</v>
      </c>
      <c r="AA86" s="198">
        <f>_xlfn.IFNA(IF(AA$7="Fixed",1,IF(AND($D86="yes",AA$7="Block"),INDEX($O626:$Q626,1,MATCH(AA$5,$I20:$K20,0)),INDEX(Movements!$G626:$M626,1,MATCH(AA$7,Movements!$G$614:$M$614,0))))
*AA830*AA$8,0)</f>
        <v>0</v>
      </c>
      <c r="AB86" s="198">
        <f>_xlfn.IFNA(IF(AB$7="Fixed",1,IF(AND($D86="yes",AB$7="Block"),INDEX($O626:$Q626,1,MATCH(AB$5,$I20:$K20,0)),INDEX(Movements!$G626:$M626,1,MATCH(AB$7,Movements!$G$614:$M$614,0))))
*AB830*AB$8,0)</f>
        <v>0</v>
      </c>
      <c r="AC86" s="70"/>
      <c r="AD86" s="19"/>
      <c r="AE86" s="19"/>
      <c r="AF86" s="19"/>
      <c r="AG86" s="19"/>
    </row>
    <row r="87" spans="1:33" hidden="1" outlineLevel="3" x14ac:dyDescent="0.2">
      <c r="A87" s="19"/>
      <c r="B87" s="97">
        <v>11</v>
      </c>
      <c r="C87" s="506">
        <f t="shared" si="3"/>
        <v>0</v>
      </c>
      <c r="D87" s="505">
        <f t="shared" si="3"/>
        <v>0</v>
      </c>
      <c r="E87" s="505">
        <f t="shared" si="3"/>
        <v>0</v>
      </c>
      <c r="F87" s="58"/>
      <c r="G87" s="199">
        <f t="shared" si="4"/>
        <v>0</v>
      </c>
      <c r="H87" s="58"/>
      <c r="I87" s="198">
        <f>_xlfn.IFNA(IF(I$7="Fixed",1,IF(AND($D87="yes",I$7="Block"),INDEX($O627:$Q627,1,MATCH(I$5,$I21:$K21,0)),INDEX(Movements!$G627:$M627,1,MATCH(I$7,Movements!$G$614:$M$614,0))))
*I831*I$8,0)</f>
        <v>0</v>
      </c>
      <c r="J87" s="198">
        <f>_xlfn.IFNA(IF(J$7="Fixed",1,IF(AND($D87="yes",J$7="Block"),INDEX($O627:$Q627,1,MATCH(J$5,$I21:$K21,0)),INDEX(Movements!$G627:$M627,1,MATCH(J$7,Movements!$G$614:$M$614,0))))
*J831*J$8,0)</f>
        <v>0</v>
      </c>
      <c r="K87" s="198">
        <f>_xlfn.IFNA(IF(K$7="Fixed",1,IF(AND($D87="yes",K$7="Block"),INDEX($O627:$Q627,1,MATCH(K$5,$I21:$K21,0)),INDEX(Movements!$G627:$M627,1,MATCH(K$7,Movements!$G$614:$M$614,0))))
*K831*K$8,0)</f>
        <v>0</v>
      </c>
      <c r="L87" s="198">
        <f>_xlfn.IFNA(IF(L$7="Fixed",1,IF(AND($D87="yes",L$7="Block"),INDEX($O627:$Q627,1,MATCH(L$5,$I21:$K21,0)),INDEX(Movements!$G627:$M627,1,MATCH(L$7,Movements!$G$614:$M$614,0))))
*L831*L$8,0)</f>
        <v>0</v>
      </c>
      <c r="M87" s="198">
        <f>_xlfn.IFNA(IF(M$7="Fixed",1,IF(AND($D87="yes",M$7="Block"),INDEX($O627:$Q627,1,MATCH(M$5,$I21:$K21,0)),INDEX(Movements!$G627:$M627,1,MATCH(M$7,Movements!$G$614:$M$614,0))))
*M831*M$8,0)</f>
        <v>0</v>
      </c>
      <c r="N87" s="198">
        <f>_xlfn.IFNA(IF(N$7="Fixed",1,IF(AND($D87="yes",N$7="Block"),INDEX($O627:$Q627,1,MATCH(N$5,$I21:$K21,0)),INDEX(Movements!$G627:$M627,1,MATCH(N$7,Movements!$G$614:$M$614,0))))
*N831*N$8,0)</f>
        <v>0</v>
      </c>
      <c r="O87" s="198">
        <f>_xlfn.IFNA(IF(O$7="Fixed",1,IF(AND($D87="yes",O$7="Block"),INDEX($O627:$Q627,1,MATCH(O$5,$I21:$K21,0)),INDEX(Movements!$G627:$M627,1,MATCH(O$7,Movements!$G$614:$M$614,0))))
*O831*O$8,0)</f>
        <v>0</v>
      </c>
      <c r="P87" s="198">
        <f>_xlfn.IFNA(IF(P$7="Fixed",1,IF(AND($D87="yes",P$7="Block"),INDEX($O627:$Q627,1,MATCH(P$5,$I21:$K21,0)),INDEX(Movements!$G627:$M627,1,MATCH(P$7,Movements!$G$614:$M$614,0))))
*P831*P$8,0)</f>
        <v>0</v>
      </c>
      <c r="Q87" s="198">
        <f>_xlfn.IFNA(IF(Q$7="Fixed",1,IF(AND($D87="yes",Q$7="Block"),INDEX($O627:$Q627,1,MATCH(Q$5,$I21:$K21,0)),INDEX(Movements!$G627:$M627,1,MATCH(Q$7,Movements!$G$614:$M$614,0))))
*Q831*Q$8,0)</f>
        <v>0</v>
      </c>
      <c r="R87" s="198">
        <f>_xlfn.IFNA(IF(R$7="Fixed",1,IF(AND($D87="yes",R$7="Block"),INDEX($O627:$Q627,1,MATCH(R$5,$I21:$K21,0)),INDEX(Movements!$G627:$M627,1,MATCH(R$7,Movements!$G$614:$M$614,0))))
*R831*R$8,0)</f>
        <v>0</v>
      </c>
      <c r="S87" s="198">
        <f>_xlfn.IFNA(IF(S$7="Fixed",1,IF(AND($D87="yes",S$7="Block"),INDEX($O627:$Q627,1,MATCH(S$5,$I21:$K21,0)),INDEX(Movements!$G627:$M627,1,MATCH(S$7,Movements!$G$614:$M$614,0))))
*S831*S$8,0)</f>
        <v>0</v>
      </c>
      <c r="T87" s="198">
        <f>_xlfn.IFNA(IF(T$7="Fixed",1,IF(AND($D87="yes",T$7="Block"),INDEX($O627:$Q627,1,MATCH(T$5,$I21:$K21,0)),INDEX(Movements!$G627:$M627,1,MATCH(T$7,Movements!$G$614:$M$614,0))))
*T831*T$8,0)</f>
        <v>0</v>
      </c>
      <c r="U87" s="198">
        <f>_xlfn.IFNA(IF(U$7="Fixed",1,IF(AND($D87="yes",U$7="Block"),INDEX($O627:$Q627,1,MATCH(U$5,$I21:$K21,0)),INDEX(Movements!$G627:$M627,1,MATCH(U$7,Movements!$G$614:$M$614,0))))
*U831*U$8,0)</f>
        <v>0</v>
      </c>
      <c r="V87" s="198">
        <f>_xlfn.IFNA(IF(V$7="Fixed",1,IF(AND($D87="yes",V$7="Block"),INDEX($O627:$Q627,1,MATCH(V$5,$I21:$K21,0)),INDEX(Movements!$G627:$M627,1,MATCH(V$7,Movements!$G$614:$M$614,0))))
*V831*V$8,0)</f>
        <v>0</v>
      </c>
      <c r="W87" s="198">
        <f>_xlfn.IFNA(IF(W$7="Fixed",1,IF(AND($D87="yes",W$7="Block"),INDEX($O627:$Q627,1,MATCH(W$5,$I21:$K21,0)),INDEX(Movements!$G627:$M627,1,MATCH(W$7,Movements!$G$614:$M$614,0))))
*W831*W$8,0)</f>
        <v>0</v>
      </c>
      <c r="X87" s="198">
        <f>_xlfn.IFNA(IF(X$7="Fixed",1,IF(AND($D87="yes",X$7="Block"),INDEX($O627:$Q627,1,MATCH(X$5,$I21:$K21,0)),INDEX(Movements!$G627:$M627,1,MATCH(X$7,Movements!$G$614:$M$614,0))))
*X831*X$8,0)</f>
        <v>0</v>
      </c>
      <c r="Y87" s="198">
        <f>_xlfn.IFNA(IF(Y$7="Fixed",1,IF(AND($D87="yes",Y$7="Block"),INDEX($O627:$Q627,1,MATCH(Y$5,$I21:$K21,0)),INDEX(Movements!$G627:$M627,1,MATCH(Y$7,Movements!$G$614:$M$614,0))))
*Y831*Y$8,0)</f>
        <v>0</v>
      </c>
      <c r="Z87" s="198">
        <f>_xlfn.IFNA(IF(Z$7="Fixed",1,IF(AND($D87="yes",Z$7="Block"),INDEX($O627:$Q627,1,MATCH(Z$5,$I21:$K21,0)),INDEX(Movements!$G627:$M627,1,MATCH(Z$7,Movements!$G$614:$M$614,0))))
*Z831*Z$8,0)</f>
        <v>0</v>
      </c>
      <c r="AA87" s="198">
        <f>_xlfn.IFNA(IF(AA$7="Fixed",1,IF(AND($D87="yes",AA$7="Block"),INDEX($O627:$Q627,1,MATCH(AA$5,$I21:$K21,0)),INDEX(Movements!$G627:$M627,1,MATCH(AA$7,Movements!$G$614:$M$614,0))))
*AA831*AA$8,0)</f>
        <v>0</v>
      </c>
      <c r="AB87" s="198">
        <f>_xlfn.IFNA(IF(AB$7="Fixed",1,IF(AND($D87="yes",AB$7="Block"),INDEX($O627:$Q627,1,MATCH(AB$5,$I21:$K21,0)),INDEX(Movements!$G627:$M627,1,MATCH(AB$7,Movements!$G$614:$M$614,0))))
*AB831*AB$8,0)</f>
        <v>0</v>
      </c>
      <c r="AC87" s="70"/>
      <c r="AD87" s="19"/>
      <c r="AE87" s="19"/>
      <c r="AF87" s="19"/>
      <c r="AG87" s="19"/>
    </row>
    <row r="88" spans="1:33" hidden="1" outlineLevel="3" x14ac:dyDescent="0.2">
      <c r="A88" s="19"/>
      <c r="B88" s="97">
        <v>12</v>
      </c>
      <c r="C88" s="506">
        <f t="shared" si="3"/>
        <v>0</v>
      </c>
      <c r="D88" s="505">
        <f t="shared" si="3"/>
        <v>0</v>
      </c>
      <c r="E88" s="505">
        <f t="shared" si="3"/>
        <v>0</v>
      </c>
      <c r="F88" s="58"/>
      <c r="G88" s="199">
        <f t="shared" si="4"/>
        <v>0</v>
      </c>
      <c r="H88" s="58"/>
      <c r="I88" s="198">
        <f>_xlfn.IFNA(IF(I$7="Fixed",1,IF(AND($D88="yes",I$7="Block"),INDEX($O628:$Q628,1,MATCH(I$5,$I22:$K22,0)),INDEX(Movements!$G628:$M628,1,MATCH(I$7,Movements!$G$614:$M$614,0))))
*I832*I$8,0)</f>
        <v>0</v>
      </c>
      <c r="J88" s="198">
        <f>_xlfn.IFNA(IF(J$7="Fixed",1,IF(AND($D88="yes",J$7="Block"),INDEX($O628:$Q628,1,MATCH(J$5,$I22:$K22,0)),INDEX(Movements!$G628:$M628,1,MATCH(J$7,Movements!$G$614:$M$614,0))))
*J832*J$8,0)</f>
        <v>0</v>
      </c>
      <c r="K88" s="198">
        <f>_xlfn.IFNA(IF(K$7="Fixed",1,IF(AND($D88="yes",K$7="Block"),INDEX($O628:$Q628,1,MATCH(K$5,$I22:$K22,0)),INDEX(Movements!$G628:$M628,1,MATCH(K$7,Movements!$G$614:$M$614,0))))
*K832*K$8,0)</f>
        <v>0</v>
      </c>
      <c r="L88" s="198">
        <f>_xlfn.IFNA(IF(L$7="Fixed",1,IF(AND($D88="yes",L$7="Block"),INDEX($O628:$Q628,1,MATCH(L$5,$I22:$K22,0)),INDEX(Movements!$G628:$M628,1,MATCH(L$7,Movements!$G$614:$M$614,0))))
*L832*L$8,0)</f>
        <v>0</v>
      </c>
      <c r="M88" s="198">
        <f>_xlfn.IFNA(IF(M$7="Fixed",1,IF(AND($D88="yes",M$7="Block"),INDEX($O628:$Q628,1,MATCH(M$5,$I22:$K22,0)),INDEX(Movements!$G628:$M628,1,MATCH(M$7,Movements!$G$614:$M$614,0))))
*M832*M$8,0)</f>
        <v>0</v>
      </c>
      <c r="N88" s="198">
        <f>_xlfn.IFNA(IF(N$7="Fixed",1,IF(AND($D88="yes",N$7="Block"),INDEX($O628:$Q628,1,MATCH(N$5,$I22:$K22,0)),INDEX(Movements!$G628:$M628,1,MATCH(N$7,Movements!$G$614:$M$614,0))))
*N832*N$8,0)</f>
        <v>0</v>
      </c>
      <c r="O88" s="198">
        <f>_xlfn.IFNA(IF(O$7="Fixed",1,IF(AND($D88="yes",O$7="Block"),INDEX($O628:$Q628,1,MATCH(O$5,$I22:$K22,0)),INDEX(Movements!$G628:$M628,1,MATCH(O$7,Movements!$G$614:$M$614,0))))
*O832*O$8,0)</f>
        <v>0</v>
      </c>
      <c r="P88" s="198">
        <f>_xlfn.IFNA(IF(P$7="Fixed",1,IF(AND($D88="yes",P$7="Block"),INDEX($O628:$Q628,1,MATCH(P$5,$I22:$K22,0)),INDEX(Movements!$G628:$M628,1,MATCH(P$7,Movements!$G$614:$M$614,0))))
*P832*P$8,0)</f>
        <v>0</v>
      </c>
      <c r="Q88" s="198">
        <f>_xlfn.IFNA(IF(Q$7="Fixed",1,IF(AND($D88="yes",Q$7="Block"),INDEX($O628:$Q628,1,MATCH(Q$5,$I22:$K22,0)),INDEX(Movements!$G628:$M628,1,MATCH(Q$7,Movements!$G$614:$M$614,0))))
*Q832*Q$8,0)</f>
        <v>0</v>
      </c>
      <c r="R88" s="198">
        <f>_xlfn.IFNA(IF(R$7="Fixed",1,IF(AND($D88="yes",R$7="Block"),INDEX($O628:$Q628,1,MATCH(R$5,$I22:$K22,0)),INDEX(Movements!$G628:$M628,1,MATCH(R$7,Movements!$G$614:$M$614,0))))
*R832*R$8,0)</f>
        <v>0</v>
      </c>
      <c r="S88" s="198">
        <f>_xlfn.IFNA(IF(S$7="Fixed",1,IF(AND($D88="yes",S$7="Block"),INDEX($O628:$Q628,1,MATCH(S$5,$I22:$K22,0)),INDEX(Movements!$G628:$M628,1,MATCH(S$7,Movements!$G$614:$M$614,0))))
*S832*S$8,0)</f>
        <v>0</v>
      </c>
      <c r="T88" s="198">
        <f>_xlfn.IFNA(IF(T$7="Fixed",1,IF(AND($D88="yes",T$7="Block"),INDEX($O628:$Q628,1,MATCH(T$5,$I22:$K22,0)),INDEX(Movements!$G628:$M628,1,MATCH(T$7,Movements!$G$614:$M$614,0))))
*T832*T$8,0)</f>
        <v>0</v>
      </c>
      <c r="U88" s="198">
        <f>_xlfn.IFNA(IF(U$7="Fixed",1,IF(AND($D88="yes",U$7="Block"),INDEX($O628:$Q628,1,MATCH(U$5,$I22:$K22,0)),INDEX(Movements!$G628:$M628,1,MATCH(U$7,Movements!$G$614:$M$614,0))))
*U832*U$8,0)</f>
        <v>0</v>
      </c>
      <c r="V88" s="198">
        <f>_xlfn.IFNA(IF(V$7="Fixed",1,IF(AND($D88="yes",V$7="Block"),INDEX($O628:$Q628,1,MATCH(V$5,$I22:$K22,0)),INDEX(Movements!$G628:$M628,1,MATCH(V$7,Movements!$G$614:$M$614,0))))
*V832*V$8,0)</f>
        <v>0</v>
      </c>
      <c r="W88" s="198">
        <f>_xlfn.IFNA(IF(W$7="Fixed",1,IF(AND($D88="yes",W$7="Block"),INDEX($O628:$Q628,1,MATCH(W$5,$I22:$K22,0)),INDEX(Movements!$G628:$M628,1,MATCH(W$7,Movements!$G$614:$M$614,0))))
*W832*W$8,0)</f>
        <v>0</v>
      </c>
      <c r="X88" s="198">
        <f>_xlfn.IFNA(IF(X$7="Fixed",1,IF(AND($D88="yes",X$7="Block"),INDEX($O628:$Q628,1,MATCH(X$5,$I22:$K22,0)),INDEX(Movements!$G628:$M628,1,MATCH(X$7,Movements!$G$614:$M$614,0))))
*X832*X$8,0)</f>
        <v>0</v>
      </c>
      <c r="Y88" s="198">
        <f>_xlfn.IFNA(IF(Y$7="Fixed",1,IF(AND($D88="yes",Y$7="Block"),INDEX($O628:$Q628,1,MATCH(Y$5,$I22:$K22,0)),INDEX(Movements!$G628:$M628,1,MATCH(Y$7,Movements!$G$614:$M$614,0))))
*Y832*Y$8,0)</f>
        <v>0</v>
      </c>
      <c r="Z88" s="198">
        <f>_xlfn.IFNA(IF(Z$7="Fixed",1,IF(AND($D88="yes",Z$7="Block"),INDEX($O628:$Q628,1,MATCH(Z$5,$I22:$K22,0)),INDEX(Movements!$G628:$M628,1,MATCH(Z$7,Movements!$G$614:$M$614,0))))
*Z832*Z$8,0)</f>
        <v>0</v>
      </c>
      <c r="AA88" s="198">
        <f>_xlfn.IFNA(IF(AA$7="Fixed",1,IF(AND($D88="yes",AA$7="Block"),INDEX($O628:$Q628,1,MATCH(AA$5,$I22:$K22,0)),INDEX(Movements!$G628:$M628,1,MATCH(AA$7,Movements!$G$614:$M$614,0))))
*AA832*AA$8,0)</f>
        <v>0</v>
      </c>
      <c r="AB88" s="198">
        <f>_xlfn.IFNA(IF(AB$7="Fixed",1,IF(AND($D88="yes",AB$7="Block"),INDEX($O628:$Q628,1,MATCH(AB$5,$I22:$K22,0)),INDEX(Movements!$G628:$M628,1,MATCH(AB$7,Movements!$G$614:$M$614,0))))
*AB832*AB$8,0)</f>
        <v>0</v>
      </c>
      <c r="AC88" s="70"/>
      <c r="AD88" s="19"/>
      <c r="AE88" s="19"/>
      <c r="AF88" s="19"/>
      <c r="AG88" s="19"/>
    </row>
    <row r="89" spans="1:33" hidden="1" outlineLevel="3" x14ac:dyDescent="0.2">
      <c r="A89" s="19"/>
      <c r="B89" s="97">
        <v>13</v>
      </c>
      <c r="C89" s="506">
        <f t="shared" si="3"/>
        <v>0</v>
      </c>
      <c r="D89" s="505">
        <f t="shared" si="3"/>
        <v>0</v>
      </c>
      <c r="E89" s="505">
        <f t="shared" si="3"/>
        <v>0</v>
      </c>
      <c r="F89" s="58"/>
      <c r="G89" s="199">
        <f t="shared" si="4"/>
        <v>0</v>
      </c>
      <c r="H89" s="58"/>
      <c r="I89" s="198">
        <f>_xlfn.IFNA(IF(I$7="Fixed",1,IF(AND($D89="yes",I$7="Block"),INDEX($O629:$Q629,1,MATCH(I$5,$I23:$K23,0)),INDEX(Movements!$G629:$M629,1,MATCH(I$7,Movements!$G$614:$M$614,0))))
*I833*I$8,0)</f>
        <v>0</v>
      </c>
      <c r="J89" s="198">
        <f>_xlfn.IFNA(IF(J$7="Fixed",1,IF(AND($D89="yes",J$7="Block"),INDEX($O629:$Q629,1,MATCH(J$5,$I23:$K23,0)),INDEX(Movements!$G629:$M629,1,MATCH(J$7,Movements!$G$614:$M$614,0))))
*J833*J$8,0)</f>
        <v>0</v>
      </c>
      <c r="K89" s="198">
        <f>_xlfn.IFNA(IF(K$7="Fixed",1,IF(AND($D89="yes",K$7="Block"),INDEX($O629:$Q629,1,MATCH(K$5,$I23:$K23,0)),INDEX(Movements!$G629:$M629,1,MATCH(K$7,Movements!$G$614:$M$614,0))))
*K833*K$8,0)</f>
        <v>0</v>
      </c>
      <c r="L89" s="198">
        <f>_xlfn.IFNA(IF(L$7="Fixed",1,IF(AND($D89="yes",L$7="Block"),INDEX($O629:$Q629,1,MATCH(L$5,$I23:$K23,0)),INDEX(Movements!$G629:$M629,1,MATCH(L$7,Movements!$G$614:$M$614,0))))
*L833*L$8,0)</f>
        <v>0</v>
      </c>
      <c r="M89" s="198">
        <f>_xlfn.IFNA(IF(M$7="Fixed",1,IF(AND($D89="yes",M$7="Block"),INDEX($O629:$Q629,1,MATCH(M$5,$I23:$K23,0)),INDEX(Movements!$G629:$M629,1,MATCH(M$7,Movements!$G$614:$M$614,0))))
*M833*M$8,0)</f>
        <v>0</v>
      </c>
      <c r="N89" s="198">
        <f>_xlfn.IFNA(IF(N$7="Fixed",1,IF(AND($D89="yes",N$7="Block"),INDEX($O629:$Q629,1,MATCH(N$5,$I23:$K23,0)),INDEX(Movements!$G629:$M629,1,MATCH(N$7,Movements!$G$614:$M$614,0))))
*N833*N$8,0)</f>
        <v>0</v>
      </c>
      <c r="O89" s="198">
        <f>_xlfn.IFNA(IF(O$7="Fixed",1,IF(AND($D89="yes",O$7="Block"),INDEX($O629:$Q629,1,MATCH(O$5,$I23:$K23,0)),INDEX(Movements!$G629:$M629,1,MATCH(O$7,Movements!$G$614:$M$614,0))))
*O833*O$8,0)</f>
        <v>0</v>
      </c>
      <c r="P89" s="198">
        <f>_xlfn.IFNA(IF(P$7="Fixed",1,IF(AND($D89="yes",P$7="Block"),INDEX($O629:$Q629,1,MATCH(P$5,$I23:$K23,0)),INDEX(Movements!$G629:$M629,1,MATCH(P$7,Movements!$G$614:$M$614,0))))
*P833*P$8,0)</f>
        <v>0</v>
      </c>
      <c r="Q89" s="198">
        <f>_xlfn.IFNA(IF(Q$7="Fixed",1,IF(AND($D89="yes",Q$7="Block"),INDEX($O629:$Q629,1,MATCH(Q$5,$I23:$K23,0)),INDEX(Movements!$G629:$M629,1,MATCH(Q$7,Movements!$G$614:$M$614,0))))
*Q833*Q$8,0)</f>
        <v>0</v>
      </c>
      <c r="R89" s="198">
        <f>_xlfn.IFNA(IF(R$7="Fixed",1,IF(AND($D89="yes",R$7="Block"),INDEX($O629:$Q629,1,MATCH(R$5,$I23:$K23,0)),INDEX(Movements!$G629:$M629,1,MATCH(R$7,Movements!$G$614:$M$614,0))))
*R833*R$8,0)</f>
        <v>0</v>
      </c>
      <c r="S89" s="198">
        <f>_xlfn.IFNA(IF(S$7="Fixed",1,IF(AND($D89="yes",S$7="Block"),INDEX($O629:$Q629,1,MATCH(S$5,$I23:$K23,0)),INDEX(Movements!$G629:$M629,1,MATCH(S$7,Movements!$G$614:$M$614,0))))
*S833*S$8,0)</f>
        <v>0</v>
      </c>
      <c r="T89" s="198">
        <f>_xlfn.IFNA(IF(T$7="Fixed",1,IF(AND($D89="yes",T$7="Block"),INDEX($O629:$Q629,1,MATCH(T$5,$I23:$K23,0)),INDEX(Movements!$G629:$M629,1,MATCH(T$7,Movements!$G$614:$M$614,0))))
*T833*T$8,0)</f>
        <v>0</v>
      </c>
      <c r="U89" s="198">
        <f>_xlfn.IFNA(IF(U$7="Fixed",1,IF(AND($D89="yes",U$7="Block"),INDEX($O629:$Q629,1,MATCH(U$5,$I23:$K23,0)),INDEX(Movements!$G629:$M629,1,MATCH(U$7,Movements!$G$614:$M$614,0))))
*U833*U$8,0)</f>
        <v>0</v>
      </c>
      <c r="V89" s="198">
        <f>_xlfn.IFNA(IF(V$7="Fixed",1,IF(AND($D89="yes",V$7="Block"),INDEX($O629:$Q629,1,MATCH(V$5,$I23:$K23,0)),INDEX(Movements!$G629:$M629,1,MATCH(V$7,Movements!$G$614:$M$614,0))))
*V833*V$8,0)</f>
        <v>0</v>
      </c>
      <c r="W89" s="198">
        <f>_xlfn.IFNA(IF(W$7="Fixed",1,IF(AND($D89="yes",W$7="Block"),INDEX($O629:$Q629,1,MATCH(W$5,$I23:$K23,0)),INDEX(Movements!$G629:$M629,1,MATCH(W$7,Movements!$G$614:$M$614,0))))
*W833*W$8,0)</f>
        <v>0</v>
      </c>
      <c r="X89" s="198">
        <f>_xlfn.IFNA(IF(X$7="Fixed",1,IF(AND($D89="yes",X$7="Block"),INDEX($O629:$Q629,1,MATCH(X$5,$I23:$K23,0)),INDEX(Movements!$G629:$M629,1,MATCH(X$7,Movements!$G$614:$M$614,0))))
*X833*X$8,0)</f>
        <v>0</v>
      </c>
      <c r="Y89" s="198">
        <f>_xlfn.IFNA(IF(Y$7="Fixed",1,IF(AND($D89="yes",Y$7="Block"),INDEX($O629:$Q629,1,MATCH(Y$5,$I23:$K23,0)),INDEX(Movements!$G629:$M629,1,MATCH(Y$7,Movements!$G$614:$M$614,0))))
*Y833*Y$8,0)</f>
        <v>0</v>
      </c>
      <c r="Z89" s="198">
        <f>_xlfn.IFNA(IF(Z$7="Fixed",1,IF(AND($D89="yes",Z$7="Block"),INDEX($O629:$Q629,1,MATCH(Z$5,$I23:$K23,0)),INDEX(Movements!$G629:$M629,1,MATCH(Z$7,Movements!$G$614:$M$614,0))))
*Z833*Z$8,0)</f>
        <v>0</v>
      </c>
      <c r="AA89" s="198">
        <f>_xlfn.IFNA(IF(AA$7="Fixed",1,IF(AND($D89="yes",AA$7="Block"),INDEX($O629:$Q629,1,MATCH(AA$5,$I23:$K23,0)),INDEX(Movements!$G629:$M629,1,MATCH(AA$7,Movements!$G$614:$M$614,0))))
*AA833*AA$8,0)</f>
        <v>0</v>
      </c>
      <c r="AB89" s="198">
        <f>_xlfn.IFNA(IF(AB$7="Fixed",1,IF(AND($D89="yes",AB$7="Block"),INDEX($O629:$Q629,1,MATCH(AB$5,$I23:$K23,0)),INDEX(Movements!$G629:$M629,1,MATCH(AB$7,Movements!$G$614:$M$614,0))))
*AB833*AB$8,0)</f>
        <v>0</v>
      </c>
      <c r="AC89" s="70"/>
      <c r="AD89" s="19"/>
      <c r="AE89" s="19"/>
      <c r="AF89" s="19"/>
      <c r="AG89" s="19"/>
    </row>
    <row r="90" spans="1:33" hidden="1" outlineLevel="3" x14ac:dyDescent="0.2">
      <c r="A90" s="19"/>
      <c r="B90" s="97">
        <v>14</v>
      </c>
      <c r="C90" s="506">
        <f t="shared" si="3"/>
        <v>0</v>
      </c>
      <c r="D90" s="505">
        <f t="shared" si="3"/>
        <v>0</v>
      </c>
      <c r="E90" s="505">
        <f t="shared" si="3"/>
        <v>0</v>
      </c>
      <c r="F90" s="58"/>
      <c r="G90" s="199">
        <f t="shared" si="4"/>
        <v>0</v>
      </c>
      <c r="H90" s="58"/>
      <c r="I90" s="198">
        <f>_xlfn.IFNA(IF(I$7="Fixed",1,IF(AND($D90="yes",I$7="Block"),INDEX($O630:$Q630,1,MATCH(I$5,$I24:$K24,0)),INDEX(Movements!$G630:$M630,1,MATCH(I$7,Movements!$G$614:$M$614,0))))
*I834*I$8,0)</f>
        <v>0</v>
      </c>
      <c r="J90" s="198">
        <f>_xlfn.IFNA(IF(J$7="Fixed",1,IF(AND($D90="yes",J$7="Block"),INDEX($O630:$Q630,1,MATCH(J$5,$I24:$K24,0)),INDEX(Movements!$G630:$M630,1,MATCH(J$7,Movements!$G$614:$M$614,0))))
*J834*J$8,0)</f>
        <v>0</v>
      </c>
      <c r="K90" s="198">
        <f>_xlfn.IFNA(IF(K$7="Fixed",1,IF(AND($D90="yes",K$7="Block"),INDEX($O630:$Q630,1,MATCH(K$5,$I24:$K24,0)),INDEX(Movements!$G630:$M630,1,MATCH(K$7,Movements!$G$614:$M$614,0))))
*K834*K$8,0)</f>
        <v>0</v>
      </c>
      <c r="L90" s="198">
        <f>_xlfn.IFNA(IF(L$7="Fixed",1,IF(AND($D90="yes",L$7="Block"),INDEX($O630:$Q630,1,MATCH(L$5,$I24:$K24,0)),INDEX(Movements!$G630:$M630,1,MATCH(L$7,Movements!$G$614:$M$614,0))))
*L834*L$8,0)</f>
        <v>0</v>
      </c>
      <c r="M90" s="198">
        <f>_xlfn.IFNA(IF(M$7="Fixed",1,IF(AND($D90="yes",M$7="Block"),INDEX($O630:$Q630,1,MATCH(M$5,$I24:$K24,0)),INDEX(Movements!$G630:$M630,1,MATCH(M$7,Movements!$G$614:$M$614,0))))
*M834*M$8,0)</f>
        <v>0</v>
      </c>
      <c r="N90" s="198">
        <f>_xlfn.IFNA(IF(N$7="Fixed",1,IF(AND($D90="yes",N$7="Block"),INDEX($O630:$Q630,1,MATCH(N$5,$I24:$K24,0)),INDEX(Movements!$G630:$M630,1,MATCH(N$7,Movements!$G$614:$M$614,0))))
*N834*N$8,0)</f>
        <v>0</v>
      </c>
      <c r="O90" s="198">
        <f>_xlfn.IFNA(IF(O$7="Fixed",1,IF(AND($D90="yes",O$7="Block"),INDEX($O630:$Q630,1,MATCH(O$5,$I24:$K24,0)),INDEX(Movements!$G630:$M630,1,MATCH(O$7,Movements!$G$614:$M$614,0))))
*O834*O$8,0)</f>
        <v>0</v>
      </c>
      <c r="P90" s="198">
        <f>_xlfn.IFNA(IF(P$7="Fixed",1,IF(AND($D90="yes",P$7="Block"),INDEX($O630:$Q630,1,MATCH(P$5,$I24:$K24,0)),INDEX(Movements!$G630:$M630,1,MATCH(P$7,Movements!$G$614:$M$614,0))))
*P834*P$8,0)</f>
        <v>0</v>
      </c>
      <c r="Q90" s="198">
        <f>_xlfn.IFNA(IF(Q$7="Fixed",1,IF(AND($D90="yes",Q$7="Block"),INDEX($O630:$Q630,1,MATCH(Q$5,$I24:$K24,0)),INDEX(Movements!$G630:$M630,1,MATCH(Q$7,Movements!$G$614:$M$614,0))))
*Q834*Q$8,0)</f>
        <v>0</v>
      </c>
      <c r="R90" s="198">
        <f>_xlfn.IFNA(IF(R$7="Fixed",1,IF(AND($D90="yes",R$7="Block"),INDEX($O630:$Q630,1,MATCH(R$5,$I24:$K24,0)),INDEX(Movements!$G630:$M630,1,MATCH(R$7,Movements!$G$614:$M$614,0))))
*R834*R$8,0)</f>
        <v>0</v>
      </c>
      <c r="S90" s="198">
        <f>_xlfn.IFNA(IF(S$7="Fixed",1,IF(AND($D90="yes",S$7="Block"),INDEX($O630:$Q630,1,MATCH(S$5,$I24:$K24,0)),INDEX(Movements!$G630:$M630,1,MATCH(S$7,Movements!$G$614:$M$614,0))))
*S834*S$8,0)</f>
        <v>0</v>
      </c>
      <c r="T90" s="198">
        <f>_xlfn.IFNA(IF(T$7="Fixed",1,IF(AND($D90="yes",T$7="Block"),INDEX($O630:$Q630,1,MATCH(T$5,$I24:$K24,0)),INDEX(Movements!$G630:$M630,1,MATCH(T$7,Movements!$G$614:$M$614,0))))
*T834*T$8,0)</f>
        <v>0</v>
      </c>
      <c r="U90" s="198">
        <f>_xlfn.IFNA(IF(U$7="Fixed",1,IF(AND($D90="yes",U$7="Block"),INDEX($O630:$Q630,1,MATCH(U$5,$I24:$K24,0)),INDEX(Movements!$G630:$M630,1,MATCH(U$7,Movements!$G$614:$M$614,0))))
*U834*U$8,0)</f>
        <v>0</v>
      </c>
      <c r="V90" s="198">
        <f>_xlfn.IFNA(IF(V$7="Fixed",1,IF(AND($D90="yes",V$7="Block"),INDEX($O630:$Q630,1,MATCH(V$5,$I24:$K24,0)),INDEX(Movements!$G630:$M630,1,MATCH(V$7,Movements!$G$614:$M$614,0))))
*V834*V$8,0)</f>
        <v>0</v>
      </c>
      <c r="W90" s="198">
        <f>_xlfn.IFNA(IF(W$7="Fixed",1,IF(AND($D90="yes",W$7="Block"),INDEX($O630:$Q630,1,MATCH(W$5,$I24:$K24,0)),INDEX(Movements!$G630:$M630,1,MATCH(W$7,Movements!$G$614:$M$614,0))))
*W834*W$8,0)</f>
        <v>0</v>
      </c>
      <c r="X90" s="198">
        <f>_xlfn.IFNA(IF(X$7="Fixed",1,IF(AND($D90="yes",X$7="Block"),INDEX($O630:$Q630,1,MATCH(X$5,$I24:$K24,0)),INDEX(Movements!$G630:$M630,1,MATCH(X$7,Movements!$G$614:$M$614,0))))
*X834*X$8,0)</f>
        <v>0</v>
      </c>
      <c r="Y90" s="198">
        <f>_xlfn.IFNA(IF(Y$7="Fixed",1,IF(AND($D90="yes",Y$7="Block"),INDEX($O630:$Q630,1,MATCH(Y$5,$I24:$K24,0)),INDEX(Movements!$G630:$M630,1,MATCH(Y$7,Movements!$G$614:$M$614,0))))
*Y834*Y$8,0)</f>
        <v>0</v>
      </c>
      <c r="Z90" s="198">
        <f>_xlfn.IFNA(IF(Z$7="Fixed",1,IF(AND($D90="yes",Z$7="Block"),INDEX($O630:$Q630,1,MATCH(Z$5,$I24:$K24,0)),INDEX(Movements!$G630:$M630,1,MATCH(Z$7,Movements!$G$614:$M$614,0))))
*Z834*Z$8,0)</f>
        <v>0</v>
      </c>
      <c r="AA90" s="198">
        <f>_xlfn.IFNA(IF(AA$7="Fixed",1,IF(AND($D90="yes",AA$7="Block"),INDEX($O630:$Q630,1,MATCH(AA$5,$I24:$K24,0)),INDEX(Movements!$G630:$M630,1,MATCH(AA$7,Movements!$G$614:$M$614,0))))
*AA834*AA$8,0)</f>
        <v>0</v>
      </c>
      <c r="AB90" s="198">
        <f>_xlfn.IFNA(IF(AB$7="Fixed",1,IF(AND($D90="yes",AB$7="Block"),INDEX($O630:$Q630,1,MATCH(AB$5,$I24:$K24,0)),INDEX(Movements!$G630:$M630,1,MATCH(AB$7,Movements!$G$614:$M$614,0))))
*AB834*AB$8,0)</f>
        <v>0</v>
      </c>
      <c r="AC90" s="70"/>
      <c r="AD90" s="19"/>
      <c r="AE90" s="19"/>
      <c r="AF90" s="19"/>
      <c r="AG90" s="19"/>
    </row>
    <row r="91" spans="1:33" hidden="1" outlineLevel="3" x14ac:dyDescent="0.2">
      <c r="A91" s="19"/>
      <c r="B91" s="97">
        <v>15</v>
      </c>
      <c r="C91" s="506">
        <f t="shared" si="3"/>
        <v>0</v>
      </c>
      <c r="D91" s="505">
        <f t="shared" si="3"/>
        <v>0</v>
      </c>
      <c r="E91" s="505">
        <f t="shared" si="3"/>
        <v>0</v>
      </c>
      <c r="F91" s="58"/>
      <c r="G91" s="199">
        <f t="shared" si="4"/>
        <v>0</v>
      </c>
      <c r="H91" s="58"/>
      <c r="I91" s="198">
        <f>_xlfn.IFNA(IF(I$7="Fixed",1,IF(AND($D91="yes",I$7="Block"),INDEX($O631:$Q631,1,MATCH(I$5,$I25:$K25,0)),INDEX(Movements!$G631:$M631,1,MATCH(I$7,Movements!$G$614:$M$614,0))))
*I835*I$8,0)</f>
        <v>0</v>
      </c>
      <c r="J91" s="198">
        <f>_xlfn.IFNA(IF(J$7="Fixed",1,IF(AND($D91="yes",J$7="Block"),INDEX($O631:$Q631,1,MATCH(J$5,$I25:$K25,0)),INDEX(Movements!$G631:$M631,1,MATCH(J$7,Movements!$G$614:$M$614,0))))
*J835*J$8,0)</f>
        <v>0</v>
      </c>
      <c r="K91" s="198">
        <f>_xlfn.IFNA(IF(K$7="Fixed",1,IF(AND($D91="yes",K$7="Block"),INDEX($O631:$Q631,1,MATCH(K$5,$I25:$K25,0)),INDEX(Movements!$G631:$M631,1,MATCH(K$7,Movements!$G$614:$M$614,0))))
*K835*K$8,0)</f>
        <v>0</v>
      </c>
      <c r="L91" s="198">
        <f>_xlfn.IFNA(IF(L$7="Fixed",1,IF(AND($D91="yes",L$7="Block"),INDEX($O631:$Q631,1,MATCH(L$5,$I25:$K25,0)),INDEX(Movements!$G631:$M631,1,MATCH(L$7,Movements!$G$614:$M$614,0))))
*L835*L$8,0)</f>
        <v>0</v>
      </c>
      <c r="M91" s="198">
        <f>_xlfn.IFNA(IF(M$7="Fixed",1,IF(AND($D91="yes",M$7="Block"),INDEX($O631:$Q631,1,MATCH(M$5,$I25:$K25,0)),INDEX(Movements!$G631:$M631,1,MATCH(M$7,Movements!$G$614:$M$614,0))))
*M835*M$8,0)</f>
        <v>0</v>
      </c>
      <c r="N91" s="198">
        <f>_xlfn.IFNA(IF(N$7="Fixed",1,IF(AND($D91="yes",N$7="Block"),INDEX($O631:$Q631,1,MATCH(N$5,$I25:$K25,0)),INDEX(Movements!$G631:$M631,1,MATCH(N$7,Movements!$G$614:$M$614,0))))
*N835*N$8,0)</f>
        <v>0</v>
      </c>
      <c r="O91" s="198">
        <f>_xlfn.IFNA(IF(O$7="Fixed",1,IF(AND($D91="yes",O$7="Block"),INDEX($O631:$Q631,1,MATCH(O$5,$I25:$K25,0)),INDEX(Movements!$G631:$M631,1,MATCH(O$7,Movements!$G$614:$M$614,0))))
*O835*O$8,0)</f>
        <v>0</v>
      </c>
      <c r="P91" s="198">
        <f>_xlfn.IFNA(IF(P$7="Fixed",1,IF(AND($D91="yes",P$7="Block"),INDEX($O631:$Q631,1,MATCH(P$5,$I25:$K25,0)),INDEX(Movements!$G631:$M631,1,MATCH(P$7,Movements!$G$614:$M$614,0))))
*P835*P$8,0)</f>
        <v>0</v>
      </c>
      <c r="Q91" s="198">
        <f>_xlfn.IFNA(IF(Q$7="Fixed",1,IF(AND($D91="yes",Q$7="Block"),INDEX($O631:$Q631,1,MATCH(Q$5,$I25:$K25,0)),INDEX(Movements!$G631:$M631,1,MATCH(Q$7,Movements!$G$614:$M$614,0))))
*Q835*Q$8,0)</f>
        <v>0</v>
      </c>
      <c r="R91" s="198">
        <f>_xlfn.IFNA(IF(R$7="Fixed",1,IF(AND($D91="yes",R$7="Block"),INDEX($O631:$Q631,1,MATCH(R$5,$I25:$K25,0)),INDEX(Movements!$G631:$M631,1,MATCH(R$7,Movements!$G$614:$M$614,0))))
*R835*R$8,0)</f>
        <v>0</v>
      </c>
      <c r="S91" s="198">
        <f>_xlfn.IFNA(IF(S$7="Fixed",1,IF(AND($D91="yes",S$7="Block"),INDEX($O631:$Q631,1,MATCH(S$5,$I25:$K25,0)),INDEX(Movements!$G631:$M631,1,MATCH(S$7,Movements!$G$614:$M$614,0))))
*S835*S$8,0)</f>
        <v>0</v>
      </c>
      <c r="T91" s="198">
        <f>_xlfn.IFNA(IF(T$7="Fixed",1,IF(AND($D91="yes",T$7="Block"),INDEX($O631:$Q631,1,MATCH(T$5,$I25:$K25,0)),INDEX(Movements!$G631:$M631,1,MATCH(T$7,Movements!$G$614:$M$614,0))))
*T835*T$8,0)</f>
        <v>0</v>
      </c>
      <c r="U91" s="198">
        <f>_xlfn.IFNA(IF(U$7="Fixed",1,IF(AND($D91="yes",U$7="Block"),INDEX($O631:$Q631,1,MATCH(U$5,$I25:$K25,0)),INDEX(Movements!$G631:$M631,1,MATCH(U$7,Movements!$G$614:$M$614,0))))
*U835*U$8,0)</f>
        <v>0</v>
      </c>
      <c r="V91" s="198">
        <f>_xlfn.IFNA(IF(V$7="Fixed",1,IF(AND($D91="yes",V$7="Block"),INDEX($O631:$Q631,1,MATCH(V$5,$I25:$K25,0)),INDEX(Movements!$G631:$M631,1,MATCH(V$7,Movements!$G$614:$M$614,0))))
*V835*V$8,0)</f>
        <v>0</v>
      </c>
      <c r="W91" s="198">
        <f>_xlfn.IFNA(IF(W$7="Fixed",1,IF(AND($D91="yes",W$7="Block"),INDEX($O631:$Q631,1,MATCH(W$5,$I25:$K25,0)),INDEX(Movements!$G631:$M631,1,MATCH(W$7,Movements!$G$614:$M$614,0))))
*W835*W$8,0)</f>
        <v>0</v>
      </c>
      <c r="X91" s="198">
        <f>_xlfn.IFNA(IF(X$7="Fixed",1,IF(AND($D91="yes",X$7="Block"),INDEX($O631:$Q631,1,MATCH(X$5,$I25:$K25,0)),INDEX(Movements!$G631:$M631,1,MATCH(X$7,Movements!$G$614:$M$614,0))))
*X835*X$8,0)</f>
        <v>0</v>
      </c>
      <c r="Y91" s="198">
        <f>_xlfn.IFNA(IF(Y$7="Fixed",1,IF(AND($D91="yes",Y$7="Block"),INDEX($O631:$Q631,1,MATCH(Y$5,$I25:$K25,0)),INDEX(Movements!$G631:$M631,1,MATCH(Y$7,Movements!$G$614:$M$614,0))))
*Y835*Y$8,0)</f>
        <v>0</v>
      </c>
      <c r="Z91" s="198">
        <f>_xlfn.IFNA(IF(Z$7="Fixed",1,IF(AND($D91="yes",Z$7="Block"),INDEX($O631:$Q631,1,MATCH(Z$5,$I25:$K25,0)),INDEX(Movements!$G631:$M631,1,MATCH(Z$7,Movements!$G$614:$M$614,0))))
*Z835*Z$8,0)</f>
        <v>0</v>
      </c>
      <c r="AA91" s="198">
        <f>_xlfn.IFNA(IF(AA$7="Fixed",1,IF(AND($D91="yes",AA$7="Block"),INDEX($O631:$Q631,1,MATCH(AA$5,$I25:$K25,0)),INDEX(Movements!$G631:$M631,1,MATCH(AA$7,Movements!$G$614:$M$614,0))))
*AA835*AA$8,0)</f>
        <v>0</v>
      </c>
      <c r="AB91" s="198">
        <f>_xlfn.IFNA(IF(AB$7="Fixed",1,IF(AND($D91="yes",AB$7="Block"),INDEX($O631:$Q631,1,MATCH(AB$5,$I25:$K25,0)),INDEX(Movements!$G631:$M631,1,MATCH(AB$7,Movements!$G$614:$M$614,0))))
*AB835*AB$8,0)</f>
        <v>0</v>
      </c>
      <c r="AC91" s="70"/>
      <c r="AD91" s="19"/>
      <c r="AE91" s="19"/>
      <c r="AF91" s="19"/>
      <c r="AG91" s="19"/>
    </row>
    <row r="92" spans="1:33" hidden="1" outlineLevel="3" x14ac:dyDescent="0.2">
      <c r="A92" s="19"/>
      <c r="B92" s="98">
        <v>16</v>
      </c>
      <c r="C92" s="506">
        <f t="shared" si="3"/>
        <v>0</v>
      </c>
      <c r="D92" s="505">
        <f t="shared" si="3"/>
        <v>0</v>
      </c>
      <c r="E92" s="505">
        <f t="shared" si="3"/>
        <v>0</v>
      </c>
      <c r="F92" s="58"/>
      <c r="G92" s="199">
        <f t="shared" si="4"/>
        <v>0</v>
      </c>
      <c r="H92" s="58"/>
      <c r="I92" s="198">
        <f>_xlfn.IFNA(IF(I$7="Fixed",1,IF(AND($D92="yes",I$7="Block"),INDEX($O632:$Q632,1,MATCH(I$5,$I26:$K26,0)),INDEX(Movements!$G632:$M632,1,MATCH(I$7,Movements!$G$614:$M$614,0))))
*I836*I$8,0)</f>
        <v>0</v>
      </c>
      <c r="J92" s="198">
        <f>_xlfn.IFNA(IF(J$7="Fixed",1,IF(AND($D92="yes",J$7="Block"),INDEX($O632:$Q632,1,MATCH(J$5,$I26:$K26,0)),INDEX(Movements!$G632:$M632,1,MATCH(J$7,Movements!$G$614:$M$614,0))))
*J836*J$8,0)</f>
        <v>0</v>
      </c>
      <c r="K92" s="198">
        <f>_xlfn.IFNA(IF(K$7="Fixed",1,IF(AND($D92="yes",K$7="Block"),INDEX($O632:$Q632,1,MATCH(K$5,$I26:$K26,0)),INDEX(Movements!$G632:$M632,1,MATCH(K$7,Movements!$G$614:$M$614,0))))
*K836*K$8,0)</f>
        <v>0</v>
      </c>
      <c r="L92" s="198">
        <f>_xlfn.IFNA(IF(L$7="Fixed",1,IF(AND($D92="yes",L$7="Block"),INDEX($O632:$Q632,1,MATCH(L$5,$I26:$K26,0)),INDEX(Movements!$G632:$M632,1,MATCH(L$7,Movements!$G$614:$M$614,0))))
*L836*L$8,0)</f>
        <v>0</v>
      </c>
      <c r="M92" s="198">
        <f>_xlfn.IFNA(IF(M$7="Fixed",1,IF(AND($D92="yes",M$7="Block"),INDEX($O632:$Q632,1,MATCH(M$5,$I26:$K26,0)),INDEX(Movements!$G632:$M632,1,MATCH(M$7,Movements!$G$614:$M$614,0))))
*M836*M$8,0)</f>
        <v>0</v>
      </c>
      <c r="N92" s="198">
        <f>_xlfn.IFNA(IF(N$7="Fixed",1,IF(AND($D92="yes",N$7="Block"),INDEX($O632:$Q632,1,MATCH(N$5,$I26:$K26,0)),INDEX(Movements!$G632:$M632,1,MATCH(N$7,Movements!$G$614:$M$614,0))))
*N836*N$8,0)</f>
        <v>0</v>
      </c>
      <c r="O92" s="198">
        <f>_xlfn.IFNA(IF(O$7="Fixed",1,IF(AND($D92="yes",O$7="Block"),INDEX($O632:$Q632,1,MATCH(O$5,$I26:$K26,0)),INDEX(Movements!$G632:$M632,1,MATCH(O$7,Movements!$G$614:$M$614,0))))
*O836*O$8,0)</f>
        <v>0</v>
      </c>
      <c r="P92" s="198">
        <f>_xlfn.IFNA(IF(P$7="Fixed",1,IF(AND($D92="yes",P$7="Block"),INDEX($O632:$Q632,1,MATCH(P$5,$I26:$K26,0)),INDEX(Movements!$G632:$M632,1,MATCH(P$7,Movements!$G$614:$M$614,0))))
*P836*P$8,0)</f>
        <v>0</v>
      </c>
      <c r="Q92" s="198">
        <f>_xlfn.IFNA(IF(Q$7="Fixed",1,IF(AND($D92="yes",Q$7="Block"),INDEX($O632:$Q632,1,MATCH(Q$5,$I26:$K26,0)),INDEX(Movements!$G632:$M632,1,MATCH(Q$7,Movements!$G$614:$M$614,0))))
*Q836*Q$8,0)</f>
        <v>0</v>
      </c>
      <c r="R92" s="198">
        <f>_xlfn.IFNA(IF(R$7="Fixed",1,IF(AND($D92="yes",R$7="Block"),INDEX($O632:$Q632,1,MATCH(R$5,$I26:$K26,0)),INDEX(Movements!$G632:$M632,1,MATCH(R$7,Movements!$G$614:$M$614,0))))
*R836*R$8,0)</f>
        <v>0</v>
      </c>
      <c r="S92" s="198">
        <f>_xlfn.IFNA(IF(S$7="Fixed",1,IF(AND($D92="yes",S$7="Block"),INDEX($O632:$Q632,1,MATCH(S$5,$I26:$K26,0)),INDEX(Movements!$G632:$M632,1,MATCH(S$7,Movements!$G$614:$M$614,0))))
*S836*S$8,0)</f>
        <v>0</v>
      </c>
      <c r="T92" s="198">
        <f>_xlfn.IFNA(IF(T$7="Fixed",1,IF(AND($D92="yes",T$7="Block"),INDEX($O632:$Q632,1,MATCH(T$5,$I26:$K26,0)),INDEX(Movements!$G632:$M632,1,MATCH(T$7,Movements!$G$614:$M$614,0))))
*T836*T$8,0)</f>
        <v>0</v>
      </c>
      <c r="U92" s="198">
        <f>_xlfn.IFNA(IF(U$7="Fixed",1,IF(AND($D92="yes",U$7="Block"),INDEX($O632:$Q632,1,MATCH(U$5,$I26:$K26,0)),INDEX(Movements!$G632:$M632,1,MATCH(U$7,Movements!$G$614:$M$614,0))))
*U836*U$8,0)</f>
        <v>0</v>
      </c>
      <c r="V92" s="198">
        <f>_xlfn.IFNA(IF(V$7="Fixed",1,IF(AND($D92="yes",V$7="Block"),INDEX($O632:$Q632,1,MATCH(V$5,$I26:$K26,0)),INDEX(Movements!$G632:$M632,1,MATCH(V$7,Movements!$G$614:$M$614,0))))
*V836*V$8,0)</f>
        <v>0</v>
      </c>
      <c r="W92" s="198">
        <f>_xlfn.IFNA(IF(W$7="Fixed",1,IF(AND($D92="yes",W$7="Block"),INDEX($O632:$Q632,1,MATCH(W$5,$I26:$K26,0)),INDEX(Movements!$G632:$M632,1,MATCH(W$7,Movements!$G$614:$M$614,0))))
*W836*W$8,0)</f>
        <v>0</v>
      </c>
      <c r="X92" s="198">
        <f>_xlfn.IFNA(IF(X$7="Fixed",1,IF(AND($D92="yes",X$7="Block"),INDEX($O632:$Q632,1,MATCH(X$5,$I26:$K26,0)),INDEX(Movements!$G632:$M632,1,MATCH(X$7,Movements!$G$614:$M$614,0))))
*X836*X$8,0)</f>
        <v>0</v>
      </c>
      <c r="Y92" s="198">
        <f>_xlfn.IFNA(IF(Y$7="Fixed",1,IF(AND($D92="yes",Y$7="Block"),INDEX($O632:$Q632,1,MATCH(Y$5,$I26:$K26,0)),INDEX(Movements!$G632:$M632,1,MATCH(Y$7,Movements!$G$614:$M$614,0))))
*Y836*Y$8,0)</f>
        <v>0</v>
      </c>
      <c r="Z92" s="198">
        <f>_xlfn.IFNA(IF(Z$7="Fixed",1,IF(AND($D92="yes",Z$7="Block"),INDEX($O632:$Q632,1,MATCH(Z$5,$I26:$K26,0)),INDEX(Movements!$G632:$M632,1,MATCH(Z$7,Movements!$G$614:$M$614,0))))
*Z836*Z$8,0)</f>
        <v>0</v>
      </c>
      <c r="AA92" s="198">
        <f>_xlfn.IFNA(IF(AA$7="Fixed",1,IF(AND($D92="yes",AA$7="Block"),INDEX($O632:$Q632,1,MATCH(AA$5,$I26:$K26,0)),INDEX(Movements!$G632:$M632,1,MATCH(AA$7,Movements!$G$614:$M$614,0))))
*AA836*AA$8,0)</f>
        <v>0</v>
      </c>
      <c r="AB92" s="198">
        <f>_xlfn.IFNA(IF(AB$7="Fixed",1,IF(AND($D92="yes",AB$7="Block"),INDEX($O632:$Q632,1,MATCH(AB$5,$I26:$K26,0)),INDEX(Movements!$G632:$M632,1,MATCH(AB$7,Movements!$G$614:$M$614,0))))
*AB836*AB$8,0)</f>
        <v>0</v>
      </c>
      <c r="AC92" s="70"/>
      <c r="AD92" s="19"/>
      <c r="AE92" s="19"/>
      <c r="AF92" s="19"/>
      <c r="AG92" s="19"/>
    </row>
    <row r="93" spans="1:33" hidden="1" outlineLevel="3" x14ac:dyDescent="0.2">
      <c r="A93" s="19"/>
      <c r="B93" s="97">
        <v>17</v>
      </c>
      <c r="C93" s="506">
        <f t="shared" si="3"/>
        <v>0</v>
      </c>
      <c r="D93" s="505">
        <f t="shared" si="3"/>
        <v>0</v>
      </c>
      <c r="E93" s="505">
        <f t="shared" si="3"/>
        <v>0</v>
      </c>
      <c r="F93" s="58"/>
      <c r="G93" s="199">
        <f t="shared" si="4"/>
        <v>0</v>
      </c>
      <c r="H93" s="58"/>
      <c r="I93" s="198">
        <f>_xlfn.IFNA(IF(I$7="Fixed",1,IF(AND($D93="yes",I$7="Block"),INDEX($O633:$Q633,1,MATCH(I$5,$I27:$K27,0)),INDEX(Movements!$G633:$M633,1,MATCH(I$7,Movements!$G$614:$M$614,0))))
*I837*I$8,0)</f>
        <v>0</v>
      </c>
      <c r="J93" s="198">
        <f>_xlfn.IFNA(IF(J$7="Fixed",1,IF(AND($D93="yes",J$7="Block"),INDEX($O633:$Q633,1,MATCH(J$5,$I27:$K27,0)),INDEX(Movements!$G633:$M633,1,MATCH(J$7,Movements!$G$614:$M$614,0))))
*J837*J$8,0)</f>
        <v>0</v>
      </c>
      <c r="K93" s="198">
        <f>_xlfn.IFNA(IF(K$7="Fixed",1,IF(AND($D93="yes",K$7="Block"),INDEX($O633:$Q633,1,MATCH(K$5,$I27:$K27,0)),INDEX(Movements!$G633:$M633,1,MATCH(K$7,Movements!$G$614:$M$614,0))))
*K837*K$8,0)</f>
        <v>0</v>
      </c>
      <c r="L93" s="198">
        <f>_xlfn.IFNA(IF(L$7="Fixed",1,IF(AND($D93="yes",L$7="Block"),INDEX($O633:$Q633,1,MATCH(L$5,$I27:$K27,0)),INDEX(Movements!$G633:$M633,1,MATCH(L$7,Movements!$G$614:$M$614,0))))
*L837*L$8,0)</f>
        <v>0</v>
      </c>
      <c r="M93" s="198">
        <f>_xlfn.IFNA(IF(M$7="Fixed",1,IF(AND($D93="yes",M$7="Block"),INDEX($O633:$Q633,1,MATCH(M$5,$I27:$K27,0)),INDEX(Movements!$G633:$M633,1,MATCH(M$7,Movements!$G$614:$M$614,0))))
*M837*M$8,0)</f>
        <v>0</v>
      </c>
      <c r="N93" s="198">
        <f>_xlfn.IFNA(IF(N$7="Fixed",1,IF(AND($D93="yes",N$7="Block"),INDEX($O633:$Q633,1,MATCH(N$5,$I27:$K27,0)),INDEX(Movements!$G633:$M633,1,MATCH(N$7,Movements!$G$614:$M$614,0))))
*N837*N$8,0)</f>
        <v>0</v>
      </c>
      <c r="O93" s="198">
        <f>_xlfn.IFNA(IF(O$7="Fixed",1,IF(AND($D93="yes",O$7="Block"),INDEX($O633:$Q633,1,MATCH(O$5,$I27:$K27,0)),INDEX(Movements!$G633:$M633,1,MATCH(O$7,Movements!$G$614:$M$614,0))))
*O837*O$8,0)</f>
        <v>0</v>
      </c>
      <c r="P93" s="198">
        <f>_xlfn.IFNA(IF(P$7="Fixed",1,IF(AND($D93="yes",P$7="Block"),INDEX($O633:$Q633,1,MATCH(P$5,$I27:$K27,0)),INDEX(Movements!$G633:$M633,1,MATCH(P$7,Movements!$G$614:$M$614,0))))
*P837*P$8,0)</f>
        <v>0</v>
      </c>
      <c r="Q93" s="198">
        <f>_xlfn.IFNA(IF(Q$7="Fixed",1,IF(AND($D93="yes",Q$7="Block"),INDEX($O633:$Q633,1,MATCH(Q$5,$I27:$K27,0)),INDEX(Movements!$G633:$M633,1,MATCH(Q$7,Movements!$G$614:$M$614,0))))
*Q837*Q$8,0)</f>
        <v>0</v>
      </c>
      <c r="R93" s="198">
        <f>_xlfn.IFNA(IF(R$7="Fixed",1,IF(AND($D93="yes",R$7="Block"),INDEX($O633:$Q633,1,MATCH(R$5,$I27:$K27,0)),INDEX(Movements!$G633:$M633,1,MATCH(R$7,Movements!$G$614:$M$614,0))))
*R837*R$8,0)</f>
        <v>0</v>
      </c>
      <c r="S93" s="198">
        <f>_xlfn.IFNA(IF(S$7="Fixed",1,IF(AND($D93="yes",S$7="Block"),INDEX($O633:$Q633,1,MATCH(S$5,$I27:$K27,0)),INDEX(Movements!$G633:$M633,1,MATCH(S$7,Movements!$G$614:$M$614,0))))
*S837*S$8,0)</f>
        <v>0</v>
      </c>
      <c r="T93" s="198">
        <f>_xlfn.IFNA(IF(T$7="Fixed",1,IF(AND($D93="yes",T$7="Block"),INDEX($O633:$Q633,1,MATCH(T$5,$I27:$K27,0)),INDEX(Movements!$G633:$M633,1,MATCH(T$7,Movements!$G$614:$M$614,0))))
*T837*T$8,0)</f>
        <v>0</v>
      </c>
      <c r="U93" s="198">
        <f>_xlfn.IFNA(IF(U$7="Fixed",1,IF(AND($D93="yes",U$7="Block"),INDEX($O633:$Q633,1,MATCH(U$5,$I27:$K27,0)),INDEX(Movements!$G633:$M633,1,MATCH(U$7,Movements!$G$614:$M$614,0))))
*U837*U$8,0)</f>
        <v>0</v>
      </c>
      <c r="V93" s="198">
        <f>_xlfn.IFNA(IF(V$7="Fixed",1,IF(AND($D93="yes",V$7="Block"),INDEX($O633:$Q633,1,MATCH(V$5,$I27:$K27,0)),INDEX(Movements!$G633:$M633,1,MATCH(V$7,Movements!$G$614:$M$614,0))))
*V837*V$8,0)</f>
        <v>0</v>
      </c>
      <c r="W93" s="198">
        <f>_xlfn.IFNA(IF(W$7="Fixed",1,IF(AND($D93="yes",W$7="Block"),INDEX($O633:$Q633,1,MATCH(W$5,$I27:$K27,0)),INDEX(Movements!$G633:$M633,1,MATCH(W$7,Movements!$G$614:$M$614,0))))
*W837*W$8,0)</f>
        <v>0</v>
      </c>
      <c r="X93" s="198">
        <f>_xlfn.IFNA(IF(X$7="Fixed",1,IF(AND($D93="yes",X$7="Block"),INDEX($O633:$Q633,1,MATCH(X$5,$I27:$K27,0)),INDEX(Movements!$G633:$M633,1,MATCH(X$7,Movements!$G$614:$M$614,0))))
*X837*X$8,0)</f>
        <v>0</v>
      </c>
      <c r="Y93" s="198">
        <f>_xlfn.IFNA(IF(Y$7="Fixed",1,IF(AND($D93="yes",Y$7="Block"),INDEX($O633:$Q633,1,MATCH(Y$5,$I27:$K27,0)),INDEX(Movements!$G633:$M633,1,MATCH(Y$7,Movements!$G$614:$M$614,0))))
*Y837*Y$8,0)</f>
        <v>0</v>
      </c>
      <c r="Z93" s="198">
        <f>_xlfn.IFNA(IF(Z$7="Fixed",1,IF(AND($D93="yes",Z$7="Block"),INDEX($O633:$Q633,1,MATCH(Z$5,$I27:$K27,0)),INDEX(Movements!$G633:$M633,1,MATCH(Z$7,Movements!$G$614:$M$614,0))))
*Z837*Z$8,0)</f>
        <v>0</v>
      </c>
      <c r="AA93" s="198">
        <f>_xlfn.IFNA(IF(AA$7="Fixed",1,IF(AND($D93="yes",AA$7="Block"),INDEX($O633:$Q633,1,MATCH(AA$5,$I27:$K27,0)),INDEX(Movements!$G633:$M633,1,MATCH(AA$7,Movements!$G$614:$M$614,0))))
*AA837*AA$8,0)</f>
        <v>0</v>
      </c>
      <c r="AB93" s="198">
        <f>_xlfn.IFNA(IF(AB$7="Fixed",1,IF(AND($D93="yes",AB$7="Block"),INDEX($O633:$Q633,1,MATCH(AB$5,$I27:$K27,0)),INDEX(Movements!$G633:$M633,1,MATCH(AB$7,Movements!$G$614:$M$614,0))))
*AB837*AB$8,0)</f>
        <v>0</v>
      </c>
      <c r="AC93" s="70"/>
      <c r="AD93" s="19"/>
      <c r="AE93" s="19"/>
      <c r="AF93" s="19"/>
      <c r="AG93" s="19"/>
    </row>
    <row r="94" spans="1:33" hidden="1" outlineLevel="3" x14ac:dyDescent="0.2">
      <c r="A94" s="19"/>
      <c r="B94" s="97">
        <v>18</v>
      </c>
      <c r="C94" s="506">
        <f t="shared" si="3"/>
        <v>0</v>
      </c>
      <c r="D94" s="505">
        <f t="shared" si="3"/>
        <v>0</v>
      </c>
      <c r="E94" s="505">
        <f t="shared" si="3"/>
        <v>0</v>
      </c>
      <c r="F94" s="58"/>
      <c r="G94" s="199">
        <f t="shared" si="4"/>
        <v>0</v>
      </c>
      <c r="H94" s="58"/>
      <c r="I94" s="198">
        <f>_xlfn.IFNA(IF(I$7="Fixed",1,IF(AND($D94="yes",I$7="Block"),INDEX($O634:$Q634,1,MATCH(I$5,$I28:$K28,0)),INDEX(Movements!$G634:$M634,1,MATCH(I$7,Movements!$G$614:$M$614,0))))
*I838*I$8,0)</f>
        <v>0</v>
      </c>
      <c r="J94" s="198">
        <f>_xlfn.IFNA(IF(J$7="Fixed",1,IF(AND($D94="yes",J$7="Block"),INDEX($O634:$Q634,1,MATCH(J$5,$I28:$K28,0)),INDEX(Movements!$G634:$M634,1,MATCH(J$7,Movements!$G$614:$M$614,0))))
*J838*J$8,0)</f>
        <v>0</v>
      </c>
      <c r="K94" s="198">
        <f>_xlfn.IFNA(IF(K$7="Fixed",1,IF(AND($D94="yes",K$7="Block"),INDEX($O634:$Q634,1,MATCH(K$5,$I28:$K28,0)),INDEX(Movements!$G634:$M634,1,MATCH(K$7,Movements!$G$614:$M$614,0))))
*K838*K$8,0)</f>
        <v>0</v>
      </c>
      <c r="L94" s="198">
        <f>_xlfn.IFNA(IF(L$7="Fixed",1,IF(AND($D94="yes",L$7="Block"),INDEX($O634:$Q634,1,MATCH(L$5,$I28:$K28,0)),INDEX(Movements!$G634:$M634,1,MATCH(L$7,Movements!$G$614:$M$614,0))))
*L838*L$8,0)</f>
        <v>0</v>
      </c>
      <c r="M94" s="198">
        <f>_xlfn.IFNA(IF(M$7="Fixed",1,IF(AND($D94="yes",M$7="Block"),INDEX($O634:$Q634,1,MATCH(M$5,$I28:$K28,0)),INDEX(Movements!$G634:$M634,1,MATCH(M$7,Movements!$G$614:$M$614,0))))
*M838*M$8,0)</f>
        <v>0</v>
      </c>
      <c r="N94" s="198">
        <f>_xlfn.IFNA(IF(N$7="Fixed",1,IF(AND($D94="yes",N$7="Block"),INDEX($O634:$Q634,1,MATCH(N$5,$I28:$K28,0)),INDEX(Movements!$G634:$M634,1,MATCH(N$7,Movements!$G$614:$M$614,0))))
*N838*N$8,0)</f>
        <v>0</v>
      </c>
      <c r="O94" s="198">
        <f>_xlfn.IFNA(IF(O$7="Fixed",1,IF(AND($D94="yes",O$7="Block"),INDEX($O634:$Q634,1,MATCH(O$5,$I28:$K28,0)),INDEX(Movements!$G634:$M634,1,MATCH(O$7,Movements!$G$614:$M$614,0))))
*O838*O$8,0)</f>
        <v>0</v>
      </c>
      <c r="P94" s="198">
        <f>_xlfn.IFNA(IF(P$7="Fixed",1,IF(AND($D94="yes",P$7="Block"),INDEX($O634:$Q634,1,MATCH(P$5,$I28:$K28,0)),INDEX(Movements!$G634:$M634,1,MATCH(P$7,Movements!$G$614:$M$614,0))))
*P838*P$8,0)</f>
        <v>0</v>
      </c>
      <c r="Q94" s="198">
        <f>_xlfn.IFNA(IF(Q$7="Fixed",1,IF(AND($D94="yes",Q$7="Block"),INDEX($O634:$Q634,1,MATCH(Q$5,$I28:$K28,0)),INDEX(Movements!$G634:$M634,1,MATCH(Q$7,Movements!$G$614:$M$614,0))))
*Q838*Q$8,0)</f>
        <v>0</v>
      </c>
      <c r="R94" s="198">
        <f>_xlfn.IFNA(IF(R$7="Fixed",1,IF(AND($D94="yes",R$7="Block"),INDEX($O634:$Q634,1,MATCH(R$5,$I28:$K28,0)),INDEX(Movements!$G634:$M634,1,MATCH(R$7,Movements!$G$614:$M$614,0))))
*R838*R$8,0)</f>
        <v>0</v>
      </c>
      <c r="S94" s="198">
        <f>_xlfn.IFNA(IF(S$7="Fixed",1,IF(AND($D94="yes",S$7="Block"),INDEX($O634:$Q634,1,MATCH(S$5,$I28:$K28,0)),INDEX(Movements!$G634:$M634,1,MATCH(S$7,Movements!$G$614:$M$614,0))))
*S838*S$8,0)</f>
        <v>0</v>
      </c>
      <c r="T94" s="198">
        <f>_xlfn.IFNA(IF(T$7="Fixed",1,IF(AND($D94="yes",T$7="Block"),INDEX($O634:$Q634,1,MATCH(T$5,$I28:$K28,0)),INDEX(Movements!$G634:$M634,1,MATCH(T$7,Movements!$G$614:$M$614,0))))
*T838*T$8,0)</f>
        <v>0</v>
      </c>
      <c r="U94" s="198">
        <f>_xlfn.IFNA(IF(U$7="Fixed",1,IF(AND($D94="yes",U$7="Block"),INDEX($O634:$Q634,1,MATCH(U$5,$I28:$K28,0)),INDEX(Movements!$G634:$M634,1,MATCH(U$7,Movements!$G$614:$M$614,0))))
*U838*U$8,0)</f>
        <v>0</v>
      </c>
      <c r="V94" s="198">
        <f>_xlfn.IFNA(IF(V$7="Fixed",1,IF(AND($D94="yes",V$7="Block"),INDEX($O634:$Q634,1,MATCH(V$5,$I28:$K28,0)),INDEX(Movements!$G634:$M634,1,MATCH(V$7,Movements!$G$614:$M$614,0))))
*V838*V$8,0)</f>
        <v>0</v>
      </c>
      <c r="W94" s="198">
        <f>_xlfn.IFNA(IF(W$7="Fixed",1,IF(AND($D94="yes",W$7="Block"),INDEX($O634:$Q634,1,MATCH(W$5,$I28:$K28,0)),INDEX(Movements!$G634:$M634,1,MATCH(W$7,Movements!$G$614:$M$614,0))))
*W838*W$8,0)</f>
        <v>0</v>
      </c>
      <c r="X94" s="198">
        <f>_xlfn.IFNA(IF(X$7="Fixed",1,IF(AND($D94="yes",X$7="Block"),INDEX($O634:$Q634,1,MATCH(X$5,$I28:$K28,0)),INDEX(Movements!$G634:$M634,1,MATCH(X$7,Movements!$G$614:$M$614,0))))
*X838*X$8,0)</f>
        <v>0</v>
      </c>
      <c r="Y94" s="198">
        <f>_xlfn.IFNA(IF(Y$7="Fixed",1,IF(AND($D94="yes",Y$7="Block"),INDEX($O634:$Q634,1,MATCH(Y$5,$I28:$K28,0)),INDEX(Movements!$G634:$M634,1,MATCH(Y$7,Movements!$G$614:$M$614,0))))
*Y838*Y$8,0)</f>
        <v>0</v>
      </c>
      <c r="Z94" s="198">
        <f>_xlfn.IFNA(IF(Z$7="Fixed",1,IF(AND($D94="yes",Z$7="Block"),INDEX($O634:$Q634,1,MATCH(Z$5,$I28:$K28,0)),INDEX(Movements!$G634:$M634,1,MATCH(Z$7,Movements!$G$614:$M$614,0))))
*Z838*Z$8,0)</f>
        <v>0</v>
      </c>
      <c r="AA94" s="198">
        <f>_xlfn.IFNA(IF(AA$7="Fixed",1,IF(AND($D94="yes",AA$7="Block"),INDEX($O634:$Q634,1,MATCH(AA$5,$I28:$K28,0)),INDEX(Movements!$G634:$M634,1,MATCH(AA$7,Movements!$G$614:$M$614,0))))
*AA838*AA$8,0)</f>
        <v>0</v>
      </c>
      <c r="AB94" s="198">
        <f>_xlfn.IFNA(IF(AB$7="Fixed",1,IF(AND($D94="yes",AB$7="Block"),INDEX($O634:$Q634,1,MATCH(AB$5,$I28:$K28,0)),INDEX(Movements!$G634:$M634,1,MATCH(AB$7,Movements!$G$614:$M$614,0))))
*AB838*AB$8,0)</f>
        <v>0</v>
      </c>
      <c r="AC94" s="70"/>
      <c r="AD94" s="19"/>
      <c r="AE94" s="19"/>
      <c r="AF94" s="19"/>
      <c r="AG94" s="19"/>
    </row>
    <row r="95" spans="1:33" hidden="1" outlineLevel="3" x14ac:dyDescent="0.2">
      <c r="A95" s="19"/>
      <c r="B95" s="97">
        <v>19</v>
      </c>
      <c r="C95" s="506">
        <f t="shared" si="3"/>
        <v>0</v>
      </c>
      <c r="D95" s="505">
        <f t="shared" si="3"/>
        <v>0</v>
      </c>
      <c r="E95" s="505">
        <f t="shared" si="3"/>
        <v>0</v>
      </c>
      <c r="F95" s="58"/>
      <c r="G95" s="199">
        <f t="shared" si="4"/>
        <v>0</v>
      </c>
      <c r="H95" s="58"/>
      <c r="I95" s="198">
        <f>_xlfn.IFNA(IF(I$7="Fixed",1,IF(AND($D95="yes",I$7="Block"),INDEX($O635:$Q635,1,MATCH(I$5,$I29:$K29,0)),INDEX(Movements!$G635:$M635,1,MATCH(I$7,Movements!$G$614:$M$614,0))))
*I839*I$8,0)</f>
        <v>0</v>
      </c>
      <c r="J95" s="198">
        <f>_xlfn.IFNA(IF(J$7="Fixed",1,IF(AND($D95="yes",J$7="Block"),INDEX($O635:$Q635,1,MATCH(J$5,$I29:$K29,0)),INDEX(Movements!$G635:$M635,1,MATCH(J$7,Movements!$G$614:$M$614,0))))
*J839*J$8,0)</f>
        <v>0</v>
      </c>
      <c r="K95" s="198">
        <f>_xlfn.IFNA(IF(K$7="Fixed",1,IF(AND($D95="yes",K$7="Block"),INDEX($O635:$Q635,1,MATCH(K$5,$I29:$K29,0)),INDEX(Movements!$G635:$M635,1,MATCH(K$7,Movements!$G$614:$M$614,0))))
*K839*K$8,0)</f>
        <v>0</v>
      </c>
      <c r="L95" s="198">
        <f>_xlfn.IFNA(IF(L$7="Fixed",1,IF(AND($D95="yes",L$7="Block"),INDEX($O635:$Q635,1,MATCH(L$5,$I29:$K29,0)),INDEX(Movements!$G635:$M635,1,MATCH(L$7,Movements!$G$614:$M$614,0))))
*L839*L$8,0)</f>
        <v>0</v>
      </c>
      <c r="M95" s="198">
        <f>_xlfn.IFNA(IF(M$7="Fixed",1,IF(AND($D95="yes",M$7="Block"),INDEX($O635:$Q635,1,MATCH(M$5,$I29:$K29,0)),INDEX(Movements!$G635:$M635,1,MATCH(M$7,Movements!$G$614:$M$614,0))))
*M839*M$8,0)</f>
        <v>0</v>
      </c>
      <c r="N95" s="198">
        <f>_xlfn.IFNA(IF(N$7="Fixed",1,IF(AND($D95="yes",N$7="Block"),INDEX($O635:$Q635,1,MATCH(N$5,$I29:$K29,0)),INDEX(Movements!$G635:$M635,1,MATCH(N$7,Movements!$G$614:$M$614,0))))
*N839*N$8,0)</f>
        <v>0</v>
      </c>
      <c r="O95" s="198">
        <f>_xlfn.IFNA(IF(O$7="Fixed",1,IF(AND($D95="yes",O$7="Block"),INDEX($O635:$Q635,1,MATCH(O$5,$I29:$K29,0)),INDEX(Movements!$G635:$M635,1,MATCH(O$7,Movements!$G$614:$M$614,0))))
*O839*O$8,0)</f>
        <v>0</v>
      </c>
      <c r="P95" s="198">
        <f>_xlfn.IFNA(IF(P$7="Fixed",1,IF(AND($D95="yes",P$7="Block"),INDEX($O635:$Q635,1,MATCH(P$5,$I29:$K29,0)),INDEX(Movements!$G635:$M635,1,MATCH(P$7,Movements!$G$614:$M$614,0))))
*P839*P$8,0)</f>
        <v>0</v>
      </c>
      <c r="Q95" s="198">
        <f>_xlfn.IFNA(IF(Q$7="Fixed",1,IF(AND($D95="yes",Q$7="Block"),INDEX($O635:$Q635,1,MATCH(Q$5,$I29:$K29,0)),INDEX(Movements!$G635:$M635,1,MATCH(Q$7,Movements!$G$614:$M$614,0))))
*Q839*Q$8,0)</f>
        <v>0</v>
      </c>
      <c r="R95" s="198">
        <f>_xlfn.IFNA(IF(R$7="Fixed",1,IF(AND($D95="yes",R$7="Block"),INDEX($O635:$Q635,1,MATCH(R$5,$I29:$K29,0)),INDEX(Movements!$G635:$M635,1,MATCH(R$7,Movements!$G$614:$M$614,0))))
*R839*R$8,0)</f>
        <v>0</v>
      </c>
      <c r="S95" s="198">
        <f>_xlfn.IFNA(IF(S$7="Fixed",1,IF(AND($D95="yes",S$7="Block"),INDEX($O635:$Q635,1,MATCH(S$5,$I29:$K29,0)),INDEX(Movements!$G635:$M635,1,MATCH(S$7,Movements!$G$614:$M$614,0))))
*S839*S$8,0)</f>
        <v>0</v>
      </c>
      <c r="T95" s="198">
        <f>_xlfn.IFNA(IF(T$7="Fixed",1,IF(AND($D95="yes",T$7="Block"),INDEX($O635:$Q635,1,MATCH(T$5,$I29:$K29,0)),INDEX(Movements!$G635:$M635,1,MATCH(T$7,Movements!$G$614:$M$614,0))))
*T839*T$8,0)</f>
        <v>0</v>
      </c>
      <c r="U95" s="198">
        <f>_xlfn.IFNA(IF(U$7="Fixed",1,IF(AND($D95="yes",U$7="Block"),INDEX($O635:$Q635,1,MATCH(U$5,$I29:$K29,0)),INDEX(Movements!$G635:$M635,1,MATCH(U$7,Movements!$G$614:$M$614,0))))
*U839*U$8,0)</f>
        <v>0</v>
      </c>
      <c r="V95" s="198">
        <f>_xlfn.IFNA(IF(V$7="Fixed",1,IF(AND($D95="yes",V$7="Block"),INDEX($O635:$Q635,1,MATCH(V$5,$I29:$K29,0)),INDEX(Movements!$G635:$M635,1,MATCH(V$7,Movements!$G$614:$M$614,0))))
*V839*V$8,0)</f>
        <v>0</v>
      </c>
      <c r="W95" s="198">
        <f>_xlfn.IFNA(IF(W$7="Fixed",1,IF(AND($D95="yes",W$7="Block"),INDEX($O635:$Q635,1,MATCH(W$5,$I29:$K29,0)),INDEX(Movements!$G635:$M635,1,MATCH(W$7,Movements!$G$614:$M$614,0))))
*W839*W$8,0)</f>
        <v>0</v>
      </c>
      <c r="X95" s="198">
        <f>_xlfn.IFNA(IF(X$7="Fixed",1,IF(AND($D95="yes",X$7="Block"),INDEX($O635:$Q635,1,MATCH(X$5,$I29:$K29,0)),INDEX(Movements!$G635:$M635,1,MATCH(X$7,Movements!$G$614:$M$614,0))))
*X839*X$8,0)</f>
        <v>0</v>
      </c>
      <c r="Y95" s="198">
        <f>_xlfn.IFNA(IF(Y$7="Fixed",1,IF(AND($D95="yes",Y$7="Block"),INDEX($O635:$Q635,1,MATCH(Y$5,$I29:$K29,0)),INDEX(Movements!$G635:$M635,1,MATCH(Y$7,Movements!$G$614:$M$614,0))))
*Y839*Y$8,0)</f>
        <v>0</v>
      </c>
      <c r="Z95" s="198">
        <f>_xlfn.IFNA(IF(Z$7="Fixed",1,IF(AND($D95="yes",Z$7="Block"),INDEX($O635:$Q635,1,MATCH(Z$5,$I29:$K29,0)),INDEX(Movements!$G635:$M635,1,MATCH(Z$7,Movements!$G$614:$M$614,0))))
*Z839*Z$8,0)</f>
        <v>0</v>
      </c>
      <c r="AA95" s="198">
        <f>_xlfn.IFNA(IF(AA$7="Fixed",1,IF(AND($D95="yes",AA$7="Block"),INDEX($O635:$Q635,1,MATCH(AA$5,$I29:$K29,0)),INDEX(Movements!$G635:$M635,1,MATCH(AA$7,Movements!$G$614:$M$614,0))))
*AA839*AA$8,0)</f>
        <v>0</v>
      </c>
      <c r="AB95" s="198">
        <f>_xlfn.IFNA(IF(AB$7="Fixed",1,IF(AND($D95="yes",AB$7="Block"),INDEX($O635:$Q635,1,MATCH(AB$5,$I29:$K29,0)),INDEX(Movements!$G635:$M635,1,MATCH(AB$7,Movements!$G$614:$M$614,0))))
*AB839*AB$8,0)</f>
        <v>0</v>
      </c>
      <c r="AC95" s="70"/>
      <c r="AD95" s="19"/>
      <c r="AE95" s="19"/>
      <c r="AF95" s="19"/>
      <c r="AG95" s="19"/>
    </row>
    <row r="96" spans="1:33" hidden="1" outlineLevel="3" x14ac:dyDescent="0.2">
      <c r="A96" s="19"/>
      <c r="B96" s="97">
        <v>20</v>
      </c>
      <c r="C96" s="506">
        <f t="shared" si="3"/>
        <v>0</v>
      </c>
      <c r="D96" s="505">
        <f t="shared" si="3"/>
        <v>0</v>
      </c>
      <c r="E96" s="505">
        <f t="shared" si="3"/>
        <v>0</v>
      </c>
      <c r="F96" s="58"/>
      <c r="G96" s="199">
        <f t="shared" si="4"/>
        <v>0</v>
      </c>
      <c r="H96" s="58"/>
      <c r="I96" s="198">
        <f>_xlfn.IFNA(IF(I$7="Fixed",1,IF(AND($D96="yes",I$7="Block"),INDEX($O636:$Q636,1,MATCH(I$5,$I30:$K30,0)),INDEX(Movements!$G636:$M636,1,MATCH(I$7,Movements!$G$614:$M$614,0))))
*I840*I$8,0)</f>
        <v>0</v>
      </c>
      <c r="J96" s="198">
        <f>_xlfn.IFNA(IF(J$7="Fixed",1,IF(AND($D96="yes",J$7="Block"),INDEX($O636:$Q636,1,MATCH(J$5,$I30:$K30,0)),INDEX(Movements!$G636:$M636,1,MATCH(J$7,Movements!$G$614:$M$614,0))))
*J840*J$8,0)</f>
        <v>0</v>
      </c>
      <c r="K96" s="198">
        <f>_xlfn.IFNA(IF(K$7="Fixed",1,IF(AND($D96="yes",K$7="Block"),INDEX($O636:$Q636,1,MATCH(K$5,$I30:$K30,0)),INDEX(Movements!$G636:$M636,1,MATCH(K$7,Movements!$G$614:$M$614,0))))
*K840*K$8,0)</f>
        <v>0</v>
      </c>
      <c r="L96" s="198">
        <f>_xlfn.IFNA(IF(L$7="Fixed",1,IF(AND($D96="yes",L$7="Block"),INDEX($O636:$Q636,1,MATCH(L$5,$I30:$K30,0)),INDEX(Movements!$G636:$M636,1,MATCH(L$7,Movements!$G$614:$M$614,0))))
*L840*L$8,0)</f>
        <v>0</v>
      </c>
      <c r="M96" s="198">
        <f>_xlfn.IFNA(IF(M$7="Fixed",1,IF(AND($D96="yes",M$7="Block"),INDEX($O636:$Q636,1,MATCH(M$5,$I30:$K30,0)),INDEX(Movements!$G636:$M636,1,MATCH(M$7,Movements!$G$614:$M$614,0))))
*M840*M$8,0)</f>
        <v>0</v>
      </c>
      <c r="N96" s="198">
        <f>_xlfn.IFNA(IF(N$7="Fixed",1,IF(AND($D96="yes",N$7="Block"),INDEX($O636:$Q636,1,MATCH(N$5,$I30:$K30,0)),INDEX(Movements!$G636:$M636,1,MATCH(N$7,Movements!$G$614:$M$614,0))))
*N840*N$8,0)</f>
        <v>0</v>
      </c>
      <c r="O96" s="198">
        <f>_xlfn.IFNA(IF(O$7="Fixed",1,IF(AND($D96="yes",O$7="Block"),INDEX($O636:$Q636,1,MATCH(O$5,$I30:$K30,0)),INDEX(Movements!$G636:$M636,1,MATCH(O$7,Movements!$G$614:$M$614,0))))
*O840*O$8,0)</f>
        <v>0</v>
      </c>
      <c r="P96" s="198">
        <f>_xlfn.IFNA(IF(P$7="Fixed",1,IF(AND($D96="yes",P$7="Block"),INDEX($O636:$Q636,1,MATCH(P$5,$I30:$K30,0)),INDEX(Movements!$G636:$M636,1,MATCH(P$7,Movements!$G$614:$M$614,0))))
*P840*P$8,0)</f>
        <v>0</v>
      </c>
      <c r="Q96" s="198">
        <f>_xlfn.IFNA(IF(Q$7="Fixed",1,IF(AND($D96="yes",Q$7="Block"),INDEX($O636:$Q636,1,MATCH(Q$5,$I30:$K30,0)),INDEX(Movements!$G636:$M636,1,MATCH(Q$7,Movements!$G$614:$M$614,0))))
*Q840*Q$8,0)</f>
        <v>0</v>
      </c>
      <c r="R96" s="198">
        <f>_xlfn.IFNA(IF(R$7="Fixed",1,IF(AND($D96="yes",R$7="Block"),INDEX($O636:$Q636,1,MATCH(R$5,$I30:$K30,0)),INDEX(Movements!$G636:$M636,1,MATCH(R$7,Movements!$G$614:$M$614,0))))
*R840*R$8,0)</f>
        <v>0</v>
      </c>
      <c r="S96" s="198">
        <f>_xlfn.IFNA(IF(S$7="Fixed",1,IF(AND($D96="yes",S$7="Block"),INDEX($O636:$Q636,1,MATCH(S$5,$I30:$K30,0)),INDEX(Movements!$G636:$M636,1,MATCH(S$7,Movements!$G$614:$M$614,0))))
*S840*S$8,0)</f>
        <v>0</v>
      </c>
      <c r="T96" s="198">
        <f>_xlfn.IFNA(IF(T$7="Fixed",1,IF(AND($D96="yes",T$7="Block"),INDEX($O636:$Q636,1,MATCH(T$5,$I30:$K30,0)),INDEX(Movements!$G636:$M636,1,MATCH(T$7,Movements!$G$614:$M$614,0))))
*T840*T$8,0)</f>
        <v>0</v>
      </c>
      <c r="U96" s="198">
        <f>_xlfn.IFNA(IF(U$7="Fixed",1,IF(AND($D96="yes",U$7="Block"),INDEX($O636:$Q636,1,MATCH(U$5,$I30:$K30,0)),INDEX(Movements!$G636:$M636,1,MATCH(U$7,Movements!$G$614:$M$614,0))))
*U840*U$8,0)</f>
        <v>0</v>
      </c>
      <c r="V96" s="198">
        <f>_xlfn.IFNA(IF(V$7="Fixed",1,IF(AND($D96="yes",V$7="Block"),INDEX($O636:$Q636,1,MATCH(V$5,$I30:$K30,0)),INDEX(Movements!$G636:$M636,1,MATCH(V$7,Movements!$G$614:$M$614,0))))
*V840*V$8,0)</f>
        <v>0</v>
      </c>
      <c r="W96" s="198">
        <f>_xlfn.IFNA(IF(W$7="Fixed",1,IF(AND($D96="yes",W$7="Block"),INDEX($O636:$Q636,1,MATCH(W$5,$I30:$K30,0)),INDEX(Movements!$G636:$M636,1,MATCH(W$7,Movements!$G$614:$M$614,0))))
*W840*W$8,0)</f>
        <v>0</v>
      </c>
      <c r="X96" s="198">
        <f>_xlfn.IFNA(IF(X$7="Fixed",1,IF(AND($D96="yes",X$7="Block"),INDEX($O636:$Q636,1,MATCH(X$5,$I30:$K30,0)),INDEX(Movements!$G636:$M636,1,MATCH(X$7,Movements!$G$614:$M$614,0))))
*X840*X$8,0)</f>
        <v>0</v>
      </c>
      <c r="Y96" s="198">
        <f>_xlfn.IFNA(IF(Y$7="Fixed",1,IF(AND($D96="yes",Y$7="Block"),INDEX($O636:$Q636,1,MATCH(Y$5,$I30:$K30,0)),INDEX(Movements!$G636:$M636,1,MATCH(Y$7,Movements!$G$614:$M$614,0))))
*Y840*Y$8,0)</f>
        <v>0</v>
      </c>
      <c r="Z96" s="198">
        <f>_xlfn.IFNA(IF(Z$7="Fixed",1,IF(AND($D96="yes",Z$7="Block"),INDEX($O636:$Q636,1,MATCH(Z$5,$I30:$K30,0)),INDEX(Movements!$G636:$M636,1,MATCH(Z$7,Movements!$G$614:$M$614,0))))
*Z840*Z$8,0)</f>
        <v>0</v>
      </c>
      <c r="AA96" s="198">
        <f>_xlfn.IFNA(IF(AA$7="Fixed",1,IF(AND($D96="yes",AA$7="Block"),INDEX($O636:$Q636,1,MATCH(AA$5,$I30:$K30,0)),INDEX(Movements!$G636:$M636,1,MATCH(AA$7,Movements!$G$614:$M$614,0))))
*AA840*AA$8,0)</f>
        <v>0</v>
      </c>
      <c r="AB96" s="198">
        <f>_xlfn.IFNA(IF(AB$7="Fixed",1,IF(AND($D96="yes",AB$7="Block"),INDEX($O636:$Q636,1,MATCH(AB$5,$I30:$K30,0)),INDEX(Movements!$G636:$M636,1,MATCH(AB$7,Movements!$G$614:$M$614,0))))
*AB840*AB$8,0)</f>
        <v>0</v>
      </c>
      <c r="AC96" s="70"/>
      <c r="AD96" s="19"/>
      <c r="AE96" s="19"/>
      <c r="AF96" s="19"/>
      <c r="AG96" s="19"/>
    </row>
    <row r="97" spans="1:33" hidden="1" outlineLevel="3" x14ac:dyDescent="0.2">
      <c r="A97" s="19"/>
      <c r="B97" s="97">
        <v>21</v>
      </c>
      <c r="C97" s="506">
        <f t="shared" si="3"/>
        <v>0</v>
      </c>
      <c r="D97" s="505">
        <f t="shared" si="3"/>
        <v>0</v>
      </c>
      <c r="E97" s="505">
        <f t="shared" si="3"/>
        <v>0</v>
      </c>
      <c r="F97" s="58"/>
      <c r="G97" s="199">
        <f t="shared" si="4"/>
        <v>0</v>
      </c>
      <c r="H97" s="58"/>
      <c r="I97" s="198">
        <f>_xlfn.IFNA(IF(I$7="Fixed",1,IF(AND($D97="yes",I$7="Block"),INDEX($O637:$Q637,1,MATCH(I$5,$I31:$K31,0)),INDEX(Movements!$G637:$M637,1,MATCH(I$7,Movements!$G$614:$M$614,0))))
*I841*I$8,0)</f>
        <v>0</v>
      </c>
      <c r="J97" s="198">
        <f>_xlfn.IFNA(IF(J$7="Fixed",1,IF(AND($D97="yes",J$7="Block"),INDEX($O637:$Q637,1,MATCH(J$5,$I31:$K31,0)),INDEX(Movements!$G637:$M637,1,MATCH(J$7,Movements!$G$614:$M$614,0))))
*J841*J$8,0)</f>
        <v>0</v>
      </c>
      <c r="K97" s="198">
        <f>_xlfn.IFNA(IF(K$7="Fixed",1,IF(AND($D97="yes",K$7="Block"),INDEX($O637:$Q637,1,MATCH(K$5,$I31:$K31,0)),INDEX(Movements!$G637:$M637,1,MATCH(K$7,Movements!$G$614:$M$614,0))))
*K841*K$8,0)</f>
        <v>0</v>
      </c>
      <c r="L97" s="198">
        <f>_xlfn.IFNA(IF(L$7="Fixed",1,IF(AND($D97="yes",L$7="Block"),INDEX($O637:$Q637,1,MATCH(L$5,$I31:$K31,0)),INDEX(Movements!$G637:$M637,1,MATCH(L$7,Movements!$G$614:$M$614,0))))
*L841*L$8,0)</f>
        <v>0</v>
      </c>
      <c r="M97" s="198">
        <f>_xlfn.IFNA(IF(M$7="Fixed",1,IF(AND($D97="yes",M$7="Block"),INDEX($O637:$Q637,1,MATCH(M$5,$I31:$K31,0)),INDEX(Movements!$G637:$M637,1,MATCH(M$7,Movements!$G$614:$M$614,0))))
*M841*M$8,0)</f>
        <v>0</v>
      </c>
      <c r="N97" s="198">
        <f>_xlfn.IFNA(IF(N$7="Fixed",1,IF(AND($D97="yes",N$7="Block"),INDEX($O637:$Q637,1,MATCH(N$5,$I31:$K31,0)),INDEX(Movements!$G637:$M637,1,MATCH(N$7,Movements!$G$614:$M$614,0))))
*N841*N$8,0)</f>
        <v>0</v>
      </c>
      <c r="O97" s="198">
        <f>_xlfn.IFNA(IF(O$7="Fixed",1,IF(AND($D97="yes",O$7="Block"),INDEX($O637:$Q637,1,MATCH(O$5,$I31:$K31,0)),INDEX(Movements!$G637:$M637,1,MATCH(O$7,Movements!$G$614:$M$614,0))))
*O841*O$8,0)</f>
        <v>0</v>
      </c>
      <c r="P97" s="198">
        <f>_xlfn.IFNA(IF(P$7="Fixed",1,IF(AND($D97="yes",P$7="Block"),INDEX($O637:$Q637,1,MATCH(P$5,$I31:$K31,0)),INDEX(Movements!$G637:$M637,1,MATCH(P$7,Movements!$G$614:$M$614,0))))
*P841*P$8,0)</f>
        <v>0</v>
      </c>
      <c r="Q97" s="198">
        <f>_xlfn.IFNA(IF(Q$7="Fixed",1,IF(AND($D97="yes",Q$7="Block"),INDEX($O637:$Q637,1,MATCH(Q$5,$I31:$K31,0)),INDEX(Movements!$G637:$M637,1,MATCH(Q$7,Movements!$G$614:$M$614,0))))
*Q841*Q$8,0)</f>
        <v>0</v>
      </c>
      <c r="R97" s="198">
        <f>_xlfn.IFNA(IF(R$7="Fixed",1,IF(AND($D97="yes",R$7="Block"),INDEX($O637:$Q637,1,MATCH(R$5,$I31:$K31,0)),INDEX(Movements!$G637:$M637,1,MATCH(R$7,Movements!$G$614:$M$614,0))))
*R841*R$8,0)</f>
        <v>0</v>
      </c>
      <c r="S97" s="198">
        <f>_xlfn.IFNA(IF(S$7="Fixed",1,IF(AND($D97="yes",S$7="Block"),INDEX($O637:$Q637,1,MATCH(S$5,$I31:$K31,0)),INDEX(Movements!$G637:$M637,1,MATCH(S$7,Movements!$G$614:$M$614,0))))
*S841*S$8,0)</f>
        <v>0</v>
      </c>
      <c r="T97" s="198">
        <f>_xlfn.IFNA(IF(T$7="Fixed",1,IF(AND($D97="yes",T$7="Block"),INDEX($O637:$Q637,1,MATCH(T$5,$I31:$K31,0)),INDEX(Movements!$G637:$M637,1,MATCH(T$7,Movements!$G$614:$M$614,0))))
*T841*T$8,0)</f>
        <v>0</v>
      </c>
      <c r="U97" s="198">
        <f>_xlfn.IFNA(IF(U$7="Fixed",1,IF(AND($D97="yes",U$7="Block"),INDEX($O637:$Q637,1,MATCH(U$5,$I31:$K31,0)),INDEX(Movements!$G637:$M637,1,MATCH(U$7,Movements!$G$614:$M$614,0))))
*U841*U$8,0)</f>
        <v>0</v>
      </c>
      <c r="V97" s="198">
        <f>_xlfn.IFNA(IF(V$7="Fixed",1,IF(AND($D97="yes",V$7="Block"),INDEX($O637:$Q637,1,MATCH(V$5,$I31:$K31,0)),INDEX(Movements!$G637:$M637,1,MATCH(V$7,Movements!$G$614:$M$614,0))))
*V841*V$8,0)</f>
        <v>0</v>
      </c>
      <c r="W97" s="198">
        <f>_xlfn.IFNA(IF(W$7="Fixed",1,IF(AND($D97="yes",W$7="Block"),INDEX($O637:$Q637,1,MATCH(W$5,$I31:$K31,0)),INDEX(Movements!$G637:$M637,1,MATCH(W$7,Movements!$G$614:$M$614,0))))
*W841*W$8,0)</f>
        <v>0</v>
      </c>
      <c r="X97" s="198">
        <f>_xlfn.IFNA(IF(X$7="Fixed",1,IF(AND($D97="yes",X$7="Block"),INDEX($O637:$Q637,1,MATCH(X$5,$I31:$K31,0)),INDEX(Movements!$G637:$M637,1,MATCH(X$7,Movements!$G$614:$M$614,0))))
*X841*X$8,0)</f>
        <v>0</v>
      </c>
      <c r="Y97" s="198">
        <f>_xlfn.IFNA(IF(Y$7="Fixed",1,IF(AND($D97="yes",Y$7="Block"),INDEX($O637:$Q637,1,MATCH(Y$5,$I31:$K31,0)),INDEX(Movements!$G637:$M637,1,MATCH(Y$7,Movements!$G$614:$M$614,0))))
*Y841*Y$8,0)</f>
        <v>0</v>
      </c>
      <c r="Z97" s="198">
        <f>_xlfn.IFNA(IF(Z$7="Fixed",1,IF(AND($D97="yes",Z$7="Block"),INDEX($O637:$Q637,1,MATCH(Z$5,$I31:$K31,0)),INDEX(Movements!$G637:$M637,1,MATCH(Z$7,Movements!$G$614:$M$614,0))))
*Z841*Z$8,0)</f>
        <v>0</v>
      </c>
      <c r="AA97" s="198">
        <f>_xlfn.IFNA(IF(AA$7="Fixed",1,IF(AND($D97="yes",AA$7="Block"),INDEX($O637:$Q637,1,MATCH(AA$5,$I31:$K31,0)),INDEX(Movements!$G637:$M637,1,MATCH(AA$7,Movements!$G$614:$M$614,0))))
*AA841*AA$8,0)</f>
        <v>0</v>
      </c>
      <c r="AB97" s="198">
        <f>_xlfn.IFNA(IF(AB$7="Fixed",1,IF(AND($D97="yes",AB$7="Block"),INDEX($O637:$Q637,1,MATCH(AB$5,$I31:$K31,0)),INDEX(Movements!$G637:$M637,1,MATCH(AB$7,Movements!$G$614:$M$614,0))))
*AB841*AB$8,0)</f>
        <v>0</v>
      </c>
      <c r="AC97" s="70"/>
      <c r="AD97" s="19"/>
      <c r="AE97" s="19"/>
      <c r="AF97" s="19"/>
      <c r="AG97" s="19"/>
    </row>
    <row r="98" spans="1:33" hidden="1" outlineLevel="3" x14ac:dyDescent="0.2">
      <c r="A98" s="19"/>
      <c r="B98" s="97">
        <v>22</v>
      </c>
      <c r="C98" s="506">
        <f t="shared" si="3"/>
        <v>0</v>
      </c>
      <c r="D98" s="505">
        <f t="shared" si="3"/>
        <v>0</v>
      </c>
      <c r="E98" s="505">
        <f t="shared" si="3"/>
        <v>0</v>
      </c>
      <c r="F98" s="58"/>
      <c r="G98" s="199">
        <f t="shared" si="4"/>
        <v>0</v>
      </c>
      <c r="H98" s="58"/>
      <c r="I98" s="198">
        <f>_xlfn.IFNA(IF(I$7="Fixed",1,IF(AND($D98="yes",I$7="Block"),INDEX($O638:$Q638,1,MATCH(I$5,$I32:$K32,0)),INDEX(Movements!$G638:$M638,1,MATCH(I$7,Movements!$G$614:$M$614,0))))
*I842*I$8,0)</f>
        <v>0</v>
      </c>
      <c r="J98" s="198">
        <f>_xlfn.IFNA(IF(J$7="Fixed",1,IF(AND($D98="yes",J$7="Block"),INDEX($O638:$Q638,1,MATCH(J$5,$I32:$K32,0)),INDEX(Movements!$G638:$M638,1,MATCH(J$7,Movements!$G$614:$M$614,0))))
*J842*J$8,0)</f>
        <v>0</v>
      </c>
      <c r="K98" s="198">
        <f>_xlfn.IFNA(IF(K$7="Fixed",1,IF(AND($D98="yes",K$7="Block"),INDEX($O638:$Q638,1,MATCH(K$5,$I32:$K32,0)),INDEX(Movements!$G638:$M638,1,MATCH(K$7,Movements!$G$614:$M$614,0))))
*K842*K$8,0)</f>
        <v>0</v>
      </c>
      <c r="L98" s="198">
        <f>_xlfn.IFNA(IF(L$7="Fixed",1,IF(AND($D98="yes",L$7="Block"),INDEX($O638:$Q638,1,MATCH(L$5,$I32:$K32,0)),INDEX(Movements!$G638:$M638,1,MATCH(L$7,Movements!$G$614:$M$614,0))))
*L842*L$8,0)</f>
        <v>0</v>
      </c>
      <c r="M98" s="198">
        <f>_xlfn.IFNA(IF(M$7="Fixed",1,IF(AND($D98="yes",M$7="Block"),INDEX($O638:$Q638,1,MATCH(M$5,$I32:$K32,0)),INDEX(Movements!$G638:$M638,1,MATCH(M$7,Movements!$G$614:$M$614,0))))
*M842*M$8,0)</f>
        <v>0</v>
      </c>
      <c r="N98" s="198">
        <f>_xlfn.IFNA(IF(N$7="Fixed",1,IF(AND($D98="yes",N$7="Block"),INDEX($O638:$Q638,1,MATCH(N$5,$I32:$K32,0)),INDEX(Movements!$G638:$M638,1,MATCH(N$7,Movements!$G$614:$M$614,0))))
*N842*N$8,0)</f>
        <v>0</v>
      </c>
      <c r="O98" s="198">
        <f>_xlfn.IFNA(IF(O$7="Fixed",1,IF(AND($D98="yes",O$7="Block"),INDEX($O638:$Q638,1,MATCH(O$5,$I32:$K32,0)),INDEX(Movements!$G638:$M638,1,MATCH(O$7,Movements!$G$614:$M$614,0))))
*O842*O$8,0)</f>
        <v>0</v>
      </c>
      <c r="P98" s="198">
        <f>_xlfn.IFNA(IF(P$7="Fixed",1,IF(AND($D98="yes",P$7="Block"),INDEX($O638:$Q638,1,MATCH(P$5,$I32:$K32,0)),INDEX(Movements!$G638:$M638,1,MATCH(P$7,Movements!$G$614:$M$614,0))))
*P842*P$8,0)</f>
        <v>0</v>
      </c>
      <c r="Q98" s="198">
        <f>_xlfn.IFNA(IF(Q$7="Fixed",1,IF(AND($D98="yes",Q$7="Block"),INDEX($O638:$Q638,1,MATCH(Q$5,$I32:$K32,0)),INDEX(Movements!$G638:$M638,1,MATCH(Q$7,Movements!$G$614:$M$614,0))))
*Q842*Q$8,0)</f>
        <v>0</v>
      </c>
      <c r="R98" s="198">
        <f>_xlfn.IFNA(IF(R$7="Fixed",1,IF(AND($D98="yes",R$7="Block"),INDEX($O638:$Q638,1,MATCH(R$5,$I32:$K32,0)),INDEX(Movements!$G638:$M638,1,MATCH(R$7,Movements!$G$614:$M$614,0))))
*R842*R$8,0)</f>
        <v>0</v>
      </c>
      <c r="S98" s="198">
        <f>_xlfn.IFNA(IF(S$7="Fixed",1,IF(AND($D98="yes",S$7="Block"),INDEX($O638:$Q638,1,MATCH(S$5,$I32:$K32,0)),INDEX(Movements!$G638:$M638,1,MATCH(S$7,Movements!$G$614:$M$614,0))))
*S842*S$8,0)</f>
        <v>0</v>
      </c>
      <c r="T98" s="198">
        <f>_xlfn.IFNA(IF(T$7="Fixed",1,IF(AND($D98="yes",T$7="Block"),INDEX($O638:$Q638,1,MATCH(T$5,$I32:$K32,0)),INDEX(Movements!$G638:$M638,1,MATCH(T$7,Movements!$G$614:$M$614,0))))
*T842*T$8,0)</f>
        <v>0</v>
      </c>
      <c r="U98" s="198">
        <f>_xlfn.IFNA(IF(U$7="Fixed",1,IF(AND($D98="yes",U$7="Block"),INDEX($O638:$Q638,1,MATCH(U$5,$I32:$K32,0)),INDEX(Movements!$G638:$M638,1,MATCH(U$7,Movements!$G$614:$M$614,0))))
*U842*U$8,0)</f>
        <v>0</v>
      </c>
      <c r="V98" s="198">
        <f>_xlfn.IFNA(IF(V$7="Fixed",1,IF(AND($D98="yes",V$7="Block"),INDEX($O638:$Q638,1,MATCH(V$5,$I32:$K32,0)),INDEX(Movements!$G638:$M638,1,MATCH(V$7,Movements!$G$614:$M$614,0))))
*V842*V$8,0)</f>
        <v>0</v>
      </c>
      <c r="W98" s="198">
        <f>_xlfn.IFNA(IF(W$7="Fixed",1,IF(AND($D98="yes",W$7="Block"),INDEX($O638:$Q638,1,MATCH(W$5,$I32:$K32,0)),INDEX(Movements!$G638:$M638,1,MATCH(W$7,Movements!$G$614:$M$614,0))))
*W842*W$8,0)</f>
        <v>0</v>
      </c>
      <c r="X98" s="198">
        <f>_xlfn.IFNA(IF(X$7="Fixed",1,IF(AND($D98="yes",X$7="Block"),INDEX($O638:$Q638,1,MATCH(X$5,$I32:$K32,0)),INDEX(Movements!$G638:$M638,1,MATCH(X$7,Movements!$G$614:$M$614,0))))
*X842*X$8,0)</f>
        <v>0</v>
      </c>
      <c r="Y98" s="198">
        <f>_xlfn.IFNA(IF(Y$7="Fixed",1,IF(AND($D98="yes",Y$7="Block"),INDEX($O638:$Q638,1,MATCH(Y$5,$I32:$K32,0)),INDEX(Movements!$G638:$M638,1,MATCH(Y$7,Movements!$G$614:$M$614,0))))
*Y842*Y$8,0)</f>
        <v>0</v>
      </c>
      <c r="Z98" s="198">
        <f>_xlfn.IFNA(IF(Z$7="Fixed",1,IF(AND($D98="yes",Z$7="Block"),INDEX($O638:$Q638,1,MATCH(Z$5,$I32:$K32,0)),INDEX(Movements!$G638:$M638,1,MATCH(Z$7,Movements!$G$614:$M$614,0))))
*Z842*Z$8,0)</f>
        <v>0</v>
      </c>
      <c r="AA98" s="198">
        <f>_xlfn.IFNA(IF(AA$7="Fixed",1,IF(AND($D98="yes",AA$7="Block"),INDEX($O638:$Q638,1,MATCH(AA$5,$I32:$K32,0)),INDEX(Movements!$G638:$M638,1,MATCH(AA$7,Movements!$G$614:$M$614,0))))
*AA842*AA$8,0)</f>
        <v>0</v>
      </c>
      <c r="AB98" s="198">
        <f>_xlfn.IFNA(IF(AB$7="Fixed",1,IF(AND($D98="yes",AB$7="Block"),INDEX($O638:$Q638,1,MATCH(AB$5,$I32:$K32,0)),INDEX(Movements!$G638:$M638,1,MATCH(AB$7,Movements!$G$614:$M$614,0))))
*AB842*AB$8,0)</f>
        <v>0</v>
      </c>
      <c r="AC98" s="70"/>
      <c r="AD98" s="19"/>
      <c r="AE98" s="19"/>
      <c r="AF98" s="19"/>
      <c r="AG98" s="19"/>
    </row>
    <row r="99" spans="1:33" hidden="1" outlineLevel="3" x14ac:dyDescent="0.2">
      <c r="A99" s="19"/>
      <c r="B99" s="98">
        <v>23</v>
      </c>
      <c r="C99" s="506">
        <f t="shared" si="3"/>
        <v>0</v>
      </c>
      <c r="D99" s="505">
        <f t="shared" si="3"/>
        <v>0</v>
      </c>
      <c r="E99" s="505">
        <f t="shared" si="3"/>
        <v>0</v>
      </c>
      <c r="F99" s="58"/>
      <c r="G99" s="199">
        <f t="shared" si="4"/>
        <v>0</v>
      </c>
      <c r="H99" s="58"/>
      <c r="I99" s="198">
        <f>_xlfn.IFNA(IF(I$7="Fixed",1,IF(AND($D99="yes",I$7="Block"),INDEX($O639:$Q639,1,MATCH(I$5,$I33:$K33,0)),INDEX(Movements!$G639:$M639,1,MATCH(I$7,Movements!$G$614:$M$614,0))))
*I843*I$8,0)</f>
        <v>0</v>
      </c>
      <c r="J99" s="198">
        <f>_xlfn.IFNA(IF(J$7="Fixed",1,IF(AND($D99="yes",J$7="Block"),INDEX($O639:$Q639,1,MATCH(J$5,$I33:$K33,0)),INDEX(Movements!$G639:$M639,1,MATCH(J$7,Movements!$G$614:$M$614,0))))
*J843*J$8,0)</f>
        <v>0</v>
      </c>
      <c r="K99" s="198">
        <f>_xlfn.IFNA(IF(K$7="Fixed",1,IF(AND($D99="yes",K$7="Block"),INDEX($O639:$Q639,1,MATCH(K$5,$I33:$K33,0)),INDEX(Movements!$G639:$M639,1,MATCH(K$7,Movements!$G$614:$M$614,0))))
*K843*K$8,0)</f>
        <v>0</v>
      </c>
      <c r="L99" s="198">
        <f>_xlfn.IFNA(IF(L$7="Fixed",1,IF(AND($D99="yes",L$7="Block"),INDEX($O639:$Q639,1,MATCH(L$5,$I33:$K33,0)),INDEX(Movements!$G639:$M639,1,MATCH(L$7,Movements!$G$614:$M$614,0))))
*L843*L$8,0)</f>
        <v>0</v>
      </c>
      <c r="M99" s="198">
        <f>_xlfn.IFNA(IF(M$7="Fixed",1,IF(AND($D99="yes",M$7="Block"),INDEX($O639:$Q639,1,MATCH(M$5,$I33:$K33,0)),INDEX(Movements!$G639:$M639,1,MATCH(M$7,Movements!$G$614:$M$614,0))))
*M843*M$8,0)</f>
        <v>0</v>
      </c>
      <c r="N99" s="198">
        <f>_xlfn.IFNA(IF(N$7="Fixed",1,IF(AND($D99="yes",N$7="Block"),INDEX($O639:$Q639,1,MATCH(N$5,$I33:$K33,0)),INDEX(Movements!$G639:$M639,1,MATCH(N$7,Movements!$G$614:$M$614,0))))
*N843*N$8,0)</f>
        <v>0</v>
      </c>
      <c r="O99" s="198">
        <f>_xlfn.IFNA(IF(O$7="Fixed",1,IF(AND($D99="yes",O$7="Block"),INDEX($O639:$Q639,1,MATCH(O$5,$I33:$K33,0)),INDEX(Movements!$G639:$M639,1,MATCH(O$7,Movements!$G$614:$M$614,0))))
*O843*O$8,0)</f>
        <v>0</v>
      </c>
      <c r="P99" s="198">
        <f>_xlfn.IFNA(IF(P$7="Fixed",1,IF(AND($D99="yes",P$7="Block"),INDEX($O639:$Q639,1,MATCH(P$5,$I33:$K33,0)),INDEX(Movements!$G639:$M639,1,MATCH(P$7,Movements!$G$614:$M$614,0))))
*P843*P$8,0)</f>
        <v>0</v>
      </c>
      <c r="Q99" s="198">
        <f>_xlfn.IFNA(IF(Q$7="Fixed",1,IF(AND($D99="yes",Q$7="Block"),INDEX($O639:$Q639,1,MATCH(Q$5,$I33:$K33,0)),INDEX(Movements!$G639:$M639,1,MATCH(Q$7,Movements!$G$614:$M$614,0))))
*Q843*Q$8,0)</f>
        <v>0</v>
      </c>
      <c r="R99" s="198">
        <f>_xlfn.IFNA(IF(R$7="Fixed",1,IF(AND($D99="yes",R$7="Block"),INDEX($O639:$Q639,1,MATCH(R$5,$I33:$K33,0)),INDEX(Movements!$G639:$M639,1,MATCH(R$7,Movements!$G$614:$M$614,0))))
*R843*R$8,0)</f>
        <v>0</v>
      </c>
      <c r="S99" s="198">
        <f>_xlfn.IFNA(IF(S$7="Fixed",1,IF(AND($D99="yes",S$7="Block"),INDEX($O639:$Q639,1,MATCH(S$5,$I33:$K33,0)),INDEX(Movements!$G639:$M639,1,MATCH(S$7,Movements!$G$614:$M$614,0))))
*S843*S$8,0)</f>
        <v>0</v>
      </c>
      <c r="T99" s="198">
        <f>_xlfn.IFNA(IF(T$7="Fixed",1,IF(AND($D99="yes",T$7="Block"),INDEX($O639:$Q639,1,MATCH(T$5,$I33:$K33,0)),INDEX(Movements!$G639:$M639,1,MATCH(T$7,Movements!$G$614:$M$614,0))))
*T843*T$8,0)</f>
        <v>0</v>
      </c>
      <c r="U99" s="198">
        <f>_xlfn.IFNA(IF(U$7="Fixed",1,IF(AND($D99="yes",U$7="Block"),INDEX($O639:$Q639,1,MATCH(U$5,$I33:$K33,0)),INDEX(Movements!$G639:$M639,1,MATCH(U$7,Movements!$G$614:$M$614,0))))
*U843*U$8,0)</f>
        <v>0</v>
      </c>
      <c r="V99" s="198">
        <f>_xlfn.IFNA(IF(V$7="Fixed",1,IF(AND($D99="yes",V$7="Block"),INDEX($O639:$Q639,1,MATCH(V$5,$I33:$K33,0)),INDEX(Movements!$G639:$M639,1,MATCH(V$7,Movements!$G$614:$M$614,0))))
*V843*V$8,0)</f>
        <v>0</v>
      </c>
      <c r="W99" s="198">
        <f>_xlfn.IFNA(IF(W$7="Fixed",1,IF(AND($D99="yes",W$7="Block"),INDEX($O639:$Q639,1,MATCH(W$5,$I33:$K33,0)),INDEX(Movements!$G639:$M639,1,MATCH(W$7,Movements!$G$614:$M$614,0))))
*W843*W$8,0)</f>
        <v>0</v>
      </c>
      <c r="X99" s="198">
        <f>_xlfn.IFNA(IF(X$7="Fixed",1,IF(AND($D99="yes",X$7="Block"),INDEX($O639:$Q639,1,MATCH(X$5,$I33:$K33,0)),INDEX(Movements!$G639:$M639,1,MATCH(X$7,Movements!$G$614:$M$614,0))))
*X843*X$8,0)</f>
        <v>0</v>
      </c>
      <c r="Y99" s="198">
        <f>_xlfn.IFNA(IF(Y$7="Fixed",1,IF(AND($D99="yes",Y$7="Block"),INDEX($O639:$Q639,1,MATCH(Y$5,$I33:$K33,0)),INDEX(Movements!$G639:$M639,1,MATCH(Y$7,Movements!$G$614:$M$614,0))))
*Y843*Y$8,0)</f>
        <v>0</v>
      </c>
      <c r="Z99" s="198">
        <f>_xlfn.IFNA(IF(Z$7="Fixed",1,IF(AND($D99="yes",Z$7="Block"),INDEX($O639:$Q639,1,MATCH(Z$5,$I33:$K33,0)),INDEX(Movements!$G639:$M639,1,MATCH(Z$7,Movements!$G$614:$M$614,0))))
*Z843*Z$8,0)</f>
        <v>0</v>
      </c>
      <c r="AA99" s="198">
        <f>_xlfn.IFNA(IF(AA$7="Fixed",1,IF(AND($D99="yes",AA$7="Block"),INDEX($O639:$Q639,1,MATCH(AA$5,$I33:$K33,0)),INDEX(Movements!$G639:$M639,1,MATCH(AA$7,Movements!$G$614:$M$614,0))))
*AA843*AA$8,0)</f>
        <v>0</v>
      </c>
      <c r="AB99" s="198">
        <f>_xlfn.IFNA(IF(AB$7="Fixed",1,IF(AND($D99="yes",AB$7="Block"),INDEX($O639:$Q639,1,MATCH(AB$5,$I33:$K33,0)),INDEX(Movements!$G639:$M639,1,MATCH(AB$7,Movements!$G$614:$M$614,0))))
*AB843*AB$8,0)</f>
        <v>0</v>
      </c>
      <c r="AC99" s="70"/>
      <c r="AD99" s="19"/>
      <c r="AE99" s="19"/>
      <c r="AF99" s="19"/>
      <c r="AG99" s="19"/>
    </row>
    <row r="100" spans="1:33" hidden="1" outlineLevel="3" x14ac:dyDescent="0.2">
      <c r="A100" s="19"/>
      <c r="B100" s="97">
        <v>24</v>
      </c>
      <c r="C100" s="506">
        <f t="shared" si="3"/>
        <v>0</v>
      </c>
      <c r="D100" s="505">
        <f t="shared" si="3"/>
        <v>0</v>
      </c>
      <c r="E100" s="505">
        <f t="shared" si="3"/>
        <v>0</v>
      </c>
      <c r="F100" s="58"/>
      <c r="G100" s="199">
        <f t="shared" si="4"/>
        <v>0</v>
      </c>
      <c r="H100" s="58"/>
      <c r="I100" s="198">
        <f>_xlfn.IFNA(IF(I$7="Fixed",1,IF(AND($D100="yes",I$7="Block"),INDEX($O640:$Q640,1,MATCH(I$5,$I34:$K34,0)),INDEX(Movements!$G640:$M640,1,MATCH(I$7,Movements!$G$614:$M$614,0))))
*I844*I$8,0)</f>
        <v>0</v>
      </c>
      <c r="J100" s="198">
        <f>_xlfn.IFNA(IF(J$7="Fixed",1,IF(AND($D100="yes",J$7="Block"),INDEX($O640:$Q640,1,MATCH(J$5,$I34:$K34,0)),INDEX(Movements!$G640:$M640,1,MATCH(J$7,Movements!$G$614:$M$614,0))))
*J844*J$8,0)</f>
        <v>0</v>
      </c>
      <c r="K100" s="198">
        <f>_xlfn.IFNA(IF(K$7="Fixed",1,IF(AND($D100="yes",K$7="Block"),INDEX($O640:$Q640,1,MATCH(K$5,$I34:$K34,0)),INDEX(Movements!$G640:$M640,1,MATCH(K$7,Movements!$G$614:$M$614,0))))
*K844*K$8,0)</f>
        <v>0</v>
      </c>
      <c r="L100" s="198">
        <f>_xlfn.IFNA(IF(L$7="Fixed",1,IF(AND($D100="yes",L$7="Block"),INDEX($O640:$Q640,1,MATCH(L$5,$I34:$K34,0)),INDEX(Movements!$G640:$M640,1,MATCH(L$7,Movements!$G$614:$M$614,0))))
*L844*L$8,0)</f>
        <v>0</v>
      </c>
      <c r="M100" s="198">
        <f>_xlfn.IFNA(IF(M$7="Fixed",1,IF(AND($D100="yes",M$7="Block"),INDEX($O640:$Q640,1,MATCH(M$5,$I34:$K34,0)),INDEX(Movements!$G640:$M640,1,MATCH(M$7,Movements!$G$614:$M$614,0))))
*M844*M$8,0)</f>
        <v>0</v>
      </c>
      <c r="N100" s="198">
        <f>_xlfn.IFNA(IF(N$7="Fixed",1,IF(AND($D100="yes",N$7="Block"),INDEX($O640:$Q640,1,MATCH(N$5,$I34:$K34,0)),INDEX(Movements!$G640:$M640,1,MATCH(N$7,Movements!$G$614:$M$614,0))))
*N844*N$8,0)</f>
        <v>0</v>
      </c>
      <c r="O100" s="198">
        <f>_xlfn.IFNA(IF(O$7="Fixed",1,IF(AND($D100="yes",O$7="Block"),INDEX($O640:$Q640,1,MATCH(O$5,$I34:$K34,0)),INDEX(Movements!$G640:$M640,1,MATCH(O$7,Movements!$G$614:$M$614,0))))
*O844*O$8,0)</f>
        <v>0</v>
      </c>
      <c r="P100" s="198">
        <f>_xlfn.IFNA(IF(P$7="Fixed",1,IF(AND($D100="yes",P$7="Block"),INDEX($O640:$Q640,1,MATCH(P$5,$I34:$K34,0)),INDEX(Movements!$G640:$M640,1,MATCH(P$7,Movements!$G$614:$M$614,0))))
*P844*P$8,0)</f>
        <v>0</v>
      </c>
      <c r="Q100" s="198">
        <f>_xlfn.IFNA(IF(Q$7="Fixed",1,IF(AND($D100="yes",Q$7="Block"),INDEX($O640:$Q640,1,MATCH(Q$5,$I34:$K34,0)),INDEX(Movements!$G640:$M640,1,MATCH(Q$7,Movements!$G$614:$M$614,0))))
*Q844*Q$8,0)</f>
        <v>0</v>
      </c>
      <c r="R100" s="198">
        <f>_xlfn.IFNA(IF(R$7="Fixed",1,IF(AND($D100="yes",R$7="Block"),INDEX($O640:$Q640,1,MATCH(R$5,$I34:$K34,0)),INDEX(Movements!$G640:$M640,1,MATCH(R$7,Movements!$G$614:$M$614,0))))
*R844*R$8,0)</f>
        <v>0</v>
      </c>
      <c r="S100" s="198">
        <f>_xlfn.IFNA(IF(S$7="Fixed",1,IF(AND($D100="yes",S$7="Block"),INDEX($O640:$Q640,1,MATCH(S$5,$I34:$K34,0)),INDEX(Movements!$G640:$M640,1,MATCH(S$7,Movements!$G$614:$M$614,0))))
*S844*S$8,0)</f>
        <v>0</v>
      </c>
      <c r="T100" s="198">
        <f>_xlfn.IFNA(IF(T$7="Fixed",1,IF(AND($D100="yes",T$7="Block"),INDEX($O640:$Q640,1,MATCH(T$5,$I34:$K34,0)),INDEX(Movements!$G640:$M640,1,MATCH(T$7,Movements!$G$614:$M$614,0))))
*T844*T$8,0)</f>
        <v>0</v>
      </c>
      <c r="U100" s="198">
        <f>_xlfn.IFNA(IF(U$7="Fixed",1,IF(AND($D100="yes",U$7="Block"),INDEX($O640:$Q640,1,MATCH(U$5,$I34:$K34,0)),INDEX(Movements!$G640:$M640,1,MATCH(U$7,Movements!$G$614:$M$614,0))))
*U844*U$8,0)</f>
        <v>0</v>
      </c>
      <c r="V100" s="198">
        <f>_xlfn.IFNA(IF(V$7="Fixed",1,IF(AND($D100="yes",V$7="Block"),INDEX($O640:$Q640,1,MATCH(V$5,$I34:$K34,0)),INDEX(Movements!$G640:$M640,1,MATCH(V$7,Movements!$G$614:$M$614,0))))
*V844*V$8,0)</f>
        <v>0</v>
      </c>
      <c r="W100" s="198">
        <f>_xlfn.IFNA(IF(W$7="Fixed",1,IF(AND($D100="yes",W$7="Block"),INDEX($O640:$Q640,1,MATCH(W$5,$I34:$K34,0)),INDEX(Movements!$G640:$M640,1,MATCH(W$7,Movements!$G$614:$M$614,0))))
*W844*W$8,0)</f>
        <v>0</v>
      </c>
      <c r="X100" s="198">
        <f>_xlfn.IFNA(IF(X$7="Fixed",1,IF(AND($D100="yes",X$7="Block"),INDEX($O640:$Q640,1,MATCH(X$5,$I34:$K34,0)),INDEX(Movements!$G640:$M640,1,MATCH(X$7,Movements!$G$614:$M$614,0))))
*X844*X$8,0)</f>
        <v>0</v>
      </c>
      <c r="Y100" s="198">
        <f>_xlfn.IFNA(IF(Y$7="Fixed",1,IF(AND($D100="yes",Y$7="Block"),INDEX($O640:$Q640,1,MATCH(Y$5,$I34:$K34,0)),INDEX(Movements!$G640:$M640,1,MATCH(Y$7,Movements!$G$614:$M$614,0))))
*Y844*Y$8,0)</f>
        <v>0</v>
      </c>
      <c r="Z100" s="198">
        <f>_xlfn.IFNA(IF(Z$7="Fixed",1,IF(AND($D100="yes",Z$7="Block"),INDEX($O640:$Q640,1,MATCH(Z$5,$I34:$K34,0)),INDEX(Movements!$G640:$M640,1,MATCH(Z$7,Movements!$G$614:$M$614,0))))
*Z844*Z$8,0)</f>
        <v>0</v>
      </c>
      <c r="AA100" s="198">
        <f>_xlfn.IFNA(IF(AA$7="Fixed",1,IF(AND($D100="yes",AA$7="Block"),INDEX($O640:$Q640,1,MATCH(AA$5,$I34:$K34,0)),INDEX(Movements!$G640:$M640,1,MATCH(AA$7,Movements!$G$614:$M$614,0))))
*AA844*AA$8,0)</f>
        <v>0</v>
      </c>
      <c r="AB100" s="198">
        <f>_xlfn.IFNA(IF(AB$7="Fixed",1,IF(AND($D100="yes",AB$7="Block"),INDEX($O640:$Q640,1,MATCH(AB$5,$I34:$K34,0)),INDEX(Movements!$G640:$M640,1,MATCH(AB$7,Movements!$G$614:$M$614,0))))
*AB844*AB$8,0)</f>
        <v>0</v>
      </c>
      <c r="AC100" s="70"/>
      <c r="AD100" s="19"/>
      <c r="AE100" s="19"/>
      <c r="AF100" s="19"/>
      <c r="AG100" s="19"/>
    </row>
    <row r="101" spans="1:33" hidden="1" outlineLevel="3" x14ac:dyDescent="0.2">
      <c r="A101" s="19"/>
      <c r="B101" s="97">
        <v>25</v>
      </c>
      <c r="C101" s="506">
        <f t="shared" si="3"/>
        <v>0</v>
      </c>
      <c r="D101" s="505">
        <f t="shared" si="3"/>
        <v>0</v>
      </c>
      <c r="E101" s="505">
        <f t="shared" si="3"/>
        <v>0</v>
      </c>
      <c r="F101" s="58"/>
      <c r="G101" s="199">
        <f t="shared" si="4"/>
        <v>0</v>
      </c>
      <c r="H101" s="58"/>
      <c r="I101" s="198">
        <f>_xlfn.IFNA(IF(I$7="Fixed",1,IF(AND($D101="yes",I$7="Block"),INDEX($O641:$Q641,1,MATCH(I$5,$I35:$K35,0)),INDEX(Movements!$G641:$M641,1,MATCH(I$7,Movements!$G$614:$M$614,0))))
*I845*I$8,0)</f>
        <v>0</v>
      </c>
      <c r="J101" s="198">
        <f>_xlfn.IFNA(IF(J$7="Fixed",1,IF(AND($D101="yes",J$7="Block"),INDEX($O641:$Q641,1,MATCH(J$5,$I35:$K35,0)),INDEX(Movements!$G641:$M641,1,MATCH(J$7,Movements!$G$614:$M$614,0))))
*J845*J$8,0)</f>
        <v>0</v>
      </c>
      <c r="K101" s="198">
        <f>_xlfn.IFNA(IF(K$7="Fixed",1,IF(AND($D101="yes",K$7="Block"),INDEX($O641:$Q641,1,MATCH(K$5,$I35:$K35,0)),INDEX(Movements!$G641:$M641,1,MATCH(K$7,Movements!$G$614:$M$614,0))))
*K845*K$8,0)</f>
        <v>0</v>
      </c>
      <c r="L101" s="198">
        <f>_xlfn.IFNA(IF(L$7="Fixed",1,IF(AND($D101="yes",L$7="Block"),INDEX($O641:$Q641,1,MATCH(L$5,$I35:$K35,0)),INDEX(Movements!$G641:$M641,1,MATCH(L$7,Movements!$G$614:$M$614,0))))
*L845*L$8,0)</f>
        <v>0</v>
      </c>
      <c r="M101" s="198">
        <f>_xlfn.IFNA(IF(M$7="Fixed",1,IF(AND($D101="yes",M$7="Block"),INDEX($O641:$Q641,1,MATCH(M$5,$I35:$K35,0)),INDEX(Movements!$G641:$M641,1,MATCH(M$7,Movements!$G$614:$M$614,0))))
*M845*M$8,0)</f>
        <v>0</v>
      </c>
      <c r="N101" s="198">
        <f>_xlfn.IFNA(IF(N$7="Fixed",1,IF(AND($D101="yes",N$7="Block"),INDEX($O641:$Q641,1,MATCH(N$5,$I35:$K35,0)),INDEX(Movements!$G641:$M641,1,MATCH(N$7,Movements!$G$614:$M$614,0))))
*N845*N$8,0)</f>
        <v>0</v>
      </c>
      <c r="O101" s="198">
        <f>_xlfn.IFNA(IF(O$7="Fixed",1,IF(AND($D101="yes",O$7="Block"),INDEX($O641:$Q641,1,MATCH(O$5,$I35:$K35,0)),INDEX(Movements!$G641:$M641,1,MATCH(O$7,Movements!$G$614:$M$614,0))))
*O845*O$8,0)</f>
        <v>0</v>
      </c>
      <c r="P101" s="198">
        <f>_xlfn.IFNA(IF(P$7="Fixed",1,IF(AND($D101="yes",P$7="Block"),INDEX($O641:$Q641,1,MATCH(P$5,$I35:$K35,0)),INDEX(Movements!$G641:$M641,1,MATCH(P$7,Movements!$G$614:$M$614,0))))
*P845*P$8,0)</f>
        <v>0</v>
      </c>
      <c r="Q101" s="198">
        <f>_xlfn.IFNA(IF(Q$7="Fixed",1,IF(AND($D101="yes",Q$7="Block"),INDEX($O641:$Q641,1,MATCH(Q$5,$I35:$K35,0)),INDEX(Movements!$G641:$M641,1,MATCH(Q$7,Movements!$G$614:$M$614,0))))
*Q845*Q$8,0)</f>
        <v>0</v>
      </c>
      <c r="R101" s="198">
        <f>_xlfn.IFNA(IF(R$7="Fixed",1,IF(AND($D101="yes",R$7="Block"),INDEX($O641:$Q641,1,MATCH(R$5,$I35:$K35,0)),INDEX(Movements!$G641:$M641,1,MATCH(R$7,Movements!$G$614:$M$614,0))))
*R845*R$8,0)</f>
        <v>0</v>
      </c>
      <c r="S101" s="198">
        <f>_xlfn.IFNA(IF(S$7="Fixed",1,IF(AND($D101="yes",S$7="Block"),INDEX($O641:$Q641,1,MATCH(S$5,$I35:$K35,0)),INDEX(Movements!$G641:$M641,1,MATCH(S$7,Movements!$G$614:$M$614,0))))
*S845*S$8,0)</f>
        <v>0</v>
      </c>
      <c r="T101" s="198">
        <f>_xlfn.IFNA(IF(T$7="Fixed",1,IF(AND($D101="yes",T$7="Block"),INDEX($O641:$Q641,1,MATCH(T$5,$I35:$K35,0)),INDEX(Movements!$G641:$M641,1,MATCH(T$7,Movements!$G$614:$M$614,0))))
*T845*T$8,0)</f>
        <v>0</v>
      </c>
      <c r="U101" s="198">
        <f>_xlfn.IFNA(IF(U$7="Fixed",1,IF(AND($D101="yes",U$7="Block"),INDEX($O641:$Q641,1,MATCH(U$5,$I35:$K35,0)),INDEX(Movements!$G641:$M641,1,MATCH(U$7,Movements!$G$614:$M$614,0))))
*U845*U$8,0)</f>
        <v>0</v>
      </c>
      <c r="V101" s="198">
        <f>_xlfn.IFNA(IF(V$7="Fixed",1,IF(AND($D101="yes",V$7="Block"),INDEX($O641:$Q641,1,MATCH(V$5,$I35:$K35,0)),INDEX(Movements!$G641:$M641,1,MATCH(V$7,Movements!$G$614:$M$614,0))))
*V845*V$8,0)</f>
        <v>0</v>
      </c>
      <c r="W101" s="198">
        <f>_xlfn.IFNA(IF(W$7="Fixed",1,IF(AND($D101="yes",W$7="Block"),INDEX($O641:$Q641,1,MATCH(W$5,$I35:$K35,0)),INDEX(Movements!$G641:$M641,1,MATCH(W$7,Movements!$G$614:$M$614,0))))
*W845*W$8,0)</f>
        <v>0</v>
      </c>
      <c r="X101" s="198">
        <f>_xlfn.IFNA(IF(X$7="Fixed",1,IF(AND($D101="yes",X$7="Block"),INDEX($O641:$Q641,1,MATCH(X$5,$I35:$K35,0)),INDEX(Movements!$G641:$M641,1,MATCH(X$7,Movements!$G$614:$M$614,0))))
*X845*X$8,0)</f>
        <v>0</v>
      </c>
      <c r="Y101" s="198">
        <f>_xlfn.IFNA(IF(Y$7="Fixed",1,IF(AND($D101="yes",Y$7="Block"),INDEX($O641:$Q641,1,MATCH(Y$5,$I35:$K35,0)),INDEX(Movements!$G641:$M641,1,MATCH(Y$7,Movements!$G$614:$M$614,0))))
*Y845*Y$8,0)</f>
        <v>0</v>
      </c>
      <c r="Z101" s="198">
        <f>_xlfn.IFNA(IF(Z$7="Fixed",1,IF(AND($D101="yes",Z$7="Block"),INDEX($O641:$Q641,1,MATCH(Z$5,$I35:$K35,0)),INDEX(Movements!$G641:$M641,1,MATCH(Z$7,Movements!$G$614:$M$614,0))))
*Z845*Z$8,0)</f>
        <v>0</v>
      </c>
      <c r="AA101" s="198">
        <f>_xlfn.IFNA(IF(AA$7="Fixed",1,IF(AND($D101="yes",AA$7="Block"),INDEX($O641:$Q641,1,MATCH(AA$5,$I35:$K35,0)),INDEX(Movements!$G641:$M641,1,MATCH(AA$7,Movements!$G$614:$M$614,0))))
*AA845*AA$8,0)</f>
        <v>0</v>
      </c>
      <c r="AB101" s="198">
        <f>_xlfn.IFNA(IF(AB$7="Fixed",1,IF(AND($D101="yes",AB$7="Block"),INDEX($O641:$Q641,1,MATCH(AB$5,$I35:$K35,0)),INDEX(Movements!$G641:$M641,1,MATCH(AB$7,Movements!$G$614:$M$614,0))))
*AB845*AB$8,0)</f>
        <v>0</v>
      </c>
      <c r="AC101" s="70"/>
      <c r="AD101" s="19"/>
      <c r="AE101" s="19"/>
      <c r="AF101" s="19"/>
      <c r="AG101" s="19"/>
    </row>
    <row r="102" spans="1:33" hidden="1" outlineLevel="3" x14ac:dyDescent="0.2">
      <c r="A102" s="19"/>
      <c r="B102" s="97">
        <v>26</v>
      </c>
      <c r="C102" s="506">
        <f t="shared" si="3"/>
        <v>0</v>
      </c>
      <c r="D102" s="505">
        <f t="shared" si="3"/>
        <v>0</v>
      </c>
      <c r="E102" s="505">
        <f t="shared" si="3"/>
        <v>0</v>
      </c>
      <c r="F102" s="58"/>
      <c r="G102" s="199">
        <f t="shared" si="4"/>
        <v>0</v>
      </c>
      <c r="H102" s="58"/>
      <c r="I102" s="198">
        <f>_xlfn.IFNA(IF(I$7="Fixed",1,IF(AND($D102="yes",I$7="Block"),INDEX($O642:$Q642,1,MATCH(I$5,$I36:$K36,0)),INDEX(Movements!$G642:$M642,1,MATCH(I$7,Movements!$G$614:$M$614,0))))
*I846*I$8,0)</f>
        <v>0</v>
      </c>
      <c r="J102" s="198">
        <f>_xlfn.IFNA(IF(J$7="Fixed",1,IF(AND($D102="yes",J$7="Block"),INDEX($O642:$Q642,1,MATCH(J$5,$I36:$K36,0)),INDEX(Movements!$G642:$M642,1,MATCH(J$7,Movements!$G$614:$M$614,0))))
*J846*J$8,0)</f>
        <v>0</v>
      </c>
      <c r="K102" s="198">
        <f>_xlfn.IFNA(IF(K$7="Fixed",1,IF(AND($D102="yes",K$7="Block"),INDEX($O642:$Q642,1,MATCH(K$5,$I36:$K36,0)),INDEX(Movements!$G642:$M642,1,MATCH(K$7,Movements!$G$614:$M$614,0))))
*K846*K$8,0)</f>
        <v>0</v>
      </c>
      <c r="L102" s="198">
        <f>_xlfn.IFNA(IF(L$7="Fixed",1,IF(AND($D102="yes",L$7="Block"),INDEX($O642:$Q642,1,MATCH(L$5,$I36:$K36,0)),INDEX(Movements!$G642:$M642,1,MATCH(L$7,Movements!$G$614:$M$614,0))))
*L846*L$8,0)</f>
        <v>0</v>
      </c>
      <c r="M102" s="198">
        <f>_xlfn.IFNA(IF(M$7="Fixed",1,IF(AND($D102="yes",M$7="Block"),INDEX($O642:$Q642,1,MATCH(M$5,$I36:$K36,0)),INDEX(Movements!$G642:$M642,1,MATCH(M$7,Movements!$G$614:$M$614,0))))
*M846*M$8,0)</f>
        <v>0</v>
      </c>
      <c r="N102" s="198">
        <f>_xlfn.IFNA(IF(N$7="Fixed",1,IF(AND($D102="yes",N$7="Block"),INDEX($O642:$Q642,1,MATCH(N$5,$I36:$K36,0)),INDEX(Movements!$G642:$M642,1,MATCH(N$7,Movements!$G$614:$M$614,0))))
*N846*N$8,0)</f>
        <v>0</v>
      </c>
      <c r="O102" s="198">
        <f>_xlfn.IFNA(IF(O$7="Fixed",1,IF(AND($D102="yes",O$7="Block"),INDEX($O642:$Q642,1,MATCH(O$5,$I36:$K36,0)),INDEX(Movements!$G642:$M642,1,MATCH(O$7,Movements!$G$614:$M$614,0))))
*O846*O$8,0)</f>
        <v>0</v>
      </c>
      <c r="P102" s="198">
        <f>_xlfn.IFNA(IF(P$7="Fixed",1,IF(AND($D102="yes",P$7="Block"),INDEX($O642:$Q642,1,MATCH(P$5,$I36:$K36,0)),INDEX(Movements!$G642:$M642,1,MATCH(P$7,Movements!$G$614:$M$614,0))))
*P846*P$8,0)</f>
        <v>0</v>
      </c>
      <c r="Q102" s="198">
        <f>_xlfn.IFNA(IF(Q$7="Fixed",1,IF(AND($D102="yes",Q$7="Block"),INDEX($O642:$Q642,1,MATCH(Q$5,$I36:$K36,0)),INDEX(Movements!$G642:$M642,1,MATCH(Q$7,Movements!$G$614:$M$614,0))))
*Q846*Q$8,0)</f>
        <v>0</v>
      </c>
      <c r="R102" s="198">
        <f>_xlfn.IFNA(IF(R$7="Fixed",1,IF(AND($D102="yes",R$7="Block"),INDEX($O642:$Q642,1,MATCH(R$5,$I36:$K36,0)),INDEX(Movements!$G642:$M642,1,MATCH(R$7,Movements!$G$614:$M$614,0))))
*R846*R$8,0)</f>
        <v>0</v>
      </c>
      <c r="S102" s="198">
        <f>_xlfn.IFNA(IF(S$7="Fixed",1,IF(AND($D102="yes",S$7="Block"),INDEX($O642:$Q642,1,MATCH(S$5,$I36:$K36,0)),INDEX(Movements!$G642:$M642,1,MATCH(S$7,Movements!$G$614:$M$614,0))))
*S846*S$8,0)</f>
        <v>0</v>
      </c>
      <c r="T102" s="198">
        <f>_xlfn.IFNA(IF(T$7="Fixed",1,IF(AND($D102="yes",T$7="Block"),INDEX($O642:$Q642,1,MATCH(T$5,$I36:$K36,0)),INDEX(Movements!$G642:$M642,1,MATCH(T$7,Movements!$G$614:$M$614,0))))
*T846*T$8,0)</f>
        <v>0</v>
      </c>
      <c r="U102" s="198">
        <f>_xlfn.IFNA(IF(U$7="Fixed",1,IF(AND($D102="yes",U$7="Block"),INDEX($O642:$Q642,1,MATCH(U$5,$I36:$K36,0)),INDEX(Movements!$G642:$M642,1,MATCH(U$7,Movements!$G$614:$M$614,0))))
*U846*U$8,0)</f>
        <v>0</v>
      </c>
      <c r="V102" s="198">
        <f>_xlfn.IFNA(IF(V$7="Fixed",1,IF(AND($D102="yes",V$7="Block"),INDEX($O642:$Q642,1,MATCH(V$5,$I36:$K36,0)),INDEX(Movements!$G642:$M642,1,MATCH(V$7,Movements!$G$614:$M$614,0))))
*V846*V$8,0)</f>
        <v>0</v>
      </c>
      <c r="W102" s="198">
        <f>_xlfn.IFNA(IF(W$7="Fixed",1,IF(AND($D102="yes",W$7="Block"),INDEX($O642:$Q642,1,MATCH(W$5,$I36:$K36,0)),INDEX(Movements!$G642:$M642,1,MATCH(W$7,Movements!$G$614:$M$614,0))))
*W846*W$8,0)</f>
        <v>0</v>
      </c>
      <c r="X102" s="198">
        <f>_xlfn.IFNA(IF(X$7="Fixed",1,IF(AND($D102="yes",X$7="Block"),INDEX($O642:$Q642,1,MATCH(X$5,$I36:$K36,0)),INDEX(Movements!$G642:$M642,1,MATCH(X$7,Movements!$G$614:$M$614,0))))
*X846*X$8,0)</f>
        <v>0</v>
      </c>
      <c r="Y102" s="198">
        <f>_xlfn.IFNA(IF(Y$7="Fixed",1,IF(AND($D102="yes",Y$7="Block"),INDEX($O642:$Q642,1,MATCH(Y$5,$I36:$K36,0)),INDEX(Movements!$G642:$M642,1,MATCH(Y$7,Movements!$G$614:$M$614,0))))
*Y846*Y$8,0)</f>
        <v>0</v>
      </c>
      <c r="Z102" s="198">
        <f>_xlfn.IFNA(IF(Z$7="Fixed",1,IF(AND($D102="yes",Z$7="Block"),INDEX($O642:$Q642,1,MATCH(Z$5,$I36:$K36,0)),INDEX(Movements!$G642:$M642,1,MATCH(Z$7,Movements!$G$614:$M$614,0))))
*Z846*Z$8,0)</f>
        <v>0</v>
      </c>
      <c r="AA102" s="198">
        <f>_xlfn.IFNA(IF(AA$7="Fixed",1,IF(AND($D102="yes",AA$7="Block"),INDEX($O642:$Q642,1,MATCH(AA$5,$I36:$K36,0)),INDEX(Movements!$G642:$M642,1,MATCH(AA$7,Movements!$G$614:$M$614,0))))
*AA846*AA$8,0)</f>
        <v>0</v>
      </c>
      <c r="AB102" s="198">
        <f>_xlfn.IFNA(IF(AB$7="Fixed",1,IF(AND($D102="yes",AB$7="Block"),INDEX($O642:$Q642,1,MATCH(AB$5,$I36:$K36,0)),INDEX(Movements!$G642:$M642,1,MATCH(AB$7,Movements!$G$614:$M$614,0))))
*AB846*AB$8,0)</f>
        <v>0</v>
      </c>
      <c r="AC102" s="70"/>
      <c r="AD102" s="19"/>
      <c r="AE102" s="19"/>
      <c r="AF102" s="19"/>
      <c r="AG102" s="19"/>
    </row>
    <row r="103" spans="1:33" hidden="1" outlineLevel="3" x14ac:dyDescent="0.2">
      <c r="A103" s="19"/>
      <c r="B103" s="97">
        <v>27</v>
      </c>
      <c r="C103" s="506">
        <f t="shared" si="3"/>
        <v>0</v>
      </c>
      <c r="D103" s="505">
        <f t="shared" si="3"/>
        <v>0</v>
      </c>
      <c r="E103" s="505">
        <f t="shared" si="3"/>
        <v>0</v>
      </c>
      <c r="F103" s="58"/>
      <c r="G103" s="199">
        <f t="shared" si="4"/>
        <v>0</v>
      </c>
      <c r="H103" s="58"/>
      <c r="I103" s="198">
        <f>_xlfn.IFNA(IF(I$7="Fixed",1,IF(AND($D103="yes",I$7="Block"),INDEX($O643:$Q643,1,MATCH(I$5,$I37:$K37,0)),INDEX(Movements!$G643:$M643,1,MATCH(I$7,Movements!$G$614:$M$614,0))))
*I847*I$8,0)</f>
        <v>0</v>
      </c>
      <c r="J103" s="198">
        <f>_xlfn.IFNA(IF(J$7="Fixed",1,IF(AND($D103="yes",J$7="Block"),INDEX($O643:$Q643,1,MATCH(J$5,$I37:$K37,0)),INDEX(Movements!$G643:$M643,1,MATCH(J$7,Movements!$G$614:$M$614,0))))
*J847*J$8,0)</f>
        <v>0</v>
      </c>
      <c r="K103" s="198">
        <f>_xlfn.IFNA(IF(K$7="Fixed",1,IF(AND($D103="yes",K$7="Block"),INDEX($O643:$Q643,1,MATCH(K$5,$I37:$K37,0)),INDEX(Movements!$G643:$M643,1,MATCH(K$7,Movements!$G$614:$M$614,0))))
*K847*K$8,0)</f>
        <v>0</v>
      </c>
      <c r="L103" s="198">
        <f>_xlfn.IFNA(IF(L$7="Fixed",1,IF(AND($D103="yes",L$7="Block"),INDEX($O643:$Q643,1,MATCH(L$5,$I37:$K37,0)),INDEX(Movements!$G643:$M643,1,MATCH(L$7,Movements!$G$614:$M$614,0))))
*L847*L$8,0)</f>
        <v>0</v>
      </c>
      <c r="M103" s="198">
        <f>_xlfn.IFNA(IF(M$7="Fixed",1,IF(AND($D103="yes",M$7="Block"),INDEX($O643:$Q643,1,MATCH(M$5,$I37:$K37,0)),INDEX(Movements!$G643:$M643,1,MATCH(M$7,Movements!$G$614:$M$614,0))))
*M847*M$8,0)</f>
        <v>0</v>
      </c>
      <c r="N103" s="198">
        <f>_xlfn.IFNA(IF(N$7="Fixed",1,IF(AND($D103="yes",N$7="Block"),INDEX($O643:$Q643,1,MATCH(N$5,$I37:$K37,0)),INDEX(Movements!$G643:$M643,1,MATCH(N$7,Movements!$G$614:$M$614,0))))
*N847*N$8,0)</f>
        <v>0</v>
      </c>
      <c r="O103" s="198">
        <f>_xlfn.IFNA(IF(O$7="Fixed",1,IF(AND($D103="yes",O$7="Block"),INDEX($O643:$Q643,1,MATCH(O$5,$I37:$K37,0)),INDEX(Movements!$G643:$M643,1,MATCH(O$7,Movements!$G$614:$M$614,0))))
*O847*O$8,0)</f>
        <v>0</v>
      </c>
      <c r="P103" s="198">
        <f>_xlfn.IFNA(IF(P$7="Fixed",1,IF(AND($D103="yes",P$7="Block"),INDEX($O643:$Q643,1,MATCH(P$5,$I37:$K37,0)),INDEX(Movements!$G643:$M643,1,MATCH(P$7,Movements!$G$614:$M$614,0))))
*P847*P$8,0)</f>
        <v>0</v>
      </c>
      <c r="Q103" s="198">
        <f>_xlfn.IFNA(IF(Q$7="Fixed",1,IF(AND($D103="yes",Q$7="Block"),INDEX($O643:$Q643,1,MATCH(Q$5,$I37:$K37,0)),INDEX(Movements!$G643:$M643,1,MATCH(Q$7,Movements!$G$614:$M$614,0))))
*Q847*Q$8,0)</f>
        <v>0</v>
      </c>
      <c r="R103" s="198">
        <f>_xlfn.IFNA(IF(R$7="Fixed",1,IF(AND($D103="yes",R$7="Block"),INDEX($O643:$Q643,1,MATCH(R$5,$I37:$K37,0)),INDEX(Movements!$G643:$M643,1,MATCH(R$7,Movements!$G$614:$M$614,0))))
*R847*R$8,0)</f>
        <v>0</v>
      </c>
      <c r="S103" s="198">
        <f>_xlfn.IFNA(IF(S$7="Fixed",1,IF(AND($D103="yes",S$7="Block"),INDEX($O643:$Q643,1,MATCH(S$5,$I37:$K37,0)),INDEX(Movements!$G643:$M643,1,MATCH(S$7,Movements!$G$614:$M$614,0))))
*S847*S$8,0)</f>
        <v>0</v>
      </c>
      <c r="T103" s="198">
        <f>_xlfn.IFNA(IF(T$7="Fixed",1,IF(AND($D103="yes",T$7="Block"),INDEX($O643:$Q643,1,MATCH(T$5,$I37:$K37,0)),INDEX(Movements!$G643:$M643,1,MATCH(T$7,Movements!$G$614:$M$614,0))))
*T847*T$8,0)</f>
        <v>0</v>
      </c>
      <c r="U103" s="198">
        <f>_xlfn.IFNA(IF(U$7="Fixed",1,IF(AND($D103="yes",U$7="Block"),INDEX($O643:$Q643,1,MATCH(U$5,$I37:$K37,0)),INDEX(Movements!$G643:$M643,1,MATCH(U$7,Movements!$G$614:$M$614,0))))
*U847*U$8,0)</f>
        <v>0</v>
      </c>
      <c r="V103" s="198">
        <f>_xlfn.IFNA(IF(V$7="Fixed",1,IF(AND($D103="yes",V$7="Block"),INDEX($O643:$Q643,1,MATCH(V$5,$I37:$K37,0)),INDEX(Movements!$G643:$M643,1,MATCH(V$7,Movements!$G$614:$M$614,0))))
*V847*V$8,0)</f>
        <v>0</v>
      </c>
      <c r="W103" s="198">
        <f>_xlfn.IFNA(IF(W$7="Fixed",1,IF(AND($D103="yes",W$7="Block"),INDEX($O643:$Q643,1,MATCH(W$5,$I37:$K37,0)),INDEX(Movements!$G643:$M643,1,MATCH(W$7,Movements!$G$614:$M$614,0))))
*W847*W$8,0)</f>
        <v>0</v>
      </c>
      <c r="X103" s="198">
        <f>_xlfn.IFNA(IF(X$7="Fixed",1,IF(AND($D103="yes",X$7="Block"),INDEX($O643:$Q643,1,MATCH(X$5,$I37:$K37,0)),INDEX(Movements!$G643:$M643,1,MATCH(X$7,Movements!$G$614:$M$614,0))))
*X847*X$8,0)</f>
        <v>0</v>
      </c>
      <c r="Y103" s="198">
        <f>_xlfn.IFNA(IF(Y$7="Fixed",1,IF(AND($D103="yes",Y$7="Block"),INDEX($O643:$Q643,1,MATCH(Y$5,$I37:$K37,0)),INDEX(Movements!$G643:$M643,1,MATCH(Y$7,Movements!$G$614:$M$614,0))))
*Y847*Y$8,0)</f>
        <v>0</v>
      </c>
      <c r="Z103" s="198">
        <f>_xlfn.IFNA(IF(Z$7="Fixed",1,IF(AND($D103="yes",Z$7="Block"),INDEX($O643:$Q643,1,MATCH(Z$5,$I37:$K37,0)),INDEX(Movements!$G643:$M643,1,MATCH(Z$7,Movements!$G$614:$M$614,0))))
*Z847*Z$8,0)</f>
        <v>0</v>
      </c>
      <c r="AA103" s="198">
        <f>_xlfn.IFNA(IF(AA$7="Fixed",1,IF(AND($D103="yes",AA$7="Block"),INDEX($O643:$Q643,1,MATCH(AA$5,$I37:$K37,0)),INDEX(Movements!$G643:$M643,1,MATCH(AA$7,Movements!$G$614:$M$614,0))))
*AA847*AA$8,0)</f>
        <v>0</v>
      </c>
      <c r="AB103" s="198">
        <f>_xlfn.IFNA(IF(AB$7="Fixed",1,IF(AND($D103="yes",AB$7="Block"),INDEX($O643:$Q643,1,MATCH(AB$5,$I37:$K37,0)),INDEX(Movements!$G643:$M643,1,MATCH(AB$7,Movements!$G$614:$M$614,0))))
*AB847*AB$8,0)</f>
        <v>0</v>
      </c>
      <c r="AC103" s="70"/>
      <c r="AD103" s="19"/>
      <c r="AE103" s="19"/>
      <c r="AF103" s="19"/>
      <c r="AG103" s="19"/>
    </row>
    <row r="104" spans="1:33" hidden="1" outlineLevel="3" x14ac:dyDescent="0.2">
      <c r="A104" s="19"/>
      <c r="B104" s="97">
        <v>28</v>
      </c>
      <c r="C104" s="506">
        <f t="shared" si="3"/>
        <v>0</v>
      </c>
      <c r="D104" s="505">
        <f t="shared" si="3"/>
        <v>0</v>
      </c>
      <c r="E104" s="505">
        <f t="shared" si="3"/>
        <v>0</v>
      </c>
      <c r="F104" s="58"/>
      <c r="G104" s="199">
        <f t="shared" si="4"/>
        <v>0</v>
      </c>
      <c r="H104" s="58"/>
      <c r="I104" s="198">
        <f>_xlfn.IFNA(IF(I$7="Fixed",1,IF(AND($D104="yes",I$7="Block"),INDEX($O644:$Q644,1,MATCH(I$5,$I38:$K38,0)),INDEX(Movements!$G644:$M644,1,MATCH(I$7,Movements!$G$614:$M$614,0))))
*I848*I$8,0)</f>
        <v>0</v>
      </c>
      <c r="J104" s="198">
        <f>_xlfn.IFNA(IF(J$7="Fixed",1,IF(AND($D104="yes",J$7="Block"),INDEX($O644:$Q644,1,MATCH(J$5,$I38:$K38,0)),INDEX(Movements!$G644:$M644,1,MATCH(J$7,Movements!$G$614:$M$614,0))))
*J848*J$8,0)</f>
        <v>0</v>
      </c>
      <c r="K104" s="198">
        <f>_xlfn.IFNA(IF(K$7="Fixed",1,IF(AND($D104="yes",K$7="Block"),INDEX($O644:$Q644,1,MATCH(K$5,$I38:$K38,0)),INDEX(Movements!$G644:$M644,1,MATCH(K$7,Movements!$G$614:$M$614,0))))
*K848*K$8,0)</f>
        <v>0</v>
      </c>
      <c r="L104" s="198">
        <f>_xlfn.IFNA(IF(L$7="Fixed",1,IF(AND($D104="yes",L$7="Block"),INDEX($O644:$Q644,1,MATCH(L$5,$I38:$K38,0)),INDEX(Movements!$G644:$M644,1,MATCH(L$7,Movements!$G$614:$M$614,0))))
*L848*L$8,0)</f>
        <v>0</v>
      </c>
      <c r="M104" s="198">
        <f>_xlfn.IFNA(IF(M$7="Fixed",1,IF(AND($D104="yes",M$7="Block"),INDEX($O644:$Q644,1,MATCH(M$5,$I38:$K38,0)),INDEX(Movements!$G644:$M644,1,MATCH(M$7,Movements!$G$614:$M$614,0))))
*M848*M$8,0)</f>
        <v>0</v>
      </c>
      <c r="N104" s="198">
        <f>_xlfn.IFNA(IF(N$7="Fixed",1,IF(AND($D104="yes",N$7="Block"),INDEX($O644:$Q644,1,MATCH(N$5,$I38:$K38,0)),INDEX(Movements!$G644:$M644,1,MATCH(N$7,Movements!$G$614:$M$614,0))))
*N848*N$8,0)</f>
        <v>0</v>
      </c>
      <c r="O104" s="198">
        <f>_xlfn.IFNA(IF(O$7="Fixed",1,IF(AND($D104="yes",O$7="Block"),INDEX($O644:$Q644,1,MATCH(O$5,$I38:$K38,0)),INDEX(Movements!$G644:$M644,1,MATCH(O$7,Movements!$G$614:$M$614,0))))
*O848*O$8,0)</f>
        <v>0</v>
      </c>
      <c r="P104" s="198">
        <f>_xlfn.IFNA(IF(P$7="Fixed",1,IF(AND($D104="yes",P$7="Block"),INDEX($O644:$Q644,1,MATCH(P$5,$I38:$K38,0)),INDEX(Movements!$G644:$M644,1,MATCH(P$7,Movements!$G$614:$M$614,0))))
*P848*P$8,0)</f>
        <v>0</v>
      </c>
      <c r="Q104" s="198">
        <f>_xlfn.IFNA(IF(Q$7="Fixed",1,IF(AND($D104="yes",Q$7="Block"),INDEX($O644:$Q644,1,MATCH(Q$5,$I38:$K38,0)),INDEX(Movements!$G644:$M644,1,MATCH(Q$7,Movements!$G$614:$M$614,0))))
*Q848*Q$8,0)</f>
        <v>0</v>
      </c>
      <c r="R104" s="198">
        <f>_xlfn.IFNA(IF(R$7="Fixed",1,IF(AND($D104="yes",R$7="Block"),INDEX($O644:$Q644,1,MATCH(R$5,$I38:$K38,0)),INDEX(Movements!$G644:$M644,1,MATCH(R$7,Movements!$G$614:$M$614,0))))
*R848*R$8,0)</f>
        <v>0</v>
      </c>
      <c r="S104" s="198">
        <f>_xlfn.IFNA(IF(S$7="Fixed",1,IF(AND($D104="yes",S$7="Block"),INDEX($O644:$Q644,1,MATCH(S$5,$I38:$K38,0)),INDEX(Movements!$G644:$M644,1,MATCH(S$7,Movements!$G$614:$M$614,0))))
*S848*S$8,0)</f>
        <v>0</v>
      </c>
      <c r="T104" s="198">
        <f>_xlfn.IFNA(IF(T$7="Fixed",1,IF(AND($D104="yes",T$7="Block"),INDEX($O644:$Q644,1,MATCH(T$5,$I38:$K38,0)),INDEX(Movements!$G644:$M644,1,MATCH(T$7,Movements!$G$614:$M$614,0))))
*T848*T$8,0)</f>
        <v>0</v>
      </c>
      <c r="U104" s="198">
        <f>_xlfn.IFNA(IF(U$7="Fixed",1,IF(AND($D104="yes",U$7="Block"),INDEX($O644:$Q644,1,MATCH(U$5,$I38:$K38,0)),INDEX(Movements!$G644:$M644,1,MATCH(U$7,Movements!$G$614:$M$614,0))))
*U848*U$8,0)</f>
        <v>0</v>
      </c>
      <c r="V104" s="198">
        <f>_xlfn.IFNA(IF(V$7="Fixed",1,IF(AND($D104="yes",V$7="Block"),INDEX($O644:$Q644,1,MATCH(V$5,$I38:$K38,0)),INDEX(Movements!$G644:$M644,1,MATCH(V$7,Movements!$G$614:$M$614,0))))
*V848*V$8,0)</f>
        <v>0</v>
      </c>
      <c r="W104" s="198">
        <f>_xlfn.IFNA(IF(W$7="Fixed",1,IF(AND($D104="yes",W$7="Block"),INDEX($O644:$Q644,1,MATCH(W$5,$I38:$K38,0)),INDEX(Movements!$G644:$M644,1,MATCH(W$7,Movements!$G$614:$M$614,0))))
*W848*W$8,0)</f>
        <v>0</v>
      </c>
      <c r="X104" s="198">
        <f>_xlfn.IFNA(IF(X$7="Fixed",1,IF(AND($D104="yes",X$7="Block"),INDEX($O644:$Q644,1,MATCH(X$5,$I38:$K38,0)),INDEX(Movements!$G644:$M644,1,MATCH(X$7,Movements!$G$614:$M$614,0))))
*X848*X$8,0)</f>
        <v>0</v>
      </c>
      <c r="Y104" s="198">
        <f>_xlfn.IFNA(IF(Y$7="Fixed",1,IF(AND($D104="yes",Y$7="Block"),INDEX($O644:$Q644,1,MATCH(Y$5,$I38:$K38,0)),INDEX(Movements!$G644:$M644,1,MATCH(Y$7,Movements!$G$614:$M$614,0))))
*Y848*Y$8,0)</f>
        <v>0</v>
      </c>
      <c r="Z104" s="198">
        <f>_xlfn.IFNA(IF(Z$7="Fixed",1,IF(AND($D104="yes",Z$7="Block"),INDEX($O644:$Q644,1,MATCH(Z$5,$I38:$K38,0)),INDEX(Movements!$G644:$M644,1,MATCH(Z$7,Movements!$G$614:$M$614,0))))
*Z848*Z$8,0)</f>
        <v>0</v>
      </c>
      <c r="AA104" s="198">
        <f>_xlfn.IFNA(IF(AA$7="Fixed",1,IF(AND($D104="yes",AA$7="Block"),INDEX($O644:$Q644,1,MATCH(AA$5,$I38:$K38,0)),INDEX(Movements!$G644:$M644,1,MATCH(AA$7,Movements!$G$614:$M$614,0))))
*AA848*AA$8,0)</f>
        <v>0</v>
      </c>
      <c r="AB104" s="198">
        <f>_xlfn.IFNA(IF(AB$7="Fixed",1,IF(AND($D104="yes",AB$7="Block"),INDEX($O644:$Q644,1,MATCH(AB$5,$I38:$K38,0)),INDEX(Movements!$G644:$M644,1,MATCH(AB$7,Movements!$G$614:$M$614,0))))
*AB848*AB$8,0)</f>
        <v>0</v>
      </c>
      <c r="AC104" s="70"/>
      <c r="AD104" s="19"/>
      <c r="AE104" s="19"/>
      <c r="AF104" s="19"/>
      <c r="AG104" s="19"/>
    </row>
    <row r="105" spans="1:33" hidden="1" outlineLevel="3" x14ac:dyDescent="0.2">
      <c r="A105" s="19"/>
      <c r="B105" s="97">
        <v>29</v>
      </c>
      <c r="C105" s="506">
        <f t="shared" si="3"/>
        <v>0</v>
      </c>
      <c r="D105" s="505">
        <f t="shared" si="3"/>
        <v>0</v>
      </c>
      <c r="E105" s="505">
        <f t="shared" si="3"/>
        <v>0</v>
      </c>
      <c r="F105" s="58"/>
      <c r="G105" s="199">
        <f t="shared" si="4"/>
        <v>0</v>
      </c>
      <c r="H105" s="58"/>
      <c r="I105" s="198">
        <f>_xlfn.IFNA(IF(I$7="Fixed",1,IF(AND($D105="yes",I$7="Block"),INDEX($O645:$Q645,1,MATCH(I$5,$I39:$K39,0)),INDEX(Movements!$G645:$M645,1,MATCH(I$7,Movements!$G$614:$M$614,0))))
*I849*I$8,0)</f>
        <v>0</v>
      </c>
      <c r="J105" s="198">
        <f>_xlfn.IFNA(IF(J$7="Fixed",1,IF(AND($D105="yes",J$7="Block"),INDEX($O645:$Q645,1,MATCH(J$5,$I39:$K39,0)),INDEX(Movements!$G645:$M645,1,MATCH(J$7,Movements!$G$614:$M$614,0))))
*J849*J$8,0)</f>
        <v>0</v>
      </c>
      <c r="K105" s="198">
        <f>_xlfn.IFNA(IF(K$7="Fixed",1,IF(AND($D105="yes",K$7="Block"),INDEX($O645:$Q645,1,MATCH(K$5,$I39:$K39,0)),INDEX(Movements!$G645:$M645,1,MATCH(K$7,Movements!$G$614:$M$614,0))))
*K849*K$8,0)</f>
        <v>0</v>
      </c>
      <c r="L105" s="198">
        <f>_xlfn.IFNA(IF(L$7="Fixed",1,IF(AND($D105="yes",L$7="Block"),INDEX($O645:$Q645,1,MATCH(L$5,$I39:$K39,0)),INDEX(Movements!$G645:$M645,1,MATCH(L$7,Movements!$G$614:$M$614,0))))
*L849*L$8,0)</f>
        <v>0</v>
      </c>
      <c r="M105" s="198">
        <f>_xlfn.IFNA(IF(M$7="Fixed",1,IF(AND($D105="yes",M$7="Block"),INDEX($O645:$Q645,1,MATCH(M$5,$I39:$K39,0)),INDEX(Movements!$G645:$M645,1,MATCH(M$7,Movements!$G$614:$M$614,0))))
*M849*M$8,0)</f>
        <v>0</v>
      </c>
      <c r="N105" s="198">
        <f>_xlfn.IFNA(IF(N$7="Fixed",1,IF(AND($D105="yes",N$7="Block"),INDEX($O645:$Q645,1,MATCH(N$5,$I39:$K39,0)),INDEX(Movements!$G645:$M645,1,MATCH(N$7,Movements!$G$614:$M$614,0))))
*N849*N$8,0)</f>
        <v>0</v>
      </c>
      <c r="O105" s="198">
        <f>_xlfn.IFNA(IF(O$7="Fixed",1,IF(AND($D105="yes",O$7="Block"),INDEX($O645:$Q645,1,MATCH(O$5,$I39:$K39,0)),INDEX(Movements!$G645:$M645,1,MATCH(O$7,Movements!$G$614:$M$614,0))))
*O849*O$8,0)</f>
        <v>0</v>
      </c>
      <c r="P105" s="198">
        <f>_xlfn.IFNA(IF(P$7="Fixed",1,IF(AND($D105="yes",P$7="Block"),INDEX($O645:$Q645,1,MATCH(P$5,$I39:$K39,0)),INDEX(Movements!$G645:$M645,1,MATCH(P$7,Movements!$G$614:$M$614,0))))
*P849*P$8,0)</f>
        <v>0</v>
      </c>
      <c r="Q105" s="198">
        <f>_xlfn.IFNA(IF(Q$7="Fixed",1,IF(AND($D105="yes",Q$7="Block"),INDEX($O645:$Q645,1,MATCH(Q$5,$I39:$K39,0)),INDEX(Movements!$G645:$M645,1,MATCH(Q$7,Movements!$G$614:$M$614,0))))
*Q849*Q$8,0)</f>
        <v>0</v>
      </c>
      <c r="R105" s="198">
        <f>_xlfn.IFNA(IF(R$7="Fixed",1,IF(AND($D105="yes",R$7="Block"),INDEX($O645:$Q645,1,MATCH(R$5,$I39:$K39,0)),INDEX(Movements!$G645:$M645,1,MATCH(R$7,Movements!$G$614:$M$614,0))))
*R849*R$8,0)</f>
        <v>0</v>
      </c>
      <c r="S105" s="198">
        <f>_xlfn.IFNA(IF(S$7="Fixed",1,IF(AND($D105="yes",S$7="Block"),INDEX($O645:$Q645,1,MATCH(S$5,$I39:$K39,0)),INDEX(Movements!$G645:$M645,1,MATCH(S$7,Movements!$G$614:$M$614,0))))
*S849*S$8,0)</f>
        <v>0</v>
      </c>
      <c r="T105" s="198">
        <f>_xlfn.IFNA(IF(T$7="Fixed",1,IF(AND($D105="yes",T$7="Block"),INDEX($O645:$Q645,1,MATCH(T$5,$I39:$K39,0)),INDEX(Movements!$G645:$M645,1,MATCH(T$7,Movements!$G$614:$M$614,0))))
*T849*T$8,0)</f>
        <v>0</v>
      </c>
      <c r="U105" s="198">
        <f>_xlfn.IFNA(IF(U$7="Fixed",1,IF(AND($D105="yes",U$7="Block"),INDEX($O645:$Q645,1,MATCH(U$5,$I39:$K39,0)),INDEX(Movements!$G645:$M645,1,MATCH(U$7,Movements!$G$614:$M$614,0))))
*U849*U$8,0)</f>
        <v>0</v>
      </c>
      <c r="V105" s="198">
        <f>_xlfn.IFNA(IF(V$7="Fixed",1,IF(AND($D105="yes",V$7="Block"),INDEX($O645:$Q645,1,MATCH(V$5,$I39:$K39,0)),INDEX(Movements!$G645:$M645,1,MATCH(V$7,Movements!$G$614:$M$614,0))))
*V849*V$8,0)</f>
        <v>0</v>
      </c>
      <c r="W105" s="198">
        <f>_xlfn.IFNA(IF(W$7="Fixed",1,IF(AND($D105="yes",W$7="Block"),INDEX($O645:$Q645,1,MATCH(W$5,$I39:$K39,0)),INDEX(Movements!$G645:$M645,1,MATCH(W$7,Movements!$G$614:$M$614,0))))
*W849*W$8,0)</f>
        <v>0</v>
      </c>
      <c r="X105" s="198">
        <f>_xlfn.IFNA(IF(X$7="Fixed",1,IF(AND($D105="yes",X$7="Block"),INDEX($O645:$Q645,1,MATCH(X$5,$I39:$K39,0)),INDEX(Movements!$G645:$M645,1,MATCH(X$7,Movements!$G$614:$M$614,0))))
*X849*X$8,0)</f>
        <v>0</v>
      </c>
      <c r="Y105" s="198">
        <f>_xlfn.IFNA(IF(Y$7="Fixed",1,IF(AND($D105="yes",Y$7="Block"),INDEX($O645:$Q645,1,MATCH(Y$5,$I39:$K39,0)),INDEX(Movements!$G645:$M645,1,MATCH(Y$7,Movements!$G$614:$M$614,0))))
*Y849*Y$8,0)</f>
        <v>0</v>
      </c>
      <c r="Z105" s="198">
        <f>_xlfn.IFNA(IF(Z$7="Fixed",1,IF(AND($D105="yes",Z$7="Block"),INDEX($O645:$Q645,1,MATCH(Z$5,$I39:$K39,0)),INDEX(Movements!$G645:$M645,1,MATCH(Z$7,Movements!$G$614:$M$614,0))))
*Z849*Z$8,0)</f>
        <v>0</v>
      </c>
      <c r="AA105" s="198">
        <f>_xlfn.IFNA(IF(AA$7="Fixed",1,IF(AND($D105="yes",AA$7="Block"),INDEX($O645:$Q645,1,MATCH(AA$5,$I39:$K39,0)),INDEX(Movements!$G645:$M645,1,MATCH(AA$7,Movements!$G$614:$M$614,0))))
*AA849*AA$8,0)</f>
        <v>0</v>
      </c>
      <c r="AB105" s="198">
        <f>_xlfn.IFNA(IF(AB$7="Fixed",1,IF(AND($D105="yes",AB$7="Block"),INDEX($O645:$Q645,1,MATCH(AB$5,$I39:$K39,0)),INDEX(Movements!$G645:$M645,1,MATCH(AB$7,Movements!$G$614:$M$614,0))))
*AB849*AB$8,0)</f>
        <v>0</v>
      </c>
      <c r="AC105" s="70"/>
      <c r="AD105" s="19"/>
      <c r="AE105" s="19"/>
      <c r="AF105" s="19"/>
      <c r="AG105" s="19"/>
    </row>
    <row r="106" spans="1:33" hidden="1" outlineLevel="3" x14ac:dyDescent="0.2">
      <c r="A106" s="19"/>
      <c r="B106" s="98">
        <v>30</v>
      </c>
      <c r="C106" s="506">
        <f t="shared" si="3"/>
        <v>0</v>
      </c>
      <c r="D106" s="505">
        <f t="shared" si="3"/>
        <v>0</v>
      </c>
      <c r="E106" s="505">
        <f t="shared" si="3"/>
        <v>0</v>
      </c>
      <c r="F106" s="58"/>
      <c r="G106" s="199">
        <f t="shared" si="4"/>
        <v>0</v>
      </c>
      <c r="H106" s="58"/>
      <c r="I106" s="198">
        <f>_xlfn.IFNA(IF(I$7="Fixed",1,IF(AND($D106="yes",I$7="Block"),INDEX($O646:$Q646,1,MATCH(I$5,$I40:$K40,0)),INDEX(Movements!$G646:$M646,1,MATCH(I$7,Movements!$G$614:$M$614,0))))
*I850*I$8,0)</f>
        <v>0</v>
      </c>
      <c r="J106" s="198">
        <f>_xlfn.IFNA(IF(J$7="Fixed",1,IF(AND($D106="yes",J$7="Block"),INDEX($O646:$Q646,1,MATCH(J$5,$I40:$K40,0)),INDEX(Movements!$G646:$M646,1,MATCH(J$7,Movements!$G$614:$M$614,0))))
*J850*J$8,0)</f>
        <v>0</v>
      </c>
      <c r="K106" s="198">
        <f>_xlfn.IFNA(IF(K$7="Fixed",1,IF(AND($D106="yes",K$7="Block"),INDEX($O646:$Q646,1,MATCH(K$5,$I40:$K40,0)),INDEX(Movements!$G646:$M646,1,MATCH(K$7,Movements!$G$614:$M$614,0))))
*K850*K$8,0)</f>
        <v>0</v>
      </c>
      <c r="L106" s="198">
        <f>_xlfn.IFNA(IF(L$7="Fixed",1,IF(AND($D106="yes",L$7="Block"),INDEX($O646:$Q646,1,MATCH(L$5,$I40:$K40,0)),INDEX(Movements!$G646:$M646,1,MATCH(L$7,Movements!$G$614:$M$614,0))))
*L850*L$8,0)</f>
        <v>0</v>
      </c>
      <c r="M106" s="198">
        <f>_xlfn.IFNA(IF(M$7="Fixed",1,IF(AND($D106="yes",M$7="Block"),INDEX($O646:$Q646,1,MATCH(M$5,$I40:$K40,0)),INDEX(Movements!$G646:$M646,1,MATCH(M$7,Movements!$G$614:$M$614,0))))
*M850*M$8,0)</f>
        <v>0</v>
      </c>
      <c r="N106" s="198">
        <f>_xlfn.IFNA(IF(N$7="Fixed",1,IF(AND($D106="yes",N$7="Block"),INDEX($O646:$Q646,1,MATCH(N$5,$I40:$K40,0)),INDEX(Movements!$G646:$M646,1,MATCH(N$7,Movements!$G$614:$M$614,0))))
*N850*N$8,0)</f>
        <v>0</v>
      </c>
      <c r="O106" s="198">
        <f>_xlfn.IFNA(IF(O$7="Fixed",1,IF(AND($D106="yes",O$7="Block"),INDEX($O646:$Q646,1,MATCH(O$5,$I40:$K40,0)),INDEX(Movements!$G646:$M646,1,MATCH(O$7,Movements!$G$614:$M$614,0))))
*O850*O$8,0)</f>
        <v>0</v>
      </c>
      <c r="P106" s="198">
        <f>_xlfn.IFNA(IF(P$7="Fixed",1,IF(AND($D106="yes",P$7="Block"),INDEX($O646:$Q646,1,MATCH(P$5,$I40:$K40,0)),INDEX(Movements!$G646:$M646,1,MATCH(P$7,Movements!$G$614:$M$614,0))))
*P850*P$8,0)</f>
        <v>0</v>
      </c>
      <c r="Q106" s="198">
        <f>_xlfn.IFNA(IF(Q$7="Fixed",1,IF(AND($D106="yes",Q$7="Block"),INDEX($O646:$Q646,1,MATCH(Q$5,$I40:$K40,0)),INDEX(Movements!$G646:$M646,1,MATCH(Q$7,Movements!$G$614:$M$614,0))))
*Q850*Q$8,0)</f>
        <v>0</v>
      </c>
      <c r="R106" s="198">
        <f>_xlfn.IFNA(IF(R$7="Fixed",1,IF(AND($D106="yes",R$7="Block"),INDEX($O646:$Q646,1,MATCH(R$5,$I40:$K40,0)),INDEX(Movements!$G646:$M646,1,MATCH(R$7,Movements!$G$614:$M$614,0))))
*R850*R$8,0)</f>
        <v>0</v>
      </c>
      <c r="S106" s="198">
        <f>_xlfn.IFNA(IF(S$7="Fixed",1,IF(AND($D106="yes",S$7="Block"),INDEX($O646:$Q646,1,MATCH(S$5,$I40:$K40,0)),INDEX(Movements!$G646:$M646,1,MATCH(S$7,Movements!$G$614:$M$614,0))))
*S850*S$8,0)</f>
        <v>0</v>
      </c>
      <c r="T106" s="198">
        <f>_xlfn.IFNA(IF(T$7="Fixed",1,IF(AND($D106="yes",T$7="Block"),INDEX($O646:$Q646,1,MATCH(T$5,$I40:$K40,0)),INDEX(Movements!$G646:$M646,1,MATCH(T$7,Movements!$G$614:$M$614,0))))
*T850*T$8,0)</f>
        <v>0</v>
      </c>
      <c r="U106" s="198">
        <f>_xlfn.IFNA(IF(U$7="Fixed",1,IF(AND($D106="yes",U$7="Block"),INDEX($O646:$Q646,1,MATCH(U$5,$I40:$K40,0)),INDEX(Movements!$G646:$M646,1,MATCH(U$7,Movements!$G$614:$M$614,0))))
*U850*U$8,0)</f>
        <v>0</v>
      </c>
      <c r="V106" s="198">
        <f>_xlfn.IFNA(IF(V$7="Fixed",1,IF(AND($D106="yes",V$7="Block"),INDEX($O646:$Q646,1,MATCH(V$5,$I40:$K40,0)),INDEX(Movements!$G646:$M646,1,MATCH(V$7,Movements!$G$614:$M$614,0))))
*V850*V$8,0)</f>
        <v>0</v>
      </c>
      <c r="W106" s="198">
        <f>_xlfn.IFNA(IF(W$7="Fixed",1,IF(AND($D106="yes",W$7="Block"),INDEX($O646:$Q646,1,MATCH(W$5,$I40:$K40,0)),INDEX(Movements!$G646:$M646,1,MATCH(W$7,Movements!$G$614:$M$614,0))))
*W850*W$8,0)</f>
        <v>0</v>
      </c>
      <c r="X106" s="198">
        <f>_xlfn.IFNA(IF(X$7="Fixed",1,IF(AND($D106="yes",X$7="Block"),INDEX($O646:$Q646,1,MATCH(X$5,$I40:$K40,0)),INDEX(Movements!$G646:$M646,1,MATCH(X$7,Movements!$G$614:$M$614,0))))
*X850*X$8,0)</f>
        <v>0</v>
      </c>
      <c r="Y106" s="198">
        <f>_xlfn.IFNA(IF(Y$7="Fixed",1,IF(AND($D106="yes",Y$7="Block"),INDEX($O646:$Q646,1,MATCH(Y$5,$I40:$K40,0)),INDEX(Movements!$G646:$M646,1,MATCH(Y$7,Movements!$G$614:$M$614,0))))
*Y850*Y$8,0)</f>
        <v>0</v>
      </c>
      <c r="Z106" s="198">
        <f>_xlfn.IFNA(IF(Z$7="Fixed",1,IF(AND($D106="yes",Z$7="Block"),INDEX($O646:$Q646,1,MATCH(Z$5,$I40:$K40,0)),INDEX(Movements!$G646:$M646,1,MATCH(Z$7,Movements!$G$614:$M$614,0))))
*Z850*Z$8,0)</f>
        <v>0</v>
      </c>
      <c r="AA106" s="198">
        <f>_xlfn.IFNA(IF(AA$7="Fixed",1,IF(AND($D106="yes",AA$7="Block"),INDEX($O646:$Q646,1,MATCH(AA$5,$I40:$K40,0)),INDEX(Movements!$G646:$M646,1,MATCH(AA$7,Movements!$G$614:$M$614,0))))
*AA850*AA$8,0)</f>
        <v>0</v>
      </c>
      <c r="AB106" s="198">
        <f>_xlfn.IFNA(IF(AB$7="Fixed",1,IF(AND($D106="yes",AB$7="Block"),INDEX($O646:$Q646,1,MATCH(AB$5,$I40:$K40,0)),INDEX(Movements!$G646:$M646,1,MATCH(AB$7,Movements!$G$614:$M$614,0))))
*AB850*AB$8,0)</f>
        <v>0</v>
      </c>
      <c r="AC106" s="70"/>
      <c r="AD106" s="19"/>
      <c r="AE106" s="19"/>
      <c r="AF106" s="19"/>
      <c r="AG106" s="19"/>
    </row>
    <row r="107" spans="1:33" outlineLevel="2" collapsed="1" x14ac:dyDescent="0.2">
      <c r="A107" s="19"/>
      <c r="B107" s="19"/>
      <c r="C107" s="560"/>
      <c r="D107" s="558"/>
      <c r="E107" s="559"/>
      <c r="F107" s="58"/>
      <c r="G107" s="58"/>
      <c r="H107" s="58"/>
      <c r="I107" s="137"/>
      <c r="J107" s="137"/>
      <c r="K107" s="138"/>
      <c r="L107" s="138"/>
      <c r="M107" s="138"/>
      <c r="N107" s="139"/>
      <c r="O107" s="139"/>
      <c r="P107" s="139"/>
      <c r="Q107" s="139"/>
      <c r="R107" s="139"/>
      <c r="S107" s="138"/>
      <c r="T107" s="138"/>
      <c r="U107" s="138"/>
      <c r="V107" s="70"/>
      <c r="W107" s="70"/>
      <c r="X107" s="70"/>
      <c r="Y107" s="70"/>
      <c r="Z107" s="70"/>
      <c r="AA107" s="70"/>
      <c r="AB107" s="70"/>
      <c r="AC107" s="70"/>
      <c r="AD107" s="19"/>
      <c r="AE107" s="19"/>
      <c r="AF107" s="19"/>
      <c r="AG107" s="19"/>
    </row>
    <row r="108" spans="1:33" outlineLevel="1" x14ac:dyDescent="0.2">
      <c r="A108" s="19"/>
      <c r="B108" s="19"/>
      <c r="C108" s="66"/>
      <c r="D108" s="66"/>
      <c r="E108" s="58"/>
      <c r="F108" s="58"/>
      <c r="G108" s="58"/>
      <c r="H108" s="58"/>
      <c r="I108" s="137"/>
      <c r="J108" s="137"/>
      <c r="K108" s="138"/>
      <c r="L108" s="138"/>
      <c r="M108" s="138"/>
      <c r="N108" s="139"/>
      <c r="O108" s="139"/>
      <c r="P108" s="139"/>
      <c r="Q108" s="139"/>
      <c r="R108" s="139"/>
      <c r="S108" s="138"/>
      <c r="T108" s="138"/>
      <c r="U108" s="138"/>
      <c r="V108" s="70"/>
      <c r="W108" s="70"/>
      <c r="X108" s="70"/>
      <c r="Y108" s="70"/>
      <c r="Z108" s="70"/>
      <c r="AA108" s="70"/>
      <c r="AB108" s="70"/>
      <c r="AC108" s="70"/>
      <c r="AD108" s="19"/>
      <c r="AE108" s="19"/>
      <c r="AF108" s="19"/>
      <c r="AG108" s="19"/>
    </row>
    <row r="109" spans="1:33" outlineLevel="1" x14ac:dyDescent="0.2">
      <c r="A109" s="19"/>
      <c r="B109" s="19"/>
      <c r="C109" s="167" t="s">
        <v>137</v>
      </c>
      <c r="D109" s="167"/>
      <c r="E109" s="20"/>
      <c r="F109" s="20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19"/>
      <c r="AD109" s="19"/>
      <c r="AE109" s="19"/>
      <c r="AF109" s="19"/>
      <c r="AG109" s="19"/>
    </row>
    <row r="110" spans="1:33" outlineLevel="2" x14ac:dyDescent="0.2">
      <c r="A110" s="19"/>
      <c r="B110" s="97">
        <v>1</v>
      </c>
      <c r="C110" s="506" t="str">
        <f t="shared" ref="C110:E139" si="5">C77</f>
        <v>Residential time of use consumption</v>
      </c>
      <c r="D110" s="505">
        <f t="shared" si="5"/>
        <v>0</v>
      </c>
      <c r="E110" s="505" t="str">
        <f t="shared" si="5"/>
        <v>yes</v>
      </c>
      <c r="F110" s="20"/>
      <c r="G110" s="199">
        <f t="shared" ref="G110:G139" si="6">SUM(I110:AB110)</f>
        <v>132.02336965028547</v>
      </c>
      <c r="H110" s="22"/>
      <c r="I110" s="198">
        <f>_xlfn.IFNA(IF(I$7="Fixed",1,IF(AND($D77="yes",I$7="Block"),INDEX($O617:$Q617,1,MATCH(I$5,$I11:$K11,0)),INDEX(Movements!$G617:$M617,1,MATCH(I$7,Movements!$G$614:$M$614,0))))
*I854*I$8,0)</f>
        <v>0</v>
      </c>
      <c r="J110" s="198">
        <f>_xlfn.IFNA(IF(J$7="Fixed",1,IF(AND($D77="yes",J$7="Block"),INDEX($O617:$Q617,1,MATCH(J$5,$I11:$K11,0)),INDEX(Movements!$G617:$M617,1,MATCH(J$7,Movements!$G$614:$M$614,0))))
*J854*J$8,0)</f>
        <v>0</v>
      </c>
      <c r="K110" s="198">
        <f>_xlfn.IFNA(IF(K$7="Fixed",1,IF(AND($D77="yes",K$7="Block"),INDEX($O617:$Q617,1,MATCH(K$5,$I11:$K11,0)),INDEX(Movements!$G617:$M617,1,MATCH(K$7,Movements!$G$614:$M$614,0))))
*K854*K$8,0)</f>
        <v>90.883776826084855</v>
      </c>
      <c r="L110" s="198">
        <f>_xlfn.IFNA(IF(L$7="Fixed",1,IF(AND($D77="yes",L$7="Block"),INDEX($O617:$Q617,1,MATCH(L$5,$I11:$K11,0)),INDEX(Movements!$G617:$M617,1,MATCH(L$7,Movements!$G$614:$M$614,0))))
*L854*L$8,0)</f>
        <v>0</v>
      </c>
      <c r="M110" s="198">
        <f>_xlfn.IFNA(IF(M$7="Fixed",1,IF(AND($D77="yes",M$7="Block"),INDEX($O617:$Q617,1,MATCH(M$5,$I11:$K11,0)),INDEX(Movements!$G617:$M617,1,MATCH(M$7,Movements!$G$614:$M$614,0))))
*M854*M$8,0)</f>
        <v>41.139592824200633</v>
      </c>
      <c r="N110" s="198">
        <f>_xlfn.IFNA(IF(N$7="Fixed",1,IF(AND($D77="yes",N$7="Block"),INDEX($O617:$Q617,1,MATCH(N$5,$I11:$K11,0)),INDEX(Movements!$G617:$M617,1,MATCH(N$7,Movements!$G$614:$M$614,0))))
*N854*N$8,0)</f>
        <v>0</v>
      </c>
      <c r="O110" s="198">
        <f>_xlfn.IFNA(IF(O$7="Fixed",1,IF(AND($D77="yes",O$7="Block"),INDEX($O617:$Q617,1,MATCH(O$5,$I11:$K11,0)),INDEX(Movements!$G617:$M617,1,MATCH(O$7,Movements!$G$614:$M$614,0))))
*O854*O$8,0)</f>
        <v>0</v>
      </c>
      <c r="P110" s="198">
        <f>_xlfn.IFNA(IF(P$7="Fixed",1,IF(AND($D77="yes",P$7="Block"),INDEX($O617:$Q617,1,MATCH(P$5,$I11:$K11,0)),INDEX(Movements!$G617:$M617,1,MATCH(P$7,Movements!$G$614:$M$614,0))))
*P854*P$8,0)</f>
        <v>0</v>
      </c>
      <c r="Q110" s="198">
        <f>_xlfn.IFNA(IF(Q$7="Fixed",1,IF(AND($D77="yes",Q$7="Block"),INDEX($O617:$Q617,1,MATCH(Q$5,$I11:$K11,0)),INDEX(Movements!$G617:$M617,1,MATCH(Q$7,Movements!$G$614:$M$614,0))))
*Q854*Q$8,0)</f>
        <v>0</v>
      </c>
      <c r="R110" s="198">
        <f>_xlfn.IFNA(IF(R$7="Fixed",1,IF(AND($D77="yes",R$7="Block"),INDEX($O617:$Q617,1,MATCH(R$5,$I11:$K11,0)),INDEX(Movements!$G617:$M617,1,MATCH(R$7,Movements!$G$614:$M$614,0))))
*R854*R$8,0)</f>
        <v>0</v>
      </c>
      <c r="S110" s="198">
        <f>_xlfn.IFNA(IF(S$7="Fixed",1,IF(AND($D77="yes",S$7="Block"),INDEX($O617:$Q617,1,MATCH(S$5,$I11:$K11,0)),INDEX(Movements!$G617:$M617,1,MATCH(S$7,Movements!$G$614:$M$614,0))))
*S854*S$8,0)</f>
        <v>0</v>
      </c>
      <c r="T110" s="198">
        <f>_xlfn.IFNA(IF(T$7="Fixed",1,IF(AND($D77="yes",T$7="Block"),INDEX($O617:$Q617,1,MATCH(T$5,$I11:$K11,0)),INDEX(Movements!$G617:$M617,1,MATCH(T$7,Movements!$G$614:$M$614,0))))
*T854*T$8,0)</f>
        <v>0</v>
      </c>
      <c r="U110" s="198">
        <f>_xlfn.IFNA(IF(U$7="Fixed",1,IF(AND($D77="yes",U$7="Block"),INDEX($O617:$Q617,1,MATCH(U$5,$I11:$K11,0)),INDEX(Movements!$G617:$M617,1,MATCH(U$7,Movements!$G$614:$M$614,0))))
*U854*U$8,0)</f>
        <v>0</v>
      </c>
      <c r="V110" s="198">
        <f>_xlfn.IFNA(IF(V$7="Fixed",1,IF(AND($D77="yes",V$7="Block"),INDEX($O617:$Q617,1,MATCH(V$5,$I11:$K11,0)),INDEX(Movements!$G617:$M617,1,MATCH(V$7,Movements!$G$614:$M$614,0))))
*V854*V$8,0)</f>
        <v>0</v>
      </c>
      <c r="W110" s="198">
        <f>_xlfn.IFNA(IF(W$7="Fixed",1,IF(AND($D77="yes",W$7="Block"),INDEX($O617:$Q617,1,MATCH(W$5,$I11:$K11,0)),INDEX(Movements!$G617:$M617,1,MATCH(W$7,Movements!$G$614:$M$614,0))))
*W854*W$8,0)</f>
        <v>0</v>
      </c>
      <c r="X110" s="198">
        <f>_xlfn.IFNA(IF(X$7="Fixed",1,IF(AND($D77="yes",X$7="Block"),INDEX($O617:$Q617,1,MATCH(X$5,$I11:$K11,0)),INDEX(Movements!$G617:$M617,1,MATCH(X$7,Movements!$G$614:$M$614,0))))
*X854*X$8,0)</f>
        <v>0</v>
      </c>
      <c r="Y110" s="198">
        <f>_xlfn.IFNA(IF(Y$7="Fixed",1,IF(AND($D77="yes",Y$7="Block"),INDEX($O617:$Q617,1,MATCH(Y$5,$I11:$K11,0)),INDEX(Movements!$G617:$M617,1,MATCH(Y$7,Movements!$G$614:$M$614,0))))
*Y854*Y$8,0)</f>
        <v>0</v>
      </c>
      <c r="Z110" s="198">
        <f>_xlfn.IFNA(IF(Z$7="Fixed",1,IF(AND($D77="yes",Z$7="Block"),INDEX($O617:$Q617,1,MATCH(Z$5,$I11:$K11,0)),INDEX(Movements!$G617:$M617,1,MATCH(Z$7,Movements!$G$614:$M$614,0))))
*Z854*Z$8,0)</f>
        <v>0</v>
      </c>
      <c r="AA110" s="198">
        <f>_xlfn.IFNA(IF(AA$7="Fixed",1,IF(AND($D77="yes",AA$7="Block"),INDEX($O617:$Q617,1,MATCH(AA$5,$I11:$K11,0)),INDEX(Movements!$G617:$M617,1,MATCH(AA$7,Movements!$G$614:$M$614,0))))
*AA854*AA$8,0)</f>
        <v>0</v>
      </c>
      <c r="AB110" s="198">
        <f>_xlfn.IFNA(IF(AB$7="Fixed",1,IF(AND($D77="yes",AB$7="Block"),INDEX($O617:$Q617,1,MATCH(AB$5,$I11:$K11,0)),INDEX(Movements!$G617:$M617,1,MATCH(AB$7,Movements!$G$614:$M$614,0))))
*AB854*AB$8,0)</f>
        <v>0</v>
      </c>
      <c r="AC110" s="70"/>
      <c r="AD110" s="19"/>
      <c r="AE110" s="19"/>
      <c r="AF110" s="19"/>
      <c r="AG110" s="19"/>
    </row>
    <row r="111" spans="1:33" s="59" customFormat="1" outlineLevel="2" x14ac:dyDescent="0.2">
      <c r="A111" s="57"/>
      <c r="B111" s="98">
        <v>2</v>
      </c>
      <c r="C111" s="506" t="str">
        <f t="shared" si="5"/>
        <v>Residential general light and power</v>
      </c>
      <c r="D111" s="505">
        <f t="shared" si="5"/>
        <v>0</v>
      </c>
      <c r="E111" s="505" t="str">
        <f t="shared" si="5"/>
        <v>no</v>
      </c>
      <c r="F111" s="58"/>
      <c r="G111" s="199">
        <f t="shared" si="6"/>
        <v>69.029377172814606</v>
      </c>
      <c r="H111" s="58"/>
      <c r="I111" s="198">
        <f>_xlfn.IFNA(IF(I$7="Fixed",1,IF(AND($D78="yes",I$7="Block"),INDEX($O618:$Q618,1,MATCH(I$5,$I12:$K12,0)),INDEX(Movements!$G618:$M618,1,MATCH(I$7,Movements!$G$614:$M$614,0))))
*I855*I$8,0)</f>
        <v>0</v>
      </c>
      <c r="J111" s="198">
        <f>_xlfn.IFNA(IF(J$7="Fixed",1,IF(AND($D78="yes",J$7="Block"),INDEX($O618:$Q618,1,MATCH(J$5,$I12:$K12,0)),INDEX(Movements!$G618:$M618,1,MATCH(J$7,Movements!$G$614:$M$614,0))))
*J855*J$8,0)</f>
        <v>69.029377172814606</v>
      </c>
      <c r="K111" s="198">
        <f>_xlfn.IFNA(IF(K$7="Fixed",1,IF(AND($D78="yes",K$7="Block"),INDEX($O618:$Q618,1,MATCH(K$5,$I12:$K12,0)),INDEX(Movements!$G618:$M618,1,MATCH(K$7,Movements!$G$614:$M$614,0))))
*K855*K$8,0)</f>
        <v>0</v>
      </c>
      <c r="L111" s="198">
        <f>_xlfn.IFNA(IF(L$7="Fixed",1,IF(AND($D78="yes",L$7="Block"),INDEX($O618:$Q618,1,MATCH(L$5,$I12:$K12,0)),INDEX(Movements!$G618:$M618,1,MATCH(L$7,Movements!$G$614:$M$614,0))))
*L855*L$8,0)</f>
        <v>0</v>
      </c>
      <c r="M111" s="198">
        <f>_xlfn.IFNA(IF(M$7="Fixed",1,IF(AND($D78="yes",M$7="Block"),INDEX($O618:$Q618,1,MATCH(M$5,$I12:$K12,0)),INDEX(Movements!$G618:$M618,1,MATCH(M$7,Movements!$G$614:$M$614,0))))
*M855*M$8,0)</f>
        <v>0</v>
      </c>
      <c r="N111" s="198">
        <f>_xlfn.IFNA(IF(N$7="Fixed",1,IF(AND($D78="yes",N$7="Block"),INDEX($O618:$Q618,1,MATCH(N$5,$I12:$K12,0)),INDEX(Movements!$G618:$M618,1,MATCH(N$7,Movements!$G$614:$M$614,0))))
*N855*N$8,0)</f>
        <v>0</v>
      </c>
      <c r="O111" s="198">
        <f>_xlfn.IFNA(IF(O$7="Fixed",1,IF(AND($D78="yes",O$7="Block"),INDEX($O618:$Q618,1,MATCH(O$5,$I12:$K12,0)),INDEX(Movements!$G618:$M618,1,MATCH(O$7,Movements!$G$614:$M$614,0))))
*O855*O$8,0)</f>
        <v>0</v>
      </c>
      <c r="P111" s="198">
        <f>_xlfn.IFNA(IF(P$7="Fixed",1,IF(AND($D78="yes",P$7="Block"),INDEX($O618:$Q618,1,MATCH(P$5,$I12:$K12,0)),INDEX(Movements!$G618:$M618,1,MATCH(P$7,Movements!$G$614:$M$614,0))))
*P855*P$8,0)</f>
        <v>0</v>
      </c>
      <c r="Q111" s="198">
        <f>_xlfn.IFNA(IF(Q$7="Fixed",1,IF(AND($D78="yes",Q$7="Block"),INDEX($O618:$Q618,1,MATCH(Q$5,$I12:$K12,0)),INDEX(Movements!$G618:$M618,1,MATCH(Q$7,Movements!$G$614:$M$614,0))))
*Q855*Q$8,0)</f>
        <v>0</v>
      </c>
      <c r="R111" s="198">
        <f>_xlfn.IFNA(IF(R$7="Fixed",1,IF(AND($D78="yes",R$7="Block"),INDEX($O618:$Q618,1,MATCH(R$5,$I12:$K12,0)),INDEX(Movements!$G618:$M618,1,MATCH(R$7,Movements!$G$614:$M$614,0))))
*R855*R$8,0)</f>
        <v>0</v>
      </c>
      <c r="S111" s="198">
        <f>_xlfn.IFNA(IF(S$7="Fixed",1,IF(AND($D78="yes",S$7="Block"),INDEX($O618:$Q618,1,MATCH(S$5,$I12:$K12,0)),INDEX(Movements!$G618:$M618,1,MATCH(S$7,Movements!$G$614:$M$614,0))))
*S855*S$8,0)</f>
        <v>0</v>
      </c>
      <c r="T111" s="198">
        <f>_xlfn.IFNA(IF(T$7="Fixed",1,IF(AND($D78="yes",T$7="Block"),INDEX($O618:$Q618,1,MATCH(T$5,$I12:$K12,0)),INDEX(Movements!$G618:$M618,1,MATCH(T$7,Movements!$G$614:$M$614,0))))
*T855*T$8,0)</f>
        <v>0</v>
      </c>
      <c r="U111" s="198">
        <f>_xlfn.IFNA(IF(U$7="Fixed",1,IF(AND($D78="yes",U$7="Block"),INDEX($O618:$Q618,1,MATCH(U$5,$I12:$K12,0)),INDEX(Movements!$G618:$M618,1,MATCH(U$7,Movements!$G$614:$M$614,0))))
*U855*U$8,0)</f>
        <v>0</v>
      </c>
      <c r="V111" s="198">
        <f>_xlfn.IFNA(IF(V$7="Fixed",1,IF(AND($D78="yes",V$7="Block"),INDEX($O618:$Q618,1,MATCH(V$5,$I12:$K12,0)),INDEX(Movements!$G618:$M618,1,MATCH(V$7,Movements!$G$614:$M$614,0))))
*V855*V$8,0)</f>
        <v>0</v>
      </c>
      <c r="W111" s="198">
        <f>_xlfn.IFNA(IF(W$7="Fixed",1,IF(AND($D78="yes",W$7="Block"),INDEX($O618:$Q618,1,MATCH(W$5,$I12:$K12,0)),INDEX(Movements!$G618:$M618,1,MATCH(W$7,Movements!$G$614:$M$614,0))))
*W855*W$8,0)</f>
        <v>0</v>
      </c>
      <c r="X111" s="198">
        <f>_xlfn.IFNA(IF(X$7="Fixed",1,IF(AND($D78="yes",X$7="Block"),INDEX($O618:$Q618,1,MATCH(X$5,$I12:$K12,0)),INDEX(Movements!$G618:$M618,1,MATCH(X$7,Movements!$G$614:$M$614,0))))
*X855*X$8,0)</f>
        <v>0</v>
      </c>
      <c r="Y111" s="198">
        <f>_xlfn.IFNA(IF(Y$7="Fixed",1,IF(AND($D78="yes",Y$7="Block"),INDEX($O618:$Q618,1,MATCH(Y$5,$I12:$K12,0)),INDEX(Movements!$G618:$M618,1,MATCH(Y$7,Movements!$G$614:$M$614,0))))
*Y855*Y$8,0)</f>
        <v>0</v>
      </c>
      <c r="Z111" s="198">
        <f>_xlfn.IFNA(IF(Z$7="Fixed",1,IF(AND($D78="yes",Z$7="Block"),INDEX($O618:$Q618,1,MATCH(Z$5,$I12:$K12,0)),INDEX(Movements!$G618:$M618,1,MATCH(Z$7,Movements!$G$614:$M$614,0))))
*Z855*Z$8,0)</f>
        <v>0</v>
      </c>
      <c r="AA111" s="198">
        <f>_xlfn.IFNA(IF(AA$7="Fixed",1,IF(AND($D78="yes",AA$7="Block"),INDEX($O618:$Q618,1,MATCH(AA$5,$I12:$K12,0)),INDEX(Movements!$G618:$M618,1,MATCH(AA$7,Movements!$G$614:$M$614,0))))
*AA855*AA$8,0)</f>
        <v>0</v>
      </c>
      <c r="AB111" s="198">
        <f>_xlfn.IFNA(IF(AB$7="Fixed",1,IF(AND($D78="yes",AB$7="Block"),INDEX($O618:$Q618,1,MATCH(AB$5,$I12:$K12,0)),INDEX(Movements!$G618:$M618,1,MATCH(AB$7,Movements!$G$614:$M$614,0))))
*AB855*AB$8,0)</f>
        <v>0</v>
      </c>
      <c r="AC111" s="70"/>
      <c r="AD111" s="57"/>
      <c r="AE111" s="57"/>
      <c r="AF111" s="57"/>
      <c r="AG111" s="57"/>
    </row>
    <row r="112" spans="1:33" outlineLevel="2" x14ac:dyDescent="0.2">
      <c r="A112" s="19"/>
      <c r="B112" s="97">
        <v>3</v>
      </c>
      <c r="C112" s="506" t="str">
        <f t="shared" si="5"/>
        <v>Residential pay as you go</v>
      </c>
      <c r="D112" s="505">
        <f t="shared" si="5"/>
        <v>0</v>
      </c>
      <c r="E112" s="505" t="str">
        <f t="shared" si="5"/>
        <v>no</v>
      </c>
      <c r="F112" s="58"/>
      <c r="G112" s="199">
        <f t="shared" si="6"/>
        <v>0</v>
      </c>
      <c r="H112" s="58"/>
      <c r="I112" s="198">
        <f>_xlfn.IFNA(IF(I$7="Fixed",1,IF(AND($D79="yes",I$7="Block"),INDEX($O619:$Q619,1,MATCH(I$5,$I13:$K13,0)),INDEX(Movements!$G619:$M619,1,MATCH(I$7,Movements!$G$614:$M$614,0))))
*I856*I$8,0)</f>
        <v>0</v>
      </c>
      <c r="J112" s="198">
        <f>_xlfn.IFNA(IF(J$7="Fixed",1,IF(AND($D79="yes",J$7="Block"),INDEX($O619:$Q619,1,MATCH(J$5,$I13:$K13,0)),INDEX(Movements!$G619:$M619,1,MATCH(J$7,Movements!$G$614:$M$614,0))))
*J856*J$8,0)</f>
        <v>0</v>
      </c>
      <c r="K112" s="198">
        <f>_xlfn.IFNA(IF(K$7="Fixed",1,IF(AND($D79="yes",K$7="Block"),INDEX($O619:$Q619,1,MATCH(K$5,$I13:$K13,0)),INDEX(Movements!$G619:$M619,1,MATCH(K$7,Movements!$G$614:$M$614,0))))
*K856*K$8,0)</f>
        <v>0</v>
      </c>
      <c r="L112" s="198">
        <f>_xlfn.IFNA(IF(L$7="Fixed",1,IF(AND($D79="yes",L$7="Block"),INDEX($O619:$Q619,1,MATCH(L$5,$I13:$K13,0)),INDEX(Movements!$G619:$M619,1,MATCH(L$7,Movements!$G$614:$M$614,0))))
*L856*L$8,0)</f>
        <v>0</v>
      </c>
      <c r="M112" s="198">
        <f>_xlfn.IFNA(IF(M$7="Fixed",1,IF(AND($D79="yes",M$7="Block"),INDEX($O619:$Q619,1,MATCH(M$5,$I13:$K13,0)),INDEX(Movements!$G619:$M619,1,MATCH(M$7,Movements!$G$614:$M$614,0))))
*M856*M$8,0)</f>
        <v>0</v>
      </c>
      <c r="N112" s="198">
        <f>_xlfn.IFNA(IF(N$7="Fixed",1,IF(AND($D79="yes",N$7="Block"),INDEX($O619:$Q619,1,MATCH(N$5,$I13:$K13,0)),INDEX(Movements!$G619:$M619,1,MATCH(N$7,Movements!$G$614:$M$614,0))))
*N856*N$8,0)</f>
        <v>0</v>
      </c>
      <c r="O112" s="198">
        <f>_xlfn.IFNA(IF(O$7="Fixed",1,IF(AND($D79="yes",O$7="Block"),INDEX($O619:$Q619,1,MATCH(O$5,$I13:$K13,0)),INDEX(Movements!$G619:$M619,1,MATCH(O$7,Movements!$G$614:$M$614,0))))
*O856*O$8,0)</f>
        <v>0</v>
      </c>
      <c r="P112" s="198">
        <f>_xlfn.IFNA(IF(P$7="Fixed",1,IF(AND($D79="yes",P$7="Block"),INDEX($O619:$Q619,1,MATCH(P$5,$I13:$K13,0)),INDEX(Movements!$G619:$M619,1,MATCH(P$7,Movements!$G$614:$M$614,0))))
*P856*P$8,0)</f>
        <v>0</v>
      </c>
      <c r="Q112" s="198">
        <f>_xlfn.IFNA(IF(Q$7="Fixed",1,IF(AND($D79="yes",Q$7="Block"),INDEX($O619:$Q619,1,MATCH(Q$5,$I13:$K13,0)),INDEX(Movements!$G619:$M619,1,MATCH(Q$7,Movements!$G$614:$M$614,0))))
*Q856*Q$8,0)</f>
        <v>0</v>
      </c>
      <c r="R112" s="198">
        <f>_xlfn.IFNA(IF(R$7="Fixed",1,IF(AND($D79="yes",R$7="Block"),INDEX($O619:$Q619,1,MATCH(R$5,$I13:$K13,0)),INDEX(Movements!$G619:$M619,1,MATCH(R$7,Movements!$G$614:$M$614,0))))
*R856*R$8,0)</f>
        <v>0</v>
      </c>
      <c r="S112" s="198">
        <f>_xlfn.IFNA(IF(S$7="Fixed",1,IF(AND($D79="yes",S$7="Block"),INDEX($O619:$Q619,1,MATCH(S$5,$I13:$K13,0)),INDEX(Movements!$G619:$M619,1,MATCH(S$7,Movements!$G$614:$M$614,0))))
*S856*S$8,0)</f>
        <v>0</v>
      </c>
      <c r="T112" s="198">
        <f>_xlfn.IFNA(IF(T$7="Fixed",1,IF(AND($D79="yes",T$7="Block"),INDEX($O619:$Q619,1,MATCH(T$5,$I13:$K13,0)),INDEX(Movements!$G619:$M619,1,MATCH(T$7,Movements!$G$614:$M$614,0))))
*T856*T$8,0)</f>
        <v>0</v>
      </c>
      <c r="U112" s="198">
        <f>_xlfn.IFNA(IF(U$7="Fixed",1,IF(AND($D79="yes",U$7="Block"),INDEX($O619:$Q619,1,MATCH(U$5,$I13:$K13,0)),INDEX(Movements!$G619:$M619,1,MATCH(U$7,Movements!$G$614:$M$614,0))))
*U856*U$8,0)</f>
        <v>0</v>
      </c>
      <c r="V112" s="198">
        <f>_xlfn.IFNA(IF(V$7="Fixed",1,IF(AND($D79="yes",V$7="Block"),INDEX($O619:$Q619,1,MATCH(V$5,$I13:$K13,0)),INDEX(Movements!$G619:$M619,1,MATCH(V$7,Movements!$G$614:$M$614,0))))
*V856*V$8,0)</f>
        <v>0</v>
      </c>
      <c r="W112" s="198">
        <f>_xlfn.IFNA(IF(W$7="Fixed",1,IF(AND($D79="yes",W$7="Block"),INDEX($O619:$Q619,1,MATCH(W$5,$I13:$K13,0)),INDEX(Movements!$G619:$M619,1,MATCH(W$7,Movements!$G$614:$M$614,0))))
*W856*W$8,0)</f>
        <v>0</v>
      </c>
      <c r="X112" s="198">
        <f>_xlfn.IFNA(IF(X$7="Fixed",1,IF(AND($D79="yes",X$7="Block"),INDEX($O619:$Q619,1,MATCH(X$5,$I13:$K13,0)),INDEX(Movements!$G619:$M619,1,MATCH(X$7,Movements!$G$614:$M$614,0))))
*X856*X$8,0)</f>
        <v>0</v>
      </c>
      <c r="Y112" s="198">
        <f>_xlfn.IFNA(IF(Y$7="Fixed",1,IF(AND($D79="yes",Y$7="Block"),INDEX($O619:$Q619,1,MATCH(Y$5,$I13:$K13,0)),INDEX(Movements!$G619:$M619,1,MATCH(Y$7,Movements!$G$614:$M$614,0))))
*Y856*Y$8,0)</f>
        <v>0</v>
      </c>
      <c r="Z112" s="198">
        <f>_xlfn.IFNA(IF(Z$7="Fixed",1,IF(AND($D79="yes",Z$7="Block"),INDEX($O619:$Q619,1,MATCH(Z$5,$I13:$K13,0)),INDEX(Movements!$G619:$M619,1,MATCH(Z$7,Movements!$G$614:$M$614,0))))
*Z856*Z$8,0)</f>
        <v>0</v>
      </c>
      <c r="AA112" s="198">
        <f>_xlfn.IFNA(IF(AA$7="Fixed",1,IF(AND($D79="yes",AA$7="Block"),INDEX($O619:$Q619,1,MATCH(AA$5,$I13:$K13,0)),INDEX(Movements!$G619:$M619,1,MATCH(AA$7,Movements!$G$614:$M$614,0))))
*AA856*AA$8,0)</f>
        <v>0</v>
      </c>
      <c r="AB112" s="198">
        <f>_xlfn.IFNA(IF(AB$7="Fixed",1,IF(AND($D79="yes",AB$7="Block"),INDEX($O619:$Q619,1,MATCH(AB$5,$I13:$K13,0)),INDEX(Movements!$G619:$M619,1,MATCH(AB$7,Movements!$G$614:$M$614,0))))
*AB856*AB$8,0)</f>
        <v>0</v>
      </c>
      <c r="AC112" s="70"/>
      <c r="AD112" s="19"/>
      <c r="AE112" s="19"/>
      <c r="AF112" s="19"/>
      <c r="AG112" s="19"/>
    </row>
    <row r="113" spans="1:33" outlineLevel="2" x14ac:dyDescent="0.2">
      <c r="A113" s="19"/>
      <c r="B113" s="97">
        <v>4</v>
      </c>
      <c r="C113" s="506" t="str">
        <f t="shared" si="5"/>
        <v>Residential pay as you go time of use</v>
      </c>
      <c r="D113" s="505">
        <f t="shared" si="5"/>
        <v>0</v>
      </c>
      <c r="E113" s="505" t="str">
        <f t="shared" si="5"/>
        <v>no</v>
      </c>
      <c r="F113" s="58"/>
      <c r="G113" s="199">
        <f t="shared" si="6"/>
        <v>0</v>
      </c>
      <c r="H113" s="58"/>
      <c r="I113" s="198">
        <f>_xlfn.IFNA(IF(I$7="Fixed",1,IF(AND($D80="yes",I$7="Block"),INDEX($O620:$Q620,1,MATCH(I$5,$I14:$K14,0)),INDEX(Movements!$G620:$M620,1,MATCH(I$7,Movements!$G$614:$M$614,0))))
*I857*I$8,0)</f>
        <v>0</v>
      </c>
      <c r="J113" s="198">
        <f>_xlfn.IFNA(IF(J$7="Fixed",1,IF(AND($D80="yes",J$7="Block"),INDEX($O620:$Q620,1,MATCH(J$5,$I14:$K14,0)),INDEX(Movements!$G620:$M620,1,MATCH(J$7,Movements!$G$614:$M$614,0))))
*J857*J$8,0)</f>
        <v>0</v>
      </c>
      <c r="K113" s="198">
        <f>_xlfn.IFNA(IF(K$7="Fixed",1,IF(AND($D80="yes",K$7="Block"),INDEX($O620:$Q620,1,MATCH(K$5,$I14:$K14,0)),INDEX(Movements!$G620:$M620,1,MATCH(K$7,Movements!$G$614:$M$614,0))))
*K857*K$8,0)</f>
        <v>0</v>
      </c>
      <c r="L113" s="198">
        <f>_xlfn.IFNA(IF(L$7="Fixed",1,IF(AND($D80="yes",L$7="Block"),INDEX($O620:$Q620,1,MATCH(L$5,$I14:$K14,0)),INDEX(Movements!$G620:$M620,1,MATCH(L$7,Movements!$G$614:$M$614,0))))
*L857*L$8,0)</f>
        <v>0</v>
      </c>
      <c r="M113" s="198">
        <f>_xlfn.IFNA(IF(M$7="Fixed",1,IF(AND($D80="yes",M$7="Block"),INDEX($O620:$Q620,1,MATCH(M$5,$I14:$K14,0)),INDEX(Movements!$G620:$M620,1,MATCH(M$7,Movements!$G$614:$M$614,0))))
*M857*M$8,0)</f>
        <v>0</v>
      </c>
      <c r="N113" s="198">
        <f>_xlfn.IFNA(IF(N$7="Fixed",1,IF(AND($D80="yes",N$7="Block"),INDEX($O620:$Q620,1,MATCH(N$5,$I14:$K14,0)),INDEX(Movements!$G620:$M620,1,MATCH(N$7,Movements!$G$614:$M$614,0))))
*N857*N$8,0)</f>
        <v>0</v>
      </c>
      <c r="O113" s="198">
        <f>_xlfn.IFNA(IF(O$7="Fixed",1,IF(AND($D80="yes",O$7="Block"),INDEX($O620:$Q620,1,MATCH(O$5,$I14:$K14,0)),INDEX(Movements!$G620:$M620,1,MATCH(O$7,Movements!$G$614:$M$614,0))))
*O857*O$8,0)</f>
        <v>0</v>
      </c>
      <c r="P113" s="198">
        <f>_xlfn.IFNA(IF(P$7="Fixed",1,IF(AND($D80="yes",P$7="Block"),INDEX($O620:$Q620,1,MATCH(P$5,$I14:$K14,0)),INDEX(Movements!$G620:$M620,1,MATCH(P$7,Movements!$G$614:$M$614,0))))
*P857*P$8,0)</f>
        <v>0</v>
      </c>
      <c r="Q113" s="198">
        <f>_xlfn.IFNA(IF(Q$7="Fixed",1,IF(AND($D80="yes",Q$7="Block"),INDEX($O620:$Q620,1,MATCH(Q$5,$I14:$K14,0)),INDEX(Movements!$G620:$M620,1,MATCH(Q$7,Movements!$G$614:$M$614,0))))
*Q857*Q$8,0)</f>
        <v>0</v>
      </c>
      <c r="R113" s="198">
        <f>_xlfn.IFNA(IF(R$7="Fixed",1,IF(AND($D80="yes",R$7="Block"),INDEX($O620:$Q620,1,MATCH(R$5,$I14:$K14,0)),INDEX(Movements!$G620:$M620,1,MATCH(R$7,Movements!$G$614:$M$614,0))))
*R857*R$8,0)</f>
        <v>0</v>
      </c>
      <c r="S113" s="198">
        <f>_xlfn.IFNA(IF(S$7="Fixed",1,IF(AND($D80="yes",S$7="Block"),INDEX($O620:$Q620,1,MATCH(S$5,$I14:$K14,0)),INDEX(Movements!$G620:$M620,1,MATCH(S$7,Movements!$G$614:$M$614,0))))
*S857*S$8,0)</f>
        <v>0</v>
      </c>
      <c r="T113" s="198">
        <f>_xlfn.IFNA(IF(T$7="Fixed",1,IF(AND($D80="yes",T$7="Block"),INDEX($O620:$Q620,1,MATCH(T$5,$I14:$K14,0)),INDEX(Movements!$G620:$M620,1,MATCH(T$7,Movements!$G$614:$M$614,0))))
*T857*T$8,0)</f>
        <v>0</v>
      </c>
      <c r="U113" s="198">
        <f>_xlfn.IFNA(IF(U$7="Fixed",1,IF(AND($D80="yes",U$7="Block"),INDEX($O620:$Q620,1,MATCH(U$5,$I14:$K14,0)),INDEX(Movements!$G620:$M620,1,MATCH(U$7,Movements!$G$614:$M$614,0))))
*U857*U$8,0)</f>
        <v>0</v>
      </c>
      <c r="V113" s="198">
        <f>_xlfn.IFNA(IF(V$7="Fixed",1,IF(AND($D80="yes",V$7="Block"),INDEX($O620:$Q620,1,MATCH(V$5,$I14:$K14,0)),INDEX(Movements!$G620:$M620,1,MATCH(V$7,Movements!$G$614:$M$614,0))))
*V857*V$8,0)</f>
        <v>0</v>
      </c>
      <c r="W113" s="198">
        <f>_xlfn.IFNA(IF(W$7="Fixed",1,IF(AND($D80="yes",W$7="Block"),INDEX($O620:$Q620,1,MATCH(W$5,$I14:$K14,0)),INDEX(Movements!$G620:$M620,1,MATCH(W$7,Movements!$G$614:$M$614,0))))
*W857*W$8,0)</f>
        <v>0</v>
      </c>
      <c r="X113" s="198">
        <f>_xlfn.IFNA(IF(X$7="Fixed",1,IF(AND($D80="yes",X$7="Block"),INDEX($O620:$Q620,1,MATCH(X$5,$I14:$K14,0)),INDEX(Movements!$G620:$M620,1,MATCH(X$7,Movements!$G$614:$M$614,0))))
*X857*X$8,0)</f>
        <v>0</v>
      </c>
      <c r="Y113" s="198">
        <f>_xlfn.IFNA(IF(Y$7="Fixed",1,IF(AND($D80="yes",Y$7="Block"),INDEX($O620:$Q620,1,MATCH(Y$5,$I14:$K14,0)),INDEX(Movements!$G620:$M620,1,MATCH(Y$7,Movements!$G$614:$M$614,0))))
*Y857*Y$8,0)</f>
        <v>0</v>
      </c>
      <c r="Z113" s="198">
        <f>_xlfn.IFNA(IF(Z$7="Fixed",1,IF(AND($D80="yes",Z$7="Block"),INDEX($O620:$Q620,1,MATCH(Z$5,$I14:$K14,0)),INDEX(Movements!$G620:$M620,1,MATCH(Z$7,Movements!$G$614:$M$614,0))))
*Z857*Z$8,0)</f>
        <v>0</v>
      </c>
      <c r="AA113" s="198">
        <f>_xlfn.IFNA(IF(AA$7="Fixed",1,IF(AND($D80="yes",AA$7="Block"),INDEX($O620:$Q620,1,MATCH(AA$5,$I14:$K14,0)),INDEX(Movements!$G620:$M620,1,MATCH(AA$7,Movements!$G$614:$M$614,0))))
*AA857*AA$8,0)</f>
        <v>0</v>
      </c>
      <c r="AB113" s="198">
        <f>_xlfn.IFNA(IF(AB$7="Fixed",1,IF(AND($D80="yes",AB$7="Block"),INDEX($O620:$Q620,1,MATCH(AB$5,$I14:$K14,0)),INDEX(Movements!$G620:$M620,1,MATCH(AB$7,Movements!$G$614:$M$614,0))))
*AB857*AB$8,0)</f>
        <v>0</v>
      </c>
      <c r="AC113" s="70"/>
      <c r="AD113" s="19"/>
      <c r="AE113" s="19"/>
      <c r="AF113" s="19"/>
      <c r="AG113" s="19"/>
    </row>
    <row r="114" spans="1:33" outlineLevel="2" x14ac:dyDescent="0.2">
      <c r="A114" s="19"/>
      <c r="B114" s="97">
        <v>5</v>
      </c>
      <c r="C114" s="506">
        <f t="shared" si="5"/>
        <v>0</v>
      </c>
      <c r="D114" s="505">
        <f t="shared" si="5"/>
        <v>0</v>
      </c>
      <c r="E114" s="505">
        <f t="shared" si="5"/>
        <v>0</v>
      </c>
      <c r="F114" s="58"/>
      <c r="G114" s="199">
        <f t="shared" si="6"/>
        <v>0</v>
      </c>
      <c r="H114" s="58"/>
      <c r="I114" s="198">
        <f>_xlfn.IFNA(IF(I$7="Fixed",1,IF(AND($D81="yes",I$7="Block"),INDEX($O621:$Q621,1,MATCH(I$5,$I15:$K15,0)),INDEX(Movements!$G621:$M621,1,MATCH(I$7,Movements!$G$614:$M$614,0))))
*I858*I$8,0)</f>
        <v>0</v>
      </c>
      <c r="J114" s="198">
        <f>_xlfn.IFNA(IF(J$7="Fixed",1,IF(AND($D81="yes",J$7="Block"),INDEX($O621:$Q621,1,MATCH(J$5,$I15:$K15,0)),INDEX(Movements!$G621:$M621,1,MATCH(J$7,Movements!$G$614:$M$614,0))))
*J858*J$8,0)</f>
        <v>0</v>
      </c>
      <c r="K114" s="198">
        <f>_xlfn.IFNA(IF(K$7="Fixed",1,IF(AND($D81="yes",K$7="Block"),INDEX($O621:$Q621,1,MATCH(K$5,$I15:$K15,0)),INDEX(Movements!$G621:$M621,1,MATCH(K$7,Movements!$G$614:$M$614,0))))
*K858*K$8,0)</f>
        <v>0</v>
      </c>
      <c r="L114" s="198">
        <f>_xlfn.IFNA(IF(L$7="Fixed",1,IF(AND($D81="yes",L$7="Block"),INDEX($O621:$Q621,1,MATCH(L$5,$I15:$K15,0)),INDEX(Movements!$G621:$M621,1,MATCH(L$7,Movements!$G$614:$M$614,0))))
*L858*L$8,0)</f>
        <v>0</v>
      </c>
      <c r="M114" s="198">
        <f>_xlfn.IFNA(IF(M$7="Fixed",1,IF(AND($D81="yes",M$7="Block"),INDEX($O621:$Q621,1,MATCH(M$5,$I15:$K15,0)),INDEX(Movements!$G621:$M621,1,MATCH(M$7,Movements!$G$614:$M$614,0))))
*M858*M$8,0)</f>
        <v>0</v>
      </c>
      <c r="N114" s="198">
        <f>_xlfn.IFNA(IF(N$7="Fixed",1,IF(AND($D81="yes",N$7="Block"),INDEX($O621:$Q621,1,MATCH(N$5,$I15:$K15,0)),INDEX(Movements!$G621:$M621,1,MATCH(N$7,Movements!$G$614:$M$614,0))))
*N858*N$8,0)</f>
        <v>0</v>
      </c>
      <c r="O114" s="198">
        <f>_xlfn.IFNA(IF(O$7="Fixed",1,IF(AND($D81="yes",O$7="Block"),INDEX($O621:$Q621,1,MATCH(O$5,$I15:$K15,0)),INDEX(Movements!$G621:$M621,1,MATCH(O$7,Movements!$G$614:$M$614,0))))
*O858*O$8,0)</f>
        <v>0</v>
      </c>
      <c r="P114" s="198">
        <f>_xlfn.IFNA(IF(P$7="Fixed",1,IF(AND($D81="yes",P$7="Block"),INDEX($O621:$Q621,1,MATCH(P$5,$I15:$K15,0)),INDEX(Movements!$G621:$M621,1,MATCH(P$7,Movements!$G$614:$M$614,0))))
*P858*P$8,0)</f>
        <v>0</v>
      </c>
      <c r="Q114" s="198">
        <f>_xlfn.IFNA(IF(Q$7="Fixed",1,IF(AND($D81="yes",Q$7="Block"),INDEX($O621:$Q621,1,MATCH(Q$5,$I15:$K15,0)),INDEX(Movements!$G621:$M621,1,MATCH(Q$7,Movements!$G$614:$M$614,0))))
*Q858*Q$8,0)</f>
        <v>0</v>
      </c>
      <c r="R114" s="198">
        <f>_xlfn.IFNA(IF(R$7="Fixed",1,IF(AND($D81="yes",R$7="Block"),INDEX($O621:$Q621,1,MATCH(R$5,$I15:$K15,0)),INDEX(Movements!$G621:$M621,1,MATCH(R$7,Movements!$G$614:$M$614,0))))
*R858*R$8,0)</f>
        <v>0</v>
      </c>
      <c r="S114" s="198">
        <f>_xlfn.IFNA(IF(S$7="Fixed",1,IF(AND($D81="yes",S$7="Block"),INDEX($O621:$Q621,1,MATCH(S$5,$I15:$K15,0)),INDEX(Movements!$G621:$M621,1,MATCH(S$7,Movements!$G$614:$M$614,0))))
*S858*S$8,0)</f>
        <v>0</v>
      </c>
      <c r="T114" s="198">
        <f>_xlfn.IFNA(IF(T$7="Fixed",1,IF(AND($D81="yes",T$7="Block"),INDEX($O621:$Q621,1,MATCH(T$5,$I15:$K15,0)),INDEX(Movements!$G621:$M621,1,MATCH(T$7,Movements!$G$614:$M$614,0))))
*T858*T$8,0)</f>
        <v>0</v>
      </c>
      <c r="U114" s="198">
        <f>_xlfn.IFNA(IF(U$7="Fixed",1,IF(AND($D81="yes",U$7="Block"),INDEX($O621:$Q621,1,MATCH(U$5,$I15:$K15,0)),INDEX(Movements!$G621:$M621,1,MATCH(U$7,Movements!$G$614:$M$614,0))))
*U858*U$8,0)</f>
        <v>0</v>
      </c>
      <c r="V114" s="198">
        <f>_xlfn.IFNA(IF(V$7="Fixed",1,IF(AND($D81="yes",V$7="Block"),INDEX($O621:$Q621,1,MATCH(V$5,$I15:$K15,0)),INDEX(Movements!$G621:$M621,1,MATCH(V$7,Movements!$G$614:$M$614,0))))
*V858*V$8,0)</f>
        <v>0</v>
      </c>
      <c r="W114" s="198">
        <f>_xlfn.IFNA(IF(W$7="Fixed",1,IF(AND($D81="yes",W$7="Block"),INDEX($O621:$Q621,1,MATCH(W$5,$I15:$K15,0)),INDEX(Movements!$G621:$M621,1,MATCH(W$7,Movements!$G$614:$M$614,0))))
*W858*W$8,0)</f>
        <v>0</v>
      </c>
      <c r="X114" s="198">
        <f>_xlfn.IFNA(IF(X$7="Fixed",1,IF(AND($D81="yes",X$7="Block"),INDEX($O621:$Q621,1,MATCH(X$5,$I15:$K15,0)),INDEX(Movements!$G621:$M621,1,MATCH(X$7,Movements!$G$614:$M$614,0))))
*X858*X$8,0)</f>
        <v>0</v>
      </c>
      <c r="Y114" s="198">
        <f>_xlfn.IFNA(IF(Y$7="Fixed",1,IF(AND($D81="yes",Y$7="Block"),INDEX($O621:$Q621,1,MATCH(Y$5,$I15:$K15,0)),INDEX(Movements!$G621:$M621,1,MATCH(Y$7,Movements!$G$614:$M$614,0))))
*Y858*Y$8,0)</f>
        <v>0</v>
      </c>
      <c r="Z114" s="198">
        <f>_xlfn.IFNA(IF(Z$7="Fixed",1,IF(AND($D81="yes",Z$7="Block"),INDEX($O621:$Q621,1,MATCH(Z$5,$I15:$K15,0)),INDEX(Movements!$G621:$M621,1,MATCH(Z$7,Movements!$G$614:$M$614,0))))
*Z858*Z$8,0)</f>
        <v>0</v>
      </c>
      <c r="AA114" s="198">
        <f>_xlfn.IFNA(IF(AA$7="Fixed",1,IF(AND($D81="yes",AA$7="Block"),INDEX($O621:$Q621,1,MATCH(AA$5,$I15:$K15,0)),INDEX(Movements!$G621:$M621,1,MATCH(AA$7,Movements!$G$614:$M$614,0))))
*AA858*AA$8,0)</f>
        <v>0</v>
      </c>
      <c r="AB114" s="198">
        <f>_xlfn.IFNA(IF(AB$7="Fixed",1,IF(AND($D81="yes",AB$7="Block"),INDEX($O621:$Q621,1,MATCH(AB$5,$I15:$K15,0)),INDEX(Movements!$G621:$M621,1,MATCH(AB$7,Movements!$G$614:$M$614,0))))
*AB858*AB$8,0)</f>
        <v>0</v>
      </c>
      <c r="AC114" s="70"/>
      <c r="AD114" s="19"/>
      <c r="AE114" s="19"/>
      <c r="AF114" s="19"/>
      <c r="AG114" s="19"/>
    </row>
    <row r="115" spans="1:33" hidden="1" outlineLevel="3" x14ac:dyDescent="0.2">
      <c r="A115" s="19"/>
      <c r="B115" s="97">
        <v>6</v>
      </c>
      <c r="C115" s="506">
        <f t="shared" si="5"/>
        <v>0</v>
      </c>
      <c r="D115" s="505">
        <f t="shared" si="5"/>
        <v>0</v>
      </c>
      <c r="E115" s="505">
        <f t="shared" si="5"/>
        <v>0</v>
      </c>
      <c r="F115" s="58"/>
      <c r="G115" s="199">
        <f t="shared" si="6"/>
        <v>0</v>
      </c>
      <c r="H115" s="58"/>
      <c r="I115" s="198">
        <f>_xlfn.IFNA(IF(I$7="Fixed",1,IF(AND($D82="yes",I$7="Block"),INDEX($O622:$Q622,1,MATCH(I$5,$I16:$K16,0)),INDEX(Movements!$G622:$M622,1,MATCH(I$7,Movements!$G$614:$M$614,0))))
*I859*I$8,0)</f>
        <v>0</v>
      </c>
      <c r="J115" s="198">
        <f>_xlfn.IFNA(IF(J$7="Fixed",1,IF(AND($D82="yes",J$7="Block"),INDEX($O622:$Q622,1,MATCH(J$5,$I16:$K16,0)),INDEX(Movements!$G622:$M622,1,MATCH(J$7,Movements!$G$614:$M$614,0))))
*J859*J$8,0)</f>
        <v>0</v>
      </c>
      <c r="K115" s="198">
        <f>_xlfn.IFNA(IF(K$7="Fixed",1,IF(AND($D82="yes",K$7="Block"),INDEX($O622:$Q622,1,MATCH(K$5,$I16:$K16,0)),INDEX(Movements!$G622:$M622,1,MATCH(K$7,Movements!$G$614:$M$614,0))))
*K859*K$8,0)</f>
        <v>0</v>
      </c>
      <c r="L115" s="198">
        <f>_xlfn.IFNA(IF(L$7="Fixed",1,IF(AND($D82="yes",L$7="Block"),INDEX($O622:$Q622,1,MATCH(L$5,$I16:$K16,0)),INDEX(Movements!$G622:$M622,1,MATCH(L$7,Movements!$G$614:$M$614,0))))
*L859*L$8,0)</f>
        <v>0</v>
      </c>
      <c r="M115" s="198">
        <f>_xlfn.IFNA(IF(M$7="Fixed",1,IF(AND($D82="yes",M$7="Block"),INDEX($O622:$Q622,1,MATCH(M$5,$I16:$K16,0)),INDEX(Movements!$G622:$M622,1,MATCH(M$7,Movements!$G$614:$M$614,0))))
*M859*M$8,0)</f>
        <v>0</v>
      </c>
      <c r="N115" s="198">
        <f>_xlfn.IFNA(IF(N$7="Fixed",1,IF(AND($D82="yes",N$7="Block"),INDEX($O622:$Q622,1,MATCH(N$5,$I16:$K16,0)),INDEX(Movements!$G622:$M622,1,MATCH(N$7,Movements!$G$614:$M$614,0))))
*N859*N$8,0)</f>
        <v>0</v>
      </c>
      <c r="O115" s="198">
        <f>_xlfn.IFNA(IF(O$7="Fixed",1,IF(AND($D82="yes",O$7="Block"),INDEX($O622:$Q622,1,MATCH(O$5,$I16:$K16,0)),INDEX(Movements!$G622:$M622,1,MATCH(O$7,Movements!$G$614:$M$614,0))))
*O859*O$8,0)</f>
        <v>0</v>
      </c>
      <c r="P115" s="198">
        <f>_xlfn.IFNA(IF(P$7="Fixed",1,IF(AND($D82="yes",P$7="Block"),INDEX($O622:$Q622,1,MATCH(P$5,$I16:$K16,0)),INDEX(Movements!$G622:$M622,1,MATCH(P$7,Movements!$G$614:$M$614,0))))
*P859*P$8,0)</f>
        <v>0</v>
      </c>
      <c r="Q115" s="198">
        <f>_xlfn.IFNA(IF(Q$7="Fixed",1,IF(AND($D82="yes",Q$7="Block"),INDEX($O622:$Q622,1,MATCH(Q$5,$I16:$K16,0)),INDEX(Movements!$G622:$M622,1,MATCH(Q$7,Movements!$G$614:$M$614,0))))
*Q859*Q$8,0)</f>
        <v>0</v>
      </c>
      <c r="R115" s="198">
        <f>_xlfn.IFNA(IF(R$7="Fixed",1,IF(AND($D82="yes",R$7="Block"),INDEX($O622:$Q622,1,MATCH(R$5,$I16:$K16,0)),INDEX(Movements!$G622:$M622,1,MATCH(R$7,Movements!$G$614:$M$614,0))))
*R859*R$8,0)</f>
        <v>0</v>
      </c>
      <c r="S115" s="198">
        <f>_xlfn.IFNA(IF(S$7="Fixed",1,IF(AND($D82="yes",S$7="Block"),INDEX($O622:$Q622,1,MATCH(S$5,$I16:$K16,0)),INDEX(Movements!$G622:$M622,1,MATCH(S$7,Movements!$G$614:$M$614,0))))
*S859*S$8,0)</f>
        <v>0</v>
      </c>
      <c r="T115" s="198">
        <f>_xlfn.IFNA(IF(T$7="Fixed",1,IF(AND($D82="yes",T$7="Block"),INDEX($O622:$Q622,1,MATCH(T$5,$I16:$K16,0)),INDEX(Movements!$G622:$M622,1,MATCH(T$7,Movements!$G$614:$M$614,0))))
*T859*T$8,0)</f>
        <v>0</v>
      </c>
      <c r="U115" s="198">
        <f>_xlfn.IFNA(IF(U$7="Fixed",1,IF(AND($D82="yes",U$7="Block"),INDEX($O622:$Q622,1,MATCH(U$5,$I16:$K16,0)),INDEX(Movements!$G622:$M622,1,MATCH(U$7,Movements!$G$614:$M$614,0))))
*U859*U$8,0)</f>
        <v>0</v>
      </c>
      <c r="V115" s="198">
        <f>_xlfn.IFNA(IF(V$7="Fixed",1,IF(AND($D82="yes",V$7="Block"),INDEX($O622:$Q622,1,MATCH(V$5,$I16:$K16,0)),INDEX(Movements!$G622:$M622,1,MATCH(V$7,Movements!$G$614:$M$614,0))))
*V859*V$8,0)</f>
        <v>0</v>
      </c>
      <c r="W115" s="198">
        <f>_xlfn.IFNA(IF(W$7="Fixed",1,IF(AND($D82="yes",W$7="Block"),INDEX($O622:$Q622,1,MATCH(W$5,$I16:$K16,0)),INDEX(Movements!$G622:$M622,1,MATCH(W$7,Movements!$G$614:$M$614,0))))
*W859*W$8,0)</f>
        <v>0</v>
      </c>
      <c r="X115" s="198">
        <f>_xlfn.IFNA(IF(X$7="Fixed",1,IF(AND($D82="yes",X$7="Block"),INDEX($O622:$Q622,1,MATCH(X$5,$I16:$K16,0)),INDEX(Movements!$G622:$M622,1,MATCH(X$7,Movements!$G$614:$M$614,0))))
*X859*X$8,0)</f>
        <v>0</v>
      </c>
      <c r="Y115" s="198">
        <f>_xlfn.IFNA(IF(Y$7="Fixed",1,IF(AND($D82="yes",Y$7="Block"),INDEX($O622:$Q622,1,MATCH(Y$5,$I16:$K16,0)),INDEX(Movements!$G622:$M622,1,MATCH(Y$7,Movements!$G$614:$M$614,0))))
*Y859*Y$8,0)</f>
        <v>0</v>
      </c>
      <c r="Z115" s="198">
        <f>_xlfn.IFNA(IF(Z$7="Fixed",1,IF(AND($D82="yes",Z$7="Block"),INDEX($O622:$Q622,1,MATCH(Z$5,$I16:$K16,0)),INDEX(Movements!$G622:$M622,1,MATCH(Z$7,Movements!$G$614:$M$614,0))))
*Z859*Z$8,0)</f>
        <v>0</v>
      </c>
      <c r="AA115" s="198">
        <f>_xlfn.IFNA(IF(AA$7="Fixed",1,IF(AND($D82="yes",AA$7="Block"),INDEX($O622:$Q622,1,MATCH(AA$5,$I16:$K16,0)),INDEX(Movements!$G622:$M622,1,MATCH(AA$7,Movements!$G$614:$M$614,0))))
*AA859*AA$8,0)</f>
        <v>0</v>
      </c>
      <c r="AB115" s="198">
        <f>_xlfn.IFNA(IF(AB$7="Fixed",1,IF(AND($D82="yes",AB$7="Block"),INDEX($O622:$Q622,1,MATCH(AB$5,$I16:$K16,0)),INDEX(Movements!$G622:$M622,1,MATCH(AB$7,Movements!$G$614:$M$614,0))))
*AB859*AB$8,0)</f>
        <v>0</v>
      </c>
      <c r="AC115" s="70"/>
      <c r="AD115" s="19"/>
      <c r="AE115" s="19"/>
      <c r="AF115" s="19"/>
      <c r="AG115" s="19"/>
    </row>
    <row r="116" spans="1:33" hidden="1" outlineLevel="3" x14ac:dyDescent="0.2">
      <c r="A116" s="19"/>
      <c r="B116" s="97">
        <v>7</v>
      </c>
      <c r="C116" s="506">
        <f t="shared" si="5"/>
        <v>0</v>
      </c>
      <c r="D116" s="505">
        <f t="shared" si="5"/>
        <v>0</v>
      </c>
      <c r="E116" s="505">
        <f t="shared" si="5"/>
        <v>0</v>
      </c>
      <c r="F116" s="58"/>
      <c r="G116" s="199">
        <f t="shared" si="6"/>
        <v>0</v>
      </c>
      <c r="H116" s="58"/>
      <c r="I116" s="198">
        <f>_xlfn.IFNA(IF(I$7="Fixed",1,IF(AND($D83="yes",I$7="Block"),INDEX($O623:$Q623,1,MATCH(I$5,$I17:$K17,0)),INDEX(Movements!$G623:$M623,1,MATCH(I$7,Movements!$G$614:$M$614,0))))
*I860*I$8,0)</f>
        <v>0</v>
      </c>
      <c r="J116" s="198">
        <f>_xlfn.IFNA(IF(J$7="Fixed",1,IF(AND($D83="yes",J$7="Block"),INDEX($O623:$Q623,1,MATCH(J$5,$I17:$K17,0)),INDEX(Movements!$G623:$M623,1,MATCH(J$7,Movements!$G$614:$M$614,0))))
*J860*J$8,0)</f>
        <v>0</v>
      </c>
      <c r="K116" s="198">
        <f>_xlfn.IFNA(IF(K$7="Fixed",1,IF(AND($D83="yes",K$7="Block"),INDEX($O623:$Q623,1,MATCH(K$5,$I17:$K17,0)),INDEX(Movements!$G623:$M623,1,MATCH(K$7,Movements!$G$614:$M$614,0))))
*K860*K$8,0)</f>
        <v>0</v>
      </c>
      <c r="L116" s="198">
        <f>_xlfn.IFNA(IF(L$7="Fixed",1,IF(AND($D83="yes",L$7="Block"),INDEX($O623:$Q623,1,MATCH(L$5,$I17:$K17,0)),INDEX(Movements!$G623:$M623,1,MATCH(L$7,Movements!$G$614:$M$614,0))))
*L860*L$8,0)</f>
        <v>0</v>
      </c>
      <c r="M116" s="198">
        <f>_xlfn.IFNA(IF(M$7="Fixed",1,IF(AND($D83="yes",M$7="Block"),INDEX($O623:$Q623,1,MATCH(M$5,$I17:$K17,0)),INDEX(Movements!$G623:$M623,1,MATCH(M$7,Movements!$G$614:$M$614,0))))
*M860*M$8,0)</f>
        <v>0</v>
      </c>
      <c r="N116" s="198">
        <f>_xlfn.IFNA(IF(N$7="Fixed",1,IF(AND($D83="yes",N$7="Block"),INDEX($O623:$Q623,1,MATCH(N$5,$I17:$K17,0)),INDEX(Movements!$G623:$M623,1,MATCH(N$7,Movements!$G$614:$M$614,0))))
*N860*N$8,0)</f>
        <v>0</v>
      </c>
      <c r="O116" s="198">
        <f>_xlfn.IFNA(IF(O$7="Fixed",1,IF(AND($D83="yes",O$7="Block"),INDEX($O623:$Q623,1,MATCH(O$5,$I17:$K17,0)),INDEX(Movements!$G623:$M623,1,MATCH(O$7,Movements!$G$614:$M$614,0))))
*O860*O$8,0)</f>
        <v>0</v>
      </c>
      <c r="P116" s="198">
        <f>_xlfn.IFNA(IF(P$7="Fixed",1,IF(AND($D83="yes",P$7="Block"),INDEX($O623:$Q623,1,MATCH(P$5,$I17:$K17,0)),INDEX(Movements!$G623:$M623,1,MATCH(P$7,Movements!$G$614:$M$614,0))))
*P860*P$8,0)</f>
        <v>0</v>
      </c>
      <c r="Q116" s="198">
        <f>_xlfn.IFNA(IF(Q$7="Fixed",1,IF(AND($D83="yes",Q$7="Block"),INDEX($O623:$Q623,1,MATCH(Q$5,$I17:$K17,0)),INDEX(Movements!$G623:$M623,1,MATCH(Q$7,Movements!$G$614:$M$614,0))))
*Q860*Q$8,0)</f>
        <v>0</v>
      </c>
      <c r="R116" s="198">
        <f>_xlfn.IFNA(IF(R$7="Fixed",1,IF(AND($D83="yes",R$7="Block"),INDEX($O623:$Q623,1,MATCH(R$5,$I17:$K17,0)),INDEX(Movements!$G623:$M623,1,MATCH(R$7,Movements!$G$614:$M$614,0))))
*R860*R$8,0)</f>
        <v>0</v>
      </c>
      <c r="S116" s="198">
        <f>_xlfn.IFNA(IF(S$7="Fixed",1,IF(AND($D83="yes",S$7="Block"),INDEX($O623:$Q623,1,MATCH(S$5,$I17:$K17,0)),INDEX(Movements!$G623:$M623,1,MATCH(S$7,Movements!$G$614:$M$614,0))))
*S860*S$8,0)</f>
        <v>0</v>
      </c>
      <c r="T116" s="198">
        <f>_xlfn.IFNA(IF(T$7="Fixed",1,IF(AND($D83="yes",T$7="Block"),INDEX($O623:$Q623,1,MATCH(T$5,$I17:$K17,0)),INDEX(Movements!$G623:$M623,1,MATCH(T$7,Movements!$G$614:$M$614,0))))
*T860*T$8,0)</f>
        <v>0</v>
      </c>
      <c r="U116" s="198">
        <f>_xlfn.IFNA(IF(U$7="Fixed",1,IF(AND($D83="yes",U$7="Block"),INDEX($O623:$Q623,1,MATCH(U$5,$I17:$K17,0)),INDEX(Movements!$G623:$M623,1,MATCH(U$7,Movements!$G$614:$M$614,0))))
*U860*U$8,0)</f>
        <v>0</v>
      </c>
      <c r="V116" s="198">
        <f>_xlfn.IFNA(IF(V$7="Fixed",1,IF(AND($D83="yes",V$7="Block"),INDEX($O623:$Q623,1,MATCH(V$5,$I17:$K17,0)),INDEX(Movements!$G623:$M623,1,MATCH(V$7,Movements!$G$614:$M$614,0))))
*V860*V$8,0)</f>
        <v>0</v>
      </c>
      <c r="W116" s="198">
        <f>_xlfn.IFNA(IF(W$7="Fixed",1,IF(AND($D83="yes",W$7="Block"),INDEX($O623:$Q623,1,MATCH(W$5,$I17:$K17,0)),INDEX(Movements!$G623:$M623,1,MATCH(W$7,Movements!$G$614:$M$614,0))))
*W860*W$8,0)</f>
        <v>0</v>
      </c>
      <c r="X116" s="198">
        <f>_xlfn.IFNA(IF(X$7="Fixed",1,IF(AND($D83="yes",X$7="Block"),INDEX($O623:$Q623,1,MATCH(X$5,$I17:$K17,0)),INDEX(Movements!$G623:$M623,1,MATCH(X$7,Movements!$G$614:$M$614,0))))
*X860*X$8,0)</f>
        <v>0</v>
      </c>
      <c r="Y116" s="198">
        <f>_xlfn.IFNA(IF(Y$7="Fixed",1,IF(AND($D83="yes",Y$7="Block"),INDEX($O623:$Q623,1,MATCH(Y$5,$I17:$K17,0)),INDEX(Movements!$G623:$M623,1,MATCH(Y$7,Movements!$G$614:$M$614,0))))
*Y860*Y$8,0)</f>
        <v>0</v>
      </c>
      <c r="Z116" s="198">
        <f>_xlfn.IFNA(IF(Z$7="Fixed",1,IF(AND($D83="yes",Z$7="Block"),INDEX($O623:$Q623,1,MATCH(Z$5,$I17:$K17,0)),INDEX(Movements!$G623:$M623,1,MATCH(Z$7,Movements!$G$614:$M$614,0))))
*Z860*Z$8,0)</f>
        <v>0</v>
      </c>
      <c r="AA116" s="198">
        <f>_xlfn.IFNA(IF(AA$7="Fixed",1,IF(AND($D83="yes",AA$7="Block"),INDEX($O623:$Q623,1,MATCH(AA$5,$I17:$K17,0)),INDEX(Movements!$G623:$M623,1,MATCH(AA$7,Movements!$G$614:$M$614,0))))
*AA860*AA$8,0)</f>
        <v>0</v>
      </c>
      <c r="AB116" s="198">
        <f>_xlfn.IFNA(IF(AB$7="Fixed",1,IF(AND($D83="yes",AB$7="Block"),INDEX($O623:$Q623,1,MATCH(AB$5,$I17:$K17,0)),INDEX(Movements!$G623:$M623,1,MATCH(AB$7,Movements!$G$614:$M$614,0))))
*AB860*AB$8,0)</f>
        <v>0</v>
      </c>
      <c r="AC116" s="70"/>
      <c r="AD116" s="19"/>
      <c r="AE116" s="19"/>
      <c r="AF116" s="19"/>
      <c r="AG116" s="19"/>
    </row>
    <row r="117" spans="1:33" hidden="1" outlineLevel="3" x14ac:dyDescent="0.2">
      <c r="A117" s="19"/>
      <c r="B117" s="97">
        <v>8</v>
      </c>
      <c r="C117" s="506">
        <f t="shared" si="5"/>
        <v>0</v>
      </c>
      <c r="D117" s="505">
        <f t="shared" si="5"/>
        <v>0</v>
      </c>
      <c r="E117" s="505">
        <f t="shared" si="5"/>
        <v>0</v>
      </c>
      <c r="F117" s="58"/>
      <c r="G117" s="199">
        <f t="shared" si="6"/>
        <v>0</v>
      </c>
      <c r="H117" s="58"/>
      <c r="I117" s="198">
        <f>_xlfn.IFNA(IF(I$7="Fixed",1,IF(AND($D84="yes",I$7="Block"),INDEX($O624:$Q624,1,MATCH(I$5,$I18:$K18,0)),INDEX(Movements!$G624:$M624,1,MATCH(I$7,Movements!$G$614:$M$614,0))))
*I861*I$8,0)</f>
        <v>0</v>
      </c>
      <c r="J117" s="198">
        <f>_xlfn.IFNA(IF(J$7="Fixed",1,IF(AND($D84="yes",J$7="Block"),INDEX($O624:$Q624,1,MATCH(J$5,$I18:$K18,0)),INDEX(Movements!$G624:$M624,1,MATCH(J$7,Movements!$G$614:$M$614,0))))
*J861*J$8,0)</f>
        <v>0</v>
      </c>
      <c r="K117" s="198">
        <f>_xlfn.IFNA(IF(K$7="Fixed",1,IF(AND($D84="yes",K$7="Block"),INDEX($O624:$Q624,1,MATCH(K$5,$I18:$K18,0)),INDEX(Movements!$G624:$M624,1,MATCH(K$7,Movements!$G$614:$M$614,0))))
*K861*K$8,0)</f>
        <v>0</v>
      </c>
      <c r="L117" s="198">
        <f>_xlfn.IFNA(IF(L$7="Fixed",1,IF(AND($D84="yes",L$7="Block"),INDEX($O624:$Q624,1,MATCH(L$5,$I18:$K18,0)),INDEX(Movements!$G624:$M624,1,MATCH(L$7,Movements!$G$614:$M$614,0))))
*L861*L$8,0)</f>
        <v>0</v>
      </c>
      <c r="M117" s="198">
        <f>_xlfn.IFNA(IF(M$7="Fixed",1,IF(AND($D84="yes",M$7="Block"),INDEX($O624:$Q624,1,MATCH(M$5,$I18:$K18,0)),INDEX(Movements!$G624:$M624,1,MATCH(M$7,Movements!$G$614:$M$614,0))))
*M861*M$8,0)</f>
        <v>0</v>
      </c>
      <c r="N117" s="198">
        <f>_xlfn.IFNA(IF(N$7="Fixed",1,IF(AND($D84="yes",N$7="Block"),INDEX($O624:$Q624,1,MATCH(N$5,$I18:$K18,0)),INDEX(Movements!$G624:$M624,1,MATCH(N$7,Movements!$G$614:$M$614,0))))
*N861*N$8,0)</f>
        <v>0</v>
      </c>
      <c r="O117" s="198">
        <f>_xlfn.IFNA(IF(O$7="Fixed",1,IF(AND($D84="yes",O$7="Block"),INDEX($O624:$Q624,1,MATCH(O$5,$I18:$K18,0)),INDEX(Movements!$G624:$M624,1,MATCH(O$7,Movements!$G$614:$M$614,0))))
*O861*O$8,0)</f>
        <v>0</v>
      </c>
      <c r="P117" s="198">
        <f>_xlfn.IFNA(IF(P$7="Fixed",1,IF(AND($D84="yes",P$7="Block"),INDEX($O624:$Q624,1,MATCH(P$5,$I18:$K18,0)),INDEX(Movements!$G624:$M624,1,MATCH(P$7,Movements!$G$614:$M$614,0))))
*P861*P$8,0)</f>
        <v>0</v>
      </c>
      <c r="Q117" s="198">
        <f>_xlfn.IFNA(IF(Q$7="Fixed",1,IF(AND($D84="yes",Q$7="Block"),INDEX($O624:$Q624,1,MATCH(Q$5,$I18:$K18,0)),INDEX(Movements!$G624:$M624,1,MATCH(Q$7,Movements!$G$614:$M$614,0))))
*Q861*Q$8,0)</f>
        <v>0</v>
      </c>
      <c r="R117" s="198">
        <f>_xlfn.IFNA(IF(R$7="Fixed",1,IF(AND($D84="yes",R$7="Block"),INDEX($O624:$Q624,1,MATCH(R$5,$I18:$K18,0)),INDEX(Movements!$G624:$M624,1,MATCH(R$7,Movements!$G$614:$M$614,0))))
*R861*R$8,0)</f>
        <v>0</v>
      </c>
      <c r="S117" s="198">
        <f>_xlfn.IFNA(IF(S$7="Fixed",1,IF(AND($D84="yes",S$7="Block"),INDEX($O624:$Q624,1,MATCH(S$5,$I18:$K18,0)),INDEX(Movements!$G624:$M624,1,MATCH(S$7,Movements!$G$614:$M$614,0))))
*S861*S$8,0)</f>
        <v>0</v>
      </c>
      <c r="T117" s="198">
        <f>_xlfn.IFNA(IF(T$7="Fixed",1,IF(AND($D84="yes",T$7="Block"),INDEX($O624:$Q624,1,MATCH(T$5,$I18:$K18,0)),INDEX(Movements!$G624:$M624,1,MATCH(T$7,Movements!$G$614:$M$614,0))))
*T861*T$8,0)</f>
        <v>0</v>
      </c>
      <c r="U117" s="198">
        <f>_xlfn.IFNA(IF(U$7="Fixed",1,IF(AND($D84="yes",U$7="Block"),INDEX($O624:$Q624,1,MATCH(U$5,$I18:$K18,0)),INDEX(Movements!$G624:$M624,1,MATCH(U$7,Movements!$G$614:$M$614,0))))
*U861*U$8,0)</f>
        <v>0</v>
      </c>
      <c r="V117" s="198">
        <f>_xlfn.IFNA(IF(V$7="Fixed",1,IF(AND($D84="yes",V$7="Block"),INDEX($O624:$Q624,1,MATCH(V$5,$I18:$K18,0)),INDEX(Movements!$G624:$M624,1,MATCH(V$7,Movements!$G$614:$M$614,0))))
*V861*V$8,0)</f>
        <v>0</v>
      </c>
      <c r="W117" s="198">
        <f>_xlfn.IFNA(IF(W$7="Fixed",1,IF(AND($D84="yes",W$7="Block"),INDEX($O624:$Q624,1,MATCH(W$5,$I18:$K18,0)),INDEX(Movements!$G624:$M624,1,MATCH(W$7,Movements!$G$614:$M$614,0))))
*W861*W$8,0)</f>
        <v>0</v>
      </c>
      <c r="X117" s="198">
        <f>_xlfn.IFNA(IF(X$7="Fixed",1,IF(AND($D84="yes",X$7="Block"),INDEX($O624:$Q624,1,MATCH(X$5,$I18:$K18,0)),INDEX(Movements!$G624:$M624,1,MATCH(X$7,Movements!$G$614:$M$614,0))))
*X861*X$8,0)</f>
        <v>0</v>
      </c>
      <c r="Y117" s="198">
        <f>_xlfn.IFNA(IF(Y$7="Fixed",1,IF(AND($D84="yes",Y$7="Block"),INDEX($O624:$Q624,1,MATCH(Y$5,$I18:$K18,0)),INDEX(Movements!$G624:$M624,1,MATCH(Y$7,Movements!$G$614:$M$614,0))))
*Y861*Y$8,0)</f>
        <v>0</v>
      </c>
      <c r="Z117" s="198">
        <f>_xlfn.IFNA(IF(Z$7="Fixed",1,IF(AND($D84="yes",Z$7="Block"),INDEX($O624:$Q624,1,MATCH(Z$5,$I18:$K18,0)),INDEX(Movements!$G624:$M624,1,MATCH(Z$7,Movements!$G$614:$M$614,0))))
*Z861*Z$8,0)</f>
        <v>0</v>
      </c>
      <c r="AA117" s="198">
        <f>_xlfn.IFNA(IF(AA$7="Fixed",1,IF(AND($D84="yes",AA$7="Block"),INDEX($O624:$Q624,1,MATCH(AA$5,$I18:$K18,0)),INDEX(Movements!$G624:$M624,1,MATCH(AA$7,Movements!$G$614:$M$614,0))))
*AA861*AA$8,0)</f>
        <v>0</v>
      </c>
      <c r="AB117" s="198">
        <f>_xlfn.IFNA(IF(AB$7="Fixed",1,IF(AND($D84="yes",AB$7="Block"),INDEX($O624:$Q624,1,MATCH(AB$5,$I18:$K18,0)),INDEX(Movements!$G624:$M624,1,MATCH(AB$7,Movements!$G$614:$M$614,0))))
*AB861*AB$8,0)</f>
        <v>0</v>
      </c>
      <c r="AC117" s="70"/>
      <c r="AD117" s="19"/>
      <c r="AE117" s="19"/>
      <c r="AF117" s="19"/>
      <c r="AG117" s="19"/>
    </row>
    <row r="118" spans="1:33" hidden="1" outlineLevel="3" x14ac:dyDescent="0.2">
      <c r="A118" s="19"/>
      <c r="B118" s="98">
        <v>9</v>
      </c>
      <c r="C118" s="506">
        <f t="shared" si="5"/>
        <v>0</v>
      </c>
      <c r="D118" s="505">
        <f t="shared" si="5"/>
        <v>0</v>
      </c>
      <c r="E118" s="505">
        <f t="shared" si="5"/>
        <v>0</v>
      </c>
      <c r="F118" s="58"/>
      <c r="G118" s="199">
        <f t="shared" si="6"/>
        <v>0</v>
      </c>
      <c r="H118" s="58"/>
      <c r="I118" s="198">
        <f>_xlfn.IFNA(IF(I$7="Fixed",1,IF(AND($D85="yes",I$7="Block"),INDEX($O625:$Q625,1,MATCH(I$5,$I19:$K19,0)),INDEX(Movements!$G625:$M625,1,MATCH(I$7,Movements!$G$614:$M$614,0))))
*I862*I$8,0)</f>
        <v>0</v>
      </c>
      <c r="J118" s="198">
        <f>_xlfn.IFNA(IF(J$7="Fixed",1,IF(AND($D85="yes",J$7="Block"),INDEX($O625:$Q625,1,MATCH(J$5,$I19:$K19,0)),INDEX(Movements!$G625:$M625,1,MATCH(J$7,Movements!$G$614:$M$614,0))))
*J862*J$8,0)</f>
        <v>0</v>
      </c>
      <c r="K118" s="198">
        <f>_xlfn.IFNA(IF(K$7="Fixed",1,IF(AND($D85="yes",K$7="Block"),INDEX($O625:$Q625,1,MATCH(K$5,$I19:$K19,0)),INDEX(Movements!$G625:$M625,1,MATCH(K$7,Movements!$G$614:$M$614,0))))
*K862*K$8,0)</f>
        <v>0</v>
      </c>
      <c r="L118" s="198">
        <f>_xlfn.IFNA(IF(L$7="Fixed",1,IF(AND($D85="yes",L$7="Block"),INDEX($O625:$Q625,1,MATCH(L$5,$I19:$K19,0)),INDEX(Movements!$G625:$M625,1,MATCH(L$7,Movements!$G$614:$M$614,0))))
*L862*L$8,0)</f>
        <v>0</v>
      </c>
      <c r="M118" s="198">
        <f>_xlfn.IFNA(IF(M$7="Fixed",1,IF(AND($D85="yes",M$7="Block"),INDEX($O625:$Q625,1,MATCH(M$5,$I19:$K19,0)),INDEX(Movements!$G625:$M625,1,MATCH(M$7,Movements!$G$614:$M$614,0))))
*M862*M$8,0)</f>
        <v>0</v>
      </c>
      <c r="N118" s="198">
        <f>_xlfn.IFNA(IF(N$7="Fixed",1,IF(AND($D85="yes",N$7="Block"),INDEX($O625:$Q625,1,MATCH(N$5,$I19:$K19,0)),INDEX(Movements!$G625:$M625,1,MATCH(N$7,Movements!$G$614:$M$614,0))))
*N862*N$8,0)</f>
        <v>0</v>
      </c>
      <c r="O118" s="198">
        <f>_xlfn.IFNA(IF(O$7="Fixed",1,IF(AND($D85="yes",O$7="Block"),INDEX($O625:$Q625,1,MATCH(O$5,$I19:$K19,0)),INDEX(Movements!$G625:$M625,1,MATCH(O$7,Movements!$G$614:$M$614,0))))
*O862*O$8,0)</f>
        <v>0</v>
      </c>
      <c r="P118" s="198">
        <f>_xlfn.IFNA(IF(P$7="Fixed",1,IF(AND($D85="yes",P$7="Block"),INDEX($O625:$Q625,1,MATCH(P$5,$I19:$K19,0)),INDEX(Movements!$G625:$M625,1,MATCH(P$7,Movements!$G$614:$M$614,0))))
*P862*P$8,0)</f>
        <v>0</v>
      </c>
      <c r="Q118" s="198">
        <f>_xlfn.IFNA(IF(Q$7="Fixed",1,IF(AND($D85="yes",Q$7="Block"),INDEX($O625:$Q625,1,MATCH(Q$5,$I19:$K19,0)),INDEX(Movements!$G625:$M625,1,MATCH(Q$7,Movements!$G$614:$M$614,0))))
*Q862*Q$8,0)</f>
        <v>0</v>
      </c>
      <c r="R118" s="198">
        <f>_xlfn.IFNA(IF(R$7="Fixed",1,IF(AND($D85="yes",R$7="Block"),INDEX($O625:$Q625,1,MATCH(R$5,$I19:$K19,0)),INDEX(Movements!$G625:$M625,1,MATCH(R$7,Movements!$G$614:$M$614,0))))
*R862*R$8,0)</f>
        <v>0</v>
      </c>
      <c r="S118" s="198">
        <f>_xlfn.IFNA(IF(S$7="Fixed",1,IF(AND($D85="yes",S$7="Block"),INDEX($O625:$Q625,1,MATCH(S$5,$I19:$K19,0)),INDEX(Movements!$G625:$M625,1,MATCH(S$7,Movements!$G$614:$M$614,0))))
*S862*S$8,0)</f>
        <v>0</v>
      </c>
      <c r="T118" s="198">
        <f>_xlfn.IFNA(IF(T$7="Fixed",1,IF(AND($D85="yes",T$7="Block"),INDEX($O625:$Q625,1,MATCH(T$5,$I19:$K19,0)),INDEX(Movements!$G625:$M625,1,MATCH(T$7,Movements!$G$614:$M$614,0))))
*T862*T$8,0)</f>
        <v>0</v>
      </c>
      <c r="U118" s="198">
        <f>_xlfn.IFNA(IF(U$7="Fixed",1,IF(AND($D85="yes",U$7="Block"),INDEX($O625:$Q625,1,MATCH(U$5,$I19:$K19,0)),INDEX(Movements!$G625:$M625,1,MATCH(U$7,Movements!$G$614:$M$614,0))))
*U862*U$8,0)</f>
        <v>0</v>
      </c>
      <c r="V118" s="198">
        <f>_xlfn.IFNA(IF(V$7="Fixed",1,IF(AND($D85="yes",V$7="Block"),INDEX($O625:$Q625,1,MATCH(V$5,$I19:$K19,0)),INDEX(Movements!$G625:$M625,1,MATCH(V$7,Movements!$G$614:$M$614,0))))
*V862*V$8,0)</f>
        <v>0</v>
      </c>
      <c r="W118" s="198">
        <f>_xlfn.IFNA(IF(W$7="Fixed",1,IF(AND($D85="yes",W$7="Block"),INDEX($O625:$Q625,1,MATCH(W$5,$I19:$K19,0)),INDEX(Movements!$G625:$M625,1,MATCH(W$7,Movements!$G$614:$M$614,0))))
*W862*W$8,0)</f>
        <v>0</v>
      </c>
      <c r="X118" s="198">
        <f>_xlfn.IFNA(IF(X$7="Fixed",1,IF(AND($D85="yes",X$7="Block"),INDEX($O625:$Q625,1,MATCH(X$5,$I19:$K19,0)),INDEX(Movements!$G625:$M625,1,MATCH(X$7,Movements!$G$614:$M$614,0))))
*X862*X$8,0)</f>
        <v>0</v>
      </c>
      <c r="Y118" s="198">
        <f>_xlfn.IFNA(IF(Y$7="Fixed",1,IF(AND($D85="yes",Y$7="Block"),INDEX($O625:$Q625,1,MATCH(Y$5,$I19:$K19,0)),INDEX(Movements!$G625:$M625,1,MATCH(Y$7,Movements!$G$614:$M$614,0))))
*Y862*Y$8,0)</f>
        <v>0</v>
      </c>
      <c r="Z118" s="198">
        <f>_xlfn.IFNA(IF(Z$7="Fixed",1,IF(AND($D85="yes",Z$7="Block"),INDEX($O625:$Q625,1,MATCH(Z$5,$I19:$K19,0)),INDEX(Movements!$G625:$M625,1,MATCH(Z$7,Movements!$G$614:$M$614,0))))
*Z862*Z$8,0)</f>
        <v>0</v>
      </c>
      <c r="AA118" s="198">
        <f>_xlfn.IFNA(IF(AA$7="Fixed",1,IF(AND($D85="yes",AA$7="Block"),INDEX($O625:$Q625,1,MATCH(AA$5,$I19:$K19,0)),INDEX(Movements!$G625:$M625,1,MATCH(AA$7,Movements!$G$614:$M$614,0))))
*AA862*AA$8,0)</f>
        <v>0</v>
      </c>
      <c r="AB118" s="198">
        <f>_xlfn.IFNA(IF(AB$7="Fixed",1,IF(AND($D85="yes",AB$7="Block"),INDEX($O625:$Q625,1,MATCH(AB$5,$I19:$K19,0)),INDEX(Movements!$G625:$M625,1,MATCH(AB$7,Movements!$G$614:$M$614,0))))
*AB862*AB$8,0)</f>
        <v>0</v>
      </c>
      <c r="AC118" s="70"/>
      <c r="AD118" s="19"/>
      <c r="AE118" s="19"/>
      <c r="AF118" s="19"/>
      <c r="AG118" s="19"/>
    </row>
    <row r="119" spans="1:33" hidden="1" outlineLevel="3" x14ac:dyDescent="0.2">
      <c r="A119" s="19"/>
      <c r="B119" s="97">
        <v>10</v>
      </c>
      <c r="C119" s="506">
        <f t="shared" si="5"/>
        <v>0</v>
      </c>
      <c r="D119" s="505">
        <f t="shared" si="5"/>
        <v>0</v>
      </c>
      <c r="E119" s="505">
        <f t="shared" si="5"/>
        <v>0</v>
      </c>
      <c r="F119" s="58"/>
      <c r="G119" s="199">
        <f t="shared" si="6"/>
        <v>0</v>
      </c>
      <c r="H119" s="58"/>
      <c r="I119" s="198">
        <f>_xlfn.IFNA(IF(I$7="Fixed",1,IF(AND($D86="yes",I$7="Block"),INDEX($O626:$Q626,1,MATCH(I$5,$I20:$K20,0)),INDEX(Movements!$G626:$M626,1,MATCH(I$7,Movements!$G$614:$M$614,0))))
*I863*I$8,0)</f>
        <v>0</v>
      </c>
      <c r="J119" s="198">
        <f>_xlfn.IFNA(IF(J$7="Fixed",1,IF(AND($D86="yes",J$7="Block"),INDEX($O626:$Q626,1,MATCH(J$5,$I20:$K20,0)),INDEX(Movements!$G626:$M626,1,MATCH(J$7,Movements!$G$614:$M$614,0))))
*J863*J$8,0)</f>
        <v>0</v>
      </c>
      <c r="K119" s="198">
        <f>_xlfn.IFNA(IF(K$7="Fixed",1,IF(AND($D86="yes",K$7="Block"),INDEX($O626:$Q626,1,MATCH(K$5,$I20:$K20,0)),INDEX(Movements!$G626:$M626,1,MATCH(K$7,Movements!$G$614:$M$614,0))))
*K863*K$8,0)</f>
        <v>0</v>
      </c>
      <c r="L119" s="198">
        <f>_xlfn.IFNA(IF(L$7="Fixed",1,IF(AND($D86="yes",L$7="Block"),INDEX($O626:$Q626,1,MATCH(L$5,$I20:$K20,0)),INDEX(Movements!$G626:$M626,1,MATCH(L$7,Movements!$G$614:$M$614,0))))
*L863*L$8,0)</f>
        <v>0</v>
      </c>
      <c r="M119" s="198">
        <f>_xlfn.IFNA(IF(M$7="Fixed",1,IF(AND($D86="yes",M$7="Block"),INDEX($O626:$Q626,1,MATCH(M$5,$I20:$K20,0)),INDEX(Movements!$G626:$M626,1,MATCH(M$7,Movements!$G$614:$M$614,0))))
*M863*M$8,0)</f>
        <v>0</v>
      </c>
      <c r="N119" s="198">
        <f>_xlfn.IFNA(IF(N$7="Fixed",1,IF(AND($D86="yes",N$7="Block"),INDEX($O626:$Q626,1,MATCH(N$5,$I20:$K20,0)),INDEX(Movements!$G626:$M626,1,MATCH(N$7,Movements!$G$614:$M$614,0))))
*N863*N$8,0)</f>
        <v>0</v>
      </c>
      <c r="O119" s="198">
        <f>_xlfn.IFNA(IF(O$7="Fixed",1,IF(AND($D86="yes",O$7="Block"),INDEX($O626:$Q626,1,MATCH(O$5,$I20:$K20,0)),INDEX(Movements!$G626:$M626,1,MATCH(O$7,Movements!$G$614:$M$614,0))))
*O863*O$8,0)</f>
        <v>0</v>
      </c>
      <c r="P119" s="198">
        <f>_xlfn.IFNA(IF(P$7="Fixed",1,IF(AND($D86="yes",P$7="Block"),INDEX($O626:$Q626,1,MATCH(P$5,$I20:$K20,0)),INDEX(Movements!$G626:$M626,1,MATCH(P$7,Movements!$G$614:$M$614,0))))
*P863*P$8,0)</f>
        <v>0</v>
      </c>
      <c r="Q119" s="198">
        <f>_xlfn.IFNA(IF(Q$7="Fixed",1,IF(AND($D86="yes",Q$7="Block"),INDEX($O626:$Q626,1,MATCH(Q$5,$I20:$K20,0)),INDEX(Movements!$G626:$M626,1,MATCH(Q$7,Movements!$G$614:$M$614,0))))
*Q863*Q$8,0)</f>
        <v>0</v>
      </c>
      <c r="R119" s="198">
        <f>_xlfn.IFNA(IF(R$7="Fixed",1,IF(AND($D86="yes",R$7="Block"),INDEX($O626:$Q626,1,MATCH(R$5,$I20:$K20,0)),INDEX(Movements!$G626:$M626,1,MATCH(R$7,Movements!$G$614:$M$614,0))))
*R863*R$8,0)</f>
        <v>0</v>
      </c>
      <c r="S119" s="198">
        <f>_xlfn.IFNA(IF(S$7="Fixed",1,IF(AND($D86="yes",S$7="Block"),INDEX($O626:$Q626,1,MATCH(S$5,$I20:$K20,0)),INDEX(Movements!$G626:$M626,1,MATCH(S$7,Movements!$G$614:$M$614,0))))
*S863*S$8,0)</f>
        <v>0</v>
      </c>
      <c r="T119" s="198">
        <f>_xlfn.IFNA(IF(T$7="Fixed",1,IF(AND($D86="yes",T$7="Block"),INDEX($O626:$Q626,1,MATCH(T$5,$I20:$K20,0)),INDEX(Movements!$G626:$M626,1,MATCH(T$7,Movements!$G$614:$M$614,0))))
*T863*T$8,0)</f>
        <v>0</v>
      </c>
      <c r="U119" s="198">
        <f>_xlfn.IFNA(IF(U$7="Fixed",1,IF(AND($D86="yes",U$7="Block"),INDEX($O626:$Q626,1,MATCH(U$5,$I20:$K20,0)),INDEX(Movements!$G626:$M626,1,MATCH(U$7,Movements!$G$614:$M$614,0))))
*U863*U$8,0)</f>
        <v>0</v>
      </c>
      <c r="V119" s="198">
        <f>_xlfn.IFNA(IF(V$7="Fixed",1,IF(AND($D86="yes",V$7="Block"),INDEX($O626:$Q626,1,MATCH(V$5,$I20:$K20,0)),INDEX(Movements!$G626:$M626,1,MATCH(V$7,Movements!$G$614:$M$614,0))))
*V863*V$8,0)</f>
        <v>0</v>
      </c>
      <c r="W119" s="198">
        <f>_xlfn.IFNA(IF(W$7="Fixed",1,IF(AND($D86="yes",W$7="Block"),INDEX($O626:$Q626,1,MATCH(W$5,$I20:$K20,0)),INDEX(Movements!$G626:$M626,1,MATCH(W$7,Movements!$G$614:$M$614,0))))
*W863*W$8,0)</f>
        <v>0</v>
      </c>
      <c r="X119" s="198">
        <f>_xlfn.IFNA(IF(X$7="Fixed",1,IF(AND($D86="yes",X$7="Block"),INDEX($O626:$Q626,1,MATCH(X$5,$I20:$K20,0)),INDEX(Movements!$G626:$M626,1,MATCH(X$7,Movements!$G$614:$M$614,0))))
*X863*X$8,0)</f>
        <v>0</v>
      </c>
      <c r="Y119" s="198">
        <f>_xlfn.IFNA(IF(Y$7="Fixed",1,IF(AND($D86="yes",Y$7="Block"),INDEX($O626:$Q626,1,MATCH(Y$5,$I20:$K20,0)),INDEX(Movements!$G626:$M626,1,MATCH(Y$7,Movements!$G$614:$M$614,0))))
*Y863*Y$8,0)</f>
        <v>0</v>
      </c>
      <c r="Z119" s="198">
        <f>_xlfn.IFNA(IF(Z$7="Fixed",1,IF(AND($D86="yes",Z$7="Block"),INDEX($O626:$Q626,1,MATCH(Z$5,$I20:$K20,0)),INDEX(Movements!$G626:$M626,1,MATCH(Z$7,Movements!$G$614:$M$614,0))))
*Z863*Z$8,0)</f>
        <v>0</v>
      </c>
      <c r="AA119" s="198">
        <f>_xlfn.IFNA(IF(AA$7="Fixed",1,IF(AND($D86="yes",AA$7="Block"),INDEX($O626:$Q626,1,MATCH(AA$5,$I20:$K20,0)),INDEX(Movements!$G626:$M626,1,MATCH(AA$7,Movements!$G$614:$M$614,0))))
*AA863*AA$8,0)</f>
        <v>0</v>
      </c>
      <c r="AB119" s="198">
        <f>_xlfn.IFNA(IF(AB$7="Fixed",1,IF(AND($D86="yes",AB$7="Block"),INDEX($O626:$Q626,1,MATCH(AB$5,$I20:$K20,0)),INDEX(Movements!$G626:$M626,1,MATCH(AB$7,Movements!$G$614:$M$614,0))))
*AB863*AB$8,0)</f>
        <v>0</v>
      </c>
      <c r="AC119" s="70"/>
      <c r="AD119" s="19"/>
      <c r="AE119" s="19"/>
      <c r="AF119" s="19"/>
      <c r="AG119" s="19"/>
    </row>
    <row r="120" spans="1:33" hidden="1" outlineLevel="3" x14ac:dyDescent="0.2">
      <c r="A120" s="19"/>
      <c r="B120" s="97">
        <v>11</v>
      </c>
      <c r="C120" s="506">
        <f t="shared" si="5"/>
        <v>0</v>
      </c>
      <c r="D120" s="505">
        <f t="shared" si="5"/>
        <v>0</v>
      </c>
      <c r="E120" s="505">
        <f t="shared" si="5"/>
        <v>0</v>
      </c>
      <c r="F120" s="58"/>
      <c r="G120" s="199">
        <f t="shared" si="6"/>
        <v>0</v>
      </c>
      <c r="H120" s="58"/>
      <c r="I120" s="198">
        <f>_xlfn.IFNA(IF(I$7="Fixed",1,IF(AND($D87="yes",I$7="Block"),INDEX($O627:$Q627,1,MATCH(I$5,$I21:$K21,0)),INDEX(Movements!$G627:$M627,1,MATCH(I$7,Movements!$G$614:$M$614,0))))
*I864*I$8,0)</f>
        <v>0</v>
      </c>
      <c r="J120" s="198">
        <f>_xlfn.IFNA(IF(J$7="Fixed",1,IF(AND($D87="yes",J$7="Block"),INDEX($O627:$Q627,1,MATCH(J$5,$I21:$K21,0)),INDEX(Movements!$G627:$M627,1,MATCH(J$7,Movements!$G$614:$M$614,0))))
*J864*J$8,0)</f>
        <v>0</v>
      </c>
      <c r="K120" s="198">
        <f>_xlfn.IFNA(IF(K$7="Fixed",1,IF(AND($D87="yes",K$7="Block"),INDEX($O627:$Q627,1,MATCH(K$5,$I21:$K21,0)),INDEX(Movements!$G627:$M627,1,MATCH(K$7,Movements!$G$614:$M$614,0))))
*K864*K$8,0)</f>
        <v>0</v>
      </c>
      <c r="L120" s="198">
        <f>_xlfn.IFNA(IF(L$7="Fixed",1,IF(AND($D87="yes",L$7="Block"),INDEX($O627:$Q627,1,MATCH(L$5,$I21:$K21,0)),INDEX(Movements!$G627:$M627,1,MATCH(L$7,Movements!$G$614:$M$614,0))))
*L864*L$8,0)</f>
        <v>0</v>
      </c>
      <c r="M120" s="198">
        <f>_xlfn.IFNA(IF(M$7="Fixed",1,IF(AND($D87="yes",M$7="Block"),INDEX($O627:$Q627,1,MATCH(M$5,$I21:$K21,0)),INDEX(Movements!$G627:$M627,1,MATCH(M$7,Movements!$G$614:$M$614,0))))
*M864*M$8,0)</f>
        <v>0</v>
      </c>
      <c r="N120" s="198">
        <f>_xlfn.IFNA(IF(N$7="Fixed",1,IF(AND($D87="yes",N$7="Block"),INDEX($O627:$Q627,1,MATCH(N$5,$I21:$K21,0)),INDEX(Movements!$G627:$M627,1,MATCH(N$7,Movements!$G$614:$M$614,0))))
*N864*N$8,0)</f>
        <v>0</v>
      </c>
      <c r="O120" s="198">
        <f>_xlfn.IFNA(IF(O$7="Fixed",1,IF(AND($D87="yes",O$7="Block"),INDEX($O627:$Q627,1,MATCH(O$5,$I21:$K21,0)),INDEX(Movements!$G627:$M627,1,MATCH(O$7,Movements!$G$614:$M$614,0))))
*O864*O$8,0)</f>
        <v>0</v>
      </c>
      <c r="P120" s="198">
        <f>_xlfn.IFNA(IF(P$7="Fixed",1,IF(AND($D87="yes",P$7="Block"),INDEX($O627:$Q627,1,MATCH(P$5,$I21:$K21,0)),INDEX(Movements!$G627:$M627,1,MATCH(P$7,Movements!$G$614:$M$614,0))))
*P864*P$8,0)</f>
        <v>0</v>
      </c>
      <c r="Q120" s="198">
        <f>_xlfn.IFNA(IF(Q$7="Fixed",1,IF(AND($D87="yes",Q$7="Block"),INDEX($O627:$Q627,1,MATCH(Q$5,$I21:$K21,0)),INDEX(Movements!$G627:$M627,1,MATCH(Q$7,Movements!$G$614:$M$614,0))))
*Q864*Q$8,0)</f>
        <v>0</v>
      </c>
      <c r="R120" s="198">
        <f>_xlfn.IFNA(IF(R$7="Fixed",1,IF(AND($D87="yes",R$7="Block"),INDEX($O627:$Q627,1,MATCH(R$5,$I21:$K21,0)),INDEX(Movements!$G627:$M627,1,MATCH(R$7,Movements!$G$614:$M$614,0))))
*R864*R$8,0)</f>
        <v>0</v>
      </c>
      <c r="S120" s="198">
        <f>_xlfn.IFNA(IF(S$7="Fixed",1,IF(AND($D87="yes",S$7="Block"),INDEX($O627:$Q627,1,MATCH(S$5,$I21:$K21,0)),INDEX(Movements!$G627:$M627,1,MATCH(S$7,Movements!$G$614:$M$614,0))))
*S864*S$8,0)</f>
        <v>0</v>
      </c>
      <c r="T120" s="198">
        <f>_xlfn.IFNA(IF(T$7="Fixed",1,IF(AND($D87="yes",T$7="Block"),INDEX($O627:$Q627,1,MATCH(T$5,$I21:$K21,0)),INDEX(Movements!$G627:$M627,1,MATCH(T$7,Movements!$G$614:$M$614,0))))
*T864*T$8,0)</f>
        <v>0</v>
      </c>
      <c r="U120" s="198">
        <f>_xlfn.IFNA(IF(U$7="Fixed",1,IF(AND($D87="yes",U$7="Block"),INDEX($O627:$Q627,1,MATCH(U$5,$I21:$K21,0)),INDEX(Movements!$G627:$M627,1,MATCH(U$7,Movements!$G$614:$M$614,0))))
*U864*U$8,0)</f>
        <v>0</v>
      </c>
      <c r="V120" s="198">
        <f>_xlfn.IFNA(IF(V$7="Fixed",1,IF(AND($D87="yes",V$7="Block"),INDEX($O627:$Q627,1,MATCH(V$5,$I21:$K21,0)),INDEX(Movements!$G627:$M627,1,MATCH(V$7,Movements!$G$614:$M$614,0))))
*V864*V$8,0)</f>
        <v>0</v>
      </c>
      <c r="W120" s="198">
        <f>_xlfn.IFNA(IF(W$7="Fixed",1,IF(AND($D87="yes",W$7="Block"),INDEX($O627:$Q627,1,MATCH(W$5,$I21:$K21,0)),INDEX(Movements!$G627:$M627,1,MATCH(W$7,Movements!$G$614:$M$614,0))))
*W864*W$8,0)</f>
        <v>0</v>
      </c>
      <c r="X120" s="198">
        <f>_xlfn.IFNA(IF(X$7="Fixed",1,IF(AND($D87="yes",X$7="Block"),INDEX($O627:$Q627,1,MATCH(X$5,$I21:$K21,0)),INDEX(Movements!$G627:$M627,1,MATCH(X$7,Movements!$G$614:$M$614,0))))
*X864*X$8,0)</f>
        <v>0</v>
      </c>
      <c r="Y120" s="198">
        <f>_xlfn.IFNA(IF(Y$7="Fixed",1,IF(AND($D87="yes",Y$7="Block"),INDEX($O627:$Q627,1,MATCH(Y$5,$I21:$K21,0)),INDEX(Movements!$G627:$M627,1,MATCH(Y$7,Movements!$G$614:$M$614,0))))
*Y864*Y$8,0)</f>
        <v>0</v>
      </c>
      <c r="Z120" s="198">
        <f>_xlfn.IFNA(IF(Z$7="Fixed",1,IF(AND($D87="yes",Z$7="Block"),INDEX($O627:$Q627,1,MATCH(Z$5,$I21:$K21,0)),INDEX(Movements!$G627:$M627,1,MATCH(Z$7,Movements!$G$614:$M$614,0))))
*Z864*Z$8,0)</f>
        <v>0</v>
      </c>
      <c r="AA120" s="198">
        <f>_xlfn.IFNA(IF(AA$7="Fixed",1,IF(AND($D87="yes",AA$7="Block"),INDEX($O627:$Q627,1,MATCH(AA$5,$I21:$K21,0)),INDEX(Movements!$G627:$M627,1,MATCH(AA$7,Movements!$G$614:$M$614,0))))
*AA864*AA$8,0)</f>
        <v>0</v>
      </c>
      <c r="AB120" s="198">
        <f>_xlfn.IFNA(IF(AB$7="Fixed",1,IF(AND($D87="yes",AB$7="Block"),INDEX($O627:$Q627,1,MATCH(AB$5,$I21:$K21,0)),INDEX(Movements!$G627:$M627,1,MATCH(AB$7,Movements!$G$614:$M$614,0))))
*AB864*AB$8,0)</f>
        <v>0</v>
      </c>
      <c r="AC120" s="70"/>
      <c r="AD120" s="19"/>
      <c r="AE120" s="19"/>
      <c r="AF120" s="19"/>
      <c r="AG120" s="19"/>
    </row>
    <row r="121" spans="1:33" hidden="1" outlineLevel="3" x14ac:dyDescent="0.2">
      <c r="A121" s="19"/>
      <c r="B121" s="97">
        <v>12</v>
      </c>
      <c r="C121" s="506">
        <f t="shared" si="5"/>
        <v>0</v>
      </c>
      <c r="D121" s="505">
        <f t="shared" si="5"/>
        <v>0</v>
      </c>
      <c r="E121" s="505">
        <f t="shared" si="5"/>
        <v>0</v>
      </c>
      <c r="F121" s="58"/>
      <c r="G121" s="199">
        <f t="shared" si="6"/>
        <v>0</v>
      </c>
      <c r="H121" s="58"/>
      <c r="I121" s="198">
        <f>_xlfn.IFNA(IF(I$7="Fixed",1,IF(AND($D88="yes",I$7="Block"),INDEX($O628:$Q628,1,MATCH(I$5,$I22:$K22,0)),INDEX(Movements!$G628:$M628,1,MATCH(I$7,Movements!$G$614:$M$614,0))))
*I865*I$8,0)</f>
        <v>0</v>
      </c>
      <c r="J121" s="198">
        <f>_xlfn.IFNA(IF(J$7="Fixed",1,IF(AND($D88="yes",J$7="Block"),INDEX($O628:$Q628,1,MATCH(J$5,$I22:$K22,0)),INDEX(Movements!$G628:$M628,1,MATCH(J$7,Movements!$G$614:$M$614,0))))
*J865*J$8,0)</f>
        <v>0</v>
      </c>
      <c r="K121" s="198">
        <f>_xlfn.IFNA(IF(K$7="Fixed",1,IF(AND($D88="yes",K$7="Block"),INDEX($O628:$Q628,1,MATCH(K$5,$I22:$K22,0)),INDEX(Movements!$G628:$M628,1,MATCH(K$7,Movements!$G$614:$M$614,0))))
*K865*K$8,0)</f>
        <v>0</v>
      </c>
      <c r="L121" s="198">
        <f>_xlfn.IFNA(IF(L$7="Fixed",1,IF(AND($D88="yes",L$7="Block"),INDEX($O628:$Q628,1,MATCH(L$5,$I22:$K22,0)),INDEX(Movements!$G628:$M628,1,MATCH(L$7,Movements!$G$614:$M$614,0))))
*L865*L$8,0)</f>
        <v>0</v>
      </c>
      <c r="M121" s="198">
        <f>_xlfn.IFNA(IF(M$7="Fixed",1,IF(AND($D88="yes",M$7="Block"),INDEX($O628:$Q628,1,MATCH(M$5,$I22:$K22,0)),INDEX(Movements!$G628:$M628,1,MATCH(M$7,Movements!$G$614:$M$614,0))))
*M865*M$8,0)</f>
        <v>0</v>
      </c>
      <c r="N121" s="198">
        <f>_xlfn.IFNA(IF(N$7="Fixed",1,IF(AND($D88="yes",N$7="Block"),INDEX($O628:$Q628,1,MATCH(N$5,$I22:$K22,0)),INDEX(Movements!$G628:$M628,1,MATCH(N$7,Movements!$G$614:$M$614,0))))
*N865*N$8,0)</f>
        <v>0</v>
      </c>
      <c r="O121" s="198">
        <f>_xlfn.IFNA(IF(O$7="Fixed",1,IF(AND($D88="yes",O$7="Block"),INDEX($O628:$Q628,1,MATCH(O$5,$I22:$K22,0)),INDEX(Movements!$G628:$M628,1,MATCH(O$7,Movements!$G$614:$M$614,0))))
*O865*O$8,0)</f>
        <v>0</v>
      </c>
      <c r="P121" s="198">
        <f>_xlfn.IFNA(IF(P$7="Fixed",1,IF(AND($D88="yes",P$7="Block"),INDEX($O628:$Q628,1,MATCH(P$5,$I22:$K22,0)),INDEX(Movements!$G628:$M628,1,MATCH(P$7,Movements!$G$614:$M$614,0))))
*P865*P$8,0)</f>
        <v>0</v>
      </c>
      <c r="Q121" s="198">
        <f>_xlfn.IFNA(IF(Q$7="Fixed",1,IF(AND($D88="yes",Q$7="Block"),INDEX($O628:$Q628,1,MATCH(Q$5,$I22:$K22,0)),INDEX(Movements!$G628:$M628,1,MATCH(Q$7,Movements!$G$614:$M$614,0))))
*Q865*Q$8,0)</f>
        <v>0</v>
      </c>
      <c r="R121" s="198">
        <f>_xlfn.IFNA(IF(R$7="Fixed",1,IF(AND($D88="yes",R$7="Block"),INDEX($O628:$Q628,1,MATCH(R$5,$I22:$K22,0)),INDEX(Movements!$G628:$M628,1,MATCH(R$7,Movements!$G$614:$M$614,0))))
*R865*R$8,0)</f>
        <v>0</v>
      </c>
      <c r="S121" s="198">
        <f>_xlfn.IFNA(IF(S$7="Fixed",1,IF(AND($D88="yes",S$7="Block"),INDEX($O628:$Q628,1,MATCH(S$5,$I22:$K22,0)),INDEX(Movements!$G628:$M628,1,MATCH(S$7,Movements!$G$614:$M$614,0))))
*S865*S$8,0)</f>
        <v>0</v>
      </c>
      <c r="T121" s="198">
        <f>_xlfn.IFNA(IF(T$7="Fixed",1,IF(AND($D88="yes",T$7="Block"),INDEX($O628:$Q628,1,MATCH(T$5,$I22:$K22,0)),INDEX(Movements!$G628:$M628,1,MATCH(T$7,Movements!$G$614:$M$614,0))))
*T865*T$8,0)</f>
        <v>0</v>
      </c>
      <c r="U121" s="198">
        <f>_xlfn.IFNA(IF(U$7="Fixed",1,IF(AND($D88="yes",U$7="Block"),INDEX($O628:$Q628,1,MATCH(U$5,$I22:$K22,0)),INDEX(Movements!$G628:$M628,1,MATCH(U$7,Movements!$G$614:$M$614,0))))
*U865*U$8,0)</f>
        <v>0</v>
      </c>
      <c r="V121" s="198">
        <f>_xlfn.IFNA(IF(V$7="Fixed",1,IF(AND($D88="yes",V$7="Block"),INDEX($O628:$Q628,1,MATCH(V$5,$I22:$K22,0)),INDEX(Movements!$G628:$M628,1,MATCH(V$7,Movements!$G$614:$M$614,0))))
*V865*V$8,0)</f>
        <v>0</v>
      </c>
      <c r="W121" s="198">
        <f>_xlfn.IFNA(IF(W$7="Fixed",1,IF(AND($D88="yes",W$7="Block"),INDEX($O628:$Q628,1,MATCH(W$5,$I22:$K22,0)),INDEX(Movements!$G628:$M628,1,MATCH(W$7,Movements!$G$614:$M$614,0))))
*W865*W$8,0)</f>
        <v>0</v>
      </c>
      <c r="X121" s="198">
        <f>_xlfn.IFNA(IF(X$7="Fixed",1,IF(AND($D88="yes",X$7="Block"),INDEX($O628:$Q628,1,MATCH(X$5,$I22:$K22,0)),INDEX(Movements!$G628:$M628,1,MATCH(X$7,Movements!$G$614:$M$614,0))))
*X865*X$8,0)</f>
        <v>0</v>
      </c>
      <c r="Y121" s="198">
        <f>_xlfn.IFNA(IF(Y$7="Fixed",1,IF(AND($D88="yes",Y$7="Block"),INDEX($O628:$Q628,1,MATCH(Y$5,$I22:$K22,0)),INDEX(Movements!$G628:$M628,1,MATCH(Y$7,Movements!$G$614:$M$614,0))))
*Y865*Y$8,0)</f>
        <v>0</v>
      </c>
      <c r="Z121" s="198">
        <f>_xlfn.IFNA(IF(Z$7="Fixed",1,IF(AND($D88="yes",Z$7="Block"),INDEX($O628:$Q628,1,MATCH(Z$5,$I22:$K22,0)),INDEX(Movements!$G628:$M628,1,MATCH(Z$7,Movements!$G$614:$M$614,0))))
*Z865*Z$8,0)</f>
        <v>0</v>
      </c>
      <c r="AA121" s="198">
        <f>_xlfn.IFNA(IF(AA$7="Fixed",1,IF(AND($D88="yes",AA$7="Block"),INDEX($O628:$Q628,1,MATCH(AA$5,$I22:$K22,0)),INDEX(Movements!$G628:$M628,1,MATCH(AA$7,Movements!$G$614:$M$614,0))))
*AA865*AA$8,0)</f>
        <v>0</v>
      </c>
      <c r="AB121" s="198">
        <f>_xlfn.IFNA(IF(AB$7="Fixed",1,IF(AND($D88="yes",AB$7="Block"),INDEX($O628:$Q628,1,MATCH(AB$5,$I22:$K22,0)),INDEX(Movements!$G628:$M628,1,MATCH(AB$7,Movements!$G$614:$M$614,0))))
*AB865*AB$8,0)</f>
        <v>0</v>
      </c>
      <c r="AC121" s="70"/>
      <c r="AD121" s="19"/>
      <c r="AE121" s="19"/>
      <c r="AF121" s="19"/>
      <c r="AG121" s="19"/>
    </row>
    <row r="122" spans="1:33" hidden="1" outlineLevel="3" x14ac:dyDescent="0.2">
      <c r="A122" s="19"/>
      <c r="B122" s="97">
        <v>13</v>
      </c>
      <c r="C122" s="506">
        <f t="shared" si="5"/>
        <v>0</v>
      </c>
      <c r="D122" s="505">
        <f t="shared" si="5"/>
        <v>0</v>
      </c>
      <c r="E122" s="505">
        <f t="shared" si="5"/>
        <v>0</v>
      </c>
      <c r="F122" s="58"/>
      <c r="G122" s="199">
        <f t="shared" si="6"/>
        <v>0</v>
      </c>
      <c r="H122" s="58"/>
      <c r="I122" s="198">
        <f>_xlfn.IFNA(IF(I$7="Fixed",1,IF(AND($D89="yes",I$7="Block"),INDEX($O629:$Q629,1,MATCH(I$5,$I23:$K23,0)),INDEX(Movements!$G629:$M629,1,MATCH(I$7,Movements!$G$614:$M$614,0))))
*I866*I$8,0)</f>
        <v>0</v>
      </c>
      <c r="J122" s="198">
        <f>_xlfn.IFNA(IF(J$7="Fixed",1,IF(AND($D89="yes",J$7="Block"),INDEX($O629:$Q629,1,MATCH(J$5,$I23:$K23,0)),INDEX(Movements!$G629:$M629,1,MATCH(J$7,Movements!$G$614:$M$614,0))))
*J866*J$8,0)</f>
        <v>0</v>
      </c>
      <c r="K122" s="198">
        <f>_xlfn.IFNA(IF(K$7="Fixed",1,IF(AND($D89="yes",K$7="Block"),INDEX($O629:$Q629,1,MATCH(K$5,$I23:$K23,0)),INDEX(Movements!$G629:$M629,1,MATCH(K$7,Movements!$G$614:$M$614,0))))
*K866*K$8,0)</f>
        <v>0</v>
      </c>
      <c r="L122" s="198">
        <f>_xlfn.IFNA(IF(L$7="Fixed",1,IF(AND($D89="yes",L$7="Block"),INDEX($O629:$Q629,1,MATCH(L$5,$I23:$K23,0)),INDEX(Movements!$G629:$M629,1,MATCH(L$7,Movements!$G$614:$M$614,0))))
*L866*L$8,0)</f>
        <v>0</v>
      </c>
      <c r="M122" s="198">
        <f>_xlfn.IFNA(IF(M$7="Fixed",1,IF(AND($D89="yes",M$7="Block"),INDEX($O629:$Q629,1,MATCH(M$5,$I23:$K23,0)),INDEX(Movements!$G629:$M629,1,MATCH(M$7,Movements!$G$614:$M$614,0))))
*M866*M$8,0)</f>
        <v>0</v>
      </c>
      <c r="N122" s="198">
        <f>_xlfn.IFNA(IF(N$7="Fixed",1,IF(AND($D89="yes",N$7="Block"),INDEX($O629:$Q629,1,MATCH(N$5,$I23:$K23,0)),INDEX(Movements!$G629:$M629,1,MATCH(N$7,Movements!$G$614:$M$614,0))))
*N866*N$8,0)</f>
        <v>0</v>
      </c>
      <c r="O122" s="198">
        <f>_xlfn.IFNA(IF(O$7="Fixed",1,IF(AND($D89="yes",O$7="Block"),INDEX($O629:$Q629,1,MATCH(O$5,$I23:$K23,0)),INDEX(Movements!$G629:$M629,1,MATCH(O$7,Movements!$G$614:$M$614,0))))
*O866*O$8,0)</f>
        <v>0</v>
      </c>
      <c r="P122" s="198">
        <f>_xlfn.IFNA(IF(P$7="Fixed",1,IF(AND($D89="yes",P$7="Block"),INDEX($O629:$Q629,1,MATCH(P$5,$I23:$K23,0)),INDEX(Movements!$G629:$M629,1,MATCH(P$7,Movements!$G$614:$M$614,0))))
*P866*P$8,0)</f>
        <v>0</v>
      </c>
      <c r="Q122" s="198">
        <f>_xlfn.IFNA(IF(Q$7="Fixed",1,IF(AND($D89="yes",Q$7="Block"),INDEX($O629:$Q629,1,MATCH(Q$5,$I23:$K23,0)),INDEX(Movements!$G629:$M629,1,MATCH(Q$7,Movements!$G$614:$M$614,0))))
*Q866*Q$8,0)</f>
        <v>0</v>
      </c>
      <c r="R122" s="198">
        <f>_xlfn.IFNA(IF(R$7="Fixed",1,IF(AND($D89="yes",R$7="Block"),INDEX($O629:$Q629,1,MATCH(R$5,$I23:$K23,0)),INDEX(Movements!$G629:$M629,1,MATCH(R$7,Movements!$G$614:$M$614,0))))
*R866*R$8,0)</f>
        <v>0</v>
      </c>
      <c r="S122" s="198">
        <f>_xlfn.IFNA(IF(S$7="Fixed",1,IF(AND($D89="yes",S$7="Block"),INDEX($O629:$Q629,1,MATCH(S$5,$I23:$K23,0)),INDEX(Movements!$G629:$M629,1,MATCH(S$7,Movements!$G$614:$M$614,0))))
*S866*S$8,0)</f>
        <v>0</v>
      </c>
      <c r="T122" s="198">
        <f>_xlfn.IFNA(IF(T$7="Fixed",1,IF(AND($D89="yes",T$7="Block"),INDEX($O629:$Q629,1,MATCH(T$5,$I23:$K23,0)),INDEX(Movements!$G629:$M629,1,MATCH(T$7,Movements!$G$614:$M$614,0))))
*T866*T$8,0)</f>
        <v>0</v>
      </c>
      <c r="U122" s="198">
        <f>_xlfn.IFNA(IF(U$7="Fixed",1,IF(AND($D89="yes",U$7="Block"),INDEX($O629:$Q629,1,MATCH(U$5,$I23:$K23,0)),INDEX(Movements!$G629:$M629,1,MATCH(U$7,Movements!$G$614:$M$614,0))))
*U866*U$8,0)</f>
        <v>0</v>
      </c>
      <c r="V122" s="198">
        <f>_xlfn.IFNA(IF(V$7="Fixed",1,IF(AND($D89="yes",V$7="Block"),INDEX($O629:$Q629,1,MATCH(V$5,$I23:$K23,0)),INDEX(Movements!$G629:$M629,1,MATCH(V$7,Movements!$G$614:$M$614,0))))
*V866*V$8,0)</f>
        <v>0</v>
      </c>
      <c r="W122" s="198">
        <f>_xlfn.IFNA(IF(W$7="Fixed",1,IF(AND($D89="yes",W$7="Block"),INDEX($O629:$Q629,1,MATCH(W$5,$I23:$K23,0)),INDEX(Movements!$G629:$M629,1,MATCH(W$7,Movements!$G$614:$M$614,0))))
*W866*W$8,0)</f>
        <v>0</v>
      </c>
      <c r="X122" s="198">
        <f>_xlfn.IFNA(IF(X$7="Fixed",1,IF(AND($D89="yes",X$7="Block"),INDEX($O629:$Q629,1,MATCH(X$5,$I23:$K23,0)),INDEX(Movements!$G629:$M629,1,MATCH(X$7,Movements!$G$614:$M$614,0))))
*X866*X$8,0)</f>
        <v>0</v>
      </c>
      <c r="Y122" s="198">
        <f>_xlfn.IFNA(IF(Y$7="Fixed",1,IF(AND($D89="yes",Y$7="Block"),INDEX($O629:$Q629,1,MATCH(Y$5,$I23:$K23,0)),INDEX(Movements!$G629:$M629,1,MATCH(Y$7,Movements!$G$614:$M$614,0))))
*Y866*Y$8,0)</f>
        <v>0</v>
      </c>
      <c r="Z122" s="198">
        <f>_xlfn.IFNA(IF(Z$7="Fixed",1,IF(AND($D89="yes",Z$7="Block"),INDEX($O629:$Q629,1,MATCH(Z$5,$I23:$K23,0)),INDEX(Movements!$G629:$M629,1,MATCH(Z$7,Movements!$G$614:$M$614,0))))
*Z866*Z$8,0)</f>
        <v>0</v>
      </c>
      <c r="AA122" s="198">
        <f>_xlfn.IFNA(IF(AA$7="Fixed",1,IF(AND($D89="yes",AA$7="Block"),INDEX($O629:$Q629,1,MATCH(AA$5,$I23:$K23,0)),INDEX(Movements!$G629:$M629,1,MATCH(AA$7,Movements!$G$614:$M$614,0))))
*AA866*AA$8,0)</f>
        <v>0</v>
      </c>
      <c r="AB122" s="198">
        <f>_xlfn.IFNA(IF(AB$7="Fixed",1,IF(AND($D89="yes",AB$7="Block"),INDEX($O629:$Q629,1,MATCH(AB$5,$I23:$K23,0)),INDEX(Movements!$G629:$M629,1,MATCH(AB$7,Movements!$G$614:$M$614,0))))
*AB866*AB$8,0)</f>
        <v>0</v>
      </c>
      <c r="AC122" s="70"/>
      <c r="AD122" s="19"/>
      <c r="AE122" s="19"/>
      <c r="AF122" s="19"/>
      <c r="AG122" s="19"/>
    </row>
    <row r="123" spans="1:33" hidden="1" outlineLevel="3" x14ac:dyDescent="0.2">
      <c r="A123" s="19"/>
      <c r="B123" s="97">
        <v>14</v>
      </c>
      <c r="C123" s="506">
        <f t="shared" si="5"/>
        <v>0</v>
      </c>
      <c r="D123" s="505">
        <f t="shared" si="5"/>
        <v>0</v>
      </c>
      <c r="E123" s="505">
        <f t="shared" si="5"/>
        <v>0</v>
      </c>
      <c r="F123" s="58"/>
      <c r="G123" s="199">
        <f t="shared" si="6"/>
        <v>0</v>
      </c>
      <c r="H123" s="58"/>
      <c r="I123" s="198">
        <f>_xlfn.IFNA(IF(I$7="Fixed",1,IF(AND($D90="yes",I$7="Block"),INDEX($O630:$Q630,1,MATCH(I$5,$I24:$K24,0)),INDEX(Movements!$G630:$M630,1,MATCH(I$7,Movements!$G$614:$M$614,0))))
*I867*I$8,0)</f>
        <v>0</v>
      </c>
      <c r="J123" s="198">
        <f>_xlfn.IFNA(IF(J$7="Fixed",1,IF(AND($D90="yes",J$7="Block"),INDEX($O630:$Q630,1,MATCH(J$5,$I24:$K24,0)),INDEX(Movements!$G630:$M630,1,MATCH(J$7,Movements!$G$614:$M$614,0))))
*J867*J$8,0)</f>
        <v>0</v>
      </c>
      <c r="K123" s="198">
        <f>_xlfn.IFNA(IF(K$7="Fixed",1,IF(AND($D90="yes",K$7="Block"),INDEX($O630:$Q630,1,MATCH(K$5,$I24:$K24,0)),INDEX(Movements!$G630:$M630,1,MATCH(K$7,Movements!$G$614:$M$614,0))))
*K867*K$8,0)</f>
        <v>0</v>
      </c>
      <c r="L123" s="198">
        <f>_xlfn.IFNA(IF(L$7="Fixed",1,IF(AND($D90="yes",L$7="Block"),INDEX($O630:$Q630,1,MATCH(L$5,$I24:$K24,0)),INDEX(Movements!$G630:$M630,1,MATCH(L$7,Movements!$G$614:$M$614,0))))
*L867*L$8,0)</f>
        <v>0</v>
      </c>
      <c r="M123" s="198">
        <f>_xlfn.IFNA(IF(M$7="Fixed",1,IF(AND($D90="yes",M$7="Block"),INDEX($O630:$Q630,1,MATCH(M$5,$I24:$K24,0)),INDEX(Movements!$G630:$M630,1,MATCH(M$7,Movements!$G$614:$M$614,0))))
*M867*M$8,0)</f>
        <v>0</v>
      </c>
      <c r="N123" s="198">
        <f>_xlfn.IFNA(IF(N$7="Fixed",1,IF(AND($D90="yes",N$7="Block"),INDEX($O630:$Q630,1,MATCH(N$5,$I24:$K24,0)),INDEX(Movements!$G630:$M630,1,MATCH(N$7,Movements!$G$614:$M$614,0))))
*N867*N$8,0)</f>
        <v>0</v>
      </c>
      <c r="O123" s="198">
        <f>_xlfn.IFNA(IF(O$7="Fixed",1,IF(AND($D90="yes",O$7="Block"),INDEX($O630:$Q630,1,MATCH(O$5,$I24:$K24,0)),INDEX(Movements!$G630:$M630,1,MATCH(O$7,Movements!$G$614:$M$614,0))))
*O867*O$8,0)</f>
        <v>0</v>
      </c>
      <c r="P123" s="198">
        <f>_xlfn.IFNA(IF(P$7="Fixed",1,IF(AND($D90="yes",P$7="Block"),INDEX($O630:$Q630,1,MATCH(P$5,$I24:$K24,0)),INDEX(Movements!$G630:$M630,1,MATCH(P$7,Movements!$G$614:$M$614,0))))
*P867*P$8,0)</f>
        <v>0</v>
      </c>
      <c r="Q123" s="198">
        <f>_xlfn.IFNA(IF(Q$7="Fixed",1,IF(AND($D90="yes",Q$7="Block"),INDEX($O630:$Q630,1,MATCH(Q$5,$I24:$K24,0)),INDEX(Movements!$G630:$M630,1,MATCH(Q$7,Movements!$G$614:$M$614,0))))
*Q867*Q$8,0)</f>
        <v>0</v>
      </c>
      <c r="R123" s="198">
        <f>_xlfn.IFNA(IF(R$7="Fixed",1,IF(AND($D90="yes",R$7="Block"),INDEX($O630:$Q630,1,MATCH(R$5,$I24:$K24,0)),INDEX(Movements!$G630:$M630,1,MATCH(R$7,Movements!$G$614:$M$614,0))))
*R867*R$8,0)</f>
        <v>0</v>
      </c>
      <c r="S123" s="198">
        <f>_xlfn.IFNA(IF(S$7="Fixed",1,IF(AND($D90="yes",S$7="Block"),INDEX($O630:$Q630,1,MATCH(S$5,$I24:$K24,0)),INDEX(Movements!$G630:$M630,1,MATCH(S$7,Movements!$G$614:$M$614,0))))
*S867*S$8,0)</f>
        <v>0</v>
      </c>
      <c r="T123" s="198">
        <f>_xlfn.IFNA(IF(T$7="Fixed",1,IF(AND($D90="yes",T$7="Block"),INDEX($O630:$Q630,1,MATCH(T$5,$I24:$K24,0)),INDEX(Movements!$G630:$M630,1,MATCH(T$7,Movements!$G$614:$M$614,0))))
*T867*T$8,0)</f>
        <v>0</v>
      </c>
      <c r="U123" s="198">
        <f>_xlfn.IFNA(IF(U$7="Fixed",1,IF(AND($D90="yes",U$7="Block"),INDEX($O630:$Q630,1,MATCH(U$5,$I24:$K24,0)),INDEX(Movements!$G630:$M630,1,MATCH(U$7,Movements!$G$614:$M$614,0))))
*U867*U$8,0)</f>
        <v>0</v>
      </c>
      <c r="V123" s="198">
        <f>_xlfn.IFNA(IF(V$7="Fixed",1,IF(AND($D90="yes",V$7="Block"),INDEX($O630:$Q630,1,MATCH(V$5,$I24:$K24,0)),INDEX(Movements!$G630:$M630,1,MATCH(V$7,Movements!$G$614:$M$614,0))))
*V867*V$8,0)</f>
        <v>0</v>
      </c>
      <c r="W123" s="198">
        <f>_xlfn.IFNA(IF(W$7="Fixed",1,IF(AND($D90="yes",W$7="Block"),INDEX($O630:$Q630,1,MATCH(W$5,$I24:$K24,0)),INDEX(Movements!$G630:$M630,1,MATCH(W$7,Movements!$G$614:$M$614,0))))
*W867*W$8,0)</f>
        <v>0</v>
      </c>
      <c r="X123" s="198">
        <f>_xlfn.IFNA(IF(X$7="Fixed",1,IF(AND($D90="yes",X$7="Block"),INDEX($O630:$Q630,1,MATCH(X$5,$I24:$K24,0)),INDEX(Movements!$G630:$M630,1,MATCH(X$7,Movements!$G$614:$M$614,0))))
*X867*X$8,0)</f>
        <v>0</v>
      </c>
      <c r="Y123" s="198">
        <f>_xlfn.IFNA(IF(Y$7="Fixed",1,IF(AND($D90="yes",Y$7="Block"),INDEX($O630:$Q630,1,MATCH(Y$5,$I24:$K24,0)),INDEX(Movements!$G630:$M630,1,MATCH(Y$7,Movements!$G$614:$M$614,0))))
*Y867*Y$8,0)</f>
        <v>0</v>
      </c>
      <c r="Z123" s="198">
        <f>_xlfn.IFNA(IF(Z$7="Fixed",1,IF(AND($D90="yes",Z$7="Block"),INDEX($O630:$Q630,1,MATCH(Z$5,$I24:$K24,0)),INDEX(Movements!$G630:$M630,1,MATCH(Z$7,Movements!$G$614:$M$614,0))))
*Z867*Z$8,0)</f>
        <v>0</v>
      </c>
      <c r="AA123" s="198">
        <f>_xlfn.IFNA(IF(AA$7="Fixed",1,IF(AND($D90="yes",AA$7="Block"),INDEX($O630:$Q630,1,MATCH(AA$5,$I24:$K24,0)),INDEX(Movements!$G630:$M630,1,MATCH(AA$7,Movements!$G$614:$M$614,0))))
*AA867*AA$8,0)</f>
        <v>0</v>
      </c>
      <c r="AB123" s="198">
        <f>_xlfn.IFNA(IF(AB$7="Fixed",1,IF(AND($D90="yes",AB$7="Block"),INDEX($O630:$Q630,1,MATCH(AB$5,$I24:$K24,0)),INDEX(Movements!$G630:$M630,1,MATCH(AB$7,Movements!$G$614:$M$614,0))))
*AB867*AB$8,0)</f>
        <v>0</v>
      </c>
      <c r="AC123" s="70"/>
      <c r="AD123" s="19"/>
      <c r="AE123" s="19"/>
      <c r="AF123" s="19"/>
      <c r="AG123" s="19"/>
    </row>
    <row r="124" spans="1:33" hidden="1" outlineLevel="3" x14ac:dyDescent="0.2">
      <c r="A124" s="19"/>
      <c r="B124" s="97">
        <v>15</v>
      </c>
      <c r="C124" s="506">
        <f t="shared" si="5"/>
        <v>0</v>
      </c>
      <c r="D124" s="505">
        <f t="shared" si="5"/>
        <v>0</v>
      </c>
      <c r="E124" s="505">
        <f t="shared" si="5"/>
        <v>0</v>
      </c>
      <c r="F124" s="58"/>
      <c r="G124" s="199">
        <f t="shared" si="6"/>
        <v>0</v>
      </c>
      <c r="H124" s="58"/>
      <c r="I124" s="198">
        <f>_xlfn.IFNA(IF(I$7="Fixed",1,IF(AND($D91="yes",I$7="Block"),INDEX($O631:$Q631,1,MATCH(I$5,$I25:$K25,0)),INDEX(Movements!$G631:$M631,1,MATCH(I$7,Movements!$G$614:$M$614,0))))
*I868*I$8,0)</f>
        <v>0</v>
      </c>
      <c r="J124" s="198">
        <f>_xlfn.IFNA(IF(J$7="Fixed",1,IF(AND($D91="yes",J$7="Block"),INDEX($O631:$Q631,1,MATCH(J$5,$I25:$K25,0)),INDEX(Movements!$G631:$M631,1,MATCH(J$7,Movements!$G$614:$M$614,0))))
*J868*J$8,0)</f>
        <v>0</v>
      </c>
      <c r="K124" s="198">
        <f>_xlfn.IFNA(IF(K$7="Fixed",1,IF(AND($D91="yes",K$7="Block"),INDEX($O631:$Q631,1,MATCH(K$5,$I25:$K25,0)),INDEX(Movements!$G631:$M631,1,MATCH(K$7,Movements!$G$614:$M$614,0))))
*K868*K$8,0)</f>
        <v>0</v>
      </c>
      <c r="L124" s="198">
        <f>_xlfn.IFNA(IF(L$7="Fixed",1,IF(AND($D91="yes",L$7="Block"),INDEX($O631:$Q631,1,MATCH(L$5,$I25:$K25,0)),INDEX(Movements!$G631:$M631,1,MATCH(L$7,Movements!$G$614:$M$614,0))))
*L868*L$8,0)</f>
        <v>0</v>
      </c>
      <c r="M124" s="198">
        <f>_xlfn.IFNA(IF(M$7="Fixed",1,IF(AND($D91="yes",M$7="Block"),INDEX($O631:$Q631,1,MATCH(M$5,$I25:$K25,0)),INDEX(Movements!$G631:$M631,1,MATCH(M$7,Movements!$G$614:$M$614,0))))
*M868*M$8,0)</f>
        <v>0</v>
      </c>
      <c r="N124" s="198">
        <f>_xlfn.IFNA(IF(N$7="Fixed",1,IF(AND($D91="yes",N$7="Block"),INDEX($O631:$Q631,1,MATCH(N$5,$I25:$K25,0)),INDEX(Movements!$G631:$M631,1,MATCH(N$7,Movements!$G$614:$M$614,0))))
*N868*N$8,0)</f>
        <v>0</v>
      </c>
      <c r="O124" s="198">
        <f>_xlfn.IFNA(IF(O$7="Fixed",1,IF(AND($D91="yes",O$7="Block"),INDEX($O631:$Q631,1,MATCH(O$5,$I25:$K25,0)),INDEX(Movements!$G631:$M631,1,MATCH(O$7,Movements!$G$614:$M$614,0))))
*O868*O$8,0)</f>
        <v>0</v>
      </c>
      <c r="P124" s="198">
        <f>_xlfn.IFNA(IF(P$7="Fixed",1,IF(AND($D91="yes",P$7="Block"),INDEX($O631:$Q631,1,MATCH(P$5,$I25:$K25,0)),INDEX(Movements!$G631:$M631,1,MATCH(P$7,Movements!$G$614:$M$614,0))))
*P868*P$8,0)</f>
        <v>0</v>
      </c>
      <c r="Q124" s="198">
        <f>_xlfn.IFNA(IF(Q$7="Fixed",1,IF(AND($D91="yes",Q$7="Block"),INDEX($O631:$Q631,1,MATCH(Q$5,$I25:$K25,0)),INDEX(Movements!$G631:$M631,1,MATCH(Q$7,Movements!$G$614:$M$614,0))))
*Q868*Q$8,0)</f>
        <v>0</v>
      </c>
      <c r="R124" s="198">
        <f>_xlfn.IFNA(IF(R$7="Fixed",1,IF(AND($D91="yes",R$7="Block"),INDEX($O631:$Q631,1,MATCH(R$5,$I25:$K25,0)),INDEX(Movements!$G631:$M631,1,MATCH(R$7,Movements!$G$614:$M$614,0))))
*R868*R$8,0)</f>
        <v>0</v>
      </c>
      <c r="S124" s="198">
        <f>_xlfn.IFNA(IF(S$7="Fixed",1,IF(AND($D91="yes",S$7="Block"),INDEX($O631:$Q631,1,MATCH(S$5,$I25:$K25,0)),INDEX(Movements!$G631:$M631,1,MATCH(S$7,Movements!$G$614:$M$614,0))))
*S868*S$8,0)</f>
        <v>0</v>
      </c>
      <c r="T124" s="198">
        <f>_xlfn.IFNA(IF(T$7="Fixed",1,IF(AND($D91="yes",T$7="Block"),INDEX($O631:$Q631,1,MATCH(T$5,$I25:$K25,0)),INDEX(Movements!$G631:$M631,1,MATCH(T$7,Movements!$G$614:$M$614,0))))
*T868*T$8,0)</f>
        <v>0</v>
      </c>
      <c r="U124" s="198">
        <f>_xlfn.IFNA(IF(U$7="Fixed",1,IF(AND($D91="yes",U$7="Block"),INDEX($O631:$Q631,1,MATCH(U$5,$I25:$K25,0)),INDEX(Movements!$G631:$M631,1,MATCH(U$7,Movements!$G$614:$M$614,0))))
*U868*U$8,0)</f>
        <v>0</v>
      </c>
      <c r="V124" s="198">
        <f>_xlfn.IFNA(IF(V$7="Fixed",1,IF(AND($D91="yes",V$7="Block"),INDEX($O631:$Q631,1,MATCH(V$5,$I25:$K25,0)),INDEX(Movements!$G631:$M631,1,MATCH(V$7,Movements!$G$614:$M$614,0))))
*V868*V$8,0)</f>
        <v>0</v>
      </c>
      <c r="W124" s="198">
        <f>_xlfn.IFNA(IF(W$7="Fixed",1,IF(AND($D91="yes",W$7="Block"),INDEX($O631:$Q631,1,MATCH(W$5,$I25:$K25,0)),INDEX(Movements!$G631:$M631,1,MATCH(W$7,Movements!$G$614:$M$614,0))))
*W868*W$8,0)</f>
        <v>0</v>
      </c>
      <c r="X124" s="198">
        <f>_xlfn.IFNA(IF(X$7="Fixed",1,IF(AND($D91="yes",X$7="Block"),INDEX($O631:$Q631,1,MATCH(X$5,$I25:$K25,0)),INDEX(Movements!$G631:$M631,1,MATCH(X$7,Movements!$G$614:$M$614,0))))
*X868*X$8,0)</f>
        <v>0</v>
      </c>
      <c r="Y124" s="198">
        <f>_xlfn.IFNA(IF(Y$7="Fixed",1,IF(AND($D91="yes",Y$7="Block"),INDEX($O631:$Q631,1,MATCH(Y$5,$I25:$K25,0)),INDEX(Movements!$G631:$M631,1,MATCH(Y$7,Movements!$G$614:$M$614,0))))
*Y868*Y$8,0)</f>
        <v>0</v>
      </c>
      <c r="Z124" s="198">
        <f>_xlfn.IFNA(IF(Z$7="Fixed",1,IF(AND($D91="yes",Z$7="Block"),INDEX($O631:$Q631,1,MATCH(Z$5,$I25:$K25,0)),INDEX(Movements!$G631:$M631,1,MATCH(Z$7,Movements!$G$614:$M$614,0))))
*Z868*Z$8,0)</f>
        <v>0</v>
      </c>
      <c r="AA124" s="198">
        <f>_xlfn.IFNA(IF(AA$7="Fixed",1,IF(AND($D91="yes",AA$7="Block"),INDEX($O631:$Q631,1,MATCH(AA$5,$I25:$K25,0)),INDEX(Movements!$G631:$M631,1,MATCH(AA$7,Movements!$G$614:$M$614,0))))
*AA868*AA$8,0)</f>
        <v>0</v>
      </c>
      <c r="AB124" s="198">
        <f>_xlfn.IFNA(IF(AB$7="Fixed",1,IF(AND($D91="yes",AB$7="Block"),INDEX($O631:$Q631,1,MATCH(AB$5,$I25:$K25,0)),INDEX(Movements!$G631:$M631,1,MATCH(AB$7,Movements!$G$614:$M$614,0))))
*AB868*AB$8,0)</f>
        <v>0</v>
      </c>
      <c r="AC124" s="70"/>
      <c r="AD124" s="19"/>
      <c r="AE124" s="19"/>
      <c r="AF124" s="19"/>
      <c r="AG124" s="19"/>
    </row>
    <row r="125" spans="1:33" hidden="1" outlineLevel="3" x14ac:dyDescent="0.2">
      <c r="A125" s="19"/>
      <c r="B125" s="98">
        <v>16</v>
      </c>
      <c r="C125" s="506">
        <f t="shared" si="5"/>
        <v>0</v>
      </c>
      <c r="D125" s="505">
        <f t="shared" si="5"/>
        <v>0</v>
      </c>
      <c r="E125" s="505">
        <f t="shared" si="5"/>
        <v>0</v>
      </c>
      <c r="F125" s="58"/>
      <c r="G125" s="199">
        <f t="shared" si="6"/>
        <v>0</v>
      </c>
      <c r="H125" s="58"/>
      <c r="I125" s="198">
        <f>_xlfn.IFNA(IF(I$7="Fixed",1,IF(AND($D92="yes",I$7="Block"),INDEX($O632:$Q632,1,MATCH(I$5,$I26:$K26,0)),INDEX(Movements!$G632:$M632,1,MATCH(I$7,Movements!$G$614:$M$614,0))))
*I869*I$8,0)</f>
        <v>0</v>
      </c>
      <c r="J125" s="198">
        <f>_xlfn.IFNA(IF(J$7="Fixed",1,IF(AND($D92="yes",J$7="Block"),INDEX($O632:$Q632,1,MATCH(J$5,$I26:$K26,0)),INDEX(Movements!$G632:$M632,1,MATCH(J$7,Movements!$G$614:$M$614,0))))
*J869*J$8,0)</f>
        <v>0</v>
      </c>
      <c r="K125" s="198">
        <f>_xlfn.IFNA(IF(K$7="Fixed",1,IF(AND($D92="yes",K$7="Block"),INDEX($O632:$Q632,1,MATCH(K$5,$I26:$K26,0)),INDEX(Movements!$G632:$M632,1,MATCH(K$7,Movements!$G$614:$M$614,0))))
*K869*K$8,0)</f>
        <v>0</v>
      </c>
      <c r="L125" s="198">
        <f>_xlfn.IFNA(IF(L$7="Fixed",1,IF(AND($D92="yes",L$7="Block"),INDEX($O632:$Q632,1,MATCH(L$5,$I26:$K26,0)),INDEX(Movements!$G632:$M632,1,MATCH(L$7,Movements!$G$614:$M$614,0))))
*L869*L$8,0)</f>
        <v>0</v>
      </c>
      <c r="M125" s="198">
        <f>_xlfn.IFNA(IF(M$7="Fixed",1,IF(AND($D92="yes",M$7="Block"),INDEX($O632:$Q632,1,MATCH(M$5,$I26:$K26,0)),INDEX(Movements!$G632:$M632,1,MATCH(M$7,Movements!$G$614:$M$614,0))))
*M869*M$8,0)</f>
        <v>0</v>
      </c>
      <c r="N125" s="198">
        <f>_xlfn.IFNA(IF(N$7="Fixed",1,IF(AND($D92="yes",N$7="Block"),INDEX($O632:$Q632,1,MATCH(N$5,$I26:$K26,0)),INDEX(Movements!$G632:$M632,1,MATCH(N$7,Movements!$G$614:$M$614,0))))
*N869*N$8,0)</f>
        <v>0</v>
      </c>
      <c r="O125" s="198">
        <f>_xlfn.IFNA(IF(O$7="Fixed",1,IF(AND($D92="yes",O$7="Block"),INDEX($O632:$Q632,1,MATCH(O$5,$I26:$K26,0)),INDEX(Movements!$G632:$M632,1,MATCH(O$7,Movements!$G$614:$M$614,0))))
*O869*O$8,0)</f>
        <v>0</v>
      </c>
      <c r="P125" s="198">
        <f>_xlfn.IFNA(IF(P$7="Fixed",1,IF(AND($D92="yes",P$7="Block"),INDEX($O632:$Q632,1,MATCH(P$5,$I26:$K26,0)),INDEX(Movements!$G632:$M632,1,MATCH(P$7,Movements!$G$614:$M$614,0))))
*P869*P$8,0)</f>
        <v>0</v>
      </c>
      <c r="Q125" s="198">
        <f>_xlfn.IFNA(IF(Q$7="Fixed",1,IF(AND($D92="yes",Q$7="Block"),INDEX($O632:$Q632,1,MATCH(Q$5,$I26:$K26,0)),INDEX(Movements!$G632:$M632,1,MATCH(Q$7,Movements!$G$614:$M$614,0))))
*Q869*Q$8,0)</f>
        <v>0</v>
      </c>
      <c r="R125" s="198">
        <f>_xlfn.IFNA(IF(R$7="Fixed",1,IF(AND($D92="yes",R$7="Block"),INDEX($O632:$Q632,1,MATCH(R$5,$I26:$K26,0)),INDEX(Movements!$G632:$M632,1,MATCH(R$7,Movements!$G$614:$M$614,0))))
*R869*R$8,0)</f>
        <v>0</v>
      </c>
      <c r="S125" s="198">
        <f>_xlfn.IFNA(IF(S$7="Fixed",1,IF(AND($D92="yes",S$7="Block"),INDEX($O632:$Q632,1,MATCH(S$5,$I26:$K26,0)),INDEX(Movements!$G632:$M632,1,MATCH(S$7,Movements!$G$614:$M$614,0))))
*S869*S$8,0)</f>
        <v>0</v>
      </c>
      <c r="T125" s="198">
        <f>_xlfn.IFNA(IF(T$7="Fixed",1,IF(AND($D92="yes",T$7="Block"),INDEX($O632:$Q632,1,MATCH(T$5,$I26:$K26,0)),INDEX(Movements!$G632:$M632,1,MATCH(T$7,Movements!$G$614:$M$614,0))))
*T869*T$8,0)</f>
        <v>0</v>
      </c>
      <c r="U125" s="198">
        <f>_xlfn.IFNA(IF(U$7="Fixed",1,IF(AND($D92="yes",U$7="Block"),INDEX($O632:$Q632,1,MATCH(U$5,$I26:$K26,0)),INDEX(Movements!$G632:$M632,1,MATCH(U$7,Movements!$G$614:$M$614,0))))
*U869*U$8,0)</f>
        <v>0</v>
      </c>
      <c r="V125" s="198">
        <f>_xlfn.IFNA(IF(V$7="Fixed",1,IF(AND($D92="yes",V$7="Block"),INDEX($O632:$Q632,1,MATCH(V$5,$I26:$K26,0)),INDEX(Movements!$G632:$M632,1,MATCH(V$7,Movements!$G$614:$M$614,0))))
*V869*V$8,0)</f>
        <v>0</v>
      </c>
      <c r="W125" s="198">
        <f>_xlfn.IFNA(IF(W$7="Fixed",1,IF(AND($D92="yes",W$7="Block"),INDEX($O632:$Q632,1,MATCH(W$5,$I26:$K26,0)),INDEX(Movements!$G632:$M632,1,MATCH(W$7,Movements!$G$614:$M$614,0))))
*W869*W$8,0)</f>
        <v>0</v>
      </c>
      <c r="X125" s="198">
        <f>_xlfn.IFNA(IF(X$7="Fixed",1,IF(AND($D92="yes",X$7="Block"),INDEX($O632:$Q632,1,MATCH(X$5,$I26:$K26,0)),INDEX(Movements!$G632:$M632,1,MATCH(X$7,Movements!$G$614:$M$614,0))))
*X869*X$8,0)</f>
        <v>0</v>
      </c>
      <c r="Y125" s="198">
        <f>_xlfn.IFNA(IF(Y$7="Fixed",1,IF(AND($D92="yes",Y$7="Block"),INDEX($O632:$Q632,1,MATCH(Y$5,$I26:$K26,0)),INDEX(Movements!$G632:$M632,1,MATCH(Y$7,Movements!$G$614:$M$614,0))))
*Y869*Y$8,0)</f>
        <v>0</v>
      </c>
      <c r="Z125" s="198">
        <f>_xlfn.IFNA(IF(Z$7="Fixed",1,IF(AND($D92="yes",Z$7="Block"),INDEX($O632:$Q632,1,MATCH(Z$5,$I26:$K26,0)),INDEX(Movements!$G632:$M632,1,MATCH(Z$7,Movements!$G$614:$M$614,0))))
*Z869*Z$8,0)</f>
        <v>0</v>
      </c>
      <c r="AA125" s="198">
        <f>_xlfn.IFNA(IF(AA$7="Fixed",1,IF(AND($D92="yes",AA$7="Block"),INDEX($O632:$Q632,1,MATCH(AA$5,$I26:$K26,0)),INDEX(Movements!$G632:$M632,1,MATCH(AA$7,Movements!$G$614:$M$614,0))))
*AA869*AA$8,0)</f>
        <v>0</v>
      </c>
      <c r="AB125" s="198">
        <f>_xlfn.IFNA(IF(AB$7="Fixed",1,IF(AND($D92="yes",AB$7="Block"),INDEX($O632:$Q632,1,MATCH(AB$5,$I26:$K26,0)),INDEX(Movements!$G632:$M632,1,MATCH(AB$7,Movements!$G$614:$M$614,0))))
*AB869*AB$8,0)</f>
        <v>0</v>
      </c>
      <c r="AC125" s="70"/>
      <c r="AD125" s="19"/>
      <c r="AE125" s="19"/>
      <c r="AF125" s="19"/>
      <c r="AG125" s="19"/>
    </row>
    <row r="126" spans="1:33" hidden="1" outlineLevel="3" x14ac:dyDescent="0.2">
      <c r="A126" s="19"/>
      <c r="B126" s="97">
        <v>17</v>
      </c>
      <c r="C126" s="506">
        <f t="shared" si="5"/>
        <v>0</v>
      </c>
      <c r="D126" s="505">
        <f t="shared" si="5"/>
        <v>0</v>
      </c>
      <c r="E126" s="505">
        <f t="shared" si="5"/>
        <v>0</v>
      </c>
      <c r="F126" s="58"/>
      <c r="G126" s="199">
        <f t="shared" si="6"/>
        <v>0</v>
      </c>
      <c r="H126" s="58"/>
      <c r="I126" s="198">
        <f>_xlfn.IFNA(IF(I$7="Fixed",1,IF(AND($D93="yes",I$7="Block"),INDEX($O633:$Q633,1,MATCH(I$5,$I27:$K27,0)),INDEX(Movements!$G633:$M633,1,MATCH(I$7,Movements!$G$614:$M$614,0))))
*I870*I$8,0)</f>
        <v>0</v>
      </c>
      <c r="J126" s="198">
        <f>_xlfn.IFNA(IF(J$7="Fixed",1,IF(AND($D93="yes",J$7="Block"),INDEX($O633:$Q633,1,MATCH(J$5,$I27:$K27,0)),INDEX(Movements!$G633:$M633,1,MATCH(J$7,Movements!$G$614:$M$614,0))))
*J870*J$8,0)</f>
        <v>0</v>
      </c>
      <c r="K126" s="198">
        <f>_xlfn.IFNA(IF(K$7="Fixed",1,IF(AND($D93="yes",K$7="Block"),INDEX($O633:$Q633,1,MATCH(K$5,$I27:$K27,0)),INDEX(Movements!$G633:$M633,1,MATCH(K$7,Movements!$G$614:$M$614,0))))
*K870*K$8,0)</f>
        <v>0</v>
      </c>
      <c r="L126" s="198">
        <f>_xlfn.IFNA(IF(L$7="Fixed",1,IF(AND($D93="yes",L$7="Block"),INDEX($O633:$Q633,1,MATCH(L$5,$I27:$K27,0)),INDEX(Movements!$G633:$M633,1,MATCH(L$7,Movements!$G$614:$M$614,0))))
*L870*L$8,0)</f>
        <v>0</v>
      </c>
      <c r="M126" s="198">
        <f>_xlfn.IFNA(IF(M$7="Fixed",1,IF(AND($D93="yes",M$7="Block"),INDEX($O633:$Q633,1,MATCH(M$5,$I27:$K27,0)),INDEX(Movements!$G633:$M633,1,MATCH(M$7,Movements!$G$614:$M$614,0))))
*M870*M$8,0)</f>
        <v>0</v>
      </c>
      <c r="N126" s="198">
        <f>_xlfn.IFNA(IF(N$7="Fixed",1,IF(AND($D93="yes",N$7="Block"),INDEX($O633:$Q633,1,MATCH(N$5,$I27:$K27,0)),INDEX(Movements!$G633:$M633,1,MATCH(N$7,Movements!$G$614:$M$614,0))))
*N870*N$8,0)</f>
        <v>0</v>
      </c>
      <c r="O126" s="198">
        <f>_xlfn.IFNA(IF(O$7="Fixed",1,IF(AND($D93="yes",O$7="Block"),INDEX($O633:$Q633,1,MATCH(O$5,$I27:$K27,0)),INDEX(Movements!$G633:$M633,1,MATCH(O$7,Movements!$G$614:$M$614,0))))
*O870*O$8,0)</f>
        <v>0</v>
      </c>
      <c r="P126" s="198">
        <f>_xlfn.IFNA(IF(P$7="Fixed",1,IF(AND($D93="yes",P$7="Block"),INDEX($O633:$Q633,1,MATCH(P$5,$I27:$K27,0)),INDEX(Movements!$G633:$M633,1,MATCH(P$7,Movements!$G$614:$M$614,0))))
*P870*P$8,0)</f>
        <v>0</v>
      </c>
      <c r="Q126" s="198">
        <f>_xlfn.IFNA(IF(Q$7="Fixed",1,IF(AND($D93="yes",Q$7="Block"),INDEX($O633:$Q633,1,MATCH(Q$5,$I27:$K27,0)),INDEX(Movements!$G633:$M633,1,MATCH(Q$7,Movements!$G$614:$M$614,0))))
*Q870*Q$8,0)</f>
        <v>0</v>
      </c>
      <c r="R126" s="198">
        <f>_xlfn.IFNA(IF(R$7="Fixed",1,IF(AND($D93="yes",R$7="Block"),INDEX($O633:$Q633,1,MATCH(R$5,$I27:$K27,0)),INDEX(Movements!$G633:$M633,1,MATCH(R$7,Movements!$G$614:$M$614,0))))
*R870*R$8,0)</f>
        <v>0</v>
      </c>
      <c r="S126" s="198">
        <f>_xlfn.IFNA(IF(S$7="Fixed",1,IF(AND($D93="yes",S$7="Block"),INDEX($O633:$Q633,1,MATCH(S$5,$I27:$K27,0)),INDEX(Movements!$G633:$M633,1,MATCH(S$7,Movements!$G$614:$M$614,0))))
*S870*S$8,0)</f>
        <v>0</v>
      </c>
      <c r="T126" s="198">
        <f>_xlfn.IFNA(IF(T$7="Fixed",1,IF(AND($D93="yes",T$7="Block"),INDEX($O633:$Q633,1,MATCH(T$5,$I27:$K27,0)),INDEX(Movements!$G633:$M633,1,MATCH(T$7,Movements!$G$614:$M$614,0))))
*T870*T$8,0)</f>
        <v>0</v>
      </c>
      <c r="U126" s="198">
        <f>_xlfn.IFNA(IF(U$7="Fixed",1,IF(AND($D93="yes",U$7="Block"),INDEX($O633:$Q633,1,MATCH(U$5,$I27:$K27,0)),INDEX(Movements!$G633:$M633,1,MATCH(U$7,Movements!$G$614:$M$614,0))))
*U870*U$8,0)</f>
        <v>0</v>
      </c>
      <c r="V126" s="198">
        <f>_xlfn.IFNA(IF(V$7="Fixed",1,IF(AND($D93="yes",V$7="Block"),INDEX($O633:$Q633,1,MATCH(V$5,$I27:$K27,0)),INDEX(Movements!$G633:$M633,1,MATCH(V$7,Movements!$G$614:$M$614,0))))
*V870*V$8,0)</f>
        <v>0</v>
      </c>
      <c r="W126" s="198">
        <f>_xlfn.IFNA(IF(W$7="Fixed",1,IF(AND($D93="yes",W$7="Block"),INDEX($O633:$Q633,1,MATCH(W$5,$I27:$K27,0)),INDEX(Movements!$G633:$M633,1,MATCH(W$7,Movements!$G$614:$M$614,0))))
*W870*W$8,0)</f>
        <v>0</v>
      </c>
      <c r="X126" s="198">
        <f>_xlfn.IFNA(IF(X$7="Fixed",1,IF(AND($D93="yes",X$7="Block"),INDEX($O633:$Q633,1,MATCH(X$5,$I27:$K27,0)),INDEX(Movements!$G633:$M633,1,MATCH(X$7,Movements!$G$614:$M$614,0))))
*X870*X$8,0)</f>
        <v>0</v>
      </c>
      <c r="Y126" s="198">
        <f>_xlfn.IFNA(IF(Y$7="Fixed",1,IF(AND($D93="yes",Y$7="Block"),INDEX($O633:$Q633,1,MATCH(Y$5,$I27:$K27,0)),INDEX(Movements!$G633:$M633,1,MATCH(Y$7,Movements!$G$614:$M$614,0))))
*Y870*Y$8,0)</f>
        <v>0</v>
      </c>
      <c r="Z126" s="198">
        <f>_xlfn.IFNA(IF(Z$7="Fixed",1,IF(AND($D93="yes",Z$7="Block"),INDEX($O633:$Q633,1,MATCH(Z$5,$I27:$K27,0)),INDEX(Movements!$G633:$M633,1,MATCH(Z$7,Movements!$G$614:$M$614,0))))
*Z870*Z$8,0)</f>
        <v>0</v>
      </c>
      <c r="AA126" s="198">
        <f>_xlfn.IFNA(IF(AA$7="Fixed",1,IF(AND($D93="yes",AA$7="Block"),INDEX($O633:$Q633,1,MATCH(AA$5,$I27:$K27,0)),INDEX(Movements!$G633:$M633,1,MATCH(AA$7,Movements!$G$614:$M$614,0))))
*AA870*AA$8,0)</f>
        <v>0</v>
      </c>
      <c r="AB126" s="198">
        <f>_xlfn.IFNA(IF(AB$7="Fixed",1,IF(AND($D93="yes",AB$7="Block"),INDEX($O633:$Q633,1,MATCH(AB$5,$I27:$K27,0)),INDEX(Movements!$G633:$M633,1,MATCH(AB$7,Movements!$G$614:$M$614,0))))
*AB870*AB$8,0)</f>
        <v>0</v>
      </c>
      <c r="AC126" s="70"/>
      <c r="AD126" s="19"/>
      <c r="AE126" s="19"/>
      <c r="AF126" s="19"/>
      <c r="AG126" s="19"/>
    </row>
    <row r="127" spans="1:33" hidden="1" outlineLevel="3" x14ac:dyDescent="0.2">
      <c r="A127" s="19"/>
      <c r="B127" s="97">
        <v>18</v>
      </c>
      <c r="C127" s="506">
        <f t="shared" si="5"/>
        <v>0</v>
      </c>
      <c r="D127" s="505">
        <f t="shared" si="5"/>
        <v>0</v>
      </c>
      <c r="E127" s="505">
        <f t="shared" si="5"/>
        <v>0</v>
      </c>
      <c r="F127" s="58"/>
      <c r="G127" s="199">
        <f t="shared" si="6"/>
        <v>0</v>
      </c>
      <c r="H127" s="58"/>
      <c r="I127" s="198">
        <f>_xlfn.IFNA(IF(I$7="Fixed",1,IF(AND($D94="yes",I$7="Block"),INDEX($O634:$Q634,1,MATCH(I$5,$I28:$K28,0)),INDEX(Movements!$G634:$M634,1,MATCH(I$7,Movements!$G$614:$M$614,0))))
*I871*I$8,0)</f>
        <v>0</v>
      </c>
      <c r="J127" s="198">
        <f>_xlfn.IFNA(IF(J$7="Fixed",1,IF(AND($D94="yes",J$7="Block"),INDEX($O634:$Q634,1,MATCH(J$5,$I28:$K28,0)),INDEX(Movements!$G634:$M634,1,MATCH(J$7,Movements!$G$614:$M$614,0))))
*J871*J$8,0)</f>
        <v>0</v>
      </c>
      <c r="K127" s="198">
        <f>_xlfn.IFNA(IF(K$7="Fixed",1,IF(AND($D94="yes",K$7="Block"),INDEX($O634:$Q634,1,MATCH(K$5,$I28:$K28,0)),INDEX(Movements!$G634:$M634,1,MATCH(K$7,Movements!$G$614:$M$614,0))))
*K871*K$8,0)</f>
        <v>0</v>
      </c>
      <c r="L127" s="198">
        <f>_xlfn.IFNA(IF(L$7="Fixed",1,IF(AND($D94="yes",L$7="Block"),INDEX($O634:$Q634,1,MATCH(L$5,$I28:$K28,0)),INDEX(Movements!$G634:$M634,1,MATCH(L$7,Movements!$G$614:$M$614,0))))
*L871*L$8,0)</f>
        <v>0</v>
      </c>
      <c r="M127" s="198">
        <f>_xlfn.IFNA(IF(M$7="Fixed",1,IF(AND($D94="yes",M$7="Block"),INDEX($O634:$Q634,1,MATCH(M$5,$I28:$K28,0)),INDEX(Movements!$G634:$M634,1,MATCH(M$7,Movements!$G$614:$M$614,0))))
*M871*M$8,0)</f>
        <v>0</v>
      </c>
      <c r="N127" s="198">
        <f>_xlfn.IFNA(IF(N$7="Fixed",1,IF(AND($D94="yes",N$7="Block"),INDEX($O634:$Q634,1,MATCH(N$5,$I28:$K28,0)),INDEX(Movements!$G634:$M634,1,MATCH(N$7,Movements!$G$614:$M$614,0))))
*N871*N$8,0)</f>
        <v>0</v>
      </c>
      <c r="O127" s="198">
        <f>_xlfn.IFNA(IF(O$7="Fixed",1,IF(AND($D94="yes",O$7="Block"),INDEX($O634:$Q634,1,MATCH(O$5,$I28:$K28,0)),INDEX(Movements!$G634:$M634,1,MATCH(O$7,Movements!$G$614:$M$614,0))))
*O871*O$8,0)</f>
        <v>0</v>
      </c>
      <c r="P127" s="198">
        <f>_xlfn.IFNA(IF(P$7="Fixed",1,IF(AND($D94="yes",P$7="Block"),INDEX($O634:$Q634,1,MATCH(P$5,$I28:$K28,0)),INDEX(Movements!$G634:$M634,1,MATCH(P$7,Movements!$G$614:$M$614,0))))
*P871*P$8,0)</f>
        <v>0</v>
      </c>
      <c r="Q127" s="198">
        <f>_xlfn.IFNA(IF(Q$7="Fixed",1,IF(AND($D94="yes",Q$7="Block"),INDEX($O634:$Q634,1,MATCH(Q$5,$I28:$K28,0)),INDEX(Movements!$G634:$M634,1,MATCH(Q$7,Movements!$G$614:$M$614,0))))
*Q871*Q$8,0)</f>
        <v>0</v>
      </c>
      <c r="R127" s="198">
        <f>_xlfn.IFNA(IF(R$7="Fixed",1,IF(AND($D94="yes",R$7="Block"),INDEX($O634:$Q634,1,MATCH(R$5,$I28:$K28,0)),INDEX(Movements!$G634:$M634,1,MATCH(R$7,Movements!$G$614:$M$614,0))))
*R871*R$8,0)</f>
        <v>0</v>
      </c>
      <c r="S127" s="198">
        <f>_xlfn.IFNA(IF(S$7="Fixed",1,IF(AND($D94="yes",S$7="Block"),INDEX($O634:$Q634,1,MATCH(S$5,$I28:$K28,0)),INDEX(Movements!$G634:$M634,1,MATCH(S$7,Movements!$G$614:$M$614,0))))
*S871*S$8,0)</f>
        <v>0</v>
      </c>
      <c r="T127" s="198">
        <f>_xlfn.IFNA(IF(T$7="Fixed",1,IF(AND($D94="yes",T$7="Block"),INDEX($O634:$Q634,1,MATCH(T$5,$I28:$K28,0)),INDEX(Movements!$G634:$M634,1,MATCH(T$7,Movements!$G$614:$M$614,0))))
*T871*T$8,0)</f>
        <v>0</v>
      </c>
      <c r="U127" s="198">
        <f>_xlfn.IFNA(IF(U$7="Fixed",1,IF(AND($D94="yes",U$7="Block"),INDEX($O634:$Q634,1,MATCH(U$5,$I28:$K28,0)),INDEX(Movements!$G634:$M634,1,MATCH(U$7,Movements!$G$614:$M$614,0))))
*U871*U$8,0)</f>
        <v>0</v>
      </c>
      <c r="V127" s="198">
        <f>_xlfn.IFNA(IF(V$7="Fixed",1,IF(AND($D94="yes",V$7="Block"),INDEX($O634:$Q634,1,MATCH(V$5,$I28:$K28,0)),INDEX(Movements!$G634:$M634,1,MATCH(V$7,Movements!$G$614:$M$614,0))))
*V871*V$8,0)</f>
        <v>0</v>
      </c>
      <c r="W127" s="198">
        <f>_xlfn.IFNA(IF(W$7="Fixed",1,IF(AND($D94="yes",W$7="Block"),INDEX($O634:$Q634,1,MATCH(W$5,$I28:$K28,0)),INDEX(Movements!$G634:$M634,1,MATCH(W$7,Movements!$G$614:$M$614,0))))
*W871*W$8,0)</f>
        <v>0</v>
      </c>
      <c r="X127" s="198">
        <f>_xlfn.IFNA(IF(X$7="Fixed",1,IF(AND($D94="yes",X$7="Block"),INDEX($O634:$Q634,1,MATCH(X$5,$I28:$K28,0)),INDEX(Movements!$G634:$M634,1,MATCH(X$7,Movements!$G$614:$M$614,0))))
*X871*X$8,0)</f>
        <v>0</v>
      </c>
      <c r="Y127" s="198">
        <f>_xlfn.IFNA(IF(Y$7="Fixed",1,IF(AND($D94="yes",Y$7="Block"),INDEX($O634:$Q634,1,MATCH(Y$5,$I28:$K28,0)),INDEX(Movements!$G634:$M634,1,MATCH(Y$7,Movements!$G$614:$M$614,0))))
*Y871*Y$8,0)</f>
        <v>0</v>
      </c>
      <c r="Z127" s="198">
        <f>_xlfn.IFNA(IF(Z$7="Fixed",1,IF(AND($D94="yes",Z$7="Block"),INDEX($O634:$Q634,1,MATCH(Z$5,$I28:$K28,0)),INDEX(Movements!$G634:$M634,1,MATCH(Z$7,Movements!$G$614:$M$614,0))))
*Z871*Z$8,0)</f>
        <v>0</v>
      </c>
      <c r="AA127" s="198">
        <f>_xlfn.IFNA(IF(AA$7="Fixed",1,IF(AND($D94="yes",AA$7="Block"),INDEX($O634:$Q634,1,MATCH(AA$5,$I28:$K28,0)),INDEX(Movements!$G634:$M634,1,MATCH(AA$7,Movements!$G$614:$M$614,0))))
*AA871*AA$8,0)</f>
        <v>0</v>
      </c>
      <c r="AB127" s="198">
        <f>_xlfn.IFNA(IF(AB$7="Fixed",1,IF(AND($D94="yes",AB$7="Block"),INDEX($O634:$Q634,1,MATCH(AB$5,$I28:$K28,0)),INDEX(Movements!$G634:$M634,1,MATCH(AB$7,Movements!$G$614:$M$614,0))))
*AB871*AB$8,0)</f>
        <v>0</v>
      </c>
      <c r="AC127" s="70"/>
      <c r="AD127" s="19"/>
      <c r="AE127" s="19"/>
      <c r="AF127" s="19"/>
      <c r="AG127" s="19"/>
    </row>
    <row r="128" spans="1:33" hidden="1" outlineLevel="3" x14ac:dyDescent="0.2">
      <c r="A128" s="19"/>
      <c r="B128" s="97">
        <v>19</v>
      </c>
      <c r="C128" s="506">
        <f t="shared" si="5"/>
        <v>0</v>
      </c>
      <c r="D128" s="505">
        <f t="shared" si="5"/>
        <v>0</v>
      </c>
      <c r="E128" s="505">
        <f t="shared" si="5"/>
        <v>0</v>
      </c>
      <c r="F128" s="58"/>
      <c r="G128" s="199">
        <f t="shared" si="6"/>
        <v>0</v>
      </c>
      <c r="H128" s="58"/>
      <c r="I128" s="198">
        <f>_xlfn.IFNA(IF(I$7="Fixed",1,IF(AND($D95="yes",I$7="Block"),INDEX($O635:$Q635,1,MATCH(I$5,$I29:$K29,0)),INDEX(Movements!$G635:$M635,1,MATCH(I$7,Movements!$G$614:$M$614,0))))
*I872*I$8,0)</f>
        <v>0</v>
      </c>
      <c r="J128" s="198">
        <f>_xlfn.IFNA(IF(J$7="Fixed",1,IF(AND($D95="yes",J$7="Block"),INDEX($O635:$Q635,1,MATCH(J$5,$I29:$K29,0)),INDEX(Movements!$G635:$M635,1,MATCH(J$7,Movements!$G$614:$M$614,0))))
*J872*J$8,0)</f>
        <v>0</v>
      </c>
      <c r="K128" s="198">
        <f>_xlfn.IFNA(IF(K$7="Fixed",1,IF(AND($D95="yes",K$7="Block"),INDEX($O635:$Q635,1,MATCH(K$5,$I29:$K29,0)),INDEX(Movements!$G635:$M635,1,MATCH(K$7,Movements!$G$614:$M$614,0))))
*K872*K$8,0)</f>
        <v>0</v>
      </c>
      <c r="L128" s="198">
        <f>_xlfn.IFNA(IF(L$7="Fixed",1,IF(AND($D95="yes",L$7="Block"),INDEX($O635:$Q635,1,MATCH(L$5,$I29:$K29,0)),INDEX(Movements!$G635:$M635,1,MATCH(L$7,Movements!$G$614:$M$614,0))))
*L872*L$8,0)</f>
        <v>0</v>
      </c>
      <c r="M128" s="198">
        <f>_xlfn.IFNA(IF(M$7="Fixed",1,IF(AND($D95="yes",M$7="Block"),INDEX($O635:$Q635,1,MATCH(M$5,$I29:$K29,0)),INDEX(Movements!$G635:$M635,1,MATCH(M$7,Movements!$G$614:$M$614,0))))
*M872*M$8,0)</f>
        <v>0</v>
      </c>
      <c r="N128" s="198">
        <f>_xlfn.IFNA(IF(N$7="Fixed",1,IF(AND($D95="yes",N$7="Block"),INDEX($O635:$Q635,1,MATCH(N$5,$I29:$K29,0)),INDEX(Movements!$G635:$M635,1,MATCH(N$7,Movements!$G$614:$M$614,0))))
*N872*N$8,0)</f>
        <v>0</v>
      </c>
      <c r="O128" s="198">
        <f>_xlfn.IFNA(IF(O$7="Fixed",1,IF(AND($D95="yes",O$7="Block"),INDEX($O635:$Q635,1,MATCH(O$5,$I29:$K29,0)),INDEX(Movements!$G635:$M635,1,MATCH(O$7,Movements!$G$614:$M$614,0))))
*O872*O$8,0)</f>
        <v>0</v>
      </c>
      <c r="P128" s="198">
        <f>_xlfn.IFNA(IF(P$7="Fixed",1,IF(AND($D95="yes",P$7="Block"),INDEX($O635:$Q635,1,MATCH(P$5,$I29:$K29,0)),INDEX(Movements!$G635:$M635,1,MATCH(P$7,Movements!$G$614:$M$614,0))))
*P872*P$8,0)</f>
        <v>0</v>
      </c>
      <c r="Q128" s="198">
        <f>_xlfn.IFNA(IF(Q$7="Fixed",1,IF(AND($D95="yes",Q$7="Block"),INDEX($O635:$Q635,1,MATCH(Q$5,$I29:$K29,0)),INDEX(Movements!$G635:$M635,1,MATCH(Q$7,Movements!$G$614:$M$614,0))))
*Q872*Q$8,0)</f>
        <v>0</v>
      </c>
      <c r="R128" s="198">
        <f>_xlfn.IFNA(IF(R$7="Fixed",1,IF(AND($D95="yes",R$7="Block"),INDEX($O635:$Q635,1,MATCH(R$5,$I29:$K29,0)),INDEX(Movements!$G635:$M635,1,MATCH(R$7,Movements!$G$614:$M$614,0))))
*R872*R$8,0)</f>
        <v>0</v>
      </c>
      <c r="S128" s="198">
        <f>_xlfn.IFNA(IF(S$7="Fixed",1,IF(AND($D95="yes",S$7="Block"),INDEX($O635:$Q635,1,MATCH(S$5,$I29:$K29,0)),INDEX(Movements!$G635:$M635,1,MATCH(S$7,Movements!$G$614:$M$614,0))))
*S872*S$8,0)</f>
        <v>0</v>
      </c>
      <c r="T128" s="198">
        <f>_xlfn.IFNA(IF(T$7="Fixed",1,IF(AND($D95="yes",T$7="Block"),INDEX($O635:$Q635,1,MATCH(T$5,$I29:$K29,0)),INDEX(Movements!$G635:$M635,1,MATCH(T$7,Movements!$G$614:$M$614,0))))
*T872*T$8,0)</f>
        <v>0</v>
      </c>
      <c r="U128" s="198">
        <f>_xlfn.IFNA(IF(U$7="Fixed",1,IF(AND($D95="yes",U$7="Block"),INDEX($O635:$Q635,1,MATCH(U$5,$I29:$K29,0)),INDEX(Movements!$G635:$M635,1,MATCH(U$7,Movements!$G$614:$M$614,0))))
*U872*U$8,0)</f>
        <v>0</v>
      </c>
      <c r="V128" s="198">
        <f>_xlfn.IFNA(IF(V$7="Fixed",1,IF(AND($D95="yes",V$7="Block"),INDEX($O635:$Q635,1,MATCH(V$5,$I29:$K29,0)),INDEX(Movements!$G635:$M635,1,MATCH(V$7,Movements!$G$614:$M$614,0))))
*V872*V$8,0)</f>
        <v>0</v>
      </c>
      <c r="W128" s="198">
        <f>_xlfn.IFNA(IF(W$7="Fixed",1,IF(AND($D95="yes",W$7="Block"),INDEX($O635:$Q635,1,MATCH(W$5,$I29:$K29,0)),INDEX(Movements!$G635:$M635,1,MATCH(W$7,Movements!$G$614:$M$614,0))))
*W872*W$8,0)</f>
        <v>0</v>
      </c>
      <c r="X128" s="198">
        <f>_xlfn.IFNA(IF(X$7="Fixed",1,IF(AND($D95="yes",X$7="Block"),INDEX($O635:$Q635,1,MATCH(X$5,$I29:$K29,0)),INDEX(Movements!$G635:$M635,1,MATCH(X$7,Movements!$G$614:$M$614,0))))
*X872*X$8,0)</f>
        <v>0</v>
      </c>
      <c r="Y128" s="198">
        <f>_xlfn.IFNA(IF(Y$7="Fixed",1,IF(AND($D95="yes",Y$7="Block"),INDEX($O635:$Q635,1,MATCH(Y$5,$I29:$K29,0)),INDEX(Movements!$G635:$M635,1,MATCH(Y$7,Movements!$G$614:$M$614,0))))
*Y872*Y$8,0)</f>
        <v>0</v>
      </c>
      <c r="Z128" s="198">
        <f>_xlfn.IFNA(IF(Z$7="Fixed",1,IF(AND($D95="yes",Z$7="Block"),INDEX($O635:$Q635,1,MATCH(Z$5,$I29:$K29,0)),INDEX(Movements!$G635:$M635,1,MATCH(Z$7,Movements!$G$614:$M$614,0))))
*Z872*Z$8,0)</f>
        <v>0</v>
      </c>
      <c r="AA128" s="198">
        <f>_xlfn.IFNA(IF(AA$7="Fixed",1,IF(AND($D95="yes",AA$7="Block"),INDEX($O635:$Q635,1,MATCH(AA$5,$I29:$K29,0)),INDEX(Movements!$G635:$M635,1,MATCH(AA$7,Movements!$G$614:$M$614,0))))
*AA872*AA$8,0)</f>
        <v>0</v>
      </c>
      <c r="AB128" s="198">
        <f>_xlfn.IFNA(IF(AB$7="Fixed",1,IF(AND($D95="yes",AB$7="Block"),INDEX($O635:$Q635,1,MATCH(AB$5,$I29:$K29,0)),INDEX(Movements!$G635:$M635,1,MATCH(AB$7,Movements!$G$614:$M$614,0))))
*AB872*AB$8,0)</f>
        <v>0</v>
      </c>
      <c r="AC128" s="70"/>
      <c r="AD128" s="19"/>
      <c r="AE128" s="19"/>
      <c r="AF128" s="19"/>
      <c r="AG128" s="19"/>
    </row>
    <row r="129" spans="1:33" hidden="1" outlineLevel="3" x14ac:dyDescent="0.2">
      <c r="A129" s="19"/>
      <c r="B129" s="97">
        <v>20</v>
      </c>
      <c r="C129" s="506">
        <f t="shared" si="5"/>
        <v>0</v>
      </c>
      <c r="D129" s="505">
        <f t="shared" si="5"/>
        <v>0</v>
      </c>
      <c r="E129" s="505">
        <f t="shared" si="5"/>
        <v>0</v>
      </c>
      <c r="F129" s="58"/>
      <c r="G129" s="199">
        <f t="shared" si="6"/>
        <v>0</v>
      </c>
      <c r="H129" s="58"/>
      <c r="I129" s="198">
        <f>_xlfn.IFNA(IF(I$7="Fixed",1,IF(AND($D96="yes",I$7="Block"),INDEX($O636:$Q636,1,MATCH(I$5,$I30:$K30,0)),INDEX(Movements!$G636:$M636,1,MATCH(I$7,Movements!$G$614:$M$614,0))))
*I873*I$8,0)</f>
        <v>0</v>
      </c>
      <c r="J129" s="198">
        <f>_xlfn.IFNA(IF(J$7="Fixed",1,IF(AND($D96="yes",J$7="Block"),INDEX($O636:$Q636,1,MATCH(J$5,$I30:$K30,0)),INDEX(Movements!$G636:$M636,1,MATCH(J$7,Movements!$G$614:$M$614,0))))
*J873*J$8,0)</f>
        <v>0</v>
      </c>
      <c r="K129" s="198">
        <f>_xlfn.IFNA(IF(K$7="Fixed",1,IF(AND($D96="yes",K$7="Block"),INDEX($O636:$Q636,1,MATCH(K$5,$I30:$K30,0)),INDEX(Movements!$G636:$M636,1,MATCH(K$7,Movements!$G$614:$M$614,0))))
*K873*K$8,0)</f>
        <v>0</v>
      </c>
      <c r="L129" s="198">
        <f>_xlfn.IFNA(IF(L$7="Fixed",1,IF(AND($D96="yes",L$7="Block"),INDEX($O636:$Q636,1,MATCH(L$5,$I30:$K30,0)),INDEX(Movements!$G636:$M636,1,MATCH(L$7,Movements!$G$614:$M$614,0))))
*L873*L$8,0)</f>
        <v>0</v>
      </c>
      <c r="M129" s="198">
        <f>_xlfn.IFNA(IF(M$7="Fixed",1,IF(AND($D96="yes",M$7="Block"),INDEX($O636:$Q636,1,MATCH(M$5,$I30:$K30,0)),INDEX(Movements!$G636:$M636,1,MATCH(M$7,Movements!$G$614:$M$614,0))))
*M873*M$8,0)</f>
        <v>0</v>
      </c>
      <c r="N129" s="198">
        <f>_xlfn.IFNA(IF(N$7="Fixed",1,IF(AND($D96="yes",N$7="Block"),INDEX($O636:$Q636,1,MATCH(N$5,$I30:$K30,0)),INDEX(Movements!$G636:$M636,1,MATCH(N$7,Movements!$G$614:$M$614,0))))
*N873*N$8,0)</f>
        <v>0</v>
      </c>
      <c r="O129" s="198">
        <f>_xlfn.IFNA(IF(O$7="Fixed",1,IF(AND($D96="yes",O$7="Block"),INDEX($O636:$Q636,1,MATCH(O$5,$I30:$K30,0)),INDEX(Movements!$G636:$M636,1,MATCH(O$7,Movements!$G$614:$M$614,0))))
*O873*O$8,0)</f>
        <v>0</v>
      </c>
      <c r="P129" s="198">
        <f>_xlfn.IFNA(IF(P$7="Fixed",1,IF(AND($D96="yes",P$7="Block"),INDEX($O636:$Q636,1,MATCH(P$5,$I30:$K30,0)),INDEX(Movements!$G636:$M636,1,MATCH(P$7,Movements!$G$614:$M$614,0))))
*P873*P$8,0)</f>
        <v>0</v>
      </c>
      <c r="Q129" s="198">
        <f>_xlfn.IFNA(IF(Q$7="Fixed",1,IF(AND($D96="yes",Q$7="Block"),INDEX($O636:$Q636,1,MATCH(Q$5,$I30:$K30,0)),INDEX(Movements!$G636:$M636,1,MATCH(Q$7,Movements!$G$614:$M$614,0))))
*Q873*Q$8,0)</f>
        <v>0</v>
      </c>
      <c r="R129" s="198">
        <f>_xlfn.IFNA(IF(R$7="Fixed",1,IF(AND($D96="yes",R$7="Block"),INDEX($O636:$Q636,1,MATCH(R$5,$I30:$K30,0)),INDEX(Movements!$G636:$M636,1,MATCH(R$7,Movements!$G$614:$M$614,0))))
*R873*R$8,0)</f>
        <v>0</v>
      </c>
      <c r="S129" s="198">
        <f>_xlfn.IFNA(IF(S$7="Fixed",1,IF(AND($D96="yes",S$7="Block"),INDEX($O636:$Q636,1,MATCH(S$5,$I30:$K30,0)),INDEX(Movements!$G636:$M636,1,MATCH(S$7,Movements!$G$614:$M$614,0))))
*S873*S$8,0)</f>
        <v>0</v>
      </c>
      <c r="T129" s="198">
        <f>_xlfn.IFNA(IF(T$7="Fixed",1,IF(AND($D96="yes",T$7="Block"),INDEX($O636:$Q636,1,MATCH(T$5,$I30:$K30,0)),INDEX(Movements!$G636:$M636,1,MATCH(T$7,Movements!$G$614:$M$614,0))))
*T873*T$8,0)</f>
        <v>0</v>
      </c>
      <c r="U129" s="198">
        <f>_xlfn.IFNA(IF(U$7="Fixed",1,IF(AND($D96="yes",U$7="Block"),INDEX($O636:$Q636,1,MATCH(U$5,$I30:$K30,0)),INDEX(Movements!$G636:$M636,1,MATCH(U$7,Movements!$G$614:$M$614,0))))
*U873*U$8,0)</f>
        <v>0</v>
      </c>
      <c r="V129" s="198">
        <f>_xlfn.IFNA(IF(V$7="Fixed",1,IF(AND($D96="yes",V$7="Block"),INDEX($O636:$Q636,1,MATCH(V$5,$I30:$K30,0)),INDEX(Movements!$G636:$M636,1,MATCH(V$7,Movements!$G$614:$M$614,0))))
*V873*V$8,0)</f>
        <v>0</v>
      </c>
      <c r="W129" s="198">
        <f>_xlfn.IFNA(IF(W$7="Fixed",1,IF(AND($D96="yes",W$7="Block"),INDEX($O636:$Q636,1,MATCH(W$5,$I30:$K30,0)),INDEX(Movements!$G636:$M636,1,MATCH(W$7,Movements!$G$614:$M$614,0))))
*W873*W$8,0)</f>
        <v>0</v>
      </c>
      <c r="X129" s="198">
        <f>_xlfn.IFNA(IF(X$7="Fixed",1,IF(AND($D96="yes",X$7="Block"),INDEX($O636:$Q636,1,MATCH(X$5,$I30:$K30,0)),INDEX(Movements!$G636:$M636,1,MATCH(X$7,Movements!$G$614:$M$614,0))))
*X873*X$8,0)</f>
        <v>0</v>
      </c>
      <c r="Y129" s="198">
        <f>_xlfn.IFNA(IF(Y$7="Fixed",1,IF(AND($D96="yes",Y$7="Block"),INDEX($O636:$Q636,1,MATCH(Y$5,$I30:$K30,0)),INDEX(Movements!$G636:$M636,1,MATCH(Y$7,Movements!$G$614:$M$614,0))))
*Y873*Y$8,0)</f>
        <v>0</v>
      </c>
      <c r="Z129" s="198">
        <f>_xlfn.IFNA(IF(Z$7="Fixed",1,IF(AND($D96="yes",Z$7="Block"),INDEX($O636:$Q636,1,MATCH(Z$5,$I30:$K30,0)),INDEX(Movements!$G636:$M636,1,MATCH(Z$7,Movements!$G$614:$M$614,0))))
*Z873*Z$8,0)</f>
        <v>0</v>
      </c>
      <c r="AA129" s="198">
        <f>_xlfn.IFNA(IF(AA$7="Fixed",1,IF(AND($D96="yes",AA$7="Block"),INDEX($O636:$Q636,1,MATCH(AA$5,$I30:$K30,0)),INDEX(Movements!$G636:$M636,1,MATCH(AA$7,Movements!$G$614:$M$614,0))))
*AA873*AA$8,0)</f>
        <v>0</v>
      </c>
      <c r="AB129" s="198">
        <f>_xlfn.IFNA(IF(AB$7="Fixed",1,IF(AND($D96="yes",AB$7="Block"),INDEX($O636:$Q636,1,MATCH(AB$5,$I30:$K30,0)),INDEX(Movements!$G636:$M636,1,MATCH(AB$7,Movements!$G$614:$M$614,0))))
*AB873*AB$8,0)</f>
        <v>0</v>
      </c>
      <c r="AC129" s="70"/>
      <c r="AD129" s="19"/>
      <c r="AE129" s="19"/>
      <c r="AF129" s="19"/>
      <c r="AG129" s="19"/>
    </row>
    <row r="130" spans="1:33" hidden="1" outlineLevel="3" x14ac:dyDescent="0.2">
      <c r="A130" s="19"/>
      <c r="B130" s="97">
        <v>21</v>
      </c>
      <c r="C130" s="506">
        <f t="shared" si="5"/>
        <v>0</v>
      </c>
      <c r="D130" s="505">
        <f t="shared" si="5"/>
        <v>0</v>
      </c>
      <c r="E130" s="505">
        <f t="shared" si="5"/>
        <v>0</v>
      </c>
      <c r="F130" s="58"/>
      <c r="G130" s="199">
        <f t="shared" si="6"/>
        <v>0</v>
      </c>
      <c r="H130" s="58"/>
      <c r="I130" s="198">
        <f>_xlfn.IFNA(IF(I$7="Fixed",1,IF(AND($D97="yes",I$7="Block"),INDEX($O637:$Q637,1,MATCH(I$5,$I31:$K31,0)),INDEX(Movements!$G637:$M637,1,MATCH(I$7,Movements!$G$614:$M$614,0))))
*I874*I$8,0)</f>
        <v>0</v>
      </c>
      <c r="J130" s="198">
        <f>_xlfn.IFNA(IF(J$7="Fixed",1,IF(AND($D97="yes",J$7="Block"),INDEX($O637:$Q637,1,MATCH(J$5,$I31:$K31,0)),INDEX(Movements!$G637:$M637,1,MATCH(J$7,Movements!$G$614:$M$614,0))))
*J874*J$8,0)</f>
        <v>0</v>
      </c>
      <c r="K130" s="198">
        <f>_xlfn.IFNA(IF(K$7="Fixed",1,IF(AND($D97="yes",K$7="Block"),INDEX($O637:$Q637,1,MATCH(K$5,$I31:$K31,0)),INDEX(Movements!$G637:$M637,1,MATCH(K$7,Movements!$G$614:$M$614,0))))
*K874*K$8,0)</f>
        <v>0</v>
      </c>
      <c r="L130" s="198">
        <f>_xlfn.IFNA(IF(L$7="Fixed",1,IF(AND($D97="yes",L$7="Block"),INDEX($O637:$Q637,1,MATCH(L$5,$I31:$K31,0)),INDEX(Movements!$G637:$M637,1,MATCH(L$7,Movements!$G$614:$M$614,0))))
*L874*L$8,0)</f>
        <v>0</v>
      </c>
      <c r="M130" s="198">
        <f>_xlfn.IFNA(IF(M$7="Fixed",1,IF(AND($D97="yes",M$7="Block"),INDEX($O637:$Q637,1,MATCH(M$5,$I31:$K31,0)),INDEX(Movements!$G637:$M637,1,MATCH(M$7,Movements!$G$614:$M$614,0))))
*M874*M$8,0)</f>
        <v>0</v>
      </c>
      <c r="N130" s="198">
        <f>_xlfn.IFNA(IF(N$7="Fixed",1,IF(AND($D97="yes",N$7="Block"),INDEX($O637:$Q637,1,MATCH(N$5,$I31:$K31,0)),INDEX(Movements!$G637:$M637,1,MATCH(N$7,Movements!$G$614:$M$614,0))))
*N874*N$8,0)</f>
        <v>0</v>
      </c>
      <c r="O130" s="198">
        <f>_xlfn.IFNA(IF(O$7="Fixed",1,IF(AND($D97="yes",O$7="Block"),INDEX($O637:$Q637,1,MATCH(O$5,$I31:$K31,0)),INDEX(Movements!$G637:$M637,1,MATCH(O$7,Movements!$G$614:$M$614,0))))
*O874*O$8,0)</f>
        <v>0</v>
      </c>
      <c r="P130" s="198">
        <f>_xlfn.IFNA(IF(P$7="Fixed",1,IF(AND($D97="yes",P$7="Block"),INDEX($O637:$Q637,1,MATCH(P$5,$I31:$K31,0)),INDEX(Movements!$G637:$M637,1,MATCH(P$7,Movements!$G$614:$M$614,0))))
*P874*P$8,0)</f>
        <v>0</v>
      </c>
      <c r="Q130" s="198">
        <f>_xlfn.IFNA(IF(Q$7="Fixed",1,IF(AND($D97="yes",Q$7="Block"),INDEX($O637:$Q637,1,MATCH(Q$5,$I31:$K31,0)),INDEX(Movements!$G637:$M637,1,MATCH(Q$7,Movements!$G$614:$M$614,0))))
*Q874*Q$8,0)</f>
        <v>0</v>
      </c>
      <c r="R130" s="198">
        <f>_xlfn.IFNA(IF(R$7="Fixed",1,IF(AND($D97="yes",R$7="Block"),INDEX($O637:$Q637,1,MATCH(R$5,$I31:$K31,0)),INDEX(Movements!$G637:$M637,1,MATCH(R$7,Movements!$G$614:$M$614,0))))
*R874*R$8,0)</f>
        <v>0</v>
      </c>
      <c r="S130" s="198">
        <f>_xlfn.IFNA(IF(S$7="Fixed",1,IF(AND($D97="yes",S$7="Block"),INDEX($O637:$Q637,1,MATCH(S$5,$I31:$K31,0)),INDEX(Movements!$G637:$M637,1,MATCH(S$7,Movements!$G$614:$M$614,0))))
*S874*S$8,0)</f>
        <v>0</v>
      </c>
      <c r="T130" s="198">
        <f>_xlfn.IFNA(IF(T$7="Fixed",1,IF(AND($D97="yes",T$7="Block"),INDEX($O637:$Q637,1,MATCH(T$5,$I31:$K31,0)),INDEX(Movements!$G637:$M637,1,MATCH(T$7,Movements!$G$614:$M$614,0))))
*T874*T$8,0)</f>
        <v>0</v>
      </c>
      <c r="U130" s="198">
        <f>_xlfn.IFNA(IF(U$7="Fixed",1,IF(AND($D97="yes",U$7="Block"),INDEX($O637:$Q637,1,MATCH(U$5,$I31:$K31,0)),INDEX(Movements!$G637:$M637,1,MATCH(U$7,Movements!$G$614:$M$614,0))))
*U874*U$8,0)</f>
        <v>0</v>
      </c>
      <c r="V130" s="198">
        <f>_xlfn.IFNA(IF(V$7="Fixed",1,IF(AND($D97="yes",V$7="Block"),INDEX($O637:$Q637,1,MATCH(V$5,$I31:$K31,0)),INDEX(Movements!$G637:$M637,1,MATCH(V$7,Movements!$G$614:$M$614,0))))
*V874*V$8,0)</f>
        <v>0</v>
      </c>
      <c r="W130" s="198">
        <f>_xlfn.IFNA(IF(W$7="Fixed",1,IF(AND($D97="yes",W$7="Block"),INDEX($O637:$Q637,1,MATCH(W$5,$I31:$K31,0)),INDEX(Movements!$G637:$M637,1,MATCH(W$7,Movements!$G$614:$M$614,0))))
*W874*W$8,0)</f>
        <v>0</v>
      </c>
      <c r="X130" s="198">
        <f>_xlfn.IFNA(IF(X$7="Fixed",1,IF(AND($D97="yes",X$7="Block"),INDEX($O637:$Q637,1,MATCH(X$5,$I31:$K31,0)),INDEX(Movements!$G637:$M637,1,MATCH(X$7,Movements!$G$614:$M$614,0))))
*X874*X$8,0)</f>
        <v>0</v>
      </c>
      <c r="Y130" s="198">
        <f>_xlfn.IFNA(IF(Y$7="Fixed",1,IF(AND($D97="yes",Y$7="Block"),INDEX($O637:$Q637,1,MATCH(Y$5,$I31:$K31,0)),INDEX(Movements!$G637:$M637,1,MATCH(Y$7,Movements!$G$614:$M$614,0))))
*Y874*Y$8,0)</f>
        <v>0</v>
      </c>
      <c r="Z130" s="198">
        <f>_xlfn.IFNA(IF(Z$7="Fixed",1,IF(AND($D97="yes",Z$7="Block"),INDEX($O637:$Q637,1,MATCH(Z$5,$I31:$K31,0)),INDEX(Movements!$G637:$M637,1,MATCH(Z$7,Movements!$G$614:$M$614,0))))
*Z874*Z$8,0)</f>
        <v>0</v>
      </c>
      <c r="AA130" s="198">
        <f>_xlfn.IFNA(IF(AA$7="Fixed",1,IF(AND($D97="yes",AA$7="Block"),INDEX($O637:$Q637,1,MATCH(AA$5,$I31:$K31,0)),INDEX(Movements!$G637:$M637,1,MATCH(AA$7,Movements!$G$614:$M$614,0))))
*AA874*AA$8,0)</f>
        <v>0</v>
      </c>
      <c r="AB130" s="198">
        <f>_xlfn.IFNA(IF(AB$7="Fixed",1,IF(AND($D97="yes",AB$7="Block"),INDEX($O637:$Q637,1,MATCH(AB$5,$I31:$K31,0)),INDEX(Movements!$G637:$M637,1,MATCH(AB$7,Movements!$G$614:$M$614,0))))
*AB874*AB$8,0)</f>
        <v>0</v>
      </c>
      <c r="AC130" s="70"/>
      <c r="AD130" s="19"/>
      <c r="AE130" s="19"/>
      <c r="AF130" s="19"/>
      <c r="AG130" s="19"/>
    </row>
    <row r="131" spans="1:33" hidden="1" outlineLevel="3" x14ac:dyDescent="0.2">
      <c r="A131" s="19"/>
      <c r="B131" s="97">
        <v>22</v>
      </c>
      <c r="C131" s="506">
        <f t="shared" si="5"/>
        <v>0</v>
      </c>
      <c r="D131" s="505">
        <f t="shared" si="5"/>
        <v>0</v>
      </c>
      <c r="E131" s="505">
        <f t="shared" si="5"/>
        <v>0</v>
      </c>
      <c r="F131" s="58"/>
      <c r="G131" s="199">
        <f t="shared" si="6"/>
        <v>0</v>
      </c>
      <c r="H131" s="58"/>
      <c r="I131" s="198">
        <f>_xlfn.IFNA(IF(I$7="Fixed",1,IF(AND($D98="yes",I$7="Block"),INDEX($O638:$Q638,1,MATCH(I$5,$I32:$K32,0)),INDEX(Movements!$G638:$M638,1,MATCH(I$7,Movements!$G$614:$M$614,0))))
*I875*I$8,0)</f>
        <v>0</v>
      </c>
      <c r="J131" s="198">
        <f>_xlfn.IFNA(IF(J$7="Fixed",1,IF(AND($D98="yes",J$7="Block"),INDEX($O638:$Q638,1,MATCH(J$5,$I32:$K32,0)),INDEX(Movements!$G638:$M638,1,MATCH(J$7,Movements!$G$614:$M$614,0))))
*J875*J$8,0)</f>
        <v>0</v>
      </c>
      <c r="K131" s="198">
        <f>_xlfn.IFNA(IF(K$7="Fixed",1,IF(AND($D98="yes",K$7="Block"),INDEX($O638:$Q638,1,MATCH(K$5,$I32:$K32,0)),INDEX(Movements!$G638:$M638,1,MATCH(K$7,Movements!$G$614:$M$614,0))))
*K875*K$8,0)</f>
        <v>0</v>
      </c>
      <c r="L131" s="198">
        <f>_xlfn.IFNA(IF(L$7="Fixed",1,IF(AND($D98="yes",L$7="Block"),INDEX($O638:$Q638,1,MATCH(L$5,$I32:$K32,0)),INDEX(Movements!$G638:$M638,1,MATCH(L$7,Movements!$G$614:$M$614,0))))
*L875*L$8,0)</f>
        <v>0</v>
      </c>
      <c r="M131" s="198">
        <f>_xlfn.IFNA(IF(M$7="Fixed",1,IF(AND($D98="yes",M$7="Block"),INDEX($O638:$Q638,1,MATCH(M$5,$I32:$K32,0)),INDEX(Movements!$G638:$M638,1,MATCH(M$7,Movements!$G$614:$M$614,0))))
*M875*M$8,0)</f>
        <v>0</v>
      </c>
      <c r="N131" s="198">
        <f>_xlfn.IFNA(IF(N$7="Fixed",1,IF(AND($D98="yes",N$7="Block"),INDEX($O638:$Q638,1,MATCH(N$5,$I32:$K32,0)),INDEX(Movements!$G638:$M638,1,MATCH(N$7,Movements!$G$614:$M$614,0))))
*N875*N$8,0)</f>
        <v>0</v>
      </c>
      <c r="O131" s="198">
        <f>_xlfn.IFNA(IF(O$7="Fixed",1,IF(AND($D98="yes",O$7="Block"),INDEX($O638:$Q638,1,MATCH(O$5,$I32:$K32,0)),INDEX(Movements!$G638:$M638,1,MATCH(O$7,Movements!$G$614:$M$614,0))))
*O875*O$8,0)</f>
        <v>0</v>
      </c>
      <c r="P131" s="198">
        <f>_xlfn.IFNA(IF(P$7="Fixed",1,IF(AND($D98="yes",P$7="Block"),INDEX($O638:$Q638,1,MATCH(P$5,$I32:$K32,0)),INDEX(Movements!$G638:$M638,1,MATCH(P$7,Movements!$G$614:$M$614,0))))
*P875*P$8,0)</f>
        <v>0</v>
      </c>
      <c r="Q131" s="198">
        <f>_xlfn.IFNA(IF(Q$7="Fixed",1,IF(AND($D98="yes",Q$7="Block"),INDEX($O638:$Q638,1,MATCH(Q$5,$I32:$K32,0)),INDEX(Movements!$G638:$M638,1,MATCH(Q$7,Movements!$G$614:$M$614,0))))
*Q875*Q$8,0)</f>
        <v>0</v>
      </c>
      <c r="R131" s="198">
        <f>_xlfn.IFNA(IF(R$7="Fixed",1,IF(AND($D98="yes",R$7="Block"),INDEX($O638:$Q638,1,MATCH(R$5,$I32:$K32,0)),INDEX(Movements!$G638:$M638,1,MATCH(R$7,Movements!$G$614:$M$614,0))))
*R875*R$8,0)</f>
        <v>0</v>
      </c>
      <c r="S131" s="198">
        <f>_xlfn.IFNA(IF(S$7="Fixed",1,IF(AND($D98="yes",S$7="Block"),INDEX($O638:$Q638,1,MATCH(S$5,$I32:$K32,0)),INDEX(Movements!$G638:$M638,1,MATCH(S$7,Movements!$G$614:$M$614,0))))
*S875*S$8,0)</f>
        <v>0</v>
      </c>
      <c r="T131" s="198">
        <f>_xlfn.IFNA(IF(T$7="Fixed",1,IF(AND($D98="yes",T$7="Block"),INDEX($O638:$Q638,1,MATCH(T$5,$I32:$K32,0)),INDEX(Movements!$G638:$M638,1,MATCH(T$7,Movements!$G$614:$M$614,0))))
*T875*T$8,0)</f>
        <v>0</v>
      </c>
      <c r="U131" s="198">
        <f>_xlfn.IFNA(IF(U$7="Fixed",1,IF(AND($D98="yes",U$7="Block"),INDEX($O638:$Q638,1,MATCH(U$5,$I32:$K32,0)),INDEX(Movements!$G638:$M638,1,MATCH(U$7,Movements!$G$614:$M$614,0))))
*U875*U$8,0)</f>
        <v>0</v>
      </c>
      <c r="V131" s="198">
        <f>_xlfn.IFNA(IF(V$7="Fixed",1,IF(AND($D98="yes",V$7="Block"),INDEX($O638:$Q638,1,MATCH(V$5,$I32:$K32,0)),INDEX(Movements!$G638:$M638,1,MATCH(V$7,Movements!$G$614:$M$614,0))))
*V875*V$8,0)</f>
        <v>0</v>
      </c>
      <c r="W131" s="198">
        <f>_xlfn.IFNA(IF(W$7="Fixed",1,IF(AND($D98="yes",W$7="Block"),INDEX($O638:$Q638,1,MATCH(W$5,$I32:$K32,0)),INDEX(Movements!$G638:$M638,1,MATCH(W$7,Movements!$G$614:$M$614,0))))
*W875*W$8,0)</f>
        <v>0</v>
      </c>
      <c r="X131" s="198">
        <f>_xlfn.IFNA(IF(X$7="Fixed",1,IF(AND($D98="yes",X$7="Block"),INDEX($O638:$Q638,1,MATCH(X$5,$I32:$K32,0)),INDEX(Movements!$G638:$M638,1,MATCH(X$7,Movements!$G$614:$M$614,0))))
*X875*X$8,0)</f>
        <v>0</v>
      </c>
      <c r="Y131" s="198">
        <f>_xlfn.IFNA(IF(Y$7="Fixed",1,IF(AND($D98="yes",Y$7="Block"),INDEX($O638:$Q638,1,MATCH(Y$5,$I32:$K32,0)),INDEX(Movements!$G638:$M638,1,MATCH(Y$7,Movements!$G$614:$M$614,0))))
*Y875*Y$8,0)</f>
        <v>0</v>
      </c>
      <c r="Z131" s="198">
        <f>_xlfn.IFNA(IF(Z$7="Fixed",1,IF(AND($D98="yes",Z$7="Block"),INDEX($O638:$Q638,1,MATCH(Z$5,$I32:$K32,0)),INDEX(Movements!$G638:$M638,1,MATCH(Z$7,Movements!$G$614:$M$614,0))))
*Z875*Z$8,0)</f>
        <v>0</v>
      </c>
      <c r="AA131" s="198">
        <f>_xlfn.IFNA(IF(AA$7="Fixed",1,IF(AND($D98="yes",AA$7="Block"),INDEX($O638:$Q638,1,MATCH(AA$5,$I32:$K32,0)),INDEX(Movements!$G638:$M638,1,MATCH(AA$7,Movements!$G$614:$M$614,0))))
*AA875*AA$8,0)</f>
        <v>0</v>
      </c>
      <c r="AB131" s="198">
        <f>_xlfn.IFNA(IF(AB$7="Fixed",1,IF(AND($D98="yes",AB$7="Block"),INDEX($O638:$Q638,1,MATCH(AB$5,$I32:$K32,0)),INDEX(Movements!$G638:$M638,1,MATCH(AB$7,Movements!$G$614:$M$614,0))))
*AB875*AB$8,0)</f>
        <v>0</v>
      </c>
      <c r="AC131" s="70"/>
      <c r="AD131" s="19"/>
      <c r="AE131" s="19"/>
      <c r="AF131" s="19"/>
      <c r="AG131" s="19"/>
    </row>
    <row r="132" spans="1:33" hidden="1" outlineLevel="3" x14ac:dyDescent="0.2">
      <c r="A132" s="19"/>
      <c r="B132" s="98">
        <v>23</v>
      </c>
      <c r="C132" s="506">
        <f t="shared" si="5"/>
        <v>0</v>
      </c>
      <c r="D132" s="505">
        <f t="shared" si="5"/>
        <v>0</v>
      </c>
      <c r="E132" s="505">
        <f t="shared" si="5"/>
        <v>0</v>
      </c>
      <c r="F132" s="58"/>
      <c r="G132" s="199">
        <f t="shared" si="6"/>
        <v>0</v>
      </c>
      <c r="H132" s="58"/>
      <c r="I132" s="198">
        <f>_xlfn.IFNA(IF(I$7="Fixed",1,IF(AND($D99="yes",I$7="Block"),INDEX($O639:$Q639,1,MATCH(I$5,$I33:$K33,0)),INDEX(Movements!$G639:$M639,1,MATCH(I$7,Movements!$G$614:$M$614,0))))
*I876*I$8,0)</f>
        <v>0</v>
      </c>
      <c r="J132" s="198">
        <f>_xlfn.IFNA(IF(J$7="Fixed",1,IF(AND($D99="yes",J$7="Block"),INDEX($O639:$Q639,1,MATCH(J$5,$I33:$K33,0)),INDEX(Movements!$G639:$M639,1,MATCH(J$7,Movements!$G$614:$M$614,0))))
*J876*J$8,0)</f>
        <v>0</v>
      </c>
      <c r="K132" s="198">
        <f>_xlfn.IFNA(IF(K$7="Fixed",1,IF(AND($D99="yes",K$7="Block"),INDEX($O639:$Q639,1,MATCH(K$5,$I33:$K33,0)),INDEX(Movements!$G639:$M639,1,MATCH(K$7,Movements!$G$614:$M$614,0))))
*K876*K$8,0)</f>
        <v>0</v>
      </c>
      <c r="L132" s="198">
        <f>_xlfn.IFNA(IF(L$7="Fixed",1,IF(AND($D99="yes",L$7="Block"),INDEX($O639:$Q639,1,MATCH(L$5,$I33:$K33,0)),INDEX(Movements!$G639:$M639,1,MATCH(L$7,Movements!$G$614:$M$614,0))))
*L876*L$8,0)</f>
        <v>0</v>
      </c>
      <c r="M132" s="198">
        <f>_xlfn.IFNA(IF(M$7="Fixed",1,IF(AND($D99="yes",M$7="Block"),INDEX($O639:$Q639,1,MATCH(M$5,$I33:$K33,0)),INDEX(Movements!$G639:$M639,1,MATCH(M$7,Movements!$G$614:$M$614,0))))
*M876*M$8,0)</f>
        <v>0</v>
      </c>
      <c r="N132" s="198">
        <f>_xlfn.IFNA(IF(N$7="Fixed",1,IF(AND($D99="yes",N$7="Block"),INDEX($O639:$Q639,1,MATCH(N$5,$I33:$K33,0)),INDEX(Movements!$G639:$M639,1,MATCH(N$7,Movements!$G$614:$M$614,0))))
*N876*N$8,0)</f>
        <v>0</v>
      </c>
      <c r="O132" s="198">
        <f>_xlfn.IFNA(IF(O$7="Fixed",1,IF(AND($D99="yes",O$7="Block"),INDEX($O639:$Q639,1,MATCH(O$5,$I33:$K33,0)),INDEX(Movements!$G639:$M639,1,MATCH(O$7,Movements!$G$614:$M$614,0))))
*O876*O$8,0)</f>
        <v>0</v>
      </c>
      <c r="P132" s="198">
        <f>_xlfn.IFNA(IF(P$7="Fixed",1,IF(AND($D99="yes",P$7="Block"),INDEX($O639:$Q639,1,MATCH(P$5,$I33:$K33,0)),INDEX(Movements!$G639:$M639,1,MATCH(P$7,Movements!$G$614:$M$614,0))))
*P876*P$8,0)</f>
        <v>0</v>
      </c>
      <c r="Q132" s="198">
        <f>_xlfn.IFNA(IF(Q$7="Fixed",1,IF(AND($D99="yes",Q$7="Block"),INDEX($O639:$Q639,1,MATCH(Q$5,$I33:$K33,0)),INDEX(Movements!$G639:$M639,1,MATCH(Q$7,Movements!$G$614:$M$614,0))))
*Q876*Q$8,0)</f>
        <v>0</v>
      </c>
      <c r="R132" s="198">
        <f>_xlfn.IFNA(IF(R$7="Fixed",1,IF(AND($D99="yes",R$7="Block"),INDEX($O639:$Q639,1,MATCH(R$5,$I33:$K33,0)),INDEX(Movements!$G639:$M639,1,MATCH(R$7,Movements!$G$614:$M$614,0))))
*R876*R$8,0)</f>
        <v>0</v>
      </c>
      <c r="S132" s="198">
        <f>_xlfn.IFNA(IF(S$7="Fixed",1,IF(AND($D99="yes",S$7="Block"),INDEX($O639:$Q639,1,MATCH(S$5,$I33:$K33,0)),INDEX(Movements!$G639:$M639,1,MATCH(S$7,Movements!$G$614:$M$614,0))))
*S876*S$8,0)</f>
        <v>0</v>
      </c>
      <c r="T132" s="198">
        <f>_xlfn.IFNA(IF(T$7="Fixed",1,IF(AND($D99="yes",T$7="Block"),INDEX($O639:$Q639,1,MATCH(T$5,$I33:$K33,0)),INDEX(Movements!$G639:$M639,1,MATCH(T$7,Movements!$G$614:$M$614,0))))
*T876*T$8,0)</f>
        <v>0</v>
      </c>
      <c r="U132" s="198">
        <f>_xlfn.IFNA(IF(U$7="Fixed",1,IF(AND($D99="yes",U$7="Block"),INDEX($O639:$Q639,1,MATCH(U$5,$I33:$K33,0)),INDEX(Movements!$G639:$M639,1,MATCH(U$7,Movements!$G$614:$M$614,0))))
*U876*U$8,0)</f>
        <v>0</v>
      </c>
      <c r="V132" s="198">
        <f>_xlfn.IFNA(IF(V$7="Fixed",1,IF(AND($D99="yes",V$7="Block"),INDEX($O639:$Q639,1,MATCH(V$5,$I33:$K33,0)),INDEX(Movements!$G639:$M639,1,MATCH(V$7,Movements!$G$614:$M$614,0))))
*V876*V$8,0)</f>
        <v>0</v>
      </c>
      <c r="W132" s="198">
        <f>_xlfn.IFNA(IF(W$7="Fixed",1,IF(AND($D99="yes",W$7="Block"),INDEX($O639:$Q639,1,MATCH(W$5,$I33:$K33,0)),INDEX(Movements!$G639:$M639,1,MATCH(W$7,Movements!$G$614:$M$614,0))))
*W876*W$8,0)</f>
        <v>0</v>
      </c>
      <c r="X132" s="198">
        <f>_xlfn.IFNA(IF(X$7="Fixed",1,IF(AND($D99="yes",X$7="Block"),INDEX($O639:$Q639,1,MATCH(X$5,$I33:$K33,0)),INDEX(Movements!$G639:$M639,1,MATCH(X$7,Movements!$G$614:$M$614,0))))
*X876*X$8,0)</f>
        <v>0</v>
      </c>
      <c r="Y132" s="198">
        <f>_xlfn.IFNA(IF(Y$7="Fixed",1,IF(AND($D99="yes",Y$7="Block"),INDEX($O639:$Q639,1,MATCH(Y$5,$I33:$K33,0)),INDEX(Movements!$G639:$M639,1,MATCH(Y$7,Movements!$G$614:$M$614,0))))
*Y876*Y$8,0)</f>
        <v>0</v>
      </c>
      <c r="Z132" s="198">
        <f>_xlfn.IFNA(IF(Z$7="Fixed",1,IF(AND($D99="yes",Z$7="Block"),INDEX($O639:$Q639,1,MATCH(Z$5,$I33:$K33,0)),INDEX(Movements!$G639:$M639,1,MATCH(Z$7,Movements!$G$614:$M$614,0))))
*Z876*Z$8,0)</f>
        <v>0</v>
      </c>
      <c r="AA132" s="198">
        <f>_xlfn.IFNA(IF(AA$7="Fixed",1,IF(AND($D99="yes",AA$7="Block"),INDEX($O639:$Q639,1,MATCH(AA$5,$I33:$K33,0)),INDEX(Movements!$G639:$M639,1,MATCH(AA$7,Movements!$G$614:$M$614,0))))
*AA876*AA$8,0)</f>
        <v>0</v>
      </c>
      <c r="AB132" s="198">
        <f>_xlfn.IFNA(IF(AB$7="Fixed",1,IF(AND($D99="yes",AB$7="Block"),INDEX($O639:$Q639,1,MATCH(AB$5,$I33:$K33,0)),INDEX(Movements!$G639:$M639,1,MATCH(AB$7,Movements!$G$614:$M$614,0))))
*AB876*AB$8,0)</f>
        <v>0</v>
      </c>
      <c r="AC132" s="70"/>
      <c r="AD132" s="19"/>
      <c r="AE132" s="19"/>
      <c r="AF132" s="19"/>
      <c r="AG132" s="19"/>
    </row>
    <row r="133" spans="1:33" hidden="1" outlineLevel="3" x14ac:dyDescent="0.2">
      <c r="A133" s="19"/>
      <c r="B133" s="97">
        <v>24</v>
      </c>
      <c r="C133" s="506">
        <f t="shared" si="5"/>
        <v>0</v>
      </c>
      <c r="D133" s="505">
        <f t="shared" si="5"/>
        <v>0</v>
      </c>
      <c r="E133" s="505">
        <f t="shared" si="5"/>
        <v>0</v>
      </c>
      <c r="F133" s="58"/>
      <c r="G133" s="199">
        <f t="shared" si="6"/>
        <v>0</v>
      </c>
      <c r="H133" s="58"/>
      <c r="I133" s="198">
        <f>_xlfn.IFNA(IF(I$7="Fixed",1,IF(AND($D100="yes",I$7="Block"),INDEX($O640:$Q640,1,MATCH(I$5,$I34:$K34,0)),INDEX(Movements!$G640:$M640,1,MATCH(I$7,Movements!$G$614:$M$614,0))))
*I877*I$8,0)</f>
        <v>0</v>
      </c>
      <c r="J133" s="198">
        <f>_xlfn.IFNA(IF(J$7="Fixed",1,IF(AND($D100="yes",J$7="Block"),INDEX($O640:$Q640,1,MATCH(J$5,$I34:$K34,0)),INDEX(Movements!$G640:$M640,1,MATCH(J$7,Movements!$G$614:$M$614,0))))
*J877*J$8,0)</f>
        <v>0</v>
      </c>
      <c r="K133" s="198">
        <f>_xlfn.IFNA(IF(K$7="Fixed",1,IF(AND($D100="yes",K$7="Block"),INDEX($O640:$Q640,1,MATCH(K$5,$I34:$K34,0)),INDEX(Movements!$G640:$M640,1,MATCH(K$7,Movements!$G$614:$M$614,0))))
*K877*K$8,0)</f>
        <v>0</v>
      </c>
      <c r="L133" s="198">
        <f>_xlfn.IFNA(IF(L$7="Fixed",1,IF(AND($D100="yes",L$7="Block"),INDEX($O640:$Q640,1,MATCH(L$5,$I34:$K34,0)),INDEX(Movements!$G640:$M640,1,MATCH(L$7,Movements!$G$614:$M$614,0))))
*L877*L$8,0)</f>
        <v>0</v>
      </c>
      <c r="M133" s="198">
        <f>_xlfn.IFNA(IF(M$7="Fixed",1,IF(AND($D100="yes",M$7="Block"),INDEX($O640:$Q640,1,MATCH(M$5,$I34:$K34,0)),INDEX(Movements!$G640:$M640,1,MATCH(M$7,Movements!$G$614:$M$614,0))))
*M877*M$8,0)</f>
        <v>0</v>
      </c>
      <c r="N133" s="198">
        <f>_xlfn.IFNA(IF(N$7="Fixed",1,IF(AND($D100="yes",N$7="Block"),INDEX($O640:$Q640,1,MATCH(N$5,$I34:$K34,0)),INDEX(Movements!$G640:$M640,1,MATCH(N$7,Movements!$G$614:$M$614,0))))
*N877*N$8,0)</f>
        <v>0</v>
      </c>
      <c r="O133" s="198">
        <f>_xlfn.IFNA(IF(O$7="Fixed",1,IF(AND($D100="yes",O$7="Block"),INDEX($O640:$Q640,1,MATCH(O$5,$I34:$K34,0)),INDEX(Movements!$G640:$M640,1,MATCH(O$7,Movements!$G$614:$M$614,0))))
*O877*O$8,0)</f>
        <v>0</v>
      </c>
      <c r="P133" s="198">
        <f>_xlfn.IFNA(IF(P$7="Fixed",1,IF(AND($D100="yes",P$7="Block"),INDEX($O640:$Q640,1,MATCH(P$5,$I34:$K34,0)),INDEX(Movements!$G640:$M640,1,MATCH(P$7,Movements!$G$614:$M$614,0))))
*P877*P$8,0)</f>
        <v>0</v>
      </c>
      <c r="Q133" s="198">
        <f>_xlfn.IFNA(IF(Q$7="Fixed",1,IF(AND($D100="yes",Q$7="Block"),INDEX($O640:$Q640,1,MATCH(Q$5,$I34:$K34,0)),INDEX(Movements!$G640:$M640,1,MATCH(Q$7,Movements!$G$614:$M$614,0))))
*Q877*Q$8,0)</f>
        <v>0</v>
      </c>
      <c r="R133" s="198">
        <f>_xlfn.IFNA(IF(R$7="Fixed",1,IF(AND($D100="yes",R$7="Block"),INDEX($O640:$Q640,1,MATCH(R$5,$I34:$K34,0)),INDEX(Movements!$G640:$M640,1,MATCH(R$7,Movements!$G$614:$M$614,0))))
*R877*R$8,0)</f>
        <v>0</v>
      </c>
      <c r="S133" s="198">
        <f>_xlfn.IFNA(IF(S$7="Fixed",1,IF(AND($D100="yes",S$7="Block"),INDEX($O640:$Q640,1,MATCH(S$5,$I34:$K34,0)),INDEX(Movements!$G640:$M640,1,MATCH(S$7,Movements!$G$614:$M$614,0))))
*S877*S$8,0)</f>
        <v>0</v>
      </c>
      <c r="T133" s="198">
        <f>_xlfn.IFNA(IF(T$7="Fixed",1,IF(AND($D100="yes",T$7="Block"),INDEX($O640:$Q640,1,MATCH(T$5,$I34:$K34,0)),INDEX(Movements!$G640:$M640,1,MATCH(T$7,Movements!$G$614:$M$614,0))))
*T877*T$8,0)</f>
        <v>0</v>
      </c>
      <c r="U133" s="198">
        <f>_xlfn.IFNA(IF(U$7="Fixed",1,IF(AND($D100="yes",U$7="Block"),INDEX($O640:$Q640,1,MATCH(U$5,$I34:$K34,0)),INDEX(Movements!$G640:$M640,1,MATCH(U$7,Movements!$G$614:$M$614,0))))
*U877*U$8,0)</f>
        <v>0</v>
      </c>
      <c r="V133" s="198">
        <f>_xlfn.IFNA(IF(V$7="Fixed",1,IF(AND($D100="yes",V$7="Block"),INDEX($O640:$Q640,1,MATCH(V$5,$I34:$K34,0)),INDEX(Movements!$G640:$M640,1,MATCH(V$7,Movements!$G$614:$M$614,0))))
*V877*V$8,0)</f>
        <v>0</v>
      </c>
      <c r="W133" s="198">
        <f>_xlfn.IFNA(IF(W$7="Fixed",1,IF(AND($D100="yes",W$7="Block"),INDEX($O640:$Q640,1,MATCH(W$5,$I34:$K34,0)),INDEX(Movements!$G640:$M640,1,MATCH(W$7,Movements!$G$614:$M$614,0))))
*W877*W$8,0)</f>
        <v>0</v>
      </c>
      <c r="X133" s="198">
        <f>_xlfn.IFNA(IF(X$7="Fixed",1,IF(AND($D100="yes",X$7="Block"),INDEX($O640:$Q640,1,MATCH(X$5,$I34:$K34,0)),INDEX(Movements!$G640:$M640,1,MATCH(X$7,Movements!$G$614:$M$614,0))))
*X877*X$8,0)</f>
        <v>0</v>
      </c>
      <c r="Y133" s="198">
        <f>_xlfn.IFNA(IF(Y$7="Fixed",1,IF(AND($D100="yes",Y$7="Block"),INDEX($O640:$Q640,1,MATCH(Y$5,$I34:$K34,0)),INDEX(Movements!$G640:$M640,1,MATCH(Y$7,Movements!$G$614:$M$614,0))))
*Y877*Y$8,0)</f>
        <v>0</v>
      </c>
      <c r="Z133" s="198">
        <f>_xlfn.IFNA(IF(Z$7="Fixed",1,IF(AND($D100="yes",Z$7="Block"),INDEX($O640:$Q640,1,MATCH(Z$5,$I34:$K34,0)),INDEX(Movements!$G640:$M640,1,MATCH(Z$7,Movements!$G$614:$M$614,0))))
*Z877*Z$8,0)</f>
        <v>0</v>
      </c>
      <c r="AA133" s="198">
        <f>_xlfn.IFNA(IF(AA$7="Fixed",1,IF(AND($D100="yes",AA$7="Block"),INDEX($O640:$Q640,1,MATCH(AA$5,$I34:$K34,0)),INDEX(Movements!$G640:$M640,1,MATCH(AA$7,Movements!$G$614:$M$614,0))))
*AA877*AA$8,0)</f>
        <v>0</v>
      </c>
      <c r="AB133" s="198">
        <f>_xlfn.IFNA(IF(AB$7="Fixed",1,IF(AND($D100="yes",AB$7="Block"),INDEX($O640:$Q640,1,MATCH(AB$5,$I34:$K34,0)),INDEX(Movements!$G640:$M640,1,MATCH(AB$7,Movements!$G$614:$M$614,0))))
*AB877*AB$8,0)</f>
        <v>0</v>
      </c>
      <c r="AC133" s="70"/>
      <c r="AD133" s="19"/>
      <c r="AE133" s="19"/>
      <c r="AF133" s="19"/>
      <c r="AG133" s="19"/>
    </row>
    <row r="134" spans="1:33" hidden="1" outlineLevel="3" x14ac:dyDescent="0.2">
      <c r="A134" s="19"/>
      <c r="B134" s="97">
        <v>25</v>
      </c>
      <c r="C134" s="506">
        <f t="shared" si="5"/>
        <v>0</v>
      </c>
      <c r="D134" s="505">
        <f t="shared" si="5"/>
        <v>0</v>
      </c>
      <c r="E134" s="505">
        <f t="shared" si="5"/>
        <v>0</v>
      </c>
      <c r="F134" s="58"/>
      <c r="G134" s="199">
        <f t="shared" si="6"/>
        <v>0</v>
      </c>
      <c r="H134" s="58"/>
      <c r="I134" s="198">
        <f>_xlfn.IFNA(IF(I$7="Fixed",1,IF(AND($D101="yes",I$7="Block"),INDEX($O641:$Q641,1,MATCH(I$5,$I35:$K35,0)),INDEX(Movements!$G641:$M641,1,MATCH(I$7,Movements!$G$614:$M$614,0))))
*I878*I$8,0)</f>
        <v>0</v>
      </c>
      <c r="J134" s="198">
        <f>_xlfn.IFNA(IF(J$7="Fixed",1,IF(AND($D101="yes",J$7="Block"),INDEX($O641:$Q641,1,MATCH(J$5,$I35:$K35,0)),INDEX(Movements!$G641:$M641,1,MATCH(J$7,Movements!$G$614:$M$614,0))))
*J878*J$8,0)</f>
        <v>0</v>
      </c>
      <c r="K134" s="198">
        <f>_xlfn.IFNA(IF(K$7="Fixed",1,IF(AND($D101="yes",K$7="Block"),INDEX($O641:$Q641,1,MATCH(K$5,$I35:$K35,0)),INDEX(Movements!$G641:$M641,1,MATCH(K$7,Movements!$G$614:$M$614,0))))
*K878*K$8,0)</f>
        <v>0</v>
      </c>
      <c r="L134" s="198">
        <f>_xlfn.IFNA(IF(L$7="Fixed",1,IF(AND($D101="yes",L$7="Block"),INDEX($O641:$Q641,1,MATCH(L$5,$I35:$K35,0)),INDEX(Movements!$G641:$M641,1,MATCH(L$7,Movements!$G$614:$M$614,0))))
*L878*L$8,0)</f>
        <v>0</v>
      </c>
      <c r="M134" s="198">
        <f>_xlfn.IFNA(IF(M$7="Fixed",1,IF(AND($D101="yes",M$7="Block"),INDEX($O641:$Q641,1,MATCH(M$5,$I35:$K35,0)),INDEX(Movements!$G641:$M641,1,MATCH(M$7,Movements!$G$614:$M$614,0))))
*M878*M$8,0)</f>
        <v>0</v>
      </c>
      <c r="N134" s="198">
        <f>_xlfn.IFNA(IF(N$7="Fixed",1,IF(AND($D101="yes",N$7="Block"),INDEX($O641:$Q641,1,MATCH(N$5,$I35:$K35,0)),INDEX(Movements!$G641:$M641,1,MATCH(N$7,Movements!$G$614:$M$614,0))))
*N878*N$8,0)</f>
        <v>0</v>
      </c>
      <c r="O134" s="198">
        <f>_xlfn.IFNA(IF(O$7="Fixed",1,IF(AND($D101="yes",O$7="Block"),INDEX($O641:$Q641,1,MATCH(O$5,$I35:$K35,0)),INDEX(Movements!$G641:$M641,1,MATCH(O$7,Movements!$G$614:$M$614,0))))
*O878*O$8,0)</f>
        <v>0</v>
      </c>
      <c r="P134" s="198">
        <f>_xlfn.IFNA(IF(P$7="Fixed",1,IF(AND($D101="yes",P$7="Block"),INDEX($O641:$Q641,1,MATCH(P$5,$I35:$K35,0)),INDEX(Movements!$G641:$M641,1,MATCH(P$7,Movements!$G$614:$M$614,0))))
*P878*P$8,0)</f>
        <v>0</v>
      </c>
      <c r="Q134" s="198">
        <f>_xlfn.IFNA(IF(Q$7="Fixed",1,IF(AND($D101="yes",Q$7="Block"),INDEX($O641:$Q641,1,MATCH(Q$5,$I35:$K35,0)),INDEX(Movements!$G641:$M641,1,MATCH(Q$7,Movements!$G$614:$M$614,0))))
*Q878*Q$8,0)</f>
        <v>0</v>
      </c>
      <c r="R134" s="198">
        <f>_xlfn.IFNA(IF(R$7="Fixed",1,IF(AND($D101="yes",R$7="Block"),INDEX($O641:$Q641,1,MATCH(R$5,$I35:$K35,0)),INDEX(Movements!$G641:$M641,1,MATCH(R$7,Movements!$G$614:$M$614,0))))
*R878*R$8,0)</f>
        <v>0</v>
      </c>
      <c r="S134" s="198">
        <f>_xlfn.IFNA(IF(S$7="Fixed",1,IF(AND($D101="yes",S$7="Block"),INDEX($O641:$Q641,1,MATCH(S$5,$I35:$K35,0)),INDEX(Movements!$G641:$M641,1,MATCH(S$7,Movements!$G$614:$M$614,0))))
*S878*S$8,0)</f>
        <v>0</v>
      </c>
      <c r="T134" s="198">
        <f>_xlfn.IFNA(IF(T$7="Fixed",1,IF(AND($D101="yes",T$7="Block"),INDEX($O641:$Q641,1,MATCH(T$5,$I35:$K35,0)),INDEX(Movements!$G641:$M641,1,MATCH(T$7,Movements!$G$614:$M$614,0))))
*T878*T$8,0)</f>
        <v>0</v>
      </c>
      <c r="U134" s="198">
        <f>_xlfn.IFNA(IF(U$7="Fixed",1,IF(AND($D101="yes",U$7="Block"),INDEX($O641:$Q641,1,MATCH(U$5,$I35:$K35,0)),INDEX(Movements!$G641:$M641,1,MATCH(U$7,Movements!$G$614:$M$614,0))))
*U878*U$8,0)</f>
        <v>0</v>
      </c>
      <c r="V134" s="198">
        <f>_xlfn.IFNA(IF(V$7="Fixed",1,IF(AND($D101="yes",V$7="Block"),INDEX($O641:$Q641,1,MATCH(V$5,$I35:$K35,0)),INDEX(Movements!$G641:$M641,1,MATCH(V$7,Movements!$G$614:$M$614,0))))
*V878*V$8,0)</f>
        <v>0</v>
      </c>
      <c r="W134" s="198">
        <f>_xlfn.IFNA(IF(W$7="Fixed",1,IF(AND($D101="yes",W$7="Block"),INDEX($O641:$Q641,1,MATCH(W$5,$I35:$K35,0)),INDEX(Movements!$G641:$M641,1,MATCH(W$7,Movements!$G$614:$M$614,0))))
*W878*W$8,0)</f>
        <v>0</v>
      </c>
      <c r="X134" s="198">
        <f>_xlfn.IFNA(IF(X$7="Fixed",1,IF(AND($D101="yes",X$7="Block"),INDEX($O641:$Q641,1,MATCH(X$5,$I35:$K35,0)),INDEX(Movements!$G641:$M641,1,MATCH(X$7,Movements!$G$614:$M$614,0))))
*X878*X$8,0)</f>
        <v>0</v>
      </c>
      <c r="Y134" s="198">
        <f>_xlfn.IFNA(IF(Y$7="Fixed",1,IF(AND($D101="yes",Y$7="Block"),INDEX($O641:$Q641,1,MATCH(Y$5,$I35:$K35,0)),INDEX(Movements!$G641:$M641,1,MATCH(Y$7,Movements!$G$614:$M$614,0))))
*Y878*Y$8,0)</f>
        <v>0</v>
      </c>
      <c r="Z134" s="198">
        <f>_xlfn.IFNA(IF(Z$7="Fixed",1,IF(AND($D101="yes",Z$7="Block"),INDEX($O641:$Q641,1,MATCH(Z$5,$I35:$K35,0)),INDEX(Movements!$G641:$M641,1,MATCH(Z$7,Movements!$G$614:$M$614,0))))
*Z878*Z$8,0)</f>
        <v>0</v>
      </c>
      <c r="AA134" s="198">
        <f>_xlfn.IFNA(IF(AA$7="Fixed",1,IF(AND($D101="yes",AA$7="Block"),INDEX($O641:$Q641,1,MATCH(AA$5,$I35:$K35,0)),INDEX(Movements!$G641:$M641,1,MATCH(AA$7,Movements!$G$614:$M$614,0))))
*AA878*AA$8,0)</f>
        <v>0</v>
      </c>
      <c r="AB134" s="198">
        <f>_xlfn.IFNA(IF(AB$7="Fixed",1,IF(AND($D101="yes",AB$7="Block"),INDEX($O641:$Q641,1,MATCH(AB$5,$I35:$K35,0)),INDEX(Movements!$G641:$M641,1,MATCH(AB$7,Movements!$G$614:$M$614,0))))
*AB878*AB$8,0)</f>
        <v>0</v>
      </c>
      <c r="AC134" s="70"/>
      <c r="AD134" s="19"/>
      <c r="AE134" s="19"/>
      <c r="AF134" s="19"/>
      <c r="AG134" s="19"/>
    </row>
    <row r="135" spans="1:33" hidden="1" outlineLevel="3" x14ac:dyDescent="0.2">
      <c r="A135" s="19"/>
      <c r="B135" s="97">
        <v>26</v>
      </c>
      <c r="C135" s="506">
        <f t="shared" si="5"/>
        <v>0</v>
      </c>
      <c r="D135" s="505">
        <f t="shared" si="5"/>
        <v>0</v>
      </c>
      <c r="E135" s="505">
        <f t="shared" si="5"/>
        <v>0</v>
      </c>
      <c r="F135" s="58"/>
      <c r="G135" s="199">
        <f t="shared" si="6"/>
        <v>0</v>
      </c>
      <c r="H135" s="58"/>
      <c r="I135" s="198">
        <f>_xlfn.IFNA(IF(I$7="Fixed",1,IF(AND($D102="yes",I$7="Block"),INDEX($O642:$Q642,1,MATCH(I$5,$I36:$K36,0)),INDEX(Movements!$G642:$M642,1,MATCH(I$7,Movements!$G$614:$M$614,0))))
*I879*I$8,0)</f>
        <v>0</v>
      </c>
      <c r="J135" s="198">
        <f>_xlfn.IFNA(IF(J$7="Fixed",1,IF(AND($D102="yes",J$7="Block"),INDEX($O642:$Q642,1,MATCH(J$5,$I36:$K36,0)),INDEX(Movements!$G642:$M642,1,MATCH(J$7,Movements!$G$614:$M$614,0))))
*J879*J$8,0)</f>
        <v>0</v>
      </c>
      <c r="K135" s="198">
        <f>_xlfn.IFNA(IF(K$7="Fixed",1,IF(AND($D102="yes",K$7="Block"),INDEX($O642:$Q642,1,MATCH(K$5,$I36:$K36,0)),INDEX(Movements!$G642:$M642,1,MATCH(K$7,Movements!$G$614:$M$614,0))))
*K879*K$8,0)</f>
        <v>0</v>
      </c>
      <c r="L135" s="198">
        <f>_xlfn.IFNA(IF(L$7="Fixed",1,IF(AND($D102="yes",L$7="Block"),INDEX($O642:$Q642,1,MATCH(L$5,$I36:$K36,0)),INDEX(Movements!$G642:$M642,1,MATCH(L$7,Movements!$G$614:$M$614,0))))
*L879*L$8,0)</f>
        <v>0</v>
      </c>
      <c r="M135" s="198">
        <f>_xlfn.IFNA(IF(M$7="Fixed",1,IF(AND($D102="yes",M$7="Block"),INDEX($O642:$Q642,1,MATCH(M$5,$I36:$K36,0)),INDEX(Movements!$G642:$M642,1,MATCH(M$7,Movements!$G$614:$M$614,0))))
*M879*M$8,0)</f>
        <v>0</v>
      </c>
      <c r="N135" s="198">
        <f>_xlfn.IFNA(IF(N$7="Fixed",1,IF(AND($D102="yes",N$7="Block"),INDEX($O642:$Q642,1,MATCH(N$5,$I36:$K36,0)),INDEX(Movements!$G642:$M642,1,MATCH(N$7,Movements!$G$614:$M$614,0))))
*N879*N$8,0)</f>
        <v>0</v>
      </c>
      <c r="O135" s="198">
        <f>_xlfn.IFNA(IF(O$7="Fixed",1,IF(AND($D102="yes",O$7="Block"),INDEX($O642:$Q642,1,MATCH(O$5,$I36:$K36,0)),INDEX(Movements!$G642:$M642,1,MATCH(O$7,Movements!$G$614:$M$614,0))))
*O879*O$8,0)</f>
        <v>0</v>
      </c>
      <c r="P135" s="198">
        <f>_xlfn.IFNA(IF(P$7="Fixed",1,IF(AND($D102="yes",P$7="Block"),INDEX($O642:$Q642,1,MATCH(P$5,$I36:$K36,0)),INDEX(Movements!$G642:$M642,1,MATCH(P$7,Movements!$G$614:$M$614,0))))
*P879*P$8,0)</f>
        <v>0</v>
      </c>
      <c r="Q135" s="198">
        <f>_xlfn.IFNA(IF(Q$7="Fixed",1,IF(AND($D102="yes",Q$7="Block"),INDEX($O642:$Q642,1,MATCH(Q$5,$I36:$K36,0)),INDEX(Movements!$G642:$M642,1,MATCH(Q$7,Movements!$G$614:$M$614,0))))
*Q879*Q$8,0)</f>
        <v>0</v>
      </c>
      <c r="R135" s="198">
        <f>_xlfn.IFNA(IF(R$7="Fixed",1,IF(AND($D102="yes",R$7="Block"),INDEX($O642:$Q642,1,MATCH(R$5,$I36:$K36,0)),INDEX(Movements!$G642:$M642,1,MATCH(R$7,Movements!$G$614:$M$614,0))))
*R879*R$8,0)</f>
        <v>0</v>
      </c>
      <c r="S135" s="198">
        <f>_xlfn.IFNA(IF(S$7="Fixed",1,IF(AND($D102="yes",S$7="Block"),INDEX($O642:$Q642,1,MATCH(S$5,$I36:$K36,0)),INDEX(Movements!$G642:$M642,1,MATCH(S$7,Movements!$G$614:$M$614,0))))
*S879*S$8,0)</f>
        <v>0</v>
      </c>
      <c r="T135" s="198">
        <f>_xlfn.IFNA(IF(T$7="Fixed",1,IF(AND($D102="yes",T$7="Block"),INDEX($O642:$Q642,1,MATCH(T$5,$I36:$K36,0)),INDEX(Movements!$G642:$M642,1,MATCH(T$7,Movements!$G$614:$M$614,0))))
*T879*T$8,0)</f>
        <v>0</v>
      </c>
      <c r="U135" s="198">
        <f>_xlfn.IFNA(IF(U$7="Fixed",1,IF(AND($D102="yes",U$7="Block"),INDEX($O642:$Q642,1,MATCH(U$5,$I36:$K36,0)),INDEX(Movements!$G642:$M642,1,MATCH(U$7,Movements!$G$614:$M$614,0))))
*U879*U$8,0)</f>
        <v>0</v>
      </c>
      <c r="V135" s="198">
        <f>_xlfn.IFNA(IF(V$7="Fixed",1,IF(AND($D102="yes",V$7="Block"),INDEX($O642:$Q642,1,MATCH(V$5,$I36:$K36,0)),INDEX(Movements!$G642:$M642,1,MATCH(V$7,Movements!$G$614:$M$614,0))))
*V879*V$8,0)</f>
        <v>0</v>
      </c>
      <c r="W135" s="198">
        <f>_xlfn.IFNA(IF(W$7="Fixed",1,IF(AND($D102="yes",W$7="Block"),INDEX($O642:$Q642,1,MATCH(W$5,$I36:$K36,0)),INDEX(Movements!$G642:$M642,1,MATCH(W$7,Movements!$G$614:$M$614,0))))
*W879*W$8,0)</f>
        <v>0</v>
      </c>
      <c r="X135" s="198">
        <f>_xlfn.IFNA(IF(X$7="Fixed",1,IF(AND($D102="yes",X$7="Block"),INDEX($O642:$Q642,1,MATCH(X$5,$I36:$K36,0)),INDEX(Movements!$G642:$M642,1,MATCH(X$7,Movements!$G$614:$M$614,0))))
*X879*X$8,0)</f>
        <v>0</v>
      </c>
      <c r="Y135" s="198">
        <f>_xlfn.IFNA(IF(Y$7="Fixed",1,IF(AND($D102="yes",Y$7="Block"),INDEX($O642:$Q642,1,MATCH(Y$5,$I36:$K36,0)),INDEX(Movements!$G642:$M642,1,MATCH(Y$7,Movements!$G$614:$M$614,0))))
*Y879*Y$8,0)</f>
        <v>0</v>
      </c>
      <c r="Z135" s="198">
        <f>_xlfn.IFNA(IF(Z$7="Fixed",1,IF(AND($D102="yes",Z$7="Block"),INDEX($O642:$Q642,1,MATCH(Z$5,$I36:$K36,0)),INDEX(Movements!$G642:$M642,1,MATCH(Z$7,Movements!$G$614:$M$614,0))))
*Z879*Z$8,0)</f>
        <v>0</v>
      </c>
      <c r="AA135" s="198">
        <f>_xlfn.IFNA(IF(AA$7="Fixed",1,IF(AND($D102="yes",AA$7="Block"),INDEX($O642:$Q642,1,MATCH(AA$5,$I36:$K36,0)),INDEX(Movements!$G642:$M642,1,MATCH(AA$7,Movements!$G$614:$M$614,0))))
*AA879*AA$8,0)</f>
        <v>0</v>
      </c>
      <c r="AB135" s="198">
        <f>_xlfn.IFNA(IF(AB$7="Fixed",1,IF(AND($D102="yes",AB$7="Block"),INDEX($O642:$Q642,1,MATCH(AB$5,$I36:$K36,0)),INDEX(Movements!$G642:$M642,1,MATCH(AB$7,Movements!$G$614:$M$614,0))))
*AB879*AB$8,0)</f>
        <v>0</v>
      </c>
      <c r="AC135" s="70"/>
      <c r="AD135" s="19"/>
      <c r="AE135" s="19"/>
      <c r="AF135" s="19"/>
      <c r="AG135" s="19"/>
    </row>
    <row r="136" spans="1:33" hidden="1" outlineLevel="3" x14ac:dyDescent="0.2">
      <c r="A136" s="19"/>
      <c r="B136" s="97">
        <v>27</v>
      </c>
      <c r="C136" s="506">
        <f t="shared" si="5"/>
        <v>0</v>
      </c>
      <c r="D136" s="505">
        <f t="shared" si="5"/>
        <v>0</v>
      </c>
      <c r="E136" s="505">
        <f t="shared" si="5"/>
        <v>0</v>
      </c>
      <c r="F136" s="58"/>
      <c r="G136" s="199">
        <f t="shared" si="6"/>
        <v>0</v>
      </c>
      <c r="H136" s="58"/>
      <c r="I136" s="198">
        <f>_xlfn.IFNA(IF(I$7="Fixed",1,IF(AND($D103="yes",I$7="Block"),INDEX($O643:$Q643,1,MATCH(I$5,$I37:$K37,0)),INDEX(Movements!$G643:$M643,1,MATCH(I$7,Movements!$G$614:$M$614,0))))
*I880*I$8,0)</f>
        <v>0</v>
      </c>
      <c r="J136" s="198">
        <f>_xlfn.IFNA(IF(J$7="Fixed",1,IF(AND($D103="yes",J$7="Block"),INDEX($O643:$Q643,1,MATCH(J$5,$I37:$K37,0)),INDEX(Movements!$G643:$M643,1,MATCH(J$7,Movements!$G$614:$M$614,0))))
*J880*J$8,0)</f>
        <v>0</v>
      </c>
      <c r="K136" s="198">
        <f>_xlfn.IFNA(IF(K$7="Fixed",1,IF(AND($D103="yes",K$7="Block"),INDEX($O643:$Q643,1,MATCH(K$5,$I37:$K37,0)),INDEX(Movements!$G643:$M643,1,MATCH(K$7,Movements!$G$614:$M$614,0))))
*K880*K$8,0)</f>
        <v>0</v>
      </c>
      <c r="L136" s="198">
        <f>_xlfn.IFNA(IF(L$7="Fixed",1,IF(AND($D103="yes",L$7="Block"),INDEX($O643:$Q643,1,MATCH(L$5,$I37:$K37,0)),INDEX(Movements!$G643:$M643,1,MATCH(L$7,Movements!$G$614:$M$614,0))))
*L880*L$8,0)</f>
        <v>0</v>
      </c>
      <c r="M136" s="198">
        <f>_xlfn.IFNA(IF(M$7="Fixed",1,IF(AND($D103="yes",M$7="Block"),INDEX($O643:$Q643,1,MATCH(M$5,$I37:$K37,0)),INDEX(Movements!$G643:$M643,1,MATCH(M$7,Movements!$G$614:$M$614,0))))
*M880*M$8,0)</f>
        <v>0</v>
      </c>
      <c r="N136" s="198">
        <f>_xlfn.IFNA(IF(N$7="Fixed",1,IF(AND($D103="yes",N$7="Block"),INDEX($O643:$Q643,1,MATCH(N$5,$I37:$K37,0)),INDEX(Movements!$G643:$M643,1,MATCH(N$7,Movements!$G$614:$M$614,0))))
*N880*N$8,0)</f>
        <v>0</v>
      </c>
      <c r="O136" s="198">
        <f>_xlfn.IFNA(IF(O$7="Fixed",1,IF(AND($D103="yes",O$7="Block"),INDEX($O643:$Q643,1,MATCH(O$5,$I37:$K37,0)),INDEX(Movements!$G643:$M643,1,MATCH(O$7,Movements!$G$614:$M$614,0))))
*O880*O$8,0)</f>
        <v>0</v>
      </c>
      <c r="P136" s="198">
        <f>_xlfn.IFNA(IF(P$7="Fixed",1,IF(AND($D103="yes",P$7="Block"),INDEX($O643:$Q643,1,MATCH(P$5,$I37:$K37,0)),INDEX(Movements!$G643:$M643,1,MATCH(P$7,Movements!$G$614:$M$614,0))))
*P880*P$8,0)</f>
        <v>0</v>
      </c>
      <c r="Q136" s="198">
        <f>_xlfn.IFNA(IF(Q$7="Fixed",1,IF(AND($D103="yes",Q$7="Block"),INDEX($O643:$Q643,1,MATCH(Q$5,$I37:$K37,0)),INDEX(Movements!$G643:$M643,1,MATCH(Q$7,Movements!$G$614:$M$614,0))))
*Q880*Q$8,0)</f>
        <v>0</v>
      </c>
      <c r="R136" s="198">
        <f>_xlfn.IFNA(IF(R$7="Fixed",1,IF(AND($D103="yes",R$7="Block"),INDEX($O643:$Q643,1,MATCH(R$5,$I37:$K37,0)),INDEX(Movements!$G643:$M643,1,MATCH(R$7,Movements!$G$614:$M$614,0))))
*R880*R$8,0)</f>
        <v>0</v>
      </c>
      <c r="S136" s="198">
        <f>_xlfn.IFNA(IF(S$7="Fixed",1,IF(AND($D103="yes",S$7="Block"),INDEX($O643:$Q643,1,MATCH(S$5,$I37:$K37,0)),INDEX(Movements!$G643:$M643,1,MATCH(S$7,Movements!$G$614:$M$614,0))))
*S880*S$8,0)</f>
        <v>0</v>
      </c>
      <c r="T136" s="198">
        <f>_xlfn.IFNA(IF(T$7="Fixed",1,IF(AND($D103="yes",T$7="Block"),INDEX($O643:$Q643,1,MATCH(T$5,$I37:$K37,0)),INDEX(Movements!$G643:$M643,1,MATCH(T$7,Movements!$G$614:$M$614,0))))
*T880*T$8,0)</f>
        <v>0</v>
      </c>
      <c r="U136" s="198">
        <f>_xlfn.IFNA(IF(U$7="Fixed",1,IF(AND($D103="yes",U$7="Block"),INDEX($O643:$Q643,1,MATCH(U$5,$I37:$K37,0)),INDEX(Movements!$G643:$M643,1,MATCH(U$7,Movements!$G$614:$M$614,0))))
*U880*U$8,0)</f>
        <v>0</v>
      </c>
      <c r="V136" s="198">
        <f>_xlfn.IFNA(IF(V$7="Fixed",1,IF(AND($D103="yes",V$7="Block"),INDEX($O643:$Q643,1,MATCH(V$5,$I37:$K37,0)),INDEX(Movements!$G643:$M643,1,MATCH(V$7,Movements!$G$614:$M$614,0))))
*V880*V$8,0)</f>
        <v>0</v>
      </c>
      <c r="W136" s="198">
        <f>_xlfn.IFNA(IF(W$7="Fixed",1,IF(AND($D103="yes",W$7="Block"),INDEX($O643:$Q643,1,MATCH(W$5,$I37:$K37,0)),INDEX(Movements!$G643:$M643,1,MATCH(W$7,Movements!$G$614:$M$614,0))))
*W880*W$8,0)</f>
        <v>0</v>
      </c>
      <c r="X136" s="198">
        <f>_xlfn.IFNA(IF(X$7="Fixed",1,IF(AND($D103="yes",X$7="Block"),INDEX($O643:$Q643,1,MATCH(X$5,$I37:$K37,0)),INDEX(Movements!$G643:$M643,1,MATCH(X$7,Movements!$G$614:$M$614,0))))
*X880*X$8,0)</f>
        <v>0</v>
      </c>
      <c r="Y136" s="198">
        <f>_xlfn.IFNA(IF(Y$7="Fixed",1,IF(AND($D103="yes",Y$7="Block"),INDEX($O643:$Q643,1,MATCH(Y$5,$I37:$K37,0)),INDEX(Movements!$G643:$M643,1,MATCH(Y$7,Movements!$G$614:$M$614,0))))
*Y880*Y$8,0)</f>
        <v>0</v>
      </c>
      <c r="Z136" s="198">
        <f>_xlfn.IFNA(IF(Z$7="Fixed",1,IF(AND($D103="yes",Z$7="Block"),INDEX($O643:$Q643,1,MATCH(Z$5,$I37:$K37,0)),INDEX(Movements!$G643:$M643,1,MATCH(Z$7,Movements!$G$614:$M$614,0))))
*Z880*Z$8,0)</f>
        <v>0</v>
      </c>
      <c r="AA136" s="198">
        <f>_xlfn.IFNA(IF(AA$7="Fixed",1,IF(AND($D103="yes",AA$7="Block"),INDEX($O643:$Q643,1,MATCH(AA$5,$I37:$K37,0)),INDEX(Movements!$G643:$M643,1,MATCH(AA$7,Movements!$G$614:$M$614,0))))
*AA880*AA$8,0)</f>
        <v>0</v>
      </c>
      <c r="AB136" s="198">
        <f>_xlfn.IFNA(IF(AB$7="Fixed",1,IF(AND($D103="yes",AB$7="Block"),INDEX($O643:$Q643,1,MATCH(AB$5,$I37:$K37,0)),INDEX(Movements!$G643:$M643,1,MATCH(AB$7,Movements!$G$614:$M$614,0))))
*AB880*AB$8,0)</f>
        <v>0</v>
      </c>
      <c r="AC136" s="70"/>
      <c r="AD136" s="19"/>
      <c r="AE136" s="19"/>
      <c r="AF136" s="19"/>
      <c r="AG136" s="19"/>
    </row>
    <row r="137" spans="1:33" hidden="1" outlineLevel="3" x14ac:dyDescent="0.2">
      <c r="A137" s="19"/>
      <c r="B137" s="97">
        <v>28</v>
      </c>
      <c r="C137" s="506">
        <f t="shared" si="5"/>
        <v>0</v>
      </c>
      <c r="D137" s="505">
        <f t="shared" si="5"/>
        <v>0</v>
      </c>
      <c r="E137" s="505">
        <f t="shared" si="5"/>
        <v>0</v>
      </c>
      <c r="F137" s="58"/>
      <c r="G137" s="199">
        <f t="shared" si="6"/>
        <v>0</v>
      </c>
      <c r="H137" s="58"/>
      <c r="I137" s="198">
        <f>_xlfn.IFNA(IF(I$7="Fixed",1,IF(AND($D104="yes",I$7="Block"),INDEX($O644:$Q644,1,MATCH(I$5,$I38:$K38,0)),INDEX(Movements!$G644:$M644,1,MATCH(I$7,Movements!$G$614:$M$614,0))))
*I881*I$8,0)</f>
        <v>0</v>
      </c>
      <c r="J137" s="198">
        <f>_xlfn.IFNA(IF(J$7="Fixed",1,IF(AND($D104="yes",J$7="Block"),INDEX($O644:$Q644,1,MATCH(J$5,$I38:$K38,0)),INDEX(Movements!$G644:$M644,1,MATCH(J$7,Movements!$G$614:$M$614,0))))
*J881*J$8,0)</f>
        <v>0</v>
      </c>
      <c r="K137" s="198">
        <f>_xlfn.IFNA(IF(K$7="Fixed",1,IF(AND($D104="yes",K$7="Block"),INDEX($O644:$Q644,1,MATCH(K$5,$I38:$K38,0)),INDEX(Movements!$G644:$M644,1,MATCH(K$7,Movements!$G$614:$M$614,0))))
*K881*K$8,0)</f>
        <v>0</v>
      </c>
      <c r="L137" s="198">
        <f>_xlfn.IFNA(IF(L$7="Fixed",1,IF(AND($D104="yes",L$7="Block"),INDEX($O644:$Q644,1,MATCH(L$5,$I38:$K38,0)),INDEX(Movements!$G644:$M644,1,MATCH(L$7,Movements!$G$614:$M$614,0))))
*L881*L$8,0)</f>
        <v>0</v>
      </c>
      <c r="M137" s="198">
        <f>_xlfn.IFNA(IF(M$7="Fixed",1,IF(AND($D104="yes",M$7="Block"),INDEX($O644:$Q644,1,MATCH(M$5,$I38:$K38,0)),INDEX(Movements!$G644:$M644,1,MATCH(M$7,Movements!$G$614:$M$614,0))))
*M881*M$8,0)</f>
        <v>0</v>
      </c>
      <c r="N137" s="198">
        <f>_xlfn.IFNA(IF(N$7="Fixed",1,IF(AND($D104="yes",N$7="Block"),INDEX($O644:$Q644,1,MATCH(N$5,$I38:$K38,0)),INDEX(Movements!$G644:$M644,1,MATCH(N$7,Movements!$G$614:$M$614,0))))
*N881*N$8,0)</f>
        <v>0</v>
      </c>
      <c r="O137" s="198">
        <f>_xlfn.IFNA(IF(O$7="Fixed",1,IF(AND($D104="yes",O$7="Block"),INDEX($O644:$Q644,1,MATCH(O$5,$I38:$K38,0)),INDEX(Movements!$G644:$M644,1,MATCH(O$7,Movements!$G$614:$M$614,0))))
*O881*O$8,0)</f>
        <v>0</v>
      </c>
      <c r="P137" s="198">
        <f>_xlfn.IFNA(IF(P$7="Fixed",1,IF(AND($D104="yes",P$7="Block"),INDEX($O644:$Q644,1,MATCH(P$5,$I38:$K38,0)),INDEX(Movements!$G644:$M644,1,MATCH(P$7,Movements!$G$614:$M$614,0))))
*P881*P$8,0)</f>
        <v>0</v>
      </c>
      <c r="Q137" s="198">
        <f>_xlfn.IFNA(IF(Q$7="Fixed",1,IF(AND($D104="yes",Q$7="Block"),INDEX($O644:$Q644,1,MATCH(Q$5,$I38:$K38,0)),INDEX(Movements!$G644:$M644,1,MATCH(Q$7,Movements!$G$614:$M$614,0))))
*Q881*Q$8,0)</f>
        <v>0</v>
      </c>
      <c r="R137" s="198">
        <f>_xlfn.IFNA(IF(R$7="Fixed",1,IF(AND($D104="yes",R$7="Block"),INDEX($O644:$Q644,1,MATCH(R$5,$I38:$K38,0)),INDEX(Movements!$G644:$M644,1,MATCH(R$7,Movements!$G$614:$M$614,0))))
*R881*R$8,0)</f>
        <v>0</v>
      </c>
      <c r="S137" s="198">
        <f>_xlfn.IFNA(IF(S$7="Fixed",1,IF(AND($D104="yes",S$7="Block"),INDEX($O644:$Q644,1,MATCH(S$5,$I38:$K38,0)),INDEX(Movements!$G644:$M644,1,MATCH(S$7,Movements!$G$614:$M$614,0))))
*S881*S$8,0)</f>
        <v>0</v>
      </c>
      <c r="T137" s="198">
        <f>_xlfn.IFNA(IF(T$7="Fixed",1,IF(AND($D104="yes",T$7="Block"),INDEX($O644:$Q644,1,MATCH(T$5,$I38:$K38,0)),INDEX(Movements!$G644:$M644,1,MATCH(T$7,Movements!$G$614:$M$614,0))))
*T881*T$8,0)</f>
        <v>0</v>
      </c>
      <c r="U137" s="198">
        <f>_xlfn.IFNA(IF(U$7="Fixed",1,IF(AND($D104="yes",U$7="Block"),INDEX($O644:$Q644,1,MATCH(U$5,$I38:$K38,0)),INDEX(Movements!$G644:$M644,1,MATCH(U$7,Movements!$G$614:$M$614,0))))
*U881*U$8,0)</f>
        <v>0</v>
      </c>
      <c r="V137" s="198">
        <f>_xlfn.IFNA(IF(V$7="Fixed",1,IF(AND($D104="yes",V$7="Block"),INDEX($O644:$Q644,1,MATCH(V$5,$I38:$K38,0)),INDEX(Movements!$G644:$M644,1,MATCH(V$7,Movements!$G$614:$M$614,0))))
*V881*V$8,0)</f>
        <v>0</v>
      </c>
      <c r="W137" s="198">
        <f>_xlfn.IFNA(IF(W$7="Fixed",1,IF(AND($D104="yes",W$7="Block"),INDEX($O644:$Q644,1,MATCH(W$5,$I38:$K38,0)),INDEX(Movements!$G644:$M644,1,MATCH(W$7,Movements!$G$614:$M$614,0))))
*W881*W$8,0)</f>
        <v>0</v>
      </c>
      <c r="X137" s="198">
        <f>_xlfn.IFNA(IF(X$7="Fixed",1,IF(AND($D104="yes",X$7="Block"),INDEX($O644:$Q644,1,MATCH(X$5,$I38:$K38,0)),INDEX(Movements!$G644:$M644,1,MATCH(X$7,Movements!$G$614:$M$614,0))))
*X881*X$8,0)</f>
        <v>0</v>
      </c>
      <c r="Y137" s="198">
        <f>_xlfn.IFNA(IF(Y$7="Fixed",1,IF(AND($D104="yes",Y$7="Block"),INDEX($O644:$Q644,1,MATCH(Y$5,$I38:$K38,0)),INDEX(Movements!$G644:$M644,1,MATCH(Y$7,Movements!$G$614:$M$614,0))))
*Y881*Y$8,0)</f>
        <v>0</v>
      </c>
      <c r="Z137" s="198">
        <f>_xlfn.IFNA(IF(Z$7="Fixed",1,IF(AND($D104="yes",Z$7="Block"),INDEX($O644:$Q644,1,MATCH(Z$5,$I38:$K38,0)),INDEX(Movements!$G644:$M644,1,MATCH(Z$7,Movements!$G$614:$M$614,0))))
*Z881*Z$8,0)</f>
        <v>0</v>
      </c>
      <c r="AA137" s="198">
        <f>_xlfn.IFNA(IF(AA$7="Fixed",1,IF(AND($D104="yes",AA$7="Block"),INDEX($O644:$Q644,1,MATCH(AA$5,$I38:$K38,0)),INDEX(Movements!$G644:$M644,1,MATCH(AA$7,Movements!$G$614:$M$614,0))))
*AA881*AA$8,0)</f>
        <v>0</v>
      </c>
      <c r="AB137" s="198">
        <f>_xlfn.IFNA(IF(AB$7="Fixed",1,IF(AND($D104="yes",AB$7="Block"),INDEX($O644:$Q644,1,MATCH(AB$5,$I38:$K38,0)),INDEX(Movements!$G644:$M644,1,MATCH(AB$7,Movements!$G$614:$M$614,0))))
*AB881*AB$8,0)</f>
        <v>0</v>
      </c>
      <c r="AC137" s="70"/>
      <c r="AD137" s="19"/>
      <c r="AE137" s="19"/>
      <c r="AF137" s="19"/>
      <c r="AG137" s="19"/>
    </row>
    <row r="138" spans="1:33" hidden="1" outlineLevel="3" x14ac:dyDescent="0.2">
      <c r="A138" s="19"/>
      <c r="B138" s="97">
        <v>29</v>
      </c>
      <c r="C138" s="506">
        <f t="shared" si="5"/>
        <v>0</v>
      </c>
      <c r="D138" s="505">
        <f t="shared" si="5"/>
        <v>0</v>
      </c>
      <c r="E138" s="505">
        <f t="shared" si="5"/>
        <v>0</v>
      </c>
      <c r="F138" s="58"/>
      <c r="G138" s="199">
        <f t="shared" si="6"/>
        <v>0</v>
      </c>
      <c r="H138" s="58"/>
      <c r="I138" s="198">
        <f>_xlfn.IFNA(IF(I$7="Fixed",1,IF(AND($D105="yes",I$7="Block"),INDEX($O645:$Q645,1,MATCH(I$5,$I39:$K39,0)),INDEX(Movements!$G645:$M645,1,MATCH(I$7,Movements!$G$614:$M$614,0))))
*I882*I$8,0)</f>
        <v>0</v>
      </c>
      <c r="J138" s="198">
        <f>_xlfn.IFNA(IF(J$7="Fixed",1,IF(AND($D105="yes",J$7="Block"),INDEX($O645:$Q645,1,MATCH(J$5,$I39:$K39,0)),INDEX(Movements!$G645:$M645,1,MATCH(J$7,Movements!$G$614:$M$614,0))))
*J882*J$8,0)</f>
        <v>0</v>
      </c>
      <c r="K138" s="198">
        <f>_xlfn.IFNA(IF(K$7="Fixed",1,IF(AND($D105="yes",K$7="Block"),INDEX($O645:$Q645,1,MATCH(K$5,$I39:$K39,0)),INDEX(Movements!$G645:$M645,1,MATCH(K$7,Movements!$G$614:$M$614,0))))
*K882*K$8,0)</f>
        <v>0</v>
      </c>
      <c r="L138" s="198">
        <f>_xlfn.IFNA(IF(L$7="Fixed",1,IF(AND($D105="yes",L$7="Block"),INDEX($O645:$Q645,1,MATCH(L$5,$I39:$K39,0)),INDEX(Movements!$G645:$M645,1,MATCH(L$7,Movements!$G$614:$M$614,0))))
*L882*L$8,0)</f>
        <v>0</v>
      </c>
      <c r="M138" s="198">
        <f>_xlfn.IFNA(IF(M$7="Fixed",1,IF(AND($D105="yes",M$7="Block"),INDEX($O645:$Q645,1,MATCH(M$5,$I39:$K39,0)),INDEX(Movements!$G645:$M645,1,MATCH(M$7,Movements!$G$614:$M$614,0))))
*M882*M$8,0)</f>
        <v>0</v>
      </c>
      <c r="N138" s="198">
        <f>_xlfn.IFNA(IF(N$7="Fixed",1,IF(AND($D105="yes",N$7="Block"),INDEX($O645:$Q645,1,MATCH(N$5,$I39:$K39,0)),INDEX(Movements!$G645:$M645,1,MATCH(N$7,Movements!$G$614:$M$614,0))))
*N882*N$8,0)</f>
        <v>0</v>
      </c>
      <c r="O138" s="198">
        <f>_xlfn.IFNA(IF(O$7="Fixed",1,IF(AND($D105="yes",O$7="Block"),INDEX($O645:$Q645,1,MATCH(O$5,$I39:$K39,0)),INDEX(Movements!$G645:$M645,1,MATCH(O$7,Movements!$G$614:$M$614,0))))
*O882*O$8,0)</f>
        <v>0</v>
      </c>
      <c r="P138" s="198">
        <f>_xlfn.IFNA(IF(P$7="Fixed",1,IF(AND($D105="yes",P$7="Block"),INDEX($O645:$Q645,1,MATCH(P$5,$I39:$K39,0)),INDEX(Movements!$G645:$M645,1,MATCH(P$7,Movements!$G$614:$M$614,0))))
*P882*P$8,0)</f>
        <v>0</v>
      </c>
      <c r="Q138" s="198">
        <f>_xlfn.IFNA(IF(Q$7="Fixed",1,IF(AND($D105="yes",Q$7="Block"),INDEX($O645:$Q645,1,MATCH(Q$5,$I39:$K39,0)),INDEX(Movements!$G645:$M645,1,MATCH(Q$7,Movements!$G$614:$M$614,0))))
*Q882*Q$8,0)</f>
        <v>0</v>
      </c>
      <c r="R138" s="198">
        <f>_xlfn.IFNA(IF(R$7="Fixed",1,IF(AND($D105="yes",R$7="Block"),INDEX($O645:$Q645,1,MATCH(R$5,$I39:$K39,0)),INDEX(Movements!$G645:$M645,1,MATCH(R$7,Movements!$G$614:$M$614,0))))
*R882*R$8,0)</f>
        <v>0</v>
      </c>
      <c r="S138" s="198">
        <f>_xlfn.IFNA(IF(S$7="Fixed",1,IF(AND($D105="yes",S$7="Block"),INDEX($O645:$Q645,1,MATCH(S$5,$I39:$K39,0)),INDEX(Movements!$G645:$M645,1,MATCH(S$7,Movements!$G$614:$M$614,0))))
*S882*S$8,0)</f>
        <v>0</v>
      </c>
      <c r="T138" s="198">
        <f>_xlfn.IFNA(IF(T$7="Fixed",1,IF(AND($D105="yes",T$7="Block"),INDEX($O645:$Q645,1,MATCH(T$5,$I39:$K39,0)),INDEX(Movements!$G645:$M645,1,MATCH(T$7,Movements!$G$614:$M$614,0))))
*T882*T$8,0)</f>
        <v>0</v>
      </c>
      <c r="U138" s="198">
        <f>_xlfn.IFNA(IF(U$7="Fixed",1,IF(AND($D105="yes",U$7="Block"),INDEX($O645:$Q645,1,MATCH(U$5,$I39:$K39,0)),INDEX(Movements!$G645:$M645,1,MATCH(U$7,Movements!$G$614:$M$614,0))))
*U882*U$8,0)</f>
        <v>0</v>
      </c>
      <c r="V138" s="198">
        <f>_xlfn.IFNA(IF(V$7="Fixed",1,IF(AND($D105="yes",V$7="Block"),INDEX($O645:$Q645,1,MATCH(V$5,$I39:$K39,0)),INDEX(Movements!$G645:$M645,1,MATCH(V$7,Movements!$G$614:$M$614,0))))
*V882*V$8,0)</f>
        <v>0</v>
      </c>
      <c r="W138" s="198">
        <f>_xlfn.IFNA(IF(W$7="Fixed",1,IF(AND($D105="yes",W$7="Block"),INDEX($O645:$Q645,1,MATCH(W$5,$I39:$K39,0)),INDEX(Movements!$G645:$M645,1,MATCH(W$7,Movements!$G$614:$M$614,0))))
*W882*W$8,0)</f>
        <v>0</v>
      </c>
      <c r="X138" s="198">
        <f>_xlfn.IFNA(IF(X$7="Fixed",1,IF(AND($D105="yes",X$7="Block"),INDEX($O645:$Q645,1,MATCH(X$5,$I39:$K39,0)),INDEX(Movements!$G645:$M645,1,MATCH(X$7,Movements!$G$614:$M$614,0))))
*X882*X$8,0)</f>
        <v>0</v>
      </c>
      <c r="Y138" s="198">
        <f>_xlfn.IFNA(IF(Y$7="Fixed",1,IF(AND($D105="yes",Y$7="Block"),INDEX($O645:$Q645,1,MATCH(Y$5,$I39:$K39,0)),INDEX(Movements!$G645:$M645,1,MATCH(Y$7,Movements!$G$614:$M$614,0))))
*Y882*Y$8,0)</f>
        <v>0</v>
      </c>
      <c r="Z138" s="198">
        <f>_xlfn.IFNA(IF(Z$7="Fixed",1,IF(AND($D105="yes",Z$7="Block"),INDEX($O645:$Q645,1,MATCH(Z$5,$I39:$K39,0)),INDEX(Movements!$G645:$M645,1,MATCH(Z$7,Movements!$G$614:$M$614,0))))
*Z882*Z$8,0)</f>
        <v>0</v>
      </c>
      <c r="AA138" s="198">
        <f>_xlfn.IFNA(IF(AA$7="Fixed",1,IF(AND($D105="yes",AA$7="Block"),INDEX($O645:$Q645,1,MATCH(AA$5,$I39:$K39,0)),INDEX(Movements!$G645:$M645,1,MATCH(AA$7,Movements!$G$614:$M$614,0))))
*AA882*AA$8,0)</f>
        <v>0</v>
      </c>
      <c r="AB138" s="198">
        <f>_xlfn.IFNA(IF(AB$7="Fixed",1,IF(AND($D105="yes",AB$7="Block"),INDEX($O645:$Q645,1,MATCH(AB$5,$I39:$K39,0)),INDEX(Movements!$G645:$M645,1,MATCH(AB$7,Movements!$G$614:$M$614,0))))
*AB882*AB$8,0)</f>
        <v>0</v>
      </c>
      <c r="AC138" s="70"/>
      <c r="AD138" s="19"/>
      <c r="AE138" s="19"/>
      <c r="AF138" s="19"/>
      <c r="AG138" s="19"/>
    </row>
    <row r="139" spans="1:33" hidden="1" outlineLevel="3" x14ac:dyDescent="0.2">
      <c r="A139" s="19"/>
      <c r="B139" s="98">
        <v>30</v>
      </c>
      <c r="C139" s="506">
        <f t="shared" si="5"/>
        <v>0</v>
      </c>
      <c r="D139" s="505">
        <f t="shared" si="5"/>
        <v>0</v>
      </c>
      <c r="E139" s="505">
        <f t="shared" si="5"/>
        <v>0</v>
      </c>
      <c r="F139" s="58"/>
      <c r="G139" s="199">
        <f t="shared" si="6"/>
        <v>0</v>
      </c>
      <c r="H139" s="58"/>
      <c r="I139" s="198">
        <f>_xlfn.IFNA(IF(I$7="Fixed",1,IF(AND($D106="yes",I$7="Block"),INDEX($O646:$Q646,1,MATCH(I$5,$I40:$K40,0)),INDEX(Movements!$G646:$M646,1,MATCH(I$7,Movements!$G$614:$M$614,0))))
*I883*I$8,0)</f>
        <v>0</v>
      </c>
      <c r="J139" s="198">
        <f>_xlfn.IFNA(IF(J$7="Fixed",1,IF(AND($D106="yes",J$7="Block"),INDEX($O646:$Q646,1,MATCH(J$5,$I40:$K40,0)),INDEX(Movements!$G646:$M646,1,MATCH(J$7,Movements!$G$614:$M$614,0))))
*J883*J$8,0)</f>
        <v>0</v>
      </c>
      <c r="K139" s="198">
        <f>_xlfn.IFNA(IF(K$7="Fixed",1,IF(AND($D106="yes",K$7="Block"),INDEX($O646:$Q646,1,MATCH(K$5,$I40:$K40,0)),INDEX(Movements!$G646:$M646,1,MATCH(K$7,Movements!$G$614:$M$614,0))))
*K883*K$8,0)</f>
        <v>0</v>
      </c>
      <c r="L139" s="198">
        <f>_xlfn.IFNA(IF(L$7="Fixed",1,IF(AND($D106="yes",L$7="Block"),INDEX($O646:$Q646,1,MATCH(L$5,$I40:$K40,0)),INDEX(Movements!$G646:$M646,1,MATCH(L$7,Movements!$G$614:$M$614,0))))
*L883*L$8,0)</f>
        <v>0</v>
      </c>
      <c r="M139" s="198">
        <f>_xlfn.IFNA(IF(M$7="Fixed",1,IF(AND($D106="yes",M$7="Block"),INDEX($O646:$Q646,1,MATCH(M$5,$I40:$K40,0)),INDEX(Movements!$G646:$M646,1,MATCH(M$7,Movements!$G$614:$M$614,0))))
*M883*M$8,0)</f>
        <v>0</v>
      </c>
      <c r="N139" s="198">
        <f>_xlfn.IFNA(IF(N$7="Fixed",1,IF(AND($D106="yes",N$7="Block"),INDEX($O646:$Q646,1,MATCH(N$5,$I40:$K40,0)),INDEX(Movements!$G646:$M646,1,MATCH(N$7,Movements!$G$614:$M$614,0))))
*N883*N$8,0)</f>
        <v>0</v>
      </c>
      <c r="O139" s="198">
        <f>_xlfn.IFNA(IF(O$7="Fixed",1,IF(AND($D106="yes",O$7="Block"),INDEX($O646:$Q646,1,MATCH(O$5,$I40:$K40,0)),INDEX(Movements!$G646:$M646,1,MATCH(O$7,Movements!$G$614:$M$614,0))))
*O883*O$8,0)</f>
        <v>0</v>
      </c>
      <c r="P139" s="198">
        <f>_xlfn.IFNA(IF(P$7="Fixed",1,IF(AND($D106="yes",P$7="Block"),INDEX($O646:$Q646,1,MATCH(P$5,$I40:$K40,0)),INDEX(Movements!$G646:$M646,1,MATCH(P$7,Movements!$G$614:$M$614,0))))
*P883*P$8,0)</f>
        <v>0</v>
      </c>
      <c r="Q139" s="198">
        <f>_xlfn.IFNA(IF(Q$7="Fixed",1,IF(AND($D106="yes",Q$7="Block"),INDEX($O646:$Q646,1,MATCH(Q$5,$I40:$K40,0)),INDEX(Movements!$G646:$M646,1,MATCH(Q$7,Movements!$G$614:$M$614,0))))
*Q883*Q$8,0)</f>
        <v>0</v>
      </c>
      <c r="R139" s="198">
        <f>_xlfn.IFNA(IF(R$7="Fixed",1,IF(AND($D106="yes",R$7="Block"),INDEX($O646:$Q646,1,MATCH(R$5,$I40:$K40,0)),INDEX(Movements!$G646:$M646,1,MATCH(R$7,Movements!$G$614:$M$614,0))))
*R883*R$8,0)</f>
        <v>0</v>
      </c>
      <c r="S139" s="198">
        <f>_xlfn.IFNA(IF(S$7="Fixed",1,IF(AND($D106="yes",S$7="Block"),INDEX($O646:$Q646,1,MATCH(S$5,$I40:$K40,0)),INDEX(Movements!$G646:$M646,1,MATCH(S$7,Movements!$G$614:$M$614,0))))
*S883*S$8,0)</f>
        <v>0</v>
      </c>
      <c r="T139" s="198">
        <f>_xlfn.IFNA(IF(T$7="Fixed",1,IF(AND($D106="yes",T$7="Block"),INDEX($O646:$Q646,1,MATCH(T$5,$I40:$K40,0)),INDEX(Movements!$G646:$M646,1,MATCH(T$7,Movements!$G$614:$M$614,0))))
*T883*T$8,0)</f>
        <v>0</v>
      </c>
      <c r="U139" s="198">
        <f>_xlfn.IFNA(IF(U$7="Fixed",1,IF(AND($D106="yes",U$7="Block"),INDEX($O646:$Q646,1,MATCH(U$5,$I40:$K40,0)),INDEX(Movements!$G646:$M646,1,MATCH(U$7,Movements!$G$614:$M$614,0))))
*U883*U$8,0)</f>
        <v>0</v>
      </c>
      <c r="V139" s="198">
        <f>_xlfn.IFNA(IF(V$7="Fixed",1,IF(AND($D106="yes",V$7="Block"),INDEX($O646:$Q646,1,MATCH(V$5,$I40:$K40,0)),INDEX(Movements!$G646:$M646,1,MATCH(V$7,Movements!$G$614:$M$614,0))))
*V883*V$8,0)</f>
        <v>0</v>
      </c>
      <c r="W139" s="198">
        <f>_xlfn.IFNA(IF(W$7="Fixed",1,IF(AND($D106="yes",W$7="Block"),INDEX($O646:$Q646,1,MATCH(W$5,$I40:$K40,0)),INDEX(Movements!$G646:$M646,1,MATCH(W$7,Movements!$G$614:$M$614,0))))
*W883*W$8,0)</f>
        <v>0</v>
      </c>
      <c r="X139" s="198">
        <f>_xlfn.IFNA(IF(X$7="Fixed",1,IF(AND($D106="yes",X$7="Block"),INDEX($O646:$Q646,1,MATCH(X$5,$I40:$K40,0)),INDEX(Movements!$G646:$M646,1,MATCH(X$7,Movements!$G$614:$M$614,0))))
*X883*X$8,0)</f>
        <v>0</v>
      </c>
      <c r="Y139" s="198">
        <f>_xlfn.IFNA(IF(Y$7="Fixed",1,IF(AND($D106="yes",Y$7="Block"),INDEX($O646:$Q646,1,MATCH(Y$5,$I40:$K40,0)),INDEX(Movements!$G646:$M646,1,MATCH(Y$7,Movements!$G$614:$M$614,0))))
*Y883*Y$8,0)</f>
        <v>0</v>
      </c>
      <c r="Z139" s="198">
        <f>_xlfn.IFNA(IF(Z$7="Fixed",1,IF(AND($D106="yes",Z$7="Block"),INDEX($O646:$Q646,1,MATCH(Z$5,$I40:$K40,0)),INDEX(Movements!$G646:$M646,1,MATCH(Z$7,Movements!$G$614:$M$614,0))))
*Z883*Z$8,0)</f>
        <v>0</v>
      </c>
      <c r="AA139" s="198">
        <f>_xlfn.IFNA(IF(AA$7="Fixed",1,IF(AND($D106="yes",AA$7="Block"),INDEX($O646:$Q646,1,MATCH(AA$5,$I40:$K40,0)),INDEX(Movements!$G646:$M646,1,MATCH(AA$7,Movements!$G$614:$M$614,0))))
*AA883*AA$8,0)</f>
        <v>0</v>
      </c>
      <c r="AB139" s="198">
        <f>_xlfn.IFNA(IF(AB$7="Fixed",1,IF(AND($D106="yes",AB$7="Block"),INDEX($O646:$Q646,1,MATCH(AB$5,$I40:$K40,0)),INDEX(Movements!$G646:$M646,1,MATCH(AB$7,Movements!$G$614:$M$614,0))))
*AB883*AB$8,0)</f>
        <v>0</v>
      </c>
      <c r="AC139" s="70"/>
      <c r="AD139" s="19"/>
      <c r="AE139" s="19"/>
      <c r="AF139" s="19"/>
      <c r="AG139" s="19"/>
    </row>
    <row r="140" spans="1:33" outlineLevel="2" collapsed="1" x14ac:dyDescent="0.2">
      <c r="A140" s="19"/>
      <c r="B140" s="19"/>
      <c r="C140" s="560"/>
      <c r="D140" s="558"/>
      <c r="E140" s="559"/>
      <c r="F140" s="58"/>
      <c r="G140" s="58"/>
      <c r="H140" s="58"/>
      <c r="I140" s="137"/>
      <c r="J140" s="137"/>
      <c r="K140" s="138"/>
      <c r="L140" s="138"/>
      <c r="M140" s="138"/>
      <c r="N140" s="139"/>
      <c r="O140" s="139"/>
      <c r="P140" s="139"/>
      <c r="Q140" s="139"/>
      <c r="R140" s="139"/>
      <c r="S140" s="138"/>
      <c r="T140" s="138"/>
      <c r="U140" s="138"/>
      <c r="V140" s="70"/>
      <c r="W140" s="70"/>
      <c r="X140" s="70"/>
      <c r="Y140" s="70"/>
      <c r="Z140" s="70"/>
      <c r="AA140" s="70"/>
      <c r="AB140" s="70"/>
      <c r="AC140" s="70"/>
      <c r="AD140" s="19"/>
      <c r="AE140" s="19"/>
      <c r="AF140" s="19"/>
      <c r="AG140" s="19"/>
    </row>
    <row r="141" spans="1:33" outlineLevel="1" x14ac:dyDescent="0.2">
      <c r="A141" s="19"/>
      <c r="B141" s="19"/>
      <c r="C141" s="66"/>
      <c r="D141" s="66"/>
      <c r="E141" s="58"/>
      <c r="F141" s="58"/>
      <c r="G141" s="58"/>
      <c r="H141" s="58"/>
      <c r="I141" s="137"/>
      <c r="J141" s="137"/>
      <c r="K141" s="138"/>
      <c r="L141" s="138"/>
      <c r="M141" s="138"/>
      <c r="N141" s="139"/>
      <c r="O141" s="139"/>
      <c r="P141" s="139"/>
      <c r="Q141" s="139"/>
      <c r="R141" s="139"/>
      <c r="S141" s="138"/>
      <c r="T141" s="138"/>
      <c r="U141" s="138"/>
      <c r="V141" s="70"/>
      <c r="W141" s="70"/>
      <c r="X141" s="70"/>
      <c r="Y141" s="70"/>
      <c r="Z141" s="70"/>
      <c r="AA141" s="70"/>
      <c r="AB141" s="70"/>
      <c r="AC141" s="70"/>
      <c r="AD141" s="19"/>
      <c r="AE141" s="19"/>
      <c r="AF141" s="19"/>
      <c r="AG141" s="19"/>
    </row>
    <row r="142" spans="1:33" outlineLevel="1" x14ac:dyDescent="0.2">
      <c r="A142" s="19"/>
      <c r="B142" s="19"/>
      <c r="C142" s="167" t="s">
        <v>138</v>
      </c>
      <c r="D142" s="167"/>
      <c r="E142" s="20"/>
      <c r="F142" s="20"/>
      <c r="G142" s="22"/>
      <c r="H142" s="22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70"/>
      <c r="W142" s="70"/>
      <c r="X142" s="70"/>
      <c r="Y142" s="70"/>
      <c r="Z142" s="70"/>
      <c r="AA142" s="70"/>
      <c r="AB142" s="70"/>
      <c r="AC142" s="70"/>
      <c r="AD142" s="19"/>
      <c r="AE142" s="19"/>
      <c r="AF142" s="19"/>
      <c r="AG142" s="19"/>
    </row>
    <row r="143" spans="1:33" hidden="1" outlineLevel="2" x14ac:dyDescent="0.2">
      <c r="A143" s="19"/>
      <c r="B143" s="19"/>
      <c r="C143" s="506" t="str">
        <f t="shared" ref="C143:E172" si="7">C77</f>
        <v>Residential time of use consumption</v>
      </c>
      <c r="D143" s="505">
        <f t="shared" si="7"/>
        <v>0</v>
      </c>
      <c r="E143" s="505" t="str">
        <f t="shared" si="7"/>
        <v>yes</v>
      </c>
      <c r="F143" s="20"/>
      <c r="G143" s="199">
        <f t="shared" ref="G143:G172" si="8">SUM(I143:AB143)</f>
        <v>0</v>
      </c>
      <c r="H143" s="22"/>
      <c r="I143" s="198">
        <f>_xlfn.IFNA(IF(I$7="Fixed",1,IF(AND($D77="yes",I$7="Block"),INDEX($O617:$Q617,1,MATCH(I$5,$I11:$K11,0)),INDEX(Movements!$G617:$M617,1,MATCH(I$7,Movements!$G$614:$M$614,0))))
*I887*I$8,0)</f>
        <v>0</v>
      </c>
      <c r="J143" s="198">
        <f>_xlfn.IFNA(IF(J$7="Fixed",1,IF(AND($D77="yes",J$7="Block"),INDEX($O617:$Q617,1,MATCH(J$5,$I11:$K11,0)),INDEX(Movements!$G617:$M617,1,MATCH(J$7,Movements!$G$614:$M$614,0))))
*J887*J$8,0)</f>
        <v>0</v>
      </c>
      <c r="K143" s="198">
        <f>_xlfn.IFNA(IF(K$7="Fixed",1,IF(AND($D77="yes",K$7="Block"),INDEX($O617:$Q617,1,MATCH(K$5,$I11:$K11,0)),INDEX(Movements!$G617:$M617,1,MATCH(K$7,Movements!$G$614:$M$614,0))))
*K887*K$8,0)</f>
        <v>0</v>
      </c>
      <c r="L143" s="198">
        <f>_xlfn.IFNA(IF(L$7="Fixed",1,IF(AND($D77="yes",L$7="Block"),INDEX($O617:$Q617,1,MATCH(L$5,$I11:$K11,0)),INDEX(Movements!$G617:$M617,1,MATCH(L$7,Movements!$G$614:$M$614,0))))
*L887*L$8,0)</f>
        <v>0</v>
      </c>
      <c r="M143" s="198">
        <f>_xlfn.IFNA(IF(M$7="Fixed",1,IF(AND($D77="yes",M$7="Block"),INDEX($O617:$Q617,1,MATCH(M$5,$I11:$K11,0)),INDEX(Movements!$G617:$M617,1,MATCH(M$7,Movements!$G$614:$M$614,0))))
*M887*M$8,0)</f>
        <v>0</v>
      </c>
      <c r="N143" s="198">
        <f>_xlfn.IFNA(IF(N$7="Fixed",1,IF(AND($D77="yes",N$7="Block"),INDEX($O617:$Q617,1,MATCH(N$5,$I11:$K11,0)),INDEX(Movements!$G617:$M617,1,MATCH(N$7,Movements!$G$614:$M$614,0))))
*N887*N$8,0)</f>
        <v>0</v>
      </c>
      <c r="O143" s="198">
        <f>_xlfn.IFNA(IF(O$7="Fixed",1,IF(AND($D77="yes",O$7="Block"),INDEX($O617:$Q617,1,MATCH(O$5,$I11:$K11,0)),INDEX(Movements!$G617:$M617,1,MATCH(O$7,Movements!$G$614:$M$614,0))))
*O887*O$8,0)</f>
        <v>0</v>
      </c>
      <c r="P143" s="198">
        <f>_xlfn.IFNA(IF(P$7="Fixed",1,IF(AND($D77="yes",P$7="Block"),INDEX($O617:$Q617,1,MATCH(P$5,$I11:$K11,0)),INDEX(Movements!$G617:$M617,1,MATCH(P$7,Movements!$G$614:$M$614,0))))
*P887*P$8,0)</f>
        <v>0</v>
      </c>
      <c r="Q143" s="198">
        <f>_xlfn.IFNA(IF(Q$7="Fixed",1,IF(AND($D77="yes",Q$7="Block"),INDEX($O617:$Q617,1,MATCH(Q$5,$I11:$K11,0)),INDEX(Movements!$G617:$M617,1,MATCH(Q$7,Movements!$G$614:$M$614,0))))
*Q887*Q$8,0)</f>
        <v>0</v>
      </c>
      <c r="R143" s="198">
        <f>_xlfn.IFNA(IF(R$7="Fixed",1,IF(AND($D77="yes",R$7="Block"),INDEX($O617:$Q617,1,MATCH(R$5,$I11:$K11,0)),INDEX(Movements!$G617:$M617,1,MATCH(R$7,Movements!$G$614:$M$614,0))))
*R887*R$8,0)</f>
        <v>0</v>
      </c>
      <c r="S143" s="198">
        <f>_xlfn.IFNA(IF(S$7="Fixed",1,IF(AND($D77="yes",S$7="Block"),INDEX($O617:$Q617,1,MATCH(S$5,$I11:$K11,0)),INDEX(Movements!$G617:$M617,1,MATCH(S$7,Movements!$G$614:$M$614,0))))
*S887*S$8,0)</f>
        <v>0</v>
      </c>
      <c r="T143" s="198">
        <f>_xlfn.IFNA(IF(T$7="Fixed",1,IF(AND($D77="yes",T$7="Block"),INDEX($O617:$Q617,1,MATCH(T$5,$I11:$K11,0)),INDEX(Movements!$G617:$M617,1,MATCH(T$7,Movements!$G$614:$M$614,0))))
*T887*T$8,0)</f>
        <v>0</v>
      </c>
      <c r="U143" s="198">
        <f>_xlfn.IFNA(IF(U$7="Fixed",1,IF(AND($D77="yes",U$7="Block"),INDEX($O617:$Q617,1,MATCH(U$5,$I11:$K11,0)),INDEX(Movements!$G617:$M617,1,MATCH(U$7,Movements!$G$614:$M$614,0))))
*U887*U$8,0)</f>
        <v>0</v>
      </c>
      <c r="V143" s="198">
        <f>_xlfn.IFNA(IF(V$7="Fixed",1,IF(AND($D77="yes",V$7="Block"),INDEX($O617:$Q617,1,MATCH(V$5,$I11:$K11,0)),INDEX(Movements!$G617:$M617,1,MATCH(V$7,Movements!$G$614:$M$614,0))))
*V887*V$8,0)</f>
        <v>0</v>
      </c>
      <c r="W143" s="198">
        <f>_xlfn.IFNA(IF(W$7="Fixed",1,IF(AND($D77="yes",W$7="Block"),INDEX($O617:$Q617,1,MATCH(W$5,$I11:$K11,0)),INDEX(Movements!$G617:$M617,1,MATCH(W$7,Movements!$G$614:$M$614,0))))
*W887*W$8,0)</f>
        <v>0</v>
      </c>
      <c r="X143" s="198">
        <f>_xlfn.IFNA(IF(X$7="Fixed",1,IF(AND($D77="yes",X$7="Block"),INDEX($O617:$Q617,1,MATCH(X$5,$I11:$K11,0)),INDEX(Movements!$G617:$M617,1,MATCH(X$7,Movements!$G$614:$M$614,0))))
*X887*X$8,0)</f>
        <v>0</v>
      </c>
      <c r="Y143" s="198">
        <f>_xlfn.IFNA(IF(Y$7="Fixed",1,IF(AND($D77="yes",Y$7="Block"),INDEX($O617:$Q617,1,MATCH(Y$5,$I11:$K11,0)),INDEX(Movements!$G617:$M617,1,MATCH(Y$7,Movements!$G$614:$M$614,0))))
*Y887*Y$8,0)</f>
        <v>0</v>
      </c>
      <c r="Z143" s="198">
        <f>_xlfn.IFNA(IF(Z$7="Fixed",1,IF(AND($D77="yes",Z$7="Block"),INDEX($O617:$Q617,1,MATCH(Z$5,$I11:$K11,0)),INDEX(Movements!$G617:$M617,1,MATCH(Z$7,Movements!$G$614:$M$614,0))))
*Z887*Z$8,0)</f>
        <v>0</v>
      </c>
      <c r="AA143" s="198">
        <f>_xlfn.IFNA(IF(AA$7="Fixed",1,IF(AND($D77="yes",AA$7="Block"),INDEX($O617:$Q617,1,MATCH(AA$5,$I11:$K11,0)),INDEX(Movements!$G617:$M617,1,MATCH(AA$7,Movements!$G$614:$M$614,0))))
*AA887*AA$8,0)</f>
        <v>0</v>
      </c>
      <c r="AB143" s="198">
        <f>_xlfn.IFNA(IF(AB$7="Fixed",1,IF(AND($D77="yes",AB$7="Block"),INDEX($O617:$Q617,1,MATCH(AB$5,$I11:$K11,0)),INDEX(Movements!$G617:$M617,1,MATCH(AB$7,Movements!$G$614:$M$614,0))))
*AB887*AB$8,0)</f>
        <v>0</v>
      </c>
      <c r="AC143" s="70"/>
      <c r="AD143" s="19"/>
      <c r="AE143" s="19"/>
      <c r="AF143" s="19"/>
      <c r="AG143" s="19"/>
    </row>
    <row r="144" spans="1:33" s="59" customFormat="1" hidden="1" outlineLevel="2" x14ac:dyDescent="0.2">
      <c r="A144" s="57"/>
      <c r="B144" s="57"/>
      <c r="C144" s="506" t="str">
        <f t="shared" si="7"/>
        <v>Residential general light and power</v>
      </c>
      <c r="D144" s="505">
        <f t="shared" si="7"/>
        <v>0</v>
      </c>
      <c r="E144" s="505" t="str">
        <f t="shared" si="7"/>
        <v>no</v>
      </c>
      <c r="F144" s="58"/>
      <c r="G144" s="199">
        <f t="shared" si="8"/>
        <v>0</v>
      </c>
      <c r="H144" s="58"/>
      <c r="I144" s="198">
        <f>_xlfn.IFNA(IF(I$7="Fixed",1,IF(AND($D78="yes",I$7="Block"),INDEX($O618:$Q618,1,MATCH(I$5,$I12:$K12,0)),INDEX(Movements!$G618:$M618,1,MATCH(I$7,Movements!$G$614:$M$614,0))))
*I888*I$8,0)</f>
        <v>0</v>
      </c>
      <c r="J144" s="198">
        <f>_xlfn.IFNA(IF(J$7="Fixed",1,IF(AND($D78="yes",J$7="Block"),INDEX($O618:$Q618,1,MATCH(J$5,$I12:$K12,0)),INDEX(Movements!$G618:$M618,1,MATCH(J$7,Movements!$G$614:$M$614,0))))
*J888*J$8,0)</f>
        <v>0</v>
      </c>
      <c r="K144" s="198">
        <f>_xlfn.IFNA(IF(K$7="Fixed",1,IF(AND($D78="yes",K$7="Block"),INDEX($O618:$Q618,1,MATCH(K$5,$I12:$K12,0)),INDEX(Movements!$G618:$M618,1,MATCH(K$7,Movements!$G$614:$M$614,0))))
*K888*K$8,0)</f>
        <v>0</v>
      </c>
      <c r="L144" s="198">
        <f>_xlfn.IFNA(IF(L$7="Fixed",1,IF(AND($D78="yes",L$7="Block"),INDEX($O618:$Q618,1,MATCH(L$5,$I12:$K12,0)),INDEX(Movements!$G618:$M618,1,MATCH(L$7,Movements!$G$614:$M$614,0))))
*L888*L$8,0)</f>
        <v>0</v>
      </c>
      <c r="M144" s="198">
        <f>_xlfn.IFNA(IF(M$7="Fixed",1,IF(AND($D78="yes",M$7="Block"),INDEX($O618:$Q618,1,MATCH(M$5,$I12:$K12,0)),INDEX(Movements!$G618:$M618,1,MATCH(M$7,Movements!$G$614:$M$614,0))))
*M888*M$8,0)</f>
        <v>0</v>
      </c>
      <c r="N144" s="198">
        <f>_xlfn.IFNA(IF(N$7="Fixed",1,IF(AND($D78="yes",N$7="Block"),INDEX($O618:$Q618,1,MATCH(N$5,$I12:$K12,0)),INDEX(Movements!$G618:$M618,1,MATCH(N$7,Movements!$G$614:$M$614,0))))
*N888*N$8,0)</f>
        <v>0</v>
      </c>
      <c r="O144" s="198">
        <f>_xlfn.IFNA(IF(O$7="Fixed",1,IF(AND($D78="yes",O$7="Block"),INDEX($O618:$Q618,1,MATCH(O$5,$I12:$K12,0)),INDEX(Movements!$G618:$M618,1,MATCH(O$7,Movements!$G$614:$M$614,0))))
*O888*O$8,0)</f>
        <v>0</v>
      </c>
      <c r="P144" s="198">
        <f>_xlfn.IFNA(IF(P$7="Fixed",1,IF(AND($D78="yes",P$7="Block"),INDEX($O618:$Q618,1,MATCH(P$5,$I12:$K12,0)),INDEX(Movements!$G618:$M618,1,MATCH(P$7,Movements!$G$614:$M$614,0))))
*P888*P$8,0)</f>
        <v>0</v>
      </c>
      <c r="Q144" s="198">
        <f>_xlfn.IFNA(IF(Q$7="Fixed",1,IF(AND($D78="yes",Q$7="Block"),INDEX($O618:$Q618,1,MATCH(Q$5,$I12:$K12,0)),INDEX(Movements!$G618:$M618,1,MATCH(Q$7,Movements!$G$614:$M$614,0))))
*Q888*Q$8,0)</f>
        <v>0</v>
      </c>
      <c r="R144" s="198">
        <f>_xlfn.IFNA(IF(R$7="Fixed",1,IF(AND($D78="yes",R$7="Block"),INDEX($O618:$Q618,1,MATCH(R$5,$I12:$K12,0)),INDEX(Movements!$G618:$M618,1,MATCH(R$7,Movements!$G$614:$M$614,0))))
*R888*R$8,0)</f>
        <v>0</v>
      </c>
      <c r="S144" s="198">
        <f>_xlfn.IFNA(IF(S$7="Fixed",1,IF(AND($D78="yes",S$7="Block"),INDEX($O618:$Q618,1,MATCH(S$5,$I12:$K12,0)),INDEX(Movements!$G618:$M618,1,MATCH(S$7,Movements!$G$614:$M$614,0))))
*S888*S$8,0)</f>
        <v>0</v>
      </c>
      <c r="T144" s="198">
        <f>_xlfn.IFNA(IF(T$7="Fixed",1,IF(AND($D78="yes",T$7="Block"),INDEX($O618:$Q618,1,MATCH(T$5,$I12:$K12,0)),INDEX(Movements!$G618:$M618,1,MATCH(T$7,Movements!$G$614:$M$614,0))))
*T888*T$8,0)</f>
        <v>0</v>
      </c>
      <c r="U144" s="198">
        <f>_xlfn.IFNA(IF(U$7="Fixed",1,IF(AND($D78="yes",U$7="Block"),INDEX($O618:$Q618,1,MATCH(U$5,$I12:$K12,0)),INDEX(Movements!$G618:$M618,1,MATCH(U$7,Movements!$G$614:$M$614,0))))
*U888*U$8,0)</f>
        <v>0</v>
      </c>
      <c r="V144" s="198">
        <f>_xlfn.IFNA(IF(V$7="Fixed",1,IF(AND($D78="yes",V$7="Block"),INDEX($O618:$Q618,1,MATCH(V$5,$I12:$K12,0)),INDEX(Movements!$G618:$M618,1,MATCH(V$7,Movements!$G$614:$M$614,0))))
*V888*V$8,0)</f>
        <v>0</v>
      </c>
      <c r="W144" s="198">
        <f>_xlfn.IFNA(IF(W$7="Fixed",1,IF(AND($D78="yes",W$7="Block"),INDEX($O618:$Q618,1,MATCH(W$5,$I12:$K12,0)),INDEX(Movements!$G618:$M618,1,MATCH(W$7,Movements!$G$614:$M$614,0))))
*W888*W$8,0)</f>
        <v>0</v>
      </c>
      <c r="X144" s="198">
        <f>_xlfn.IFNA(IF(X$7="Fixed",1,IF(AND($D78="yes",X$7="Block"),INDEX($O618:$Q618,1,MATCH(X$5,$I12:$K12,0)),INDEX(Movements!$G618:$M618,1,MATCH(X$7,Movements!$G$614:$M$614,0))))
*X888*X$8,0)</f>
        <v>0</v>
      </c>
      <c r="Y144" s="198">
        <f>_xlfn.IFNA(IF(Y$7="Fixed",1,IF(AND($D78="yes",Y$7="Block"),INDEX($O618:$Q618,1,MATCH(Y$5,$I12:$K12,0)),INDEX(Movements!$G618:$M618,1,MATCH(Y$7,Movements!$G$614:$M$614,0))))
*Y888*Y$8,0)</f>
        <v>0</v>
      </c>
      <c r="Z144" s="198">
        <f>_xlfn.IFNA(IF(Z$7="Fixed",1,IF(AND($D78="yes",Z$7="Block"),INDEX($O618:$Q618,1,MATCH(Z$5,$I12:$K12,0)),INDEX(Movements!$G618:$M618,1,MATCH(Z$7,Movements!$G$614:$M$614,0))))
*Z888*Z$8,0)</f>
        <v>0</v>
      </c>
      <c r="AA144" s="198">
        <f>_xlfn.IFNA(IF(AA$7="Fixed",1,IF(AND($D78="yes",AA$7="Block"),INDEX($O618:$Q618,1,MATCH(AA$5,$I12:$K12,0)),INDEX(Movements!$G618:$M618,1,MATCH(AA$7,Movements!$G$614:$M$614,0))))
*AA888*AA$8,0)</f>
        <v>0</v>
      </c>
      <c r="AB144" s="198">
        <f>_xlfn.IFNA(IF(AB$7="Fixed",1,IF(AND($D78="yes",AB$7="Block"),INDEX($O618:$Q618,1,MATCH(AB$5,$I12:$K12,0)),INDEX(Movements!$G618:$M618,1,MATCH(AB$7,Movements!$G$614:$M$614,0))))
*AB888*AB$8,0)</f>
        <v>0</v>
      </c>
      <c r="AC144" s="70"/>
      <c r="AD144" s="57"/>
      <c r="AE144" s="57"/>
      <c r="AF144" s="57"/>
      <c r="AG144" s="57"/>
    </row>
    <row r="145" spans="1:33" hidden="1" outlineLevel="2" x14ac:dyDescent="0.2">
      <c r="A145" s="19"/>
      <c r="B145" s="19"/>
      <c r="C145" s="506" t="str">
        <f t="shared" si="7"/>
        <v>Residential pay as you go</v>
      </c>
      <c r="D145" s="505">
        <f t="shared" si="7"/>
        <v>0</v>
      </c>
      <c r="E145" s="505" t="str">
        <f t="shared" si="7"/>
        <v>no</v>
      </c>
      <c r="F145" s="58"/>
      <c r="G145" s="199">
        <f t="shared" si="8"/>
        <v>0</v>
      </c>
      <c r="H145" s="58"/>
      <c r="I145" s="198">
        <f>_xlfn.IFNA(IF(I$7="Fixed",1,IF(AND($D79="yes",I$7="Block"),INDEX($O619:$Q619,1,MATCH(I$5,$I13:$K13,0)),INDEX(Movements!$G619:$M619,1,MATCH(I$7,Movements!$G$614:$M$614,0))))
*I889*I$8,0)</f>
        <v>0</v>
      </c>
      <c r="J145" s="198">
        <f>_xlfn.IFNA(IF(J$7="Fixed",1,IF(AND($D79="yes",J$7="Block"),INDEX($O619:$Q619,1,MATCH(J$5,$I13:$K13,0)),INDEX(Movements!$G619:$M619,1,MATCH(J$7,Movements!$G$614:$M$614,0))))
*J889*J$8,0)</f>
        <v>0</v>
      </c>
      <c r="K145" s="198">
        <f>_xlfn.IFNA(IF(K$7="Fixed",1,IF(AND($D79="yes",K$7="Block"),INDEX($O619:$Q619,1,MATCH(K$5,$I13:$K13,0)),INDEX(Movements!$G619:$M619,1,MATCH(K$7,Movements!$G$614:$M$614,0))))
*K889*K$8,0)</f>
        <v>0</v>
      </c>
      <c r="L145" s="198">
        <f>_xlfn.IFNA(IF(L$7="Fixed",1,IF(AND($D79="yes",L$7="Block"),INDEX($O619:$Q619,1,MATCH(L$5,$I13:$K13,0)),INDEX(Movements!$G619:$M619,1,MATCH(L$7,Movements!$G$614:$M$614,0))))
*L889*L$8,0)</f>
        <v>0</v>
      </c>
      <c r="M145" s="198">
        <f>_xlfn.IFNA(IF(M$7="Fixed",1,IF(AND($D79="yes",M$7="Block"),INDEX($O619:$Q619,1,MATCH(M$5,$I13:$K13,0)),INDEX(Movements!$G619:$M619,1,MATCH(M$7,Movements!$G$614:$M$614,0))))
*M889*M$8,0)</f>
        <v>0</v>
      </c>
      <c r="N145" s="198">
        <f>_xlfn.IFNA(IF(N$7="Fixed",1,IF(AND($D79="yes",N$7="Block"),INDEX($O619:$Q619,1,MATCH(N$5,$I13:$K13,0)),INDEX(Movements!$G619:$M619,1,MATCH(N$7,Movements!$G$614:$M$614,0))))
*N889*N$8,0)</f>
        <v>0</v>
      </c>
      <c r="O145" s="198">
        <f>_xlfn.IFNA(IF(O$7="Fixed",1,IF(AND($D79="yes",O$7="Block"),INDEX($O619:$Q619,1,MATCH(O$5,$I13:$K13,0)),INDEX(Movements!$G619:$M619,1,MATCH(O$7,Movements!$G$614:$M$614,0))))
*O889*O$8,0)</f>
        <v>0</v>
      </c>
      <c r="P145" s="198">
        <f>_xlfn.IFNA(IF(P$7="Fixed",1,IF(AND($D79="yes",P$7="Block"),INDEX($O619:$Q619,1,MATCH(P$5,$I13:$K13,0)),INDEX(Movements!$G619:$M619,1,MATCH(P$7,Movements!$G$614:$M$614,0))))
*P889*P$8,0)</f>
        <v>0</v>
      </c>
      <c r="Q145" s="198">
        <f>_xlfn.IFNA(IF(Q$7="Fixed",1,IF(AND($D79="yes",Q$7="Block"),INDEX($O619:$Q619,1,MATCH(Q$5,$I13:$K13,0)),INDEX(Movements!$G619:$M619,1,MATCH(Q$7,Movements!$G$614:$M$614,0))))
*Q889*Q$8,0)</f>
        <v>0</v>
      </c>
      <c r="R145" s="198">
        <f>_xlfn.IFNA(IF(R$7="Fixed",1,IF(AND($D79="yes",R$7="Block"),INDEX($O619:$Q619,1,MATCH(R$5,$I13:$K13,0)),INDEX(Movements!$G619:$M619,1,MATCH(R$7,Movements!$G$614:$M$614,0))))
*R889*R$8,0)</f>
        <v>0</v>
      </c>
      <c r="S145" s="198">
        <f>_xlfn.IFNA(IF(S$7="Fixed",1,IF(AND($D79="yes",S$7="Block"),INDEX($O619:$Q619,1,MATCH(S$5,$I13:$K13,0)),INDEX(Movements!$G619:$M619,1,MATCH(S$7,Movements!$G$614:$M$614,0))))
*S889*S$8,0)</f>
        <v>0</v>
      </c>
      <c r="T145" s="198">
        <f>_xlfn.IFNA(IF(T$7="Fixed",1,IF(AND($D79="yes",T$7="Block"),INDEX($O619:$Q619,1,MATCH(T$5,$I13:$K13,0)),INDEX(Movements!$G619:$M619,1,MATCH(T$7,Movements!$G$614:$M$614,0))))
*T889*T$8,0)</f>
        <v>0</v>
      </c>
      <c r="U145" s="198">
        <f>_xlfn.IFNA(IF(U$7="Fixed",1,IF(AND($D79="yes",U$7="Block"),INDEX($O619:$Q619,1,MATCH(U$5,$I13:$K13,0)),INDEX(Movements!$G619:$M619,1,MATCH(U$7,Movements!$G$614:$M$614,0))))
*U889*U$8,0)</f>
        <v>0</v>
      </c>
      <c r="V145" s="198">
        <f>_xlfn.IFNA(IF(V$7="Fixed",1,IF(AND($D79="yes",V$7="Block"),INDEX($O619:$Q619,1,MATCH(V$5,$I13:$K13,0)),INDEX(Movements!$G619:$M619,1,MATCH(V$7,Movements!$G$614:$M$614,0))))
*V889*V$8,0)</f>
        <v>0</v>
      </c>
      <c r="W145" s="198">
        <f>_xlfn.IFNA(IF(W$7="Fixed",1,IF(AND($D79="yes",W$7="Block"),INDEX($O619:$Q619,1,MATCH(W$5,$I13:$K13,0)),INDEX(Movements!$G619:$M619,1,MATCH(W$7,Movements!$G$614:$M$614,0))))
*W889*W$8,0)</f>
        <v>0</v>
      </c>
      <c r="X145" s="198">
        <f>_xlfn.IFNA(IF(X$7="Fixed",1,IF(AND($D79="yes",X$7="Block"),INDEX($O619:$Q619,1,MATCH(X$5,$I13:$K13,0)),INDEX(Movements!$G619:$M619,1,MATCH(X$7,Movements!$G$614:$M$614,0))))
*X889*X$8,0)</f>
        <v>0</v>
      </c>
      <c r="Y145" s="198">
        <f>_xlfn.IFNA(IF(Y$7="Fixed",1,IF(AND($D79="yes",Y$7="Block"),INDEX($O619:$Q619,1,MATCH(Y$5,$I13:$K13,0)),INDEX(Movements!$G619:$M619,1,MATCH(Y$7,Movements!$G$614:$M$614,0))))
*Y889*Y$8,0)</f>
        <v>0</v>
      </c>
      <c r="Z145" s="198">
        <f>_xlfn.IFNA(IF(Z$7="Fixed",1,IF(AND($D79="yes",Z$7="Block"),INDEX($O619:$Q619,1,MATCH(Z$5,$I13:$K13,0)),INDEX(Movements!$G619:$M619,1,MATCH(Z$7,Movements!$G$614:$M$614,0))))
*Z889*Z$8,0)</f>
        <v>0</v>
      </c>
      <c r="AA145" s="198">
        <f>_xlfn.IFNA(IF(AA$7="Fixed",1,IF(AND($D79="yes",AA$7="Block"),INDEX($O619:$Q619,1,MATCH(AA$5,$I13:$K13,0)),INDEX(Movements!$G619:$M619,1,MATCH(AA$7,Movements!$G$614:$M$614,0))))
*AA889*AA$8,0)</f>
        <v>0</v>
      </c>
      <c r="AB145" s="198">
        <f>_xlfn.IFNA(IF(AB$7="Fixed",1,IF(AND($D79="yes",AB$7="Block"),INDEX($O619:$Q619,1,MATCH(AB$5,$I13:$K13,0)),INDEX(Movements!$G619:$M619,1,MATCH(AB$7,Movements!$G$614:$M$614,0))))
*AB889*AB$8,0)</f>
        <v>0</v>
      </c>
      <c r="AC145" s="70"/>
      <c r="AD145" s="19"/>
      <c r="AE145" s="19"/>
      <c r="AF145" s="19"/>
      <c r="AG145" s="19"/>
    </row>
    <row r="146" spans="1:33" hidden="1" outlineLevel="2" x14ac:dyDescent="0.2">
      <c r="A146" s="19"/>
      <c r="B146" s="19"/>
      <c r="C146" s="506" t="str">
        <f t="shared" si="7"/>
        <v>Residential pay as you go time of use</v>
      </c>
      <c r="D146" s="505">
        <f t="shared" si="7"/>
        <v>0</v>
      </c>
      <c r="E146" s="505" t="str">
        <f t="shared" si="7"/>
        <v>no</v>
      </c>
      <c r="F146" s="58"/>
      <c r="G146" s="199">
        <f t="shared" si="8"/>
        <v>0</v>
      </c>
      <c r="H146" s="58"/>
      <c r="I146" s="198">
        <f>_xlfn.IFNA(IF(I$7="Fixed",1,IF(AND($D80="yes",I$7="Block"),INDEX($O620:$Q620,1,MATCH(I$5,$I14:$K14,0)),INDEX(Movements!$G620:$M620,1,MATCH(I$7,Movements!$G$614:$M$614,0))))
*I890*I$8,0)</f>
        <v>0</v>
      </c>
      <c r="J146" s="198">
        <f>_xlfn.IFNA(IF(J$7="Fixed",1,IF(AND($D80="yes",J$7="Block"),INDEX($O620:$Q620,1,MATCH(J$5,$I14:$K14,0)),INDEX(Movements!$G620:$M620,1,MATCH(J$7,Movements!$G$614:$M$614,0))))
*J890*J$8,0)</f>
        <v>0</v>
      </c>
      <c r="K146" s="198">
        <f>_xlfn.IFNA(IF(K$7="Fixed",1,IF(AND($D80="yes",K$7="Block"),INDEX($O620:$Q620,1,MATCH(K$5,$I14:$K14,0)),INDEX(Movements!$G620:$M620,1,MATCH(K$7,Movements!$G$614:$M$614,0))))
*K890*K$8,0)</f>
        <v>0</v>
      </c>
      <c r="L146" s="198">
        <f>_xlfn.IFNA(IF(L$7="Fixed",1,IF(AND($D80="yes",L$7="Block"),INDEX($O620:$Q620,1,MATCH(L$5,$I14:$K14,0)),INDEX(Movements!$G620:$M620,1,MATCH(L$7,Movements!$G$614:$M$614,0))))
*L890*L$8,0)</f>
        <v>0</v>
      </c>
      <c r="M146" s="198">
        <f>_xlfn.IFNA(IF(M$7="Fixed",1,IF(AND($D80="yes",M$7="Block"),INDEX($O620:$Q620,1,MATCH(M$5,$I14:$K14,0)),INDEX(Movements!$G620:$M620,1,MATCH(M$7,Movements!$G$614:$M$614,0))))
*M890*M$8,0)</f>
        <v>0</v>
      </c>
      <c r="N146" s="198">
        <f>_xlfn.IFNA(IF(N$7="Fixed",1,IF(AND($D80="yes",N$7="Block"),INDEX($O620:$Q620,1,MATCH(N$5,$I14:$K14,0)),INDEX(Movements!$G620:$M620,1,MATCH(N$7,Movements!$G$614:$M$614,0))))
*N890*N$8,0)</f>
        <v>0</v>
      </c>
      <c r="O146" s="198">
        <f>_xlfn.IFNA(IF(O$7="Fixed",1,IF(AND($D80="yes",O$7="Block"),INDEX($O620:$Q620,1,MATCH(O$5,$I14:$K14,0)),INDEX(Movements!$G620:$M620,1,MATCH(O$7,Movements!$G$614:$M$614,0))))
*O890*O$8,0)</f>
        <v>0</v>
      </c>
      <c r="P146" s="198">
        <f>_xlfn.IFNA(IF(P$7="Fixed",1,IF(AND($D80="yes",P$7="Block"),INDEX($O620:$Q620,1,MATCH(P$5,$I14:$K14,0)),INDEX(Movements!$G620:$M620,1,MATCH(P$7,Movements!$G$614:$M$614,0))))
*P890*P$8,0)</f>
        <v>0</v>
      </c>
      <c r="Q146" s="198">
        <f>_xlfn.IFNA(IF(Q$7="Fixed",1,IF(AND($D80="yes",Q$7="Block"),INDEX($O620:$Q620,1,MATCH(Q$5,$I14:$K14,0)),INDEX(Movements!$G620:$M620,1,MATCH(Q$7,Movements!$G$614:$M$614,0))))
*Q890*Q$8,0)</f>
        <v>0</v>
      </c>
      <c r="R146" s="198">
        <f>_xlfn.IFNA(IF(R$7="Fixed",1,IF(AND($D80="yes",R$7="Block"),INDEX($O620:$Q620,1,MATCH(R$5,$I14:$K14,0)),INDEX(Movements!$G620:$M620,1,MATCH(R$7,Movements!$G$614:$M$614,0))))
*R890*R$8,0)</f>
        <v>0</v>
      </c>
      <c r="S146" s="198">
        <f>_xlfn.IFNA(IF(S$7="Fixed",1,IF(AND($D80="yes",S$7="Block"),INDEX($O620:$Q620,1,MATCH(S$5,$I14:$K14,0)),INDEX(Movements!$G620:$M620,1,MATCH(S$7,Movements!$G$614:$M$614,0))))
*S890*S$8,0)</f>
        <v>0</v>
      </c>
      <c r="T146" s="198">
        <f>_xlfn.IFNA(IF(T$7="Fixed",1,IF(AND($D80="yes",T$7="Block"),INDEX($O620:$Q620,1,MATCH(T$5,$I14:$K14,0)),INDEX(Movements!$G620:$M620,1,MATCH(T$7,Movements!$G$614:$M$614,0))))
*T890*T$8,0)</f>
        <v>0</v>
      </c>
      <c r="U146" s="198">
        <f>_xlfn.IFNA(IF(U$7="Fixed",1,IF(AND($D80="yes",U$7="Block"),INDEX($O620:$Q620,1,MATCH(U$5,$I14:$K14,0)),INDEX(Movements!$G620:$M620,1,MATCH(U$7,Movements!$G$614:$M$614,0))))
*U890*U$8,0)</f>
        <v>0</v>
      </c>
      <c r="V146" s="198">
        <f>_xlfn.IFNA(IF(V$7="Fixed",1,IF(AND($D80="yes",V$7="Block"),INDEX($O620:$Q620,1,MATCH(V$5,$I14:$K14,0)),INDEX(Movements!$G620:$M620,1,MATCH(V$7,Movements!$G$614:$M$614,0))))
*V890*V$8,0)</f>
        <v>0</v>
      </c>
      <c r="W146" s="198">
        <f>_xlfn.IFNA(IF(W$7="Fixed",1,IF(AND($D80="yes",W$7="Block"),INDEX($O620:$Q620,1,MATCH(W$5,$I14:$K14,0)),INDEX(Movements!$G620:$M620,1,MATCH(W$7,Movements!$G$614:$M$614,0))))
*W890*W$8,0)</f>
        <v>0</v>
      </c>
      <c r="X146" s="198">
        <f>_xlfn.IFNA(IF(X$7="Fixed",1,IF(AND($D80="yes",X$7="Block"),INDEX($O620:$Q620,1,MATCH(X$5,$I14:$K14,0)),INDEX(Movements!$G620:$M620,1,MATCH(X$7,Movements!$G$614:$M$614,0))))
*X890*X$8,0)</f>
        <v>0</v>
      </c>
      <c r="Y146" s="198">
        <f>_xlfn.IFNA(IF(Y$7="Fixed",1,IF(AND($D80="yes",Y$7="Block"),INDEX($O620:$Q620,1,MATCH(Y$5,$I14:$K14,0)),INDEX(Movements!$G620:$M620,1,MATCH(Y$7,Movements!$G$614:$M$614,0))))
*Y890*Y$8,0)</f>
        <v>0</v>
      </c>
      <c r="Z146" s="198">
        <f>_xlfn.IFNA(IF(Z$7="Fixed",1,IF(AND($D80="yes",Z$7="Block"),INDEX($O620:$Q620,1,MATCH(Z$5,$I14:$K14,0)),INDEX(Movements!$G620:$M620,1,MATCH(Z$7,Movements!$G$614:$M$614,0))))
*Z890*Z$8,0)</f>
        <v>0</v>
      </c>
      <c r="AA146" s="198">
        <f>_xlfn.IFNA(IF(AA$7="Fixed",1,IF(AND($D80="yes",AA$7="Block"),INDEX($O620:$Q620,1,MATCH(AA$5,$I14:$K14,0)),INDEX(Movements!$G620:$M620,1,MATCH(AA$7,Movements!$G$614:$M$614,0))))
*AA890*AA$8,0)</f>
        <v>0</v>
      </c>
      <c r="AB146" s="198">
        <f>_xlfn.IFNA(IF(AB$7="Fixed",1,IF(AND($D80="yes",AB$7="Block"),INDEX($O620:$Q620,1,MATCH(AB$5,$I14:$K14,0)),INDEX(Movements!$G620:$M620,1,MATCH(AB$7,Movements!$G$614:$M$614,0))))
*AB890*AB$8,0)</f>
        <v>0</v>
      </c>
      <c r="AC146" s="70"/>
      <c r="AD146" s="19"/>
      <c r="AE146" s="19"/>
      <c r="AF146" s="19"/>
      <c r="AG146" s="19"/>
    </row>
    <row r="147" spans="1:33" hidden="1" outlineLevel="2" x14ac:dyDescent="0.2">
      <c r="A147" s="19"/>
      <c r="B147" s="19"/>
      <c r="C147" s="506">
        <f t="shared" si="7"/>
        <v>0</v>
      </c>
      <c r="D147" s="505">
        <f t="shared" si="7"/>
        <v>0</v>
      </c>
      <c r="E147" s="505">
        <f t="shared" si="7"/>
        <v>0</v>
      </c>
      <c r="F147" s="58"/>
      <c r="G147" s="199">
        <f t="shared" si="8"/>
        <v>0</v>
      </c>
      <c r="H147" s="58"/>
      <c r="I147" s="198">
        <f>_xlfn.IFNA(IF(I$7="Fixed",1,IF(AND($D81="yes",I$7="Block"),INDEX($O621:$Q621,1,MATCH(I$5,$I15:$K15,0)),INDEX(Movements!$G621:$M621,1,MATCH(I$7,Movements!$G$614:$M$614,0))))
*I891*I$8,0)</f>
        <v>0</v>
      </c>
      <c r="J147" s="198">
        <f>_xlfn.IFNA(IF(J$7="Fixed",1,IF(AND($D81="yes",J$7="Block"),INDEX($O621:$Q621,1,MATCH(J$5,$I15:$K15,0)),INDEX(Movements!$G621:$M621,1,MATCH(J$7,Movements!$G$614:$M$614,0))))
*J891*J$8,0)</f>
        <v>0</v>
      </c>
      <c r="K147" s="198">
        <f>_xlfn.IFNA(IF(K$7="Fixed",1,IF(AND($D81="yes",K$7="Block"),INDEX($O621:$Q621,1,MATCH(K$5,$I15:$K15,0)),INDEX(Movements!$G621:$M621,1,MATCH(K$7,Movements!$G$614:$M$614,0))))
*K891*K$8,0)</f>
        <v>0</v>
      </c>
      <c r="L147" s="198">
        <f>_xlfn.IFNA(IF(L$7="Fixed",1,IF(AND($D81="yes",L$7="Block"),INDEX($O621:$Q621,1,MATCH(L$5,$I15:$K15,0)),INDEX(Movements!$G621:$M621,1,MATCH(L$7,Movements!$G$614:$M$614,0))))
*L891*L$8,0)</f>
        <v>0</v>
      </c>
      <c r="M147" s="198">
        <f>_xlfn.IFNA(IF(M$7="Fixed",1,IF(AND($D81="yes",M$7="Block"),INDEX($O621:$Q621,1,MATCH(M$5,$I15:$K15,0)),INDEX(Movements!$G621:$M621,1,MATCH(M$7,Movements!$G$614:$M$614,0))))
*M891*M$8,0)</f>
        <v>0</v>
      </c>
      <c r="N147" s="198">
        <f>_xlfn.IFNA(IF(N$7="Fixed",1,IF(AND($D81="yes",N$7="Block"),INDEX($O621:$Q621,1,MATCH(N$5,$I15:$K15,0)),INDEX(Movements!$G621:$M621,1,MATCH(N$7,Movements!$G$614:$M$614,0))))
*N891*N$8,0)</f>
        <v>0</v>
      </c>
      <c r="O147" s="198">
        <f>_xlfn.IFNA(IF(O$7="Fixed",1,IF(AND($D81="yes",O$7="Block"),INDEX($O621:$Q621,1,MATCH(O$5,$I15:$K15,0)),INDEX(Movements!$G621:$M621,1,MATCH(O$7,Movements!$G$614:$M$614,0))))
*O891*O$8,0)</f>
        <v>0</v>
      </c>
      <c r="P147" s="198">
        <f>_xlfn.IFNA(IF(P$7="Fixed",1,IF(AND($D81="yes",P$7="Block"),INDEX($O621:$Q621,1,MATCH(P$5,$I15:$K15,0)),INDEX(Movements!$G621:$M621,1,MATCH(P$7,Movements!$G$614:$M$614,0))))
*P891*P$8,0)</f>
        <v>0</v>
      </c>
      <c r="Q147" s="198">
        <f>_xlfn.IFNA(IF(Q$7="Fixed",1,IF(AND($D81="yes",Q$7="Block"),INDEX($O621:$Q621,1,MATCH(Q$5,$I15:$K15,0)),INDEX(Movements!$G621:$M621,1,MATCH(Q$7,Movements!$G$614:$M$614,0))))
*Q891*Q$8,0)</f>
        <v>0</v>
      </c>
      <c r="R147" s="198">
        <f>_xlfn.IFNA(IF(R$7="Fixed",1,IF(AND($D81="yes",R$7="Block"),INDEX($O621:$Q621,1,MATCH(R$5,$I15:$K15,0)),INDEX(Movements!$G621:$M621,1,MATCH(R$7,Movements!$G$614:$M$614,0))))
*R891*R$8,0)</f>
        <v>0</v>
      </c>
      <c r="S147" s="198">
        <f>_xlfn.IFNA(IF(S$7="Fixed",1,IF(AND($D81="yes",S$7="Block"),INDEX($O621:$Q621,1,MATCH(S$5,$I15:$K15,0)),INDEX(Movements!$G621:$M621,1,MATCH(S$7,Movements!$G$614:$M$614,0))))
*S891*S$8,0)</f>
        <v>0</v>
      </c>
      <c r="T147" s="198">
        <f>_xlfn.IFNA(IF(T$7="Fixed",1,IF(AND($D81="yes",T$7="Block"),INDEX($O621:$Q621,1,MATCH(T$5,$I15:$K15,0)),INDEX(Movements!$G621:$M621,1,MATCH(T$7,Movements!$G$614:$M$614,0))))
*T891*T$8,0)</f>
        <v>0</v>
      </c>
      <c r="U147" s="198">
        <f>_xlfn.IFNA(IF(U$7="Fixed",1,IF(AND($D81="yes",U$7="Block"),INDEX($O621:$Q621,1,MATCH(U$5,$I15:$K15,0)),INDEX(Movements!$G621:$M621,1,MATCH(U$7,Movements!$G$614:$M$614,0))))
*U891*U$8,0)</f>
        <v>0</v>
      </c>
      <c r="V147" s="198">
        <f>_xlfn.IFNA(IF(V$7="Fixed",1,IF(AND($D81="yes",V$7="Block"),INDEX($O621:$Q621,1,MATCH(V$5,$I15:$K15,0)),INDEX(Movements!$G621:$M621,1,MATCH(V$7,Movements!$G$614:$M$614,0))))
*V891*V$8,0)</f>
        <v>0</v>
      </c>
      <c r="W147" s="198">
        <f>_xlfn.IFNA(IF(W$7="Fixed",1,IF(AND($D81="yes",W$7="Block"),INDEX($O621:$Q621,1,MATCH(W$5,$I15:$K15,0)),INDEX(Movements!$G621:$M621,1,MATCH(W$7,Movements!$G$614:$M$614,0))))
*W891*W$8,0)</f>
        <v>0</v>
      </c>
      <c r="X147" s="198">
        <f>_xlfn.IFNA(IF(X$7="Fixed",1,IF(AND($D81="yes",X$7="Block"),INDEX($O621:$Q621,1,MATCH(X$5,$I15:$K15,0)),INDEX(Movements!$G621:$M621,1,MATCH(X$7,Movements!$G$614:$M$614,0))))
*X891*X$8,0)</f>
        <v>0</v>
      </c>
      <c r="Y147" s="198">
        <f>_xlfn.IFNA(IF(Y$7="Fixed",1,IF(AND($D81="yes",Y$7="Block"),INDEX($O621:$Q621,1,MATCH(Y$5,$I15:$K15,0)),INDEX(Movements!$G621:$M621,1,MATCH(Y$7,Movements!$G$614:$M$614,0))))
*Y891*Y$8,0)</f>
        <v>0</v>
      </c>
      <c r="Z147" s="198">
        <f>_xlfn.IFNA(IF(Z$7="Fixed",1,IF(AND($D81="yes",Z$7="Block"),INDEX($O621:$Q621,1,MATCH(Z$5,$I15:$K15,0)),INDEX(Movements!$G621:$M621,1,MATCH(Z$7,Movements!$G$614:$M$614,0))))
*Z891*Z$8,0)</f>
        <v>0</v>
      </c>
      <c r="AA147" s="198">
        <f>_xlfn.IFNA(IF(AA$7="Fixed",1,IF(AND($D81="yes",AA$7="Block"),INDEX($O621:$Q621,1,MATCH(AA$5,$I15:$K15,0)),INDEX(Movements!$G621:$M621,1,MATCH(AA$7,Movements!$G$614:$M$614,0))))
*AA891*AA$8,0)</f>
        <v>0</v>
      </c>
      <c r="AB147" s="198">
        <f>_xlfn.IFNA(IF(AB$7="Fixed",1,IF(AND($D81="yes",AB$7="Block"),INDEX($O621:$Q621,1,MATCH(AB$5,$I15:$K15,0)),INDEX(Movements!$G621:$M621,1,MATCH(AB$7,Movements!$G$614:$M$614,0))))
*AB891*AB$8,0)</f>
        <v>0</v>
      </c>
      <c r="AC147" s="70"/>
      <c r="AD147" s="19"/>
      <c r="AE147" s="19"/>
      <c r="AF147" s="19"/>
      <c r="AG147" s="19"/>
    </row>
    <row r="148" spans="1:33" hidden="1" outlineLevel="3" x14ac:dyDescent="0.2">
      <c r="A148" s="19"/>
      <c r="B148" s="19"/>
      <c r="C148" s="506">
        <f t="shared" si="7"/>
        <v>0</v>
      </c>
      <c r="D148" s="505">
        <f t="shared" si="7"/>
        <v>0</v>
      </c>
      <c r="E148" s="505">
        <f t="shared" si="7"/>
        <v>0</v>
      </c>
      <c r="F148" s="58"/>
      <c r="G148" s="199">
        <f t="shared" si="8"/>
        <v>0</v>
      </c>
      <c r="H148" s="58"/>
      <c r="I148" s="198">
        <f>_xlfn.IFNA(IF(I$7="Fixed",1,IF(AND($D82="yes",I$7="Block"),INDEX($O622:$Q622,1,MATCH(I$5,$I16:$K16,0)),INDEX(Movements!$G622:$M622,1,MATCH(I$7,Movements!$G$614:$M$614,0))))
*I892*I$8,0)</f>
        <v>0</v>
      </c>
      <c r="J148" s="198">
        <f>_xlfn.IFNA(IF(J$7="Fixed",1,IF(AND($D82="yes",J$7="Block"),INDEX($O622:$Q622,1,MATCH(J$5,$I16:$K16,0)),INDEX(Movements!$G622:$M622,1,MATCH(J$7,Movements!$G$614:$M$614,0))))
*J892*J$8,0)</f>
        <v>0</v>
      </c>
      <c r="K148" s="198">
        <f>_xlfn.IFNA(IF(K$7="Fixed",1,IF(AND($D82="yes",K$7="Block"),INDEX($O622:$Q622,1,MATCH(K$5,$I16:$K16,0)),INDEX(Movements!$G622:$M622,1,MATCH(K$7,Movements!$G$614:$M$614,0))))
*K892*K$8,0)</f>
        <v>0</v>
      </c>
      <c r="L148" s="198">
        <f>_xlfn.IFNA(IF(L$7="Fixed",1,IF(AND($D82="yes",L$7="Block"),INDEX($O622:$Q622,1,MATCH(L$5,$I16:$K16,0)),INDEX(Movements!$G622:$M622,1,MATCH(L$7,Movements!$G$614:$M$614,0))))
*L892*L$8,0)</f>
        <v>0</v>
      </c>
      <c r="M148" s="198">
        <f>_xlfn.IFNA(IF(M$7="Fixed",1,IF(AND($D82="yes",M$7="Block"),INDEX($O622:$Q622,1,MATCH(M$5,$I16:$K16,0)),INDEX(Movements!$G622:$M622,1,MATCH(M$7,Movements!$G$614:$M$614,0))))
*M892*M$8,0)</f>
        <v>0</v>
      </c>
      <c r="N148" s="198">
        <f>_xlfn.IFNA(IF(N$7="Fixed",1,IF(AND($D82="yes",N$7="Block"),INDEX($O622:$Q622,1,MATCH(N$5,$I16:$K16,0)),INDEX(Movements!$G622:$M622,1,MATCH(N$7,Movements!$G$614:$M$614,0))))
*N892*N$8,0)</f>
        <v>0</v>
      </c>
      <c r="O148" s="198">
        <f>_xlfn.IFNA(IF(O$7="Fixed",1,IF(AND($D82="yes",O$7="Block"),INDEX($O622:$Q622,1,MATCH(O$5,$I16:$K16,0)),INDEX(Movements!$G622:$M622,1,MATCH(O$7,Movements!$G$614:$M$614,0))))
*O892*O$8,0)</f>
        <v>0</v>
      </c>
      <c r="P148" s="198">
        <f>_xlfn.IFNA(IF(P$7="Fixed",1,IF(AND($D82="yes",P$7="Block"),INDEX($O622:$Q622,1,MATCH(P$5,$I16:$K16,0)),INDEX(Movements!$G622:$M622,1,MATCH(P$7,Movements!$G$614:$M$614,0))))
*P892*P$8,0)</f>
        <v>0</v>
      </c>
      <c r="Q148" s="198">
        <f>_xlfn.IFNA(IF(Q$7="Fixed",1,IF(AND($D82="yes",Q$7="Block"),INDEX($O622:$Q622,1,MATCH(Q$5,$I16:$K16,0)),INDEX(Movements!$G622:$M622,1,MATCH(Q$7,Movements!$G$614:$M$614,0))))
*Q892*Q$8,0)</f>
        <v>0</v>
      </c>
      <c r="R148" s="198">
        <f>_xlfn.IFNA(IF(R$7="Fixed",1,IF(AND($D82="yes",R$7="Block"),INDEX($O622:$Q622,1,MATCH(R$5,$I16:$K16,0)),INDEX(Movements!$G622:$M622,1,MATCH(R$7,Movements!$G$614:$M$614,0))))
*R892*R$8,0)</f>
        <v>0</v>
      </c>
      <c r="S148" s="198">
        <f>_xlfn.IFNA(IF(S$7="Fixed",1,IF(AND($D82="yes",S$7="Block"),INDEX($O622:$Q622,1,MATCH(S$5,$I16:$K16,0)),INDEX(Movements!$G622:$M622,1,MATCH(S$7,Movements!$G$614:$M$614,0))))
*S892*S$8,0)</f>
        <v>0</v>
      </c>
      <c r="T148" s="198">
        <f>_xlfn.IFNA(IF(T$7="Fixed",1,IF(AND($D82="yes",T$7="Block"),INDEX($O622:$Q622,1,MATCH(T$5,$I16:$K16,0)),INDEX(Movements!$G622:$M622,1,MATCH(T$7,Movements!$G$614:$M$614,0))))
*T892*T$8,0)</f>
        <v>0</v>
      </c>
      <c r="U148" s="198">
        <f>_xlfn.IFNA(IF(U$7="Fixed",1,IF(AND($D82="yes",U$7="Block"),INDEX($O622:$Q622,1,MATCH(U$5,$I16:$K16,0)),INDEX(Movements!$G622:$M622,1,MATCH(U$7,Movements!$G$614:$M$614,0))))
*U892*U$8,0)</f>
        <v>0</v>
      </c>
      <c r="V148" s="198">
        <f>_xlfn.IFNA(IF(V$7="Fixed",1,IF(AND($D82="yes",V$7="Block"),INDEX($O622:$Q622,1,MATCH(V$5,$I16:$K16,0)),INDEX(Movements!$G622:$M622,1,MATCH(V$7,Movements!$G$614:$M$614,0))))
*V892*V$8,0)</f>
        <v>0</v>
      </c>
      <c r="W148" s="198">
        <f>_xlfn.IFNA(IF(W$7="Fixed",1,IF(AND($D82="yes",W$7="Block"),INDEX($O622:$Q622,1,MATCH(W$5,$I16:$K16,0)),INDEX(Movements!$G622:$M622,1,MATCH(W$7,Movements!$G$614:$M$614,0))))
*W892*W$8,0)</f>
        <v>0</v>
      </c>
      <c r="X148" s="198">
        <f>_xlfn.IFNA(IF(X$7="Fixed",1,IF(AND($D82="yes",X$7="Block"),INDEX($O622:$Q622,1,MATCH(X$5,$I16:$K16,0)),INDEX(Movements!$G622:$M622,1,MATCH(X$7,Movements!$G$614:$M$614,0))))
*X892*X$8,0)</f>
        <v>0</v>
      </c>
      <c r="Y148" s="198">
        <f>_xlfn.IFNA(IF(Y$7="Fixed",1,IF(AND($D82="yes",Y$7="Block"),INDEX($O622:$Q622,1,MATCH(Y$5,$I16:$K16,0)),INDEX(Movements!$G622:$M622,1,MATCH(Y$7,Movements!$G$614:$M$614,0))))
*Y892*Y$8,0)</f>
        <v>0</v>
      </c>
      <c r="Z148" s="198">
        <f>_xlfn.IFNA(IF(Z$7="Fixed",1,IF(AND($D82="yes",Z$7="Block"),INDEX($O622:$Q622,1,MATCH(Z$5,$I16:$K16,0)),INDEX(Movements!$G622:$M622,1,MATCH(Z$7,Movements!$G$614:$M$614,0))))
*Z892*Z$8,0)</f>
        <v>0</v>
      </c>
      <c r="AA148" s="198">
        <f>_xlfn.IFNA(IF(AA$7="Fixed",1,IF(AND($D82="yes",AA$7="Block"),INDEX($O622:$Q622,1,MATCH(AA$5,$I16:$K16,0)),INDEX(Movements!$G622:$M622,1,MATCH(AA$7,Movements!$G$614:$M$614,0))))
*AA892*AA$8,0)</f>
        <v>0</v>
      </c>
      <c r="AB148" s="198">
        <f>_xlfn.IFNA(IF(AB$7="Fixed",1,IF(AND($D82="yes",AB$7="Block"),INDEX($O622:$Q622,1,MATCH(AB$5,$I16:$K16,0)),INDEX(Movements!$G622:$M622,1,MATCH(AB$7,Movements!$G$614:$M$614,0))))
*AB892*AB$8,0)</f>
        <v>0</v>
      </c>
      <c r="AC148" s="70"/>
      <c r="AD148" s="19"/>
      <c r="AE148" s="19"/>
      <c r="AF148" s="19"/>
      <c r="AG148" s="19"/>
    </row>
    <row r="149" spans="1:33" hidden="1" outlineLevel="3" x14ac:dyDescent="0.2">
      <c r="A149" s="19"/>
      <c r="B149" s="19"/>
      <c r="C149" s="506">
        <f t="shared" si="7"/>
        <v>0</v>
      </c>
      <c r="D149" s="505">
        <f t="shared" si="7"/>
        <v>0</v>
      </c>
      <c r="E149" s="505">
        <f t="shared" si="7"/>
        <v>0</v>
      </c>
      <c r="F149" s="58"/>
      <c r="G149" s="199">
        <f t="shared" si="8"/>
        <v>0</v>
      </c>
      <c r="H149" s="58"/>
      <c r="I149" s="198">
        <f>_xlfn.IFNA(IF(I$7="Fixed",1,IF(AND($D83="yes",I$7="Block"),INDEX($O623:$Q623,1,MATCH(I$5,$I17:$K17,0)),INDEX(Movements!$G623:$M623,1,MATCH(I$7,Movements!$G$614:$M$614,0))))
*I893*I$8,0)</f>
        <v>0</v>
      </c>
      <c r="J149" s="198">
        <f>_xlfn.IFNA(IF(J$7="Fixed",1,IF(AND($D83="yes",J$7="Block"),INDEX($O623:$Q623,1,MATCH(J$5,$I17:$K17,0)),INDEX(Movements!$G623:$M623,1,MATCH(J$7,Movements!$G$614:$M$614,0))))
*J893*J$8,0)</f>
        <v>0</v>
      </c>
      <c r="K149" s="198">
        <f>_xlfn.IFNA(IF(K$7="Fixed",1,IF(AND($D83="yes",K$7="Block"),INDEX($O623:$Q623,1,MATCH(K$5,$I17:$K17,0)),INDEX(Movements!$G623:$M623,1,MATCH(K$7,Movements!$G$614:$M$614,0))))
*K893*K$8,0)</f>
        <v>0</v>
      </c>
      <c r="L149" s="198">
        <f>_xlfn.IFNA(IF(L$7="Fixed",1,IF(AND($D83="yes",L$7="Block"),INDEX($O623:$Q623,1,MATCH(L$5,$I17:$K17,0)),INDEX(Movements!$G623:$M623,1,MATCH(L$7,Movements!$G$614:$M$614,0))))
*L893*L$8,0)</f>
        <v>0</v>
      </c>
      <c r="M149" s="198">
        <f>_xlfn.IFNA(IF(M$7="Fixed",1,IF(AND($D83="yes",M$7="Block"),INDEX($O623:$Q623,1,MATCH(M$5,$I17:$K17,0)),INDEX(Movements!$G623:$M623,1,MATCH(M$7,Movements!$G$614:$M$614,0))))
*M893*M$8,0)</f>
        <v>0</v>
      </c>
      <c r="N149" s="198">
        <f>_xlfn.IFNA(IF(N$7="Fixed",1,IF(AND($D83="yes",N$7="Block"),INDEX($O623:$Q623,1,MATCH(N$5,$I17:$K17,0)),INDEX(Movements!$G623:$M623,1,MATCH(N$7,Movements!$G$614:$M$614,0))))
*N893*N$8,0)</f>
        <v>0</v>
      </c>
      <c r="O149" s="198">
        <f>_xlfn.IFNA(IF(O$7="Fixed",1,IF(AND($D83="yes",O$7="Block"),INDEX($O623:$Q623,1,MATCH(O$5,$I17:$K17,0)),INDEX(Movements!$G623:$M623,1,MATCH(O$7,Movements!$G$614:$M$614,0))))
*O893*O$8,0)</f>
        <v>0</v>
      </c>
      <c r="P149" s="198">
        <f>_xlfn.IFNA(IF(P$7="Fixed",1,IF(AND($D83="yes",P$7="Block"),INDEX($O623:$Q623,1,MATCH(P$5,$I17:$K17,0)),INDEX(Movements!$G623:$M623,1,MATCH(P$7,Movements!$G$614:$M$614,0))))
*P893*P$8,0)</f>
        <v>0</v>
      </c>
      <c r="Q149" s="198">
        <f>_xlfn.IFNA(IF(Q$7="Fixed",1,IF(AND($D83="yes",Q$7="Block"),INDEX($O623:$Q623,1,MATCH(Q$5,$I17:$K17,0)),INDEX(Movements!$G623:$M623,1,MATCH(Q$7,Movements!$G$614:$M$614,0))))
*Q893*Q$8,0)</f>
        <v>0</v>
      </c>
      <c r="R149" s="198">
        <f>_xlfn.IFNA(IF(R$7="Fixed",1,IF(AND($D83="yes",R$7="Block"),INDEX($O623:$Q623,1,MATCH(R$5,$I17:$K17,0)),INDEX(Movements!$G623:$M623,1,MATCH(R$7,Movements!$G$614:$M$614,0))))
*R893*R$8,0)</f>
        <v>0</v>
      </c>
      <c r="S149" s="198">
        <f>_xlfn.IFNA(IF(S$7="Fixed",1,IF(AND($D83="yes",S$7="Block"),INDEX($O623:$Q623,1,MATCH(S$5,$I17:$K17,0)),INDEX(Movements!$G623:$M623,1,MATCH(S$7,Movements!$G$614:$M$614,0))))
*S893*S$8,0)</f>
        <v>0</v>
      </c>
      <c r="T149" s="198">
        <f>_xlfn.IFNA(IF(T$7="Fixed",1,IF(AND($D83="yes",T$7="Block"),INDEX($O623:$Q623,1,MATCH(T$5,$I17:$K17,0)),INDEX(Movements!$G623:$M623,1,MATCH(T$7,Movements!$G$614:$M$614,0))))
*T893*T$8,0)</f>
        <v>0</v>
      </c>
      <c r="U149" s="198">
        <f>_xlfn.IFNA(IF(U$7="Fixed",1,IF(AND($D83="yes",U$7="Block"),INDEX($O623:$Q623,1,MATCH(U$5,$I17:$K17,0)),INDEX(Movements!$G623:$M623,1,MATCH(U$7,Movements!$G$614:$M$614,0))))
*U893*U$8,0)</f>
        <v>0</v>
      </c>
      <c r="V149" s="198">
        <f>_xlfn.IFNA(IF(V$7="Fixed",1,IF(AND($D83="yes",V$7="Block"),INDEX($O623:$Q623,1,MATCH(V$5,$I17:$K17,0)),INDEX(Movements!$G623:$M623,1,MATCH(V$7,Movements!$G$614:$M$614,0))))
*V893*V$8,0)</f>
        <v>0</v>
      </c>
      <c r="W149" s="198">
        <f>_xlfn.IFNA(IF(W$7="Fixed",1,IF(AND($D83="yes",W$7="Block"),INDEX($O623:$Q623,1,MATCH(W$5,$I17:$K17,0)),INDEX(Movements!$G623:$M623,1,MATCH(W$7,Movements!$G$614:$M$614,0))))
*W893*W$8,0)</f>
        <v>0</v>
      </c>
      <c r="X149" s="198">
        <f>_xlfn.IFNA(IF(X$7="Fixed",1,IF(AND($D83="yes",X$7="Block"),INDEX($O623:$Q623,1,MATCH(X$5,$I17:$K17,0)),INDEX(Movements!$G623:$M623,1,MATCH(X$7,Movements!$G$614:$M$614,0))))
*X893*X$8,0)</f>
        <v>0</v>
      </c>
      <c r="Y149" s="198">
        <f>_xlfn.IFNA(IF(Y$7="Fixed",1,IF(AND($D83="yes",Y$7="Block"),INDEX($O623:$Q623,1,MATCH(Y$5,$I17:$K17,0)),INDEX(Movements!$G623:$M623,1,MATCH(Y$7,Movements!$G$614:$M$614,0))))
*Y893*Y$8,0)</f>
        <v>0</v>
      </c>
      <c r="Z149" s="198">
        <f>_xlfn.IFNA(IF(Z$7="Fixed",1,IF(AND($D83="yes",Z$7="Block"),INDEX($O623:$Q623,1,MATCH(Z$5,$I17:$K17,0)),INDEX(Movements!$G623:$M623,1,MATCH(Z$7,Movements!$G$614:$M$614,0))))
*Z893*Z$8,0)</f>
        <v>0</v>
      </c>
      <c r="AA149" s="198">
        <f>_xlfn.IFNA(IF(AA$7="Fixed",1,IF(AND($D83="yes",AA$7="Block"),INDEX($O623:$Q623,1,MATCH(AA$5,$I17:$K17,0)),INDEX(Movements!$G623:$M623,1,MATCH(AA$7,Movements!$G$614:$M$614,0))))
*AA893*AA$8,0)</f>
        <v>0</v>
      </c>
      <c r="AB149" s="198">
        <f>_xlfn.IFNA(IF(AB$7="Fixed",1,IF(AND($D83="yes",AB$7="Block"),INDEX($O623:$Q623,1,MATCH(AB$5,$I17:$K17,0)),INDEX(Movements!$G623:$M623,1,MATCH(AB$7,Movements!$G$614:$M$614,0))))
*AB893*AB$8,0)</f>
        <v>0</v>
      </c>
      <c r="AC149" s="70"/>
      <c r="AD149" s="19"/>
      <c r="AE149" s="19"/>
      <c r="AF149" s="19"/>
      <c r="AG149" s="19"/>
    </row>
    <row r="150" spans="1:33" hidden="1" outlineLevel="3" x14ac:dyDescent="0.2">
      <c r="A150" s="19"/>
      <c r="B150" s="19"/>
      <c r="C150" s="506">
        <f t="shared" si="7"/>
        <v>0</v>
      </c>
      <c r="D150" s="505">
        <f t="shared" si="7"/>
        <v>0</v>
      </c>
      <c r="E150" s="505">
        <f t="shared" si="7"/>
        <v>0</v>
      </c>
      <c r="F150" s="58"/>
      <c r="G150" s="199">
        <f t="shared" si="8"/>
        <v>0</v>
      </c>
      <c r="H150" s="58"/>
      <c r="I150" s="198">
        <f>_xlfn.IFNA(IF(I$7="Fixed",1,IF(AND($D84="yes",I$7="Block"),INDEX($O624:$Q624,1,MATCH(I$5,$I18:$K18,0)),INDEX(Movements!$G624:$M624,1,MATCH(I$7,Movements!$G$614:$M$614,0))))
*I894*I$8,0)</f>
        <v>0</v>
      </c>
      <c r="J150" s="198">
        <f>_xlfn.IFNA(IF(J$7="Fixed",1,IF(AND($D84="yes",J$7="Block"),INDEX($O624:$Q624,1,MATCH(J$5,$I18:$K18,0)),INDEX(Movements!$G624:$M624,1,MATCH(J$7,Movements!$G$614:$M$614,0))))
*J894*J$8,0)</f>
        <v>0</v>
      </c>
      <c r="K150" s="198">
        <f>_xlfn.IFNA(IF(K$7="Fixed",1,IF(AND($D84="yes",K$7="Block"),INDEX($O624:$Q624,1,MATCH(K$5,$I18:$K18,0)),INDEX(Movements!$G624:$M624,1,MATCH(K$7,Movements!$G$614:$M$614,0))))
*K894*K$8,0)</f>
        <v>0</v>
      </c>
      <c r="L150" s="198">
        <f>_xlfn.IFNA(IF(L$7="Fixed",1,IF(AND($D84="yes",L$7="Block"),INDEX($O624:$Q624,1,MATCH(L$5,$I18:$K18,0)),INDEX(Movements!$G624:$M624,1,MATCH(L$7,Movements!$G$614:$M$614,0))))
*L894*L$8,0)</f>
        <v>0</v>
      </c>
      <c r="M150" s="198">
        <f>_xlfn.IFNA(IF(M$7="Fixed",1,IF(AND($D84="yes",M$7="Block"),INDEX($O624:$Q624,1,MATCH(M$5,$I18:$K18,0)),INDEX(Movements!$G624:$M624,1,MATCH(M$7,Movements!$G$614:$M$614,0))))
*M894*M$8,0)</f>
        <v>0</v>
      </c>
      <c r="N150" s="198">
        <f>_xlfn.IFNA(IF(N$7="Fixed",1,IF(AND($D84="yes",N$7="Block"),INDEX($O624:$Q624,1,MATCH(N$5,$I18:$K18,0)),INDEX(Movements!$G624:$M624,1,MATCH(N$7,Movements!$G$614:$M$614,0))))
*N894*N$8,0)</f>
        <v>0</v>
      </c>
      <c r="O150" s="198">
        <f>_xlfn.IFNA(IF(O$7="Fixed",1,IF(AND($D84="yes",O$7="Block"),INDEX($O624:$Q624,1,MATCH(O$5,$I18:$K18,0)),INDEX(Movements!$G624:$M624,1,MATCH(O$7,Movements!$G$614:$M$614,0))))
*O894*O$8,0)</f>
        <v>0</v>
      </c>
      <c r="P150" s="198">
        <f>_xlfn.IFNA(IF(P$7="Fixed",1,IF(AND($D84="yes",P$7="Block"),INDEX($O624:$Q624,1,MATCH(P$5,$I18:$K18,0)),INDEX(Movements!$G624:$M624,1,MATCH(P$7,Movements!$G$614:$M$614,0))))
*P894*P$8,0)</f>
        <v>0</v>
      </c>
      <c r="Q150" s="198">
        <f>_xlfn.IFNA(IF(Q$7="Fixed",1,IF(AND($D84="yes",Q$7="Block"),INDEX($O624:$Q624,1,MATCH(Q$5,$I18:$K18,0)),INDEX(Movements!$G624:$M624,1,MATCH(Q$7,Movements!$G$614:$M$614,0))))
*Q894*Q$8,0)</f>
        <v>0</v>
      </c>
      <c r="R150" s="198">
        <f>_xlfn.IFNA(IF(R$7="Fixed",1,IF(AND($D84="yes",R$7="Block"),INDEX($O624:$Q624,1,MATCH(R$5,$I18:$K18,0)),INDEX(Movements!$G624:$M624,1,MATCH(R$7,Movements!$G$614:$M$614,0))))
*R894*R$8,0)</f>
        <v>0</v>
      </c>
      <c r="S150" s="198">
        <f>_xlfn.IFNA(IF(S$7="Fixed",1,IF(AND($D84="yes",S$7="Block"),INDEX($O624:$Q624,1,MATCH(S$5,$I18:$K18,0)),INDEX(Movements!$G624:$M624,1,MATCH(S$7,Movements!$G$614:$M$614,0))))
*S894*S$8,0)</f>
        <v>0</v>
      </c>
      <c r="T150" s="198">
        <f>_xlfn.IFNA(IF(T$7="Fixed",1,IF(AND($D84="yes",T$7="Block"),INDEX($O624:$Q624,1,MATCH(T$5,$I18:$K18,0)),INDEX(Movements!$G624:$M624,1,MATCH(T$7,Movements!$G$614:$M$614,0))))
*T894*T$8,0)</f>
        <v>0</v>
      </c>
      <c r="U150" s="198">
        <f>_xlfn.IFNA(IF(U$7="Fixed",1,IF(AND($D84="yes",U$7="Block"),INDEX($O624:$Q624,1,MATCH(U$5,$I18:$K18,0)),INDEX(Movements!$G624:$M624,1,MATCH(U$7,Movements!$G$614:$M$614,0))))
*U894*U$8,0)</f>
        <v>0</v>
      </c>
      <c r="V150" s="198">
        <f>_xlfn.IFNA(IF(V$7="Fixed",1,IF(AND($D84="yes",V$7="Block"),INDEX($O624:$Q624,1,MATCH(V$5,$I18:$K18,0)),INDEX(Movements!$G624:$M624,1,MATCH(V$7,Movements!$G$614:$M$614,0))))
*V894*V$8,0)</f>
        <v>0</v>
      </c>
      <c r="W150" s="198">
        <f>_xlfn.IFNA(IF(W$7="Fixed",1,IF(AND($D84="yes",W$7="Block"),INDEX($O624:$Q624,1,MATCH(W$5,$I18:$K18,0)),INDEX(Movements!$G624:$M624,1,MATCH(W$7,Movements!$G$614:$M$614,0))))
*W894*W$8,0)</f>
        <v>0</v>
      </c>
      <c r="X150" s="198">
        <f>_xlfn.IFNA(IF(X$7="Fixed",1,IF(AND($D84="yes",X$7="Block"),INDEX($O624:$Q624,1,MATCH(X$5,$I18:$K18,0)),INDEX(Movements!$G624:$M624,1,MATCH(X$7,Movements!$G$614:$M$614,0))))
*X894*X$8,0)</f>
        <v>0</v>
      </c>
      <c r="Y150" s="198">
        <f>_xlfn.IFNA(IF(Y$7="Fixed",1,IF(AND($D84="yes",Y$7="Block"),INDEX($O624:$Q624,1,MATCH(Y$5,$I18:$K18,0)),INDEX(Movements!$G624:$M624,1,MATCH(Y$7,Movements!$G$614:$M$614,0))))
*Y894*Y$8,0)</f>
        <v>0</v>
      </c>
      <c r="Z150" s="198">
        <f>_xlfn.IFNA(IF(Z$7="Fixed",1,IF(AND($D84="yes",Z$7="Block"),INDEX($O624:$Q624,1,MATCH(Z$5,$I18:$K18,0)),INDEX(Movements!$G624:$M624,1,MATCH(Z$7,Movements!$G$614:$M$614,0))))
*Z894*Z$8,0)</f>
        <v>0</v>
      </c>
      <c r="AA150" s="198">
        <f>_xlfn.IFNA(IF(AA$7="Fixed",1,IF(AND($D84="yes",AA$7="Block"),INDEX($O624:$Q624,1,MATCH(AA$5,$I18:$K18,0)),INDEX(Movements!$G624:$M624,1,MATCH(AA$7,Movements!$G$614:$M$614,0))))
*AA894*AA$8,0)</f>
        <v>0</v>
      </c>
      <c r="AB150" s="198">
        <f>_xlfn.IFNA(IF(AB$7="Fixed",1,IF(AND($D84="yes",AB$7="Block"),INDEX($O624:$Q624,1,MATCH(AB$5,$I18:$K18,0)),INDEX(Movements!$G624:$M624,1,MATCH(AB$7,Movements!$G$614:$M$614,0))))
*AB894*AB$8,0)</f>
        <v>0</v>
      </c>
      <c r="AC150" s="70"/>
      <c r="AD150" s="19"/>
      <c r="AE150" s="19"/>
      <c r="AF150" s="19"/>
      <c r="AG150" s="19"/>
    </row>
    <row r="151" spans="1:33" hidden="1" outlineLevel="3" x14ac:dyDescent="0.2">
      <c r="A151" s="19"/>
      <c r="B151" s="19"/>
      <c r="C151" s="506">
        <f t="shared" si="7"/>
        <v>0</v>
      </c>
      <c r="D151" s="505">
        <f t="shared" si="7"/>
        <v>0</v>
      </c>
      <c r="E151" s="505">
        <f t="shared" si="7"/>
        <v>0</v>
      </c>
      <c r="F151" s="58"/>
      <c r="G151" s="199">
        <f t="shared" si="8"/>
        <v>0</v>
      </c>
      <c r="H151" s="58"/>
      <c r="I151" s="198">
        <f>_xlfn.IFNA(IF(I$7="Fixed",1,IF(AND($D85="yes",I$7="Block"),INDEX($O625:$Q625,1,MATCH(I$5,$I19:$K19,0)),INDEX(Movements!$G625:$M625,1,MATCH(I$7,Movements!$G$614:$M$614,0))))
*I895*I$8,0)</f>
        <v>0</v>
      </c>
      <c r="J151" s="198">
        <f>_xlfn.IFNA(IF(J$7="Fixed",1,IF(AND($D85="yes",J$7="Block"),INDEX($O625:$Q625,1,MATCH(J$5,$I19:$K19,0)),INDEX(Movements!$G625:$M625,1,MATCH(J$7,Movements!$G$614:$M$614,0))))
*J895*J$8,0)</f>
        <v>0</v>
      </c>
      <c r="K151" s="198">
        <f>_xlfn.IFNA(IF(K$7="Fixed",1,IF(AND($D85="yes",K$7="Block"),INDEX($O625:$Q625,1,MATCH(K$5,$I19:$K19,0)),INDEX(Movements!$G625:$M625,1,MATCH(K$7,Movements!$G$614:$M$614,0))))
*K895*K$8,0)</f>
        <v>0</v>
      </c>
      <c r="L151" s="198">
        <f>_xlfn.IFNA(IF(L$7="Fixed",1,IF(AND($D85="yes",L$7="Block"),INDEX($O625:$Q625,1,MATCH(L$5,$I19:$K19,0)),INDEX(Movements!$G625:$M625,1,MATCH(L$7,Movements!$G$614:$M$614,0))))
*L895*L$8,0)</f>
        <v>0</v>
      </c>
      <c r="M151" s="198">
        <f>_xlfn.IFNA(IF(M$7="Fixed",1,IF(AND($D85="yes",M$7="Block"),INDEX($O625:$Q625,1,MATCH(M$5,$I19:$K19,0)),INDEX(Movements!$G625:$M625,1,MATCH(M$7,Movements!$G$614:$M$614,0))))
*M895*M$8,0)</f>
        <v>0</v>
      </c>
      <c r="N151" s="198">
        <f>_xlfn.IFNA(IF(N$7="Fixed",1,IF(AND($D85="yes",N$7="Block"),INDEX($O625:$Q625,1,MATCH(N$5,$I19:$K19,0)),INDEX(Movements!$G625:$M625,1,MATCH(N$7,Movements!$G$614:$M$614,0))))
*N895*N$8,0)</f>
        <v>0</v>
      </c>
      <c r="O151" s="198">
        <f>_xlfn.IFNA(IF(O$7="Fixed",1,IF(AND($D85="yes",O$7="Block"),INDEX($O625:$Q625,1,MATCH(O$5,$I19:$K19,0)),INDEX(Movements!$G625:$M625,1,MATCH(O$7,Movements!$G$614:$M$614,0))))
*O895*O$8,0)</f>
        <v>0</v>
      </c>
      <c r="P151" s="198">
        <f>_xlfn.IFNA(IF(P$7="Fixed",1,IF(AND($D85="yes",P$7="Block"),INDEX($O625:$Q625,1,MATCH(P$5,$I19:$K19,0)),INDEX(Movements!$G625:$M625,1,MATCH(P$7,Movements!$G$614:$M$614,0))))
*P895*P$8,0)</f>
        <v>0</v>
      </c>
      <c r="Q151" s="198">
        <f>_xlfn.IFNA(IF(Q$7="Fixed",1,IF(AND($D85="yes",Q$7="Block"),INDEX($O625:$Q625,1,MATCH(Q$5,$I19:$K19,0)),INDEX(Movements!$G625:$M625,1,MATCH(Q$7,Movements!$G$614:$M$614,0))))
*Q895*Q$8,0)</f>
        <v>0</v>
      </c>
      <c r="R151" s="198">
        <f>_xlfn.IFNA(IF(R$7="Fixed",1,IF(AND($D85="yes",R$7="Block"),INDEX($O625:$Q625,1,MATCH(R$5,$I19:$K19,0)),INDEX(Movements!$G625:$M625,1,MATCH(R$7,Movements!$G$614:$M$614,0))))
*R895*R$8,0)</f>
        <v>0</v>
      </c>
      <c r="S151" s="198">
        <f>_xlfn.IFNA(IF(S$7="Fixed",1,IF(AND($D85="yes",S$7="Block"),INDEX($O625:$Q625,1,MATCH(S$5,$I19:$K19,0)),INDEX(Movements!$G625:$M625,1,MATCH(S$7,Movements!$G$614:$M$614,0))))
*S895*S$8,0)</f>
        <v>0</v>
      </c>
      <c r="T151" s="198">
        <f>_xlfn.IFNA(IF(T$7="Fixed",1,IF(AND($D85="yes",T$7="Block"),INDEX($O625:$Q625,1,MATCH(T$5,$I19:$K19,0)),INDEX(Movements!$G625:$M625,1,MATCH(T$7,Movements!$G$614:$M$614,0))))
*T895*T$8,0)</f>
        <v>0</v>
      </c>
      <c r="U151" s="198">
        <f>_xlfn.IFNA(IF(U$7="Fixed",1,IF(AND($D85="yes",U$7="Block"),INDEX($O625:$Q625,1,MATCH(U$5,$I19:$K19,0)),INDEX(Movements!$G625:$M625,1,MATCH(U$7,Movements!$G$614:$M$614,0))))
*U895*U$8,0)</f>
        <v>0</v>
      </c>
      <c r="V151" s="198">
        <f>_xlfn.IFNA(IF(V$7="Fixed",1,IF(AND($D85="yes",V$7="Block"),INDEX($O625:$Q625,1,MATCH(V$5,$I19:$K19,0)),INDEX(Movements!$G625:$M625,1,MATCH(V$7,Movements!$G$614:$M$614,0))))
*V895*V$8,0)</f>
        <v>0</v>
      </c>
      <c r="W151" s="198">
        <f>_xlfn.IFNA(IF(W$7="Fixed",1,IF(AND($D85="yes",W$7="Block"),INDEX($O625:$Q625,1,MATCH(W$5,$I19:$K19,0)),INDEX(Movements!$G625:$M625,1,MATCH(W$7,Movements!$G$614:$M$614,0))))
*W895*W$8,0)</f>
        <v>0</v>
      </c>
      <c r="X151" s="198">
        <f>_xlfn.IFNA(IF(X$7="Fixed",1,IF(AND($D85="yes",X$7="Block"),INDEX($O625:$Q625,1,MATCH(X$5,$I19:$K19,0)),INDEX(Movements!$G625:$M625,1,MATCH(X$7,Movements!$G$614:$M$614,0))))
*X895*X$8,0)</f>
        <v>0</v>
      </c>
      <c r="Y151" s="198">
        <f>_xlfn.IFNA(IF(Y$7="Fixed",1,IF(AND($D85="yes",Y$7="Block"),INDEX($O625:$Q625,1,MATCH(Y$5,$I19:$K19,0)),INDEX(Movements!$G625:$M625,1,MATCH(Y$7,Movements!$G$614:$M$614,0))))
*Y895*Y$8,0)</f>
        <v>0</v>
      </c>
      <c r="Z151" s="198">
        <f>_xlfn.IFNA(IF(Z$7="Fixed",1,IF(AND($D85="yes",Z$7="Block"),INDEX($O625:$Q625,1,MATCH(Z$5,$I19:$K19,0)),INDEX(Movements!$G625:$M625,1,MATCH(Z$7,Movements!$G$614:$M$614,0))))
*Z895*Z$8,0)</f>
        <v>0</v>
      </c>
      <c r="AA151" s="198">
        <f>_xlfn.IFNA(IF(AA$7="Fixed",1,IF(AND($D85="yes",AA$7="Block"),INDEX($O625:$Q625,1,MATCH(AA$5,$I19:$K19,0)),INDEX(Movements!$G625:$M625,1,MATCH(AA$7,Movements!$G$614:$M$614,0))))
*AA895*AA$8,0)</f>
        <v>0</v>
      </c>
      <c r="AB151" s="198">
        <f>_xlfn.IFNA(IF(AB$7="Fixed",1,IF(AND($D85="yes",AB$7="Block"),INDEX($O625:$Q625,1,MATCH(AB$5,$I19:$K19,0)),INDEX(Movements!$G625:$M625,1,MATCH(AB$7,Movements!$G$614:$M$614,0))))
*AB895*AB$8,0)</f>
        <v>0</v>
      </c>
      <c r="AC151" s="70"/>
      <c r="AD151" s="19"/>
      <c r="AE151" s="19"/>
      <c r="AF151" s="19"/>
      <c r="AG151" s="19"/>
    </row>
    <row r="152" spans="1:33" hidden="1" outlineLevel="3" x14ac:dyDescent="0.2">
      <c r="A152" s="19"/>
      <c r="B152" s="19"/>
      <c r="C152" s="506">
        <f t="shared" si="7"/>
        <v>0</v>
      </c>
      <c r="D152" s="505">
        <f t="shared" si="7"/>
        <v>0</v>
      </c>
      <c r="E152" s="505">
        <f t="shared" si="7"/>
        <v>0</v>
      </c>
      <c r="F152" s="58"/>
      <c r="G152" s="199">
        <f t="shared" si="8"/>
        <v>0</v>
      </c>
      <c r="H152" s="58"/>
      <c r="I152" s="198">
        <f>_xlfn.IFNA(IF(I$7="Fixed",1,IF(AND($D86="yes",I$7="Block"),INDEX($O626:$Q626,1,MATCH(I$5,$I20:$K20,0)),INDEX(Movements!$G626:$M626,1,MATCH(I$7,Movements!$G$614:$M$614,0))))
*I896*I$8,0)</f>
        <v>0</v>
      </c>
      <c r="J152" s="198">
        <f>_xlfn.IFNA(IF(J$7="Fixed",1,IF(AND($D86="yes",J$7="Block"),INDEX($O626:$Q626,1,MATCH(J$5,$I20:$K20,0)),INDEX(Movements!$G626:$M626,1,MATCH(J$7,Movements!$G$614:$M$614,0))))
*J896*J$8,0)</f>
        <v>0</v>
      </c>
      <c r="K152" s="198">
        <f>_xlfn.IFNA(IF(K$7="Fixed",1,IF(AND($D86="yes",K$7="Block"),INDEX($O626:$Q626,1,MATCH(K$5,$I20:$K20,0)),INDEX(Movements!$G626:$M626,1,MATCH(K$7,Movements!$G$614:$M$614,0))))
*K896*K$8,0)</f>
        <v>0</v>
      </c>
      <c r="L152" s="198">
        <f>_xlfn.IFNA(IF(L$7="Fixed",1,IF(AND($D86="yes",L$7="Block"),INDEX($O626:$Q626,1,MATCH(L$5,$I20:$K20,0)),INDEX(Movements!$G626:$M626,1,MATCH(L$7,Movements!$G$614:$M$614,0))))
*L896*L$8,0)</f>
        <v>0</v>
      </c>
      <c r="M152" s="198">
        <f>_xlfn.IFNA(IF(M$7="Fixed",1,IF(AND($D86="yes",M$7="Block"),INDEX($O626:$Q626,1,MATCH(M$5,$I20:$K20,0)),INDEX(Movements!$G626:$M626,1,MATCH(M$7,Movements!$G$614:$M$614,0))))
*M896*M$8,0)</f>
        <v>0</v>
      </c>
      <c r="N152" s="198">
        <f>_xlfn.IFNA(IF(N$7="Fixed",1,IF(AND($D86="yes",N$7="Block"),INDEX($O626:$Q626,1,MATCH(N$5,$I20:$K20,0)),INDEX(Movements!$G626:$M626,1,MATCH(N$7,Movements!$G$614:$M$614,0))))
*N896*N$8,0)</f>
        <v>0</v>
      </c>
      <c r="O152" s="198">
        <f>_xlfn.IFNA(IF(O$7="Fixed",1,IF(AND($D86="yes",O$7="Block"),INDEX($O626:$Q626,1,MATCH(O$5,$I20:$K20,0)),INDEX(Movements!$G626:$M626,1,MATCH(O$7,Movements!$G$614:$M$614,0))))
*O896*O$8,0)</f>
        <v>0</v>
      </c>
      <c r="P152" s="198">
        <f>_xlfn.IFNA(IF(P$7="Fixed",1,IF(AND($D86="yes",P$7="Block"),INDEX($O626:$Q626,1,MATCH(P$5,$I20:$K20,0)),INDEX(Movements!$G626:$M626,1,MATCH(P$7,Movements!$G$614:$M$614,0))))
*P896*P$8,0)</f>
        <v>0</v>
      </c>
      <c r="Q152" s="198">
        <f>_xlfn.IFNA(IF(Q$7="Fixed",1,IF(AND($D86="yes",Q$7="Block"),INDEX($O626:$Q626,1,MATCH(Q$5,$I20:$K20,0)),INDEX(Movements!$G626:$M626,1,MATCH(Q$7,Movements!$G$614:$M$614,0))))
*Q896*Q$8,0)</f>
        <v>0</v>
      </c>
      <c r="R152" s="198">
        <f>_xlfn.IFNA(IF(R$7="Fixed",1,IF(AND($D86="yes",R$7="Block"),INDEX($O626:$Q626,1,MATCH(R$5,$I20:$K20,0)),INDEX(Movements!$G626:$M626,1,MATCH(R$7,Movements!$G$614:$M$614,0))))
*R896*R$8,0)</f>
        <v>0</v>
      </c>
      <c r="S152" s="198">
        <f>_xlfn.IFNA(IF(S$7="Fixed",1,IF(AND($D86="yes",S$7="Block"),INDEX($O626:$Q626,1,MATCH(S$5,$I20:$K20,0)),INDEX(Movements!$G626:$M626,1,MATCH(S$7,Movements!$G$614:$M$614,0))))
*S896*S$8,0)</f>
        <v>0</v>
      </c>
      <c r="T152" s="198">
        <f>_xlfn.IFNA(IF(T$7="Fixed",1,IF(AND($D86="yes",T$7="Block"),INDEX($O626:$Q626,1,MATCH(T$5,$I20:$K20,0)),INDEX(Movements!$G626:$M626,1,MATCH(T$7,Movements!$G$614:$M$614,0))))
*T896*T$8,0)</f>
        <v>0</v>
      </c>
      <c r="U152" s="198">
        <f>_xlfn.IFNA(IF(U$7="Fixed",1,IF(AND($D86="yes",U$7="Block"),INDEX($O626:$Q626,1,MATCH(U$5,$I20:$K20,0)),INDEX(Movements!$G626:$M626,1,MATCH(U$7,Movements!$G$614:$M$614,0))))
*U896*U$8,0)</f>
        <v>0</v>
      </c>
      <c r="V152" s="198">
        <f>_xlfn.IFNA(IF(V$7="Fixed",1,IF(AND($D86="yes",V$7="Block"),INDEX($O626:$Q626,1,MATCH(V$5,$I20:$K20,0)),INDEX(Movements!$G626:$M626,1,MATCH(V$7,Movements!$G$614:$M$614,0))))
*V896*V$8,0)</f>
        <v>0</v>
      </c>
      <c r="W152" s="198">
        <f>_xlfn.IFNA(IF(W$7="Fixed",1,IF(AND($D86="yes",W$7="Block"),INDEX($O626:$Q626,1,MATCH(W$5,$I20:$K20,0)),INDEX(Movements!$G626:$M626,1,MATCH(W$7,Movements!$G$614:$M$614,0))))
*W896*W$8,0)</f>
        <v>0</v>
      </c>
      <c r="X152" s="198">
        <f>_xlfn.IFNA(IF(X$7="Fixed",1,IF(AND($D86="yes",X$7="Block"),INDEX($O626:$Q626,1,MATCH(X$5,$I20:$K20,0)),INDEX(Movements!$G626:$M626,1,MATCH(X$7,Movements!$G$614:$M$614,0))))
*X896*X$8,0)</f>
        <v>0</v>
      </c>
      <c r="Y152" s="198">
        <f>_xlfn.IFNA(IF(Y$7="Fixed",1,IF(AND($D86="yes",Y$7="Block"),INDEX($O626:$Q626,1,MATCH(Y$5,$I20:$K20,0)),INDEX(Movements!$G626:$M626,1,MATCH(Y$7,Movements!$G$614:$M$614,0))))
*Y896*Y$8,0)</f>
        <v>0</v>
      </c>
      <c r="Z152" s="198">
        <f>_xlfn.IFNA(IF(Z$7="Fixed",1,IF(AND($D86="yes",Z$7="Block"),INDEX($O626:$Q626,1,MATCH(Z$5,$I20:$K20,0)),INDEX(Movements!$G626:$M626,1,MATCH(Z$7,Movements!$G$614:$M$614,0))))
*Z896*Z$8,0)</f>
        <v>0</v>
      </c>
      <c r="AA152" s="198">
        <f>_xlfn.IFNA(IF(AA$7="Fixed",1,IF(AND($D86="yes",AA$7="Block"),INDEX($O626:$Q626,1,MATCH(AA$5,$I20:$K20,0)),INDEX(Movements!$G626:$M626,1,MATCH(AA$7,Movements!$G$614:$M$614,0))))
*AA896*AA$8,0)</f>
        <v>0</v>
      </c>
      <c r="AB152" s="198">
        <f>_xlfn.IFNA(IF(AB$7="Fixed",1,IF(AND($D86="yes",AB$7="Block"),INDEX($O626:$Q626,1,MATCH(AB$5,$I20:$K20,0)),INDEX(Movements!$G626:$M626,1,MATCH(AB$7,Movements!$G$614:$M$614,0))))
*AB896*AB$8,0)</f>
        <v>0</v>
      </c>
      <c r="AC152" s="70"/>
      <c r="AD152" s="19"/>
      <c r="AE152" s="19"/>
      <c r="AF152" s="19"/>
      <c r="AG152" s="19"/>
    </row>
    <row r="153" spans="1:33" hidden="1" outlineLevel="3" x14ac:dyDescent="0.2">
      <c r="A153" s="19"/>
      <c r="B153" s="19"/>
      <c r="C153" s="506">
        <f t="shared" si="7"/>
        <v>0</v>
      </c>
      <c r="D153" s="505">
        <f t="shared" si="7"/>
        <v>0</v>
      </c>
      <c r="E153" s="505">
        <f t="shared" si="7"/>
        <v>0</v>
      </c>
      <c r="F153" s="58"/>
      <c r="G153" s="199">
        <f t="shared" si="8"/>
        <v>0</v>
      </c>
      <c r="H153" s="58"/>
      <c r="I153" s="198">
        <f>_xlfn.IFNA(IF(I$7="Fixed",1,IF(AND($D87="yes",I$7="Block"),INDEX($O627:$Q627,1,MATCH(I$5,$I21:$K21,0)),INDEX(Movements!$G627:$M627,1,MATCH(I$7,Movements!$G$614:$M$614,0))))
*I897*I$8,0)</f>
        <v>0</v>
      </c>
      <c r="J153" s="198">
        <f>_xlfn.IFNA(IF(J$7="Fixed",1,IF(AND($D87="yes",J$7="Block"),INDEX($O627:$Q627,1,MATCH(J$5,$I21:$K21,0)),INDEX(Movements!$G627:$M627,1,MATCH(J$7,Movements!$G$614:$M$614,0))))
*J897*J$8,0)</f>
        <v>0</v>
      </c>
      <c r="K153" s="198">
        <f>_xlfn.IFNA(IF(K$7="Fixed",1,IF(AND($D87="yes",K$7="Block"),INDEX($O627:$Q627,1,MATCH(K$5,$I21:$K21,0)),INDEX(Movements!$G627:$M627,1,MATCH(K$7,Movements!$G$614:$M$614,0))))
*K897*K$8,0)</f>
        <v>0</v>
      </c>
      <c r="L153" s="198">
        <f>_xlfn.IFNA(IF(L$7="Fixed",1,IF(AND($D87="yes",L$7="Block"),INDEX($O627:$Q627,1,MATCH(L$5,$I21:$K21,0)),INDEX(Movements!$G627:$M627,1,MATCH(L$7,Movements!$G$614:$M$614,0))))
*L897*L$8,0)</f>
        <v>0</v>
      </c>
      <c r="M153" s="198">
        <f>_xlfn.IFNA(IF(M$7="Fixed",1,IF(AND($D87="yes",M$7="Block"),INDEX($O627:$Q627,1,MATCH(M$5,$I21:$K21,0)),INDEX(Movements!$G627:$M627,1,MATCH(M$7,Movements!$G$614:$M$614,0))))
*M897*M$8,0)</f>
        <v>0</v>
      </c>
      <c r="N153" s="198">
        <f>_xlfn.IFNA(IF(N$7="Fixed",1,IF(AND($D87="yes",N$7="Block"),INDEX($O627:$Q627,1,MATCH(N$5,$I21:$K21,0)),INDEX(Movements!$G627:$M627,1,MATCH(N$7,Movements!$G$614:$M$614,0))))
*N897*N$8,0)</f>
        <v>0</v>
      </c>
      <c r="O153" s="198">
        <f>_xlfn.IFNA(IF(O$7="Fixed",1,IF(AND($D87="yes",O$7="Block"),INDEX($O627:$Q627,1,MATCH(O$5,$I21:$K21,0)),INDEX(Movements!$G627:$M627,1,MATCH(O$7,Movements!$G$614:$M$614,0))))
*O897*O$8,0)</f>
        <v>0</v>
      </c>
      <c r="P153" s="198">
        <f>_xlfn.IFNA(IF(P$7="Fixed",1,IF(AND($D87="yes",P$7="Block"),INDEX($O627:$Q627,1,MATCH(P$5,$I21:$K21,0)),INDEX(Movements!$G627:$M627,1,MATCH(P$7,Movements!$G$614:$M$614,0))))
*P897*P$8,0)</f>
        <v>0</v>
      </c>
      <c r="Q153" s="198">
        <f>_xlfn.IFNA(IF(Q$7="Fixed",1,IF(AND($D87="yes",Q$7="Block"),INDEX($O627:$Q627,1,MATCH(Q$5,$I21:$K21,0)),INDEX(Movements!$G627:$M627,1,MATCH(Q$7,Movements!$G$614:$M$614,0))))
*Q897*Q$8,0)</f>
        <v>0</v>
      </c>
      <c r="R153" s="198">
        <f>_xlfn.IFNA(IF(R$7="Fixed",1,IF(AND($D87="yes",R$7="Block"),INDEX($O627:$Q627,1,MATCH(R$5,$I21:$K21,0)),INDEX(Movements!$G627:$M627,1,MATCH(R$7,Movements!$G$614:$M$614,0))))
*R897*R$8,0)</f>
        <v>0</v>
      </c>
      <c r="S153" s="198">
        <f>_xlfn.IFNA(IF(S$7="Fixed",1,IF(AND($D87="yes",S$7="Block"),INDEX($O627:$Q627,1,MATCH(S$5,$I21:$K21,0)),INDEX(Movements!$G627:$M627,1,MATCH(S$7,Movements!$G$614:$M$614,0))))
*S897*S$8,0)</f>
        <v>0</v>
      </c>
      <c r="T153" s="198">
        <f>_xlfn.IFNA(IF(T$7="Fixed",1,IF(AND($D87="yes",T$7="Block"),INDEX($O627:$Q627,1,MATCH(T$5,$I21:$K21,0)),INDEX(Movements!$G627:$M627,1,MATCH(T$7,Movements!$G$614:$M$614,0))))
*T897*T$8,0)</f>
        <v>0</v>
      </c>
      <c r="U153" s="198">
        <f>_xlfn.IFNA(IF(U$7="Fixed",1,IF(AND($D87="yes",U$7="Block"),INDEX($O627:$Q627,1,MATCH(U$5,$I21:$K21,0)),INDEX(Movements!$G627:$M627,1,MATCH(U$7,Movements!$G$614:$M$614,0))))
*U897*U$8,0)</f>
        <v>0</v>
      </c>
      <c r="V153" s="198">
        <f>_xlfn.IFNA(IF(V$7="Fixed",1,IF(AND($D87="yes",V$7="Block"),INDEX($O627:$Q627,1,MATCH(V$5,$I21:$K21,0)),INDEX(Movements!$G627:$M627,1,MATCH(V$7,Movements!$G$614:$M$614,0))))
*V897*V$8,0)</f>
        <v>0</v>
      </c>
      <c r="W153" s="198">
        <f>_xlfn.IFNA(IF(W$7="Fixed",1,IF(AND($D87="yes",W$7="Block"),INDEX($O627:$Q627,1,MATCH(W$5,$I21:$K21,0)),INDEX(Movements!$G627:$M627,1,MATCH(W$7,Movements!$G$614:$M$614,0))))
*W897*W$8,0)</f>
        <v>0</v>
      </c>
      <c r="X153" s="198">
        <f>_xlfn.IFNA(IF(X$7="Fixed",1,IF(AND($D87="yes",X$7="Block"),INDEX($O627:$Q627,1,MATCH(X$5,$I21:$K21,0)),INDEX(Movements!$G627:$M627,1,MATCH(X$7,Movements!$G$614:$M$614,0))))
*X897*X$8,0)</f>
        <v>0</v>
      </c>
      <c r="Y153" s="198">
        <f>_xlfn.IFNA(IF(Y$7="Fixed",1,IF(AND($D87="yes",Y$7="Block"),INDEX($O627:$Q627,1,MATCH(Y$5,$I21:$K21,0)),INDEX(Movements!$G627:$M627,1,MATCH(Y$7,Movements!$G$614:$M$614,0))))
*Y897*Y$8,0)</f>
        <v>0</v>
      </c>
      <c r="Z153" s="198">
        <f>_xlfn.IFNA(IF(Z$7="Fixed",1,IF(AND($D87="yes",Z$7="Block"),INDEX($O627:$Q627,1,MATCH(Z$5,$I21:$K21,0)),INDEX(Movements!$G627:$M627,1,MATCH(Z$7,Movements!$G$614:$M$614,0))))
*Z897*Z$8,0)</f>
        <v>0</v>
      </c>
      <c r="AA153" s="198">
        <f>_xlfn.IFNA(IF(AA$7="Fixed",1,IF(AND($D87="yes",AA$7="Block"),INDEX($O627:$Q627,1,MATCH(AA$5,$I21:$K21,0)),INDEX(Movements!$G627:$M627,1,MATCH(AA$7,Movements!$G$614:$M$614,0))))
*AA897*AA$8,0)</f>
        <v>0</v>
      </c>
      <c r="AB153" s="198">
        <f>_xlfn.IFNA(IF(AB$7="Fixed",1,IF(AND($D87="yes",AB$7="Block"),INDEX($O627:$Q627,1,MATCH(AB$5,$I21:$K21,0)),INDEX(Movements!$G627:$M627,1,MATCH(AB$7,Movements!$G$614:$M$614,0))))
*AB897*AB$8,0)</f>
        <v>0</v>
      </c>
      <c r="AC153" s="70"/>
      <c r="AD153" s="19"/>
      <c r="AE153" s="19"/>
      <c r="AF153" s="19"/>
      <c r="AG153" s="19"/>
    </row>
    <row r="154" spans="1:33" hidden="1" outlineLevel="3" x14ac:dyDescent="0.2">
      <c r="A154" s="19"/>
      <c r="B154" s="19"/>
      <c r="C154" s="506">
        <f t="shared" si="7"/>
        <v>0</v>
      </c>
      <c r="D154" s="505">
        <f t="shared" si="7"/>
        <v>0</v>
      </c>
      <c r="E154" s="505">
        <f t="shared" si="7"/>
        <v>0</v>
      </c>
      <c r="F154" s="58"/>
      <c r="G154" s="199">
        <f t="shared" si="8"/>
        <v>0</v>
      </c>
      <c r="H154" s="58"/>
      <c r="I154" s="198">
        <f>_xlfn.IFNA(IF(I$7="Fixed",1,IF(AND($D88="yes",I$7="Block"),INDEX($O628:$Q628,1,MATCH(I$5,$I22:$K22,0)),INDEX(Movements!$G628:$M628,1,MATCH(I$7,Movements!$G$614:$M$614,0))))
*I898*I$8,0)</f>
        <v>0</v>
      </c>
      <c r="J154" s="198">
        <f>_xlfn.IFNA(IF(J$7="Fixed",1,IF(AND($D88="yes",J$7="Block"),INDEX($O628:$Q628,1,MATCH(J$5,$I22:$K22,0)),INDEX(Movements!$G628:$M628,1,MATCH(J$7,Movements!$G$614:$M$614,0))))
*J898*J$8,0)</f>
        <v>0</v>
      </c>
      <c r="K154" s="198">
        <f>_xlfn.IFNA(IF(K$7="Fixed",1,IF(AND($D88="yes",K$7="Block"),INDEX($O628:$Q628,1,MATCH(K$5,$I22:$K22,0)),INDEX(Movements!$G628:$M628,1,MATCH(K$7,Movements!$G$614:$M$614,0))))
*K898*K$8,0)</f>
        <v>0</v>
      </c>
      <c r="L154" s="198">
        <f>_xlfn.IFNA(IF(L$7="Fixed",1,IF(AND($D88="yes",L$7="Block"),INDEX($O628:$Q628,1,MATCH(L$5,$I22:$K22,0)),INDEX(Movements!$G628:$M628,1,MATCH(L$7,Movements!$G$614:$M$614,0))))
*L898*L$8,0)</f>
        <v>0</v>
      </c>
      <c r="M154" s="198">
        <f>_xlfn.IFNA(IF(M$7="Fixed",1,IF(AND($D88="yes",M$7="Block"),INDEX($O628:$Q628,1,MATCH(M$5,$I22:$K22,0)),INDEX(Movements!$G628:$M628,1,MATCH(M$7,Movements!$G$614:$M$614,0))))
*M898*M$8,0)</f>
        <v>0</v>
      </c>
      <c r="N154" s="198">
        <f>_xlfn.IFNA(IF(N$7="Fixed",1,IF(AND($D88="yes",N$7="Block"),INDEX($O628:$Q628,1,MATCH(N$5,$I22:$K22,0)),INDEX(Movements!$G628:$M628,1,MATCH(N$7,Movements!$G$614:$M$614,0))))
*N898*N$8,0)</f>
        <v>0</v>
      </c>
      <c r="O154" s="198">
        <f>_xlfn.IFNA(IF(O$7="Fixed",1,IF(AND($D88="yes",O$7="Block"),INDEX($O628:$Q628,1,MATCH(O$5,$I22:$K22,0)),INDEX(Movements!$G628:$M628,1,MATCH(O$7,Movements!$G$614:$M$614,0))))
*O898*O$8,0)</f>
        <v>0</v>
      </c>
      <c r="P154" s="198">
        <f>_xlfn.IFNA(IF(P$7="Fixed",1,IF(AND($D88="yes",P$7="Block"),INDEX($O628:$Q628,1,MATCH(P$5,$I22:$K22,0)),INDEX(Movements!$G628:$M628,1,MATCH(P$7,Movements!$G$614:$M$614,0))))
*P898*P$8,0)</f>
        <v>0</v>
      </c>
      <c r="Q154" s="198">
        <f>_xlfn.IFNA(IF(Q$7="Fixed",1,IF(AND($D88="yes",Q$7="Block"),INDEX($O628:$Q628,1,MATCH(Q$5,$I22:$K22,0)),INDEX(Movements!$G628:$M628,1,MATCH(Q$7,Movements!$G$614:$M$614,0))))
*Q898*Q$8,0)</f>
        <v>0</v>
      </c>
      <c r="R154" s="198">
        <f>_xlfn.IFNA(IF(R$7="Fixed",1,IF(AND($D88="yes",R$7="Block"),INDEX($O628:$Q628,1,MATCH(R$5,$I22:$K22,0)),INDEX(Movements!$G628:$M628,1,MATCH(R$7,Movements!$G$614:$M$614,0))))
*R898*R$8,0)</f>
        <v>0</v>
      </c>
      <c r="S154" s="198">
        <f>_xlfn.IFNA(IF(S$7="Fixed",1,IF(AND($D88="yes",S$7="Block"),INDEX($O628:$Q628,1,MATCH(S$5,$I22:$K22,0)),INDEX(Movements!$G628:$M628,1,MATCH(S$7,Movements!$G$614:$M$614,0))))
*S898*S$8,0)</f>
        <v>0</v>
      </c>
      <c r="T154" s="198">
        <f>_xlfn.IFNA(IF(T$7="Fixed",1,IF(AND($D88="yes",T$7="Block"),INDEX($O628:$Q628,1,MATCH(T$5,$I22:$K22,0)),INDEX(Movements!$G628:$M628,1,MATCH(T$7,Movements!$G$614:$M$614,0))))
*T898*T$8,0)</f>
        <v>0</v>
      </c>
      <c r="U154" s="198">
        <f>_xlfn.IFNA(IF(U$7="Fixed",1,IF(AND($D88="yes",U$7="Block"),INDEX($O628:$Q628,1,MATCH(U$5,$I22:$K22,0)),INDEX(Movements!$G628:$M628,1,MATCH(U$7,Movements!$G$614:$M$614,0))))
*U898*U$8,0)</f>
        <v>0</v>
      </c>
      <c r="V154" s="198">
        <f>_xlfn.IFNA(IF(V$7="Fixed",1,IF(AND($D88="yes",V$7="Block"),INDEX($O628:$Q628,1,MATCH(V$5,$I22:$K22,0)),INDEX(Movements!$G628:$M628,1,MATCH(V$7,Movements!$G$614:$M$614,0))))
*V898*V$8,0)</f>
        <v>0</v>
      </c>
      <c r="W154" s="198">
        <f>_xlfn.IFNA(IF(W$7="Fixed",1,IF(AND($D88="yes",W$7="Block"),INDEX($O628:$Q628,1,MATCH(W$5,$I22:$K22,0)),INDEX(Movements!$G628:$M628,1,MATCH(W$7,Movements!$G$614:$M$614,0))))
*W898*W$8,0)</f>
        <v>0</v>
      </c>
      <c r="X154" s="198">
        <f>_xlfn.IFNA(IF(X$7="Fixed",1,IF(AND($D88="yes",X$7="Block"),INDEX($O628:$Q628,1,MATCH(X$5,$I22:$K22,0)),INDEX(Movements!$G628:$M628,1,MATCH(X$7,Movements!$G$614:$M$614,0))))
*X898*X$8,0)</f>
        <v>0</v>
      </c>
      <c r="Y154" s="198">
        <f>_xlfn.IFNA(IF(Y$7="Fixed",1,IF(AND($D88="yes",Y$7="Block"),INDEX($O628:$Q628,1,MATCH(Y$5,$I22:$K22,0)),INDEX(Movements!$G628:$M628,1,MATCH(Y$7,Movements!$G$614:$M$614,0))))
*Y898*Y$8,0)</f>
        <v>0</v>
      </c>
      <c r="Z154" s="198">
        <f>_xlfn.IFNA(IF(Z$7="Fixed",1,IF(AND($D88="yes",Z$7="Block"),INDEX($O628:$Q628,1,MATCH(Z$5,$I22:$K22,0)),INDEX(Movements!$G628:$M628,1,MATCH(Z$7,Movements!$G$614:$M$614,0))))
*Z898*Z$8,0)</f>
        <v>0</v>
      </c>
      <c r="AA154" s="198">
        <f>_xlfn.IFNA(IF(AA$7="Fixed",1,IF(AND($D88="yes",AA$7="Block"),INDEX($O628:$Q628,1,MATCH(AA$5,$I22:$K22,0)),INDEX(Movements!$G628:$M628,1,MATCH(AA$7,Movements!$G$614:$M$614,0))))
*AA898*AA$8,0)</f>
        <v>0</v>
      </c>
      <c r="AB154" s="198">
        <f>_xlfn.IFNA(IF(AB$7="Fixed",1,IF(AND($D88="yes",AB$7="Block"),INDEX($O628:$Q628,1,MATCH(AB$5,$I22:$K22,0)),INDEX(Movements!$G628:$M628,1,MATCH(AB$7,Movements!$G$614:$M$614,0))))
*AB898*AB$8,0)</f>
        <v>0</v>
      </c>
      <c r="AC154" s="70"/>
      <c r="AD154" s="19"/>
      <c r="AE154" s="19"/>
      <c r="AF154" s="19"/>
      <c r="AG154" s="19"/>
    </row>
    <row r="155" spans="1:33" hidden="1" outlineLevel="3" x14ac:dyDescent="0.2">
      <c r="A155" s="19"/>
      <c r="B155" s="19"/>
      <c r="C155" s="506">
        <f t="shared" si="7"/>
        <v>0</v>
      </c>
      <c r="D155" s="505">
        <f t="shared" si="7"/>
        <v>0</v>
      </c>
      <c r="E155" s="505">
        <f t="shared" si="7"/>
        <v>0</v>
      </c>
      <c r="F155" s="58"/>
      <c r="G155" s="199">
        <f t="shared" si="8"/>
        <v>0</v>
      </c>
      <c r="H155" s="58"/>
      <c r="I155" s="198">
        <f>_xlfn.IFNA(IF(I$7="Fixed",1,IF(AND($D89="yes",I$7="Block"),INDEX($O629:$Q629,1,MATCH(I$5,$I23:$K23,0)),INDEX(Movements!$G629:$M629,1,MATCH(I$7,Movements!$G$614:$M$614,0))))
*I899*I$8,0)</f>
        <v>0</v>
      </c>
      <c r="J155" s="198">
        <f>_xlfn.IFNA(IF(J$7="Fixed",1,IF(AND($D89="yes",J$7="Block"),INDEX($O629:$Q629,1,MATCH(J$5,$I23:$K23,0)),INDEX(Movements!$G629:$M629,1,MATCH(J$7,Movements!$G$614:$M$614,0))))
*J899*J$8,0)</f>
        <v>0</v>
      </c>
      <c r="K155" s="198">
        <f>_xlfn.IFNA(IF(K$7="Fixed",1,IF(AND($D89="yes",K$7="Block"),INDEX($O629:$Q629,1,MATCH(K$5,$I23:$K23,0)),INDEX(Movements!$G629:$M629,1,MATCH(K$7,Movements!$G$614:$M$614,0))))
*K899*K$8,0)</f>
        <v>0</v>
      </c>
      <c r="L155" s="198">
        <f>_xlfn.IFNA(IF(L$7="Fixed",1,IF(AND($D89="yes",L$7="Block"),INDEX($O629:$Q629,1,MATCH(L$5,$I23:$K23,0)),INDEX(Movements!$G629:$M629,1,MATCH(L$7,Movements!$G$614:$M$614,0))))
*L899*L$8,0)</f>
        <v>0</v>
      </c>
      <c r="M155" s="198">
        <f>_xlfn.IFNA(IF(M$7="Fixed",1,IF(AND($D89="yes",M$7="Block"),INDEX($O629:$Q629,1,MATCH(M$5,$I23:$K23,0)),INDEX(Movements!$G629:$M629,1,MATCH(M$7,Movements!$G$614:$M$614,0))))
*M899*M$8,0)</f>
        <v>0</v>
      </c>
      <c r="N155" s="198">
        <f>_xlfn.IFNA(IF(N$7="Fixed",1,IF(AND($D89="yes",N$7="Block"),INDEX($O629:$Q629,1,MATCH(N$5,$I23:$K23,0)),INDEX(Movements!$G629:$M629,1,MATCH(N$7,Movements!$G$614:$M$614,0))))
*N899*N$8,0)</f>
        <v>0</v>
      </c>
      <c r="O155" s="198">
        <f>_xlfn.IFNA(IF(O$7="Fixed",1,IF(AND($D89="yes",O$7="Block"),INDEX($O629:$Q629,1,MATCH(O$5,$I23:$K23,0)),INDEX(Movements!$G629:$M629,1,MATCH(O$7,Movements!$G$614:$M$614,0))))
*O899*O$8,0)</f>
        <v>0</v>
      </c>
      <c r="P155" s="198">
        <f>_xlfn.IFNA(IF(P$7="Fixed",1,IF(AND($D89="yes",P$7="Block"),INDEX($O629:$Q629,1,MATCH(P$5,$I23:$K23,0)),INDEX(Movements!$G629:$M629,1,MATCH(P$7,Movements!$G$614:$M$614,0))))
*P899*P$8,0)</f>
        <v>0</v>
      </c>
      <c r="Q155" s="198">
        <f>_xlfn.IFNA(IF(Q$7="Fixed",1,IF(AND($D89="yes",Q$7="Block"),INDEX($O629:$Q629,1,MATCH(Q$5,$I23:$K23,0)),INDEX(Movements!$G629:$M629,1,MATCH(Q$7,Movements!$G$614:$M$614,0))))
*Q899*Q$8,0)</f>
        <v>0</v>
      </c>
      <c r="R155" s="198">
        <f>_xlfn.IFNA(IF(R$7="Fixed",1,IF(AND($D89="yes",R$7="Block"),INDEX($O629:$Q629,1,MATCH(R$5,$I23:$K23,0)),INDEX(Movements!$G629:$M629,1,MATCH(R$7,Movements!$G$614:$M$614,0))))
*R899*R$8,0)</f>
        <v>0</v>
      </c>
      <c r="S155" s="198">
        <f>_xlfn.IFNA(IF(S$7="Fixed",1,IF(AND($D89="yes",S$7="Block"),INDEX($O629:$Q629,1,MATCH(S$5,$I23:$K23,0)),INDEX(Movements!$G629:$M629,1,MATCH(S$7,Movements!$G$614:$M$614,0))))
*S899*S$8,0)</f>
        <v>0</v>
      </c>
      <c r="T155" s="198">
        <f>_xlfn.IFNA(IF(T$7="Fixed",1,IF(AND($D89="yes",T$7="Block"),INDEX($O629:$Q629,1,MATCH(T$5,$I23:$K23,0)),INDEX(Movements!$G629:$M629,1,MATCH(T$7,Movements!$G$614:$M$614,0))))
*T899*T$8,0)</f>
        <v>0</v>
      </c>
      <c r="U155" s="198">
        <f>_xlfn.IFNA(IF(U$7="Fixed",1,IF(AND($D89="yes",U$7="Block"),INDEX($O629:$Q629,1,MATCH(U$5,$I23:$K23,0)),INDEX(Movements!$G629:$M629,1,MATCH(U$7,Movements!$G$614:$M$614,0))))
*U899*U$8,0)</f>
        <v>0</v>
      </c>
      <c r="V155" s="198">
        <f>_xlfn.IFNA(IF(V$7="Fixed",1,IF(AND($D89="yes",V$7="Block"),INDEX($O629:$Q629,1,MATCH(V$5,$I23:$K23,0)),INDEX(Movements!$G629:$M629,1,MATCH(V$7,Movements!$G$614:$M$614,0))))
*V899*V$8,0)</f>
        <v>0</v>
      </c>
      <c r="W155" s="198">
        <f>_xlfn.IFNA(IF(W$7="Fixed",1,IF(AND($D89="yes",W$7="Block"),INDEX($O629:$Q629,1,MATCH(W$5,$I23:$K23,0)),INDEX(Movements!$G629:$M629,1,MATCH(W$7,Movements!$G$614:$M$614,0))))
*W899*W$8,0)</f>
        <v>0</v>
      </c>
      <c r="X155" s="198">
        <f>_xlfn.IFNA(IF(X$7="Fixed",1,IF(AND($D89="yes",X$7="Block"),INDEX($O629:$Q629,1,MATCH(X$5,$I23:$K23,0)),INDEX(Movements!$G629:$M629,1,MATCH(X$7,Movements!$G$614:$M$614,0))))
*X899*X$8,0)</f>
        <v>0</v>
      </c>
      <c r="Y155" s="198">
        <f>_xlfn.IFNA(IF(Y$7="Fixed",1,IF(AND($D89="yes",Y$7="Block"),INDEX($O629:$Q629,1,MATCH(Y$5,$I23:$K23,0)),INDEX(Movements!$G629:$M629,1,MATCH(Y$7,Movements!$G$614:$M$614,0))))
*Y899*Y$8,0)</f>
        <v>0</v>
      </c>
      <c r="Z155" s="198">
        <f>_xlfn.IFNA(IF(Z$7="Fixed",1,IF(AND($D89="yes",Z$7="Block"),INDEX($O629:$Q629,1,MATCH(Z$5,$I23:$K23,0)),INDEX(Movements!$G629:$M629,1,MATCH(Z$7,Movements!$G$614:$M$614,0))))
*Z899*Z$8,0)</f>
        <v>0</v>
      </c>
      <c r="AA155" s="198">
        <f>_xlfn.IFNA(IF(AA$7="Fixed",1,IF(AND($D89="yes",AA$7="Block"),INDEX($O629:$Q629,1,MATCH(AA$5,$I23:$K23,0)),INDEX(Movements!$G629:$M629,1,MATCH(AA$7,Movements!$G$614:$M$614,0))))
*AA899*AA$8,0)</f>
        <v>0</v>
      </c>
      <c r="AB155" s="198">
        <f>_xlfn.IFNA(IF(AB$7="Fixed",1,IF(AND($D89="yes",AB$7="Block"),INDEX($O629:$Q629,1,MATCH(AB$5,$I23:$K23,0)),INDEX(Movements!$G629:$M629,1,MATCH(AB$7,Movements!$G$614:$M$614,0))))
*AB899*AB$8,0)</f>
        <v>0</v>
      </c>
      <c r="AC155" s="70"/>
      <c r="AD155" s="19"/>
      <c r="AE155" s="19"/>
      <c r="AF155" s="19"/>
      <c r="AG155" s="19"/>
    </row>
    <row r="156" spans="1:33" hidden="1" outlineLevel="3" x14ac:dyDescent="0.2">
      <c r="A156" s="19"/>
      <c r="B156" s="19"/>
      <c r="C156" s="506">
        <f t="shared" si="7"/>
        <v>0</v>
      </c>
      <c r="D156" s="505">
        <f t="shared" si="7"/>
        <v>0</v>
      </c>
      <c r="E156" s="505">
        <f t="shared" si="7"/>
        <v>0</v>
      </c>
      <c r="F156" s="58"/>
      <c r="G156" s="199">
        <f t="shared" si="8"/>
        <v>0</v>
      </c>
      <c r="H156" s="58"/>
      <c r="I156" s="198">
        <f>_xlfn.IFNA(IF(I$7="Fixed",1,IF(AND($D90="yes",I$7="Block"),INDEX($O630:$Q630,1,MATCH(I$5,$I24:$K24,0)),INDEX(Movements!$G630:$M630,1,MATCH(I$7,Movements!$G$614:$M$614,0))))
*I900*I$8,0)</f>
        <v>0</v>
      </c>
      <c r="J156" s="198">
        <f>_xlfn.IFNA(IF(J$7="Fixed",1,IF(AND($D90="yes",J$7="Block"),INDEX($O630:$Q630,1,MATCH(J$5,$I24:$K24,0)),INDEX(Movements!$G630:$M630,1,MATCH(J$7,Movements!$G$614:$M$614,0))))
*J900*J$8,0)</f>
        <v>0</v>
      </c>
      <c r="K156" s="198">
        <f>_xlfn.IFNA(IF(K$7="Fixed",1,IF(AND($D90="yes",K$7="Block"),INDEX($O630:$Q630,1,MATCH(K$5,$I24:$K24,0)),INDEX(Movements!$G630:$M630,1,MATCH(K$7,Movements!$G$614:$M$614,0))))
*K900*K$8,0)</f>
        <v>0</v>
      </c>
      <c r="L156" s="198">
        <f>_xlfn.IFNA(IF(L$7="Fixed",1,IF(AND($D90="yes",L$7="Block"),INDEX($O630:$Q630,1,MATCH(L$5,$I24:$K24,0)),INDEX(Movements!$G630:$M630,1,MATCH(L$7,Movements!$G$614:$M$614,0))))
*L900*L$8,0)</f>
        <v>0</v>
      </c>
      <c r="M156" s="198">
        <f>_xlfn.IFNA(IF(M$7="Fixed",1,IF(AND($D90="yes",M$7="Block"),INDEX($O630:$Q630,1,MATCH(M$5,$I24:$K24,0)),INDEX(Movements!$G630:$M630,1,MATCH(M$7,Movements!$G$614:$M$614,0))))
*M900*M$8,0)</f>
        <v>0</v>
      </c>
      <c r="N156" s="198">
        <f>_xlfn.IFNA(IF(N$7="Fixed",1,IF(AND($D90="yes",N$7="Block"),INDEX($O630:$Q630,1,MATCH(N$5,$I24:$K24,0)),INDEX(Movements!$G630:$M630,1,MATCH(N$7,Movements!$G$614:$M$614,0))))
*N900*N$8,0)</f>
        <v>0</v>
      </c>
      <c r="O156" s="198">
        <f>_xlfn.IFNA(IF(O$7="Fixed",1,IF(AND($D90="yes",O$7="Block"),INDEX($O630:$Q630,1,MATCH(O$5,$I24:$K24,0)),INDEX(Movements!$G630:$M630,1,MATCH(O$7,Movements!$G$614:$M$614,0))))
*O900*O$8,0)</f>
        <v>0</v>
      </c>
      <c r="P156" s="198">
        <f>_xlfn.IFNA(IF(P$7="Fixed",1,IF(AND($D90="yes",P$7="Block"),INDEX($O630:$Q630,1,MATCH(P$5,$I24:$K24,0)),INDEX(Movements!$G630:$M630,1,MATCH(P$7,Movements!$G$614:$M$614,0))))
*P900*P$8,0)</f>
        <v>0</v>
      </c>
      <c r="Q156" s="198">
        <f>_xlfn.IFNA(IF(Q$7="Fixed",1,IF(AND($D90="yes",Q$7="Block"),INDEX($O630:$Q630,1,MATCH(Q$5,$I24:$K24,0)),INDEX(Movements!$G630:$M630,1,MATCH(Q$7,Movements!$G$614:$M$614,0))))
*Q900*Q$8,0)</f>
        <v>0</v>
      </c>
      <c r="R156" s="198">
        <f>_xlfn.IFNA(IF(R$7="Fixed",1,IF(AND($D90="yes",R$7="Block"),INDEX($O630:$Q630,1,MATCH(R$5,$I24:$K24,0)),INDEX(Movements!$G630:$M630,1,MATCH(R$7,Movements!$G$614:$M$614,0))))
*R900*R$8,0)</f>
        <v>0</v>
      </c>
      <c r="S156" s="198">
        <f>_xlfn.IFNA(IF(S$7="Fixed",1,IF(AND($D90="yes",S$7="Block"),INDEX($O630:$Q630,1,MATCH(S$5,$I24:$K24,0)),INDEX(Movements!$G630:$M630,1,MATCH(S$7,Movements!$G$614:$M$614,0))))
*S900*S$8,0)</f>
        <v>0</v>
      </c>
      <c r="T156" s="198">
        <f>_xlfn.IFNA(IF(T$7="Fixed",1,IF(AND($D90="yes",T$7="Block"),INDEX($O630:$Q630,1,MATCH(T$5,$I24:$K24,0)),INDEX(Movements!$G630:$M630,1,MATCH(T$7,Movements!$G$614:$M$614,0))))
*T900*T$8,0)</f>
        <v>0</v>
      </c>
      <c r="U156" s="198">
        <f>_xlfn.IFNA(IF(U$7="Fixed",1,IF(AND($D90="yes",U$7="Block"),INDEX($O630:$Q630,1,MATCH(U$5,$I24:$K24,0)),INDEX(Movements!$G630:$M630,1,MATCH(U$7,Movements!$G$614:$M$614,0))))
*U900*U$8,0)</f>
        <v>0</v>
      </c>
      <c r="V156" s="198">
        <f>_xlfn.IFNA(IF(V$7="Fixed",1,IF(AND($D90="yes",V$7="Block"),INDEX($O630:$Q630,1,MATCH(V$5,$I24:$K24,0)),INDEX(Movements!$G630:$M630,1,MATCH(V$7,Movements!$G$614:$M$614,0))))
*V900*V$8,0)</f>
        <v>0</v>
      </c>
      <c r="W156" s="198">
        <f>_xlfn.IFNA(IF(W$7="Fixed",1,IF(AND($D90="yes",W$7="Block"),INDEX($O630:$Q630,1,MATCH(W$5,$I24:$K24,0)),INDEX(Movements!$G630:$M630,1,MATCH(W$7,Movements!$G$614:$M$614,0))))
*W900*W$8,0)</f>
        <v>0</v>
      </c>
      <c r="X156" s="198">
        <f>_xlfn.IFNA(IF(X$7="Fixed",1,IF(AND($D90="yes",X$7="Block"),INDEX($O630:$Q630,1,MATCH(X$5,$I24:$K24,0)),INDEX(Movements!$G630:$M630,1,MATCH(X$7,Movements!$G$614:$M$614,0))))
*X900*X$8,0)</f>
        <v>0</v>
      </c>
      <c r="Y156" s="198">
        <f>_xlfn.IFNA(IF(Y$7="Fixed",1,IF(AND($D90="yes",Y$7="Block"),INDEX($O630:$Q630,1,MATCH(Y$5,$I24:$K24,0)),INDEX(Movements!$G630:$M630,1,MATCH(Y$7,Movements!$G$614:$M$614,0))))
*Y900*Y$8,0)</f>
        <v>0</v>
      </c>
      <c r="Z156" s="198">
        <f>_xlfn.IFNA(IF(Z$7="Fixed",1,IF(AND($D90="yes",Z$7="Block"),INDEX($O630:$Q630,1,MATCH(Z$5,$I24:$K24,0)),INDEX(Movements!$G630:$M630,1,MATCH(Z$7,Movements!$G$614:$M$614,0))))
*Z900*Z$8,0)</f>
        <v>0</v>
      </c>
      <c r="AA156" s="198">
        <f>_xlfn.IFNA(IF(AA$7="Fixed",1,IF(AND($D90="yes",AA$7="Block"),INDEX($O630:$Q630,1,MATCH(AA$5,$I24:$K24,0)),INDEX(Movements!$G630:$M630,1,MATCH(AA$7,Movements!$G$614:$M$614,0))))
*AA900*AA$8,0)</f>
        <v>0</v>
      </c>
      <c r="AB156" s="198">
        <f>_xlfn.IFNA(IF(AB$7="Fixed",1,IF(AND($D90="yes",AB$7="Block"),INDEX($O630:$Q630,1,MATCH(AB$5,$I24:$K24,0)),INDEX(Movements!$G630:$M630,1,MATCH(AB$7,Movements!$G$614:$M$614,0))))
*AB900*AB$8,0)</f>
        <v>0</v>
      </c>
      <c r="AC156" s="70"/>
      <c r="AD156" s="19"/>
      <c r="AE156" s="19"/>
      <c r="AF156" s="19"/>
      <c r="AG156" s="19"/>
    </row>
    <row r="157" spans="1:33" hidden="1" outlineLevel="3" x14ac:dyDescent="0.2">
      <c r="A157" s="19"/>
      <c r="B157" s="19"/>
      <c r="C157" s="506">
        <f t="shared" si="7"/>
        <v>0</v>
      </c>
      <c r="D157" s="505">
        <f t="shared" si="7"/>
        <v>0</v>
      </c>
      <c r="E157" s="505">
        <f t="shared" si="7"/>
        <v>0</v>
      </c>
      <c r="F157" s="58"/>
      <c r="G157" s="199">
        <f t="shared" si="8"/>
        <v>0</v>
      </c>
      <c r="H157" s="58"/>
      <c r="I157" s="198">
        <f>_xlfn.IFNA(IF(I$7="Fixed",1,IF(AND($D91="yes",I$7="Block"),INDEX($O631:$Q631,1,MATCH(I$5,$I25:$K25,0)),INDEX(Movements!$G631:$M631,1,MATCH(I$7,Movements!$G$614:$M$614,0))))
*I901*I$8,0)</f>
        <v>0</v>
      </c>
      <c r="J157" s="198">
        <f>_xlfn.IFNA(IF(J$7="Fixed",1,IF(AND($D91="yes",J$7="Block"),INDEX($O631:$Q631,1,MATCH(J$5,$I25:$K25,0)),INDEX(Movements!$G631:$M631,1,MATCH(J$7,Movements!$G$614:$M$614,0))))
*J901*J$8,0)</f>
        <v>0</v>
      </c>
      <c r="K157" s="198">
        <f>_xlfn.IFNA(IF(K$7="Fixed",1,IF(AND($D91="yes",K$7="Block"),INDEX($O631:$Q631,1,MATCH(K$5,$I25:$K25,0)),INDEX(Movements!$G631:$M631,1,MATCH(K$7,Movements!$G$614:$M$614,0))))
*K901*K$8,0)</f>
        <v>0</v>
      </c>
      <c r="L157" s="198">
        <f>_xlfn.IFNA(IF(L$7="Fixed",1,IF(AND($D91="yes",L$7="Block"),INDEX($O631:$Q631,1,MATCH(L$5,$I25:$K25,0)),INDEX(Movements!$G631:$M631,1,MATCH(L$7,Movements!$G$614:$M$614,0))))
*L901*L$8,0)</f>
        <v>0</v>
      </c>
      <c r="M157" s="198">
        <f>_xlfn.IFNA(IF(M$7="Fixed",1,IF(AND($D91="yes",M$7="Block"),INDEX($O631:$Q631,1,MATCH(M$5,$I25:$K25,0)),INDEX(Movements!$G631:$M631,1,MATCH(M$7,Movements!$G$614:$M$614,0))))
*M901*M$8,0)</f>
        <v>0</v>
      </c>
      <c r="N157" s="198">
        <f>_xlfn.IFNA(IF(N$7="Fixed",1,IF(AND($D91="yes",N$7="Block"),INDEX($O631:$Q631,1,MATCH(N$5,$I25:$K25,0)),INDEX(Movements!$G631:$M631,1,MATCH(N$7,Movements!$G$614:$M$614,0))))
*N901*N$8,0)</f>
        <v>0</v>
      </c>
      <c r="O157" s="198">
        <f>_xlfn.IFNA(IF(O$7="Fixed",1,IF(AND($D91="yes",O$7="Block"),INDEX($O631:$Q631,1,MATCH(O$5,$I25:$K25,0)),INDEX(Movements!$G631:$M631,1,MATCH(O$7,Movements!$G$614:$M$614,0))))
*O901*O$8,0)</f>
        <v>0</v>
      </c>
      <c r="P157" s="198">
        <f>_xlfn.IFNA(IF(P$7="Fixed",1,IF(AND($D91="yes",P$7="Block"),INDEX($O631:$Q631,1,MATCH(P$5,$I25:$K25,0)),INDEX(Movements!$G631:$M631,1,MATCH(P$7,Movements!$G$614:$M$614,0))))
*P901*P$8,0)</f>
        <v>0</v>
      </c>
      <c r="Q157" s="198">
        <f>_xlfn.IFNA(IF(Q$7="Fixed",1,IF(AND($D91="yes",Q$7="Block"),INDEX($O631:$Q631,1,MATCH(Q$5,$I25:$K25,0)),INDEX(Movements!$G631:$M631,1,MATCH(Q$7,Movements!$G$614:$M$614,0))))
*Q901*Q$8,0)</f>
        <v>0</v>
      </c>
      <c r="R157" s="198">
        <f>_xlfn.IFNA(IF(R$7="Fixed",1,IF(AND($D91="yes",R$7="Block"),INDEX($O631:$Q631,1,MATCH(R$5,$I25:$K25,0)),INDEX(Movements!$G631:$M631,1,MATCH(R$7,Movements!$G$614:$M$614,0))))
*R901*R$8,0)</f>
        <v>0</v>
      </c>
      <c r="S157" s="198">
        <f>_xlfn.IFNA(IF(S$7="Fixed",1,IF(AND($D91="yes",S$7="Block"),INDEX($O631:$Q631,1,MATCH(S$5,$I25:$K25,0)),INDEX(Movements!$G631:$M631,1,MATCH(S$7,Movements!$G$614:$M$614,0))))
*S901*S$8,0)</f>
        <v>0</v>
      </c>
      <c r="T157" s="198">
        <f>_xlfn.IFNA(IF(T$7="Fixed",1,IF(AND($D91="yes",T$7="Block"),INDEX($O631:$Q631,1,MATCH(T$5,$I25:$K25,0)),INDEX(Movements!$G631:$M631,1,MATCH(T$7,Movements!$G$614:$M$614,0))))
*T901*T$8,0)</f>
        <v>0</v>
      </c>
      <c r="U157" s="198">
        <f>_xlfn.IFNA(IF(U$7="Fixed",1,IF(AND($D91="yes",U$7="Block"),INDEX($O631:$Q631,1,MATCH(U$5,$I25:$K25,0)),INDEX(Movements!$G631:$M631,1,MATCH(U$7,Movements!$G$614:$M$614,0))))
*U901*U$8,0)</f>
        <v>0</v>
      </c>
      <c r="V157" s="198">
        <f>_xlfn.IFNA(IF(V$7="Fixed",1,IF(AND($D91="yes",V$7="Block"),INDEX($O631:$Q631,1,MATCH(V$5,$I25:$K25,0)),INDEX(Movements!$G631:$M631,1,MATCH(V$7,Movements!$G$614:$M$614,0))))
*V901*V$8,0)</f>
        <v>0</v>
      </c>
      <c r="W157" s="198">
        <f>_xlfn.IFNA(IF(W$7="Fixed",1,IF(AND($D91="yes",W$7="Block"),INDEX($O631:$Q631,1,MATCH(W$5,$I25:$K25,0)),INDEX(Movements!$G631:$M631,1,MATCH(W$7,Movements!$G$614:$M$614,0))))
*W901*W$8,0)</f>
        <v>0</v>
      </c>
      <c r="X157" s="198">
        <f>_xlfn.IFNA(IF(X$7="Fixed",1,IF(AND($D91="yes",X$7="Block"),INDEX($O631:$Q631,1,MATCH(X$5,$I25:$K25,0)),INDEX(Movements!$G631:$M631,1,MATCH(X$7,Movements!$G$614:$M$614,0))))
*X901*X$8,0)</f>
        <v>0</v>
      </c>
      <c r="Y157" s="198">
        <f>_xlfn.IFNA(IF(Y$7="Fixed",1,IF(AND($D91="yes",Y$7="Block"),INDEX($O631:$Q631,1,MATCH(Y$5,$I25:$K25,0)),INDEX(Movements!$G631:$M631,1,MATCH(Y$7,Movements!$G$614:$M$614,0))))
*Y901*Y$8,0)</f>
        <v>0</v>
      </c>
      <c r="Z157" s="198">
        <f>_xlfn.IFNA(IF(Z$7="Fixed",1,IF(AND($D91="yes",Z$7="Block"),INDEX($O631:$Q631,1,MATCH(Z$5,$I25:$K25,0)),INDEX(Movements!$G631:$M631,1,MATCH(Z$7,Movements!$G$614:$M$614,0))))
*Z901*Z$8,0)</f>
        <v>0</v>
      </c>
      <c r="AA157" s="198">
        <f>_xlfn.IFNA(IF(AA$7="Fixed",1,IF(AND($D91="yes",AA$7="Block"),INDEX($O631:$Q631,1,MATCH(AA$5,$I25:$K25,0)),INDEX(Movements!$G631:$M631,1,MATCH(AA$7,Movements!$G$614:$M$614,0))))
*AA901*AA$8,0)</f>
        <v>0</v>
      </c>
      <c r="AB157" s="198">
        <f>_xlfn.IFNA(IF(AB$7="Fixed",1,IF(AND($D91="yes",AB$7="Block"),INDEX($O631:$Q631,1,MATCH(AB$5,$I25:$K25,0)),INDEX(Movements!$G631:$M631,1,MATCH(AB$7,Movements!$G$614:$M$614,0))))
*AB901*AB$8,0)</f>
        <v>0</v>
      </c>
      <c r="AC157" s="70"/>
      <c r="AD157" s="19"/>
      <c r="AE157" s="19"/>
      <c r="AF157" s="19"/>
      <c r="AG157" s="19"/>
    </row>
    <row r="158" spans="1:33" hidden="1" outlineLevel="3" x14ac:dyDescent="0.2">
      <c r="A158" s="19"/>
      <c r="B158" s="19"/>
      <c r="C158" s="506">
        <f t="shared" si="7"/>
        <v>0</v>
      </c>
      <c r="D158" s="505">
        <f t="shared" si="7"/>
        <v>0</v>
      </c>
      <c r="E158" s="505">
        <f t="shared" si="7"/>
        <v>0</v>
      </c>
      <c r="F158" s="58"/>
      <c r="G158" s="199">
        <f t="shared" si="8"/>
        <v>0</v>
      </c>
      <c r="H158" s="58"/>
      <c r="I158" s="198">
        <f>_xlfn.IFNA(IF(I$7="Fixed",1,IF(AND($D92="yes",I$7="Block"),INDEX($O632:$Q632,1,MATCH(I$5,$I26:$K26,0)),INDEX(Movements!$G632:$M632,1,MATCH(I$7,Movements!$G$614:$M$614,0))))
*I902*I$8,0)</f>
        <v>0</v>
      </c>
      <c r="J158" s="198">
        <f>_xlfn.IFNA(IF(J$7="Fixed",1,IF(AND($D92="yes",J$7="Block"),INDEX($O632:$Q632,1,MATCH(J$5,$I26:$K26,0)),INDEX(Movements!$G632:$M632,1,MATCH(J$7,Movements!$G$614:$M$614,0))))
*J902*J$8,0)</f>
        <v>0</v>
      </c>
      <c r="K158" s="198">
        <f>_xlfn.IFNA(IF(K$7="Fixed",1,IF(AND($D92="yes",K$7="Block"),INDEX($O632:$Q632,1,MATCH(K$5,$I26:$K26,0)),INDEX(Movements!$G632:$M632,1,MATCH(K$7,Movements!$G$614:$M$614,0))))
*K902*K$8,0)</f>
        <v>0</v>
      </c>
      <c r="L158" s="198">
        <f>_xlfn.IFNA(IF(L$7="Fixed",1,IF(AND($D92="yes",L$7="Block"),INDEX($O632:$Q632,1,MATCH(L$5,$I26:$K26,0)),INDEX(Movements!$G632:$M632,1,MATCH(L$7,Movements!$G$614:$M$614,0))))
*L902*L$8,0)</f>
        <v>0</v>
      </c>
      <c r="M158" s="198">
        <f>_xlfn.IFNA(IF(M$7="Fixed",1,IF(AND($D92="yes",M$7="Block"),INDEX($O632:$Q632,1,MATCH(M$5,$I26:$K26,0)),INDEX(Movements!$G632:$M632,1,MATCH(M$7,Movements!$G$614:$M$614,0))))
*M902*M$8,0)</f>
        <v>0</v>
      </c>
      <c r="N158" s="198">
        <f>_xlfn.IFNA(IF(N$7="Fixed",1,IF(AND($D92="yes",N$7="Block"),INDEX($O632:$Q632,1,MATCH(N$5,$I26:$K26,0)),INDEX(Movements!$G632:$M632,1,MATCH(N$7,Movements!$G$614:$M$614,0))))
*N902*N$8,0)</f>
        <v>0</v>
      </c>
      <c r="O158" s="198">
        <f>_xlfn.IFNA(IF(O$7="Fixed",1,IF(AND($D92="yes",O$7="Block"),INDEX($O632:$Q632,1,MATCH(O$5,$I26:$K26,0)),INDEX(Movements!$G632:$M632,1,MATCH(O$7,Movements!$G$614:$M$614,0))))
*O902*O$8,0)</f>
        <v>0</v>
      </c>
      <c r="P158" s="198">
        <f>_xlfn.IFNA(IF(P$7="Fixed",1,IF(AND($D92="yes",P$7="Block"),INDEX($O632:$Q632,1,MATCH(P$5,$I26:$K26,0)),INDEX(Movements!$G632:$M632,1,MATCH(P$7,Movements!$G$614:$M$614,0))))
*P902*P$8,0)</f>
        <v>0</v>
      </c>
      <c r="Q158" s="198">
        <f>_xlfn.IFNA(IF(Q$7="Fixed",1,IF(AND($D92="yes",Q$7="Block"),INDEX($O632:$Q632,1,MATCH(Q$5,$I26:$K26,0)),INDEX(Movements!$G632:$M632,1,MATCH(Q$7,Movements!$G$614:$M$614,0))))
*Q902*Q$8,0)</f>
        <v>0</v>
      </c>
      <c r="R158" s="198">
        <f>_xlfn.IFNA(IF(R$7="Fixed",1,IF(AND($D92="yes",R$7="Block"),INDEX($O632:$Q632,1,MATCH(R$5,$I26:$K26,0)),INDEX(Movements!$G632:$M632,1,MATCH(R$7,Movements!$G$614:$M$614,0))))
*R902*R$8,0)</f>
        <v>0</v>
      </c>
      <c r="S158" s="198">
        <f>_xlfn.IFNA(IF(S$7="Fixed",1,IF(AND($D92="yes",S$7="Block"),INDEX($O632:$Q632,1,MATCH(S$5,$I26:$K26,0)),INDEX(Movements!$G632:$M632,1,MATCH(S$7,Movements!$G$614:$M$614,0))))
*S902*S$8,0)</f>
        <v>0</v>
      </c>
      <c r="T158" s="198">
        <f>_xlfn.IFNA(IF(T$7="Fixed",1,IF(AND($D92="yes",T$7="Block"),INDEX($O632:$Q632,1,MATCH(T$5,$I26:$K26,0)),INDEX(Movements!$G632:$M632,1,MATCH(T$7,Movements!$G$614:$M$614,0))))
*T902*T$8,0)</f>
        <v>0</v>
      </c>
      <c r="U158" s="198">
        <f>_xlfn.IFNA(IF(U$7="Fixed",1,IF(AND($D92="yes",U$7="Block"),INDEX($O632:$Q632,1,MATCH(U$5,$I26:$K26,0)),INDEX(Movements!$G632:$M632,1,MATCH(U$7,Movements!$G$614:$M$614,0))))
*U902*U$8,0)</f>
        <v>0</v>
      </c>
      <c r="V158" s="198">
        <f>_xlfn.IFNA(IF(V$7="Fixed",1,IF(AND($D92="yes",V$7="Block"),INDEX($O632:$Q632,1,MATCH(V$5,$I26:$K26,0)),INDEX(Movements!$G632:$M632,1,MATCH(V$7,Movements!$G$614:$M$614,0))))
*V902*V$8,0)</f>
        <v>0</v>
      </c>
      <c r="W158" s="198">
        <f>_xlfn.IFNA(IF(W$7="Fixed",1,IF(AND($D92="yes",W$7="Block"),INDEX($O632:$Q632,1,MATCH(W$5,$I26:$K26,0)),INDEX(Movements!$G632:$M632,1,MATCH(W$7,Movements!$G$614:$M$614,0))))
*W902*W$8,0)</f>
        <v>0</v>
      </c>
      <c r="X158" s="198">
        <f>_xlfn.IFNA(IF(X$7="Fixed",1,IF(AND($D92="yes",X$7="Block"),INDEX($O632:$Q632,1,MATCH(X$5,$I26:$K26,0)),INDEX(Movements!$G632:$M632,1,MATCH(X$7,Movements!$G$614:$M$614,0))))
*X902*X$8,0)</f>
        <v>0</v>
      </c>
      <c r="Y158" s="198">
        <f>_xlfn.IFNA(IF(Y$7="Fixed",1,IF(AND($D92="yes",Y$7="Block"),INDEX($O632:$Q632,1,MATCH(Y$5,$I26:$K26,0)),INDEX(Movements!$G632:$M632,1,MATCH(Y$7,Movements!$G$614:$M$614,0))))
*Y902*Y$8,0)</f>
        <v>0</v>
      </c>
      <c r="Z158" s="198">
        <f>_xlfn.IFNA(IF(Z$7="Fixed",1,IF(AND($D92="yes",Z$7="Block"),INDEX($O632:$Q632,1,MATCH(Z$5,$I26:$K26,0)),INDEX(Movements!$G632:$M632,1,MATCH(Z$7,Movements!$G$614:$M$614,0))))
*Z902*Z$8,0)</f>
        <v>0</v>
      </c>
      <c r="AA158" s="198">
        <f>_xlfn.IFNA(IF(AA$7="Fixed",1,IF(AND($D92="yes",AA$7="Block"),INDEX($O632:$Q632,1,MATCH(AA$5,$I26:$K26,0)),INDEX(Movements!$G632:$M632,1,MATCH(AA$7,Movements!$G$614:$M$614,0))))
*AA902*AA$8,0)</f>
        <v>0</v>
      </c>
      <c r="AB158" s="198">
        <f>_xlfn.IFNA(IF(AB$7="Fixed",1,IF(AND($D92="yes",AB$7="Block"),INDEX($O632:$Q632,1,MATCH(AB$5,$I26:$K26,0)),INDEX(Movements!$G632:$M632,1,MATCH(AB$7,Movements!$G$614:$M$614,0))))
*AB902*AB$8,0)</f>
        <v>0</v>
      </c>
      <c r="AC158" s="70"/>
      <c r="AD158" s="19"/>
      <c r="AE158" s="19"/>
      <c r="AF158" s="19"/>
      <c r="AG158" s="19"/>
    </row>
    <row r="159" spans="1:33" hidden="1" outlineLevel="3" x14ac:dyDescent="0.2">
      <c r="A159" s="19"/>
      <c r="B159" s="19"/>
      <c r="C159" s="506">
        <f t="shared" si="7"/>
        <v>0</v>
      </c>
      <c r="D159" s="505">
        <f t="shared" si="7"/>
        <v>0</v>
      </c>
      <c r="E159" s="505">
        <f t="shared" si="7"/>
        <v>0</v>
      </c>
      <c r="F159" s="58"/>
      <c r="G159" s="199">
        <f t="shared" si="8"/>
        <v>0</v>
      </c>
      <c r="H159" s="58"/>
      <c r="I159" s="198">
        <f>_xlfn.IFNA(IF(I$7="Fixed",1,IF(AND($D93="yes",I$7="Block"),INDEX($O633:$Q633,1,MATCH(I$5,$I27:$K27,0)),INDEX(Movements!$G633:$M633,1,MATCH(I$7,Movements!$G$614:$M$614,0))))
*I903*I$8,0)</f>
        <v>0</v>
      </c>
      <c r="J159" s="198">
        <f>_xlfn.IFNA(IF(J$7="Fixed",1,IF(AND($D93="yes",J$7="Block"),INDEX($O633:$Q633,1,MATCH(J$5,$I27:$K27,0)),INDEX(Movements!$G633:$M633,1,MATCH(J$7,Movements!$G$614:$M$614,0))))
*J903*J$8,0)</f>
        <v>0</v>
      </c>
      <c r="K159" s="198">
        <f>_xlfn.IFNA(IF(K$7="Fixed",1,IF(AND($D93="yes",K$7="Block"),INDEX($O633:$Q633,1,MATCH(K$5,$I27:$K27,0)),INDEX(Movements!$G633:$M633,1,MATCH(K$7,Movements!$G$614:$M$614,0))))
*K903*K$8,0)</f>
        <v>0</v>
      </c>
      <c r="L159" s="198">
        <f>_xlfn.IFNA(IF(L$7="Fixed",1,IF(AND($D93="yes",L$7="Block"),INDEX($O633:$Q633,1,MATCH(L$5,$I27:$K27,0)),INDEX(Movements!$G633:$M633,1,MATCH(L$7,Movements!$G$614:$M$614,0))))
*L903*L$8,0)</f>
        <v>0</v>
      </c>
      <c r="M159" s="198">
        <f>_xlfn.IFNA(IF(M$7="Fixed",1,IF(AND($D93="yes",M$7="Block"),INDEX($O633:$Q633,1,MATCH(M$5,$I27:$K27,0)),INDEX(Movements!$G633:$M633,1,MATCH(M$7,Movements!$G$614:$M$614,0))))
*M903*M$8,0)</f>
        <v>0</v>
      </c>
      <c r="N159" s="198">
        <f>_xlfn.IFNA(IF(N$7="Fixed",1,IF(AND($D93="yes",N$7="Block"),INDEX($O633:$Q633,1,MATCH(N$5,$I27:$K27,0)),INDEX(Movements!$G633:$M633,1,MATCH(N$7,Movements!$G$614:$M$614,0))))
*N903*N$8,0)</f>
        <v>0</v>
      </c>
      <c r="O159" s="198">
        <f>_xlfn.IFNA(IF(O$7="Fixed",1,IF(AND($D93="yes",O$7="Block"),INDEX($O633:$Q633,1,MATCH(O$5,$I27:$K27,0)),INDEX(Movements!$G633:$M633,1,MATCH(O$7,Movements!$G$614:$M$614,0))))
*O903*O$8,0)</f>
        <v>0</v>
      </c>
      <c r="P159" s="198">
        <f>_xlfn.IFNA(IF(P$7="Fixed",1,IF(AND($D93="yes",P$7="Block"),INDEX($O633:$Q633,1,MATCH(P$5,$I27:$K27,0)),INDEX(Movements!$G633:$M633,1,MATCH(P$7,Movements!$G$614:$M$614,0))))
*P903*P$8,0)</f>
        <v>0</v>
      </c>
      <c r="Q159" s="198">
        <f>_xlfn.IFNA(IF(Q$7="Fixed",1,IF(AND($D93="yes",Q$7="Block"),INDEX($O633:$Q633,1,MATCH(Q$5,$I27:$K27,0)),INDEX(Movements!$G633:$M633,1,MATCH(Q$7,Movements!$G$614:$M$614,0))))
*Q903*Q$8,0)</f>
        <v>0</v>
      </c>
      <c r="R159" s="198">
        <f>_xlfn.IFNA(IF(R$7="Fixed",1,IF(AND($D93="yes",R$7="Block"),INDEX($O633:$Q633,1,MATCH(R$5,$I27:$K27,0)),INDEX(Movements!$G633:$M633,1,MATCH(R$7,Movements!$G$614:$M$614,0))))
*R903*R$8,0)</f>
        <v>0</v>
      </c>
      <c r="S159" s="198">
        <f>_xlfn.IFNA(IF(S$7="Fixed",1,IF(AND($D93="yes",S$7="Block"),INDEX($O633:$Q633,1,MATCH(S$5,$I27:$K27,0)),INDEX(Movements!$G633:$M633,1,MATCH(S$7,Movements!$G$614:$M$614,0))))
*S903*S$8,0)</f>
        <v>0</v>
      </c>
      <c r="T159" s="198">
        <f>_xlfn.IFNA(IF(T$7="Fixed",1,IF(AND($D93="yes",T$7="Block"),INDEX($O633:$Q633,1,MATCH(T$5,$I27:$K27,0)),INDEX(Movements!$G633:$M633,1,MATCH(T$7,Movements!$G$614:$M$614,0))))
*T903*T$8,0)</f>
        <v>0</v>
      </c>
      <c r="U159" s="198">
        <f>_xlfn.IFNA(IF(U$7="Fixed",1,IF(AND($D93="yes",U$7="Block"),INDEX($O633:$Q633,1,MATCH(U$5,$I27:$K27,0)),INDEX(Movements!$G633:$M633,1,MATCH(U$7,Movements!$G$614:$M$614,0))))
*U903*U$8,0)</f>
        <v>0</v>
      </c>
      <c r="V159" s="198">
        <f>_xlfn.IFNA(IF(V$7="Fixed",1,IF(AND($D93="yes",V$7="Block"),INDEX($O633:$Q633,1,MATCH(V$5,$I27:$K27,0)),INDEX(Movements!$G633:$M633,1,MATCH(V$7,Movements!$G$614:$M$614,0))))
*V903*V$8,0)</f>
        <v>0</v>
      </c>
      <c r="W159" s="198">
        <f>_xlfn.IFNA(IF(W$7="Fixed",1,IF(AND($D93="yes",W$7="Block"),INDEX($O633:$Q633,1,MATCH(W$5,$I27:$K27,0)),INDEX(Movements!$G633:$M633,1,MATCH(W$7,Movements!$G$614:$M$614,0))))
*W903*W$8,0)</f>
        <v>0</v>
      </c>
      <c r="X159" s="198">
        <f>_xlfn.IFNA(IF(X$7="Fixed",1,IF(AND($D93="yes",X$7="Block"),INDEX($O633:$Q633,1,MATCH(X$5,$I27:$K27,0)),INDEX(Movements!$G633:$M633,1,MATCH(X$7,Movements!$G$614:$M$614,0))))
*X903*X$8,0)</f>
        <v>0</v>
      </c>
      <c r="Y159" s="198">
        <f>_xlfn.IFNA(IF(Y$7="Fixed",1,IF(AND($D93="yes",Y$7="Block"),INDEX($O633:$Q633,1,MATCH(Y$5,$I27:$K27,0)),INDEX(Movements!$G633:$M633,1,MATCH(Y$7,Movements!$G$614:$M$614,0))))
*Y903*Y$8,0)</f>
        <v>0</v>
      </c>
      <c r="Z159" s="198">
        <f>_xlfn.IFNA(IF(Z$7="Fixed",1,IF(AND($D93="yes",Z$7="Block"),INDEX($O633:$Q633,1,MATCH(Z$5,$I27:$K27,0)),INDEX(Movements!$G633:$M633,1,MATCH(Z$7,Movements!$G$614:$M$614,0))))
*Z903*Z$8,0)</f>
        <v>0</v>
      </c>
      <c r="AA159" s="198">
        <f>_xlfn.IFNA(IF(AA$7="Fixed",1,IF(AND($D93="yes",AA$7="Block"),INDEX($O633:$Q633,1,MATCH(AA$5,$I27:$K27,0)),INDEX(Movements!$G633:$M633,1,MATCH(AA$7,Movements!$G$614:$M$614,0))))
*AA903*AA$8,0)</f>
        <v>0</v>
      </c>
      <c r="AB159" s="198">
        <f>_xlfn.IFNA(IF(AB$7="Fixed",1,IF(AND($D93="yes",AB$7="Block"),INDEX($O633:$Q633,1,MATCH(AB$5,$I27:$K27,0)),INDEX(Movements!$G633:$M633,1,MATCH(AB$7,Movements!$G$614:$M$614,0))))
*AB903*AB$8,0)</f>
        <v>0</v>
      </c>
      <c r="AC159" s="70"/>
      <c r="AD159" s="19"/>
      <c r="AE159" s="19"/>
      <c r="AF159" s="19"/>
      <c r="AG159" s="19"/>
    </row>
    <row r="160" spans="1:33" hidden="1" outlineLevel="3" x14ac:dyDescent="0.2">
      <c r="A160" s="19"/>
      <c r="B160" s="19"/>
      <c r="C160" s="506">
        <f t="shared" si="7"/>
        <v>0</v>
      </c>
      <c r="D160" s="505">
        <f t="shared" si="7"/>
        <v>0</v>
      </c>
      <c r="E160" s="505">
        <f t="shared" si="7"/>
        <v>0</v>
      </c>
      <c r="F160" s="58"/>
      <c r="G160" s="199">
        <f t="shared" si="8"/>
        <v>0</v>
      </c>
      <c r="H160" s="58"/>
      <c r="I160" s="198">
        <f>_xlfn.IFNA(IF(I$7="Fixed",1,IF(AND($D94="yes",I$7="Block"),INDEX($O634:$Q634,1,MATCH(I$5,$I28:$K28,0)),INDEX(Movements!$G634:$M634,1,MATCH(I$7,Movements!$G$614:$M$614,0))))
*I904*I$8,0)</f>
        <v>0</v>
      </c>
      <c r="J160" s="198">
        <f>_xlfn.IFNA(IF(J$7="Fixed",1,IF(AND($D94="yes",J$7="Block"),INDEX($O634:$Q634,1,MATCH(J$5,$I28:$K28,0)),INDEX(Movements!$G634:$M634,1,MATCH(J$7,Movements!$G$614:$M$614,0))))
*J904*J$8,0)</f>
        <v>0</v>
      </c>
      <c r="K160" s="198">
        <f>_xlfn.IFNA(IF(K$7="Fixed",1,IF(AND($D94="yes",K$7="Block"),INDEX($O634:$Q634,1,MATCH(K$5,$I28:$K28,0)),INDEX(Movements!$G634:$M634,1,MATCH(K$7,Movements!$G$614:$M$614,0))))
*K904*K$8,0)</f>
        <v>0</v>
      </c>
      <c r="L160" s="198">
        <f>_xlfn.IFNA(IF(L$7="Fixed",1,IF(AND($D94="yes",L$7="Block"),INDEX($O634:$Q634,1,MATCH(L$5,$I28:$K28,0)),INDEX(Movements!$G634:$M634,1,MATCH(L$7,Movements!$G$614:$M$614,0))))
*L904*L$8,0)</f>
        <v>0</v>
      </c>
      <c r="M160" s="198">
        <f>_xlfn.IFNA(IF(M$7="Fixed",1,IF(AND($D94="yes",M$7="Block"),INDEX($O634:$Q634,1,MATCH(M$5,$I28:$K28,0)),INDEX(Movements!$G634:$M634,1,MATCH(M$7,Movements!$G$614:$M$614,0))))
*M904*M$8,0)</f>
        <v>0</v>
      </c>
      <c r="N160" s="198">
        <f>_xlfn.IFNA(IF(N$7="Fixed",1,IF(AND($D94="yes",N$7="Block"),INDEX($O634:$Q634,1,MATCH(N$5,$I28:$K28,0)),INDEX(Movements!$G634:$M634,1,MATCH(N$7,Movements!$G$614:$M$614,0))))
*N904*N$8,0)</f>
        <v>0</v>
      </c>
      <c r="O160" s="198">
        <f>_xlfn.IFNA(IF(O$7="Fixed",1,IF(AND($D94="yes",O$7="Block"),INDEX($O634:$Q634,1,MATCH(O$5,$I28:$K28,0)),INDEX(Movements!$G634:$M634,1,MATCH(O$7,Movements!$G$614:$M$614,0))))
*O904*O$8,0)</f>
        <v>0</v>
      </c>
      <c r="P160" s="198">
        <f>_xlfn.IFNA(IF(P$7="Fixed",1,IF(AND($D94="yes",P$7="Block"),INDEX($O634:$Q634,1,MATCH(P$5,$I28:$K28,0)),INDEX(Movements!$G634:$M634,1,MATCH(P$7,Movements!$G$614:$M$614,0))))
*P904*P$8,0)</f>
        <v>0</v>
      </c>
      <c r="Q160" s="198">
        <f>_xlfn.IFNA(IF(Q$7="Fixed",1,IF(AND($D94="yes",Q$7="Block"),INDEX($O634:$Q634,1,MATCH(Q$5,$I28:$K28,0)),INDEX(Movements!$G634:$M634,1,MATCH(Q$7,Movements!$G$614:$M$614,0))))
*Q904*Q$8,0)</f>
        <v>0</v>
      </c>
      <c r="R160" s="198">
        <f>_xlfn.IFNA(IF(R$7="Fixed",1,IF(AND($D94="yes",R$7="Block"),INDEX($O634:$Q634,1,MATCH(R$5,$I28:$K28,0)),INDEX(Movements!$G634:$M634,1,MATCH(R$7,Movements!$G$614:$M$614,0))))
*R904*R$8,0)</f>
        <v>0</v>
      </c>
      <c r="S160" s="198">
        <f>_xlfn.IFNA(IF(S$7="Fixed",1,IF(AND($D94="yes",S$7="Block"),INDEX($O634:$Q634,1,MATCH(S$5,$I28:$K28,0)),INDEX(Movements!$G634:$M634,1,MATCH(S$7,Movements!$G$614:$M$614,0))))
*S904*S$8,0)</f>
        <v>0</v>
      </c>
      <c r="T160" s="198">
        <f>_xlfn.IFNA(IF(T$7="Fixed",1,IF(AND($D94="yes",T$7="Block"),INDEX($O634:$Q634,1,MATCH(T$5,$I28:$K28,0)),INDEX(Movements!$G634:$M634,1,MATCH(T$7,Movements!$G$614:$M$614,0))))
*T904*T$8,0)</f>
        <v>0</v>
      </c>
      <c r="U160" s="198">
        <f>_xlfn.IFNA(IF(U$7="Fixed",1,IF(AND($D94="yes",U$7="Block"),INDEX($O634:$Q634,1,MATCH(U$5,$I28:$K28,0)),INDEX(Movements!$G634:$M634,1,MATCH(U$7,Movements!$G$614:$M$614,0))))
*U904*U$8,0)</f>
        <v>0</v>
      </c>
      <c r="V160" s="198">
        <f>_xlfn.IFNA(IF(V$7="Fixed",1,IF(AND($D94="yes",V$7="Block"),INDEX($O634:$Q634,1,MATCH(V$5,$I28:$K28,0)),INDEX(Movements!$G634:$M634,1,MATCH(V$7,Movements!$G$614:$M$614,0))))
*V904*V$8,0)</f>
        <v>0</v>
      </c>
      <c r="W160" s="198">
        <f>_xlfn.IFNA(IF(W$7="Fixed",1,IF(AND($D94="yes",W$7="Block"),INDEX($O634:$Q634,1,MATCH(W$5,$I28:$K28,0)),INDEX(Movements!$G634:$M634,1,MATCH(W$7,Movements!$G$614:$M$614,0))))
*W904*W$8,0)</f>
        <v>0</v>
      </c>
      <c r="X160" s="198">
        <f>_xlfn.IFNA(IF(X$7="Fixed",1,IF(AND($D94="yes",X$7="Block"),INDEX($O634:$Q634,1,MATCH(X$5,$I28:$K28,0)),INDEX(Movements!$G634:$M634,1,MATCH(X$7,Movements!$G$614:$M$614,0))))
*X904*X$8,0)</f>
        <v>0</v>
      </c>
      <c r="Y160" s="198">
        <f>_xlfn.IFNA(IF(Y$7="Fixed",1,IF(AND($D94="yes",Y$7="Block"),INDEX($O634:$Q634,1,MATCH(Y$5,$I28:$K28,0)),INDEX(Movements!$G634:$M634,1,MATCH(Y$7,Movements!$G$614:$M$614,0))))
*Y904*Y$8,0)</f>
        <v>0</v>
      </c>
      <c r="Z160" s="198">
        <f>_xlfn.IFNA(IF(Z$7="Fixed",1,IF(AND($D94="yes",Z$7="Block"),INDEX($O634:$Q634,1,MATCH(Z$5,$I28:$K28,0)),INDEX(Movements!$G634:$M634,1,MATCH(Z$7,Movements!$G$614:$M$614,0))))
*Z904*Z$8,0)</f>
        <v>0</v>
      </c>
      <c r="AA160" s="198">
        <f>_xlfn.IFNA(IF(AA$7="Fixed",1,IF(AND($D94="yes",AA$7="Block"),INDEX($O634:$Q634,1,MATCH(AA$5,$I28:$K28,0)),INDEX(Movements!$G634:$M634,1,MATCH(AA$7,Movements!$G$614:$M$614,0))))
*AA904*AA$8,0)</f>
        <v>0</v>
      </c>
      <c r="AB160" s="198">
        <f>_xlfn.IFNA(IF(AB$7="Fixed",1,IF(AND($D94="yes",AB$7="Block"),INDEX($O634:$Q634,1,MATCH(AB$5,$I28:$K28,0)),INDEX(Movements!$G634:$M634,1,MATCH(AB$7,Movements!$G$614:$M$614,0))))
*AB904*AB$8,0)</f>
        <v>0</v>
      </c>
      <c r="AC160" s="70"/>
      <c r="AD160" s="19"/>
      <c r="AE160" s="19"/>
      <c r="AF160" s="19"/>
      <c r="AG160" s="19"/>
    </row>
    <row r="161" spans="1:33" hidden="1" outlineLevel="3" x14ac:dyDescent="0.2">
      <c r="A161" s="19"/>
      <c r="B161" s="19"/>
      <c r="C161" s="506">
        <f t="shared" si="7"/>
        <v>0</v>
      </c>
      <c r="D161" s="505">
        <f t="shared" si="7"/>
        <v>0</v>
      </c>
      <c r="E161" s="505">
        <f t="shared" si="7"/>
        <v>0</v>
      </c>
      <c r="F161" s="58"/>
      <c r="G161" s="199">
        <f t="shared" si="8"/>
        <v>0</v>
      </c>
      <c r="H161" s="58"/>
      <c r="I161" s="198">
        <f>_xlfn.IFNA(IF(I$7="Fixed",1,IF(AND($D95="yes",I$7="Block"),INDEX($O635:$Q635,1,MATCH(I$5,$I29:$K29,0)),INDEX(Movements!$G635:$M635,1,MATCH(I$7,Movements!$G$614:$M$614,0))))
*I905*I$8,0)</f>
        <v>0</v>
      </c>
      <c r="J161" s="198">
        <f>_xlfn.IFNA(IF(J$7="Fixed",1,IF(AND($D95="yes",J$7="Block"),INDEX($O635:$Q635,1,MATCH(J$5,$I29:$K29,0)),INDEX(Movements!$G635:$M635,1,MATCH(J$7,Movements!$G$614:$M$614,0))))
*J905*J$8,0)</f>
        <v>0</v>
      </c>
      <c r="K161" s="198">
        <f>_xlfn.IFNA(IF(K$7="Fixed",1,IF(AND($D95="yes",K$7="Block"),INDEX($O635:$Q635,1,MATCH(K$5,$I29:$K29,0)),INDEX(Movements!$G635:$M635,1,MATCH(K$7,Movements!$G$614:$M$614,0))))
*K905*K$8,0)</f>
        <v>0</v>
      </c>
      <c r="L161" s="198">
        <f>_xlfn.IFNA(IF(L$7="Fixed",1,IF(AND($D95="yes",L$7="Block"),INDEX($O635:$Q635,1,MATCH(L$5,$I29:$K29,0)),INDEX(Movements!$G635:$M635,1,MATCH(L$7,Movements!$G$614:$M$614,0))))
*L905*L$8,0)</f>
        <v>0</v>
      </c>
      <c r="M161" s="198">
        <f>_xlfn.IFNA(IF(M$7="Fixed",1,IF(AND($D95="yes",M$7="Block"),INDEX($O635:$Q635,1,MATCH(M$5,$I29:$K29,0)),INDEX(Movements!$G635:$M635,1,MATCH(M$7,Movements!$G$614:$M$614,0))))
*M905*M$8,0)</f>
        <v>0</v>
      </c>
      <c r="N161" s="198">
        <f>_xlfn.IFNA(IF(N$7="Fixed",1,IF(AND($D95="yes",N$7="Block"),INDEX($O635:$Q635,1,MATCH(N$5,$I29:$K29,0)),INDEX(Movements!$G635:$M635,1,MATCH(N$7,Movements!$G$614:$M$614,0))))
*N905*N$8,0)</f>
        <v>0</v>
      </c>
      <c r="O161" s="198">
        <f>_xlfn.IFNA(IF(O$7="Fixed",1,IF(AND($D95="yes",O$7="Block"),INDEX($O635:$Q635,1,MATCH(O$5,$I29:$K29,0)),INDEX(Movements!$G635:$M635,1,MATCH(O$7,Movements!$G$614:$M$614,0))))
*O905*O$8,0)</f>
        <v>0</v>
      </c>
      <c r="P161" s="198">
        <f>_xlfn.IFNA(IF(P$7="Fixed",1,IF(AND($D95="yes",P$7="Block"),INDEX($O635:$Q635,1,MATCH(P$5,$I29:$K29,0)),INDEX(Movements!$G635:$M635,1,MATCH(P$7,Movements!$G$614:$M$614,0))))
*P905*P$8,0)</f>
        <v>0</v>
      </c>
      <c r="Q161" s="198">
        <f>_xlfn.IFNA(IF(Q$7="Fixed",1,IF(AND($D95="yes",Q$7="Block"),INDEX($O635:$Q635,1,MATCH(Q$5,$I29:$K29,0)),INDEX(Movements!$G635:$M635,1,MATCH(Q$7,Movements!$G$614:$M$614,0))))
*Q905*Q$8,0)</f>
        <v>0</v>
      </c>
      <c r="R161" s="198">
        <f>_xlfn.IFNA(IF(R$7="Fixed",1,IF(AND($D95="yes",R$7="Block"),INDEX($O635:$Q635,1,MATCH(R$5,$I29:$K29,0)),INDEX(Movements!$G635:$M635,1,MATCH(R$7,Movements!$G$614:$M$614,0))))
*R905*R$8,0)</f>
        <v>0</v>
      </c>
      <c r="S161" s="198">
        <f>_xlfn.IFNA(IF(S$7="Fixed",1,IF(AND($D95="yes",S$7="Block"),INDEX($O635:$Q635,1,MATCH(S$5,$I29:$K29,0)),INDEX(Movements!$G635:$M635,1,MATCH(S$7,Movements!$G$614:$M$614,0))))
*S905*S$8,0)</f>
        <v>0</v>
      </c>
      <c r="T161" s="198">
        <f>_xlfn.IFNA(IF(T$7="Fixed",1,IF(AND($D95="yes",T$7="Block"),INDEX($O635:$Q635,1,MATCH(T$5,$I29:$K29,0)),INDEX(Movements!$G635:$M635,1,MATCH(T$7,Movements!$G$614:$M$614,0))))
*T905*T$8,0)</f>
        <v>0</v>
      </c>
      <c r="U161" s="198">
        <f>_xlfn.IFNA(IF(U$7="Fixed",1,IF(AND($D95="yes",U$7="Block"),INDEX($O635:$Q635,1,MATCH(U$5,$I29:$K29,0)),INDEX(Movements!$G635:$M635,1,MATCH(U$7,Movements!$G$614:$M$614,0))))
*U905*U$8,0)</f>
        <v>0</v>
      </c>
      <c r="V161" s="198">
        <f>_xlfn.IFNA(IF(V$7="Fixed",1,IF(AND($D95="yes",V$7="Block"),INDEX($O635:$Q635,1,MATCH(V$5,$I29:$K29,0)),INDEX(Movements!$G635:$M635,1,MATCH(V$7,Movements!$G$614:$M$614,0))))
*V905*V$8,0)</f>
        <v>0</v>
      </c>
      <c r="W161" s="198">
        <f>_xlfn.IFNA(IF(W$7="Fixed",1,IF(AND($D95="yes",W$7="Block"),INDEX($O635:$Q635,1,MATCH(W$5,$I29:$K29,0)),INDEX(Movements!$G635:$M635,1,MATCH(W$7,Movements!$G$614:$M$614,0))))
*W905*W$8,0)</f>
        <v>0</v>
      </c>
      <c r="X161" s="198">
        <f>_xlfn.IFNA(IF(X$7="Fixed",1,IF(AND($D95="yes",X$7="Block"),INDEX($O635:$Q635,1,MATCH(X$5,$I29:$K29,0)),INDEX(Movements!$G635:$M635,1,MATCH(X$7,Movements!$G$614:$M$614,0))))
*X905*X$8,0)</f>
        <v>0</v>
      </c>
      <c r="Y161" s="198">
        <f>_xlfn.IFNA(IF(Y$7="Fixed",1,IF(AND($D95="yes",Y$7="Block"),INDEX($O635:$Q635,1,MATCH(Y$5,$I29:$K29,0)),INDEX(Movements!$G635:$M635,1,MATCH(Y$7,Movements!$G$614:$M$614,0))))
*Y905*Y$8,0)</f>
        <v>0</v>
      </c>
      <c r="Z161" s="198">
        <f>_xlfn.IFNA(IF(Z$7="Fixed",1,IF(AND($D95="yes",Z$7="Block"),INDEX($O635:$Q635,1,MATCH(Z$5,$I29:$K29,0)),INDEX(Movements!$G635:$M635,1,MATCH(Z$7,Movements!$G$614:$M$614,0))))
*Z905*Z$8,0)</f>
        <v>0</v>
      </c>
      <c r="AA161" s="198">
        <f>_xlfn.IFNA(IF(AA$7="Fixed",1,IF(AND($D95="yes",AA$7="Block"),INDEX($O635:$Q635,1,MATCH(AA$5,$I29:$K29,0)),INDEX(Movements!$G635:$M635,1,MATCH(AA$7,Movements!$G$614:$M$614,0))))
*AA905*AA$8,0)</f>
        <v>0</v>
      </c>
      <c r="AB161" s="198">
        <f>_xlfn.IFNA(IF(AB$7="Fixed",1,IF(AND($D95="yes",AB$7="Block"),INDEX($O635:$Q635,1,MATCH(AB$5,$I29:$K29,0)),INDEX(Movements!$G635:$M635,1,MATCH(AB$7,Movements!$G$614:$M$614,0))))
*AB905*AB$8,0)</f>
        <v>0</v>
      </c>
      <c r="AC161" s="70"/>
      <c r="AD161" s="19"/>
      <c r="AE161" s="19"/>
      <c r="AF161" s="19"/>
      <c r="AG161" s="19"/>
    </row>
    <row r="162" spans="1:33" hidden="1" outlineLevel="3" x14ac:dyDescent="0.2">
      <c r="A162" s="19"/>
      <c r="B162" s="19"/>
      <c r="C162" s="506">
        <f t="shared" si="7"/>
        <v>0</v>
      </c>
      <c r="D162" s="505">
        <f t="shared" si="7"/>
        <v>0</v>
      </c>
      <c r="E162" s="505">
        <f t="shared" si="7"/>
        <v>0</v>
      </c>
      <c r="F162" s="58"/>
      <c r="G162" s="199">
        <f t="shared" si="8"/>
        <v>0</v>
      </c>
      <c r="H162" s="58"/>
      <c r="I162" s="198">
        <f>_xlfn.IFNA(IF(I$7="Fixed",1,IF(AND($D96="yes",I$7="Block"),INDEX($O636:$Q636,1,MATCH(I$5,$I30:$K30,0)),INDEX(Movements!$G636:$M636,1,MATCH(I$7,Movements!$G$614:$M$614,0))))
*I906*I$8,0)</f>
        <v>0</v>
      </c>
      <c r="J162" s="198">
        <f>_xlfn.IFNA(IF(J$7="Fixed",1,IF(AND($D96="yes",J$7="Block"),INDEX($O636:$Q636,1,MATCH(J$5,$I30:$K30,0)),INDEX(Movements!$G636:$M636,1,MATCH(J$7,Movements!$G$614:$M$614,0))))
*J906*J$8,0)</f>
        <v>0</v>
      </c>
      <c r="K162" s="198">
        <f>_xlfn.IFNA(IF(K$7="Fixed",1,IF(AND($D96="yes",K$7="Block"),INDEX($O636:$Q636,1,MATCH(K$5,$I30:$K30,0)),INDEX(Movements!$G636:$M636,1,MATCH(K$7,Movements!$G$614:$M$614,0))))
*K906*K$8,0)</f>
        <v>0</v>
      </c>
      <c r="L162" s="198">
        <f>_xlfn.IFNA(IF(L$7="Fixed",1,IF(AND($D96="yes",L$7="Block"),INDEX($O636:$Q636,1,MATCH(L$5,$I30:$K30,0)),INDEX(Movements!$G636:$M636,1,MATCH(L$7,Movements!$G$614:$M$614,0))))
*L906*L$8,0)</f>
        <v>0</v>
      </c>
      <c r="M162" s="198">
        <f>_xlfn.IFNA(IF(M$7="Fixed",1,IF(AND($D96="yes",M$7="Block"),INDEX($O636:$Q636,1,MATCH(M$5,$I30:$K30,0)),INDEX(Movements!$G636:$M636,1,MATCH(M$7,Movements!$G$614:$M$614,0))))
*M906*M$8,0)</f>
        <v>0</v>
      </c>
      <c r="N162" s="198">
        <f>_xlfn.IFNA(IF(N$7="Fixed",1,IF(AND($D96="yes",N$7="Block"),INDEX($O636:$Q636,1,MATCH(N$5,$I30:$K30,0)),INDEX(Movements!$G636:$M636,1,MATCH(N$7,Movements!$G$614:$M$614,0))))
*N906*N$8,0)</f>
        <v>0</v>
      </c>
      <c r="O162" s="198">
        <f>_xlfn.IFNA(IF(O$7="Fixed",1,IF(AND($D96="yes",O$7="Block"),INDEX($O636:$Q636,1,MATCH(O$5,$I30:$K30,0)),INDEX(Movements!$G636:$M636,1,MATCH(O$7,Movements!$G$614:$M$614,0))))
*O906*O$8,0)</f>
        <v>0</v>
      </c>
      <c r="P162" s="198">
        <f>_xlfn.IFNA(IF(P$7="Fixed",1,IF(AND($D96="yes",P$7="Block"),INDEX($O636:$Q636,1,MATCH(P$5,$I30:$K30,0)),INDEX(Movements!$G636:$M636,1,MATCH(P$7,Movements!$G$614:$M$614,0))))
*P906*P$8,0)</f>
        <v>0</v>
      </c>
      <c r="Q162" s="198">
        <f>_xlfn.IFNA(IF(Q$7="Fixed",1,IF(AND($D96="yes",Q$7="Block"),INDEX($O636:$Q636,1,MATCH(Q$5,$I30:$K30,0)),INDEX(Movements!$G636:$M636,1,MATCH(Q$7,Movements!$G$614:$M$614,0))))
*Q906*Q$8,0)</f>
        <v>0</v>
      </c>
      <c r="R162" s="198">
        <f>_xlfn.IFNA(IF(R$7="Fixed",1,IF(AND($D96="yes",R$7="Block"),INDEX($O636:$Q636,1,MATCH(R$5,$I30:$K30,0)),INDEX(Movements!$G636:$M636,1,MATCH(R$7,Movements!$G$614:$M$614,0))))
*R906*R$8,0)</f>
        <v>0</v>
      </c>
      <c r="S162" s="198">
        <f>_xlfn.IFNA(IF(S$7="Fixed",1,IF(AND($D96="yes",S$7="Block"),INDEX($O636:$Q636,1,MATCH(S$5,$I30:$K30,0)),INDEX(Movements!$G636:$M636,1,MATCH(S$7,Movements!$G$614:$M$614,0))))
*S906*S$8,0)</f>
        <v>0</v>
      </c>
      <c r="T162" s="198">
        <f>_xlfn.IFNA(IF(T$7="Fixed",1,IF(AND($D96="yes",T$7="Block"),INDEX($O636:$Q636,1,MATCH(T$5,$I30:$K30,0)),INDEX(Movements!$G636:$M636,1,MATCH(T$7,Movements!$G$614:$M$614,0))))
*T906*T$8,0)</f>
        <v>0</v>
      </c>
      <c r="U162" s="198">
        <f>_xlfn.IFNA(IF(U$7="Fixed",1,IF(AND($D96="yes",U$7="Block"),INDEX($O636:$Q636,1,MATCH(U$5,$I30:$K30,0)),INDEX(Movements!$G636:$M636,1,MATCH(U$7,Movements!$G$614:$M$614,0))))
*U906*U$8,0)</f>
        <v>0</v>
      </c>
      <c r="V162" s="198">
        <f>_xlfn.IFNA(IF(V$7="Fixed",1,IF(AND($D96="yes",V$7="Block"),INDEX($O636:$Q636,1,MATCH(V$5,$I30:$K30,0)),INDEX(Movements!$G636:$M636,1,MATCH(V$7,Movements!$G$614:$M$614,0))))
*V906*V$8,0)</f>
        <v>0</v>
      </c>
      <c r="W162" s="198">
        <f>_xlfn.IFNA(IF(W$7="Fixed",1,IF(AND($D96="yes",W$7="Block"),INDEX($O636:$Q636,1,MATCH(W$5,$I30:$K30,0)),INDEX(Movements!$G636:$M636,1,MATCH(W$7,Movements!$G$614:$M$614,0))))
*W906*W$8,0)</f>
        <v>0</v>
      </c>
      <c r="X162" s="198">
        <f>_xlfn.IFNA(IF(X$7="Fixed",1,IF(AND($D96="yes",X$7="Block"),INDEX($O636:$Q636,1,MATCH(X$5,$I30:$K30,0)),INDEX(Movements!$G636:$M636,1,MATCH(X$7,Movements!$G$614:$M$614,0))))
*X906*X$8,0)</f>
        <v>0</v>
      </c>
      <c r="Y162" s="198">
        <f>_xlfn.IFNA(IF(Y$7="Fixed",1,IF(AND($D96="yes",Y$7="Block"),INDEX($O636:$Q636,1,MATCH(Y$5,$I30:$K30,0)),INDEX(Movements!$G636:$M636,1,MATCH(Y$7,Movements!$G$614:$M$614,0))))
*Y906*Y$8,0)</f>
        <v>0</v>
      </c>
      <c r="Z162" s="198">
        <f>_xlfn.IFNA(IF(Z$7="Fixed",1,IF(AND($D96="yes",Z$7="Block"),INDEX($O636:$Q636,1,MATCH(Z$5,$I30:$K30,0)),INDEX(Movements!$G636:$M636,1,MATCH(Z$7,Movements!$G$614:$M$614,0))))
*Z906*Z$8,0)</f>
        <v>0</v>
      </c>
      <c r="AA162" s="198">
        <f>_xlfn.IFNA(IF(AA$7="Fixed",1,IF(AND($D96="yes",AA$7="Block"),INDEX($O636:$Q636,1,MATCH(AA$5,$I30:$K30,0)),INDEX(Movements!$G636:$M636,1,MATCH(AA$7,Movements!$G$614:$M$614,0))))
*AA906*AA$8,0)</f>
        <v>0</v>
      </c>
      <c r="AB162" s="198">
        <f>_xlfn.IFNA(IF(AB$7="Fixed",1,IF(AND($D96="yes",AB$7="Block"),INDEX($O636:$Q636,1,MATCH(AB$5,$I30:$K30,0)),INDEX(Movements!$G636:$M636,1,MATCH(AB$7,Movements!$G$614:$M$614,0))))
*AB906*AB$8,0)</f>
        <v>0</v>
      </c>
      <c r="AC162" s="70"/>
      <c r="AD162" s="19"/>
      <c r="AE162" s="19"/>
      <c r="AF162" s="19"/>
      <c r="AG162" s="19"/>
    </row>
    <row r="163" spans="1:33" hidden="1" outlineLevel="3" x14ac:dyDescent="0.2">
      <c r="A163" s="19"/>
      <c r="B163" s="19"/>
      <c r="C163" s="506">
        <f t="shared" si="7"/>
        <v>0</v>
      </c>
      <c r="D163" s="505">
        <f t="shared" si="7"/>
        <v>0</v>
      </c>
      <c r="E163" s="505">
        <f t="shared" si="7"/>
        <v>0</v>
      </c>
      <c r="F163" s="58"/>
      <c r="G163" s="199">
        <f t="shared" si="8"/>
        <v>0</v>
      </c>
      <c r="H163" s="58"/>
      <c r="I163" s="198">
        <f>_xlfn.IFNA(IF(I$7="Fixed",1,IF(AND($D97="yes",I$7="Block"),INDEX($O637:$Q637,1,MATCH(I$5,$I31:$K31,0)),INDEX(Movements!$G637:$M637,1,MATCH(I$7,Movements!$G$614:$M$614,0))))
*I907*I$8,0)</f>
        <v>0</v>
      </c>
      <c r="J163" s="198">
        <f>_xlfn.IFNA(IF(J$7="Fixed",1,IF(AND($D97="yes",J$7="Block"),INDEX($O637:$Q637,1,MATCH(J$5,$I31:$K31,0)),INDEX(Movements!$G637:$M637,1,MATCH(J$7,Movements!$G$614:$M$614,0))))
*J907*J$8,0)</f>
        <v>0</v>
      </c>
      <c r="K163" s="198">
        <f>_xlfn.IFNA(IF(K$7="Fixed",1,IF(AND($D97="yes",K$7="Block"),INDEX($O637:$Q637,1,MATCH(K$5,$I31:$K31,0)),INDEX(Movements!$G637:$M637,1,MATCH(K$7,Movements!$G$614:$M$614,0))))
*K907*K$8,0)</f>
        <v>0</v>
      </c>
      <c r="L163" s="198">
        <f>_xlfn.IFNA(IF(L$7="Fixed",1,IF(AND($D97="yes",L$7="Block"),INDEX($O637:$Q637,1,MATCH(L$5,$I31:$K31,0)),INDEX(Movements!$G637:$M637,1,MATCH(L$7,Movements!$G$614:$M$614,0))))
*L907*L$8,0)</f>
        <v>0</v>
      </c>
      <c r="M163" s="198">
        <f>_xlfn.IFNA(IF(M$7="Fixed",1,IF(AND($D97="yes",M$7="Block"),INDEX($O637:$Q637,1,MATCH(M$5,$I31:$K31,0)),INDEX(Movements!$G637:$M637,1,MATCH(M$7,Movements!$G$614:$M$614,0))))
*M907*M$8,0)</f>
        <v>0</v>
      </c>
      <c r="N163" s="198">
        <f>_xlfn.IFNA(IF(N$7="Fixed",1,IF(AND($D97="yes",N$7="Block"),INDEX($O637:$Q637,1,MATCH(N$5,$I31:$K31,0)),INDEX(Movements!$G637:$M637,1,MATCH(N$7,Movements!$G$614:$M$614,0))))
*N907*N$8,0)</f>
        <v>0</v>
      </c>
      <c r="O163" s="198">
        <f>_xlfn.IFNA(IF(O$7="Fixed",1,IF(AND($D97="yes",O$7="Block"),INDEX($O637:$Q637,1,MATCH(O$5,$I31:$K31,0)),INDEX(Movements!$G637:$M637,1,MATCH(O$7,Movements!$G$614:$M$614,0))))
*O907*O$8,0)</f>
        <v>0</v>
      </c>
      <c r="P163" s="198">
        <f>_xlfn.IFNA(IF(P$7="Fixed",1,IF(AND($D97="yes",P$7="Block"),INDEX($O637:$Q637,1,MATCH(P$5,$I31:$K31,0)),INDEX(Movements!$G637:$M637,1,MATCH(P$7,Movements!$G$614:$M$614,0))))
*P907*P$8,0)</f>
        <v>0</v>
      </c>
      <c r="Q163" s="198">
        <f>_xlfn.IFNA(IF(Q$7="Fixed",1,IF(AND($D97="yes",Q$7="Block"),INDEX($O637:$Q637,1,MATCH(Q$5,$I31:$K31,0)),INDEX(Movements!$G637:$M637,1,MATCH(Q$7,Movements!$G$614:$M$614,0))))
*Q907*Q$8,0)</f>
        <v>0</v>
      </c>
      <c r="R163" s="198">
        <f>_xlfn.IFNA(IF(R$7="Fixed",1,IF(AND($D97="yes",R$7="Block"),INDEX($O637:$Q637,1,MATCH(R$5,$I31:$K31,0)),INDEX(Movements!$G637:$M637,1,MATCH(R$7,Movements!$G$614:$M$614,0))))
*R907*R$8,0)</f>
        <v>0</v>
      </c>
      <c r="S163" s="198">
        <f>_xlfn.IFNA(IF(S$7="Fixed",1,IF(AND($D97="yes",S$7="Block"),INDEX($O637:$Q637,1,MATCH(S$5,$I31:$K31,0)),INDEX(Movements!$G637:$M637,1,MATCH(S$7,Movements!$G$614:$M$614,0))))
*S907*S$8,0)</f>
        <v>0</v>
      </c>
      <c r="T163" s="198">
        <f>_xlfn.IFNA(IF(T$7="Fixed",1,IF(AND($D97="yes",T$7="Block"),INDEX($O637:$Q637,1,MATCH(T$5,$I31:$K31,0)),INDEX(Movements!$G637:$M637,1,MATCH(T$7,Movements!$G$614:$M$614,0))))
*T907*T$8,0)</f>
        <v>0</v>
      </c>
      <c r="U163" s="198">
        <f>_xlfn.IFNA(IF(U$7="Fixed",1,IF(AND($D97="yes",U$7="Block"),INDEX($O637:$Q637,1,MATCH(U$5,$I31:$K31,0)),INDEX(Movements!$G637:$M637,1,MATCH(U$7,Movements!$G$614:$M$614,0))))
*U907*U$8,0)</f>
        <v>0</v>
      </c>
      <c r="V163" s="198">
        <f>_xlfn.IFNA(IF(V$7="Fixed",1,IF(AND($D97="yes",V$7="Block"),INDEX($O637:$Q637,1,MATCH(V$5,$I31:$K31,0)),INDEX(Movements!$G637:$M637,1,MATCH(V$7,Movements!$G$614:$M$614,0))))
*V907*V$8,0)</f>
        <v>0</v>
      </c>
      <c r="W163" s="198">
        <f>_xlfn.IFNA(IF(W$7="Fixed",1,IF(AND($D97="yes",W$7="Block"),INDEX($O637:$Q637,1,MATCH(W$5,$I31:$K31,0)),INDEX(Movements!$G637:$M637,1,MATCH(W$7,Movements!$G$614:$M$614,0))))
*W907*W$8,0)</f>
        <v>0</v>
      </c>
      <c r="X163" s="198">
        <f>_xlfn.IFNA(IF(X$7="Fixed",1,IF(AND($D97="yes",X$7="Block"),INDEX($O637:$Q637,1,MATCH(X$5,$I31:$K31,0)),INDEX(Movements!$G637:$M637,1,MATCH(X$7,Movements!$G$614:$M$614,0))))
*X907*X$8,0)</f>
        <v>0</v>
      </c>
      <c r="Y163" s="198">
        <f>_xlfn.IFNA(IF(Y$7="Fixed",1,IF(AND($D97="yes",Y$7="Block"),INDEX($O637:$Q637,1,MATCH(Y$5,$I31:$K31,0)),INDEX(Movements!$G637:$M637,1,MATCH(Y$7,Movements!$G$614:$M$614,0))))
*Y907*Y$8,0)</f>
        <v>0</v>
      </c>
      <c r="Z163" s="198">
        <f>_xlfn.IFNA(IF(Z$7="Fixed",1,IF(AND($D97="yes",Z$7="Block"),INDEX($O637:$Q637,1,MATCH(Z$5,$I31:$K31,0)),INDEX(Movements!$G637:$M637,1,MATCH(Z$7,Movements!$G$614:$M$614,0))))
*Z907*Z$8,0)</f>
        <v>0</v>
      </c>
      <c r="AA163" s="198">
        <f>_xlfn.IFNA(IF(AA$7="Fixed",1,IF(AND($D97="yes",AA$7="Block"),INDEX($O637:$Q637,1,MATCH(AA$5,$I31:$K31,0)),INDEX(Movements!$G637:$M637,1,MATCH(AA$7,Movements!$G$614:$M$614,0))))
*AA907*AA$8,0)</f>
        <v>0</v>
      </c>
      <c r="AB163" s="198">
        <f>_xlfn.IFNA(IF(AB$7="Fixed",1,IF(AND($D97="yes",AB$7="Block"),INDEX($O637:$Q637,1,MATCH(AB$5,$I31:$K31,0)),INDEX(Movements!$G637:$M637,1,MATCH(AB$7,Movements!$G$614:$M$614,0))))
*AB907*AB$8,0)</f>
        <v>0</v>
      </c>
      <c r="AC163" s="70"/>
      <c r="AD163" s="19"/>
      <c r="AE163" s="19"/>
      <c r="AF163" s="19"/>
      <c r="AG163" s="19"/>
    </row>
    <row r="164" spans="1:33" hidden="1" outlineLevel="3" x14ac:dyDescent="0.2">
      <c r="A164" s="19"/>
      <c r="B164" s="19"/>
      <c r="C164" s="506">
        <f t="shared" si="7"/>
        <v>0</v>
      </c>
      <c r="D164" s="505">
        <f t="shared" si="7"/>
        <v>0</v>
      </c>
      <c r="E164" s="505">
        <f t="shared" si="7"/>
        <v>0</v>
      </c>
      <c r="F164" s="58"/>
      <c r="G164" s="199">
        <f t="shared" si="8"/>
        <v>0</v>
      </c>
      <c r="H164" s="58"/>
      <c r="I164" s="198">
        <f>_xlfn.IFNA(IF(I$7="Fixed",1,IF(AND($D98="yes",I$7="Block"),INDEX($O638:$Q638,1,MATCH(I$5,$I32:$K32,0)),INDEX(Movements!$G638:$M638,1,MATCH(I$7,Movements!$G$614:$M$614,0))))
*I908*I$8,0)</f>
        <v>0</v>
      </c>
      <c r="J164" s="198">
        <f>_xlfn.IFNA(IF(J$7="Fixed",1,IF(AND($D98="yes",J$7="Block"),INDEX($O638:$Q638,1,MATCH(J$5,$I32:$K32,0)),INDEX(Movements!$G638:$M638,1,MATCH(J$7,Movements!$G$614:$M$614,0))))
*J908*J$8,0)</f>
        <v>0</v>
      </c>
      <c r="K164" s="198">
        <f>_xlfn.IFNA(IF(K$7="Fixed",1,IF(AND($D98="yes",K$7="Block"),INDEX($O638:$Q638,1,MATCH(K$5,$I32:$K32,0)),INDEX(Movements!$G638:$M638,1,MATCH(K$7,Movements!$G$614:$M$614,0))))
*K908*K$8,0)</f>
        <v>0</v>
      </c>
      <c r="L164" s="198">
        <f>_xlfn.IFNA(IF(L$7="Fixed",1,IF(AND($D98="yes",L$7="Block"),INDEX($O638:$Q638,1,MATCH(L$5,$I32:$K32,0)),INDEX(Movements!$G638:$M638,1,MATCH(L$7,Movements!$G$614:$M$614,0))))
*L908*L$8,0)</f>
        <v>0</v>
      </c>
      <c r="M164" s="198">
        <f>_xlfn.IFNA(IF(M$7="Fixed",1,IF(AND($D98="yes",M$7="Block"),INDEX($O638:$Q638,1,MATCH(M$5,$I32:$K32,0)),INDEX(Movements!$G638:$M638,1,MATCH(M$7,Movements!$G$614:$M$614,0))))
*M908*M$8,0)</f>
        <v>0</v>
      </c>
      <c r="N164" s="198">
        <f>_xlfn.IFNA(IF(N$7="Fixed",1,IF(AND($D98="yes",N$7="Block"),INDEX($O638:$Q638,1,MATCH(N$5,$I32:$K32,0)),INDEX(Movements!$G638:$M638,1,MATCH(N$7,Movements!$G$614:$M$614,0))))
*N908*N$8,0)</f>
        <v>0</v>
      </c>
      <c r="O164" s="198">
        <f>_xlfn.IFNA(IF(O$7="Fixed",1,IF(AND($D98="yes",O$7="Block"),INDEX($O638:$Q638,1,MATCH(O$5,$I32:$K32,0)),INDEX(Movements!$G638:$M638,1,MATCH(O$7,Movements!$G$614:$M$614,0))))
*O908*O$8,0)</f>
        <v>0</v>
      </c>
      <c r="P164" s="198">
        <f>_xlfn.IFNA(IF(P$7="Fixed",1,IF(AND($D98="yes",P$7="Block"),INDEX($O638:$Q638,1,MATCH(P$5,$I32:$K32,0)),INDEX(Movements!$G638:$M638,1,MATCH(P$7,Movements!$G$614:$M$614,0))))
*P908*P$8,0)</f>
        <v>0</v>
      </c>
      <c r="Q164" s="198">
        <f>_xlfn.IFNA(IF(Q$7="Fixed",1,IF(AND($D98="yes",Q$7="Block"),INDEX($O638:$Q638,1,MATCH(Q$5,$I32:$K32,0)),INDEX(Movements!$G638:$M638,1,MATCH(Q$7,Movements!$G$614:$M$614,0))))
*Q908*Q$8,0)</f>
        <v>0</v>
      </c>
      <c r="R164" s="198">
        <f>_xlfn.IFNA(IF(R$7="Fixed",1,IF(AND($D98="yes",R$7="Block"),INDEX($O638:$Q638,1,MATCH(R$5,$I32:$K32,0)),INDEX(Movements!$G638:$M638,1,MATCH(R$7,Movements!$G$614:$M$614,0))))
*R908*R$8,0)</f>
        <v>0</v>
      </c>
      <c r="S164" s="198">
        <f>_xlfn.IFNA(IF(S$7="Fixed",1,IF(AND($D98="yes",S$7="Block"),INDEX($O638:$Q638,1,MATCH(S$5,$I32:$K32,0)),INDEX(Movements!$G638:$M638,1,MATCH(S$7,Movements!$G$614:$M$614,0))))
*S908*S$8,0)</f>
        <v>0</v>
      </c>
      <c r="T164" s="198">
        <f>_xlfn.IFNA(IF(T$7="Fixed",1,IF(AND($D98="yes",T$7="Block"),INDEX($O638:$Q638,1,MATCH(T$5,$I32:$K32,0)),INDEX(Movements!$G638:$M638,1,MATCH(T$7,Movements!$G$614:$M$614,0))))
*T908*T$8,0)</f>
        <v>0</v>
      </c>
      <c r="U164" s="198">
        <f>_xlfn.IFNA(IF(U$7="Fixed",1,IF(AND($D98="yes",U$7="Block"),INDEX($O638:$Q638,1,MATCH(U$5,$I32:$K32,0)),INDEX(Movements!$G638:$M638,1,MATCH(U$7,Movements!$G$614:$M$614,0))))
*U908*U$8,0)</f>
        <v>0</v>
      </c>
      <c r="V164" s="198">
        <f>_xlfn.IFNA(IF(V$7="Fixed",1,IF(AND($D98="yes",V$7="Block"),INDEX($O638:$Q638,1,MATCH(V$5,$I32:$K32,0)),INDEX(Movements!$G638:$M638,1,MATCH(V$7,Movements!$G$614:$M$614,0))))
*V908*V$8,0)</f>
        <v>0</v>
      </c>
      <c r="W164" s="198">
        <f>_xlfn.IFNA(IF(W$7="Fixed",1,IF(AND($D98="yes",W$7="Block"),INDEX($O638:$Q638,1,MATCH(W$5,$I32:$K32,0)),INDEX(Movements!$G638:$M638,1,MATCH(W$7,Movements!$G$614:$M$614,0))))
*W908*W$8,0)</f>
        <v>0</v>
      </c>
      <c r="X164" s="198">
        <f>_xlfn.IFNA(IF(X$7="Fixed",1,IF(AND($D98="yes",X$7="Block"),INDEX($O638:$Q638,1,MATCH(X$5,$I32:$K32,0)),INDEX(Movements!$G638:$M638,1,MATCH(X$7,Movements!$G$614:$M$614,0))))
*X908*X$8,0)</f>
        <v>0</v>
      </c>
      <c r="Y164" s="198">
        <f>_xlfn.IFNA(IF(Y$7="Fixed",1,IF(AND($D98="yes",Y$7="Block"),INDEX($O638:$Q638,1,MATCH(Y$5,$I32:$K32,0)),INDEX(Movements!$G638:$M638,1,MATCH(Y$7,Movements!$G$614:$M$614,0))))
*Y908*Y$8,0)</f>
        <v>0</v>
      </c>
      <c r="Z164" s="198">
        <f>_xlfn.IFNA(IF(Z$7="Fixed",1,IF(AND($D98="yes",Z$7="Block"),INDEX($O638:$Q638,1,MATCH(Z$5,$I32:$K32,0)),INDEX(Movements!$G638:$M638,1,MATCH(Z$7,Movements!$G$614:$M$614,0))))
*Z908*Z$8,0)</f>
        <v>0</v>
      </c>
      <c r="AA164" s="198">
        <f>_xlfn.IFNA(IF(AA$7="Fixed",1,IF(AND($D98="yes",AA$7="Block"),INDEX($O638:$Q638,1,MATCH(AA$5,$I32:$K32,0)),INDEX(Movements!$G638:$M638,1,MATCH(AA$7,Movements!$G$614:$M$614,0))))
*AA908*AA$8,0)</f>
        <v>0</v>
      </c>
      <c r="AB164" s="198">
        <f>_xlfn.IFNA(IF(AB$7="Fixed",1,IF(AND($D98="yes",AB$7="Block"),INDEX($O638:$Q638,1,MATCH(AB$5,$I32:$K32,0)),INDEX(Movements!$G638:$M638,1,MATCH(AB$7,Movements!$G$614:$M$614,0))))
*AB908*AB$8,0)</f>
        <v>0</v>
      </c>
      <c r="AC164" s="70"/>
      <c r="AD164" s="19"/>
      <c r="AE164" s="19"/>
      <c r="AF164" s="19"/>
      <c r="AG164" s="19"/>
    </row>
    <row r="165" spans="1:33" hidden="1" outlineLevel="3" x14ac:dyDescent="0.2">
      <c r="A165" s="19"/>
      <c r="B165" s="19"/>
      <c r="C165" s="506">
        <f t="shared" si="7"/>
        <v>0</v>
      </c>
      <c r="D165" s="505">
        <f t="shared" si="7"/>
        <v>0</v>
      </c>
      <c r="E165" s="505">
        <f t="shared" si="7"/>
        <v>0</v>
      </c>
      <c r="F165" s="58"/>
      <c r="G165" s="199">
        <f t="shared" si="8"/>
        <v>0</v>
      </c>
      <c r="H165" s="58"/>
      <c r="I165" s="198">
        <f>_xlfn.IFNA(IF(I$7="Fixed",1,IF(AND($D99="yes",I$7="Block"),INDEX($O639:$Q639,1,MATCH(I$5,$I33:$K33,0)),INDEX(Movements!$G639:$M639,1,MATCH(I$7,Movements!$G$614:$M$614,0))))
*I909*I$8,0)</f>
        <v>0</v>
      </c>
      <c r="J165" s="198">
        <f>_xlfn.IFNA(IF(J$7="Fixed",1,IF(AND($D99="yes",J$7="Block"),INDEX($O639:$Q639,1,MATCH(J$5,$I33:$K33,0)),INDEX(Movements!$G639:$M639,1,MATCH(J$7,Movements!$G$614:$M$614,0))))
*J909*J$8,0)</f>
        <v>0</v>
      </c>
      <c r="K165" s="198">
        <f>_xlfn.IFNA(IF(K$7="Fixed",1,IF(AND($D99="yes",K$7="Block"),INDEX($O639:$Q639,1,MATCH(K$5,$I33:$K33,0)),INDEX(Movements!$G639:$M639,1,MATCH(K$7,Movements!$G$614:$M$614,0))))
*K909*K$8,0)</f>
        <v>0</v>
      </c>
      <c r="L165" s="198">
        <f>_xlfn.IFNA(IF(L$7="Fixed",1,IF(AND($D99="yes",L$7="Block"),INDEX($O639:$Q639,1,MATCH(L$5,$I33:$K33,0)),INDEX(Movements!$G639:$M639,1,MATCH(L$7,Movements!$G$614:$M$614,0))))
*L909*L$8,0)</f>
        <v>0</v>
      </c>
      <c r="M165" s="198">
        <f>_xlfn.IFNA(IF(M$7="Fixed",1,IF(AND($D99="yes",M$7="Block"),INDEX($O639:$Q639,1,MATCH(M$5,$I33:$K33,0)),INDEX(Movements!$G639:$M639,1,MATCH(M$7,Movements!$G$614:$M$614,0))))
*M909*M$8,0)</f>
        <v>0</v>
      </c>
      <c r="N165" s="198">
        <f>_xlfn.IFNA(IF(N$7="Fixed",1,IF(AND($D99="yes",N$7="Block"),INDEX($O639:$Q639,1,MATCH(N$5,$I33:$K33,0)),INDEX(Movements!$G639:$M639,1,MATCH(N$7,Movements!$G$614:$M$614,0))))
*N909*N$8,0)</f>
        <v>0</v>
      </c>
      <c r="O165" s="198">
        <f>_xlfn.IFNA(IF(O$7="Fixed",1,IF(AND($D99="yes",O$7="Block"),INDEX($O639:$Q639,1,MATCH(O$5,$I33:$K33,0)),INDEX(Movements!$G639:$M639,1,MATCH(O$7,Movements!$G$614:$M$614,0))))
*O909*O$8,0)</f>
        <v>0</v>
      </c>
      <c r="P165" s="198">
        <f>_xlfn.IFNA(IF(P$7="Fixed",1,IF(AND($D99="yes",P$7="Block"),INDEX($O639:$Q639,1,MATCH(P$5,$I33:$K33,0)),INDEX(Movements!$G639:$M639,1,MATCH(P$7,Movements!$G$614:$M$614,0))))
*P909*P$8,0)</f>
        <v>0</v>
      </c>
      <c r="Q165" s="198">
        <f>_xlfn.IFNA(IF(Q$7="Fixed",1,IF(AND($D99="yes",Q$7="Block"),INDEX($O639:$Q639,1,MATCH(Q$5,$I33:$K33,0)),INDEX(Movements!$G639:$M639,1,MATCH(Q$7,Movements!$G$614:$M$614,0))))
*Q909*Q$8,0)</f>
        <v>0</v>
      </c>
      <c r="R165" s="198">
        <f>_xlfn.IFNA(IF(R$7="Fixed",1,IF(AND($D99="yes",R$7="Block"),INDEX($O639:$Q639,1,MATCH(R$5,$I33:$K33,0)),INDEX(Movements!$G639:$M639,1,MATCH(R$7,Movements!$G$614:$M$614,0))))
*R909*R$8,0)</f>
        <v>0</v>
      </c>
      <c r="S165" s="198">
        <f>_xlfn.IFNA(IF(S$7="Fixed",1,IF(AND($D99="yes",S$7="Block"),INDEX($O639:$Q639,1,MATCH(S$5,$I33:$K33,0)),INDEX(Movements!$G639:$M639,1,MATCH(S$7,Movements!$G$614:$M$614,0))))
*S909*S$8,0)</f>
        <v>0</v>
      </c>
      <c r="T165" s="198">
        <f>_xlfn.IFNA(IF(T$7="Fixed",1,IF(AND($D99="yes",T$7="Block"),INDEX($O639:$Q639,1,MATCH(T$5,$I33:$K33,0)),INDEX(Movements!$G639:$M639,1,MATCH(T$7,Movements!$G$614:$M$614,0))))
*T909*T$8,0)</f>
        <v>0</v>
      </c>
      <c r="U165" s="198">
        <f>_xlfn.IFNA(IF(U$7="Fixed",1,IF(AND($D99="yes",U$7="Block"),INDEX($O639:$Q639,1,MATCH(U$5,$I33:$K33,0)),INDEX(Movements!$G639:$M639,1,MATCH(U$7,Movements!$G$614:$M$614,0))))
*U909*U$8,0)</f>
        <v>0</v>
      </c>
      <c r="V165" s="198">
        <f>_xlfn.IFNA(IF(V$7="Fixed",1,IF(AND($D99="yes",V$7="Block"),INDEX($O639:$Q639,1,MATCH(V$5,$I33:$K33,0)),INDEX(Movements!$G639:$M639,1,MATCH(V$7,Movements!$G$614:$M$614,0))))
*V909*V$8,0)</f>
        <v>0</v>
      </c>
      <c r="W165" s="198">
        <f>_xlfn.IFNA(IF(W$7="Fixed",1,IF(AND($D99="yes",W$7="Block"),INDEX($O639:$Q639,1,MATCH(W$5,$I33:$K33,0)),INDEX(Movements!$G639:$M639,1,MATCH(W$7,Movements!$G$614:$M$614,0))))
*W909*W$8,0)</f>
        <v>0</v>
      </c>
      <c r="X165" s="198">
        <f>_xlfn.IFNA(IF(X$7="Fixed",1,IF(AND($D99="yes",X$7="Block"),INDEX($O639:$Q639,1,MATCH(X$5,$I33:$K33,0)),INDEX(Movements!$G639:$M639,1,MATCH(X$7,Movements!$G$614:$M$614,0))))
*X909*X$8,0)</f>
        <v>0</v>
      </c>
      <c r="Y165" s="198">
        <f>_xlfn.IFNA(IF(Y$7="Fixed",1,IF(AND($D99="yes",Y$7="Block"),INDEX($O639:$Q639,1,MATCH(Y$5,$I33:$K33,0)),INDEX(Movements!$G639:$M639,1,MATCH(Y$7,Movements!$G$614:$M$614,0))))
*Y909*Y$8,0)</f>
        <v>0</v>
      </c>
      <c r="Z165" s="198">
        <f>_xlfn.IFNA(IF(Z$7="Fixed",1,IF(AND($D99="yes",Z$7="Block"),INDEX($O639:$Q639,1,MATCH(Z$5,$I33:$K33,0)),INDEX(Movements!$G639:$M639,1,MATCH(Z$7,Movements!$G$614:$M$614,0))))
*Z909*Z$8,0)</f>
        <v>0</v>
      </c>
      <c r="AA165" s="198">
        <f>_xlfn.IFNA(IF(AA$7="Fixed",1,IF(AND($D99="yes",AA$7="Block"),INDEX($O639:$Q639,1,MATCH(AA$5,$I33:$K33,0)),INDEX(Movements!$G639:$M639,1,MATCH(AA$7,Movements!$G$614:$M$614,0))))
*AA909*AA$8,0)</f>
        <v>0</v>
      </c>
      <c r="AB165" s="198">
        <f>_xlfn.IFNA(IF(AB$7="Fixed",1,IF(AND($D99="yes",AB$7="Block"),INDEX($O639:$Q639,1,MATCH(AB$5,$I33:$K33,0)),INDEX(Movements!$G639:$M639,1,MATCH(AB$7,Movements!$G$614:$M$614,0))))
*AB909*AB$8,0)</f>
        <v>0</v>
      </c>
      <c r="AC165" s="70"/>
      <c r="AD165" s="19"/>
      <c r="AE165" s="19"/>
      <c r="AF165" s="19"/>
      <c r="AG165" s="19"/>
    </row>
    <row r="166" spans="1:33" hidden="1" outlineLevel="3" x14ac:dyDescent="0.2">
      <c r="A166" s="19"/>
      <c r="B166" s="19"/>
      <c r="C166" s="506">
        <f t="shared" si="7"/>
        <v>0</v>
      </c>
      <c r="D166" s="505">
        <f t="shared" si="7"/>
        <v>0</v>
      </c>
      <c r="E166" s="505">
        <f t="shared" si="7"/>
        <v>0</v>
      </c>
      <c r="F166" s="58"/>
      <c r="G166" s="199">
        <f t="shared" si="8"/>
        <v>0</v>
      </c>
      <c r="H166" s="58"/>
      <c r="I166" s="198">
        <f>_xlfn.IFNA(IF(I$7="Fixed",1,IF(AND($D100="yes",I$7="Block"),INDEX($O640:$Q640,1,MATCH(I$5,$I34:$K34,0)),INDEX(Movements!$G640:$M640,1,MATCH(I$7,Movements!$G$614:$M$614,0))))
*I910*I$8,0)</f>
        <v>0</v>
      </c>
      <c r="J166" s="198">
        <f>_xlfn.IFNA(IF(J$7="Fixed",1,IF(AND($D100="yes",J$7="Block"),INDEX($O640:$Q640,1,MATCH(J$5,$I34:$K34,0)),INDEX(Movements!$G640:$M640,1,MATCH(J$7,Movements!$G$614:$M$614,0))))
*J910*J$8,0)</f>
        <v>0</v>
      </c>
      <c r="K166" s="198">
        <f>_xlfn.IFNA(IF(K$7="Fixed",1,IF(AND($D100="yes",K$7="Block"),INDEX($O640:$Q640,1,MATCH(K$5,$I34:$K34,0)),INDEX(Movements!$G640:$M640,1,MATCH(K$7,Movements!$G$614:$M$614,0))))
*K910*K$8,0)</f>
        <v>0</v>
      </c>
      <c r="L166" s="198">
        <f>_xlfn.IFNA(IF(L$7="Fixed",1,IF(AND($D100="yes",L$7="Block"),INDEX($O640:$Q640,1,MATCH(L$5,$I34:$K34,0)),INDEX(Movements!$G640:$M640,1,MATCH(L$7,Movements!$G$614:$M$614,0))))
*L910*L$8,0)</f>
        <v>0</v>
      </c>
      <c r="M166" s="198">
        <f>_xlfn.IFNA(IF(M$7="Fixed",1,IF(AND($D100="yes",M$7="Block"),INDEX($O640:$Q640,1,MATCH(M$5,$I34:$K34,0)),INDEX(Movements!$G640:$M640,1,MATCH(M$7,Movements!$G$614:$M$614,0))))
*M910*M$8,0)</f>
        <v>0</v>
      </c>
      <c r="N166" s="198">
        <f>_xlfn.IFNA(IF(N$7="Fixed",1,IF(AND($D100="yes",N$7="Block"),INDEX($O640:$Q640,1,MATCH(N$5,$I34:$K34,0)),INDEX(Movements!$G640:$M640,1,MATCH(N$7,Movements!$G$614:$M$614,0))))
*N910*N$8,0)</f>
        <v>0</v>
      </c>
      <c r="O166" s="198">
        <f>_xlfn.IFNA(IF(O$7="Fixed",1,IF(AND($D100="yes",O$7="Block"),INDEX($O640:$Q640,1,MATCH(O$5,$I34:$K34,0)),INDEX(Movements!$G640:$M640,1,MATCH(O$7,Movements!$G$614:$M$614,0))))
*O910*O$8,0)</f>
        <v>0</v>
      </c>
      <c r="P166" s="198">
        <f>_xlfn.IFNA(IF(P$7="Fixed",1,IF(AND($D100="yes",P$7="Block"),INDEX($O640:$Q640,1,MATCH(P$5,$I34:$K34,0)),INDEX(Movements!$G640:$M640,1,MATCH(P$7,Movements!$G$614:$M$614,0))))
*P910*P$8,0)</f>
        <v>0</v>
      </c>
      <c r="Q166" s="198">
        <f>_xlfn.IFNA(IF(Q$7="Fixed",1,IF(AND($D100="yes",Q$7="Block"),INDEX($O640:$Q640,1,MATCH(Q$5,$I34:$K34,0)),INDEX(Movements!$G640:$M640,1,MATCH(Q$7,Movements!$G$614:$M$614,0))))
*Q910*Q$8,0)</f>
        <v>0</v>
      </c>
      <c r="R166" s="198">
        <f>_xlfn.IFNA(IF(R$7="Fixed",1,IF(AND($D100="yes",R$7="Block"),INDEX($O640:$Q640,1,MATCH(R$5,$I34:$K34,0)),INDEX(Movements!$G640:$M640,1,MATCH(R$7,Movements!$G$614:$M$614,0))))
*R910*R$8,0)</f>
        <v>0</v>
      </c>
      <c r="S166" s="198">
        <f>_xlfn.IFNA(IF(S$7="Fixed",1,IF(AND($D100="yes",S$7="Block"),INDEX($O640:$Q640,1,MATCH(S$5,$I34:$K34,0)),INDEX(Movements!$G640:$M640,1,MATCH(S$7,Movements!$G$614:$M$614,0))))
*S910*S$8,0)</f>
        <v>0</v>
      </c>
      <c r="T166" s="198">
        <f>_xlfn.IFNA(IF(T$7="Fixed",1,IF(AND($D100="yes",T$7="Block"),INDEX($O640:$Q640,1,MATCH(T$5,$I34:$K34,0)),INDEX(Movements!$G640:$M640,1,MATCH(T$7,Movements!$G$614:$M$614,0))))
*T910*T$8,0)</f>
        <v>0</v>
      </c>
      <c r="U166" s="198">
        <f>_xlfn.IFNA(IF(U$7="Fixed",1,IF(AND($D100="yes",U$7="Block"),INDEX($O640:$Q640,1,MATCH(U$5,$I34:$K34,0)),INDEX(Movements!$G640:$M640,1,MATCH(U$7,Movements!$G$614:$M$614,0))))
*U910*U$8,0)</f>
        <v>0</v>
      </c>
      <c r="V166" s="198">
        <f>_xlfn.IFNA(IF(V$7="Fixed",1,IF(AND($D100="yes",V$7="Block"),INDEX($O640:$Q640,1,MATCH(V$5,$I34:$K34,0)),INDEX(Movements!$G640:$M640,1,MATCH(V$7,Movements!$G$614:$M$614,0))))
*V910*V$8,0)</f>
        <v>0</v>
      </c>
      <c r="W166" s="198">
        <f>_xlfn.IFNA(IF(W$7="Fixed",1,IF(AND($D100="yes",W$7="Block"),INDEX($O640:$Q640,1,MATCH(W$5,$I34:$K34,0)),INDEX(Movements!$G640:$M640,1,MATCH(W$7,Movements!$G$614:$M$614,0))))
*W910*W$8,0)</f>
        <v>0</v>
      </c>
      <c r="X166" s="198">
        <f>_xlfn.IFNA(IF(X$7="Fixed",1,IF(AND($D100="yes",X$7="Block"),INDEX($O640:$Q640,1,MATCH(X$5,$I34:$K34,0)),INDEX(Movements!$G640:$M640,1,MATCH(X$7,Movements!$G$614:$M$614,0))))
*X910*X$8,0)</f>
        <v>0</v>
      </c>
      <c r="Y166" s="198">
        <f>_xlfn.IFNA(IF(Y$7="Fixed",1,IF(AND($D100="yes",Y$7="Block"),INDEX($O640:$Q640,1,MATCH(Y$5,$I34:$K34,0)),INDEX(Movements!$G640:$M640,1,MATCH(Y$7,Movements!$G$614:$M$614,0))))
*Y910*Y$8,0)</f>
        <v>0</v>
      </c>
      <c r="Z166" s="198">
        <f>_xlfn.IFNA(IF(Z$7="Fixed",1,IF(AND($D100="yes",Z$7="Block"),INDEX($O640:$Q640,1,MATCH(Z$5,$I34:$K34,0)),INDEX(Movements!$G640:$M640,1,MATCH(Z$7,Movements!$G$614:$M$614,0))))
*Z910*Z$8,0)</f>
        <v>0</v>
      </c>
      <c r="AA166" s="198">
        <f>_xlfn.IFNA(IF(AA$7="Fixed",1,IF(AND($D100="yes",AA$7="Block"),INDEX($O640:$Q640,1,MATCH(AA$5,$I34:$K34,0)),INDEX(Movements!$G640:$M640,1,MATCH(AA$7,Movements!$G$614:$M$614,0))))
*AA910*AA$8,0)</f>
        <v>0</v>
      </c>
      <c r="AB166" s="198">
        <f>_xlfn.IFNA(IF(AB$7="Fixed",1,IF(AND($D100="yes",AB$7="Block"),INDEX($O640:$Q640,1,MATCH(AB$5,$I34:$K34,0)),INDEX(Movements!$G640:$M640,1,MATCH(AB$7,Movements!$G$614:$M$614,0))))
*AB910*AB$8,0)</f>
        <v>0</v>
      </c>
      <c r="AC166" s="70"/>
      <c r="AD166" s="19"/>
      <c r="AE166" s="19"/>
      <c r="AF166" s="19"/>
      <c r="AG166" s="19"/>
    </row>
    <row r="167" spans="1:33" hidden="1" outlineLevel="3" x14ac:dyDescent="0.2">
      <c r="A167" s="19"/>
      <c r="B167" s="19"/>
      <c r="C167" s="506">
        <f t="shared" si="7"/>
        <v>0</v>
      </c>
      <c r="D167" s="505">
        <f t="shared" si="7"/>
        <v>0</v>
      </c>
      <c r="E167" s="505">
        <f t="shared" si="7"/>
        <v>0</v>
      </c>
      <c r="F167" s="58"/>
      <c r="G167" s="199">
        <f t="shared" si="8"/>
        <v>0</v>
      </c>
      <c r="H167" s="58"/>
      <c r="I167" s="198">
        <f>_xlfn.IFNA(IF(I$7="Fixed",1,IF(AND($D101="yes",I$7="Block"),INDEX($O641:$Q641,1,MATCH(I$5,$I35:$K35,0)),INDEX(Movements!$G641:$M641,1,MATCH(I$7,Movements!$G$614:$M$614,0))))
*I911*I$8,0)</f>
        <v>0</v>
      </c>
      <c r="J167" s="198">
        <f>_xlfn.IFNA(IF(J$7="Fixed",1,IF(AND($D101="yes",J$7="Block"),INDEX($O641:$Q641,1,MATCH(J$5,$I35:$K35,0)),INDEX(Movements!$G641:$M641,1,MATCH(J$7,Movements!$G$614:$M$614,0))))
*J911*J$8,0)</f>
        <v>0</v>
      </c>
      <c r="K167" s="198">
        <f>_xlfn.IFNA(IF(K$7="Fixed",1,IF(AND($D101="yes",K$7="Block"),INDEX($O641:$Q641,1,MATCH(K$5,$I35:$K35,0)),INDEX(Movements!$G641:$M641,1,MATCH(K$7,Movements!$G$614:$M$614,0))))
*K911*K$8,0)</f>
        <v>0</v>
      </c>
      <c r="L167" s="198">
        <f>_xlfn.IFNA(IF(L$7="Fixed",1,IF(AND($D101="yes",L$7="Block"),INDEX($O641:$Q641,1,MATCH(L$5,$I35:$K35,0)),INDEX(Movements!$G641:$M641,1,MATCH(L$7,Movements!$G$614:$M$614,0))))
*L911*L$8,0)</f>
        <v>0</v>
      </c>
      <c r="M167" s="198">
        <f>_xlfn.IFNA(IF(M$7="Fixed",1,IF(AND($D101="yes",M$7="Block"),INDEX($O641:$Q641,1,MATCH(M$5,$I35:$K35,0)),INDEX(Movements!$G641:$M641,1,MATCH(M$7,Movements!$G$614:$M$614,0))))
*M911*M$8,0)</f>
        <v>0</v>
      </c>
      <c r="N167" s="198">
        <f>_xlfn.IFNA(IF(N$7="Fixed",1,IF(AND($D101="yes",N$7="Block"),INDEX($O641:$Q641,1,MATCH(N$5,$I35:$K35,0)),INDEX(Movements!$G641:$M641,1,MATCH(N$7,Movements!$G$614:$M$614,0))))
*N911*N$8,0)</f>
        <v>0</v>
      </c>
      <c r="O167" s="198">
        <f>_xlfn.IFNA(IF(O$7="Fixed",1,IF(AND($D101="yes",O$7="Block"),INDEX($O641:$Q641,1,MATCH(O$5,$I35:$K35,0)),INDEX(Movements!$G641:$M641,1,MATCH(O$7,Movements!$G$614:$M$614,0))))
*O911*O$8,0)</f>
        <v>0</v>
      </c>
      <c r="P167" s="198">
        <f>_xlfn.IFNA(IF(P$7="Fixed",1,IF(AND($D101="yes",P$7="Block"),INDEX($O641:$Q641,1,MATCH(P$5,$I35:$K35,0)),INDEX(Movements!$G641:$M641,1,MATCH(P$7,Movements!$G$614:$M$614,0))))
*P911*P$8,0)</f>
        <v>0</v>
      </c>
      <c r="Q167" s="198">
        <f>_xlfn.IFNA(IF(Q$7="Fixed",1,IF(AND($D101="yes",Q$7="Block"),INDEX($O641:$Q641,1,MATCH(Q$5,$I35:$K35,0)),INDEX(Movements!$G641:$M641,1,MATCH(Q$7,Movements!$G$614:$M$614,0))))
*Q911*Q$8,0)</f>
        <v>0</v>
      </c>
      <c r="R167" s="198">
        <f>_xlfn.IFNA(IF(R$7="Fixed",1,IF(AND($D101="yes",R$7="Block"),INDEX($O641:$Q641,1,MATCH(R$5,$I35:$K35,0)),INDEX(Movements!$G641:$M641,1,MATCH(R$7,Movements!$G$614:$M$614,0))))
*R911*R$8,0)</f>
        <v>0</v>
      </c>
      <c r="S167" s="198">
        <f>_xlfn.IFNA(IF(S$7="Fixed",1,IF(AND($D101="yes",S$7="Block"),INDEX($O641:$Q641,1,MATCH(S$5,$I35:$K35,0)),INDEX(Movements!$G641:$M641,1,MATCH(S$7,Movements!$G$614:$M$614,0))))
*S911*S$8,0)</f>
        <v>0</v>
      </c>
      <c r="T167" s="198">
        <f>_xlfn.IFNA(IF(T$7="Fixed",1,IF(AND($D101="yes",T$7="Block"),INDEX($O641:$Q641,1,MATCH(T$5,$I35:$K35,0)),INDEX(Movements!$G641:$M641,1,MATCH(T$7,Movements!$G$614:$M$614,0))))
*T911*T$8,0)</f>
        <v>0</v>
      </c>
      <c r="U167" s="198">
        <f>_xlfn.IFNA(IF(U$7="Fixed",1,IF(AND($D101="yes",U$7="Block"),INDEX($O641:$Q641,1,MATCH(U$5,$I35:$K35,0)),INDEX(Movements!$G641:$M641,1,MATCH(U$7,Movements!$G$614:$M$614,0))))
*U911*U$8,0)</f>
        <v>0</v>
      </c>
      <c r="V167" s="198">
        <f>_xlfn.IFNA(IF(V$7="Fixed",1,IF(AND($D101="yes",V$7="Block"),INDEX($O641:$Q641,1,MATCH(V$5,$I35:$K35,0)),INDEX(Movements!$G641:$M641,1,MATCH(V$7,Movements!$G$614:$M$614,0))))
*V911*V$8,0)</f>
        <v>0</v>
      </c>
      <c r="W167" s="198">
        <f>_xlfn.IFNA(IF(W$7="Fixed",1,IF(AND($D101="yes",W$7="Block"),INDEX($O641:$Q641,1,MATCH(W$5,$I35:$K35,0)),INDEX(Movements!$G641:$M641,1,MATCH(W$7,Movements!$G$614:$M$614,0))))
*W911*W$8,0)</f>
        <v>0</v>
      </c>
      <c r="X167" s="198">
        <f>_xlfn.IFNA(IF(X$7="Fixed",1,IF(AND($D101="yes",X$7="Block"),INDEX($O641:$Q641,1,MATCH(X$5,$I35:$K35,0)),INDEX(Movements!$G641:$M641,1,MATCH(X$7,Movements!$G$614:$M$614,0))))
*X911*X$8,0)</f>
        <v>0</v>
      </c>
      <c r="Y167" s="198">
        <f>_xlfn.IFNA(IF(Y$7="Fixed",1,IF(AND($D101="yes",Y$7="Block"),INDEX($O641:$Q641,1,MATCH(Y$5,$I35:$K35,0)),INDEX(Movements!$G641:$M641,1,MATCH(Y$7,Movements!$G$614:$M$614,0))))
*Y911*Y$8,0)</f>
        <v>0</v>
      </c>
      <c r="Z167" s="198">
        <f>_xlfn.IFNA(IF(Z$7="Fixed",1,IF(AND($D101="yes",Z$7="Block"),INDEX($O641:$Q641,1,MATCH(Z$5,$I35:$K35,0)),INDEX(Movements!$G641:$M641,1,MATCH(Z$7,Movements!$G$614:$M$614,0))))
*Z911*Z$8,0)</f>
        <v>0</v>
      </c>
      <c r="AA167" s="198">
        <f>_xlfn.IFNA(IF(AA$7="Fixed",1,IF(AND($D101="yes",AA$7="Block"),INDEX($O641:$Q641,1,MATCH(AA$5,$I35:$K35,0)),INDEX(Movements!$G641:$M641,1,MATCH(AA$7,Movements!$G$614:$M$614,0))))
*AA911*AA$8,0)</f>
        <v>0</v>
      </c>
      <c r="AB167" s="198">
        <f>_xlfn.IFNA(IF(AB$7="Fixed",1,IF(AND($D101="yes",AB$7="Block"),INDEX($O641:$Q641,1,MATCH(AB$5,$I35:$K35,0)),INDEX(Movements!$G641:$M641,1,MATCH(AB$7,Movements!$G$614:$M$614,0))))
*AB911*AB$8,0)</f>
        <v>0</v>
      </c>
      <c r="AC167" s="70"/>
      <c r="AD167" s="19"/>
      <c r="AE167" s="19"/>
      <c r="AF167" s="19"/>
      <c r="AG167" s="19"/>
    </row>
    <row r="168" spans="1:33" hidden="1" outlineLevel="3" x14ac:dyDescent="0.2">
      <c r="A168" s="19"/>
      <c r="B168" s="19"/>
      <c r="C168" s="506">
        <f t="shared" si="7"/>
        <v>0</v>
      </c>
      <c r="D168" s="505">
        <f t="shared" si="7"/>
        <v>0</v>
      </c>
      <c r="E168" s="505">
        <f t="shared" si="7"/>
        <v>0</v>
      </c>
      <c r="F168" s="58"/>
      <c r="G168" s="199">
        <f t="shared" si="8"/>
        <v>0</v>
      </c>
      <c r="H168" s="58"/>
      <c r="I168" s="198">
        <f>_xlfn.IFNA(IF(I$7="Fixed",1,IF(AND($D102="yes",I$7="Block"),INDEX($O642:$Q642,1,MATCH(I$5,$I36:$K36,0)),INDEX(Movements!$G642:$M642,1,MATCH(I$7,Movements!$G$614:$M$614,0))))
*I912*I$8,0)</f>
        <v>0</v>
      </c>
      <c r="J168" s="198">
        <f>_xlfn.IFNA(IF(J$7="Fixed",1,IF(AND($D102="yes",J$7="Block"),INDEX($O642:$Q642,1,MATCH(J$5,$I36:$K36,0)),INDEX(Movements!$G642:$M642,1,MATCH(J$7,Movements!$G$614:$M$614,0))))
*J912*J$8,0)</f>
        <v>0</v>
      </c>
      <c r="K168" s="198">
        <f>_xlfn.IFNA(IF(K$7="Fixed",1,IF(AND($D102="yes",K$7="Block"),INDEX($O642:$Q642,1,MATCH(K$5,$I36:$K36,0)),INDEX(Movements!$G642:$M642,1,MATCH(K$7,Movements!$G$614:$M$614,0))))
*K912*K$8,0)</f>
        <v>0</v>
      </c>
      <c r="L168" s="198">
        <f>_xlfn.IFNA(IF(L$7="Fixed",1,IF(AND($D102="yes",L$7="Block"),INDEX($O642:$Q642,1,MATCH(L$5,$I36:$K36,0)),INDEX(Movements!$G642:$M642,1,MATCH(L$7,Movements!$G$614:$M$614,0))))
*L912*L$8,0)</f>
        <v>0</v>
      </c>
      <c r="M168" s="198">
        <f>_xlfn.IFNA(IF(M$7="Fixed",1,IF(AND($D102="yes",M$7="Block"),INDEX($O642:$Q642,1,MATCH(M$5,$I36:$K36,0)),INDEX(Movements!$G642:$M642,1,MATCH(M$7,Movements!$G$614:$M$614,0))))
*M912*M$8,0)</f>
        <v>0</v>
      </c>
      <c r="N168" s="198">
        <f>_xlfn.IFNA(IF(N$7="Fixed",1,IF(AND($D102="yes",N$7="Block"),INDEX($O642:$Q642,1,MATCH(N$5,$I36:$K36,0)),INDEX(Movements!$G642:$M642,1,MATCH(N$7,Movements!$G$614:$M$614,0))))
*N912*N$8,0)</f>
        <v>0</v>
      </c>
      <c r="O168" s="198">
        <f>_xlfn.IFNA(IF(O$7="Fixed",1,IF(AND($D102="yes",O$7="Block"),INDEX($O642:$Q642,1,MATCH(O$5,$I36:$K36,0)),INDEX(Movements!$G642:$M642,1,MATCH(O$7,Movements!$G$614:$M$614,0))))
*O912*O$8,0)</f>
        <v>0</v>
      </c>
      <c r="P168" s="198">
        <f>_xlfn.IFNA(IF(P$7="Fixed",1,IF(AND($D102="yes",P$7="Block"),INDEX($O642:$Q642,1,MATCH(P$5,$I36:$K36,0)),INDEX(Movements!$G642:$M642,1,MATCH(P$7,Movements!$G$614:$M$614,0))))
*P912*P$8,0)</f>
        <v>0</v>
      </c>
      <c r="Q168" s="198">
        <f>_xlfn.IFNA(IF(Q$7="Fixed",1,IF(AND($D102="yes",Q$7="Block"),INDEX($O642:$Q642,1,MATCH(Q$5,$I36:$K36,0)),INDEX(Movements!$G642:$M642,1,MATCH(Q$7,Movements!$G$614:$M$614,0))))
*Q912*Q$8,0)</f>
        <v>0</v>
      </c>
      <c r="R168" s="198">
        <f>_xlfn.IFNA(IF(R$7="Fixed",1,IF(AND($D102="yes",R$7="Block"),INDEX($O642:$Q642,1,MATCH(R$5,$I36:$K36,0)),INDEX(Movements!$G642:$M642,1,MATCH(R$7,Movements!$G$614:$M$614,0))))
*R912*R$8,0)</f>
        <v>0</v>
      </c>
      <c r="S168" s="198">
        <f>_xlfn.IFNA(IF(S$7="Fixed",1,IF(AND($D102="yes",S$7="Block"),INDEX($O642:$Q642,1,MATCH(S$5,$I36:$K36,0)),INDEX(Movements!$G642:$M642,1,MATCH(S$7,Movements!$G$614:$M$614,0))))
*S912*S$8,0)</f>
        <v>0</v>
      </c>
      <c r="T168" s="198">
        <f>_xlfn.IFNA(IF(T$7="Fixed",1,IF(AND($D102="yes",T$7="Block"),INDEX($O642:$Q642,1,MATCH(T$5,$I36:$K36,0)),INDEX(Movements!$G642:$M642,1,MATCH(T$7,Movements!$G$614:$M$614,0))))
*T912*T$8,0)</f>
        <v>0</v>
      </c>
      <c r="U168" s="198">
        <f>_xlfn.IFNA(IF(U$7="Fixed",1,IF(AND($D102="yes",U$7="Block"),INDEX($O642:$Q642,1,MATCH(U$5,$I36:$K36,0)),INDEX(Movements!$G642:$M642,1,MATCH(U$7,Movements!$G$614:$M$614,0))))
*U912*U$8,0)</f>
        <v>0</v>
      </c>
      <c r="V168" s="198">
        <f>_xlfn.IFNA(IF(V$7="Fixed",1,IF(AND($D102="yes",V$7="Block"),INDEX($O642:$Q642,1,MATCH(V$5,$I36:$K36,0)),INDEX(Movements!$G642:$M642,1,MATCH(V$7,Movements!$G$614:$M$614,0))))
*V912*V$8,0)</f>
        <v>0</v>
      </c>
      <c r="W168" s="198">
        <f>_xlfn.IFNA(IF(W$7="Fixed",1,IF(AND($D102="yes",W$7="Block"),INDEX($O642:$Q642,1,MATCH(W$5,$I36:$K36,0)),INDEX(Movements!$G642:$M642,1,MATCH(W$7,Movements!$G$614:$M$614,0))))
*W912*W$8,0)</f>
        <v>0</v>
      </c>
      <c r="X168" s="198">
        <f>_xlfn.IFNA(IF(X$7="Fixed",1,IF(AND($D102="yes",X$7="Block"),INDEX($O642:$Q642,1,MATCH(X$5,$I36:$K36,0)),INDEX(Movements!$G642:$M642,1,MATCH(X$7,Movements!$G$614:$M$614,0))))
*X912*X$8,0)</f>
        <v>0</v>
      </c>
      <c r="Y168" s="198">
        <f>_xlfn.IFNA(IF(Y$7="Fixed",1,IF(AND($D102="yes",Y$7="Block"),INDEX($O642:$Q642,1,MATCH(Y$5,$I36:$K36,0)),INDEX(Movements!$G642:$M642,1,MATCH(Y$7,Movements!$G$614:$M$614,0))))
*Y912*Y$8,0)</f>
        <v>0</v>
      </c>
      <c r="Z168" s="198">
        <f>_xlfn.IFNA(IF(Z$7="Fixed",1,IF(AND($D102="yes",Z$7="Block"),INDEX($O642:$Q642,1,MATCH(Z$5,$I36:$K36,0)),INDEX(Movements!$G642:$M642,1,MATCH(Z$7,Movements!$G$614:$M$614,0))))
*Z912*Z$8,0)</f>
        <v>0</v>
      </c>
      <c r="AA168" s="198">
        <f>_xlfn.IFNA(IF(AA$7="Fixed",1,IF(AND($D102="yes",AA$7="Block"),INDEX($O642:$Q642,1,MATCH(AA$5,$I36:$K36,0)),INDEX(Movements!$G642:$M642,1,MATCH(AA$7,Movements!$G$614:$M$614,0))))
*AA912*AA$8,0)</f>
        <v>0</v>
      </c>
      <c r="AB168" s="198">
        <f>_xlfn.IFNA(IF(AB$7="Fixed",1,IF(AND($D102="yes",AB$7="Block"),INDEX($O642:$Q642,1,MATCH(AB$5,$I36:$K36,0)),INDEX(Movements!$G642:$M642,1,MATCH(AB$7,Movements!$G$614:$M$614,0))))
*AB912*AB$8,0)</f>
        <v>0</v>
      </c>
      <c r="AC168" s="70"/>
      <c r="AD168" s="19"/>
      <c r="AE168" s="19"/>
      <c r="AF168" s="19"/>
      <c r="AG168" s="19"/>
    </row>
    <row r="169" spans="1:33" hidden="1" outlineLevel="3" x14ac:dyDescent="0.2">
      <c r="A169" s="19"/>
      <c r="B169" s="19"/>
      <c r="C169" s="506">
        <f t="shared" si="7"/>
        <v>0</v>
      </c>
      <c r="D169" s="505">
        <f t="shared" si="7"/>
        <v>0</v>
      </c>
      <c r="E169" s="505">
        <f t="shared" si="7"/>
        <v>0</v>
      </c>
      <c r="F169" s="58"/>
      <c r="G169" s="199">
        <f t="shared" si="8"/>
        <v>0</v>
      </c>
      <c r="H169" s="58"/>
      <c r="I169" s="198">
        <f>_xlfn.IFNA(IF(I$7="Fixed",1,IF(AND($D103="yes",I$7="Block"),INDEX($O643:$Q643,1,MATCH(I$5,$I37:$K37,0)),INDEX(Movements!$G643:$M643,1,MATCH(I$7,Movements!$G$614:$M$614,0))))
*I913*I$8,0)</f>
        <v>0</v>
      </c>
      <c r="J169" s="198">
        <f>_xlfn.IFNA(IF(J$7="Fixed",1,IF(AND($D103="yes",J$7="Block"),INDEX($O643:$Q643,1,MATCH(J$5,$I37:$K37,0)),INDEX(Movements!$G643:$M643,1,MATCH(J$7,Movements!$G$614:$M$614,0))))
*J913*J$8,0)</f>
        <v>0</v>
      </c>
      <c r="K169" s="198">
        <f>_xlfn.IFNA(IF(K$7="Fixed",1,IF(AND($D103="yes",K$7="Block"),INDEX($O643:$Q643,1,MATCH(K$5,$I37:$K37,0)),INDEX(Movements!$G643:$M643,1,MATCH(K$7,Movements!$G$614:$M$614,0))))
*K913*K$8,0)</f>
        <v>0</v>
      </c>
      <c r="L169" s="198">
        <f>_xlfn.IFNA(IF(L$7="Fixed",1,IF(AND($D103="yes",L$7="Block"),INDEX($O643:$Q643,1,MATCH(L$5,$I37:$K37,0)),INDEX(Movements!$G643:$M643,1,MATCH(L$7,Movements!$G$614:$M$614,0))))
*L913*L$8,0)</f>
        <v>0</v>
      </c>
      <c r="M169" s="198">
        <f>_xlfn.IFNA(IF(M$7="Fixed",1,IF(AND($D103="yes",M$7="Block"),INDEX($O643:$Q643,1,MATCH(M$5,$I37:$K37,0)),INDEX(Movements!$G643:$M643,1,MATCH(M$7,Movements!$G$614:$M$614,0))))
*M913*M$8,0)</f>
        <v>0</v>
      </c>
      <c r="N169" s="198">
        <f>_xlfn.IFNA(IF(N$7="Fixed",1,IF(AND($D103="yes",N$7="Block"),INDEX($O643:$Q643,1,MATCH(N$5,$I37:$K37,0)),INDEX(Movements!$G643:$M643,1,MATCH(N$7,Movements!$G$614:$M$614,0))))
*N913*N$8,0)</f>
        <v>0</v>
      </c>
      <c r="O169" s="198">
        <f>_xlfn.IFNA(IF(O$7="Fixed",1,IF(AND($D103="yes",O$7="Block"),INDEX($O643:$Q643,1,MATCH(O$5,$I37:$K37,0)),INDEX(Movements!$G643:$M643,1,MATCH(O$7,Movements!$G$614:$M$614,0))))
*O913*O$8,0)</f>
        <v>0</v>
      </c>
      <c r="P169" s="198">
        <f>_xlfn.IFNA(IF(P$7="Fixed",1,IF(AND($D103="yes",P$7="Block"),INDEX($O643:$Q643,1,MATCH(P$5,$I37:$K37,0)),INDEX(Movements!$G643:$M643,1,MATCH(P$7,Movements!$G$614:$M$614,0))))
*P913*P$8,0)</f>
        <v>0</v>
      </c>
      <c r="Q169" s="198">
        <f>_xlfn.IFNA(IF(Q$7="Fixed",1,IF(AND($D103="yes",Q$7="Block"),INDEX($O643:$Q643,1,MATCH(Q$5,$I37:$K37,0)),INDEX(Movements!$G643:$M643,1,MATCH(Q$7,Movements!$G$614:$M$614,0))))
*Q913*Q$8,0)</f>
        <v>0</v>
      </c>
      <c r="R169" s="198">
        <f>_xlfn.IFNA(IF(R$7="Fixed",1,IF(AND($D103="yes",R$7="Block"),INDEX($O643:$Q643,1,MATCH(R$5,$I37:$K37,0)),INDEX(Movements!$G643:$M643,1,MATCH(R$7,Movements!$G$614:$M$614,0))))
*R913*R$8,0)</f>
        <v>0</v>
      </c>
      <c r="S169" s="198">
        <f>_xlfn.IFNA(IF(S$7="Fixed",1,IF(AND($D103="yes",S$7="Block"),INDEX($O643:$Q643,1,MATCH(S$5,$I37:$K37,0)),INDEX(Movements!$G643:$M643,1,MATCH(S$7,Movements!$G$614:$M$614,0))))
*S913*S$8,0)</f>
        <v>0</v>
      </c>
      <c r="T169" s="198">
        <f>_xlfn.IFNA(IF(T$7="Fixed",1,IF(AND($D103="yes",T$7="Block"),INDEX($O643:$Q643,1,MATCH(T$5,$I37:$K37,0)),INDEX(Movements!$G643:$M643,1,MATCH(T$7,Movements!$G$614:$M$614,0))))
*T913*T$8,0)</f>
        <v>0</v>
      </c>
      <c r="U169" s="198">
        <f>_xlfn.IFNA(IF(U$7="Fixed",1,IF(AND($D103="yes",U$7="Block"),INDEX($O643:$Q643,1,MATCH(U$5,$I37:$K37,0)),INDEX(Movements!$G643:$M643,1,MATCH(U$7,Movements!$G$614:$M$614,0))))
*U913*U$8,0)</f>
        <v>0</v>
      </c>
      <c r="V169" s="198">
        <f>_xlfn.IFNA(IF(V$7="Fixed",1,IF(AND($D103="yes",V$7="Block"),INDEX($O643:$Q643,1,MATCH(V$5,$I37:$K37,0)),INDEX(Movements!$G643:$M643,1,MATCH(V$7,Movements!$G$614:$M$614,0))))
*V913*V$8,0)</f>
        <v>0</v>
      </c>
      <c r="W169" s="198">
        <f>_xlfn.IFNA(IF(W$7="Fixed",1,IF(AND($D103="yes",W$7="Block"),INDEX($O643:$Q643,1,MATCH(W$5,$I37:$K37,0)),INDEX(Movements!$G643:$M643,1,MATCH(W$7,Movements!$G$614:$M$614,0))))
*W913*W$8,0)</f>
        <v>0</v>
      </c>
      <c r="X169" s="198">
        <f>_xlfn.IFNA(IF(X$7="Fixed",1,IF(AND($D103="yes",X$7="Block"),INDEX($O643:$Q643,1,MATCH(X$5,$I37:$K37,0)),INDEX(Movements!$G643:$M643,1,MATCH(X$7,Movements!$G$614:$M$614,0))))
*X913*X$8,0)</f>
        <v>0</v>
      </c>
      <c r="Y169" s="198">
        <f>_xlfn.IFNA(IF(Y$7="Fixed",1,IF(AND($D103="yes",Y$7="Block"),INDEX($O643:$Q643,1,MATCH(Y$5,$I37:$K37,0)),INDEX(Movements!$G643:$M643,1,MATCH(Y$7,Movements!$G$614:$M$614,0))))
*Y913*Y$8,0)</f>
        <v>0</v>
      </c>
      <c r="Z169" s="198">
        <f>_xlfn.IFNA(IF(Z$7="Fixed",1,IF(AND($D103="yes",Z$7="Block"),INDEX($O643:$Q643,1,MATCH(Z$5,$I37:$K37,0)),INDEX(Movements!$G643:$M643,1,MATCH(Z$7,Movements!$G$614:$M$614,0))))
*Z913*Z$8,0)</f>
        <v>0</v>
      </c>
      <c r="AA169" s="198">
        <f>_xlfn.IFNA(IF(AA$7="Fixed",1,IF(AND($D103="yes",AA$7="Block"),INDEX($O643:$Q643,1,MATCH(AA$5,$I37:$K37,0)),INDEX(Movements!$G643:$M643,1,MATCH(AA$7,Movements!$G$614:$M$614,0))))
*AA913*AA$8,0)</f>
        <v>0</v>
      </c>
      <c r="AB169" s="198">
        <f>_xlfn.IFNA(IF(AB$7="Fixed",1,IF(AND($D103="yes",AB$7="Block"),INDEX($O643:$Q643,1,MATCH(AB$5,$I37:$K37,0)),INDEX(Movements!$G643:$M643,1,MATCH(AB$7,Movements!$G$614:$M$614,0))))
*AB913*AB$8,0)</f>
        <v>0</v>
      </c>
      <c r="AC169" s="70"/>
      <c r="AD169" s="19"/>
      <c r="AE169" s="19"/>
      <c r="AF169" s="19"/>
      <c r="AG169" s="19"/>
    </row>
    <row r="170" spans="1:33" hidden="1" outlineLevel="3" x14ac:dyDescent="0.2">
      <c r="A170" s="19"/>
      <c r="B170" s="19"/>
      <c r="C170" s="506">
        <f t="shared" si="7"/>
        <v>0</v>
      </c>
      <c r="D170" s="505">
        <f t="shared" si="7"/>
        <v>0</v>
      </c>
      <c r="E170" s="505">
        <f t="shared" si="7"/>
        <v>0</v>
      </c>
      <c r="F170" s="58"/>
      <c r="G170" s="199">
        <f t="shared" si="8"/>
        <v>0</v>
      </c>
      <c r="H170" s="58"/>
      <c r="I170" s="198">
        <f>_xlfn.IFNA(IF(I$7="Fixed",1,IF(AND($D104="yes",I$7="Block"),INDEX($O644:$Q644,1,MATCH(I$5,$I38:$K38,0)),INDEX(Movements!$G644:$M644,1,MATCH(I$7,Movements!$G$614:$M$614,0))))
*I914*I$8,0)</f>
        <v>0</v>
      </c>
      <c r="J170" s="198">
        <f>_xlfn.IFNA(IF(J$7="Fixed",1,IF(AND($D104="yes",J$7="Block"),INDEX($O644:$Q644,1,MATCH(J$5,$I38:$K38,0)),INDEX(Movements!$G644:$M644,1,MATCH(J$7,Movements!$G$614:$M$614,0))))
*J914*J$8,0)</f>
        <v>0</v>
      </c>
      <c r="K170" s="198">
        <f>_xlfn.IFNA(IF(K$7="Fixed",1,IF(AND($D104="yes",K$7="Block"),INDEX($O644:$Q644,1,MATCH(K$5,$I38:$K38,0)),INDEX(Movements!$G644:$M644,1,MATCH(K$7,Movements!$G$614:$M$614,0))))
*K914*K$8,0)</f>
        <v>0</v>
      </c>
      <c r="L170" s="198">
        <f>_xlfn.IFNA(IF(L$7="Fixed",1,IF(AND($D104="yes",L$7="Block"),INDEX($O644:$Q644,1,MATCH(L$5,$I38:$K38,0)),INDEX(Movements!$G644:$M644,1,MATCH(L$7,Movements!$G$614:$M$614,0))))
*L914*L$8,0)</f>
        <v>0</v>
      </c>
      <c r="M170" s="198">
        <f>_xlfn.IFNA(IF(M$7="Fixed",1,IF(AND($D104="yes",M$7="Block"),INDEX($O644:$Q644,1,MATCH(M$5,$I38:$K38,0)),INDEX(Movements!$G644:$M644,1,MATCH(M$7,Movements!$G$614:$M$614,0))))
*M914*M$8,0)</f>
        <v>0</v>
      </c>
      <c r="N170" s="198">
        <f>_xlfn.IFNA(IF(N$7="Fixed",1,IF(AND($D104="yes",N$7="Block"),INDEX($O644:$Q644,1,MATCH(N$5,$I38:$K38,0)),INDEX(Movements!$G644:$M644,1,MATCH(N$7,Movements!$G$614:$M$614,0))))
*N914*N$8,0)</f>
        <v>0</v>
      </c>
      <c r="O170" s="198">
        <f>_xlfn.IFNA(IF(O$7="Fixed",1,IF(AND($D104="yes",O$7="Block"),INDEX($O644:$Q644,1,MATCH(O$5,$I38:$K38,0)),INDEX(Movements!$G644:$M644,1,MATCH(O$7,Movements!$G$614:$M$614,0))))
*O914*O$8,0)</f>
        <v>0</v>
      </c>
      <c r="P170" s="198">
        <f>_xlfn.IFNA(IF(P$7="Fixed",1,IF(AND($D104="yes",P$7="Block"),INDEX($O644:$Q644,1,MATCH(P$5,$I38:$K38,0)),INDEX(Movements!$G644:$M644,1,MATCH(P$7,Movements!$G$614:$M$614,0))))
*P914*P$8,0)</f>
        <v>0</v>
      </c>
      <c r="Q170" s="198">
        <f>_xlfn.IFNA(IF(Q$7="Fixed",1,IF(AND($D104="yes",Q$7="Block"),INDEX($O644:$Q644,1,MATCH(Q$5,$I38:$K38,0)),INDEX(Movements!$G644:$M644,1,MATCH(Q$7,Movements!$G$614:$M$614,0))))
*Q914*Q$8,0)</f>
        <v>0</v>
      </c>
      <c r="R170" s="198">
        <f>_xlfn.IFNA(IF(R$7="Fixed",1,IF(AND($D104="yes",R$7="Block"),INDEX($O644:$Q644,1,MATCH(R$5,$I38:$K38,0)),INDEX(Movements!$G644:$M644,1,MATCH(R$7,Movements!$G$614:$M$614,0))))
*R914*R$8,0)</f>
        <v>0</v>
      </c>
      <c r="S170" s="198">
        <f>_xlfn.IFNA(IF(S$7="Fixed",1,IF(AND($D104="yes",S$7="Block"),INDEX($O644:$Q644,1,MATCH(S$5,$I38:$K38,0)),INDEX(Movements!$G644:$M644,1,MATCH(S$7,Movements!$G$614:$M$614,0))))
*S914*S$8,0)</f>
        <v>0</v>
      </c>
      <c r="T170" s="198">
        <f>_xlfn.IFNA(IF(T$7="Fixed",1,IF(AND($D104="yes",T$7="Block"),INDEX($O644:$Q644,1,MATCH(T$5,$I38:$K38,0)),INDEX(Movements!$G644:$M644,1,MATCH(T$7,Movements!$G$614:$M$614,0))))
*T914*T$8,0)</f>
        <v>0</v>
      </c>
      <c r="U170" s="198">
        <f>_xlfn.IFNA(IF(U$7="Fixed",1,IF(AND($D104="yes",U$7="Block"),INDEX($O644:$Q644,1,MATCH(U$5,$I38:$K38,0)),INDEX(Movements!$G644:$M644,1,MATCH(U$7,Movements!$G$614:$M$614,0))))
*U914*U$8,0)</f>
        <v>0</v>
      </c>
      <c r="V170" s="198">
        <f>_xlfn.IFNA(IF(V$7="Fixed",1,IF(AND($D104="yes",V$7="Block"),INDEX($O644:$Q644,1,MATCH(V$5,$I38:$K38,0)),INDEX(Movements!$G644:$M644,1,MATCH(V$7,Movements!$G$614:$M$614,0))))
*V914*V$8,0)</f>
        <v>0</v>
      </c>
      <c r="W170" s="198">
        <f>_xlfn.IFNA(IF(W$7="Fixed",1,IF(AND($D104="yes",W$7="Block"),INDEX($O644:$Q644,1,MATCH(W$5,$I38:$K38,0)),INDEX(Movements!$G644:$M644,1,MATCH(W$7,Movements!$G$614:$M$614,0))))
*W914*W$8,0)</f>
        <v>0</v>
      </c>
      <c r="X170" s="198">
        <f>_xlfn.IFNA(IF(X$7="Fixed",1,IF(AND($D104="yes",X$7="Block"),INDEX($O644:$Q644,1,MATCH(X$5,$I38:$K38,0)),INDEX(Movements!$G644:$M644,1,MATCH(X$7,Movements!$G$614:$M$614,0))))
*X914*X$8,0)</f>
        <v>0</v>
      </c>
      <c r="Y170" s="198">
        <f>_xlfn.IFNA(IF(Y$7="Fixed",1,IF(AND($D104="yes",Y$7="Block"),INDEX($O644:$Q644,1,MATCH(Y$5,$I38:$K38,0)),INDEX(Movements!$G644:$M644,1,MATCH(Y$7,Movements!$G$614:$M$614,0))))
*Y914*Y$8,0)</f>
        <v>0</v>
      </c>
      <c r="Z170" s="198">
        <f>_xlfn.IFNA(IF(Z$7="Fixed",1,IF(AND($D104="yes",Z$7="Block"),INDEX($O644:$Q644,1,MATCH(Z$5,$I38:$K38,0)),INDEX(Movements!$G644:$M644,1,MATCH(Z$7,Movements!$G$614:$M$614,0))))
*Z914*Z$8,0)</f>
        <v>0</v>
      </c>
      <c r="AA170" s="198">
        <f>_xlfn.IFNA(IF(AA$7="Fixed",1,IF(AND($D104="yes",AA$7="Block"),INDEX($O644:$Q644,1,MATCH(AA$5,$I38:$K38,0)),INDEX(Movements!$G644:$M644,1,MATCH(AA$7,Movements!$G$614:$M$614,0))))
*AA914*AA$8,0)</f>
        <v>0</v>
      </c>
      <c r="AB170" s="198">
        <f>_xlfn.IFNA(IF(AB$7="Fixed",1,IF(AND($D104="yes",AB$7="Block"),INDEX($O644:$Q644,1,MATCH(AB$5,$I38:$K38,0)),INDEX(Movements!$G644:$M644,1,MATCH(AB$7,Movements!$G$614:$M$614,0))))
*AB914*AB$8,0)</f>
        <v>0</v>
      </c>
      <c r="AC170" s="70"/>
      <c r="AD170" s="19"/>
      <c r="AE170" s="19"/>
      <c r="AF170" s="19"/>
      <c r="AG170" s="19"/>
    </row>
    <row r="171" spans="1:33" hidden="1" outlineLevel="3" x14ac:dyDescent="0.2">
      <c r="A171" s="19"/>
      <c r="B171" s="19"/>
      <c r="C171" s="506">
        <f t="shared" si="7"/>
        <v>0</v>
      </c>
      <c r="D171" s="505">
        <f t="shared" si="7"/>
        <v>0</v>
      </c>
      <c r="E171" s="505">
        <f t="shared" si="7"/>
        <v>0</v>
      </c>
      <c r="F171" s="58"/>
      <c r="G171" s="199">
        <f t="shared" si="8"/>
        <v>0</v>
      </c>
      <c r="H171" s="58"/>
      <c r="I171" s="198">
        <f>_xlfn.IFNA(IF(I$7="Fixed",1,IF(AND($D105="yes",I$7="Block"),INDEX($O645:$Q645,1,MATCH(I$5,$I39:$K39,0)),INDEX(Movements!$G645:$M645,1,MATCH(I$7,Movements!$G$614:$M$614,0))))
*I915*I$8,0)</f>
        <v>0</v>
      </c>
      <c r="J171" s="198">
        <f>_xlfn.IFNA(IF(J$7="Fixed",1,IF(AND($D105="yes",J$7="Block"),INDEX($O645:$Q645,1,MATCH(J$5,$I39:$K39,0)),INDEX(Movements!$G645:$M645,1,MATCH(J$7,Movements!$G$614:$M$614,0))))
*J915*J$8,0)</f>
        <v>0</v>
      </c>
      <c r="K171" s="198">
        <f>_xlfn.IFNA(IF(K$7="Fixed",1,IF(AND($D105="yes",K$7="Block"),INDEX($O645:$Q645,1,MATCH(K$5,$I39:$K39,0)),INDEX(Movements!$G645:$M645,1,MATCH(K$7,Movements!$G$614:$M$614,0))))
*K915*K$8,0)</f>
        <v>0</v>
      </c>
      <c r="L171" s="198">
        <f>_xlfn.IFNA(IF(L$7="Fixed",1,IF(AND($D105="yes",L$7="Block"),INDEX($O645:$Q645,1,MATCH(L$5,$I39:$K39,0)),INDEX(Movements!$G645:$M645,1,MATCH(L$7,Movements!$G$614:$M$614,0))))
*L915*L$8,0)</f>
        <v>0</v>
      </c>
      <c r="M171" s="198">
        <f>_xlfn.IFNA(IF(M$7="Fixed",1,IF(AND($D105="yes",M$7="Block"),INDEX($O645:$Q645,1,MATCH(M$5,$I39:$K39,0)),INDEX(Movements!$G645:$M645,1,MATCH(M$7,Movements!$G$614:$M$614,0))))
*M915*M$8,0)</f>
        <v>0</v>
      </c>
      <c r="N171" s="198">
        <f>_xlfn.IFNA(IF(N$7="Fixed",1,IF(AND($D105="yes",N$7="Block"),INDEX($O645:$Q645,1,MATCH(N$5,$I39:$K39,0)),INDEX(Movements!$G645:$M645,1,MATCH(N$7,Movements!$G$614:$M$614,0))))
*N915*N$8,0)</f>
        <v>0</v>
      </c>
      <c r="O171" s="198">
        <f>_xlfn.IFNA(IF(O$7="Fixed",1,IF(AND($D105="yes",O$7="Block"),INDEX($O645:$Q645,1,MATCH(O$5,$I39:$K39,0)),INDEX(Movements!$G645:$M645,1,MATCH(O$7,Movements!$G$614:$M$614,0))))
*O915*O$8,0)</f>
        <v>0</v>
      </c>
      <c r="P171" s="198">
        <f>_xlfn.IFNA(IF(P$7="Fixed",1,IF(AND($D105="yes",P$7="Block"),INDEX($O645:$Q645,1,MATCH(P$5,$I39:$K39,0)),INDEX(Movements!$G645:$M645,1,MATCH(P$7,Movements!$G$614:$M$614,0))))
*P915*P$8,0)</f>
        <v>0</v>
      </c>
      <c r="Q171" s="198">
        <f>_xlfn.IFNA(IF(Q$7="Fixed",1,IF(AND($D105="yes",Q$7="Block"),INDEX($O645:$Q645,1,MATCH(Q$5,$I39:$K39,0)),INDEX(Movements!$G645:$M645,1,MATCH(Q$7,Movements!$G$614:$M$614,0))))
*Q915*Q$8,0)</f>
        <v>0</v>
      </c>
      <c r="R171" s="198">
        <f>_xlfn.IFNA(IF(R$7="Fixed",1,IF(AND($D105="yes",R$7="Block"),INDEX($O645:$Q645,1,MATCH(R$5,$I39:$K39,0)),INDEX(Movements!$G645:$M645,1,MATCH(R$7,Movements!$G$614:$M$614,0))))
*R915*R$8,0)</f>
        <v>0</v>
      </c>
      <c r="S171" s="198">
        <f>_xlfn.IFNA(IF(S$7="Fixed",1,IF(AND($D105="yes",S$7="Block"),INDEX($O645:$Q645,1,MATCH(S$5,$I39:$K39,0)),INDEX(Movements!$G645:$M645,1,MATCH(S$7,Movements!$G$614:$M$614,0))))
*S915*S$8,0)</f>
        <v>0</v>
      </c>
      <c r="T171" s="198">
        <f>_xlfn.IFNA(IF(T$7="Fixed",1,IF(AND($D105="yes",T$7="Block"),INDEX($O645:$Q645,1,MATCH(T$5,$I39:$K39,0)),INDEX(Movements!$G645:$M645,1,MATCH(T$7,Movements!$G$614:$M$614,0))))
*T915*T$8,0)</f>
        <v>0</v>
      </c>
      <c r="U171" s="198">
        <f>_xlfn.IFNA(IF(U$7="Fixed",1,IF(AND($D105="yes",U$7="Block"),INDEX($O645:$Q645,1,MATCH(U$5,$I39:$K39,0)),INDEX(Movements!$G645:$M645,1,MATCH(U$7,Movements!$G$614:$M$614,0))))
*U915*U$8,0)</f>
        <v>0</v>
      </c>
      <c r="V171" s="198">
        <f>_xlfn.IFNA(IF(V$7="Fixed",1,IF(AND($D105="yes",V$7="Block"),INDEX($O645:$Q645,1,MATCH(V$5,$I39:$K39,0)),INDEX(Movements!$G645:$M645,1,MATCH(V$7,Movements!$G$614:$M$614,0))))
*V915*V$8,0)</f>
        <v>0</v>
      </c>
      <c r="W171" s="198">
        <f>_xlfn.IFNA(IF(W$7="Fixed",1,IF(AND($D105="yes",W$7="Block"),INDEX($O645:$Q645,1,MATCH(W$5,$I39:$K39,0)),INDEX(Movements!$G645:$M645,1,MATCH(W$7,Movements!$G$614:$M$614,0))))
*W915*W$8,0)</f>
        <v>0</v>
      </c>
      <c r="X171" s="198">
        <f>_xlfn.IFNA(IF(X$7="Fixed",1,IF(AND($D105="yes",X$7="Block"),INDEX($O645:$Q645,1,MATCH(X$5,$I39:$K39,0)),INDEX(Movements!$G645:$M645,1,MATCH(X$7,Movements!$G$614:$M$614,0))))
*X915*X$8,0)</f>
        <v>0</v>
      </c>
      <c r="Y171" s="198">
        <f>_xlfn.IFNA(IF(Y$7="Fixed",1,IF(AND($D105="yes",Y$7="Block"),INDEX($O645:$Q645,1,MATCH(Y$5,$I39:$K39,0)),INDEX(Movements!$G645:$M645,1,MATCH(Y$7,Movements!$G$614:$M$614,0))))
*Y915*Y$8,0)</f>
        <v>0</v>
      </c>
      <c r="Z171" s="198">
        <f>_xlfn.IFNA(IF(Z$7="Fixed",1,IF(AND($D105="yes",Z$7="Block"),INDEX($O645:$Q645,1,MATCH(Z$5,$I39:$K39,0)),INDEX(Movements!$G645:$M645,1,MATCH(Z$7,Movements!$G$614:$M$614,0))))
*Z915*Z$8,0)</f>
        <v>0</v>
      </c>
      <c r="AA171" s="198">
        <f>_xlfn.IFNA(IF(AA$7="Fixed",1,IF(AND($D105="yes",AA$7="Block"),INDEX($O645:$Q645,1,MATCH(AA$5,$I39:$K39,0)),INDEX(Movements!$G645:$M645,1,MATCH(AA$7,Movements!$G$614:$M$614,0))))
*AA915*AA$8,0)</f>
        <v>0</v>
      </c>
      <c r="AB171" s="198">
        <f>_xlfn.IFNA(IF(AB$7="Fixed",1,IF(AND($D105="yes",AB$7="Block"),INDEX($O645:$Q645,1,MATCH(AB$5,$I39:$K39,0)),INDEX(Movements!$G645:$M645,1,MATCH(AB$7,Movements!$G$614:$M$614,0))))
*AB915*AB$8,0)</f>
        <v>0</v>
      </c>
      <c r="AC171" s="70"/>
      <c r="AD171" s="19"/>
      <c r="AE171" s="19"/>
      <c r="AF171" s="19"/>
      <c r="AG171" s="19"/>
    </row>
    <row r="172" spans="1:33" hidden="1" outlineLevel="3" x14ac:dyDescent="0.2">
      <c r="A172" s="19"/>
      <c r="B172" s="19"/>
      <c r="C172" s="506">
        <f t="shared" si="7"/>
        <v>0</v>
      </c>
      <c r="D172" s="505">
        <f t="shared" si="7"/>
        <v>0</v>
      </c>
      <c r="E172" s="505">
        <f t="shared" si="7"/>
        <v>0</v>
      </c>
      <c r="F172" s="58"/>
      <c r="G172" s="199">
        <f t="shared" si="8"/>
        <v>0</v>
      </c>
      <c r="H172" s="58"/>
      <c r="I172" s="198">
        <f>_xlfn.IFNA(IF(I$7="Fixed",1,IF(AND($D106="yes",I$7="Block"),INDEX($O646:$Q646,1,MATCH(I$5,$I40:$K40,0)),INDEX(Movements!$G646:$M646,1,MATCH(I$7,Movements!$G$614:$M$614,0))))
*I916*I$8,0)</f>
        <v>0</v>
      </c>
      <c r="J172" s="198">
        <f>_xlfn.IFNA(IF(J$7="Fixed",1,IF(AND($D106="yes",J$7="Block"),INDEX($O646:$Q646,1,MATCH(J$5,$I40:$K40,0)),INDEX(Movements!$G646:$M646,1,MATCH(J$7,Movements!$G$614:$M$614,0))))
*J916*J$8,0)</f>
        <v>0</v>
      </c>
      <c r="K172" s="198">
        <f>_xlfn.IFNA(IF(K$7="Fixed",1,IF(AND($D106="yes",K$7="Block"),INDEX($O646:$Q646,1,MATCH(K$5,$I40:$K40,0)),INDEX(Movements!$G646:$M646,1,MATCH(K$7,Movements!$G$614:$M$614,0))))
*K916*K$8,0)</f>
        <v>0</v>
      </c>
      <c r="L172" s="198">
        <f>_xlfn.IFNA(IF(L$7="Fixed",1,IF(AND($D106="yes",L$7="Block"),INDEX($O646:$Q646,1,MATCH(L$5,$I40:$K40,0)),INDEX(Movements!$G646:$M646,1,MATCH(L$7,Movements!$G$614:$M$614,0))))
*L916*L$8,0)</f>
        <v>0</v>
      </c>
      <c r="M172" s="198">
        <f>_xlfn.IFNA(IF(M$7="Fixed",1,IF(AND($D106="yes",M$7="Block"),INDEX($O646:$Q646,1,MATCH(M$5,$I40:$K40,0)),INDEX(Movements!$G646:$M646,1,MATCH(M$7,Movements!$G$614:$M$614,0))))
*M916*M$8,0)</f>
        <v>0</v>
      </c>
      <c r="N172" s="198">
        <f>_xlfn.IFNA(IF(N$7="Fixed",1,IF(AND($D106="yes",N$7="Block"),INDEX($O646:$Q646,1,MATCH(N$5,$I40:$K40,0)),INDEX(Movements!$G646:$M646,1,MATCH(N$7,Movements!$G$614:$M$614,0))))
*N916*N$8,0)</f>
        <v>0</v>
      </c>
      <c r="O172" s="198">
        <f>_xlfn.IFNA(IF(O$7="Fixed",1,IF(AND($D106="yes",O$7="Block"),INDEX($O646:$Q646,1,MATCH(O$5,$I40:$K40,0)),INDEX(Movements!$G646:$M646,1,MATCH(O$7,Movements!$G$614:$M$614,0))))
*O916*O$8,0)</f>
        <v>0</v>
      </c>
      <c r="P172" s="198">
        <f>_xlfn.IFNA(IF(P$7="Fixed",1,IF(AND($D106="yes",P$7="Block"),INDEX($O646:$Q646,1,MATCH(P$5,$I40:$K40,0)),INDEX(Movements!$G646:$M646,1,MATCH(P$7,Movements!$G$614:$M$614,0))))
*P916*P$8,0)</f>
        <v>0</v>
      </c>
      <c r="Q172" s="198">
        <f>_xlfn.IFNA(IF(Q$7="Fixed",1,IF(AND($D106="yes",Q$7="Block"),INDEX($O646:$Q646,1,MATCH(Q$5,$I40:$K40,0)),INDEX(Movements!$G646:$M646,1,MATCH(Q$7,Movements!$G$614:$M$614,0))))
*Q916*Q$8,0)</f>
        <v>0</v>
      </c>
      <c r="R172" s="198">
        <f>_xlfn.IFNA(IF(R$7="Fixed",1,IF(AND($D106="yes",R$7="Block"),INDEX($O646:$Q646,1,MATCH(R$5,$I40:$K40,0)),INDEX(Movements!$G646:$M646,1,MATCH(R$7,Movements!$G$614:$M$614,0))))
*R916*R$8,0)</f>
        <v>0</v>
      </c>
      <c r="S172" s="198">
        <f>_xlfn.IFNA(IF(S$7="Fixed",1,IF(AND($D106="yes",S$7="Block"),INDEX($O646:$Q646,1,MATCH(S$5,$I40:$K40,0)),INDEX(Movements!$G646:$M646,1,MATCH(S$7,Movements!$G$614:$M$614,0))))
*S916*S$8,0)</f>
        <v>0</v>
      </c>
      <c r="T172" s="198">
        <f>_xlfn.IFNA(IF(T$7="Fixed",1,IF(AND($D106="yes",T$7="Block"),INDEX($O646:$Q646,1,MATCH(T$5,$I40:$K40,0)),INDEX(Movements!$G646:$M646,1,MATCH(T$7,Movements!$G$614:$M$614,0))))
*T916*T$8,0)</f>
        <v>0</v>
      </c>
      <c r="U172" s="198">
        <f>_xlfn.IFNA(IF(U$7="Fixed",1,IF(AND($D106="yes",U$7="Block"),INDEX($O646:$Q646,1,MATCH(U$5,$I40:$K40,0)),INDEX(Movements!$G646:$M646,1,MATCH(U$7,Movements!$G$614:$M$614,0))))
*U916*U$8,0)</f>
        <v>0</v>
      </c>
      <c r="V172" s="198">
        <f>_xlfn.IFNA(IF(V$7="Fixed",1,IF(AND($D106="yes",V$7="Block"),INDEX($O646:$Q646,1,MATCH(V$5,$I40:$K40,0)),INDEX(Movements!$G646:$M646,1,MATCH(V$7,Movements!$G$614:$M$614,0))))
*V916*V$8,0)</f>
        <v>0</v>
      </c>
      <c r="W172" s="198">
        <f>_xlfn.IFNA(IF(W$7="Fixed",1,IF(AND($D106="yes",W$7="Block"),INDEX($O646:$Q646,1,MATCH(W$5,$I40:$K40,0)),INDEX(Movements!$G646:$M646,1,MATCH(W$7,Movements!$G$614:$M$614,0))))
*W916*W$8,0)</f>
        <v>0</v>
      </c>
      <c r="X172" s="198">
        <f>_xlfn.IFNA(IF(X$7="Fixed",1,IF(AND($D106="yes",X$7="Block"),INDEX($O646:$Q646,1,MATCH(X$5,$I40:$K40,0)),INDEX(Movements!$G646:$M646,1,MATCH(X$7,Movements!$G$614:$M$614,0))))
*X916*X$8,0)</f>
        <v>0</v>
      </c>
      <c r="Y172" s="198">
        <f>_xlfn.IFNA(IF(Y$7="Fixed",1,IF(AND($D106="yes",Y$7="Block"),INDEX($O646:$Q646,1,MATCH(Y$5,$I40:$K40,0)),INDEX(Movements!$G646:$M646,1,MATCH(Y$7,Movements!$G$614:$M$614,0))))
*Y916*Y$8,0)</f>
        <v>0</v>
      </c>
      <c r="Z172" s="198">
        <f>_xlfn.IFNA(IF(Z$7="Fixed",1,IF(AND($D106="yes",Z$7="Block"),INDEX($O646:$Q646,1,MATCH(Z$5,$I40:$K40,0)),INDEX(Movements!$G646:$M646,1,MATCH(Z$7,Movements!$G$614:$M$614,0))))
*Z916*Z$8,0)</f>
        <v>0</v>
      </c>
      <c r="AA172" s="198">
        <f>_xlfn.IFNA(IF(AA$7="Fixed",1,IF(AND($D106="yes",AA$7="Block"),INDEX($O646:$Q646,1,MATCH(AA$5,$I40:$K40,0)),INDEX(Movements!$G646:$M646,1,MATCH(AA$7,Movements!$G$614:$M$614,0))))
*AA916*AA$8,0)</f>
        <v>0</v>
      </c>
      <c r="AB172" s="198">
        <f>_xlfn.IFNA(IF(AB$7="Fixed",1,IF(AND($D106="yes",AB$7="Block"),INDEX($O646:$Q646,1,MATCH(AB$5,$I40:$K40,0)),INDEX(Movements!$G646:$M646,1,MATCH(AB$7,Movements!$G$614:$M$614,0))))
*AB916*AB$8,0)</f>
        <v>0</v>
      </c>
      <c r="AC172" s="70"/>
      <c r="AD172" s="19"/>
      <c r="AE172" s="19"/>
      <c r="AF172" s="19"/>
      <c r="AG172" s="19"/>
    </row>
    <row r="173" spans="1:33" hidden="1" outlineLevel="2" collapsed="1" x14ac:dyDescent="0.2">
      <c r="A173" s="19"/>
      <c r="B173" s="19"/>
      <c r="C173" s="538"/>
      <c r="D173" s="217"/>
      <c r="E173" s="536"/>
      <c r="F173" s="58"/>
      <c r="G173" s="58"/>
      <c r="H173" s="58"/>
      <c r="I173" s="137"/>
      <c r="J173" s="137"/>
      <c r="K173" s="138"/>
      <c r="L173" s="138"/>
      <c r="M173" s="138"/>
      <c r="N173" s="139"/>
      <c r="O173" s="139"/>
      <c r="P173" s="139"/>
      <c r="Q173" s="139"/>
      <c r="R173" s="139"/>
      <c r="S173" s="138"/>
      <c r="T173" s="138"/>
      <c r="U173" s="138"/>
      <c r="V173" s="70"/>
      <c r="W173" s="70"/>
      <c r="X173" s="70"/>
      <c r="Y173" s="70"/>
      <c r="Z173" s="70"/>
      <c r="AA173" s="70"/>
      <c r="AB173" s="70"/>
      <c r="AC173" s="70"/>
      <c r="AD173" s="19"/>
      <c r="AE173" s="19"/>
      <c r="AF173" s="19"/>
      <c r="AG173" s="19"/>
    </row>
    <row r="174" spans="1:33" outlineLevel="1" collapsed="1" x14ac:dyDescent="0.2">
      <c r="A174" s="19"/>
      <c r="B174" s="19"/>
      <c r="C174" s="66"/>
      <c r="D174" s="66"/>
      <c r="E174" s="58"/>
      <c r="F174" s="58"/>
      <c r="G174" s="58"/>
      <c r="H174" s="58"/>
      <c r="I174" s="137"/>
      <c r="J174" s="137"/>
      <c r="K174" s="138"/>
      <c r="L174" s="138"/>
      <c r="M174" s="138"/>
      <c r="N174" s="139"/>
      <c r="O174" s="139"/>
      <c r="P174" s="139"/>
      <c r="Q174" s="139"/>
      <c r="R174" s="139"/>
      <c r="S174" s="138"/>
      <c r="T174" s="138"/>
      <c r="U174" s="138"/>
      <c r="V174" s="70"/>
      <c r="W174" s="70"/>
      <c r="X174" s="70"/>
      <c r="Y174" s="70"/>
      <c r="Z174" s="70"/>
      <c r="AA174" s="70"/>
      <c r="AB174" s="70"/>
      <c r="AC174" s="70"/>
      <c r="AD174" s="19"/>
      <c r="AE174" s="19"/>
      <c r="AF174" s="19"/>
      <c r="AG174" s="19"/>
    </row>
    <row r="175" spans="1:33" outlineLevel="1" x14ac:dyDescent="0.2">
      <c r="A175" s="19"/>
      <c r="B175" s="19"/>
      <c r="C175" s="167" t="s">
        <v>240</v>
      </c>
      <c r="D175" s="167"/>
      <c r="E175" s="20"/>
      <c r="F175" s="20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19"/>
      <c r="AD175" s="19"/>
      <c r="AE175" s="19"/>
      <c r="AF175" s="19"/>
      <c r="AG175" s="19"/>
    </row>
    <row r="176" spans="1:33" outlineLevel="2" x14ac:dyDescent="0.2">
      <c r="A176" s="19"/>
      <c r="B176" s="97">
        <v>1</v>
      </c>
      <c r="C176" s="506" t="str">
        <f t="shared" ref="C176:E205" si="9">C77</f>
        <v>Residential time of use consumption</v>
      </c>
      <c r="D176" s="505">
        <f t="shared" si="9"/>
        <v>0</v>
      </c>
      <c r="E176" s="505" t="str">
        <f t="shared" si="9"/>
        <v>yes</v>
      </c>
      <c r="F176" s="20"/>
      <c r="G176" s="199">
        <f t="shared" ref="G176:G205" si="10">SUM(I176:AB176)</f>
        <v>734.84875385486203</v>
      </c>
      <c r="H176" s="22"/>
      <c r="I176" s="198">
        <f>SUM(I77,I110,I143)</f>
        <v>216.55085</v>
      </c>
      <c r="J176" s="198">
        <f t="shared" ref="J176:AB176" si="11">SUM(J77,J110,J143)</f>
        <v>0</v>
      </c>
      <c r="K176" s="198">
        <f t="shared" si="11"/>
        <v>356.78485907936647</v>
      </c>
      <c r="L176" s="198">
        <f t="shared" si="11"/>
        <v>0</v>
      </c>
      <c r="M176" s="198">
        <f t="shared" si="11"/>
        <v>161.51304477549564</v>
      </c>
      <c r="N176" s="198">
        <f t="shared" si="11"/>
        <v>0</v>
      </c>
      <c r="O176" s="198">
        <f t="shared" si="11"/>
        <v>0</v>
      </c>
      <c r="P176" s="198">
        <f t="shared" si="11"/>
        <v>0</v>
      </c>
      <c r="Q176" s="198">
        <f t="shared" si="11"/>
        <v>0</v>
      </c>
      <c r="R176" s="198">
        <f t="shared" si="11"/>
        <v>0</v>
      </c>
      <c r="S176" s="198">
        <f t="shared" si="11"/>
        <v>0</v>
      </c>
      <c r="T176" s="198">
        <f t="shared" si="11"/>
        <v>0</v>
      </c>
      <c r="U176" s="198">
        <f t="shared" si="11"/>
        <v>0</v>
      </c>
      <c r="V176" s="198">
        <f t="shared" si="11"/>
        <v>0</v>
      </c>
      <c r="W176" s="198">
        <f t="shared" si="11"/>
        <v>0</v>
      </c>
      <c r="X176" s="198">
        <f t="shared" si="11"/>
        <v>0</v>
      </c>
      <c r="Y176" s="198">
        <f t="shared" si="11"/>
        <v>0</v>
      </c>
      <c r="Z176" s="198">
        <f t="shared" si="11"/>
        <v>0</v>
      </c>
      <c r="AA176" s="198">
        <f t="shared" si="11"/>
        <v>0</v>
      </c>
      <c r="AB176" s="198">
        <f t="shared" si="11"/>
        <v>0</v>
      </c>
      <c r="AC176" s="70"/>
      <c r="AD176" s="19"/>
      <c r="AE176" s="19"/>
      <c r="AF176" s="19"/>
      <c r="AG176" s="19"/>
    </row>
    <row r="177" spans="1:33" s="59" customFormat="1" outlineLevel="2" x14ac:dyDescent="0.2">
      <c r="A177" s="57"/>
      <c r="B177" s="98">
        <v>2</v>
      </c>
      <c r="C177" s="506" t="str">
        <f t="shared" si="9"/>
        <v>Residential general light and power</v>
      </c>
      <c r="D177" s="505">
        <f t="shared" si="9"/>
        <v>0</v>
      </c>
      <c r="E177" s="505" t="str">
        <f t="shared" si="9"/>
        <v>no</v>
      </c>
      <c r="F177" s="58"/>
      <c r="G177" s="199">
        <f t="shared" si="10"/>
        <v>476.83540924521003</v>
      </c>
      <c r="H177" s="58"/>
      <c r="I177" s="198">
        <f t="shared" ref="I177:AB177" si="12">SUM(I78,I111,I144)</f>
        <v>198.08185</v>
      </c>
      <c r="J177" s="198">
        <f t="shared" si="12"/>
        <v>278.75355924521006</v>
      </c>
      <c r="K177" s="198">
        <f t="shared" si="12"/>
        <v>0</v>
      </c>
      <c r="L177" s="198">
        <f t="shared" si="12"/>
        <v>0</v>
      </c>
      <c r="M177" s="198">
        <f t="shared" si="12"/>
        <v>0</v>
      </c>
      <c r="N177" s="198">
        <f t="shared" si="12"/>
        <v>0</v>
      </c>
      <c r="O177" s="198">
        <f t="shared" si="12"/>
        <v>0</v>
      </c>
      <c r="P177" s="198">
        <f t="shared" si="12"/>
        <v>0</v>
      </c>
      <c r="Q177" s="198">
        <f t="shared" si="12"/>
        <v>0</v>
      </c>
      <c r="R177" s="198">
        <f t="shared" si="12"/>
        <v>0</v>
      </c>
      <c r="S177" s="198">
        <f t="shared" si="12"/>
        <v>0</v>
      </c>
      <c r="T177" s="198">
        <f t="shared" si="12"/>
        <v>0</v>
      </c>
      <c r="U177" s="198">
        <f t="shared" si="12"/>
        <v>0</v>
      </c>
      <c r="V177" s="198">
        <f t="shared" si="12"/>
        <v>0</v>
      </c>
      <c r="W177" s="198">
        <f t="shared" si="12"/>
        <v>0</v>
      </c>
      <c r="X177" s="198">
        <f t="shared" si="12"/>
        <v>0</v>
      </c>
      <c r="Y177" s="198">
        <f t="shared" si="12"/>
        <v>0</v>
      </c>
      <c r="Z177" s="198">
        <f t="shared" si="12"/>
        <v>0</v>
      </c>
      <c r="AA177" s="198">
        <f t="shared" si="12"/>
        <v>0</v>
      </c>
      <c r="AB177" s="198">
        <f t="shared" si="12"/>
        <v>0</v>
      </c>
      <c r="AC177" s="70"/>
      <c r="AD177" s="57"/>
      <c r="AE177" s="57"/>
      <c r="AF177" s="57"/>
      <c r="AG177" s="57"/>
    </row>
    <row r="178" spans="1:33" outlineLevel="2" x14ac:dyDescent="0.2">
      <c r="A178" s="19"/>
      <c r="B178" s="97">
        <v>3</v>
      </c>
      <c r="C178" s="506" t="str">
        <f t="shared" si="9"/>
        <v>Residential pay as you go</v>
      </c>
      <c r="D178" s="505">
        <f t="shared" si="9"/>
        <v>0</v>
      </c>
      <c r="E178" s="505" t="str">
        <f t="shared" si="9"/>
        <v>no</v>
      </c>
      <c r="F178" s="58"/>
      <c r="G178" s="199">
        <f t="shared" si="10"/>
        <v>199.69880000000001</v>
      </c>
      <c r="H178" s="58"/>
      <c r="I178" s="198">
        <f t="shared" ref="I178:AB178" si="13">SUM(I79,I112,I145)</f>
        <v>199.69880000000001</v>
      </c>
      <c r="J178" s="198">
        <f t="shared" si="13"/>
        <v>0</v>
      </c>
      <c r="K178" s="198">
        <f t="shared" si="13"/>
        <v>0</v>
      </c>
      <c r="L178" s="198">
        <f t="shared" si="13"/>
        <v>0</v>
      </c>
      <c r="M178" s="198">
        <f t="shared" si="13"/>
        <v>0</v>
      </c>
      <c r="N178" s="198">
        <f t="shared" si="13"/>
        <v>0</v>
      </c>
      <c r="O178" s="198">
        <f t="shared" si="13"/>
        <v>0</v>
      </c>
      <c r="P178" s="198">
        <f t="shared" si="13"/>
        <v>0</v>
      </c>
      <c r="Q178" s="198">
        <f t="shared" si="13"/>
        <v>0</v>
      </c>
      <c r="R178" s="198">
        <f t="shared" si="13"/>
        <v>0</v>
      </c>
      <c r="S178" s="198">
        <f t="shared" si="13"/>
        <v>0</v>
      </c>
      <c r="T178" s="198">
        <f t="shared" si="13"/>
        <v>0</v>
      </c>
      <c r="U178" s="198">
        <f t="shared" si="13"/>
        <v>0</v>
      </c>
      <c r="V178" s="198">
        <f t="shared" si="13"/>
        <v>0</v>
      </c>
      <c r="W178" s="198">
        <f t="shared" si="13"/>
        <v>0</v>
      </c>
      <c r="X178" s="198">
        <f t="shared" si="13"/>
        <v>0</v>
      </c>
      <c r="Y178" s="198">
        <f t="shared" si="13"/>
        <v>0</v>
      </c>
      <c r="Z178" s="198">
        <f t="shared" si="13"/>
        <v>0</v>
      </c>
      <c r="AA178" s="198">
        <f t="shared" si="13"/>
        <v>0</v>
      </c>
      <c r="AB178" s="198">
        <f t="shared" si="13"/>
        <v>0</v>
      </c>
      <c r="AC178" s="70"/>
      <c r="AD178" s="19"/>
      <c r="AE178" s="19"/>
      <c r="AF178" s="19"/>
      <c r="AG178" s="19"/>
    </row>
    <row r="179" spans="1:33" outlineLevel="2" x14ac:dyDescent="0.2">
      <c r="A179" s="19"/>
      <c r="B179" s="97">
        <v>4</v>
      </c>
      <c r="C179" s="506" t="str">
        <f t="shared" si="9"/>
        <v>Residential pay as you go time of use</v>
      </c>
      <c r="D179" s="505">
        <f t="shared" si="9"/>
        <v>0</v>
      </c>
      <c r="E179" s="505" t="str">
        <f t="shared" si="9"/>
        <v>no</v>
      </c>
      <c r="F179" s="58"/>
      <c r="G179" s="199">
        <f t="shared" si="10"/>
        <v>216.55085</v>
      </c>
      <c r="H179" s="58"/>
      <c r="I179" s="198">
        <f t="shared" ref="I179:AB179" si="14">SUM(I80,I113,I146)</f>
        <v>216.55085</v>
      </c>
      <c r="J179" s="198">
        <f t="shared" si="14"/>
        <v>0</v>
      </c>
      <c r="K179" s="198">
        <f t="shared" si="14"/>
        <v>0</v>
      </c>
      <c r="L179" s="198">
        <f t="shared" si="14"/>
        <v>0</v>
      </c>
      <c r="M179" s="198">
        <f t="shared" si="14"/>
        <v>0</v>
      </c>
      <c r="N179" s="198">
        <f t="shared" si="14"/>
        <v>0</v>
      </c>
      <c r="O179" s="198">
        <f t="shared" si="14"/>
        <v>0</v>
      </c>
      <c r="P179" s="198">
        <f t="shared" si="14"/>
        <v>0</v>
      </c>
      <c r="Q179" s="198">
        <f t="shared" si="14"/>
        <v>0</v>
      </c>
      <c r="R179" s="198">
        <f t="shared" si="14"/>
        <v>0</v>
      </c>
      <c r="S179" s="198">
        <f t="shared" si="14"/>
        <v>0</v>
      </c>
      <c r="T179" s="198">
        <f t="shared" si="14"/>
        <v>0</v>
      </c>
      <c r="U179" s="198">
        <f t="shared" si="14"/>
        <v>0</v>
      </c>
      <c r="V179" s="198">
        <f t="shared" si="14"/>
        <v>0</v>
      </c>
      <c r="W179" s="198">
        <f t="shared" si="14"/>
        <v>0</v>
      </c>
      <c r="X179" s="198">
        <f t="shared" si="14"/>
        <v>0</v>
      </c>
      <c r="Y179" s="198">
        <f t="shared" si="14"/>
        <v>0</v>
      </c>
      <c r="Z179" s="198">
        <f t="shared" si="14"/>
        <v>0</v>
      </c>
      <c r="AA179" s="198">
        <f t="shared" si="14"/>
        <v>0</v>
      </c>
      <c r="AB179" s="198">
        <f t="shared" si="14"/>
        <v>0</v>
      </c>
      <c r="AC179" s="70"/>
      <c r="AD179" s="19"/>
      <c r="AE179" s="19"/>
      <c r="AF179" s="19"/>
      <c r="AG179" s="19"/>
    </row>
    <row r="180" spans="1:33" outlineLevel="2" x14ac:dyDescent="0.2">
      <c r="A180" s="19"/>
      <c r="B180" s="97">
        <v>5</v>
      </c>
      <c r="C180" s="506">
        <f t="shared" si="9"/>
        <v>0</v>
      </c>
      <c r="D180" s="505">
        <f t="shared" si="9"/>
        <v>0</v>
      </c>
      <c r="E180" s="505">
        <f t="shared" si="9"/>
        <v>0</v>
      </c>
      <c r="F180" s="58"/>
      <c r="G180" s="199">
        <f t="shared" si="10"/>
        <v>0</v>
      </c>
      <c r="H180" s="58"/>
      <c r="I180" s="198">
        <f t="shared" ref="I180:AB180" si="15">SUM(I81,I114,I147)</f>
        <v>0</v>
      </c>
      <c r="J180" s="198">
        <f t="shared" si="15"/>
        <v>0</v>
      </c>
      <c r="K180" s="198">
        <f t="shared" si="15"/>
        <v>0</v>
      </c>
      <c r="L180" s="198">
        <f t="shared" si="15"/>
        <v>0</v>
      </c>
      <c r="M180" s="198">
        <f t="shared" si="15"/>
        <v>0</v>
      </c>
      <c r="N180" s="198">
        <f t="shared" si="15"/>
        <v>0</v>
      </c>
      <c r="O180" s="198">
        <f t="shared" si="15"/>
        <v>0</v>
      </c>
      <c r="P180" s="198">
        <f t="shared" si="15"/>
        <v>0</v>
      </c>
      <c r="Q180" s="198">
        <f t="shared" si="15"/>
        <v>0</v>
      </c>
      <c r="R180" s="198">
        <f t="shared" si="15"/>
        <v>0</v>
      </c>
      <c r="S180" s="198">
        <f t="shared" si="15"/>
        <v>0</v>
      </c>
      <c r="T180" s="198">
        <f t="shared" si="15"/>
        <v>0</v>
      </c>
      <c r="U180" s="198">
        <f t="shared" si="15"/>
        <v>0</v>
      </c>
      <c r="V180" s="198">
        <f t="shared" si="15"/>
        <v>0</v>
      </c>
      <c r="W180" s="198">
        <f t="shared" si="15"/>
        <v>0</v>
      </c>
      <c r="X180" s="198">
        <f t="shared" si="15"/>
        <v>0</v>
      </c>
      <c r="Y180" s="198">
        <f t="shared" si="15"/>
        <v>0</v>
      </c>
      <c r="Z180" s="198">
        <f t="shared" si="15"/>
        <v>0</v>
      </c>
      <c r="AA180" s="198">
        <f t="shared" si="15"/>
        <v>0</v>
      </c>
      <c r="AB180" s="198">
        <f t="shared" si="15"/>
        <v>0</v>
      </c>
      <c r="AC180" s="70"/>
      <c r="AD180" s="19"/>
      <c r="AE180" s="19"/>
      <c r="AF180" s="19"/>
      <c r="AG180" s="19"/>
    </row>
    <row r="181" spans="1:33" hidden="1" outlineLevel="3" x14ac:dyDescent="0.2">
      <c r="A181" s="19"/>
      <c r="B181" s="97">
        <v>6</v>
      </c>
      <c r="C181" s="506">
        <f t="shared" si="9"/>
        <v>0</v>
      </c>
      <c r="D181" s="505">
        <f t="shared" si="9"/>
        <v>0</v>
      </c>
      <c r="E181" s="505">
        <f t="shared" si="9"/>
        <v>0</v>
      </c>
      <c r="F181" s="58"/>
      <c r="G181" s="199">
        <f t="shared" si="10"/>
        <v>0</v>
      </c>
      <c r="H181" s="58"/>
      <c r="I181" s="198">
        <f t="shared" ref="I181:AB181" si="16">SUM(I82,I115,I148)</f>
        <v>0</v>
      </c>
      <c r="J181" s="198">
        <f t="shared" si="16"/>
        <v>0</v>
      </c>
      <c r="K181" s="198">
        <f t="shared" si="16"/>
        <v>0</v>
      </c>
      <c r="L181" s="198">
        <f t="shared" si="16"/>
        <v>0</v>
      </c>
      <c r="M181" s="198">
        <f t="shared" si="16"/>
        <v>0</v>
      </c>
      <c r="N181" s="198">
        <f t="shared" si="16"/>
        <v>0</v>
      </c>
      <c r="O181" s="198">
        <f t="shared" si="16"/>
        <v>0</v>
      </c>
      <c r="P181" s="198">
        <f t="shared" si="16"/>
        <v>0</v>
      </c>
      <c r="Q181" s="198">
        <f t="shared" si="16"/>
        <v>0</v>
      </c>
      <c r="R181" s="198">
        <f t="shared" si="16"/>
        <v>0</v>
      </c>
      <c r="S181" s="198">
        <f t="shared" si="16"/>
        <v>0</v>
      </c>
      <c r="T181" s="198">
        <f t="shared" si="16"/>
        <v>0</v>
      </c>
      <c r="U181" s="198">
        <f t="shared" si="16"/>
        <v>0</v>
      </c>
      <c r="V181" s="198">
        <f t="shared" si="16"/>
        <v>0</v>
      </c>
      <c r="W181" s="198">
        <f t="shared" si="16"/>
        <v>0</v>
      </c>
      <c r="X181" s="198">
        <f t="shared" si="16"/>
        <v>0</v>
      </c>
      <c r="Y181" s="198">
        <f t="shared" si="16"/>
        <v>0</v>
      </c>
      <c r="Z181" s="198">
        <f t="shared" si="16"/>
        <v>0</v>
      </c>
      <c r="AA181" s="198">
        <f t="shared" si="16"/>
        <v>0</v>
      </c>
      <c r="AB181" s="198">
        <f t="shared" si="16"/>
        <v>0</v>
      </c>
      <c r="AC181" s="70"/>
      <c r="AD181" s="19"/>
      <c r="AE181" s="19"/>
      <c r="AF181" s="19"/>
      <c r="AG181" s="19"/>
    </row>
    <row r="182" spans="1:33" hidden="1" outlineLevel="3" x14ac:dyDescent="0.2">
      <c r="A182" s="19"/>
      <c r="B182" s="97">
        <v>7</v>
      </c>
      <c r="C182" s="506">
        <f t="shared" si="9"/>
        <v>0</v>
      </c>
      <c r="D182" s="505">
        <f t="shared" si="9"/>
        <v>0</v>
      </c>
      <c r="E182" s="505">
        <f t="shared" si="9"/>
        <v>0</v>
      </c>
      <c r="F182" s="58"/>
      <c r="G182" s="199">
        <f t="shared" si="10"/>
        <v>0</v>
      </c>
      <c r="H182" s="58"/>
      <c r="I182" s="198">
        <f t="shared" ref="I182:AB182" si="17">SUM(I83,I116,I149)</f>
        <v>0</v>
      </c>
      <c r="J182" s="198">
        <f t="shared" si="17"/>
        <v>0</v>
      </c>
      <c r="K182" s="198">
        <f t="shared" si="17"/>
        <v>0</v>
      </c>
      <c r="L182" s="198">
        <f t="shared" si="17"/>
        <v>0</v>
      </c>
      <c r="M182" s="198">
        <f t="shared" si="17"/>
        <v>0</v>
      </c>
      <c r="N182" s="198">
        <f t="shared" si="17"/>
        <v>0</v>
      </c>
      <c r="O182" s="198">
        <f t="shared" si="17"/>
        <v>0</v>
      </c>
      <c r="P182" s="198">
        <f t="shared" si="17"/>
        <v>0</v>
      </c>
      <c r="Q182" s="198">
        <f t="shared" si="17"/>
        <v>0</v>
      </c>
      <c r="R182" s="198">
        <f t="shared" si="17"/>
        <v>0</v>
      </c>
      <c r="S182" s="198">
        <f t="shared" si="17"/>
        <v>0</v>
      </c>
      <c r="T182" s="198">
        <f t="shared" si="17"/>
        <v>0</v>
      </c>
      <c r="U182" s="198">
        <f t="shared" si="17"/>
        <v>0</v>
      </c>
      <c r="V182" s="198">
        <f t="shared" si="17"/>
        <v>0</v>
      </c>
      <c r="W182" s="198">
        <f t="shared" si="17"/>
        <v>0</v>
      </c>
      <c r="X182" s="198">
        <f t="shared" si="17"/>
        <v>0</v>
      </c>
      <c r="Y182" s="198">
        <f t="shared" si="17"/>
        <v>0</v>
      </c>
      <c r="Z182" s="198">
        <f t="shared" si="17"/>
        <v>0</v>
      </c>
      <c r="AA182" s="198">
        <f t="shared" si="17"/>
        <v>0</v>
      </c>
      <c r="AB182" s="198">
        <f t="shared" si="17"/>
        <v>0</v>
      </c>
      <c r="AC182" s="70"/>
      <c r="AD182" s="19"/>
      <c r="AE182" s="19"/>
      <c r="AF182" s="19"/>
      <c r="AG182" s="19"/>
    </row>
    <row r="183" spans="1:33" hidden="1" outlineLevel="3" x14ac:dyDescent="0.2">
      <c r="A183" s="19"/>
      <c r="B183" s="97">
        <v>8</v>
      </c>
      <c r="C183" s="506">
        <f t="shared" si="9"/>
        <v>0</v>
      </c>
      <c r="D183" s="505">
        <f t="shared" si="9"/>
        <v>0</v>
      </c>
      <c r="E183" s="505">
        <f t="shared" si="9"/>
        <v>0</v>
      </c>
      <c r="F183" s="58"/>
      <c r="G183" s="199">
        <f t="shared" si="10"/>
        <v>0</v>
      </c>
      <c r="H183" s="58"/>
      <c r="I183" s="198">
        <f t="shared" ref="I183:AB183" si="18">SUM(I84,I117,I150)</f>
        <v>0</v>
      </c>
      <c r="J183" s="198">
        <f t="shared" si="18"/>
        <v>0</v>
      </c>
      <c r="K183" s="198">
        <f t="shared" si="18"/>
        <v>0</v>
      </c>
      <c r="L183" s="198">
        <f t="shared" si="18"/>
        <v>0</v>
      </c>
      <c r="M183" s="198">
        <f t="shared" si="18"/>
        <v>0</v>
      </c>
      <c r="N183" s="198">
        <f t="shared" si="18"/>
        <v>0</v>
      </c>
      <c r="O183" s="198">
        <f t="shared" si="18"/>
        <v>0</v>
      </c>
      <c r="P183" s="198">
        <f t="shared" si="18"/>
        <v>0</v>
      </c>
      <c r="Q183" s="198">
        <f t="shared" si="18"/>
        <v>0</v>
      </c>
      <c r="R183" s="198">
        <f t="shared" si="18"/>
        <v>0</v>
      </c>
      <c r="S183" s="198">
        <f t="shared" si="18"/>
        <v>0</v>
      </c>
      <c r="T183" s="198">
        <f t="shared" si="18"/>
        <v>0</v>
      </c>
      <c r="U183" s="198">
        <f t="shared" si="18"/>
        <v>0</v>
      </c>
      <c r="V183" s="198">
        <f t="shared" si="18"/>
        <v>0</v>
      </c>
      <c r="W183" s="198">
        <f t="shared" si="18"/>
        <v>0</v>
      </c>
      <c r="X183" s="198">
        <f t="shared" si="18"/>
        <v>0</v>
      </c>
      <c r="Y183" s="198">
        <f t="shared" si="18"/>
        <v>0</v>
      </c>
      <c r="Z183" s="198">
        <f t="shared" si="18"/>
        <v>0</v>
      </c>
      <c r="AA183" s="198">
        <f t="shared" si="18"/>
        <v>0</v>
      </c>
      <c r="AB183" s="198">
        <f t="shared" si="18"/>
        <v>0</v>
      </c>
      <c r="AC183" s="70"/>
      <c r="AD183" s="19"/>
      <c r="AE183" s="19"/>
      <c r="AF183" s="19"/>
      <c r="AG183" s="19"/>
    </row>
    <row r="184" spans="1:33" hidden="1" outlineLevel="3" x14ac:dyDescent="0.2">
      <c r="A184" s="19"/>
      <c r="B184" s="98">
        <v>9</v>
      </c>
      <c r="C184" s="506">
        <f t="shared" si="9"/>
        <v>0</v>
      </c>
      <c r="D184" s="505">
        <f t="shared" si="9"/>
        <v>0</v>
      </c>
      <c r="E184" s="505">
        <f t="shared" si="9"/>
        <v>0</v>
      </c>
      <c r="F184" s="58"/>
      <c r="G184" s="199">
        <f t="shared" si="10"/>
        <v>0</v>
      </c>
      <c r="H184" s="58"/>
      <c r="I184" s="198">
        <f t="shared" ref="I184:AB184" si="19">SUM(I85,I118,I151)</f>
        <v>0</v>
      </c>
      <c r="J184" s="198">
        <f t="shared" si="19"/>
        <v>0</v>
      </c>
      <c r="K184" s="198">
        <f t="shared" si="19"/>
        <v>0</v>
      </c>
      <c r="L184" s="198">
        <f t="shared" si="19"/>
        <v>0</v>
      </c>
      <c r="M184" s="198">
        <f t="shared" si="19"/>
        <v>0</v>
      </c>
      <c r="N184" s="198">
        <f t="shared" si="19"/>
        <v>0</v>
      </c>
      <c r="O184" s="198">
        <f t="shared" si="19"/>
        <v>0</v>
      </c>
      <c r="P184" s="198">
        <f t="shared" si="19"/>
        <v>0</v>
      </c>
      <c r="Q184" s="198">
        <f t="shared" si="19"/>
        <v>0</v>
      </c>
      <c r="R184" s="198">
        <f t="shared" si="19"/>
        <v>0</v>
      </c>
      <c r="S184" s="198">
        <f t="shared" si="19"/>
        <v>0</v>
      </c>
      <c r="T184" s="198">
        <f t="shared" si="19"/>
        <v>0</v>
      </c>
      <c r="U184" s="198">
        <f t="shared" si="19"/>
        <v>0</v>
      </c>
      <c r="V184" s="198">
        <f t="shared" si="19"/>
        <v>0</v>
      </c>
      <c r="W184" s="198">
        <f t="shared" si="19"/>
        <v>0</v>
      </c>
      <c r="X184" s="198">
        <f t="shared" si="19"/>
        <v>0</v>
      </c>
      <c r="Y184" s="198">
        <f t="shared" si="19"/>
        <v>0</v>
      </c>
      <c r="Z184" s="198">
        <f t="shared" si="19"/>
        <v>0</v>
      </c>
      <c r="AA184" s="198">
        <f t="shared" si="19"/>
        <v>0</v>
      </c>
      <c r="AB184" s="198">
        <f t="shared" si="19"/>
        <v>0</v>
      </c>
      <c r="AC184" s="70"/>
      <c r="AD184" s="19"/>
      <c r="AE184" s="19"/>
      <c r="AF184" s="19"/>
      <c r="AG184" s="19"/>
    </row>
    <row r="185" spans="1:33" hidden="1" outlineLevel="3" x14ac:dyDescent="0.2">
      <c r="A185" s="19"/>
      <c r="B185" s="97">
        <v>10</v>
      </c>
      <c r="C185" s="506">
        <f t="shared" si="9"/>
        <v>0</v>
      </c>
      <c r="D185" s="505">
        <f t="shared" si="9"/>
        <v>0</v>
      </c>
      <c r="E185" s="505">
        <f t="shared" si="9"/>
        <v>0</v>
      </c>
      <c r="F185" s="58"/>
      <c r="G185" s="199">
        <f t="shared" si="10"/>
        <v>0</v>
      </c>
      <c r="H185" s="58"/>
      <c r="I185" s="198">
        <f t="shared" ref="I185:AB185" si="20">SUM(I86,I119,I152)</f>
        <v>0</v>
      </c>
      <c r="J185" s="198">
        <f t="shared" si="20"/>
        <v>0</v>
      </c>
      <c r="K185" s="198">
        <f t="shared" si="20"/>
        <v>0</v>
      </c>
      <c r="L185" s="198">
        <f t="shared" si="20"/>
        <v>0</v>
      </c>
      <c r="M185" s="198">
        <f t="shared" si="20"/>
        <v>0</v>
      </c>
      <c r="N185" s="198">
        <f t="shared" si="20"/>
        <v>0</v>
      </c>
      <c r="O185" s="198">
        <f t="shared" si="20"/>
        <v>0</v>
      </c>
      <c r="P185" s="198">
        <f t="shared" si="20"/>
        <v>0</v>
      </c>
      <c r="Q185" s="198">
        <f t="shared" si="20"/>
        <v>0</v>
      </c>
      <c r="R185" s="198">
        <f t="shared" si="20"/>
        <v>0</v>
      </c>
      <c r="S185" s="198">
        <f t="shared" si="20"/>
        <v>0</v>
      </c>
      <c r="T185" s="198">
        <f t="shared" si="20"/>
        <v>0</v>
      </c>
      <c r="U185" s="198">
        <f t="shared" si="20"/>
        <v>0</v>
      </c>
      <c r="V185" s="198">
        <f t="shared" si="20"/>
        <v>0</v>
      </c>
      <c r="W185" s="198">
        <f t="shared" si="20"/>
        <v>0</v>
      </c>
      <c r="X185" s="198">
        <f t="shared" si="20"/>
        <v>0</v>
      </c>
      <c r="Y185" s="198">
        <f t="shared" si="20"/>
        <v>0</v>
      </c>
      <c r="Z185" s="198">
        <f t="shared" si="20"/>
        <v>0</v>
      </c>
      <c r="AA185" s="198">
        <f t="shared" si="20"/>
        <v>0</v>
      </c>
      <c r="AB185" s="198">
        <f t="shared" si="20"/>
        <v>0</v>
      </c>
      <c r="AC185" s="70"/>
      <c r="AD185" s="19"/>
      <c r="AE185" s="19"/>
      <c r="AF185" s="19"/>
      <c r="AG185" s="19"/>
    </row>
    <row r="186" spans="1:33" hidden="1" outlineLevel="3" x14ac:dyDescent="0.2">
      <c r="A186" s="19"/>
      <c r="B186" s="97">
        <v>11</v>
      </c>
      <c r="C186" s="506">
        <f t="shared" si="9"/>
        <v>0</v>
      </c>
      <c r="D186" s="505">
        <f t="shared" si="9"/>
        <v>0</v>
      </c>
      <c r="E186" s="505">
        <f t="shared" si="9"/>
        <v>0</v>
      </c>
      <c r="F186" s="58"/>
      <c r="G186" s="199">
        <f t="shared" si="10"/>
        <v>0</v>
      </c>
      <c r="H186" s="58"/>
      <c r="I186" s="198">
        <f t="shared" ref="I186:AB186" si="21">SUM(I87,I120,I153)</f>
        <v>0</v>
      </c>
      <c r="J186" s="198">
        <f t="shared" si="21"/>
        <v>0</v>
      </c>
      <c r="K186" s="198">
        <f t="shared" si="21"/>
        <v>0</v>
      </c>
      <c r="L186" s="198">
        <f t="shared" si="21"/>
        <v>0</v>
      </c>
      <c r="M186" s="198">
        <f t="shared" si="21"/>
        <v>0</v>
      </c>
      <c r="N186" s="198">
        <f t="shared" si="21"/>
        <v>0</v>
      </c>
      <c r="O186" s="198">
        <f t="shared" si="21"/>
        <v>0</v>
      </c>
      <c r="P186" s="198">
        <f t="shared" si="21"/>
        <v>0</v>
      </c>
      <c r="Q186" s="198">
        <f t="shared" si="21"/>
        <v>0</v>
      </c>
      <c r="R186" s="198">
        <f t="shared" si="21"/>
        <v>0</v>
      </c>
      <c r="S186" s="198">
        <f t="shared" si="21"/>
        <v>0</v>
      </c>
      <c r="T186" s="198">
        <f t="shared" si="21"/>
        <v>0</v>
      </c>
      <c r="U186" s="198">
        <f t="shared" si="21"/>
        <v>0</v>
      </c>
      <c r="V186" s="198">
        <f t="shared" si="21"/>
        <v>0</v>
      </c>
      <c r="W186" s="198">
        <f t="shared" si="21"/>
        <v>0</v>
      </c>
      <c r="X186" s="198">
        <f t="shared" si="21"/>
        <v>0</v>
      </c>
      <c r="Y186" s="198">
        <f t="shared" si="21"/>
        <v>0</v>
      </c>
      <c r="Z186" s="198">
        <f t="shared" si="21"/>
        <v>0</v>
      </c>
      <c r="AA186" s="198">
        <f t="shared" si="21"/>
        <v>0</v>
      </c>
      <c r="AB186" s="198">
        <f t="shared" si="21"/>
        <v>0</v>
      </c>
      <c r="AC186" s="70"/>
      <c r="AD186" s="19"/>
      <c r="AE186" s="19"/>
      <c r="AF186" s="19"/>
      <c r="AG186" s="19"/>
    </row>
    <row r="187" spans="1:33" hidden="1" outlineLevel="3" x14ac:dyDescent="0.2">
      <c r="A187" s="19"/>
      <c r="B187" s="97">
        <v>12</v>
      </c>
      <c r="C187" s="506">
        <f t="shared" si="9"/>
        <v>0</v>
      </c>
      <c r="D187" s="505">
        <f t="shared" si="9"/>
        <v>0</v>
      </c>
      <c r="E187" s="505">
        <f t="shared" si="9"/>
        <v>0</v>
      </c>
      <c r="F187" s="58"/>
      <c r="G187" s="199">
        <f t="shared" si="10"/>
        <v>0</v>
      </c>
      <c r="H187" s="58"/>
      <c r="I187" s="198">
        <f t="shared" ref="I187:AB187" si="22">SUM(I88,I121,I154)</f>
        <v>0</v>
      </c>
      <c r="J187" s="198">
        <f t="shared" si="22"/>
        <v>0</v>
      </c>
      <c r="K187" s="198">
        <f t="shared" si="22"/>
        <v>0</v>
      </c>
      <c r="L187" s="198">
        <f t="shared" si="22"/>
        <v>0</v>
      </c>
      <c r="M187" s="198">
        <f t="shared" si="22"/>
        <v>0</v>
      </c>
      <c r="N187" s="198">
        <f t="shared" si="22"/>
        <v>0</v>
      </c>
      <c r="O187" s="198">
        <f t="shared" si="22"/>
        <v>0</v>
      </c>
      <c r="P187" s="198">
        <f t="shared" si="22"/>
        <v>0</v>
      </c>
      <c r="Q187" s="198">
        <f t="shared" si="22"/>
        <v>0</v>
      </c>
      <c r="R187" s="198">
        <f t="shared" si="22"/>
        <v>0</v>
      </c>
      <c r="S187" s="198">
        <f t="shared" si="22"/>
        <v>0</v>
      </c>
      <c r="T187" s="198">
        <f t="shared" si="22"/>
        <v>0</v>
      </c>
      <c r="U187" s="198">
        <f t="shared" si="22"/>
        <v>0</v>
      </c>
      <c r="V187" s="198">
        <f t="shared" si="22"/>
        <v>0</v>
      </c>
      <c r="W187" s="198">
        <f t="shared" si="22"/>
        <v>0</v>
      </c>
      <c r="X187" s="198">
        <f t="shared" si="22"/>
        <v>0</v>
      </c>
      <c r="Y187" s="198">
        <f t="shared" si="22"/>
        <v>0</v>
      </c>
      <c r="Z187" s="198">
        <f t="shared" si="22"/>
        <v>0</v>
      </c>
      <c r="AA187" s="198">
        <f t="shared" si="22"/>
        <v>0</v>
      </c>
      <c r="AB187" s="198">
        <f t="shared" si="22"/>
        <v>0</v>
      </c>
      <c r="AC187" s="70"/>
      <c r="AD187" s="19"/>
      <c r="AE187" s="19"/>
      <c r="AF187" s="19"/>
      <c r="AG187" s="19"/>
    </row>
    <row r="188" spans="1:33" hidden="1" outlineLevel="3" x14ac:dyDescent="0.2">
      <c r="A188" s="19"/>
      <c r="B188" s="97">
        <v>13</v>
      </c>
      <c r="C188" s="506">
        <f t="shared" si="9"/>
        <v>0</v>
      </c>
      <c r="D188" s="505">
        <f t="shared" si="9"/>
        <v>0</v>
      </c>
      <c r="E188" s="505">
        <f t="shared" si="9"/>
        <v>0</v>
      </c>
      <c r="F188" s="58"/>
      <c r="G188" s="199">
        <f t="shared" si="10"/>
        <v>0</v>
      </c>
      <c r="H188" s="58"/>
      <c r="I188" s="198">
        <f t="shared" ref="I188:AB188" si="23">SUM(I89,I122,I155)</f>
        <v>0</v>
      </c>
      <c r="J188" s="198">
        <f t="shared" si="23"/>
        <v>0</v>
      </c>
      <c r="K188" s="198">
        <f t="shared" si="23"/>
        <v>0</v>
      </c>
      <c r="L188" s="198">
        <f t="shared" si="23"/>
        <v>0</v>
      </c>
      <c r="M188" s="198">
        <f t="shared" si="23"/>
        <v>0</v>
      </c>
      <c r="N188" s="198">
        <f t="shared" si="23"/>
        <v>0</v>
      </c>
      <c r="O188" s="198">
        <f t="shared" si="23"/>
        <v>0</v>
      </c>
      <c r="P188" s="198">
        <f t="shared" si="23"/>
        <v>0</v>
      </c>
      <c r="Q188" s="198">
        <f t="shared" si="23"/>
        <v>0</v>
      </c>
      <c r="R188" s="198">
        <f t="shared" si="23"/>
        <v>0</v>
      </c>
      <c r="S188" s="198">
        <f t="shared" si="23"/>
        <v>0</v>
      </c>
      <c r="T188" s="198">
        <f t="shared" si="23"/>
        <v>0</v>
      </c>
      <c r="U188" s="198">
        <f t="shared" si="23"/>
        <v>0</v>
      </c>
      <c r="V188" s="198">
        <f t="shared" si="23"/>
        <v>0</v>
      </c>
      <c r="W188" s="198">
        <f t="shared" si="23"/>
        <v>0</v>
      </c>
      <c r="X188" s="198">
        <f t="shared" si="23"/>
        <v>0</v>
      </c>
      <c r="Y188" s="198">
        <f t="shared" si="23"/>
        <v>0</v>
      </c>
      <c r="Z188" s="198">
        <f t="shared" si="23"/>
        <v>0</v>
      </c>
      <c r="AA188" s="198">
        <f t="shared" si="23"/>
        <v>0</v>
      </c>
      <c r="AB188" s="198">
        <f t="shared" si="23"/>
        <v>0</v>
      </c>
      <c r="AC188" s="70"/>
      <c r="AD188" s="19"/>
      <c r="AE188" s="19"/>
      <c r="AF188" s="19"/>
      <c r="AG188" s="19"/>
    </row>
    <row r="189" spans="1:33" hidden="1" outlineLevel="3" x14ac:dyDescent="0.2">
      <c r="A189" s="19"/>
      <c r="B189" s="97">
        <v>14</v>
      </c>
      <c r="C189" s="506">
        <f t="shared" si="9"/>
        <v>0</v>
      </c>
      <c r="D189" s="505">
        <f t="shared" si="9"/>
        <v>0</v>
      </c>
      <c r="E189" s="505">
        <f t="shared" si="9"/>
        <v>0</v>
      </c>
      <c r="F189" s="58"/>
      <c r="G189" s="199">
        <f t="shared" si="10"/>
        <v>0</v>
      </c>
      <c r="H189" s="58"/>
      <c r="I189" s="198">
        <f t="shared" ref="I189:AB189" si="24">SUM(I90,I123,I156)</f>
        <v>0</v>
      </c>
      <c r="J189" s="198">
        <f t="shared" si="24"/>
        <v>0</v>
      </c>
      <c r="K189" s="198">
        <f t="shared" si="24"/>
        <v>0</v>
      </c>
      <c r="L189" s="198">
        <f t="shared" si="24"/>
        <v>0</v>
      </c>
      <c r="M189" s="198">
        <f t="shared" si="24"/>
        <v>0</v>
      </c>
      <c r="N189" s="198">
        <f t="shared" si="24"/>
        <v>0</v>
      </c>
      <c r="O189" s="198">
        <f t="shared" si="24"/>
        <v>0</v>
      </c>
      <c r="P189" s="198">
        <f t="shared" si="24"/>
        <v>0</v>
      </c>
      <c r="Q189" s="198">
        <f t="shared" si="24"/>
        <v>0</v>
      </c>
      <c r="R189" s="198">
        <f t="shared" si="24"/>
        <v>0</v>
      </c>
      <c r="S189" s="198">
        <f t="shared" si="24"/>
        <v>0</v>
      </c>
      <c r="T189" s="198">
        <f t="shared" si="24"/>
        <v>0</v>
      </c>
      <c r="U189" s="198">
        <f t="shared" si="24"/>
        <v>0</v>
      </c>
      <c r="V189" s="198">
        <f t="shared" si="24"/>
        <v>0</v>
      </c>
      <c r="W189" s="198">
        <f t="shared" si="24"/>
        <v>0</v>
      </c>
      <c r="X189" s="198">
        <f t="shared" si="24"/>
        <v>0</v>
      </c>
      <c r="Y189" s="198">
        <f t="shared" si="24"/>
        <v>0</v>
      </c>
      <c r="Z189" s="198">
        <f t="shared" si="24"/>
        <v>0</v>
      </c>
      <c r="AA189" s="198">
        <f t="shared" si="24"/>
        <v>0</v>
      </c>
      <c r="AB189" s="198">
        <f t="shared" si="24"/>
        <v>0</v>
      </c>
      <c r="AC189" s="70"/>
      <c r="AD189" s="19"/>
      <c r="AE189" s="19"/>
      <c r="AF189" s="19"/>
      <c r="AG189" s="19"/>
    </row>
    <row r="190" spans="1:33" hidden="1" outlineLevel="3" x14ac:dyDescent="0.2">
      <c r="A190" s="19"/>
      <c r="B190" s="97">
        <v>15</v>
      </c>
      <c r="C190" s="506">
        <f t="shared" si="9"/>
        <v>0</v>
      </c>
      <c r="D190" s="505">
        <f t="shared" si="9"/>
        <v>0</v>
      </c>
      <c r="E190" s="505">
        <f t="shared" si="9"/>
        <v>0</v>
      </c>
      <c r="F190" s="58"/>
      <c r="G190" s="199">
        <f t="shared" si="10"/>
        <v>0</v>
      </c>
      <c r="H190" s="58"/>
      <c r="I190" s="198">
        <f t="shared" ref="I190:AB190" si="25">SUM(I91,I124,I157)</f>
        <v>0</v>
      </c>
      <c r="J190" s="198">
        <f t="shared" si="25"/>
        <v>0</v>
      </c>
      <c r="K190" s="198">
        <f t="shared" si="25"/>
        <v>0</v>
      </c>
      <c r="L190" s="198">
        <f t="shared" si="25"/>
        <v>0</v>
      </c>
      <c r="M190" s="198">
        <f t="shared" si="25"/>
        <v>0</v>
      </c>
      <c r="N190" s="198">
        <f t="shared" si="25"/>
        <v>0</v>
      </c>
      <c r="O190" s="198">
        <f t="shared" si="25"/>
        <v>0</v>
      </c>
      <c r="P190" s="198">
        <f t="shared" si="25"/>
        <v>0</v>
      </c>
      <c r="Q190" s="198">
        <f t="shared" si="25"/>
        <v>0</v>
      </c>
      <c r="R190" s="198">
        <f t="shared" si="25"/>
        <v>0</v>
      </c>
      <c r="S190" s="198">
        <f t="shared" si="25"/>
        <v>0</v>
      </c>
      <c r="T190" s="198">
        <f t="shared" si="25"/>
        <v>0</v>
      </c>
      <c r="U190" s="198">
        <f t="shared" si="25"/>
        <v>0</v>
      </c>
      <c r="V190" s="198">
        <f t="shared" si="25"/>
        <v>0</v>
      </c>
      <c r="W190" s="198">
        <f t="shared" si="25"/>
        <v>0</v>
      </c>
      <c r="X190" s="198">
        <f t="shared" si="25"/>
        <v>0</v>
      </c>
      <c r="Y190" s="198">
        <f t="shared" si="25"/>
        <v>0</v>
      </c>
      <c r="Z190" s="198">
        <f t="shared" si="25"/>
        <v>0</v>
      </c>
      <c r="AA190" s="198">
        <f t="shared" si="25"/>
        <v>0</v>
      </c>
      <c r="AB190" s="198">
        <f t="shared" si="25"/>
        <v>0</v>
      </c>
      <c r="AC190" s="70"/>
      <c r="AD190" s="19"/>
      <c r="AE190" s="19"/>
      <c r="AF190" s="19"/>
      <c r="AG190" s="19"/>
    </row>
    <row r="191" spans="1:33" hidden="1" outlineLevel="3" x14ac:dyDescent="0.2">
      <c r="A191" s="19"/>
      <c r="B191" s="98">
        <v>16</v>
      </c>
      <c r="C191" s="506">
        <f t="shared" si="9"/>
        <v>0</v>
      </c>
      <c r="D191" s="505">
        <f t="shared" si="9"/>
        <v>0</v>
      </c>
      <c r="E191" s="505">
        <f t="shared" si="9"/>
        <v>0</v>
      </c>
      <c r="F191" s="58"/>
      <c r="G191" s="199">
        <f t="shared" si="10"/>
        <v>0</v>
      </c>
      <c r="H191" s="58"/>
      <c r="I191" s="198">
        <f t="shared" ref="I191:AB191" si="26">SUM(I92,I125,I158)</f>
        <v>0</v>
      </c>
      <c r="J191" s="198">
        <f t="shared" si="26"/>
        <v>0</v>
      </c>
      <c r="K191" s="198">
        <f t="shared" si="26"/>
        <v>0</v>
      </c>
      <c r="L191" s="198">
        <f t="shared" si="26"/>
        <v>0</v>
      </c>
      <c r="M191" s="198">
        <f t="shared" si="26"/>
        <v>0</v>
      </c>
      <c r="N191" s="198">
        <f t="shared" si="26"/>
        <v>0</v>
      </c>
      <c r="O191" s="198">
        <f t="shared" si="26"/>
        <v>0</v>
      </c>
      <c r="P191" s="198">
        <f t="shared" si="26"/>
        <v>0</v>
      </c>
      <c r="Q191" s="198">
        <f t="shared" si="26"/>
        <v>0</v>
      </c>
      <c r="R191" s="198">
        <f t="shared" si="26"/>
        <v>0</v>
      </c>
      <c r="S191" s="198">
        <f t="shared" si="26"/>
        <v>0</v>
      </c>
      <c r="T191" s="198">
        <f t="shared" si="26"/>
        <v>0</v>
      </c>
      <c r="U191" s="198">
        <f t="shared" si="26"/>
        <v>0</v>
      </c>
      <c r="V191" s="198">
        <f t="shared" si="26"/>
        <v>0</v>
      </c>
      <c r="W191" s="198">
        <f t="shared" si="26"/>
        <v>0</v>
      </c>
      <c r="X191" s="198">
        <f t="shared" si="26"/>
        <v>0</v>
      </c>
      <c r="Y191" s="198">
        <f t="shared" si="26"/>
        <v>0</v>
      </c>
      <c r="Z191" s="198">
        <f t="shared" si="26"/>
        <v>0</v>
      </c>
      <c r="AA191" s="198">
        <f t="shared" si="26"/>
        <v>0</v>
      </c>
      <c r="AB191" s="198">
        <f t="shared" si="26"/>
        <v>0</v>
      </c>
      <c r="AC191" s="70"/>
      <c r="AD191" s="19"/>
      <c r="AE191" s="19"/>
      <c r="AF191" s="19"/>
      <c r="AG191" s="19"/>
    </row>
    <row r="192" spans="1:33" hidden="1" outlineLevel="3" x14ac:dyDescent="0.2">
      <c r="A192" s="19"/>
      <c r="B192" s="97">
        <v>17</v>
      </c>
      <c r="C192" s="506">
        <f t="shared" si="9"/>
        <v>0</v>
      </c>
      <c r="D192" s="505">
        <f t="shared" si="9"/>
        <v>0</v>
      </c>
      <c r="E192" s="505">
        <f t="shared" si="9"/>
        <v>0</v>
      </c>
      <c r="F192" s="58"/>
      <c r="G192" s="199">
        <f t="shared" si="10"/>
        <v>0</v>
      </c>
      <c r="H192" s="58"/>
      <c r="I192" s="198">
        <f t="shared" ref="I192:AB192" si="27">SUM(I93,I126,I159)</f>
        <v>0</v>
      </c>
      <c r="J192" s="198">
        <f t="shared" si="27"/>
        <v>0</v>
      </c>
      <c r="K192" s="198">
        <f t="shared" si="27"/>
        <v>0</v>
      </c>
      <c r="L192" s="198">
        <f t="shared" si="27"/>
        <v>0</v>
      </c>
      <c r="M192" s="198">
        <f t="shared" si="27"/>
        <v>0</v>
      </c>
      <c r="N192" s="198">
        <f t="shared" si="27"/>
        <v>0</v>
      </c>
      <c r="O192" s="198">
        <f t="shared" si="27"/>
        <v>0</v>
      </c>
      <c r="P192" s="198">
        <f t="shared" si="27"/>
        <v>0</v>
      </c>
      <c r="Q192" s="198">
        <f t="shared" si="27"/>
        <v>0</v>
      </c>
      <c r="R192" s="198">
        <f t="shared" si="27"/>
        <v>0</v>
      </c>
      <c r="S192" s="198">
        <f t="shared" si="27"/>
        <v>0</v>
      </c>
      <c r="T192" s="198">
        <f t="shared" si="27"/>
        <v>0</v>
      </c>
      <c r="U192" s="198">
        <f t="shared" si="27"/>
        <v>0</v>
      </c>
      <c r="V192" s="198">
        <f t="shared" si="27"/>
        <v>0</v>
      </c>
      <c r="W192" s="198">
        <f t="shared" si="27"/>
        <v>0</v>
      </c>
      <c r="X192" s="198">
        <f t="shared" si="27"/>
        <v>0</v>
      </c>
      <c r="Y192" s="198">
        <f t="shared" si="27"/>
        <v>0</v>
      </c>
      <c r="Z192" s="198">
        <f t="shared" si="27"/>
        <v>0</v>
      </c>
      <c r="AA192" s="198">
        <f t="shared" si="27"/>
        <v>0</v>
      </c>
      <c r="AB192" s="198">
        <f t="shared" si="27"/>
        <v>0</v>
      </c>
      <c r="AC192" s="70"/>
      <c r="AD192" s="19"/>
      <c r="AE192" s="19"/>
      <c r="AF192" s="19"/>
      <c r="AG192" s="19"/>
    </row>
    <row r="193" spans="1:33" hidden="1" outlineLevel="3" x14ac:dyDescent="0.2">
      <c r="A193" s="19"/>
      <c r="B193" s="97">
        <v>18</v>
      </c>
      <c r="C193" s="506">
        <f t="shared" si="9"/>
        <v>0</v>
      </c>
      <c r="D193" s="505">
        <f t="shared" si="9"/>
        <v>0</v>
      </c>
      <c r="E193" s="505">
        <f t="shared" si="9"/>
        <v>0</v>
      </c>
      <c r="F193" s="58"/>
      <c r="G193" s="199">
        <f t="shared" si="10"/>
        <v>0</v>
      </c>
      <c r="H193" s="58"/>
      <c r="I193" s="198">
        <f t="shared" ref="I193:AB193" si="28">SUM(I94,I127,I160)</f>
        <v>0</v>
      </c>
      <c r="J193" s="198">
        <f t="shared" si="28"/>
        <v>0</v>
      </c>
      <c r="K193" s="198">
        <f t="shared" si="28"/>
        <v>0</v>
      </c>
      <c r="L193" s="198">
        <f t="shared" si="28"/>
        <v>0</v>
      </c>
      <c r="M193" s="198">
        <f t="shared" si="28"/>
        <v>0</v>
      </c>
      <c r="N193" s="198">
        <f t="shared" si="28"/>
        <v>0</v>
      </c>
      <c r="O193" s="198">
        <f t="shared" si="28"/>
        <v>0</v>
      </c>
      <c r="P193" s="198">
        <f t="shared" si="28"/>
        <v>0</v>
      </c>
      <c r="Q193" s="198">
        <f t="shared" si="28"/>
        <v>0</v>
      </c>
      <c r="R193" s="198">
        <f t="shared" si="28"/>
        <v>0</v>
      </c>
      <c r="S193" s="198">
        <f t="shared" si="28"/>
        <v>0</v>
      </c>
      <c r="T193" s="198">
        <f t="shared" si="28"/>
        <v>0</v>
      </c>
      <c r="U193" s="198">
        <f t="shared" si="28"/>
        <v>0</v>
      </c>
      <c r="V193" s="198">
        <f t="shared" si="28"/>
        <v>0</v>
      </c>
      <c r="W193" s="198">
        <f t="shared" si="28"/>
        <v>0</v>
      </c>
      <c r="X193" s="198">
        <f t="shared" si="28"/>
        <v>0</v>
      </c>
      <c r="Y193" s="198">
        <f t="shared" si="28"/>
        <v>0</v>
      </c>
      <c r="Z193" s="198">
        <f t="shared" si="28"/>
        <v>0</v>
      </c>
      <c r="AA193" s="198">
        <f t="shared" si="28"/>
        <v>0</v>
      </c>
      <c r="AB193" s="198">
        <f t="shared" si="28"/>
        <v>0</v>
      </c>
      <c r="AC193" s="70"/>
      <c r="AD193" s="19"/>
      <c r="AE193" s="19"/>
      <c r="AF193" s="19"/>
      <c r="AG193" s="19"/>
    </row>
    <row r="194" spans="1:33" hidden="1" outlineLevel="3" x14ac:dyDescent="0.2">
      <c r="A194" s="19"/>
      <c r="B194" s="97">
        <v>19</v>
      </c>
      <c r="C194" s="506">
        <f t="shared" si="9"/>
        <v>0</v>
      </c>
      <c r="D194" s="505">
        <f t="shared" si="9"/>
        <v>0</v>
      </c>
      <c r="E194" s="505">
        <f t="shared" si="9"/>
        <v>0</v>
      </c>
      <c r="F194" s="58"/>
      <c r="G194" s="199">
        <f t="shared" si="10"/>
        <v>0</v>
      </c>
      <c r="H194" s="58"/>
      <c r="I194" s="198">
        <f t="shared" ref="I194:AB194" si="29">SUM(I95,I128,I161)</f>
        <v>0</v>
      </c>
      <c r="J194" s="198">
        <f t="shared" si="29"/>
        <v>0</v>
      </c>
      <c r="K194" s="198">
        <f t="shared" si="29"/>
        <v>0</v>
      </c>
      <c r="L194" s="198">
        <f t="shared" si="29"/>
        <v>0</v>
      </c>
      <c r="M194" s="198">
        <f t="shared" si="29"/>
        <v>0</v>
      </c>
      <c r="N194" s="198">
        <f t="shared" si="29"/>
        <v>0</v>
      </c>
      <c r="O194" s="198">
        <f t="shared" si="29"/>
        <v>0</v>
      </c>
      <c r="P194" s="198">
        <f t="shared" si="29"/>
        <v>0</v>
      </c>
      <c r="Q194" s="198">
        <f t="shared" si="29"/>
        <v>0</v>
      </c>
      <c r="R194" s="198">
        <f t="shared" si="29"/>
        <v>0</v>
      </c>
      <c r="S194" s="198">
        <f t="shared" si="29"/>
        <v>0</v>
      </c>
      <c r="T194" s="198">
        <f t="shared" si="29"/>
        <v>0</v>
      </c>
      <c r="U194" s="198">
        <f t="shared" si="29"/>
        <v>0</v>
      </c>
      <c r="V194" s="198">
        <f t="shared" si="29"/>
        <v>0</v>
      </c>
      <c r="W194" s="198">
        <f t="shared" si="29"/>
        <v>0</v>
      </c>
      <c r="X194" s="198">
        <f t="shared" si="29"/>
        <v>0</v>
      </c>
      <c r="Y194" s="198">
        <f t="shared" si="29"/>
        <v>0</v>
      </c>
      <c r="Z194" s="198">
        <f t="shared" si="29"/>
        <v>0</v>
      </c>
      <c r="AA194" s="198">
        <f t="shared" si="29"/>
        <v>0</v>
      </c>
      <c r="AB194" s="198">
        <f t="shared" si="29"/>
        <v>0</v>
      </c>
      <c r="AC194" s="70"/>
      <c r="AD194" s="19"/>
      <c r="AE194" s="19"/>
      <c r="AF194" s="19"/>
      <c r="AG194" s="19"/>
    </row>
    <row r="195" spans="1:33" hidden="1" outlineLevel="3" x14ac:dyDescent="0.2">
      <c r="A195" s="19"/>
      <c r="B195" s="97">
        <v>20</v>
      </c>
      <c r="C195" s="506">
        <f t="shared" si="9"/>
        <v>0</v>
      </c>
      <c r="D195" s="505">
        <f t="shared" si="9"/>
        <v>0</v>
      </c>
      <c r="E195" s="505">
        <f t="shared" si="9"/>
        <v>0</v>
      </c>
      <c r="F195" s="58"/>
      <c r="G195" s="199">
        <f t="shared" si="10"/>
        <v>0</v>
      </c>
      <c r="H195" s="58"/>
      <c r="I195" s="198">
        <f t="shared" ref="I195:AB195" si="30">SUM(I96,I129,I162)</f>
        <v>0</v>
      </c>
      <c r="J195" s="198">
        <f t="shared" si="30"/>
        <v>0</v>
      </c>
      <c r="K195" s="198">
        <f t="shared" si="30"/>
        <v>0</v>
      </c>
      <c r="L195" s="198">
        <f t="shared" si="30"/>
        <v>0</v>
      </c>
      <c r="M195" s="198">
        <f t="shared" si="30"/>
        <v>0</v>
      </c>
      <c r="N195" s="198">
        <f t="shared" si="30"/>
        <v>0</v>
      </c>
      <c r="O195" s="198">
        <f t="shared" si="30"/>
        <v>0</v>
      </c>
      <c r="P195" s="198">
        <f t="shared" si="30"/>
        <v>0</v>
      </c>
      <c r="Q195" s="198">
        <f t="shared" si="30"/>
        <v>0</v>
      </c>
      <c r="R195" s="198">
        <f t="shared" si="30"/>
        <v>0</v>
      </c>
      <c r="S195" s="198">
        <f t="shared" si="30"/>
        <v>0</v>
      </c>
      <c r="T195" s="198">
        <f t="shared" si="30"/>
        <v>0</v>
      </c>
      <c r="U195" s="198">
        <f t="shared" si="30"/>
        <v>0</v>
      </c>
      <c r="V195" s="198">
        <f t="shared" si="30"/>
        <v>0</v>
      </c>
      <c r="W195" s="198">
        <f t="shared" si="30"/>
        <v>0</v>
      </c>
      <c r="X195" s="198">
        <f t="shared" si="30"/>
        <v>0</v>
      </c>
      <c r="Y195" s="198">
        <f t="shared" si="30"/>
        <v>0</v>
      </c>
      <c r="Z195" s="198">
        <f t="shared" si="30"/>
        <v>0</v>
      </c>
      <c r="AA195" s="198">
        <f t="shared" si="30"/>
        <v>0</v>
      </c>
      <c r="AB195" s="198">
        <f t="shared" si="30"/>
        <v>0</v>
      </c>
      <c r="AC195" s="70"/>
      <c r="AD195" s="19"/>
      <c r="AE195" s="19"/>
      <c r="AF195" s="19"/>
      <c r="AG195" s="19"/>
    </row>
    <row r="196" spans="1:33" hidden="1" outlineLevel="3" x14ac:dyDescent="0.2">
      <c r="A196" s="19"/>
      <c r="B196" s="97">
        <v>21</v>
      </c>
      <c r="C196" s="506">
        <f t="shared" si="9"/>
        <v>0</v>
      </c>
      <c r="D196" s="505">
        <f t="shared" si="9"/>
        <v>0</v>
      </c>
      <c r="E196" s="505">
        <f t="shared" si="9"/>
        <v>0</v>
      </c>
      <c r="F196" s="58"/>
      <c r="G196" s="199">
        <f t="shared" si="10"/>
        <v>0</v>
      </c>
      <c r="H196" s="58"/>
      <c r="I196" s="198">
        <f t="shared" ref="I196:AB196" si="31">SUM(I97,I130,I163)</f>
        <v>0</v>
      </c>
      <c r="J196" s="198">
        <f t="shared" si="31"/>
        <v>0</v>
      </c>
      <c r="K196" s="198">
        <f t="shared" si="31"/>
        <v>0</v>
      </c>
      <c r="L196" s="198">
        <f t="shared" si="31"/>
        <v>0</v>
      </c>
      <c r="M196" s="198">
        <f t="shared" si="31"/>
        <v>0</v>
      </c>
      <c r="N196" s="198">
        <f t="shared" si="31"/>
        <v>0</v>
      </c>
      <c r="O196" s="198">
        <f t="shared" si="31"/>
        <v>0</v>
      </c>
      <c r="P196" s="198">
        <f t="shared" si="31"/>
        <v>0</v>
      </c>
      <c r="Q196" s="198">
        <f t="shared" si="31"/>
        <v>0</v>
      </c>
      <c r="R196" s="198">
        <f t="shared" si="31"/>
        <v>0</v>
      </c>
      <c r="S196" s="198">
        <f t="shared" si="31"/>
        <v>0</v>
      </c>
      <c r="T196" s="198">
        <f t="shared" si="31"/>
        <v>0</v>
      </c>
      <c r="U196" s="198">
        <f t="shared" si="31"/>
        <v>0</v>
      </c>
      <c r="V196" s="198">
        <f t="shared" si="31"/>
        <v>0</v>
      </c>
      <c r="W196" s="198">
        <f t="shared" si="31"/>
        <v>0</v>
      </c>
      <c r="X196" s="198">
        <f t="shared" si="31"/>
        <v>0</v>
      </c>
      <c r="Y196" s="198">
        <f t="shared" si="31"/>
        <v>0</v>
      </c>
      <c r="Z196" s="198">
        <f t="shared" si="31"/>
        <v>0</v>
      </c>
      <c r="AA196" s="198">
        <f t="shared" si="31"/>
        <v>0</v>
      </c>
      <c r="AB196" s="198">
        <f t="shared" si="31"/>
        <v>0</v>
      </c>
      <c r="AC196" s="70"/>
      <c r="AD196" s="19"/>
      <c r="AE196" s="19"/>
      <c r="AF196" s="19"/>
      <c r="AG196" s="19"/>
    </row>
    <row r="197" spans="1:33" hidden="1" outlineLevel="3" x14ac:dyDescent="0.2">
      <c r="A197" s="19"/>
      <c r="B197" s="97">
        <v>22</v>
      </c>
      <c r="C197" s="506">
        <f t="shared" si="9"/>
        <v>0</v>
      </c>
      <c r="D197" s="505">
        <f t="shared" si="9"/>
        <v>0</v>
      </c>
      <c r="E197" s="505">
        <f t="shared" si="9"/>
        <v>0</v>
      </c>
      <c r="F197" s="58"/>
      <c r="G197" s="199">
        <f t="shared" si="10"/>
        <v>0</v>
      </c>
      <c r="H197" s="58"/>
      <c r="I197" s="198">
        <f t="shared" ref="I197:AB197" si="32">SUM(I98,I131,I164)</f>
        <v>0</v>
      </c>
      <c r="J197" s="198">
        <f t="shared" si="32"/>
        <v>0</v>
      </c>
      <c r="K197" s="198">
        <f t="shared" si="32"/>
        <v>0</v>
      </c>
      <c r="L197" s="198">
        <f t="shared" si="32"/>
        <v>0</v>
      </c>
      <c r="M197" s="198">
        <f t="shared" si="32"/>
        <v>0</v>
      </c>
      <c r="N197" s="198">
        <f t="shared" si="32"/>
        <v>0</v>
      </c>
      <c r="O197" s="198">
        <f t="shared" si="32"/>
        <v>0</v>
      </c>
      <c r="P197" s="198">
        <f t="shared" si="32"/>
        <v>0</v>
      </c>
      <c r="Q197" s="198">
        <f t="shared" si="32"/>
        <v>0</v>
      </c>
      <c r="R197" s="198">
        <f t="shared" si="32"/>
        <v>0</v>
      </c>
      <c r="S197" s="198">
        <f t="shared" si="32"/>
        <v>0</v>
      </c>
      <c r="T197" s="198">
        <f t="shared" si="32"/>
        <v>0</v>
      </c>
      <c r="U197" s="198">
        <f t="shared" si="32"/>
        <v>0</v>
      </c>
      <c r="V197" s="198">
        <f t="shared" si="32"/>
        <v>0</v>
      </c>
      <c r="W197" s="198">
        <f t="shared" si="32"/>
        <v>0</v>
      </c>
      <c r="X197" s="198">
        <f t="shared" si="32"/>
        <v>0</v>
      </c>
      <c r="Y197" s="198">
        <f t="shared" si="32"/>
        <v>0</v>
      </c>
      <c r="Z197" s="198">
        <f t="shared" si="32"/>
        <v>0</v>
      </c>
      <c r="AA197" s="198">
        <f t="shared" si="32"/>
        <v>0</v>
      </c>
      <c r="AB197" s="198">
        <f t="shared" si="32"/>
        <v>0</v>
      </c>
      <c r="AC197" s="70"/>
      <c r="AD197" s="19"/>
      <c r="AE197" s="19"/>
      <c r="AF197" s="19"/>
      <c r="AG197" s="19"/>
    </row>
    <row r="198" spans="1:33" hidden="1" outlineLevel="3" x14ac:dyDescent="0.2">
      <c r="A198" s="19"/>
      <c r="B198" s="98">
        <v>23</v>
      </c>
      <c r="C198" s="506">
        <f t="shared" si="9"/>
        <v>0</v>
      </c>
      <c r="D198" s="505">
        <f t="shared" si="9"/>
        <v>0</v>
      </c>
      <c r="E198" s="505">
        <f t="shared" si="9"/>
        <v>0</v>
      </c>
      <c r="F198" s="58"/>
      <c r="G198" s="199">
        <f t="shared" si="10"/>
        <v>0</v>
      </c>
      <c r="H198" s="58"/>
      <c r="I198" s="198">
        <f t="shared" ref="I198:AB198" si="33">SUM(I99,I132,I165)</f>
        <v>0</v>
      </c>
      <c r="J198" s="198">
        <f t="shared" si="33"/>
        <v>0</v>
      </c>
      <c r="K198" s="198">
        <f t="shared" si="33"/>
        <v>0</v>
      </c>
      <c r="L198" s="198">
        <f t="shared" si="33"/>
        <v>0</v>
      </c>
      <c r="M198" s="198">
        <f t="shared" si="33"/>
        <v>0</v>
      </c>
      <c r="N198" s="198">
        <f t="shared" si="33"/>
        <v>0</v>
      </c>
      <c r="O198" s="198">
        <f t="shared" si="33"/>
        <v>0</v>
      </c>
      <c r="P198" s="198">
        <f t="shared" si="33"/>
        <v>0</v>
      </c>
      <c r="Q198" s="198">
        <f t="shared" si="33"/>
        <v>0</v>
      </c>
      <c r="R198" s="198">
        <f t="shared" si="33"/>
        <v>0</v>
      </c>
      <c r="S198" s="198">
        <f t="shared" si="33"/>
        <v>0</v>
      </c>
      <c r="T198" s="198">
        <f t="shared" si="33"/>
        <v>0</v>
      </c>
      <c r="U198" s="198">
        <f t="shared" si="33"/>
        <v>0</v>
      </c>
      <c r="V198" s="198">
        <f t="shared" si="33"/>
        <v>0</v>
      </c>
      <c r="W198" s="198">
        <f t="shared" si="33"/>
        <v>0</v>
      </c>
      <c r="X198" s="198">
        <f t="shared" si="33"/>
        <v>0</v>
      </c>
      <c r="Y198" s="198">
        <f t="shared" si="33"/>
        <v>0</v>
      </c>
      <c r="Z198" s="198">
        <f t="shared" si="33"/>
        <v>0</v>
      </c>
      <c r="AA198" s="198">
        <f t="shared" si="33"/>
        <v>0</v>
      </c>
      <c r="AB198" s="198">
        <f t="shared" si="33"/>
        <v>0</v>
      </c>
      <c r="AC198" s="70"/>
      <c r="AD198" s="19"/>
      <c r="AE198" s="19"/>
      <c r="AF198" s="19"/>
      <c r="AG198" s="19"/>
    </row>
    <row r="199" spans="1:33" hidden="1" outlineLevel="3" x14ac:dyDescent="0.2">
      <c r="A199" s="19"/>
      <c r="B199" s="97">
        <v>24</v>
      </c>
      <c r="C199" s="506">
        <f t="shared" si="9"/>
        <v>0</v>
      </c>
      <c r="D199" s="505">
        <f t="shared" si="9"/>
        <v>0</v>
      </c>
      <c r="E199" s="505">
        <f t="shared" si="9"/>
        <v>0</v>
      </c>
      <c r="F199" s="58"/>
      <c r="G199" s="199">
        <f t="shared" si="10"/>
        <v>0</v>
      </c>
      <c r="H199" s="58"/>
      <c r="I199" s="198">
        <f t="shared" ref="I199:AB199" si="34">SUM(I100,I133,I166)</f>
        <v>0</v>
      </c>
      <c r="J199" s="198">
        <f t="shared" si="34"/>
        <v>0</v>
      </c>
      <c r="K199" s="198">
        <f t="shared" si="34"/>
        <v>0</v>
      </c>
      <c r="L199" s="198">
        <f t="shared" si="34"/>
        <v>0</v>
      </c>
      <c r="M199" s="198">
        <f t="shared" si="34"/>
        <v>0</v>
      </c>
      <c r="N199" s="198">
        <f t="shared" si="34"/>
        <v>0</v>
      </c>
      <c r="O199" s="198">
        <f t="shared" si="34"/>
        <v>0</v>
      </c>
      <c r="P199" s="198">
        <f t="shared" si="34"/>
        <v>0</v>
      </c>
      <c r="Q199" s="198">
        <f t="shared" si="34"/>
        <v>0</v>
      </c>
      <c r="R199" s="198">
        <f t="shared" si="34"/>
        <v>0</v>
      </c>
      <c r="S199" s="198">
        <f t="shared" si="34"/>
        <v>0</v>
      </c>
      <c r="T199" s="198">
        <f t="shared" si="34"/>
        <v>0</v>
      </c>
      <c r="U199" s="198">
        <f t="shared" si="34"/>
        <v>0</v>
      </c>
      <c r="V199" s="198">
        <f t="shared" si="34"/>
        <v>0</v>
      </c>
      <c r="W199" s="198">
        <f t="shared" si="34"/>
        <v>0</v>
      </c>
      <c r="X199" s="198">
        <f t="shared" si="34"/>
        <v>0</v>
      </c>
      <c r="Y199" s="198">
        <f t="shared" si="34"/>
        <v>0</v>
      </c>
      <c r="Z199" s="198">
        <f t="shared" si="34"/>
        <v>0</v>
      </c>
      <c r="AA199" s="198">
        <f t="shared" si="34"/>
        <v>0</v>
      </c>
      <c r="AB199" s="198">
        <f t="shared" si="34"/>
        <v>0</v>
      </c>
      <c r="AC199" s="70"/>
      <c r="AD199" s="19"/>
      <c r="AE199" s="19"/>
      <c r="AF199" s="19"/>
      <c r="AG199" s="19"/>
    </row>
    <row r="200" spans="1:33" hidden="1" outlineLevel="3" x14ac:dyDescent="0.2">
      <c r="A200" s="19"/>
      <c r="B200" s="97">
        <v>25</v>
      </c>
      <c r="C200" s="506">
        <f t="shared" si="9"/>
        <v>0</v>
      </c>
      <c r="D200" s="505">
        <f t="shared" si="9"/>
        <v>0</v>
      </c>
      <c r="E200" s="505">
        <f t="shared" si="9"/>
        <v>0</v>
      </c>
      <c r="F200" s="58"/>
      <c r="G200" s="199">
        <f t="shared" si="10"/>
        <v>0</v>
      </c>
      <c r="H200" s="58"/>
      <c r="I200" s="198">
        <f t="shared" ref="I200:AB200" si="35">SUM(I101,I134,I167)</f>
        <v>0</v>
      </c>
      <c r="J200" s="198">
        <f t="shared" si="35"/>
        <v>0</v>
      </c>
      <c r="K200" s="198">
        <f t="shared" si="35"/>
        <v>0</v>
      </c>
      <c r="L200" s="198">
        <f t="shared" si="35"/>
        <v>0</v>
      </c>
      <c r="M200" s="198">
        <f t="shared" si="35"/>
        <v>0</v>
      </c>
      <c r="N200" s="198">
        <f t="shared" si="35"/>
        <v>0</v>
      </c>
      <c r="O200" s="198">
        <f t="shared" si="35"/>
        <v>0</v>
      </c>
      <c r="P200" s="198">
        <f t="shared" si="35"/>
        <v>0</v>
      </c>
      <c r="Q200" s="198">
        <f t="shared" si="35"/>
        <v>0</v>
      </c>
      <c r="R200" s="198">
        <f t="shared" si="35"/>
        <v>0</v>
      </c>
      <c r="S200" s="198">
        <f t="shared" si="35"/>
        <v>0</v>
      </c>
      <c r="T200" s="198">
        <f t="shared" si="35"/>
        <v>0</v>
      </c>
      <c r="U200" s="198">
        <f t="shared" si="35"/>
        <v>0</v>
      </c>
      <c r="V200" s="198">
        <f t="shared" si="35"/>
        <v>0</v>
      </c>
      <c r="W200" s="198">
        <f t="shared" si="35"/>
        <v>0</v>
      </c>
      <c r="X200" s="198">
        <f t="shared" si="35"/>
        <v>0</v>
      </c>
      <c r="Y200" s="198">
        <f t="shared" si="35"/>
        <v>0</v>
      </c>
      <c r="Z200" s="198">
        <f t="shared" si="35"/>
        <v>0</v>
      </c>
      <c r="AA200" s="198">
        <f t="shared" si="35"/>
        <v>0</v>
      </c>
      <c r="AB200" s="198">
        <f t="shared" si="35"/>
        <v>0</v>
      </c>
      <c r="AC200" s="70"/>
      <c r="AD200" s="19"/>
      <c r="AE200" s="19"/>
      <c r="AF200" s="19"/>
      <c r="AG200" s="19"/>
    </row>
    <row r="201" spans="1:33" hidden="1" outlineLevel="3" x14ac:dyDescent="0.2">
      <c r="A201" s="19"/>
      <c r="B201" s="97">
        <v>26</v>
      </c>
      <c r="C201" s="506">
        <f t="shared" si="9"/>
        <v>0</v>
      </c>
      <c r="D201" s="505">
        <f t="shared" si="9"/>
        <v>0</v>
      </c>
      <c r="E201" s="505">
        <f t="shared" si="9"/>
        <v>0</v>
      </c>
      <c r="F201" s="58"/>
      <c r="G201" s="199">
        <f t="shared" si="10"/>
        <v>0</v>
      </c>
      <c r="H201" s="58"/>
      <c r="I201" s="198">
        <f t="shared" ref="I201:AB201" si="36">SUM(I102,I135,I168)</f>
        <v>0</v>
      </c>
      <c r="J201" s="198">
        <f t="shared" si="36"/>
        <v>0</v>
      </c>
      <c r="K201" s="198">
        <f t="shared" si="36"/>
        <v>0</v>
      </c>
      <c r="L201" s="198">
        <f t="shared" si="36"/>
        <v>0</v>
      </c>
      <c r="M201" s="198">
        <f t="shared" si="36"/>
        <v>0</v>
      </c>
      <c r="N201" s="198">
        <f t="shared" si="36"/>
        <v>0</v>
      </c>
      <c r="O201" s="198">
        <f t="shared" si="36"/>
        <v>0</v>
      </c>
      <c r="P201" s="198">
        <f t="shared" si="36"/>
        <v>0</v>
      </c>
      <c r="Q201" s="198">
        <f t="shared" si="36"/>
        <v>0</v>
      </c>
      <c r="R201" s="198">
        <f t="shared" si="36"/>
        <v>0</v>
      </c>
      <c r="S201" s="198">
        <f t="shared" si="36"/>
        <v>0</v>
      </c>
      <c r="T201" s="198">
        <f t="shared" si="36"/>
        <v>0</v>
      </c>
      <c r="U201" s="198">
        <f t="shared" si="36"/>
        <v>0</v>
      </c>
      <c r="V201" s="198">
        <f t="shared" si="36"/>
        <v>0</v>
      </c>
      <c r="W201" s="198">
        <f t="shared" si="36"/>
        <v>0</v>
      </c>
      <c r="X201" s="198">
        <f t="shared" si="36"/>
        <v>0</v>
      </c>
      <c r="Y201" s="198">
        <f t="shared" si="36"/>
        <v>0</v>
      </c>
      <c r="Z201" s="198">
        <f t="shared" si="36"/>
        <v>0</v>
      </c>
      <c r="AA201" s="198">
        <f t="shared" si="36"/>
        <v>0</v>
      </c>
      <c r="AB201" s="198">
        <f t="shared" si="36"/>
        <v>0</v>
      </c>
      <c r="AC201" s="70"/>
      <c r="AD201" s="19"/>
      <c r="AE201" s="19"/>
      <c r="AF201" s="19"/>
      <c r="AG201" s="19"/>
    </row>
    <row r="202" spans="1:33" hidden="1" outlineLevel="3" x14ac:dyDescent="0.2">
      <c r="A202" s="19"/>
      <c r="B202" s="97">
        <v>27</v>
      </c>
      <c r="C202" s="506">
        <f t="shared" si="9"/>
        <v>0</v>
      </c>
      <c r="D202" s="505">
        <f t="shared" si="9"/>
        <v>0</v>
      </c>
      <c r="E202" s="505">
        <f t="shared" si="9"/>
        <v>0</v>
      </c>
      <c r="F202" s="58"/>
      <c r="G202" s="199">
        <f t="shared" si="10"/>
        <v>0</v>
      </c>
      <c r="H202" s="58"/>
      <c r="I202" s="198">
        <f t="shared" ref="I202:AB202" si="37">SUM(I103,I136,I169)</f>
        <v>0</v>
      </c>
      <c r="J202" s="198">
        <f t="shared" si="37"/>
        <v>0</v>
      </c>
      <c r="K202" s="198">
        <f t="shared" si="37"/>
        <v>0</v>
      </c>
      <c r="L202" s="198">
        <f t="shared" si="37"/>
        <v>0</v>
      </c>
      <c r="M202" s="198">
        <f t="shared" si="37"/>
        <v>0</v>
      </c>
      <c r="N202" s="198">
        <f t="shared" si="37"/>
        <v>0</v>
      </c>
      <c r="O202" s="198">
        <f t="shared" si="37"/>
        <v>0</v>
      </c>
      <c r="P202" s="198">
        <f t="shared" si="37"/>
        <v>0</v>
      </c>
      <c r="Q202" s="198">
        <f t="shared" si="37"/>
        <v>0</v>
      </c>
      <c r="R202" s="198">
        <f t="shared" si="37"/>
        <v>0</v>
      </c>
      <c r="S202" s="198">
        <f t="shared" si="37"/>
        <v>0</v>
      </c>
      <c r="T202" s="198">
        <f t="shared" si="37"/>
        <v>0</v>
      </c>
      <c r="U202" s="198">
        <f t="shared" si="37"/>
        <v>0</v>
      </c>
      <c r="V202" s="198">
        <f t="shared" si="37"/>
        <v>0</v>
      </c>
      <c r="W202" s="198">
        <f t="shared" si="37"/>
        <v>0</v>
      </c>
      <c r="X202" s="198">
        <f t="shared" si="37"/>
        <v>0</v>
      </c>
      <c r="Y202" s="198">
        <f t="shared" si="37"/>
        <v>0</v>
      </c>
      <c r="Z202" s="198">
        <f t="shared" si="37"/>
        <v>0</v>
      </c>
      <c r="AA202" s="198">
        <f t="shared" si="37"/>
        <v>0</v>
      </c>
      <c r="AB202" s="198">
        <f t="shared" si="37"/>
        <v>0</v>
      </c>
      <c r="AC202" s="70"/>
      <c r="AD202" s="19"/>
      <c r="AE202" s="19"/>
      <c r="AF202" s="19"/>
      <c r="AG202" s="19"/>
    </row>
    <row r="203" spans="1:33" hidden="1" outlineLevel="3" x14ac:dyDescent="0.2">
      <c r="A203" s="19"/>
      <c r="B203" s="97">
        <v>28</v>
      </c>
      <c r="C203" s="506">
        <f t="shared" si="9"/>
        <v>0</v>
      </c>
      <c r="D203" s="505">
        <f t="shared" si="9"/>
        <v>0</v>
      </c>
      <c r="E203" s="505">
        <f t="shared" si="9"/>
        <v>0</v>
      </c>
      <c r="F203" s="58"/>
      <c r="G203" s="199">
        <f t="shared" si="10"/>
        <v>0</v>
      </c>
      <c r="H203" s="58"/>
      <c r="I203" s="198">
        <f t="shared" ref="I203:AB203" si="38">SUM(I104,I137,I170)</f>
        <v>0</v>
      </c>
      <c r="J203" s="198">
        <f t="shared" si="38"/>
        <v>0</v>
      </c>
      <c r="K203" s="198">
        <f t="shared" si="38"/>
        <v>0</v>
      </c>
      <c r="L203" s="198">
        <f t="shared" si="38"/>
        <v>0</v>
      </c>
      <c r="M203" s="198">
        <f t="shared" si="38"/>
        <v>0</v>
      </c>
      <c r="N203" s="198">
        <f t="shared" si="38"/>
        <v>0</v>
      </c>
      <c r="O203" s="198">
        <f t="shared" si="38"/>
        <v>0</v>
      </c>
      <c r="P203" s="198">
        <f t="shared" si="38"/>
        <v>0</v>
      </c>
      <c r="Q203" s="198">
        <f t="shared" si="38"/>
        <v>0</v>
      </c>
      <c r="R203" s="198">
        <f t="shared" si="38"/>
        <v>0</v>
      </c>
      <c r="S203" s="198">
        <f t="shared" si="38"/>
        <v>0</v>
      </c>
      <c r="T203" s="198">
        <f t="shared" si="38"/>
        <v>0</v>
      </c>
      <c r="U203" s="198">
        <f t="shared" si="38"/>
        <v>0</v>
      </c>
      <c r="V203" s="198">
        <f t="shared" si="38"/>
        <v>0</v>
      </c>
      <c r="W203" s="198">
        <f t="shared" si="38"/>
        <v>0</v>
      </c>
      <c r="X203" s="198">
        <f t="shared" si="38"/>
        <v>0</v>
      </c>
      <c r="Y203" s="198">
        <f t="shared" si="38"/>
        <v>0</v>
      </c>
      <c r="Z203" s="198">
        <f t="shared" si="38"/>
        <v>0</v>
      </c>
      <c r="AA203" s="198">
        <f t="shared" si="38"/>
        <v>0</v>
      </c>
      <c r="AB203" s="198">
        <f t="shared" si="38"/>
        <v>0</v>
      </c>
      <c r="AC203" s="70"/>
      <c r="AD203" s="19"/>
      <c r="AE203" s="19"/>
      <c r="AF203" s="19"/>
      <c r="AG203" s="19"/>
    </row>
    <row r="204" spans="1:33" hidden="1" outlineLevel="3" x14ac:dyDescent="0.2">
      <c r="A204" s="19"/>
      <c r="B204" s="97">
        <v>29</v>
      </c>
      <c r="C204" s="506">
        <f t="shared" si="9"/>
        <v>0</v>
      </c>
      <c r="D204" s="505">
        <f t="shared" si="9"/>
        <v>0</v>
      </c>
      <c r="E204" s="505">
        <f t="shared" si="9"/>
        <v>0</v>
      </c>
      <c r="F204" s="58"/>
      <c r="G204" s="199">
        <f t="shared" si="10"/>
        <v>0</v>
      </c>
      <c r="H204" s="58"/>
      <c r="I204" s="198">
        <f t="shared" ref="I204:AB204" si="39">SUM(I105,I138,I171)</f>
        <v>0</v>
      </c>
      <c r="J204" s="198">
        <f t="shared" si="39"/>
        <v>0</v>
      </c>
      <c r="K204" s="198">
        <f t="shared" si="39"/>
        <v>0</v>
      </c>
      <c r="L204" s="198">
        <f t="shared" si="39"/>
        <v>0</v>
      </c>
      <c r="M204" s="198">
        <f t="shared" si="39"/>
        <v>0</v>
      </c>
      <c r="N204" s="198">
        <f t="shared" si="39"/>
        <v>0</v>
      </c>
      <c r="O204" s="198">
        <f t="shared" si="39"/>
        <v>0</v>
      </c>
      <c r="P204" s="198">
        <f t="shared" si="39"/>
        <v>0</v>
      </c>
      <c r="Q204" s="198">
        <f t="shared" si="39"/>
        <v>0</v>
      </c>
      <c r="R204" s="198">
        <f t="shared" si="39"/>
        <v>0</v>
      </c>
      <c r="S204" s="198">
        <f t="shared" si="39"/>
        <v>0</v>
      </c>
      <c r="T204" s="198">
        <f t="shared" si="39"/>
        <v>0</v>
      </c>
      <c r="U204" s="198">
        <f t="shared" si="39"/>
        <v>0</v>
      </c>
      <c r="V204" s="198">
        <f t="shared" si="39"/>
        <v>0</v>
      </c>
      <c r="W204" s="198">
        <f t="shared" si="39"/>
        <v>0</v>
      </c>
      <c r="X204" s="198">
        <f t="shared" si="39"/>
        <v>0</v>
      </c>
      <c r="Y204" s="198">
        <f t="shared" si="39"/>
        <v>0</v>
      </c>
      <c r="Z204" s="198">
        <f t="shared" si="39"/>
        <v>0</v>
      </c>
      <c r="AA204" s="198">
        <f t="shared" si="39"/>
        <v>0</v>
      </c>
      <c r="AB204" s="198">
        <f t="shared" si="39"/>
        <v>0</v>
      </c>
      <c r="AC204" s="70"/>
      <c r="AD204" s="19"/>
      <c r="AE204" s="19"/>
      <c r="AF204" s="19"/>
      <c r="AG204" s="19"/>
    </row>
    <row r="205" spans="1:33" hidden="1" outlineLevel="3" x14ac:dyDescent="0.2">
      <c r="A205" s="19"/>
      <c r="B205" s="98">
        <v>30</v>
      </c>
      <c r="C205" s="506">
        <f t="shared" si="9"/>
        <v>0</v>
      </c>
      <c r="D205" s="505">
        <f t="shared" si="9"/>
        <v>0</v>
      </c>
      <c r="E205" s="505">
        <f t="shared" si="9"/>
        <v>0</v>
      </c>
      <c r="F205" s="58"/>
      <c r="G205" s="199">
        <f t="shared" si="10"/>
        <v>0</v>
      </c>
      <c r="H205" s="58"/>
      <c r="I205" s="198">
        <f t="shared" ref="I205:AB205" si="40">SUM(I106,I139,I172)</f>
        <v>0</v>
      </c>
      <c r="J205" s="198">
        <f t="shared" si="40"/>
        <v>0</v>
      </c>
      <c r="K205" s="198">
        <f t="shared" si="40"/>
        <v>0</v>
      </c>
      <c r="L205" s="198">
        <f t="shared" si="40"/>
        <v>0</v>
      </c>
      <c r="M205" s="198">
        <f t="shared" si="40"/>
        <v>0</v>
      </c>
      <c r="N205" s="198">
        <f t="shared" si="40"/>
        <v>0</v>
      </c>
      <c r="O205" s="198">
        <f t="shared" si="40"/>
        <v>0</v>
      </c>
      <c r="P205" s="198">
        <f t="shared" si="40"/>
        <v>0</v>
      </c>
      <c r="Q205" s="198">
        <f t="shared" si="40"/>
        <v>0</v>
      </c>
      <c r="R205" s="198">
        <f t="shared" si="40"/>
        <v>0</v>
      </c>
      <c r="S205" s="198">
        <f t="shared" si="40"/>
        <v>0</v>
      </c>
      <c r="T205" s="198">
        <f t="shared" si="40"/>
        <v>0</v>
      </c>
      <c r="U205" s="198">
        <f t="shared" si="40"/>
        <v>0</v>
      </c>
      <c r="V205" s="198">
        <f t="shared" si="40"/>
        <v>0</v>
      </c>
      <c r="W205" s="198">
        <f t="shared" si="40"/>
        <v>0</v>
      </c>
      <c r="X205" s="198">
        <f t="shared" si="40"/>
        <v>0</v>
      </c>
      <c r="Y205" s="198">
        <f t="shared" si="40"/>
        <v>0</v>
      </c>
      <c r="Z205" s="198">
        <f t="shared" si="40"/>
        <v>0</v>
      </c>
      <c r="AA205" s="198">
        <f t="shared" si="40"/>
        <v>0</v>
      </c>
      <c r="AB205" s="198">
        <f t="shared" si="40"/>
        <v>0</v>
      </c>
      <c r="AC205" s="70"/>
      <c r="AD205" s="19"/>
      <c r="AE205" s="19"/>
      <c r="AF205" s="19"/>
      <c r="AG205" s="19"/>
    </row>
    <row r="206" spans="1:33" outlineLevel="2" collapsed="1" x14ac:dyDescent="0.2">
      <c r="A206" s="19"/>
      <c r="B206" s="19"/>
      <c r="C206" s="560"/>
      <c r="D206" s="558"/>
      <c r="E206" s="559"/>
      <c r="F206" s="58"/>
      <c r="G206" s="58"/>
      <c r="H206" s="58"/>
      <c r="I206" s="137"/>
      <c r="J206" s="137"/>
      <c r="K206" s="138"/>
      <c r="L206" s="138"/>
      <c r="M206" s="138"/>
      <c r="N206" s="139"/>
      <c r="O206" s="139"/>
      <c r="P206" s="139"/>
      <c r="Q206" s="139"/>
      <c r="R206" s="139"/>
      <c r="S206" s="138"/>
      <c r="T206" s="138"/>
      <c r="U206" s="138"/>
      <c r="V206" s="70"/>
      <c r="W206" s="70"/>
      <c r="X206" s="70"/>
      <c r="Y206" s="70"/>
      <c r="Z206" s="70"/>
      <c r="AA206" s="70"/>
      <c r="AB206" s="70"/>
      <c r="AC206" s="70"/>
      <c r="AD206" s="19"/>
      <c r="AE206" s="19"/>
      <c r="AF206" s="19"/>
      <c r="AG206" s="19"/>
    </row>
    <row r="207" spans="1:33" outlineLevel="1" x14ac:dyDescent="0.2">
      <c r="A207" s="19"/>
      <c r="B207" s="19"/>
      <c r="C207" s="66"/>
      <c r="D207" s="66"/>
      <c r="E207" s="58"/>
      <c r="F207" s="58"/>
      <c r="G207" s="58"/>
      <c r="H207" s="58"/>
      <c r="I207" s="137"/>
      <c r="J207" s="137"/>
      <c r="K207" s="138"/>
      <c r="L207" s="138"/>
      <c r="M207" s="138"/>
      <c r="N207" s="139"/>
      <c r="O207" s="139"/>
      <c r="P207" s="139"/>
      <c r="Q207" s="139"/>
      <c r="R207" s="139"/>
      <c r="S207" s="138"/>
      <c r="T207" s="138"/>
      <c r="U207" s="138"/>
      <c r="V207" s="70"/>
      <c r="W207" s="70"/>
      <c r="X207" s="70"/>
      <c r="Y207" s="70"/>
      <c r="Z207" s="70"/>
      <c r="AA207" s="70"/>
      <c r="AB207" s="70"/>
      <c r="AC207" s="70"/>
      <c r="AD207" s="19"/>
      <c r="AE207" s="19"/>
      <c r="AF207" s="19"/>
      <c r="AG207" s="19"/>
    </row>
    <row r="208" spans="1:33" x14ac:dyDescent="0.2">
      <c r="A208" s="19"/>
      <c r="B208" s="19"/>
      <c r="C208" s="36"/>
      <c r="D208" s="36"/>
      <c r="E208" s="20"/>
      <c r="F208" s="20"/>
      <c r="G208" s="22"/>
      <c r="H208" s="22"/>
      <c r="I208" s="22"/>
      <c r="J208" s="20"/>
      <c r="K208" s="20"/>
      <c r="L208" s="20"/>
      <c r="M208" s="20"/>
      <c r="N208" s="37"/>
      <c r="O208" s="37"/>
      <c r="P208" s="37"/>
      <c r="Q208" s="37"/>
      <c r="R208" s="37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</row>
    <row r="209" spans="1:33" ht="12.75" x14ac:dyDescent="0.2">
      <c r="A209" s="11"/>
      <c r="B209" s="12" t="str">
        <f>"Calculation table 33 | "&amp;forecastyear&amp;" Network costs - small business"</f>
        <v>Calculation table 33 | 2022–23 Network costs - small business</v>
      </c>
      <c r="C209" s="11"/>
      <c r="D209" s="32" t="str">
        <f>D5</f>
        <v>Block?</v>
      </c>
      <c r="E209" s="32" t="str">
        <f>E5</f>
        <v>TOU?</v>
      </c>
      <c r="F209" s="32"/>
      <c r="G209" s="169" t="str">
        <f>G74</f>
        <v>Total</v>
      </c>
      <c r="H209" s="33"/>
      <c r="I209" s="169" t="str">
        <f t="shared" ref="I209:AB209" si="41">I5</f>
        <v>Service</v>
      </c>
      <c r="J209" s="169" t="str">
        <f t="shared" si="41"/>
        <v>All energy</v>
      </c>
      <c r="K209" s="169" t="str">
        <f t="shared" si="41"/>
        <v>Peak energy</v>
      </c>
      <c r="L209" s="169" t="str">
        <f t="shared" si="41"/>
        <v>Shoulder energy</v>
      </c>
      <c r="M209" s="169" t="str">
        <f t="shared" si="41"/>
        <v>Off-peak energy</v>
      </c>
      <c r="N209" s="169">
        <f t="shared" si="41"/>
        <v>0</v>
      </c>
      <c r="O209" s="169">
        <f t="shared" si="41"/>
        <v>0</v>
      </c>
      <c r="P209" s="169">
        <f t="shared" si="41"/>
        <v>0</v>
      </c>
      <c r="Q209" s="169">
        <f t="shared" si="41"/>
        <v>0</v>
      </c>
      <c r="R209" s="169">
        <f t="shared" si="41"/>
        <v>0</v>
      </c>
      <c r="S209" s="169">
        <f t="shared" si="41"/>
        <v>0</v>
      </c>
      <c r="T209" s="169">
        <f t="shared" si="41"/>
        <v>0</v>
      </c>
      <c r="U209" s="169">
        <f t="shared" si="41"/>
        <v>0</v>
      </c>
      <c r="V209" s="169">
        <f t="shared" si="41"/>
        <v>0</v>
      </c>
      <c r="W209" s="169">
        <f t="shared" si="41"/>
        <v>0</v>
      </c>
      <c r="X209" s="169">
        <f t="shared" si="41"/>
        <v>0</v>
      </c>
      <c r="Y209" s="169">
        <f t="shared" si="41"/>
        <v>0</v>
      </c>
      <c r="Z209" s="169">
        <f t="shared" si="41"/>
        <v>0</v>
      </c>
      <c r="AA209" s="169">
        <f t="shared" si="41"/>
        <v>0</v>
      </c>
      <c r="AB209" s="169">
        <f t="shared" si="41"/>
        <v>0</v>
      </c>
      <c r="AC209" s="64"/>
      <c r="AD209" s="15"/>
      <c r="AE209" s="15"/>
      <c r="AF209" s="15"/>
      <c r="AG209" s="15"/>
    </row>
    <row r="210" spans="1:33" outlineLevel="1" x14ac:dyDescent="0.2">
      <c r="A210" s="19"/>
      <c r="B210" s="19"/>
      <c r="C210" s="36"/>
      <c r="D210" s="36"/>
      <c r="E210" s="20"/>
      <c r="F210" s="20"/>
      <c r="G210" s="22" t="str">
        <f>G75</f>
        <v>$dollars</v>
      </c>
      <c r="H210" s="22"/>
      <c r="I210" s="170" t="str">
        <f t="shared" ref="I210:AB210" si="42">I6</f>
        <v>$dollars</v>
      </c>
      <c r="J210" s="170" t="str">
        <f t="shared" si="42"/>
        <v>$dollars</v>
      </c>
      <c r="K210" s="170" t="str">
        <f t="shared" si="42"/>
        <v>$dollars</v>
      </c>
      <c r="L210" s="170" t="str">
        <f t="shared" si="42"/>
        <v>$dollars</v>
      </c>
      <c r="M210" s="170" t="str">
        <f t="shared" si="42"/>
        <v>$dollars</v>
      </c>
      <c r="N210" s="170">
        <f t="shared" si="42"/>
        <v>0</v>
      </c>
      <c r="O210" s="170">
        <f t="shared" si="42"/>
        <v>0</v>
      </c>
      <c r="P210" s="170">
        <f t="shared" si="42"/>
        <v>0</v>
      </c>
      <c r="Q210" s="170">
        <f t="shared" si="42"/>
        <v>0</v>
      </c>
      <c r="R210" s="170">
        <f t="shared" si="42"/>
        <v>0</v>
      </c>
      <c r="S210" s="170">
        <f t="shared" si="42"/>
        <v>0</v>
      </c>
      <c r="T210" s="170">
        <f t="shared" si="42"/>
        <v>0</v>
      </c>
      <c r="U210" s="170">
        <f t="shared" si="42"/>
        <v>0</v>
      </c>
      <c r="V210" s="170">
        <f t="shared" si="42"/>
        <v>0</v>
      </c>
      <c r="W210" s="170">
        <f t="shared" si="42"/>
        <v>0</v>
      </c>
      <c r="X210" s="170">
        <f t="shared" si="42"/>
        <v>0</v>
      </c>
      <c r="Y210" s="170">
        <f t="shared" si="42"/>
        <v>0</v>
      </c>
      <c r="Z210" s="170">
        <f t="shared" si="42"/>
        <v>0</v>
      </c>
      <c r="AA210" s="170">
        <f t="shared" si="42"/>
        <v>0</v>
      </c>
      <c r="AB210" s="170">
        <f t="shared" si="42"/>
        <v>0</v>
      </c>
      <c r="AC210" s="19"/>
      <c r="AD210" s="19"/>
      <c r="AE210" s="19"/>
      <c r="AF210" s="19"/>
      <c r="AG210" s="19"/>
    </row>
    <row r="211" spans="1:33" outlineLevel="1" x14ac:dyDescent="0.2">
      <c r="A211" s="19"/>
      <c r="B211" s="19"/>
      <c r="C211" s="167" t="str">
        <f>C76</f>
        <v>Distribution</v>
      </c>
      <c r="D211" s="167"/>
      <c r="E211" s="20"/>
      <c r="F211" s="20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19"/>
      <c r="AD211" s="19"/>
      <c r="AE211" s="19"/>
      <c r="AF211" s="19"/>
      <c r="AG211" s="19"/>
    </row>
    <row r="212" spans="1:33" outlineLevel="2" x14ac:dyDescent="0.2">
      <c r="A212" s="19"/>
      <c r="B212" s="97">
        <v>1</v>
      </c>
      <c r="C212" s="506" t="str">
        <f t="shared" ref="C212:E241" si="43">C42</f>
        <v>Small business time of use consumption</v>
      </c>
      <c r="D212" s="505">
        <f t="shared" si="43"/>
        <v>0</v>
      </c>
      <c r="E212" s="505" t="str">
        <f t="shared" si="43"/>
        <v>yes</v>
      </c>
      <c r="F212" s="20"/>
      <c r="G212" s="199">
        <f t="shared" ref="G212:G241" si="44">SUM(I212:AB212)</f>
        <v>3420.9570648009762</v>
      </c>
      <c r="H212" s="22"/>
      <c r="I212" s="198">
        <f>_xlfn.IFNA(IF(I$7="Fixed",1,IF(AND($D77="yes",I$7="Block"),INDEX($O719:$Q719,1,MATCH(I$5,$I42:$K42,0)),INDEX(Movements!$G719:$M719,1,MATCH(I$7,Movements!$G$716:$M$716,0))))
*I923*I$8,0)</f>
        <v>259.06239999999997</v>
      </c>
      <c r="J212" s="198">
        <f>_xlfn.IFNA(IF(J$7="Fixed",1,IF(AND($D77="yes",J$7="Block"),INDEX($O719:$Q719,1,MATCH(J$5,$I42:$K42,0)),INDEX(Movements!$G719:$M719,1,MATCH(J$7,Movements!$G$716:$M$716,0))))
*J923*J$8,0)</f>
        <v>0</v>
      </c>
      <c r="K212" s="198">
        <f>_xlfn.IFNA(IF(K$7="Fixed",1,IF(AND($D77="yes",K$7="Block"),INDEX($O719:$Q719,1,MATCH(K$5,$I42:$K42,0)),INDEX(Movements!$G719:$M719,1,MATCH(K$7,Movements!$G$716:$M$716,0))))
*K923*K$8,0)</f>
        <v>2581.8937316116835</v>
      </c>
      <c r="L212" s="198">
        <f>_xlfn.IFNA(IF(L$7="Fixed",1,IF(AND($D77="yes",L$7="Block"),INDEX($O719:$Q719,1,MATCH(L$5,$I42:$K42,0)),INDEX(Movements!$G719:$M719,1,MATCH(L$7,Movements!$G$716:$M$716,0))))
*L923*L$8,0)</f>
        <v>388.77243423674679</v>
      </c>
      <c r="M212" s="198">
        <f>_xlfn.IFNA(IF(M$7="Fixed",1,IF(AND($D77="yes",M$7="Block"),INDEX($O719:$Q719,1,MATCH(M$5,$I42:$K42,0)),INDEX(Movements!$G719:$M719,1,MATCH(M$7,Movements!$G$716:$M$716,0))))
*M923*M$8,0)</f>
        <v>191.228498952546</v>
      </c>
      <c r="N212" s="198">
        <f>_xlfn.IFNA(IF(N$7="Fixed",1,IF(AND($D77="yes",N$7="Block"),INDEX($O719:$Q719,1,MATCH(N$5,$I42:$K42,0)),INDEX(Movements!$G719:$M719,1,MATCH(N$7,Movements!$G$716:$M$716,0))))
*N923*N$8,0)</f>
        <v>0</v>
      </c>
      <c r="O212" s="198">
        <f>_xlfn.IFNA(IF(O$7="Fixed",1,IF(AND($D77="yes",O$7="Block"),INDEX($O719:$Q719,1,MATCH(O$5,$I42:$K42,0)),INDEX(Movements!$G719:$M719,1,MATCH(O$7,Movements!$G$716:$M$716,0))))
*O923*O$8,0)</f>
        <v>0</v>
      </c>
      <c r="P212" s="198">
        <f>_xlfn.IFNA(IF(P$7="Fixed",1,IF(AND($D77="yes",P$7="Block"),INDEX($O719:$Q719,1,MATCH(P$5,$I42:$K42,0)),INDEX(Movements!$G719:$M719,1,MATCH(P$7,Movements!$G$716:$M$716,0))))
*P923*P$8,0)</f>
        <v>0</v>
      </c>
      <c r="Q212" s="198">
        <f>_xlfn.IFNA(IF(Q$7="Fixed",1,IF(AND($D77="yes",Q$7="Block"),INDEX($O719:$Q719,1,MATCH(Q$5,$I42:$K42,0)),INDEX(Movements!$G719:$M719,1,MATCH(Q$7,Movements!$G$716:$M$716,0))))
*Q923*Q$8,0)</f>
        <v>0</v>
      </c>
      <c r="R212" s="198">
        <f>_xlfn.IFNA(IF(R$7="Fixed",1,IF(AND($D77="yes",R$7="Block"),INDEX($O719:$Q719,1,MATCH(R$5,$I42:$K42,0)),INDEX(Movements!$G719:$M719,1,MATCH(R$7,Movements!$G$716:$M$716,0))))
*R923*R$8,0)</f>
        <v>0</v>
      </c>
      <c r="S212" s="198">
        <f>_xlfn.IFNA(IF(S$7="Fixed",1,IF(AND($D77="yes",S$7="Block"),INDEX($O719:$Q719,1,MATCH(S$5,$I42:$K42,0)),INDEX(Movements!$G719:$M719,1,MATCH(S$7,Movements!$G$716:$M$716,0))))
*S923*S$8,0)</f>
        <v>0</v>
      </c>
      <c r="T212" s="198">
        <f>_xlfn.IFNA(IF(T$7="Fixed",1,IF(AND($D77="yes",T$7="Block"),INDEX($O719:$Q719,1,MATCH(T$5,$I42:$K42,0)),INDEX(Movements!$G719:$M719,1,MATCH(T$7,Movements!$G$716:$M$716,0))))
*T923*T$8,0)</f>
        <v>0</v>
      </c>
      <c r="U212" s="198">
        <f>_xlfn.IFNA(IF(U$7="Fixed",1,IF(AND($D77="yes",U$7="Block"),INDEX($O719:$Q719,1,MATCH(U$5,$I42:$K42,0)),INDEX(Movements!$G719:$M719,1,MATCH(U$7,Movements!$G$716:$M$716,0))))
*U923*U$8,0)</f>
        <v>0</v>
      </c>
      <c r="V212" s="198">
        <f>_xlfn.IFNA(IF(V$7="Fixed",1,IF(AND($D77="yes",V$7="Block"),INDEX($O719:$Q719,1,MATCH(V$5,$I42:$K42,0)),INDEX(Movements!$G719:$M719,1,MATCH(V$7,Movements!$G$716:$M$716,0))))
*V923*V$8,0)</f>
        <v>0</v>
      </c>
      <c r="W212" s="198">
        <f>_xlfn.IFNA(IF(W$7="Fixed",1,IF(AND($D77="yes",W$7="Block"),INDEX($O719:$Q719,1,MATCH(W$5,$I42:$K42,0)),INDEX(Movements!$G719:$M719,1,MATCH(W$7,Movements!$G$716:$M$716,0))))
*W923*W$8,0)</f>
        <v>0</v>
      </c>
      <c r="X212" s="198">
        <f>_xlfn.IFNA(IF(X$7="Fixed",1,IF(AND($D77="yes",X$7="Block"),INDEX($O719:$Q719,1,MATCH(X$5,$I42:$K42,0)),INDEX(Movements!$G719:$M719,1,MATCH(X$7,Movements!$G$716:$M$716,0))))
*X923*X$8,0)</f>
        <v>0</v>
      </c>
      <c r="Y212" s="198">
        <f>_xlfn.IFNA(IF(Y$7="Fixed",1,IF(AND($D77="yes",Y$7="Block"),INDEX($O719:$Q719,1,MATCH(Y$5,$I42:$K42,0)),INDEX(Movements!$G719:$M719,1,MATCH(Y$7,Movements!$G$716:$M$716,0))))
*Y923*Y$8,0)</f>
        <v>0</v>
      </c>
      <c r="Z212" s="198">
        <f>_xlfn.IFNA(IF(Z$7="Fixed",1,IF(AND($D77="yes",Z$7="Block"),INDEX($O719:$Q719,1,MATCH(Z$5,$I42:$K42,0)),INDEX(Movements!$G719:$M719,1,MATCH(Z$7,Movements!$G$716:$M$716,0))))
*Z923*Z$8,0)</f>
        <v>0</v>
      </c>
      <c r="AA212" s="198">
        <f>_xlfn.IFNA(IF(AA$7="Fixed",1,IF(AND($D77="yes",AA$7="Block"),INDEX($O719:$Q719,1,MATCH(AA$5,$I42:$K42,0)),INDEX(Movements!$G719:$M719,1,MATCH(AA$7,Movements!$G$716:$M$716,0))))
*AA923*AA$8,0)</f>
        <v>0</v>
      </c>
      <c r="AB212" s="198">
        <f>_xlfn.IFNA(IF(AB$7="Fixed",1,IF(AND($D77="yes",AB$7="Block"),INDEX($O719:$Q719,1,MATCH(AB$5,$I42:$K42,0)),INDEX(Movements!$G719:$M719,1,MATCH(AB$7,Movements!$G$716:$M$716,0))))
*AB923*AB$8,0)</f>
        <v>0</v>
      </c>
      <c r="AC212" s="70"/>
      <c r="AD212" s="19"/>
      <c r="AE212" s="19"/>
      <c r="AF212" s="19"/>
      <c r="AG212" s="19"/>
    </row>
    <row r="213" spans="1:33" s="59" customFormat="1" outlineLevel="2" x14ac:dyDescent="0.2">
      <c r="A213" s="57"/>
      <c r="B213" s="98">
        <v>2</v>
      </c>
      <c r="C213" s="506" t="str">
        <f t="shared" si="43"/>
        <v>Small business general light and power</v>
      </c>
      <c r="D213" s="505">
        <f t="shared" si="43"/>
        <v>0</v>
      </c>
      <c r="E213" s="505" t="str">
        <f t="shared" si="43"/>
        <v>no</v>
      </c>
      <c r="F213" s="58"/>
      <c r="G213" s="199">
        <f t="shared" si="44"/>
        <v>840.50511877509916</v>
      </c>
      <c r="H213" s="58"/>
      <c r="I213" s="198">
        <f>_xlfn.IFNA(IF(I$7="Fixed",1,IF(AND($D78="yes",I$7="Block"),INDEX($O720:$Q720,1,MATCH(I$5,$I43:$K43,0)),INDEX(Movements!$G720:$M720,1,MATCH(I$7,Movements!$G$716:$M$716,0))))
*I924*I$8,0)</f>
        <v>196.95400000000001</v>
      </c>
      <c r="J213" s="198">
        <f>_xlfn.IFNA(IF(J$7="Fixed",1,IF(AND($D78="yes",J$7="Block"),INDEX($O720:$Q720,1,MATCH(J$5,$I43:$K43,0)),INDEX(Movements!$G720:$M720,1,MATCH(J$7,Movements!$G$716:$M$716,0))))
*J924*J$8,0)</f>
        <v>643.5511187750991</v>
      </c>
      <c r="K213" s="198">
        <f>_xlfn.IFNA(IF(K$7="Fixed",1,IF(AND($D78="yes",K$7="Block"),INDEX($O720:$Q720,1,MATCH(K$5,$I43:$K43,0)),INDEX(Movements!$G720:$M720,1,MATCH(K$7,Movements!$G$716:$M$716,0))))
*K924*K$8,0)</f>
        <v>0</v>
      </c>
      <c r="L213" s="198">
        <f>_xlfn.IFNA(IF(L$7="Fixed",1,IF(AND($D78="yes",L$7="Block"),INDEX($O720:$Q720,1,MATCH(L$5,$I43:$K43,0)),INDEX(Movements!$G720:$M720,1,MATCH(L$7,Movements!$G$716:$M$716,0))))
*L924*L$8,0)</f>
        <v>0</v>
      </c>
      <c r="M213" s="198">
        <f>_xlfn.IFNA(IF(M$7="Fixed",1,IF(AND($D78="yes",M$7="Block"),INDEX($O720:$Q720,1,MATCH(M$5,$I43:$K43,0)),INDEX(Movements!$G720:$M720,1,MATCH(M$7,Movements!$G$716:$M$716,0))))
*M924*M$8,0)</f>
        <v>0</v>
      </c>
      <c r="N213" s="198">
        <f>_xlfn.IFNA(IF(N$7="Fixed",1,IF(AND($D78="yes",N$7="Block"),INDEX($O720:$Q720,1,MATCH(N$5,$I43:$K43,0)),INDEX(Movements!$G720:$M720,1,MATCH(N$7,Movements!$G$716:$M$716,0))))
*N924*N$8,0)</f>
        <v>0</v>
      </c>
      <c r="O213" s="198">
        <f>_xlfn.IFNA(IF(O$7="Fixed",1,IF(AND($D78="yes",O$7="Block"),INDEX($O720:$Q720,1,MATCH(O$5,$I43:$K43,0)),INDEX(Movements!$G720:$M720,1,MATCH(O$7,Movements!$G$716:$M$716,0))))
*O924*O$8,0)</f>
        <v>0</v>
      </c>
      <c r="P213" s="198">
        <f>_xlfn.IFNA(IF(P$7="Fixed",1,IF(AND($D78="yes",P$7="Block"),INDEX($O720:$Q720,1,MATCH(P$5,$I43:$K43,0)),INDEX(Movements!$G720:$M720,1,MATCH(P$7,Movements!$G$716:$M$716,0))))
*P924*P$8,0)</f>
        <v>0</v>
      </c>
      <c r="Q213" s="198">
        <f>_xlfn.IFNA(IF(Q$7="Fixed",1,IF(AND($D78="yes",Q$7="Block"),INDEX($O720:$Q720,1,MATCH(Q$5,$I43:$K43,0)),INDEX(Movements!$G720:$M720,1,MATCH(Q$7,Movements!$G$716:$M$716,0))))
*Q924*Q$8,0)</f>
        <v>0</v>
      </c>
      <c r="R213" s="198">
        <f>_xlfn.IFNA(IF(R$7="Fixed",1,IF(AND($D78="yes",R$7="Block"),INDEX($O720:$Q720,1,MATCH(R$5,$I43:$K43,0)),INDEX(Movements!$G720:$M720,1,MATCH(R$7,Movements!$G$716:$M$716,0))))
*R924*R$8,0)</f>
        <v>0</v>
      </c>
      <c r="S213" s="198">
        <f>_xlfn.IFNA(IF(S$7="Fixed",1,IF(AND($D78="yes",S$7="Block"),INDEX($O720:$Q720,1,MATCH(S$5,$I43:$K43,0)),INDEX(Movements!$G720:$M720,1,MATCH(S$7,Movements!$G$716:$M$716,0))))
*S924*S$8,0)</f>
        <v>0</v>
      </c>
      <c r="T213" s="198">
        <f>_xlfn.IFNA(IF(T$7="Fixed",1,IF(AND($D78="yes",T$7="Block"),INDEX($O720:$Q720,1,MATCH(T$5,$I43:$K43,0)),INDEX(Movements!$G720:$M720,1,MATCH(T$7,Movements!$G$716:$M$716,0))))
*T924*T$8,0)</f>
        <v>0</v>
      </c>
      <c r="U213" s="198">
        <f>_xlfn.IFNA(IF(U$7="Fixed",1,IF(AND($D78="yes",U$7="Block"),INDEX($O720:$Q720,1,MATCH(U$5,$I43:$K43,0)),INDEX(Movements!$G720:$M720,1,MATCH(U$7,Movements!$G$716:$M$716,0))))
*U924*U$8,0)</f>
        <v>0</v>
      </c>
      <c r="V213" s="198">
        <f>_xlfn.IFNA(IF(V$7="Fixed",1,IF(AND($D78="yes",V$7="Block"),INDEX($O720:$Q720,1,MATCH(V$5,$I43:$K43,0)),INDEX(Movements!$G720:$M720,1,MATCH(V$7,Movements!$G$716:$M$716,0))))
*V924*V$8,0)</f>
        <v>0</v>
      </c>
      <c r="W213" s="198">
        <f>_xlfn.IFNA(IF(W$7="Fixed",1,IF(AND($D78="yes",W$7="Block"),INDEX($O720:$Q720,1,MATCH(W$5,$I43:$K43,0)),INDEX(Movements!$G720:$M720,1,MATCH(W$7,Movements!$G$716:$M$716,0))))
*W924*W$8,0)</f>
        <v>0</v>
      </c>
      <c r="X213" s="198">
        <f>_xlfn.IFNA(IF(X$7="Fixed",1,IF(AND($D78="yes",X$7="Block"),INDEX($O720:$Q720,1,MATCH(X$5,$I43:$K43,0)),INDEX(Movements!$G720:$M720,1,MATCH(X$7,Movements!$G$716:$M$716,0))))
*X924*X$8,0)</f>
        <v>0</v>
      </c>
      <c r="Y213" s="198">
        <f>_xlfn.IFNA(IF(Y$7="Fixed",1,IF(AND($D78="yes",Y$7="Block"),INDEX($O720:$Q720,1,MATCH(Y$5,$I43:$K43,0)),INDEX(Movements!$G720:$M720,1,MATCH(Y$7,Movements!$G$716:$M$716,0))))
*Y924*Y$8,0)</f>
        <v>0</v>
      </c>
      <c r="Z213" s="198">
        <f>_xlfn.IFNA(IF(Z$7="Fixed",1,IF(AND($D78="yes",Z$7="Block"),INDEX($O720:$Q720,1,MATCH(Z$5,$I43:$K43,0)),INDEX(Movements!$G720:$M720,1,MATCH(Z$7,Movements!$G$716:$M$716,0))))
*Z924*Z$8,0)</f>
        <v>0</v>
      </c>
      <c r="AA213" s="198">
        <f>_xlfn.IFNA(IF(AA$7="Fixed",1,IF(AND($D78="yes",AA$7="Block"),INDEX($O720:$Q720,1,MATCH(AA$5,$I43:$K43,0)),INDEX(Movements!$G720:$M720,1,MATCH(AA$7,Movements!$G$716:$M$716,0))))
*AA924*AA$8,0)</f>
        <v>0</v>
      </c>
      <c r="AB213" s="198">
        <f>_xlfn.IFNA(IF(AB$7="Fixed",1,IF(AND($D78="yes",AB$7="Block"),INDEX($O720:$Q720,1,MATCH(AB$5,$I43:$K43,0)),INDEX(Movements!$G720:$M720,1,MATCH(AB$7,Movements!$G$716:$M$716,0))))
*AB924*AB$8,0)</f>
        <v>0</v>
      </c>
      <c r="AC213" s="70"/>
      <c r="AD213" s="57"/>
      <c r="AE213" s="57"/>
      <c r="AF213" s="57"/>
      <c r="AG213" s="57"/>
    </row>
    <row r="214" spans="1:33" outlineLevel="2" x14ac:dyDescent="0.2">
      <c r="A214" s="19"/>
      <c r="B214" s="97">
        <v>3</v>
      </c>
      <c r="C214" s="506">
        <f t="shared" si="43"/>
        <v>0</v>
      </c>
      <c r="D214" s="505">
        <f t="shared" si="43"/>
        <v>0</v>
      </c>
      <c r="E214" s="505">
        <f t="shared" si="43"/>
        <v>0</v>
      </c>
      <c r="F214" s="58"/>
      <c r="G214" s="199">
        <f t="shared" si="44"/>
        <v>0</v>
      </c>
      <c r="H214" s="58"/>
      <c r="I214" s="198">
        <f>_xlfn.IFNA(IF(I$7="Fixed",1,IF(AND($D79="yes",I$7="Block"),INDEX($O721:$Q721,1,MATCH(I$5,$I44:$K44,0)),INDEX(Movements!$G721:$M721,1,MATCH(I$7,Movements!$G$716:$M$716,0))))
*I925*I$8,0)</f>
        <v>0</v>
      </c>
      <c r="J214" s="198">
        <f>_xlfn.IFNA(IF(J$7="Fixed",1,IF(AND($D79="yes",J$7="Block"),INDEX($O721:$Q721,1,MATCH(J$5,$I44:$K44,0)),INDEX(Movements!$G721:$M721,1,MATCH(J$7,Movements!$G$716:$M$716,0))))
*J925*J$8,0)</f>
        <v>0</v>
      </c>
      <c r="K214" s="198">
        <f>_xlfn.IFNA(IF(K$7="Fixed",1,IF(AND($D79="yes",K$7="Block"),INDEX($O721:$Q721,1,MATCH(K$5,$I44:$K44,0)),INDEX(Movements!$G721:$M721,1,MATCH(K$7,Movements!$G$716:$M$716,0))))
*K925*K$8,0)</f>
        <v>0</v>
      </c>
      <c r="L214" s="198">
        <f>_xlfn.IFNA(IF(L$7="Fixed",1,IF(AND($D79="yes",L$7="Block"),INDEX($O721:$Q721,1,MATCH(L$5,$I44:$K44,0)),INDEX(Movements!$G721:$M721,1,MATCH(L$7,Movements!$G$716:$M$716,0))))
*L925*L$8,0)</f>
        <v>0</v>
      </c>
      <c r="M214" s="198">
        <f>_xlfn.IFNA(IF(M$7="Fixed",1,IF(AND($D79="yes",M$7="Block"),INDEX($O721:$Q721,1,MATCH(M$5,$I44:$K44,0)),INDEX(Movements!$G721:$M721,1,MATCH(M$7,Movements!$G$716:$M$716,0))))
*M925*M$8,0)</f>
        <v>0</v>
      </c>
      <c r="N214" s="198">
        <f>_xlfn.IFNA(IF(N$7="Fixed",1,IF(AND($D79="yes",N$7="Block"),INDEX($O721:$Q721,1,MATCH(N$5,$I44:$K44,0)),INDEX(Movements!$G721:$M721,1,MATCH(N$7,Movements!$G$716:$M$716,0))))
*N925*N$8,0)</f>
        <v>0</v>
      </c>
      <c r="O214" s="198">
        <f>_xlfn.IFNA(IF(O$7="Fixed",1,IF(AND($D79="yes",O$7="Block"),INDEX($O721:$Q721,1,MATCH(O$5,$I44:$K44,0)),INDEX(Movements!$G721:$M721,1,MATCH(O$7,Movements!$G$716:$M$716,0))))
*O925*O$8,0)</f>
        <v>0</v>
      </c>
      <c r="P214" s="198">
        <f>_xlfn.IFNA(IF(P$7="Fixed",1,IF(AND($D79="yes",P$7="Block"),INDEX($O721:$Q721,1,MATCH(P$5,$I44:$K44,0)),INDEX(Movements!$G721:$M721,1,MATCH(P$7,Movements!$G$716:$M$716,0))))
*P925*P$8,0)</f>
        <v>0</v>
      </c>
      <c r="Q214" s="198">
        <f>_xlfn.IFNA(IF(Q$7="Fixed",1,IF(AND($D79="yes",Q$7="Block"),INDEX($O721:$Q721,1,MATCH(Q$5,$I44:$K44,0)),INDEX(Movements!$G721:$M721,1,MATCH(Q$7,Movements!$G$716:$M$716,0))))
*Q925*Q$8,0)</f>
        <v>0</v>
      </c>
      <c r="R214" s="198">
        <f>_xlfn.IFNA(IF(R$7="Fixed",1,IF(AND($D79="yes",R$7="Block"),INDEX($O721:$Q721,1,MATCH(R$5,$I44:$K44,0)),INDEX(Movements!$G721:$M721,1,MATCH(R$7,Movements!$G$716:$M$716,0))))
*R925*R$8,0)</f>
        <v>0</v>
      </c>
      <c r="S214" s="198">
        <f>_xlfn.IFNA(IF(S$7="Fixed",1,IF(AND($D79="yes",S$7="Block"),INDEX($O721:$Q721,1,MATCH(S$5,$I44:$K44,0)),INDEX(Movements!$G721:$M721,1,MATCH(S$7,Movements!$G$716:$M$716,0))))
*S925*S$8,0)</f>
        <v>0</v>
      </c>
      <c r="T214" s="198">
        <f>_xlfn.IFNA(IF(T$7="Fixed",1,IF(AND($D79="yes",T$7="Block"),INDEX($O721:$Q721,1,MATCH(T$5,$I44:$K44,0)),INDEX(Movements!$G721:$M721,1,MATCH(T$7,Movements!$G$716:$M$716,0))))
*T925*T$8,0)</f>
        <v>0</v>
      </c>
      <c r="U214" s="198">
        <f>_xlfn.IFNA(IF(U$7="Fixed",1,IF(AND($D79="yes",U$7="Block"),INDEX($O721:$Q721,1,MATCH(U$5,$I44:$K44,0)),INDEX(Movements!$G721:$M721,1,MATCH(U$7,Movements!$G$716:$M$716,0))))
*U925*U$8,0)</f>
        <v>0</v>
      </c>
      <c r="V214" s="198">
        <f>_xlfn.IFNA(IF(V$7="Fixed",1,IF(AND($D79="yes",V$7="Block"),INDEX($O721:$Q721,1,MATCH(V$5,$I44:$K44,0)),INDEX(Movements!$G721:$M721,1,MATCH(V$7,Movements!$G$716:$M$716,0))))
*V925*V$8,0)</f>
        <v>0</v>
      </c>
      <c r="W214" s="198">
        <f>_xlfn.IFNA(IF(W$7="Fixed",1,IF(AND($D79="yes",W$7="Block"),INDEX($O721:$Q721,1,MATCH(W$5,$I44:$K44,0)),INDEX(Movements!$G721:$M721,1,MATCH(W$7,Movements!$G$716:$M$716,0))))
*W925*W$8,0)</f>
        <v>0</v>
      </c>
      <c r="X214" s="198">
        <f>_xlfn.IFNA(IF(X$7="Fixed",1,IF(AND($D79="yes",X$7="Block"),INDEX($O721:$Q721,1,MATCH(X$5,$I44:$K44,0)),INDEX(Movements!$G721:$M721,1,MATCH(X$7,Movements!$G$716:$M$716,0))))
*X925*X$8,0)</f>
        <v>0</v>
      </c>
      <c r="Y214" s="198">
        <f>_xlfn.IFNA(IF(Y$7="Fixed",1,IF(AND($D79="yes",Y$7="Block"),INDEX($O721:$Q721,1,MATCH(Y$5,$I44:$K44,0)),INDEX(Movements!$G721:$M721,1,MATCH(Y$7,Movements!$G$716:$M$716,0))))
*Y925*Y$8,0)</f>
        <v>0</v>
      </c>
      <c r="Z214" s="198">
        <f>_xlfn.IFNA(IF(Z$7="Fixed",1,IF(AND($D79="yes",Z$7="Block"),INDEX($O721:$Q721,1,MATCH(Z$5,$I44:$K44,0)),INDEX(Movements!$G721:$M721,1,MATCH(Z$7,Movements!$G$716:$M$716,0))))
*Z925*Z$8,0)</f>
        <v>0</v>
      </c>
      <c r="AA214" s="198">
        <f>_xlfn.IFNA(IF(AA$7="Fixed",1,IF(AND($D79="yes",AA$7="Block"),INDEX($O721:$Q721,1,MATCH(AA$5,$I44:$K44,0)),INDEX(Movements!$G721:$M721,1,MATCH(AA$7,Movements!$G$716:$M$716,0))))
*AA925*AA$8,0)</f>
        <v>0</v>
      </c>
      <c r="AB214" s="198">
        <f>_xlfn.IFNA(IF(AB$7="Fixed",1,IF(AND($D79="yes",AB$7="Block"),INDEX($O721:$Q721,1,MATCH(AB$5,$I44:$K44,0)),INDEX(Movements!$G721:$M721,1,MATCH(AB$7,Movements!$G$716:$M$716,0))))
*AB925*AB$8,0)</f>
        <v>0</v>
      </c>
      <c r="AC214" s="70"/>
      <c r="AD214" s="19"/>
      <c r="AE214" s="19"/>
      <c r="AF214" s="19"/>
      <c r="AG214" s="19"/>
    </row>
    <row r="215" spans="1:33" hidden="1" outlineLevel="3" x14ac:dyDescent="0.2">
      <c r="A215" s="19"/>
      <c r="B215" s="97">
        <v>4</v>
      </c>
      <c r="C215" s="506">
        <f t="shared" si="43"/>
        <v>0</v>
      </c>
      <c r="D215" s="505">
        <f t="shared" si="43"/>
        <v>0</v>
      </c>
      <c r="E215" s="505">
        <f t="shared" si="43"/>
        <v>0</v>
      </c>
      <c r="F215" s="58"/>
      <c r="G215" s="199">
        <f t="shared" si="44"/>
        <v>0</v>
      </c>
      <c r="H215" s="58"/>
      <c r="I215" s="198">
        <f>_xlfn.IFNA(IF(I$7="Fixed",1,IF(AND($D80="yes",I$7="Block"),INDEX($O722:$Q722,1,MATCH(I$5,$I45:$K45,0)),INDEX(Movements!$G722:$M722,1,MATCH(I$7,Movements!$G$716:$M$716,0))))
*I926*I$8,0)</f>
        <v>0</v>
      </c>
      <c r="J215" s="198">
        <f>_xlfn.IFNA(IF(J$7="Fixed",1,IF(AND($D80="yes",J$7="Block"),INDEX($O722:$Q722,1,MATCH(J$5,$I45:$K45,0)),INDEX(Movements!$G722:$M722,1,MATCH(J$7,Movements!$G$716:$M$716,0))))
*J926*J$8,0)</f>
        <v>0</v>
      </c>
      <c r="K215" s="198">
        <f>_xlfn.IFNA(IF(K$7="Fixed",1,IF(AND($D80="yes",K$7="Block"),INDEX($O722:$Q722,1,MATCH(K$5,$I45:$K45,0)),INDEX(Movements!$G722:$M722,1,MATCH(K$7,Movements!$G$716:$M$716,0))))
*K926*K$8,0)</f>
        <v>0</v>
      </c>
      <c r="L215" s="198">
        <f>_xlfn.IFNA(IF(L$7="Fixed",1,IF(AND($D80="yes",L$7="Block"),INDEX($O722:$Q722,1,MATCH(L$5,$I45:$K45,0)),INDEX(Movements!$G722:$M722,1,MATCH(L$7,Movements!$G$716:$M$716,0))))
*L926*L$8,0)</f>
        <v>0</v>
      </c>
      <c r="M215" s="198">
        <f>_xlfn.IFNA(IF(M$7="Fixed",1,IF(AND($D80="yes",M$7="Block"),INDEX($O722:$Q722,1,MATCH(M$5,$I45:$K45,0)),INDEX(Movements!$G722:$M722,1,MATCH(M$7,Movements!$G$716:$M$716,0))))
*M926*M$8,0)</f>
        <v>0</v>
      </c>
      <c r="N215" s="198">
        <f>_xlfn.IFNA(IF(N$7="Fixed",1,IF(AND($D80="yes",N$7="Block"),INDEX($O722:$Q722,1,MATCH(N$5,$I45:$K45,0)),INDEX(Movements!$G722:$M722,1,MATCH(N$7,Movements!$G$716:$M$716,0))))
*N926*N$8,0)</f>
        <v>0</v>
      </c>
      <c r="O215" s="198">
        <f>_xlfn.IFNA(IF(O$7="Fixed",1,IF(AND($D80="yes",O$7="Block"),INDEX($O722:$Q722,1,MATCH(O$5,$I45:$K45,0)),INDEX(Movements!$G722:$M722,1,MATCH(O$7,Movements!$G$716:$M$716,0))))
*O926*O$8,0)</f>
        <v>0</v>
      </c>
      <c r="P215" s="198">
        <f>_xlfn.IFNA(IF(P$7="Fixed",1,IF(AND($D80="yes",P$7="Block"),INDEX($O722:$Q722,1,MATCH(P$5,$I45:$K45,0)),INDEX(Movements!$G722:$M722,1,MATCH(P$7,Movements!$G$716:$M$716,0))))
*P926*P$8,0)</f>
        <v>0</v>
      </c>
      <c r="Q215" s="198">
        <f>_xlfn.IFNA(IF(Q$7="Fixed",1,IF(AND($D80="yes",Q$7="Block"),INDEX($O722:$Q722,1,MATCH(Q$5,$I45:$K45,0)),INDEX(Movements!$G722:$M722,1,MATCH(Q$7,Movements!$G$716:$M$716,0))))
*Q926*Q$8,0)</f>
        <v>0</v>
      </c>
      <c r="R215" s="198">
        <f>_xlfn.IFNA(IF(R$7="Fixed",1,IF(AND($D80="yes",R$7="Block"),INDEX($O722:$Q722,1,MATCH(R$5,$I45:$K45,0)),INDEX(Movements!$G722:$M722,1,MATCH(R$7,Movements!$G$716:$M$716,0))))
*R926*R$8,0)</f>
        <v>0</v>
      </c>
      <c r="S215" s="198">
        <f>_xlfn.IFNA(IF(S$7="Fixed",1,IF(AND($D80="yes",S$7="Block"),INDEX($O722:$Q722,1,MATCH(S$5,$I45:$K45,0)),INDEX(Movements!$G722:$M722,1,MATCH(S$7,Movements!$G$716:$M$716,0))))
*S926*S$8,0)</f>
        <v>0</v>
      </c>
      <c r="T215" s="198">
        <f>_xlfn.IFNA(IF(T$7="Fixed",1,IF(AND($D80="yes",T$7="Block"),INDEX($O722:$Q722,1,MATCH(T$5,$I45:$K45,0)),INDEX(Movements!$G722:$M722,1,MATCH(T$7,Movements!$G$716:$M$716,0))))
*T926*T$8,0)</f>
        <v>0</v>
      </c>
      <c r="U215" s="198">
        <f>_xlfn.IFNA(IF(U$7="Fixed",1,IF(AND($D80="yes",U$7="Block"),INDEX($O722:$Q722,1,MATCH(U$5,$I45:$K45,0)),INDEX(Movements!$G722:$M722,1,MATCH(U$7,Movements!$G$716:$M$716,0))))
*U926*U$8,0)</f>
        <v>0</v>
      </c>
      <c r="V215" s="198">
        <f>_xlfn.IFNA(IF(V$7="Fixed",1,IF(AND($D80="yes",V$7="Block"),INDEX($O722:$Q722,1,MATCH(V$5,$I45:$K45,0)),INDEX(Movements!$G722:$M722,1,MATCH(V$7,Movements!$G$716:$M$716,0))))
*V926*V$8,0)</f>
        <v>0</v>
      </c>
      <c r="W215" s="198">
        <f>_xlfn.IFNA(IF(W$7="Fixed",1,IF(AND($D80="yes",W$7="Block"),INDEX($O722:$Q722,1,MATCH(W$5,$I45:$K45,0)),INDEX(Movements!$G722:$M722,1,MATCH(W$7,Movements!$G$716:$M$716,0))))
*W926*W$8,0)</f>
        <v>0</v>
      </c>
      <c r="X215" s="198">
        <f>_xlfn.IFNA(IF(X$7="Fixed",1,IF(AND($D80="yes",X$7="Block"),INDEX($O722:$Q722,1,MATCH(X$5,$I45:$K45,0)),INDEX(Movements!$G722:$M722,1,MATCH(X$7,Movements!$G$716:$M$716,0))))
*X926*X$8,0)</f>
        <v>0</v>
      </c>
      <c r="Y215" s="198">
        <f>_xlfn.IFNA(IF(Y$7="Fixed",1,IF(AND($D80="yes",Y$7="Block"),INDEX($O722:$Q722,1,MATCH(Y$5,$I45:$K45,0)),INDEX(Movements!$G722:$M722,1,MATCH(Y$7,Movements!$G$716:$M$716,0))))
*Y926*Y$8,0)</f>
        <v>0</v>
      </c>
      <c r="Z215" s="198">
        <f>_xlfn.IFNA(IF(Z$7="Fixed",1,IF(AND($D80="yes",Z$7="Block"),INDEX($O722:$Q722,1,MATCH(Z$5,$I45:$K45,0)),INDEX(Movements!$G722:$M722,1,MATCH(Z$7,Movements!$G$716:$M$716,0))))
*Z926*Z$8,0)</f>
        <v>0</v>
      </c>
      <c r="AA215" s="198">
        <f>_xlfn.IFNA(IF(AA$7="Fixed",1,IF(AND($D80="yes",AA$7="Block"),INDEX($O722:$Q722,1,MATCH(AA$5,$I45:$K45,0)),INDEX(Movements!$G722:$M722,1,MATCH(AA$7,Movements!$G$716:$M$716,0))))
*AA926*AA$8,0)</f>
        <v>0</v>
      </c>
      <c r="AB215" s="198">
        <f>_xlfn.IFNA(IF(AB$7="Fixed",1,IF(AND($D80="yes",AB$7="Block"),INDEX($O722:$Q722,1,MATCH(AB$5,$I45:$K45,0)),INDEX(Movements!$G722:$M722,1,MATCH(AB$7,Movements!$G$716:$M$716,0))))
*AB926*AB$8,0)</f>
        <v>0</v>
      </c>
      <c r="AC215" s="70"/>
      <c r="AD215" s="19"/>
      <c r="AE215" s="19"/>
      <c r="AF215" s="19"/>
      <c r="AG215" s="19"/>
    </row>
    <row r="216" spans="1:33" hidden="1" outlineLevel="3" x14ac:dyDescent="0.2">
      <c r="A216" s="19"/>
      <c r="B216" s="97">
        <v>5</v>
      </c>
      <c r="C216" s="506">
        <f t="shared" si="43"/>
        <v>0</v>
      </c>
      <c r="D216" s="505">
        <f t="shared" si="43"/>
        <v>0</v>
      </c>
      <c r="E216" s="505">
        <f t="shared" si="43"/>
        <v>0</v>
      </c>
      <c r="F216" s="58"/>
      <c r="G216" s="199">
        <f t="shared" si="44"/>
        <v>0</v>
      </c>
      <c r="H216" s="58"/>
      <c r="I216" s="198">
        <f>_xlfn.IFNA(IF(I$7="Fixed",1,IF(AND($D81="yes",I$7="Block"),INDEX($O723:$Q723,1,MATCH(I$5,$I46:$K46,0)),INDEX(Movements!$G723:$M723,1,MATCH(I$7,Movements!$G$716:$M$716,0))))
*I927*I$8,0)</f>
        <v>0</v>
      </c>
      <c r="J216" s="198">
        <f>_xlfn.IFNA(IF(J$7="Fixed",1,IF(AND($D81="yes",J$7="Block"),INDEX($O723:$Q723,1,MATCH(J$5,$I46:$K46,0)),INDEX(Movements!$G723:$M723,1,MATCH(J$7,Movements!$G$716:$M$716,0))))
*J927*J$8,0)</f>
        <v>0</v>
      </c>
      <c r="K216" s="198">
        <f>_xlfn.IFNA(IF(K$7="Fixed",1,IF(AND($D81="yes",K$7="Block"),INDEX($O723:$Q723,1,MATCH(K$5,$I46:$K46,0)),INDEX(Movements!$G723:$M723,1,MATCH(K$7,Movements!$G$716:$M$716,0))))
*K927*K$8,0)</f>
        <v>0</v>
      </c>
      <c r="L216" s="198">
        <f>_xlfn.IFNA(IF(L$7="Fixed",1,IF(AND($D81="yes",L$7="Block"),INDEX($O723:$Q723,1,MATCH(L$5,$I46:$K46,0)),INDEX(Movements!$G723:$M723,1,MATCH(L$7,Movements!$G$716:$M$716,0))))
*L927*L$8,0)</f>
        <v>0</v>
      </c>
      <c r="M216" s="198">
        <f>_xlfn.IFNA(IF(M$7="Fixed",1,IF(AND($D81="yes",M$7="Block"),INDEX($O723:$Q723,1,MATCH(M$5,$I46:$K46,0)),INDEX(Movements!$G723:$M723,1,MATCH(M$7,Movements!$G$716:$M$716,0))))
*M927*M$8,0)</f>
        <v>0</v>
      </c>
      <c r="N216" s="198">
        <f>_xlfn.IFNA(IF(N$7="Fixed",1,IF(AND($D81="yes",N$7="Block"),INDEX($O723:$Q723,1,MATCH(N$5,$I46:$K46,0)),INDEX(Movements!$G723:$M723,1,MATCH(N$7,Movements!$G$716:$M$716,0))))
*N927*N$8,0)</f>
        <v>0</v>
      </c>
      <c r="O216" s="198">
        <f>_xlfn.IFNA(IF(O$7="Fixed",1,IF(AND($D81="yes",O$7="Block"),INDEX($O723:$Q723,1,MATCH(O$5,$I46:$K46,0)),INDEX(Movements!$G723:$M723,1,MATCH(O$7,Movements!$G$716:$M$716,0))))
*O927*O$8,0)</f>
        <v>0</v>
      </c>
      <c r="P216" s="198">
        <f>_xlfn.IFNA(IF(P$7="Fixed",1,IF(AND($D81="yes",P$7="Block"),INDEX($O723:$Q723,1,MATCH(P$5,$I46:$K46,0)),INDEX(Movements!$G723:$M723,1,MATCH(P$7,Movements!$G$716:$M$716,0))))
*P927*P$8,0)</f>
        <v>0</v>
      </c>
      <c r="Q216" s="198">
        <f>_xlfn.IFNA(IF(Q$7="Fixed",1,IF(AND($D81="yes",Q$7="Block"),INDEX($O723:$Q723,1,MATCH(Q$5,$I46:$K46,0)),INDEX(Movements!$G723:$M723,1,MATCH(Q$7,Movements!$G$716:$M$716,0))))
*Q927*Q$8,0)</f>
        <v>0</v>
      </c>
      <c r="R216" s="198">
        <f>_xlfn.IFNA(IF(R$7="Fixed",1,IF(AND($D81="yes",R$7="Block"),INDEX($O723:$Q723,1,MATCH(R$5,$I46:$K46,0)),INDEX(Movements!$G723:$M723,1,MATCH(R$7,Movements!$G$716:$M$716,0))))
*R927*R$8,0)</f>
        <v>0</v>
      </c>
      <c r="S216" s="198">
        <f>_xlfn.IFNA(IF(S$7="Fixed",1,IF(AND($D81="yes",S$7="Block"),INDEX($O723:$Q723,1,MATCH(S$5,$I46:$K46,0)),INDEX(Movements!$G723:$M723,1,MATCH(S$7,Movements!$G$716:$M$716,0))))
*S927*S$8,0)</f>
        <v>0</v>
      </c>
      <c r="T216" s="198">
        <f>_xlfn.IFNA(IF(T$7="Fixed",1,IF(AND($D81="yes",T$7="Block"),INDEX($O723:$Q723,1,MATCH(T$5,$I46:$K46,0)),INDEX(Movements!$G723:$M723,1,MATCH(T$7,Movements!$G$716:$M$716,0))))
*T927*T$8,0)</f>
        <v>0</v>
      </c>
      <c r="U216" s="198">
        <f>_xlfn.IFNA(IF(U$7="Fixed",1,IF(AND($D81="yes",U$7="Block"),INDEX($O723:$Q723,1,MATCH(U$5,$I46:$K46,0)),INDEX(Movements!$G723:$M723,1,MATCH(U$7,Movements!$G$716:$M$716,0))))
*U927*U$8,0)</f>
        <v>0</v>
      </c>
      <c r="V216" s="198">
        <f>_xlfn.IFNA(IF(V$7="Fixed",1,IF(AND($D81="yes",V$7="Block"),INDEX($O723:$Q723,1,MATCH(V$5,$I46:$K46,0)),INDEX(Movements!$G723:$M723,1,MATCH(V$7,Movements!$G$716:$M$716,0))))
*V927*V$8,0)</f>
        <v>0</v>
      </c>
      <c r="W216" s="198">
        <f>_xlfn.IFNA(IF(W$7="Fixed",1,IF(AND($D81="yes",W$7="Block"),INDEX($O723:$Q723,1,MATCH(W$5,$I46:$K46,0)),INDEX(Movements!$G723:$M723,1,MATCH(W$7,Movements!$G$716:$M$716,0))))
*W927*W$8,0)</f>
        <v>0</v>
      </c>
      <c r="X216" s="198">
        <f>_xlfn.IFNA(IF(X$7="Fixed",1,IF(AND($D81="yes",X$7="Block"),INDEX($O723:$Q723,1,MATCH(X$5,$I46:$K46,0)),INDEX(Movements!$G723:$M723,1,MATCH(X$7,Movements!$G$716:$M$716,0))))
*X927*X$8,0)</f>
        <v>0</v>
      </c>
      <c r="Y216" s="198">
        <f>_xlfn.IFNA(IF(Y$7="Fixed",1,IF(AND($D81="yes",Y$7="Block"),INDEX($O723:$Q723,1,MATCH(Y$5,$I46:$K46,0)),INDEX(Movements!$G723:$M723,1,MATCH(Y$7,Movements!$G$716:$M$716,0))))
*Y927*Y$8,0)</f>
        <v>0</v>
      </c>
      <c r="Z216" s="198">
        <f>_xlfn.IFNA(IF(Z$7="Fixed",1,IF(AND($D81="yes",Z$7="Block"),INDEX($O723:$Q723,1,MATCH(Z$5,$I46:$K46,0)),INDEX(Movements!$G723:$M723,1,MATCH(Z$7,Movements!$G$716:$M$716,0))))
*Z927*Z$8,0)</f>
        <v>0</v>
      </c>
      <c r="AA216" s="198">
        <f>_xlfn.IFNA(IF(AA$7="Fixed",1,IF(AND($D81="yes",AA$7="Block"),INDEX($O723:$Q723,1,MATCH(AA$5,$I46:$K46,0)),INDEX(Movements!$G723:$M723,1,MATCH(AA$7,Movements!$G$716:$M$716,0))))
*AA927*AA$8,0)</f>
        <v>0</v>
      </c>
      <c r="AB216" s="198">
        <f>_xlfn.IFNA(IF(AB$7="Fixed",1,IF(AND($D81="yes",AB$7="Block"),INDEX($O723:$Q723,1,MATCH(AB$5,$I46:$K46,0)),INDEX(Movements!$G723:$M723,1,MATCH(AB$7,Movements!$G$716:$M$716,0))))
*AB927*AB$8,0)</f>
        <v>0</v>
      </c>
      <c r="AC216" s="70"/>
      <c r="AD216" s="19"/>
      <c r="AE216" s="19"/>
      <c r="AF216" s="19"/>
      <c r="AG216" s="19"/>
    </row>
    <row r="217" spans="1:33" hidden="1" outlineLevel="3" x14ac:dyDescent="0.2">
      <c r="A217" s="19"/>
      <c r="B217" s="97">
        <v>6</v>
      </c>
      <c r="C217" s="506">
        <f t="shared" si="43"/>
        <v>0</v>
      </c>
      <c r="D217" s="505">
        <f t="shared" si="43"/>
        <v>0</v>
      </c>
      <c r="E217" s="505">
        <f t="shared" si="43"/>
        <v>0</v>
      </c>
      <c r="F217" s="58"/>
      <c r="G217" s="199">
        <f t="shared" si="44"/>
        <v>0</v>
      </c>
      <c r="H217" s="58"/>
      <c r="I217" s="198">
        <f>_xlfn.IFNA(IF(I$7="Fixed",1,IF(AND($D82="yes",I$7="Block"),INDEX($O724:$Q724,1,MATCH(I$5,$I47:$K47,0)),INDEX(Movements!$G724:$M724,1,MATCH(I$7,Movements!$G$716:$M$716,0))))
*I928*I$8,0)</f>
        <v>0</v>
      </c>
      <c r="J217" s="198">
        <f>_xlfn.IFNA(IF(J$7="Fixed",1,IF(AND($D82="yes",J$7="Block"),INDEX($O724:$Q724,1,MATCH(J$5,$I47:$K47,0)),INDEX(Movements!$G724:$M724,1,MATCH(J$7,Movements!$G$716:$M$716,0))))
*J928*J$8,0)</f>
        <v>0</v>
      </c>
      <c r="K217" s="198">
        <f>_xlfn.IFNA(IF(K$7="Fixed",1,IF(AND($D82="yes",K$7="Block"),INDEX($O724:$Q724,1,MATCH(K$5,$I47:$K47,0)),INDEX(Movements!$G724:$M724,1,MATCH(K$7,Movements!$G$716:$M$716,0))))
*K928*K$8,0)</f>
        <v>0</v>
      </c>
      <c r="L217" s="198">
        <f>_xlfn.IFNA(IF(L$7="Fixed",1,IF(AND($D82="yes",L$7="Block"),INDEX($O724:$Q724,1,MATCH(L$5,$I47:$K47,0)),INDEX(Movements!$G724:$M724,1,MATCH(L$7,Movements!$G$716:$M$716,0))))
*L928*L$8,0)</f>
        <v>0</v>
      </c>
      <c r="M217" s="198">
        <f>_xlfn.IFNA(IF(M$7="Fixed",1,IF(AND($D82="yes",M$7="Block"),INDEX($O724:$Q724,1,MATCH(M$5,$I47:$K47,0)),INDEX(Movements!$G724:$M724,1,MATCH(M$7,Movements!$G$716:$M$716,0))))
*M928*M$8,0)</f>
        <v>0</v>
      </c>
      <c r="N217" s="198">
        <f>_xlfn.IFNA(IF(N$7="Fixed",1,IF(AND($D82="yes",N$7="Block"),INDEX($O724:$Q724,1,MATCH(N$5,$I47:$K47,0)),INDEX(Movements!$G724:$M724,1,MATCH(N$7,Movements!$G$716:$M$716,0))))
*N928*N$8,0)</f>
        <v>0</v>
      </c>
      <c r="O217" s="198">
        <f>_xlfn.IFNA(IF(O$7="Fixed",1,IF(AND($D82="yes",O$7="Block"),INDEX($O724:$Q724,1,MATCH(O$5,$I47:$K47,0)),INDEX(Movements!$G724:$M724,1,MATCH(O$7,Movements!$G$716:$M$716,0))))
*O928*O$8,0)</f>
        <v>0</v>
      </c>
      <c r="P217" s="198">
        <f>_xlfn.IFNA(IF(P$7="Fixed",1,IF(AND($D82="yes",P$7="Block"),INDEX($O724:$Q724,1,MATCH(P$5,$I47:$K47,0)),INDEX(Movements!$G724:$M724,1,MATCH(P$7,Movements!$G$716:$M$716,0))))
*P928*P$8,0)</f>
        <v>0</v>
      </c>
      <c r="Q217" s="198">
        <f>_xlfn.IFNA(IF(Q$7="Fixed",1,IF(AND($D82="yes",Q$7="Block"),INDEX($O724:$Q724,1,MATCH(Q$5,$I47:$K47,0)),INDEX(Movements!$G724:$M724,1,MATCH(Q$7,Movements!$G$716:$M$716,0))))
*Q928*Q$8,0)</f>
        <v>0</v>
      </c>
      <c r="R217" s="198">
        <f>_xlfn.IFNA(IF(R$7="Fixed",1,IF(AND($D82="yes",R$7="Block"),INDEX($O724:$Q724,1,MATCH(R$5,$I47:$K47,0)),INDEX(Movements!$G724:$M724,1,MATCH(R$7,Movements!$G$716:$M$716,0))))
*R928*R$8,0)</f>
        <v>0</v>
      </c>
      <c r="S217" s="198">
        <f>_xlfn.IFNA(IF(S$7="Fixed",1,IF(AND($D82="yes",S$7="Block"),INDEX($O724:$Q724,1,MATCH(S$5,$I47:$K47,0)),INDEX(Movements!$G724:$M724,1,MATCH(S$7,Movements!$G$716:$M$716,0))))
*S928*S$8,0)</f>
        <v>0</v>
      </c>
      <c r="T217" s="198">
        <f>_xlfn.IFNA(IF(T$7="Fixed",1,IF(AND($D82="yes",T$7="Block"),INDEX($O724:$Q724,1,MATCH(T$5,$I47:$K47,0)),INDEX(Movements!$G724:$M724,1,MATCH(T$7,Movements!$G$716:$M$716,0))))
*T928*T$8,0)</f>
        <v>0</v>
      </c>
      <c r="U217" s="198">
        <f>_xlfn.IFNA(IF(U$7="Fixed",1,IF(AND($D82="yes",U$7="Block"),INDEX($O724:$Q724,1,MATCH(U$5,$I47:$K47,0)),INDEX(Movements!$G724:$M724,1,MATCH(U$7,Movements!$G$716:$M$716,0))))
*U928*U$8,0)</f>
        <v>0</v>
      </c>
      <c r="V217" s="198">
        <f>_xlfn.IFNA(IF(V$7="Fixed",1,IF(AND($D82="yes",V$7="Block"),INDEX($O724:$Q724,1,MATCH(V$5,$I47:$K47,0)),INDEX(Movements!$G724:$M724,1,MATCH(V$7,Movements!$G$716:$M$716,0))))
*V928*V$8,0)</f>
        <v>0</v>
      </c>
      <c r="W217" s="198">
        <f>_xlfn.IFNA(IF(W$7="Fixed",1,IF(AND($D82="yes",W$7="Block"),INDEX($O724:$Q724,1,MATCH(W$5,$I47:$K47,0)),INDEX(Movements!$G724:$M724,1,MATCH(W$7,Movements!$G$716:$M$716,0))))
*W928*W$8,0)</f>
        <v>0</v>
      </c>
      <c r="X217" s="198">
        <f>_xlfn.IFNA(IF(X$7="Fixed",1,IF(AND($D82="yes",X$7="Block"),INDEX($O724:$Q724,1,MATCH(X$5,$I47:$K47,0)),INDEX(Movements!$G724:$M724,1,MATCH(X$7,Movements!$G$716:$M$716,0))))
*X928*X$8,0)</f>
        <v>0</v>
      </c>
      <c r="Y217" s="198">
        <f>_xlfn.IFNA(IF(Y$7="Fixed",1,IF(AND($D82="yes",Y$7="Block"),INDEX($O724:$Q724,1,MATCH(Y$5,$I47:$K47,0)),INDEX(Movements!$G724:$M724,1,MATCH(Y$7,Movements!$G$716:$M$716,0))))
*Y928*Y$8,0)</f>
        <v>0</v>
      </c>
      <c r="Z217" s="198">
        <f>_xlfn.IFNA(IF(Z$7="Fixed",1,IF(AND($D82="yes",Z$7="Block"),INDEX($O724:$Q724,1,MATCH(Z$5,$I47:$K47,0)),INDEX(Movements!$G724:$M724,1,MATCH(Z$7,Movements!$G$716:$M$716,0))))
*Z928*Z$8,0)</f>
        <v>0</v>
      </c>
      <c r="AA217" s="198">
        <f>_xlfn.IFNA(IF(AA$7="Fixed",1,IF(AND($D82="yes",AA$7="Block"),INDEX($O724:$Q724,1,MATCH(AA$5,$I47:$K47,0)),INDEX(Movements!$G724:$M724,1,MATCH(AA$7,Movements!$G$716:$M$716,0))))
*AA928*AA$8,0)</f>
        <v>0</v>
      </c>
      <c r="AB217" s="198">
        <f>_xlfn.IFNA(IF(AB$7="Fixed",1,IF(AND($D82="yes",AB$7="Block"),INDEX($O724:$Q724,1,MATCH(AB$5,$I47:$K47,0)),INDEX(Movements!$G724:$M724,1,MATCH(AB$7,Movements!$G$716:$M$716,0))))
*AB928*AB$8,0)</f>
        <v>0</v>
      </c>
      <c r="AC217" s="70"/>
      <c r="AD217" s="19"/>
      <c r="AE217" s="19"/>
      <c r="AF217" s="19"/>
      <c r="AG217" s="19"/>
    </row>
    <row r="218" spans="1:33" hidden="1" outlineLevel="3" x14ac:dyDescent="0.2">
      <c r="A218" s="19"/>
      <c r="B218" s="97">
        <v>7</v>
      </c>
      <c r="C218" s="506">
        <f t="shared" si="43"/>
        <v>0</v>
      </c>
      <c r="D218" s="505">
        <f t="shared" si="43"/>
        <v>0</v>
      </c>
      <c r="E218" s="505">
        <f t="shared" si="43"/>
        <v>0</v>
      </c>
      <c r="F218" s="58"/>
      <c r="G218" s="199">
        <f t="shared" si="44"/>
        <v>0</v>
      </c>
      <c r="H218" s="58"/>
      <c r="I218" s="198">
        <f>_xlfn.IFNA(IF(I$7="Fixed",1,IF(AND($D83="yes",I$7="Block"),INDEX($O725:$Q725,1,MATCH(I$5,$I48:$K48,0)),INDEX(Movements!$G725:$M725,1,MATCH(I$7,Movements!$G$716:$M$716,0))))
*I929*I$8,0)</f>
        <v>0</v>
      </c>
      <c r="J218" s="198">
        <f>_xlfn.IFNA(IF(J$7="Fixed",1,IF(AND($D83="yes",J$7="Block"),INDEX($O725:$Q725,1,MATCH(J$5,$I48:$K48,0)),INDEX(Movements!$G725:$M725,1,MATCH(J$7,Movements!$G$716:$M$716,0))))
*J929*J$8,0)</f>
        <v>0</v>
      </c>
      <c r="K218" s="198">
        <f>_xlfn.IFNA(IF(K$7="Fixed",1,IF(AND($D83="yes",K$7="Block"),INDEX($O725:$Q725,1,MATCH(K$5,$I48:$K48,0)),INDEX(Movements!$G725:$M725,1,MATCH(K$7,Movements!$G$716:$M$716,0))))
*K929*K$8,0)</f>
        <v>0</v>
      </c>
      <c r="L218" s="198">
        <f>_xlfn.IFNA(IF(L$7="Fixed",1,IF(AND($D83="yes",L$7="Block"),INDEX($O725:$Q725,1,MATCH(L$5,$I48:$K48,0)),INDEX(Movements!$G725:$M725,1,MATCH(L$7,Movements!$G$716:$M$716,0))))
*L929*L$8,0)</f>
        <v>0</v>
      </c>
      <c r="M218" s="198">
        <f>_xlfn.IFNA(IF(M$7="Fixed",1,IF(AND($D83="yes",M$7="Block"),INDEX($O725:$Q725,1,MATCH(M$5,$I48:$K48,0)),INDEX(Movements!$G725:$M725,1,MATCH(M$7,Movements!$G$716:$M$716,0))))
*M929*M$8,0)</f>
        <v>0</v>
      </c>
      <c r="N218" s="198">
        <f>_xlfn.IFNA(IF(N$7="Fixed",1,IF(AND($D83="yes",N$7="Block"),INDEX($O725:$Q725,1,MATCH(N$5,$I48:$K48,0)),INDEX(Movements!$G725:$M725,1,MATCH(N$7,Movements!$G$716:$M$716,0))))
*N929*N$8,0)</f>
        <v>0</v>
      </c>
      <c r="O218" s="198">
        <f>_xlfn.IFNA(IF(O$7="Fixed",1,IF(AND($D83="yes",O$7="Block"),INDEX($O725:$Q725,1,MATCH(O$5,$I48:$K48,0)),INDEX(Movements!$G725:$M725,1,MATCH(O$7,Movements!$G$716:$M$716,0))))
*O929*O$8,0)</f>
        <v>0</v>
      </c>
      <c r="P218" s="198">
        <f>_xlfn.IFNA(IF(P$7="Fixed",1,IF(AND($D83="yes",P$7="Block"),INDEX($O725:$Q725,1,MATCH(P$5,$I48:$K48,0)),INDEX(Movements!$G725:$M725,1,MATCH(P$7,Movements!$G$716:$M$716,0))))
*P929*P$8,0)</f>
        <v>0</v>
      </c>
      <c r="Q218" s="198">
        <f>_xlfn.IFNA(IF(Q$7="Fixed",1,IF(AND($D83="yes",Q$7="Block"),INDEX($O725:$Q725,1,MATCH(Q$5,$I48:$K48,0)),INDEX(Movements!$G725:$M725,1,MATCH(Q$7,Movements!$G$716:$M$716,0))))
*Q929*Q$8,0)</f>
        <v>0</v>
      </c>
      <c r="R218" s="198">
        <f>_xlfn.IFNA(IF(R$7="Fixed",1,IF(AND($D83="yes",R$7="Block"),INDEX($O725:$Q725,1,MATCH(R$5,$I48:$K48,0)),INDEX(Movements!$G725:$M725,1,MATCH(R$7,Movements!$G$716:$M$716,0))))
*R929*R$8,0)</f>
        <v>0</v>
      </c>
      <c r="S218" s="198">
        <f>_xlfn.IFNA(IF(S$7="Fixed",1,IF(AND($D83="yes",S$7="Block"),INDEX($O725:$Q725,1,MATCH(S$5,$I48:$K48,0)),INDEX(Movements!$G725:$M725,1,MATCH(S$7,Movements!$G$716:$M$716,0))))
*S929*S$8,0)</f>
        <v>0</v>
      </c>
      <c r="T218" s="198">
        <f>_xlfn.IFNA(IF(T$7="Fixed",1,IF(AND($D83="yes",T$7="Block"),INDEX($O725:$Q725,1,MATCH(T$5,$I48:$K48,0)),INDEX(Movements!$G725:$M725,1,MATCH(T$7,Movements!$G$716:$M$716,0))))
*T929*T$8,0)</f>
        <v>0</v>
      </c>
      <c r="U218" s="198">
        <f>_xlfn.IFNA(IF(U$7="Fixed",1,IF(AND($D83="yes",U$7="Block"),INDEX($O725:$Q725,1,MATCH(U$5,$I48:$K48,0)),INDEX(Movements!$G725:$M725,1,MATCH(U$7,Movements!$G$716:$M$716,0))))
*U929*U$8,0)</f>
        <v>0</v>
      </c>
      <c r="V218" s="198">
        <f>_xlfn.IFNA(IF(V$7="Fixed",1,IF(AND($D83="yes",V$7="Block"),INDEX($O725:$Q725,1,MATCH(V$5,$I48:$K48,0)),INDEX(Movements!$G725:$M725,1,MATCH(V$7,Movements!$G$716:$M$716,0))))
*V929*V$8,0)</f>
        <v>0</v>
      </c>
      <c r="W218" s="198">
        <f>_xlfn.IFNA(IF(W$7="Fixed",1,IF(AND($D83="yes",W$7="Block"),INDEX($O725:$Q725,1,MATCH(W$5,$I48:$K48,0)),INDEX(Movements!$G725:$M725,1,MATCH(W$7,Movements!$G$716:$M$716,0))))
*W929*W$8,0)</f>
        <v>0</v>
      </c>
      <c r="X218" s="198">
        <f>_xlfn.IFNA(IF(X$7="Fixed",1,IF(AND($D83="yes",X$7="Block"),INDEX($O725:$Q725,1,MATCH(X$5,$I48:$K48,0)),INDEX(Movements!$G725:$M725,1,MATCH(X$7,Movements!$G$716:$M$716,0))))
*X929*X$8,0)</f>
        <v>0</v>
      </c>
      <c r="Y218" s="198">
        <f>_xlfn.IFNA(IF(Y$7="Fixed",1,IF(AND($D83="yes",Y$7="Block"),INDEX($O725:$Q725,1,MATCH(Y$5,$I48:$K48,0)),INDEX(Movements!$G725:$M725,1,MATCH(Y$7,Movements!$G$716:$M$716,0))))
*Y929*Y$8,0)</f>
        <v>0</v>
      </c>
      <c r="Z218" s="198">
        <f>_xlfn.IFNA(IF(Z$7="Fixed",1,IF(AND($D83="yes",Z$7="Block"),INDEX($O725:$Q725,1,MATCH(Z$5,$I48:$K48,0)),INDEX(Movements!$G725:$M725,1,MATCH(Z$7,Movements!$G$716:$M$716,0))))
*Z929*Z$8,0)</f>
        <v>0</v>
      </c>
      <c r="AA218" s="198">
        <f>_xlfn.IFNA(IF(AA$7="Fixed",1,IF(AND($D83="yes",AA$7="Block"),INDEX($O725:$Q725,1,MATCH(AA$5,$I48:$K48,0)),INDEX(Movements!$G725:$M725,1,MATCH(AA$7,Movements!$G$716:$M$716,0))))
*AA929*AA$8,0)</f>
        <v>0</v>
      </c>
      <c r="AB218" s="198">
        <f>_xlfn.IFNA(IF(AB$7="Fixed",1,IF(AND($D83="yes",AB$7="Block"),INDEX($O725:$Q725,1,MATCH(AB$5,$I48:$K48,0)),INDEX(Movements!$G725:$M725,1,MATCH(AB$7,Movements!$G$716:$M$716,0))))
*AB929*AB$8,0)</f>
        <v>0</v>
      </c>
      <c r="AC218" s="70"/>
      <c r="AD218" s="19"/>
      <c r="AE218" s="19"/>
      <c r="AF218" s="19"/>
      <c r="AG218" s="19"/>
    </row>
    <row r="219" spans="1:33" hidden="1" outlineLevel="3" x14ac:dyDescent="0.2">
      <c r="A219" s="19"/>
      <c r="B219" s="97">
        <v>8</v>
      </c>
      <c r="C219" s="506">
        <f t="shared" si="43"/>
        <v>0</v>
      </c>
      <c r="D219" s="505">
        <f t="shared" si="43"/>
        <v>0</v>
      </c>
      <c r="E219" s="505">
        <f t="shared" si="43"/>
        <v>0</v>
      </c>
      <c r="F219" s="58"/>
      <c r="G219" s="199">
        <f t="shared" si="44"/>
        <v>0</v>
      </c>
      <c r="H219" s="58"/>
      <c r="I219" s="198">
        <f>_xlfn.IFNA(IF(I$7="Fixed",1,IF(AND($D84="yes",I$7="Block"),INDEX($O726:$Q726,1,MATCH(I$5,$I49:$K49,0)),INDEX(Movements!$G726:$M726,1,MATCH(I$7,Movements!$G$716:$M$716,0))))
*I930*I$8,0)</f>
        <v>0</v>
      </c>
      <c r="J219" s="198">
        <f>_xlfn.IFNA(IF(J$7="Fixed",1,IF(AND($D84="yes",J$7="Block"),INDEX($O726:$Q726,1,MATCH(J$5,$I49:$K49,0)),INDEX(Movements!$G726:$M726,1,MATCH(J$7,Movements!$G$716:$M$716,0))))
*J930*J$8,0)</f>
        <v>0</v>
      </c>
      <c r="K219" s="198">
        <f>_xlfn.IFNA(IF(K$7="Fixed",1,IF(AND($D84="yes",K$7="Block"),INDEX($O726:$Q726,1,MATCH(K$5,$I49:$K49,0)),INDEX(Movements!$G726:$M726,1,MATCH(K$7,Movements!$G$716:$M$716,0))))
*K930*K$8,0)</f>
        <v>0</v>
      </c>
      <c r="L219" s="198">
        <f>_xlfn.IFNA(IF(L$7="Fixed",1,IF(AND($D84="yes",L$7="Block"),INDEX($O726:$Q726,1,MATCH(L$5,$I49:$K49,0)),INDEX(Movements!$G726:$M726,1,MATCH(L$7,Movements!$G$716:$M$716,0))))
*L930*L$8,0)</f>
        <v>0</v>
      </c>
      <c r="M219" s="198">
        <f>_xlfn.IFNA(IF(M$7="Fixed",1,IF(AND($D84="yes",M$7="Block"),INDEX($O726:$Q726,1,MATCH(M$5,$I49:$K49,0)),INDEX(Movements!$G726:$M726,1,MATCH(M$7,Movements!$G$716:$M$716,0))))
*M930*M$8,0)</f>
        <v>0</v>
      </c>
      <c r="N219" s="198">
        <f>_xlfn.IFNA(IF(N$7="Fixed",1,IF(AND($D84="yes",N$7="Block"),INDEX($O726:$Q726,1,MATCH(N$5,$I49:$K49,0)),INDEX(Movements!$G726:$M726,1,MATCH(N$7,Movements!$G$716:$M$716,0))))
*N930*N$8,0)</f>
        <v>0</v>
      </c>
      <c r="O219" s="198">
        <f>_xlfn.IFNA(IF(O$7="Fixed",1,IF(AND($D84="yes",O$7="Block"),INDEX($O726:$Q726,1,MATCH(O$5,$I49:$K49,0)),INDEX(Movements!$G726:$M726,1,MATCH(O$7,Movements!$G$716:$M$716,0))))
*O930*O$8,0)</f>
        <v>0</v>
      </c>
      <c r="P219" s="198">
        <f>_xlfn.IFNA(IF(P$7="Fixed",1,IF(AND($D84="yes",P$7="Block"),INDEX($O726:$Q726,1,MATCH(P$5,$I49:$K49,0)),INDEX(Movements!$G726:$M726,1,MATCH(P$7,Movements!$G$716:$M$716,0))))
*P930*P$8,0)</f>
        <v>0</v>
      </c>
      <c r="Q219" s="198">
        <f>_xlfn.IFNA(IF(Q$7="Fixed",1,IF(AND($D84="yes",Q$7="Block"),INDEX($O726:$Q726,1,MATCH(Q$5,$I49:$K49,0)),INDEX(Movements!$G726:$M726,1,MATCH(Q$7,Movements!$G$716:$M$716,0))))
*Q930*Q$8,0)</f>
        <v>0</v>
      </c>
      <c r="R219" s="198">
        <f>_xlfn.IFNA(IF(R$7="Fixed",1,IF(AND($D84="yes",R$7="Block"),INDEX($O726:$Q726,1,MATCH(R$5,$I49:$K49,0)),INDEX(Movements!$G726:$M726,1,MATCH(R$7,Movements!$G$716:$M$716,0))))
*R930*R$8,0)</f>
        <v>0</v>
      </c>
      <c r="S219" s="198">
        <f>_xlfn.IFNA(IF(S$7="Fixed",1,IF(AND($D84="yes",S$7="Block"),INDEX($O726:$Q726,1,MATCH(S$5,$I49:$K49,0)),INDEX(Movements!$G726:$M726,1,MATCH(S$7,Movements!$G$716:$M$716,0))))
*S930*S$8,0)</f>
        <v>0</v>
      </c>
      <c r="T219" s="198">
        <f>_xlfn.IFNA(IF(T$7="Fixed",1,IF(AND($D84="yes",T$7="Block"),INDEX($O726:$Q726,1,MATCH(T$5,$I49:$K49,0)),INDEX(Movements!$G726:$M726,1,MATCH(T$7,Movements!$G$716:$M$716,0))))
*T930*T$8,0)</f>
        <v>0</v>
      </c>
      <c r="U219" s="198">
        <f>_xlfn.IFNA(IF(U$7="Fixed",1,IF(AND($D84="yes",U$7="Block"),INDEX($O726:$Q726,1,MATCH(U$5,$I49:$K49,0)),INDEX(Movements!$G726:$M726,1,MATCH(U$7,Movements!$G$716:$M$716,0))))
*U930*U$8,0)</f>
        <v>0</v>
      </c>
      <c r="V219" s="198">
        <f>_xlfn.IFNA(IF(V$7="Fixed",1,IF(AND($D84="yes",V$7="Block"),INDEX($O726:$Q726,1,MATCH(V$5,$I49:$K49,0)),INDEX(Movements!$G726:$M726,1,MATCH(V$7,Movements!$G$716:$M$716,0))))
*V930*V$8,0)</f>
        <v>0</v>
      </c>
      <c r="W219" s="198">
        <f>_xlfn.IFNA(IF(W$7="Fixed",1,IF(AND($D84="yes",W$7="Block"),INDEX($O726:$Q726,1,MATCH(W$5,$I49:$K49,0)),INDEX(Movements!$G726:$M726,1,MATCH(W$7,Movements!$G$716:$M$716,0))))
*W930*W$8,0)</f>
        <v>0</v>
      </c>
      <c r="X219" s="198">
        <f>_xlfn.IFNA(IF(X$7="Fixed",1,IF(AND($D84="yes",X$7="Block"),INDEX($O726:$Q726,1,MATCH(X$5,$I49:$K49,0)),INDEX(Movements!$G726:$M726,1,MATCH(X$7,Movements!$G$716:$M$716,0))))
*X930*X$8,0)</f>
        <v>0</v>
      </c>
      <c r="Y219" s="198">
        <f>_xlfn.IFNA(IF(Y$7="Fixed",1,IF(AND($D84="yes",Y$7="Block"),INDEX($O726:$Q726,1,MATCH(Y$5,$I49:$K49,0)),INDEX(Movements!$G726:$M726,1,MATCH(Y$7,Movements!$G$716:$M$716,0))))
*Y930*Y$8,0)</f>
        <v>0</v>
      </c>
      <c r="Z219" s="198">
        <f>_xlfn.IFNA(IF(Z$7="Fixed",1,IF(AND($D84="yes",Z$7="Block"),INDEX($O726:$Q726,1,MATCH(Z$5,$I49:$K49,0)),INDEX(Movements!$G726:$M726,1,MATCH(Z$7,Movements!$G$716:$M$716,0))))
*Z930*Z$8,0)</f>
        <v>0</v>
      </c>
      <c r="AA219" s="198">
        <f>_xlfn.IFNA(IF(AA$7="Fixed",1,IF(AND($D84="yes",AA$7="Block"),INDEX($O726:$Q726,1,MATCH(AA$5,$I49:$K49,0)),INDEX(Movements!$G726:$M726,1,MATCH(AA$7,Movements!$G$716:$M$716,0))))
*AA930*AA$8,0)</f>
        <v>0</v>
      </c>
      <c r="AB219" s="198">
        <f>_xlfn.IFNA(IF(AB$7="Fixed",1,IF(AND($D84="yes",AB$7="Block"),INDEX($O726:$Q726,1,MATCH(AB$5,$I49:$K49,0)),INDEX(Movements!$G726:$M726,1,MATCH(AB$7,Movements!$G$716:$M$716,0))))
*AB930*AB$8,0)</f>
        <v>0</v>
      </c>
      <c r="AC219" s="70"/>
      <c r="AD219" s="19"/>
      <c r="AE219" s="19"/>
      <c r="AF219" s="19"/>
      <c r="AG219" s="19"/>
    </row>
    <row r="220" spans="1:33" hidden="1" outlineLevel="3" x14ac:dyDescent="0.2">
      <c r="A220" s="19"/>
      <c r="B220" s="98">
        <v>9</v>
      </c>
      <c r="C220" s="506">
        <f t="shared" si="43"/>
        <v>0</v>
      </c>
      <c r="D220" s="505">
        <f t="shared" si="43"/>
        <v>0</v>
      </c>
      <c r="E220" s="505">
        <f t="shared" si="43"/>
        <v>0</v>
      </c>
      <c r="F220" s="58"/>
      <c r="G220" s="199">
        <f t="shared" si="44"/>
        <v>0</v>
      </c>
      <c r="H220" s="58"/>
      <c r="I220" s="198">
        <f>_xlfn.IFNA(IF(I$7="Fixed",1,IF(AND($D85="yes",I$7="Block"),INDEX($O727:$Q727,1,MATCH(I$5,$I50:$K50,0)),INDEX(Movements!$G727:$M727,1,MATCH(I$7,Movements!$G$716:$M$716,0))))
*I931*I$8,0)</f>
        <v>0</v>
      </c>
      <c r="J220" s="198">
        <f>_xlfn.IFNA(IF(J$7="Fixed",1,IF(AND($D85="yes",J$7="Block"),INDEX($O727:$Q727,1,MATCH(J$5,$I50:$K50,0)),INDEX(Movements!$G727:$M727,1,MATCH(J$7,Movements!$G$716:$M$716,0))))
*J931*J$8,0)</f>
        <v>0</v>
      </c>
      <c r="K220" s="198">
        <f>_xlfn.IFNA(IF(K$7="Fixed",1,IF(AND($D85="yes",K$7="Block"),INDEX($O727:$Q727,1,MATCH(K$5,$I50:$K50,0)),INDEX(Movements!$G727:$M727,1,MATCH(K$7,Movements!$G$716:$M$716,0))))
*K931*K$8,0)</f>
        <v>0</v>
      </c>
      <c r="L220" s="198">
        <f>_xlfn.IFNA(IF(L$7="Fixed",1,IF(AND($D85="yes",L$7="Block"),INDEX($O727:$Q727,1,MATCH(L$5,$I50:$K50,0)),INDEX(Movements!$G727:$M727,1,MATCH(L$7,Movements!$G$716:$M$716,0))))
*L931*L$8,0)</f>
        <v>0</v>
      </c>
      <c r="M220" s="198">
        <f>_xlfn.IFNA(IF(M$7="Fixed",1,IF(AND($D85="yes",M$7="Block"),INDEX($O727:$Q727,1,MATCH(M$5,$I50:$K50,0)),INDEX(Movements!$G727:$M727,1,MATCH(M$7,Movements!$G$716:$M$716,0))))
*M931*M$8,0)</f>
        <v>0</v>
      </c>
      <c r="N220" s="198">
        <f>_xlfn.IFNA(IF(N$7="Fixed",1,IF(AND($D85="yes",N$7="Block"),INDEX($O727:$Q727,1,MATCH(N$5,$I50:$K50,0)),INDEX(Movements!$G727:$M727,1,MATCH(N$7,Movements!$G$716:$M$716,0))))
*N931*N$8,0)</f>
        <v>0</v>
      </c>
      <c r="O220" s="198">
        <f>_xlfn.IFNA(IF(O$7="Fixed",1,IF(AND($D85="yes",O$7="Block"),INDEX($O727:$Q727,1,MATCH(O$5,$I50:$K50,0)),INDEX(Movements!$G727:$M727,1,MATCH(O$7,Movements!$G$716:$M$716,0))))
*O931*O$8,0)</f>
        <v>0</v>
      </c>
      <c r="P220" s="198">
        <f>_xlfn.IFNA(IF(P$7="Fixed",1,IF(AND($D85="yes",P$7="Block"),INDEX($O727:$Q727,1,MATCH(P$5,$I50:$K50,0)),INDEX(Movements!$G727:$M727,1,MATCH(P$7,Movements!$G$716:$M$716,0))))
*P931*P$8,0)</f>
        <v>0</v>
      </c>
      <c r="Q220" s="198">
        <f>_xlfn.IFNA(IF(Q$7="Fixed",1,IF(AND($D85="yes",Q$7="Block"),INDEX($O727:$Q727,1,MATCH(Q$5,$I50:$K50,0)),INDEX(Movements!$G727:$M727,1,MATCH(Q$7,Movements!$G$716:$M$716,0))))
*Q931*Q$8,0)</f>
        <v>0</v>
      </c>
      <c r="R220" s="198">
        <f>_xlfn.IFNA(IF(R$7="Fixed",1,IF(AND($D85="yes",R$7="Block"),INDEX($O727:$Q727,1,MATCH(R$5,$I50:$K50,0)),INDEX(Movements!$G727:$M727,1,MATCH(R$7,Movements!$G$716:$M$716,0))))
*R931*R$8,0)</f>
        <v>0</v>
      </c>
      <c r="S220" s="198">
        <f>_xlfn.IFNA(IF(S$7="Fixed",1,IF(AND($D85="yes",S$7="Block"),INDEX($O727:$Q727,1,MATCH(S$5,$I50:$K50,0)),INDEX(Movements!$G727:$M727,1,MATCH(S$7,Movements!$G$716:$M$716,0))))
*S931*S$8,0)</f>
        <v>0</v>
      </c>
      <c r="T220" s="198">
        <f>_xlfn.IFNA(IF(T$7="Fixed",1,IF(AND($D85="yes",T$7="Block"),INDEX($O727:$Q727,1,MATCH(T$5,$I50:$K50,0)),INDEX(Movements!$G727:$M727,1,MATCH(T$7,Movements!$G$716:$M$716,0))))
*T931*T$8,0)</f>
        <v>0</v>
      </c>
      <c r="U220" s="198">
        <f>_xlfn.IFNA(IF(U$7="Fixed",1,IF(AND($D85="yes",U$7="Block"),INDEX($O727:$Q727,1,MATCH(U$5,$I50:$K50,0)),INDEX(Movements!$G727:$M727,1,MATCH(U$7,Movements!$G$716:$M$716,0))))
*U931*U$8,0)</f>
        <v>0</v>
      </c>
      <c r="V220" s="198">
        <f>_xlfn.IFNA(IF(V$7="Fixed",1,IF(AND($D85="yes",V$7="Block"),INDEX($O727:$Q727,1,MATCH(V$5,$I50:$K50,0)),INDEX(Movements!$G727:$M727,1,MATCH(V$7,Movements!$G$716:$M$716,0))))
*V931*V$8,0)</f>
        <v>0</v>
      </c>
      <c r="W220" s="198">
        <f>_xlfn.IFNA(IF(W$7="Fixed",1,IF(AND($D85="yes",W$7="Block"),INDEX($O727:$Q727,1,MATCH(W$5,$I50:$K50,0)),INDEX(Movements!$G727:$M727,1,MATCH(W$7,Movements!$G$716:$M$716,0))))
*W931*W$8,0)</f>
        <v>0</v>
      </c>
      <c r="X220" s="198">
        <f>_xlfn.IFNA(IF(X$7="Fixed",1,IF(AND($D85="yes",X$7="Block"),INDEX($O727:$Q727,1,MATCH(X$5,$I50:$K50,0)),INDEX(Movements!$G727:$M727,1,MATCH(X$7,Movements!$G$716:$M$716,0))))
*X931*X$8,0)</f>
        <v>0</v>
      </c>
      <c r="Y220" s="198">
        <f>_xlfn.IFNA(IF(Y$7="Fixed",1,IF(AND($D85="yes",Y$7="Block"),INDEX($O727:$Q727,1,MATCH(Y$5,$I50:$K50,0)),INDEX(Movements!$G727:$M727,1,MATCH(Y$7,Movements!$G$716:$M$716,0))))
*Y931*Y$8,0)</f>
        <v>0</v>
      </c>
      <c r="Z220" s="198">
        <f>_xlfn.IFNA(IF(Z$7="Fixed",1,IF(AND($D85="yes",Z$7="Block"),INDEX($O727:$Q727,1,MATCH(Z$5,$I50:$K50,0)),INDEX(Movements!$G727:$M727,1,MATCH(Z$7,Movements!$G$716:$M$716,0))))
*Z931*Z$8,0)</f>
        <v>0</v>
      </c>
      <c r="AA220" s="198">
        <f>_xlfn.IFNA(IF(AA$7="Fixed",1,IF(AND($D85="yes",AA$7="Block"),INDEX($O727:$Q727,1,MATCH(AA$5,$I50:$K50,0)),INDEX(Movements!$G727:$M727,1,MATCH(AA$7,Movements!$G$716:$M$716,0))))
*AA931*AA$8,0)</f>
        <v>0</v>
      </c>
      <c r="AB220" s="198">
        <f>_xlfn.IFNA(IF(AB$7="Fixed",1,IF(AND($D85="yes",AB$7="Block"),INDEX($O727:$Q727,1,MATCH(AB$5,$I50:$K50,0)),INDEX(Movements!$G727:$M727,1,MATCH(AB$7,Movements!$G$716:$M$716,0))))
*AB931*AB$8,0)</f>
        <v>0</v>
      </c>
      <c r="AC220" s="70"/>
      <c r="AD220" s="19"/>
      <c r="AE220" s="19"/>
      <c r="AF220" s="19"/>
      <c r="AG220" s="19"/>
    </row>
    <row r="221" spans="1:33" hidden="1" outlineLevel="3" x14ac:dyDescent="0.2">
      <c r="A221" s="19"/>
      <c r="B221" s="97">
        <v>10</v>
      </c>
      <c r="C221" s="506">
        <f t="shared" si="43"/>
        <v>0</v>
      </c>
      <c r="D221" s="505">
        <f t="shared" si="43"/>
        <v>0</v>
      </c>
      <c r="E221" s="505">
        <f t="shared" si="43"/>
        <v>0</v>
      </c>
      <c r="F221" s="58"/>
      <c r="G221" s="199">
        <f t="shared" si="44"/>
        <v>0</v>
      </c>
      <c r="H221" s="58"/>
      <c r="I221" s="198">
        <f>_xlfn.IFNA(IF(I$7="Fixed",1,IF(AND($D86="yes",I$7="Block"),INDEX($O728:$Q728,1,MATCH(I$5,$I51:$K51,0)),INDEX(Movements!$G728:$M728,1,MATCH(I$7,Movements!$G$716:$M$716,0))))
*I932*I$8,0)</f>
        <v>0</v>
      </c>
      <c r="J221" s="198">
        <f>_xlfn.IFNA(IF(J$7="Fixed",1,IF(AND($D86="yes",J$7="Block"),INDEX($O728:$Q728,1,MATCH(J$5,$I51:$K51,0)),INDEX(Movements!$G728:$M728,1,MATCH(J$7,Movements!$G$716:$M$716,0))))
*J932*J$8,0)</f>
        <v>0</v>
      </c>
      <c r="K221" s="198">
        <f>_xlfn.IFNA(IF(K$7="Fixed",1,IF(AND($D86="yes",K$7="Block"),INDEX($O728:$Q728,1,MATCH(K$5,$I51:$K51,0)),INDEX(Movements!$G728:$M728,1,MATCH(K$7,Movements!$G$716:$M$716,0))))
*K932*K$8,0)</f>
        <v>0</v>
      </c>
      <c r="L221" s="198">
        <f>_xlfn.IFNA(IF(L$7="Fixed",1,IF(AND($D86="yes",L$7="Block"),INDEX($O728:$Q728,1,MATCH(L$5,$I51:$K51,0)),INDEX(Movements!$G728:$M728,1,MATCH(L$7,Movements!$G$716:$M$716,0))))
*L932*L$8,0)</f>
        <v>0</v>
      </c>
      <c r="M221" s="198">
        <f>_xlfn.IFNA(IF(M$7="Fixed",1,IF(AND($D86="yes",M$7="Block"),INDEX($O728:$Q728,1,MATCH(M$5,$I51:$K51,0)),INDEX(Movements!$G728:$M728,1,MATCH(M$7,Movements!$G$716:$M$716,0))))
*M932*M$8,0)</f>
        <v>0</v>
      </c>
      <c r="N221" s="198">
        <f>_xlfn.IFNA(IF(N$7="Fixed",1,IF(AND($D86="yes",N$7="Block"),INDEX($O728:$Q728,1,MATCH(N$5,$I51:$K51,0)),INDEX(Movements!$G728:$M728,1,MATCH(N$7,Movements!$G$716:$M$716,0))))
*N932*N$8,0)</f>
        <v>0</v>
      </c>
      <c r="O221" s="198">
        <f>_xlfn.IFNA(IF(O$7="Fixed",1,IF(AND($D86="yes",O$7="Block"),INDEX($O728:$Q728,1,MATCH(O$5,$I51:$K51,0)),INDEX(Movements!$G728:$M728,1,MATCH(O$7,Movements!$G$716:$M$716,0))))
*O932*O$8,0)</f>
        <v>0</v>
      </c>
      <c r="P221" s="198">
        <f>_xlfn.IFNA(IF(P$7="Fixed",1,IF(AND($D86="yes",P$7="Block"),INDEX($O728:$Q728,1,MATCH(P$5,$I51:$K51,0)),INDEX(Movements!$G728:$M728,1,MATCH(P$7,Movements!$G$716:$M$716,0))))
*P932*P$8,0)</f>
        <v>0</v>
      </c>
      <c r="Q221" s="198">
        <f>_xlfn.IFNA(IF(Q$7="Fixed",1,IF(AND($D86="yes",Q$7="Block"),INDEX($O728:$Q728,1,MATCH(Q$5,$I51:$K51,0)),INDEX(Movements!$G728:$M728,1,MATCH(Q$7,Movements!$G$716:$M$716,0))))
*Q932*Q$8,0)</f>
        <v>0</v>
      </c>
      <c r="R221" s="198">
        <f>_xlfn.IFNA(IF(R$7="Fixed",1,IF(AND($D86="yes",R$7="Block"),INDEX($O728:$Q728,1,MATCH(R$5,$I51:$K51,0)),INDEX(Movements!$G728:$M728,1,MATCH(R$7,Movements!$G$716:$M$716,0))))
*R932*R$8,0)</f>
        <v>0</v>
      </c>
      <c r="S221" s="198">
        <f>_xlfn.IFNA(IF(S$7="Fixed",1,IF(AND($D86="yes",S$7="Block"),INDEX($O728:$Q728,1,MATCH(S$5,$I51:$K51,0)),INDEX(Movements!$G728:$M728,1,MATCH(S$7,Movements!$G$716:$M$716,0))))
*S932*S$8,0)</f>
        <v>0</v>
      </c>
      <c r="T221" s="198">
        <f>_xlfn.IFNA(IF(T$7="Fixed",1,IF(AND($D86="yes",T$7="Block"),INDEX($O728:$Q728,1,MATCH(T$5,$I51:$K51,0)),INDEX(Movements!$G728:$M728,1,MATCH(T$7,Movements!$G$716:$M$716,0))))
*T932*T$8,0)</f>
        <v>0</v>
      </c>
      <c r="U221" s="198">
        <f>_xlfn.IFNA(IF(U$7="Fixed",1,IF(AND($D86="yes",U$7="Block"),INDEX($O728:$Q728,1,MATCH(U$5,$I51:$K51,0)),INDEX(Movements!$G728:$M728,1,MATCH(U$7,Movements!$G$716:$M$716,0))))
*U932*U$8,0)</f>
        <v>0</v>
      </c>
      <c r="V221" s="198">
        <f>_xlfn.IFNA(IF(V$7="Fixed",1,IF(AND($D86="yes",V$7="Block"),INDEX($O728:$Q728,1,MATCH(V$5,$I51:$K51,0)),INDEX(Movements!$G728:$M728,1,MATCH(V$7,Movements!$G$716:$M$716,0))))
*V932*V$8,0)</f>
        <v>0</v>
      </c>
      <c r="W221" s="198">
        <f>_xlfn.IFNA(IF(W$7="Fixed",1,IF(AND($D86="yes",W$7="Block"),INDEX($O728:$Q728,1,MATCH(W$5,$I51:$K51,0)),INDEX(Movements!$G728:$M728,1,MATCH(W$7,Movements!$G$716:$M$716,0))))
*W932*W$8,0)</f>
        <v>0</v>
      </c>
      <c r="X221" s="198">
        <f>_xlfn.IFNA(IF(X$7="Fixed",1,IF(AND($D86="yes",X$7="Block"),INDEX($O728:$Q728,1,MATCH(X$5,$I51:$K51,0)),INDEX(Movements!$G728:$M728,1,MATCH(X$7,Movements!$G$716:$M$716,0))))
*X932*X$8,0)</f>
        <v>0</v>
      </c>
      <c r="Y221" s="198">
        <f>_xlfn.IFNA(IF(Y$7="Fixed",1,IF(AND($D86="yes",Y$7="Block"),INDEX($O728:$Q728,1,MATCH(Y$5,$I51:$K51,0)),INDEX(Movements!$G728:$M728,1,MATCH(Y$7,Movements!$G$716:$M$716,0))))
*Y932*Y$8,0)</f>
        <v>0</v>
      </c>
      <c r="Z221" s="198">
        <f>_xlfn.IFNA(IF(Z$7="Fixed",1,IF(AND($D86="yes",Z$7="Block"),INDEX($O728:$Q728,1,MATCH(Z$5,$I51:$K51,0)),INDEX(Movements!$G728:$M728,1,MATCH(Z$7,Movements!$G$716:$M$716,0))))
*Z932*Z$8,0)</f>
        <v>0</v>
      </c>
      <c r="AA221" s="198">
        <f>_xlfn.IFNA(IF(AA$7="Fixed",1,IF(AND($D86="yes",AA$7="Block"),INDEX($O728:$Q728,1,MATCH(AA$5,$I51:$K51,0)),INDEX(Movements!$G728:$M728,1,MATCH(AA$7,Movements!$G$716:$M$716,0))))
*AA932*AA$8,0)</f>
        <v>0</v>
      </c>
      <c r="AB221" s="198">
        <f>_xlfn.IFNA(IF(AB$7="Fixed",1,IF(AND($D86="yes",AB$7="Block"),INDEX($O728:$Q728,1,MATCH(AB$5,$I51:$K51,0)),INDEX(Movements!$G728:$M728,1,MATCH(AB$7,Movements!$G$716:$M$716,0))))
*AB932*AB$8,0)</f>
        <v>0</v>
      </c>
      <c r="AC221" s="70"/>
      <c r="AD221" s="19"/>
      <c r="AE221" s="19"/>
      <c r="AF221" s="19"/>
      <c r="AG221" s="19"/>
    </row>
    <row r="222" spans="1:33" hidden="1" outlineLevel="3" x14ac:dyDescent="0.2">
      <c r="A222" s="19"/>
      <c r="B222" s="97">
        <v>11</v>
      </c>
      <c r="C222" s="506">
        <f t="shared" si="43"/>
        <v>0</v>
      </c>
      <c r="D222" s="505">
        <f t="shared" si="43"/>
        <v>0</v>
      </c>
      <c r="E222" s="505">
        <f t="shared" si="43"/>
        <v>0</v>
      </c>
      <c r="F222" s="58"/>
      <c r="G222" s="199">
        <f t="shared" si="44"/>
        <v>0</v>
      </c>
      <c r="H222" s="58"/>
      <c r="I222" s="198">
        <f>_xlfn.IFNA(IF(I$7="Fixed",1,IF(AND($D87="yes",I$7="Block"),INDEX($O729:$Q729,1,MATCH(I$5,$I52:$K52,0)),INDEX(Movements!$G729:$M729,1,MATCH(I$7,Movements!$G$716:$M$716,0))))
*I933*I$8,0)</f>
        <v>0</v>
      </c>
      <c r="J222" s="198">
        <f>_xlfn.IFNA(IF(J$7="Fixed",1,IF(AND($D87="yes",J$7="Block"),INDEX($O729:$Q729,1,MATCH(J$5,$I52:$K52,0)),INDEX(Movements!$G729:$M729,1,MATCH(J$7,Movements!$G$716:$M$716,0))))
*J933*J$8,0)</f>
        <v>0</v>
      </c>
      <c r="K222" s="198">
        <f>_xlfn.IFNA(IF(K$7="Fixed",1,IF(AND($D87="yes",K$7="Block"),INDEX($O729:$Q729,1,MATCH(K$5,$I52:$K52,0)),INDEX(Movements!$G729:$M729,1,MATCH(K$7,Movements!$G$716:$M$716,0))))
*K933*K$8,0)</f>
        <v>0</v>
      </c>
      <c r="L222" s="198">
        <f>_xlfn.IFNA(IF(L$7="Fixed",1,IF(AND($D87="yes",L$7="Block"),INDEX($O729:$Q729,1,MATCH(L$5,$I52:$K52,0)),INDEX(Movements!$G729:$M729,1,MATCH(L$7,Movements!$G$716:$M$716,0))))
*L933*L$8,0)</f>
        <v>0</v>
      </c>
      <c r="M222" s="198">
        <f>_xlfn.IFNA(IF(M$7="Fixed",1,IF(AND($D87="yes",M$7="Block"),INDEX($O729:$Q729,1,MATCH(M$5,$I52:$K52,0)),INDEX(Movements!$G729:$M729,1,MATCH(M$7,Movements!$G$716:$M$716,0))))
*M933*M$8,0)</f>
        <v>0</v>
      </c>
      <c r="N222" s="198">
        <f>_xlfn.IFNA(IF(N$7="Fixed",1,IF(AND($D87="yes",N$7="Block"),INDEX($O729:$Q729,1,MATCH(N$5,$I52:$K52,0)),INDEX(Movements!$G729:$M729,1,MATCH(N$7,Movements!$G$716:$M$716,0))))
*N933*N$8,0)</f>
        <v>0</v>
      </c>
      <c r="O222" s="198">
        <f>_xlfn.IFNA(IF(O$7="Fixed",1,IF(AND($D87="yes",O$7="Block"),INDEX($O729:$Q729,1,MATCH(O$5,$I52:$K52,0)),INDEX(Movements!$G729:$M729,1,MATCH(O$7,Movements!$G$716:$M$716,0))))
*O933*O$8,0)</f>
        <v>0</v>
      </c>
      <c r="P222" s="198">
        <f>_xlfn.IFNA(IF(P$7="Fixed",1,IF(AND($D87="yes",P$7="Block"),INDEX($O729:$Q729,1,MATCH(P$5,$I52:$K52,0)),INDEX(Movements!$G729:$M729,1,MATCH(P$7,Movements!$G$716:$M$716,0))))
*P933*P$8,0)</f>
        <v>0</v>
      </c>
      <c r="Q222" s="198">
        <f>_xlfn.IFNA(IF(Q$7="Fixed",1,IF(AND($D87="yes",Q$7="Block"),INDEX($O729:$Q729,1,MATCH(Q$5,$I52:$K52,0)),INDEX(Movements!$G729:$M729,1,MATCH(Q$7,Movements!$G$716:$M$716,0))))
*Q933*Q$8,0)</f>
        <v>0</v>
      </c>
      <c r="R222" s="198">
        <f>_xlfn.IFNA(IF(R$7="Fixed",1,IF(AND($D87="yes",R$7="Block"),INDEX($O729:$Q729,1,MATCH(R$5,$I52:$K52,0)),INDEX(Movements!$G729:$M729,1,MATCH(R$7,Movements!$G$716:$M$716,0))))
*R933*R$8,0)</f>
        <v>0</v>
      </c>
      <c r="S222" s="198">
        <f>_xlfn.IFNA(IF(S$7="Fixed",1,IF(AND($D87="yes",S$7="Block"),INDEX($O729:$Q729,1,MATCH(S$5,$I52:$K52,0)),INDEX(Movements!$G729:$M729,1,MATCH(S$7,Movements!$G$716:$M$716,0))))
*S933*S$8,0)</f>
        <v>0</v>
      </c>
      <c r="T222" s="198">
        <f>_xlfn.IFNA(IF(T$7="Fixed",1,IF(AND($D87="yes",T$7="Block"),INDEX($O729:$Q729,1,MATCH(T$5,$I52:$K52,0)),INDEX(Movements!$G729:$M729,1,MATCH(T$7,Movements!$G$716:$M$716,0))))
*T933*T$8,0)</f>
        <v>0</v>
      </c>
      <c r="U222" s="198">
        <f>_xlfn.IFNA(IF(U$7="Fixed",1,IF(AND($D87="yes",U$7="Block"),INDEX($O729:$Q729,1,MATCH(U$5,$I52:$K52,0)),INDEX(Movements!$G729:$M729,1,MATCH(U$7,Movements!$G$716:$M$716,0))))
*U933*U$8,0)</f>
        <v>0</v>
      </c>
      <c r="V222" s="198">
        <f>_xlfn.IFNA(IF(V$7="Fixed",1,IF(AND($D87="yes",V$7="Block"),INDEX($O729:$Q729,1,MATCH(V$5,$I52:$K52,0)),INDEX(Movements!$G729:$M729,1,MATCH(V$7,Movements!$G$716:$M$716,0))))
*V933*V$8,0)</f>
        <v>0</v>
      </c>
      <c r="W222" s="198">
        <f>_xlfn.IFNA(IF(W$7="Fixed",1,IF(AND($D87="yes",W$7="Block"),INDEX($O729:$Q729,1,MATCH(W$5,$I52:$K52,0)),INDEX(Movements!$G729:$M729,1,MATCH(W$7,Movements!$G$716:$M$716,0))))
*W933*W$8,0)</f>
        <v>0</v>
      </c>
      <c r="X222" s="198">
        <f>_xlfn.IFNA(IF(X$7="Fixed",1,IF(AND($D87="yes",X$7="Block"),INDEX($O729:$Q729,1,MATCH(X$5,$I52:$K52,0)),INDEX(Movements!$G729:$M729,1,MATCH(X$7,Movements!$G$716:$M$716,0))))
*X933*X$8,0)</f>
        <v>0</v>
      </c>
      <c r="Y222" s="198">
        <f>_xlfn.IFNA(IF(Y$7="Fixed",1,IF(AND($D87="yes",Y$7="Block"),INDEX($O729:$Q729,1,MATCH(Y$5,$I52:$K52,0)),INDEX(Movements!$G729:$M729,1,MATCH(Y$7,Movements!$G$716:$M$716,0))))
*Y933*Y$8,0)</f>
        <v>0</v>
      </c>
      <c r="Z222" s="198">
        <f>_xlfn.IFNA(IF(Z$7="Fixed",1,IF(AND($D87="yes",Z$7="Block"),INDEX($O729:$Q729,1,MATCH(Z$5,$I52:$K52,0)),INDEX(Movements!$G729:$M729,1,MATCH(Z$7,Movements!$G$716:$M$716,0))))
*Z933*Z$8,0)</f>
        <v>0</v>
      </c>
      <c r="AA222" s="198">
        <f>_xlfn.IFNA(IF(AA$7="Fixed",1,IF(AND($D87="yes",AA$7="Block"),INDEX($O729:$Q729,1,MATCH(AA$5,$I52:$K52,0)),INDEX(Movements!$G729:$M729,1,MATCH(AA$7,Movements!$G$716:$M$716,0))))
*AA933*AA$8,0)</f>
        <v>0</v>
      </c>
      <c r="AB222" s="198">
        <f>_xlfn.IFNA(IF(AB$7="Fixed",1,IF(AND($D87="yes",AB$7="Block"),INDEX($O729:$Q729,1,MATCH(AB$5,$I52:$K52,0)),INDEX(Movements!$G729:$M729,1,MATCH(AB$7,Movements!$G$716:$M$716,0))))
*AB933*AB$8,0)</f>
        <v>0</v>
      </c>
      <c r="AC222" s="70"/>
      <c r="AD222" s="19"/>
      <c r="AE222" s="19"/>
      <c r="AF222" s="19"/>
      <c r="AG222" s="19"/>
    </row>
    <row r="223" spans="1:33" hidden="1" outlineLevel="3" x14ac:dyDescent="0.2">
      <c r="A223" s="19"/>
      <c r="B223" s="97">
        <v>12</v>
      </c>
      <c r="C223" s="506">
        <f t="shared" si="43"/>
        <v>0</v>
      </c>
      <c r="D223" s="505">
        <f t="shared" si="43"/>
        <v>0</v>
      </c>
      <c r="E223" s="505">
        <f t="shared" si="43"/>
        <v>0</v>
      </c>
      <c r="F223" s="58"/>
      <c r="G223" s="199">
        <f t="shared" si="44"/>
        <v>0</v>
      </c>
      <c r="H223" s="58"/>
      <c r="I223" s="198">
        <f>_xlfn.IFNA(IF(I$7="Fixed",1,IF(AND($D88="yes",I$7="Block"),INDEX($O730:$Q730,1,MATCH(I$5,$I53:$K53,0)),INDEX(Movements!$G730:$M730,1,MATCH(I$7,Movements!$G$716:$M$716,0))))
*I934*I$8,0)</f>
        <v>0</v>
      </c>
      <c r="J223" s="198">
        <f>_xlfn.IFNA(IF(J$7="Fixed",1,IF(AND($D88="yes",J$7="Block"),INDEX($O730:$Q730,1,MATCH(J$5,$I53:$K53,0)),INDEX(Movements!$G730:$M730,1,MATCH(J$7,Movements!$G$716:$M$716,0))))
*J934*J$8,0)</f>
        <v>0</v>
      </c>
      <c r="K223" s="198">
        <f>_xlfn.IFNA(IF(K$7="Fixed",1,IF(AND($D88="yes",K$7="Block"),INDEX($O730:$Q730,1,MATCH(K$5,$I53:$K53,0)),INDEX(Movements!$G730:$M730,1,MATCH(K$7,Movements!$G$716:$M$716,0))))
*K934*K$8,0)</f>
        <v>0</v>
      </c>
      <c r="L223" s="198">
        <f>_xlfn.IFNA(IF(L$7="Fixed",1,IF(AND($D88="yes",L$7="Block"),INDEX($O730:$Q730,1,MATCH(L$5,$I53:$K53,0)),INDEX(Movements!$G730:$M730,1,MATCH(L$7,Movements!$G$716:$M$716,0))))
*L934*L$8,0)</f>
        <v>0</v>
      </c>
      <c r="M223" s="198">
        <f>_xlfn.IFNA(IF(M$7="Fixed",1,IF(AND($D88="yes",M$7="Block"),INDEX($O730:$Q730,1,MATCH(M$5,$I53:$K53,0)),INDEX(Movements!$G730:$M730,1,MATCH(M$7,Movements!$G$716:$M$716,0))))
*M934*M$8,0)</f>
        <v>0</v>
      </c>
      <c r="N223" s="198">
        <f>_xlfn.IFNA(IF(N$7="Fixed",1,IF(AND($D88="yes",N$7="Block"),INDEX($O730:$Q730,1,MATCH(N$5,$I53:$K53,0)),INDEX(Movements!$G730:$M730,1,MATCH(N$7,Movements!$G$716:$M$716,0))))
*N934*N$8,0)</f>
        <v>0</v>
      </c>
      <c r="O223" s="198">
        <f>_xlfn.IFNA(IF(O$7="Fixed",1,IF(AND($D88="yes",O$7="Block"),INDEX($O730:$Q730,1,MATCH(O$5,$I53:$K53,0)),INDEX(Movements!$G730:$M730,1,MATCH(O$7,Movements!$G$716:$M$716,0))))
*O934*O$8,0)</f>
        <v>0</v>
      </c>
      <c r="P223" s="198">
        <f>_xlfn.IFNA(IF(P$7="Fixed",1,IF(AND($D88="yes",P$7="Block"),INDEX($O730:$Q730,1,MATCH(P$5,$I53:$K53,0)),INDEX(Movements!$G730:$M730,1,MATCH(P$7,Movements!$G$716:$M$716,0))))
*P934*P$8,0)</f>
        <v>0</v>
      </c>
      <c r="Q223" s="198">
        <f>_xlfn.IFNA(IF(Q$7="Fixed",1,IF(AND($D88="yes",Q$7="Block"),INDEX($O730:$Q730,1,MATCH(Q$5,$I53:$K53,0)),INDEX(Movements!$G730:$M730,1,MATCH(Q$7,Movements!$G$716:$M$716,0))))
*Q934*Q$8,0)</f>
        <v>0</v>
      </c>
      <c r="R223" s="198">
        <f>_xlfn.IFNA(IF(R$7="Fixed",1,IF(AND($D88="yes",R$7="Block"),INDEX($O730:$Q730,1,MATCH(R$5,$I53:$K53,0)),INDEX(Movements!$G730:$M730,1,MATCH(R$7,Movements!$G$716:$M$716,0))))
*R934*R$8,0)</f>
        <v>0</v>
      </c>
      <c r="S223" s="198">
        <f>_xlfn.IFNA(IF(S$7="Fixed",1,IF(AND($D88="yes",S$7="Block"),INDEX($O730:$Q730,1,MATCH(S$5,$I53:$K53,0)),INDEX(Movements!$G730:$M730,1,MATCH(S$7,Movements!$G$716:$M$716,0))))
*S934*S$8,0)</f>
        <v>0</v>
      </c>
      <c r="T223" s="198">
        <f>_xlfn.IFNA(IF(T$7="Fixed",1,IF(AND($D88="yes",T$7="Block"),INDEX($O730:$Q730,1,MATCH(T$5,$I53:$K53,0)),INDEX(Movements!$G730:$M730,1,MATCH(T$7,Movements!$G$716:$M$716,0))))
*T934*T$8,0)</f>
        <v>0</v>
      </c>
      <c r="U223" s="198">
        <f>_xlfn.IFNA(IF(U$7="Fixed",1,IF(AND($D88="yes",U$7="Block"),INDEX($O730:$Q730,1,MATCH(U$5,$I53:$K53,0)),INDEX(Movements!$G730:$M730,1,MATCH(U$7,Movements!$G$716:$M$716,0))))
*U934*U$8,0)</f>
        <v>0</v>
      </c>
      <c r="V223" s="198">
        <f>_xlfn.IFNA(IF(V$7="Fixed",1,IF(AND($D88="yes",V$7="Block"),INDEX($O730:$Q730,1,MATCH(V$5,$I53:$K53,0)),INDEX(Movements!$G730:$M730,1,MATCH(V$7,Movements!$G$716:$M$716,0))))
*V934*V$8,0)</f>
        <v>0</v>
      </c>
      <c r="W223" s="198">
        <f>_xlfn.IFNA(IF(W$7="Fixed",1,IF(AND($D88="yes",W$7="Block"),INDEX($O730:$Q730,1,MATCH(W$5,$I53:$K53,0)),INDEX(Movements!$G730:$M730,1,MATCH(W$7,Movements!$G$716:$M$716,0))))
*W934*W$8,0)</f>
        <v>0</v>
      </c>
      <c r="X223" s="198">
        <f>_xlfn.IFNA(IF(X$7="Fixed",1,IF(AND($D88="yes",X$7="Block"),INDEX($O730:$Q730,1,MATCH(X$5,$I53:$K53,0)),INDEX(Movements!$G730:$M730,1,MATCH(X$7,Movements!$G$716:$M$716,0))))
*X934*X$8,0)</f>
        <v>0</v>
      </c>
      <c r="Y223" s="198">
        <f>_xlfn.IFNA(IF(Y$7="Fixed",1,IF(AND($D88="yes",Y$7="Block"),INDEX($O730:$Q730,1,MATCH(Y$5,$I53:$K53,0)),INDEX(Movements!$G730:$M730,1,MATCH(Y$7,Movements!$G$716:$M$716,0))))
*Y934*Y$8,0)</f>
        <v>0</v>
      </c>
      <c r="Z223" s="198">
        <f>_xlfn.IFNA(IF(Z$7="Fixed",1,IF(AND($D88="yes",Z$7="Block"),INDEX($O730:$Q730,1,MATCH(Z$5,$I53:$K53,0)),INDEX(Movements!$G730:$M730,1,MATCH(Z$7,Movements!$G$716:$M$716,0))))
*Z934*Z$8,0)</f>
        <v>0</v>
      </c>
      <c r="AA223" s="198">
        <f>_xlfn.IFNA(IF(AA$7="Fixed",1,IF(AND($D88="yes",AA$7="Block"),INDEX($O730:$Q730,1,MATCH(AA$5,$I53:$K53,0)),INDEX(Movements!$G730:$M730,1,MATCH(AA$7,Movements!$G$716:$M$716,0))))
*AA934*AA$8,0)</f>
        <v>0</v>
      </c>
      <c r="AB223" s="198">
        <f>_xlfn.IFNA(IF(AB$7="Fixed",1,IF(AND($D88="yes",AB$7="Block"),INDEX($O730:$Q730,1,MATCH(AB$5,$I53:$K53,0)),INDEX(Movements!$G730:$M730,1,MATCH(AB$7,Movements!$G$716:$M$716,0))))
*AB934*AB$8,0)</f>
        <v>0</v>
      </c>
      <c r="AC223" s="70"/>
      <c r="AD223" s="19"/>
      <c r="AE223" s="19"/>
      <c r="AF223" s="19"/>
      <c r="AG223" s="19"/>
    </row>
    <row r="224" spans="1:33" hidden="1" outlineLevel="3" x14ac:dyDescent="0.2">
      <c r="A224" s="19"/>
      <c r="B224" s="97">
        <v>13</v>
      </c>
      <c r="C224" s="506">
        <f t="shared" si="43"/>
        <v>0</v>
      </c>
      <c r="D224" s="505">
        <f t="shared" si="43"/>
        <v>0</v>
      </c>
      <c r="E224" s="505">
        <f t="shared" si="43"/>
        <v>0</v>
      </c>
      <c r="F224" s="58"/>
      <c r="G224" s="199">
        <f t="shared" si="44"/>
        <v>0</v>
      </c>
      <c r="H224" s="58"/>
      <c r="I224" s="198">
        <f>_xlfn.IFNA(IF(I$7="Fixed",1,IF(AND($D89="yes",I$7="Block"),INDEX($O731:$Q731,1,MATCH(I$5,$I54:$K54,0)),INDEX(Movements!$G731:$M731,1,MATCH(I$7,Movements!$G$716:$M$716,0))))
*I935*I$8,0)</f>
        <v>0</v>
      </c>
      <c r="J224" s="198">
        <f>_xlfn.IFNA(IF(J$7="Fixed",1,IF(AND($D89="yes",J$7="Block"),INDEX($O731:$Q731,1,MATCH(J$5,$I54:$K54,0)),INDEX(Movements!$G731:$M731,1,MATCH(J$7,Movements!$G$716:$M$716,0))))
*J935*J$8,0)</f>
        <v>0</v>
      </c>
      <c r="K224" s="198">
        <f>_xlfn.IFNA(IF(K$7="Fixed",1,IF(AND($D89="yes",K$7="Block"),INDEX($O731:$Q731,1,MATCH(K$5,$I54:$K54,0)),INDEX(Movements!$G731:$M731,1,MATCH(K$7,Movements!$G$716:$M$716,0))))
*K935*K$8,0)</f>
        <v>0</v>
      </c>
      <c r="L224" s="198">
        <f>_xlfn.IFNA(IF(L$7="Fixed",1,IF(AND($D89="yes",L$7="Block"),INDEX($O731:$Q731,1,MATCH(L$5,$I54:$K54,0)),INDEX(Movements!$G731:$M731,1,MATCH(L$7,Movements!$G$716:$M$716,0))))
*L935*L$8,0)</f>
        <v>0</v>
      </c>
      <c r="M224" s="198">
        <f>_xlfn.IFNA(IF(M$7="Fixed",1,IF(AND($D89="yes",M$7="Block"),INDEX($O731:$Q731,1,MATCH(M$5,$I54:$K54,0)),INDEX(Movements!$G731:$M731,1,MATCH(M$7,Movements!$G$716:$M$716,0))))
*M935*M$8,0)</f>
        <v>0</v>
      </c>
      <c r="N224" s="198">
        <f>_xlfn.IFNA(IF(N$7="Fixed",1,IF(AND($D89="yes",N$7="Block"),INDEX($O731:$Q731,1,MATCH(N$5,$I54:$K54,0)),INDEX(Movements!$G731:$M731,1,MATCH(N$7,Movements!$G$716:$M$716,0))))
*N935*N$8,0)</f>
        <v>0</v>
      </c>
      <c r="O224" s="198">
        <f>_xlfn.IFNA(IF(O$7="Fixed",1,IF(AND($D89="yes",O$7="Block"),INDEX($O731:$Q731,1,MATCH(O$5,$I54:$K54,0)),INDEX(Movements!$G731:$M731,1,MATCH(O$7,Movements!$G$716:$M$716,0))))
*O935*O$8,0)</f>
        <v>0</v>
      </c>
      <c r="P224" s="198">
        <f>_xlfn.IFNA(IF(P$7="Fixed",1,IF(AND($D89="yes",P$7="Block"),INDEX($O731:$Q731,1,MATCH(P$5,$I54:$K54,0)),INDEX(Movements!$G731:$M731,1,MATCH(P$7,Movements!$G$716:$M$716,0))))
*P935*P$8,0)</f>
        <v>0</v>
      </c>
      <c r="Q224" s="198">
        <f>_xlfn.IFNA(IF(Q$7="Fixed",1,IF(AND($D89="yes",Q$7="Block"),INDEX($O731:$Q731,1,MATCH(Q$5,$I54:$K54,0)),INDEX(Movements!$G731:$M731,1,MATCH(Q$7,Movements!$G$716:$M$716,0))))
*Q935*Q$8,0)</f>
        <v>0</v>
      </c>
      <c r="R224" s="198">
        <f>_xlfn.IFNA(IF(R$7="Fixed",1,IF(AND($D89="yes",R$7="Block"),INDEX($O731:$Q731,1,MATCH(R$5,$I54:$K54,0)),INDEX(Movements!$G731:$M731,1,MATCH(R$7,Movements!$G$716:$M$716,0))))
*R935*R$8,0)</f>
        <v>0</v>
      </c>
      <c r="S224" s="198">
        <f>_xlfn.IFNA(IF(S$7="Fixed",1,IF(AND($D89="yes",S$7="Block"),INDEX($O731:$Q731,1,MATCH(S$5,$I54:$K54,0)),INDEX(Movements!$G731:$M731,1,MATCH(S$7,Movements!$G$716:$M$716,0))))
*S935*S$8,0)</f>
        <v>0</v>
      </c>
      <c r="T224" s="198">
        <f>_xlfn.IFNA(IF(T$7="Fixed",1,IF(AND($D89="yes",T$7="Block"),INDEX($O731:$Q731,1,MATCH(T$5,$I54:$K54,0)),INDEX(Movements!$G731:$M731,1,MATCH(T$7,Movements!$G$716:$M$716,0))))
*T935*T$8,0)</f>
        <v>0</v>
      </c>
      <c r="U224" s="198">
        <f>_xlfn.IFNA(IF(U$7="Fixed",1,IF(AND($D89="yes",U$7="Block"),INDEX($O731:$Q731,1,MATCH(U$5,$I54:$K54,0)),INDEX(Movements!$G731:$M731,1,MATCH(U$7,Movements!$G$716:$M$716,0))))
*U935*U$8,0)</f>
        <v>0</v>
      </c>
      <c r="V224" s="198">
        <f>_xlfn.IFNA(IF(V$7="Fixed",1,IF(AND($D89="yes",V$7="Block"),INDEX($O731:$Q731,1,MATCH(V$5,$I54:$K54,0)),INDEX(Movements!$G731:$M731,1,MATCH(V$7,Movements!$G$716:$M$716,0))))
*V935*V$8,0)</f>
        <v>0</v>
      </c>
      <c r="W224" s="198">
        <f>_xlfn.IFNA(IF(W$7="Fixed",1,IF(AND($D89="yes",W$7="Block"),INDEX($O731:$Q731,1,MATCH(W$5,$I54:$K54,0)),INDEX(Movements!$G731:$M731,1,MATCH(W$7,Movements!$G$716:$M$716,0))))
*W935*W$8,0)</f>
        <v>0</v>
      </c>
      <c r="X224" s="198">
        <f>_xlfn.IFNA(IF(X$7="Fixed",1,IF(AND($D89="yes",X$7="Block"),INDEX($O731:$Q731,1,MATCH(X$5,$I54:$K54,0)),INDEX(Movements!$G731:$M731,1,MATCH(X$7,Movements!$G$716:$M$716,0))))
*X935*X$8,0)</f>
        <v>0</v>
      </c>
      <c r="Y224" s="198">
        <f>_xlfn.IFNA(IF(Y$7="Fixed",1,IF(AND($D89="yes",Y$7="Block"),INDEX($O731:$Q731,1,MATCH(Y$5,$I54:$K54,0)),INDEX(Movements!$G731:$M731,1,MATCH(Y$7,Movements!$G$716:$M$716,0))))
*Y935*Y$8,0)</f>
        <v>0</v>
      </c>
      <c r="Z224" s="198">
        <f>_xlfn.IFNA(IF(Z$7="Fixed",1,IF(AND($D89="yes",Z$7="Block"),INDEX($O731:$Q731,1,MATCH(Z$5,$I54:$K54,0)),INDEX(Movements!$G731:$M731,1,MATCH(Z$7,Movements!$G$716:$M$716,0))))
*Z935*Z$8,0)</f>
        <v>0</v>
      </c>
      <c r="AA224" s="198">
        <f>_xlfn.IFNA(IF(AA$7="Fixed",1,IF(AND($D89="yes",AA$7="Block"),INDEX($O731:$Q731,1,MATCH(AA$5,$I54:$K54,0)),INDEX(Movements!$G731:$M731,1,MATCH(AA$7,Movements!$G$716:$M$716,0))))
*AA935*AA$8,0)</f>
        <v>0</v>
      </c>
      <c r="AB224" s="198">
        <f>_xlfn.IFNA(IF(AB$7="Fixed",1,IF(AND($D89="yes",AB$7="Block"),INDEX($O731:$Q731,1,MATCH(AB$5,$I54:$K54,0)),INDEX(Movements!$G731:$M731,1,MATCH(AB$7,Movements!$G$716:$M$716,0))))
*AB935*AB$8,0)</f>
        <v>0</v>
      </c>
      <c r="AC224" s="70"/>
      <c r="AD224" s="19"/>
      <c r="AE224" s="19"/>
      <c r="AF224" s="19"/>
      <c r="AG224" s="19"/>
    </row>
    <row r="225" spans="1:33" hidden="1" outlineLevel="3" x14ac:dyDescent="0.2">
      <c r="A225" s="19"/>
      <c r="B225" s="97">
        <v>14</v>
      </c>
      <c r="C225" s="506">
        <f t="shared" si="43"/>
        <v>0</v>
      </c>
      <c r="D225" s="505">
        <f t="shared" si="43"/>
        <v>0</v>
      </c>
      <c r="E225" s="505">
        <f t="shared" si="43"/>
        <v>0</v>
      </c>
      <c r="F225" s="58"/>
      <c r="G225" s="199">
        <f t="shared" si="44"/>
        <v>0</v>
      </c>
      <c r="H225" s="58"/>
      <c r="I225" s="198">
        <f>_xlfn.IFNA(IF(I$7="Fixed",1,IF(AND($D90="yes",I$7="Block"),INDEX($O732:$Q732,1,MATCH(I$5,$I55:$K55,0)),INDEX(Movements!$G732:$M732,1,MATCH(I$7,Movements!$G$716:$M$716,0))))
*I936*I$8,0)</f>
        <v>0</v>
      </c>
      <c r="J225" s="198">
        <f>_xlfn.IFNA(IF(J$7="Fixed",1,IF(AND($D90="yes",J$7="Block"),INDEX($O732:$Q732,1,MATCH(J$5,$I55:$K55,0)),INDEX(Movements!$G732:$M732,1,MATCH(J$7,Movements!$G$716:$M$716,0))))
*J936*J$8,0)</f>
        <v>0</v>
      </c>
      <c r="K225" s="198">
        <f>_xlfn.IFNA(IF(K$7="Fixed",1,IF(AND($D90="yes",K$7="Block"),INDEX($O732:$Q732,1,MATCH(K$5,$I55:$K55,0)),INDEX(Movements!$G732:$M732,1,MATCH(K$7,Movements!$G$716:$M$716,0))))
*K936*K$8,0)</f>
        <v>0</v>
      </c>
      <c r="L225" s="198">
        <f>_xlfn.IFNA(IF(L$7="Fixed",1,IF(AND($D90="yes",L$7="Block"),INDEX($O732:$Q732,1,MATCH(L$5,$I55:$K55,0)),INDEX(Movements!$G732:$M732,1,MATCH(L$7,Movements!$G$716:$M$716,0))))
*L936*L$8,0)</f>
        <v>0</v>
      </c>
      <c r="M225" s="198">
        <f>_xlfn.IFNA(IF(M$7="Fixed",1,IF(AND($D90="yes",M$7="Block"),INDEX($O732:$Q732,1,MATCH(M$5,$I55:$K55,0)),INDEX(Movements!$G732:$M732,1,MATCH(M$7,Movements!$G$716:$M$716,0))))
*M936*M$8,0)</f>
        <v>0</v>
      </c>
      <c r="N225" s="198">
        <f>_xlfn.IFNA(IF(N$7="Fixed",1,IF(AND($D90="yes",N$7="Block"),INDEX($O732:$Q732,1,MATCH(N$5,$I55:$K55,0)),INDEX(Movements!$G732:$M732,1,MATCH(N$7,Movements!$G$716:$M$716,0))))
*N936*N$8,0)</f>
        <v>0</v>
      </c>
      <c r="O225" s="198">
        <f>_xlfn.IFNA(IF(O$7="Fixed",1,IF(AND($D90="yes",O$7="Block"),INDEX($O732:$Q732,1,MATCH(O$5,$I55:$K55,0)),INDEX(Movements!$G732:$M732,1,MATCH(O$7,Movements!$G$716:$M$716,0))))
*O936*O$8,0)</f>
        <v>0</v>
      </c>
      <c r="P225" s="198">
        <f>_xlfn.IFNA(IF(P$7="Fixed",1,IF(AND($D90="yes",P$7="Block"),INDEX($O732:$Q732,1,MATCH(P$5,$I55:$K55,0)),INDEX(Movements!$G732:$M732,1,MATCH(P$7,Movements!$G$716:$M$716,0))))
*P936*P$8,0)</f>
        <v>0</v>
      </c>
      <c r="Q225" s="198">
        <f>_xlfn.IFNA(IF(Q$7="Fixed",1,IF(AND($D90="yes",Q$7="Block"),INDEX($O732:$Q732,1,MATCH(Q$5,$I55:$K55,0)),INDEX(Movements!$G732:$M732,1,MATCH(Q$7,Movements!$G$716:$M$716,0))))
*Q936*Q$8,0)</f>
        <v>0</v>
      </c>
      <c r="R225" s="198">
        <f>_xlfn.IFNA(IF(R$7="Fixed",1,IF(AND($D90="yes",R$7="Block"),INDEX($O732:$Q732,1,MATCH(R$5,$I55:$K55,0)),INDEX(Movements!$G732:$M732,1,MATCH(R$7,Movements!$G$716:$M$716,0))))
*R936*R$8,0)</f>
        <v>0</v>
      </c>
      <c r="S225" s="198">
        <f>_xlfn.IFNA(IF(S$7="Fixed",1,IF(AND($D90="yes",S$7="Block"),INDEX($O732:$Q732,1,MATCH(S$5,$I55:$K55,0)),INDEX(Movements!$G732:$M732,1,MATCH(S$7,Movements!$G$716:$M$716,0))))
*S936*S$8,0)</f>
        <v>0</v>
      </c>
      <c r="T225" s="198">
        <f>_xlfn.IFNA(IF(T$7="Fixed",1,IF(AND($D90="yes",T$7="Block"),INDEX($O732:$Q732,1,MATCH(T$5,$I55:$K55,0)),INDEX(Movements!$G732:$M732,1,MATCH(T$7,Movements!$G$716:$M$716,0))))
*T936*T$8,0)</f>
        <v>0</v>
      </c>
      <c r="U225" s="198">
        <f>_xlfn.IFNA(IF(U$7="Fixed",1,IF(AND($D90="yes",U$7="Block"),INDEX($O732:$Q732,1,MATCH(U$5,$I55:$K55,0)),INDEX(Movements!$G732:$M732,1,MATCH(U$7,Movements!$G$716:$M$716,0))))
*U936*U$8,0)</f>
        <v>0</v>
      </c>
      <c r="V225" s="198">
        <f>_xlfn.IFNA(IF(V$7="Fixed",1,IF(AND($D90="yes",V$7="Block"),INDEX($O732:$Q732,1,MATCH(V$5,$I55:$K55,0)),INDEX(Movements!$G732:$M732,1,MATCH(V$7,Movements!$G$716:$M$716,0))))
*V936*V$8,0)</f>
        <v>0</v>
      </c>
      <c r="W225" s="198">
        <f>_xlfn.IFNA(IF(W$7="Fixed",1,IF(AND($D90="yes",W$7="Block"),INDEX($O732:$Q732,1,MATCH(W$5,$I55:$K55,0)),INDEX(Movements!$G732:$M732,1,MATCH(W$7,Movements!$G$716:$M$716,0))))
*W936*W$8,0)</f>
        <v>0</v>
      </c>
      <c r="X225" s="198">
        <f>_xlfn.IFNA(IF(X$7="Fixed",1,IF(AND($D90="yes",X$7="Block"),INDEX($O732:$Q732,1,MATCH(X$5,$I55:$K55,0)),INDEX(Movements!$G732:$M732,1,MATCH(X$7,Movements!$G$716:$M$716,0))))
*X936*X$8,0)</f>
        <v>0</v>
      </c>
      <c r="Y225" s="198">
        <f>_xlfn.IFNA(IF(Y$7="Fixed",1,IF(AND($D90="yes",Y$7="Block"),INDEX($O732:$Q732,1,MATCH(Y$5,$I55:$K55,0)),INDEX(Movements!$G732:$M732,1,MATCH(Y$7,Movements!$G$716:$M$716,0))))
*Y936*Y$8,0)</f>
        <v>0</v>
      </c>
      <c r="Z225" s="198">
        <f>_xlfn.IFNA(IF(Z$7="Fixed",1,IF(AND($D90="yes",Z$7="Block"),INDEX($O732:$Q732,1,MATCH(Z$5,$I55:$K55,0)),INDEX(Movements!$G732:$M732,1,MATCH(Z$7,Movements!$G$716:$M$716,0))))
*Z936*Z$8,0)</f>
        <v>0</v>
      </c>
      <c r="AA225" s="198">
        <f>_xlfn.IFNA(IF(AA$7="Fixed",1,IF(AND($D90="yes",AA$7="Block"),INDEX($O732:$Q732,1,MATCH(AA$5,$I55:$K55,0)),INDEX(Movements!$G732:$M732,1,MATCH(AA$7,Movements!$G$716:$M$716,0))))
*AA936*AA$8,0)</f>
        <v>0</v>
      </c>
      <c r="AB225" s="198">
        <f>_xlfn.IFNA(IF(AB$7="Fixed",1,IF(AND($D90="yes",AB$7="Block"),INDEX($O732:$Q732,1,MATCH(AB$5,$I55:$K55,0)),INDEX(Movements!$G732:$M732,1,MATCH(AB$7,Movements!$G$716:$M$716,0))))
*AB936*AB$8,0)</f>
        <v>0</v>
      </c>
      <c r="AC225" s="70"/>
      <c r="AD225" s="19"/>
      <c r="AE225" s="19"/>
      <c r="AF225" s="19"/>
      <c r="AG225" s="19"/>
    </row>
    <row r="226" spans="1:33" hidden="1" outlineLevel="3" x14ac:dyDescent="0.2">
      <c r="A226" s="19"/>
      <c r="B226" s="97">
        <v>15</v>
      </c>
      <c r="C226" s="506">
        <f t="shared" si="43"/>
        <v>0</v>
      </c>
      <c r="D226" s="505">
        <f t="shared" si="43"/>
        <v>0</v>
      </c>
      <c r="E226" s="505">
        <f t="shared" si="43"/>
        <v>0</v>
      </c>
      <c r="F226" s="58"/>
      <c r="G226" s="199">
        <f t="shared" si="44"/>
        <v>0</v>
      </c>
      <c r="H226" s="58"/>
      <c r="I226" s="198">
        <f>_xlfn.IFNA(IF(I$7="Fixed",1,IF(AND($D91="yes",I$7="Block"),INDEX($O733:$Q733,1,MATCH(I$5,$I56:$K56,0)),INDEX(Movements!$G733:$M733,1,MATCH(I$7,Movements!$G$716:$M$716,0))))
*I937*I$8,0)</f>
        <v>0</v>
      </c>
      <c r="J226" s="198">
        <f>_xlfn.IFNA(IF(J$7="Fixed",1,IF(AND($D91="yes",J$7="Block"),INDEX($O733:$Q733,1,MATCH(J$5,$I56:$K56,0)),INDEX(Movements!$G733:$M733,1,MATCH(J$7,Movements!$G$716:$M$716,0))))
*J937*J$8,0)</f>
        <v>0</v>
      </c>
      <c r="K226" s="198">
        <f>_xlfn.IFNA(IF(K$7="Fixed",1,IF(AND($D91="yes",K$7="Block"),INDEX($O733:$Q733,1,MATCH(K$5,$I56:$K56,0)),INDEX(Movements!$G733:$M733,1,MATCH(K$7,Movements!$G$716:$M$716,0))))
*K937*K$8,0)</f>
        <v>0</v>
      </c>
      <c r="L226" s="198">
        <f>_xlfn.IFNA(IF(L$7="Fixed",1,IF(AND($D91="yes",L$7="Block"),INDEX($O733:$Q733,1,MATCH(L$5,$I56:$K56,0)),INDEX(Movements!$G733:$M733,1,MATCH(L$7,Movements!$G$716:$M$716,0))))
*L937*L$8,0)</f>
        <v>0</v>
      </c>
      <c r="M226" s="198">
        <f>_xlfn.IFNA(IF(M$7="Fixed",1,IF(AND($D91="yes",M$7="Block"),INDEX($O733:$Q733,1,MATCH(M$5,$I56:$K56,0)),INDEX(Movements!$G733:$M733,1,MATCH(M$7,Movements!$G$716:$M$716,0))))
*M937*M$8,0)</f>
        <v>0</v>
      </c>
      <c r="N226" s="198">
        <f>_xlfn.IFNA(IF(N$7="Fixed",1,IF(AND($D91="yes",N$7="Block"),INDEX($O733:$Q733,1,MATCH(N$5,$I56:$K56,0)),INDEX(Movements!$G733:$M733,1,MATCH(N$7,Movements!$G$716:$M$716,0))))
*N937*N$8,0)</f>
        <v>0</v>
      </c>
      <c r="O226" s="198">
        <f>_xlfn.IFNA(IF(O$7="Fixed",1,IF(AND($D91="yes",O$7="Block"),INDEX($O733:$Q733,1,MATCH(O$5,$I56:$K56,0)),INDEX(Movements!$G733:$M733,1,MATCH(O$7,Movements!$G$716:$M$716,0))))
*O937*O$8,0)</f>
        <v>0</v>
      </c>
      <c r="P226" s="198">
        <f>_xlfn.IFNA(IF(P$7="Fixed",1,IF(AND($D91="yes",P$7="Block"),INDEX($O733:$Q733,1,MATCH(P$5,$I56:$K56,0)),INDEX(Movements!$G733:$M733,1,MATCH(P$7,Movements!$G$716:$M$716,0))))
*P937*P$8,0)</f>
        <v>0</v>
      </c>
      <c r="Q226" s="198">
        <f>_xlfn.IFNA(IF(Q$7="Fixed",1,IF(AND($D91="yes",Q$7="Block"),INDEX($O733:$Q733,1,MATCH(Q$5,$I56:$K56,0)),INDEX(Movements!$G733:$M733,1,MATCH(Q$7,Movements!$G$716:$M$716,0))))
*Q937*Q$8,0)</f>
        <v>0</v>
      </c>
      <c r="R226" s="198">
        <f>_xlfn.IFNA(IF(R$7="Fixed",1,IF(AND($D91="yes",R$7="Block"),INDEX($O733:$Q733,1,MATCH(R$5,$I56:$K56,0)),INDEX(Movements!$G733:$M733,1,MATCH(R$7,Movements!$G$716:$M$716,0))))
*R937*R$8,0)</f>
        <v>0</v>
      </c>
      <c r="S226" s="198">
        <f>_xlfn.IFNA(IF(S$7="Fixed",1,IF(AND($D91="yes",S$7="Block"),INDEX($O733:$Q733,1,MATCH(S$5,$I56:$K56,0)),INDEX(Movements!$G733:$M733,1,MATCH(S$7,Movements!$G$716:$M$716,0))))
*S937*S$8,0)</f>
        <v>0</v>
      </c>
      <c r="T226" s="198">
        <f>_xlfn.IFNA(IF(T$7="Fixed",1,IF(AND($D91="yes",T$7="Block"),INDEX($O733:$Q733,1,MATCH(T$5,$I56:$K56,0)),INDEX(Movements!$G733:$M733,1,MATCH(T$7,Movements!$G$716:$M$716,0))))
*T937*T$8,0)</f>
        <v>0</v>
      </c>
      <c r="U226" s="198">
        <f>_xlfn.IFNA(IF(U$7="Fixed",1,IF(AND($D91="yes",U$7="Block"),INDEX($O733:$Q733,1,MATCH(U$5,$I56:$K56,0)),INDEX(Movements!$G733:$M733,1,MATCH(U$7,Movements!$G$716:$M$716,0))))
*U937*U$8,0)</f>
        <v>0</v>
      </c>
      <c r="V226" s="198">
        <f>_xlfn.IFNA(IF(V$7="Fixed",1,IF(AND($D91="yes",V$7="Block"),INDEX($O733:$Q733,1,MATCH(V$5,$I56:$K56,0)),INDEX(Movements!$G733:$M733,1,MATCH(V$7,Movements!$G$716:$M$716,0))))
*V937*V$8,0)</f>
        <v>0</v>
      </c>
      <c r="W226" s="198">
        <f>_xlfn.IFNA(IF(W$7="Fixed",1,IF(AND($D91="yes",W$7="Block"),INDEX($O733:$Q733,1,MATCH(W$5,$I56:$K56,0)),INDEX(Movements!$G733:$M733,1,MATCH(W$7,Movements!$G$716:$M$716,0))))
*W937*W$8,0)</f>
        <v>0</v>
      </c>
      <c r="X226" s="198">
        <f>_xlfn.IFNA(IF(X$7="Fixed",1,IF(AND($D91="yes",X$7="Block"),INDEX($O733:$Q733,1,MATCH(X$5,$I56:$K56,0)),INDEX(Movements!$G733:$M733,1,MATCH(X$7,Movements!$G$716:$M$716,0))))
*X937*X$8,0)</f>
        <v>0</v>
      </c>
      <c r="Y226" s="198">
        <f>_xlfn.IFNA(IF(Y$7="Fixed",1,IF(AND($D91="yes",Y$7="Block"),INDEX($O733:$Q733,1,MATCH(Y$5,$I56:$K56,0)),INDEX(Movements!$G733:$M733,1,MATCH(Y$7,Movements!$G$716:$M$716,0))))
*Y937*Y$8,0)</f>
        <v>0</v>
      </c>
      <c r="Z226" s="198">
        <f>_xlfn.IFNA(IF(Z$7="Fixed",1,IF(AND($D91="yes",Z$7="Block"),INDEX($O733:$Q733,1,MATCH(Z$5,$I56:$K56,0)),INDEX(Movements!$G733:$M733,1,MATCH(Z$7,Movements!$G$716:$M$716,0))))
*Z937*Z$8,0)</f>
        <v>0</v>
      </c>
      <c r="AA226" s="198">
        <f>_xlfn.IFNA(IF(AA$7="Fixed",1,IF(AND($D91="yes",AA$7="Block"),INDEX($O733:$Q733,1,MATCH(AA$5,$I56:$K56,0)),INDEX(Movements!$G733:$M733,1,MATCH(AA$7,Movements!$G$716:$M$716,0))))
*AA937*AA$8,0)</f>
        <v>0</v>
      </c>
      <c r="AB226" s="198">
        <f>_xlfn.IFNA(IF(AB$7="Fixed",1,IF(AND($D91="yes",AB$7="Block"),INDEX($O733:$Q733,1,MATCH(AB$5,$I56:$K56,0)),INDEX(Movements!$G733:$M733,1,MATCH(AB$7,Movements!$G$716:$M$716,0))))
*AB937*AB$8,0)</f>
        <v>0</v>
      </c>
      <c r="AC226" s="70"/>
      <c r="AD226" s="19"/>
      <c r="AE226" s="19"/>
      <c r="AF226" s="19"/>
      <c r="AG226" s="19"/>
    </row>
    <row r="227" spans="1:33" hidden="1" outlineLevel="3" x14ac:dyDescent="0.2">
      <c r="A227" s="19"/>
      <c r="B227" s="98">
        <v>16</v>
      </c>
      <c r="C227" s="506">
        <f t="shared" si="43"/>
        <v>0</v>
      </c>
      <c r="D227" s="505">
        <f t="shared" si="43"/>
        <v>0</v>
      </c>
      <c r="E227" s="505">
        <f t="shared" si="43"/>
        <v>0</v>
      </c>
      <c r="F227" s="58"/>
      <c r="G227" s="199">
        <f t="shared" si="44"/>
        <v>0</v>
      </c>
      <c r="H227" s="58"/>
      <c r="I227" s="198">
        <f>_xlfn.IFNA(IF(I$7="Fixed",1,IF(AND($D92="yes",I$7="Block"),INDEX($O734:$Q734,1,MATCH(I$5,$I57:$K57,0)),INDEX(Movements!$G734:$M734,1,MATCH(I$7,Movements!$G$716:$M$716,0))))
*I938*I$8,0)</f>
        <v>0</v>
      </c>
      <c r="J227" s="198">
        <f>_xlfn.IFNA(IF(J$7="Fixed",1,IF(AND($D92="yes",J$7="Block"),INDEX($O734:$Q734,1,MATCH(J$5,$I57:$K57,0)),INDEX(Movements!$G734:$M734,1,MATCH(J$7,Movements!$G$716:$M$716,0))))
*J938*J$8,0)</f>
        <v>0</v>
      </c>
      <c r="K227" s="198">
        <f>_xlfn.IFNA(IF(K$7="Fixed",1,IF(AND($D92="yes",K$7="Block"),INDEX($O734:$Q734,1,MATCH(K$5,$I57:$K57,0)),INDEX(Movements!$G734:$M734,1,MATCH(K$7,Movements!$G$716:$M$716,0))))
*K938*K$8,0)</f>
        <v>0</v>
      </c>
      <c r="L227" s="198">
        <f>_xlfn.IFNA(IF(L$7="Fixed",1,IF(AND($D92="yes",L$7="Block"),INDEX($O734:$Q734,1,MATCH(L$5,$I57:$K57,0)),INDEX(Movements!$G734:$M734,1,MATCH(L$7,Movements!$G$716:$M$716,0))))
*L938*L$8,0)</f>
        <v>0</v>
      </c>
      <c r="M227" s="198">
        <f>_xlfn.IFNA(IF(M$7="Fixed",1,IF(AND($D92="yes",M$7="Block"),INDEX($O734:$Q734,1,MATCH(M$5,$I57:$K57,0)),INDEX(Movements!$G734:$M734,1,MATCH(M$7,Movements!$G$716:$M$716,0))))
*M938*M$8,0)</f>
        <v>0</v>
      </c>
      <c r="N227" s="198">
        <f>_xlfn.IFNA(IF(N$7="Fixed",1,IF(AND($D92="yes",N$7="Block"),INDEX($O734:$Q734,1,MATCH(N$5,$I57:$K57,0)),INDEX(Movements!$G734:$M734,1,MATCH(N$7,Movements!$G$716:$M$716,0))))
*N938*N$8,0)</f>
        <v>0</v>
      </c>
      <c r="O227" s="198">
        <f>_xlfn.IFNA(IF(O$7="Fixed",1,IF(AND($D92="yes",O$7="Block"),INDEX($O734:$Q734,1,MATCH(O$5,$I57:$K57,0)),INDEX(Movements!$G734:$M734,1,MATCH(O$7,Movements!$G$716:$M$716,0))))
*O938*O$8,0)</f>
        <v>0</v>
      </c>
      <c r="P227" s="198">
        <f>_xlfn.IFNA(IF(P$7="Fixed",1,IF(AND($D92="yes",P$7="Block"),INDEX($O734:$Q734,1,MATCH(P$5,$I57:$K57,0)),INDEX(Movements!$G734:$M734,1,MATCH(P$7,Movements!$G$716:$M$716,0))))
*P938*P$8,0)</f>
        <v>0</v>
      </c>
      <c r="Q227" s="198">
        <f>_xlfn.IFNA(IF(Q$7="Fixed",1,IF(AND($D92="yes",Q$7="Block"),INDEX($O734:$Q734,1,MATCH(Q$5,$I57:$K57,0)),INDEX(Movements!$G734:$M734,1,MATCH(Q$7,Movements!$G$716:$M$716,0))))
*Q938*Q$8,0)</f>
        <v>0</v>
      </c>
      <c r="R227" s="198">
        <f>_xlfn.IFNA(IF(R$7="Fixed",1,IF(AND($D92="yes",R$7="Block"),INDEX($O734:$Q734,1,MATCH(R$5,$I57:$K57,0)),INDEX(Movements!$G734:$M734,1,MATCH(R$7,Movements!$G$716:$M$716,0))))
*R938*R$8,0)</f>
        <v>0</v>
      </c>
      <c r="S227" s="198">
        <f>_xlfn.IFNA(IF(S$7="Fixed",1,IF(AND($D92="yes",S$7="Block"),INDEX($O734:$Q734,1,MATCH(S$5,$I57:$K57,0)),INDEX(Movements!$G734:$M734,1,MATCH(S$7,Movements!$G$716:$M$716,0))))
*S938*S$8,0)</f>
        <v>0</v>
      </c>
      <c r="T227" s="198">
        <f>_xlfn.IFNA(IF(T$7="Fixed",1,IF(AND($D92="yes",T$7="Block"),INDEX($O734:$Q734,1,MATCH(T$5,$I57:$K57,0)),INDEX(Movements!$G734:$M734,1,MATCH(T$7,Movements!$G$716:$M$716,0))))
*T938*T$8,0)</f>
        <v>0</v>
      </c>
      <c r="U227" s="198">
        <f>_xlfn.IFNA(IF(U$7="Fixed",1,IF(AND($D92="yes",U$7="Block"),INDEX($O734:$Q734,1,MATCH(U$5,$I57:$K57,0)),INDEX(Movements!$G734:$M734,1,MATCH(U$7,Movements!$G$716:$M$716,0))))
*U938*U$8,0)</f>
        <v>0</v>
      </c>
      <c r="V227" s="198">
        <f>_xlfn.IFNA(IF(V$7="Fixed",1,IF(AND($D92="yes",V$7="Block"),INDEX($O734:$Q734,1,MATCH(V$5,$I57:$K57,0)),INDEX(Movements!$G734:$M734,1,MATCH(V$7,Movements!$G$716:$M$716,0))))
*V938*V$8,0)</f>
        <v>0</v>
      </c>
      <c r="W227" s="198">
        <f>_xlfn.IFNA(IF(W$7="Fixed",1,IF(AND($D92="yes",W$7="Block"),INDEX($O734:$Q734,1,MATCH(W$5,$I57:$K57,0)),INDEX(Movements!$G734:$M734,1,MATCH(W$7,Movements!$G$716:$M$716,0))))
*W938*W$8,0)</f>
        <v>0</v>
      </c>
      <c r="X227" s="198">
        <f>_xlfn.IFNA(IF(X$7="Fixed",1,IF(AND($D92="yes",X$7="Block"),INDEX($O734:$Q734,1,MATCH(X$5,$I57:$K57,0)),INDEX(Movements!$G734:$M734,1,MATCH(X$7,Movements!$G$716:$M$716,0))))
*X938*X$8,0)</f>
        <v>0</v>
      </c>
      <c r="Y227" s="198">
        <f>_xlfn.IFNA(IF(Y$7="Fixed",1,IF(AND($D92="yes",Y$7="Block"),INDEX($O734:$Q734,1,MATCH(Y$5,$I57:$K57,0)),INDEX(Movements!$G734:$M734,1,MATCH(Y$7,Movements!$G$716:$M$716,0))))
*Y938*Y$8,0)</f>
        <v>0</v>
      </c>
      <c r="Z227" s="198">
        <f>_xlfn.IFNA(IF(Z$7="Fixed",1,IF(AND($D92="yes",Z$7="Block"),INDEX($O734:$Q734,1,MATCH(Z$5,$I57:$K57,0)),INDEX(Movements!$G734:$M734,1,MATCH(Z$7,Movements!$G$716:$M$716,0))))
*Z938*Z$8,0)</f>
        <v>0</v>
      </c>
      <c r="AA227" s="198">
        <f>_xlfn.IFNA(IF(AA$7="Fixed",1,IF(AND($D92="yes",AA$7="Block"),INDEX($O734:$Q734,1,MATCH(AA$5,$I57:$K57,0)),INDEX(Movements!$G734:$M734,1,MATCH(AA$7,Movements!$G$716:$M$716,0))))
*AA938*AA$8,0)</f>
        <v>0</v>
      </c>
      <c r="AB227" s="198">
        <f>_xlfn.IFNA(IF(AB$7="Fixed",1,IF(AND($D92="yes",AB$7="Block"),INDEX($O734:$Q734,1,MATCH(AB$5,$I57:$K57,0)),INDEX(Movements!$G734:$M734,1,MATCH(AB$7,Movements!$G$716:$M$716,0))))
*AB938*AB$8,0)</f>
        <v>0</v>
      </c>
      <c r="AC227" s="70"/>
      <c r="AD227" s="19"/>
      <c r="AE227" s="19"/>
      <c r="AF227" s="19"/>
      <c r="AG227" s="19"/>
    </row>
    <row r="228" spans="1:33" hidden="1" outlineLevel="3" x14ac:dyDescent="0.2">
      <c r="A228" s="19"/>
      <c r="B228" s="97">
        <v>17</v>
      </c>
      <c r="C228" s="506">
        <f t="shared" si="43"/>
        <v>0</v>
      </c>
      <c r="D228" s="505">
        <f t="shared" si="43"/>
        <v>0</v>
      </c>
      <c r="E228" s="505">
        <f t="shared" si="43"/>
        <v>0</v>
      </c>
      <c r="F228" s="58"/>
      <c r="G228" s="199">
        <f t="shared" si="44"/>
        <v>0</v>
      </c>
      <c r="H228" s="58"/>
      <c r="I228" s="198">
        <f>_xlfn.IFNA(IF(I$7="Fixed",1,IF(AND($D93="yes",I$7="Block"),INDEX($O735:$Q735,1,MATCH(I$5,$I58:$K58,0)),INDEX(Movements!$G735:$M735,1,MATCH(I$7,Movements!$G$716:$M$716,0))))
*I939*I$8,0)</f>
        <v>0</v>
      </c>
      <c r="J228" s="198">
        <f>_xlfn.IFNA(IF(J$7="Fixed",1,IF(AND($D93="yes",J$7="Block"),INDEX($O735:$Q735,1,MATCH(J$5,$I58:$K58,0)),INDEX(Movements!$G735:$M735,1,MATCH(J$7,Movements!$G$716:$M$716,0))))
*J939*J$8,0)</f>
        <v>0</v>
      </c>
      <c r="K228" s="198">
        <f>_xlfn.IFNA(IF(K$7="Fixed",1,IF(AND($D93="yes",K$7="Block"),INDEX($O735:$Q735,1,MATCH(K$5,$I58:$K58,0)),INDEX(Movements!$G735:$M735,1,MATCH(K$7,Movements!$G$716:$M$716,0))))
*K939*K$8,0)</f>
        <v>0</v>
      </c>
      <c r="L228" s="198">
        <f>_xlfn.IFNA(IF(L$7="Fixed",1,IF(AND($D93="yes",L$7="Block"),INDEX($O735:$Q735,1,MATCH(L$5,$I58:$K58,0)),INDEX(Movements!$G735:$M735,1,MATCH(L$7,Movements!$G$716:$M$716,0))))
*L939*L$8,0)</f>
        <v>0</v>
      </c>
      <c r="M228" s="198">
        <f>_xlfn.IFNA(IF(M$7="Fixed",1,IF(AND($D93="yes",M$7="Block"),INDEX($O735:$Q735,1,MATCH(M$5,$I58:$K58,0)),INDEX(Movements!$G735:$M735,1,MATCH(M$7,Movements!$G$716:$M$716,0))))
*M939*M$8,0)</f>
        <v>0</v>
      </c>
      <c r="N228" s="198">
        <f>_xlfn.IFNA(IF(N$7="Fixed",1,IF(AND($D93="yes",N$7="Block"),INDEX($O735:$Q735,1,MATCH(N$5,$I58:$K58,0)),INDEX(Movements!$G735:$M735,1,MATCH(N$7,Movements!$G$716:$M$716,0))))
*N939*N$8,0)</f>
        <v>0</v>
      </c>
      <c r="O228" s="198">
        <f>_xlfn.IFNA(IF(O$7="Fixed",1,IF(AND($D93="yes",O$7="Block"),INDEX($O735:$Q735,1,MATCH(O$5,$I58:$K58,0)),INDEX(Movements!$G735:$M735,1,MATCH(O$7,Movements!$G$716:$M$716,0))))
*O939*O$8,0)</f>
        <v>0</v>
      </c>
      <c r="P228" s="198">
        <f>_xlfn.IFNA(IF(P$7="Fixed",1,IF(AND($D93="yes",P$7="Block"),INDEX($O735:$Q735,1,MATCH(P$5,$I58:$K58,0)),INDEX(Movements!$G735:$M735,1,MATCH(P$7,Movements!$G$716:$M$716,0))))
*P939*P$8,0)</f>
        <v>0</v>
      </c>
      <c r="Q228" s="198">
        <f>_xlfn.IFNA(IF(Q$7="Fixed",1,IF(AND($D93="yes",Q$7="Block"),INDEX($O735:$Q735,1,MATCH(Q$5,$I58:$K58,0)),INDEX(Movements!$G735:$M735,1,MATCH(Q$7,Movements!$G$716:$M$716,0))))
*Q939*Q$8,0)</f>
        <v>0</v>
      </c>
      <c r="R228" s="198">
        <f>_xlfn.IFNA(IF(R$7="Fixed",1,IF(AND($D93="yes",R$7="Block"),INDEX($O735:$Q735,1,MATCH(R$5,$I58:$K58,0)),INDEX(Movements!$G735:$M735,1,MATCH(R$7,Movements!$G$716:$M$716,0))))
*R939*R$8,0)</f>
        <v>0</v>
      </c>
      <c r="S228" s="198">
        <f>_xlfn.IFNA(IF(S$7="Fixed",1,IF(AND($D93="yes",S$7="Block"),INDEX($O735:$Q735,1,MATCH(S$5,$I58:$K58,0)),INDEX(Movements!$G735:$M735,1,MATCH(S$7,Movements!$G$716:$M$716,0))))
*S939*S$8,0)</f>
        <v>0</v>
      </c>
      <c r="T228" s="198">
        <f>_xlfn.IFNA(IF(T$7="Fixed",1,IF(AND($D93="yes",T$7="Block"),INDEX($O735:$Q735,1,MATCH(T$5,$I58:$K58,0)),INDEX(Movements!$G735:$M735,1,MATCH(T$7,Movements!$G$716:$M$716,0))))
*T939*T$8,0)</f>
        <v>0</v>
      </c>
      <c r="U228" s="198">
        <f>_xlfn.IFNA(IF(U$7="Fixed",1,IF(AND($D93="yes",U$7="Block"),INDEX($O735:$Q735,1,MATCH(U$5,$I58:$K58,0)),INDEX(Movements!$G735:$M735,1,MATCH(U$7,Movements!$G$716:$M$716,0))))
*U939*U$8,0)</f>
        <v>0</v>
      </c>
      <c r="V228" s="198">
        <f>_xlfn.IFNA(IF(V$7="Fixed",1,IF(AND($D93="yes",V$7="Block"),INDEX($O735:$Q735,1,MATCH(V$5,$I58:$K58,0)),INDEX(Movements!$G735:$M735,1,MATCH(V$7,Movements!$G$716:$M$716,0))))
*V939*V$8,0)</f>
        <v>0</v>
      </c>
      <c r="W228" s="198">
        <f>_xlfn.IFNA(IF(W$7="Fixed",1,IF(AND($D93="yes",W$7="Block"),INDEX($O735:$Q735,1,MATCH(W$5,$I58:$K58,0)),INDEX(Movements!$G735:$M735,1,MATCH(W$7,Movements!$G$716:$M$716,0))))
*W939*W$8,0)</f>
        <v>0</v>
      </c>
      <c r="X228" s="198">
        <f>_xlfn.IFNA(IF(X$7="Fixed",1,IF(AND($D93="yes",X$7="Block"),INDEX($O735:$Q735,1,MATCH(X$5,$I58:$K58,0)),INDEX(Movements!$G735:$M735,1,MATCH(X$7,Movements!$G$716:$M$716,0))))
*X939*X$8,0)</f>
        <v>0</v>
      </c>
      <c r="Y228" s="198">
        <f>_xlfn.IFNA(IF(Y$7="Fixed",1,IF(AND($D93="yes",Y$7="Block"),INDEX($O735:$Q735,1,MATCH(Y$5,$I58:$K58,0)),INDEX(Movements!$G735:$M735,1,MATCH(Y$7,Movements!$G$716:$M$716,0))))
*Y939*Y$8,0)</f>
        <v>0</v>
      </c>
      <c r="Z228" s="198">
        <f>_xlfn.IFNA(IF(Z$7="Fixed",1,IF(AND($D93="yes",Z$7="Block"),INDEX($O735:$Q735,1,MATCH(Z$5,$I58:$K58,0)),INDEX(Movements!$G735:$M735,1,MATCH(Z$7,Movements!$G$716:$M$716,0))))
*Z939*Z$8,0)</f>
        <v>0</v>
      </c>
      <c r="AA228" s="198">
        <f>_xlfn.IFNA(IF(AA$7="Fixed",1,IF(AND($D93="yes",AA$7="Block"),INDEX($O735:$Q735,1,MATCH(AA$5,$I58:$K58,0)),INDEX(Movements!$G735:$M735,1,MATCH(AA$7,Movements!$G$716:$M$716,0))))
*AA939*AA$8,0)</f>
        <v>0</v>
      </c>
      <c r="AB228" s="198">
        <f>_xlfn.IFNA(IF(AB$7="Fixed",1,IF(AND($D93="yes",AB$7="Block"),INDEX($O735:$Q735,1,MATCH(AB$5,$I58:$K58,0)),INDEX(Movements!$G735:$M735,1,MATCH(AB$7,Movements!$G$716:$M$716,0))))
*AB939*AB$8,0)</f>
        <v>0</v>
      </c>
      <c r="AC228" s="70"/>
      <c r="AD228" s="19"/>
      <c r="AE228" s="19"/>
      <c r="AF228" s="19"/>
      <c r="AG228" s="19"/>
    </row>
    <row r="229" spans="1:33" hidden="1" outlineLevel="3" x14ac:dyDescent="0.2">
      <c r="A229" s="19"/>
      <c r="B229" s="97">
        <v>18</v>
      </c>
      <c r="C229" s="506">
        <f t="shared" si="43"/>
        <v>0</v>
      </c>
      <c r="D229" s="505">
        <f t="shared" si="43"/>
        <v>0</v>
      </c>
      <c r="E229" s="505">
        <f t="shared" si="43"/>
        <v>0</v>
      </c>
      <c r="F229" s="58"/>
      <c r="G229" s="199">
        <f t="shared" si="44"/>
        <v>0</v>
      </c>
      <c r="H229" s="58"/>
      <c r="I229" s="198">
        <f>_xlfn.IFNA(IF(I$7="Fixed",1,IF(AND($D94="yes",I$7="Block"),INDEX($O736:$Q736,1,MATCH(I$5,$I59:$K59,0)),INDEX(Movements!$G736:$M736,1,MATCH(I$7,Movements!$G$716:$M$716,0))))
*I940*I$8,0)</f>
        <v>0</v>
      </c>
      <c r="J229" s="198">
        <f>_xlfn.IFNA(IF(J$7="Fixed",1,IF(AND($D94="yes",J$7="Block"),INDEX($O736:$Q736,1,MATCH(J$5,$I59:$K59,0)),INDEX(Movements!$G736:$M736,1,MATCH(J$7,Movements!$G$716:$M$716,0))))
*J940*J$8,0)</f>
        <v>0</v>
      </c>
      <c r="K229" s="198">
        <f>_xlfn.IFNA(IF(K$7="Fixed",1,IF(AND($D94="yes",K$7="Block"),INDEX($O736:$Q736,1,MATCH(K$5,$I59:$K59,0)),INDEX(Movements!$G736:$M736,1,MATCH(K$7,Movements!$G$716:$M$716,0))))
*K940*K$8,0)</f>
        <v>0</v>
      </c>
      <c r="L229" s="198">
        <f>_xlfn.IFNA(IF(L$7="Fixed",1,IF(AND($D94="yes",L$7="Block"),INDEX($O736:$Q736,1,MATCH(L$5,$I59:$K59,0)),INDEX(Movements!$G736:$M736,1,MATCH(L$7,Movements!$G$716:$M$716,0))))
*L940*L$8,0)</f>
        <v>0</v>
      </c>
      <c r="M229" s="198">
        <f>_xlfn.IFNA(IF(M$7="Fixed",1,IF(AND($D94="yes",M$7="Block"),INDEX($O736:$Q736,1,MATCH(M$5,$I59:$K59,0)),INDEX(Movements!$G736:$M736,1,MATCH(M$7,Movements!$G$716:$M$716,0))))
*M940*M$8,0)</f>
        <v>0</v>
      </c>
      <c r="N229" s="198">
        <f>_xlfn.IFNA(IF(N$7="Fixed",1,IF(AND($D94="yes",N$7="Block"),INDEX($O736:$Q736,1,MATCH(N$5,$I59:$K59,0)),INDEX(Movements!$G736:$M736,1,MATCH(N$7,Movements!$G$716:$M$716,0))))
*N940*N$8,0)</f>
        <v>0</v>
      </c>
      <c r="O229" s="198">
        <f>_xlfn.IFNA(IF(O$7="Fixed",1,IF(AND($D94="yes",O$7="Block"),INDEX($O736:$Q736,1,MATCH(O$5,$I59:$K59,0)),INDEX(Movements!$G736:$M736,1,MATCH(O$7,Movements!$G$716:$M$716,0))))
*O940*O$8,0)</f>
        <v>0</v>
      </c>
      <c r="P229" s="198">
        <f>_xlfn.IFNA(IF(P$7="Fixed",1,IF(AND($D94="yes",P$7="Block"),INDEX($O736:$Q736,1,MATCH(P$5,$I59:$K59,0)),INDEX(Movements!$G736:$M736,1,MATCH(P$7,Movements!$G$716:$M$716,0))))
*P940*P$8,0)</f>
        <v>0</v>
      </c>
      <c r="Q229" s="198">
        <f>_xlfn.IFNA(IF(Q$7="Fixed",1,IF(AND($D94="yes",Q$7="Block"),INDEX($O736:$Q736,1,MATCH(Q$5,$I59:$K59,0)),INDEX(Movements!$G736:$M736,1,MATCH(Q$7,Movements!$G$716:$M$716,0))))
*Q940*Q$8,0)</f>
        <v>0</v>
      </c>
      <c r="R229" s="198">
        <f>_xlfn.IFNA(IF(R$7="Fixed",1,IF(AND($D94="yes",R$7="Block"),INDEX($O736:$Q736,1,MATCH(R$5,$I59:$K59,0)),INDEX(Movements!$G736:$M736,1,MATCH(R$7,Movements!$G$716:$M$716,0))))
*R940*R$8,0)</f>
        <v>0</v>
      </c>
      <c r="S229" s="198">
        <f>_xlfn.IFNA(IF(S$7="Fixed",1,IF(AND($D94="yes",S$7="Block"),INDEX($O736:$Q736,1,MATCH(S$5,$I59:$K59,0)),INDEX(Movements!$G736:$M736,1,MATCH(S$7,Movements!$G$716:$M$716,0))))
*S940*S$8,0)</f>
        <v>0</v>
      </c>
      <c r="T229" s="198">
        <f>_xlfn.IFNA(IF(T$7="Fixed",1,IF(AND($D94="yes",T$7="Block"),INDEX($O736:$Q736,1,MATCH(T$5,$I59:$K59,0)),INDEX(Movements!$G736:$M736,1,MATCH(T$7,Movements!$G$716:$M$716,0))))
*T940*T$8,0)</f>
        <v>0</v>
      </c>
      <c r="U229" s="198">
        <f>_xlfn.IFNA(IF(U$7="Fixed",1,IF(AND($D94="yes",U$7="Block"),INDEX($O736:$Q736,1,MATCH(U$5,$I59:$K59,0)),INDEX(Movements!$G736:$M736,1,MATCH(U$7,Movements!$G$716:$M$716,0))))
*U940*U$8,0)</f>
        <v>0</v>
      </c>
      <c r="V229" s="198">
        <f>_xlfn.IFNA(IF(V$7="Fixed",1,IF(AND($D94="yes",V$7="Block"),INDEX($O736:$Q736,1,MATCH(V$5,$I59:$K59,0)),INDEX(Movements!$G736:$M736,1,MATCH(V$7,Movements!$G$716:$M$716,0))))
*V940*V$8,0)</f>
        <v>0</v>
      </c>
      <c r="W229" s="198">
        <f>_xlfn.IFNA(IF(W$7="Fixed",1,IF(AND($D94="yes",W$7="Block"),INDEX($O736:$Q736,1,MATCH(W$5,$I59:$K59,0)),INDEX(Movements!$G736:$M736,1,MATCH(W$7,Movements!$G$716:$M$716,0))))
*W940*W$8,0)</f>
        <v>0</v>
      </c>
      <c r="X229" s="198">
        <f>_xlfn.IFNA(IF(X$7="Fixed",1,IF(AND($D94="yes",X$7="Block"),INDEX($O736:$Q736,1,MATCH(X$5,$I59:$K59,0)),INDEX(Movements!$G736:$M736,1,MATCH(X$7,Movements!$G$716:$M$716,0))))
*X940*X$8,0)</f>
        <v>0</v>
      </c>
      <c r="Y229" s="198">
        <f>_xlfn.IFNA(IF(Y$7="Fixed",1,IF(AND($D94="yes",Y$7="Block"),INDEX($O736:$Q736,1,MATCH(Y$5,$I59:$K59,0)),INDEX(Movements!$G736:$M736,1,MATCH(Y$7,Movements!$G$716:$M$716,0))))
*Y940*Y$8,0)</f>
        <v>0</v>
      </c>
      <c r="Z229" s="198">
        <f>_xlfn.IFNA(IF(Z$7="Fixed",1,IF(AND($D94="yes",Z$7="Block"),INDEX($O736:$Q736,1,MATCH(Z$5,$I59:$K59,0)),INDEX(Movements!$G736:$M736,1,MATCH(Z$7,Movements!$G$716:$M$716,0))))
*Z940*Z$8,0)</f>
        <v>0</v>
      </c>
      <c r="AA229" s="198">
        <f>_xlfn.IFNA(IF(AA$7="Fixed",1,IF(AND($D94="yes",AA$7="Block"),INDEX($O736:$Q736,1,MATCH(AA$5,$I59:$K59,0)),INDEX(Movements!$G736:$M736,1,MATCH(AA$7,Movements!$G$716:$M$716,0))))
*AA940*AA$8,0)</f>
        <v>0</v>
      </c>
      <c r="AB229" s="198">
        <f>_xlfn.IFNA(IF(AB$7="Fixed",1,IF(AND($D94="yes",AB$7="Block"),INDEX($O736:$Q736,1,MATCH(AB$5,$I59:$K59,0)),INDEX(Movements!$G736:$M736,1,MATCH(AB$7,Movements!$G$716:$M$716,0))))
*AB940*AB$8,0)</f>
        <v>0</v>
      </c>
      <c r="AC229" s="70"/>
      <c r="AD229" s="19"/>
      <c r="AE229" s="19"/>
      <c r="AF229" s="19"/>
      <c r="AG229" s="19"/>
    </row>
    <row r="230" spans="1:33" hidden="1" outlineLevel="3" x14ac:dyDescent="0.2">
      <c r="A230" s="19"/>
      <c r="B230" s="97">
        <v>19</v>
      </c>
      <c r="C230" s="506">
        <f t="shared" si="43"/>
        <v>0</v>
      </c>
      <c r="D230" s="505">
        <f t="shared" si="43"/>
        <v>0</v>
      </c>
      <c r="E230" s="505">
        <f t="shared" si="43"/>
        <v>0</v>
      </c>
      <c r="F230" s="58"/>
      <c r="G230" s="199">
        <f t="shared" si="44"/>
        <v>0</v>
      </c>
      <c r="H230" s="58"/>
      <c r="I230" s="198">
        <f>_xlfn.IFNA(IF(I$7="Fixed",1,IF(AND($D95="yes",I$7="Block"),INDEX($O737:$Q737,1,MATCH(I$5,$I60:$K60,0)),INDEX(Movements!$G737:$M737,1,MATCH(I$7,Movements!$G$716:$M$716,0))))
*I941*I$8,0)</f>
        <v>0</v>
      </c>
      <c r="J230" s="198">
        <f>_xlfn.IFNA(IF(J$7="Fixed",1,IF(AND($D95="yes",J$7="Block"),INDEX($O737:$Q737,1,MATCH(J$5,$I60:$K60,0)),INDEX(Movements!$G737:$M737,1,MATCH(J$7,Movements!$G$716:$M$716,0))))
*J941*J$8,0)</f>
        <v>0</v>
      </c>
      <c r="K230" s="198">
        <f>_xlfn.IFNA(IF(K$7="Fixed",1,IF(AND($D95="yes",K$7="Block"),INDEX($O737:$Q737,1,MATCH(K$5,$I60:$K60,0)),INDEX(Movements!$G737:$M737,1,MATCH(K$7,Movements!$G$716:$M$716,0))))
*K941*K$8,0)</f>
        <v>0</v>
      </c>
      <c r="L230" s="198">
        <f>_xlfn.IFNA(IF(L$7="Fixed",1,IF(AND($D95="yes",L$7="Block"),INDEX($O737:$Q737,1,MATCH(L$5,$I60:$K60,0)),INDEX(Movements!$G737:$M737,1,MATCH(L$7,Movements!$G$716:$M$716,0))))
*L941*L$8,0)</f>
        <v>0</v>
      </c>
      <c r="M230" s="198">
        <f>_xlfn.IFNA(IF(M$7="Fixed",1,IF(AND($D95="yes",M$7="Block"),INDEX($O737:$Q737,1,MATCH(M$5,$I60:$K60,0)),INDEX(Movements!$G737:$M737,1,MATCH(M$7,Movements!$G$716:$M$716,0))))
*M941*M$8,0)</f>
        <v>0</v>
      </c>
      <c r="N230" s="198">
        <f>_xlfn.IFNA(IF(N$7="Fixed",1,IF(AND($D95="yes",N$7="Block"),INDEX($O737:$Q737,1,MATCH(N$5,$I60:$K60,0)),INDEX(Movements!$G737:$M737,1,MATCH(N$7,Movements!$G$716:$M$716,0))))
*N941*N$8,0)</f>
        <v>0</v>
      </c>
      <c r="O230" s="198">
        <f>_xlfn.IFNA(IF(O$7="Fixed",1,IF(AND($D95="yes",O$7="Block"),INDEX($O737:$Q737,1,MATCH(O$5,$I60:$K60,0)),INDEX(Movements!$G737:$M737,1,MATCH(O$7,Movements!$G$716:$M$716,0))))
*O941*O$8,0)</f>
        <v>0</v>
      </c>
      <c r="P230" s="198">
        <f>_xlfn.IFNA(IF(P$7="Fixed",1,IF(AND($D95="yes",P$7="Block"),INDEX($O737:$Q737,1,MATCH(P$5,$I60:$K60,0)),INDEX(Movements!$G737:$M737,1,MATCH(P$7,Movements!$G$716:$M$716,0))))
*P941*P$8,0)</f>
        <v>0</v>
      </c>
      <c r="Q230" s="198">
        <f>_xlfn.IFNA(IF(Q$7="Fixed",1,IF(AND($D95="yes",Q$7="Block"),INDEX($O737:$Q737,1,MATCH(Q$5,$I60:$K60,0)),INDEX(Movements!$G737:$M737,1,MATCH(Q$7,Movements!$G$716:$M$716,0))))
*Q941*Q$8,0)</f>
        <v>0</v>
      </c>
      <c r="R230" s="198">
        <f>_xlfn.IFNA(IF(R$7="Fixed",1,IF(AND($D95="yes",R$7="Block"),INDEX($O737:$Q737,1,MATCH(R$5,$I60:$K60,0)),INDEX(Movements!$G737:$M737,1,MATCH(R$7,Movements!$G$716:$M$716,0))))
*R941*R$8,0)</f>
        <v>0</v>
      </c>
      <c r="S230" s="198">
        <f>_xlfn.IFNA(IF(S$7="Fixed",1,IF(AND($D95="yes",S$7="Block"),INDEX($O737:$Q737,1,MATCH(S$5,$I60:$K60,0)),INDEX(Movements!$G737:$M737,1,MATCH(S$7,Movements!$G$716:$M$716,0))))
*S941*S$8,0)</f>
        <v>0</v>
      </c>
      <c r="T230" s="198">
        <f>_xlfn.IFNA(IF(T$7="Fixed",1,IF(AND($D95="yes",T$7="Block"),INDEX($O737:$Q737,1,MATCH(T$5,$I60:$K60,0)),INDEX(Movements!$G737:$M737,1,MATCH(T$7,Movements!$G$716:$M$716,0))))
*T941*T$8,0)</f>
        <v>0</v>
      </c>
      <c r="U230" s="198">
        <f>_xlfn.IFNA(IF(U$7="Fixed",1,IF(AND($D95="yes",U$7="Block"),INDEX($O737:$Q737,1,MATCH(U$5,$I60:$K60,0)),INDEX(Movements!$G737:$M737,1,MATCH(U$7,Movements!$G$716:$M$716,0))))
*U941*U$8,0)</f>
        <v>0</v>
      </c>
      <c r="V230" s="198">
        <f>_xlfn.IFNA(IF(V$7="Fixed",1,IF(AND($D95="yes",V$7="Block"),INDEX($O737:$Q737,1,MATCH(V$5,$I60:$K60,0)),INDEX(Movements!$G737:$M737,1,MATCH(V$7,Movements!$G$716:$M$716,0))))
*V941*V$8,0)</f>
        <v>0</v>
      </c>
      <c r="W230" s="198">
        <f>_xlfn.IFNA(IF(W$7="Fixed",1,IF(AND($D95="yes",W$7="Block"),INDEX($O737:$Q737,1,MATCH(W$5,$I60:$K60,0)),INDEX(Movements!$G737:$M737,1,MATCH(W$7,Movements!$G$716:$M$716,0))))
*W941*W$8,0)</f>
        <v>0</v>
      </c>
      <c r="X230" s="198">
        <f>_xlfn.IFNA(IF(X$7="Fixed",1,IF(AND($D95="yes",X$7="Block"),INDEX($O737:$Q737,1,MATCH(X$5,$I60:$K60,0)),INDEX(Movements!$G737:$M737,1,MATCH(X$7,Movements!$G$716:$M$716,0))))
*X941*X$8,0)</f>
        <v>0</v>
      </c>
      <c r="Y230" s="198">
        <f>_xlfn.IFNA(IF(Y$7="Fixed",1,IF(AND($D95="yes",Y$7="Block"),INDEX($O737:$Q737,1,MATCH(Y$5,$I60:$K60,0)),INDEX(Movements!$G737:$M737,1,MATCH(Y$7,Movements!$G$716:$M$716,0))))
*Y941*Y$8,0)</f>
        <v>0</v>
      </c>
      <c r="Z230" s="198">
        <f>_xlfn.IFNA(IF(Z$7="Fixed",1,IF(AND($D95="yes",Z$7="Block"),INDEX($O737:$Q737,1,MATCH(Z$5,$I60:$K60,0)),INDEX(Movements!$G737:$M737,1,MATCH(Z$7,Movements!$G$716:$M$716,0))))
*Z941*Z$8,0)</f>
        <v>0</v>
      </c>
      <c r="AA230" s="198">
        <f>_xlfn.IFNA(IF(AA$7="Fixed",1,IF(AND($D95="yes",AA$7="Block"),INDEX($O737:$Q737,1,MATCH(AA$5,$I60:$K60,0)),INDEX(Movements!$G737:$M737,1,MATCH(AA$7,Movements!$G$716:$M$716,0))))
*AA941*AA$8,0)</f>
        <v>0</v>
      </c>
      <c r="AB230" s="198">
        <f>_xlfn.IFNA(IF(AB$7="Fixed",1,IF(AND($D95="yes",AB$7="Block"),INDEX($O737:$Q737,1,MATCH(AB$5,$I60:$K60,0)),INDEX(Movements!$G737:$M737,1,MATCH(AB$7,Movements!$G$716:$M$716,0))))
*AB941*AB$8,0)</f>
        <v>0</v>
      </c>
      <c r="AC230" s="70"/>
      <c r="AD230" s="19"/>
      <c r="AE230" s="19"/>
      <c r="AF230" s="19"/>
      <c r="AG230" s="19"/>
    </row>
    <row r="231" spans="1:33" hidden="1" outlineLevel="3" x14ac:dyDescent="0.2">
      <c r="A231" s="19"/>
      <c r="B231" s="97">
        <v>20</v>
      </c>
      <c r="C231" s="506">
        <f t="shared" si="43"/>
        <v>0</v>
      </c>
      <c r="D231" s="505">
        <f t="shared" si="43"/>
        <v>0</v>
      </c>
      <c r="E231" s="505">
        <f t="shared" si="43"/>
        <v>0</v>
      </c>
      <c r="F231" s="58"/>
      <c r="G231" s="199">
        <f t="shared" si="44"/>
        <v>0</v>
      </c>
      <c r="H231" s="58"/>
      <c r="I231" s="198">
        <f>_xlfn.IFNA(IF(I$7="Fixed",1,IF(AND($D96="yes",I$7="Block"),INDEX($O738:$Q738,1,MATCH(I$5,$I61:$K61,0)),INDEX(Movements!$G738:$M738,1,MATCH(I$7,Movements!$G$716:$M$716,0))))
*I942*I$8,0)</f>
        <v>0</v>
      </c>
      <c r="J231" s="198">
        <f>_xlfn.IFNA(IF(J$7="Fixed",1,IF(AND($D96="yes",J$7="Block"),INDEX($O738:$Q738,1,MATCH(J$5,$I61:$K61,0)),INDEX(Movements!$G738:$M738,1,MATCH(J$7,Movements!$G$716:$M$716,0))))
*J942*J$8,0)</f>
        <v>0</v>
      </c>
      <c r="K231" s="198">
        <f>_xlfn.IFNA(IF(K$7="Fixed",1,IF(AND($D96="yes",K$7="Block"),INDEX($O738:$Q738,1,MATCH(K$5,$I61:$K61,0)),INDEX(Movements!$G738:$M738,1,MATCH(K$7,Movements!$G$716:$M$716,0))))
*K942*K$8,0)</f>
        <v>0</v>
      </c>
      <c r="L231" s="198">
        <f>_xlfn.IFNA(IF(L$7="Fixed",1,IF(AND($D96="yes",L$7="Block"),INDEX($O738:$Q738,1,MATCH(L$5,$I61:$K61,0)),INDEX(Movements!$G738:$M738,1,MATCH(L$7,Movements!$G$716:$M$716,0))))
*L942*L$8,0)</f>
        <v>0</v>
      </c>
      <c r="M231" s="198">
        <f>_xlfn.IFNA(IF(M$7="Fixed",1,IF(AND($D96="yes",M$7="Block"),INDEX($O738:$Q738,1,MATCH(M$5,$I61:$K61,0)),INDEX(Movements!$G738:$M738,1,MATCH(M$7,Movements!$G$716:$M$716,0))))
*M942*M$8,0)</f>
        <v>0</v>
      </c>
      <c r="N231" s="198">
        <f>_xlfn.IFNA(IF(N$7="Fixed",1,IF(AND($D96="yes",N$7="Block"),INDEX($O738:$Q738,1,MATCH(N$5,$I61:$K61,0)),INDEX(Movements!$G738:$M738,1,MATCH(N$7,Movements!$G$716:$M$716,0))))
*N942*N$8,0)</f>
        <v>0</v>
      </c>
      <c r="O231" s="198">
        <f>_xlfn.IFNA(IF(O$7="Fixed",1,IF(AND($D96="yes",O$7="Block"),INDEX($O738:$Q738,1,MATCH(O$5,$I61:$K61,0)),INDEX(Movements!$G738:$M738,1,MATCH(O$7,Movements!$G$716:$M$716,0))))
*O942*O$8,0)</f>
        <v>0</v>
      </c>
      <c r="P231" s="198">
        <f>_xlfn.IFNA(IF(P$7="Fixed",1,IF(AND($D96="yes",P$7="Block"),INDEX($O738:$Q738,1,MATCH(P$5,$I61:$K61,0)),INDEX(Movements!$G738:$M738,1,MATCH(P$7,Movements!$G$716:$M$716,0))))
*P942*P$8,0)</f>
        <v>0</v>
      </c>
      <c r="Q231" s="198">
        <f>_xlfn.IFNA(IF(Q$7="Fixed",1,IF(AND($D96="yes",Q$7="Block"),INDEX($O738:$Q738,1,MATCH(Q$5,$I61:$K61,0)),INDEX(Movements!$G738:$M738,1,MATCH(Q$7,Movements!$G$716:$M$716,0))))
*Q942*Q$8,0)</f>
        <v>0</v>
      </c>
      <c r="R231" s="198">
        <f>_xlfn.IFNA(IF(R$7="Fixed",1,IF(AND($D96="yes",R$7="Block"),INDEX($O738:$Q738,1,MATCH(R$5,$I61:$K61,0)),INDEX(Movements!$G738:$M738,1,MATCH(R$7,Movements!$G$716:$M$716,0))))
*R942*R$8,0)</f>
        <v>0</v>
      </c>
      <c r="S231" s="198">
        <f>_xlfn.IFNA(IF(S$7="Fixed",1,IF(AND($D96="yes",S$7="Block"),INDEX($O738:$Q738,1,MATCH(S$5,$I61:$K61,0)),INDEX(Movements!$G738:$M738,1,MATCH(S$7,Movements!$G$716:$M$716,0))))
*S942*S$8,0)</f>
        <v>0</v>
      </c>
      <c r="T231" s="198">
        <f>_xlfn.IFNA(IF(T$7="Fixed",1,IF(AND($D96="yes",T$7="Block"),INDEX($O738:$Q738,1,MATCH(T$5,$I61:$K61,0)),INDEX(Movements!$G738:$M738,1,MATCH(T$7,Movements!$G$716:$M$716,0))))
*T942*T$8,0)</f>
        <v>0</v>
      </c>
      <c r="U231" s="198">
        <f>_xlfn.IFNA(IF(U$7="Fixed",1,IF(AND($D96="yes",U$7="Block"),INDEX($O738:$Q738,1,MATCH(U$5,$I61:$K61,0)),INDEX(Movements!$G738:$M738,1,MATCH(U$7,Movements!$G$716:$M$716,0))))
*U942*U$8,0)</f>
        <v>0</v>
      </c>
      <c r="V231" s="198">
        <f>_xlfn.IFNA(IF(V$7="Fixed",1,IF(AND($D96="yes",V$7="Block"),INDEX($O738:$Q738,1,MATCH(V$5,$I61:$K61,0)),INDEX(Movements!$G738:$M738,1,MATCH(V$7,Movements!$G$716:$M$716,0))))
*V942*V$8,0)</f>
        <v>0</v>
      </c>
      <c r="W231" s="198">
        <f>_xlfn.IFNA(IF(W$7="Fixed",1,IF(AND($D96="yes",W$7="Block"),INDEX($O738:$Q738,1,MATCH(W$5,$I61:$K61,0)),INDEX(Movements!$G738:$M738,1,MATCH(W$7,Movements!$G$716:$M$716,0))))
*W942*W$8,0)</f>
        <v>0</v>
      </c>
      <c r="X231" s="198">
        <f>_xlfn.IFNA(IF(X$7="Fixed",1,IF(AND($D96="yes",X$7="Block"),INDEX($O738:$Q738,1,MATCH(X$5,$I61:$K61,0)),INDEX(Movements!$G738:$M738,1,MATCH(X$7,Movements!$G$716:$M$716,0))))
*X942*X$8,0)</f>
        <v>0</v>
      </c>
      <c r="Y231" s="198">
        <f>_xlfn.IFNA(IF(Y$7="Fixed",1,IF(AND($D96="yes",Y$7="Block"),INDEX($O738:$Q738,1,MATCH(Y$5,$I61:$K61,0)),INDEX(Movements!$G738:$M738,1,MATCH(Y$7,Movements!$G$716:$M$716,0))))
*Y942*Y$8,0)</f>
        <v>0</v>
      </c>
      <c r="Z231" s="198">
        <f>_xlfn.IFNA(IF(Z$7="Fixed",1,IF(AND($D96="yes",Z$7="Block"),INDEX($O738:$Q738,1,MATCH(Z$5,$I61:$K61,0)),INDEX(Movements!$G738:$M738,1,MATCH(Z$7,Movements!$G$716:$M$716,0))))
*Z942*Z$8,0)</f>
        <v>0</v>
      </c>
      <c r="AA231" s="198">
        <f>_xlfn.IFNA(IF(AA$7="Fixed",1,IF(AND($D96="yes",AA$7="Block"),INDEX($O738:$Q738,1,MATCH(AA$5,$I61:$K61,0)),INDEX(Movements!$G738:$M738,1,MATCH(AA$7,Movements!$G$716:$M$716,0))))
*AA942*AA$8,0)</f>
        <v>0</v>
      </c>
      <c r="AB231" s="198">
        <f>_xlfn.IFNA(IF(AB$7="Fixed",1,IF(AND($D96="yes",AB$7="Block"),INDEX($O738:$Q738,1,MATCH(AB$5,$I61:$K61,0)),INDEX(Movements!$G738:$M738,1,MATCH(AB$7,Movements!$G$716:$M$716,0))))
*AB942*AB$8,0)</f>
        <v>0</v>
      </c>
      <c r="AC231" s="70"/>
      <c r="AD231" s="19"/>
      <c r="AE231" s="19"/>
      <c r="AF231" s="19"/>
      <c r="AG231" s="19"/>
    </row>
    <row r="232" spans="1:33" hidden="1" outlineLevel="3" x14ac:dyDescent="0.2">
      <c r="A232" s="19"/>
      <c r="B232" s="97">
        <v>21</v>
      </c>
      <c r="C232" s="506">
        <f t="shared" si="43"/>
        <v>0</v>
      </c>
      <c r="D232" s="505">
        <f t="shared" si="43"/>
        <v>0</v>
      </c>
      <c r="E232" s="505">
        <f t="shared" si="43"/>
        <v>0</v>
      </c>
      <c r="F232" s="58"/>
      <c r="G232" s="199">
        <f t="shared" si="44"/>
        <v>0</v>
      </c>
      <c r="H232" s="58"/>
      <c r="I232" s="198">
        <f>_xlfn.IFNA(IF(I$7="Fixed",1,IF(AND($D97="yes",I$7="Block"),INDEX($O739:$Q739,1,MATCH(I$5,$I62:$K62,0)),INDEX(Movements!$G739:$M739,1,MATCH(I$7,Movements!$G$716:$M$716,0))))
*I943*I$8,0)</f>
        <v>0</v>
      </c>
      <c r="J232" s="198">
        <f>_xlfn.IFNA(IF(J$7="Fixed",1,IF(AND($D97="yes",J$7="Block"),INDEX($O739:$Q739,1,MATCH(J$5,$I62:$K62,0)),INDEX(Movements!$G739:$M739,1,MATCH(J$7,Movements!$G$716:$M$716,0))))
*J943*J$8,0)</f>
        <v>0</v>
      </c>
      <c r="K232" s="198">
        <f>_xlfn.IFNA(IF(K$7="Fixed",1,IF(AND($D97="yes",K$7="Block"),INDEX($O739:$Q739,1,MATCH(K$5,$I62:$K62,0)),INDEX(Movements!$G739:$M739,1,MATCH(K$7,Movements!$G$716:$M$716,0))))
*K943*K$8,0)</f>
        <v>0</v>
      </c>
      <c r="L232" s="198">
        <f>_xlfn.IFNA(IF(L$7="Fixed",1,IF(AND($D97="yes",L$7="Block"),INDEX($O739:$Q739,1,MATCH(L$5,$I62:$K62,0)),INDEX(Movements!$G739:$M739,1,MATCH(L$7,Movements!$G$716:$M$716,0))))
*L943*L$8,0)</f>
        <v>0</v>
      </c>
      <c r="M232" s="198">
        <f>_xlfn.IFNA(IF(M$7="Fixed",1,IF(AND($D97="yes",M$7="Block"),INDEX($O739:$Q739,1,MATCH(M$5,$I62:$K62,0)),INDEX(Movements!$G739:$M739,1,MATCH(M$7,Movements!$G$716:$M$716,0))))
*M943*M$8,0)</f>
        <v>0</v>
      </c>
      <c r="N232" s="198">
        <f>_xlfn.IFNA(IF(N$7="Fixed",1,IF(AND($D97="yes",N$7="Block"),INDEX($O739:$Q739,1,MATCH(N$5,$I62:$K62,0)),INDEX(Movements!$G739:$M739,1,MATCH(N$7,Movements!$G$716:$M$716,0))))
*N943*N$8,0)</f>
        <v>0</v>
      </c>
      <c r="O232" s="198">
        <f>_xlfn.IFNA(IF(O$7="Fixed",1,IF(AND($D97="yes",O$7="Block"),INDEX($O739:$Q739,1,MATCH(O$5,$I62:$K62,0)),INDEX(Movements!$G739:$M739,1,MATCH(O$7,Movements!$G$716:$M$716,0))))
*O943*O$8,0)</f>
        <v>0</v>
      </c>
      <c r="P232" s="198">
        <f>_xlfn.IFNA(IF(P$7="Fixed",1,IF(AND($D97="yes",P$7="Block"),INDEX($O739:$Q739,1,MATCH(P$5,$I62:$K62,0)),INDEX(Movements!$G739:$M739,1,MATCH(P$7,Movements!$G$716:$M$716,0))))
*P943*P$8,0)</f>
        <v>0</v>
      </c>
      <c r="Q232" s="198">
        <f>_xlfn.IFNA(IF(Q$7="Fixed",1,IF(AND($D97="yes",Q$7="Block"),INDEX($O739:$Q739,1,MATCH(Q$5,$I62:$K62,0)),INDEX(Movements!$G739:$M739,1,MATCH(Q$7,Movements!$G$716:$M$716,0))))
*Q943*Q$8,0)</f>
        <v>0</v>
      </c>
      <c r="R232" s="198">
        <f>_xlfn.IFNA(IF(R$7="Fixed",1,IF(AND($D97="yes",R$7="Block"),INDEX($O739:$Q739,1,MATCH(R$5,$I62:$K62,0)),INDEX(Movements!$G739:$M739,1,MATCH(R$7,Movements!$G$716:$M$716,0))))
*R943*R$8,0)</f>
        <v>0</v>
      </c>
      <c r="S232" s="198">
        <f>_xlfn.IFNA(IF(S$7="Fixed",1,IF(AND($D97="yes",S$7="Block"),INDEX($O739:$Q739,1,MATCH(S$5,$I62:$K62,0)),INDEX(Movements!$G739:$M739,1,MATCH(S$7,Movements!$G$716:$M$716,0))))
*S943*S$8,0)</f>
        <v>0</v>
      </c>
      <c r="T232" s="198">
        <f>_xlfn.IFNA(IF(T$7="Fixed",1,IF(AND($D97="yes",T$7="Block"),INDEX($O739:$Q739,1,MATCH(T$5,$I62:$K62,0)),INDEX(Movements!$G739:$M739,1,MATCH(T$7,Movements!$G$716:$M$716,0))))
*T943*T$8,0)</f>
        <v>0</v>
      </c>
      <c r="U232" s="198">
        <f>_xlfn.IFNA(IF(U$7="Fixed",1,IF(AND($D97="yes",U$7="Block"),INDEX($O739:$Q739,1,MATCH(U$5,$I62:$K62,0)),INDEX(Movements!$G739:$M739,1,MATCH(U$7,Movements!$G$716:$M$716,0))))
*U943*U$8,0)</f>
        <v>0</v>
      </c>
      <c r="V232" s="198">
        <f>_xlfn.IFNA(IF(V$7="Fixed",1,IF(AND($D97="yes",V$7="Block"),INDEX($O739:$Q739,1,MATCH(V$5,$I62:$K62,0)),INDEX(Movements!$G739:$M739,1,MATCH(V$7,Movements!$G$716:$M$716,0))))
*V943*V$8,0)</f>
        <v>0</v>
      </c>
      <c r="W232" s="198">
        <f>_xlfn.IFNA(IF(W$7="Fixed",1,IF(AND($D97="yes",W$7="Block"),INDEX($O739:$Q739,1,MATCH(W$5,$I62:$K62,0)),INDEX(Movements!$G739:$M739,1,MATCH(W$7,Movements!$G$716:$M$716,0))))
*W943*W$8,0)</f>
        <v>0</v>
      </c>
      <c r="X232" s="198">
        <f>_xlfn.IFNA(IF(X$7="Fixed",1,IF(AND($D97="yes",X$7="Block"),INDEX($O739:$Q739,1,MATCH(X$5,$I62:$K62,0)),INDEX(Movements!$G739:$M739,1,MATCH(X$7,Movements!$G$716:$M$716,0))))
*X943*X$8,0)</f>
        <v>0</v>
      </c>
      <c r="Y232" s="198">
        <f>_xlfn.IFNA(IF(Y$7="Fixed",1,IF(AND($D97="yes",Y$7="Block"),INDEX($O739:$Q739,1,MATCH(Y$5,$I62:$K62,0)),INDEX(Movements!$G739:$M739,1,MATCH(Y$7,Movements!$G$716:$M$716,0))))
*Y943*Y$8,0)</f>
        <v>0</v>
      </c>
      <c r="Z232" s="198">
        <f>_xlfn.IFNA(IF(Z$7="Fixed",1,IF(AND($D97="yes",Z$7="Block"),INDEX($O739:$Q739,1,MATCH(Z$5,$I62:$K62,0)),INDEX(Movements!$G739:$M739,1,MATCH(Z$7,Movements!$G$716:$M$716,0))))
*Z943*Z$8,0)</f>
        <v>0</v>
      </c>
      <c r="AA232" s="198">
        <f>_xlfn.IFNA(IF(AA$7="Fixed",1,IF(AND($D97="yes",AA$7="Block"),INDEX($O739:$Q739,1,MATCH(AA$5,$I62:$K62,0)),INDEX(Movements!$G739:$M739,1,MATCH(AA$7,Movements!$G$716:$M$716,0))))
*AA943*AA$8,0)</f>
        <v>0</v>
      </c>
      <c r="AB232" s="198">
        <f>_xlfn.IFNA(IF(AB$7="Fixed",1,IF(AND($D97="yes",AB$7="Block"),INDEX($O739:$Q739,1,MATCH(AB$5,$I62:$K62,0)),INDEX(Movements!$G739:$M739,1,MATCH(AB$7,Movements!$G$716:$M$716,0))))
*AB943*AB$8,0)</f>
        <v>0</v>
      </c>
      <c r="AC232" s="70"/>
      <c r="AD232" s="19"/>
      <c r="AE232" s="19"/>
      <c r="AF232" s="19"/>
      <c r="AG232" s="19"/>
    </row>
    <row r="233" spans="1:33" hidden="1" outlineLevel="3" x14ac:dyDescent="0.2">
      <c r="A233" s="19"/>
      <c r="B233" s="97">
        <v>22</v>
      </c>
      <c r="C233" s="506">
        <f t="shared" si="43"/>
        <v>0</v>
      </c>
      <c r="D233" s="505">
        <f t="shared" si="43"/>
        <v>0</v>
      </c>
      <c r="E233" s="505">
        <f t="shared" si="43"/>
        <v>0</v>
      </c>
      <c r="F233" s="58"/>
      <c r="G233" s="199">
        <f t="shared" si="44"/>
        <v>0</v>
      </c>
      <c r="H233" s="58"/>
      <c r="I233" s="198">
        <f>_xlfn.IFNA(IF(I$7="Fixed",1,IF(AND($D98="yes",I$7="Block"),INDEX($O740:$Q740,1,MATCH(I$5,$I63:$K63,0)),INDEX(Movements!$G740:$M740,1,MATCH(I$7,Movements!$G$716:$M$716,0))))
*I944*I$8,0)</f>
        <v>0</v>
      </c>
      <c r="J233" s="198">
        <f>_xlfn.IFNA(IF(J$7="Fixed",1,IF(AND($D98="yes",J$7="Block"),INDEX($O740:$Q740,1,MATCH(J$5,$I63:$K63,0)),INDEX(Movements!$G740:$M740,1,MATCH(J$7,Movements!$G$716:$M$716,0))))
*J944*J$8,0)</f>
        <v>0</v>
      </c>
      <c r="K233" s="198">
        <f>_xlfn.IFNA(IF(K$7="Fixed",1,IF(AND($D98="yes",K$7="Block"),INDEX($O740:$Q740,1,MATCH(K$5,$I63:$K63,0)),INDEX(Movements!$G740:$M740,1,MATCH(K$7,Movements!$G$716:$M$716,0))))
*K944*K$8,0)</f>
        <v>0</v>
      </c>
      <c r="L233" s="198">
        <f>_xlfn.IFNA(IF(L$7="Fixed",1,IF(AND($D98="yes",L$7="Block"),INDEX($O740:$Q740,1,MATCH(L$5,$I63:$K63,0)),INDEX(Movements!$G740:$M740,1,MATCH(L$7,Movements!$G$716:$M$716,0))))
*L944*L$8,0)</f>
        <v>0</v>
      </c>
      <c r="M233" s="198">
        <f>_xlfn.IFNA(IF(M$7="Fixed",1,IF(AND($D98="yes",M$7="Block"),INDEX($O740:$Q740,1,MATCH(M$5,$I63:$K63,0)),INDEX(Movements!$G740:$M740,1,MATCH(M$7,Movements!$G$716:$M$716,0))))
*M944*M$8,0)</f>
        <v>0</v>
      </c>
      <c r="N233" s="198">
        <f>_xlfn.IFNA(IF(N$7="Fixed",1,IF(AND($D98="yes",N$7="Block"),INDEX($O740:$Q740,1,MATCH(N$5,$I63:$K63,0)),INDEX(Movements!$G740:$M740,1,MATCH(N$7,Movements!$G$716:$M$716,0))))
*N944*N$8,0)</f>
        <v>0</v>
      </c>
      <c r="O233" s="198">
        <f>_xlfn.IFNA(IF(O$7="Fixed",1,IF(AND($D98="yes",O$7="Block"),INDEX($O740:$Q740,1,MATCH(O$5,$I63:$K63,0)),INDEX(Movements!$G740:$M740,1,MATCH(O$7,Movements!$G$716:$M$716,0))))
*O944*O$8,0)</f>
        <v>0</v>
      </c>
      <c r="P233" s="198">
        <f>_xlfn.IFNA(IF(P$7="Fixed",1,IF(AND($D98="yes",P$7="Block"),INDEX($O740:$Q740,1,MATCH(P$5,$I63:$K63,0)),INDEX(Movements!$G740:$M740,1,MATCH(P$7,Movements!$G$716:$M$716,0))))
*P944*P$8,0)</f>
        <v>0</v>
      </c>
      <c r="Q233" s="198">
        <f>_xlfn.IFNA(IF(Q$7="Fixed",1,IF(AND($D98="yes",Q$7="Block"),INDEX($O740:$Q740,1,MATCH(Q$5,$I63:$K63,0)),INDEX(Movements!$G740:$M740,1,MATCH(Q$7,Movements!$G$716:$M$716,0))))
*Q944*Q$8,0)</f>
        <v>0</v>
      </c>
      <c r="R233" s="198">
        <f>_xlfn.IFNA(IF(R$7="Fixed",1,IF(AND($D98="yes",R$7="Block"),INDEX($O740:$Q740,1,MATCH(R$5,$I63:$K63,0)),INDEX(Movements!$G740:$M740,1,MATCH(R$7,Movements!$G$716:$M$716,0))))
*R944*R$8,0)</f>
        <v>0</v>
      </c>
      <c r="S233" s="198">
        <f>_xlfn.IFNA(IF(S$7="Fixed",1,IF(AND($D98="yes",S$7="Block"),INDEX($O740:$Q740,1,MATCH(S$5,$I63:$K63,0)),INDEX(Movements!$G740:$M740,1,MATCH(S$7,Movements!$G$716:$M$716,0))))
*S944*S$8,0)</f>
        <v>0</v>
      </c>
      <c r="T233" s="198">
        <f>_xlfn.IFNA(IF(T$7="Fixed",1,IF(AND($D98="yes",T$7="Block"),INDEX($O740:$Q740,1,MATCH(T$5,$I63:$K63,0)),INDEX(Movements!$G740:$M740,1,MATCH(T$7,Movements!$G$716:$M$716,0))))
*T944*T$8,0)</f>
        <v>0</v>
      </c>
      <c r="U233" s="198">
        <f>_xlfn.IFNA(IF(U$7="Fixed",1,IF(AND($D98="yes",U$7="Block"),INDEX($O740:$Q740,1,MATCH(U$5,$I63:$K63,0)),INDEX(Movements!$G740:$M740,1,MATCH(U$7,Movements!$G$716:$M$716,0))))
*U944*U$8,0)</f>
        <v>0</v>
      </c>
      <c r="V233" s="198">
        <f>_xlfn.IFNA(IF(V$7="Fixed",1,IF(AND($D98="yes",V$7="Block"),INDEX($O740:$Q740,1,MATCH(V$5,$I63:$K63,0)),INDEX(Movements!$G740:$M740,1,MATCH(V$7,Movements!$G$716:$M$716,0))))
*V944*V$8,0)</f>
        <v>0</v>
      </c>
      <c r="W233" s="198">
        <f>_xlfn.IFNA(IF(W$7="Fixed",1,IF(AND($D98="yes",W$7="Block"),INDEX($O740:$Q740,1,MATCH(W$5,$I63:$K63,0)),INDEX(Movements!$G740:$M740,1,MATCH(W$7,Movements!$G$716:$M$716,0))))
*W944*W$8,0)</f>
        <v>0</v>
      </c>
      <c r="X233" s="198">
        <f>_xlfn.IFNA(IF(X$7="Fixed",1,IF(AND($D98="yes",X$7="Block"),INDEX($O740:$Q740,1,MATCH(X$5,$I63:$K63,0)),INDEX(Movements!$G740:$M740,1,MATCH(X$7,Movements!$G$716:$M$716,0))))
*X944*X$8,0)</f>
        <v>0</v>
      </c>
      <c r="Y233" s="198">
        <f>_xlfn.IFNA(IF(Y$7="Fixed",1,IF(AND($D98="yes",Y$7="Block"),INDEX($O740:$Q740,1,MATCH(Y$5,$I63:$K63,0)),INDEX(Movements!$G740:$M740,1,MATCH(Y$7,Movements!$G$716:$M$716,0))))
*Y944*Y$8,0)</f>
        <v>0</v>
      </c>
      <c r="Z233" s="198">
        <f>_xlfn.IFNA(IF(Z$7="Fixed",1,IF(AND($D98="yes",Z$7="Block"),INDEX($O740:$Q740,1,MATCH(Z$5,$I63:$K63,0)),INDEX(Movements!$G740:$M740,1,MATCH(Z$7,Movements!$G$716:$M$716,0))))
*Z944*Z$8,0)</f>
        <v>0</v>
      </c>
      <c r="AA233" s="198">
        <f>_xlfn.IFNA(IF(AA$7="Fixed",1,IF(AND($D98="yes",AA$7="Block"),INDEX($O740:$Q740,1,MATCH(AA$5,$I63:$K63,0)),INDEX(Movements!$G740:$M740,1,MATCH(AA$7,Movements!$G$716:$M$716,0))))
*AA944*AA$8,0)</f>
        <v>0</v>
      </c>
      <c r="AB233" s="198">
        <f>_xlfn.IFNA(IF(AB$7="Fixed",1,IF(AND($D98="yes",AB$7="Block"),INDEX($O740:$Q740,1,MATCH(AB$5,$I63:$K63,0)),INDEX(Movements!$G740:$M740,1,MATCH(AB$7,Movements!$G$716:$M$716,0))))
*AB944*AB$8,0)</f>
        <v>0</v>
      </c>
      <c r="AC233" s="70"/>
      <c r="AD233" s="19"/>
      <c r="AE233" s="19"/>
      <c r="AF233" s="19"/>
      <c r="AG233" s="19"/>
    </row>
    <row r="234" spans="1:33" hidden="1" outlineLevel="3" x14ac:dyDescent="0.2">
      <c r="A234" s="19"/>
      <c r="B234" s="98">
        <v>23</v>
      </c>
      <c r="C234" s="506">
        <f t="shared" si="43"/>
        <v>0</v>
      </c>
      <c r="D234" s="505">
        <f t="shared" si="43"/>
        <v>0</v>
      </c>
      <c r="E234" s="505">
        <f t="shared" si="43"/>
        <v>0</v>
      </c>
      <c r="F234" s="58"/>
      <c r="G234" s="199">
        <f t="shared" si="44"/>
        <v>0</v>
      </c>
      <c r="H234" s="58"/>
      <c r="I234" s="198">
        <f>_xlfn.IFNA(IF(I$7="Fixed",1,IF(AND($D99="yes",I$7="Block"),INDEX($O741:$Q741,1,MATCH(I$5,$I64:$K64,0)),INDEX(Movements!$G741:$M741,1,MATCH(I$7,Movements!$G$716:$M$716,0))))
*I945*I$8,0)</f>
        <v>0</v>
      </c>
      <c r="J234" s="198">
        <f>_xlfn.IFNA(IF(J$7="Fixed",1,IF(AND($D99="yes",J$7="Block"),INDEX($O741:$Q741,1,MATCH(J$5,$I64:$K64,0)),INDEX(Movements!$G741:$M741,1,MATCH(J$7,Movements!$G$716:$M$716,0))))
*J945*J$8,0)</f>
        <v>0</v>
      </c>
      <c r="K234" s="198">
        <f>_xlfn.IFNA(IF(K$7="Fixed",1,IF(AND($D99="yes",K$7="Block"),INDEX($O741:$Q741,1,MATCH(K$5,$I64:$K64,0)),INDEX(Movements!$G741:$M741,1,MATCH(K$7,Movements!$G$716:$M$716,0))))
*K945*K$8,0)</f>
        <v>0</v>
      </c>
      <c r="L234" s="198">
        <f>_xlfn.IFNA(IF(L$7="Fixed",1,IF(AND($D99="yes",L$7="Block"),INDEX($O741:$Q741,1,MATCH(L$5,$I64:$K64,0)),INDEX(Movements!$G741:$M741,1,MATCH(L$7,Movements!$G$716:$M$716,0))))
*L945*L$8,0)</f>
        <v>0</v>
      </c>
      <c r="M234" s="198">
        <f>_xlfn.IFNA(IF(M$7="Fixed",1,IF(AND($D99="yes",M$7="Block"),INDEX($O741:$Q741,1,MATCH(M$5,$I64:$K64,0)),INDEX(Movements!$G741:$M741,1,MATCH(M$7,Movements!$G$716:$M$716,0))))
*M945*M$8,0)</f>
        <v>0</v>
      </c>
      <c r="N234" s="198">
        <f>_xlfn.IFNA(IF(N$7="Fixed",1,IF(AND($D99="yes",N$7="Block"),INDEX($O741:$Q741,1,MATCH(N$5,$I64:$K64,0)),INDEX(Movements!$G741:$M741,1,MATCH(N$7,Movements!$G$716:$M$716,0))))
*N945*N$8,0)</f>
        <v>0</v>
      </c>
      <c r="O234" s="198">
        <f>_xlfn.IFNA(IF(O$7="Fixed",1,IF(AND($D99="yes",O$7="Block"),INDEX($O741:$Q741,1,MATCH(O$5,$I64:$K64,0)),INDEX(Movements!$G741:$M741,1,MATCH(O$7,Movements!$G$716:$M$716,0))))
*O945*O$8,0)</f>
        <v>0</v>
      </c>
      <c r="P234" s="198">
        <f>_xlfn.IFNA(IF(P$7="Fixed",1,IF(AND($D99="yes",P$7="Block"),INDEX($O741:$Q741,1,MATCH(P$5,$I64:$K64,0)),INDEX(Movements!$G741:$M741,1,MATCH(P$7,Movements!$G$716:$M$716,0))))
*P945*P$8,0)</f>
        <v>0</v>
      </c>
      <c r="Q234" s="198">
        <f>_xlfn.IFNA(IF(Q$7="Fixed",1,IF(AND($D99="yes",Q$7="Block"),INDEX($O741:$Q741,1,MATCH(Q$5,$I64:$K64,0)),INDEX(Movements!$G741:$M741,1,MATCH(Q$7,Movements!$G$716:$M$716,0))))
*Q945*Q$8,0)</f>
        <v>0</v>
      </c>
      <c r="R234" s="198">
        <f>_xlfn.IFNA(IF(R$7="Fixed",1,IF(AND($D99="yes",R$7="Block"),INDEX($O741:$Q741,1,MATCH(R$5,$I64:$K64,0)),INDEX(Movements!$G741:$M741,1,MATCH(R$7,Movements!$G$716:$M$716,0))))
*R945*R$8,0)</f>
        <v>0</v>
      </c>
      <c r="S234" s="198">
        <f>_xlfn.IFNA(IF(S$7="Fixed",1,IF(AND($D99="yes",S$7="Block"),INDEX($O741:$Q741,1,MATCH(S$5,$I64:$K64,0)),INDEX(Movements!$G741:$M741,1,MATCH(S$7,Movements!$G$716:$M$716,0))))
*S945*S$8,0)</f>
        <v>0</v>
      </c>
      <c r="T234" s="198">
        <f>_xlfn.IFNA(IF(T$7="Fixed",1,IF(AND($D99="yes",T$7="Block"),INDEX($O741:$Q741,1,MATCH(T$5,$I64:$K64,0)),INDEX(Movements!$G741:$M741,1,MATCH(T$7,Movements!$G$716:$M$716,0))))
*T945*T$8,0)</f>
        <v>0</v>
      </c>
      <c r="U234" s="198">
        <f>_xlfn.IFNA(IF(U$7="Fixed",1,IF(AND($D99="yes",U$7="Block"),INDEX($O741:$Q741,1,MATCH(U$5,$I64:$K64,0)),INDEX(Movements!$G741:$M741,1,MATCH(U$7,Movements!$G$716:$M$716,0))))
*U945*U$8,0)</f>
        <v>0</v>
      </c>
      <c r="V234" s="198">
        <f>_xlfn.IFNA(IF(V$7="Fixed",1,IF(AND($D99="yes",V$7="Block"),INDEX($O741:$Q741,1,MATCH(V$5,$I64:$K64,0)),INDEX(Movements!$G741:$M741,1,MATCH(V$7,Movements!$G$716:$M$716,0))))
*V945*V$8,0)</f>
        <v>0</v>
      </c>
      <c r="W234" s="198">
        <f>_xlfn.IFNA(IF(W$7="Fixed",1,IF(AND($D99="yes",W$7="Block"),INDEX($O741:$Q741,1,MATCH(W$5,$I64:$K64,0)),INDEX(Movements!$G741:$M741,1,MATCH(W$7,Movements!$G$716:$M$716,0))))
*W945*W$8,0)</f>
        <v>0</v>
      </c>
      <c r="X234" s="198">
        <f>_xlfn.IFNA(IF(X$7="Fixed",1,IF(AND($D99="yes",X$7="Block"),INDEX($O741:$Q741,1,MATCH(X$5,$I64:$K64,0)),INDEX(Movements!$G741:$M741,1,MATCH(X$7,Movements!$G$716:$M$716,0))))
*X945*X$8,0)</f>
        <v>0</v>
      </c>
      <c r="Y234" s="198">
        <f>_xlfn.IFNA(IF(Y$7="Fixed",1,IF(AND($D99="yes",Y$7="Block"),INDEX($O741:$Q741,1,MATCH(Y$5,$I64:$K64,0)),INDEX(Movements!$G741:$M741,1,MATCH(Y$7,Movements!$G$716:$M$716,0))))
*Y945*Y$8,0)</f>
        <v>0</v>
      </c>
      <c r="Z234" s="198">
        <f>_xlfn.IFNA(IF(Z$7="Fixed",1,IF(AND($D99="yes",Z$7="Block"),INDEX($O741:$Q741,1,MATCH(Z$5,$I64:$K64,0)),INDEX(Movements!$G741:$M741,1,MATCH(Z$7,Movements!$G$716:$M$716,0))))
*Z945*Z$8,0)</f>
        <v>0</v>
      </c>
      <c r="AA234" s="198">
        <f>_xlfn.IFNA(IF(AA$7="Fixed",1,IF(AND($D99="yes",AA$7="Block"),INDEX($O741:$Q741,1,MATCH(AA$5,$I64:$K64,0)),INDEX(Movements!$G741:$M741,1,MATCH(AA$7,Movements!$G$716:$M$716,0))))
*AA945*AA$8,0)</f>
        <v>0</v>
      </c>
      <c r="AB234" s="198">
        <f>_xlfn.IFNA(IF(AB$7="Fixed",1,IF(AND($D99="yes",AB$7="Block"),INDEX($O741:$Q741,1,MATCH(AB$5,$I64:$K64,0)),INDEX(Movements!$G741:$M741,1,MATCH(AB$7,Movements!$G$716:$M$716,0))))
*AB945*AB$8,0)</f>
        <v>0</v>
      </c>
      <c r="AC234" s="70"/>
      <c r="AD234" s="19"/>
      <c r="AE234" s="19"/>
      <c r="AF234" s="19"/>
      <c r="AG234" s="19"/>
    </row>
    <row r="235" spans="1:33" hidden="1" outlineLevel="3" x14ac:dyDescent="0.2">
      <c r="A235" s="19"/>
      <c r="B235" s="97">
        <v>24</v>
      </c>
      <c r="C235" s="506">
        <f t="shared" si="43"/>
        <v>0</v>
      </c>
      <c r="D235" s="505">
        <f t="shared" si="43"/>
        <v>0</v>
      </c>
      <c r="E235" s="505">
        <f t="shared" si="43"/>
        <v>0</v>
      </c>
      <c r="F235" s="58"/>
      <c r="G235" s="199">
        <f t="shared" si="44"/>
        <v>0</v>
      </c>
      <c r="H235" s="58"/>
      <c r="I235" s="198">
        <f>_xlfn.IFNA(IF(I$7="Fixed",1,IF(AND($D100="yes",I$7="Block"),INDEX($O742:$Q742,1,MATCH(I$5,$I65:$K65,0)),INDEX(Movements!$G742:$M742,1,MATCH(I$7,Movements!$G$716:$M$716,0))))
*I946*I$8,0)</f>
        <v>0</v>
      </c>
      <c r="J235" s="198">
        <f>_xlfn.IFNA(IF(J$7="Fixed",1,IF(AND($D100="yes",J$7="Block"),INDEX($O742:$Q742,1,MATCH(J$5,$I65:$K65,0)),INDEX(Movements!$G742:$M742,1,MATCH(J$7,Movements!$G$716:$M$716,0))))
*J946*J$8,0)</f>
        <v>0</v>
      </c>
      <c r="K235" s="198">
        <f>_xlfn.IFNA(IF(K$7="Fixed",1,IF(AND($D100="yes",K$7="Block"),INDEX($O742:$Q742,1,MATCH(K$5,$I65:$K65,0)),INDEX(Movements!$G742:$M742,1,MATCH(K$7,Movements!$G$716:$M$716,0))))
*K946*K$8,0)</f>
        <v>0</v>
      </c>
      <c r="L235" s="198">
        <f>_xlfn.IFNA(IF(L$7="Fixed",1,IF(AND($D100="yes",L$7="Block"),INDEX($O742:$Q742,1,MATCH(L$5,$I65:$K65,0)),INDEX(Movements!$G742:$M742,1,MATCH(L$7,Movements!$G$716:$M$716,0))))
*L946*L$8,0)</f>
        <v>0</v>
      </c>
      <c r="M235" s="198">
        <f>_xlfn.IFNA(IF(M$7="Fixed",1,IF(AND($D100="yes",M$7="Block"),INDEX($O742:$Q742,1,MATCH(M$5,$I65:$K65,0)),INDEX(Movements!$G742:$M742,1,MATCH(M$7,Movements!$G$716:$M$716,0))))
*M946*M$8,0)</f>
        <v>0</v>
      </c>
      <c r="N235" s="198">
        <f>_xlfn.IFNA(IF(N$7="Fixed",1,IF(AND($D100="yes",N$7="Block"),INDEX($O742:$Q742,1,MATCH(N$5,$I65:$K65,0)),INDEX(Movements!$G742:$M742,1,MATCH(N$7,Movements!$G$716:$M$716,0))))
*N946*N$8,0)</f>
        <v>0</v>
      </c>
      <c r="O235" s="198">
        <f>_xlfn.IFNA(IF(O$7="Fixed",1,IF(AND($D100="yes",O$7="Block"),INDEX($O742:$Q742,1,MATCH(O$5,$I65:$K65,0)),INDEX(Movements!$G742:$M742,1,MATCH(O$7,Movements!$G$716:$M$716,0))))
*O946*O$8,0)</f>
        <v>0</v>
      </c>
      <c r="P235" s="198">
        <f>_xlfn.IFNA(IF(P$7="Fixed",1,IF(AND($D100="yes",P$7="Block"),INDEX($O742:$Q742,1,MATCH(P$5,$I65:$K65,0)),INDEX(Movements!$G742:$M742,1,MATCH(P$7,Movements!$G$716:$M$716,0))))
*P946*P$8,0)</f>
        <v>0</v>
      </c>
      <c r="Q235" s="198">
        <f>_xlfn.IFNA(IF(Q$7="Fixed",1,IF(AND($D100="yes",Q$7="Block"),INDEX($O742:$Q742,1,MATCH(Q$5,$I65:$K65,0)),INDEX(Movements!$G742:$M742,1,MATCH(Q$7,Movements!$G$716:$M$716,0))))
*Q946*Q$8,0)</f>
        <v>0</v>
      </c>
      <c r="R235" s="198">
        <f>_xlfn.IFNA(IF(R$7="Fixed",1,IF(AND($D100="yes",R$7="Block"),INDEX($O742:$Q742,1,MATCH(R$5,$I65:$K65,0)),INDEX(Movements!$G742:$M742,1,MATCH(R$7,Movements!$G$716:$M$716,0))))
*R946*R$8,0)</f>
        <v>0</v>
      </c>
      <c r="S235" s="198">
        <f>_xlfn.IFNA(IF(S$7="Fixed",1,IF(AND($D100="yes",S$7="Block"),INDEX($O742:$Q742,1,MATCH(S$5,$I65:$K65,0)),INDEX(Movements!$G742:$M742,1,MATCH(S$7,Movements!$G$716:$M$716,0))))
*S946*S$8,0)</f>
        <v>0</v>
      </c>
      <c r="T235" s="198">
        <f>_xlfn.IFNA(IF(T$7="Fixed",1,IF(AND($D100="yes",T$7="Block"),INDEX($O742:$Q742,1,MATCH(T$5,$I65:$K65,0)),INDEX(Movements!$G742:$M742,1,MATCH(T$7,Movements!$G$716:$M$716,0))))
*T946*T$8,0)</f>
        <v>0</v>
      </c>
      <c r="U235" s="198">
        <f>_xlfn.IFNA(IF(U$7="Fixed",1,IF(AND($D100="yes",U$7="Block"),INDEX($O742:$Q742,1,MATCH(U$5,$I65:$K65,0)),INDEX(Movements!$G742:$M742,1,MATCH(U$7,Movements!$G$716:$M$716,0))))
*U946*U$8,0)</f>
        <v>0</v>
      </c>
      <c r="V235" s="198">
        <f>_xlfn.IFNA(IF(V$7="Fixed",1,IF(AND($D100="yes",V$7="Block"),INDEX($O742:$Q742,1,MATCH(V$5,$I65:$K65,0)),INDEX(Movements!$G742:$M742,1,MATCH(V$7,Movements!$G$716:$M$716,0))))
*V946*V$8,0)</f>
        <v>0</v>
      </c>
      <c r="W235" s="198">
        <f>_xlfn.IFNA(IF(W$7="Fixed",1,IF(AND($D100="yes",W$7="Block"),INDEX($O742:$Q742,1,MATCH(W$5,$I65:$K65,0)),INDEX(Movements!$G742:$M742,1,MATCH(W$7,Movements!$G$716:$M$716,0))))
*W946*W$8,0)</f>
        <v>0</v>
      </c>
      <c r="X235" s="198">
        <f>_xlfn.IFNA(IF(X$7="Fixed",1,IF(AND($D100="yes",X$7="Block"),INDEX($O742:$Q742,1,MATCH(X$5,$I65:$K65,0)),INDEX(Movements!$G742:$M742,1,MATCH(X$7,Movements!$G$716:$M$716,0))))
*X946*X$8,0)</f>
        <v>0</v>
      </c>
      <c r="Y235" s="198">
        <f>_xlfn.IFNA(IF(Y$7="Fixed",1,IF(AND($D100="yes",Y$7="Block"),INDEX($O742:$Q742,1,MATCH(Y$5,$I65:$K65,0)),INDEX(Movements!$G742:$M742,1,MATCH(Y$7,Movements!$G$716:$M$716,0))))
*Y946*Y$8,0)</f>
        <v>0</v>
      </c>
      <c r="Z235" s="198">
        <f>_xlfn.IFNA(IF(Z$7="Fixed",1,IF(AND($D100="yes",Z$7="Block"),INDEX($O742:$Q742,1,MATCH(Z$5,$I65:$K65,0)),INDEX(Movements!$G742:$M742,1,MATCH(Z$7,Movements!$G$716:$M$716,0))))
*Z946*Z$8,0)</f>
        <v>0</v>
      </c>
      <c r="AA235" s="198">
        <f>_xlfn.IFNA(IF(AA$7="Fixed",1,IF(AND($D100="yes",AA$7="Block"),INDEX($O742:$Q742,1,MATCH(AA$5,$I65:$K65,0)),INDEX(Movements!$G742:$M742,1,MATCH(AA$7,Movements!$G$716:$M$716,0))))
*AA946*AA$8,0)</f>
        <v>0</v>
      </c>
      <c r="AB235" s="198">
        <f>_xlfn.IFNA(IF(AB$7="Fixed",1,IF(AND($D100="yes",AB$7="Block"),INDEX($O742:$Q742,1,MATCH(AB$5,$I65:$K65,0)),INDEX(Movements!$G742:$M742,1,MATCH(AB$7,Movements!$G$716:$M$716,0))))
*AB946*AB$8,0)</f>
        <v>0</v>
      </c>
      <c r="AC235" s="70"/>
      <c r="AD235" s="19"/>
      <c r="AE235" s="19"/>
      <c r="AF235" s="19"/>
      <c r="AG235" s="19"/>
    </row>
    <row r="236" spans="1:33" hidden="1" outlineLevel="3" x14ac:dyDescent="0.2">
      <c r="A236" s="19"/>
      <c r="B236" s="97">
        <v>25</v>
      </c>
      <c r="C236" s="506">
        <f t="shared" si="43"/>
        <v>0</v>
      </c>
      <c r="D236" s="505">
        <f t="shared" si="43"/>
        <v>0</v>
      </c>
      <c r="E236" s="505">
        <f t="shared" si="43"/>
        <v>0</v>
      </c>
      <c r="F236" s="58"/>
      <c r="G236" s="199">
        <f t="shared" si="44"/>
        <v>0</v>
      </c>
      <c r="H236" s="58"/>
      <c r="I236" s="198">
        <f>_xlfn.IFNA(IF(I$7="Fixed",1,IF(AND($D101="yes",I$7="Block"),INDEX($O743:$Q743,1,MATCH(I$5,$I66:$K66,0)),INDEX(Movements!$G743:$M743,1,MATCH(I$7,Movements!$G$716:$M$716,0))))
*I947*I$8,0)</f>
        <v>0</v>
      </c>
      <c r="J236" s="198">
        <f>_xlfn.IFNA(IF(J$7="Fixed",1,IF(AND($D101="yes",J$7="Block"),INDEX($O743:$Q743,1,MATCH(J$5,$I66:$K66,0)),INDEX(Movements!$G743:$M743,1,MATCH(J$7,Movements!$G$716:$M$716,0))))
*J947*J$8,0)</f>
        <v>0</v>
      </c>
      <c r="K236" s="198">
        <f>_xlfn.IFNA(IF(K$7="Fixed",1,IF(AND($D101="yes",K$7="Block"),INDEX($O743:$Q743,1,MATCH(K$5,$I66:$K66,0)),INDEX(Movements!$G743:$M743,1,MATCH(K$7,Movements!$G$716:$M$716,0))))
*K947*K$8,0)</f>
        <v>0</v>
      </c>
      <c r="L236" s="198">
        <f>_xlfn.IFNA(IF(L$7="Fixed",1,IF(AND($D101="yes",L$7="Block"),INDEX($O743:$Q743,1,MATCH(L$5,$I66:$K66,0)),INDEX(Movements!$G743:$M743,1,MATCH(L$7,Movements!$G$716:$M$716,0))))
*L947*L$8,0)</f>
        <v>0</v>
      </c>
      <c r="M236" s="198">
        <f>_xlfn.IFNA(IF(M$7="Fixed",1,IF(AND($D101="yes",M$7="Block"),INDEX($O743:$Q743,1,MATCH(M$5,$I66:$K66,0)),INDEX(Movements!$G743:$M743,1,MATCH(M$7,Movements!$G$716:$M$716,0))))
*M947*M$8,0)</f>
        <v>0</v>
      </c>
      <c r="N236" s="198">
        <f>_xlfn.IFNA(IF(N$7="Fixed",1,IF(AND($D101="yes",N$7="Block"),INDEX($O743:$Q743,1,MATCH(N$5,$I66:$K66,0)),INDEX(Movements!$G743:$M743,1,MATCH(N$7,Movements!$G$716:$M$716,0))))
*N947*N$8,0)</f>
        <v>0</v>
      </c>
      <c r="O236" s="198">
        <f>_xlfn.IFNA(IF(O$7="Fixed",1,IF(AND($D101="yes",O$7="Block"),INDEX($O743:$Q743,1,MATCH(O$5,$I66:$K66,0)),INDEX(Movements!$G743:$M743,1,MATCH(O$7,Movements!$G$716:$M$716,0))))
*O947*O$8,0)</f>
        <v>0</v>
      </c>
      <c r="P236" s="198">
        <f>_xlfn.IFNA(IF(P$7="Fixed",1,IF(AND($D101="yes",P$7="Block"),INDEX($O743:$Q743,1,MATCH(P$5,$I66:$K66,0)),INDEX(Movements!$G743:$M743,1,MATCH(P$7,Movements!$G$716:$M$716,0))))
*P947*P$8,0)</f>
        <v>0</v>
      </c>
      <c r="Q236" s="198">
        <f>_xlfn.IFNA(IF(Q$7="Fixed",1,IF(AND($D101="yes",Q$7="Block"),INDEX($O743:$Q743,1,MATCH(Q$5,$I66:$K66,0)),INDEX(Movements!$G743:$M743,1,MATCH(Q$7,Movements!$G$716:$M$716,0))))
*Q947*Q$8,0)</f>
        <v>0</v>
      </c>
      <c r="R236" s="198">
        <f>_xlfn.IFNA(IF(R$7="Fixed",1,IF(AND($D101="yes",R$7="Block"),INDEX($O743:$Q743,1,MATCH(R$5,$I66:$K66,0)),INDEX(Movements!$G743:$M743,1,MATCH(R$7,Movements!$G$716:$M$716,0))))
*R947*R$8,0)</f>
        <v>0</v>
      </c>
      <c r="S236" s="198">
        <f>_xlfn.IFNA(IF(S$7="Fixed",1,IF(AND($D101="yes",S$7="Block"),INDEX($O743:$Q743,1,MATCH(S$5,$I66:$K66,0)),INDEX(Movements!$G743:$M743,1,MATCH(S$7,Movements!$G$716:$M$716,0))))
*S947*S$8,0)</f>
        <v>0</v>
      </c>
      <c r="T236" s="198">
        <f>_xlfn.IFNA(IF(T$7="Fixed",1,IF(AND($D101="yes",T$7="Block"),INDEX($O743:$Q743,1,MATCH(T$5,$I66:$K66,0)),INDEX(Movements!$G743:$M743,1,MATCH(T$7,Movements!$G$716:$M$716,0))))
*T947*T$8,0)</f>
        <v>0</v>
      </c>
      <c r="U236" s="198">
        <f>_xlfn.IFNA(IF(U$7="Fixed",1,IF(AND($D101="yes",U$7="Block"),INDEX($O743:$Q743,1,MATCH(U$5,$I66:$K66,0)),INDEX(Movements!$G743:$M743,1,MATCH(U$7,Movements!$G$716:$M$716,0))))
*U947*U$8,0)</f>
        <v>0</v>
      </c>
      <c r="V236" s="198">
        <f>_xlfn.IFNA(IF(V$7="Fixed",1,IF(AND($D101="yes",V$7="Block"),INDEX($O743:$Q743,1,MATCH(V$5,$I66:$K66,0)),INDEX(Movements!$G743:$M743,1,MATCH(V$7,Movements!$G$716:$M$716,0))))
*V947*V$8,0)</f>
        <v>0</v>
      </c>
      <c r="W236" s="198">
        <f>_xlfn.IFNA(IF(W$7="Fixed",1,IF(AND($D101="yes",W$7="Block"),INDEX($O743:$Q743,1,MATCH(W$5,$I66:$K66,0)),INDEX(Movements!$G743:$M743,1,MATCH(W$7,Movements!$G$716:$M$716,0))))
*W947*W$8,0)</f>
        <v>0</v>
      </c>
      <c r="X236" s="198">
        <f>_xlfn.IFNA(IF(X$7="Fixed",1,IF(AND($D101="yes",X$7="Block"),INDEX($O743:$Q743,1,MATCH(X$5,$I66:$K66,0)),INDEX(Movements!$G743:$M743,1,MATCH(X$7,Movements!$G$716:$M$716,0))))
*X947*X$8,0)</f>
        <v>0</v>
      </c>
      <c r="Y236" s="198">
        <f>_xlfn.IFNA(IF(Y$7="Fixed",1,IF(AND($D101="yes",Y$7="Block"),INDEX($O743:$Q743,1,MATCH(Y$5,$I66:$K66,0)),INDEX(Movements!$G743:$M743,1,MATCH(Y$7,Movements!$G$716:$M$716,0))))
*Y947*Y$8,0)</f>
        <v>0</v>
      </c>
      <c r="Z236" s="198">
        <f>_xlfn.IFNA(IF(Z$7="Fixed",1,IF(AND($D101="yes",Z$7="Block"),INDEX($O743:$Q743,1,MATCH(Z$5,$I66:$K66,0)),INDEX(Movements!$G743:$M743,1,MATCH(Z$7,Movements!$G$716:$M$716,0))))
*Z947*Z$8,0)</f>
        <v>0</v>
      </c>
      <c r="AA236" s="198">
        <f>_xlfn.IFNA(IF(AA$7="Fixed",1,IF(AND($D101="yes",AA$7="Block"),INDEX($O743:$Q743,1,MATCH(AA$5,$I66:$K66,0)),INDEX(Movements!$G743:$M743,1,MATCH(AA$7,Movements!$G$716:$M$716,0))))
*AA947*AA$8,0)</f>
        <v>0</v>
      </c>
      <c r="AB236" s="198">
        <f>_xlfn.IFNA(IF(AB$7="Fixed",1,IF(AND($D101="yes",AB$7="Block"),INDEX($O743:$Q743,1,MATCH(AB$5,$I66:$K66,0)),INDEX(Movements!$G743:$M743,1,MATCH(AB$7,Movements!$G$716:$M$716,0))))
*AB947*AB$8,0)</f>
        <v>0</v>
      </c>
      <c r="AC236" s="70"/>
      <c r="AD236" s="19"/>
      <c r="AE236" s="19"/>
      <c r="AF236" s="19"/>
      <c r="AG236" s="19"/>
    </row>
    <row r="237" spans="1:33" hidden="1" outlineLevel="3" x14ac:dyDescent="0.2">
      <c r="A237" s="19"/>
      <c r="B237" s="97">
        <v>26</v>
      </c>
      <c r="C237" s="506">
        <f t="shared" si="43"/>
        <v>0</v>
      </c>
      <c r="D237" s="505">
        <f t="shared" si="43"/>
        <v>0</v>
      </c>
      <c r="E237" s="505">
        <f t="shared" si="43"/>
        <v>0</v>
      </c>
      <c r="F237" s="58"/>
      <c r="G237" s="199">
        <f t="shared" si="44"/>
        <v>0</v>
      </c>
      <c r="H237" s="58"/>
      <c r="I237" s="198">
        <f>_xlfn.IFNA(IF(I$7="Fixed",1,IF(AND($D102="yes",I$7="Block"),INDEX($O744:$Q744,1,MATCH(I$5,$I67:$K67,0)),INDEX(Movements!$G744:$M744,1,MATCH(I$7,Movements!$G$716:$M$716,0))))
*I948*I$8,0)</f>
        <v>0</v>
      </c>
      <c r="J237" s="198">
        <f>_xlfn.IFNA(IF(J$7="Fixed",1,IF(AND($D102="yes",J$7="Block"),INDEX($O744:$Q744,1,MATCH(J$5,$I67:$K67,0)),INDEX(Movements!$G744:$M744,1,MATCH(J$7,Movements!$G$716:$M$716,0))))
*J948*J$8,0)</f>
        <v>0</v>
      </c>
      <c r="K237" s="198">
        <f>_xlfn.IFNA(IF(K$7="Fixed",1,IF(AND($D102="yes",K$7="Block"),INDEX($O744:$Q744,1,MATCH(K$5,$I67:$K67,0)),INDEX(Movements!$G744:$M744,1,MATCH(K$7,Movements!$G$716:$M$716,0))))
*K948*K$8,0)</f>
        <v>0</v>
      </c>
      <c r="L237" s="198">
        <f>_xlfn.IFNA(IF(L$7="Fixed",1,IF(AND($D102="yes",L$7="Block"),INDEX($O744:$Q744,1,MATCH(L$5,$I67:$K67,0)),INDEX(Movements!$G744:$M744,1,MATCH(L$7,Movements!$G$716:$M$716,0))))
*L948*L$8,0)</f>
        <v>0</v>
      </c>
      <c r="M237" s="198">
        <f>_xlfn.IFNA(IF(M$7="Fixed",1,IF(AND($D102="yes",M$7="Block"),INDEX($O744:$Q744,1,MATCH(M$5,$I67:$K67,0)),INDEX(Movements!$G744:$M744,1,MATCH(M$7,Movements!$G$716:$M$716,0))))
*M948*M$8,0)</f>
        <v>0</v>
      </c>
      <c r="N237" s="198">
        <f>_xlfn.IFNA(IF(N$7="Fixed",1,IF(AND($D102="yes",N$7="Block"),INDEX($O744:$Q744,1,MATCH(N$5,$I67:$K67,0)),INDEX(Movements!$G744:$M744,1,MATCH(N$7,Movements!$G$716:$M$716,0))))
*N948*N$8,0)</f>
        <v>0</v>
      </c>
      <c r="O237" s="198">
        <f>_xlfn.IFNA(IF(O$7="Fixed",1,IF(AND($D102="yes",O$7="Block"),INDEX($O744:$Q744,1,MATCH(O$5,$I67:$K67,0)),INDEX(Movements!$G744:$M744,1,MATCH(O$7,Movements!$G$716:$M$716,0))))
*O948*O$8,0)</f>
        <v>0</v>
      </c>
      <c r="P237" s="198">
        <f>_xlfn.IFNA(IF(P$7="Fixed",1,IF(AND($D102="yes",P$7="Block"),INDEX($O744:$Q744,1,MATCH(P$5,$I67:$K67,0)),INDEX(Movements!$G744:$M744,1,MATCH(P$7,Movements!$G$716:$M$716,0))))
*P948*P$8,0)</f>
        <v>0</v>
      </c>
      <c r="Q237" s="198">
        <f>_xlfn.IFNA(IF(Q$7="Fixed",1,IF(AND($D102="yes",Q$7="Block"),INDEX($O744:$Q744,1,MATCH(Q$5,$I67:$K67,0)),INDEX(Movements!$G744:$M744,1,MATCH(Q$7,Movements!$G$716:$M$716,0))))
*Q948*Q$8,0)</f>
        <v>0</v>
      </c>
      <c r="R237" s="198">
        <f>_xlfn.IFNA(IF(R$7="Fixed",1,IF(AND($D102="yes",R$7="Block"),INDEX($O744:$Q744,1,MATCH(R$5,$I67:$K67,0)),INDEX(Movements!$G744:$M744,1,MATCH(R$7,Movements!$G$716:$M$716,0))))
*R948*R$8,0)</f>
        <v>0</v>
      </c>
      <c r="S237" s="198">
        <f>_xlfn.IFNA(IF(S$7="Fixed",1,IF(AND($D102="yes",S$7="Block"),INDEX($O744:$Q744,1,MATCH(S$5,$I67:$K67,0)),INDEX(Movements!$G744:$M744,1,MATCH(S$7,Movements!$G$716:$M$716,0))))
*S948*S$8,0)</f>
        <v>0</v>
      </c>
      <c r="T237" s="198">
        <f>_xlfn.IFNA(IF(T$7="Fixed",1,IF(AND($D102="yes",T$7="Block"),INDEX($O744:$Q744,1,MATCH(T$5,$I67:$K67,0)),INDEX(Movements!$G744:$M744,1,MATCH(T$7,Movements!$G$716:$M$716,0))))
*T948*T$8,0)</f>
        <v>0</v>
      </c>
      <c r="U237" s="198">
        <f>_xlfn.IFNA(IF(U$7="Fixed",1,IF(AND($D102="yes",U$7="Block"),INDEX($O744:$Q744,1,MATCH(U$5,$I67:$K67,0)),INDEX(Movements!$G744:$M744,1,MATCH(U$7,Movements!$G$716:$M$716,0))))
*U948*U$8,0)</f>
        <v>0</v>
      </c>
      <c r="V237" s="198">
        <f>_xlfn.IFNA(IF(V$7="Fixed",1,IF(AND($D102="yes",V$7="Block"),INDEX($O744:$Q744,1,MATCH(V$5,$I67:$K67,0)),INDEX(Movements!$G744:$M744,1,MATCH(V$7,Movements!$G$716:$M$716,0))))
*V948*V$8,0)</f>
        <v>0</v>
      </c>
      <c r="W237" s="198">
        <f>_xlfn.IFNA(IF(W$7="Fixed",1,IF(AND($D102="yes",W$7="Block"),INDEX($O744:$Q744,1,MATCH(W$5,$I67:$K67,0)),INDEX(Movements!$G744:$M744,1,MATCH(W$7,Movements!$G$716:$M$716,0))))
*W948*W$8,0)</f>
        <v>0</v>
      </c>
      <c r="X237" s="198">
        <f>_xlfn.IFNA(IF(X$7="Fixed",1,IF(AND($D102="yes",X$7="Block"),INDEX($O744:$Q744,1,MATCH(X$5,$I67:$K67,0)),INDEX(Movements!$G744:$M744,1,MATCH(X$7,Movements!$G$716:$M$716,0))))
*X948*X$8,0)</f>
        <v>0</v>
      </c>
      <c r="Y237" s="198">
        <f>_xlfn.IFNA(IF(Y$7="Fixed",1,IF(AND($D102="yes",Y$7="Block"),INDEX($O744:$Q744,1,MATCH(Y$5,$I67:$K67,0)),INDEX(Movements!$G744:$M744,1,MATCH(Y$7,Movements!$G$716:$M$716,0))))
*Y948*Y$8,0)</f>
        <v>0</v>
      </c>
      <c r="Z237" s="198">
        <f>_xlfn.IFNA(IF(Z$7="Fixed",1,IF(AND($D102="yes",Z$7="Block"),INDEX($O744:$Q744,1,MATCH(Z$5,$I67:$K67,0)),INDEX(Movements!$G744:$M744,1,MATCH(Z$7,Movements!$G$716:$M$716,0))))
*Z948*Z$8,0)</f>
        <v>0</v>
      </c>
      <c r="AA237" s="198">
        <f>_xlfn.IFNA(IF(AA$7="Fixed",1,IF(AND($D102="yes",AA$7="Block"),INDEX($O744:$Q744,1,MATCH(AA$5,$I67:$K67,0)),INDEX(Movements!$G744:$M744,1,MATCH(AA$7,Movements!$G$716:$M$716,0))))
*AA948*AA$8,0)</f>
        <v>0</v>
      </c>
      <c r="AB237" s="198">
        <f>_xlfn.IFNA(IF(AB$7="Fixed",1,IF(AND($D102="yes",AB$7="Block"),INDEX($O744:$Q744,1,MATCH(AB$5,$I67:$K67,0)),INDEX(Movements!$G744:$M744,1,MATCH(AB$7,Movements!$G$716:$M$716,0))))
*AB948*AB$8,0)</f>
        <v>0</v>
      </c>
      <c r="AC237" s="70"/>
      <c r="AD237" s="19"/>
      <c r="AE237" s="19"/>
      <c r="AF237" s="19"/>
      <c r="AG237" s="19"/>
    </row>
    <row r="238" spans="1:33" hidden="1" outlineLevel="3" x14ac:dyDescent="0.2">
      <c r="A238" s="19"/>
      <c r="B238" s="97">
        <v>27</v>
      </c>
      <c r="C238" s="506">
        <f t="shared" si="43"/>
        <v>0</v>
      </c>
      <c r="D238" s="505">
        <f t="shared" si="43"/>
        <v>0</v>
      </c>
      <c r="E238" s="505">
        <f t="shared" si="43"/>
        <v>0</v>
      </c>
      <c r="F238" s="58"/>
      <c r="G238" s="199">
        <f t="shared" si="44"/>
        <v>0</v>
      </c>
      <c r="H238" s="58"/>
      <c r="I238" s="198">
        <f>_xlfn.IFNA(IF(I$7="Fixed",1,IF(AND($D103="yes",I$7="Block"),INDEX($O745:$Q745,1,MATCH(I$5,$I68:$K68,0)),INDEX(Movements!$G745:$M745,1,MATCH(I$7,Movements!$G$716:$M$716,0))))
*I949*I$8,0)</f>
        <v>0</v>
      </c>
      <c r="J238" s="198">
        <f>_xlfn.IFNA(IF(J$7="Fixed",1,IF(AND($D103="yes",J$7="Block"),INDEX($O745:$Q745,1,MATCH(J$5,$I68:$K68,0)),INDEX(Movements!$G745:$M745,1,MATCH(J$7,Movements!$G$716:$M$716,0))))
*J949*J$8,0)</f>
        <v>0</v>
      </c>
      <c r="K238" s="198">
        <f>_xlfn.IFNA(IF(K$7="Fixed",1,IF(AND($D103="yes",K$7="Block"),INDEX($O745:$Q745,1,MATCH(K$5,$I68:$K68,0)),INDEX(Movements!$G745:$M745,1,MATCH(K$7,Movements!$G$716:$M$716,0))))
*K949*K$8,0)</f>
        <v>0</v>
      </c>
      <c r="L238" s="198">
        <f>_xlfn.IFNA(IF(L$7="Fixed",1,IF(AND($D103="yes",L$7="Block"),INDEX($O745:$Q745,1,MATCH(L$5,$I68:$K68,0)),INDEX(Movements!$G745:$M745,1,MATCH(L$7,Movements!$G$716:$M$716,0))))
*L949*L$8,0)</f>
        <v>0</v>
      </c>
      <c r="M238" s="198">
        <f>_xlfn.IFNA(IF(M$7="Fixed",1,IF(AND($D103="yes",M$7="Block"),INDEX($O745:$Q745,1,MATCH(M$5,$I68:$K68,0)),INDEX(Movements!$G745:$M745,1,MATCH(M$7,Movements!$G$716:$M$716,0))))
*M949*M$8,0)</f>
        <v>0</v>
      </c>
      <c r="N238" s="198">
        <f>_xlfn.IFNA(IF(N$7="Fixed",1,IF(AND($D103="yes",N$7="Block"),INDEX($O745:$Q745,1,MATCH(N$5,$I68:$K68,0)),INDEX(Movements!$G745:$M745,1,MATCH(N$7,Movements!$G$716:$M$716,0))))
*N949*N$8,0)</f>
        <v>0</v>
      </c>
      <c r="O238" s="198">
        <f>_xlfn.IFNA(IF(O$7="Fixed",1,IF(AND($D103="yes",O$7="Block"),INDEX($O745:$Q745,1,MATCH(O$5,$I68:$K68,0)),INDEX(Movements!$G745:$M745,1,MATCH(O$7,Movements!$G$716:$M$716,0))))
*O949*O$8,0)</f>
        <v>0</v>
      </c>
      <c r="P238" s="198">
        <f>_xlfn.IFNA(IF(P$7="Fixed",1,IF(AND($D103="yes",P$7="Block"),INDEX($O745:$Q745,1,MATCH(P$5,$I68:$K68,0)),INDEX(Movements!$G745:$M745,1,MATCH(P$7,Movements!$G$716:$M$716,0))))
*P949*P$8,0)</f>
        <v>0</v>
      </c>
      <c r="Q238" s="198">
        <f>_xlfn.IFNA(IF(Q$7="Fixed",1,IF(AND($D103="yes",Q$7="Block"),INDEX($O745:$Q745,1,MATCH(Q$5,$I68:$K68,0)),INDEX(Movements!$G745:$M745,1,MATCH(Q$7,Movements!$G$716:$M$716,0))))
*Q949*Q$8,0)</f>
        <v>0</v>
      </c>
      <c r="R238" s="198">
        <f>_xlfn.IFNA(IF(R$7="Fixed",1,IF(AND($D103="yes",R$7="Block"),INDEX($O745:$Q745,1,MATCH(R$5,$I68:$K68,0)),INDEX(Movements!$G745:$M745,1,MATCH(R$7,Movements!$G$716:$M$716,0))))
*R949*R$8,0)</f>
        <v>0</v>
      </c>
      <c r="S238" s="198">
        <f>_xlfn.IFNA(IF(S$7="Fixed",1,IF(AND($D103="yes",S$7="Block"),INDEX($O745:$Q745,1,MATCH(S$5,$I68:$K68,0)),INDEX(Movements!$G745:$M745,1,MATCH(S$7,Movements!$G$716:$M$716,0))))
*S949*S$8,0)</f>
        <v>0</v>
      </c>
      <c r="T238" s="198">
        <f>_xlfn.IFNA(IF(T$7="Fixed",1,IF(AND($D103="yes",T$7="Block"),INDEX($O745:$Q745,1,MATCH(T$5,$I68:$K68,0)),INDEX(Movements!$G745:$M745,1,MATCH(T$7,Movements!$G$716:$M$716,0))))
*T949*T$8,0)</f>
        <v>0</v>
      </c>
      <c r="U238" s="198">
        <f>_xlfn.IFNA(IF(U$7="Fixed",1,IF(AND($D103="yes",U$7="Block"),INDEX($O745:$Q745,1,MATCH(U$5,$I68:$K68,0)),INDEX(Movements!$G745:$M745,1,MATCH(U$7,Movements!$G$716:$M$716,0))))
*U949*U$8,0)</f>
        <v>0</v>
      </c>
      <c r="V238" s="198">
        <f>_xlfn.IFNA(IF(V$7="Fixed",1,IF(AND($D103="yes",V$7="Block"),INDEX($O745:$Q745,1,MATCH(V$5,$I68:$K68,0)),INDEX(Movements!$G745:$M745,1,MATCH(V$7,Movements!$G$716:$M$716,0))))
*V949*V$8,0)</f>
        <v>0</v>
      </c>
      <c r="W238" s="198">
        <f>_xlfn.IFNA(IF(W$7="Fixed",1,IF(AND($D103="yes",W$7="Block"),INDEX($O745:$Q745,1,MATCH(W$5,$I68:$K68,0)),INDEX(Movements!$G745:$M745,1,MATCH(W$7,Movements!$G$716:$M$716,0))))
*W949*W$8,0)</f>
        <v>0</v>
      </c>
      <c r="X238" s="198">
        <f>_xlfn.IFNA(IF(X$7="Fixed",1,IF(AND($D103="yes",X$7="Block"),INDEX($O745:$Q745,1,MATCH(X$5,$I68:$K68,0)),INDEX(Movements!$G745:$M745,1,MATCH(X$7,Movements!$G$716:$M$716,0))))
*X949*X$8,0)</f>
        <v>0</v>
      </c>
      <c r="Y238" s="198">
        <f>_xlfn.IFNA(IF(Y$7="Fixed",1,IF(AND($D103="yes",Y$7="Block"),INDEX($O745:$Q745,1,MATCH(Y$5,$I68:$K68,0)),INDEX(Movements!$G745:$M745,1,MATCH(Y$7,Movements!$G$716:$M$716,0))))
*Y949*Y$8,0)</f>
        <v>0</v>
      </c>
      <c r="Z238" s="198">
        <f>_xlfn.IFNA(IF(Z$7="Fixed",1,IF(AND($D103="yes",Z$7="Block"),INDEX($O745:$Q745,1,MATCH(Z$5,$I68:$K68,0)),INDEX(Movements!$G745:$M745,1,MATCH(Z$7,Movements!$G$716:$M$716,0))))
*Z949*Z$8,0)</f>
        <v>0</v>
      </c>
      <c r="AA238" s="198">
        <f>_xlfn.IFNA(IF(AA$7="Fixed",1,IF(AND($D103="yes",AA$7="Block"),INDEX($O745:$Q745,1,MATCH(AA$5,$I68:$K68,0)),INDEX(Movements!$G745:$M745,1,MATCH(AA$7,Movements!$G$716:$M$716,0))))
*AA949*AA$8,0)</f>
        <v>0</v>
      </c>
      <c r="AB238" s="198">
        <f>_xlfn.IFNA(IF(AB$7="Fixed",1,IF(AND($D103="yes",AB$7="Block"),INDEX($O745:$Q745,1,MATCH(AB$5,$I68:$K68,0)),INDEX(Movements!$G745:$M745,1,MATCH(AB$7,Movements!$G$716:$M$716,0))))
*AB949*AB$8,0)</f>
        <v>0</v>
      </c>
      <c r="AC238" s="70"/>
      <c r="AD238" s="19"/>
      <c r="AE238" s="19"/>
      <c r="AF238" s="19"/>
      <c r="AG238" s="19"/>
    </row>
    <row r="239" spans="1:33" hidden="1" outlineLevel="3" x14ac:dyDescent="0.2">
      <c r="A239" s="19"/>
      <c r="B239" s="97">
        <v>28</v>
      </c>
      <c r="C239" s="506">
        <f t="shared" si="43"/>
        <v>0</v>
      </c>
      <c r="D239" s="505">
        <f t="shared" si="43"/>
        <v>0</v>
      </c>
      <c r="E239" s="505">
        <f t="shared" si="43"/>
        <v>0</v>
      </c>
      <c r="F239" s="58"/>
      <c r="G239" s="199">
        <f t="shared" si="44"/>
        <v>0</v>
      </c>
      <c r="H239" s="58"/>
      <c r="I239" s="198">
        <f>_xlfn.IFNA(IF(I$7="Fixed",1,IF(AND($D104="yes",I$7="Block"),INDEX($O746:$Q746,1,MATCH(I$5,$I69:$K69,0)),INDEX(Movements!$G746:$M746,1,MATCH(I$7,Movements!$G$716:$M$716,0))))
*I950*I$8,0)</f>
        <v>0</v>
      </c>
      <c r="J239" s="198">
        <f>_xlfn.IFNA(IF(J$7="Fixed",1,IF(AND($D104="yes",J$7="Block"),INDEX($O746:$Q746,1,MATCH(J$5,$I69:$K69,0)),INDEX(Movements!$G746:$M746,1,MATCH(J$7,Movements!$G$716:$M$716,0))))
*J950*J$8,0)</f>
        <v>0</v>
      </c>
      <c r="K239" s="198">
        <f>_xlfn.IFNA(IF(K$7="Fixed",1,IF(AND($D104="yes",K$7="Block"),INDEX($O746:$Q746,1,MATCH(K$5,$I69:$K69,0)),INDEX(Movements!$G746:$M746,1,MATCH(K$7,Movements!$G$716:$M$716,0))))
*K950*K$8,0)</f>
        <v>0</v>
      </c>
      <c r="L239" s="198">
        <f>_xlfn.IFNA(IF(L$7="Fixed",1,IF(AND($D104="yes",L$7="Block"),INDEX($O746:$Q746,1,MATCH(L$5,$I69:$K69,0)),INDEX(Movements!$G746:$M746,1,MATCH(L$7,Movements!$G$716:$M$716,0))))
*L950*L$8,0)</f>
        <v>0</v>
      </c>
      <c r="M239" s="198">
        <f>_xlfn.IFNA(IF(M$7="Fixed",1,IF(AND($D104="yes",M$7="Block"),INDEX($O746:$Q746,1,MATCH(M$5,$I69:$K69,0)),INDEX(Movements!$G746:$M746,1,MATCH(M$7,Movements!$G$716:$M$716,0))))
*M950*M$8,0)</f>
        <v>0</v>
      </c>
      <c r="N239" s="198">
        <f>_xlfn.IFNA(IF(N$7="Fixed",1,IF(AND($D104="yes",N$7="Block"),INDEX($O746:$Q746,1,MATCH(N$5,$I69:$K69,0)),INDEX(Movements!$G746:$M746,1,MATCH(N$7,Movements!$G$716:$M$716,0))))
*N950*N$8,0)</f>
        <v>0</v>
      </c>
      <c r="O239" s="198">
        <f>_xlfn.IFNA(IF(O$7="Fixed",1,IF(AND($D104="yes",O$7="Block"),INDEX($O746:$Q746,1,MATCH(O$5,$I69:$K69,0)),INDEX(Movements!$G746:$M746,1,MATCH(O$7,Movements!$G$716:$M$716,0))))
*O950*O$8,0)</f>
        <v>0</v>
      </c>
      <c r="P239" s="198">
        <f>_xlfn.IFNA(IF(P$7="Fixed",1,IF(AND($D104="yes",P$7="Block"),INDEX($O746:$Q746,1,MATCH(P$5,$I69:$K69,0)),INDEX(Movements!$G746:$M746,1,MATCH(P$7,Movements!$G$716:$M$716,0))))
*P950*P$8,0)</f>
        <v>0</v>
      </c>
      <c r="Q239" s="198">
        <f>_xlfn.IFNA(IF(Q$7="Fixed",1,IF(AND($D104="yes",Q$7="Block"),INDEX($O746:$Q746,1,MATCH(Q$5,$I69:$K69,0)),INDEX(Movements!$G746:$M746,1,MATCH(Q$7,Movements!$G$716:$M$716,0))))
*Q950*Q$8,0)</f>
        <v>0</v>
      </c>
      <c r="R239" s="198">
        <f>_xlfn.IFNA(IF(R$7="Fixed",1,IF(AND($D104="yes",R$7="Block"),INDEX($O746:$Q746,1,MATCH(R$5,$I69:$K69,0)),INDEX(Movements!$G746:$M746,1,MATCH(R$7,Movements!$G$716:$M$716,0))))
*R950*R$8,0)</f>
        <v>0</v>
      </c>
      <c r="S239" s="198">
        <f>_xlfn.IFNA(IF(S$7="Fixed",1,IF(AND($D104="yes",S$7="Block"),INDEX($O746:$Q746,1,MATCH(S$5,$I69:$K69,0)),INDEX(Movements!$G746:$M746,1,MATCH(S$7,Movements!$G$716:$M$716,0))))
*S950*S$8,0)</f>
        <v>0</v>
      </c>
      <c r="T239" s="198">
        <f>_xlfn.IFNA(IF(T$7="Fixed",1,IF(AND($D104="yes",T$7="Block"),INDEX($O746:$Q746,1,MATCH(T$5,$I69:$K69,0)),INDEX(Movements!$G746:$M746,1,MATCH(T$7,Movements!$G$716:$M$716,0))))
*T950*T$8,0)</f>
        <v>0</v>
      </c>
      <c r="U239" s="198">
        <f>_xlfn.IFNA(IF(U$7="Fixed",1,IF(AND($D104="yes",U$7="Block"),INDEX($O746:$Q746,1,MATCH(U$5,$I69:$K69,0)),INDEX(Movements!$G746:$M746,1,MATCH(U$7,Movements!$G$716:$M$716,0))))
*U950*U$8,0)</f>
        <v>0</v>
      </c>
      <c r="V239" s="198">
        <f>_xlfn.IFNA(IF(V$7="Fixed",1,IF(AND($D104="yes",V$7="Block"),INDEX($O746:$Q746,1,MATCH(V$5,$I69:$K69,0)),INDEX(Movements!$G746:$M746,1,MATCH(V$7,Movements!$G$716:$M$716,0))))
*V950*V$8,0)</f>
        <v>0</v>
      </c>
      <c r="W239" s="198">
        <f>_xlfn.IFNA(IF(W$7="Fixed",1,IF(AND($D104="yes",W$7="Block"),INDEX($O746:$Q746,1,MATCH(W$5,$I69:$K69,0)),INDEX(Movements!$G746:$M746,1,MATCH(W$7,Movements!$G$716:$M$716,0))))
*W950*W$8,0)</f>
        <v>0</v>
      </c>
      <c r="X239" s="198">
        <f>_xlfn.IFNA(IF(X$7="Fixed",1,IF(AND($D104="yes",X$7="Block"),INDEX($O746:$Q746,1,MATCH(X$5,$I69:$K69,0)),INDEX(Movements!$G746:$M746,1,MATCH(X$7,Movements!$G$716:$M$716,0))))
*X950*X$8,0)</f>
        <v>0</v>
      </c>
      <c r="Y239" s="198">
        <f>_xlfn.IFNA(IF(Y$7="Fixed",1,IF(AND($D104="yes",Y$7="Block"),INDEX($O746:$Q746,1,MATCH(Y$5,$I69:$K69,0)),INDEX(Movements!$G746:$M746,1,MATCH(Y$7,Movements!$G$716:$M$716,0))))
*Y950*Y$8,0)</f>
        <v>0</v>
      </c>
      <c r="Z239" s="198">
        <f>_xlfn.IFNA(IF(Z$7="Fixed",1,IF(AND($D104="yes",Z$7="Block"),INDEX($O746:$Q746,1,MATCH(Z$5,$I69:$K69,0)),INDEX(Movements!$G746:$M746,1,MATCH(Z$7,Movements!$G$716:$M$716,0))))
*Z950*Z$8,0)</f>
        <v>0</v>
      </c>
      <c r="AA239" s="198">
        <f>_xlfn.IFNA(IF(AA$7="Fixed",1,IF(AND($D104="yes",AA$7="Block"),INDEX($O746:$Q746,1,MATCH(AA$5,$I69:$K69,0)),INDEX(Movements!$G746:$M746,1,MATCH(AA$7,Movements!$G$716:$M$716,0))))
*AA950*AA$8,0)</f>
        <v>0</v>
      </c>
      <c r="AB239" s="198">
        <f>_xlfn.IFNA(IF(AB$7="Fixed",1,IF(AND($D104="yes",AB$7="Block"),INDEX($O746:$Q746,1,MATCH(AB$5,$I69:$K69,0)),INDEX(Movements!$G746:$M746,1,MATCH(AB$7,Movements!$G$716:$M$716,0))))
*AB950*AB$8,0)</f>
        <v>0</v>
      </c>
      <c r="AC239" s="70"/>
      <c r="AD239" s="19"/>
      <c r="AE239" s="19"/>
      <c r="AF239" s="19"/>
      <c r="AG239" s="19"/>
    </row>
    <row r="240" spans="1:33" hidden="1" outlineLevel="3" x14ac:dyDescent="0.2">
      <c r="A240" s="19"/>
      <c r="B240" s="97">
        <v>29</v>
      </c>
      <c r="C240" s="506">
        <f t="shared" si="43"/>
        <v>0</v>
      </c>
      <c r="D240" s="505">
        <f t="shared" si="43"/>
        <v>0</v>
      </c>
      <c r="E240" s="505">
        <f t="shared" si="43"/>
        <v>0</v>
      </c>
      <c r="F240" s="58"/>
      <c r="G240" s="199">
        <f t="shared" si="44"/>
        <v>0</v>
      </c>
      <c r="H240" s="58"/>
      <c r="I240" s="198">
        <f>_xlfn.IFNA(IF(I$7="Fixed",1,IF(AND($D105="yes",I$7="Block"),INDEX($O747:$Q747,1,MATCH(I$5,$I70:$K70,0)),INDEX(Movements!$G747:$M747,1,MATCH(I$7,Movements!$G$716:$M$716,0))))
*I951*I$8,0)</f>
        <v>0</v>
      </c>
      <c r="J240" s="198">
        <f>_xlfn.IFNA(IF(J$7="Fixed",1,IF(AND($D105="yes",J$7="Block"),INDEX($O747:$Q747,1,MATCH(J$5,$I70:$K70,0)),INDEX(Movements!$G747:$M747,1,MATCH(J$7,Movements!$G$716:$M$716,0))))
*J951*J$8,0)</f>
        <v>0</v>
      </c>
      <c r="K240" s="198">
        <f>_xlfn.IFNA(IF(K$7="Fixed",1,IF(AND($D105="yes",K$7="Block"),INDEX($O747:$Q747,1,MATCH(K$5,$I70:$K70,0)),INDEX(Movements!$G747:$M747,1,MATCH(K$7,Movements!$G$716:$M$716,0))))
*K951*K$8,0)</f>
        <v>0</v>
      </c>
      <c r="L240" s="198">
        <f>_xlfn.IFNA(IF(L$7="Fixed",1,IF(AND($D105="yes",L$7="Block"),INDEX($O747:$Q747,1,MATCH(L$5,$I70:$K70,0)),INDEX(Movements!$G747:$M747,1,MATCH(L$7,Movements!$G$716:$M$716,0))))
*L951*L$8,0)</f>
        <v>0</v>
      </c>
      <c r="M240" s="198">
        <f>_xlfn.IFNA(IF(M$7="Fixed",1,IF(AND($D105="yes",M$7="Block"),INDEX($O747:$Q747,1,MATCH(M$5,$I70:$K70,0)),INDEX(Movements!$G747:$M747,1,MATCH(M$7,Movements!$G$716:$M$716,0))))
*M951*M$8,0)</f>
        <v>0</v>
      </c>
      <c r="N240" s="198">
        <f>_xlfn.IFNA(IF(N$7="Fixed",1,IF(AND($D105="yes",N$7="Block"),INDEX($O747:$Q747,1,MATCH(N$5,$I70:$K70,0)),INDEX(Movements!$G747:$M747,1,MATCH(N$7,Movements!$G$716:$M$716,0))))
*N951*N$8,0)</f>
        <v>0</v>
      </c>
      <c r="O240" s="198">
        <f>_xlfn.IFNA(IF(O$7="Fixed",1,IF(AND($D105="yes",O$7="Block"),INDEX($O747:$Q747,1,MATCH(O$5,$I70:$K70,0)),INDEX(Movements!$G747:$M747,1,MATCH(O$7,Movements!$G$716:$M$716,0))))
*O951*O$8,0)</f>
        <v>0</v>
      </c>
      <c r="P240" s="198">
        <f>_xlfn.IFNA(IF(P$7="Fixed",1,IF(AND($D105="yes",P$7="Block"),INDEX($O747:$Q747,1,MATCH(P$5,$I70:$K70,0)),INDEX(Movements!$G747:$M747,1,MATCH(P$7,Movements!$G$716:$M$716,0))))
*P951*P$8,0)</f>
        <v>0</v>
      </c>
      <c r="Q240" s="198">
        <f>_xlfn.IFNA(IF(Q$7="Fixed",1,IF(AND($D105="yes",Q$7="Block"),INDEX($O747:$Q747,1,MATCH(Q$5,$I70:$K70,0)),INDEX(Movements!$G747:$M747,1,MATCH(Q$7,Movements!$G$716:$M$716,0))))
*Q951*Q$8,0)</f>
        <v>0</v>
      </c>
      <c r="R240" s="198">
        <f>_xlfn.IFNA(IF(R$7="Fixed",1,IF(AND($D105="yes",R$7="Block"),INDEX($O747:$Q747,1,MATCH(R$5,$I70:$K70,0)),INDEX(Movements!$G747:$M747,1,MATCH(R$7,Movements!$G$716:$M$716,0))))
*R951*R$8,0)</f>
        <v>0</v>
      </c>
      <c r="S240" s="198">
        <f>_xlfn.IFNA(IF(S$7="Fixed",1,IF(AND($D105="yes",S$7="Block"),INDEX($O747:$Q747,1,MATCH(S$5,$I70:$K70,0)),INDEX(Movements!$G747:$M747,1,MATCH(S$7,Movements!$G$716:$M$716,0))))
*S951*S$8,0)</f>
        <v>0</v>
      </c>
      <c r="T240" s="198">
        <f>_xlfn.IFNA(IF(T$7="Fixed",1,IF(AND($D105="yes",T$7="Block"),INDEX($O747:$Q747,1,MATCH(T$5,$I70:$K70,0)),INDEX(Movements!$G747:$M747,1,MATCH(T$7,Movements!$G$716:$M$716,0))))
*T951*T$8,0)</f>
        <v>0</v>
      </c>
      <c r="U240" s="198">
        <f>_xlfn.IFNA(IF(U$7="Fixed",1,IF(AND($D105="yes",U$7="Block"),INDEX($O747:$Q747,1,MATCH(U$5,$I70:$K70,0)),INDEX(Movements!$G747:$M747,1,MATCH(U$7,Movements!$G$716:$M$716,0))))
*U951*U$8,0)</f>
        <v>0</v>
      </c>
      <c r="V240" s="198">
        <f>_xlfn.IFNA(IF(V$7="Fixed",1,IF(AND($D105="yes",V$7="Block"),INDEX($O747:$Q747,1,MATCH(V$5,$I70:$K70,0)),INDEX(Movements!$G747:$M747,1,MATCH(V$7,Movements!$G$716:$M$716,0))))
*V951*V$8,0)</f>
        <v>0</v>
      </c>
      <c r="W240" s="198">
        <f>_xlfn.IFNA(IF(W$7="Fixed",1,IF(AND($D105="yes",W$7="Block"),INDEX($O747:$Q747,1,MATCH(W$5,$I70:$K70,0)),INDEX(Movements!$G747:$M747,1,MATCH(W$7,Movements!$G$716:$M$716,0))))
*W951*W$8,0)</f>
        <v>0</v>
      </c>
      <c r="X240" s="198">
        <f>_xlfn.IFNA(IF(X$7="Fixed",1,IF(AND($D105="yes",X$7="Block"),INDEX($O747:$Q747,1,MATCH(X$5,$I70:$K70,0)),INDEX(Movements!$G747:$M747,1,MATCH(X$7,Movements!$G$716:$M$716,0))))
*X951*X$8,0)</f>
        <v>0</v>
      </c>
      <c r="Y240" s="198">
        <f>_xlfn.IFNA(IF(Y$7="Fixed",1,IF(AND($D105="yes",Y$7="Block"),INDEX($O747:$Q747,1,MATCH(Y$5,$I70:$K70,0)),INDEX(Movements!$G747:$M747,1,MATCH(Y$7,Movements!$G$716:$M$716,0))))
*Y951*Y$8,0)</f>
        <v>0</v>
      </c>
      <c r="Z240" s="198">
        <f>_xlfn.IFNA(IF(Z$7="Fixed",1,IF(AND($D105="yes",Z$7="Block"),INDEX($O747:$Q747,1,MATCH(Z$5,$I70:$K70,0)),INDEX(Movements!$G747:$M747,1,MATCH(Z$7,Movements!$G$716:$M$716,0))))
*Z951*Z$8,0)</f>
        <v>0</v>
      </c>
      <c r="AA240" s="198">
        <f>_xlfn.IFNA(IF(AA$7="Fixed",1,IF(AND($D105="yes",AA$7="Block"),INDEX($O747:$Q747,1,MATCH(AA$5,$I70:$K70,0)),INDEX(Movements!$G747:$M747,1,MATCH(AA$7,Movements!$G$716:$M$716,0))))
*AA951*AA$8,0)</f>
        <v>0</v>
      </c>
      <c r="AB240" s="198">
        <f>_xlfn.IFNA(IF(AB$7="Fixed",1,IF(AND($D105="yes",AB$7="Block"),INDEX($O747:$Q747,1,MATCH(AB$5,$I70:$K70,0)),INDEX(Movements!$G747:$M747,1,MATCH(AB$7,Movements!$G$716:$M$716,0))))
*AB951*AB$8,0)</f>
        <v>0</v>
      </c>
      <c r="AC240" s="70"/>
      <c r="AD240" s="19"/>
      <c r="AE240" s="19"/>
      <c r="AF240" s="19"/>
      <c r="AG240" s="19"/>
    </row>
    <row r="241" spans="1:33" hidden="1" outlineLevel="3" x14ac:dyDescent="0.2">
      <c r="A241" s="19"/>
      <c r="B241" s="98">
        <v>30</v>
      </c>
      <c r="C241" s="506">
        <f t="shared" si="43"/>
        <v>0</v>
      </c>
      <c r="D241" s="505">
        <f t="shared" si="43"/>
        <v>0</v>
      </c>
      <c r="E241" s="505">
        <f t="shared" si="43"/>
        <v>0</v>
      </c>
      <c r="F241" s="58"/>
      <c r="G241" s="199">
        <f t="shared" si="44"/>
        <v>0</v>
      </c>
      <c r="H241" s="58"/>
      <c r="I241" s="198">
        <f>_xlfn.IFNA(IF(I$7="Fixed",1,IF(AND($D106="yes",I$7="Block"),INDEX($O748:$Q748,1,MATCH(I$5,$I71:$K71,0)),INDEX(Movements!$G748:$M748,1,MATCH(I$7,Movements!$G$716:$M$716,0))))
*I952*I$8,0)</f>
        <v>0</v>
      </c>
      <c r="J241" s="198">
        <f>_xlfn.IFNA(IF(J$7="Fixed",1,IF(AND($D106="yes",J$7="Block"),INDEX($O748:$Q748,1,MATCH(J$5,$I71:$K71,0)),INDEX(Movements!$G748:$M748,1,MATCH(J$7,Movements!$G$716:$M$716,0))))
*J952*J$8,0)</f>
        <v>0</v>
      </c>
      <c r="K241" s="198">
        <f>_xlfn.IFNA(IF(K$7="Fixed",1,IF(AND($D106="yes",K$7="Block"),INDEX($O748:$Q748,1,MATCH(K$5,$I71:$K71,0)),INDEX(Movements!$G748:$M748,1,MATCH(K$7,Movements!$G$716:$M$716,0))))
*K952*K$8,0)</f>
        <v>0</v>
      </c>
      <c r="L241" s="198">
        <f>_xlfn.IFNA(IF(L$7="Fixed",1,IF(AND($D106="yes",L$7="Block"),INDEX($O748:$Q748,1,MATCH(L$5,$I71:$K71,0)),INDEX(Movements!$G748:$M748,1,MATCH(L$7,Movements!$G$716:$M$716,0))))
*L952*L$8,0)</f>
        <v>0</v>
      </c>
      <c r="M241" s="198">
        <f>_xlfn.IFNA(IF(M$7="Fixed",1,IF(AND($D106="yes",M$7="Block"),INDEX($O748:$Q748,1,MATCH(M$5,$I71:$K71,0)),INDEX(Movements!$G748:$M748,1,MATCH(M$7,Movements!$G$716:$M$716,0))))
*M952*M$8,0)</f>
        <v>0</v>
      </c>
      <c r="N241" s="198">
        <f>_xlfn.IFNA(IF(N$7="Fixed",1,IF(AND($D106="yes",N$7="Block"),INDEX($O748:$Q748,1,MATCH(N$5,$I71:$K71,0)),INDEX(Movements!$G748:$M748,1,MATCH(N$7,Movements!$G$716:$M$716,0))))
*N952*N$8,0)</f>
        <v>0</v>
      </c>
      <c r="O241" s="198">
        <f>_xlfn.IFNA(IF(O$7="Fixed",1,IF(AND($D106="yes",O$7="Block"),INDEX($O748:$Q748,1,MATCH(O$5,$I71:$K71,0)),INDEX(Movements!$G748:$M748,1,MATCH(O$7,Movements!$G$716:$M$716,0))))
*O952*O$8,0)</f>
        <v>0</v>
      </c>
      <c r="P241" s="198">
        <f>_xlfn.IFNA(IF(P$7="Fixed",1,IF(AND($D106="yes",P$7="Block"),INDEX($O748:$Q748,1,MATCH(P$5,$I71:$K71,0)),INDEX(Movements!$G748:$M748,1,MATCH(P$7,Movements!$G$716:$M$716,0))))
*P952*P$8,0)</f>
        <v>0</v>
      </c>
      <c r="Q241" s="198">
        <f>_xlfn.IFNA(IF(Q$7="Fixed",1,IF(AND($D106="yes",Q$7="Block"),INDEX($O748:$Q748,1,MATCH(Q$5,$I71:$K71,0)),INDEX(Movements!$G748:$M748,1,MATCH(Q$7,Movements!$G$716:$M$716,0))))
*Q952*Q$8,0)</f>
        <v>0</v>
      </c>
      <c r="R241" s="198">
        <f>_xlfn.IFNA(IF(R$7="Fixed",1,IF(AND($D106="yes",R$7="Block"),INDEX($O748:$Q748,1,MATCH(R$5,$I71:$K71,0)),INDEX(Movements!$G748:$M748,1,MATCH(R$7,Movements!$G$716:$M$716,0))))
*R952*R$8,0)</f>
        <v>0</v>
      </c>
      <c r="S241" s="198">
        <f>_xlfn.IFNA(IF(S$7="Fixed",1,IF(AND($D106="yes",S$7="Block"),INDEX($O748:$Q748,1,MATCH(S$5,$I71:$K71,0)),INDEX(Movements!$G748:$M748,1,MATCH(S$7,Movements!$G$716:$M$716,0))))
*S952*S$8,0)</f>
        <v>0</v>
      </c>
      <c r="T241" s="198">
        <f>_xlfn.IFNA(IF(T$7="Fixed",1,IF(AND($D106="yes",T$7="Block"),INDEX($O748:$Q748,1,MATCH(T$5,$I71:$K71,0)),INDEX(Movements!$G748:$M748,1,MATCH(T$7,Movements!$G$716:$M$716,0))))
*T952*T$8,0)</f>
        <v>0</v>
      </c>
      <c r="U241" s="198">
        <f>_xlfn.IFNA(IF(U$7="Fixed",1,IF(AND($D106="yes",U$7="Block"),INDEX($O748:$Q748,1,MATCH(U$5,$I71:$K71,0)),INDEX(Movements!$G748:$M748,1,MATCH(U$7,Movements!$G$716:$M$716,0))))
*U952*U$8,0)</f>
        <v>0</v>
      </c>
      <c r="V241" s="198">
        <f>_xlfn.IFNA(IF(V$7="Fixed",1,IF(AND($D106="yes",V$7="Block"),INDEX($O748:$Q748,1,MATCH(V$5,$I71:$K71,0)),INDEX(Movements!$G748:$M748,1,MATCH(V$7,Movements!$G$716:$M$716,0))))
*V952*V$8,0)</f>
        <v>0</v>
      </c>
      <c r="W241" s="198">
        <f>_xlfn.IFNA(IF(W$7="Fixed",1,IF(AND($D106="yes",W$7="Block"),INDEX($O748:$Q748,1,MATCH(W$5,$I71:$K71,0)),INDEX(Movements!$G748:$M748,1,MATCH(W$7,Movements!$G$716:$M$716,0))))
*W952*W$8,0)</f>
        <v>0</v>
      </c>
      <c r="X241" s="198">
        <f>_xlfn.IFNA(IF(X$7="Fixed",1,IF(AND($D106="yes",X$7="Block"),INDEX($O748:$Q748,1,MATCH(X$5,$I71:$K71,0)),INDEX(Movements!$G748:$M748,1,MATCH(X$7,Movements!$G$716:$M$716,0))))
*X952*X$8,0)</f>
        <v>0</v>
      </c>
      <c r="Y241" s="198">
        <f>_xlfn.IFNA(IF(Y$7="Fixed",1,IF(AND($D106="yes",Y$7="Block"),INDEX($O748:$Q748,1,MATCH(Y$5,$I71:$K71,0)),INDEX(Movements!$G748:$M748,1,MATCH(Y$7,Movements!$G$716:$M$716,0))))
*Y952*Y$8,0)</f>
        <v>0</v>
      </c>
      <c r="Z241" s="198">
        <f>_xlfn.IFNA(IF(Z$7="Fixed",1,IF(AND($D106="yes",Z$7="Block"),INDEX($O748:$Q748,1,MATCH(Z$5,$I71:$K71,0)),INDEX(Movements!$G748:$M748,1,MATCH(Z$7,Movements!$G$716:$M$716,0))))
*Z952*Z$8,0)</f>
        <v>0</v>
      </c>
      <c r="AA241" s="198">
        <f>_xlfn.IFNA(IF(AA$7="Fixed",1,IF(AND($D106="yes",AA$7="Block"),INDEX($O748:$Q748,1,MATCH(AA$5,$I71:$K71,0)),INDEX(Movements!$G748:$M748,1,MATCH(AA$7,Movements!$G$716:$M$716,0))))
*AA952*AA$8,0)</f>
        <v>0</v>
      </c>
      <c r="AB241" s="198">
        <f>_xlfn.IFNA(IF(AB$7="Fixed",1,IF(AND($D106="yes",AB$7="Block"),INDEX($O748:$Q748,1,MATCH(AB$5,$I71:$K71,0)),INDEX(Movements!$G748:$M748,1,MATCH(AB$7,Movements!$G$716:$M$716,0))))
*AB952*AB$8,0)</f>
        <v>0</v>
      </c>
      <c r="AC241" s="70"/>
      <c r="AD241" s="19"/>
      <c r="AE241" s="19"/>
      <c r="AF241" s="19"/>
      <c r="AG241" s="19"/>
    </row>
    <row r="242" spans="1:33" outlineLevel="2" collapsed="1" x14ac:dyDescent="0.2">
      <c r="A242" s="19"/>
      <c r="B242" s="19"/>
      <c r="C242" s="560"/>
      <c r="D242" s="558"/>
      <c r="E242" s="559"/>
      <c r="F242" s="58"/>
      <c r="G242" s="58"/>
      <c r="H242" s="58"/>
      <c r="I242" s="137"/>
      <c r="J242" s="137"/>
      <c r="K242" s="138"/>
      <c r="L242" s="138"/>
      <c r="M242" s="138"/>
      <c r="N242" s="139"/>
      <c r="O242" s="139"/>
      <c r="P242" s="139"/>
      <c r="Q242" s="139"/>
      <c r="R242" s="139"/>
      <c r="S242" s="138"/>
      <c r="T242" s="138"/>
      <c r="U242" s="138"/>
      <c r="V242" s="70"/>
      <c r="W242" s="70"/>
      <c r="X242" s="70"/>
      <c r="Y242" s="70"/>
      <c r="Z242" s="70"/>
      <c r="AA242" s="70"/>
      <c r="AB242" s="70"/>
      <c r="AC242" s="70"/>
      <c r="AD242" s="19"/>
      <c r="AE242" s="19"/>
      <c r="AF242" s="19"/>
      <c r="AG242" s="19"/>
    </row>
    <row r="243" spans="1:33" outlineLevel="1" x14ac:dyDescent="0.2">
      <c r="A243" s="19"/>
      <c r="B243" s="19"/>
      <c r="C243" s="66"/>
      <c r="D243" s="66"/>
      <c r="E243" s="58"/>
      <c r="F243" s="58"/>
      <c r="G243" s="58"/>
      <c r="H243" s="58"/>
      <c r="I243" s="137"/>
      <c r="J243" s="137"/>
      <c r="K243" s="138"/>
      <c r="L243" s="138"/>
      <c r="M243" s="138"/>
      <c r="N243" s="139"/>
      <c r="O243" s="139"/>
      <c r="P243" s="139"/>
      <c r="Q243" s="139"/>
      <c r="R243" s="139"/>
      <c r="S243" s="138"/>
      <c r="T243" s="138"/>
      <c r="U243" s="138"/>
      <c r="V243" s="70"/>
      <c r="W243" s="70"/>
      <c r="X243" s="70"/>
      <c r="Y243" s="70"/>
      <c r="Z243" s="70"/>
      <c r="AA243" s="70"/>
      <c r="AB243" s="70"/>
      <c r="AC243" s="70"/>
      <c r="AD243" s="19"/>
      <c r="AE243" s="19"/>
      <c r="AF243" s="19"/>
      <c r="AG243" s="19"/>
    </row>
    <row r="244" spans="1:33" outlineLevel="1" x14ac:dyDescent="0.2">
      <c r="A244" s="19"/>
      <c r="B244" s="19"/>
      <c r="C244" s="167" t="str">
        <f>C109</f>
        <v>DPPC</v>
      </c>
      <c r="D244" s="167"/>
      <c r="E244" s="20"/>
      <c r="F244" s="20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19"/>
      <c r="AD244" s="19"/>
      <c r="AE244" s="19"/>
      <c r="AF244" s="19"/>
      <c r="AG244" s="19"/>
    </row>
    <row r="245" spans="1:33" outlineLevel="2" x14ac:dyDescent="0.2">
      <c r="A245" s="19"/>
      <c r="B245" s="97">
        <v>1</v>
      </c>
      <c r="C245" s="506" t="str">
        <f t="shared" ref="C245:E274" si="45">C212</f>
        <v>Small business time of use consumption</v>
      </c>
      <c r="D245" s="505">
        <f t="shared" si="45"/>
        <v>0</v>
      </c>
      <c r="E245" s="505" t="str">
        <f t="shared" si="45"/>
        <v>yes</v>
      </c>
      <c r="F245" s="20"/>
      <c r="G245" s="199">
        <f t="shared" ref="G245:G274" si="46">SUM(I245:AB245)</f>
        <v>939.57490318675821</v>
      </c>
      <c r="H245" s="22"/>
      <c r="I245" s="198">
        <f>_xlfn.IFNA(IF(I$7="Fixed",1,IF(AND($D77="yes",I$7="Block"),INDEX($O719:$Q719,1,MATCH(I$5,$I42:$K42,0)),INDEX(Movements!$G719:$M719,1,MATCH(I$7,Movements!$G$716:$M$716,0))))
*I956*I$8,0)</f>
        <v>0</v>
      </c>
      <c r="J245" s="198">
        <f>_xlfn.IFNA(IF(J$7="Fixed",1,IF(AND($D77="yes",J$7="Block"),INDEX($O719:$Q719,1,MATCH(J$5,$I42:$K42,0)),INDEX(Movements!$G719:$M719,1,MATCH(J$7,Movements!$G$716:$M$716,0))))
*J956*J$8,0)</f>
        <v>0</v>
      </c>
      <c r="K245" s="198">
        <f>_xlfn.IFNA(IF(K$7="Fixed",1,IF(AND($D77="yes",K$7="Block"),INDEX($O719:$Q719,1,MATCH(K$5,$I42:$K42,0)),INDEX(Movements!$G719:$M719,1,MATCH(K$7,Movements!$G$716:$M$716,0))))
*K956*K$8,0)</f>
        <v>767.25313660776612</v>
      </c>
      <c r="L245" s="198">
        <f>_xlfn.IFNA(IF(L$7="Fixed",1,IF(AND($D77="yes",L$7="Block"),INDEX($O719:$Q719,1,MATCH(L$5,$I42:$K42,0)),INDEX(Movements!$G719:$M719,1,MATCH(L$7,Movements!$G$716:$M$716,0))))
*L956*L$8,0)</f>
        <v>115.48755562865885</v>
      </c>
      <c r="M245" s="198">
        <f>_xlfn.IFNA(IF(M$7="Fixed",1,IF(AND($D77="yes",M$7="Block"),INDEX($O719:$Q719,1,MATCH(M$5,$I42:$K42,0)),INDEX(Movements!$G719:$M719,1,MATCH(M$7,Movements!$G$716:$M$716,0))))
*M956*M$8,0)</f>
        <v>56.834210950333308</v>
      </c>
      <c r="N245" s="198">
        <f>_xlfn.IFNA(IF(N$7="Fixed",1,IF(AND($D77="yes",N$7="Block"),INDEX($O719:$Q719,1,MATCH(N$5,$I42:$K42,0)),INDEX(Movements!$G719:$M719,1,MATCH(N$7,Movements!$G$716:$M$716,0))))
*N956*N$8,0)</f>
        <v>0</v>
      </c>
      <c r="O245" s="198">
        <f>_xlfn.IFNA(IF(O$7="Fixed",1,IF(AND($D77="yes",O$7="Block"),INDEX($O719:$Q719,1,MATCH(O$5,$I42:$K42,0)),INDEX(Movements!$G719:$M719,1,MATCH(O$7,Movements!$G$716:$M$716,0))))
*O956*O$8,0)</f>
        <v>0</v>
      </c>
      <c r="P245" s="198">
        <f>_xlfn.IFNA(IF(P$7="Fixed",1,IF(AND($D77="yes",P$7="Block"),INDEX($O719:$Q719,1,MATCH(P$5,$I42:$K42,0)),INDEX(Movements!$G719:$M719,1,MATCH(P$7,Movements!$G$716:$M$716,0))))
*P956*P$8,0)</f>
        <v>0</v>
      </c>
      <c r="Q245" s="198">
        <f>_xlfn.IFNA(IF(Q$7="Fixed",1,IF(AND($D77="yes",Q$7="Block"),INDEX($O719:$Q719,1,MATCH(Q$5,$I42:$K42,0)),INDEX(Movements!$G719:$M719,1,MATCH(Q$7,Movements!$G$716:$M$716,0))))
*Q956*Q$8,0)</f>
        <v>0</v>
      </c>
      <c r="R245" s="198">
        <f>_xlfn.IFNA(IF(R$7="Fixed",1,IF(AND($D77="yes",R$7="Block"),INDEX($O719:$Q719,1,MATCH(R$5,$I42:$K42,0)),INDEX(Movements!$G719:$M719,1,MATCH(R$7,Movements!$G$716:$M$716,0))))
*R956*R$8,0)</f>
        <v>0</v>
      </c>
      <c r="S245" s="198">
        <f>_xlfn.IFNA(IF(S$7="Fixed",1,IF(AND($D77="yes",S$7="Block"),INDEX($O719:$Q719,1,MATCH(S$5,$I42:$K42,0)),INDEX(Movements!$G719:$M719,1,MATCH(S$7,Movements!$G$716:$M$716,0))))
*S956*S$8,0)</f>
        <v>0</v>
      </c>
      <c r="T245" s="198">
        <f>_xlfn.IFNA(IF(T$7="Fixed",1,IF(AND($D77="yes",T$7="Block"),INDEX($O719:$Q719,1,MATCH(T$5,$I42:$K42,0)),INDEX(Movements!$G719:$M719,1,MATCH(T$7,Movements!$G$716:$M$716,0))))
*T956*T$8,0)</f>
        <v>0</v>
      </c>
      <c r="U245" s="198">
        <f>_xlfn.IFNA(IF(U$7="Fixed",1,IF(AND($D77="yes",U$7="Block"),INDEX($O719:$Q719,1,MATCH(U$5,$I42:$K42,0)),INDEX(Movements!$G719:$M719,1,MATCH(U$7,Movements!$G$716:$M$716,0))))
*U956*U$8,0)</f>
        <v>0</v>
      </c>
      <c r="V245" s="198">
        <f>_xlfn.IFNA(IF(V$7="Fixed",1,IF(AND($D77="yes",V$7="Block"),INDEX($O719:$Q719,1,MATCH(V$5,$I42:$K42,0)),INDEX(Movements!$G719:$M719,1,MATCH(V$7,Movements!$G$716:$M$716,0))))
*V956*V$8,0)</f>
        <v>0</v>
      </c>
      <c r="W245" s="198">
        <f>_xlfn.IFNA(IF(W$7="Fixed",1,IF(AND($D77="yes",W$7="Block"),INDEX($O719:$Q719,1,MATCH(W$5,$I42:$K42,0)),INDEX(Movements!$G719:$M719,1,MATCH(W$7,Movements!$G$716:$M$716,0))))
*W956*W$8,0)</f>
        <v>0</v>
      </c>
      <c r="X245" s="198">
        <f>_xlfn.IFNA(IF(X$7="Fixed",1,IF(AND($D77="yes",X$7="Block"),INDEX($O719:$Q719,1,MATCH(X$5,$I42:$K42,0)),INDEX(Movements!$G719:$M719,1,MATCH(X$7,Movements!$G$716:$M$716,0))))
*X956*X$8,0)</f>
        <v>0</v>
      </c>
      <c r="Y245" s="198">
        <f>_xlfn.IFNA(IF(Y$7="Fixed",1,IF(AND($D77="yes",Y$7="Block"),INDEX($O719:$Q719,1,MATCH(Y$5,$I42:$K42,0)),INDEX(Movements!$G719:$M719,1,MATCH(Y$7,Movements!$G$716:$M$716,0))))
*Y956*Y$8,0)</f>
        <v>0</v>
      </c>
      <c r="Z245" s="198">
        <f>_xlfn.IFNA(IF(Z$7="Fixed",1,IF(AND($D77="yes",Z$7="Block"),INDEX($O719:$Q719,1,MATCH(Z$5,$I42:$K42,0)),INDEX(Movements!$G719:$M719,1,MATCH(Z$7,Movements!$G$716:$M$716,0))))
*Z956*Z$8,0)</f>
        <v>0</v>
      </c>
      <c r="AA245" s="198">
        <f>_xlfn.IFNA(IF(AA$7="Fixed",1,IF(AND($D77="yes",AA$7="Block"),INDEX($O719:$Q719,1,MATCH(AA$5,$I42:$K42,0)),INDEX(Movements!$G719:$M719,1,MATCH(AA$7,Movements!$G$716:$M$716,0))))
*AA956*AA$8,0)</f>
        <v>0</v>
      </c>
      <c r="AB245" s="198">
        <f>_xlfn.IFNA(IF(AB$7="Fixed",1,IF(AND($D77="yes",AB$7="Block"),INDEX($O719:$Q719,1,MATCH(AB$5,$I42:$K42,0)),INDEX(Movements!$G719:$M719,1,MATCH(AB$7,Movements!$G$716:$M$716,0))))
*AB956*AB$8,0)</f>
        <v>0</v>
      </c>
      <c r="AC245" s="70"/>
      <c r="AD245" s="19"/>
      <c r="AE245" s="19"/>
      <c r="AF245" s="19"/>
      <c r="AG245" s="19"/>
    </row>
    <row r="246" spans="1:33" s="59" customFormat="1" outlineLevel="2" x14ac:dyDescent="0.2">
      <c r="A246" s="57"/>
      <c r="B246" s="98">
        <v>2</v>
      </c>
      <c r="C246" s="506" t="str">
        <f t="shared" si="45"/>
        <v>Small business general light and power</v>
      </c>
      <c r="D246" s="505">
        <f t="shared" si="45"/>
        <v>0</v>
      </c>
      <c r="E246" s="505" t="str">
        <f t="shared" si="45"/>
        <v>no</v>
      </c>
      <c r="F246" s="58"/>
      <c r="G246" s="199">
        <f t="shared" si="46"/>
        <v>177.81857024117821</v>
      </c>
      <c r="H246" s="58"/>
      <c r="I246" s="198">
        <f>_xlfn.IFNA(IF(I$7="Fixed",1,IF(AND($D78="yes",I$7="Block"),INDEX($O720:$Q720,1,MATCH(I$5,$I43:$K43,0)),INDEX(Movements!$G720:$M720,1,MATCH(I$7,Movements!$G$716:$M$716,0))))
*I957*I$8,0)</f>
        <v>0</v>
      </c>
      <c r="J246" s="198">
        <f>_xlfn.IFNA(IF(J$7="Fixed",1,IF(AND($D78="yes",J$7="Block"),INDEX($O720:$Q720,1,MATCH(J$5,$I43:$K43,0)),INDEX(Movements!$G720:$M720,1,MATCH(J$7,Movements!$G$716:$M$716,0))))
*J957*J$8,0)</f>
        <v>177.81857024117821</v>
      </c>
      <c r="K246" s="198">
        <f>_xlfn.IFNA(IF(K$7="Fixed",1,IF(AND($D78="yes",K$7="Block"),INDEX($O720:$Q720,1,MATCH(K$5,$I43:$K43,0)),INDEX(Movements!$G720:$M720,1,MATCH(K$7,Movements!$G$716:$M$716,0))))
*K957*K$8,0)</f>
        <v>0</v>
      </c>
      <c r="L246" s="198">
        <f>_xlfn.IFNA(IF(L$7="Fixed",1,IF(AND($D78="yes",L$7="Block"),INDEX($O720:$Q720,1,MATCH(L$5,$I43:$K43,0)),INDEX(Movements!$G720:$M720,1,MATCH(L$7,Movements!$G$716:$M$716,0))))
*L957*L$8,0)</f>
        <v>0</v>
      </c>
      <c r="M246" s="198">
        <f>_xlfn.IFNA(IF(M$7="Fixed",1,IF(AND($D78="yes",M$7="Block"),INDEX($O720:$Q720,1,MATCH(M$5,$I43:$K43,0)),INDEX(Movements!$G720:$M720,1,MATCH(M$7,Movements!$G$716:$M$716,0))))
*M957*M$8,0)</f>
        <v>0</v>
      </c>
      <c r="N246" s="198">
        <f>_xlfn.IFNA(IF(N$7="Fixed",1,IF(AND($D78="yes",N$7="Block"),INDEX($O720:$Q720,1,MATCH(N$5,$I43:$K43,0)),INDEX(Movements!$G720:$M720,1,MATCH(N$7,Movements!$G$716:$M$716,0))))
*N957*N$8,0)</f>
        <v>0</v>
      </c>
      <c r="O246" s="198">
        <f>_xlfn.IFNA(IF(O$7="Fixed",1,IF(AND($D78="yes",O$7="Block"),INDEX($O720:$Q720,1,MATCH(O$5,$I43:$K43,0)),INDEX(Movements!$G720:$M720,1,MATCH(O$7,Movements!$G$716:$M$716,0))))
*O957*O$8,0)</f>
        <v>0</v>
      </c>
      <c r="P246" s="198">
        <f>_xlfn.IFNA(IF(P$7="Fixed",1,IF(AND($D78="yes",P$7="Block"),INDEX($O720:$Q720,1,MATCH(P$5,$I43:$K43,0)),INDEX(Movements!$G720:$M720,1,MATCH(P$7,Movements!$G$716:$M$716,0))))
*P957*P$8,0)</f>
        <v>0</v>
      </c>
      <c r="Q246" s="198">
        <f>_xlfn.IFNA(IF(Q$7="Fixed",1,IF(AND($D78="yes",Q$7="Block"),INDEX($O720:$Q720,1,MATCH(Q$5,$I43:$K43,0)),INDEX(Movements!$G720:$M720,1,MATCH(Q$7,Movements!$G$716:$M$716,0))))
*Q957*Q$8,0)</f>
        <v>0</v>
      </c>
      <c r="R246" s="198">
        <f>_xlfn.IFNA(IF(R$7="Fixed",1,IF(AND($D78="yes",R$7="Block"),INDEX($O720:$Q720,1,MATCH(R$5,$I43:$K43,0)),INDEX(Movements!$G720:$M720,1,MATCH(R$7,Movements!$G$716:$M$716,0))))
*R957*R$8,0)</f>
        <v>0</v>
      </c>
      <c r="S246" s="198">
        <f>_xlfn.IFNA(IF(S$7="Fixed",1,IF(AND($D78="yes",S$7="Block"),INDEX($O720:$Q720,1,MATCH(S$5,$I43:$K43,0)),INDEX(Movements!$G720:$M720,1,MATCH(S$7,Movements!$G$716:$M$716,0))))
*S957*S$8,0)</f>
        <v>0</v>
      </c>
      <c r="T246" s="198">
        <f>_xlfn.IFNA(IF(T$7="Fixed",1,IF(AND($D78="yes",T$7="Block"),INDEX($O720:$Q720,1,MATCH(T$5,$I43:$K43,0)),INDEX(Movements!$G720:$M720,1,MATCH(T$7,Movements!$G$716:$M$716,0))))
*T957*T$8,0)</f>
        <v>0</v>
      </c>
      <c r="U246" s="198">
        <f>_xlfn.IFNA(IF(U$7="Fixed",1,IF(AND($D78="yes",U$7="Block"),INDEX($O720:$Q720,1,MATCH(U$5,$I43:$K43,0)),INDEX(Movements!$G720:$M720,1,MATCH(U$7,Movements!$G$716:$M$716,0))))
*U957*U$8,0)</f>
        <v>0</v>
      </c>
      <c r="V246" s="198">
        <f>_xlfn.IFNA(IF(V$7="Fixed",1,IF(AND($D78="yes",V$7="Block"),INDEX($O720:$Q720,1,MATCH(V$5,$I43:$K43,0)),INDEX(Movements!$G720:$M720,1,MATCH(V$7,Movements!$G$716:$M$716,0))))
*V957*V$8,0)</f>
        <v>0</v>
      </c>
      <c r="W246" s="198">
        <f>_xlfn.IFNA(IF(W$7="Fixed",1,IF(AND($D78="yes",W$7="Block"),INDEX($O720:$Q720,1,MATCH(W$5,$I43:$K43,0)),INDEX(Movements!$G720:$M720,1,MATCH(W$7,Movements!$G$716:$M$716,0))))
*W957*W$8,0)</f>
        <v>0</v>
      </c>
      <c r="X246" s="198">
        <f>_xlfn.IFNA(IF(X$7="Fixed",1,IF(AND($D78="yes",X$7="Block"),INDEX($O720:$Q720,1,MATCH(X$5,$I43:$K43,0)),INDEX(Movements!$G720:$M720,1,MATCH(X$7,Movements!$G$716:$M$716,0))))
*X957*X$8,0)</f>
        <v>0</v>
      </c>
      <c r="Y246" s="198">
        <f>_xlfn.IFNA(IF(Y$7="Fixed",1,IF(AND($D78="yes",Y$7="Block"),INDEX($O720:$Q720,1,MATCH(Y$5,$I43:$K43,0)),INDEX(Movements!$G720:$M720,1,MATCH(Y$7,Movements!$G$716:$M$716,0))))
*Y957*Y$8,0)</f>
        <v>0</v>
      </c>
      <c r="Z246" s="198">
        <f>_xlfn.IFNA(IF(Z$7="Fixed",1,IF(AND($D78="yes",Z$7="Block"),INDEX($O720:$Q720,1,MATCH(Z$5,$I43:$K43,0)),INDEX(Movements!$G720:$M720,1,MATCH(Z$7,Movements!$G$716:$M$716,0))))
*Z957*Z$8,0)</f>
        <v>0</v>
      </c>
      <c r="AA246" s="198">
        <f>_xlfn.IFNA(IF(AA$7="Fixed",1,IF(AND($D78="yes",AA$7="Block"),INDEX($O720:$Q720,1,MATCH(AA$5,$I43:$K43,0)),INDEX(Movements!$G720:$M720,1,MATCH(AA$7,Movements!$G$716:$M$716,0))))
*AA957*AA$8,0)</f>
        <v>0</v>
      </c>
      <c r="AB246" s="198">
        <f>_xlfn.IFNA(IF(AB$7="Fixed",1,IF(AND($D78="yes",AB$7="Block"),INDEX($O720:$Q720,1,MATCH(AB$5,$I43:$K43,0)),INDEX(Movements!$G720:$M720,1,MATCH(AB$7,Movements!$G$716:$M$716,0))))
*AB957*AB$8,0)</f>
        <v>0</v>
      </c>
      <c r="AC246" s="70"/>
      <c r="AD246" s="57"/>
      <c r="AE246" s="57"/>
      <c r="AF246" s="57"/>
      <c r="AG246" s="57"/>
    </row>
    <row r="247" spans="1:33" outlineLevel="2" x14ac:dyDescent="0.2">
      <c r="A247" s="19"/>
      <c r="B247" s="97">
        <v>3</v>
      </c>
      <c r="C247" s="506">
        <f t="shared" si="45"/>
        <v>0</v>
      </c>
      <c r="D247" s="505">
        <f t="shared" si="45"/>
        <v>0</v>
      </c>
      <c r="E247" s="505">
        <f t="shared" si="45"/>
        <v>0</v>
      </c>
      <c r="F247" s="58"/>
      <c r="G247" s="199">
        <f t="shared" si="46"/>
        <v>0</v>
      </c>
      <c r="H247" s="58"/>
      <c r="I247" s="198">
        <f>_xlfn.IFNA(IF(I$7="Fixed",1,IF(AND($D79="yes",I$7="Block"),INDEX($O721:$Q721,1,MATCH(I$5,$I44:$K44,0)),INDEX(Movements!$G721:$M721,1,MATCH(I$7,Movements!$G$716:$M$716,0))))
*I958*I$8,0)</f>
        <v>0</v>
      </c>
      <c r="J247" s="198">
        <f>_xlfn.IFNA(IF(J$7="Fixed",1,IF(AND($D79="yes",J$7="Block"),INDEX($O721:$Q721,1,MATCH(J$5,$I44:$K44,0)),INDEX(Movements!$G721:$M721,1,MATCH(J$7,Movements!$G$716:$M$716,0))))
*J958*J$8,0)</f>
        <v>0</v>
      </c>
      <c r="K247" s="198">
        <f>_xlfn.IFNA(IF(K$7="Fixed",1,IF(AND($D79="yes",K$7="Block"),INDEX($O721:$Q721,1,MATCH(K$5,$I44:$K44,0)),INDEX(Movements!$G721:$M721,1,MATCH(K$7,Movements!$G$716:$M$716,0))))
*K958*K$8,0)</f>
        <v>0</v>
      </c>
      <c r="L247" s="198">
        <f>_xlfn.IFNA(IF(L$7="Fixed",1,IF(AND($D79="yes",L$7="Block"),INDEX($O721:$Q721,1,MATCH(L$5,$I44:$K44,0)),INDEX(Movements!$G721:$M721,1,MATCH(L$7,Movements!$G$716:$M$716,0))))
*L958*L$8,0)</f>
        <v>0</v>
      </c>
      <c r="M247" s="198">
        <f>_xlfn.IFNA(IF(M$7="Fixed",1,IF(AND($D79="yes",M$7="Block"),INDEX($O721:$Q721,1,MATCH(M$5,$I44:$K44,0)),INDEX(Movements!$G721:$M721,1,MATCH(M$7,Movements!$G$716:$M$716,0))))
*M958*M$8,0)</f>
        <v>0</v>
      </c>
      <c r="N247" s="198">
        <f>_xlfn.IFNA(IF(N$7="Fixed",1,IF(AND($D79="yes",N$7="Block"),INDEX($O721:$Q721,1,MATCH(N$5,$I44:$K44,0)),INDEX(Movements!$G721:$M721,1,MATCH(N$7,Movements!$G$716:$M$716,0))))
*N958*N$8,0)</f>
        <v>0</v>
      </c>
      <c r="O247" s="198">
        <f>_xlfn.IFNA(IF(O$7="Fixed",1,IF(AND($D79="yes",O$7="Block"),INDEX($O721:$Q721,1,MATCH(O$5,$I44:$K44,0)),INDEX(Movements!$G721:$M721,1,MATCH(O$7,Movements!$G$716:$M$716,0))))
*O958*O$8,0)</f>
        <v>0</v>
      </c>
      <c r="P247" s="198">
        <f>_xlfn.IFNA(IF(P$7="Fixed",1,IF(AND($D79="yes",P$7="Block"),INDEX($O721:$Q721,1,MATCH(P$5,$I44:$K44,0)),INDEX(Movements!$G721:$M721,1,MATCH(P$7,Movements!$G$716:$M$716,0))))
*P958*P$8,0)</f>
        <v>0</v>
      </c>
      <c r="Q247" s="198">
        <f>_xlfn.IFNA(IF(Q$7="Fixed",1,IF(AND($D79="yes",Q$7="Block"),INDEX($O721:$Q721,1,MATCH(Q$5,$I44:$K44,0)),INDEX(Movements!$G721:$M721,1,MATCH(Q$7,Movements!$G$716:$M$716,0))))
*Q958*Q$8,0)</f>
        <v>0</v>
      </c>
      <c r="R247" s="198">
        <f>_xlfn.IFNA(IF(R$7="Fixed",1,IF(AND($D79="yes",R$7="Block"),INDEX($O721:$Q721,1,MATCH(R$5,$I44:$K44,0)),INDEX(Movements!$G721:$M721,1,MATCH(R$7,Movements!$G$716:$M$716,0))))
*R958*R$8,0)</f>
        <v>0</v>
      </c>
      <c r="S247" s="198">
        <f>_xlfn.IFNA(IF(S$7="Fixed",1,IF(AND($D79="yes",S$7="Block"),INDEX($O721:$Q721,1,MATCH(S$5,$I44:$K44,0)),INDEX(Movements!$G721:$M721,1,MATCH(S$7,Movements!$G$716:$M$716,0))))
*S958*S$8,0)</f>
        <v>0</v>
      </c>
      <c r="T247" s="198">
        <f>_xlfn.IFNA(IF(T$7="Fixed",1,IF(AND($D79="yes",T$7="Block"),INDEX($O721:$Q721,1,MATCH(T$5,$I44:$K44,0)),INDEX(Movements!$G721:$M721,1,MATCH(T$7,Movements!$G$716:$M$716,0))))
*T958*T$8,0)</f>
        <v>0</v>
      </c>
      <c r="U247" s="198">
        <f>_xlfn.IFNA(IF(U$7="Fixed",1,IF(AND($D79="yes",U$7="Block"),INDEX($O721:$Q721,1,MATCH(U$5,$I44:$K44,0)),INDEX(Movements!$G721:$M721,1,MATCH(U$7,Movements!$G$716:$M$716,0))))
*U958*U$8,0)</f>
        <v>0</v>
      </c>
      <c r="V247" s="198">
        <f>_xlfn.IFNA(IF(V$7="Fixed",1,IF(AND($D79="yes",V$7="Block"),INDEX($O721:$Q721,1,MATCH(V$5,$I44:$K44,0)),INDEX(Movements!$G721:$M721,1,MATCH(V$7,Movements!$G$716:$M$716,0))))
*V958*V$8,0)</f>
        <v>0</v>
      </c>
      <c r="W247" s="198">
        <f>_xlfn.IFNA(IF(W$7="Fixed",1,IF(AND($D79="yes",W$7="Block"),INDEX($O721:$Q721,1,MATCH(W$5,$I44:$K44,0)),INDEX(Movements!$G721:$M721,1,MATCH(W$7,Movements!$G$716:$M$716,0))))
*W958*W$8,0)</f>
        <v>0</v>
      </c>
      <c r="X247" s="198">
        <f>_xlfn.IFNA(IF(X$7="Fixed",1,IF(AND($D79="yes",X$7="Block"),INDEX($O721:$Q721,1,MATCH(X$5,$I44:$K44,0)),INDEX(Movements!$G721:$M721,1,MATCH(X$7,Movements!$G$716:$M$716,0))))
*X958*X$8,0)</f>
        <v>0</v>
      </c>
      <c r="Y247" s="198">
        <f>_xlfn.IFNA(IF(Y$7="Fixed",1,IF(AND($D79="yes",Y$7="Block"),INDEX($O721:$Q721,1,MATCH(Y$5,$I44:$K44,0)),INDEX(Movements!$G721:$M721,1,MATCH(Y$7,Movements!$G$716:$M$716,0))))
*Y958*Y$8,0)</f>
        <v>0</v>
      </c>
      <c r="Z247" s="198">
        <f>_xlfn.IFNA(IF(Z$7="Fixed",1,IF(AND($D79="yes",Z$7="Block"),INDEX($O721:$Q721,1,MATCH(Z$5,$I44:$K44,0)),INDEX(Movements!$G721:$M721,1,MATCH(Z$7,Movements!$G$716:$M$716,0))))
*Z958*Z$8,0)</f>
        <v>0</v>
      </c>
      <c r="AA247" s="198">
        <f>_xlfn.IFNA(IF(AA$7="Fixed",1,IF(AND($D79="yes",AA$7="Block"),INDEX($O721:$Q721,1,MATCH(AA$5,$I44:$K44,0)),INDEX(Movements!$G721:$M721,1,MATCH(AA$7,Movements!$G$716:$M$716,0))))
*AA958*AA$8,0)</f>
        <v>0</v>
      </c>
      <c r="AB247" s="198">
        <f>_xlfn.IFNA(IF(AB$7="Fixed",1,IF(AND($D79="yes",AB$7="Block"),INDEX($O721:$Q721,1,MATCH(AB$5,$I44:$K44,0)),INDEX(Movements!$G721:$M721,1,MATCH(AB$7,Movements!$G$716:$M$716,0))))
*AB958*AB$8,0)</f>
        <v>0</v>
      </c>
      <c r="AC247" s="70"/>
      <c r="AD247" s="19"/>
      <c r="AE247" s="19"/>
      <c r="AF247" s="19"/>
      <c r="AG247" s="19"/>
    </row>
    <row r="248" spans="1:33" hidden="1" outlineLevel="3" x14ac:dyDescent="0.2">
      <c r="A248" s="19"/>
      <c r="B248" s="97">
        <v>4</v>
      </c>
      <c r="C248" s="506">
        <f t="shared" si="45"/>
        <v>0</v>
      </c>
      <c r="D248" s="505">
        <f t="shared" si="45"/>
        <v>0</v>
      </c>
      <c r="E248" s="505">
        <f t="shared" si="45"/>
        <v>0</v>
      </c>
      <c r="F248" s="58"/>
      <c r="G248" s="199">
        <f t="shared" si="46"/>
        <v>0</v>
      </c>
      <c r="H248" s="58"/>
      <c r="I248" s="198">
        <f>_xlfn.IFNA(IF(I$7="Fixed",1,IF(AND($D80="yes",I$7="Block"),INDEX($O722:$Q722,1,MATCH(I$5,$I45:$K45,0)),INDEX(Movements!$G722:$M722,1,MATCH(I$7,Movements!$G$716:$M$716,0))))
*I959*I$8,0)</f>
        <v>0</v>
      </c>
      <c r="J248" s="198">
        <f>_xlfn.IFNA(IF(J$7="Fixed",1,IF(AND($D80="yes",J$7="Block"),INDEX($O722:$Q722,1,MATCH(J$5,$I45:$K45,0)),INDEX(Movements!$G722:$M722,1,MATCH(J$7,Movements!$G$716:$M$716,0))))
*J959*J$8,0)</f>
        <v>0</v>
      </c>
      <c r="K248" s="198">
        <f>_xlfn.IFNA(IF(K$7="Fixed",1,IF(AND($D80="yes",K$7="Block"),INDEX($O722:$Q722,1,MATCH(K$5,$I45:$K45,0)),INDEX(Movements!$G722:$M722,1,MATCH(K$7,Movements!$G$716:$M$716,0))))
*K959*K$8,0)</f>
        <v>0</v>
      </c>
      <c r="L248" s="198">
        <f>_xlfn.IFNA(IF(L$7="Fixed",1,IF(AND($D80="yes",L$7="Block"),INDEX($O722:$Q722,1,MATCH(L$5,$I45:$K45,0)),INDEX(Movements!$G722:$M722,1,MATCH(L$7,Movements!$G$716:$M$716,0))))
*L959*L$8,0)</f>
        <v>0</v>
      </c>
      <c r="M248" s="198">
        <f>_xlfn.IFNA(IF(M$7="Fixed",1,IF(AND($D80="yes",M$7="Block"),INDEX($O722:$Q722,1,MATCH(M$5,$I45:$K45,0)),INDEX(Movements!$G722:$M722,1,MATCH(M$7,Movements!$G$716:$M$716,0))))
*M959*M$8,0)</f>
        <v>0</v>
      </c>
      <c r="N248" s="198">
        <f>_xlfn.IFNA(IF(N$7="Fixed",1,IF(AND($D80="yes",N$7="Block"),INDEX($O722:$Q722,1,MATCH(N$5,$I45:$K45,0)),INDEX(Movements!$G722:$M722,1,MATCH(N$7,Movements!$G$716:$M$716,0))))
*N959*N$8,0)</f>
        <v>0</v>
      </c>
      <c r="O248" s="198">
        <f>_xlfn.IFNA(IF(O$7="Fixed",1,IF(AND($D80="yes",O$7="Block"),INDEX($O722:$Q722,1,MATCH(O$5,$I45:$K45,0)),INDEX(Movements!$G722:$M722,1,MATCH(O$7,Movements!$G$716:$M$716,0))))
*O959*O$8,0)</f>
        <v>0</v>
      </c>
      <c r="P248" s="198">
        <f>_xlfn.IFNA(IF(P$7="Fixed",1,IF(AND($D80="yes",P$7="Block"),INDEX($O722:$Q722,1,MATCH(P$5,$I45:$K45,0)),INDEX(Movements!$G722:$M722,1,MATCH(P$7,Movements!$G$716:$M$716,0))))
*P959*P$8,0)</f>
        <v>0</v>
      </c>
      <c r="Q248" s="198">
        <f>_xlfn.IFNA(IF(Q$7="Fixed",1,IF(AND($D80="yes",Q$7="Block"),INDEX($O722:$Q722,1,MATCH(Q$5,$I45:$K45,0)),INDEX(Movements!$G722:$M722,1,MATCH(Q$7,Movements!$G$716:$M$716,0))))
*Q959*Q$8,0)</f>
        <v>0</v>
      </c>
      <c r="R248" s="198">
        <f>_xlfn.IFNA(IF(R$7="Fixed",1,IF(AND($D80="yes",R$7="Block"),INDEX($O722:$Q722,1,MATCH(R$5,$I45:$K45,0)),INDEX(Movements!$G722:$M722,1,MATCH(R$7,Movements!$G$716:$M$716,0))))
*R959*R$8,0)</f>
        <v>0</v>
      </c>
      <c r="S248" s="198">
        <f>_xlfn.IFNA(IF(S$7="Fixed",1,IF(AND($D80="yes",S$7="Block"),INDEX($O722:$Q722,1,MATCH(S$5,$I45:$K45,0)),INDEX(Movements!$G722:$M722,1,MATCH(S$7,Movements!$G$716:$M$716,0))))
*S959*S$8,0)</f>
        <v>0</v>
      </c>
      <c r="T248" s="198">
        <f>_xlfn.IFNA(IF(T$7="Fixed",1,IF(AND($D80="yes",T$7="Block"),INDEX($O722:$Q722,1,MATCH(T$5,$I45:$K45,0)),INDEX(Movements!$G722:$M722,1,MATCH(T$7,Movements!$G$716:$M$716,0))))
*T959*T$8,0)</f>
        <v>0</v>
      </c>
      <c r="U248" s="198">
        <f>_xlfn.IFNA(IF(U$7="Fixed",1,IF(AND($D80="yes",U$7="Block"),INDEX($O722:$Q722,1,MATCH(U$5,$I45:$K45,0)),INDEX(Movements!$G722:$M722,1,MATCH(U$7,Movements!$G$716:$M$716,0))))
*U959*U$8,0)</f>
        <v>0</v>
      </c>
      <c r="V248" s="198">
        <f>_xlfn.IFNA(IF(V$7="Fixed",1,IF(AND($D80="yes",V$7="Block"),INDEX($O722:$Q722,1,MATCH(V$5,$I45:$K45,0)),INDEX(Movements!$G722:$M722,1,MATCH(V$7,Movements!$G$716:$M$716,0))))
*V959*V$8,0)</f>
        <v>0</v>
      </c>
      <c r="W248" s="198">
        <f>_xlfn.IFNA(IF(W$7="Fixed",1,IF(AND($D80="yes",W$7="Block"),INDEX($O722:$Q722,1,MATCH(W$5,$I45:$K45,0)),INDEX(Movements!$G722:$M722,1,MATCH(W$7,Movements!$G$716:$M$716,0))))
*W959*W$8,0)</f>
        <v>0</v>
      </c>
      <c r="X248" s="198">
        <f>_xlfn.IFNA(IF(X$7="Fixed",1,IF(AND($D80="yes",X$7="Block"),INDEX($O722:$Q722,1,MATCH(X$5,$I45:$K45,0)),INDEX(Movements!$G722:$M722,1,MATCH(X$7,Movements!$G$716:$M$716,0))))
*X959*X$8,0)</f>
        <v>0</v>
      </c>
      <c r="Y248" s="198">
        <f>_xlfn.IFNA(IF(Y$7="Fixed",1,IF(AND($D80="yes",Y$7="Block"),INDEX($O722:$Q722,1,MATCH(Y$5,$I45:$K45,0)),INDEX(Movements!$G722:$M722,1,MATCH(Y$7,Movements!$G$716:$M$716,0))))
*Y959*Y$8,0)</f>
        <v>0</v>
      </c>
      <c r="Z248" s="198">
        <f>_xlfn.IFNA(IF(Z$7="Fixed",1,IF(AND($D80="yes",Z$7="Block"),INDEX($O722:$Q722,1,MATCH(Z$5,$I45:$K45,0)),INDEX(Movements!$G722:$M722,1,MATCH(Z$7,Movements!$G$716:$M$716,0))))
*Z959*Z$8,0)</f>
        <v>0</v>
      </c>
      <c r="AA248" s="198">
        <f>_xlfn.IFNA(IF(AA$7="Fixed",1,IF(AND($D80="yes",AA$7="Block"),INDEX($O722:$Q722,1,MATCH(AA$5,$I45:$K45,0)),INDEX(Movements!$G722:$M722,1,MATCH(AA$7,Movements!$G$716:$M$716,0))))
*AA959*AA$8,0)</f>
        <v>0</v>
      </c>
      <c r="AB248" s="198">
        <f>_xlfn.IFNA(IF(AB$7="Fixed",1,IF(AND($D80="yes",AB$7="Block"),INDEX($O722:$Q722,1,MATCH(AB$5,$I45:$K45,0)),INDEX(Movements!$G722:$M722,1,MATCH(AB$7,Movements!$G$716:$M$716,0))))
*AB959*AB$8,0)</f>
        <v>0</v>
      </c>
      <c r="AC248" s="70"/>
      <c r="AD248" s="19"/>
      <c r="AE248" s="19"/>
      <c r="AF248" s="19"/>
      <c r="AG248" s="19"/>
    </row>
    <row r="249" spans="1:33" hidden="1" outlineLevel="3" x14ac:dyDescent="0.2">
      <c r="A249" s="19"/>
      <c r="B249" s="97">
        <v>5</v>
      </c>
      <c r="C249" s="506">
        <f t="shared" si="45"/>
        <v>0</v>
      </c>
      <c r="D249" s="505">
        <f t="shared" si="45"/>
        <v>0</v>
      </c>
      <c r="E249" s="505">
        <f t="shared" si="45"/>
        <v>0</v>
      </c>
      <c r="F249" s="58"/>
      <c r="G249" s="199">
        <f t="shared" si="46"/>
        <v>0</v>
      </c>
      <c r="H249" s="58"/>
      <c r="I249" s="198">
        <f>_xlfn.IFNA(IF(I$7="Fixed",1,IF(AND($D81="yes",I$7="Block"),INDEX($O723:$Q723,1,MATCH(I$5,$I46:$K46,0)),INDEX(Movements!$G723:$M723,1,MATCH(I$7,Movements!$G$716:$M$716,0))))
*I960*I$8,0)</f>
        <v>0</v>
      </c>
      <c r="J249" s="198">
        <f>_xlfn.IFNA(IF(J$7="Fixed",1,IF(AND($D81="yes",J$7="Block"),INDEX($O723:$Q723,1,MATCH(J$5,$I46:$K46,0)),INDEX(Movements!$G723:$M723,1,MATCH(J$7,Movements!$G$716:$M$716,0))))
*J960*J$8,0)</f>
        <v>0</v>
      </c>
      <c r="K249" s="198">
        <f>_xlfn.IFNA(IF(K$7="Fixed",1,IF(AND($D81="yes",K$7="Block"),INDEX($O723:$Q723,1,MATCH(K$5,$I46:$K46,0)),INDEX(Movements!$G723:$M723,1,MATCH(K$7,Movements!$G$716:$M$716,0))))
*K960*K$8,0)</f>
        <v>0</v>
      </c>
      <c r="L249" s="198">
        <f>_xlfn.IFNA(IF(L$7="Fixed",1,IF(AND($D81="yes",L$7="Block"),INDEX($O723:$Q723,1,MATCH(L$5,$I46:$K46,0)),INDEX(Movements!$G723:$M723,1,MATCH(L$7,Movements!$G$716:$M$716,0))))
*L960*L$8,0)</f>
        <v>0</v>
      </c>
      <c r="M249" s="198">
        <f>_xlfn.IFNA(IF(M$7="Fixed",1,IF(AND($D81="yes",M$7="Block"),INDEX($O723:$Q723,1,MATCH(M$5,$I46:$K46,0)),INDEX(Movements!$G723:$M723,1,MATCH(M$7,Movements!$G$716:$M$716,0))))
*M960*M$8,0)</f>
        <v>0</v>
      </c>
      <c r="N249" s="198">
        <f>_xlfn.IFNA(IF(N$7="Fixed",1,IF(AND($D81="yes",N$7="Block"),INDEX($O723:$Q723,1,MATCH(N$5,$I46:$K46,0)),INDEX(Movements!$G723:$M723,1,MATCH(N$7,Movements!$G$716:$M$716,0))))
*N960*N$8,0)</f>
        <v>0</v>
      </c>
      <c r="O249" s="198">
        <f>_xlfn.IFNA(IF(O$7="Fixed",1,IF(AND($D81="yes",O$7="Block"),INDEX($O723:$Q723,1,MATCH(O$5,$I46:$K46,0)),INDEX(Movements!$G723:$M723,1,MATCH(O$7,Movements!$G$716:$M$716,0))))
*O960*O$8,0)</f>
        <v>0</v>
      </c>
      <c r="P249" s="198">
        <f>_xlfn.IFNA(IF(P$7="Fixed",1,IF(AND($D81="yes",P$7="Block"),INDEX($O723:$Q723,1,MATCH(P$5,$I46:$K46,0)),INDEX(Movements!$G723:$M723,1,MATCH(P$7,Movements!$G$716:$M$716,0))))
*P960*P$8,0)</f>
        <v>0</v>
      </c>
      <c r="Q249" s="198">
        <f>_xlfn.IFNA(IF(Q$7="Fixed",1,IF(AND($D81="yes",Q$7="Block"),INDEX($O723:$Q723,1,MATCH(Q$5,$I46:$K46,0)),INDEX(Movements!$G723:$M723,1,MATCH(Q$7,Movements!$G$716:$M$716,0))))
*Q960*Q$8,0)</f>
        <v>0</v>
      </c>
      <c r="R249" s="198">
        <f>_xlfn.IFNA(IF(R$7="Fixed",1,IF(AND($D81="yes",R$7="Block"),INDEX($O723:$Q723,1,MATCH(R$5,$I46:$K46,0)),INDEX(Movements!$G723:$M723,1,MATCH(R$7,Movements!$G$716:$M$716,0))))
*R960*R$8,0)</f>
        <v>0</v>
      </c>
      <c r="S249" s="198">
        <f>_xlfn.IFNA(IF(S$7="Fixed",1,IF(AND($D81="yes",S$7="Block"),INDEX($O723:$Q723,1,MATCH(S$5,$I46:$K46,0)),INDEX(Movements!$G723:$M723,1,MATCH(S$7,Movements!$G$716:$M$716,0))))
*S960*S$8,0)</f>
        <v>0</v>
      </c>
      <c r="T249" s="198">
        <f>_xlfn.IFNA(IF(T$7="Fixed",1,IF(AND($D81="yes",T$7="Block"),INDEX($O723:$Q723,1,MATCH(T$5,$I46:$K46,0)),INDEX(Movements!$G723:$M723,1,MATCH(T$7,Movements!$G$716:$M$716,0))))
*T960*T$8,0)</f>
        <v>0</v>
      </c>
      <c r="U249" s="198">
        <f>_xlfn.IFNA(IF(U$7="Fixed",1,IF(AND($D81="yes",U$7="Block"),INDEX($O723:$Q723,1,MATCH(U$5,$I46:$K46,0)),INDEX(Movements!$G723:$M723,1,MATCH(U$7,Movements!$G$716:$M$716,0))))
*U960*U$8,0)</f>
        <v>0</v>
      </c>
      <c r="V249" s="198">
        <f>_xlfn.IFNA(IF(V$7="Fixed",1,IF(AND($D81="yes",V$7="Block"),INDEX($O723:$Q723,1,MATCH(V$5,$I46:$K46,0)),INDEX(Movements!$G723:$M723,1,MATCH(V$7,Movements!$G$716:$M$716,0))))
*V960*V$8,0)</f>
        <v>0</v>
      </c>
      <c r="W249" s="198">
        <f>_xlfn.IFNA(IF(W$7="Fixed",1,IF(AND($D81="yes",W$7="Block"),INDEX($O723:$Q723,1,MATCH(W$5,$I46:$K46,0)),INDEX(Movements!$G723:$M723,1,MATCH(W$7,Movements!$G$716:$M$716,0))))
*W960*W$8,0)</f>
        <v>0</v>
      </c>
      <c r="X249" s="198">
        <f>_xlfn.IFNA(IF(X$7="Fixed",1,IF(AND($D81="yes",X$7="Block"),INDEX($O723:$Q723,1,MATCH(X$5,$I46:$K46,0)),INDEX(Movements!$G723:$M723,1,MATCH(X$7,Movements!$G$716:$M$716,0))))
*X960*X$8,0)</f>
        <v>0</v>
      </c>
      <c r="Y249" s="198">
        <f>_xlfn.IFNA(IF(Y$7="Fixed",1,IF(AND($D81="yes",Y$7="Block"),INDEX($O723:$Q723,1,MATCH(Y$5,$I46:$K46,0)),INDEX(Movements!$G723:$M723,1,MATCH(Y$7,Movements!$G$716:$M$716,0))))
*Y960*Y$8,0)</f>
        <v>0</v>
      </c>
      <c r="Z249" s="198">
        <f>_xlfn.IFNA(IF(Z$7="Fixed",1,IF(AND($D81="yes",Z$7="Block"),INDEX($O723:$Q723,1,MATCH(Z$5,$I46:$K46,0)),INDEX(Movements!$G723:$M723,1,MATCH(Z$7,Movements!$G$716:$M$716,0))))
*Z960*Z$8,0)</f>
        <v>0</v>
      </c>
      <c r="AA249" s="198">
        <f>_xlfn.IFNA(IF(AA$7="Fixed",1,IF(AND($D81="yes",AA$7="Block"),INDEX($O723:$Q723,1,MATCH(AA$5,$I46:$K46,0)),INDEX(Movements!$G723:$M723,1,MATCH(AA$7,Movements!$G$716:$M$716,0))))
*AA960*AA$8,0)</f>
        <v>0</v>
      </c>
      <c r="AB249" s="198">
        <f>_xlfn.IFNA(IF(AB$7="Fixed",1,IF(AND($D81="yes",AB$7="Block"),INDEX($O723:$Q723,1,MATCH(AB$5,$I46:$K46,0)),INDEX(Movements!$G723:$M723,1,MATCH(AB$7,Movements!$G$716:$M$716,0))))
*AB960*AB$8,0)</f>
        <v>0</v>
      </c>
      <c r="AC249" s="70"/>
      <c r="AD249" s="19"/>
      <c r="AE249" s="19"/>
      <c r="AF249" s="19"/>
      <c r="AG249" s="19"/>
    </row>
    <row r="250" spans="1:33" hidden="1" outlineLevel="3" x14ac:dyDescent="0.2">
      <c r="A250" s="19"/>
      <c r="B250" s="97">
        <v>6</v>
      </c>
      <c r="C250" s="506">
        <f t="shared" si="45"/>
        <v>0</v>
      </c>
      <c r="D250" s="505">
        <f t="shared" si="45"/>
        <v>0</v>
      </c>
      <c r="E250" s="505">
        <f t="shared" si="45"/>
        <v>0</v>
      </c>
      <c r="F250" s="58"/>
      <c r="G250" s="199">
        <f t="shared" si="46"/>
        <v>0</v>
      </c>
      <c r="H250" s="58"/>
      <c r="I250" s="198">
        <f>_xlfn.IFNA(IF(I$7="Fixed",1,IF(AND($D82="yes",I$7="Block"),INDEX($O724:$Q724,1,MATCH(I$5,$I47:$K47,0)),INDEX(Movements!$G724:$M724,1,MATCH(I$7,Movements!$G$716:$M$716,0))))
*I961*I$8,0)</f>
        <v>0</v>
      </c>
      <c r="J250" s="198">
        <f>_xlfn.IFNA(IF(J$7="Fixed",1,IF(AND($D82="yes",J$7="Block"),INDEX($O724:$Q724,1,MATCH(J$5,$I47:$K47,0)),INDEX(Movements!$G724:$M724,1,MATCH(J$7,Movements!$G$716:$M$716,0))))
*J961*J$8,0)</f>
        <v>0</v>
      </c>
      <c r="K250" s="198">
        <f>_xlfn.IFNA(IF(K$7="Fixed",1,IF(AND($D82="yes",K$7="Block"),INDEX($O724:$Q724,1,MATCH(K$5,$I47:$K47,0)),INDEX(Movements!$G724:$M724,1,MATCH(K$7,Movements!$G$716:$M$716,0))))
*K961*K$8,0)</f>
        <v>0</v>
      </c>
      <c r="L250" s="198">
        <f>_xlfn.IFNA(IF(L$7="Fixed",1,IF(AND($D82="yes",L$7="Block"),INDEX($O724:$Q724,1,MATCH(L$5,$I47:$K47,0)),INDEX(Movements!$G724:$M724,1,MATCH(L$7,Movements!$G$716:$M$716,0))))
*L961*L$8,0)</f>
        <v>0</v>
      </c>
      <c r="M250" s="198">
        <f>_xlfn.IFNA(IF(M$7="Fixed",1,IF(AND($D82="yes",M$7="Block"),INDEX($O724:$Q724,1,MATCH(M$5,$I47:$K47,0)),INDEX(Movements!$G724:$M724,1,MATCH(M$7,Movements!$G$716:$M$716,0))))
*M961*M$8,0)</f>
        <v>0</v>
      </c>
      <c r="N250" s="198">
        <f>_xlfn.IFNA(IF(N$7="Fixed",1,IF(AND($D82="yes",N$7="Block"),INDEX($O724:$Q724,1,MATCH(N$5,$I47:$K47,0)),INDEX(Movements!$G724:$M724,1,MATCH(N$7,Movements!$G$716:$M$716,0))))
*N961*N$8,0)</f>
        <v>0</v>
      </c>
      <c r="O250" s="198">
        <f>_xlfn.IFNA(IF(O$7="Fixed",1,IF(AND($D82="yes",O$7="Block"),INDEX($O724:$Q724,1,MATCH(O$5,$I47:$K47,0)),INDEX(Movements!$G724:$M724,1,MATCH(O$7,Movements!$G$716:$M$716,0))))
*O961*O$8,0)</f>
        <v>0</v>
      </c>
      <c r="P250" s="198">
        <f>_xlfn.IFNA(IF(P$7="Fixed",1,IF(AND($D82="yes",P$7="Block"),INDEX($O724:$Q724,1,MATCH(P$5,$I47:$K47,0)),INDEX(Movements!$G724:$M724,1,MATCH(P$7,Movements!$G$716:$M$716,0))))
*P961*P$8,0)</f>
        <v>0</v>
      </c>
      <c r="Q250" s="198">
        <f>_xlfn.IFNA(IF(Q$7="Fixed",1,IF(AND($D82="yes",Q$7="Block"),INDEX($O724:$Q724,1,MATCH(Q$5,$I47:$K47,0)),INDEX(Movements!$G724:$M724,1,MATCH(Q$7,Movements!$G$716:$M$716,0))))
*Q961*Q$8,0)</f>
        <v>0</v>
      </c>
      <c r="R250" s="198">
        <f>_xlfn.IFNA(IF(R$7="Fixed",1,IF(AND($D82="yes",R$7="Block"),INDEX($O724:$Q724,1,MATCH(R$5,$I47:$K47,0)),INDEX(Movements!$G724:$M724,1,MATCH(R$7,Movements!$G$716:$M$716,0))))
*R961*R$8,0)</f>
        <v>0</v>
      </c>
      <c r="S250" s="198">
        <f>_xlfn.IFNA(IF(S$7="Fixed",1,IF(AND($D82="yes",S$7="Block"),INDEX($O724:$Q724,1,MATCH(S$5,$I47:$K47,0)),INDEX(Movements!$G724:$M724,1,MATCH(S$7,Movements!$G$716:$M$716,0))))
*S961*S$8,0)</f>
        <v>0</v>
      </c>
      <c r="T250" s="198">
        <f>_xlfn.IFNA(IF(T$7="Fixed",1,IF(AND($D82="yes",T$7="Block"),INDEX($O724:$Q724,1,MATCH(T$5,$I47:$K47,0)),INDEX(Movements!$G724:$M724,1,MATCH(T$7,Movements!$G$716:$M$716,0))))
*T961*T$8,0)</f>
        <v>0</v>
      </c>
      <c r="U250" s="198">
        <f>_xlfn.IFNA(IF(U$7="Fixed",1,IF(AND($D82="yes",U$7="Block"),INDEX($O724:$Q724,1,MATCH(U$5,$I47:$K47,0)),INDEX(Movements!$G724:$M724,1,MATCH(U$7,Movements!$G$716:$M$716,0))))
*U961*U$8,0)</f>
        <v>0</v>
      </c>
      <c r="V250" s="198">
        <f>_xlfn.IFNA(IF(V$7="Fixed",1,IF(AND($D82="yes",V$7="Block"),INDEX($O724:$Q724,1,MATCH(V$5,$I47:$K47,0)),INDEX(Movements!$G724:$M724,1,MATCH(V$7,Movements!$G$716:$M$716,0))))
*V961*V$8,0)</f>
        <v>0</v>
      </c>
      <c r="W250" s="198">
        <f>_xlfn.IFNA(IF(W$7="Fixed",1,IF(AND($D82="yes",W$7="Block"),INDEX($O724:$Q724,1,MATCH(W$5,$I47:$K47,0)),INDEX(Movements!$G724:$M724,1,MATCH(W$7,Movements!$G$716:$M$716,0))))
*W961*W$8,0)</f>
        <v>0</v>
      </c>
      <c r="X250" s="198">
        <f>_xlfn.IFNA(IF(X$7="Fixed",1,IF(AND($D82="yes",X$7="Block"),INDEX($O724:$Q724,1,MATCH(X$5,$I47:$K47,0)),INDEX(Movements!$G724:$M724,1,MATCH(X$7,Movements!$G$716:$M$716,0))))
*X961*X$8,0)</f>
        <v>0</v>
      </c>
      <c r="Y250" s="198">
        <f>_xlfn.IFNA(IF(Y$7="Fixed",1,IF(AND($D82="yes",Y$7="Block"),INDEX($O724:$Q724,1,MATCH(Y$5,$I47:$K47,0)),INDEX(Movements!$G724:$M724,1,MATCH(Y$7,Movements!$G$716:$M$716,0))))
*Y961*Y$8,0)</f>
        <v>0</v>
      </c>
      <c r="Z250" s="198">
        <f>_xlfn.IFNA(IF(Z$7="Fixed",1,IF(AND($D82="yes",Z$7="Block"),INDEX($O724:$Q724,1,MATCH(Z$5,$I47:$K47,0)),INDEX(Movements!$G724:$M724,1,MATCH(Z$7,Movements!$G$716:$M$716,0))))
*Z961*Z$8,0)</f>
        <v>0</v>
      </c>
      <c r="AA250" s="198">
        <f>_xlfn.IFNA(IF(AA$7="Fixed",1,IF(AND($D82="yes",AA$7="Block"),INDEX($O724:$Q724,1,MATCH(AA$5,$I47:$K47,0)),INDEX(Movements!$G724:$M724,1,MATCH(AA$7,Movements!$G$716:$M$716,0))))
*AA961*AA$8,0)</f>
        <v>0</v>
      </c>
      <c r="AB250" s="198">
        <f>_xlfn.IFNA(IF(AB$7="Fixed",1,IF(AND($D82="yes",AB$7="Block"),INDEX($O724:$Q724,1,MATCH(AB$5,$I47:$K47,0)),INDEX(Movements!$G724:$M724,1,MATCH(AB$7,Movements!$G$716:$M$716,0))))
*AB961*AB$8,0)</f>
        <v>0</v>
      </c>
      <c r="AC250" s="70"/>
      <c r="AD250" s="19"/>
      <c r="AE250" s="19"/>
      <c r="AF250" s="19"/>
      <c r="AG250" s="19"/>
    </row>
    <row r="251" spans="1:33" hidden="1" outlineLevel="3" x14ac:dyDescent="0.2">
      <c r="A251" s="19"/>
      <c r="B251" s="97">
        <v>7</v>
      </c>
      <c r="C251" s="506">
        <f t="shared" si="45"/>
        <v>0</v>
      </c>
      <c r="D251" s="505">
        <f t="shared" si="45"/>
        <v>0</v>
      </c>
      <c r="E251" s="505">
        <f t="shared" si="45"/>
        <v>0</v>
      </c>
      <c r="F251" s="58"/>
      <c r="G251" s="199">
        <f t="shared" si="46"/>
        <v>0</v>
      </c>
      <c r="H251" s="58"/>
      <c r="I251" s="198">
        <f>_xlfn.IFNA(IF(I$7="Fixed",1,IF(AND($D83="yes",I$7="Block"),INDEX($O725:$Q725,1,MATCH(I$5,$I48:$K48,0)),INDEX(Movements!$G725:$M725,1,MATCH(I$7,Movements!$G$716:$M$716,0))))
*I962*I$8,0)</f>
        <v>0</v>
      </c>
      <c r="J251" s="198">
        <f>_xlfn.IFNA(IF(J$7="Fixed",1,IF(AND($D83="yes",J$7="Block"),INDEX($O725:$Q725,1,MATCH(J$5,$I48:$K48,0)),INDEX(Movements!$G725:$M725,1,MATCH(J$7,Movements!$G$716:$M$716,0))))
*J962*J$8,0)</f>
        <v>0</v>
      </c>
      <c r="K251" s="198">
        <f>_xlfn.IFNA(IF(K$7="Fixed",1,IF(AND($D83="yes",K$7="Block"),INDEX($O725:$Q725,1,MATCH(K$5,$I48:$K48,0)),INDEX(Movements!$G725:$M725,1,MATCH(K$7,Movements!$G$716:$M$716,0))))
*K962*K$8,0)</f>
        <v>0</v>
      </c>
      <c r="L251" s="198">
        <f>_xlfn.IFNA(IF(L$7="Fixed",1,IF(AND($D83="yes",L$7="Block"),INDEX($O725:$Q725,1,MATCH(L$5,$I48:$K48,0)),INDEX(Movements!$G725:$M725,1,MATCH(L$7,Movements!$G$716:$M$716,0))))
*L962*L$8,0)</f>
        <v>0</v>
      </c>
      <c r="M251" s="198">
        <f>_xlfn.IFNA(IF(M$7="Fixed",1,IF(AND($D83="yes",M$7="Block"),INDEX($O725:$Q725,1,MATCH(M$5,$I48:$K48,0)),INDEX(Movements!$G725:$M725,1,MATCH(M$7,Movements!$G$716:$M$716,0))))
*M962*M$8,0)</f>
        <v>0</v>
      </c>
      <c r="N251" s="198">
        <f>_xlfn.IFNA(IF(N$7="Fixed",1,IF(AND($D83="yes",N$7="Block"),INDEX($O725:$Q725,1,MATCH(N$5,$I48:$K48,0)),INDEX(Movements!$G725:$M725,1,MATCH(N$7,Movements!$G$716:$M$716,0))))
*N962*N$8,0)</f>
        <v>0</v>
      </c>
      <c r="O251" s="198">
        <f>_xlfn.IFNA(IF(O$7="Fixed",1,IF(AND($D83="yes",O$7="Block"),INDEX($O725:$Q725,1,MATCH(O$5,$I48:$K48,0)),INDEX(Movements!$G725:$M725,1,MATCH(O$7,Movements!$G$716:$M$716,0))))
*O962*O$8,0)</f>
        <v>0</v>
      </c>
      <c r="P251" s="198">
        <f>_xlfn.IFNA(IF(P$7="Fixed",1,IF(AND($D83="yes",P$7="Block"),INDEX($O725:$Q725,1,MATCH(P$5,$I48:$K48,0)),INDEX(Movements!$G725:$M725,1,MATCH(P$7,Movements!$G$716:$M$716,0))))
*P962*P$8,0)</f>
        <v>0</v>
      </c>
      <c r="Q251" s="198">
        <f>_xlfn.IFNA(IF(Q$7="Fixed",1,IF(AND($D83="yes",Q$7="Block"),INDEX($O725:$Q725,1,MATCH(Q$5,$I48:$K48,0)),INDEX(Movements!$G725:$M725,1,MATCH(Q$7,Movements!$G$716:$M$716,0))))
*Q962*Q$8,0)</f>
        <v>0</v>
      </c>
      <c r="R251" s="198">
        <f>_xlfn.IFNA(IF(R$7="Fixed",1,IF(AND($D83="yes",R$7="Block"),INDEX($O725:$Q725,1,MATCH(R$5,$I48:$K48,0)),INDEX(Movements!$G725:$M725,1,MATCH(R$7,Movements!$G$716:$M$716,0))))
*R962*R$8,0)</f>
        <v>0</v>
      </c>
      <c r="S251" s="198">
        <f>_xlfn.IFNA(IF(S$7="Fixed",1,IF(AND($D83="yes",S$7="Block"),INDEX($O725:$Q725,1,MATCH(S$5,$I48:$K48,0)),INDEX(Movements!$G725:$M725,1,MATCH(S$7,Movements!$G$716:$M$716,0))))
*S962*S$8,0)</f>
        <v>0</v>
      </c>
      <c r="T251" s="198">
        <f>_xlfn.IFNA(IF(T$7="Fixed",1,IF(AND($D83="yes",T$7="Block"),INDEX($O725:$Q725,1,MATCH(T$5,$I48:$K48,0)),INDEX(Movements!$G725:$M725,1,MATCH(T$7,Movements!$G$716:$M$716,0))))
*T962*T$8,0)</f>
        <v>0</v>
      </c>
      <c r="U251" s="198">
        <f>_xlfn.IFNA(IF(U$7="Fixed",1,IF(AND($D83="yes",U$7="Block"),INDEX($O725:$Q725,1,MATCH(U$5,$I48:$K48,0)),INDEX(Movements!$G725:$M725,1,MATCH(U$7,Movements!$G$716:$M$716,0))))
*U962*U$8,0)</f>
        <v>0</v>
      </c>
      <c r="V251" s="198">
        <f>_xlfn.IFNA(IF(V$7="Fixed",1,IF(AND($D83="yes",V$7="Block"),INDEX($O725:$Q725,1,MATCH(V$5,$I48:$K48,0)),INDEX(Movements!$G725:$M725,1,MATCH(V$7,Movements!$G$716:$M$716,0))))
*V962*V$8,0)</f>
        <v>0</v>
      </c>
      <c r="W251" s="198">
        <f>_xlfn.IFNA(IF(W$7="Fixed",1,IF(AND($D83="yes",W$7="Block"),INDEX($O725:$Q725,1,MATCH(W$5,$I48:$K48,0)),INDEX(Movements!$G725:$M725,1,MATCH(W$7,Movements!$G$716:$M$716,0))))
*W962*W$8,0)</f>
        <v>0</v>
      </c>
      <c r="X251" s="198">
        <f>_xlfn.IFNA(IF(X$7="Fixed",1,IF(AND($D83="yes",X$7="Block"),INDEX($O725:$Q725,1,MATCH(X$5,$I48:$K48,0)),INDEX(Movements!$G725:$M725,1,MATCH(X$7,Movements!$G$716:$M$716,0))))
*X962*X$8,0)</f>
        <v>0</v>
      </c>
      <c r="Y251" s="198">
        <f>_xlfn.IFNA(IF(Y$7="Fixed",1,IF(AND($D83="yes",Y$7="Block"),INDEX($O725:$Q725,1,MATCH(Y$5,$I48:$K48,0)),INDEX(Movements!$G725:$M725,1,MATCH(Y$7,Movements!$G$716:$M$716,0))))
*Y962*Y$8,0)</f>
        <v>0</v>
      </c>
      <c r="Z251" s="198">
        <f>_xlfn.IFNA(IF(Z$7="Fixed",1,IF(AND($D83="yes",Z$7="Block"),INDEX($O725:$Q725,1,MATCH(Z$5,$I48:$K48,0)),INDEX(Movements!$G725:$M725,1,MATCH(Z$7,Movements!$G$716:$M$716,0))))
*Z962*Z$8,0)</f>
        <v>0</v>
      </c>
      <c r="AA251" s="198">
        <f>_xlfn.IFNA(IF(AA$7="Fixed",1,IF(AND($D83="yes",AA$7="Block"),INDEX($O725:$Q725,1,MATCH(AA$5,$I48:$K48,0)),INDEX(Movements!$G725:$M725,1,MATCH(AA$7,Movements!$G$716:$M$716,0))))
*AA962*AA$8,0)</f>
        <v>0</v>
      </c>
      <c r="AB251" s="198">
        <f>_xlfn.IFNA(IF(AB$7="Fixed",1,IF(AND($D83="yes",AB$7="Block"),INDEX($O725:$Q725,1,MATCH(AB$5,$I48:$K48,0)),INDEX(Movements!$G725:$M725,1,MATCH(AB$7,Movements!$G$716:$M$716,0))))
*AB962*AB$8,0)</f>
        <v>0</v>
      </c>
      <c r="AC251" s="70"/>
      <c r="AD251" s="19"/>
      <c r="AE251" s="19"/>
      <c r="AF251" s="19"/>
      <c r="AG251" s="19"/>
    </row>
    <row r="252" spans="1:33" hidden="1" outlineLevel="3" x14ac:dyDescent="0.2">
      <c r="A252" s="19"/>
      <c r="B252" s="97">
        <v>8</v>
      </c>
      <c r="C252" s="506">
        <f t="shared" si="45"/>
        <v>0</v>
      </c>
      <c r="D252" s="505">
        <f t="shared" si="45"/>
        <v>0</v>
      </c>
      <c r="E252" s="505">
        <f t="shared" si="45"/>
        <v>0</v>
      </c>
      <c r="F252" s="58"/>
      <c r="G252" s="199">
        <f t="shared" si="46"/>
        <v>0</v>
      </c>
      <c r="H252" s="58"/>
      <c r="I252" s="198">
        <f>_xlfn.IFNA(IF(I$7="Fixed",1,IF(AND($D84="yes",I$7="Block"),INDEX($O726:$Q726,1,MATCH(I$5,$I49:$K49,0)),INDEX(Movements!$G726:$M726,1,MATCH(I$7,Movements!$G$716:$M$716,0))))
*I963*I$8,0)</f>
        <v>0</v>
      </c>
      <c r="J252" s="198">
        <f>_xlfn.IFNA(IF(J$7="Fixed",1,IF(AND($D84="yes",J$7="Block"),INDEX($O726:$Q726,1,MATCH(J$5,$I49:$K49,0)),INDEX(Movements!$G726:$M726,1,MATCH(J$7,Movements!$G$716:$M$716,0))))
*J963*J$8,0)</f>
        <v>0</v>
      </c>
      <c r="K252" s="198">
        <f>_xlfn.IFNA(IF(K$7="Fixed",1,IF(AND($D84="yes",K$7="Block"),INDEX($O726:$Q726,1,MATCH(K$5,$I49:$K49,0)),INDEX(Movements!$G726:$M726,1,MATCH(K$7,Movements!$G$716:$M$716,0))))
*K963*K$8,0)</f>
        <v>0</v>
      </c>
      <c r="L252" s="198">
        <f>_xlfn.IFNA(IF(L$7="Fixed",1,IF(AND($D84="yes",L$7="Block"),INDEX($O726:$Q726,1,MATCH(L$5,$I49:$K49,0)),INDEX(Movements!$G726:$M726,1,MATCH(L$7,Movements!$G$716:$M$716,0))))
*L963*L$8,0)</f>
        <v>0</v>
      </c>
      <c r="M252" s="198">
        <f>_xlfn.IFNA(IF(M$7="Fixed",1,IF(AND($D84="yes",M$7="Block"),INDEX($O726:$Q726,1,MATCH(M$5,$I49:$K49,0)),INDEX(Movements!$G726:$M726,1,MATCH(M$7,Movements!$G$716:$M$716,0))))
*M963*M$8,0)</f>
        <v>0</v>
      </c>
      <c r="N252" s="198">
        <f>_xlfn.IFNA(IF(N$7="Fixed",1,IF(AND($D84="yes",N$7="Block"),INDEX($O726:$Q726,1,MATCH(N$5,$I49:$K49,0)),INDEX(Movements!$G726:$M726,1,MATCH(N$7,Movements!$G$716:$M$716,0))))
*N963*N$8,0)</f>
        <v>0</v>
      </c>
      <c r="O252" s="198">
        <f>_xlfn.IFNA(IF(O$7="Fixed",1,IF(AND($D84="yes",O$7="Block"),INDEX($O726:$Q726,1,MATCH(O$5,$I49:$K49,0)),INDEX(Movements!$G726:$M726,1,MATCH(O$7,Movements!$G$716:$M$716,0))))
*O963*O$8,0)</f>
        <v>0</v>
      </c>
      <c r="P252" s="198">
        <f>_xlfn.IFNA(IF(P$7="Fixed",1,IF(AND($D84="yes",P$7="Block"),INDEX($O726:$Q726,1,MATCH(P$5,$I49:$K49,0)),INDEX(Movements!$G726:$M726,1,MATCH(P$7,Movements!$G$716:$M$716,0))))
*P963*P$8,0)</f>
        <v>0</v>
      </c>
      <c r="Q252" s="198">
        <f>_xlfn.IFNA(IF(Q$7="Fixed",1,IF(AND($D84="yes",Q$7="Block"),INDEX($O726:$Q726,1,MATCH(Q$5,$I49:$K49,0)),INDEX(Movements!$G726:$M726,1,MATCH(Q$7,Movements!$G$716:$M$716,0))))
*Q963*Q$8,0)</f>
        <v>0</v>
      </c>
      <c r="R252" s="198">
        <f>_xlfn.IFNA(IF(R$7="Fixed",1,IF(AND($D84="yes",R$7="Block"),INDEX($O726:$Q726,1,MATCH(R$5,$I49:$K49,0)),INDEX(Movements!$G726:$M726,1,MATCH(R$7,Movements!$G$716:$M$716,0))))
*R963*R$8,0)</f>
        <v>0</v>
      </c>
      <c r="S252" s="198">
        <f>_xlfn.IFNA(IF(S$7="Fixed",1,IF(AND($D84="yes",S$7="Block"),INDEX($O726:$Q726,1,MATCH(S$5,$I49:$K49,0)),INDEX(Movements!$G726:$M726,1,MATCH(S$7,Movements!$G$716:$M$716,0))))
*S963*S$8,0)</f>
        <v>0</v>
      </c>
      <c r="T252" s="198">
        <f>_xlfn.IFNA(IF(T$7="Fixed",1,IF(AND($D84="yes",T$7="Block"),INDEX($O726:$Q726,1,MATCH(T$5,$I49:$K49,0)),INDEX(Movements!$G726:$M726,1,MATCH(T$7,Movements!$G$716:$M$716,0))))
*T963*T$8,0)</f>
        <v>0</v>
      </c>
      <c r="U252" s="198">
        <f>_xlfn.IFNA(IF(U$7="Fixed",1,IF(AND($D84="yes",U$7="Block"),INDEX($O726:$Q726,1,MATCH(U$5,$I49:$K49,0)),INDEX(Movements!$G726:$M726,1,MATCH(U$7,Movements!$G$716:$M$716,0))))
*U963*U$8,0)</f>
        <v>0</v>
      </c>
      <c r="V252" s="198">
        <f>_xlfn.IFNA(IF(V$7="Fixed",1,IF(AND($D84="yes",V$7="Block"),INDEX($O726:$Q726,1,MATCH(V$5,$I49:$K49,0)),INDEX(Movements!$G726:$M726,1,MATCH(V$7,Movements!$G$716:$M$716,0))))
*V963*V$8,0)</f>
        <v>0</v>
      </c>
      <c r="W252" s="198">
        <f>_xlfn.IFNA(IF(W$7="Fixed",1,IF(AND($D84="yes",W$7="Block"),INDEX($O726:$Q726,1,MATCH(W$5,$I49:$K49,0)),INDEX(Movements!$G726:$M726,1,MATCH(W$7,Movements!$G$716:$M$716,0))))
*W963*W$8,0)</f>
        <v>0</v>
      </c>
      <c r="X252" s="198">
        <f>_xlfn.IFNA(IF(X$7="Fixed",1,IF(AND($D84="yes",X$7="Block"),INDEX($O726:$Q726,1,MATCH(X$5,$I49:$K49,0)),INDEX(Movements!$G726:$M726,1,MATCH(X$7,Movements!$G$716:$M$716,0))))
*X963*X$8,0)</f>
        <v>0</v>
      </c>
      <c r="Y252" s="198">
        <f>_xlfn.IFNA(IF(Y$7="Fixed",1,IF(AND($D84="yes",Y$7="Block"),INDEX($O726:$Q726,1,MATCH(Y$5,$I49:$K49,0)),INDEX(Movements!$G726:$M726,1,MATCH(Y$7,Movements!$G$716:$M$716,0))))
*Y963*Y$8,0)</f>
        <v>0</v>
      </c>
      <c r="Z252" s="198">
        <f>_xlfn.IFNA(IF(Z$7="Fixed",1,IF(AND($D84="yes",Z$7="Block"),INDEX($O726:$Q726,1,MATCH(Z$5,$I49:$K49,0)),INDEX(Movements!$G726:$M726,1,MATCH(Z$7,Movements!$G$716:$M$716,0))))
*Z963*Z$8,0)</f>
        <v>0</v>
      </c>
      <c r="AA252" s="198">
        <f>_xlfn.IFNA(IF(AA$7="Fixed",1,IF(AND($D84="yes",AA$7="Block"),INDEX($O726:$Q726,1,MATCH(AA$5,$I49:$K49,0)),INDEX(Movements!$G726:$M726,1,MATCH(AA$7,Movements!$G$716:$M$716,0))))
*AA963*AA$8,0)</f>
        <v>0</v>
      </c>
      <c r="AB252" s="198">
        <f>_xlfn.IFNA(IF(AB$7="Fixed",1,IF(AND($D84="yes",AB$7="Block"),INDEX($O726:$Q726,1,MATCH(AB$5,$I49:$K49,0)),INDEX(Movements!$G726:$M726,1,MATCH(AB$7,Movements!$G$716:$M$716,0))))
*AB963*AB$8,0)</f>
        <v>0</v>
      </c>
      <c r="AC252" s="70"/>
      <c r="AD252" s="19"/>
      <c r="AE252" s="19"/>
      <c r="AF252" s="19"/>
      <c r="AG252" s="19"/>
    </row>
    <row r="253" spans="1:33" hidden="1" outlineLevel="3" x14ac:dyDescent="0.2">
      <c r="A253" s="19"/>
      <c r="B253" s="98">
        <v>9</v>
      </c>
      <c r="C253" s="506">
        <f t="shared" si="45"/>
        <v>0</v>
      </c>
      <c r="D253" s="505">
        <f t="shared" si="45"/>
        <v>0</v>
      </c>
      <c r="E253" s="505">
        <f t="shared" si="45"/>
        <v>0</v>
      </c>
      <c r="F253" s="58"/>
      <c r="G253" s="199">
        <f t="shared" si="46"/>
        <v>0</v>
      </c>
      <c r="H253" s="58"/>
      <c r="I253" s="198">
        <f>_xlfn.IFNA(IF(I$7="Fixed",1,IF(AND($D85="yes",I$7="Block"),INDEX($O727:$Q727,1,MATCH(I$5,$I50:$K50,0)),INDEX(Movements!$G727:$M727,1,MATCH(I$7,Movements!$G$716:$M$716,0))))
*I964*I$8,0)</f>
        <v>0</v>
      </c>
      <c r="J253" s="198">
        <f>_xlfn.IFNA(IF(J$7="Fixed",1,IF(AND($D85="yes",J$7="Block"),INDEX($O727:$Q727,1,MATCH(J$5,$I50:$K50,0)),INDEX(Movements!$G727:$M727,1,MATCH(J$7,Movements!$G$716:$M$716,0))))
*J964*J$8,0)</f>
        <v>0</v>
      </c>
      <c r="K253" s="198">
        <f>_xlfn.IFNA(IF(K$7="Fixed",1,IF(AND($D85="yes",K$7="Block"),INDEX($O727:$Q727,1,MATCH(K$5,$I50:$K50,0)),INDEX(Movements!$G727:$M727,1,MATCH(K$7,Movements!$G$716:$M$716,0))))
*K964*K$8,0)</f>
        <v>0</v>
      </c>
      <c r="L253" s="198">
        <f>_xlfn.IFNA(IF(L$7="Fixed",1,IF(AND($D85="yes",L$7="Block"),INDEX($O727:$Q727,1,MATCH(L$5,$I50:$K50,0)),INDEX(Movements!$G727:$M727,1,MATCH(L$7,Movements!$G$716:$M$716,0))))
*L964*L$8,0)</f>
        <v>0</v>
      </c>
      <c r="M253" s="198">
        <f>_xlfn.IFNA(IF(M$7="Fixed",1,IF(AND($D85="yes",M$7="Block"),INDEX($O727:$Q727,1,MATCH(M$5,$I50:$K50,0)),INDEX(Movements!$G727:$M727,1,MATCH(M$7,Movements!$G$716:$M$716,0))))
*M964*M$8,0)</f>
        <v>0</v>
      </c>
      <c r="N253" s="198">
        <f>_xlfn.IFNA(IF(N$7="Fixed",1,IF(AND($D85="yes",N$7="Block"),INDEX($O727:$Q727,1,MATCH(N$5,$I50:$K50,0)),INDEX(Movements!$G727:$M727,1,MATCH(N$7,Movements!$G$716:$M$716,0))))
*N964*N$8,0)</f>
        <v>0</v>
      </c>
      <c r="O253" s="198">
        <f>_xlfn.IFNA(IF(O$7="Fixed",1,IF(AND($D85="yes",O$7="Block"),INDEX($O727:$Q727,1,MATCH(O$5,$I50:$K50,0)),INDEX(Movements!$G727:$M727,1,MATCH(O$7,Movements!$G$716:$M$716,0))))
*O964*O$8,0)</f>
        <v>0</v>
      </c>
      <c r="P253" s="198">
        <f>_xlfn.IFNA(IF(P$7="Fixed",1,IF(AND($D85="yes",P$7="Block"),INDEX($O727:$Q727,1,MATCH(P$5,$I50:$K50,0)),INDEX(Movements!$G727:$M727,1,MATCH(P$7,Movements!$G$716:$M$716,0))))
*P964*P$8,0)</f>
        <v>0</v>
      </c>
      <c r="Q253" s="198">
        <f>_xlfn.IFNA(IF(Q$7="Fixed",1,IF(AND($D85="yes",Q$7="Block"),INDEX($O727:$Q727,1,MATCH(Q$5,$I50:$K50,0)),INDEX(Movements!$G727:$M727,1,MATCH(Q$7,Movements!$G$716:$M$716,0))))
*Q964*Q$8,0)</f>
        <v>0</v>
      </c>
      <c r="R253" s="198">
        <f>_xlfn.IFNA(IF(R$7="Fixed",1,IF(AND($D85="yes",R$7="Block"),INDEX($O727:$Q727,1,MATCH(R$5,$I50:$K50,0)),INDEX(Movements!$G727:$M727,1,MATCH(R$7,Movements!$G$716:$M$716,0))))
*R964*R$8,0)</f>
        <v>0</v>
      </c>
      <c r="S253" s="198">
        <f>_xlfn.IFNA(IF(S$7="Fixed",1,IF(AND($D85="yes",S$7="Block"),INDEX($O727:$Q727,1,MATCH(S$5,$I50:$K50,0)),INDEX(Movements!$G727:$M727,1,MATCH(S$7,Movements!$G$716:$M$716,0))))
*S964*S$8,0)</f>
        <v>0</v>
      </c>
      <c r="T253" s="198">
        <f>_xlfn.IFNA(IF(T$7="Fixed",1,IF(AND($D85="yes",T$7="Block"),INDEX($O727:$Q727,1,MATCH(T$5,$I50:$K50,0)),INDEX(Movements!$G727:$M727,1,MATCH(T$7,Movements!$G$716:$M$716,0))))
*T964*T$8,0)</f>
        <v>0</v>
      </c>
      <c r="U253" s="198">
        <f>_xlfn.IFNA(IF(U$7="Fixed",1,IF(AND($D85="yes",U$7="Block"),INDEX($O727:$Q727,1,MATCH(U$5,$I50:$K50,0)),INDEX(Movements!$G727:$M727,1,MATCH(U$7,Movements!$G$716:$M$716,0))))
*U964*U$8,0)</f>
        <v>0</v>
      </c>
      <c r="V253" s="198">
        <f>_xlfn.IFNA(IF(V$7="Fixed",1,IF(AND($D85="yes",V$7="Block"),INDEX($O727:$Q727,1,MATCH(V$5,$I50:$K50,0)),INDEX(Movements!$G727:$M727,1,MATCH(V$7,Movements!$G$716:$M$716,0))))
*V964*V$8,0)</f>
        <v>0</v>
      </c>
      <c r="W253" s="198">
        <f>_xlfn.IFNA(IF(W$7="Fixed",1,IF(AND($D85="yes",W$7="Block"),INDEX($O727:$Q727,1,MATCH(W$5,$I50:$K50,0)),INDEX(Movements!$G727:$M727,1,MATCH(W$7,Movements!$G$716:$M$716,0))))
*W964*W$8,0)</f>
        <v>0</v>
      </c>
      <c r="X253" s="198">
        <f>_xlfn.IFNA(IF(X$7="Fixed",1,IF(AND($D85="yes",X$7="Block"),INDEX($O727:$Q727,1,MATCH(X$5,$I50:$K50,0)),INDEX(Movements!$G727:$M727,1,MATCH(X$7,Movements!$G$716:$M$716,0))))
*X964*X$8,0)</f>
        <v>0</v>
      </c>
      <c r="Y253" s="198">
        <f>_xlfn.IFNA(IF(Y$7="Fixed",1,IF(AND($D85="yes",Y$7="Block"),INDEX($O727:$Q727,1,MATCH(Y$5,$I50:$K50,0)),INDEX(Movements!$G727:$M727,1,MATCH(Y$7,Movements!$G$716:$M$716,0))))
*Y964*Y$8,0)</f>
        <v>0</v>
      </c>
      <c r="Z253" s="198">
        <f>_xlfn.IFNA(IF(Z$7="Fixed",1,IF(AND($D85="yes",Z$7="Block"),INDEX($O727:$Q727,1,MATCH(Z$5,$I50:$K50,0)),INDEX(Movements!$G727:$M727,1,MATCH(Z$7,Movements!$G$716:$M$716,0))))
*Z964*Z$8,0)</f>
        <v>0</v>
      </c>
      <c r="AA253" s="198">
        <f>_xlfn.IFNA(IF(AA$7="Fixed",1,IF(AND($D85="yes",AA$7="Block"),INDEX($O727:$Q727,1,MATCH(AA$5,$I50:$K50,0)),INDEX(Movements!$G727:$M727,1,MATCH(AA$7,Movements!$G$716:$M$716,0))))
*AA964*AA$8,0)</f>
        <v>0</v>
      </c>
      <c r="AB253" s="198">
        <f>_xlfn.IFNA(IF(AB$7="Fixed",1,IF(AND($D85="yes",AB$7="Block"),INDEX($O727:$Q727,1,MATCH(AB$5,$I50:$K50,0)),INDEX(Movements!$G727:$M727,1,MATCH(AB$7,Movements!$G$716:$M$716,0))))
*AB964*AB$8,0)</f>
        <v>0</v>
      </c>
      <c r="AC253" s="70"/>
      <c r="AD253" s="19"/>
      <c r="AE253" s="19"/>
      <c r="AF253" s="19"/>
      <c r="AG253" s="19"/>
    </row>
    <row r="254" spans="1:33" hidden="1" outlineLevel="3" x14ac:dyDescent="0.2">
      <c r="A254" s="19"/>
      <c r="B254" s="97">
        <v>10</v>
      </c>
      <c r="C254" s="506">
        <f t="shared" si="45"/>
        <v>0</v>
      </c>
      <c r="D254" s="505">
        <f t="shared" si="45"/>
        <v>0</v>
      </c>
      <c r="E254" s="505">
        <f t="shared" si="45"/>
        <v>0</v>
      </c>
      <c r="F254" s="58"/>
      <c r="G254" s="199">
        <f t="shared" si="46"/>
        <v>0</v>
      </c>
      <c r="H254" s="58"/>
      <c r="I254" s="198">
        <f>_xlfn.IFNA(IF(I$7="Fixed",1,IF(AND($D86="yes",I$7="Block"),INDEX($O728:$Q728,1,MATCH(I$5,$I51:$K51,0)),INDEX(Movements!$G728:$M728,1,MATCH(I$7,Movements!$G$716:$M$716,0))))
*I965*I$8,0)</f>
        <v>0</v>
      </c>
      <c r="J254" s="198">
        <f>_xlfn.IFNA(IF(J$7="Fixed",1,IF(AND($D86="yes",J$7="Block"),INDEX($O728:$Q728,1,MATCH(J$5,$I51:$K51,0)),INDEX(Movements!$G728:$M728,1,MATCH(J$7,Movements!$G$716:$M$716,0))))
*J965*J$8,0)</f>
        <v>0</v>
      </c>
      <c r="K254" s="198">
        <f>_xlfn.IFNA(IF(K$7="Fixed",1,IF(AND($D86="yes",K$7="Block"),INDEX($O728:$Q728,1,MATCH(K$5,$I51:$K51,0)),INDEX(Movements!$G728:$M728,1,MATCH(K$7,Movements!$G$716:$M$716,0))))
*K965*K$8,0)</f>
        <v>0</v>
      </c>
      <c r="L254" s="198">
        <f>_xlfn.IFNA(IF(L$7="Fixed",1,IF(AND($D86="yes",L$7="Block"),INDEX($O728:$Q728,1,MATCH(L$5,$I51:$K51,0)),INDEX(Movements!$G728:$M728,1,MATCH(L$7,Movements!$G$716:$M$716,0))))
*L965*L$8,0)</f>
        <v>0</v>
      </c>
      <c r="M254" s="198">
        <f>_xlfn.IFNA(IF(M$7="Fixed",1,IF(AND($D86="yes",M$7="Block"),INDEX($O728:$Q728,1,MATCH(M$5,$I51:$K51,0)),INDEX(Movements!$G728:$M728,1,MATCH(M$7,Movements!$G$716:$M$716,0))))
*M965*M$8,0)</f>
        <v>0</v>
      </c>
      <c r="N254" s="198">
        <f>_xlfn.IFNA(IF(N$7="Fixed",1,IF(AND($D86="yes",N$7="Block"),INDEX($O728:$Q728,1,MATCH(N$5,$I51:$K51,0)),INDEX(Movements!$G728:$M728,1,MATCH(N$7,Movements!$G$716:$M$716,0))))
*N965*N$8,0)</f>
        <v>0</v>
      </c>
      <c r="O254" s="198">
        <f>_xlfn.IFNA(IF(O$7="Fixed",1,IF(AND($D86="yes",O$7="Block"),INDEX($O728:$Q728,1,MATCH(O$5,$I51:$K51,0)),INDEX(Movements!$G728:$M728,1,MATCH(O$7,Movements!$G$716:$M$716,0))))
*O965*O$8,0)</f>
        <v>0</v>
      </c>
      <c r="P254" s="198">
        <f>_xlfn.IFNA(IF(P$7="Fixed",1,IF(AND($D86="yes",P$7="Block"),INDEX($O728:$Q728,1,MATCH(P$5,$I51:$K51,0)),INDEX(Movements!$G728:$M728,1,MATCH(P$7,Movements!$G$716:$M$716,0))))
*P965*P$8,0)</f>
        <v>0</v>
      </c>
      <c r="Q254" s="198">
        <f>_xlfn.IFNA(IF(Q$7="Fixed",1,IF(AND($D86="yes",Q$7="Block"),INDEX($O728:$Q728,1,MATCH(Q$5,$I51:$K51,0)),INDEX(Movements!$G728:$M728,1,MATCH(Q$7,Movements!$G$716:$M$716,0))))
*Q965*Q$8,0)</f>
        <v>0</v>
      </c>
      <c r="R254" s="198">
        <f>_xlfn.IFNA(IF(R$7="Fixed",1,IF(AND($D86="yes",R$7="Block"),INDEX($O728:$Q728,1,MATCH(R$5,$I51:$K51,0)),INDEX(Movements!$G728:$M728,1,MATCH(R$7,Movements!$G$716:$M$716,0))))
*R965*R$8,0)</f>
        <v>0</v>
      </c>
      <c r="S254" s="198">
        <f>_xlfn.IFNA(IF(S$7="Fixed",1,IF(AND($D86="yes",S$7="Block"),INDEX($O728:$Q728,1,MATCH(S$5,$I51:$K51,0)),INDEX(Movements!$G728:$M728,1,MATCH(S$7,Movements!$G$716:$M$716,0))))
*S965*S$8,0)</f>
        <v>0</v>
      </c>
      <c r="T254" s="198">
        <f>_xlfn.IFNA(IF(T$7="Fixed",1,IF(AND($D86="yes",T$7="Block"),INDEX($O728:$Q728,1,MATCH(T$5,$I51:$K51,0)),INDEX(Movements!$G728:$M728,1,MATCH(T$7,Movements!$G$716:$M$716,0))))
*T965*T$8,0)</f>
        <v>0</v>
      </c>
      <c r="U254" s="198">
        <f>_xlfn.IFNA(IF(U$7="Fixed",1,IF(AND($D86="yes",U$7="Block"),INDEX($O728:$Q728,1,MATCH(U$5,$I51:$K51,0)),INDEX(Movements!$G728:$M728,1,MATCH(U$7,Movements!$G$716:$M$716,0))))
*U965*U$8,0)</f>
        <v>0</v>
      </c>
      <c r="V254" s="198">
        <f>_xlfn.IFNA(IF(V$7="Fixed",1,IF(AND($D86="yes",V$7="Block"),INDEX($O728:$Q728,1,MATCH(V$5,$I51:$K51,0)),INDEX(Movements!$G728:$M728,1,MATCH(V$7,Movements!$G$716:$M$716,0))))
*V965*V$8,0)</f>
        <v>0</v>
      </c>
      <c r="W254" s="198">
        <f>_xlfn.IFNA(IF(W$7="Fixed",1,IF(AND($D86="yes",W$7="Block"),INDEX($O728:$Q728,1,MATCH(W$5,$I51:$K51,0)),INDEX(Movements!$G728:$M728,1,MATCH(W$7,Movements!$G$716:$M$716,0))))
*W965*W$8,0)</f>
        <v>0</v>
      </c>
      <c r="X254" s="198">
        <f>_xlfn.IFNA(IF(X$7="Fixed",1,IF(AND($D86="yes",X$7="Block"),INDEX($O728:$Q728,1,MATCH(X$5,$I51:$K51,0)),INDEX(Movements!$G728:$M728,1,MATCH(X$7,Movements!$G$716:$M$716,0))))
*X965*X$8,0)</f>
        <v>0</v>
      </c>
      <c r="Y254" s="198">
        <f>_xlfn.IFNA(IF(Y$7="Fixed",1,IF(AND($D86="yes",Y$7="Block"),INDEX($O728:$Q728,1,MATCH(Y$5,$I51:$K51,0)),INDEX(Movements!$G728:$M728,1,MATCH(Y$7,Movements!$G$716:$M$716,0))))
*Y965*Y$8,0)</f>
        <v>0</v>
      </c>
      <c r="Z254" s="198">
        <f>_xlfn.IFNA(IF(Z$7="Fixed",1,IF(AND($D86="yes",Z$7="Block"),INDEX($O728:$Q728,1,MATCH(Z$5,$I51:$K51,0)),INDEX(Movements!$G728:$M728,1,MATCH(Z$7,Movements!$G$716:$M$716,0))))
*Z965*Z$8,0)</f>
        <v>0</v>
      </c>
      <c r="AA254" s="198">
        <f>_xlfn.IFNA(IF(AA$7="Fixed",1,IF(AND($D86="yes",AA$7="Block"),INDEX($O728:$Q728,1,MATCH(AA$5,$I51:$K51,0)),INDEX(Movements!$G728:$M728,1,MATCH(AA$7,Movements!$G$716:$M$716,0))))
*AA965*AA$8,0)</f>
        <v>0</v>
      </c>
      <c r="AB254" s="198">
        <f>_xlfn.IFNA(IF(AB$7="Fixed",1,IF(AND($D86="yes",AB$7="Block"),INDEX($O728:$Q728,1,MATCH(AB$5,$I51:$K51,0)),INDEX(Movements!$G728:$M728,1,MATCH(AB$7,Movements!$G$716:$M$716,0))))
*AB965*AB$8,0)</f>
        <v>0</v>
      </c>
      <c r="AC254" s="70"/>
      <c r="AD254" s="19"/>
      <c r="AE254" s="19"/>
      <c r="AF254" s="19"/>
      <c r="AG254" s="19"/>
    </row>
    <row r="255" spans="1:33" hidden="1" outlineLevel="3" x14ac:dyDescent="0.2">
      <c r="A255" s="19"/>
      <c r="B255" s="97">
        <v>11</v>
      </c>
      <c r="C255" s="506">
        <f t="shared" si="45"/>
        <v>0</v>
      </c>
      <c r="D255" s="505">
        <f t="shared" si="45"/>
        <v>0</v>
      </c>
      <c r="E255" s="505">
        <f t="shared" si="45"/>
        <v>0</v>
      </c>
      <c r="F255" s="58"/>
      <c r="G255" s="199">
        <f t="shared" si="46"/>
        <v>0</v>
      </c>
      <c r="H255" s="58"/>
      <c r="I255" s="198">
        <f>_xlfn.IFNA(IF(I$7="Fixed",1,IF(AND($D87="yes",I$7="Block"),INDEX($O729:$Q729,1,MATCH(I$5,$I52:$K52,0)),INDEX(Movements!$G729:$M729,1,MATCH(I$7,Movements!$G$716:$M$716,0))))
*I966*I$8,0)</f>
        <v>0</v>
      </c>
      <c r="J255" s="198">
        <f>_xlfn.IFNA(IF(J$7="Fixed",1,IF(AND($D87="yes",J$7="Block"),INDEX($O729:$Q729,1,MATCH(J$5,$I52:$K52,0)),INDEX(Movements!$G729:$M729,1,MATCH(J$7,Movements!$G$716:$M$716,0))))
*J966*J$8,0)</f>
        <v>0</v>
      </c>
      <c r="K255" s="198">
        <f>_xlfn.IFNA(IF(K$7="Fixed",1,IF(AND($D87="yes",K$7="Block"),INDEX($O729:$Q729,1,MATCH(K$5,$I52:$K52,0)),INDEX(Movements!$G729:$M729,1,MATCH(K$7,Movements!$G$716:$M$716,0))))
*K966*K$8,0)</f>
        <v>0</v>
      </c>
      <c r="L255" s="198">
        <f>_xlfn.IFNA(IF(L$7="Fixed",1,IF(AND($D87="yes",L$7="Block"),INDEX($O729:$Q729,1,MATCH(L$5,$I52:$K52,0)),INDEX(Movements!$G729:$M729,1,MATCH(L$7,Movements!$G$716:$M$716,0))))
*L966*L$8,0)</f>
        <v>0</v>
      </c>
      <c r="M255" s="198">
        <f>_xlfn.IFNA(IF(M$7="Fixed",1,IF(AND($D87="yes",M$7="Block"),INDEX($O729:$Q729,1,MATCH(M$5,$I52:$K52,0)),INDEX(Movements!$G729:$M729,1,MATCH(M$7,Movements!$G$716:$M$716,0))))
*M966*M$8,0)</f>
        <v>0</v>
      </c>
      <c r="N255" s="198">
        <f>_xlfn.IFNA(IF(N$7="Fixed",1,IF(AND($D87="yes",N$7="Block"),INDEX($O729:$Q729,1,MATCH(N$5,$I52:$K52,0)),INDEX(Movements!$G729:$M729,1,MATCH(N$7,Movements!$G$716:$M$716,0))))
*N966*N$8,0)</f>
        <v>0</v>
      </c>
      <c r="O255" s="198">
        <f>_xlfn.IFNA(IF(O$7="Fixed",1,IF(AND($D87="yes",O$7="Block"),INDEX($O729:$Q729,1,MATCH(O$5,$I52:$K52,0)),INDEX(Movements!$G729:$M729,1,MATCH(O$7,Movements!$G$716:$M$716,0))))
*O966*O$8,0)</f>
        <v>0</v>
      </c>
      <c r="P255" s="198">
        <f>_xlfn.IFNA(IF(P$7="Fixed",1,IF(AND($D87="yes",P$7="Block"),INDEX($O729:$Q729,1,MATCH(P$5,$I52:$K52,0)),INDEX(Movements!$G729:$M729,1,MATCH(P$7,Movements!$G$716:$M$716,0))))
*P966*P$8,0)</f>
        <v>0</v>
      </c>
      <c r="Q255" s="198">
        <f>_xlfn.IFNA(IF(Q$7="Fixed",1,IF(AND($D87="yes",Q$7="Block"),INDEX($O729:$Q729,1,MATCH(Q$5,$I52:$K52,0)),INDEX(Movements!$G729:$M729,1,MATCH(Q$7,Movements!$G$716:$M$716,0))))
*Q966*Q$8,0)</f>
        <v>0</v>
      </c>
      <c r="R255" s="198">
        <f>_xlfn.IFNA(IF(R$7="Fixed",1,IF(AND($D87="yes",R$7="Block"),INDEX($O729:$Q729,1,MATCH(R$5,$I52:$K52,0)),INDEX(Movements!$G729:$M729,1,MATCH(R$7,Movements!$G$716:$M$716,0))))
*R966*R$8,0)</f>
        <v>0</v>
      </c>
      <c r="S255" s="198">
        <f>_xlfn.IFNA(IF(S$7="Fixed",1,IF(AND($D87="yes",S$7="Block"),INDEX($O729:$Q729,1,MATCH(S$5,$I52:$K52,0)),INDEX(Movements!$G729:$M729,1,MATCH(S$7,Movements!$G$716:$M$716,0))))
*S966*S$8,0)</f>
        <v>0</v>
      </c>
      <c r="T255" s="198">
        <f>_xlfn.IFNA(IF(T$7="Fixed",1,IF(AND($D87="yes",T$7="Block"),INDEX($O729:$Q729,1,MATCH(T$5,$I52:$K52,0)),INDEX(Movements!$G729:$M729,1,MATCH(T$7,Movements!$G$716:$M$716,0))))
*T966*T$8,0)</f>
        <v>0</v>
      </c>
      <c r="U255" s="198">
        <f>_xlfn.IFNA(IF(U$7="Fixed",1,IF(AND($D87="yes",U$7="Block"),INDEX($O729:$Q729,1,MATCH(U$5,$I52:$K52,0)),INDEX(Movements!$G729:$M729,1,MATCH(U$7,Movements!$G$716:$M$716,0))))
*U966*U$8,0)</f>
        <v>0</v>
      </c>
      <c r="V255" s="198">
        <f>_xlfn.IFNA(IF(V$7="Fixed",1,IF(AND($D87="yes",V$7="Block"),INDEX($O729:$Q729,1,MATCH(V$5,$I52:$K52,0)),INDEX(Movements!$G729:$M729,1,MATCH(V$7,Movements!$G$716:$M$716,0))))
*V966*V$8,0)</f>
        <v>0</v>
      </c>
      <c r="W255" s="198">
        <f>_xlfn.IFNA(IF(W$7="Fixed",1,IF(AND($D87="yes",W$7="Block"),INDEX($O729:$Q729,1,MATCH(W$5,$I52:$K52,0)),INDEX(Movements!$G729:$M729,1,MATCH(W$7,Movements!$G$716:$M$716,0))))
*W966*W$8,0)</f>
        <v>0</v>
      </c>
      <c r="X255" s="198">
        <f>_xlfn.IFNA(IF(X$7="Fixed",1,IF(AND($D87="yes",X$7="Block"),INDEX($O729:$Q729,1,MATCH(X$5,$I52:$K52,0)),INDEX(Movements!$G729:$M729,1,MATCH(X$7,Movements!$G$716:$M$716,0))))
*X966*X$8,0)</f>
        <v>0</v>
      </c>
      <c r="Y255" s="198">
        <f>_xlfn.IFNA(IF(Y$7="Fixed",1,IF(AND($D87="yes",Y$7="Block"),INDEX($O729:$Q729,1,MATCH(Y$5,$I52:$K52,0)),INDEX(Movements!$G729:$M729,1,MATCH(Y$7,Movements!$G$716:$M$716,0))))
*Y966*Y$8,0)</f>
        <v>0</v>
      </c>
      <c r="Z255" s="198">
        <f>_xlfn.IFNA(IF(Z$7="Fixed",1,IF(AND($D87="yes",Z$7="Block"),INDEX($O729:$Q729,1,MATCH(Z$5,$I52:$K52,0)),INDEX(Movements!$G729:$M729,1,MATCH(Z$7,Movements!$G$716:$M$716,0))))
*Z966*Z$8,0)</f>
        <v>0</v>
      </c>
      <c r="AA255" s="198">
        <f>_xlfn.IFNA(IF(AA$7="Fixed",1,IF(AND($D87="yes",AA$7="Block"),INDEX($O729:$Q729,1,MATCH(AA$5,$I52:$K52,0)),INDEX(Movements!$G729:$M729,1,MATCH(AA$7,Movements!$G$716:$M$716,0))))
*AA966*AA$8,0)</f>
        <v>0</v>
      </c>
      <c r="AB255" s="198">
        <f>_xlfn.IFNA(IF(AB$7="Fixed",1,IF(AND($D87="yes",AB$7="Block"),INDEX($O729:$Q729,1,MATCH(AB$5,$I52:$K52,0)),INDEX(Movements!$G729:$M729,1,MATCH(AB$7,Movements!$G$716:$M$716,0))))
*AB966*AB$8,0)</f>
        <v>0</v>
      </c>
      <c r="AC255" s="70"/>
      <c r="AD255" s="19"/>
      <c r="AE255" s="19"/>
      <c r="AF255" s="19"/>
      <c r="AG255" s="19"/>
    </row>
    <row r="256" spans="1:33" hidden="1" outlineLevel="3" x14ac:dyDescent="0.2">
      <c r="A256" s="19"/>
      <c r="B256" s="97">
        <v>12</v>
      </c>
      <c r="C256" s="506">
        <f t="shared" si="45"/>
        <v>0</v>
      </c>
      <c r="D256" s="505">
        <f t="shared" si="45"/>
        <v>0</v>
      </c>
      <c r="E256" s="505">
        <f t="shared" si="45"/>
        <v>0</v>
      </c>
      <c r="F256" s="58"/>
      <c r="G256" s="199">
        <f t="shared" si="46"/>
        <v>0</v>
      </c>
      <c r="H256" s="58"/>
      <c r="I256" s="198">
        <f>_xlfn.IFNA(IF(I$7="Fixed",1,IF(AND($D88="yes",I$7="Block"),INDEX($O730:$Q730,1,MATCH(I$5,$I53:$K53,0)),INDEX(Movements!$G730:$M730,1,MATCH(I$7,Movements!$G$716:$M$716,0))))
*I967*I$8,0)</f>
        <v>0</v>
      </c>
      <c r="J256" s="198">
        <f>_xlfn.IFNA(IF(J$7="Fixed",1,IF(AND($D88="yes",J$7="Block"),INDEX($O730:$Q730,1,MATCH(J$5,$I53:$K53,0)),INDEX(Movements!$G730:$M730,1,MATCH(J$7,Movements!$G$716:$M$716,0))))
*J967*J$8,0)</f>
        <v>0</v>
      </c>
      <c r="K256" s="198">
        <f>_xlfn.IFNA(IF(K$7="Fixed",1,IF(AND($D88="yes",K$7="Block"),INDEX($O730:$Q730,1,MATCH(K$5,$I53:$K53,0)),INDEX(Movements!$G730:$M730,1,MATCH(K$7,Movements!$G$716:$M$716,0))))
*K967*K$8,0)</f>
        <v>0</v>
      </c>
      <c r="L256" s="198">
        <f>_xlfn.IFNA(IF(L$7="Fixed",1,IF(AND($D88="yes",L$7="Block"),INDEX($O730:$Q730,1,MATCH(L$5,$I53:$K53,0)),INDEX(Movements!$G730:$M730,1,MATCH(L$7,Movements!$G$716:$M$716,0))))
*L967*L$8,0)</f>
        <v>0</v>
      </c>
      <c r="M256" s="198">
        <f>_xlfn.IFNA(IF(M$7="Fixed",1,IF(AND($D88="yes",M$7="Block"),INDEX($O730:$Q730,1,MATCH(M$5,$I53:$K53,0)),INDEX(Movements!$G730:$M730,1,MATCH(M$7,Movements!$G$716:$M$716,0))))
*M967*M$8,0)</f>
        <v>0</v>
      </c>
      <c r="N256" s="198">
        <f>_xlfn.IFNA(IF(N$7="Fixed",1,IF(AND($D88="yes",N$7="Block"),INDEX($O730:$Q730,1,MATCH(N$5,$I53:$K53,0)),INDEX(Movements!$G730:$M730,1,MATCH(N$7,Movements!$G$716:$M$716,0))))
*N967*N$8,0)</f>
        <v>0</v>
      </c>
      <c r="O256" s="198">
        <f>_xlfn.IFNA(IF(O$7="Fixed",1,IF(AND($D88="yes",O$7="Block"),INDEX($O730:$Q730,1,MATCH(O$5,$I53:$K53,0)),INDEX(Movements!$G730:$M730,1,MATCH(O$7,Movements!$G$716:$M$716,0))))
*O967*O$8,0)</f>
        <v>0</v>
      </c>
      <c r="P256" s="198">
        <f>_xlfn.IFNA(IF(P$7="Fixed",1,IF(AND($D88="yes",P$7="Block"),INDEX($O730:$Q730,1,MATCH(P$5,$I53:$K53,0)),INDEX(Movements!$G730:$M730,1,MATCH(P$7,Movements!$G$716:$M$716,0))))
*P967*P$8,0)</f>
        <v>0</v>
      </c>
      <c r="Q256" s="198">
        <f>_xlfn.IFNA(IF(Q$7="Fixed",1,IF(AND($D88="yes",Q$7="Block"),INDEX($O730:$Q730,1,MATCH(Q$5,$I53:$K53,0)),INDEX(Movements!$G730:$M730,1,MATCH(Q$7,Movements!$G$716:$M$716,0))))
*Q967*Q$8,0)</f>
        <v>0</v>
      </c>
      <c r="R256" s="198">
        <f>_xlfn.IFNA(IF(R$7="Fixed",1,IF(AND($D88="yes",R$7="Block"),INDEX($O730:$Q730,1,MATCH(R$5,$I53:$K53,0)),INDEX(Movements!$G730:$M730,1,MATCH(R$7,Movements!$G$716:$M$716,0))))
*R967*R$8,0)</f>
        <v>0</v>
      </c>
      <c r="S256" s="198">
        <f>_xlfn.IFNA(IF(S$7="Fixed",1,IF(AND($D88="yes",S$7="Block"),INDEX($O730:$Q730,1,MATCH(S$5,$I53:$K53,0)),INDEX(Movements!$G730:$M730,1,MATCH(S$7,Movements!$G$716:$M$716,0))))
*S967*S$8,0)</f>
        <v>0</v>
      </c>
      <c r="T256" s="198">
        <f>_xlfn.IFNA(IF(T$7="Fixed",1,IF(AND($D88="yes",T$7="Block"),INDEX($O730:$Q730,1,MATCH(T$5,$I53:$K53,0)),INDEX(Movements!$G730:$M730,1,MATCH(T$7,Movements!$G$716:$M$716,0))))
*T967*T$8,0)</f>
        <v>0</v>
      </c>
      <c r="U256" s="198">
        <f>_xlfn.IFNA(IF(U$7="Fixed",1,IF(AND($D88="yes",U$7="Block"),INDEX($O730:$Q730,1,MATCH(U$5,$I53:$K53,0)),INDEX(Movements!$G730:$M730,1,MATCH(U$7,Movements!$G$716:$M$716,0))))
*U967*U$8,0)</f>
        <v>0</v>
      </c>
      <c r="V256" s="198">
        <f>_xlfn.IFNA(IF(V$7="Fixed",1,IF(AND($D88="yes",V$7="Block"),INDEX($O730:$Q730,1,MATCH(V$5,$I53:$K53,0)),INDEX(Movements!$G730:$M730,1,MATCH(V$7,Movements!$G$716:$M$716,0))))
*V967*V$8,0)</f>
        <v>0</v>
      </c>
      <c r="W256" s="198">
        <f>_xlfn.IFNA(IF(W$7="Fixed",1,IF(AND($D88="yes",W$7="Block"),INDEX($O730:$Q730,1,MATCH(W$5,$I53:$K53,0)),INDEX(Movements!$G730:$M730,1,MATCH(W$7,Movements!$G$716:$M$716,0))))
*W967*W$8,0)</f>
        <v>0</v>
      </c>
      <c r="X256" s="198">
        <f>_xlfn.IFNA(IF(X$7="Fixed",1,IF(AND($D88="yes",X$7="Block"),INDEX($O730:$Q730,1,MATCH(X$5,$I53:$K53,0)),INDEX(Movements!$G730:$M730,1,MATCH(X$7,Movements!$G$716:$M$716,0))))
*X967*X$8,0)</f>
        <v>0</v>
      </c>
      <c r="Y256" s="198">
        <f>_xlfn.IFNA(IF(Y$7="Fixed",1,IF(AND($D88="yes",Y$7="Block"),INDEX($O730:$Q730,1,MATCH(Y$5,$I53:$K53,0)),INDEX(Movements!$G730:$M730,1,MATCH(Y$7,Movements!$G$716:$M$716,0))))
*Y967*Y$8,0)</f>
        <v>0</v>
      </c>
      <c r="Z256" s="198">
        <f>_xlfn.IFNA(IF(Z$7="Fixed",1,IF(AND($D88="yes",Z$7="Block"),INDEX($O730:$Q730,1,MATCH(Z$5,$I53:$K53,0)),INDEX(Movements!$G730:$M730,1,MATCH(Z$7,Movements!$G$716:$M$716,0))))
*Z967*Z$8,0)</f>
        <v>0</v>
      </c>
      <c r="AA256" s="198">
        <f>_xlfn.IFNA(IF(AA$7="Fixed",1,IF(AND($D88="yes",AA$7="Block"),INDEX($O730:$Q730,1,MATCH(AA$5,$I53:$K53,0)),INDEX(Movements!$G730:$M730,1,MATCH(AA$7,Movements!$G$716:$M$716,0))))
*AA967*AA$8,0)</f>
        <v>0</v>
      </c>
      <c r="AB256" s="198">
        <f>_xlfn.IFNA(IF(AB$7="Fixed",1,IF(AND($D88="yes",AB$7="Block"),INDEX($O730:$Q730,1,MATCH(AB$5,$I53:$K53,0)),INDEX(Movements!$G730:$M730,1,MATCH(AB$7,Movements!$G$716:$M$716,0))))
*AB967*AB$8,0)</f>
        <v>0</v>
      </c>
      <c r="AC256" s="70"/>
      <c r="AD256" s="19"/>
      <c r="AE256" s="19"/>
      <c r="AF256" s="19"/>
      <c r="AG256" s="19"/>
    </row>
    <row r="257" spans="1:33" hidden="1" outlineLevel="3" x14ac:dyDescent="0.2">
      <c r="A257" s="19"/>
      <c r="B257" s="97">
        <v>13</v>
      </c>
      <c r="C257" s="506">
        <f t="shared" si="45"/>
        <v>0</v>
      </c>
      <c r="D257" s="505">
        <f t="shared" si="45"/>
        <v>0</v>
      </c>
      <c r="E257" s="505">
        <f t="shared" si="45"/>
        <v>0</v>
      </c>
      <c r="F257" s="58"/>
      <c r="G257" s="199">
        <f t="shared" si="46"/>
        <v>0</v>
      </c>
      <c r="H257" s="58"/>
      <c r="I257" s="198">
        <f>_xlfn.IFNA(IF(I$7="Fixed",1,IF(AND($D89="yes",I$7="Block"),INDEX($O731:$Q731,1,MATCH(I$5,$I54:$K54,0)),INDEX(Movements!$G731:$M731,1,MATCH(I$7,Movements!$G$716:$M$716,0))))
*I968*I$8,0)</f>
        <v>0</v>
      </c>
      <c r="J257" s="198">
        <f>_xlfn.IFNA(IF(J$7="Fixed",1,IF(AND($D89="yes",J$7="Block"),INDEX($O731:$Q731,1,MATCH(J$5,$I54:$K54,0)),INDEX(Movements!$G731:$M731,1,MATCH(J$7,Movements!$G$716:$M$716,0))))
*J968*J$8,0)</f>
        <v>0</v>
      </c>
      <c r="K257" s="198">
        <f>_xlfn.IFNA(IF(K$7="Fixed",1,IF(AND($D89="yes",K$7="Block"),INDEX($O731:$Q731,1,MATCH(K$5,$I54:$K54,0)),INDEX(Movements!$G731:$M731,1,MATCH(K$7,Movements!$G$716:$M$716,0))))
*K968*K$8,0)</f>
        <v>0</v>
      </c>
      <c r="L257" s="198">
        <f>_xlfn.IFNA(IF(L$7="Fixed",1,IF(AND($D89="yes",L$7="Block"),INDEX($O731:$Q731,1,MATCH(L$5,$I54:$K54,0)),INDEX(Movements!$G731:$M731,1,MATCH(L$7,Movements!$G$716:$M$716,0))))
*L968*L$8,0)</f>
        <v>0</v>
      </c>
      <c r="M257" s="198">
        <f>_xlfn.IFNA(IF(M$7="Fixed",1,IF(AND($D89="yes",M$7="Block"),INDEX($O731:$Q731,1,MATCH(M$5,$I54:$K54,0)),INDEX(Movements!$G731:$M731,1,MATCH(M$7,Movements!$G$716:$M$716,0))))
*M968*M$8,0)</f>
        <v>0</v>
      </c>
      <c r="N257" s="198">
        <f>_xlfn.IFNA(IF(N$7="Fixed",1,IF(AND($D89="yes",N$7="Block"),INDEX($O731:$Q731,1,MATCH(N$5,$I54:$K54,0)),INDEX(Movements!$G731:$M731,1,MATCH(N$7,Movements!$G$716:$M$716,0))))
*N968*N$8,0)</f>
        <v>0</v>
      </c>
      <c r="O257" s="198">
        <f>_xlfn.IFNA(IF(O$7="Fixed",1,IF(AND($D89="yes",O$7="Block"),INDEX($O731:$Q731,1,MATCH(O$5,$I54:$K54,0)),INDEX(Movements!$G731:$M731,1,MATCH(O$7,Movements!$G$716:$M$716,0))))
*O968*O$8,0)</f>
        <v>0</v>
      </c>
      <c r="P257" s="198">
        <f>_xlfn.IFNA(IF(P$7="Fixed",1,IF(AND($D89="yes",P$7="Block"),INDEX($O731:$Q731,1,MATCH(P$5,$I54:$K54,0)),INDEX(Movements!$G731:$M731,1,MATCH(P$7,Movements!$G$716:$M$716,0))))
*P968*P$8,0)</f>
        <v>0</v>
      </c>
      <c r="Q257" s="198">
        <f>_xlfn.IFNA(IF(Q$7="Fixed",1,IF(AND($D89="yes",Q$7="Block"),INDEX($O731:$Q731,1,MATCH(Q$5,$I54:$K54,0)),INDEX(Movements!$G731:$M731,1,MATCH(Q$7,Movements!$G$716:$M$716,0))))
*Q968*Q$8,0)</f>
        <v>0</v>
      </c>
      <c r="R257" s="198">
        <f>_xlfn.IFNA(IF(R$7="Fixed",1,IF(AND($D89="yes",R$7="Block"),INDEX($O731:$Q731,1,MATCH(R$5,$I54:$K54,0)),INDEX(Movements!$G731:$M731,1,MATCH(R$7,Movements!$G$716:$M$716,0))))
*R968*R$8,0)</f>
        <v>0</v>
      </c>
      <c r="S257" s="198">
        <f>_xlfn.IFNA(IF(S$7="Fixed",1,IF(AND($D89="yes",S$7="Block"),INDEX($O731:$Q731,1,MATCH(S$5,$I54:$K54,0)),INDEX(Movements!$G731:$M731,1,MATCH(S$7,Movements!$G$716:$M$716,0))))
*S968*S$8,0)</f>
        <v>0</v>
      </c>
      <c r="T257" s="198">
        <f>_xlfn.IFNA(IF(T$7="Fixed",1,IF(AND($D89="yes",T$7="Block"),INDEX($O731:$Q731,1,MATCH(T$5,$I54:$K54,0)),INDEX(Movements!$G731:$M731,1,MATCH(T$7,Movements!$G$716:$M$716,0))))
*T968*T$8,0)</f>
        <v>0</v>
      </c>
      <c r="U257" s="198">
        <f>_xlfn.IFNA(IF(U$7="Fixed",1,IF(AND($D89="yes",U$7="Block"),INDEX($O731:$Q731,1,MATCH(U$5,$I54:$K54,0)),INDEX(Movements!$G731:$M731,1,MATCH(U$7,Movements!$G$716:$M$716,0))))
*U968*U$8,0)</f>
        <v>0</v>
      </c>
      <c r="V257" s="198">
        <f>_xlfn.IFNA(IF(V$7="Fixed",1,IF(AND($D89="yes",V$7="Block"),INDEX($O731:$Q731,1,MATCH(V$5,$I54:$K54,0)),INDEX(Movements!$G731:$M731,1,MATCH(V$7,Movements!$G$716:$M$716,0))))
*V968*V$8,0)</f>
        <v>0</v>
      </c>
      <c r="W257" s="198">
        <f>_xlfn.IFNA(IF(W$7="Fixed",1,IF(AND($D89="yes",W$7="Block"),INDEX($O731:$Q731,1,MATCH(W$5,$I54:$K54,0)),INDEX(Movements!$G731:$M731,1,MATCH(W$7,Movements!$G$716:$M$716,0))))
*W968*W$8,0)</f>
        <v>0</v>
      </c>
      <c r="X257" s="198">
        <f>_xlfn.IFNA(IF(X$7="Fixed",1,IF(AND($D89="yes",X$7="Block"),INDEX($O731:$Q731,1,MATCH(X$5,$I54:$K54,0)),INDEX(Movements!$G731:$M731,1,MATCH(X$7,Movements!$G$716:$M$716,0))))
*X968*X$8,0)</f>
        <v>0</v>
      </c>
      <c r="Y257" s="198">
        <f>_xlfn.IFNA(IF(Y$7="Fixed",1,IF(AND($D89="yes",Y$7="Block"),INDEX($O731:$Q731,1,MATCH(Y$5,$I54:$K54,0)),INDEX(Movements!$G731:$M731,1,MATCH(Y$7,Movements!$G$716:$M$716,0))))
*Y968*Y$8,0)</f>
        <v>0</v>
      </c>
      <c r="Z257" s="198">
        <f>_xlfn.IFNA(IF(Z$7="Fixed",1,IF(AND($D89="yes",Z$7="Block"),INDEX($O731:$Q731,1,MATCH(Z$5,$I54:$K54,0)),INDEX(Movements!$G731:$M731,1,MATCH(Z$7,Movements!$G$716:$M$716,0))))
*Z968*Z$8,0)</f>
        <v>0</v>
      </c>
      <c r="AA257" s="198">
        <f>_xlfn.IFNA(IF(AA$7="Fixed",1,IF(AND($D89="yes",AA$7="Block"),INDEX($O731:$Q731,1,MATCH(AA$5,$I54:$K54,0)),INDEX(Movements!$G731:$M731,1,MATCH(AA$7,Movements!$G$716:$M$716,0))))
*AA968*AA$8,0)</f>
        <v>0</v>
      </c>
      <c r="AB257" s="198">
        <f>_xlfn.IFNA(IF(AB$7="Fixed",1,IF(AND($D89="yes",AB$7="Block"),INDEX($O731:$Q731,1,MATCH(AB$5,$I54:$K54,0)),INDEX(Movements!$G731:$M731,1,MATCH(AB$7,Movements!$G$716:$M$716,0))))
*AB968*AB$8,0)</f>
        <v>0</v>
      </c>
      <c r="AC257" s="70"/>
      <c r="AD257" s="19"/>
      <c r="AE257" s="19"/>
      <c r="AF257" s="19"/>
      <c r="AG257" s="19"/>
    </row>
    <row r="258" spans="1:33" hidden="1" outlineLevel="3" x14ac:dyDescent="0.2">
      <c r="A258" s="19"/>
      <c r="B258" s="97">
        <v>14</v>
      </c>
      <c r="C258" s="506">
        <f t="shared" si="45"/>
        <v>0</v>
      </c>
      <c r="D258" s="505">
        <f t="shared" si="45"/>
        <v>0</v>
      </c>
      <c r="E258" s="505">
        <f t="shared" si="45"/>
        <v>0</v>
      </c>
      <c r="F258" s="58"/>
      <c r="G258" s="199">
        <f t="shared" si="46"/>
        <v>0</v>
      </c>
      <c r="H258" s="58"/>
      <c r="I258" s="198">
        <f>_xlfn.IFNA(IF(I$7="Fixed",1,IF(AND($D90="yes",I$7="Block"),INDEX($O732:$Q732,1,MATCH(I$5,$I55:$K55,0)),INDEX(Movements!$G732:$M732,1,MATCH(I$7,Movements!$G$716:$M$716,0))))
*I969*I$8,0)</f>
        <v>0</v>
      </c>
      <c r="J258" s="198">
        <f>_xlfn.IFNA(IF(J$7="Fixed",1,IF(AND($D90="yes",J$7="Block"),INDEX($O732:$Q732,1,MATCH(J$5,$I55:$K55,0)),INDEX(Movements!$G732:$M732,1,MATCH(J$7,Movements!$G$716:$M$716,0))))
*J969*J$8,0)</f>
        <v>0</v>
      </c>
      <c r="K258" s="198">
        <f>_xlfn.IFNA(IF(K$7="Fixed",1,IF(AND($D90="yes",K$7="Block"),INDEX($O732:$Q732,1,MATCH(K$5,$I55:$K55,0)),INDEX(Movements!$G732:$M732,1,MATCH(K$7,Movements!$G$716:$M$716,0))))
*K969*K$8,0)</f>
        <v>0</v>
      </c>
      <c r="L258" s="198">
        <f>_xlfn.IFNA(IF(L$7="Fixed",1,IF(AND($D90="yes",L$7="Block"),INDEX($O732:$Q732,1,MATCH(L$5,$I55:$K55,0)),INDEX(Movements!$G732:$M732,1,MATCH(L$7,Movements!$G$716:$M$716,0))))
*L969*L$8,0)</f>
        <v>0</v>
      </c>
      <c r="M258" s="198">
        <f>_xlfn.IFNA(IF(M$7="Fixed",1,IF(AND($D90="yes",M$7="Block"),INDEX($O732:$Q732,1,MATCH(M$5,$I55:$K55,0)),INDEX(Movements!$G732:$M732,1,MATCH(M$7,Movements!$G$716:$M$716,0))))
*M969*M$8,0)</f>
        <v>0</v>
      </c>
      <c r="N258" s="198">
        <f>_xlfn.IFNA(IF(N$7="Fixed",1,IF(AND($D90="yes",N$7="Block"),INDEX($O732:$Q732,1,MATCH(N$5,$I55:$K55,0)),INDEX(Movements!$G732:$M732,1,MATCH(N$7,Movements!$G$716:$M$716,0))))
*N969*N$8,0)</f>
        <v>0</v>
      </c>
      <c r="O258" s="198">
        <f>_xlfn.IFNA(IF(O$7="Fixed",1,IF(AND($D90="yes",O$7="Block"),INDEX($O732:$Q732,1,MATCH(O$5,$I55:$K55,0)),INDEX(Movements!$G732:$M732,1,MATCH(O$7,Movements!$G$716:$M$716,0))))
*O969*O$8,0)</f>
        <v>0</v>
      </c>
      <c r="P258" s="198">
        <f>_xlfn.IFNA(IF(P$7="Fixed",1,IF(AND($D90="yes",P$7="Block"),INDEX($O732:$Q732,1,MATCH(P$5,$I55:$K55,0)),INDEX(Movements!$G732:$M732,1,MATCH(P$7,Movements!$G$716:$M$716,0))))
*P969*P$8,0)</f>
        <v>0</v>
      </c>
      <c r="Q258" s="198">
        <f>_xlfn.IFNA(IF(Q$7="Fixed",1,IF(AND($D90="yes",Q$7="Block"),INDEX($O732:$Q732,1,MATCH(Q$5,$I55:$K55,0)),INDEX(Movements!$G732:$M732,1,MATCH(Q$7,Movements!$G$716:$M$716,0))))
*Q969*Q$8,0)</f>
        <v>0</v>
      </c>
      <c r="R258" s="198">
        <f>_xlfn.IFNA(IF(R$7="Fixed",1,IF(AND($D90="yes",R$7="Block"),INDEX($O732:$Q732,1,MATCH(R$5,$I55:$K55,0)),INDEX(Movements!$G732:$M732,1,MATCH(R$7,Movements!$G$716:$M$716,0))))
*R969*R$8,0)</f>
        <v>0</v>
      </c>
      <c r="S258" s="198">
        <f>_xlfn.IFNA(IF(S$7="Fixed",1,IF(AND($D90="yes",S$7="Block"),INDEX($O732:$Q732,1,MATCH(S$5,$I55:$K55,0)),INDEX(Movements!$G732:$M732,1,MATCH(S$7,Movements!$G$716:$M$716,0))))
*S969*S$8,0)</f>
        <v>0</v>
      </c>
      <c r="T258" s="198">
        <f>_xlfn.IFNA(IF(T$7="Fixed",1,IF(AND($D90="yes",T$7="Block"),INDEX($O732:$Q732,1,MATCH(T$5,$I55:$K55,0)),INDEX(Movements!$G732:$M732,1,MATCH(T$7,Movements!$G$716:$M$716,0))))
*T969*T$8,0)</f>
        <v>0</v>
      </c>
      <c r="U258" s="198">
        <f>_xlfn.IFNA(IF(U$7="Fixed",1,IF(AND($D90="yes",U$7="Block"),INDEX($O732:$Q732,1,MATCH(U$5,$I55:$K55,0)),INDEX(Movements!$G732:$M732,1,MATCH(U$7,Movements!$G$716:$M$716,0))))
*U969*U$8,0)</f>
        <v>0</v>
      </c>
      <c r="V258" s="198">
        <f>_xlfn.IFNA(IF(V$7="Fixed",1,IF(AND($D90="yes",V$7="Block"),INDEX($O732:$Q732,1,MATCH(V$5,$I55:$K55,0)),INDEX(Movements!$G732:$M732,1,MATCH(V$7,Movements!$G$716:$M$716,0))))
*V969*V$8,0)</f>
        <v>0</v>
      </c>
      <c r="W258" s="198">
        <f>_xlfn.IFNA(IF(W$7="Fixed",1,IF(AND($D90="yes",W$7="Block"),INDEX($O732:$Q732,1,MATCH(W$5,$I55:$K55,0)),INDEX(Movements!$G732:$M732,1,MATCH(W$7,Movements!$G$716:$M$716,0))))
*W969*W$8,0)</f>
        <v>0</v>
      </c>
      <c r="X258" s="198">
        <f>_xlfn.IFNA(IF(X$7="Fixed",1,IF(AND($D90="yes",X$7="Block"),INDEX($O732:$Q732,1,MATCH(X$5,$I55:$K55,0)),INDEX(Movements!$G732:$M732,1,MATCH(X$7,Movements!$G$716:$M$716,0))))
*X969*X$8,0)</f>
        <v>0</v>
      </c>
      <c r="Y258" s="198">
        <f>_xlfn.IFNA(IF(Y$7="Fixed",1,IF(AND($D90="yes",Y$7="Block"),INDEX($O732:$Q732,1,MATCH(Y$5,$I55:$K55,0)),INDEX(Movements!$G732:$M732,1,MATCH(Y$7,Movements!$G$716:$M$716,0))))
*Y969*Y$8,0)</f>
        <v>0</v>
      </c>
      <c r="Z258" s="198">
        <f>_xlfn.IFNA(IF(Z$7="Fixed",1,IF(AND($D90="yes",Z$7="Block"),INDEX($O732:$Q732,1,MATCH(Z$5,$I55:$K55,0)),INDEX(Movements!$G732:$M732,1,MATCH(Z$7,Movements!$G$716:$M$716,0))))
*Z969*Z$8,0)</f>
        <v>0</v>
      </c>
      <c r="AA258" s="198">
        <f>_xlfn.IFNA(IF(AA$7="Fixed",1,IF(AND($D90="yes",AA$7="Block"),INDEX($O732:$Q732,1,MATCH(AA$5,$I55:$K55,0)),INDEX(Movements!$G732:$M732,1,MATCH(AA$7,Movements!$G$716:$M$716,0))))
*AA969*AA$8,0)</f>
        <v>0</v>
      </c>
      <c r="AB258" s="198">
        <f>_xlfn.IFNA(IF(AB$7="Fixed",1,IF(AND($D90="yes",AB$7="Block"),INDEX($O732:$Q732,1,MATCH(AB$5,$I55:$K55,0)),INDEX(Movements!$G732:$M732,1,MATCH(AB$7,Movements!$G$716:$M$716,0))))
*AB969*AB$8,0)</f>
        <v>0</v>
      </c>
      <c r="AC258" s="70"/>
      <c r="AD258" s="19"/>
      <c r="AE258" s="19"/>
      <c r="AF258" s="19"/>
      <c r="AG258" s="19"/>
    </row>
    <row r="259" spans="1:33" hidden="1" outlineLevel="3" x14ac:dyDescent="0.2">
      <c r="A259" s="19"/>
      <c r="B259" s="97">
        <v>15</v>
      </c>
      <c r="C259" s="506">
        <f t="shared" si="45"/>
        <v>0</v>
      </c>
      <c r="D259" s="505">
        <f t="shared" si="45"/>
        <v>0</v>
      </c>
      <c r="E259" s="505">
        <f t="shared" si="45"/>
        <v>0</v>
      </c>
      <c r="F259" s="58"/>
      <c r="G259" s="199">
        <f t="shared" si="46"/>
        <v>0</v>
      </c>
      <c r="H259" s="58"/>
      <c r="I259" s="198">
        <f>_xlfn.IFNA(IF(I$7="Fixed",1,IF(AND($D91="yes",I$7="Block"),INDEX($O733:$Q733,1,MATCH(I$5,$I56:$K56,0)),INDEX(Movements!$G733:$M733,1,MATCH(I$7,Movements!$G$716:$M$716,0))))
*I970*I$8,0)</f>
        <v>0</v>
      </c>
      <c r="J259" s="198">
        <f>_xlfn.IFNA(IF(J$7="Fixed",1,IF(AND($D91="yes",J$7="Block"),INDEX($O733:$Q733,1,MATCH(J$5,$I56:$K56,0)),INDEX(Movements!$G733:$M733,1,MATCH(J$7,Movements!$G$716:$M$716,0))))
*J970*J$8,0)</f>
        <v>0</v>
      </c>
      <c r="K259" s="198">
        <f>_xlfn.IFNA(IF(K$7="Fixed",1,IF(AND($D91="yes",K$7="Block"),INDEX($O733:$Q733,1,MATCH(K$5,$I56:$K56,0)),INDEX(Movements!$G733:$M733,1,MATCH(K$7,Movements!$G$716:$M$716,0))))
*K970*K$8,0)</f>
        <v>0</v>
      </c>
      <c r="L259" s="198">
        <f>_xlfn.IFNA(IF(L$7="Fixed",1,IF(AND($D91="yes",L$7="Block"),INDEX($O733:$Q733,1,MATCH(L$5,$I56:$K56,0)),INDEX(Movements!$G733:$M733,1,MATCH(L$7,Movements!$G$716:$M$716,0))))
*L970*L$8,0)</f>
        <v>0</v>
      </c>
      <c r="M259" s="198">
        <f>_xlfn.IFNA(IF(M$7="Fixed",1,IF(AND($D91="yes",M$7="Block"),INDEX($O733:$Q733,1,MATCH(M$5,$I56:$K56,0)),INDEX(Movements!$G733:$M733,1,MATCH(M$7,Movements!$G$716:$M$716,0))))
*M970*M$8,0)</f>
        <v>0</v>
      </c>
      <c r="N259" s="198">
        <f>_xlfn.IFNA(IF(N$7="Fixed",1,IF(AND($D91="yes",N$7="Block"),INDEX($O733:$Q733,1,MATCH(N$5,$I56:$K56,0)),INDEX(Movements!$G733:$M733,1,MATCH(N$7,Movements!$G$716:$M$716,0))))
*N970*N$8,0)</f>
        <v>0</v>
      </c>
      <c r="O259" s="198">
        <f>_xlfn.IFNA(IF(O$7="Fixed",1,IF(AND($D91="yes",O$7="Block"),INDEX($O733:$Q733,1,MATCH(O$5,$I56:$K56,0)),INDEX(Movements!$G733:$M733,1,MATCH(O$7,Movements!$G$716:$M$716,0))))
*O970*O$8,0)</f>
        <v>0</v>
      </c>
      <c r="P259" s="198">
        <f>_xlfn.IFNA(IF(P$7="Fixed",1,IF(AND($D91="yes",P$7="Block"),INDEX($O733:$Q733,1,MATCH(P$5,$I56:$K56,0)),INDEX(Movements!$G733:$M733,1,MATCH(P$7,Movements!$G$716:$M$716,0))))
*P970*P$8,0)</f>
        <v>0</v>
      </c>
      <c r="Q259" s="198">
        <f>_xlfn.IFNA(IF(Q$7="Fixed",1,IF(AND($D91="yes",Q$7="Block"),INDEX($O733:$Q733,1,MATCH(Q$5,$I56:$K56,0)),INDEX(Movements!$G733:$M733,1,MATCH(Q$7,Movements!$G$716:$M$716,0))))
*Q970*Q$8,0)</f>
        <v>0</v>
      </c>
      <c r="R259" s="198">
        <f>_xlfn.IFNA(IF(R$7="Fixed",1,IF(AND($D91="yes",R$7="Block"),INDEX($O733:$Q733,1,MATCH(R$5,$I56:$K56,0)),INDEX(Movements!$G733:$M733,1,MATCH(R$7,Movements!$G$716:$M$716,0))))
*R970*R$8,0)</f>
        <v>0</v>
      </c>
      <c r="S259" s="198">
        <f>_xlfn.IFNA(IF(S$7="Fixed",1,IF(AND($D91="yes",S$7="Block"),INDEX($O733:$Q733,1,MATCH(S$5,$I56:$K56,0)),INDEX(Movements!$G733:$M733,1,MATCH(S$7,Movements!$G$716:$M$716,0))))
*S970*S$8,0)</f>
        <v>0</v>
      </c>
      <c r="T259" s="198">
        <f>_xlfn.IFNA(IF(T$7="Fixed",1,IF(AND($D91="yes",T$7="Block"),INDEX($O733:$Q733,1,MATCH(T$5,$I56:$K56,0)),INDEX(Movements!$G733:$M733,1,MATCH(T$7,Movements!$G$716:$M$716,0))))
*T970*T$8,0)</f>
        <v>0</v>
      </c>
      <c r="U259" s="198">
        <f>_xlfn.IFNA(IF(U$7="Fixed",1,IF(AND($D91="yes",U$7="Block"),INDEX($O733:$Q733,1,MATCH(U$5,$I56:$K56,0)),INDEX(Movements!$G733:$M733,1,MATCH(U$7,Movements!$G$716:$M$716,0))))
*U970*U$8,0)</f>
        <v>0</v>
      </c>
      <c r="V259" s="198">
        <f>_xlfn.IFNA(IF(V$7="Fixed",1,IF(AND($D91="yes",V$7="Block"),INDEX($O733:$Q733,1,MATCH(V$5,$I56:$K56,0)),INDEX(Movements!$G733:$M733,1,MATCH(V$7,Movements!$G$716:$M$716,0))))
*V970*V$8,0)</f>
        <v>0</v>
      </c>
      <c r="W259" s="198">
        <f>_xlfn.IFNA(IF(W$7="Fixed",1,IF(AND($D91="yes",W$7="Block"),INDEX($O733:$Q733,1,MATCH(W$5,$I56:$K56,0)),INDEX(Movements!$G733:$M733,1,MATCH(W$7,Movements!$G$716:$M$716,0))))
*W970*W$8,0)</f>
        <v>0</v>
      </c>
      <c r="X259" s="198">
        <f>_xlfn.IFNA(IF(X$7="Fixed",1,IF(AND($D91="yes",X$7="Block"),INDEX($O733:$Q733,1,MATCH(X$5,$I56:$K56,0)),INDEX(Movements!$G733:$M733,1,MATCH(X$7,Movements!$G$716:$M$716,0))))
*X970*X$8,0)</f>
        <v>0</v>
      </c>
      <c r="Y259" s="198">
        <f>_xlfn.IFNA(IF(Y$7="Fixed",1,IF(AND($D91="yes",Y$7="Block"),INDEX($O733:$Q733,1,MATCH(Y$5,$I56:$K56,0)),INDEX(Movements!$G733:$M733,1,MATCH(Y$7,Movements!$G$716:$M$716,0))))
*Y970*Y$8,0)</f>
        <v>0</v>
      </c>
      <c r="Z259" s="198">
        <f>_xlfn.IFNA(IF(Z$7="Fixed",1,IF(AND($D91="yes",Z$7="Block"),INDEX($O733:$Q733,1,MATCH(Z$5,$I56:$K56,0)),INDEX(Movements!$G733:$M733,1,MATCH(Z$7,Movements!$G$716:$M$716,0))))
*Z970*Z$8,0)</f>
        <v>0</v>
      </c>
      <c r="AA259" s="198">
        <f>_xlfn.IFNA(IF(AA$7="Fixed",1,IF(AND($D91="yes",AA$7="Block"),INDEX($O733:$Q733,1,MATCH(AA$5,$I56:$K56,0)),INDEX(Movements!$G733:$M733,1,MATCH(AA$7,Movements!$G$716:$M$716,0))))
*AA970*AA$8,0)</f>
        <v>0</v>
      </c>
      <c r="AB259" s="198">
        <f>_xlfn.IFNA(IF(AB$7="Fixed",1,IF(AND($D91="yes",AB$7="Block"),INDEX($O733:$Q733,1,MATCH(AB$5,$I56:$K56,0)),INDEX(Movements!$G733:$M733,1,MATCH(AB$7,Movements!$G$716:$M$716,0))))
*AB970*AB$8,0)</f>
        <v>0</v>
      </c>
      <c r="AC259" s="70"/>
      <c r="AD259" s="19"/>
      <c r="AE259" s="19"/>
      <c r="AF259" s="19"/>
      <c r="AG259" s="19"/>
    </row>
    <row r="260" spans="1:33" hidden="1" outlineLevel="3" x14ac:dyDescent="0.2">
      <c r="A260" s="19"/>
      <c r="B260" s="98">
        <v>16</v>
      </c>
      <c r="C260" s="506">
        <f t="shared" si="45"/>
        <v>0</v>
      </c>
      <c r="D260" s="505">
        <f t="shared" si="45"/>
        <v>0</v>
      </c>
      <c r="E260" s="505">
        <f t="shared" si="45"/>
        <v>0</v>
      </c>
      <c r="F260" s="58"/>
      <c r="G260" s="199">
        <f t="shared" si="46"/>
        <v>0</v>
      </c>
      <c r="H260" s="58"/>
      <c r="I260" s="198">
        <f>_xlfn.IFNA(IF(I$7="Fixed",1,IF(AND($D92="yes",I$7="Block"),INDEX($O734:$Q734,1,MATCH(I$5,$I57:$K57,0)),INDEX(Movements!$G734:$M734,1,MATCH(I$7,Movements!$G$716:$M$716,0))))
*I971*I$8,0)</f>
        <v>0</v>
      </c>
      <c r="J260" s="198">
        <f>_xlfn.IFNA(IF(J$7="Fixed",1,IF(AND($D92="yes",J$7="Block"),INDEX($O734:$Q734,1,MATCH(J$5,$I57:$K57,0)),INDEX(Movements!$G734:$M734,1,MATCH(J$7,Movements!$G$716:$M$716,0))))
*J971*J$8,0)</f>
        <v>0</v>
      </c>
      <c r="K260" s="198">
        <f>_xlfn.IFNA(IF(K$7="Fixed",1,IF(AND($D92="yes",K$7="Block"),INDEX($O734:$Q734,1,MATCH(K$5,$I57:$K57,0)),INDEX(Movements!$G734:$M734,1,MATCH(K$7,Movements!$G$716:$M$716,0))))
*K971*K$8,0)</f>
        <v>0</v>
      </c>
      <c r="L260" s="198">
        <f>_xlfn.IFNA(IF(L$7="Fixed",1,IF(AND($D92="yes",L$7="Block"),INDEX($O734:$Q734,1,MATCH(L$5,$I57:$K57,0)),INDEX(Movements!$G734:$M734,1,MATCH(L$7,Movements!$G$716:$M$716,0))))
*L971*L$8,0)</f>
        <v>0</v>
      </c>
      <c r="M260" s="198">
        <f>_xlfn.IFNA(IF(M$7="Fixed",1,IF(AND($D92="yes",M$7="Block"),INDEX($O734:$Q734,1,MATCH(M$5,$I57:$K57,0)),INDEX(Movements!$G734:$M734,1,MATCH(M$7,Movements!$G$716:$M$716,0))))
*M971*M$8,0)</f>
        <v>0</v>
      </c>
      <c r="N260" s="198">
        <f>_xlfn.IFNA(IF(N$7="Fixed",1,IF(AND($D92="yes",N$7="Block"),INDEX($O734:$Q734,1,MATCH(N$5,$I57:$K57,0)),INDEX(Movements!$G734:$M734,1,MATCH(N$7,Movements!$G$716:$M$716,0))))
*N971*N$8,0)</f>
        <v>0</v>
      </c>
      <c r="O260" s="198">
        <f>_xlfn.IFNA(IF(O$7="Fixed",1,IF(AND($D92="yes",O$7="Block"),INDEX($O734:$Q734,1,MATCH(O$5,$I57:$K57,0)),INDEX(Movements!$G734:$M734,1,MATCH(O$7,Movements!$G$716:$M$716,0))))
*O971*O$8,0)</f>
        <v>0</v>
      </c>
      <c r="P260" s="198">
        <f>_xlfn.IFNA(IF(P$7="Fixed",1,IF(AND($D92="yes",P$7="Block"),INDEX($O734:$Q734,1,MATCH(P$5,$I57:$K57,0)),INDEX(Movements!$G734:$M734,1,MATCH(P$7,Movements!$G$716:$M$716,0))))
*P971*P$8,0)</f>
        <v>0</v>
      </c>
      <c r="Q260" s="198">
        <f>_xlfn.IFNA(IF(Q$7="Fixed",1,IF(AND($D92="yes",Q$7="Block"),INDEX($O734:$Q734,1,MATCH(Q$5,$I57:$K57,0)),INDEX(Movements!$G734:$M734,1,MATCH(Q$7,Movements!$G$716:$M$716,0))))
*Q971*Q$8,0)</f>
        <v>0</v>
      </c>
      <c r="R260" s="198">
        <f>_xlfn.IFNA(IF(R$7="Fixed",1,IF(AND($D92="yes",R$7="Block"),INDEX($O734:$Q734,1,MATCH(R$5,$I57:$K57,0)),INDEX(Movements!$G734:$M734,1,MATCH(R$7,Movements!$G$716:$M$716,0))))
*R971*R$8,0)</f>
        <v>0</v>
      </c>
      <c r="S260" s="198">
        <f>_xlfn.IFNA(IF(S$7="Fixed",1,IF(AND($D92="yes",S$7="Block"),INDEX($O734:$Q734,1,MATCH(S$5,$I57:$K57,0)),INDEX(Movements!$G734:$M734,1,MATCH(S$7,Movements!$G$716:$M$716,0))))
*S971*S$8,0)</f>
        <v>0</v>
      </c>
      <c r="T260" s="198">
        <f>_xlfn.IFNA(IF(T$7="Fixed",1,IF(AND($D92="yes",T$7="Block"),INDEX($O734:$Q734,1,MATCH(T$5,$I57:$K57,0)),INDEX(Movements!$G734:$M734,1,MATCH(T$7,Movements!$G$716:$M$716,0))))
*T971*T$8,0)</f>
        <v>0</v>
      </c>
      <c r="U260" s="198">
        <f>_xlfn.IFNA(IF(U$7="Fixed",1,IF(AND($D92="yes",U$7="Block"),INDEX($O734:$Q734,1,MATCH(U$5,$I57:$K57,0)),INDEX(Movements!$G734:$M734,1,MATCH(U$7,Movements!$G$716:$M$716,0))))
*U971*U$8,0)</f>
        <v>0</v>
      </c>
      <c r="V260" s="198">
        <f>_xlfn.IFNA(IF(V$7="Fixed",1,IF(AND($D92="yes",V$7="Block"),INDEX($O734:$Q734,1,MATCH(V$5,$I57:$K57,0)),INDEX(Movements!$G734:$M734,1,MATCH(V$7,Movements!$G$716:$M$716,0))))
*V971*V$8,0)</f>
        <v>0</v>
      </c>
      <c r="W260" s="198">
        <f>_xlfn.IFNA(IF(W$7="Fixed",1,IF(AND($D92="yes",W$7="Block"),INDEX($O734:$Q734,1,MATCH(W$5,$I57:$K57,0)),INDEX(Movements!$G734:$M734,1,MATCH(W$7,Movements!$G$716:$M$716,0))))
*W971*W$8,0)</f>
        <v>0</v>
      </c>
      <c r="X260" s="198">
        <f>_xlfn.IFNA(IF(X$7="Fixed",1,IF(AND($D92="yes",X$7="Block"),INDEX($O734:$Q734,1,MATCH(X$5,$I57:$K57,0)),INDEX(Movements!$G734:$M734,1,MATCH(X$7,Movements!$G$716:$M$716,0))))
*X971*X$8,0)</f>
        <v>0</v>
      </c>
      <c r="Y260" s="198">
        <f>_xlfn.IFNA(IF(Y$7="Fixed",1,IF(AND($D92="yes",Y$7="Block"),INDEX($O734:$Q734,1,MATCH(Y$5,$I57:$K57,0)),INDEX(Movements!$G734:$M734,1,MATCH(Y$7,Movements!$G$716:$M$716,0))))
*Y971*Y$8,0)</f>
        <v>0</v>
      </c>
      <c r="Z260" s="198">
        <f>_xlfn.IFNA(IF(Z$7="Fixed",1,IF(AND($D92="yes",Z$7="Block"),INDEX($O734:$Q734,1,MATCH(Z$5,$I57:$K57,0)),INDEX(Movements!$G734:$M734,1,MATCH(Z$7,Movements!$G$716:$M$716,0))))
*Z971*Z$8,0)</f>
        <v>0</v>
      </c>
      <c r="AA260" s="198">
        <f>_xlfn.IFNA(IF(AA$7="Fixed",1,IF(AND($D92="yes",AA$7="Block"),INDEX($O734:$Q734,1,MATCH(AA$5,$I57:$K57,0)),INDEX(Movements!$G734:$M734,1,MATCH(AA$7,Movements!$G$716:$M$716,0))))
*AA971*AA$8,0)</f>
        <v>0</v>
      </c>
      <c r="AB260" s="198">
        <f>_xlfn.IFNA(IF(AB$7="Fixed",1,IF(AND($D92="yes",AB$7="Block"),INDEX($O734:$Q734,1,MATCH(AB$5,$I57:$K57,0)),INDEX(Movements!$G734:$M734,1,MATCH(AB$7,Movements!$G$716:$M$716,0))))
*AB971*AB$8,0)</f>
        <v>0</v>
      </c>
      <c r="AC260" s="70"/>
      <c r="AD260" s="19"/>
      <c r="AE260" s="19"/>
      <c r="AF260" s="19"/>
      <c r="AG260" s="19"/>
    </row>
    <row r="261" spans="1:33" hidden="1" outlineLevel="3" x14ac:dyDescent="0.2">
      <c r="A261" s="19"/>
      <c r="B261" s="97">
        <v>17</v>
      </c>
      <c r="C261" s="506">
        <f t="shared" si="45"/>
        <v>0</v>
      </c>
      <c r="D261" s="505">
        <f t="shared" si="45"/>
        <v>0</v>
      </c>
      <c r="E261" s="505">
        <f t="shared" si="45"/>
        <v>0</v>
      </c>
      <c r="F261" s="58"/>
      <c r="G261" s="199">
        <f t="shared" si="46"/>
        <v>0</v>
      </c>
      <c r="H261" s="58"/>
      <c r="I261" s="198">
        <f>_xlfn.IFNA(IF(I$7="Fixed",1,IF(AND($D93="yes",I$7="Block"),INDEX($O735:$Q735,1,MATCH(I$5,$I58:$K58,0)),INDEX(Movements!$G735:$M735,1,MATCH(I$7,Movements!$G$716:$M$716,0))))
*I972*I$8,0)</f>
        <v>0</v>
      </c>
      <c r="J261" s="198">
        <f>_xlfn.IFNA(IF(J$7="Fixed",1,IF(AND($D93="yes",J$7="Block"),INDEX($O735:$Q735,1,MATCH(J$5,$I58:$K58,0)),INDEX(Movements!$G735:$M735,1,MATCH(J$7,Movements!$G$716:$M$716,0))))
*J972*J$8,0)</f>
        <v>0</v>
      </c>
      <c r="K261" s="198">
        <f>_xlfn.IFNA(IF(K$7="Fixed",1,IF(AND($D93="yes",K$7="Block"),INDEX($O735:$Q735,1,MATCH(K$5,$I58:$K58,0)),INDEX(Movements!$G735:$M735,1,MATCH(K$7,Movements!$G$716:$M$716,0))))
*K972*K$8,0)</f>
        <v>0</v>
      </c>
      <c r="L261" s="198">
        <f>_xlfn.IFNA(IF(L$7="Fixed",1,IF(AND($D93="yes",L$7="Block"),INDEX($O735:$Q735,1,MATCH(L$5,$I58:$K58,0)),INDEX(Movements!$G735:$M735,1,MATCH(L$7,Movements!$G$716:$M$716,0))))
*L972*L$8,0)</f>
        <v>0</v>
      </c>
      <c r="M261" s="198">
        <f>_xlfn.IFNA(IF(M$7="Fixed",1,IF(AND($D93="yes",M$7="Block"),INDEX($O735:$Q735,1,MATCH(M$5,$I58:$K58,0)),INDEX(Movements!$G735:$M735,1,MATCH(M$7,Movements!$G$716:$M$716,0))))
*M972*M$8,0)</f>
        <v>0</v>
      </c>
      <c r="N261" s="198">
        <f>_xlfn.IFNA(IF(N$7="Fixed",1,IF(AND($D93="yes",N$7="Block"),INDEX($O735:$Q735,1,MATCH(N$5,$I58:$K58,0)),INDEX(Movements!$G735:$M735,1,MATCH(N$7,Movements!$G$716:$M$716,0))))
*N972*N$8,0)</f>
        <v>0</v>
      </c>
      <c r="O261" s="198">
        <f>_xlfn.IFNA(IF(O$7="Fixed",1,IF(AND($D93="yes",O$7="Block"),INDEX($O735:$Q735,1,MATCH(O$5,$I58:$K58,0)),INDEX(Movements!$G735:$M735,1,MATCH(O$7,Movements!$G$716:$M$716,0))))
*O972*O$8,0)</f>
        <v>0</v>
      </c>
      <c r="P261" s="198">
        <f>_xlfn.IFNA(IF(P$7="Fixed",1,IF(AND($D93="yes",P$7="Block"),INDEX($O735:$Q735,1,MATCH(P$5,$I58:$K58,0)),INDEX(Movements!$G735:$M735,1,MATCH(P$7,Movements!$G$716:$M$716,0))))
*P972*P$8,0)</f>
        <v>0</v>
      </c>
      <c r="Q261" s="198">
        <f>_xlfn.IFNA(IF(Q$7="Fixed",1,IF(AND($D93="yes",Q$7="Block"),INDEX($O735:$Q735,1,MATCH(Q$5,$I58:$K58,0)),INDEX(Movements!$G735:$M735,1,MATCH(Q$7,Movements!$G$716:$M$716,0))))
*Q972*Q$8,0)</f>
        <v>0</v>
      </c>
      <c r="R261" s="198">
        <f>_xlfn.IFNA(IF(R$7="Fixed",1,IF(AND($D93="yes",R$7="Block"),INDEX($O735:$Q735,1,MATCH(R$5,$I58:$K58,0)),INDEX(Movements!$G735:$M735,1,MATCH(R$7,Movements!$G$716:$M$716,0))))
*R972*R$8,0)</f>
        <v>0</v>
      </c>
      <c r="S261" s="198">
        <f>_xlfn.IFNA(IF(S$7="Fixed",1,IF(AND($D93="yes",S$7="Block"),INDEX($O735:$Q735,1,MATCH(S$5,$I58:$K58,0)),INDEX(Movements!$G735:$M735,1,MATCH(S$7,Movements!$G$716:$M$716,0))))
*S972*S$8,0)</f>
        <v>0</v>
      </c>
      <c r="T261" s="198">
        <f>_xlfn.IFNA(IF(T$7="Fixed",1,IF(AND($D93="yes",T$7="Block"),INDEX($O735:$Q735,1,MATCH(T$5,$I58:$K58,0)),INDEX(Movements!$G735:$M735,1,MATCH(T$7,Movements!$G$716:$M$716,0))))
*T972*T$8,0)</f>
        <v>0</v>
      </c>
      <c r="U261" s="198">
        <f>_xlfn.IFNA(IF(U$7="Fixed",1,IF(AND($D93="yes",U$7="Block"),INDEX($O735:$Q735,1,MATCH(U$5,$I58:$K58,0)),INDEX(Movements!$G735:$M735,1,MATCH(U$7,Movements!$G$716:$M$716,0))))
*U972*U$8,0)</f>
        <v>0</v>
      </c>
      <c r="V261" s="198">
        <f>_xlfn.IFNA(IF(V$7="Fixed",1,IF(AND($D93="yes",V$7="Block"),INDEX($O735:$Q735,1,MATCH(V$5,$I58:$K58,0)),INDEX(Movements!$G735:$M735,1,MATCH(V$7,Movements!$G$716:$M$716,0))))
*V972*V$8,0)</f>
        <v>0</v>
      </c>
      <c r="W261" s="198">
        <f>_xlfn.IFNA(IF(W$7="Fixed",1,IF(AND($D93="yes",W$7="Block"),INDEX($O735:$Q735,1,MATCH(W$5,$I58:$K58,0)),INDEX(Movements!$G735:$M735,1,MATCH(W$7,Movements!$G$716:$M$716,0))))
*W972*W$8,0)</f>
        <v>0</v>
      </c>
      <c r="X261" s="198">
        <f>_xlfn.IFNA(IF(X$7="Fixed",1,IF(AND($D93="yes",X$7="Block"),INDEX($O735:$Q735,1,MATCH(X$5,$I58:$K58,0)),INDEX(Movements!$G735:$M735,1,MATCH(X$7,Movements!$G$716:$M$716,0))))
*X972*X$8,0)</f>
        <v>0</v>
      </c>
      <c r="Y261" s="198">
        <f>_xlfn.IFNA(IF(Y$7="Fixed",1,IF(AND($D93="yes",Y$7="Block"),INDEX($O735:$Q735,1,MATCH(Y$5,$I58:$K58,0)),INDEX(Movements!$G735:$M735,1,MATCH(Y$7,Movements!$G$716:$M$716,0))))
*Y972*Y$8,0)</f>
        <v>0</v>
      </c>
      <c r="Z261" s="198">
        <f>_xlfn.IFNA(IF(Z$7="Fixed",1,IF(AND($D93="yes",Z$7="Block"),INDEX($O735:$Q735,1,MATCH(Z$5,$I58:$K58,0)),INDEX(Movements!$G735:$M735,1,MATCH(Z$7,Movements!$G$716:$M$716,0))))
*Z972*Z$8,0)</f>
        <v>0</v>
      </c>
      <c r="AA261" s="198">
        <f>_xlfn.IFNA(IF(AA$7="Fixed",1,IF(AND($D93="yes",AA$7="Block"),INDEX($O735:$Q735,1,MATCH(AA$5,$I58:$K58,0)),INDEX(Movements!$G735:$M735,1,MATCH(AA$7,Movements!$G$716:$M$716,0))))
*AA972*AA$8,0)</f>
        <v>0</v>
      </c>
      <c r="AB261" s="198">
        <f>_xlfn.IFNA(IF(AB$7="Fixed",1,IF(AND($D93="yes",AB$7="Block"),INDEX($O735:$Q735,1,MATCH(AB$5,$I58:$K58,0)),INDEX(Movements!$G735:$M735,1,MATCH(AB$7,Movements!$G$716:$M$716,0))))
*AB972*AB$8,0)</f>
        <v>0</v>
      </c>
      <c r="AC261" s="70"/>
      <c r="AD261" s="19"/>
      <c r="AE261" s="19"/>
      <c r="AF261" s="19"/>
      <c r="AG261" s="19"/>
    </row>
    <row r="262" spans="1:33" hidden="1" outlineLevel="3" x14ac:dyDescent="0.2">
      <c r="A262" s="19"/>
      <c r="B262" s="97">
        <v>18</v>
      </c>
      <c r="C262" s="506">
        <f t="shared" si="45"/>
        <v>0</v>
      </c>
      <c r="D262" s="505">
        <f t="shared" si="45"/>
        <v>0</v>
      </c>
      <c r="E262" s="505">
        <f t="shared" si="45"/>
        <v>0</v>
      </c>
      <c r="F262" s="58"/>
      <c r="G262" s="199">
        <f t="shared" si="46"/>
        <v>0</v>
      </c>
      <c r="H262" s="58"/>
      <c r="I262" s="198">
        <f>_xlfn.IFNA(IF(I$7="Fixed",1,IF(AND($D94="yes",I$7="Block"),INDEX($O736:$Q736,1,MATCH(I$5,$I59:$K59,0)),INDEX(Movements!$G736:$M736,1,MATCH(I$7,Movements!$G$716:$M$716,0))))
*I973*I$8,0)</f>
        <v>0</v>
      </c>
      <c r="J262" s="198">
        <f>_xlfn.IFNA(IF(J$7="Fixed",1,IF(AND($D94="yes",J$7="Block"),INDEX($O736:$Q736,1,MATCH(J$5,$I59:$K59,0)),INDEX(Movements!$G736:$M736,1,MATCH(J$7,Movements!$G$716:$M$716,0))))
*J973*J$8,0)</f>
        <v>0</v>
      </c>
      <c r="K262" s="198">
        <f>_xlfn.IFNA(IF(K$7="Fixed",1,IF(AND($D94="yes",K$7="Block"),INDEX($O736:$Q736,1,MATCH(K$5,$I59:$K59,0)),INDEX(Movements!$G736:$M736,1,MATCH(K$7,Movements!$G$716:$M$716,0))))
*K973*K$8,0)</f>
        <v>0</v>
      </c>
      <c r="L262" s="198">
        <f>_xlfn.IFNA(IF(L$7="Fixed",1,IF(AND($D94="yes",L$7="Block"),INDEX($O736:$Q736,1,MATCH(L$5,$I59:$K59,0)),INDEX(Movements!$G736:$M736,1,MATCH(L$7,Movements!$G$716:$M$716,0))))
*L973*L$8,0)</f>
        <v>0</v>
      </c>
      <c r="M262" s="198">
        <f>_xlfn.IFNA(IF(M$7="Fixed",1,IF(AND($D94="yes",M$7="Block"),INDEX($O736:$Q736,1,MATCH(M$5,$I59:$K59,0)),INDEX(Movements!$G736:$M736,1,MATCH(M$7,Movements!$G$716:$M$716,0))))
*M973*M$8,0)</f>
        <v>0</v>
      </c>
      <c r="N262" s="198">
        <f>_xlfn.IFNA(IF(N$7="Fixed",1,IF(AND($D94="yes",N$7="Block"),INDEX($O736:$Q736,1,MATCH(N$5,$I59:$K59,0)),INDEX(Movements!$G736:$M736,1,MATCH(N$7,Movements!$G$716:$M$716,0))))
*N973*N$8,0)</f>
        <v>0</v>
      </c>
      <c r="O262" s="198">
        <f>_xlfn.IFNA(IF(O$7="Fixed",1,IF(AND($D94="yes",O$7="Block"),INDEX($O736:$Q736,1,MATCH(O$5,$I59:$K59,0)),INDEX(Movements!$G736:$M736,1,MATCH(O$7,Movements!$G$716:$M$716,0))))
*O973*O$8,0)</f>
        <v>0</v>
      </c>
      <c r="P262" s="198">
        <f>_xlfn.IFNA(IF(P$7="Fixed",1,IF(AND($D94="yes",P$7="Block"),INDEX($O736:$Q736,1,MATCH(P$5,$I59:$K59,0)),INDEX(Movements!$G736:$M736,1,MATCH(P$7,Movements!$G$716:$M$716,0))))
*P973*P$8,0)</f>
        <v>0</v>
      </c>
      <c r="Q262" s="198">
        <f>_xlfn.IFNA(IF(Q$7="Fixed",1,IF(AND($D94="yes",Q$7="Block"),INDEX($O736:$Q736,1,MATCH(Q$5,$I59:$K59,0)),INDEX(Movements!$G736:$M736,1,MATCH(Q$7,Movements!$G$716:$M$716,0))))
*Q973*Q$8,0)</f>
        <v>0</v>
      </c>
      <c r="R262" s="198">
        <f>_xlfn.IFNA(IF(R$7="Fixed",1,IF(AND($D94="yes",R$7="Block"),INDEX($O736:$Q736,1,MATCH(R$5,$I59:$K59,0)),INDEX(Movements!$G736:$M736,1,MATCH(R$7,Movements!$G$716:$M$716,0))))
*R973*R$8,0)</f>
        <v>0</v>
      </c>
      <c r="S262" s="198">
        <f>_xlfn.IFNA(IF(S$7="Fixed",1,IF(AND($D94="yes",S$7="Block"),INDEX($O736:$Q736,1,MATCH(S$5,$I59:$K59,0)),INDEX(Movements!$G736:$M736,1,MATCH(S$7,Movements!$G$716:$M$716,0))))
*S973*S$8,0)</f>
        <v>0</v>
      </c>
      <c r="T262" s="198">
        <f>_xlfn.IFNA(IF(T$7="Fixed",1,IF(AND($D94="yes",T$7="Block"),INDEX($O736:$Q736,1,MATCH(T$5,$I59:$K59,0)),INDEX(Movements!$G736:$M736,1,MATCH(T$7,Movements!$G$716:$M$716,0))))
*T973*T$8,0)</f>
        <v>0</v>
      </c>
      <c r="U262" s="198">
        <f>_xlfn.IFNA(IF(U$7="Fixed",1,IF(AND($D94="yes",U$7="Block"),INDEX($O736:$Q736,1,MATCH(U$5,$I59:$K59,0)),INDEX(Movements!$G736:$M736,1,MATCH(U$7,Movements!$G$716:$M$716,0))))
*U973*U$8,0)</f>
        <v>0</v>
      </c>
      <c r="V262" s="198">
        <f>_xlfn.IFNA(IF(V$7="Fixed",1,IF(AND($D94="yes",V$7="Block"),INDEX($O736:$Q736,1,MATCH(V$5,$I59:$K59,0)),INDEX(Movements!$G736:$M736,1,MATCH(V$7,Movements!$G$716:$M$716,0))))
*V973*V$8,0)</f>
        <v>0</v>
      </c>
      <c r="W262" s="198">
        <f>_xlfn.IFNA(IF(W$7="Fixed",1,IF(AND($D94="yes",W$7="Block"),INDEX($O736:$Q736,1,MATCH(W$5,$I59:$K59,0)),INDEX(Movements!$G736:$M736,1,MATCH(W$7,Movements!$G$716:$M$716,0))))
*W973*W$8,0)</f>
        <v>0</v>
      </c>
      <c r="X262" s="198">
        <f>_xlfn.IFNA(IF(X$7="Fixed",1,IF(AND($D94="yes",X$7="Block"),INDEX($O736:$Q736,1,MATCH(X$5,$I59:$K59,0)),INDEX(Movements!$G736:$M736,1,MATCH(X$7,Movements!$G$716:$M$716,0))))
*X973*X$8,0)</f>
        <v>0</v>
      </c>
      <c r="Y262" s="198">
        <f>_xlfn.IFNA(IF(Y$7="Fixed",1,IF(AND($D94="yes",Y$7="Block"),INDEX($O736:$Q736,1,MATCH(Y$5,$I59:$K59,0)),INDEX(Movements!$G736:$M736,1,MATCH(Y$7,Movements!$G$716:$M$716,0))))
*Y973*Y$8,0)</f>
        <v>0</v>
      </c>
      <c r="Z262" s="198">
        <f>_xlfn.IFNA(IF(Z$7="Fixed",1,IF(AND($D94="yes",Z$7="Block"),INDEX($O736:$Q736,1,MATCH(Z$5,$I59:$K59,0)),INDEX(Movements!$G736:$M736,1,MATCH(Z$7,Movements!$G$716:$M$716,0))))
*Z973*Z$8,0)</f>
        <v>0</v>
      </c>
      <c r="AA262" s="198">
        <f>_xlfn.IFNA(IF(AA$7="Fixed",1,IF(AND($D94="yes",AA$7="Block"),INDEX($O736:$Q736,1,MATCH(AA$5,$I59:$K59,0)),INDEX(Movements!$G736:$M736,1,MATCH(AA$7,Movements!$G$716:$M$716,0))))
*AA973*AA$8,0)</f>
        <v>0</v>
      </c>
      <c r="AB262" s="198">
        <f>_xlfn.IFNA(IF(AB$7="Fixed",1,IF(AND($D94="yes",AB$7="Block"),INDEX($O736:$Q736,1,MATCH(AB$5,$I59:$K59,0)),INDEX(Movements!$G736:$M736,1,MATCH(AB$7,Movements!$G$716:$M$716,0))))
*AB973*AB$8,0)</f>
        <v>0</v>
      </c>
      <c r="AC262" s="70"/>
      <c r="AD262" s="19"/>
      <c r="AE262" s="19"/>
      <c r="AF262" s="19"/>
      <c r="AG262" s="19"/>
    </row>
    <row r="263" spans="1:33" hidden="1" outlineLevel="3" x14ac:dyDescent="0.2">
      <c r="A263" s="19"/>
      <c r="B263" s="97">
        <v>19</v>
      </c>
      <c r="C263" s="506">
        <f t="shared" si="45"/>
        <v>0</v>
      </c>
      <c r="D263" s="505">
        <f t="shared" si="45"/>
        <v>0</v>
      </c>
      <c r="E263" s="505">
        <f t="shared" si="45"/>
        <v>0</v>
      </c>
      <c r="F263" s="58"/>
      <c r="G263" s="199">
        <f t="shared" si="46"/>
        <v>0</v>
      </c>
      <c r="H263" s="58"/>
      <c r="I263" s="198">
        <f>_xlfn.IFNA(IF(I$7="Fixed",1,IF(AND($D95="yes",I$7="Block"),INDEX($O737:$Q737,1,MATCH(I$5,$I60:$K60,0)),INDEX(Movements!$G737:$M737,1,MATCH(I$7,Movements!$G$716:$M$716,0))))
*I974*I$8,0)</f>
        <v>0</v>
      </c>
      <c r="J263" s="198">
        <f>_xlfn.IFNA(IF(J$7="Fixed",1,IF(AND($D95="yes",J$7="Block"),INDEX($O737:$Q737,1,MATCH(J$5,$I60:$K60,0)),INDEX(Movements!$G737:$M737,1,MATCH(J$7,Movements!$G$716:$M$716,0))))
*J974*J$8,0)</f>
        <v>0</v>
      </c>
      <c r="K263" s="198">
        <f>_xlfn.IFNA(IF(K$7="Fixed",1,IF(AND($D95="yes",K$7="Block"),INDEX($O737:$Q737,1,MATCH(K$5,$I60:$K60,0)),INDEX(Movements!$G737:$M737,1,MATCH(K$7,Movements!$G$716:$M$716,0))))
*K974*K$8,0)</f>
        <v>0</v>
      </c>
      <c r="L263" s="198">
        <f>_xlfn.IFNA(IF(L$7="Fixed",1,IF(AND($D95="yes",L$7="Block"),INDEX($O737:$Q737,1,MATCH(L$5,$I60:$K60,0)),INDEX(Movements!$G737:$M737,1,MATCH(L$7,Movements!$G$716:$M$716,0))))
*L974*L$8,0)</f>
        <v>0</v>
      </c>
      <c r="M263" s="198">
        <f>_xlfn.IFNA(IF(M$7="Fixed",1,IF(AND($D95="yes",M$7="Block"),INDEX($O737:$Q737,1,MATCH(M$5,$I60:$K60,0)),INDEX(Movements!$G737:$M737,1,MATCH(M$7,Movements!$G$716:$M$716,0))))
*M974*M$8,0)</f>
        <v>0</v>
      </c>
      <c r="N263" s="198">
        <f>_xlfn.IFNA(IF(N$7="Fixed",1,IF(AND($D95="yes",N$7="Block"),INDEX($O737:$Q737,1,MATCH(N$5,$I60:$K60,0)),INDEX(Movements!$G737:$M737,1,MATCH(N$7,Movements!$G$716:$M$716,0))))
*N974*N$8,0)</f>
        <v>0</v>
      </c>
      <c r="O263" s="198">
        <f>_xlfn.IFNA(IF(O$7="Fixed",1,IF(AND($D95="yes",O$7="Block"),INDEX($O737:$Q737,1,MATCH(O$5,$I60:$K60,0)),INDEX(Movements!$G737:$M737,1,MATCH(O$7,Movements!$G$716:$M$716,0))))
*O974*O$8,0)</f>
        <v>0</v>
      </c>
      <c r="P263" s="198">
        <f>_xlfn.IFNA(IF(P$7="Fixed",1,IF(AND($D95="yes",P$7="Block"),INDEX($O737:$Q737,1,MATCH(P$5,$I60:$K60,0)),INDEX(Movements!$G737:$M737,1,MATCH(P$7,Movements!$G$716:$M$716,0))))
*P974*P$8,0)</f>
        <v>0</v>
      </c>
      <c r="Q263" s="198">
        <f>_xlfn.IFNA(IF(Q$7="Fixed",1,IF(AND($D95="yes",Q$7="Block"),INDEX($O737:$Q737,1,MATCH(Q$5,$I60:$K60,0)),INDEX(Movements!$G737:$M737,1,MATCH(Q$7,Movements!$G$716:$M$716,0))))
*Q974*Q$8,0)</f>
        <v>0</v>
      </c>
      <c r="R263" s="198">
        <f>_xlfn.IFNA(IF(R$7="Fixed",1,IF(AND($D95="yes",R$7="Block"),INDEX($O737:$Q737,1,MATCH(R$5,$I60:$K60,0)),INDEX(Movements!$G737:$M737,1,MATCH(R$7,Movements!$G$716:$M$716,0))))
*R974*R$8,0)</f>
        <v>0</v>
      </c>
      <c r="S263" s="198">
        <f>_xlfn.IFNA(IF(S$7="Fixed",1,IF(AND($D95="yes",S$7="Block"),INDEX($O737:$Q737,1,MATCH(S$5,$I60:$K60,0)),INDEX(Movements!$G737:$M737,1,MATCH(S$7,Movements!$G$716:$M$716,0))))
*S974*S$8,0)</f>
        <v>0</v>
      </c>
      <c r="T263" s="198">
        <f>_xlfn.IFNA(IF(T$7="Fixed",1,IF(AND($D95="yes",T$7="Block"),INDEX($O737:$Q737,1,MATCH(T$5,$I60:$K60,0)),INDEX(Movements!$G737:$M737,1,MATCH(T$7,Movements!$G$716:$M$716,0))))
*T974*T$8,0)</f>
        <v>0</v>
      </c>
      <c r="U263" s="198">
        <f>_xlfn.IFNA(IF(U$7="Fixed",1,IF(AND($D95="yes",U$7="Block"),INDEX($O737:$Q737,1,MATCH(U$5,$I60:$K60,0)),INDEX(Movements!$G737:$M737,1,MATCH(U$7,Movements!$G$716:$M$716,0))))
*U974*U$8,0)</f>
        <v>0</v>
      </c>
      <c r="V263" s="198">
        <f>_xlfn.IFNA(IF(V$7="Fixed",1,IF(AND($D95="yes",V$7="Block"),INDEX($O737:$Q737,1,MATCH(V$5,$I60:$K60,0)),INDEX(Movements!$G737:$M737,1,MATCH(V$7,Movements!$G$716:$M$716,0))))
*V974*V$8,0)</f>
        <v>0</v>
      </c>
      <c r="W263" s="198">
        <f>_xlfn.IFNA(IF(W$7="Fixed",1,IF(AND($D95="yes",W$7="Block"),INDEX($O737:$Q737,1,MATCH(W$5,$I60:$K60,0)),INDEX(Movements!$G737:$M737,1,MATCH(W$7,Movements!$G$716:$M$716,0))))
*W974*W$8,0)</f>
        <v>0</v>
      </c>
      <c r="X263" s="198">
        <f>_xlfn.IFNA(IF(X$7="Fixed",1,IF(AND($D95="yes",X$7="Block"),INDEX($O737:$Q737,1,MATCH(X$5,$I60:$K60,0)),INDEX(Movements!$G737:$M737,1,MATCH(X$7,Movements!$G$716:$M$716,0))))
*X974*X$8,0)</f>
        <v>0</v>
      </c>
      <c r="Y263" s="198">
        <f>_xlfn.IFNA(IF(Y$7="Fixed",1,IF(AND($D95="yes",Y$7="Block"),INDEX($O737:$Q737,1,MATCH(Y$5,$I60:$K60,0)),INDEX(Movements!$G737:$M737,1,MATCH(Y$7,Movements!$G$716:$M$716,0))))
*Y974*Y$8,0)</f>
        <v>0</v>
      </c>
      <c r="Z263" s="198">
        <f>_xlfn.IFNA(IF(Z$7="Fixed",1,IF(AND($D95="yes",Z$7="Block"),INDEX($O737:$Q737,1,MATCH(Z$5,$I60:$K60,0)),INDEX(Movements!$G737:$M737,1,MATCH(Z$7,Movements!$G$716:$M$716,0))))
*Z974*Z$8,0)</f>
        <v>0</v>
      </c>
      <c r="AA263" s="198">
        <f>_xlfn.IFNA(IF(AA$7="Fixed",1,IF(AND($D95="yes",AA$7="Block"),INDEX($O737:$Q737,1,MATCH(AA$5,$I60:$K60,0)),INDEX(Movements!$G737:$M737,1,MATCH(AA$7,Movements!$G$716:$M$716,0))))
*AA974*AA$8,0)</f>
        <v>0</v>
      </c>
      <c r="AB263" s="198">
        <f>_xlfn.IFNA(IF(AB$7="Fixed",1,IF(AND($D95="yes",AB$7="Block"),INDEX($O737:$Q737,1,MATCH(AB$5,$I60:$K60,0)),INDEX(Movements!$G737:$M737,1,MATCH(AB$7,Movements!$G$716:$M$716,0))))
*AB974*AB$8,0)</f>
        <v>0</v>
      </c>
      <c r="AC263" s="70"/>
      <c r="AD263" s="19"/>
      <c r="AE263" s="19"/>
      <c r="AF263" s="19"/>
      <c r="AG263" s="19"/>
    </row>
    <row r="264" spans="1:33" hidden="1" outlineLevel="3" x14ac:dyDescent="0.2">
      <c r="A264" s="19"/>
      <c r="B264" s="97">
        <v>20</v>
      </c>
      <c r="C264" s="506">
        <f t="shared" si="45"/>
        <v>0</v>
      </c>
      <c r="D264" s="505">
        <f t="shared" si="45"/>
        <v>0</v>
      </c>
      <c r="E264" s="505">
        <f t="shared" si="45"/>
        <v>0</v>
      </c>
      <c r="F264" s="58"/>
      <c r="G264" s="199">
        <f t="shared" si="46"/>
        <v>0</v>
      </c>
      <c r="H264" s="58"/>
      <c r="I264" s="198">
        <f>_xlfn.IFNA(IF(I$7="Fixed",1,IF(AND($D96="yes",I$7="Block"),INDEX($O738:$Q738,1,MATCH(I$5,$I61:$K61,0)),INDEX(Movements!$G738:$M738,1,MATCH(I$7,Movements!$G$716:$M$716,0))))
*I975*I$8,0)</f>
        <v>0</v>
      </c>
      <c r="J264" s="198">
        <f>_xlfn.IFNA(IF(J$7="Fixed",1,IF(AND($D96="yes",J$7="Block"),INDEX($O738:$Q738,1,MATCH(J$5,$I61:$K61,0)),INDEX(Movements!$G738:$M738,1,MATCH(J$7,Movements!$G$716:$M$716,0))))
*J975*J$8,0)</f>
        <v>0</v>
      </c>
      <c r="K264" s="198">
        <f>_xlfn.IFNA(IF(K$7="Fixed",1,IF(AND($D96="yes",K$7="Block"),INDEX($O738:$Q738,1,MATCH(K$5,$I61:$K61,0)),INDEX(Movements!$G738:$M738,1,MATCH(K$7,Movements!$G$716:$M$716,0))))
*K975*K$8,0)</f>
        <v>0</v>
      </c>
      <c r="L264" s="198">
        <f>_xlfn.IFNA(IF(L$7="Fixed",1,IF(AND($D96="yes",L$7="Block"),INDEX($O738:$Q738,1,MATCH(L$5,$I61:$K61,0)),INDEX(Movements!$G738:$M738,1,MATCH(L$7,Movements!$G$716:$M$716,0))))
*L975*L$8,0)</f>
        <v>0</v>
      </c>
      <c r="M264" s="198">
        <f>_xlfn.IFNA(IF(M$7="Fixed",1,IF(AND($D96="yes",M$7="Block"),INDEX($O738:$Q738,1,MATCH(M$5,$I61:$K61,0)),INDEX(Movements!$G738:$M738,1,MATCH(M$7,Movements!$G$716:$M$716,0))))
*M975*M$8,0)</f>
        <v>0</v>
      </c>
      <c r="N264" s="198">
        <f>_xlfn.IFNA(IF(N$7="Fixed",1,IF(AND($D96="yes",N$7="Block"),INDEX($O738:$Q738,1,MATCH(N$5,$I61:$K61,0)),INDEX(Movements!$G738:$M738,1,MATCH(N$7,Movements!$G$716:$M$716,0))))
*N975*N$8,0)</f>
        <v>0</v>
      </c>
      <c r="O264" s="198">
        <f>_xlfn.IFNA(IF(O$7="Fixed",1,IF(AND($D96="yes",O$7="Block"),INDEX($O738:$Q738,1,MATCH(O$5,$I61:$K61,0)),INDEX(Movements!$G738:$M738,1,MATCH(O$7,Movements!$G$716:$M$716,0))))
*O975*O$8,0)</f>
        <v>0</v>
      </c>
      <c r="P264" s="198">
        <f>_xlfn.IFNA(IF(P$7="Fixed",1,IF(AND($D96="yes",P$7="Block"),INDEX($O738:$Q738,1,MATCH(P$5,$I61:$K61,0)),INDEX(Movements!$G738:$M738,1,MATCH(P$7,Movements!$G$716:$M$716,0))))
*P975*P$8,0)</f>
        <v>0</v>
      </c>
      <c r="Q264" s="198">
        <f>_xlfn.IFNA(IF(Q$7="Fixed",1,IF(AND($D96="yes",Q$7="Block"),INDEX($O738:$Q738,1,MATCH(Q$5,$I61:$K61,0)),INDEX(Movements!$G738:$M738,1,MATCH(Q$7,Movements!$G$716:$M$716,0))))
*Q975*Q$8,0)</f>
        <v>0</v>
      </c>
      <c r="R264" s="198">
        <f>_xlfn.IFNA(IF(R$7="Fixed",1,IF(AND($D96="yes",R$7="Block"),INDEX($O738:$Q738,1,MATCH(R$5,$I61:$K61,0)),INDEX(Movements!$G738:$M738,1,MATCH(R$7,Movements!$G$716:$M$716,0))))
*R975*R$8,0)</f>
        <v>0</v>
      </c>
      <c r="S264" s="198">
        <f>_xlfn.IFNA(IF(S$7="Fixed",1,IF(AND($D96="yes",S$7="Block"),INDEX($O738:$Q738,1,MATCH(S$5,$I61:$K61,0)),INDEX(Movements!$G738:$M738,1,MATCH(S$7,Movements!$G$716:$M$716,0))))
*S975*S$8,0)</f>
        <v>0</v>
      </c>
      <c r="T264" s="198">
        <f>_xlfn.IFNA(IF(T$7="Fixed",1,IF(AND($D96="yes",T$7="Block"),INDEX($O738:$Q738,1,MATCH(T$5,$I61:$K61,0)),INDEX(Movements!$G738:$M738,1,MATCH(T$7,Movements!$G$716:$M$716,0))))
*T975*T$8,0)</f>
        <v>0</v>
      </c>
      <c r="U264" s="198">
        <f>_xlfn.IFNA(IF(U$7="Fixed",1,IF(AND($D96="yes",U$7="Block"),INDEX($O738:$Q738,1,MATCH(U$5,$I61:$K61,0)),INDEX(Movements!$G738:$M738,1,MATCH(U$7,Movements!$G$716:$M$716,0))))
*U975*U$8,0)</f>
        <v>0</v>
      </c>
      <c r="V264" s="198">
        <f>_xlfn.IFNA(IF(V$7="Fixed",1,IF(AND($D96="yes",V$7="Block"),INDEX($O738:$Q738,1,MATCH(V$5,$I61:$K61,0)),INDEX(Movements!$G738:$M738,1,MATCH(V$7,Movements!$G$716:$M$716,0))))
*V975*V$8,0)</f>
        <v>0</v>
      </c>
      <c r="W264" s="198">
        <f>_xlfn.IFNA(IF(W$7="Fixed",1,IF(AND($D96="yes",W$7="Block"),INDEX($O738:$Q738,1,MATCH(W$5,$I61:$K61,0)),INDEX(Movements!$G738:$M738,1,MATCH(W$7,Movements!$G$716:$M$716,0))))
*W975*W$8,0)</f>
        <v>0</v>
      </c>
      <c r="X264" s="198">
        <f>_xlfn.IFNA(IF(X$7="Fixed",1,IF(AND($D96="yes",X$7="Block"),INDEX($O738:$Q738,1,MATCH(X$5,$I61:$K61,0)),INDEX(Movements!$G738:$M738,1,MATCH(X$7,Movements!$G$716:$M$716,0))))
*X975*X$8,0)</f>
        <v>0</v>
      </c>
      <c r="Y264" s="198">
        <f>_xlfn.IFNA(IF(Y$7="Fixed",1,IF(AND($D96="yes",Y$7="Block"),INDEX($O738:$Q738,1,MATCH(Y$5,$I61:$K61,0)),INDEX(Movements!$G738:$M738,1,MATCH(Y$7,Movements!$G$716:$M$716,0))))
*Y975*Y$8,0)</f>
        <v>0</v>
      </c>
      <c r="Z264" s="198">
        <f>_xlfn.IFNA(IF(Z$7="Fixed",1,IF(AND($D96="yes",Z$7="Block"),INDEX($O738:$Q738,1,MATCH(Z$5,$I61:$K61,0)),INDEX(Movements!$G738:$M738,1,MATCH(Z$7,Movements!$G$716:$M$716,0))))
*Z975*Z$8,0)</f>
        <v>0</v>
      </c>
      <c r="AA264" s="198">
        <f>_xlfn.IFNA(IF(AA$7="Fixed",1,IF(AND($D96="yes",AA$7="Block"),INDEX($O738:$Q738,1,MATCH(AA$5,$I61:$K61,0)),INDEX(Movements!$G738:$M738,1,MATCH(AA$7,Movements!$G$716:$M$716,0))))
*AA975*AA$8,0)</f>
        <v>0</v>
      </c>
      <c r="AB264" s="198">
        <f>_xlfn.IFNA(IF(AB$7="Fixed",1,IF(AND($D96="yes",AB$7="Block"),INDEX($O738:$Q738,1,MATCH(AB$5,$I61:$K61,0)),INDEX(Movements!$G738:$M738,1,MATCH(AB$7,Movements!$G$716:$M$716,0))))
*AB975*AB$8,0)</f>
        <v>0</v>
      </c>
      <c r="AC264" s="70"/>
      <c r="AD264" s="19"/>
      <c r="AE264" s="19"/>
      <c r="AF264" s="19"/>
      <c r="AG264" s="19"/>
    </row>
    <row r="265" spans="1:33" hidden="1" outlineLevel="3" x14ac:dyDescent="0.2">
      <c r="A265" s="19"/>
      <c r="B265" s="97">
        <v>21</v>
      </c>
      <c r="C265" s="506">
        <f t="shared" si="45"/>
        <v>0</v>
      </c>
      <c r="D265" s="505">
        <f t="shared" si="45"/>
        <v>0</v>
      </c>
      <c r="E265" s="505">
        <f t="shared" si="45"/>
        <v>0</v>
      </c>
      <c r="F265" s="58"/>
      <c r="G265" s="199">
        <f t="shared" si="46"/>
        <v>0</v>
      </c>
      <c r="H265" s="58"/>
      <c r="I265" s="198">
        <f>_xlfn.IFNA(IF(I$7="Fixed",1,IF(AND($D97="yes",I$7="Block"),INDEX($O739:$Q739,1,MATCH(I$5,$I62:$K62,0)),INDEX(Movements!$G739:$M739,1,MATCH(I$7,Movements!$G$716:$M$716,0))))
*I976*I$8,0)</f>
        <v>0</v>
      </c>
      <c r="J265" s="198">
        <f>_xlfn.IFNA(IF(J$7="Fixed",1,IF(AND($D97="yes",J$7="Block"),INDEX($O739:$Q739,1,MATCH(J$5,$I62:$K62,0)),INDEX(Movements!$G739:$M739,1,MATCH(J$7,Movements!$G$716:$M$716,0))))
*J976*J$8,0)</f>
        <v>0</v>
      </c>
      <c r="K265" s="198">
        <f>_xlfn.IFNA(IF(K$7="Fixed",1,IF(AND($D97="yes",K$7="Block"),INDEX($O739:$Q739,1,MATCH(K$5,$I62:$K62,0)),INDEX(Movements!$G739:$M739,1,MATCH(K$7,Movements!$G$716:$M$716,0))))
*K976*K$8,0)</f>
        <v>0</v>
      </c>
      <c r="L265" s="198">
        <f>_xlfn.IFNA(IF(L$7="Fixed",1,IF(AND($D97="yes",L$7="Block"),INDEX($O739:$Q739,1,MATCH(L$5,$I62:$K62,0)),INDEX(Movements!$G739:$M739,1,MATCH(L$7,Movements!$G$716:$M$716,0))))
*L976*L$8,0)</f>
        <v>0</v>
      </c>
      <c r="M265" s="198">
        <f>_xlfn.IFNA(IF(M$7="Fixed",1,IF(AND($D97="yes",M$7="Block"),INDEX($O739:$Q739,1,MATCH(M$5,$I62:$K62,0)),INDEX(Movements!$G739:$M739,1,MATCH(M$7,Movements!$G$716:$M$716,0))))
*M976*M$8,0)</f>
        <v>0</v>
      </c>
      <c r="N265" s="198">
        <f>_xlfn.IFNA(IF(N$7="Fixed",1,IF(AND($D97="yes",N$7="Block"),INDEX($O739:$Q739,1,MATCH(N$5,$I62:$K62,0)),INDEX(Movements!$G739:$M739,1,MATCH(N$7,Movements!$G$716:$M$716,0))))
*N976*N$8,0)</f>
        <v>0</v>
      </c>
      <c r="O265" s="198">
        <f>_xlfn.IFNA(IF(O$7="Fixed",1,IF(AND($D97="yes",O$7="Block"),INDEX($O739:$Q739,1,MATCH(O$5,$I62:$K62,0)),INDEX(Movements!$G739:$M739,1,MATCH(O$7,Movements!$G$716:$M$716,0))))
*O976*O$8,0)</f>
        <v>0</v>
      </c>
      <c r="P265" s="198">
        <f>_xlfn.IFNA(IF(P$7="Fixed",1,IF(AND($D97="yes",P$7="Block"),INDEX($O739:$Q739,1,MATCH(P$5,$I62:$K62,0)),INDEX(Movements!$G739:$M739,1,MATCH(P$7,Movements!$G$716:$M$716,0))))
*P976*P$8,0)</f>
        <v>0</v>
      </c>
      <c r="Q265" s="198">
        <f>_xlfn.IFNA(IF(Q$7="Fixed",1,IF(AND($D97="yes",Q$7="Block"),INDEX($O739:$Q739,1,MATCH(Q$5,$I62:$K62,0)),INDEX(Movements!$G739:$M739,1,MATCH(Q$7,Movements!$G$716:$M$716,0))))
*Q976*Q$8,0)</f>
        <v>0</v>
      </c>
      <c r="R265" s="198">
        <f>_xlfn.IFNA(IF(R$7="Fixed",1,IF(AND($D97="yes",R$7="Block"),INDEX($O739:$Q739,1,MATCH(R$5,$I62:$K62,0)),INDEX(Movements!$G739:$M739,1,MATCH(R$7,Movements!$G$716:$M$716,0))))
*R976*R$8,0)</f>
        <v>0</v>
      </c>
      <c r="S265" s="198">
        <f>_xlfn.IFNA(IF(S$7="Fixed",1,IF(AND($D97="yes",S$7="Block"),INDEX($O739:$Q739,1,MATCH(S$5,$I62:$K62,0)),INDEX(Movements!$G739:$M739,1,MATCH(S$7,Movements!$G$716:$M$716,0))))
*S976*S$8,0)</f>
        <v>0</v>
      </c>
      <c r="T265" s="198">
        <f>_xlfn.IFNA(IF(T$7="Fixed",1,IF(AND($D97="yes",T$7="Block"),INDEX($O739:$Q739,1,MATCH(T$5,$I62:$K62,0)),INDEX(Movements!$G739:$M739,1,MATCH(T$7,Movements!$G$716:$M$716,0))))
*T976*T$8,0)</f>
        <v>0</v>
      </c>
      <c r="U265" s="198">
        <f>_xlfn.IFNA(IF(U$7="Fixed",1,IF(AND($D97="yes",U$7="Block"),INDEX($O739:$Q739,1,MATCH(U$5,$I62:$K62,0)),INDEX(Movements!$G739:$M739,1,MATCH(U$7,Movements!$G$716:$M$716,0))))
*U976*U$8,0)</f>
        <v>0</v>
      </c>
      <c r="V265" s="198">
        <f>_xlfn.IFNA(IF(V$7="Fixed",1,IF(AND($D97="yes",V$7="Block"),INDEX($O739:$Q739,1,MATCH(V$5,$I62:$K62,0)),INDEX(Movements!$G739:$M739,1,MATCH(V$7,Movements!$G$716:$M$716,0))))
*V976*V$8,0)</f>
        <v>0</v>
      </c>
      <c r="W265" s="198">
        <f>_xlfn.IFNA(IF(W$7="Fixed",1,IF(AND($D97="yes",W$7="Block"),INDEX($O739:$Q739,1,MATCH(W$5,$I62:$K62,0)),INDEX(Movements!$G739:$M739,1,MATCH(W$7,Movements!$G$716:$M$716,0))))
*W976*W$8,0)</f>
        <v>0</v>
      </c>
      <c r="X265" s="198">
        <f>_xlfn.IFNA(IF(X$7="Fixed",1,IF(AND($D97="yes",X$7="Block"),INDEX($O739:$Q739,1,MATCH(X$5,$I62:$K62,0)),INDEX(Movements!$G739:$M739,1,MATCH(X$7,Movements!$G$716:$M$716,0))))
*X976*X$8,0)</f>
        <v>0</v>
      </c>
      <c r="Y265" s="198">
        <f>_xlfn.IFNA(IF(Y$7="Fixed",1,IF(AND($D97="yes",Y$7="Block"),INDEX($O739:$Q739,1,MATCH(Y$5,$I62:$K62,0)),INDEX(Movements!$G739:$M739,1,MATCH(Y$7,Movements!$G$716:$M$716,0))))
*Y976*Y$8,0)</f>
        <v>0</v>
      </c>
      <c r="Z265" s="198">
        <f>_xlfn.IFNA(IF(Z$7="Fixed",1,IF(AND($D97="yes",Z$7="Block"),INDEX($O739:$Q739,1,MATCH(Z$5,$I62:$K62,0)),INDEX(Movements!$G739:$M739,1,MATCH(Z$7,Movements!$G$716:$M$716,0))))
*Z976*Z$8,0)</f>
        <v>0</v>
      </c>
      <c r="AA265" s="198">
        <f>_xlfn.IFNA(IF(AA$7="Fixed",1,IF(AND($D97="yes",AA$7="Block"),INDEX($O739:$Q739,1,MATCH(AA$5,$I62:$K62,0)),INDEX(Movements!$G739:$M739,1,MATCH(AA$7,Movements!$G$716:$M$716,0))))
*AA976*AA$8,0)</f>
        <v>0</v>
      </c>
      <c r="AB265" s="198">
        <f>_xlfn.IFNA(IF(AB$7="Fixed",1,IF(AND($D97="yes",AB$7="Block"),INDEX($O739:$Q739,1,MATCH(AB$5,$I62:$K62,0)),INDEX(Movements!$G739:$M739,1,MATCH(AB$7,Movements!$G$716:$M$716,0))))
*AB976*AB$8,0)</f>
        <v>0</v>
      </c>
      <c r="AC265" s="70"/>
      <c r="AD265" s="19"/>
      <c r="AE265" s="19"/>
      <c r="AF265" s="19"/>
      <c r="AG265" s="19"/>
    </row>
    <row r="266" spans="1:33" hidden="1" outlineLevel="3" x14ac:dyDescent="0.2">
      <c r="A266" s="19"/>
      <c r="B266" s="97">
        <v>22</v>
      </c>
      <c r="C266" s="506">
        <f t="shared" si="45"/>
        <v>0</v>
      </c>
      <c r="D266" s="505">
        <f t="shared" si="45"/>
        <v>0</v>
      </c>
      <c r="E266" s="505">
        <f t="shared" si="45"/>
        <v>0</v>
      </c>
      <c r="F266" s="58"/>
      <c r="G266" s="199">
        <f t="shared" si="46"/>
        <v>0</v>
      </c>
      <c r="H266" s="58"/>
      <c r="I266" s="198">
        <f>_xlfn.IFNA(IF(I$7="Fixed",1,IF(AND($D98="yes",I$7="Block"),INDEX($O740:$Q740,1,MATCH(I$5,$I63:$K63,0)),INDEX(Movements!$G740:$M740,1,MATCH(I$7,Movements!$G$716:$M$716,0))))
*I977*I$8,0)</f>
        <v>0</v>
      </c>
      <c r="J266" s="198">
        <f>_xlfn.IFNA(IF(J$7="Fixed",1,IF(AND($D98="yes",J$7="Block"),INDEX($O740:$Q740,1,MATCH(J$5,$I63:$K63,0)),INDEX(Movements!$G740:$M740,1,MATCH(J$7,Movements!$G$716:$M$716,0))))
*J977*J$8,0)</f>
        <v>0</v>
      </c>
      <c r="K266" s="198">
        <f>_xlfn.IFNA(IF(K$7="Fixed",1,IF(AND($D98="yes",K$7="Block"),INDEX($O740:$Q740,1,MATCH(K$5,$I63:$K63,0)),INDEX(Movements!$G740:$M740,1,MATCH(K$7,Movements!$G$716:$M$716,0))))
*K977*K$8,0)</f>
        <v>0</v>
      </c>
      <c r="L266" s="198">
        <f>_xlfn.IFNA(IF(L$7="Fixed",1,IF(AND($D98="yes",L$7="Block"),INDEX($O740:$Q740,1,MATCH(L$5,$I63:$K63,0)),INDEX(Movements!$G740:$M740,1,MATCH(L$7,Movements!$G$716:$M$716,0))))
*L977*L$8,0)</f>
        <v>0</v>
      </c>
      <c r="M266" s="198">
        <f>_xlfn.IFNA(IF(M$7="Fixed",1,IF(AND($D98="yes",M$7="Block"),INDEX($O740:$Q740,1,MATCH(M$5,$I63:$K63,0)),INDEX(Movements!$G740:$M740,1,MATCH(M$7,Movements!$G$716:$M$716,0))))
*M977*M$8,0)</f>
        <v>0</v>
      </c>
      <c r="N266" s="198">
        <f>_xlfn.IFNA(IF(N$7="Fixed",1,IF(AND($D98="yes",N$7="Block"),INDEX($O740:$Q740,1,MATCH(N$5,$I63:$K63,0)),INDEX(Movements!$G740:$M740,1,MATCH(N$7,Movements!$G$716:$M$716,0))))
*N977*N$8,0)</f>
        <v>0</v>
      </c>
      <c r="O266" s="198">
        <f>_xlfn.IFNA(IF(O$7="Fixed",1,IF(AND($D98="yes",O$7="Block"),INDEX($O740:$Q740,1,MATCH(O$5,$I63:$K63,0)),INDEX(Movements!$G740:$M740,1,MATCH(O$7,Movements!$G$716:$M$716,0))))
*O977*O$8,0)</f>
        <v>0</v>
      </c>
      <c r="P266" s="198">
        <f>_xlfn.IFNA(IF(P$7="Fixed",1,IF(AND($D98="yes",P$7="Block"),INDEX($O740:$Q740,1,MATCH(P$5,$I63:$K63,0)),INDEX(Movements!$G740:$M740,1,MATCH(P$7,Movements!$G$716:$M$716,0))))
*P977*P$8,0)</f>
        <v>0</v>
      </c>
      <c r="Q266" s="198">
        <f>_xlfn.IFNA(IF(Q$7="Fixed",1,IF(AND($D98="yes",Q$7="Block"),INDEX($O740:$Q740,1,MATCH(Q$5,$I63:$K63,0)),INDEX(Movements!$G740:$M740,1,MATCH(Q$7,Movements!$G$716:$M$716,0))))
*Q977*Q$8,0)</f>
        <v>0</v>
      </c>
      <c r="R266" s="198">
        <f>_xlfn.IFNA(IF(R$7="Fixed",1,IF(AND($D98="yes",R$7="Block"),INDEX($O740:$Q740,1,MATCH(R$5,$I63:$K63,0)),INDEX(Movements!$G740:$M740,1,MATCH(R$7,Movements!$G$716:$M$716,0))))
*R977*R$8,0)</f>
        <v>0</v>
      </c>
      <c r="S266" s="198">
        <f>_xlfn.IFNA(IF(S$7="Fixed",1,IF(AND($D98="yes",S$7="Block"),INDEX($O740:$Q740,1,MATCH(S$5,$I63:$K63,0)),INDEX(Movements!$G740:$M740,1,MATCH(S$7,Movements!$G$716:$M$716,0))))
*S977*S$8,0)</f>
        <v>0</v>
      </c>
      <c r="T266" s="198">
        <f>_xlfn.IFNA(IF(T$7="Fixed",1,IF(AND($D98="yes",T$7="Block"),INDEX($O740:$Q740,1,MATCH(T$5,$I63:$K63,0)),INDEX(Movements!$G740:$M740,1,MATCH(T$7,Movements!$G$716:$M$716,0))))
*T977*T$8,0)</f>
        <v>0</v>
      </c>
      <c r="U266" s="198">
        <f>_xlfn.IFNA(IF(U$7="Fixed",1,IF(AND($D98="yes",U$7="Block"),INDEX($O740:$Q740,1,MATCH(U$5,$I63:$K63,0)),INDEX(Movements!$G740:$M740,1,MATCH(U$7,Movements!$G$716:$M$716,0))))
*U977*U$8,0)</f>
        <v>0</v>
      </c>
      <c r="V266" s="198">
        <f>_xlfn.IFNA(IF(V$7="Fixed",1,IF(AND($D98="yes",V$7="Block"),INDEX($O740:$Q740,1,MATCH(V$5,$I63:$K63,0)),INDEX(Movements!$G740:$M740,1,MATCH(V$7,Movements!$G$716:$M$716,0))))
*V977*V$8,0)</f>
        <v>0</v>
      </c>
      <c r="W266" s="198">
        <f>_xlfn.IFNA(IF(W$7="Fixed",1,IF(AND($D98="yes",W$7="Block"),INDEX($O740:$Q740,1,MATCH(W$5,$I63:$K63,0)),INDEX(Movements!$G740:$M740,1,MATCH(W$7,Movements!$G$716:$M$716,0))))
*W977*W$8,0)</f>
        <v>0</v>
      </c>
      <c r="X266" s="198">
        <f>_xlfn.IFNA(IF(X$7="Fixed",1,IF(AND($D98="yes",X$7="Block"),INDEX($O740:$Q740,1,MATCH(X$5,$I63:$K63,0)),INDEX(Movements!$G740:$M740,1,MATCH(X$7,Movements!$G$716:$M$716,0))))
*X977*X$8,0)</f>
        <v>0</v>
      </c>
      <c r="Y266" s="198">
        <f>_xlfn.IFNA(IF(Y$7="Fixed",1,IF(AND($D98="yes",Y$7="Block"),INDEX($O740:$Q740,1,MATCH(Y$5,$I63:$K63,0)),INDEX(Movements!$G740:$M740,1,MATCH(Y$7,Movements!$G$716:$M$716,0))))
*Y977*Y$8,0)</f>
        <v>0</v>
      </c>
      <c r="Z266" s="198">
        <f>_xlfn.IFNA(IF(Z$7="Fixed",1,IF(AND($D98="yes",Z$7="Block"),INDEX($O740:$Q740,1,MATCH(Z$5,$I63:$K63,0)),INDEX(Movements!$G740:$M740,1,MATCH(Z$7,Movements!$G$716:$M$716,0))))
*Z977*Z$8,0)</f>
        <v>0</v>
      </c>
      <c r="AA266" s="198">
        <f>_xlfn.IFNA(IF(AA$7="Fixed",1,IF(AND($D98="yes",AA$7="Block"),INDEX($O740:$Q740,1,MATCH(AA$5,$I63:$K63,0)),INDEX(Movements!$G740:$M740,1,MATCH(AA$7,Movements!$G$716:$M$716,0))))
*AA977*AA$8,0)</f>
        <v>0</v>
      </c>
      <c r="AB266" s="198">
        <f>_xlfn.IFNA(IF(AB$7="Fixed",1,IF(AND($D98="yes",AB$7="Block"),INDEX($O740:$Q740,1,MATCH(AB$5,$I63:$K63,0)),INDEX(Movements!$G740:$M740,1,MATCH(AB$7,Movements!$G$716:$M$716,0))))
*AB977*AB$8,0)</f>
        <v>0</v>
      </c>
      <c r="AC266" s="70"/>
      <c r="AD266" s="19"/>
      <c r="AE266" s="19"/>
      <c r="AF266" s="19"/>
      <c r="AG266" s="19"/>
    </row>
    <row r="267" spans="1:33" hidden="1" outlineLevel="3" x14ac:dyDescent="0.2">
      <c r="A267" s="19"/>
      <c r="B267" s="98">
        <v>23</v>
      </c>
      <c r="C267" s="506">
        <f t="shared" si="45"/>
        <v>0</v>
      </c>
      <c r="D267" s="505">
        <f t="shared" si="45"/>
        <v>0</v>
      </c>
      <c r="E267" s="505">
        <f t="shared" si="45"/>
        <v>0</v>
      </c>
      <c r="F267" s="58"/>
      <c r="G267" s="199">
        <f t="shared" si="46"/>
        <v>0</v>
      </c>
      <c r="H267" s="58"/>
      <c r="I267" s="198">
        <f>_xlfn.IFNA(IF(I$7="Fixed",1,IF(AND($D99="yes",I$7="Block"),INDEX($O741:$Q741,1,MATCH(I$5,$I64:$K64,0)),INDEX(Movements!$G741:$M741,1,MATCH(I$7,Movements!$G$716:$M$716,0))))
*I978*I$8,0)</f>
        <v>0</v>
      </c>
      <c r="J267" s="198">
        <f>_xlfn.IFNA(IF(J$7="Fixed",1,IF(AND($D99="yes",J$7="Block"),INDEX($O741:$Q741,1,MATCH(J$5,$I64:$K64,0)),INDEX(Movements!$G741:$M741,1,MATCH(J$7,Movements!$G$716:$M$716,0))))
*J978*J$8,0)</f>
        <v>0</v>
      </c>
      <c r="K267" s="198">
        <f>_xlfn.IFNA(IF(K$7="Fixed",1,IF(AND($D99="yes",K$7="Block"),INDEX($O741:$Q741,1,MATCH(K$5,$I64:$K64,0)),INDEX(Movements!$G741:$M741,1,MATCH(K$7,Movements!$G$716:$M$716,0))))
*K978*K$8,0)</f>
        <v>0</v>
      </c>
      <c r="L267" s="198">
        <f>_xlfn.IFNA(IF(L$7="Fixed",1,IF(AND($D99="yes",L$7="Block"),INDEX($O741:$Q741,1,MATCH(L$5,$I64:$K64,0)),INDEX(Movements!$G741:$M741,1,MATCH(L$7,Movements!$G$716:$M$716,0))))
*L978*L$8,0)</f>
        <v>0</v>
      </c>
      <c r="M267" s="198">
        <f>_xlfn.IFNA(IF(M$7="Fixed",1,IF(AND($D99="yes",M$7="Block"),INDEX($O741:$Q741,1,MATCH(M$5,$I64:$K64,0)),INDEX(Movements!$G741:$M741,1,MATCH(M$7,Movements!$G$716:$M$716,0))))
*M978*M$8,0)</f>
        <v>0</v>
      </c>
      <c r="N267" s="198">
        <f>_xlfn.IFNA(IF(N$7="Fixed",1,IF(AND($D99="yes",N$7="Block"),INDEX($O741:$Q741,1,MATCH(N$5,$I64:$K64,0)),INDEX(Movements!$G741:$M741,1,MATCH(N$7,Movements!$G$716:$M$716,0))))
*N978*N$8,0)</f>
        <v>0</v>
      </c>
      <c r="O267" s="198">
        <f>_xlfn.IFNA(IF(O$7="Fixed",1,IF(AND($D99="yes",O$7="Block"),INDEX($O741:$Q741,1,MATCH(O$5,$I64:$K64,0)),INDEX(Movements!$G741:$M741,1,MATCH(O$7,Movements!$G$716:$M$716,0))))
*O978*O$8,0)</f>
        <v>0</v>
      </c>
      <c r="P267" s="198">
        <f>_xlfn.IFNA(IF(P$7="Fixed",1,IF(AND($D99="yes",P$7="Block"),INDEX($O741:$Q741,1,MATCH(P$5,$I64:$K64,0)),INDEX(Movements!$G741:$M741,1,MATCH(P$7,Movements!$G$716:$M$716,0))))
*P978*P$8,0)</f>
        <v>0</v>
      </c>
      <c r="Q267" s="198">
        <f>_xlfn.IFNA(IF(Q$7="Fixed",1,IF(AND($D99="yes",Q$7="Block"),INDEX($O741:$Q741,1,MATCH(Q$5,$I64:$K64,0)),INDEX(Movements!$G741:$M741,1,MATCH(Q$7,Movements!$G$716:$M$716,0))))
*Q978*Q$8,0)</f>
        <v>0</v>
      </c>
      <c r="R267" s="198">
        <f>_xlfn.IFNA(IF(R$7="Fixed",1,IF(AND($D99="yes",R$7="Block"),INDEX($O741:$Q741,1,MATCH(R$5,$I64:$K64,0)),INDEX(Movements!$G741:$M741,1,MATCH(R$7,Movements!$G$716:$M$716,0))))
*R978*R$8,0)</f>
        <v>0</v>
      </c>
      <c r="S267" s="198">
        <f>_xlfn.IFNA(IF(S$7="Fixed",1,IF(AND($D99="yes",S$7="Block"),INDEX($O741:$Q741,1,MATCH(S$5,$I64:$K64,0)),INDEX(Movements!$G741:$M741,1,MATCH(S$7,Movements!$G$716:$M$716,0))))
*S978*S$8,0)</f>
        <v>0</v>
      </c>
      <c r="T267" s="198">
        <f>_xlfn.IFNA(IF(T$7="Fixed",1,IF(AND($D99="yes",T$7="Block"),INDEX($O741:$Q741,1,MATCH(T$5,$I64:$K64,0)),INDEX(Movements!$G741:$M741,1,MATCH(T$7,Movements!$G$716:$M$716,0))))
*T978*T$8,0)</f>
        <v>0</v>
      </c>
      <c r="U267" s="198">
        <f>_xlfn.IFNA(IF(U$7="Fixed",1,IF(AND($D99="yes",U$7="Block"),INDEX($O741:$Q741,1,MATCH(U$5,$I64:$K64,0)),INDEX(Movements!$G741:$M741,1,MATCH(U$7,Movements!$G$716:$M$716,0))))
*U978*U$8,0)</f>
        <v>0</v>
      </c>
      <c r="V267" s="198">
        <f>_xlfn.IFNA(IF(V$7="Fixed",1,IF(AND($D99="yes",V$7="Block"),INDEX($O741:$Q741,1,MATCH(V$5,$I64:$K64,0)),INDEX(Movements!$G741:$M741,1,MATCH(V$7,Movements!$G$716:$M$716,0))))
*V978*V$8,0)</f>
        <v>0</v>
      </c>
      <c r="W267" s="198">
        <f>_xlfn.IFNA(IF(W$7="Fixed",1,IF(AND($D99="yes",W$7="Block"),INDEX($O741:$Q741,1,MATCH(W$5,$I64:$K64,0)),INDEX(Movements!$G741:$M741,1,MATCH(W$7,Movements!$G$716:$M$716,0))))
*W978*W$8,0)</f>
        <v>0</v>
      </c>
      <c r="X267" s="198">
        <f>_xlfn.IFNA(IF(X$7="Fixed",1,IF(AND($D99="yes",X$7="Block"),INDEX($O741:$Q741,1,MATCH(X$5,$I64:$K64,0)),INDEX(Movements!$G741:$M741,1,MATCH(X$7,Movements!$G$716:$M$716,0))))
*X978*X$8,0)</f>
        <v>0</v>
      </c>
      <c r="Y267" s="198">
        <f>_xlfn.IFNA(IF(Y$7="Fixed",1,IF(AND($D99="yes",Y$7="Block"),INDEX($O741:$Q741,1,MATCH(Y$5,$I64:$K64,0)),INDEX(Movements!$G741:$M741,1,MATCH(Y$7,Movements!$G$716:$M$716,0))))
*Y978*Y$8,0)</f>
        <v>0</v>
      </c>
      <c r="Z267" s="198">
        <f>_xlfn.IFNA(IF(Z$7="Fixed",1,IF(AND($D99="yes",Z$7="Block"),INDEX($O741:$Q741,1,MATCH(Z$5,$I64:$K64,0)),INDEX(Movements!$G741:$M741,1,MATCH(Z$7,Movements!$G$716:$M$716,0))))
*Z978*Z$8,0)</f>
        <v>0</v>
      </c>
      <c r="AA267" s="198">
        <f>_xlfn.IFNA(IF(AA$7="Fixed",1,IF(AND($D99="yes",AA$7="Block"),INDEX($O741:$Q741,1,MATCH(AA$5,$I64:$K64,0)),INDEX(Movements!$G741:$M741,1,MATCH(AA$7,Movements!$G$716:$M$716,0))))
*AA978*AA$8,0)</f>
        <v>0</v>
      </c>
      <c r="AB267" s="198">
        <f>_xlfn.IFNA(IF(AB$7="Fixed",1,IF(AND($D99="yes",AB$7="Block"),INDEX($O741:$Q741,1,MATCH(AB$5,$I64:$K64,0)),INDEX(Movements!$G741:$M741,1,MATCH(AB$7,Movements!$G$716:$M$716,0))))
*AB978*AB$8,0)</f>
        <v>0</v>
      </c>
      <c r="AC267" s="70"/>
      <c r="AD267" s="19"/>
      <c r="AE267" s="19"/>
      <c r="AF267" s="19"/>
      <c r="AG267" s="19"/>
    </row>
    <row r="268" spans="1:33" hidden="1" outlineLevel="3" x14ac:dyDescent="0.2">
      <c r="A268" s="19"/>
      <c r="B268" s="97">
        <v>24</v>
      </c>
      <c r="C268" s="506">
        <f t="shared" si="45"/>
        <v>0</v>
      </c>
      <c r="D268" s="505">
        <f t="shared" si="45"/>
        <v>0</v>
      </c>
      <c r="E268" s="505">
        <f t="shared" si="45"/>
        <v>0</v>
      </c>
      <c r="F268" s="58"/>
      <c r="G268" s="199">
        <f t="shared" si="46"/>
        <v>0</v>
      </c>
      <c r="H268" s="58"/>
      <c r="I268" s="198">
        <f>_xlfn.IFNA(IF(I$7="Fixed",1,IF(AND($D100="yes",I$7="Block"),INDEX($O742:$Q742,1,MATCH(I$5,$I65:$K65,0)),INDEX(Movements!$G742:$M742,1,MATCH(I$7,Movements!$G$716:$M$716,0))))
*I979*I$8,0)</f>
        <v>0</v>
      </c>
      <c r="J268" s="198">
        <f>_xlfn.IFNA(IF(J$7="Fixed",1,IF(AND($D100="yes",J$7="Block"),INDEX($O742:$Q742,1,MATCH(J$5,$I65:$K65,0)),INDEX(Movements!$G742:$M742,1,MATCH(J$7,Movements!$G$716:$M$716,0))))
*J979*J$8,0)</f>
        <v>0</v>
      </c>
      <c r="K268" s="198">
        <f>_xlfn.IFNA(IF(K$7="Fixed",1,IF(AND($D100="yes",K$7="Block"),INDEX($O742:$Q742,1,MATCH(K$5,$I65:$K65,0)),INDEX(Movements!$G742:$M742,1,MATCH(K$7,Movements!$G$716:$M$716,0))))
*K979*K$8,0)</f>
        <v>0</v>
      </c>
      <c r="L268" s="198">
        <f>_xlfn.IFNA(IF(L$7="Fixed",1,IF(AND($D100="yes",L$7="Block"),INDEX($O742:$Q742,1,MATCH(L$5,$I65:$K65,0)),INDEX(Movements!$G742:$M742,1,MATCH(L$7,Movements!$G$716:$M$716,0))))
*L979*L$8,0)</f>
        <v>0</v>
      </c>
      <c r="M268" s="198">
        <f>_xlfn.IFNA(IF(M$7="Fixed",1,IF(AND($D100="yes",M$7="Block"),INDEX($O742:$Q742,1,MATCH(M$5,$I65:$K65,0)),INDEX(Movements!$G742:$M742,1,MATCH(M$7,Movements!$G$716:$M$716,0))))
*M979*M$8,0)</f>
        <v>0</v>
      </c>
      <c r="N268" s="198">
        <f>_xlfn.IFNA(IF(N$7="Fixed",1,IF(AND($D100="yes",N$7="Block"),INDEX($O742:$Q742,1,MATCH(N$5,$I65:$K65,0)),INDEX(Movements!$G742:$M742,1,MATCH(N$7,Movements!$G$716:$M$716,0))))
*N979*N$8,0)</f>
        <v>0</v>
      </c>
      <c r="O268" s="198">
        <f>_xlfn.IFNA(IF(O$7="Fixed",1,IF(AND($D100="yes",O$7="Block"),INDEX($O742:$Q742,1,MATCH(O$5,$I65:$K65,0)),INDEX(Movements!$G742:$M742,1,MATCH(O$7,Movements!$G$716:$M$716,0))))
*O979*O$8,0)</f>
        <v>0</v>
      </c>
      <c r="P268" s="198">
        <f>_xlfn.IFNA(IF(P$7="Fixed",1,IF(AND($D100="yes",P$7="Block"),INDEX($O742:$Q742,1,MATCH(P$5,$I65:$K65,0)),INDEX(Movements!$G742:$M742,1,MATCH(P$7,Movements!$G$716:$M$716,0))))
*P979*P$8,0)</f>
        <v>0</v>
      </c>
      <c r="Q268" s="198">
        <f>_xlfn.IFNA(IF(Q$7="Fixed",1,IF(AND($D100="yes",Q$7="Block"),INDEX($O742:$Q742,1,MATCH(Q$5,$I65:$K65,0)),INDEX(Movements!$G742:$M742,1,MATCH(Q$7,Movements!$G$716:$M$716,0))))
*Q979*Q$8,0)</f>
        <v>0</v>
      </c>
      <c r="R268" s="198">
        <f>_xlfn.IFNA(IF(R$7="Fixed",1,IF(AND($D100="yes",R$7="Block"),INDEX($O742:$Q742,1,MATCH(R$5,$I65:$K65,0)),INDEX(Movements!$G742:$M742,1,MATCH(R$7,Movements!$G$716:$M$716,0))))
*R979*R$8,0)</f>
        <v>0</v>
      </c>
      <c r="S268" s="198">
        <f>_xlfn.IFNA(IF(S$7="Fixed",1,IF(AND($D100="yes",S$7="Block"),INDEX($O742:$Q742,1,MATCH(S$5,$I65:$K65,0)),INDEX(Movements!$G742:$M742,1,MATCH(S$7,Movements!$G$716:$M$716,0))))
*S979*S$8,0)</f>
        <v>0</v>
      </c>
      <c r="T268" s="198">
        <f>_xlfn.IFNA(IF(T$7="Fixed",1,IF(AND($D100="yes",T$7="Block"),INDEX($O742:$Q742,1,MATCH(T$5,$I65:$K65,0)),INDEX(Movements!$G742:$M742,1,MATCH(T$7,Movements!$G$716:$M$716,0))))
*T979*T$8,0)</f>
        <v>0</v>
      </c>
      <c r="U268" s="198">
        <f>_xlfn.IFNA(IF(U$7="Fixed",1,IF(AND($D100="yes",U$7="Block"),INDEX($O742:$Q742,1,MATCH(U$5,$I65:$K65,0)),INDEX(Movements!$G742:$M742,1,MATCH(U$7,Movements!$G$716:$M$716,0))))
*U979*U$8,0)</f>
        <v>0</v>
      </c>
      <c r="V268" s="198">
        <f>_xlfn.IFNA(IF(V$7="Fixed",1,IF(AND($D100="yes",V$7="Block"),INDEX($O742:$Q742,1,MATCH(V$5,$I65:$K65,0)),INDEX(Movements!$G742:$M742,1,MATCH(V$7,Movements!$G$716:$M$716,0))))
*V979*V$8,0)</f>
        <v>0</v>
      </c>
      <c r="W268" s="198">
        <f>_xlfn.IFNA(IF(W$7="Fixed",1,IF(AND($D100="yes",W$7="Block"),INDEX($O742:$Q742,1,MATCH(W$5,$I65:$K65,0)),INDEX(Movements!$G742:$M742,1,MATCH(W$7,Movements!$G$716:$M$716,0))))
*W979*W$8,0)</f>
        <v>0</v>
      </c>
      <c r="X268" s="198">
        <f>_xlfn.IFNA(IF(X$7="Fixed",1,IF(AND($D100="yes",X$7="Block"),INDEX($O742:$Q742,1,MATCH(X$5,$I65:$K65,0)),INDEX(Movements!$G742:$M742,1,MATCH(X$7,Movements!$G$716:$M$716,0))))
*X979*X$8,0)</f>
        <v>0</v>
      </c>
      <c r="Y268" s="198">
        <f>_xlfn.IFNA(IF(Y$7="Fixed",1,IF(AND($D100="yes",Y$7="Block"),INDEX($O742:$Q742,1,MATCH(Y$5,$I65:$K65,0)),INDEX(Movements!$G742:$M742,1,MATCH(Y$7,Movements!$G$716:$M$716,0))))
*Y979*Y$8,0)</f>
        <v>0</v>
      </c>
      <c r="Z268" s="198">
        <f>_xlfn.IFNA(IF(Z$7="Fixed",1,IF(AND($D100="yes",Z$7="Block"),INDEX($O742:$Q742,1,MATCH(Z$5,$I65:$K65,0)),INDEX(Movements!$G742:$M742,1,MATCH(Z$7,Movements!$G$716:$M$716,0))))
*Z979*Z$8,0)</f>
        <v>0</v>
      </c>
      <c r="AA268" s="198">
        <f>_xlfn.IFNA(IF(AA$7="Fixed",1,IF(AND($D100="yes",AA$7="Block"),INDEX($O742:$Q742,1,MATCH(AA$5,$I65:$K65,0)),INDEX(Movements!$G742:$M742,1,MATCH(AA$7,Movements!$G$716:$M$716,0))))
*AA979*AA$8,0)</f>
        <v>0</v>
      </c>
      <c r="AB268" s="198">
        <f>_xlfn.IFNA(IF(AB$7="Fixed",1,IF(AND($D100="yes",AB$7="Block"),INDEX($O742:$Q742,1,MATCH(AB$5,$I65:$K65,0)),INDEX(Movements!$G742:$M742,1,MATCH(AB$7,Movements!$G$716:$M$716,0))))
*AB979*AB$8,0)</f>
        <v>0</v>
      </c>
      <c r="AC268" s="70"/>
      <c r="AD268" s="19"/>
      <c r="AE268" s="19"/>
      <c r="AF268" s="19"/>
      <c r="AG268" s="19"/>
    </row>
    <row r="269" spans="1:33" hidden="1" outlineLevel="3" x14ac:dyDescent="0.2">
      <c r="A269" s="19"/>
      <c r="B269" s="97">
        <v>25</v>
      </c>
      <c r="C269" s="506">
        <f t="shared" si="45"/>
        <v>0</v>
      </c>
      <c r="D269" s="505">
        <f t="shared" si="45"/>
        <v>0</v>
      </c>
      <c r="E269" s="505">
        <f t="shared" si="45"/>
        <v>0</v>
      </c>
      <c r="F269" s="58"/>
      <c r="G269" s="199">
        <f t="shared" si="46"/>
        <v>0</v>
      </c>
      <c r="H269" s="58"/>
      <c r="I269" s="198">
        <f>_xlfn.IFNA(IF(I$7="Fixed",1,IF(AND($D101="yes",I$7="Block"),INDEX($O743:$Q743,1,MATCH(I$5,$I66:$K66,0)),INDEX(Movements!$G743:$M743,1,MATCH(I$7,Movements!$G$716:$M$716,0))))
*I980*I$8,0)</f>
        <v>0</v>
      </c>
      <c r="J269" s="198">
        <f>_xlfn.IFNA(IF(J$7="Fixed",1,IF(AND($D101="yes",J$7="Block"),INDEX($O743:$Q743,1,MATCH(J$5,$I66:$K66,0)),INDEX(Movements!$G743:$M743,1,MATCH(J$7,Movements!$G$716:$M$716,0))))
*J980*J$8,0)</f>
        <v>0</v>
      </c>
      <c r="K269" s="198">
        <f>_xlfn.IFNA(IF(K$7="Fixed",1,IF(AND($D101="yes",K$7="Block"),INDEX($O743:$Q743,1,MATCH(K$5,$I66:$K66,0)),INDEX(Movements!$G743:$M743,1,MATCH(K$7,Movements!$G$716:$M$716,0))))
*K980*K$8,0)</f>
        <v>0</v>
      </c>
      <c r="L269" s="198">
        <f>_xlfn.IFNA(IF(L$7="Fixed",1,IF(AND($D101="yes",L$7="Block"),INDEX($O743:$Q743,1,MATCH(L$5,$I66:$K66,0)),INDEX(Movements!$G743:$M743,1,MATCH(L$7,Movements!$G$716:$M$716,0))))
*L980*L$8,0)</f>
        <v>0</v>
      </c>
      <c r="M269" s="198">
        <f>_xlfn.IFNA(IF(M$7="Fixed",1,IF(AND($D101="yes",M$7="Block"),INDEX($O743:$Q743,1,MATCH(M$5,$I66:$K66,0)),INDEX(Movements!$G743:$M743,1,MATCH(M$7,Movements!$G$716:$M$716,0))))
*M980*M$8,0)</f>
        <v>0</v>
      </c>
      <c r="N269" s="198">
        <f>_xlfn.IFNA(IF(N$7="Fixed",1,IF(AND($D101="yes",N$7="Block"),INDEX($O743:$Q743,1,MATCH(N$5,$I66:$K66,0)),INDEX(Movements!$G743:$M743,1,MATCH(N$7,Movements!$G$716:$M$716,0))))
*N980*N$8,0)</f>
        <v>0</v>
      </c>
      <c r="O269" s="198">
        <f>_xlfn.IFNA(IF(O$7="Fixed",1,IF(AND($D101="yes",O$7="Block"),INDEX($O743:$Q743,1,MATCH(O$5,$I66:$K66,0)),INDEX(Movements!$G743:$M743,1,MATCH(O$7,Movements!$G$716:$M$716,0))))
*O980*O$8,0)</f>
        <v>0</v>
      </c>
      <c r="P269" s="198">
        <f>_xlfn.IFNA(IF(P$7="Fixed",1,IF(AND($D101="yes",P$7="Block"),INDEX($O743:$Q743,1,MATCH(P$5,$I66:$K66,0)),INDEX(Movements!$G743:$M743,1,MATCH(P$7,Movements!$G$716:$M$716,0))))
*P980*P$8,0)</f>
        <v>0</v>
      </c>
      <c r="Q269" s="198">
        <f>_xlfn.IFNA(IF(Q$7="Fixed",1,IF(AND($D101="yes",Q$7="Block"),INDEX($O743:$Q743,1,MATCH(Q$5,$I66:$K66,0)),INDEX(Movements!$G743:$M743,1,MATCH(Q$7,Movements!$G$716:$M$716,0))))
*Q980*Q$8,0)</f>
        <v>0</v>
      </c>
      <c r="R269" s="198">
        <f>_xlfn.IFNA(IF(R$7="Fixed",1,IF(AND($D101="yes",R$7="Block"),INDEX($O743:$Q743,1,MATCH(R$5,$I66:$K66,0)),INDEX(Movements!$G743:$M743,1,MATCH(R$7,Movements!$G$716:$M$716,0))))
*R980*R$8,0)</f>
        <v>0</v>
      </c>
      <c r="S269" s="198">
        <f>_xlfn.IFNA(IF(S$7="Fixed",1,IF(AND($D101="yes",S$7="Block"),INDEX($O743:$Q743,1,MATCH(S$5,$I66:$K66,0)),INDEX(Movements!$G743:$M743,1,MATCH(S$7,Movements!$G$716:$M$716,0))))
*S980*S$8,0)</f>
        <v>0</v>
      </c>
      <c r="T269" s="198">
        <f>_xlfn.IFNA(IF(T$7="Fixed",1,IF(AND($D101="yes",T$7="Block"),INDEX($O743:$Q743,1,MATCH(T$5,$I66:$K66,0)),INDEX(Movements!$G743:$M743,1,MATCH(T$7,Movements!$G$716:$M$716,0))))
*T980*T$8,0)</f>
        <v>0</v>
      </c>
      <c r="U269" s="198">
        <f>_xlfn.IFNA(IF(U$7="Fixed",1,IF(AND($D101="yes",U$7="Block"),INDEX($O743:$Q743,1,MATCH(U$5,$I66:$K66,0)),INDEX(Movements!$G743:$M743,1,MATCH(U$7,Movements!$G$716:$M$716,0))))
*U980*U$8,0)</f>
        <v>0</v>
      </c>
      <c r="V269" s="198">
        <f>_xlfn.IFNA(IF(V$7="Fixed",1,IF(AND($D101="yes",V$7="Block"),INDEX($O743:$Q743,1,MATCH(V$5,$I66:$K66,0)),INDEX(Movements!$G743:$M743,1,MATCH(V$7,Movements!$G$716:$M$716,0))))
*V980*V$8,0)</f>
        <v>0</v>
      </c>
      <c r="W269" s="198">
        <f>_xlfn.IFNA(IF(W$7="Fixed",1,IF(AND($D101="yes",W$7="Block"),INDEX($O743:$Q743,1,MATCH(W$5,$I66:$K66,0)),INDEX(Movements!$G743:$M743,1,MATCH(W$7,Movements!$G$716:$M$716,0))))
*W980*W$8,0)</f>
        <v>0</v>
      </c>
      <c r="X269" s="198">
        <f>_xlfn.IFNA(IF(X$7="Fixed",1,IF(AND($D101="yes",X$7="Block"),INDEX($O743:$Q743,1,MATCH(X$5,$I66:$K66,0)),INDEX(Movements!$G743:$M743,1,MATCH(X$7,Movements!$G$716:$M$716,0))))
*X980*X$8,0)</f>
        <v>0</v>
      </c>
      <c r="Y269" s="198">
        <f>_xlfn.IFNA(IF(Y$7="Fixed",1,IF(AND($D101="yes",Y$7="Block"),INDEX($O743:$Q743,1,MATCH(Y$5,$I66:$K66,0)),INDEX(Movements!$G743:$M743,1,MATCH(Y$7,Movements!$G$716:$M$716,0))))
*Y980*Y$8,0)</f>
        <v>0</v>
      </c>
      <c r="Z269" s="198">
        <f>_xlfn.IFNA(IF(Z$7="Fixed",1,IF(AND($D101="yes",Z$7="Block"),INDEX($O743:$Q743,1,MATCH(Z$5,$I66:$K66,0)),INDEX(Movements!$G743:$M743,1,MATCH(Z$7,Movements!$G$716:$M$716,0))))
*Z980*Z$8,0)</f>
        <v>0</v>
      </c>
      <c r="AA269" s="198">
        <f>_xlfn.IFNA(IF(AA$7="Fixed",1,IF(AND($D101="yes",AA$7="Block"),INDEX($O743:$Q743,1,MATCH(AA$5,$I66:$K66,0)),INDEX(Movements!$G743:$M743,1,MATCH(AA$7,Movements!$G$716:$M$716,0))))
*AA980*AA$8,0)</f>
        <v>0</v>
      </c>
      <c r="AB269" s="198">
        <f>_xlfn.IFNA(IF(AB$7="Fixed",1,IF(AND($D101="yes",AB$7="Block"),INDEX($O743:$Q743,1,MATCH(AB$5,$I66:$K66,0)),INDEX(Movements!$G743:$M743,1,MATCH(AB$7,Movements!$G$716:$M$716,0))))
*AB980*AB$8,0)</f>
        <v>0</v>
      </c>
      <c r="AC269" s="70"/>
      <c r="AD269" s="19"/>
      <c r="AE269" s="19"/>
      <c r="AF269" s="19"/>
      <c r="AG269" s="19"/>
    </row>
    <row r="270" spans="1:33" hidden="1" outlineLevel="3" x14ac:dyDescent="0.2">
      <c r="A270" s="19"/>
      <c r="B270" s="97">
        <v>26</v>
      </c>
      <c r="C270" s="506">
        <f t="shared" si="45"/>
        <v>0</v>
      </c>
      <c r="D270" s="505">
        <f t="shared" si="45"/>
        <v>0</v>
      </c>
      <c r="E270" s="505">
        <f t="shared" si="45"/>
        <v>0</v>
      </c>
      <c r="F270" s="58"/>
      <c r="G270" s="199">
        <f t="shared" si="46"/>
        <v>0</v>
      </c>
      <c r="H270" s="58"/>
      <c r="I270" s="198">
        <f>_xlfn.IFNA(IF(I$7="Fixed",1,IF(AND($D102="yes",I$7="Block"),INDEX($O744:$Q744,1,MATCH(I$5,$I67:$K67,0)),INDEX(Movements!$G744:$M744,1,MATCH(I$7,Movements!$G$716:$M$716,0))))
*I981*I$8,0)</f>
        <v>0</v>
      </c>
      <c r="J270" s="198">
        <f>_xlfn.IFNA(IF(J$7="Fixed",1,IF(AND($D102="yes",J$7="Block"),INDEX($O744:$Q744,1,MATCH(J$5,$I67:$K67,0)),INDEX(Movements!$G744:$M744,1,MATCH(J$7,Movements!$G$716:$M$716,0))))
*J981*J$8,0)</f>
        <v>0</v>
      </c>
      <c r="K270" s="198">
        <f>_xlfn.IFNA(IF(K$7="Fixed",1,IF(AND($D102="yes",K$7="Block"),INDEX($O744:$Q744,1,MATCH(K$5,$I67:$K67,0)),INDEX(Movements!$G744:$M744,1,MATCH(K$7,Movements!$G$716:$M$716,0))))
*K981*K$8,0)</f>
        <v>0</v>
      </c>
      <c r="L270" s="198">
        <f>_xlfn.IFNA(IF(L$7="Fixed",1,IF(AND($D102="yes",L$7="Block"),INDEX($O744:$Q744,1,MATCH(L$5,$I67:$K67,0)),INDEX(Movements!$G744:$M744,1,MATCH(L$7,Movements!$G$716:$M$716,0))))
*L981*L$8,0)</f>
        <v>0</v>
      </c>
      <c r="M270" s="198">
        <f>_xlfn.IFNA(IF(M$7="Fixed",1,IF(AND($D102="yes",M$7="Block"),INDEX($O744:$Q744,1,MATCH(M$5,$I67:$K67,0)),INDEX(Movements!$G744:$M744,1,MATCH(M$7,Movements!$G$716:$M$716,0))))
*M981*M$8,0)</f>
        <v>0</v>
      </c>
      <c r="N270" s="198">
        <f>_xlfn.IFNA(IF(N$7="Fixed",1,IF(AND($D102="yes",N$7="Block"),INDEX($O744:$Q744,1,MATCH(N$5,$I67:$K67,0)),INDEX(Movements!$G744:$M744,1,MATCH(N$7,Movements!$G$716:$M$716,0))))
*N981*N$8,0)</f>
        <v>0</v>
      </c>
      <c r="O270" s="198">
        <f>_xlfn.IFNA(IF(O$7="Fixed",1,IF(AND($D102="yes",O$7="Block"),INDEX($O744:$Q744,1,MATCH(O$5,$I67:$K67,0)),INDEX(Movements!$G744:$M744,1,MATCH(O$7,Movements!$G$716:$M$716,0))))
*O981*O$8,0)</f>
        <v>0</v>
      </c>
      <c r="P270" s="198">
        <f>_xlfn.IFNA(IF(P$7="Fixed",1,IF(AND($D102="yes",P$7="Block"),INDEX($O744:$Q744,1,MATCH(P$5,$I67:$K67,0)),INDEX(Movements!$G744:$M744,1,MATCH(P$7,Movements!$G$716:$M$716,0))))
*P981*P$8,0)</f>
        <v>0</v>
      </c>
      <c r="Q270" s="198">
        <f>_xlfn.IFNA(IF(Q$7="Fixed",1,IF(AND($D102="yes",Q$7="Block"),INDEX($O744:$Q744,1,MATCH(Q$5,$I67:$K67,0)),INDEX(Movements!$G744:$M744,1,MATCH(Q$7,Movements!$G$716:$M$716,0))))
*Q981*Q$8,0)</f>
        <v>0</v>
      </c>
      <c r="R270" s="198">
        <f>_xlfn.IFNA(IF(R$7="Fixed",1,IF(AND($D102="yes",R$7="Block"),INDEX($O744:$Q744,1,MATCH(R$5,$I67:$K67,0)),INDEX(Movements!$G744:$M744,1,MATCH(R$7,Movements!$G$716:$M$716,0))))
*R981*R$8,0)</f>
        <v>0</v>
      </c>
      <c r="S270" s="198">
        <f>_xlfn.IFNA(IF(S$7="Fixed",1,IF(AND($D102="yes",S$7="Block"),INDEX($O744:$Q744,1,MATCH(S$5,$I67:$K67,0)),INDEX(Movements!$G744:$M744,1,MATCH(S$7,Movements!$G$716:$M$716,0))))
*S981*S$8,0)</f>
        <v>0</v>
      </c>
      <c r="T270" s="198">
        <f>_xlfn.IFNA(IF(T$7="Fixed",1,IF(AND($D102="yes",T$7="Block"),INDEX($O744:$Q744,1,MATCH(T$5,$I67:$K67,0)),INDEX(Movements!$G744:$M744,1,MATCH(T$7,Movements!$G$716:$M$716,0))))
*T981*T$8,0)</f>
        <v>0</v>
      </c>
      <c r="U270" s="198">
        <f>_xlfn.IFNA(IF(U$7="Fixed",1,IF(AND($D102="yes",U$7="Block"),INDEX($O744:$Q744,1,MATCH(U$5,$I67:$K67,0)),INDEX(Movements!$G744:$M744,1,MATCH(U$7,Movements!$G$716:$M$716,0))))
*U981*U$8,0)</f>
        <v>0</v>
      </c>
      <c r="V270" s="198">
        <f>_xlfn.IFNA(IF(V$7="Fixed",1,IF(AND($D102="yes",V$7="Block"),INDEX($O744:$Q744,1,MATCH(V$5,$I67:$K67,0)),INDEX(Movements!$G744:$M744,1,MATCH(V$7,Movements!$G$716:$M$716,0))))
*V981*V$8,0)</f>
        <v>0</v>
      </c>
      <c r="W270" s="198">
        <f>_xlfn.IFNA(IF(W$7="Fixed",1,IF(AND($D102="yes",W$7="Block"),INDEX($O744:$Q744,1,MATCH(W$5,$I67:$K67,0)),INDEX(Movements!$G744:$M744,1,MATCH(W$7,Movements!$G$716:$M$716,0))))
*W981*W$8,0)</f>
        <v>0</v>
      </c>
      <c r="X270" s="198">
        <f>_xlfn.IFNA(IF(X$7="Fixed",1,IF(AND($D102="yes",X$7="Block"),INDEX($O744:$Q744,1,MATCH(X$5,$I67:$K67,0)),INDEX(Movements!$G744:$M744,1,MATCH(X$7,Movements!$G$716:$M$716,0))))
*X981*X$8,0)</f>
        <v>0</v>
      </c>
      <c r="Y270" s="198">
        <f>_xlfn.IFNA(IF(Y$7="Fixed",1,IF(AND($D102="yes",Y$7="Block"),INDEX($O744:$Q744,1,MATCH(Y$5,$I67:$K67,0)),INDEX(Movements!$G744:$M744,1,MATCH(Y$7,Movements!$G$716:$M$716,0))))
*Y981*Y$8,0)</f>
        <v>0</v>
      </c>
      <c r="Z270" s="198">
        <f>_xlfn.IFNA(IF(Z$7="Fixed",1,IF(AND($D102="yes",Z$7="Block"),INDEX($O744:$Q744,1,MATCH(Z$5,$I67:$K67,0)),INDEX(Movements!$G744:$M744,1,MATCH(Z$7,Movements!$G$716:$M$716,0))))
*Z981*Z$8,0)</f>
        <v>0</v>
      </c>
      <c r="AA270" s="198">
        <f>_xlfn.IFNA(IF(AA$7="Fixed",1,IF(AND($D102="yes",AA$7="Block"),INDEX($O744:$Q744,1,MATCH(AA$5,$I67:$K67,0)),INDEX(Movements!$G744:$M744,1,MATCH(AA$7,Movements!$G$716:$M$716,0))))
*AA981*AA$8,0)</f>
        <v>0</v>
      </c>
      <c r="AB270" s="198">
        <f>_xlfn.IFNA(IF(AB$7="Fixed",1,IF(AND($D102="yes",AB$7="Block"),INDEX($O744:$Q744,1,MATCH(AB$5,$I67:$K67,0)),INDEX(Movements!$G744:$M744,1,MATCH(AB$7,Movements!$G$716:$M$716,0))))
*AB981*AB$8,0)</f>
        <v>0</v>
      </c>
      <c r="AC270" s="70"/>
      <c r="AD270" s="19"/>
      <c r="AE270" s="19"/>
      <c r="AF270" s="19"/>
      <c r="AG270" s="19"/>
    </row>
    <row r="271" spans="1:33" hidden="1" outlineLevel="3" x14ac:dyDescent="0.2">
      <c r="A271" s="19"/>
      <c r="B271" s="97">
        <v>27</v>
      </c>
      <c r="C271" s="506">
        <f t="shared" si="45"/>
        <v>0</v>
      </c>
      <c r="D271" s="505">
        <f t="shared" si="45"/>
        <v>0</v>
      </c>
      <c r="E271" s="505">
        <f t="shared" si="45"/>
        <v>0</v>
      </c>
      <c r="F271" s="58"/>
      <c r="G271" s="199">
        <f t="shared" si="46"/>
        <v>0</v>
      </c>
      <c r="H271" s="58"/>
      <c r="I271" s="198">
        <f>_xlfn.IFNA(IF(I$7="Fixed",1,IF(AND($D103="yes",I$7="Block"),INDEX($O745:$Q745,1,MATCH(I$5,$I68:$K68,0)),INDEX(Movements!$G745:$M745,1,MATCH(I$7,Movements!$G$716:$M$716,0))))
*I982*I$8,0)</f>
        <v>0</v>
      </c>
      <c r="J271" s="198">
        <f>_xlfn.IFNA(IF(J$7="Fixed",1,IF(AND($D103="yes",J$7="Block"),INDEX($O745:$Q745,1,MATCH(J$5,$I68:$K68,0)),INDEX(Movements!$G745:$M745,1,MATCH(J$7,Movements!$G$716:$M$716,0))))
*J982*J$8,0)</f>
        <v>0</v>
      </c>
      <c r="K271" s="198">
        <f>_xlfn.IFNA(IF(K$7="Fixed",1,IF(AND($D103="yes",K$7="Block"),INDEX($O745:$Q745,1,MATCH(K$5,$I68:$K68,0)),INDEX(Movements!$G745:$M745,1,MATCH(K$7,Movements!$G$716:$M$716,0))))
*K982*K$8,0)</f>
        <v>0</v>
      </c>
      <c r="L271" s="198">
        <f>_xlfn.IFNA(IF(L$7="Fixed",1,IF(AND($D103="yes",L$7="Block"),INDEX($O745:$Q745,1,MATCH(L$5,$I68:$K68,0)),INDEX(Movements!$G745:$M745,1,MATCH(L$7,Movements!$G$716:$M$716,0))))
*L982*L$8,0)</f>
        <v>0</v>
      </c>
      <c r="M271" s="198">
        <f>_xlfn.IFNA(IF(M$7="Fixed",1,IF(AND($D103="yes",M$7="Block"),INDEX($O745:$Q745,1,MATCH(M$5,$I68:$K68,0)),INDEX(Movements!$G745:$M745,1,MATCH(M$7,Movements!$G$716:$M$716,0))))
*M982*M$8,0)</f>
        <v>0</v>
      </c>
      <c r="N271" s="198">
        <f>_xlfn.IFNA(IF(N$7="Fixed",1,IF(AND($D103="yes",N$7="Block"),INDEX($O745:$Q745,1,MATCH(N$5,$I68:$K68,0)),INDEX(Movements!$G745:$M745,1,MATCH(N$7,Movements!$G$716:$M$716,0))))
*N982*N$8,0)</f>
        <v>0</v>
      </c>
      <c r="O271" s="198">
        <f>_xlfn.IFNA(IF(O$7="Fixed",1,IF(AND($D103="yes",O$7="Block"),INDEX($O745:$Q745,1,MATCH(O$5,$I68:$K68,0)),INDEX(Movements!$G745:$M745,1,MATCH(O$7,Movements!$G$716:$M$716,0))))
*O982*O$8,0)</f>
        <v>0</v>
      </c>
      <c r="P271" s="198">
        <f>_xlfn.IFNA(IF(P$7="Fixed",1,IF(AND($D103="yes",P$7="Block"),INDEX($O745:$Q745,1,MATCH(P$5,$I68:$K68,0)),INDEX(Movements!$G745:$M745,1,MATCH(P$7,Movements!$G$716:$M$716,0))))
*P982*P$8,0)</f>
        <v>0</v>
      </c>
      <c r="Q271" s="198">
        <f>_xlfn.IFNA(IF(Q$7="Fixed",1,IF(AND($D103="yes",Q$7="Block"),INDEX($O745:$Q745,1,MATCH(Q$5,$I68:$K68,0)),INDEX(Movements!$G745:$M745,1,MATCH(Q$7,Movements!$G$716:$M$716,0))))
*Q982*Q$8,0)</f>
        <v>0</v>
      </c>
      <c r="R271" s="198">
        <f>_xlfn.IFNA(IF(R$7="Fixed",1,IF(AND($D103="yes",R$7="Block"),INDEX($O745:$Q745,1,MATCH(R$5,$I68:$K68,0)),INDEX(Movements!$G745:$M745,1,MATCH(R$7,Movements!$G$716:$M$716,0))))
*R982*R$8,0)</f>
        <v>0</v>
      </c>
      <c r="S271" s="198">
        <f>_xlfn.IFNA(IF(S$7="Fixed",1,IF(AND($D103="yes",S$7="Block"),INDEX($O745:$Q745,1,MATCH(S$5,$I68:$K68,0)),INDEX(Movements!$G745:$M745,1,MATCH(S$7,Movements!$G$716:$M$716,0))))
*S982*S$8,0)</f>
        <v>0</v>
      </c>
      <c r="T271" s="198">
        <f>_xlfn.IFNA(IF(T$7="Fixed",1,IF(AND($D103="yes",T$7="Block"),INDEX($O745:$Q745,1,MATCH(T$5,$I68:$K68,0)),INDEX(Movements!$G745:$M745,1,MATCH(T$7,Movements!$G$716:$M$716,0))))
*T982*T$8,0)</f>
        <v>0</v>
      </c>
      <c r="U271" s="198">
        <f>_xlfn.IFNA(IF(U$7="Fixed",1,IF(AND($D103="yes",U$7="Block"),INDEX($O745:$Q745,1,MATCH(U$5,$I68:$K68,0)),INDEX(Movements!$G745:$M745,1,MATCH(U$7,Movements!$G$716:$M$716,0))))
*U982*U$8,0)</f>
        <v>0</v>
      </c>
      <c r="V271" s="198">
        <f>_xlfn.IFNA(IF(V$7="Fixed",1,IF(AND($D103="yes",V$7="Block"),INDEX($O745:$Q745,1,MATCH(V$5,$I68:$K68,0)),INDEX(Movements!$G745:$M745,1,MATCH(V$7,Movements!$G$716:$M$716,0))))
*V982*V$8,0)</f>
        <v>0</v>
      </c>
      <c r="W271" s="198">
        <f>_xlfn.IFNA(IF(W$7="Fixed",1,IF(AND($D103="yes",W$7="Block"),INDEX($O745:$Q745,1,MATCH(W$5,$I68:$K68,0)),INDEX(Movements!$G745:$M745,1,MATCH(W$7,Movements!$G$716:$M$716,0))))
*W982*W$8,0)</f>
        <v>0</v>
      </c>
      <c r="X271" s="198">
        <f>_xlfn.IFNA(IF(X$7="Fixed",1,IF(AND($D103="yes",X$7="Block"),INDEX($O745:$Q745,1,MATCH(X$5,$I68:$K68,0)),INDEX(Movements!$G745:$M745,1,MATCH(X$7,Movements!$G$716:$M$716,0))))
*X982*X$8,0)</f>
        <v>0</v>
      </c>
      <c r="Y271" s="198">
        <f>_xlfn.IFNA(IF(Y$7="Fixed",1,IF(AND($D103="yes",Y$7="Block"),INDEX($O745:$Q745,1,MATCH(Y$5,$I68:$K68,0)),INDEX(Movements!$G745:$M745,1,MATCH(Y$7,Movements!$G$716:$M$716,0))))
*Y982*Y$8,0)</f>
        <v>0</v>
      </c>
      <c r="Z271" s="198">
        <f>_xlfn.IFNA(IF(Z$7="Fixed",1,IF(AND($D103="yes",Z$7="Block"),INDEX($O745:$Q745,1,MATCH(Z$5,$I68:$K68,0)),INDEX(Movements!$G745:$M745,1,MATCH(Z$7,Movements!$G$716:$M$716,0))))
*Z982*Z$8,0)</f>
        <v>0</v>
      </c>
      <c r="AA271" s="198">
        <f>_xlfn.IFNA(IF(AA$7="Fixed",1,IF(AND($D103="yes",AA$7="Block"),INDEX($O745:$Q745,1,MATCH(AA$5,$I68:$K68,0)),INDEX(Movements!$G745:$M745,1,MATCH(AA$7,Movements!$G$716:$M$716,0))))
*AA982*AA$8,0)</f>
        <v>0</v>
      </c>
      <c r="AB271" s="198">
        <f>_xlfn.IFNA(IF(AB$7="Fixed",1,IF(AND($D103="yes",AB$7="Block"),INDEX($O745:$Q745,1,MATCH(AB$5,$I68:$K68,0)),INDEX(Movements!$G745:$M745,1,MATCH(AB$7,Movements!$G$716:$M$716,0))))
*AB982*AB$8,0)</f>
        <v>0</v>
      </c>
      <c r="AC271" s="70"/>
      <c r="AD271" s="19"/>
      <c r="AE271" s="19"/>
      <c r="AF271" s="19"/>
      <c r="AG271" s="19"/>
    </row>
    <row r="272" spans="1:33" hidden="1" outlineLevel="3" x14ac:dyDescent="0.2">
      <c r="A272" s="19"/>
      <c r="B272" s="97">
        <v>28</v>
      </c>
      <c r="C272" s="506">
        <f t="shared" si="45"/>
        <v>0</v>
      </c>
      <c r="D272" s="505">
        <f t="shared" si="45"/>
        <v>0</v>
      </c>
      <c r="E272" s="505">
        <f t="shared" si="45"/>
        <v>0</v>
      </c>
      <c r="F272" s="58"/>
      <c r="G272" s="199">
        <f t="shared" si="46"/>
        <v>0</v>
      </c>
      <c r="H272" s="58"/>
      <c r="I272" s="198">
        <f>_xlfn.IFNA(IF(I$7="Fixed",1,IF(AND($D104="yes",I$7="Block"),INDEX($O746:$Q746,1,MATCH(I$5,$I69:$K69,0)),INDEX(Movements!$G746:$M746,1,MATCH(I$7,Movements!$G$716:$M$716,0))))
*I983*I$8,0)</f>
        <v>0</v>
      </c>
      <c r="J272" s="198">
        <f>_xlfn.IFNA(IF(J$7="Fixed",1,IF(AND($D104="yes",J$7="Block"),INDEX($O746:$Q746,1,MATCH(J$5,$I69:$K69,0)),INDEX(Movements!$G746:$M746,1,MATCH(J$7,Movements!$G$716:$M$716,0))))
*J983*J$8,0)</f>
        <v>0</v>
      </c>
      <c r="K272" s="198">
        <f>_xlfn.IFNA(IF(K$7="Fixed",1,IF(AND($D104="yes",K$7="Block"),INDEX($O746:$Q746,1,MATCH(K$5,$I69:$K69,0)),INDEX(Movements!$G746:$M746,1,MATCH(K$7,Movements!$G$716:$M$716,0))))
*K983*K$8,0)</f>
        <v>0</v>
      </c>
      <c r="L272" s="198">
        <f>_xlfn.IFNA(IF(L$7="Fixed",1,IF(AND($D104="yes",L$7="Block"),INDEX($O746:$Q746,1,MATCH(L$5,$I69:$K69,0)),INDEX(Movements!$G746:$M746,1,MATCH(L$7,Movements!$G$716:$M$716,0))))
*L983*L$8,0)</f>
        <v>0</v>
      </c>
      <c r="M272" s="198">
        <f>_xlfn.IFNA(IF(M$7="Fixed",1,IF(AND($D104="yes",M$7="Block"),INDEX($O746:$Q746,1,MATCH(M$5,$I69:$K69,0)),INDEX(Movements!$G746:$M746,1,MATCH(M$7,Movements!$G$716:$M$716,0))))
*M983*M$8,0)</f>
        <v>0</v>
      </c>
      <c r="N272" s="198">
        <f>_xlfn.IFNA(IF(N$7="Fixed",1,IF(AND($D104="yes",N$7="Block"),INDEX($O746:$Q746,1,MATCH(N$5,$I69:$K69,0)),INDEX(Movements!$G746:$M746,1,MATCH(N$7,Movements!$G$716:$M$716,0))))
*N983*N$8,0)</f>
        <v>0</v>
      </c>
      <c r="O272" s="198">
        <f>_xlfn.IFNA(IF(O$7="Fixed",1,IF(AND($D104="yes",O$7="Block"),INDEX($O746:$Q746,1,MATCH(O$5,$I69:$K69,0)),INDEX(Movements!$G746:$M746,1,MATCH(O$7,Movements!$G$716:$M$716,0))))
*O983*O$8,0)</f>
        <v>0</v>
      </c>
      <c r="P272" s="198">
        <f>_xlfn.IFNA(IF(P$7="Fixed",1,IF(AND($D104="yes",P$7="Block"),INDEX($O746:$Q746,1,MATCH(P$5,$I69:$K69,0)),INDEX(Movements!$G746:$M746,1,MATCH(P$7,Movements!$G$716:$M$716,0))))
*P983*P$8,0)</f>
        <v>0</v>
      </c>
      <c r="Q272" s="198">
        <f>_xlfn.IFNA(IF(Q$7="Fixed",1,IF(AND($D104="yes",Q$7="Block"),INDEX($O746:$Q746,1,MATCH(Q$5,$I69:$K69,0)),INDEX(Movements!$G746:$M746,1,MATCH(Q$7,Movements!$G$716:$M$716,0))))
*Q983*Q$8,0)</f>
        <v>0</v>
      </c>
      <c r="R272" s="198">
        <f>_xlfn.IFNA(IF(R$7="Fixed",1,IF(AND($D104="yes",R$7="Block"),INDEX($O746:$Q746,1,MATCH(R$5,$I69:$K69,0)),INDEX(Movements!$G746:$M746,1,MATCH(R$7,Movements!$G$716:$M$716,0))))
*R983*R$8,0)</f>
        <v>0</v>
      </c>
      <c r="S272" s="198">
        <f>_xlfn.IFNA(IF(S$7="Fixed",1,IF(AND($D104="yes",S$7="Block"),INDEX($O746:$Q746,1,MATCH(S$5,$I69:$K69,0)),INDEX(Movements!$G746:$M746,1,MATCH(S$7,Movements!$G$716:$M$716,0))))
*S983*S$8,0)</f>
        <v>0</v>
      </c>
      <c r="T272" s="198">
        <f>_xlfn.IFNA(IF(T$7="Fixed",1,IF(AND($D104="yes",T$7="Block"),INDEX($O746:$Q746,1,MATCH(T$5,$I69:$K69,0)),INDEX(Movements!$G746:$M746,1,MATCH(T$7,Movements!$G$716:$M$716,0))))
*T983*T$8,0)</f>
        <v>0</v>
      </c>
      <c r="U272" s="198">
        <f>_xlfn.IFNA(IF(U$7="Fixed",1,IF(AND($D104="yes",U$7="Block"),INDEX($O746:$Q746,1,MATCH(U$5,$I69:$K69,0)),INDEX(Movements!$G746:$M746,1,MATCH(U$7,Movements!$G$716:$M$716,0))))
*U983*U$8,0)</f>
        <v>0</v>
      </c>
      <c r="V272" s="198">
        <f>_xlfn.IFNA(IF(V$7="Fixed",1,IF(AND($D104="yes",V$7="Block"),INDEX($O746:$Q746,1,MATCH(V$5,$I69:$K69,0)),INDEX(Movements!$G746:$M746,1,MATCH(V$7,Movements!$G$716:$M$716,0))))
*V983*V$8,0)</f>
        <v>0</v>
      </c>
      <c r="W272" s="198">
        <f>_xlfn.IFNA(IF(W$7="Fixed",1,IF(AND($D104="yes",W$7="Block"),INDEX($O746:$Q746,1,MATCH(W$5,$I69:$K69,0)),INDEX(Movements!$G746:$M746,1,MATCH(W$7,Movements!$G$716:$M$716,0))))
*W983*W$8,0)</f>
        <v>0</v>
      </c>
      <c r="X272" s="198">
        <f>_xlfn.IFNA(IF(X$7="Fixed",1,IF(AND($D104="yes",X$7="Block"),INDEX($O746:$Q746,1,MATCH(X$5,$I69:$K69,0)),INDEX(Movements!$G746:$M746,1,MATCH(X$7,Movements!$G$716:$M$716,0))))
*X983*X$8,0)</f>
        <v>0</v>
      </c>
      <c r="Y272" s="198">
        <f>_xlfn.IFNA(IF(Y$7="Fixed",1,IF(AND($D104="yes",Y$7="Block"),INDEX($O746:$Q746,1,MATCH(Y$5,$I69:$K69,0)),INDEX(Movements!$G746:$M746,1,MATCH(Y$7,Movements!$G$716:$M$716,0))))
*Y983*Y$8,0)</f>
        <v>0</v>
      </c>
      <c r="Z272" s="198">
        <f>_xlfn.IFNA(IF(Z$7="Fixed",1,IF(AND($D104="yes",Z$7="Block"),INDEX($O746:$Q746,1,MATCH(Z$5,$I69:$K69,0)),INDEX(Movements!$G746:$M746,1,MATCH(Z$7,Movements!$G$716:$M$716,0))))
*Z983*Z$8,0)</f>
        <v>0</v>
      </c>
      <c r="AA272" s="198">
        <f>_xlfn.IFNA(IF(AA$7="Fixed",1,IF(AND($D104="yes",AA$7="Block"),INDEX($O746:$Q746,1,MATCH(AA$5,$I69:$K69,0)),INDEX(Movements!$G746:$M746,1,MATCH(AA$7,Movements!$G$716:$M$716,0))))
*AA983*AA$8,0)</f>
        <v>0</v>
      </c>
      <c r="AB272" s="198">
        <f>_xlfn.IFNA(IF(AB$7="Fixed",1,IF(AND($D104="yes",AB$7="Block"),INDEX($O746:$Q746,1,MATCH(AB$5,$I69:$K69,0)),INDEX(Movements!$G746:$M746,1,MATCH(AB$7,Movements!$G$716:$M$716,0))))
*AB983*AB$8,0)</f>
        <v>0</v>
      </c>
      <c r="AC272" s="70"/>
      <c r="AD272" s="19"/>
      <c r="AE272" s="19"/>
      <c r="AF272" s="19"/>
      <c r="AG272" s="19"/>
    </row>
    <row r="273" spans="1:33" hidden="1" outlineLevel="3" x14ac:dyDescent="0.2">
      <c r="A273" s="19"/>
      <c r="B273" s="97">
        <v>29</v>
      </c>
      <c r="C273" s="506">
        <f t="shared" si="45"/>
        <v>0</v>
      </c>
      <c r="D273" s="505">
        <f t="shared" si="45"/>
        <v>0</v>
      </c>
      <c r="E273" s="505">
        <f t="shared" si="45"/>
        <v>0</v>
      </c>
      <c r="F273" s="58"/>
      <c r="G273" s="199">
        <f t="shared" si="46"/>
        <v>0</v>
      </c>
      <c r="H273" s="58"/>
      <c r="I273" s="198">
        <f>_xlfn.IFNA(IF(I$7="Fixed",1,IF(AND($D105="yes",I$7="Block"),INDEX($O747:$Q747,1,MATCH(I$5,$I70:$K70,0)),INDEX(Movements!$G747:$M747,1,MATCH(I$7,Movements!$G$716:$M$716,0))))
*I984*I$8,0)</f>
        <v>0</v>
      </c>
      <c r="J273" s="198">
        <f>_xlfn.IFNA(IF(J$7="Fixed",1,IF(AND($D105="yes",J$7="Block"),INDEX($O747:$Q747,1,MATCH(J$5,$I70:$K70,0)),INDEX(Movements!$G747:$M747,1,MATCH(J$7,Movements!$G$716:$M$716,0))))
*J984*J$8,0)</f>
        <v>0</v>
      </c>
      <c r="K273" s="198">
        <f>_xlfn.IFNA(IF(K$7="Fixed",1,IF(AND($D105="yes",K$7="Block"),INDEX($O747:$Q747,1,MATCH(K$5,$I70:$K70,0)),INDEX(Movements!$G747:$M747,1,MATCH(K$7,Movements!$G$716:$M$716,0))))
*K984*K$8,0)</f>
        <v>0</v>
      </c>
      <c r="L273" s="198">
        <f>_xlfn.IFNA(IF(L$7="Fixed",1,IF(AND($D105="yes",L$7="Block"),INDEX($O747:$Q747,1,MATCH(L$5,$I70:$K70,0)),INDEX(Movements!$G747:$M747,1,MATCH(L$7,Movements!$G$716:$M$716,0))))
*L984*L$8,0)</f>
        <v>0</v>
      </c>
      <c r="M273" s="198">
        <f>_xlfn.IFNA(IF(M$7="Fixed",1,IF(AND($D105="yes",M$7="Block"),INDEX($O747:$Q747,1,MATCH(M$5,$I70:$K70,0)),INDEX(Movements!$G747:$M747,1,MATCH(M$7,Movements!$G$716:$M$716,0))))
*M984*M$8,0)</f>
        <v>0</v>
      </c>
      <c r="N273" s="198">
        <f>_xlfn.IFNA(IF(N$7="Fixed",1,IF(AND($D105="yes",N$7="Block"),INDEX($O747:$Q747,1,MATCH(N$5,$I70:$K70,0)),INDEX(Movements!$G747:$M747,1,MATCH(N$7,Movements!$G$716:$M$716,0))))
*N984*N$8,0)</f>
        <v>0</v>
      </c>
      <c r="O273" s="198">
        <f>_xlfn.IFNA(IF(O$7="Fixed",1,IF(AND($D105="yes",O$7="Block"),INDEX($O747:$Q747,1,MATCH(O$5,$I70:$K70,0)),INDEX(Movements!$G747:$M747,1,MATCH(O$7,Movements!$G$716:$M$716,0))))
*O984*O$8,0)</f>
        <v>0</v>
      </c>
      <c r="P273" s="198">
        <f>_xlfn.IFNA(IF(P$7="Fixed",1,IF(AND($D105="yes",P$7="Block"),INDEX($O747:$Q747,1,MATCH(P$5,$I70:$K70,0)),INDEX(Movements!$G747:$M747,1,MATCH(P$7,Movements!$G$716:$M$716,0))))
*P984*P$8,0)</f>
        <v>0</v>
      </c>
      <c r="Q273" s="198">
        <f>_xlfn.IFNA(IF(Q$7="Fixed",1,IF(AND($D105="yes",Q$7="Block"),INDEX($O747:$Q747,1,MATCH(Q$5,$I70:$K70,0)),INDEX(Movements!$G747:$M747,1,MATCH(Q$7,Movements!$G$716:$M$716,0))))
*Q984*Q$8,0)</f>
        <v>0</v>
      </c>
      <c r="R273" s="198">
        <f>_xlfn.IFNA(IF(R$7="Fixed",1,IF(AND($D105="yes",R$7="Block"),INDEX($O747:$Q747,1,MATCH(R$5,$I70:$K70,0)),INDEX(Movements!$G747:$M747,1,MATCH(R$7,Movements!$G$716:$M$716,0))))
*R984*R$8,0)</f>
        <v>0</v>
      </c>
      <c r="S273" s="198">
        <f>_xlfn.IFNA(IF(S$7="Fixed",1,IF(AND($D105="yes",S$7="Block"),INDEX($O747:$Q747,1,MATCH(S$5,$I70:$K70,0)),INDEX(Movements!$G747:$M747,1,MATCH(S$7,Movements!$G$716:$M$716,0))))
*S984*S$8,0)</f>
        <v>0</v>
      </c>
      <c r="T273" s="198">
        <f>_xlfn.IFNA(IF(T$7="Fixed",1,IF(AND($D105="yes",T$7="Block"),INDEX($O747:$Q747,1,MATCH(T$5,$I70:$K70,0)),INDEX(Movements!$G747:$M747,1,MATCH(T$7,Movements!$G$716:$M$716,0))))
*T984*T$8,0)</f>
        <v>0</v>
      </c>
      <c r="U273" s="198">
        <f>_xlfn.IFNA(IF(U$7="Fixed",1,IF(AND($D105="yes",U$7="Block"),INDEX($O747:$Q747,1,MATCH(U$5,$I70:$K70,0)),INDEX(Movements!$G747:$M747,1,MATCH(U$7,Movements!$G$716:$M$716,0))))
*U984*U$8,0)</f>
        <v>0</v>
      </c>
      <c r="V273" s="198">
        <f>_xlfn.IFNA(IF(V$7="Fixed",1,IF(AND($D105="yes",V$7="Block"),INDEX($O747:$Q747,1,MATCH(V$5,$I70:$K70,0)),INDEX(Movements!$G747:$M747,1,MATCH(V$7,Movements!$G$716:$M$716,0))))
*V984*V$8,0)</f>
        <v>0</v>
      </c>
      <c r="W273" s="198">
        <f>_xlfn.IFNA(IF(W$7="Fixed",1,IF(AND($D105="yes",W$7="Block"),INDEX($O747:$Q747,1,MATCH(W$5,$I70:$K70,0)),INDEX(Movements!$G747:$M747,1,MATCH(W$7,Movements!$G$716:$M$716,0))))
*W984*W$8,0)</f>
        <v>0</v>
      </c>
      <c r="X273" s="198">
        <f>_xlfn.IFNA(IF(X$7="Fixed",1,IF(AND($D105="yes",X$7="Block"),INDEX($O747:$Q747,1,MATCH(X$5,$I70:$K70,0)),INDEX(Movements!$G747:$M747,1,MATCH(X$7,Movements!$G$716:$M$716,0))))
*X984*X$8,0)</f>
        <v>0</v>
      </c>
      <c r="Y273" s="198">
        <f>_xlfn.IFNA(IF(Y$7="Fixed",1,IF(AND($D105="yes",Y$7="Block"),INDEX($O747:$Q747,1,MATCH(Y$5,$I70:$K70,0)),INDEX(Movements!$G747:$M747,1,MATCH(Y$7,Movements!$G$716:$M$716,0))))
*Y984*Y$8,0)</f>
        <v>0</v>
      </c>
      <c r="Z273" s="198">
        <f>_xlfn.IFNA(IF(Z$7="Fixed",1,IF(AND($D105="yes",Z$7="Block"),INDEX($O747:$Q747,1,MATCH(Z$5,$I70:$K70,0)),INDEX(Movements!$G747:$M747,1,MATCH(Z$7,Movements!$G$716:$M$716,0))))
*Z984*Z$8,0)</f>
        <v>0</v>
      </c>
      <c r="AA273" s="198">
        <f>_xlfn.IFNA(IF(AA$7="Fixed",1,IF(AND($D105="yes",AA$7="Block"),INDEX($O747:$Q747,1,MATCH(AA$5,$I70:$K70,0)),INDEX(Movements!$G747:$M747,1,MATCH(AA$7,Movements!$G$716:$M$716,0))))
*AA984*AA$8,0)</f>
        <v>0</v>
      </c>
      <c r="AB273" s="198">
        <f>_xlfn.IFNA(IF(AB$7="Fixed",1,IF(AND($D105="yes",AB$7="Block"),INDEX($O747:$Q747,1,MATCH(AB$5,$I70:$K70,0)),INDEX(Movements!$G747:$M747,1,MATCH(AB$7,Movements!$G$716:$M$716,0))))
*AB984*AB$8,0)</f>
        <v>0</v>
      </c>
      <c r="AC273" s="70"/>
      <c r="AD273" s="19"/>
      <c r="AE273" s="19"/>
      <c r="AF273" s="19"/>
      <c r="AG273" s="19"/>
    </row>
    <row r="274" spans="1:33" hidden="1" outlineLevel="3" x14ac:dyDescent="0.2">
      <c r="A274" s="19"/>
      <c r="B274" s="98">
        <v>30</v>
      </c>
      <c r="C274" s="506">
        <f t="shared" si="45"/>
        <v>0</v>
      </c>
      <c r="D274" s="505">
        <f t="shared" si="45"/>
        <v>0</v>
      </c>
      <c r="E274" s="505">
        <f t="shared" si="45"/>
        <v>0</v>
      </c>
      <c r="F274" s="58"/>
      <c r="G274" s="199">
        <f t="shared" si="46"/>
        <v>0</v>
      </c>
      <c r="H274" s="58"/>
      <c r="I274" s="198">
        <f>_xlfn.IFNA(IF(I$7="Fixed",1,IF(AND($D106="yes",I$7="Block"),INDEX($O748:$Q748,1,MATCH(I$5,$I71:$K71,0)),INDEX(Movements!$G748:$M748,1,MATCH(I$7,Movements!$G$716:$M$716,0))))
*I985*I$8,0)</f>
        <v>0</v>
      </c>
      <c r="J274" s="198">
        <f>_xlfn.IFNA(IF(J$7="Fixed",1,IF(AND($D106="yes",J$7="Block"),INDEX($O748:$Q748,1,MATCH(J$5,$I71:$K71,0)),INDEX(Movements!$G748:$M748,1,MATCH(J$7,Movements!$G$716:$M$716,0))))
*J985*J$8,0)</f>
        <v>0</v>
      </c>
      <c r="K274" s="198">
        <f>_xlfn.IFNA(IF(K$7="Fixed",1,IF(AND($D106="yes",K$7="Block"),INDEX($O748:$Q748,1,MATCH(K$5,$I71:$K71,0)),INDEX(Movements!$G748:$M748,1,MATCH(K$7,Movements!$G$716:$M$716,0))))
*K985*K$8,0)</f>
        <v>0</v>
      </c>
      <c r="L274" s="198">
        <f>_xlfn.IFNA(IF(L$7="Fixed",1,IF(AND($D106="yes",L$7="Block"),INDEX($O748:$Q748,1,MATCH(L$5,$I71:$K71,0)),INDEX(Movements!$G748:$M748,1,MATCH(L$7,Movements!$G$716:$M$716,0))))
*L985*L$8,0)</f>
        <v>0</v>
      </c>
      <c r="M274" s="198">
        <f>_xlfn.IFNA(IF(M$7="Fixed",1,IF(AND($D106="yes",M$7="Block"),INDEX($O748:$Q748,1,MATCH(M$5,$I71:$K71,0)),INDEX(Movements!$G748:$M748,1,MATCH(M$7,Movements!$G$716:$M$716,0))))
*M985*M$8,0)</f>
        <v>0</v>
      </c>
      <c r="N274" s="198">
        <f>_xlfn.IFNA(IF(N$7="Fixed",1,IF(AND($D106="yes",N$7="Block"),INDEX($O748:$Q748,1,MATCH(N$5,$I71:$K71,0)),INDEX(Movements!$G748:$M748,1,MATCH(N$7,Movements!$G$716:$M$716,0))))
*N985*N$8,0)</f>
        <v>0</v>
      </c>
      <c r="O274" s="198">
        <f>_xlfn.IFNA(IF(O$7="Fixed",1,IF(AND($D106="yes",O$7="Block"),INDEX($O748:$Q748,1,MATCH(O$5,$I71:$K71,0)),INDEX(Movements!$G748:$M748,1,MATCH(O$7,Movements!$G$716:$M$716,0))))
*O985*O$8,0)</f>
        <v>0</v>
      </c>
      <c r="P274" s="198">
        <f>_xlfn.IFNA(IF(P$7="Fixed",1,IF(AND($D106="yes",P$7="Block"),INDEX($O748:$Q748,1,MATCH(P$5,$I71:$K71,0)),INDEX(Movements!$G748:$M748,1,MATCH(P$7,Movements!$G$716:$M$716,0))))
*P985*P$8,0)</f>
        <v>0</v>
      </c>
      <c r="Q274" s="198">
        <f>_xlfn.IFNA(IF(Q$7="Fixed",1,IF(AND($D106="yes",Q$7="Block"),INDEX($O748:$Q748,1,MATCH(Q$5,$I71:$K71,0)),INDEX(Movements!$G748:$M748,1,MATCH(Q$7,Movements!$G$716:$M$716,0))))
*Q985*Q$8,0)</f>
        <v>0</v>
      </c>
      <c r="R274" s="198">
        <f>_xlfn.IFNA(IF(R$7="Fixed",1,IF(AND($D106="yes",R$7="Block"),INDEX($O748:$Q748,1,MATCH(R$5,$I71:$K71,0)),INDEX(Movements!$G748:$M748,1,MATCH(R$7,Movements!$G$716:$M$716,0))))
*R985*R$8,0)</f>
        <v>0</v>
      </c>
      <c r="S274" s="198">
        <f>_xlfn.IFNA(IF(S$7="Fixed",1,IF(AND($D106="yes",S$7="Block"),INDEX($O748:$Q748,1,MATCH(S$5,$I71:$K71,0)),INDEX(Movements!$G748:$M748,1,MATCH(S$7,Movements!$G$716:$M$716,0))))
*S985*S$8,0)</f>
        <v>0</v>
      </c>
      <c r="T274" s="198">
        <f>_xlfn.IFNA(IF(T$7="Fixed",1,IF(AND($D106="yes",T$7="Block"),INDEX($O748:$Q748,1,MATCH(T$5,$I71:$K71,0)),INDEX(Movements!$G748:$M748,1,MATCH(T$7,Movements!$G$716:$M$716,0))))
*T985*T$8,0)</f>
        <v>0</v>
      </c>
      <c r="U274" s="198">
        <f>_xlfn.IFNA(IF(U$7="Fixed",1,IF(AND($D106="yes",U$7="Block"),INDEX($O748:$Q748,1,MATCH(U$5,$I71:$K71,0)),INDEX(Movements!$G748:$M748,1,MATCH(U$7,Movements!$G$716:$M$716,0))))
*U985*U$8,0)</f>
        <v>0</v>
      </c>
      <c r="V274" s="198">
        <f>_xlfn.IFNA(IF(V$7="Fixed",1,IF(AND($D106="yes",V$7="Block"),INDEX($O748:$Q748,1,MATCH(V$5,$I71:$K71,0)),INDEX(Movements!$G748:$M748,1,MATCH(V$7,Movements!$G$716:$M$716,0))))
*V985*V$8,0)</f>
        <v>0</v>
      </c>
      <c r="W274" s="198">
        <f>_xlfn.IFNA(IF(W$7="Fixed",1,IF(AND($D106="yes",W$7="Block"),INDEX($O748:$Q748,1,MATCH(W$5,$I71:$K71,0)),INDEX(Movements!$G748:$M748,1,MATCH(W$7,Movements!$G$716:$M$716,0))))
*W985*W$8,0)</f>
        <v>0</v>
      </c>
      <c r="X274" s="198">
        <f>_xlfn.IFNA(IF(X$7="Fixed",1,IF(AND($D106="yes",X$7="Block"),INDEX($O748:$Q748,1,MATCH(X$5,$I71:$K71,0)),INDEX(Movements!$G748:$M748,1,MATCH(X$7,Movements!$G$716:$M$716,0))))
*X985*X$8,0)</f>
        <v>0</v>
      </c>
      <c r="Y274" s="198">
        <f>_xlfn.IFNA(IF(Y$7="Fixed",1,IF(AND($D106="yes",Y$7="Block"),INDEX($O748:$Q748,1,MATCH(Y$5,$I71:$K71,0)),INDEX(Movements!$G748:$M748,1,MATCH(Y$7,Movements!$G$716:$M$716,0))))
*Y985*Y$8,0)</f>
        <v>0</v>
      </c>
      <c r="Z274" s="198">
        <f>_xlfn.IFNA(IF(Z$7="Fixed",1,IF(AND($D106="yes",Z$7="Block"),INDEX($O748:$Q748,1,MATCH(Z$5,$I71:$K71,0)),INDEX(Movements!$G748:$M748,1,MATCH(Z$7,Movements!$G$716:$M$716,0))))
*Z985*Z$8,0)</f>
        <v>0</v>
      </c>
      <c r="AA274" s="198">
        <f>_xlfn.IFNA(IF(AA$7="Fixed",1,IF(AND($D106="yes",AA$7="Block"),INDEX($O748:$Q748,1,MATCH(AA$5,$I71:$K71,0)),INDEX(Movements!$G748:$M748,1,MATCH(AA$7,Movements!$G$716:$M$716,0))))
*AA985*AA$8,0)</f>
        <v>0</v>
      </c>
      <c r="AB274" s="198">
        <f>_xlfn.IFNA(IF(AB$7="Fixed",1,IF(AND($D106="yes",AB$7="Block"),INDEX($O748:$Q748,1,MATCH(AB$5,$I71:$K71,0)),INDEX(Movements!$G748:$M748,1,MATCH(AB$7,Movements!$G$716:$M$716,0))))
*AB985*AB$8,0)</f>
        <v>0</v>
      </c>
      <c r="AC274" s="70"/>
      <c r="AD274" s="19"/>
      <c r="AE274" s="19"/>
      <c r="AF274" s="19"/>
      <c r="AG274" s="19"/>
    </row>
    <row r="275" spans="1:33" outlineLevel="2" collapsed="1" x14ac:dyDescent="0.2">
      <c r="A275" s="19"/>
      <c r="B275" s="19"/>
      <c r="C275" s="560"/>
      <c r="D275" s="558"/>
      <c r="E275" s="559"/>
      <c r="F275" s="58"/>
      <c r="G275" s="58"/>
      <c r="H275" s="58"/>
      <c r="I275" s="137"/>
      <c r="J275" s="137"/>
      <c r="K275" s="138"/>
      <c r="L275" s="138"/>
      <c r="M275" s="138"/>
      <c r="N275" s="139"/>
      <c r="O275" s="139"/>
      <c r="P275" s="139"/>
      <c r="Q275" s="139"/>
      <c r="R275" s="139"/>
      <c r="S275" s="138"/>
      <c r="T275" s="138"/>
      <c r="U275" s="138"/>
      <c r="V275" s="70"/>
      <c r="W275" s="70"/>
      <c r="X275" s="70"/>
      <c r="Y275" s="70"/>
      <c r="Z275" s="70"/>
      <c r="AA275" s="70"/>
      <c r="AB275" s="70"/>
      <c r="AC275" s="70"/>
      <c r="AD275" s="19"/>
      <c r="AE275" s="19"/>
      <c r="AF275" s="19"/>
      <c r="AG275" s="19"/>
    </row>
    <row r="276" spans="1:33" outlineLevel="1" x14ac:dyDescent="0.2">
      <c r="A276" s="19"/>
      <c r="B276" s="19"/>
      <c r="C276" s="66"/>
      <c r="D276" s="66"/>
      <c r="E276" s="58"/>
      <c r="F276" s="58"/>
      <c r="G276" s="58"/>
      <c r="H276" s="58"/>
      <c r="I276" s="137"/>
      <c r="J276" s="137"/>
      <c r="K276" s="138"/>
      <c r="L276" s="138"/>
      <c r="M276" s="138"/>
      <c r="N276" s="139"/>
      <c r="O276" s="139"/>
      <c r="P276" s="139"/>
      <c r="Q276" s="139"/>
      <c r="R276" s="139"/>
      <c r="S276" s="138"/>
      <c r="T276" s="138"/>
      <c r="U276" s="138"/>
      <c r="V276" s="70"/>
      <c r="W276" s="70"/>
      <c r="X276" s="70"/>
      <c r="Y276" s="70"/>
      <c r="Z276" s="70"/>
      <c r="AA276" s="70"/>
      <c r="AB276" s="70"/>
      <c r="AC276" s="70"/>
      <c r="AD276" s="19"/>
      <c r="AE276" s="19"/>
      <c r="AF276" s="19"/>
      <c r="AG276" s="19"/>
    </row>
    <row r="277" spans="1:33" outlineLevel="1" x14ac:dyDescent="0.2">
      <c r="A277" s="19"/>
      <c r="B277" s="19"/>
      <c r="C277" s="167" t="str">
        <f>C142</f>
        <v>JSA</v>
      </c>
      <c r="D277" s="167"/>
      <c r="E277" s="20"/>
      <c r="F277" s="20"/>
      <c r="G277" s="22"/>
      <c r="H277" s="22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70"/>
      <c r="W277" s="70"/>
      <c r="X277" s="70"/>
      <c r="Y277" s="70"/>
      <c r="Z277" s="70"/>
      <c r="AA277" s="70"/>
      <c r="AB277" s="70"/>
      <c r="AC277" s="70"/>
      <c r="AD277" s="19"/>
      <c r="AE277" s="19"/>
      <c r="AF277" s="19"/>
      <c r="AG277" s="19"/>
    </row>
    <row r="278" spans="1:33" hidden="1" outlineLevel="2" x14ac:dyDescent="0.2">
      <c r="A278" s="19"/>
      <c r="B278" s="19"/>
      <c r="C278" s="506" t="str">
        <f t="shared" ref="C278:E307" si="47">C212</f>
        <v>Small business time of use consumption</v>
      </c>
      <c r="D278" s="505">
        <f t="shared" si="47"/>
        <v>0</v>
      </c>
      <c r="E278" s="505" t="str">
        <f t="shared" si="47"/>
        <v>yes</v>
      </c>
      <c r="F278" s="20"/>
      <c r="G278" s="199">
        <f t="shared" ref="G278:G307" si="48">SUM(I278:AB278)</f>
        <v>0</v>
      </c>
      <c r="H278" s="22"/>
      <c r="I278" s="198">
        <f>_xlfn.IFNA(IF(I$7="Fixed",1,IF(AND($D77="yes",I$7="Block"),INDEX($O719:$Q719,1,MATCH(I$5,$I42:$K42,0)),INDEX(Movements!$G719:$M719,1,MATCH(I$7,Movements!$G$716:$M$716,0))))
*I989*I$8,0)</f>
        <v>0</v>
      </c>
      <c r="J278" s="198">
        <f>_xlfn.IFNA(IF(J$7="Fixed",1,IF(AND($D77="yes",J$7="Block"),INDEX($O719:$Q719,1,MATCH(J$5,$I42:$K42,0)),INDEX(Movements!$G719:$M719,1,MATCH(J$7,Movements!$G$716:$M$716,0))))
*J989*J$8,0)</f>
        <v>0</v>
      </c>
      <c r="K278" s="198">
        <f>_xlfn.IFNA(IF(K$7="Fixed",1,IF(AND($D77="yes",K$7="Block"),INDEX($O719:$Q719,1,MATCH(K$5,$I42:$K42,0)),INDEX(Movements!$G719:$M719,1,MATCH(K$7,Movements!$G$716:$M$716,0))))
*K989*K$8,0)</f>
        <v>0</v>
      </c>
      <c r="L278" s="198">
        <f>_xlfn.IFNA(IF(L$7="Fixed",1,IF(AND($D77="yes",L$7="Block"),INDEX($O719:$Q719,1,MATCH(L$5,$I42:$K42,0)),INDEX(Movements!$G719:$M719,1,MATCH(L$7,Movements!$G$716:$M$716,0))))
*L989*L$8,0)</f>
        <v>0</v>
      </c>
      <c r="M278" s="198">
        <f>_xlfn.IFNA(IF(M$7="Fixed",1,IF(AND($D77="yes",M$7="Block"),INDEX($O719:$Q719,1,MATCH(M$5,$I42:$K42,0)),INDEX(Movements!$G719:$M719,1,MATCH(M$7,Movements!$G$716:$M$716,0))))
*M989*M$8,0)</f>
        <v>0</v>
      </c>
      <c r="N278" s="198">
        <f>_xlfn.IFNA(IF(N$7="Fixed",1,IF(AND($D77="yes",N$7="Block"),INDEX($O719:$Q719,1,MATCH(N$5,$I42:$K42,0)),INDEX(Movements!$G719:$M719,1,MATCH(N$7,Movements!$G$716:$M$716,0))))
*N989*N$8,0)</f>
        <v>0</v>
      </c>
      <c r="O278" s="198">
        <f>_xlfn.IFNA(IF(O$7="Fixed",1,IF(AND($D77="yes",O$7="Block"),INDEX($O719:$Q719,1,MATCH(O$5,$I42:$K42,0)),INDEX(Movements!$G719:$M719,1,MATCH(O$7,Movements!$G$716:$M$716,0))))
*O989*O$8,0)</f>
        <v>0</v>
      </c>
      <c r="P278" s="198">
        <f>_xlfn.IFNA(IF(P$7="Fixed",1,IF(AND($D77="yes",P$7="Block"),INDEX($O719:$Q719,1,MATCH(P$5,$I42:$K42,0)),INDEX(Movements!$G719:$M719,1,MATCH(P$7,Movements!$G$716:$M$716,0))))
*P989*P$8,0)</f>
        <v>0</v>
      </c>
      <c r="Q278" s="198">
        <f>_xlfn.IFNA(IF(Q$7="Fixed",1,IF(AND($D77="yes",Q$7="Block"),INDEX($O719:$Q719,1,MATCH(Q$5,$I42:$K42,0)),INDEX(Movements!$G719:$M719,1,MATCH(Q$7,Movements!$G$716:$M$716,0))))
*Q989*Q$8,0)</f>
        <v>0</v>
      </c>
      <c r="R278" s="198">
        <f>_xlfn.IFNA(IF(R$7="Fixed",1,IF(AND($D77="yes",R$7="Block"),INDEX($O719:$Q719,1,MATCH(R$5,$I42:$K42,0)),INDEX(Movements!$G719:$M719,1,MATCH(R$7,Movements!$G$716:$M$716,0))))
*R989*R$8,0)</f>
        <v>0</v>
      </c>
      <c r="S278" s="198">
        <f>_xlfn.IFNA(IF(S$7="Fixed",1,IF(AND($D77="yes",S$7="Block"),INDEX($O719:$Q719,1,MATCH(S$5,$I42:$K42,0)),INDEX(Movements!$G719:$M719,1,MATCH(S$7,Movements!$G$716:$M$716,0))))
*S989*S$8,0)</f>
        <v>0</v>
      </c>
      <c r="T278" s="198">
        <f>_xlfn.IFNA(IF(T$7="Fixed",1,IF(AND($D77="yes",T$7="Block"),INDEX($O719:$Q719,1,MATCH(T$5,$I42:$K42,0)),INDEX(Movements!$G719:$M719,1,MATCH(T$7,Movements!$G$716:$M$716,0))))
*T989*T$8,0)</f>
        <v>0</v>
      </c>
      <c r="U278" s="198">
        <f>_xlfn.IFNA(IF(U$7="Fixed",1,IF(AND($D77="yes",U$7="Block"),INDEX($O719:$Q719,1,MATCH(U$5,$I42:$K42,0)),INDEX(Movements!$G719:$M719,1,MATCH(U$7,Movements!$G$716:$M$716,0))))
*U989*U$8,0)</f>
        <v>0</v>
      </c>
      <c r="V278" s="198">
        <f>_xlfn.IFNA(IF(V$7="Fixed",1,IF(AND($D77="yes",V$7="Block"),INDEX($O719:$Q719,1,MATCH(V$5,$I42:$K42,0)),INDEX(Movements!$G719:$M719,1,MATCH(V$7,Movements!$G$716:$M$716,0))))
*V989*V$8,0)</f>
        <v>0</v>
      </c>
      <c r="W278" s="198">
        <f>_xlfn.IFNA(IF(W$7="Fixed",1,IF(AND($D77="yes",W$7="Block"),INDEX($O719:$Q719,1,MATCH(W$5,$I42:$K42,0)),INDEX(Movements!$G719:$M719,1,MATCH(W$7,Movements!$G$716:$M$716,0))))
*W989*W$8,0)</f>
        <v>0</v>
      </c>
      <c r="X278" s="198">
        <f>_xlfn.IFNA(IF(X$7="Fixed",1,IF(AND($D77="yes",X$7="Block"),INDEX($O719:$Q719,1,MATCH(X$5,$I42:$K42,0)),INDEX(Movements!$G719:$M719,1,MATCH(X$7,Movements!$G$716:$M$716,0))))
*X989*X$8,0)</f>
        <v>0</v>
      </c>
      <c r="Y278" s="198">
        <f>_xlfn.IFNA(IF(Y$7="Fixed",1,IF(AND($D77="yes",Y$7="Block"),INDEX($O719:$Q719,1,MATCH(Y$5,$I42:$K42,0)),INDEX(Movements!$G719:$M719,1,MATCH(Y$7,Movements!$G$716:$M$716,0))))
*Y989*Y$8,0)</f>
        <v>0</v>
      </c>
      <c r="Z278" s="198">
        <f>_xlfn.IFNA(IF(Z$7="Fixed",1,IF(AND($D77="yes",Z$7="Block"),INDEX($O719:$Q719,1,MATCH(Z$5,$I42:$K42,0)),INDEX(Movements!$G719:$M719,1,MATCH(Z$7,Movements!$G$716:$M$716,0))))
*Z989*Z$8,0)</f>
        <v>0</v>
      </c>
      <c r="AA278" s="198">
        <f>_xlfn.IFNA(IF(AA$7="Fixed",1,IF(AND($D77="yes",AA$7="Block"),INDEX($O719:$Q719,1,MATCH(AA$5,$I42:$K42,0)),INDEX(Movements!$G719:$M719,1,MATCH(AA$7,Movements!$G$716:$M$716,0))))
*AA989*AA$8,0)</f>
        <v>0</v>
      </c>
      <c r="AB278" s="198">
        <f>_xlfn.IFNA(IF(AB$7="Fixed",1,IF(AND($D77="yes",AB$7="Block"),INDEX($O719:$Q719,1,MATCH(AB$5,$I42:$K42,0)),INDEX(Movements!$G719:$M719,1,MATCH(AB$7,Movements!$G$716:$M$716,0))))
*AB989*AB$8,0)</f>
        <v>0</v>
      </c>
      <c r="AC278" s="70"/>
      <c r="AD278" s="19"/>
      <c r="AE278" s="19"/>
      <c r="AF278" s="19"/>
      <c r="AG278" s="19"/>
    </row>
    <row r="279" spans="1:33" s="59" customFormat="1" hidden="1" outlineLevel="2" x14ac:dyDescent="0.2">
      <c r="A279" s="57"/>
      <c r="B279" s="57"/>
      <c r="C279" s="506" t="str">
        <f t="shared" si="47"/>
        <v>Small business general light and power</v>
      </c>
      <c r="D279" s="505">
        <f t="shared" si="47"/>
        <v>0</v>
      </c>
      <c r="E279" s="505" t="str">
        <f t="shared" si="47"/>
        <v>no</v>
      </c>
      <c r="F279" s="58"/>
      <c r="G279" s="199">
        <f t="shared" si="48"/>
        <v>0</v>
      </c>
      <c r="H279" s="58"/>
      <c r="I279" s="198">
        <f>_xlfn.IFNA(IF(I$7="Fixed",1,IF(AND($D78="yes",I$7="Block"),INDEX($O720:$Q720,1,MATCH(I$5,$I43:$K43,0)),INDEX(Movements!$G720:$M720,1,MATCH(I$7,Movements!$G$716:$M$716,0))))
*I990*I$8,0)</f>
        <v>0</v>
      </c>
      <c r="J279" s="198">
        <f>_xlfn.IFNA(IF(J$7="Fixed",1,IF(AND($D78="yes",J$7="Block"),INDEX($O720:$Q720,1,MATCH(J$5,$I43:$K43,0)),INDEX(Movements!$G720:$M720,1,MATCH(J$7,Movements!$G$716:$M$716,0))))
*J990*J$8,0)</f>
        <v>0</v>
      </c>
      <c r="K279" s="198">
        <f>_xlfn.IFNA(IF(K$7="Fixed",1,IF(AND($D78="yes",K$7="Block"),INDEX($O720:$Q720,1,MATCH(K$5,$I43:$K43,0)),INDEX(Movements!$G720:$M720,1,MATCH(K$7,Movements!$G$716:$M$716,0))))
*K990*K$8,0)</f>
        <v>0</v>
      </c>
      <c r="L279" s="198">
        <f>_xlfn.IFNA(IF(L$7="Fixed",1,IF(AND($D78="yes",L$7="Block"),INDEX($O720:$Q720,1,MATCH(L$5,$I43:$K43,0)),INDEX(Movements!$G720:$M720,1,MATCH(L$7,Movements!$G$716:$M$716,0))))
*L990*L$8,0)</f>
        <v>0</v>
      </c>
      <c r="M279" s="198">
        <f>_xlfn.IFNA(IF(M$7="Fixed",1,IF(AND($D78="yes",M$7="Block"),INDEX($O720:$Q720,1,MATCH(M$5,$I43:$K43,0)),INDEX(Movements!$G720:$M720,1,MATCH(M$7,Movements!$G$716:$M$716,0))))
*M990*M$8,0)</f>
        <v>0</v>
      </c>
      <c r="N279" s="198">
        <f>_xlfn.IFNA(IF(N$7="Fixed",1,IF(AND($D78="yes",N$7="Block"),INDEX($O720:$Q720,1,MATCH(N$5,$I43:$K43,0)),INDEX(Movements!$G720:$M720,1,MATCH(N$7,Movements!$G$716:$M$716,0))))
*N990*N$8,0)</f>
        <v>0</v>
      </c>
      <c r="O279" s="198">
        <f>_xlfn.IFNA(IF(O$7="Fixed",1,IF(AND($D78="yes",O$7="Block"),INDEX($O720:$Q720,1,MATCH(O$5,$I43:$K43,0)),INDEX(Movements!$G720:$M720,1,MATCH(O$7,Movements!$G$716:$M$716,0))))
*O990*O$8,0)</f>
        <v>0</v>
      </c>
      <c r="P279" s="198">
        <f>_xlfn.IFNA(IF(P$7="Fixed",1,IF(AND($D78="yes",P$7="Block"),INDEX($O720:$Q720,1,MATCH(P$5,$I43:$K43,0)),INDEX(Movements!$G720:$M720,1,MATCH(P$7,Movements!$G$716:$M$716,0))))
*P990*P$8,0)</f>
        <v>0</v>
      </c>
      <c r="Q279" s="198">
        <f>_xlfn.IFNA(IF(Q$7="Fixed",1,IF(AND($D78="yes",Q$7="Block"),INDEX($O720:$Q720,1,MATCH(Q$5,$I43:$K43,0)),INDEX(Movements!$G720:$M720,1,MATCH(Q$7,Movements!$G$716:$M$716,0))))
*Q990*Q$8,0)</f>
        <v>0</v>
      </c>
      <c r="R279" s="198">
        <f>_xlfn.IFNA(IF(R$7="Fixed",1,IF(AND($D78="yes",R$7="Block"),INDEX($O720:$Q720,1,MATCH(R$5,$I43:$K43,0)),INDEX(Movements!$G720:$M720,1,MATCH(R$7,Movements!$G$716:$M$716,0))))
*R990*R$8,0)</f>
        <v>0</v>
      </c>
      <c r="S279" s="198">
        <f>_xlfn.IFNA(IF(S$7="Fixed",1,IF(AND($D78="yes",S$7="Block"),INDEX($O720:$Q720,1,MATCH(S$5,$I43:$K43,0)),INDEX(Movements!$G720:$M720,1,MATCH(S$7,Movements!$G$716:$M$716,0))))
*S990*S$8,0)</f>
        <v>0</v>
      </c>
      <c r="T279" s="198">
        <f>_xlfn.IFNA(IF(T$7="Fixed",1,IF(AND($D78="yes",T$7="Block"),INDEX($O720:$Q720,1,MATCH(T$5,$I43:$K43,0)),INDEX(Movements!$G720:$M720,1,MATCH(T$7,Movements!$G$716:$M$716,0))))
*T990*T$8,0)</f>
        <v>0</v>
      </c>
      <c r="U279" s="198">
        <f>_xlfn.IFNA(IF(U$7="Fixed",1,IF(AND($D78="yes",U$7="Block"),INDEX($O720:$Q720,1,MATCH(U$5,$I43:$K43,0)),INDEX(Movements!$G720:$M720,1,MATCH(U$7,Movements!$G$716:$M$716,0))))
*U990*U$8,0)</f>
        <v>0</v>
      </c>
      <c r="V279" s="198">
        <f>_xlfn.IFNA(IF(V$7="Fixed",1,IF(AND($D78="yes",V$7="Block"),INDEX($O720:$Q720,1,MATCH(V$5,$I43:$K43,0)),INDEX(Movements!$G720:$M720,1,MATCH(V$7,Movements!$G$716:$M$716,0))))
*V990*V$8,0)</f>
        <v>0</v>
      </c>
      <c r="W279" s="198">
        <f>_xlfn.IFNA(IF(W$7="Fixed",1,IF(AND($D78="yes",W$7="Block"),INDEX($O720:$Q720,1,MATCH(W$5,$I43:$K43,0)),INDEX(Movements!$G720:$M720,1,MATCH(W$7,Movements!$G$716:$M$716,0))))
*W990*W$8,0)</f>
        <v>0</v>
      </c>
      <c r="X279" s="198">
        <f>_xlfn.IFNA(IF(X$7="Fixed",1,IF(AND($D78="yes",X$7="Block"),INDEX($O720:$Q720,1,MATCH(X$5,$I43:$K43,0)),INDEX(Movements!$G720:$M720,1,MATCH(X$7,Movements!$G$716:$M$716,0))))
*X990*X$8,0)</f>
        <v>0</v>
      </c>
      <c r="Y279" s="198">
        <f>_xlfn.IFNA(IF(Y$7="Fixed",1,IF(AND($D78="yes",Y$7="Block"),INDEX($O720:$Q720,1,MATCH(Y$5,$I43:$K43,0)),INDEX(Movements!$G720:$M720,1,MATCH(Y$7,Movements!$G$716:$M$716,0))))
*Y990*Y$8,0)</f>
        <v>0</v>
      </c>
      <c r="Z279" s="198">
        <f>_xlfn.IFNA(IF(Z$7="Fixed",1,IF(AND($D78="yes",Z$7="Block"),INDEX($O720:$Q720,1,MATCH(Z$5,$I43:$K43,0)),INDEX(Movements!$G720:$M720,1,MATCH(Z$7,Movements!$G$716:$M$716,0))))
*Z990*Z$8,0)</f>
        <v>0</v>
      </c>
      <c r="AA279" s="198">
        <f>_xlfn.IFNA(IF(AA$7="Fixed",1,IF(AND($D78="yes",AA$7="Block"),INDEX($O720:$Q720,1,MATCH(AA$5,$I43:$K43,0)),INDEX(Movements!$G720:$M720,1,MATCH(AA$7,Movements!$G$716:$M$716,0))))
*AA990*AA$8,0)</f>
        <v>0</v>
      </c>
      <c r="AB279" s="198">
        <f>_xlfn.IFNA(IF(AB$7="Fixed",1,IF(AND($D78="yes",AB$7="Block"),INDEX($O720:$Q720,1,MATCH(AB$5,$I43:$K43,0)),INDEX(Movements!$G720:$M720,1,MATCH(AB$7,Movements!$G$716:$M$716,0))))
*AB990*AB$8,0)</f>
        <v>0</v>
      </c>
      <c r="AC279" s="70"/>
      <c r="AD279" s="57"/>
      <c r="AE279" s="57"/>
      <c r="AF279" s="57"/>
      <c r="AG279" s="57"/>
    </row>
    <row r="280" spans="1:33" hidden="1" outlineLevel="2" x14ac:dyDescent="0.2">
      <c r="A280" s="19"/>
      <c r="B280" s="19"/>
      <c r="C280" s="506">
        <f t="shared" si="47"/>
        <v>0</v>
      </c>
      <c r="D280" s="505">
        <f t="shared" si="47"/>
        <v>0</v>
      </c>
      <c r="E280" s="505">
        <f t="shared" si="47"/>
        <v>0</v>
      </c>
      <c r="F280" s="58"/>
      <c r="G280" s="199">
        <f t="shared" si="48"/>
        <v>0</v>
      </c>
      <c r="H280" s="58"/>
      <c r="I280" s="198">
        <f>_xlfn.IFNA(IF(I$7="Fixed",1,IF(AND($D79="yes",I$7="Block"),INDEX($O721:$Q721,1,MATCH(I$5,$I44:$K44,0)),INDEX(Movements!$G721:$M721,1,MATCH(I$7,Movements!$G$716:$M$716,0))))
*I991*I$8,0)</f>
        <v>0</v>
      </c>
      <c r="J280" s="198">
        <f>_xlfn.IFNA(IF(J$7="Fixed",1,IF(AND($D79="yes",J$7="Block"),INDEX($O721:$Q721,1,MATCH(J$5,$I44:$K44,0)),INDEX(Movements!$G721:$M721,1,MATCH(J$7,Movements!$G$716:$M$716,0))))
*J991*J$8,0)</f>
        <v>0</v>
      </c>
      <c r="K280" s="198">
        <f>_xlfn.IFNA(IF(K$7="Fixed",1,IF(AND($D79="yes",K$7="Block"),INDEX($O721:$Q721,1,MATCH(K$5,$I44:$K44,0)),INDEX(Movements!$G721:$M721,1,MATCH(K$7,Movements!$G$716:$M$716,0))))
*K991*K$8,0)</f>
        <v>0</v>
      </c>
      <c r="L280" s="198">
        <f>_xlfn.IFNA(IF(L$7="Fixed",1,IF(AND($D79="yes",L$7="Block"),INDEX($O721:$Q721,1,MATCH(L$5,$I44:$K44,0)),INDEX(Movements!$G721:$M721,1,MATCH(L$7,Movements!$G$716:$M$716,0))))
*L991*L$8,0)</f>
        <v>0</v>
      </c>
      <c r="M280" s="198">
        <f>_xlfn.IFNA(IF(M$7="Fixed",1,IF(AND($D79="yes",M$7="Block"),INDEX($O721:$Q721,1,MATCH(M$5,$I44:$K44,0)),INDEX(Movements!$G721:$M721,1,MATCH(M$7,Movements!$G$716:$M$716,0))))
*M991*M$8,0)</f>
        <v>0</v>
      </c>
      <c r="N280" s="198">
        <f>_xlfn.IFNA(IF(N$7="Fixed",1,IF(AND($D79="yes",N$7="Block"),INDEX($O721:$Q721,1,MATCH(N$5,$I44:$K44,0)),INDEX(Movements!$G721:$M721,1,MATCH(N$7,Movements!$G$716:$M$716,0))))
*N991*N$8,0)</f>
        <v>0</v>
      </c>
      <c r="O280" s="198">
        <f>_xlfn.IFNA(IF(O$7="Fixed",1,IF(AND($D79="yes",O$7="Block"),INDEX($O721:$Q721,1,MATCH(O$5,$I44:$K44,0)),INDEX(Movements!$G721:$M721,1,MATCH(O$7,Movements!$G$716:$M$716,0))))
*O991*O$8,0)</f>
        <v>0</v>
      </c>
      <c r="P280" s="198">
        <f>_xlfn.IFNA(IF(P$7="Fixed",1,IF(AND($D79="yes",P$7="Block"),INDEX($O721:$Q721,1,MATCH(P$5,$I44:$K44,0)),INDEX(Movements!$G721:$M721,1,MATCH(P$7,Movements!$G$716:$M$716,0))))
*P991*P$8,0)</f>
        <v>0</v>
      </c>
      <c r="Q280" s="198">
        <f>_xlfn.IFNA(IF(Q$7="Fixed",1,IF(AND($D79="yes",Q$7="Block"),INDEX($O721:$Q721,1,MATCH(Q$5,$I44:$K44,0)),INDEX(Movements!$G721:$M721,1,MATCH(Q$7,Movements!$G$716:$M$716,0))))
*Q991*Q$8,0)</f>
        <v>0</v>
      </c>
      <c r="R280" s="198">
        <f>_xlfn.IFNA(IF(R$7="Fixed",1,IF(AND($D79="yes",R$7="Block"),INDEX($O721:$Q721,1,MATCH(R$5,$I44:$K44,0)),INDEX(Movements!$G721:$M721,1,MATCH(R$7,Movements!$G$716:$M$716,0))))
*R991*R$8,0)</f>
        <v>0</v>
      </c>
      <c r="S280" s="198">
        <f>_xlfn.IFNA(IF(S$7="Fixed",1,IF(AND($D79="yes",S$7="Block"),INDEX($O721:$Q721,1,MATCH(S$5,$I44:$K44,0)),INDEX(Movements!$G721:$M721,1,MATCH(S$7,Movements!$G$716:$M$716,0))))
*S991*S$8,0)</f>
        <v>0</v>
      </c>
      <c r="T280" s="198">
        <f>_xlfn.IFNA(IF(T$7="Fixed",1,IF(AND($D79="yes",T$7="Block"),INDEX($O721:$Q721,1,MATCH(T$5,$I44:$K44,0)),INDEX(Movements!$G721:$M721,1,MATCH(T$7,Movements!$G$716:$M$716,0))))
*T991*T$8,0)</f>
        <v>0</v>
      </c>
      <c r="U280" s="198">
        <f>_xlfn.IFNA(IF(U$7="Fixed",1,IF(AND($D79="yes",U$7="Block"),INDEX($O721:$Q721,1,MATCH(U$5,$I44:$K44,0)),INDEX(Movements!$G721:$M721,1,MATCH(U$7,Movements!$G$716:$M$716,0))))
*U991*U$8,0)</f>
        <v>0</v>
      </c>
      <c r="V280" s="198">
        <f>_xlfn.IFNA(IF(V$7="Fixed",1,IF(AND($D79="yes",V$7="Block"),INDEX($O721:$Q721,1,MATCH(V$5,$I44:$K44,0)),INDEX(Movements!$G721:$M721,1,MATCH(V$7,Movements!$G$716:$M$716,0))))
*V991*V$8,0)</f>
        <v>0</v>
      </c>
      <c r="W280" s="198">
        <f>_xlfn.IFNA(IF(W$7="Fixed",1,IF(AND($D79="yes",W$7="Block"),INDEX($O721:$Q721,1,MATCH(W$5,$I44:$K44,0)),INDEX(Movements!$G721:$M721,1,MATCH(W$7,Movements!$G$716:$M$716,0))))
*W991*W$8,0)</f>
        <v>0</v>
      </c>
      <c r="X280" s="198">
        <f>_xlfn.IFNA(IF(X$7="Fixed",1,IF(AND($D79="yes",X$7="Block"),INDEX($O721:$Q721,1,MATCH(X$5,$I44:$K44,0)),INDEX(Movements!$G721:$M721,1,MATCH(X$7,Movements!$G$716:$M$716,0))))
*X991*X$8,0)</f>
        <v>0</v>
      </c>
      <c r="Y280" s="198">
        <f>_xlfn.IFNA(IF(Y$7="Fixed",1,IF(AND($D79="yes",Y$7="Block"),INDEX($O721:$Q721,1,MATCH(Y$5,$I44:$K44,0)),INDEX(Movements!$G721:$M721,1,MATCH(Y$7,Movements!$G$716:$M$716,0))))
*Y991*Y$8,0)</f>
        <v>0</v>
      </c>
      <c r="Z280" s="198">
        <f>_xlfn.IFNA(IF(Z$7="Fixed",1,IF(AND($D79="yes",Z$7="Block"),INDEX($O721:$Q721,1,MATCH(Z$5,$I44:$K44,0)),INDEX(Movements!$G721:$M721,1,MATCH(Z$7,Movements!$G$716:$M$716,0))))
*Z991*Z$8,0)</f>
        <v>0</v>
      </c>
      <c r="AA280" s="198">
        <f>_xlfn.IFNA(IF(AA$7="Fixed",1,IF(AND($D79="yes",AA$7="Block"),INDEX($O721:$Q721,1,MATCH(AA$5,$I44:$K44,0)),INDEX(Movements!$G721:$M721,1,MATCH(AA$7,Movements!$G$716:$M$716,0))))
*AA991*AA$8,0)</f>
        <v>0</v>
      </c>
      <c r="AB280" s="198">
        <f>_xlfn.IFNA(IF(AB$7="Fixed",1,IF(AND($D79="yes",AB$7="Block"),INDEX($O721:$Q721,1,MATCH(AB$5,$I44:$K44,0)),INDEX(Movements!$G721:$M721,1,MATCH(AB$7,Movements!$G$716:$M$716,0))))
*AB991*AB$8,0)</f>
        <v>0</v>
      </c>
      <c r="AC280" s="70"/>
      <c r="AD280" s="19"/>
      <c r="AE280" s="19"/>
      <c r="AF280" s="19"/>
      <c r="AG280" s="19"/>
    </row>
    <row r="281" spans="1:33" hidden="1" outlineLevel="3" x14ac:dyDescent="0.2">
      <c r="A281" s="19"/>
      <c r="B281" s="19"/>
      <c r="C281" s="506">
        <f t="shared" si="47"/>
        <v>0</v>
      </c>
      <c r="D281" s="505">
        <f t="shared" si="47"/>
        <v>0</v>
      </c>
      <c r="E281" s="505">
        <f t="shared" si="47"/>
        <v>0</v>
      </c>
      <c r="F281" s="58"/>
      <c r="G281" s="199">
        <f t="shared" si="48"/>
        <v>0</v>
      </c>
      <c r="H281" s="58"/>
      <c r="I281" s="198">
        <f>_xlfn.IFNA(IF(I$7="Fixed",1,IF(AND($D80="yes",I$7="Block"),INDEX($O722:$Q722,1,MATCH(I$5,$I45:$K45,0)),INDEX(Movements!$G722:$M722,1,MATCH(I$7,Movements!$G$716:$M$716,0))))
*I992*I$8,0)</f>
        <v>0</v>
      </c>
      <c r="J281" s="198">
        <f>_xlfn.IFNA(IF(J$7="Fixed",1,IF(AND($D80="yes",J$7="Block"),INDEX($O722:$Q722,1,MATCH(J$5,$I45:$K45,0)),INDEX(Movements!$G722:$M722,1,MATCH(J$7,Movements!$G$716:$M$716,0))))
*J992*J$8,0)</f>
        <v>0</v>
      </c>
      <c r="K281" s="198">
        <f>_xlfn.IFNA(IF(K$7="Fixed",1,IF(AND($D80="yes",K$7="Block"),INDEX($O722:$Q722,1,MATCH(K$5,$I45:$K45,0)),INDEX(Movements!$G722:$M722,1,MATCH(K$7,Movements!$G$716:$M$716,0))))
*K992*K$8,0)</f>
        <v>0</v>
      </c>
      <c r="L281" s="198">
        <f>_xlfn.IFNA(IF(L$7="Fixed",1,IF(AND($D80="yes",L$7="Block"),INDEX($O722:$Q722,1,MATCH(L$5,$I45:$K45,0)),INDEX(Movements!$G722:$M722,1,MATCH(L$7,Movements!$G$716:$M$716,0))))
*L992*L$8,0)</f>
        <v>0</v>
      </c>
      <c r="M281" s="198">
        <f>_xlfn.IFNA(IF(M$7="Fixed",1,IF(AND($D80="yes",M$7="Block"),INDEX($O722:$Q722,1,MATCH(M$5,$I45:$K45,0)),INDEX(Movements!$G722:$M722,1,MATCH(M$7,Movements!$G$716:$M$716,0))))
*M992*M$8,0)</f>
        <v>0</v>
      </c>
      <c r="N281" s="198">
        <f>_xlfn.IFNA(IF(N$7="Fixed",1,IF(AND($D80="yes",N$7="Block"),INDEX($O722:$Q722,1,MATCH(N$5,$I45:$K45,0)),INDEX(Movements!$G722:$M722,1,MATCH(N$7,Movements!$G$716:$M$716,0))))
*N992*N$8,0)</f>
        <v>0</v>
      </c>
      <c r="O281" s="198">
        <f>_xlfn.IFNA(IF(O$7="Fixed",1,IF(AND($D80="yes",O$7="Block"),INDEX($O722:$Q722,1,MATCH(O$5,$I45:$K45,0)),INDEX(Movements!$G722:$M722,1,MATCH(O$7,Movements!$G$716:$M$716,0))))
*O992*O$8,0)</f>
        <v>0</v>
      </c>
      <c r="P281" s="198">
        <f>_xlfn.IFNA(IF(P$7="Fixed",1,IF(AND($D80="yes",P$7="Block"),INDEX($O722:$Q722,1,MATCH(P$5,$I45:$K45,0)),INDEX(Movements!$G722:$M722,1,MATCH(P$7,Movements!$G$716:$M$716,0))))
*P992*P$8,0)</f>
        <v>0</v>
      </c>
      <c r="Q281" s="198">
        <f>_xlfn.IFNA(IF(Q$7="Fixed",1,IF(AND($D80="yes",Q$7="Block"),INDEX($O722:$Q722,1,MATCH(Q$5,$I45:$K45,0)),INDEX(Movements!$G722:$M722,1,MATCH(Q$7,Movements!$G$716:$M$716,0))))
*Q992*Q$8,0)</f>
        <v>0</v>
      </c>
      <c r="R281" s="198">
        <f>_xlfn.IFNA(IF(R$7="Fixed",1,IF(AND($D80="yes",R$7="Block"),INDEX($O722:$Q722,1,MATCH(R$5,$I45:$K45,0)),INDEX(Movements!$G722:$M722,1,MATCH(R$7,Movements!$G$716:$M$716,0))))
*R992*R$8,0)</f>
        <v>0</v>
      </c>
      <c r="S281" s="198">
        <f>_xlfn.IFNA(IF(S$7="Fixed",1,IF(AND($D80="yes",S$7="Block"),INDEX($O722:$Q722,1,MATCH(S$5,$I45:$K45,0)),INDEX(Movements!$G722:$M722,1,MATCH(S$7,Movements!$G$716:$M$716,0))))
*S992*S$8,0)</f>
        <v>0</v>
      </c>
      <c r="T281" s="198">
        <f>_xlfn.IFNA(IF(T$7="Fixed",1,IF(AND($D80="yes",T$7="Block"),INDEX($O722:$Q722,1,MATCH(T$5,$I45:$K45,0)),INDEX(Movements!$G722:$M722,1,MATCH(T$7,Movements!$G$716:$M$716,0))))
*T992*T$8,0)</f>
        <v>0</v>
      </c>
      <c r="U281" s="198">
        <f>_xlfn.IFNA(IF(U$7="Fixed",1,IF(AND($D80="yes",U$7="Block"),INDEX($O722:$Q722,1,MATCH(U$5,$I45:$K45,0)),INDEX(Movements!$G722:$M722,1,MATCH(U$7,Movements!$G$716:$M$716,0))))
*U992*U$8,0)</f>
        <v>0</v>
      </c>
      <c r="V281" s="198">
        <f>_xlfn.IFNA(IF(V$7="Fixed",1,IF(AND($D80="yes",V$7="Block"),INDEX($O722:$Q722,1,MATCH(V$5,$I45:$K45,0)),INDEX(Movements!$G722:$M722,1,MATCH(V$7,Movements!$G$716:$M$716,0))))
*V992*V$8,0)</f>
        <v>0</v>
      </c>
      <c r="W281" s="198">
        <f>_xlfn.IFNA(IF(W$7="Fixed",1,IF(AND($D80="yes",W$7="Block"),INDEX($O722:$Q722,1,MATCH(W$5,$I45:$K45,0)),INDEX(Movements!$G722:$M722,1,MATCH(W$7,Movements!$G$716:$M$716,0))))
*W992*W$8,0)</f>
        <v>0</v>
      </c>
      <c r="X281" s="198">
        <f>_xlfn.IFNA(IF(X$7="Fixed",1,IF(AND($D80="yes",X$7="Block"),INDEX($O722:$Q722,1,MATCH(X$5,$I45:$K45,0)),INDEX(Movements!$G722:$M722,1,MATCH(X$7,Movements!$G$716:$M$716,0))))
*X992*X$8,0)</f>
        <v>0</v>
      </c>
      <c r="Y281" s="198">
        <f>_xlfn.IFNA(IF(Y$7="Fixed",1,IF(AND($D80="yes",Y$7="Block"),INDEX($O722:$Q722,1,MATCH(Y$5,$I45:$K45,0)),INDEX(Movements!$G722:$M722,1,MATCH(Y$7,Movements!$G$716:$M$716,0))))
*Y992*Y$8,0)</f>
        <v>0</v>
      </c>
      <c r="Z281" s="198">
        <f>_xlfn.IFNA(IF(Z$7="Fixed",1,IF(AND($D80="yes",Z$7="Block"),INDEX($O722:$Q722,1,MATCH(Z$5,$I45:$K45,0)),INDEX(Movements!$G722:$M722,1,MATCH(Z$7,Movements!$G$716:$M$716,0))))
*Z992*Z$8,0)</f>
        <v>0</v>
      </c>
      <c r="AA281" s="198">
        <f>_xlfn.IFNA(IF(AA$7="Fixed",1,IF(AND($D80="yes",AA$7="Block"),INDEX($O722:$Q722,1,MATCH(AA$5,$I45:$K45,0)),INDEX(Movements!$G722:$M722,1,MATCH(AA$7,Movements!$G$716:$M$716,0))))
*AA992*AA$8,0)</f>
        <v>0</v>
      </c>
      <c r="AB281" s="198">
        <f>_xlfn.IFNA(IF(AB$7="Fixed",1,IF(AND($D80="yes",AB$7="Block"),INDEX($O722:$Q722,1,MATCH(AB$5,$I45:$K45,0)),INDEX(Movements!$G722:$M722,1,MATCH(AB$7,Movements!$G$716:$M$716,0))))
*AB992*AB$8,0)</f>
        <v>0</v>
      </c>
      <c r="AC281" s="70"/>
      <c r="AD281" s="19"/>
      <c r="AE281" s="19"/>
      <c r="AF281" s="19"/>
      <c r="AG281" s="19"/>
    </row>
    <row r="282" spans="1:33" hidden="1" outlineLevel="3" x14ac:dyDescent="0.2">
      <c r="A282" s="19"/>
      <c r="B282" s="19"/>
      <c r="C282" s="506">
        <f t="shared" si="47"/>
        <v>0</v>
      </c>
      <c r="D282" s="505">
        <f t="shared" si="47"/>
        <v>0</v>
      </c>
      <c r="E282" s="505">
        <f t="shared" si="47"/>
        <v>0</v>
      </c>
      <c r="F282" s="58"/>
      <c r="G282" s="199">
        <f t="shared" si="48"/>
        <v>0</v>
      </c>
      <c r="H282" s="58"/>
      <c r="I282" s="198">
        <f>_xlfn.IFNA(IF(I$7="Fixed",1,IF(AND($D81="yes",I$7="Block"),INDEX($O723:$Q723,1,MATCH(I$5,$I46:$K46,0)),INDEX(Movements!$G723:$M723,1,MATCH(I$7,Movements!$G$716:$M$716,0))))
*I993*I$8,0)</f>
        <v>0</v>
      </c>
      <c r="J282" s="198">
        <f>_xlfn.IFNA(IF(J$7="Fixed",1,IF(AND($D81="yes",J$7="Block"),INDEX($O723:$Q723,1,MATCH(J$5,$I46:$K46,0)),INDEX(Movements!$G723:$M723,1,MATCH(J$7,Movements!$G$716:$M$716,0))))
*J993*J$8,0)</f>
        <v>0</v>
      </c>
      <c r="K282" s="198">
        <f>_xlfn.IFNA(IF(K$7="Fixed",1,IF(AND($D81="yes",K$7="Block"),INDEX($O723:$Q723,1,MATCH(K$5,$I46:$K46,0)),INDEX(Movements!$G723:$M723,1,MATCH(K$7,Movements!$G$716:$M$716,0))))
*K993*K$8,0)</f>
        <v>0</v>
      </c>
      <c r="L282" s="198">
        <f>_xlfn.IFNA(IF(L$7="Fixed",1,IF(AND($D81="yes",L$7="Block"),INDEX($O723:$Q723,1,MATCH(L$5,$I46:$K46,0)),INDEX(Movements!$G723:$M723,1,MATCH(L$7,Movements!$G$716:$M$716,0))))
*L993*L$8,0)</f>
        <v>0</v>
      </c>
      <c r="M282" s="198">
        <f>_xlfn.IFNA(IF(M$7="Fixed",1,IF(AND($D81="yes",M$7="Block"),INDEX($O723:$Q723,1,MATCH(M$5,$I46:$K46,0)),INDEX(Movements!$G723:$M723,1,MATCH(M$7,Movements!$G$716:$M$716,0))))
*M993*M$8,0)</f>
        <v>0</v>
      </c>
      <c r="N282" s="198">
        <f>_xlfn.IFNA(IF(N$7="Fixed",1,IF(AND($D81="yes",N$7="Block"),INDEX($O723:$Q723,1,MATCH(N$5,$I46:$K46,0)),INDEX(Movements!$G723:$M723,1,MATCH(N$7,Movements!$G$716:$M$716,0))))
*N993*N$8,0)</f>
        <v>0</v>
      </c>
      <c r="O282" s="198">
        <f>_xlfn.IFNA(IF(O$7="Fixed",1,IF(AND($D81="yes",O$7="Block"),INDEX($O723:$Q723,1,MATCH(O$5,$I46:$K46,0)),INDEX(Movements!$G723:$M723,1,MATCH(O$7,Movements!$G$716:$M$716,0))))
*O993*O$8,0)</f>
        <v>0</v>
      </c>
      <c r="P282" s="198">
        <f>_xlfn.IFNA(IF(P$7="Fixed",1,IF(AND($D81="yes",P$7="Block"),INDEX($O723:$Q723,1,MATCH(P$5,$I46:$K46,0)),INDEX(Movements!$G723:$M723,1,MATCH(P$7,Movements!$G$716:$M$716,0))))
*P993*P$8,0)</f>
        <v>0</v>
      </c>
      <c r="Q282" s="198">
        <f>_xlfn.IFNA(IF(Q$7="Fixed",1,IF(AND($D81="yes",Q$7="Block"),INDEX($O723:$Q723,1,MATCH(Q$5,$I46:$K46,0)),INDEX(Movements!$G723:$M723,1,MATCH(Q$7,Movements!$G$716:$M$716,0))))
*Q993*Q$8,0)</f>
        <v>0</v>
      </c>
      <c r="R282" s="198">
        <f>_xlfn.IFNA(IF(R$7="Fixed",1,IF(AND($D81="yes",R$7="Block"),INDEX($O723:$Q723,1,MATCH(R$5,$I46:$K46,0)),INDEX(Movements!$G723:$M723,1,MATCH(R$7,Movements!$G$716:$M$716,0))))
*R993*R$8,0)</f>
        <v>0</v>
      </c>
      <c r="S282" s="198">
        <f>_xlfn.IFNA(IF(S$7="Fixed",1,IF(AND($D81="yes",S$7="Block"),INDEX($O723:$Q723,1,MATCH(S$5,$I46:$K46,0)),INDEX(Movements!$G723:$M723,1,MATCH(S$7,Movements!$G$716:$M$716,0))))
*S993*S$8,0)</f>
        <v>0</v>
      </c>
      <c r="T282" s="198">
        <f>_xlfn.IFNA(IF(T$7="Fixed",1,IF(AND($D81="yes",T$7="Block"),INDEX($O723:$Q723,1,MATCH(T$5,$I46:$K46,0)),INDEX(Movements!$G723:$M723,1,MATCH(T$7,Movements!$G$716:$M$716,0))))
*T993*T$8,0)</f>
        <v>0</v>
      </c>
      <c r="U282" s="198">
        <f>_xlfn.IFNA(IF(U$7="Fixed",1,IF(AND($D81="yes",U$7="Block"),INDEX($O723:$Q723,1,MATCH(U$5,$I46:$K46,0)),INDEX(Movements!$G723:$M723,1,MATCH(U$7,Movements!$G$716:$M$716,0))))
*U993*U$8,0)</f>
        <v>0</v>
      </c>
      <c r="V282" s="198">
        <f>_xlfn.IFNA(IF(V$7="Fixed",1,IF(AND($D81="yes",V$7="Block"),INDEX($O723:$Q723,1,MATCH(V$5,$I46:$K46,0)),INDEX(Movements!$G723:$M723,1,MATCH(V$7,Movements!$G$716:$M$716,0))))
*V993*V$8,0)</f>
        <v>0</v>
      </c>
      <c r="W282" s="198">
        <f>_xlfn.IFNA(IF(W$7="Fixed",1,IF(AND($D81="yes",W$7="Block"),INDEX($O723:$Q723,1,MATCH(W$5,$I46:$K46,0)),INDEX(Movements!$G723:$M723,1,MATCH(W$7,Movements!$G$716:$M$716,0))))
*W993*W$8,0)</f>
        <v>0</v>
      </c>
      <c r="X282" s="198">
        <f>_xlfn.IFNA(IF(X$7="Fixed",1,IF(AND($D81="yes",X$7="Block"),INDEX($O723:$Q723,1,MATCH(X$5,$I46:$K46,0)),INDEX(Movements!$G723:$M723,1,MATCH(X$7,Movements!$G$716:$M$716,0))))
*X993*X$8,0)</f>
        <v>0</v>
      </c>
      <c r="Y282" s="198">
        <f>_xlfn.IFNA(IF(Y$7="Fixed",1,IF(AND($D81="yes",Y$7="Block"),INDEX($O723:$Q723,1,MATCH(Y$5,$I46:$K46,0)),INDEX(Movements!$G723:$M723,1,MATCH(Y$7,Movements!$G$716:$M$716,0))))
*Y993*Y$8,0)</f>
        <v>0</v>
      </c>
      <c r="Z282" s="198">
        <f>_xlfn.IFNA(IF(Z$7="Fixed",1,IF(AND($D81="yes",Z$7="Block"),INDEX($O723:$Q723,1,MATCH(Z$5,$I46:$K46,0)),INDEX(Movements!$G723:$M723,1,MATCH(Z$7,Movements!$G$716:$M$716,0))))
*Z993*Z$8,0)</f>
        <v>0</v>
      </c>
      <c r="AA282" s="198">
        <f>_xlfn.IFNA(IF(AA$7="Fixed",1,IF(AND($D81="yes",AA$7="Block"),INDEX($O723:$Q723,1,MATCH(AA$5,$I46:$K46,0)),INDEX(Movements!$G723:$M723,1,MATCH(AA$7,Movements!$G$716:$M$716,0))))
*AA993*AA$8,0)</f>
        <v>0</v>
      </c>
      <c r="AB282" s="198">
        <f>_xlfn.IFNA(IF(AB$7="Fixed",1,IF(AND($D81="yes",AB$7="Block"),INDEX($O723:$Q723,1,MATCH(AB$5,$I46:$K46,0)),INDEX(Movements!$G723:$M723,1,MATCH(AB$7,Movements!$G$716:$M$716,0))))
*AB993*AB$8,0)</f>
        <v>0</v>
      </c>
      <c r="AC282" s="70"/>
      <c r="AD282" s="19"/>
      <c r="AE282" s="19"/>
      <c r="AF282" s="19"/>
      <c r="AG282" s="19"/>
    </row>
    <row r="283" spans="1:33" hidden="1" outlineLevel="3" x14ac:dyDescent="0.2">
      <c r="A283" s="19"/>
      <c r="B283" s="19"/>
      <c r="C283" s="506">
        <f t="shared" si="47"/>
        <v>0</v>
      </c>
      <c r="D283" s="505">
        <f t="shared" si="47"/>
        <v>0</v>
      </c>
      <c r="E283" s="505">
        <f t="shared" si="47"/>
        <v>0</v>
      </c>
      <c r="F283" s="58"/>
      <c r="G283" s="199">
        <f t="shared" si="48"/>
        <v>0</v>
      </c>
      <c r="H283" s="58"/>
      <c r="I283" s="198">
        <f>_xlfn.IFNA(IF(I$7="Fixed",1,IF(AND($D82="yes",I$7="Block"),INDEX($O724:$Q724,1,MATCH(I$5,$I47:$K47,0)),INDEX(Movements!$G724:$M724,1,MATCH(I$7,Movements!$G$716:$M$716,0))))
*I994*I$8,0)</f>
        <v>0</v>
      </c>
      <c r="J283" s="198">
        <f>_xlfn.IFNA(IF(J$7="Fixed",1,IF(AND($D82="yes",J$7="Block"),INDEX($O724:$Q724,1,MATCH(J$5,$I47:$K47,0)),INDEX(Movements!$G724:$M724,1,MATCH(J$7,Movements!$G$716:$M$716,0))))
*J994*J$8,0)</f>
        <v>0</v>
      </c>
      <c r="K283" s="198">
        <f>_xlfn.IFNA(IF(K$7="Fixed",1,IF(AND($D82="yes",K$7="Block"),INDEX($O724:$Q724,1,MATCH(K$5,$I47:$K47,0)),INDEX(Movements!$G724:$M724,1,MATCH(K$7,Movements!$G$716:$M$716,0))))
*K994*K$8,0)</f>
        <v>0</v>
      </c>
      <c r="L283" s="198">
        <f>_xlfn.IFNA(IF(L$7="Fixed",1,IF(AND($D82="yes",L$7="Block"),INDEX($O724:$Q724,1,MATCH(L$5,$I47:$K47,0)),INDEX(Movements!$G724:$M724,1,MATCH(L$7,Movements!$G$716:$M$716,0))))
*L994*L$8,0)</f>
        <v>0</v>
      </c>
      <c r="M283" s="198">
        <f>_xlfn.IFNA(IF(M$7="Fixed",1,IF(AND($D82="yes",M$7="Block"),INDEX($O724:$Q724,1,MATCH(M$5,$I47:$K47,0)),INDEX(Movements!$G724:$M724,1,MATCH(M$7,Movements!$G$716:$M$716,0))))
*M994*M$8,0)</f>
        <v>0</v>
      </c>
      <c r="N283" s="198">
        <f>_xlfn.IFNA(IF(N$7="Fixed",1,IF(AND($D82="yes",N$7="Block"),INDEX($O724:$Q724,1,MATCH(N$5,$I47:$K47,0)),INDEX(Movements!$G724:$M724,1,MATCH(N$7,Movements!$G$716:$M$716,0))))
*N994*N$8,0)</f>
        <v>0</v>
      </c>
      <c r="O283" s="198">
        <f>_xlfn.IFNA(IF(O$7="Fixed",1,IF(AND($D82="yes",O$7="Block"),INDEX($O724:$Q724,1,MATCH(O$5,$I47:$K47,0)),INDEX(Movements!$G724:$M724,1,MATCH(O$7,Movements!$G$716:$M$716,0))))
*O994*O$8,0)</f>
        <v>0</v>
      </c>
      <c r="P283" s="198">
        <f>_xlfn.IFNA(IF(P$7="Fixed",1,IF(AND($D82="yes",P$7="Block"),INDEX($O724:$Q724,1,MATCH(P$5,$I47:$K47,0)),INDEX(Movements!$G724:$M724,1,MATCH(P$7,Movements!$G$716:$M$716,0))))
*P994*P$8,0)</f>
        <v>0</v>
      </c>
      <c r="Q283" s="198">
        <f>_xlfn.IFNA(IF(Q$7="Fixed",1,IF(AND($D82="yes",Q$7="Block"),INDEX($O724:$Q724,1,MATCH(Q$5,$I47:$K47,0)),INDEX(Movements!$G724:$M724,1,MATCH(Q$7,Movements!$G$716:$M$716,0))))
*Q994*Q$8,0)</f>
        <v>0</v>
      </c>
      <c r="R283" s="198">
        <f>_xlfn.IFNA(IF(R$7="Fixed",1,IF(AND($D82="yes",R$7="Block"),INDEX($O724:$Q724,1,MATCH(R$5,$I47:$K47,0)),INDEX(Movements!$G724:$M724,1,MATCH(R$7,Movements!$G$716:$M$716,0))))
*R994*R$8,0)</f>
        <v>0</v>
      </c>
      <c r="S283" s="198">
        <f>_xlfn.IFNA(IF(S$7="Fixed",1,IF(AND($D82="yes",S$7="Block"),INDEX($O724:$Q724,1,MATCH(S$5,$I47:$K47,0)),INDEX(Movements!$G724:$M724,1,MATCH(S$7,Movements!$G$716:$M$716,0))))
*S994*S$8,0)</f>
        <v>0</v>
      </c>
      <c r="T283" s="198">
        <f>_xlfn.IFNA(IF(T$7="Fixed",1,IF(AND($D82="yes",T$7="Block"),INDEX($O724:$Q724,1,MATCH(T$5,$I47:$K47,0)),INDEX(Movements!$G724:$M724,1,MATCH(T$7,Movements!$G$716:$M$716,0))))
*T994*T$8,0)</f>
        <v>0</v>
      </c>
      <c r="U283" s="198">
        <f>_xlfn.IFNA(IF(U$7="Fixed",1,IF(AND($D82="yes",U$7="Block"),INDEX($O724:$Q724,1,MATCH(U$5,$I47:$K47,0)),INDEX(Movements!$G724:$M724,1,MATCH(U$7,Movements!$G$716:$M$716,0))))
*U994*U$8,0)</f>
        <v>0</v>
      </c>
      <c r="V283" s="198">
        <f>_xlfn.IFNA(IF(V$7="Fixed",1,IF(AND($D82="yes",V$7="Block"),INDEX($O724:$Q724,1,MATCH(V$5,$I47:$K47,0)),INDEX(Movements!$G724:$M724,1,MATCH(V$7,Movements!$G$716:$M$716,0))))
*V994*V$8,0)</f>
        <v>0</v>
      </c>
      <c r="W283" s="198">
        <f>_xlfn.IFNA(IF(W$7="Fixed",1,IF(AND($D82="yes",W$7="Block"),INDEX($O724:$Q724,1,MATCH(W$5,$I47:$K47,0)),INDEX(Movements!$G724:$M724,1,MATCH(W$7,Movements!$G$716:$M$716,0))))
*W994*W$8,0)</f>
        <v>0</v>
      </c>
      <c r="X283" s="198">
        <f>_xlfn.IFNA(IF(X$7="Fixed",1,IF(AND($D82="yes",X$7="Block"),INDEX($O724:$Q724,1,MATCH(X$5,$I47:$K47,0)),INDEX(Movements!$G724:$M724,1,MATCH(X$7,Movements!$G$716:$M$716,0))))
*X994*X$8,0)</f>
        <v>0</v>
      </c>
      <c r="Y283" s="198">
        <f>_xlfn.IFNA(IF(Y$7="Fixed",1,IF(AND($D82="yes",Y$7="Block"),INDEX($O724:$Q724,1,MATCH(Y$5,$I47:$K47,0)),INDEX(Movements!$G724:$M724,1,MATCH(Y$7,Movements!$G$716:$M$716,0))))
*Y994*Y$8,0)</f>
        <v>0</v>
      </c>
      <c r="Z283" s="198">
        <f>_xlfn.IFNA(IF(Z$7="Fixed",1,IF(AND($D82="yes",Z$7="Block"),INDEX($O724:$Q724,1,MATCH(Z$5,$I47:$K47,0)),INDEX(Movements!$G724:$M724,1,MATCH(Z$7,Movements!$G$716:$M$716,0))))
*Z994*Z$8,0)</f>
        <v>0</v>
      </c>
      <c r="AA283" s="198">
        <f>_xlfn.IFNA(IF(AA$7="Fixed",1,IF(AND($D82="yes",AA$7="Block"),INDEX($O724:$Q724,1,MATCH(AA$5,$I47:$K47,0)),INDEX(Movements!$G724:$M724,1,MATCH(AA$7,Movements!$G$716:$M$716,0))))
*AA994*AA$8,0)</f>
        <v>0</v>
      </c>
      <c r="AB283" s="198">
        <f>_xlfn.IFNA(IF(AB$7="Fixed",1,IF(AND($D82="yes",AB$7="Block"),INDEX($O724:$Q724,1,MATCH(AB$5,$I47:$K47,0)),INDEX(Movements!$G724:$M724,1,MATCH(AB$7,Movements!$G$716:$M$716,0))))
*AB994*AB$8,0)</f>
        <v>0</v>
      </c>
      <c r="AC283" s="70"/>
      <c r="AD283" s="19"/>
      <c r="AE283" s="19"/>
      <c r="AF283" s="19"/>
      <c r="AG283" s="19"/>
    </row>
    <row r="284" spans="1:33" hidden="1" outlineLevel="3" x14ac:dyDescent="0.2">
      <c r="A284" s="19"/>
      <c r="B284" s="19"/>
      <c r="C284" s="506">
        <f t="shared" si="47"/>
        <v>0</v>
      </c>
      <c r="D284" s="505">
        <f t="shared" si="47"/>
        <v>0</v>
      </c>
      <c r="E284" s="505">
        <f t="shared" si="47"/>
        <v>0</v>
      </c>
      <c r="F284" s="58"/>
      <c r="G284" s="199">
        <f t="shared" si="48"/>
        <v>0</v>
      </c>
      <c r="H284" s="58"/>
      <c r="I284" s="198">
        <f>_xlfn.IFNA(IF(I$7="Fixed",1,IF(AND($D83="yes",I$7="Block"),INDEX($O725:$Q725,1,MATCH(I$5,$I48:$K48,0)),INDEX(Movements!$G725:$M725,1,MATCH(I$7,Movements!$G$716:$M$716,0))))
*I995*I$8,0)</f>
        <v>0</v>
      </c>
      <c r="J284" s="198">
        <f>_xlfn.IFNA(IF(J$7="Fixed",1,IF(AND($D83="yes",J$7="Block"),INDEX($O725:$Q725,1,MATCH(J$5,$I48:$K48,0)),INDEX(Movements!$G725:$M725,1,MATCH(J$7,Movements!$G$716:$M$716,0))))
*J995*J$8,0)</f>
        <v>0</v>
      </c>
      <c r="K284" s="198">
        <f>_xlfn.IFNA(IF(K$7="Fixed",1,IF(AND($D83="yes",K$7="Block"),INDEX($O725:$Q725,1,MATCH(K$5,$I48:$K48,0)),INDEX(Movements!$G725:$M725,1,MATCH(K$7,Movements!$G$716:$M$716,0))))
*K995*K$8,0)</f>
        <v>0</v>
      </c>
      <c r="L284" s="198">
        <f>_xlfn.IFNA(IF(L$7="Fixed",1,IF(AND($D83="yes",L$7="Block"),INDEX($O725:$Q725,1,MATCH(L$5,$I48:$K48,0)),INDEX(Movements!$G725:$M725,1,MATCH(L$7,Movements!$G$716:$M$716,0))))
*L995*L$8,0)</f>
        <v>0</v>
      </c>
      <c r="M284" s="198">
        <f>_xlfn.IFNA(IF(M$7="Fixed",1,IF(AND($D83="yes",M$7="Block"),INDEX($O725:$Q725,1,MATCH(M$5,$I48:$K48,0)),INDEX(Movements!$G725:$M725,1,MATCH(M$7,Movements!$G$716:$M$716,0))))
*M995*M$8,0)</f>
        <v>0</v>
      </c>
      <c r="N284" s="198">
        <f>_xlfn.IFNA(IF(N$7="Fixed",1,IF(AND($D83="yes",N$7="Block"),INDEX($O725:$Q725,1,MATCH(N$5,$I48:$K48,0)),INDEX(Movements!$G725:$M725,1,MATCH(N$7,Movements!$G$716:$M$716,0))))
*N995*N$8,0)</f>
        <v>0</v>
      </c>
      <c r="O284" s="198">
        <f>_xlfn.IFNA(IF(O$7="Fixed",1,IF(AND($D83="yes",O$7="Block"),INDEX($O725:$Q725,1,MATCH(O$5,$I48:$K48,0)),INDEX(Movements!$G725:$M725,1,MATCH(O$7,Movements!$G$716:$M$716,0))))
*O995*O$8,0)</f>
        <v>0</v>
      </c>
      <c r="P284" s="198">
        <f>_xlfn.IFNA(IF(P$7="Fixed",1,IF(AND($D83="yes",P$7="Block"),INDEX($O725:$Q725,1,MATCH(P$5,$I48:$K48,0)),INDEX(Movements!$G725:$M725,1,MATCH(P$7,Movements!$G$716:$M$716,0))))
*P995*P$8,0)</f>
        <v>0</v>
      </c>
      <c r="Q284" s="198">
        <f>_xlfn.IFNA(IF(Q$7="Fixed",1,IF(AND($D83="yes",Q$7="Block"),INDEX($O725:$Q725,1,MATCH(Q$5,$I48:$K48,0)),INDEX(Movements!$G725:$M725,1,MATCH(Q$7,Movements!$G$716:$M$716,0))))
*Q995*Q$8,0)</f>
        <v>0</v>
      </c>
      <c r="R284" s="198">
        <f>_xlfn.IFNA(IF(R$7="Fixed",1,IF(AND($D83="yes",R$7="Block"),INDEX($O725:$Q725,1,MATCH(R$5,$I48:$K48,0)),INDEX(Movements!$G725:$M725,1,MATCH(R$7,Movements!$G$716:$M$716,0))))
*R995*R$8,0)</f>
        <v>0</v>
      </c>
      <c r="S284" s="198">
        <f>_xlfn.IFNA(IF(S$7="Fixed",1,IF(AND($D83="yes",S$7="Block"),INDEX($O725:$Q725,1,MATCH(S$5,$I48:$K48,0)),INDEX(Movements!$G725:$M725,1,MATCH(S$7,Movements!$G$716:$M$716,0))))
*S995*S$8,0)</f>
        <v>0</v>
      </c>
      <c r="T284" s="198">
        <f>_xlfn.IFNA(IF(T$7="Fixed",1,IF(AND($D83="yes",T$7="Block"),INDEX($O725:$Q725,1,MATCH(T$5,$I48:$K48,0)),INDEX(Movements!$G725:$M725,1,MATCH(T$7,Movements!$G$716:$M$716,0))))
*T995*T$8,0)</f>
        <v>0</v>
      </c>
      <c r="U284" s="198">
        <f>_xlfn.IFNA(IF(U$7="Fixed",1,IF(AND($D83="yes",U$7="Block"),INDEX($O725:$Q725,1,MATCH(U$5,$I48:$K48,0)),INDEX(Movements!$G725:$M725,1,MATCH(U$7,Movements!$G$716:$M$716,0))))
*U995*U$8,0)</f>
        <v>0</v>
      </c>
      <c r="V284" s="198">
        <f>_xlfn.IFNA(IF(V$7="Fixed",1,IF(AND($D83="yes",V$7="Block"),INDEX($O725:$Q725,1,MATCH(V$5,$I48:$K48,0)),INDEX(Movements!$G725:$M725,1,MATCH(V$7,Movements!$G$716:$M$716,0))))
*V995*V$8,0)</f>
        <v>0</v>
      </c>
      <c r="W284" s="198">
        <f>_xlfn.IFNA(IF(W$7="Fixed",1,IF(AND($D83="yes",W$7="Block"),INDEX($O725:$Q725,1,MATCH(W$5,$I48:$K48,0)),INDEX(Movements!$G725:$M725,1,MATCH(W$7,Movements!$G$716:$M$716,0))))
*W995*W$8,0)</f>
        <v>0</v>
      </c>
      <c r="X284" s="198">
        <f>_xlfn.IFNA(IF(X$7="Fixed",1,IF(AND($D83="yes",X$7="Block"),INDEX($O725:$Q725,1,MATCH(X$5,$I48:$K48,0)),INDEX(Movements!$G725:$M725,1,MATCH(X$7,Movements!$G$716:$M$716,0))))
*X995*X$8,0)</f>
        <v>0</v>
      </c>
      <c r="Y284" s="198">
        <f>_xlfn.IFNA(IF(Y$7="Fixed",1,IF(AND($D83="yes",Y$7="Block"),INDEX($O725:$Q725,1,MATCH(Y$5,$I48:$K48,0)),INDEX(Movements!$G725:$M725,1,MATCH(Y$7,Movements!$G$716:$M$716,0))))
*Y995*Y$8,0)</f>
        <v>0</v>
      </c>
      <c r="Z284" s="198">
        <f>_xlfn.IFNA(IF(Z$7="Fixed",1,IF(AND($D83="yes",Z$7="Block"),INDEX($O725:$Q725,1,MATCH(Z$5,$I48:$K48,0)),INDEX(Movements!$G725:$M725,1,MATCH(Z$7,Movements!$G$716:$M$716,0))))
*Z995*Z$8,0)</f>
        <v>0</v>
      </c>
      <c r="AA284" s="198">
        <f>_xlfn.IFNA(IF(AA$7="Fixed",1,IF(AND($D83="yes",AA$7="Block"),INDEX($O725:$Q725,1,MATCH(AA$5,$I48:$K48,0)),INDEX(Movements!$G725:$M725,1,MATCH(AA$7,Movements!$G$716:$M$716,0))))
*AA995*AA$8,0)</f>
        <v>0</v>
      </c>
      <c r="AB284" s="198">
        <f>_xlfn.IFNA(IF(AB$7="Fixed",1,IF(AND($D83="yes",AB$7="Block"),INDEX($O725:$Q725,1,MATCH(AB$5,$I48:$K48,0)),INDEX(Movements!$G725:$M725,1,MATCH(AB$7,Movements!$G$716:$M$716,0))))
*AB995*AB$8,0)</f>
        <v>0</v>
      </c>
      <c r="AC284" s="70"/>
      <c r="AD284" s="19"/>
      <c r="AE284" s="19"/>
      <c r="AF284" s="19"/>
      <c r="AG284" s="19"/>
    </row>
    <row r="285" spans="1:33" hidden="1" outlineLevel="3" x14ac:dyDescent="0.2">
      <c r="A285" s="19"/>
      <c r="B285" s="19"/>
      <c r="C285" s="506">
        <f t="shared" si="47"/>
        <v>0</v>
      </c>
      <c r="D285" s="505">
        <f t="shared" si="47"/>
        <v>0</v>
      </c>
      <c r="E285" s="505">
        <f t="shared" si="47"/>
        <v>0</v>
      </c>
      <c r="F285" s="58"/>
      <c r="G285" s="199">
        <f t="shared" si="48"/>
        <v>0</v>
      </c>
      <c r="H285" s="58"/>
      <c r="I285" s="198">
        <f>_xlfn.IFNA(IF(I$7="Fixed",1,IF(AND($D84="yes",I$7="Block"),INDEX($O726:$Q726,1,MATCH(I$5,$I49:$K49,0)),INDEX(Movements!$G726:$M726,1,MATCH(I$7,Movements!$G$716:$M$716,0))))
*I996*I$8,0)</f>
        <v>0</v>
      </c>
      <c r="J285" s="198">
        <f>_xlfn.IFNA(IF(J$7="Fixed",1,IF(AND($D84="yes",J$7="Block"),INDEX($O726:$Q726,1,MATCH(J$5,$I49:$K49,0)),INDEX(Movements!$G726:$M726,1,MATCH(J$7,Movements!$G$716:$M$716,0))))
*J996*J$8,0)</f>
        <v>0</v>
      </c>
      <c r="K285" s="198">
        <f>_xlfn.IFNA(IF(K$7="Fixed",1,IF(AND($D84="yes",K$7="Block"),INDEX($O726:$Q726,1,MATCH(K$5,$I49:$K49,0)),INDEX(Movements!$G726:$M726,1,MATCH(K$7,Movements!$G$716:$M$716,0))))
*K996*K$8,0)</f>
        <v>0</v>
      </c>
      <c r="L285" s="198">
        <f>_xlfn.IFNA(IF(L$7="Fixed",1,IF(AND($D84="yes",L$7="Block"),INDEX($O726:$Q726,1,MATCH(L$5,$I49:$K49,0)),INDEX(Movements!$G726:$M726,1,MATCH(L$7,Movements!$G$716:$M$716,0))))
*L996*L$8,0)</f>
        <v>0</v>
      </c>
      <c r="M285" s="198">
        <f>_xlfn.IFNA(IF(M$7="Fixed",1,IF(AND($D84="yes",M$7="Block"),INDEX($O726:$Q726,1,MATCH(M$5,$I49:$K49,0)),INDEX(Movements!$G726:$M726,1,MATCH(M$7,Movements!$G$716:$M$716,0))))
*M996*M$8,0)</f>
        <v>0</v>
      </c>
      <c r="N285" s="198">
        <f>_xlfn.IFNA(IF(N$7="Fixed",1,IF(AND($D84="yes",N$7="Block"),INDEX($O726:$Q726,1,MATCH(N$5,$I49:$K49,0)),INDEX(Movements!$G726:$M726,1,MATCH(N$7,Movements!$G$716:$M$716,0))))
*N996*N$8,0)</f>
        <v>0</v>
      </c>
      <c r="O285" s="198">
        <f>_xlfn.IFNA(IF(O$7="Fixed",1,IF(AND($D84="yes",O$7="Block"),INDEX($O726:$Q726,1,MATCH(O$5,$I49:$K49,0)),INDEX(Movements!$G726:$M726,1,MATCH(O$7,Movements!$G$716:$M$716,0))))
*O996*O$8,0)</f>
        <v>0</v>
      </c>
      <c r="P285" s="198">
        <f>_xlfn.IFNA(IF(P$7="Fixed",1,IF(AND($D84="yes",P$7="Block"),INDEX($O726:$Q726,1,MATCH(P$5,$I49:$K49,0)),INDEX(Movements!$G726:$M726,1,MATCH(P$7,Movements!$G$716:$M$716,0))))
*P996*P$8,0)</f>
        <v>0</v>
      </c>
      <c r="Q285" s="198">
        <f>_xlfn.IFNA(IF(Q$7="Fixed",1,IF(AND($D84="yes",Q$7="Block"),INDEX($O726:$Q726,1,MATCH(Q$5,$I49:$K49,0)),INDEX(Movements!$G726:$M726,1,MATCH(Q$7,Movements!$G$716:$M$716,0))))
*Q996*Q$8,0)</f>
        <v>0</v>
      </c>
      <c r="R285" s="198">
        <f>_xlfn.IFNA(IF(R$7="Fixed",1,IF(AND($D84="yes",R$7="Block"),INDEX($O726:$Q726,1,MATCH(R$5,$I49:$K49,0)),INDEX(Movements!$G726:$M726,1,MATCH(R$7,Movements!$G$716:$M$716,0))))
*R996*R$8,0)</f>
        <v>0</v>
      </c>
      <c r="S285" s="198">
        <f>_xlfn.IFNA(IF(S$7="Fixed",1,IF(AND($D84="yes",S$7="Block"),INDEX($O726:$Q726,1,MATCH(S$5,$I49:$K49,0)),INDEX(Movements!$G726:$M726,1,MATCH(S$7,Movements!$G$716:$M$716,0))))
*S996*S$8,0)</f>
        <v>0</v>
      </c>
      <c r="T285" s="198">
        <f>_xlfn.IFNA(IF(T$7="Fixed",1,IF(AND($D84="yes",T$7="Block"),INDEX($O726:$Q726,1,MATCH(T$5,$I49:$K49,0)),INDEX(Movements!$G726:$M726,1,MATCH(T$7,Movements!$G$716:$M$716,0))))
*T996*T$8,0)</f>
        <v>0</v>
      </c>
      <c r="U285" s="198">
        <f>_xlfn.IFNA(IF(U$7="Fixed",1,IF(AND($D84="yes",U$7="Block"),INDEX($O726:$Q726,1,MATCH(U$5,$I49:$K49,0)),INDEX(Movements!$G726:$M726,1,MATCH(U$7,Movements!$G$716:$M$716,0))))
*U996*U$8,0)</f>
        <v>0</v>
      </c>
      <c r="V285" s="198">
        <f>_xlfn.IFNA(IF(V$7="Fixed",1,IF(AND($D84="yes",V$7="Block"),INDEX($O726:$Q726,1,MATCH(V$5,$I49:$K49,0)),INDEX(Movements!$G726:$M726,1,MATCH(V$7,Movements!$G$716:$M$716,0))))
*V996*V$8,0)</f>
        <v>0</v>
      </c>
      <c r="W285" s="198">
        <f>_xlfn.IFNA(IF(W$7="Fixed",1,IF(AND($D84="yes",W$7="Block"),INDEX($O726:$Q726,1,MATCH(W$5,$I49:$K49,0)),INDEX(Movements!$G726:$M726,1,MATCH(W$7,Movements!$G$716:$M$716,0))))
*W996*W$8,0)</f>
        <v>0</v>
      </c>
      <c r="X285" s="198">
        <f>_xlfn.IFNA(IF(X$7="Fixed",1,IF(AND($D84="yes",X$7="Block"),INDEX($O726:$Q726,1,MATCH(X$5,$I49:$K49,0)),INDEX(Movements!$G726:$M726,1,MATCH(X$7,Movements!$G$716:$M$716,0))))
*X996*X$8,0)</f>
        <v>0</v>
      </c>
      <c r="Y285" s="198">
        <f>_xlfn.IFNA(IF(Y$7="Fixed",1,IF(AND($D84="yes",Y$7="Block"),INDEX($O726:$Q726,1,MATCH(Y$5,$I49:$K49,0)),INDEX(Movements!$G726:$M726,1,MATCH(Y$7,Movements!$G$716:$M$716,0))))
*Y996*Y$8,0)</f>
        <v>0</v>
      </c>
      <c r="Z285" s="198">
        <f>_xlfn.IFNA(IF(Z$7="Fixed",1,IF(AND($D84="yes",Z$7="Block"),INDEX($O726:$Q726,1,MATCH(Z$5,$I49:$K49,0)),INDEX(Movements!$G726:$M726,1,MATCH(Z$7,Movements!$G$716:$M$716,0))))
*Z996*Z$8,0)</f>
        <v>0</v>
      </c>
      <c r="AA285" s="198">
        <f>_xlfn.IFNA(IF(AA$7="Fixed",1,IF(AND($D84="yes",AA$7="Block"),INDEX($O726:$Q726,1,MATCH(AA$5,$I49:$K49,0)),INDEX(Movements!$G726:$M726,1,MATCH(AA$7,Movements!$G$716:$M$716,0))))
*AA996*AA$8,0)</f>
        <v>0</v>
      </c>
      <c r="AB285" s="198">
        <f>_xlfn.IFNA(IF(AB$7="Fixed",1,IF(AND($D84="yes",AB$7="Block"),INDEX($O726:$Q726,1,MATCH(AB$5,$I49:$K49,0)),INDEX(Movements!$G726:$M726,1,MATCH(AB$7,Movements!$G$716:$M$716,0))))
*AB996*AB$8,0)</f>
        <v>0</v>
      </c>
      <c r="AC285" s="70"/>
      <c r="AD285" s="19"/>
      <c r="AE285" s="19"/>
      <c r="AF285" s="19"/>
      <c r="AG285" s="19"/>
    </row>
    <row r="286" spans="1:33" hidden="1" outlineLevel="3" x14ac:dyDescent="0.2">
      <c r="A286" s="19"/>
      <c r="B286" s="19"/>
      <c r="C286" s="506">
        <f t="shared" si="47"/>
        <v>0</v>
      </c>
      <c r="D286" s="505">
        <f t="shared" si="47"/>
        <v>0</v>
      </c>
      <c r="E286" s="505">
        <f t="shared" si="47"/>
        <v>0</v>
      </c>
      <c r="F286" s="58"/>
      <c r="G286" s="199">
        <f t="shared" si="48"/>
        <v>0</v>
      </c>
      <c r="H286" s="58"/>
      <c r="I286" s="198">
        <f>_xlfn.IFNA(IF(I$7="Fixed",1,IF(AND($D85="yes",I$7="Block"),INDEX($O727:$Q727,1,MATCH(I$5,$I50:$K50,0)),INDEX(Movements!$G727:$M727,1,MATCH(I$7,Movements!$G$716:$M$716,0))))
*I997*I$8,0)</f>
        <v>0</v>
      </c>
      <c r="J286" s="198">
        <f>_xlfn.IFNA(IF(J$7="Fixed",1,IF(AND($D85="yes",J$7="Block"),INDEX($O727:$Q727,1,MATCH(J$5,$I50:$K50,0)),INDEX(Movements!$G727:$M727,1,MATCH(J$7,Movements!$G$716:$M$716,0))))
*J997*J$8,0)</f>
        <v>0</v>
      </c>
      <c r="K286" s="198">
        <f>_xlfn.IFNA(IF(K$7="Fixed",1,IF(AND($D85="yes",K$7="Block"),INDEX($O727:$Q727,1,MATCH(K$5,$I50:$K50,0)),INDEX(Movements!$G727:$M727,1,MATCH(K$7,Movements!$G$716:$M$716,0))))
*K997*K$8,0)</f>
        <v>0</v>
      </c>
      <c r="L286" s="198">
        <f>_xlfn.IFNA(IF(L$7="Fixed",1,IF(AND($D85="yes",L$7="Block"),INDEX($O727:$Q727,1,MATCH(L$5,$I50:$K50,0)),INDEX(Movements!$G727:$M727,1,MATCH(L$7,Movements!$G$716:$M$716,0))))
*L997*L$8,0)</f>
        <v>0</v>
      </c>
      <c r="M286" s="198">
        <f>_xlfn.IFNA(IF(M$7="Fixed",1,IF(AND($D85="yes",M$7="Block"),INDEX($O727:$Q727,1,MATCH(M$5,$I50:$K50,0)),INDEX(Movements!$G727:$M727,1,MATCH(M$7,Movements!$G$716:$M$716,0))))
*M997*M$8,0)</f>
        <v>0</v>
      </c>
      <c r="N286" s="198">
        <f>_xlfn.IFNA(IF(N$7="Fixed",1,IF(AND($D85="yes",N$7="Block"),INDEX($O727:$Q727,1,MATCH(N$5,$I50:$K50,0)),INDEX(Movements!$G727:$M727,1,MATCH(N$7,Movements!$G$716:$M$716,0))))
*N997*N$8,0)</f>
        <v>0</v>
      </c>
      <c r="O286" s="198">
        <f>_xlfn.IFNA(IF(O$7="Fixed",1,IF(AND($D85="yes",O$7="Block"),INDEX($O727:$Q727,1,MATCH(O$5,$I50:$K50,0)),INDEX(Movements!$G727:$M727,1,MATCH(O$7,Movements!$G$716:$M$716,0))))
*O997*O$8,0)</f>
        <v>0</v>
      </c>
      <c r="P286" s="198">
        <f>_xlfn.IFNA(IF(P$7="Fixed",1,IF(AND($D85="yes",P$7="Block"),INDEX($O727:$Q727,1,MATCH(P$5,$I50:$K50,0)),INDEX(Movements!$G727:$M727,1,MATCH(P$7,Movements!$G$716:$M$716,0))))
*P997*P$8,0)</f>
        <v>0</v>
      </c>
      <c r="Q286" s="198">
        <f>_xlfn.IFNA(IF(Q$7="Fixed",1,IF(AND($D85="yes",Q$7="Block"),INDEX($O727:$Q727,1,MATCH(Q$5,$I50:$K50,0)),INDEX(Movements!$G727:$M727,1,MATCH(Q$7,Movements!$G$716:$M$716,0))))
*Q997*Q$8,0)</f>
        <v>0</v>
      </c>
      <c r="R286" s="198">
        <f>_xlfn.IFNA(IF(R$7="Fixed",1,IF(AND($D85="yes",R$7="Block"),INDEX($O727:$Q727,1,MATCH(R$5,$I50:$K50,0)),INDEX(Movements!$G727:$M727,1,MATCH(R$7,Movements!$G$716:$M$716,0))))
*R997*R$8,0)</f>
        <v>0</v>
      </c>
      <c r="S286" s="198">
        <f>_xlfn.IFNA(IF(S$7="Fixed",1,IF(AND($D85="yes",S$7="Block"),INDEX($O727:$Q727,1,MATCH(S$5,$I50:$K50,0)),INDEX(Movements!$G727:$M727,1,MATCH(S$7,Movements!$G$716:$M$716,0))))
*S997*S$8,0)</f>
        <v>0</v>
      </c>
      <c r="T286" s="198">
        <f>_xlfn.IFNA(IF(T$7="Fixed",1,IF(AND($D85="yes",T$7="Block"),INDEX($O727:$Q727,1,MATCH(T$5,$I50:$K50,0)),INDEX(Movements!$G727:$M727,1,MATCH(T$7,Movements!$G$716:$M$716,0))))
*T997*T$8,0)</f>
        <v>0</v>
      </c>
      <c r="U286" s="198">
        <f>_xlfn.IFNA(IF(U$7="Fixed",1,IF(AND($D85="yes",U$7="Block"),INDEX($O727:$Q727,1,MATCH(U$5,$I50:$K50,0)),INDEX(Movements!$G727:$M727,1,MATCH(U$7,Movements!$G$716:$M$716,0))))
*U997*U$8,0)</f>
        <v>0</v>
      </c>
      <c r="V286" s="198">
        <f>_xlfn.IFNA(IF(V$7="Fixed",1,IF(AND($D85="yes",V$7="Block"),INDEX($O727:$Q727,1,MATCH(V$5,$I50:$K50,0)),INDEX(Movements!$G727:$M727,1,MATCH(V$7,Movements!$G$716:$M$716,0))))
*V997*V$8,0)</f>
        <v>0</v>
      </c>
      <c r="W286" s="198">
        <f>_xlfn.IFNA(IF(W$7="Fixed",1,IF(AND($D85="yes",W$7="Block"),INDEX($O727:$Q727,1,MATCH(W$5,$I50:$K50,0)),INDEX(Movements!$G727:$M727,1,MATCH(W$7,Movements!$G$716:$M$716,0))))
*W997*W$8,0)</f>
        <v>0</v>
      </c>
      <c r="X286" s="198">
        <f>_xlfn.IFNA(IF(X$7="Fixed",1,IF(AND($D85="yes",X$7="Block"),INDEX($O727:$Q727,1,MATCH(X$5,$I50:$K50,0)),INDEX(Movements!$G727:$M727,1,MATCH(X$7,Movements!$G$716:$M$716,0))))
*X997*X$8,0)</f>
        <v>0</v>
      </c>
      <c r="Y286" s="198">
        <f>_xlfn.IFNA(IF(Y$7="Fixed",1,IF(AND($D85="yes",Y$7="Block"),INDEX($O727:$Q727,1,MATCH(Y$5,$I50:$K50,0)),INDEX(Movements!$G727:$M727,1,MATCH(Y$7,Movements!$G$716:$M$716,0))))
*Y997*Y$8,0)</f>
        <v>0</v>
      </c>
      <c r="Z286" s="198">
        <f>_xlfn.IFNA(IF(Z$7="Fixed",1,IF(AND($D85="yes",Z$7="Block"),INDEX($O727:$Q727,1,MATCH(Z$5,$I50:$K50,0)),INDEX(Movements!$G727:$M727,1,MATCH(Z$7,Movements!$G$716:$M$716,0))))
*Z997*Z$8,0)</f>
        <v>0</v>
      </c>
      <c r="AA286" s="198">
        <f>_xlfn.IFNA(IF(AA$7="Fixed",1,IF(AND($D85="yes",AA$7="Block"),INDEX($O727:$Q727,1,MATCH(AA$5,$I50:$K50,0)),INDEX(Movements!$G727:$M727,1,MATCH(AA$7,Movements!$G$716:$M$716,0))))
*AA997*AA$8,0)</f>
        <v>0</v>
      </c>
      <c r="AB286" s="198">
        <f>_xlfn.IFNA(IF(AB$7="Fixed",1,IF(AND($D85="yes",AB$7="Block"),INDEX($O727:$Q727,1,MATCH(AB$5,$I50:$K50,0)),INDEX(Movements!$G727:$M727,1,MATCH(AB$7,Movements!$G$716:$M$716,0))))
*AB997*AB$8,0)</f>
        <v>0</v>
      </c>
      <c r="AC286" s="70"/>
      <c r="AD286" s="19"/>
      <c r="AE286" s="19"/>
      <c r="AF286" s="19"/>
      <c r="AG286" s="19"/>
    </row>
    <row r="287" spans="1:33" hidden="1" outlineLevel="3" x14ac:dyDescent="0.2">
      <c r="A287" s="19"/>
      <c r="B287" s="19"/>
      <c r="C287" s="506">
        <f t="shared" si="47"/>
        <v>0</v>
      </c>
      <c r="D287" s="505">
        <f t="shared" si="47"/>
        <v>0</v>
      </c>
      <c r="E287" s="505">
        <f t="shared" si="47"/>
        <v>0</v>
      </c>
      <c r="F287" s="58"/>
      <c r="G287" s="199">
        <f t="shared" si="48"/>
        <v>0</v>
      </c>
      <c r="H287" s="58"/>
      <c r="I287" s="198">
        <f>_xlfn.IFNA(IF(I$7="Fixed",1,IF(AND($D86="yes",I$7="Block"),INDEX($O728:$Q728,1,MATCH(I$5,$I51:$K51,0)),INDEX(Movements!$G728:$M728,1,MATCH(I$7,Movements!$G$716:$M$716,0))))
*I998*I$8,0)</f>
        <v>0</v>
      </c>
      <c r="J287" s="198">
        <f>_xlfn.IFNA(IF(J$7="Fixed",1,IF(AND($D86="yes",J$7="Block"),INDEX($O728:$Q728,1,MATCH(J$5,$I51:$K51,0)),INDEX(Movements!$G728:$M728,1,MATCH(J$7,Movements!$G$716:$M$716,0))))
*J998*J$8,0)</f>
        <v>0</v>
      </c>
      <c r="K287" s="198">
        <f>_xlfn.IFNA(IF(K$7="Fixed",1,IF(AND($D86="yes",K$7="Block"),INDEX($O728:$Q728,1,MATCH(K$5,$I51:$K51,0)),INDEX(Movements!$G728:$M728,1,MATCH(K$7,Movements!$G$716:$M$716,0))))
*K998*K$8,0)</f>
        <v>0</v>
      </c>
      <c r="L287" s="198">
        <f>_xlfn.IFNA(IF(L$7="Fixed",1,IF(AND($D86="yes",L$7="Block"),INDEX($O728:$Q728,1,MATCH(L$5,$I51:$K51,0)),INDEX(Movements!$G728:$M728,1,MATCH(L$7,Movements!$G$716:$M$716,0))))
*L998*L$8,0)</f>
        <v>0</v>
      </c>
      <c r="M287" s="198">
        <f>_xlfn.IFNA(IF(M$7="Fixed",1,IF(AND($D86="yes",M$7="Block"),INDEX($O728:$Q728,1,MATCH(M$5,$I51:$K51,0)),INDEX(Movements!$G728:$M728,1,MATCH(M$7,Movements!$G$716:$M$716,0))))
*M998*M$8,0)</f>
        <v>0</v>
      </c>
      <c r="N287" s="198">
        <f>_xlfn.IFNA(IF(N$7="Fixed",1,IF(AND($D86="yes",N$7="Block"),INDEX($O728:$Q728,1,MATCH(N$5,$I51:$K51,0)),INDEX(Movements!$G728:$M728,1,MATCH(N$7,Movements!$G$716:$M$716,0))))
*N998*N$8,0)</f>
        <v>0</v>
      </c>
      <c r="O287" s="198">
        <f>_xlfn.IFNA(IF(O$7="Fixed",1,IF(AND($D86="yes",O$7="Block"),INDEX($O728:$Q728,1,MATCH(O$5,$I51:$K51,0)),INDEX(Movements!$G728:$M728,1,MATCH(O$7,Movements!$G$716:$M$716,0))))
*O998*O$8,0)</f>
        <v>0</v>
      </c>
      <c r="P287" s="198">
        <f>_xlfn.IFNA(IF(P$7="Fixed",1,IF(AND($D86="yes",P$7="Block"),INDEX($O728:$Q728,1,MATCH(P$5,$I51:$K51,0)),INDEX(Movements!$G728:$M728,1,MATCH(P$7,Movements!$G$716:$M$716,0))))
*P998*P$8,0)</f>
        <v>0</v>
      </c>
      <c r="Q287" s="198">
        <f>_xlfn.IFNA(IF(Q$7="Fixed",1,IF(AND($D86="yes",Q$7="Block"),INDEX($O728:$Q728,1,MATCH(Q$5,$I51:$K51,0)),INDEX(Movements!$G728:$M728,1,MATCH(Q$7,Movements!$G$716:$M$716,0))))
*Q998*Q$8,0)</f>
        <v>0</v>
      </c>
      <c r="R287" s="198">
        <f>_xlfn.IFNA(IF(R$7="Fixed",1,IF(AND($D86="yes",R$7="Block"),INDEX($O728:$Q728,1,MATCH(R$5,$I51:$K51,0)),INDEX(Movements!$G728:$M728,1,MATCH(R$7,Movements!$G$716:$M$716,0))))
*R998*R$8,0)</f>
        <v>0</v>
      </c>
      <c r="S287" s="198">
        <f>_xlfn.IFNA(IF(S$7="Fixed",1,IF(AND($D86="yes",S$7="Block"),INDEX($O728:$Q728,1,MATCH(S$5,$I51:$K51,0)),INDEX(Movements!$G728:$M728,1,MATCH(S$7,Movements!$G$716:$M$716,0))))
*S998*S$8,0)</f>
        <v>0</v>
      </c>
      <c r="T287" s="198">
        <f>_xlfn.IFNA(IF(T$7="Fixed",1,IF(AND($D86="yes",T$7="Block"),INDEX($O728:$Q728,1,MATCH(T$5,$I51:$K51,0)),INDEX(Movements!$G728:$M728,1,MATCH(T$7,Movements!$G$716:$M$716,0))))
*T998*T$8,0)</f>
        <v>0</v>
      </c>
      <c r="U287" s="198">
        <f>_xlfn.IFNA(IF(U$7="Fixed",1,IF(AND($D86="yes",U$7="Block"),INDEX($O728:$Q728,1,MATCH(U$5,$I51:$K51,0)),INDEX(Movements!$G728:$M728,1,MATCH(U$7,Movements!$G$716:$M$716,0))))
*U998*U$8,0)</f>
        <v>0</v>
      </c>
      <c r="V287" s="198">
        <f>_xlfn.IFNA(IF(V$7="Fixed",1,IF(AND($D86="yes",V$7="Block"),INDEX($O728:$Q728,1,MATCH(V$5,$I51:$K51,0)),INDEX(Movements!$G728:$M728,1,MATCH(V$7,Movements!$G$716:$M$716,0))))
*V998*V$8,0)</f>
        <v>0</v>
      </c>
      <c r="W287" s="198">
        <f>_xlfn.IFNA(IF(W$7="Fixed",1,IF(AND($D86="yes",W$7="Block"),INDEX($O728:$Q728,1,MATCH(W$5,$I51:$K51,0)),INDEX(Movements!$G728:$M728,1,MATCH(W$7,Movements!$G$716:$M$716,0))))
*W998*W$8,0)</f>
        <v>0</v>
      </c>
      <c r="X287" s="198">
        <f>_xlfn.IFNA(IF(X$7="Fixed",1,IF(AND($D86="yes",X$7="Block"),INDEX($O728:$Q728,1,MATCH(X$5,$I51:$K51,0)),INDEX(Movements!$G728:$M728,1,MATCH(X$7,Movements!$G$716:$M$716,0))))
*X998*X$8,0)</f>
        <v>0</v>
      </c>
      <c r="Y287" s="198">
        <f>_xlfn.IFNA(IF(Y$7="Fixed",1,IF(AND($D86="yes",Y$7="Block"),INDEX($O728:$Q728,1,MATCH(Y$5,$I51:$K51,0)),INDEX(Movements!$G728:$M728,1,MATCH(Y$7,Movements!$G$716:$M$716,0))))
*Y998*Y$8,0)</f>
        <v>0</v>
      </c>
      <c r="Z287" s="198">
        <f>_xlfn.IFNA(IF(Z$7="Fixed",1,IF(AND($D86="yes",Z$7="Block"),INDEX($O728:$Q728,1,MATCH(Z$5,$I51:$K51,0)),INDEX(Movements!$G728:$M728,1,MATCH(Z$7,Movements!$G$716:$M$716,0))))
*Z998*Z$8,0)</f>
        <v>0</v>
      </c>
      <c r="AA287" s="198">
        <f>_xlfn.IFNA(IF(AA$7="Fixed",1,IF(AND($D86="yes",AA$7="Block"),INDEX($O728:$Q728,1,MATCH(AA$5,$I51:$K51,0)),INDEX(Movements!$G728:$M728,1,MATCH(AA$7,Movements!$G$716:$M$716,0))))
*AA998*AA$8,0)</f>
        <v>0</v>
      </c>
      <c r="AB287" s="198">
        <f>_xlfn.IFNA(IF(AB$7="Fixed",1,IF(AND($D86="yes",AB$7="Block"),INDEX($O728:$Q728,1,MATCH(AB$5,$I51:$K51,0)),INDEX(Movements!$G728:$M728,1,MATCH(AB$7,Movements!$G$716:$M$716,0))))
*AB998*AB$8,0)</f>
        <v>0</v>
      </c>
      <c r="AC287" s="70"/>
      <c r="AD287" s="19"/>
      <c r="AE287" s="19"/>
      <c r="AF287" s="19"/>
      <c r="AG287" s="19"/>
    </row>
    <row r="288" spans="1:33" hidden="1" outlineLevel="3" x14ac:dyDescent="0.2">
      <c r="A288" s="19"/>
      <c r="B288" s="19"/>
      <c r="C288" s="506">
        <f t="shared" si="47"/>
        <v>0</v>
      </c>
      <c r="D288" s="505">
        <f t="shared" si="47"/>
        <v>0</v>
      </c>
      <c r="E288" s="505">
        <f t="shared" si="47"/>
        <v>0</v>
      </c>
      <c r="F288" s="58"/>
      <c r="G288" s="199">
        <f t="shared" si="48"/>
        <v>0</v>
      </c>
      <c r="H288" s="58"/>
      <c r="I288" s="198">
        <f>_xlfn.IFNA(IF(I$7="Fixed",1,IF(AND($D87="yes",I$7="Block"),INDEX($O729:$Q729,1,MATCH(I$5,$I52:$K52,0)),INDEX(Movements!$G729:$M729,1,MATCH(I$7,Movements!$G$716:$M$716,0))))
*I999*I$8,0)</f>
        <v>0</v>
      </c>
      <c r="J288" s="198">
        <f>_xlfn.IFNA(IF(J$7="Fixed",1,IF(AND($D87="yes",J$7="Block"),INDEX($O729:$Q729,1,MATCH(J$5,$I52:$K52,0)),INDEX(Movements!$G729:$M729,1,MATCH(J$7,Movements!$G$716:$M$716,0))))
*J999*J$8,0)</f>
        <v>0</v>
      </c>
      <c r="K288" s="198">
        <f>_xlfn.IFNA(IF(K$7="Fixed",1,IF(AND($D87="yes",K$7="Block"),INDEX($O729:$Q729,1,MATCH(K$5,$I52:$K52,0)),INDEX(Movements!$G729:$M729,1,MATCH(K$7,Movements!$G$716:$M$716,0))))
*K999*K$8,0)</f>
        <v>0</v>
      </c>
      <c r="L288" s="198">
        <f>_xlfn.IFNA(IF(L$7="Fixed",1,IF(AND($D87="yes",L$7="Block"),INDEX($O729:$Q729,1,MATCH(L$5,$I52:$K52,0)),INDEX(Movements!$G729:$M729,1,MATCH(L$7,Movements!$G$716:$M$716,0))))
*L999*L$8,0)</f>
        <v>0</v>
      </c>
      <c r="M288" s="198">
        <f>_xlfn.IFNA(IF(M$7="Fixed",1,IF(AND($D87="yes",M$7="Block"),INDEX($O729:$Q729,1,MATCH(M$5,$I52:$K52,0)),INDEX(Movements!$G729:$M729,1,MATCH(M$7,Movements!$G$716:$M$716,0))))
*M999*M$8,0)</f>
        <v>0</v>
      </c>
      <c r="N288" s="198">
        <f>_xlfn.IFNA(IF(N$7="Fixed",1,IF(AND($D87="yes",N$7="Block"),INDEX($O729:$Q729,1,MATCH(N$5,$I52:$K52,0)),INDEX(Movements!$G729:$M729,1,MATCH(N$7,Movements!$G$716:$M$716,0))))
*N999*N$8,0)</f>
        <v>0</v>
      </c>
      <c r="O288" s="198">
        <f>_xlfn.IFNA(IF(O$7="Fixed",1,IF(AND($D87="yes",O$7="Block"),INDEX($O729:$Q729,1,MATCH(O$5,$I52:$K52,0)),INDEX(Movements!$G729:$M729,1,MATCH(O$7,Movements!$G$716:$M$716,0))))
*O999*O$8,0)</f>
        <v>0</v>
      </c>
      <c r="P288" s="198">
        <f>_xlfn.IFNA(IF(P$7="Fixed",1,IF(AND($D87="yes",P$7="Block"),INDEX($O729:$Q729,1,MATCH(P$5,$I52:$K52,0)),INDEX(Movements!$G729:$M729,1,MATCH(P$7,Movements!$G$716:$M$716,0))))
*P999*P$8,0)</f>
        <v>0</v>
      </c>
      <c r="Q288" s="198">
        <f>_xlfn.IFNA(IF(Q$7="Fixed",1,IF(AND($D87="yes",Q$7="Block"),INDEX($O729:$Q729,1,MATCH(Q$5,$I52:$K52,0)),INDEX(Movements!$G729:$M729,1,MATCH(Q$7,Movements!$G$716:$M$716,0))))
*Q999*Q$8,0)</f>
        <v>0</v>
      </c>
      <c r="R288" s="198">
        <f>_xlfn.IFNA(IF(R$7="Fixed",1,IF(AND($D87="yes",R$7="Block"),INDEX($O729:$Q729,1,MATCH(R$5,$I52:$K52,0)),INDEX(Movements!$G729:$M729,1,MATCH(R$7,Movements!$G$716:$M$716,0))))
*R999*R$8,0)</f>
        <v>0</v>
      </c>
      <c r="S288" s="198">
        <f>_xlfn.IFNA(IF(S$7="Fixed",1,IF(AND($D87="yes",S$7="Block"),INDEX($O729:$Q729,1,MATCH(S$5,$I52:$K52,0)),INDEX(Movements!$G729:$M729,1,MATCH(S$7,Movements!$G$716:$M$716,0))))
*S999*S$8,0)</f>
        <v>0</v>
      </c>
      <c r="T288" s="198">
        <f>_xlfn.IFNA(IF(T$7="Fixed",1,IF(AND($D87="yes",T$7="Block"),INDEX($O729:$Q729,1,MATCH(T$5,$I52:$K52,0)),INDEX(Movements!$G729:$M729,1,MATCH(T$7,Movements!$G$716:$M$716,0))))
*T999*T$8,0)</f>
        <v>0</v>
      </c>
      <c r="U288" s="198">
        <f>_xlfn.IFNA(IF(U$7="Fixed",1,IF(AND($D87="yes",U$7="Block"),INDEX($O729:$Q729,1,MATCH(U$5,$I52:$K52,0)),INDEX(Movements!$G729:$M729,1,MATCH(U$7,Movements!$G$716:$M$716,0))))
*U999*U$8,0)</f>
        <v>0</v>
      </c>
      <c r="V288" s="198">
        <f>_xlfn.IFNA(IF(V$7="Fixed",1,IF(AND($D87="yes",V$7="Block"),INDEX($O729:$Q729,1,MATCH(V$5,$I52:$K52,0)),INDEX(Movements!$G729:$M729,1,MATCH(V$7,Movements!$G$716:$M$716,0))))
*V999*V$8,0)</f>
        <v>0</v>
      </c>
      <c r="W288" s="198">
        <f>_xlfn.IFNA(IF(W$7="Fixed",1,IF(AND($D87="yes",W$7="Block"),INDEX($O729:$Q729,1,MATCH(W$5,$I52:$K52,0)),INDEX(Movements!$G729:$M729,1,MATCH(W$7,Movements!$G$716:$M$716,0))))
*W999*W$8,0)</f>
        <v>0</v>
      </c>
      <c r="X288" s="198">
        <f>_xlfn.IFNA(IF(X$7="Fixed",1,IF(AND($D87="yes",X$7="Block"),INDEX($O729:$Q729,1,MATCH(X$5,$I52:$K52,0)),INDEX(Movements!$G729:$M729,1,MATCH(X$7,Movements!$G$716:$M$716,0))))
*X999*X$8,0)</f>
        <v>0</v>
      </c>
      <c r="Y288" s="198">
        <f>_xlfn.IFNA(IF(Y$7="Fixed",1,IF(AND($D87="yes",Y$7="Block"),INDEX($O729:$Q729,1,MATCH(Y$5,$I52:$K52,0)),INDEX(Movements!$G729:$M729,1,MATCH(Y$7,Movements!$G$716:$M$716,0))))
*Y999*Y$8,0)</f>
        <v>0</v>
      </c>
      <c r="Z288" s="198">
        <f>_xlfn.IFNA(IF(Z$7="Fixed",1,IF(AND($D87="yes",Z$7="Block"),INDEX($O729:$Q729,1,MATCH(Z$5,$I52:$K52,0)),INDEX(Movements!$G729:$M729,1,MATCH(Z$7,Movements!$G$716:$M$716,0))))
*Z999*Z$8,0)</f>
        <v>0</v>
      </c>
      <c r="AA288" s="198">
        <f>_xlfn.IFNA(IF(AA$7="Fixed",1,IF(AND($D87="yes",AA$7="Block"),INDEX($O729:$Q729,1,MATCH(AA$5,$I52:$K52,0)),INDEX(Movements!$G729:$M729,1,MATCH(AA$7,Movements!$G$716:$M$716,0))))
*AA999*AA$8,0)</f>
        <v>0</v>
      </c>
      <c r="AB288" s="198">
        <f>_xlfn.IFNA(IF(AB$7="Fixed",1,IF(AND($D87="yes",AB$7="Block"),INDEX($O729:$Q729,1,MATCH(AB$5,$I52:$K52,0)),INDEX(Movements!$G729:$M729,1,MATCH(AB$7,Movements!$G$716:$M$716,0))))
*AB999*AB$8,0)</f>
        <v>0</v>
      </c>
      <c r="AC288" s="70"/>
      <c r="AD288" s="19"/>
      <c r="AE288" s="19"/>
      <c r="AF288" s="19"/>
      <c r="AG288" s="19"/>
    </row>
    <row r="289" spans="1:33" hidden="1" outlineLevel="3" x14ac:dyDescent="0.2">
      <c r="A289" s="19"/>
      <c r="B289" s="19"/>
      <c r="C289" s="506">
        <f t="shared" si="47"/>
        <v>0</v>
      </c>
      <c r="D289" s="505">
        <f t="shared" si="47"/>
        <v>0</v>
      </c>
      <c r="E289" s="505">
        <f t="shared" si="47"/>
        <v>0</v>
      </c>
      <c r="F289" s="58"/>
      <c r="G289" s="199">
        <f t="shared" si="48"/>
        <v>0</v>
      </c>
      <c r="H289" s="58"/>
      <c r="I289" s="198">
        <f>_xlfn.IFNA(IF(I$7="Fixed",1,IF(AND($D88="yes",I$7="Block"),INDEX($O730:$Q730,1,MATCH(I$5,$I53:$K53,0)),INDEX(Movements!$G730:$M730,1,MATCH(I$7,Movements!$G$716:$M$716,0))))
*I1000*I$8,0)</f>
        <v>0</v>
      </c>
      <c r="J289" s="198">
        <f>_xlfn.IFNA(IF(J$7="Fixed",1,IF(AND($D88="yes",J$7="Block"),INDEX($O730:$Q730,1,MATCH(J$5,$I53:$K53,0)),INDEX(Movements!$G730:$M730,1,MATCH(J$7,Movements!$G$716:$M$716,0))))
*J1000*J$8,0)</f>
        <v>0</v>
      </c>
      <c r="K289" s="198">
        <f>_xlfn.IFNA(IF(K$7="Fixed",1,IF(AND($D88="yes",K$7="Block"),INDEX($O730:$Q730,1,MATCH(K$5,$I53:$K53,0)),INDEX(Movements!$G730:$M730,1,MATCH(K$7,Movements!$G$716:$M$716,0))))
*K1000*K$8,0)</f>
        <v>0</v>
      </c>
      <c r="L289" s="198">
        <f>_xlfn.IFNA(IF(L$7="Fixed",1,IF(AND($D88="yes",L$7="Block"),INDEX($O730:$Q730,1,MATCH(L$5,$I53:$K53,0)),INDEX(Movements!$G730:$M730,1,MATCH(L$7,Movements!$G$716:$M$716,0))))
*L1000*L$8,0)</f>
        <v>0</v>
      </c>
      <c r="M289" s="198">
        <f>_xlfn.IFNA(IF(M$7="Fixed",1,IF(AND($D88="yes",M$7="Block"),INDEX($O730:$Q730,1,MATCH(M$5,$I53:$K53,0)),INDEX(Movements!$G730:$M730,1,MATCH(M$7,Movements!$G$716:$M$716,0))))
*M1000*M$8,0)</f>
        <v>0</v>
      </c>
      <c r="N289" s="198">
        <f>_xlfn.IFNA(IF(N$7="Fixed",1,IF(AND($D88="yes",N$7="Block"),INDEX($O730:$Q730,1,MATCH(N$5,$I53:$K53,0)),INDEX(Movements!$G730:$M730,1,MATCH(N$7,Movements!$G$716:$M$716,0))))
*N1000*N$8,0)</f>
        <v>0</v>
      </c>
      <c r="O289" s="198">
        <f>_xlfn.IFNA(IF(O$7="Fixed",1,IF(AND($D88="yes",O$7="Block"),INDEX($O730:$Q730,1,MATCH(O$5,$I53:$K53,0)),INDEX(Movements!$G730:$M730,1,MATCH(O$7,Movements!$G$716:$M$716,0))))
*O1000*O$8,0)</f>
        <v>0</v>
      </c>
      <c r="P289" s="198">
        <f>_xlfn.IFNA(IF(P$7="Fixed",1,IF(AND($D88="yes",P$7="Block"),INDEX($O730:$Q730,1,MATCH(P$5,$I53:$K53,0)),INDEX(Movements!$G730:$M730,1,MATCH(P$7,Movements!$G$716:$M$716,0))))
*P1000*P$8,0)</f>
        <v>0</v>
      </c>
      <c r="Q289" s="198">
        <f>_xlfn.IFNA(IF(Q$7="Fixed",1,IF(AND($D88="yes",Q$7="Block"),INDEX($O730:$Q730,1,MATCH(Q$5,$I53:$K53,0)),INDEX(Movements!$G730:$M730,1,MATCH(Q$7,Movements!$G$716:$M$716,0))))
*Q1000*Q$8,0)</f>
        <v>0</v>
      </c>
      <c r="R289" s="198">
        <f>_xlfn.IFNA(IF(R$7="Fixed",1,IF(AND($D88="yes",R$7="Block"),INDEX($O730:$Q730,1,MATCH(R$5,$I53:$K53,0)),INDEX(Movements!$G730:$M730,1,MATCH(R$7,Movements!$G$716:$M$716,0))))
*R1000*R$8,0)</f>
        <v>0</v>
      </c>
      <c r="S289" s="198">
        <f>_xlfn.IFNA(IF(S$7="Fixed",1,IF(AND($D88="yes",S$7="Block"),INDEX($O730:$Q730,1,MATCH(S$5,$I53:$K53,0)),INDEX(Movements!$G730:$M730,1,MATCH(S$7,Movements!$G$716:$M$716,0))))
*S1000*S$8,0)</f>
        <v>0</v>
      </c>
      <c r="T289" s="198">
        <f>_xlfn.IFNA(IF(T$7="Fixed",1,IF(AND($D88="yes",T$7="Block"),INDEX($O730:$Q730,1,MATCH(T$5,$I53:$K53,0)),INDEX(Movements!$G730:$M730,1,MATCH(T$7,Movements!$G$716:$M$716,0))))
*T1000*T$8,0)</f>
        <v>0</v>
      </c>
      <c r="U289" s="198">
        <f>_xlfn.IFNA(IF(U$7="Fixed",1,IF(AND($D88="yes",U$7="Block"),INDEX($O730:$Q730,1,MATCH(U$5,$I53:$K53,0)),INDEX(Movements!$G730:$M730,1,MATCH(U$7,Movements!$G$716:$M$716,0))))
*U1000*U$8,0)</f>
        <v>0</v>
      </c>
      <c r="V289" s="198">
        <f>_xlfn.IFNA(IF(V$7="Fixed",1,IF(AND($D88="yes",V$7="Block"),INDEX($O730:$Q730,1,MATCH(V$5,$I53:$K53,0)),INDEX(Movements!$G730:$M730,1,MATCH(V$7,Movements!$G$716:$M$716,0))))
*V1000*V$8,0)</f>
        <v>0</v>
      </c>
      <c r="W289" s="198">
        <f>_xlfn.IFNA(IF(W$7="Fixed",1,IF(AND($D88="yes",W$7="Block"),INDEX($O730:$Q730,1,MATCH(W$5,$I53:$K53,0)),INDEX(Movements!$G730:$M730,1,MATCH(W$7,Movements!$G$716:$M$716,0))))
*W1000*W$8,0)</f>
        <v>0</v>
      </c>
      <c r="X289" s="198">
        <f>_xlfn.IFNA(IF(X$7="Fixed",1,IF(AND($D88="yes",X$7="Block"),INDEX($O730:$Q730,1,MATCH(X$5,$I53:$K53,0)),INDEX(Movements!$G730:$M730,1,MATCH(X$7,Movements!$G$716:$M$716,0))))
*X1000*X$8,0)</f>
        <v>0</v>
      </c>
      <c r="Y289" s="198">
        <f>_xlfn.IFNA(IF(Y$7="Fixed",1,IF(AND($D88="yes",Y$7="Block"),INDEX($O730:$Q730,1,MATCH(Y$5,$I53:$K53,0)),INDEX(Movements!$G730:$M730,1,MATCH(Y$7,Movements!$G$716:$M$716,0))))
*Y1000*Y$8,0)</f>
        <v>0</v>
      </c>
      <c r="Z289" s="198">
        <f>_xlfn.IFNA(IF(Z$7="Fixed",1,IF(AND($D88="yes",Z$7="Block"),INDEX($O730:$Q730,1,MATCH(Z$5,$I53:$K53,0)),INDEX(Movements!$G730:$M730,1,MATCH(Z$7,Movements!$G$716:$M$716,0))))
*Z1000*Z$8,0)</f>
        <v>0</v>
      </c>
      <c r="AA289" s="198">
        <f>_xlfn.IFNA(IF(AA$7="Fixed",1,IF(AND($D88="yes",AA$7="Block"),INDEX($O730:$Q730,1,MATCH(AA$5,$I53:$K53,0)),INDEX(Movements!$G730:$M730,1,MATCH(AA$7,Movements!$G$716:$M$716,0))))
*AA1000*AA$8,0)</f>
        <v>0</v>
      </c>
      <c r="AB289" s="198">
        <f>_xlfn.IFNA(IF(AB$7="Fixed",1,IF(AND($D88="yes",AB$7="Block"),INDEX($O730:$Q730,1,MATCH(AB$5,$I53:$K53,0)),INDEX(Movements!$G730:$M730,1,MATCH(AB$7,Movements!$G$716:$M$716,0))))
*AB1000*AB$8,0)</f>
        <v>0</v>
      </c>
      <c r="AC289" s="70"/>
      <c r="AD289" s="19"/>
      <c r="AE289" s="19"/>
      <c r="AF289" s="19"/>
      <c r="AG289" s="19"/>
    </row>
    <row r="290" spans="1:33" hidden="1" outlineLevel="3" x14ac:dyDescent="0.2">
      <c r="A290" s="19"/>
      <c r="B290" s="19"/>
      <c r="C290" s="506">
        <f t="shared" si="47"/>
        <v>0</v>
      </c>
      <c r="D290" s="505">
        <f t="shared" si="47"/>
        <v>0</v>
      </c>
      <c r="E290" s="505">
        <f t="shared" si="47"/>
        <v>0</v>
      </c>
      <c r="F290" s="58"/>
      <c r="G290" s="199">
        <f t="shared" si="48"/>
        <v>0</v>
      </c>
      <c r="H290" s="58"/>
      <c r="I290" s="198">
        <f>_xlfn.IFNA(IF(I$7="Fixed",1,IF(AND($D89="yes",I$7="Block"),INDEX($O731:$Q731,1,MATCH(I$5,$I54:$K54,0)),INDEX(Movements!$G731:$M731,1,MATCH(I$7,Movements!$G$716:$M$716,0))))
*I1001*I$8,0)</f>
        <v>0</v>
      </c>
      <c r="J290" s="198">
        <f>_xlfn.IFNA(IF(J$7="Fixed",1,IF(AND($D89="yes",J$7="Block"),INDEX($O731:$Q731,1,MATCH(J$5,$I54:$K54,0)),INDEX(Movements!$G731:$M731,1,MATCH(J$7,Movements!$G$716:$M$716,0))))
*J1001*J$8,0)</f>
        <v>0</v>
      </c>
      <c r="K290" s="198">
        <f>_xlfn.IFNA(IF(K$7="Fixed",1,IF(AND($D89="yes",K$7="Block"),INDEX($O731:$Q731,1,MATCH(K$5,$I54:$K54,0)),INDEX(Movements!$G731:$M731,1,MATCH(K$7,Movements!$G$716:$M$716,0))))
*K1001*K$8,0)</f>
        <v>0</v>
      </c>
      <c r="L290" s="198">
        <f>_xlfn.IFNA(IF(L$7="Fixed",1,IF(AND($D89="yes",L$7="Block"),INDEX($O731:$Q731,1,MATCH(L$5,$I54:$K54,0)),INDEX(Movements!$G731:$M731,1,MATCH(L$7,Movements!$G$716:$M$716,0))))
*L1001*L$8,0)</f>
        <v>0</v>
      </c>
      <c r="M290" s="198">
        <f>_xlfn.IFNA(IF(M$7="Fixed",1,IF(AND($D89="yes",M$7="Block"),INDEX($O731:$Q731,1,MATCH(M$5,$I54:$K54,0)),INDEX(Movements!$G731:$M731,1,MATCH(M$7,Movements!$G$716:$M$716,0))))
*M1001*M$8,0)</f>
        <v>0</v>
      </c>
      <c r="N290" s="198">
        <f>_xlfn.IFNA(IF(N$7="Fixed",1,IF(AND($D89="yes",N$7="Block"),INDEX($O731:$Q731,1,MATCH(N$5,$I54:$K54,0)),INDEX(Movements!$G731:$M731,1,MATCH(N$7,Movements!$G$716:$M$716,0))))
*N1001*N$8,0)</f>
        <v>0</v>
      </c>
      <c r="O290" s="198">
        <f>_xlfn.IFNA(IF(O$7="Fixed",1,IF(AND($D89="yes",O$7="Block"),INDEX($O731:$Q731,1,MATCH(O$5,$I54:$K54,0)),INDEX(Movements!$G731:$M731,1,MATCH(O$7,Movements!$G$716:$M$716,0))))
*O1001*O$8,0)</f>
        <v>0</v>
      </c>
      <c r="P290" s="198">
        <f>_xlfn.IFNA(IF(P$7="Fixed",1,IF(AND($D89="yes",P$7="Block"),INDEX($O731:$Q731,1,MATCH(P$5,$I54:$K54,0)),INDEX(Movements!$G731:$M731,1,MATCH(P$7,Movements!$G$716:$M$716,0))))
*P1001*P$8,0)</f>
        <v>0</v>
      </c>
      <c r="Q290" s="198">
        <f>_xlfn.IFNA(IF(Q$7="Fixed",1,IF(AND($D89="yes",Q$7="Block"),INDEX($O731:$Q731,1,MATCH(Q$5,$I54:$K54,0)),INDEX(Movements!$G731:$M731,1,MATCH(Q$7,Movements!$G$716:$M$716,0))))
*Q1001*Q$8,0)</f>
        <v>0</v>
      </c>
      <c r="R290" s="198">
        <f>_xlfn.IFNA(IF(R$7="Fixed",1,IF(AND($D89="yes",R$7="Block"),INDEX($O731:$Q731,1,MATCH(R$5,$I54:$K54,0)),INDEX(Movements!$G731:$M731,1,MATCH(R$7,Movements!$G$716:$M$716,0))))
*R1001*R$8,0)</f>
        <v>0</v>
      </c>
      <c r="S290" s="198">
        <f>_xlfn.IFNA(IF(S$7="Fixed",1,IF(AND($D89="yes",S$7="Block"),INDEX($O731:$Q731,1,MATCH(S$5,$I54:$K54,0)),INDEX(Movements!$G731:$M731,1,MATCH(S$7,Movements!$G$716:$M$716,0))))
*S1001*S$8,0)</f>
        <v>0</v>
      </c>
      <c r="T290" s="198">
        <f>_xlfn.IFNA(IF(T$7="Fixed",1,IF(AND($D89="yes",T$7="Block"),INDEX($O731:$Q731,1,MATCH(T$5,$I54:$K54,0)),INDEX(Movements!$G731:$M731,1,MATCH(T$7,Movements!$G$716:$M$716,0))))
*T1001*T$8,0)</f>
        <v>0</v>
      </c>
      <c r="U290" s="198">
        <f>_xlfn.IFNA(IF(U$7="Fixed",1,IF(AND($D89="yes",U$7="Block"),INDEX($O731:$Q731,1,MATCH(U$5,$I54:$K54,0)),INDEX(Movements!$G731:$M731,1,MATCH(U$7,Movements!$G$716:$M$716,0))))
*U1001*U$8,0)</f>
        <v>0</v>
      </c>
      <c r="V290" s="198">
        <f>_xlfn.IFNA(IF(V$7="Fixed",1,IF(AND($D89="yes",V$7="Block"),INDEX($O731:$Q731,1,MATCH(V$5,$I54:$K54,0)),INDEX(Movements!$G731:$M731,1,MATCH(V$7,Movements!$G$716:$M$716,0))))
*V1001*V$8,0)</f>
        <v>0</v>
      </c>
      <c r="W290" s="198">
        <f>_xlfn.IFNA(IF(W$7="Fixed",1,IF(AND($D89="yes",W$7="Block"),INDEX($O731:$Q731,1,MATCH(W$5,$I54:$K54,0)),INDEX(Movements!$G731:$M731,1,MATCH(W$7,Movements!$G$716:$M$716,0))))
*W1001*W$8,0)</f>
        <v>0</v>
      </c>
      <c r="X290" s="198">
        <f>_xlfn.IFNA(IF(X$7="Fixed",1,IF(AND($D89="yes",X$7="Block"),INDEX($O731:$Q731,1,MATCH(X$5,$I54:$K54,0)),INDEX(Movements!$G731:$M731,1,MATCH(X$7,Movements!$G$716:$M$716,0))))
*X1001*X$8,0)</f>
        <v>0</v>
      </c>
      <c r="Y290" s="198">
        <f>_xlfn.IFNA(IF(Y$7="Fixed",1,IF(AND($D89="yes",Y$7="Block"),INDEX($O731:$Q731,1,MATCH(Y$5,$I54:$K54,0)),INDEX(Movements!$G731:$M731,1,MATCH(Y$7,Movements!$G$716:$M$716,0))))
*Y1001*Y$8,0)</f>
        <v>0</v>
      </c>
      <c r="Z290" s="198">
        <f>_xlfn.IFNA(IF(Z$7="Fixed",1,IF(AND($D89="yes",Z$7="Block"),INDEX($O731:$Q731,1,MATCH(Z$5,$I54:$K54,0)),INDEX(Movements!$G731:$M731,1,MATCH(Z$7,Movements!$G$716:$M$716,0))))
*Z1001*Z$8,0)</f>
        <v>0</v>
      </c>
      <c r="AA290" s="198">
        <f>_xlfn.IFNA(IF(AA$7="Fixed",1,IF(AND($D89="yes",AA$7="Block"),INDEX($O731:$Q731,1,MATCH(AA$5,$I54:$K54,0)),INDEX(Movements!$G731:$M731,1,MATCH(AA$7,Movements!$G$716:$M$716,0))))
*AA1001*AA$8,0)</f>
        <v>0</v>
      </c>
      <c r="AB290" s="198">
        <f>_xlfn.IFNA(IF(AB$7="Fixed",1,IF(AND($D89="yes",AB$7="Block"),INDEX($O731:$Q731,1,MATCH(AB$5,$I54:$K54,0)),INDEX(Movements!$G731:$M731,1,MATCH(AB$7,Movements!$G$716:$M$716,0))))
*AB1001*AB$8,0)</f>
        <v>0</v>
      </c>
      <c r="AC290" s="70"/>
      <c r="AD290" s="19"/>
      <c r="AE290" s="19"/>
      <c r="AF290" s="19"/>
      <c r="AG290" s="19"/>
    </row>
    <row r="291" spans="1:33" hidden="1" outlineLevel="3" x14ac:dyDescent="0.2">
      <c r="A291" s="19"/>
      <c r="B291" s="19"/>
      <c r="C291" s="506">
        <f t="shared" si="47"/>
        <v>0</v>
      </c>
      <c r="D291" s="505">
        <f t="shared" si="47"/>
        <v>0</v>
      </c>
      <c r="E291" s="505">
        <f t="shared" si="47"/>
        <v>0</v>
      </c>
      <c r="F291" s="58"/>
      <c r="G291" s="199">
        <f t="shared" si="48"/>
        <v>0</v>
      </c>
      <c r="H291" s="58"/>
      <c r="I291" s="198">
        <f>_xlfn.IFNA(IF(I$7="Fixed",1,IF(AND($D90="yes",I$7="Block"),INDEX($O732:$Q732,1,MATCH(I$5,$I55:$K55,0)),INDEX(Movements!$G732:$M732,1,MATCH(I$7,Movements!$G$716:$M$716,0))))
*I1002*I$8,0)</f>
        <v>0</v>
      </c>
      <c r="J291" s="198">
        <f>_xlfn.IFNA(IF(J$7="Fixed",1,IF(AND($D90="yes",J$7="Block"),INDEX($O732:$Q732,1,MATCH(J$5,$I55:$K55,0)),INDEX(Movements!$G732:$M732,1,MATCH(J$7,Movements!$G$716:$M$716,0))))
*J1002*J$8,0)</f>
        <v>0</v>
      </c>
      <c r="K291" s="198">
        <f>_xlfn.IFNA(IF(K$7="Fixed",1,IF(AND($D90="yes",K$7="Block"),INDEX($O732:$Q732,1,MATCH(K$5,$I55:$K55,0)),INDEX(Movements!$G732:$M732,1,MATCH(K$7,Movements!$G$716:$M$716,0))))
*K1002*K$8,0)</f>
        <v>0</v>
      </c>
      <c r="L291" s="198">
        <f>_xlfn.IFNA(IF(L$7="Fixed",1,IF(AND($D90="yes",L$7="Block"),INDEX($O732:$Q732,1,MATCH(L$5,$I55:$K55,0)),INDEX(Movements!$G732:$M732,1,MATCH(L$7,Movements!$G$716:$M$716,0))))
*L1002*L$8,0)</f>
        <v>0</v>
      </c>
      <c r="M291" s="198">
        <f>_xlfn.IFNA(IF(M$7="Fixed",1,IF(AND($D90="yes",M$7="Block"),INDEX($O732:$Q732,1,MATCH(M$5,$I55:$K55,0)),INDEX(Movements!$G732:$M732,1,MATCH(M$7,Movements!$G$716:$M$716,0))))
*M1002*M$8,0)</f>
        <v>0</v>
      </c>
      <c r="N291" s="198">
        <f>_xlfn.IFNA(IF(N$7="Fixed",1,IF(AND($D90="yes",N$7="Block"),INDEX($O732:$Q732,1,MATCH(N$5,$I55:$K55,0)),INDEX(Movements!$G732:$M732,1,MATCH(N$7,Movements!$G$716:$M$716,0))))
*N1002*N$8,0)</f>
        <v>0</v>
      </c>
      <c r="O291" s="198">
        <f>_xlfn.IFNA(IF(O$7="Fixed",1,IF(AND($D90="yes",O$7="Block"),INDEX($O732:$Q732,1,MATCH(O$5,$I55:$K55,0)),INDEX(Movements!$G732:$M732,1,MATCH(O$7,Movements!$G$716:$M$716,0))))
*O1002*O$8,0)</f>
        <v>0</v>
      </c>
      <c r="P291" s="198">
        <f>_xlfn.IFNA(IF(P$7="Fixed",1,IF(AND($D90="yes",P$7="Block"),INDEX($O732:$Q732,1,MATCH(P$5,$I55:$K55,0)),INDEX(Movements!$G732:$M732,1,MATCH(P$7,Movements!$G$716:$M$716,0))))
*P1002*P$8,0)</f>
        <v>0</v>
      </c>
      <c r="Q291" s="198">
        <f>_xlfn.IFNA(IF(Q$7="Fixed",1,IF(AND($D90="yes",Q$7="Block"),INDEX($O732:$Q732,1,MATCH(Q$5,$I55:$K55,0)),INDEX(Movements!$G732:$M732,1,MATCH(Q$7,Movements!$G$716:$M$716,0))))
*Q1002*Q$8,0)</f>
        <v>0</v>
      </c>
      <c r="R291" s="198">
        <f>_xlfn.IFNA(IF(R$7="Fixed",1,IF(AND($D90="yes",R$7="Block"),INDEX($O732:$Q732,1,MATCH(R$5,$I55:$K55,0)),INDEX(Movements!$G732:$M732,1,MATCH(R$7,Movements!$G$716:$M$716,0))))
*R1002*R$8,0)</f>
        <v>0</v>
      </c>
      <c r="S291" s="198">
        <f>_xlfn.IFNA(IF(S$7="Fixed",1,IF(AND($D90="yes",S$7="Block"),INDEX($O732:$Q732,1,MATCH(S$5,$I55:$K55,0)),INDEX(Movements!$G732:$M732,1,MATCH(S$7,Movements!$G$716:$M$716,0))))
*S1002*S$8,0)</f>
        <v>0</v>
      </c>
      <c r="T291" s="198">
        <f>_xlfn.IFNA(IF(T$7="Fixed",1,IF(AND($D90="yes",T$7="Block"),INDEX($O732:$Q732,1,MATCH(T$5,$I55:$K55,0)),INDEX(Movements!$G732:$M732,1,MATCH(T$7,Movements!$G$716:$M$716,0))))
*T1002*T$8,0)</f>
        <v>0</v>
      </c>
      <c r="U291" s="198">
        <f>_xlfn.IFNA(IF(U$7="Fixed",1,IF(AND($D90="yes",U$7="Block"),INDEX($O732:$Q732,1,MATCH(U$5,$I55:$K55,0)),INDEX(Movements!$G732:$M732,1,MATCH(U$7,Movements!$G$716:$M$716,0))))
*U1002*U$8,0)</f>
        <v>0</v>
      </c>
      <c r="V291" s="198">
        <f>_xlfn.IFNA(IF(V$7="Fixed",1,IF(AND($D90="yes",V$7="Block"),INDEX($O732:$Q732,1,MATCH(V$5,$I55:$K55,0)),INDEX(Movements!$G732:$M732,1,MATCH(V$7,Movements!$G$716:$M$716,0))))
*V1002*V$8,0)</f>
        <v>0</v>
      </c>
      <c r="W291" s="198">
        <f>_xlfn.IFNA(IF(W$7="Fixed",1,IF(AND($D90="yes",W$7="Block"),INDEX($O732:$Q732,1,MATCH(W$5,$I55:$K55,0)),INDEX(Movements!$G732:$M732,1,MATCH(W$7,Movements!$G$716:$M$716,0))))
*W1002*W$8,0)</f>
        <v>0</v>
      </c>
      <c r="X291" s="198">
        <f>_xlfn.IFNA(IF(X$7="Fixed",1,IF(AND($D90="yes",X$7="Block"),INDEX($O732:$Q732,1,MATCH(X$5,$I55:$K55,0)),INDEX(Movements!$G732:$M732,1,MATCH(X$7,Movements!$G$716:$M$716,0))))
*X1002*X$8,0)</f>
        <v>0</v>
      </c>
      <c r="Y291" s="198">
        <f>_xlfn.IFNA(IF(Y$7="Fixed",1,IF(AND($D90="yes",Y$7="Block"),INDEX($O732:$Q732,1,MATCH(Y$5,$I55:$K55,0)),INDEX(Movements!$G732:$M732,1,MATCH(Y$7,Movements!$G$716:$M$716,0))))
*Y1002*Y$8,0)</f>
        <v>0</v>
      </c>
      <c r="Z291" s="198">
        <f>_xlfn.IFNA(IF(Z$7="Fixed",1,IF(AND($D90="yes",Z$7="Block"),INDEX($O732:$Q732,1,MATCH(Z$5,$I55:$K55,0)),INDEX(Movements!$G732:$M732,1,MATCH(Z$7,Movements!$G$716:$M$716,0))))
*Z1002*Z$8,0)</f>
        <v>0</v>
      </c>
      <c r="AA291" s="198">
        <f>_xlfn.IFNA(IF(AA$7="Fixed",1,IF(AND($D90="yes",AA$7="Block"),INDEX($O732:$Q732,1,MATCH(AA$5,$I55:$K55,0)),INDEX(Movements!$G732:$M732,1,MATCH(AA$7,Movements!$G$716:$M$716,0))))
*AA1002*AA$8,0)</f>
        <v>0</v>
      </c>
      <c r="AB291" s="198">
        <f>_xlfn.IFNA(IF(AB$7="Fixed",1,IF(AND($D90="yes",AB$7="Block"),INDEX($O732:$Q732,1,MATCH(AB$5,$I55:$K55,0)),INDEX(Movements!$G732:$M732,1,MATCH(AB$7,Movements!$G$716:$M$716,0))))
*AB1002*AB$8,0)</f>
        <v>0</v>
      </c>
      <c r="AC291" s="70"/>
      <c r="AD291" s="19"/>
      <c r="AE291" s="19"/>
      <c r="AF291" s="19"/>
      <c r="AG291" s="19"/>
    </row>
    <row r="292" spans="1:33" hidden="1" outlineLevel="3" x14ac:dyDescent="0.2">
      <c r="A292" s="19"/>
      <c r="B292" s="19"/>
      <c r="C292" s="506">
        <f t="shared" si="47"/>
        <v>0</v>
      </c>
      <c r="D292" s="505">
        <f t="shared" si="47"/>
        <v>0</v>
      </c>
      <c r="E292" s="505">
        <f t="shared" si="47"/>
        <v>0</v>
      </c>
      <c r="F292" s="58"/>
      <c r="G292" s="199">
        <f t="shared" si="48"/>
        <v>0</v>
      </c>
      <c r="H292" s="58"/>
      <c r="I292" s="198">
        <f>_xlfn.IFNA(IF(I$7="Fixed",1,IF(AND($D91="yes",I$7="Block"),INDEX($O733:$Q733,1,MATCH(I$5,$I56:$K56,0)),INDEX(Movements!$G733:$M733,1,MATCH(I$7,Movements!$G$716:$M$716,0))))
*I1003*I$8,0)</f>
        <v>0</v>
      </c>
      <c r="J292" s="198">
        <f>_xlfn.IFNA(IF(J$7="Fixed",1,IF(AND($D91="yes",J$7="Block"),INDEX($O733:$Q733,1,MATCH(J$5,$I56:$K56,0)),INDEX(Movements!$G733:$M733,1,MATCH(J$7,Movements!$G$716:$M$716,0))))
*J1003*J$8,0)</f>
        <v>0</v>
      </c>
      <c r="K292" s="198">
        <f>_xlfn.IFNA(IF(K$7="Fixed",1,IF(AND($D91="yes",K$7="Block"),INDEX($O733:$Q733,1,MATCH(K$5,$I56:$K56,0)),INDEX(Movements!$G733:$M733,1,MATCH(K$7,Movements!$G$716:$M$716,0))))
*K1003*K$8,0)</f>
        <v>0</v>
      </c>
      <c r="L292" s="198">
        <f>_xlfn.IFNA(IF(L$7="Fixed",1,IF(AND($D91="yes",L$7="Block"),INDEX($O733:$Q733,1,MATCH(L$5,$I56:$K56,0)),INDEX(Movements!$G733:$M733,1,MATCH(L$7,Movements!$G$716:$M$716,0))))
*L1003*L$8,0)</f>
        <v>0</v>
      </c>
      <c r="M292" s="198">
        <f>_xlfn.IFNA(IF(M$7="Fixed",1,IF(AND($D91="yes",M$7="Block"),INDEX($O733:$Q733,1,MATCH(M$5,$I56:$K56,0)),INDEX(Movements!$G733:$M733,1,MATCH(M$7,Movements!$G$716:$M$716,0))))
*M1003*M$8,0)</f>
        <v>0</v>
      </c>
      <c r="N292" s="198">
        <f>_xlfn.IFNA(IF(N$7="Fixed",1,IF(AND($D91="yes",N$7="Block"),INDEX($O733:$Q733,1,MATCH(N$5,$I56:$K56,0)),INDEX(Movements!$G733:$M733,1,MATCH(N$7,Movements!$G$716:$M$716,0))))
*N1003*N$8,0)</f>
        <v>0</v>
      </c>
      <c r="O292" s="198">
        <f>_xlfn.IFNA(IF(O$7="Fixed",1,IF(AND($D91="yes",O$7="Block"),INDEX($O733:$Q733,1,MATCH(O$5,$I56:$K56,0)),INDEX(Movements!$G733:$M733,1,MATCH(O$7,Movements!$G$716:$M$716,0))))
*O1003*O$8,0)</f>
        <v>0</v>
      </c>
      <c r="P292" s="198">
        <f>_xlfn.IFNA(IF(P$7="Fixed",1,IF(AND($D91="yes",P$7="Block"),INDEX($O733:$Q733,1,MATCH(P$5,$I56:$K56,0)),INDEX(Movements!$G733:$M733,1,MATCH(P$7,Movements!$G$716:$M$716,0))))
*P1003*P$8,0)</f>
        <v>0</v>
      </c>
      <c r="Q292" s="198">
        <f>_xlfn.IFNA(IF(Q$7="Fixed",1,IF(AND($D91="yes",Q$7="Block"),INDEX($O733:$Q733,1,MATCH(Q$5,$I56:$K56,0)),INDEX(Movements!$G733:$M733,1,MATCH(Q$7,Movements!$G$716:$M$716,0))))
*Q1003*Q$8,0)</f>
        <v>0</v>
      </c>
      <c r="R292" s="198">
        <f>_xlfn.IFNA(IF(R$7="Fixed",1,IF(AND($D91="yes",R$7="Block"),INDEX($O733:$Q733,1,MATCH(R$5,$I56:$K56,0)),INDEX(Movements!$G733:$M733,1,MATCH(R$7,Movements!$G$716:$M$716,0))))
*R1003*R$8,0)</f>
        <v>0</v>
      </c>
      <c r="S292" s="198">
        <f>_xlfn.IFNA(IF(S$7="Fixed",1,IF(AND($D91="yes",S$7="Block"),INDEX($O733:$Q733,1,MATCH(S$5,$I56:$K56,0)),INDEX(Movements!$G733:$M733,1,MATCH(S$7,Movements!$G$716:$M$716,0))))
*S1003*S$8,0)</f>
        <v>0</v>
      </c>
      <c r="T292" s="198">
        <f>_xlfn.IFNA(IF(T$7="Fixed",1,IF(AND($D91="yes",T$7="Block"),INDEX($O733:$Q733,1,MATCH(T$5,$I56:$K56,0)),INDEX(Movements!$G733:$M733,1,MATCH(T$7,Movements!$G$716:$M$716,0))))
*T1003*T$8,0)</f>
        <v>0</v>
      </c>
      <c r="U292" s="198">
        <f>_xlfn.IFNA(IF(U$7="Fixed",1,IF(AND($D91="yes",U$7="Block"),INDEX($O733:$Q733,1,MATCH(U$5,$I56:$K56,0)),INDEX(Movements!$G733:$M733,1,MATCH(U$7,Movements!$G$716:$M$716,0))))
*U1003*U$8,0)</f>
        <v>0</v>
      </c>
      <c r="V292" s="198">
        <f>_xlfn.IFNA(IF(V$7="Fixed",1,IF(AND($D91="yes",V$7="Block"),INDEX($O733:$Q733,1,MATCH(V$5,$I56:$K56,0)),INDEX(Movements!$G733:$M733,1,MATCH(V$7,Movements!$G$716:$M$716,0))))
*V1003*V$8,0)</f>
        <v>0</v>
      </c>
      <c r="W292" s="198">
        <f>_xlfn.IFNA(IF(W$7="Fixed",1,IF(AND($D91="yes",W$7="Block"),INDEX($O733:$Q733,1,MATCH(W$5,$I56:$K56,0)),INDEX(Movements!$G733:$M733,1,MATCH(W$7,Movements!$G$716:$M$716,0))))
*W1003*W$8,0)</f>
        <v>0</v>
      </c>
      <c r="X292" s="198">
        <f>_xlfn.IFNA(IF(X$7="Fixed",1,IF(AND($D91="yes",X$7="Block"),INDEX($O733:$Q733,1,MATCH(X$5,$I56:$K56,0)),INDEX(Movements!$G733:$M733,1,MATCH(X$7,Movements!$G$716:$M$716,0))))
*X1003*X$8,0)</f>
        <v>0</v>
      </c>
      <c r="Y292" s="198">
        <f>_xlfn.IFNA(IF(Y$7="Fixed",1,IF(AND($D91="yes",Y$7="Block"),INDEX($O733:$Q733,1,MATCH(Y$5,$I56:$K56,0)),INDEX(Movements!$G733:$M733,1,MATCH(Y$7,Movements!$G$716:$M$716,0))))
*Y1003*Y$8,0)</f>
        <v>0</v>
      </c>
      <c r="Z292" s="198">
        <f>_xlfn.IFNA(IF(Z$7="Fixed",1,IF(AND($D91="yes",Z$7="Block"),INDEX($O733:$Q733,1,MATCH(Z$5,$I56:$K56,0)),INDEX(Movements!$G733:$M733,1,MATCH(Z$7,Movements!$G$716:$M$716,0))))
*Z1003*Z$8,0)</f>
        <v>0</v>
      </c>
      <c r="AA292" s="198">
        <f>_xlfn.IFNA(IF(AA$7="Fixed",1,IF(AND($D91="yes",AA$7="Block"),INDEX($O733:$Q733,1,MATCH(AA$5,$I56:$K56,0)),INDEX(Movements!$G733:$M733,1,MATCH(AA$7,Movements!$G$716:$M$716,0))))
*AA1003*AA$8,0)</f>
        <v>0</v>
      </c>
      <c r="AB292" s="198">
        <f>_xlfn.IFNA(IF(AB$7="Fixed",1,IF(AND($D91="yes",AB$7="Block"),INDEX($O733:$Q733,1,MATCH(AB$5,$I56:$K56,0)),INDEX(Movements!$G733:$M733,1,MATCH(AB$7,Movements!$G$716:$M$716,0))))
*AB1003*AB$8,0)</f>
        <v>0</v>
      </c>
      <c r="AC292" s="70"/>
      <c r="AD292" s="19"/>
      <c r="AE292" s="19"/>
      <c r="AF292" s="19"/>
      <c r="AG292" s="19"/>
    </row>
    <row r="293" spans="1:33" hidden="1" outlineLevel="3" x14ac:dyDescent="0.2">
      <c r="A293" s="19"/>
      <c r="B293" s="19"/>
      <c r="C293" s="506">
        <f t="shared" si="47"/>
        <v>0</v>
      </c>
      <c r="D293" s="505">
        <f t="shared" si="47"/>
        <v>0</v>
      </c>
      <c r="E293" s="505">
        <f t="shared" si="47"/>
        <v>0</v>
      </c>
      <c r="F293" s="58"/>
      <c r="G293" s="199">
        <f t="shared" si="48"/>
        <v>0</v>
      </c>
      <c r="H293" s="58"/>
      <c r="I293" s="198">
        <f>_xlfn.IFNA(IF(I$7="Fixed",1,IF(AND($D92="yes",I$7="Block"),INDEX($O734:$Q734,1,MATCH(I$5,$I57:$K57,0)),INDEX(Movements!$G734:$M734,1,MATCH(I$7,Movements!$G$716:$M$716,0))))
*I1004*I$8,0)</f>
        <v>0</v>
      </c>
      <c r="J293" s="198">
        <f>_xlfn.IFNA(IF(J$7="Fixed",1,IF(AND($D92="yes",J$7="Block"),INDEX($O734:$Q734,1,MATCH(J$5,$I57:$K57,0)),INDEX(Movements!$G734:$M734,1,MATCH(J$7,Movements!$G$716:$M$716,0))))
*J1004*J$8,0)</f>
        <v>0</v>
      </c>
      <c r="K293" s="198">
        <f>_xlfn.IFNA(IF(K$7="Fixed",1,IF(AND($D92="yes",K$7="Block"),INDEX($O734:$Q734,1,MATCH(K$5,$I57:$K57,0)),INDEX(Movements!$G734:$M734,1,MATCH(K$7,Movements!$G$716:$M$716,0))))
*K1004*K$8,0)</f>
        <v>0</v>
      </c>
      <c r="L293" s="198">
        <f>_xlfn.IFNA(IF(L$7="Fixed",1,IF(AND($D92="yes",L$7="Block"),INDEX($O734:$Q734,1,MATCH(L$5,$I57:$K57,0)),INDEX(Movements!$G734:$M734,1,MATCH(L$7,Movements!$G$716:$M$716,0))))
*L1004*L$8,0)</f>
        <v>0</v>
      </c>
      <c r="M293" s="198">
        <f>_xlfn.IFNA(IF(M$7="Fixed",1,IF(AND($D92="yes",M$7="Block"),INDEX($O734:$Q734,1,MATCH(M$5,$I57:$K57,0)),INDEX(Movements!$G734:$M734,1,MATCH(M$7,Movements!$G$716:$M$716,0))))
*M1004*M$8,0)</f>
        <v>0</v>
      </c>
      <c r="N293" s="198">
        <f>_xlfn.IFNA(IF(N$7="Fixed",1,IF(AND($D92="yes",N$7="Block"),INDEX($O734:$Q734,1,MATCH(N$5,$I57:$K57,0)),INDEX(Movements!$G734:$M734,1,MATCH(N$7,Movements!$G$716:$M$716,0))))
*N1004*N$8,0)</f>
        <v>0</v>
      </c>
      <c r="O293" s="198">
        <f>_xlfn.IFNA(IF(O$7="Fixed",1,IF(AND($D92="yes",O$7="Block"),INDEX($O734:$Q734,1,MATCH(O$5,$I57:$K57,0)),INDEX(Movements!$G734:$M734,1,MATCH(O$7,Movements!$G$716:$M$716,0))))
*O1004*O$8,0)</f>
        <v>0</v>
      </c>
      <c r="P293" s="198">
        <f>_xlfn.IFNA(IF(P$7="Fixed",1,IF(AND($D92="yes",P$7="Block"),INDEX($O734:$Q734,1,MATCH(P$5,$I57:$K57,0)),INDEX(Movements!$G734:$M734,1,MATCH(P$7,Movements!$G$716:$M$716,0))))
*P1004*P$8,0)</f>
        <v>0</v>
      </c>
      <c r="Q293" s="198">
        <f>_xlfn.IFNA(IF(Q$7="Fixed",1,IF(AND($D92="yes",Q$7="Block"),INDEX($O734:$Q734,1,MATCH(Q$5,$I57:$K57,0)),INDEX(Movements!$G734:$M734,1,MATCH(Q$7,Movements!$G$716:$M$716,0))))
*Q1004*Q$8,0)</f>
        <v>0</v>
      </c>
      <c r="R293" s="198">
        <f>_xlfn.IFNA(IF(R$7="Fixed",1,IF(AND($D92="yes",R$7="Block"),INDEX($O734:$Q734,1,MATCH(R$5,$I57:$K57,0)),INDEX(Movements!$G734:$M734,1,MATCH(R$7,Movements!$G$716:$M$716,0))))
*R1004*R$8,0)</f>
        <v>0</v>
      </c>
      <c r="S293" s="198">
        <f>_xlfn.IFNA(IF(S$7="Fixed",1,IF(AND($D92="yes",S$7="Block"),INDEX($O734:$Q734,1,MATCH(S$5,$I57:$K57,0)),INDEX(Movements!$G734:$M734,1,MATCH(S$7,Movements!$G$716:$M$716,0))))
*S1004*S$8,0)</f>
        <v>0</v>
      </c>
      <c r="T293" s="198">
        <f>_xlfn.IFNA(IF(T$7="Fixed",1,IF(AND($D92="yes",T$7="Block"),INDEX($O734:$Q734,1,MATCH(T$5,$I57:$K57,0)),INDEX(Movements!$G734:$M734,1,MATCH(T$7,Movements!$G$716:$M$716,0))))
*T1004*T$8,0)</f>
        <v>0</v>
      </c>
      <c r="U293" s="198">
        <f>_xlfn.IFNA(IF(U$7="Fixed",1,IF(AND($D92="yes",U$7="Block"),INDEX($O734:$Q734,1,MATCH(U$5,$I57:$K57,0)),INDEX(Movements!$G734:$M734,1,MATCH(U$7,Movements!$G$716:$M$716,0))))
*U1004*U$8,0)</f>
        <v>0</v>
      </c>
      <c r="V293" s="198">
        <f>_xlfn.IFNA(IF(V$7="Fixed",1,IF(AND($D92="yes",V$7="Block"),INDEX($O734:$Q734,1,MATCH(V$5,$I57:$K57,0)),INDEX(Movements!$G734:$M734,1,MATCH(V$7,Movements!$G$716:$M$716,0))))
*V1004*V$8,0)</f>
        <v>0</v>
      </c>
      <c r="W293" s="198">
        <f>_xlfn.IFNA(IF(W$7="Fixed",1,IF(AND($D92="yes",W$7="Block"),INDEX($O734:$Q734,1,MATCH(W$5,$I57:$K57,0)),INDEX(Movements!$G734:$M734,1,MATCH(W$7,Movements!$G$716:$M$716,0))))
*W1004*W$8,0)</f>
        <v>0</v>
      </c>
      <c r="X293" s="198">
        <f>_xlfn.IFNA(IF(X$7="Fixed",1,IF(AND($D92="yes",X$7="Block"),INDEX($O734:$Q734,1,MATCH(X$5,$I57:$K57,0)),INDEX(Movements!$G734:$M734,1,MATCH(X$7,Movements!$G$716:$M$716,0))))
*X1004*X$8,0)</f>
        <v>0</v>
      </c>
      <c r="Y293" s="198">
        <f>_xlfn.IFNA(IF(Y$7="Fixed",1,IF(AND($D92="yes",Y$7="Block"),INDEX($O734:$Q734,1,MATCH(Y$5,$I57:$K57,0)),INDEX(Movements!$G734:$M734,1,MATCH(Y$7,Movements!$G$716:$M$716,0))))
*Y1004*Y$8,0)</f>
        <v>0</v>
      </c>
      <c r="Z293" s="198">
        <f>_xlfn.IFNA(IF(Z$7="Fixed",1,IF(AND($D92="yes",Z$7="Block"),INDEX($O734:$Q734,1,MATCH(Z$5,$I57:$K57,0)),INDEX(Movements!$G734:$M734,1,MATCH(Z$7,Movements!$G$716:$M$716,0))))
*Z1004*Z$8,0)</f>
        <v>0</v>
      </c>
      <c r="AA293" s="198">
        <f>_xlfn.IFNA(IF(AA$7="Fixed",1,IF(AND($D92="yes",AA$7="Block"),INDEX($O734:$Q734,1,MATCH(AA$5,$I57:$K57,0)),INDEX(Movements!$G734:$M734,1,MATCH(AA$7,Movements!$G$716:$M$716,0))))
*AA1004*AA$8,0)</f>
        <v>0</v>
      </c>
      <c r="AB293" s="198">
        <f>_xlfn.IFNA(IF(AB$7="Fixed",1,IF(AND($D92="yes",AB$7="Block"),INDEX($O734:$Q734,1,MATCH(AB$5,$I57:$K57,0)),INDEX(Movements!$G734:$M734,1,MATCH(AB$7,Movements!$G$716:$M$716,0))))
*AB1004*AB$8,0)</f>
        <v>0</v>
      </c>
      <c r="AC293" s="70"/>
      <c r="AD293" s="19"/>
      <c r="AE293" s="19"/>
      <c r="AF293" s="19"/>
      <c r="AG293" s="19"/>
    </row>
    <row r="294" spans="1:33" hidden="1" outlineLevel="3" x14ac:dyDescent="0.2">
      <c r="A294" s="19"/>
      <c r="B294" s="19"/>
      <c r="C294" s="506">
        <f t="shared" si="47"/>
        <v>0</v>
      </c>
      <c r="D294" s="505">
        <f t="shared" si="47"/>
        <v>0</v>
      </c>
      <c r="E294" s="505">
        <f t="shared" si="47"/>
        <v>0</v>
      </c>
      <c r="F294" s="58"/>
      <c r="G294" s="199">
        <f t="shared" si="48"/>
        <v>0</v>
      </c>
      <c r="H294" s="58"/>
      <c r="I294" s="198">
        <f>_xlfn.IFNA(IF(I$7="Fixed",1,IF(AND($D93="yes",I$7="Block"),INDEX($O735:$Q735,1,MATCH(I$5,$I58:$K58,0)),INDEX(Movements!$G735:$M735,1,MATCH(I$7,Movements!$G$716:$M$716,0))))
*I1005*I$8,0)</f>
        <v>0</v>
      </c>
      <c r="J294" s="198">
        <f>_xlfn.IFNA(IF(J$7="Fixed",1,IF(AND($D93="yes",J$7="Block"),INDEX($O735:$Q735,1,MATCH(J$5,$I58:$K58,0)),INDEX(Movements!$G735:$M735,1,MATCH(J$7,Movements!$G$716:$M$716,0))))
*J1005*J$8,0)</f>
        <v>0</v>
      </c>
      <c r="K294" s="198">
        <f>_xlfn.IFNA(IF(K$7="Fixed",1,IF(AND($D93="yes",K$7="Block"),INDEX($O735:$Q735,1,MATCH(K$5,$I58:$K58,0)),INDEX(Movements!$G735:$M735,1,MATCH(K$7,Movements!$G$716:$M$716,0))))
*K1005*K$8,0)</f>
        <v>0</v>
      </c>
      <c r="L294" s="198">
        <f>_xlfn.IFNA(IF(L$7="Fixed",1,IF(AND($D93="yes",L$7="Block"),INDEX($O735:$Q735,1,MATCH(L$5,$I58:$K58,0)),INDEX(Movements!$G735:$M735,1,MATCH(L$7,Movements!$G$716:$M$716,0))))
*L1005*L$8,0)</f>
        <v>0</v>
      </c>
      <c r="M294" s="198">
        <f>_xlfn.IFNA(IF(M$7="Fixed",1,IF(AND($D93="yes",M$7="Block"),INDEX($O735:$Q735,1,MATCH(M$5,$I58:$K58,0)),INDEX(Movements!$G735:$M735,1,MATCH(M$7,Movements!$G$716:$M$716,0))))
*M1005*M$8,0)</f>
        <v>0</v>
      </c>
      <c r="N294" s="198">
        <f>_xlfn.IFNA(IF(N$7="Fixed",1,IF(AND($D93="yes",N$7="Block"),INDEX($O735:$Q735,1,MATCH(N$5,$I58:$K58,0)),INDEX(Movements!$G735:$M735,1,MATCH(N$7,Movements!$G$716:$M$716,0))))
*N1005*N$8,0)</f>
        <v>0</v>
      </c>
      <c r="O294" s="198">
        <f>_xlfn.IFNA(IF(O$7="Fixed",1,IF(AND($D93="yes",O$7="Block"),INDEX($O735:$Q735,1,MATCH(O$5,$I58:$K58,0)),INDEX(Movements!$G735:$M735,1,MATCH(O$7,Movements!$G$716:$M$716,0))))
*O1005*O$8,0)</f>
        <v>0</v>
      </c>
      <c r="P294" s="198">
        <f>_xlfn.IFNA(IF(P$7="Fixed",1,IF(AND($D93="yes",P$7="Block"),INDEX($O735:$Q735,1,MATCH(P$5,$I58:$K58,0)),INDEX(Movements!$G735:$M735,1,MATCH(P$7,Movements!$G$716:$M$716,0))))
*P1005*P$8,0)</f>
        <v>0</v>
      </c>
      <c r="Q294" s="198">
        <f>_xlfn.IFNA(IF(Q$7="Fixed",1,IF(AND($D93="yes",Q$7="Block"),INDEX($O735:$Q735,1,MATCH(Q$5,$I58:$K58,0)),INDEX(Movements!$G735:$M735,1,MATCH(Q$7,Movements!$G$716:$M$716,0))))
*Q1005*Q$8,0)</f>
        <v>0</v>
      </c>
      <c r="R294" s="198">
        <f>_xlfn.IFNA(IF(R$7="Fixed",1,IF(AND($D93="yes",R$7="Block"),INDEX($O735:$Q735,1,MATCH(R$5,$I58:$K58,0)),INDEX(Movements!$G735:$M735,1,MATCH(R$7,Movements!$G$716:$M$716,0))))
*R1005*R$8,0)</f>
        <v>0</v>
      </c>
      <c r="S294" s="198">
        <f>_xlfn.IFNA(IF(S$7="Fixed",1,IF(AND($D93="yes",S$7="Block"),INDEX($O735:$Q735,1,MATCH(S$5,$I58:$K58,0)),INDEX(Movements!$G735:$M735,1,MATCH(S$7,Movements!$G$716:$M$716,0))))
*S1005*S$8,0)</f>
        <v>0</v>
      </c>
      <c r="T294" s="198">
        <f>_xlfn.IFNA(IF(T$7="Fixed",1,IF(AND($D93="yes",T$7="Block"),INDEX($O735:$Q735,1,MATCH(T$5,$I58:$K58,0)),INDEX(Movements!$G735:$M735,1,MATCH(T$7,Movements!$G$716:$M$716,0))))
*T1005*T$8,0)</f>
        <v>0</v>
      </c>
      <c r="U294" s="198">
        <f>_xlfn.IFNA(IF(U$7="Fixed",1,IF(AND($D93="yes",U$7="Block"),INDEX($O735:$Q735,1,MATCH(U$5,$I58:$K58,0)),INDEX(Movements!$G735:$M735,1,MATCH(U$7,Movements!$G$716:$M$716,0))))
*U1005*U$8,0)</f>
        <v>0</v>
      </c>
      <c r="V294" s="198">
        <f>_xlfn.IFNA(IF(V$7="Fixed",1,IF(AND($D93="yes",V$7="Block"),INDEX($O735:$Q735,1,MATCH(V$5,$I58:$K58,0)),INDEX(Movements!$G735:$M735,1,MATCH(V$7,Movements!$G$716:$M$716,0))))
*V1005*V$8,0)</f>
        <v>0</v>
      </c>
      <c r="W294" s="198">
        <f>_xlfn.IFNA(IF(W$7="Fixed",1,IF(AND($D93="yes",W$7="Block"),INDEX($O735:$Q735,1,MATCH(W$5,$I58:$K58,0)),INDEX(Movements!$G735:$M735,1,MATCH(W$7,Movements!$G$716:$M$716,0))))
*W1005*W$8,0)</f>
        <v>0</v>
      </c>
      <c r="X294" s="198">
        <f>_xlfn.IFNA(IF(X$7="Fixed",1,IF(AND($D93="yes",X$7="Block"),INDEX($O735:$Q735,1,MATCH(X$5,$I58:$K58,0)),INDEX(Movements!$G735:$M735,1,MATCH(X$7,Movements!$G$716:$M$716,0))))
*X1005*X$8,0)</f>
        <v>0</v>
      </c>
      <c r="Y294" s="198">
        <f>_xlfn.IFNA(IF(Y$7="Fixed",1,IF(AND($D93="yes",Y$7="Block"),INDEX($O735:$Q735,1,MATCH(Y$5,$I58:$K58,0)),INDEX(Movements!$G735:$M735,1,MATCH(Y$7,Movements!$G$716:$M$716,0))))
*Y1005*Y$8,0)</f>
        <v>0</v>
      </c>
      <c r="Z294" s="198">
        <f>_xlfn.IFNA(IF(Z$7="Fixed",1,IF(AND($D93="yes",Z$7="Block"),INDEX($O735:$Q735,1,MATCH(Z$5,$I58:$K58,0)),INDEX(Movements!$G735:$M735,1,MATCH(Z$7,Movements!$G$716:$M$716,0))))
*Z1005*Z$8,0)</f>
        <v>0</v>
      </c>
      <c r="AA294" s="198">
        <f>_xlfn.IFNA(IF(AA$7="Fixed",1,IF(AND($D93="yes",AA$7="Block"),INDEX($O735:$Q735,1,MATCH(AA$5,$I58:$K58,0)),INDEX(Movements!$G735:$M735,1,MATCH(AA$7,Movements!$G$716:$M$716,0))))
*AA1005*AA$8,0)</f>
        <v>0</v>
      </c>
      <c r="AB294" s="198">
        <f>_xlfn.IFNA(IF(AB$7="Fixed",1,IF(AND($D93="yes",AB$7="Block"),INDEX($O735:$Q735,1,MATCH(AB$5,$I58:$K58,0)),INDEX(Movements!$G735:$M735,1,MATCH(AB$7,Movements!$G$716:$M$716,0))))
*AB1005*AB$8,0)</f>
        <v>0</v>
      </c>
      <c r="AC294" s="70"/>
      <c r="AD294" s="19"/>
      <c r="AE294" s="19"/>
      <c r="AF294" s="19"/>
      <c r="AG294" s="19"/>
    </row>
    <row r="295" spans="1:33" hidden="1" outlineLevel="3" x14ac:dyDescent="0.2">
      <c r="A295" s="19"/>
      <c r="B295" s="19"/>
      <c r="C295" s="506">
        <f t="shared" si="47"/>
        <v>0</v>
      </c>
      <c r="D295" s="505">
        <f t="shared" si="47"/>
        <v>0</v>
      </c>
      <c r="E295" s="505">
        <f t="shared" si="47"/>
        <v>0</v>
      </c>
      <c r="F295" s="58"/>
      <c r="G295" s="199">
        <f t="shared" si="48"/>
        <v>0</v>
      </c>
      <c r="H295" s="58"/>
      <c r="I295" s="198">
        <f>_xlfn.IFNA(IF(I$7="Fixed",1,IF(AND($D94="yes",I$7="Block"),INDEX($O736:$Q736,1,MATCH(I$5,$I59:$K59,0)),INDEX(Movements!$G736:$M736,1,MATCH(I$7,Movements!$G$716:$M$716,0))))
*I1006*I$8,0)</f>
        <v>0</v>
      </c>
      <c r="J295" s="198">
        <f>_xlfn.IFNA(IF(J$7="Fixed",1,IF(AND($D94="yes",J$7="Block"),INDEX($O736:$Q736,1,MATCH(J$5,$I59:$K59,0)),INDEX(Movements!$G736:$M736,1,MATCH(J$7,Movements!$G$716:$M$716,0))))
*J1006*J$8,0)</f>
        <v>0</v>
      </c>
      <c r="K295" s="198">
        <f>_xlfn.IFNA(IF(K$7="Fixed",1,IF(AND($D94="yes",K$7="Block"),INDEX($O736:$Q736,1,MATCH(K$5,$I59:$K59,0)),INDEX(Movements!$G736:$M736,1,MATCH(K$7,Movements!$G$716:$M$716,0))))
*K1006*K$8,0)</f>
        <v>0</v>
      </c>
      <c r="L295" s="198">
        <f>_xlfn.IFNA(IF(L$7="Fixed",1,IF(AND($D94="yes",L$7="Block"),INDEX($O736:$Q736,1,MATCH(L$5,$I59:$K59,0)),INDEX(Movements!$G736:$M736,1,MATCH(L$7,Movements!$G$716:$M$716,0))))
*L1006*L$8,0)</f>
        <v>0</v>
      </c>
      <c r="M295" s="198">
        <f>_xlfn.IFNA(IF(M$7="Fixed",1,IF(AND($D94="yes",M$7="Block"),INDEX($O736:$Q736,1,MATCH(M$5,$I59:$K59,0)),INDEX(Movements!$G736:$M736,1,MATCH(M$7,Movements!$G$716:$M$716,0))))
*M1006*M$8,0)</f>
        <v>0</v>
      </c>
      <c r="N295" s="198">
        <f>_xlfn.IFNA(IF(N$7="Fixed",1,IF(AND($D94="yes",N$7="Block"),INDEX($O736:$Q736,1,MATCH(N$5,$I59:$K59,0)),INDEX(Movements!$G736:$M736,1,MATCH(N$7,Movements!$G$716:$M$716,0))))
*N1006*N$8,0)</f>
        <v>0</v>
      </c>
      <c r="O295" s="198">
        <f>_xlfn.IFNA(IF(O$7="Fixed",1,IF(AND($D94="yes",O$7="Block"),INDEX($O736:$Q736,1,MATCH(O$5,$I59:$K59,0)),INDEX(Movements!$G736:$M736,1,MATCH(O$7,Movements!$G$716:$M$716,0))))
*O1006*O$8,0)</f>
        <v>0</v>
      </c>
      <c r="P295" s="198">
        <f>_xlfn.IFNA(IF(P$7="Fixed",1,IF(AND($D94="yes",P$7="Block"),INDEX($O736:$Q736,1,MATCH(P$5,$I59:$K59,0)),INDEX(Movements!$G736:$M736,1,MATCH(P$7,Movements!$G$716:$M$716,0))))
*P1006*P$8,0)</f>
        <v>0</v>
      </c>
      <c r="Q295" s="198">
        <f>_xlfn.IFNA(IF(Q$7="Fixed",1,IF(AND($D94="yes",Q$7="Block"),INDEX($O736:$Q736,1,MATCH(Q$5,$I59:$K59,0)),INDEX(Movements!$G736:$M736,1,MATCH(Q$7,Movements!$G$716:$M$716,0))))
*Q1006*Q$8,0)</f>
        <v>0</v>
      </c>
      <c r="R295" s="198">
        <f>_xlfn.IFNA(IF(R$7="Fixed",1,IF(AND($D94="yes",R$7="Block"),INDEX($O736:$Q736,1,MATCH(R$5,$I59:$K59,0)),INDEX(Movements!$G736:$M736,1,MATCH(R$7,Movements!$G$716:$M$716,0))))
*R1006*R$8,0)</f>
        <v>0</v>
      </c>
      <c r="S295" s="198">
        <f>_xlfn.IFNA(IF(S$7="Fixed",1,IF(AND($D94="yes",S$7="Block"),INDEX($O736:$Q736,1,MATCH(S$5,$I59:$K59,0)),INDEX(Movements!$G736:$M736,1,MATCH(S$7,Movements!$G$716:$M$716,0))))
*S1006*S$8,0)</f>
        <v>0</v>
      </c>
      <c r="T295" s="198">
        <f>_xlfn.IFNA(IF(T$7="Fixed",1,IF(AND($D94="yes",T$7="Block"),INDEX($O736:$Q736,1,MATCH(T$5,$I59:$K59,0)),INDEX(Movements!$G736:$M736,1,MATCH(T$7,Movements!$G$716:$M$716,0))))
*T1006*T$8,0)</f>
        <v>0</v>
      </c>
      <c r="U295" s="198">
        <f>_xlfn.IFNA(IF(U$7="Fixed",1,IF(AND($D94="yes",U$7="Block"),INDEX($O736:$Q736,1,MATCH(U$5,$I59:$K59,0)),INDEX(Movements!$G736:$M736,1,MATCH(U$7,Movements!$G$716:$M$716,0))))
*U1006*U$8,0)</f>
        <v>0</v>
      </c>
      <c r="V295" s="198">
        <f>_xlfn.IFNA(IF(V$7="Fixed",1,IF(AND($D94="yes",V$7="Block"),INDEX($O736:$Q736,1,MATCH(V$5,$I59:$K59,0)),INDEX(Movements!$G736:$M736,1,MATCH(V$7,Movements!$G$716:$M$716,0))))
*V1006*V$8,0)</f>
        <v>0</v>
      </c>
      <c r="W295" s="198">
        <f>_xlfn.IFNA(IF(W$7="Fixed",1,IF(AND($D94="yes",W$7="Block"),INDEX($O736:$Q736,1,MATCH(W$5,$I59:$K59,0)),INDEX(Movements!$G736:$M736,1,MATCH(W$7,Movements!$G$716:$M$716,0))))
*W1006*W$8,0)</f>
        <v>0</v>
      </c>
      <c r="X295" s="198">
        <f>_xlfn.IFNA(IF(X$7="Fixed",1,IF(AND($D94="yes",X$7="Block"),INDEX($O736:$Q736,1,MATCH(X$5,$I59:$K59,0)),INDEX(Movements!$G736:$M736,1,MATCH(X$7,Movements!$G$716:$M$716,0))))
*X1006*X$8,0)</f>
        <v>0</v>
      </c>
      <c r="Y295" s="198">
        <f>_xlfn.IFNA(IF(Y$7="Fixed",1,IF(AND($D94="yes",Y$7="Block"),INDEX($O736:$Q736,1,MATCH(Y$5,$I59:$K59,0)),INDEX(Movements!$G736:$M736,1,MATCH(Y$7,Movements!$G$716:$M$716,0))))
*Y1006*Y$8,0)</f>
        <v>0</v>
      </c>
      <c r="Z295" s="198">
        <f>_xlfn.IFNA(IF(Z$7="Fixed",1,IF(AND($D94="yes",Z$7="Block"),INDEX($O736:$Q736,1,MATCH(Z$5,$I59:$K59,0)),INDEX(Movements!$G736:$M736,1,MATCH(Z$7,Movements!$G$716:$M$716,0))))
*Z1006*Z$8,0)</f>
        <v>0</v>
      </c>
      <c r="AA295" s="198">
        <f>_xlfn.IFNA(IF(AA$7="Fixed",1,IF(AND($D94="yes",AA$7="Block"),INDEX($O736:$Q736,1,MATCH(AA$5,$I59:$K59,0)),INDEX(Movements!$G736:$M736,1,MATCH(AA$7,Movements!$G$716:$M$716,0))))
*AA1006*AA$8,0)</f>
        <v>0</v>
      </c>
      <c r="AB295" s="198">
        <f>_xlfn.IFNA(IF(AB$7="Fixed",1,IF(AND($D94="yes",AB$7="Block"),INDEX($O736:$Q736,1,MATCH(AB$5,$I59:$K59,0)),INDEX(Movements!$G736:$M736,1,MATCH(AB$7,Movements!$G$716:$M$716,0))))
*AB1006*AB$8,0)</f>
        <v>0</v>
      </c>
      <c r="AC295" s="70"/>
      <c r="AD295" s="19"/>
      <c r="AE295" s="19"/>
      <c r="AF295" s="19"/>
      <c r="AG295" s="19"/>
    </row>
    <row r="296" spans="1:33" hidden="1" outlineLevel="3" x14ac:dyDescent="0.2">
      <c r="A296" s="19"/>
      <c r="B296" s="19"/>
      <c r="C296" s="506">
        <f t="shared" si="47"/>
        <v>0</v>
      </c>
      <c r="D296" s="505">
        <f t="shared" si="47"/>
        <v>0</v>
      </c>
      <c r="E296" s="505">
        <f t="shared" si="47"/>
        <v>0</v>
      </c>
      <c r="F296" s="58"/>
      <c r="G296" s="199">
        <f t="shared" si="48"/>
        <v>0</v>
      </c>
      <c r="H296" s="58"/>
      <c r="I296" s="198">
        <f>_xlfn.IFNA(IF(I$7="Fixed",1,IF(AND($D95="yes",I$7="Block"),INDEX($O737:$Q737,1,MATCH(I$5,$I60:$K60,0)),INDEX(Movements!$G737:$M737,1,MATCH(I$7,Movements!$G$716:$M$716,0))))
*I1007*I$8,0)</f>
        <v>0</v>
      </c>
      <c r="J296" s="198">
        <f>_xlfn.IFNA(IF(J$7="Fixed",1,IF(AND($D95="yes",J$7="Block"),INDEX($O737:$Q737,1,MATCH(J$5,$I60:$K60,0)),INDEX(Movements!$G737:$M737,1,MATCH(J$7,Movements!$G$716:$M$716,0))))
*J1007*J$8,0)</f>
        <v>0</v>
      </c>
      <c r="K296" s="198">
        <f>_xlfn.IFNA(IF(K$7="Fixed",1,IF(AND($D95="yes",K$7="Block"),INDEX($O737:$Q737,1,MATCH(K$5,$I60:$K60,0)),INDEX(Movements!$G737:$M737,1,MATCH(K$7,Movements!$G$716:$M$716,0))))
*K1007*K$8,0)</f>
        <v>0</v>
      </c>
      <c r="L296" s="198">
        <f>_xlfn.IFNA(IF(L$7="Fixed",1,IF(AND($D95="yes",L$7="Block"),INDEX($O737:$Q737,1,MATCH(L$5,$I60:$K60,0)),INDEX(Movements!$G737:$M737,1,MATCH(L$7,Movements!$G$716:$M$716,0))))
*L1007*L$8,0)</f>
        <v>0</v>
      </c>
      <c r="M296" s="198">
        <f>_xlfn.IFNA(IF(M$7="Fixed",1,IF(AND($D95="yes",M$7="Block"),INDEX($O737:$Q737,1,MATCH(M$5,$I60:$K60,0)),INDEX(Movements!$G737:$M737,1,MATCH(M$7,Movements!$G$716:$M$716,0))))
*M1007*M$8,0)</f>
        <v>0</v>
      </c>
      <c r="N296" s="198">
        <f>_xlfn.IFNA(IF(N$7="Fixed",1,IF(AND($D95="yes",N$7="Block"),INDEX($O737:$Q737,1,MATCH(N$5,$I60:$K60,0)),INDEX(Movements!$G737:$M737,1,MATCH(N$7,Movements!$G$716:$M$716,0))))
*N1007*N$8,0)</f>
        <v>0</v>
      </c>
      <c r="O296" s="198">
        <f>_xlfn.IFNA(IF(O$7="Fixed",1,IF(AND($D95="yes",O$7="Block"),INDEX($O737:$Q737,1,MATCH(O$5,$I60:$K60,0)),INDEX(Movements!$G737:$M737,1,MATCH(O$7,Movements!$G$716:$M$716,0))))
*O1007*O$8,0)</f>
        <v>0</v>
      </c>
      <c r="P296" s="198">
        <f>_xlfn.IFNA(IF(P$7="Fixed",1,IF(AND($D95="yes",P$7="Block"),INDEX($O737:$Q737,1,MATCH(P$5,$I60:$K60,0)),INDEX(Movements!$G737:$M737,1,MATCH(P$7,Movements!$G$716:$M$716,0))))
*P1007*P$8,0)</f>
        <v>0</v>
      </c>
      <c r="Q296" s="198">
        <f>_xlfn.IFNA(IF(Q$7="Fixed",1,IF(AND($D95="yes",Q$7="Block"),INDEX($O737:$Q737,1,MATCH(Q$5,$I60:$K60,0)),INDEX(Movements!$G737:$M737,1,MATCH(Q$7,Movements!$G$716:$M$716,0))))
*Q1007*Q$8,0)</f>
        <v>0</v>
      </c>
      <c r="R296" s="198">
        <f>_xlfn.IFNA(IF(R$7="Fixed",1,IF(AND($D95="yes",R$7="Block"),INDEX($O737:$Q737,1,MATCH(R$5,$I60:$K60,0)),INDEX(Movements!$G737:$M737,1,MATCH(R$7,Movements!$G$716:$M$716,0))))
*R1007*R$8,0)</f>
        <v>0</v>
      </c>
      <c r="S296" s="198">
        <f>_xlfn.IFNA(IF(S$7="Fixed",1,IF(AND($D95="yes",S$7="Block"),INDEX($O737:$Q737,1,MATCH(S$5,$I60:$K60,0)),INDEX(Movements!$G737:$M737,1,MATCH(S$7,Movements!$G$716:$M$716,0))))
*S1007*S$8,0)</f>
        <v>0</v>
      </c>
      <c r="T296" s="198">
        <f>_xlfn.IFNA(IF(T$7="Fixed",1,IF(AND($D95="yes",T$7="Block"),INDEX($O737:$Q737,1,MATCH(T$5,$I60:$K60,0)),INDEX(Movements!$G737:$M737,1,MATCH(T$7,Movements!$G$716:$M$716,0))))
*T1007*T$8,0)</f>
        <v>0</v>
      </c>
      <c r="U296" s="198">
        <f>_xlfn.IFNA(IF(U$7="Fixed",1,IF(AND($D95="yes",U$7="Block"),INDEX($O737:$Q737,1,MATCH(U$5,$I60:$K60,0)),INDEX(Movements!$G737:$M737,1,MATCH(U$7,Movements!$G$716:$M$716,0))))
*U1007*U$8,0)</f>
        <v>0</v>
      </c>
      <c r="V296" s="198">
        <f>_xlfn.IFNA(IF(V$7="Fixed",1,IF(AND($D95="yes",V$7="Block"),INDEX($O737:$Q737,1,MATCH(V$5,$I60:$K60,0)),INDEX(Movements!$G737:$M737,1,MATCH(V$7,Movements!$G$716:$M$716,0))))
*V1007*V$8,0)</f>
        <v>0</v>
      </c>
      <c r="W296" s="198">
        <f>_xlfn.IFNA(IF(W$7="Fixed",1,IF(AND($D95="yes",W$7="Block"),INDEX($O737:$Q737,1,MATCH(W$5,$I60:$K60,0)),INDEX(Movements!$G737:$M737,1,MATCH(W$7,Movements!$G$716:$M$716,0))))
*W1007*W$8,0)</f>
        <v>0</v>
      </c>
      <c r="X296" s="198">
        <f>_xlfn.IFNA(IF(X$7="Fixed",1,IF(AND($D95="yes",X$7="Block"),INDEX($O737:$Q737,1,MATCH(X$5,$I60:$K60,0)),INDEX(Movements!$G737:$M737,1,MATCH(X$7,Movements!$G$716:$M$716,0))))
*X1007*X$8,0)</f>
        <v>0</v>
      </c>
      <c r="Y296" s="198">
        <f>_xlfn.IFNA(IF(Y$7="Fixed",1,IF(AND($D95="yes",Y$7="Block"),INDEX($O737:$Q737,1,MATCH(Y$5,$I60:$K60,0)),INDEX(Movements!$G737:$M737,1,MATCH(Y$7,Movements!$G$716:$M$716,0))))
*Y1007*Y$8,0)</f>
        <v>0</v>
      </c>
      <c r="Z296" s="198">
        <f>_xlfn.IFNA(IF(Z$7="Fixed",1,IF(AND($D95="yes",Z$7="Block"),INDEX($O737:$Q737,1,MATCH(Z$5,$I60:$K60,0)),INDEX(Movements!$G737:$M737,1,MATCH(Z$7,Movements!$G$716:$M$716,0))))
*Z1007*Z$8,0)</f>
        <v>0</v>
      </c>
      <c r="AA296" s="198">
        <f>_xlfn.IFNA(IF(AA$7="Fixed",1,IF(AND($D95="yes",AA$7="Block"),INDEX($O737:$Q737,1,MATCH(AA$5,$I60:$K60,0)),INDEX(Movements!$G737:$M737,1,MATCH(AA$7,Movements!$G$716:$M$716,0))))
*AA1007*AA$8,0)</f>
        <v>0</v>
      </c>
      <c r="AB296" s="198">
        <f>_xlfn.IFNA(IF(AB$7="Fixed",1,IF(AND($D95="yes",AB$7="Block"),INDEX($O737:$Q737,1,MATCH(AB$5,$I60:$K60,0)),INDEX(Movements!$G737:$M737,1,MATCH(AB$7,Movements!$G$716:$M$716,0))))
*AB1007*AB$8,0)</f>
        <v>0</v>
      </c>
      <c r="AC296" s="70"/>
      <c r="AD296" s="19"/>
      <c r="AE296" s="19"/>
      <c r="AF296" s="19"/>
      <c r="AG296" s="19"/>
    </row>
    <row r="297" spans="1:33" hidden="1" outlineLevel="3" x14ac:dyDescent="0.2">
      <c r="A297" s="19"/>
      <c r="B297" s="19"/>
      <c r="C297" s="506">
        <f t="shared" si="47"/>
        <v>0</v>
      </c>
      <c r="D297" s="505">
        <f t="shared" si="47"/>
        <v>0</v>
      </c>
      <c r="E297" s="505">
        <f t="shared" si="47"/>
        <v>0</v>
      </c>
      <c r="F297" s="58"/>
      <c r="G297" s="199">
        <f t="shared" si="48"/>
        <v>0</v>
      </c>
      <c r="H297" s="58"/>
      <c r="I297" s="198">
        <f>_xlfn.IFNA(IF(I$7="Fixed",1,IF(AND($D96="yes",I$7="Block"),INDEX($O738:$Q738,1,MATCH(I$5,$I61:$K61,0)),INDEX(Movements!$G738:$M738,1,MATCH(I$7,Movements!$G$716:$M$716,0))))
*I1008*I$8,0)</f>
        <v>0</v>
      </c>
      <c r="J297" s="198">
        <f>_xlfn.IFNA(IF(J$7="Fixed",1,IF(AND($D96="yes",J$7="Block"),INDEX($O738:$Q738,1,MATCH(J$5,$I61:$K61,0)),INDEX(Movements!$G738:$M738,1,MATCH(J$7,Movements!$G$716:$M$716,0))))
*J1008*J$8,0)</f>
        <v>0</v>
      </c>
      <c r="K297" s="198">
        <f>_xlfn.IFNA(IF(K$7="Fixed",1,IF(AND($D96="yes",K$7="Block"),INDEX($O738:$Q738,1,MATCH(K$5,$I61:$K61,0)),INDEX(Movements!$G738:$M738,1,MATCH(K$7,Movements!$G$716:$M$716,0))))
*K1008*K$8,0)</f>
        <v>0</v>
      </c>
      <c r="L297" s="198">
        <f>_xlfn.IFNA(IF(L$7="Fixed",1,IF(AND($D96="yes",L$7="Block"),INDEX($O738:$Q738,1,MATCH(L$5,$I61:$K61,0)),INDEX(Movements!$G738:$M738,1,MATCH(L$7,Movements!$G$716:$M$716,0))))
*L1008*L$8,0)</f>
        <v>0</v>
      </c>
      <c r="M297" s="198">
        <f>_xlfn.IFNA(IF(M$7="Fixed",1,IF(AND($D96="yes",M$7="Block"),INDEX($O738:$Q738,1,MATCH(M$5,$I61:$K61,0)),INDEX(Movements!$G738:$M738,1,MATCH(M$7,Movements!$G$716:$M$716,0))))
*M1008*M$8,0)</f>
        <v>0</v>
      </c>
      <c r="N297" s="198">
        <f>_xlfn.IFNA(IF(N$7="Fixed",1,IF(AND($D96="yes",N$7="Block"),INDEX($O738:$Q738,1,MATCH(N$5,$I61:$K61,0)),INDEX(Movements!$G738:$M738,1,MATCH(N$7,Movements!$G$716:$M$716,0))))
*N1008*N$8,0)</f>
        <v>0</v>
      </c>
      <c r="O297" s="198">
        <f>_xlfn.IFNA(IF(O$7="Fixed",1,IF(AND($D96="yes",O$7="Block"),INDEX($O738:$Q738,1,MATCH(O$5,$I61:$K61,0)),INDEX(Movements!$G738:$M738,1,MATCH(O$7,Movements!$G$716:$M$716,0))))
*O1008*O$8,0)</f>
        <v>0</v>
      </c>
      <c r="P297" s="198">
        <f>_xlfn.IFNA(IF(P$7="Fixed",1,IF(AND($D96="yes",P$7="Block"),INDEX($O738:$Q738,1,MATCH(P$5,$I61:$K61,0)),INDEX(Movements!$G738:$M738,1,MATCH(P$7,Movements!$G$716:$M$716,0))))
*P1008*P$8,0)</f>
        <v>0</v>
      </c>
      <c r="Q297" s="198">
        <f>_xlfn.IFNA(IF(Q$7="Fixed",1,IF(AND($D96="yes",Q$7="Block"),INDEX($O738:$Q738,1,MATCH(Q$5,$I61:$K61,0)),INDEX(Movements!$G738:$M738,1,MATCH(Q$7,Movements!$G$716:$M$716,0))))
*Q1008*Q$8,0)</f>
        <v>0</v>
      </c>
      <c r="R297" s="198">
        <f>_xlfn.IFNA(IF(R$7="Fixed",1,IF(AND($D96="yes",R$7="Block"),INDEX($O738:$Q738,1,MATCH(R$5,$I61:$K61,0)),INDEX(Movements!$G738:$M738,1,MATCH(R$7,Movements!$G$716:$M$716,0))))
*R1008*R$8,0)</f>
        <v>0</v>
      </c>
      <c r="S297" s="198">
        <f>_xlfn.IFNA(IF(S$7="Fixed",1,IF(AND($D96="yes",S$7="Block"),INDEX($O738:$Q738,1,MATCH(S$5,$I61:$K61,0)),INDEX(Movements!$G738:$M738,1,MATCH(S$7,Movements!$G$716:$M$716,0))))
*S1008*S$8,0)</f>
        <v>0</v>
      </c>
      <c r="T297" s="198">
        <f>_xlfn.IFNA(IF(T$7="Fixed",1,IF(AND($D96="yes",T$7="Block"),INDEX($O738:$Q738,1,MATCH(T$5,$I61:$K61,0)),INDEX(Movements!$G738:$M738,1,MATCH(T$7,Movements!$G$716:$M$716,0))))
*T1008*T$8,0)</f>
        <v>0</v>
      </c>
      <c r="U297" s="198">
        <f>_xlfn.IFNA(IF(U$7="Fixed",1,IF(AND($D96="yes",U$7="Block"),INDEX($O738:$Q738,1,MATCH(U$5,$I61:$K61,0)),INDEX(Movements!$G738:$M738,1,MATCH(U$7,Movements!$G$716:$M$716,0))))
*U1008*U$8,0)</f>
        <v>0</v>
      </c>
      <c r="V297" s="198">
        <f>_xlfn.IFNA(IF(V$7="Fixed",1,IF(AND($D96="yes",V$7="Block"),INDEX($O738:$Q738,1,MATCH(V$5,$I61:$K61,0)),INDEX(Movements!$G738:$M738,1,MATCH(V$7,Movements!$G$716:$M$716,0))))
*V1008*V$8,0)</f>
        <v>0</v>
      </c>
      <c r="W297" s="198">
        <f>_xlfn.IFNA(IF(W$7="Fixed",1,IF(AND($D96="yes",W$7="Block"),INDEX($O738:$Q738,1,MATCH(W$5,$I61:$K61,0)),INDEX(Movements!$G738:$M738,1,MATCH(W$7,Movements!$G$716:$M$716,0))))
*W1008*W$8,0)</f>
        <v>0</v>
      </c>
      <c r="X297" s="198">
        <f>_xlfn.IFNA(IF(X$7="Fixed",1,IF(AND($D96="yes",X$7="Block"),INDEX($O738:$Q738,1,MATCH(X$5,$I61:$K61,0)),INDEX(Movements!$G738:$M738,1,MATCH(X$7,Movements!$G$716:$M$716,0))))
*X1008*X$8,0)</f>
        <v>0</v>
      </c>
      <c r="Y297" s="198">
        <f>_xlfn.IFNA(IF(Y$7="Fixed",1,IF(AND($D96="yes",Y$7="Block"),INDEX($O738:$Q738,1,MATCH(Y$5,$I61:$K61,0)),INDEX(Movements!$G738:$M738,1,MATCH(Y$7,Movements!$G$716:$M$716,0))))
*Y1008*Y$8,0)</f>
        <v>0</v>
      </c>
      <c r="Z297" s="198">
        <f>_xlfn.IFNA(IF(Z$7="Fixed",1,IF(AND($D96="yes",Z$7="Block"),INDEX($O738:$Q738,1,MATCH(Z$5,$I61:$K61,0)),INDEX(Movements!$G738:$M738,1,MATCH(Z$7,Movements!$G$716:$M$716,0))))
*Z1008*Z$8,0)</f>
        <v>0</v>
      </c>
      <c r="AA297" s="198">
        <f>_xlfn.IFNA(IF(AA$7="Fixed",1,IF(AND($D96="yes",AA$7="Block"),INDEX($O738:$Q738,1,MATCH(AA$5,$I61:$K61,0)),INDEX(Movements!$G738:$M738,1,MATCH(AA$7,Movements!$G$716:$M$716,0))))
*AA1008*AA$8,0)</f>
        <v>0</v>
      </c>
      <c r="AB297" s="198">
        <f>_xlfn.IFNA(IF(AB$7="Fixed",1,IF(AND($D96="yes",AB$7="Block"),INDEX($O738:$Q738,1,MATCH(AB$5,$I61:$K61,0)),INDEX(Movements!$G738:$M738,1,MATCH(AB$7,Movements!$G$716:$M$716,0))))
*AB1008*AB$8,0)</f>
        <v>0</v>
      </c>
      <c r="AC297" s="70"/>
      <c r="AD297" s="19"/>
      <c r="AE297" s="19"/>
      <c r="AF297" s="19"/>
      <c r="AG297" s="19"/>
    </row>
    <row r="298" spans="1:33" hidden="1" outlineLevel="3" x14ac:dyDescent="0.2">
      <c r="A298" s="19"/>
      <c r="B298" s="19"/>
      <c r="C298" s="506">
        <f t="shared" si="47"/>
        <v>0</v>
      </c>
      <c r="D298" s="505">
        <f t="shared" si="47"/>
        <v>0</v>
      </c>
      <c r="E298" s="505">
        <f t="shared" si="47"/>
        <v>0</v>
      </c>
      <c r="F298" s="58"/>
      <c r="G298" s="199">
        <f t="shared" si="48"/>
        <v>0</v>
      </c>
      <c r="H298" s="58"/>
      <c r="I298" s="198">
        <f>_xlfn.IFNA(IF(I$7="Fixed",1,IF(AND($D97="yes",I$7="Block"),INDEX($O739:$Q739,1,MATCH(I$5,$I62:$K62,0)),INDEX(Movements!$G739:$M739,1,MATCH(I$7,Movements!$G$716:$M$716,0))))
*I1009*I$8,0)</f>
        <v>0</v>
      </c>
      <c r="J298" s="198">
        <f>_xlfn.IFNA(IF(J$7="Fixed",1,IF(AND($D97="yes",J$7="Block"),INDEX($O739:$Q739,1,MATCH(J$5,$I62:$K62,0)),INDEX(Movements!$G739:$M739,1,MATCH(J$7,Movements!$G$716:$M$716,0))))
*J1009*J$8,0)</f>
        <v>0</v>
      </c>
      <c r="K298" s="198">
        <f>_xlfn.IFNA(IF(K$7="Fixed",1,IF(AND($D97="yes",K$7="Block"),INDEX($O739:$Q739,1,MATCH(K$5,$I62:$K62,0)),INDEX(Movements!$G739:$M739,1,MATCH(K$7,Movements!$G$716:$M$716,0))))
*K1009*K$8,0)</f>
        <v>0</v>
      </c>
      <c r="L298" s="198">
        <f>_xlfn.IFNA(IF(L$7="Fixed",1,IF(AND($D97="yes",L$7="Block"),INDEX($O739:$Q739,1,MATCH(L$5,$I62:$K62,0)),INDEX(Movements!$G739:$M739,1,MATCH(L$7,Movements!$G$716:$M$716,0))))
*L1009*L$8,0)</f>
        <v>0</v>
      </c>
      <c r="M298" s="198">
        <f>_xlfn.IFNA(IF(M$7="Fixed",1,IF(AND($D97="yes",M$7="Block"),INDEX($O739:$Q739,1,MATCH(M$5,$I62:$K62,0)),INDEX(Movements!$G739:$M739,1,MATCH(M$7,Movements!$G$716:$M$716,0))))
*M1009*M$8,0)</f>
        <v>0</v>
      </c>
      <c r="N298" s="198">
        <f>_xlfn.IFNA(IF(N$7="Fixed",1,IF(AND($D97="yes",N$7="Block"),INDEX($O739:$Q739,1,MATCH(N$5,$I62:$K62,0)),INDEX(Movements!$G739:$M739,1,MATCH(N$7,Movements!$G$716:$M$716,0))))
*N1009*N$8,0)</f>
        <v>0</v>
      </c>
      <c r="O298" s="198">
        <f>_xlfn.IFNA(IF(O$7="Fixed",1,IF(AND($D97="yes",O$7="Block"),INDEX($O739:$Q739,1,MATCH(O$5,$I62:$K62,0)),INDEX(Movements!$G739:$M739,1,MATCH(O$7,Movements!$G$716:$M$716,0))))
*O1009*O$8,0)</f>
        <v>0</v>
      </c>
      <c r="P298" s="198">
        <f>_xlfn.IFNA(IF(P$7="Fixed",1,IF(AND($D97="yes",P$7="Block"),INDEX($O739:$Q739,1,MATCH(P$5,$I62:$K62,0)),INDEX(Movements!$G739:$M739,1,MATCH(P$7,Movements!$G$716:$M$716,0))))
*P1009*P$8,0)</f>
        <v>0</v>
      </c>
      <c r="Q298" s="198">
        <f>_xlfn.IFNA(IF(Q$7="Fixed",1,IF(AND($D97="yes",Q$7="Block"),INDEX($O739:$Q739,1,MATCH(Q$5,$I62:$K62,0)),INDEX(Movements!$G739:$M739,1,MATCH(Q$7,Movements!$G$716:$M$716,0))))
*Q1009*Q$8,0)</f>
        <v>0</v>
      </c>
      <c r="R298" s="198">
        <f>_xlfn.IFNA(IF(R$7="Fixed",1,IF(AND($D97="yes",R$7="Block"),INDEX($O739:$Q739,1,MATCH(R$5,$I62:$K62,0)),INDEX(Movements!$G739:$M739,1,MATCH(R$7,Movements!$G$716:$M$716,0))))
*R1009*R$8,0)</f>
        <v>0</v>
      </c>
      <c r="S298" s="198">
        <f>_xlfn.IFNA(IF(S$7="Fixed",1,IF(AND($D97="yes",S$7="Block"),INDEX($O739:$Q739,1,MATCH(S$5,$I62:$K62,0)),INDEX(Movements!$G739:$M739,1,MATCH(S$7,Movements!$G$716:$M$716,0))))
*S1009*S$8,0)</f>
        <v>0</v>
      </c>
      <c r="T298" s="198">
        <f>_xlfn.IFNA(IF(T$7="Fixed",1,IF(AND($D97="yes",T$7="Block"),INDEX($O739:$Q739,1,MATCH(T$5,$I62:$K62,0)),INDEX(Movements!$G739:$M739,1,MATCH(T$7,Movements!$G$716:$M$716,0))))
*T1009*T$8,0)</f>
        <v>0</v>
      </c>
      <c r="U298" s="198">
        <f>_xlfn.IFNA(IF(U$7="Fixed",1,IF(AND($D97="yes",U$7="Block"),INDEX($O739:$Q739,1,MATCH(U$5,$I62:$K62,0)),INDEX(Movements!$G739:$M739,1,MATCH(U$7,Movements!$G$716:$M$716,0))))
*U1009*U$8,0)</f>
        <v>0</v>
      </c>
      <c r="V298" s="198">
        <f>_xlfn.IFNA(IF(V$7="Fixed",1,IF(AND($D97="yes",V$7="Block"),INDEX($O739:$Q739,1,MATCH(V$5,$I62:$K62,0)),INDEX(Movements!$G739:$M739,1,MATCH(V$7,Movements!$G$716:$M$716,0))))
*V1009*V$8,0)</f>
        <v>0</v>
      </c>
      <c r="W298" s="198">
        <f>_xlfn.IFNA(IF(W$7="Fixed",1,IF(AND($D97="yes",W$7="Block"),INDEX($O739:$Q739,1,MATCH(W$5,$I62:$K62,0)),INDEX(Movements!$G739:$M739,1,MATCH(W$7,Movements!$G$716:$M$716,0))))
*W1009*W$8,0)</f>
        <v>0</v>
      </c>
      <c r="X298" s="198">
        <f>_xlfn.IFNA(IF(X$7="Fixed",1,IF(AND($D97="yes",X$7="Block"),INDEX($O739:$Q739,1,MATCH(X$5,$I62:$K62,0)),INDEX(Movements!$G739:$M739,1,MATCH(X$7,Movements!$G$716:$M$716,0))))
*X1009*X$8,0)</f>
        <v>0</v>
      </c>
      <c r="Y298" s="198">
        <f>_xlfn.IFNA(IF(Y$7="Fixed",1,IF(AND($D97="yes",Y$7="Block"),INDEX($O739:$Q739,1,MATCH(Y$5,$I62:$K62,0)),INDEX(Movements!$G739:$M739,1,MATCH(Y$7,Movements!$G$716:$M$716,0))))
*Y1009*Y$8,0)</f>
        <v>0</v>
      </c>
      <c r="Z298" s="198">
        <f>_xlfn.IFNA(IF(Z$7="Fixed",1,IF(AND($D97="yes",Z$7="Block"),INDEX($O739:$Q739,1,MATCH(Z$5,$I62:$K62,0)),INDEX(Movements!$G739:$M739,1,MATCH(Z$7,Movements!$G$716:$M$716,0))))
*Z1009*Z$8,0)</f>
        <v>0</v>
      </c>
      <c r="AA298" s="198">
        <f>_xlfn.IFNA(IF(AA$7="Fixed",1,IF(AND($D97="yes",AA$7="Block"),INDEX($O739:$Q739,1,MATCH(AA$5,$I62:$K62,0)),INDEX(Movements!$G739:$M739,1,MATCH(AA$7,Movements!$G$716:$M$716,0))))
*AA1009*AA$8,0)</f>
        <v>0</v>
      </c>
      <c r="AB298" s="198">
        <f>_xlfn.IFNA(IF(AB$7="Fixed",1,IF(AND($D97="yes",AB$7="Block"),INDEX($O739:$Q739,1,MATCH(AB$5,$I62:$K62,0)),INDEX(Movements!$G739:$M739,1,MATCH(AB$7,Movements!$G$716:$M$716,0))))
*AB1009*AB$8,0)</f>
        <v>0</v>
      </c>
      <c r="AC298" s="70"/>
      <c r="AD298" s="19"/>
      <c r="AE298" s="19"/>
      <c r="AF298" s="19"/>
      <c r="AG298" s="19"/>
    </row>
    <row r="299" spans="1:33" hidden="1" outlineLevel="3" x14ac:dyDescent="0.2">
      <c r="A299" s="19"/>
      <c r="B299" s="19"/>
      <c r="C299" s="506">
        <f t="shared" si="47"/>
        <v>0</v>
      </c>
      <c r="D299" s="505">
        <f t="shared" si="47"/>
        <v>0</v>
      </c>
      <c r="E299" s="505">
        <f t="shared" si="47"/>
        <v>0</v>
      </c>
      <c r="F299" s="58"/>
      <c r="G299" s="199">
        <f t="shared" si="48"/>
        <v>0</v>
      </c>
      <c r="H299" s="58"/>
      <c r="I299" s="198">
        <f>_xlfn.IFNA(IF(I$7="Fixed",1,IF(AND($D98="yes",I$7="Block"),INDEX($O740:$Q740,1,MATCH(I$5,$I63:$K63,0)),INDEX(Movements!$G740:$M740,1,MATCH(I$7,Movements!$G$716:$M$716,0))))
*I1010*I$8,0)</f>
        <v>0</v>
      </c>
      <c r="J299" s="198">
        <f>_xlfn.IFNA(IF(J$7="Fixed",1,IF(AND($D98="yes",J$7="Block"),INDEX($O740:$Q740,1,MATCH(J$5,$I63:$K63,0)),INDEX(Movements!$G740:$M740,1,MATCH(J$7,Movements!$G$716:$M$716,0))))
*J1010*J$8,0)</f>
        <v>0</v>
      </c>
      <c r="K299" s="198">
        <f>_xlfn.IFNA(IF(K$7="Fixed",1,IF(AND($D98="yes",K$7="Block"),INDEX($O740:$Q740,1,MATCH(K$5,$I63:$K63,0)),INDEX(Movements!$G740:$M740,1,MATCH(K$7,Movements!$G$716:$M$716,0))))
*K1010*K$8,0)</f>
        <v>0</v>
      </c>
      <c r="L299" s="198">
        <f>_xlfn.IFNA(IF(L$7="Fixed",1,IF(AND($D98="yes",L$7="Block"),INDEX($O740:$Q740,1,MATCH(L$5,$I63:$K63,0)),INDEX(Movements!$G740:$M740,1,MATCH(L$7,Movements!$G$716:$M$716,0))))
*L1010*L$8,0)</f>
        <v>0</v>
      </c>
      <c r="M299" s="198">
        <f>_xlfn.IFNA(IF(M$7="Fixed",1,IF(AND($D98="yes",M$7="Block"),INDEX($O740:$Q740,1,MATCH(M$5,$I63:$K63,0)),INDEX(Movements!$G740:$M740,1,MATCH(M$7,Movements!$G$716:$M$716,0))))
*M1010*M$8,0)</f>
        <v>0</v>
      </c>
      <c r="N299" s="198">
        <f>_xlfn.IFNA(IF(N$7="Fixed",1,IF(AND($D98="yes",N$7="Block"),INDEX($O740:$Q740,1,MATCH(N$5,$I63:$K63,0)),INDEX(Movements!$G740:$M740,1,MATCH(N$7,Movements!$G$716:$M$716,0))))
*N1010*N$8,0)</f>
        <v>0</v>
      </c>
      <c r="O299" s="198">
        <f>_xlfn.IFNA(IF(O$7="Fixed",1,IF(AND($D98="yes",O$7="Block"),INDEX($O740:$Q740,1,MATCH(O$5,$I63:$K63,0)),INDEX(Movements!$G740:$M740,1,MATCH(O$7,Movements!$G$716:$M$716,0))))
*O1010*O$8,0)</f>
        <v>0</v>
      </c>
      <c r="P299" s="198">
        <f>_xlfn.IFNA(IF(P$7="Fixed",1,IF(AND($D98="yes",P$7="Block"),INDEX($O740:$Q740,1,MATCH(P$5,$I63:$K63,0)),INDEX(Movements!$G740:$M740,1,MATCH(P$7,Movements!$G$716:$M$716,0))))
*P1010*P$8,0)</f>
        <v>0</v>
      </c>
      <c r="Q299" s="198">
        <f>_xlfn.IFNA(IF(Q$7="Fixed",1,IF(AND($D98="yes",Q$7="Block"),INDEX($O740:$Q740,1,MATCH(Q$5,$I63:$K63,0)),INDEX(Movements!$G740:$M740,1,MATCH(Q$7,Movements!$G$716:$M$716,0))))
*Q1010*Q$8,0)</f>
        <v>0</v>
      </c>
      <c r="R299" s="198">
        <f>_xlfn.IFNA(IF(R$7="Fixed",1,IF(AND($D98="yes",R$7="Block"),INDEX($O740:$Q740,1,MATCH(R$5,$I63:$K63,0)),INDEX(Movements!$G740:$M740,1,MATCH(R$7,Movements!$G$716:$M$716,0))))
*R1010*R$8,0)</f>
        <v>0</v>
      </c>
      <c r="S299" s="198">
        <f>_xlfn.IFNA(IF(S$7="Fixed",1,IF(AND($D98="yes",S$7="Block"),INDEX($O740:$Q740,1,MATCH(S$5,$I63:$K63,0)),INDEX(Movements!$G740:$M740,1,MATCH(S$7,Movements!$G$716:$M$716,0))))
*S1010*S$8,0)</f>
        <v>0</v>
      </c>
      <c r="T299" s="198">
        <f>_xlfn.IFNA(IF(T$7="Fixed",1,IF(AND($D98="yes",T$7="Block"),INDEX($O740:$Q740,1,MATCH(T$5,$I63:$K63,0)),INDEX(Movements!$G740:$M740,1,MATCH(T$7,Movements!$G$716:$M$716,0))))
*T1010*T$8,0)</f>
        <v>0</v>
      </c>
      <c r="U299" s="198">
        <f>_xlfn.IFNA(IF(U$7="Fixed",1,IF(AND($D98="yes",U$7="Block"),INDEX($O740:$Q740,1,MATCH(U$5,$I63:$K63,0)),INDEX(Movements!$G740:$M740,1,MATCH(U$7,Movements!$G$716:$M$716,0))))
*U1010*U$8,0)</f>
        <v>0</v>
      </c>
      <c r="V299" s="198">
        <f>_xlfn.IFNA(IF(V$7="Fixed",1,IF(AND($D98="yes",V$7="Block"),INDEX($O740:$Q740,1,MATCH(V$5,$I63:$K63,0)),INDEX(Movements!$G740:$M740,1,MATCH(V$7,Movements!$G$716:$M$716,0))))
*V1010*V$8,0)</f>
        <v>0</v>
      </c>
      <c r="W299" s="198">
        <f>_xlfn.IFNA(IF(W$7="Fixed",1,IF(AND($D98="yes",W$7="Block"),INDEX($O740:$Q740,1,MATCH(W$5,$I63:$K63,0)),INDEX(Movements!$G740:$M740,1,MATCH(W$7,Movements!$G$716:$M$716,0))))
*W1010*W$8,0)</f>
        <v>0</v>
      </c>
      <c r="X299" s="198">
        <f>_xlfn.IFNA(IF(X$7="Fixed",1,IF(AND($D98="yes",X$7="Block"),INDEX($O740:$Q740,1,MATCH(X$5,$I63:$K63,0)),INDEX(Movements!$G740:$M740,1,MATCH(X$7,Movements!$G$716:$M$716,0))))
*X1010*X$8,0)</f>
        <v>0</v>
      </c>
      <c r="Y299" s="198">
        <f>_xlfn.IFNA(IF(Y$7="Fixed",1,IF(AND($D98="yes",Y$7="Block"),INDEX($O740:$Q740,1,MATCH(Y$5,$I63:$K63,0)),INDEX(Movements!$G740:$M740,1,MATCH(Y$7,Movements!$G$716:$M$716,0))))
*Y1010*Y$8,0)</f>
        <v>0</v>
      </c>
      <c r="Z299" s="198">
        <f>_xlfn.IFNA(IF(Z$7="Fixed",1,IF(AND($D98="yes",Z$7="Block"),INDEX($O740:$Q740,1,MATCH(Z$5,$I63:$K63,0)),INDEX(Movements!$G740:$M740,1,MATCH(Z$7,Movements!$G$716:$M$716,0))))
*Z1010*Z$8,0)</f>
        <v>0</v>
      </c>
      <c r="AA299" s="198">
        <f>_xlfn.IFNA(IF(AA$7="Fixed",1,IF(AND($D98="yes",AA$7="Block"),INDEX($O740:$Q740,1,MATCH(AA$5,$I63:$K63,0)),INDEX(Movements!$G740:$M740,1,MATCH(AA$7,Movements!$G$716:$M$716,0))))
*AA1010*AA$8,0)</f>
        <v>0</v>
      </c>
      <c r="AB299" s="198">
        <f>_xlfn.IFNA(IF(AB$7="Fixed",1,IF(AND($D98="yes",AB$7="Block"),INDEX($O740:$Q740,1,MATCH(AB$5,$I63:$K63,0)),INDEX(Movements!$G740:$M740,1,MATCH(AB$7,Movements!$G$716:$M$716,0))))
*AB1010*AB$8,0)</f>
        <v>0</v>
      </c>
      <c r="AC299" s="70"/>
      <c r="AD299" s="19"/>
      <c r="AE299" s="19"/>
      <c r="AF299" s="19"/>
      <c r="AG299" s="19"/>
    </row>
    <row r="300" spans="1:33" hidden="1" outlineLevel="3" x14ac:dyDescent="0.2">
      <c r="A300" s="19"/>
      <c r="B300" s="19"/>
      <c r="C300" s="506">
        <f t="shared" si="47"/>
        <v>0</v>
      </c>
      <c r="D300" s="505">
        <f t="shared" si="47"/>
        <v>0</v>
      </c>
      <c r="E300" s="505">
        <f t="shared" si="47"/>
        <v>0</v>
      </c>
      <c r="F300" s="58"/>
      <c r="G300" s="199">
        <f t="shared" si="48"/>
        <v>0</v>
      </c>
      <c r="H300" s="58"/>
      <c r="I300" s="198">
        <f>_xlfn.IFNA(IF(I$7="Fixed",1,IF(AND($D99="yes",I$7="Block"),INDEX($O741:$Q741,1,MATCH(I$5,$I64:$K64,0)),INDEX(Movements!$G741:$M741,1,MATCH(I$7,Movements!$G$716:$M$716,0))))
*I1011*I$8,0)</f>
        <v>0</v>
      </c>
      <c r="J300" s="198">
        <f>_xlfn.IFNA(IF(J$7="Fixed",1,IF(AND($D99="yes",J$7="Block"),INDEX($O741:$Q741,1,MATCH(J$5,$I64:$K64,0)),INDEX(Movements!$G741:$M741,1,MATCH(J$7,Movements!$G$716:$M$716,0))))
*J1011*J$8,0)</f>
        <v>0</v>
      </c>
      <c r="K300" s="198">
        <f>_xlfn.IFNA(IF(K$7="Fixed",1,IF(AND($D99="yes",K$7="Block"),INDEX($O741:$Q741,1,MATCH(K$5,$I64:$K64,0)),INDEX(Movements!$G741:$M741,1,MATCH(K$7,Movements!$G$716:$M$716,0))))
*K1011*K$8,0)</f>
        <v>0</v>
      </c>
      <c r="L300" s="198">
        <f>_xlfn.IFNA(IF(L$7="Fixed",1,IF(AND($D99="yes",L$7="Block"),INDEX($O741:$Q741,1,MATCH(L$5,$I64:$K64,0)),INDEX(Movements!$G741:$M741,1,MATCH(L$7,Movements!$G$716:$M$716,0))))
*L1011*L$8,0)</f>
        <v>0</v>
      </c>
      <c r="M300" s="198">
        <f>_xlfn.IFNA(IF(M$7="Fixed",1,IF(AND($D99="yes",M$7="Block"),INDEX($O741:$Q741,1,MATCH(M$5,$I64:$K64,0)),INDEX(Movements!$G741:$M741,1,MATCH(M$7,Movements!$G$716:$M$716,0))))
*M1011*M$8,0)</f>
        <v>0</v>
      </c>
      <c r="N300" s="198">
        <f>_xlfn.IFNA(IF(N$7="Fixed",1,IF(AND($D99="yes",N$7="Block"),INDEX($O741:$Q741,1,MATCH(N$5,$I64:$K64,0)),INDEX(Movements!$G741:$M741,1,MATCH(N$7,Movements!$G$716:$M$716,0))))
*N1011*N$8,0)</f>
        <v>0</v>
      </c>
      <c r="O300" s="198">
        <f>_xlfn.IFNA(IF(O$7="Fixed",1,IF(AND($D99="yes",O$7="Block"),INDEX($O741:$Q741,1,MATCH(O$5,$I64:$K64,0)),INDEX(Movements!$G741:$M741,1,MATCH(O$7,Movements!$G$716:$M$716,0))))
*O1011*O$8,0)</f>
        <v>0</v>
      </c>
      <c r="P300" s="198">
        <f>_xlfn.IFNA(IF(P$7="Fixed",1,IF(AND($D99="yes",P$7="Block"),INDEX($O741:$Q741,1,MATCH(P$5,$I64:$K64,0)),INDEX(Movements!$G741:$M741,1,MATCH(P$7,Movements!$G$716:$M$716,0))))
*P1011*P$8,0)</f>
        <v>0</v>
      </c>
      <c r="Q300" s="198">
        <f>_xlfn.IFNA(IF(Q$7="Fixed",1,IF(AND($D99="yes",Q$7="Block"),INDEX($O741:$Q741,1,MATCH(Q$5,$I64:$K64,0)),INDEX(Movements!$G741:$M741,1,MATCH(Q$7,Movements!$G$716:$M$716,0))))
*Q1011*Q$8,0)</f>
        <v>0</v>
      </c>
      <c r="R300" s="198">
        <f>_xlfn.IFNA(IF(R$7="Fixed",1,IF(AND($D99="yes",R$7="Block"),INDEX($O741:$Q741,1,MATCH(R$5,$I64:$K64,0)),INDEX(Movements!$G741:$M741,1,MATCH(R$7,Movements!$G$716:$M$716,0))))
*R1011*R$8,0)</f>
        <v>0</v>
      </c>
      <c r="S300" s="198">
        <f>_xlfn.IFNA(IF(S$7="Fixed",1,IF(AND($D99="yes",S$7="Block"),INDEX($O741:$Q741,1,MATCH(S$5,$I64:$K64,0)),INDEX(Movements!$G741:$M741,1,MATCH(S$7,Movements!$G$716:$M$716,0))))
*S1011*S$8,0)</f>
        <v>0</v>
      </c>
      <c r="T300" s="198">
        <f>_xlfn.IFNA(IF(T$7="Fixed",1,IF(AND($D99="yes",T$7="Block"),INDEX($O741:$Q741,1,MATCH(T$5,$I64:$K64,0)),INDEX(Movements!$G741:$M741,1,MATCH(T$7,Movements!$G$716:$M$716,0))))
*T1011*T$8,0)</f>
        <v>0</v>
      </c>
      <c r="U300" s="198">
        <f>_xlfn.IFNA(IF(U$7="Fixed",1,IF(AND($D99="yes",U$7="Block"),INDEX($O741:$Q741,1,MATCH(U$5,$I64:$K64,0)),INDEX(Movements!$G741:$M741,1,MATCH(U$7,Movements!$G$716:$M$716,0))))
*U1011*U$8,0)</f>
        <v>0</v>
      </c>
      <c r="V300" s="198">
        <f>_xlfn.IFNA(IF(V$7="Fixed",1,IF(AND($D99="yes",V$7="Block"),INDEX($O741:$Q741,1,MATCH(V$5,$I64:$K64,0)),INDEX(Movements!$G741:$M741,1,MATCH(V$7,Movements!$G$716:$M$716,0))))
*V1011*V$8,0)</f>
        <v>0</v>
      </c>
      <c r="W300" s="198">
        <f>_xlfn.IFNA(IF(W$7="Fixed",1,IF(AND($D99="yes",W$7="Block"),INDEX($O741:$Q741,1,MATCH(W$5,$I64:$K64,0)),INDEX(Movements!$G741:$M741,1,MATCH(W$7,Movements!$G$716:$M$716,0))))
*W1011*W$8,0)</f>
        <v>0</v>
      </c>
      <c r="X300" s="198">
        <f>_xlfn.IFNA(IF(X$7="Fixed",1,IF(AND($D99="yes",X$7="Block"),INDEX($O741:$Q741,1,MATCH(X$5,$I64:$K64,0)),INDEX(Movements!$G741:$M741,1,MATCH(X$7,Movements!$G$716:$M$716,0))))
*X1011*X$8,0)</f>
        <v>0</v>
      </c>
      <c r="Y300" s="198">
        <f>_xlfn.IFNA(IF(Y$7="Fixed",1,IF(AND($D99="yes",Y$7="Block"),INDEX($O741:$Q741,1,MATCH(Y$5,$I64:$K64,0)),INDEX(Movements!$G741:$M741,1,MATCH(Y$7,Movements!$G$716:$M$716,0))))
*Y1011*Y$8,0)</f>
        <v>0</v>
      </c>
      <c r="Z300" s="198">
        <f>_xlfn.IFNA(IF(Z$7="Fixed",1,IF(AND($D99="yes",Z$7="Block"),INDEX($O741:$Q741,1,MATCH(Z$5,$I64:$K64,0)),INDEX(Movements!$G741:$M741,1,MATCH(Z$7,Movements!$G$716:$M$716,0))))
*Z1011*Z$8,0)</f>
        <v>0</v>
      </c>
      <c r="AA300" s="198">
        <f>_xlfn.IFNA(IF(AA$7="Fixed",1,IF(AND($D99="yes",AA$7="Block"),INDEX($O741:$Q741,1,MATCH(AA$5,$I64:$K64,0)),INDEX(Movements!$G741:$M741,1,MATCH(AA$7,Movements!$G$716:$M$716,0))))
*AA1011*AA$8,0)</f>
        <v>0</v>
      </c>
      <c r="AB300" s="198">
        <f>_xlfn.IFNA(IF(AB$7="Fixed",1,IF(AND($D99="yes",AB$7="Block"),INDEX($O741:$Q741,1,MATCH(AB$5,$I64:$K64,0)),INDEX(Movements!$G741:$M741,1,MATCH(AB$7,Movements!$G$716:$M$716,0))))
*AB1011*AB$8,0)</f>
        <v>0</v>
      </c>
      <c r="AC300" s="70"/>
      <c r="AD300" s="19"/>
      <c r="AE300" s="19"/>
      <c r="AF300" s="19"/>
      <c r="AG300" s="19"/>
    </row>
    <row r="301" spans="1:33" hidden="1" outlineLevel="3" x14ac:dyDescent="0.2">
      <c r="A301" s="19"/>
      <c r="B301" s="19"/>
      <c r="C301" s="506">
        <f t="shared" si="47"/>
        <v>0</v>
      </c>
      <c r="D301" s="505">
        <f t="shared" si="47"/>
        <v>0</v>
      </c>
      <c r="E301" s="505">
        <f t="shared" si="47"/>
        <v>0</v>
      </c>
      <c r="F301" s="58"/>
      <c r="G301" s="199">
        <f t="shared" si="48"/>
        <v>0</v>
      </c>
      <c r="H301" s="58"/>
      <c r="I301" s="198">
        <f>_xlfn.IFNA(IF(I$7="Fixed",1,IF(AND($D100="yes",I$7="Block"),INDEX($O742:$Q742,1,MATCH(I$5,$I65:$K65,0)),INDEX(Movements!$G742:$M742,1,MATCH(I$7,Movements!$G$716:$M$716,0))))
*I1012*I$8,0)</f>
        <v>0</v>
      </c>
      <c r="J301" s="198">
        <f>_xlfn.IFNA(IF(J$7="Fixed",1,IF(AND($D100="yes",J$7="Block"),INDEX($O742:$Q742,1,MATCH(J$5,$I65:$K65,0)),INDEX(Movements!$G742:$M742,1,MATCH(J$7,Movements!$G$716:$M$716,0))))
*J1012*J$8,0)</f>
        <v>0</v>
      </c>
      <c r="K301" s="198">
        <f>_xlfn.IFNA(IF(K$7="Fixed",1,IF(AND($D100="yes",K$7="Block"),INDEX($O742:$Q742,1,MATCH(K$5,$I65:$K65,0)),INDEX(Movements!$G742:$M742,1,MATCH(K$7,Movements!$G$716:$M$716,0))))
*K1012*K$8,0)</f>
        <v>0</v>
      </c>
      <c r="L301" s="198">
        <f>_xlfn.IFNA(IF(L$7="Fixed",1,IF(AND($D100="yes",L$7="Block"),INDEX($O742:$Q742,1,MATCH(L$5,$I65:$K65,0)),INDEX(Movements!$G742:$M742,1,MATCH(L$7,Movements!$G$716:$M$716,0))))
*L1012*L$8,0)</f>
        <v>0</v>
      </c>
      <c r="M301" s="198">
        <f>_xlfn.IFNA(IF(M$7="Fixed",1,IF(AND($D100="yes",M$7="Block"),INDEX($O742:$Q742,1,MATCH(M$5,$I65:$K65,0)),INDEX(Movements!$G742:$M742,1,MATCH(M$7,Movements!$G$716:$M$716,0))))
*M1012*M$8,0)</f>
        <v>0</v>
      </c>
      <c r="N301" s="198">
        <f>_xlfn.IFNA(IF(N$7="Fixed",1,IF(AND($D100="yes",N$7="Block"),INDEX($O742:$Q742,1,MATCH(N$5,$I65:$K65,0)),INDEX(Movements!$G742:$M742,1,MATCH(N$7,Movements!$G$716:$M$716,0))))
*N1012*N$8,0)</f>
        <v>0</v>
      </c>
      <c r="O301" s="198">
        <f>_xlfn.IFNA(IF(O$7="Fixed",1,IF(AND($D100="yes",O$7="Block"),INDEX($O742:$Q742,1,MATCH(O$5,$I65:$K65,0)),INDEX(Movements!$G742:$M742,1,MATCH(O$7,Movements!$G$716:$M$716,0))))
*O1012*O$8,0)</f>
        <v>0</v>
      </c>
      <c r="P301" s="198">
        <f>_xlfn.IFNA(IF(P$7="Fixed",1,IF(AND($D100="yes",P$7="Block"),INDEX($O742:$Q742,1,MATCH(P$5,$I65:$K65,0)),INDEX(Movements!$G742:$M742,1,MATCH(P$7,Movements!$G$716:$M$716,0))))
*P1012*P$8,0)</f>
        <v>0</v>
      </c>
      <c r="Q301" s="198">
        <f>_xlfn.IFNA(IF(Q$7="Fixed",1,IF(AND($D100="yes",Q$7="Block"),INDEX($O742:$Q742,1,MATCH(Q$5,$I65:$K65,0)),INDEX(Movements!$G742:$M742,1,MATCH(Q$7,Movements!$G$716:$M$716,0))))
*Q1012*Q$8,0)</f>
        <v>0</v>
      </c>
      <c r="R301" s="198">
        <f>_xlfn.IFNA(IF(R$7="Fixed",1,IF(AND($D100="yes",R$7="Block"),INDEX($O742:$Q742,1,MATCH(R$5,$I65:$K65,0)),INDEX(Movements!$G742:$M742,1,MATCH(R$7,Movements!$G$716:$M$716,0))))
*R1012*R$8,0)</f>
        <v>0</v>
      </c>
      <c r="S301" s="198">
        <f>_xlfn.IFNA(IF(S$7="Fixed",1,IF(AND($D100="yes",S$7="Block"),INDEX($O742:$Q742,1,MATCH(S$5,$I65:$K65,0)),INDEX(Movements!$G742:$M742,1,MATCH(S$7,Movements!$G$716:$M$716,0))))
*S1012*S$8,0)</f>
        <v>0</v>
      </c>
      <c r="T301" s="198">
        <f>_xlfn.IFNA(IF(T$7="Fixed",1,IF(AND($D100="yes",T$7="Block"),INDEX($O742:$Q742,1,MATCH(T$5,$I65:$K65,0)),INDEX(Movements!$G742:$M742,1,MATCH(T$7,Movements!$G$716:$M$716,0))))
*T1012*T$8,0)</f>
        <v>0</v>
      </c>
      <c r="U301" s="198">
        <f>_xlfn.IFNA(IF(U$7="Fixed",1,IF(AND($D100="yes",U$7="Block"),INDEX($O742:$Q742,1,MATCH(U$5,$I65:$K65,0)),INDEX(Movements!$G742:$M742,1,MATCH(U$7,Movements!$G$716:$M$716,0))))
*U1012*U$8,0)</f>
        <v>0</v>
      </c>
      <c r="V301" s="198">
        <f>_xlfn.IFNA(IF(V$7="Fixed",1,IF(AND($D100="yes",V$7="Block"),INDEX($O742:$Q742,1,MATCH(V$5,$I65:$K65,0)),INDEX(Movements!$G742:$M742,1,MATCH(V$7,Movements!$G$716:$M$716,0))))
*V1012*V$8,0)</f>
        <v>0</v>
      </c>
      <c r="W301" s="198">
        <f>_xlfn.IFNA(IF(W$7="Fixed",1,IF(AND($D100="yes",W$7="Block"),INDEX($O742:$Q742,1,MATCH(W$5,$I65:$K65,0)),INDEX(Movements!$G742:$M742,1,MATCH(W$7,Movements!$G$716:$M$716,0))))
*W1012*W$8,0)</f>
        <v>0</v>
      </c>
      <c r="X301" s="198">
        <f>_xlfn.IFNA(IF(X$7="Fixed",1,IF(AND($D100="yes",X$7="Block"),INDEX($O742:$Q742,1,MATCH(X$5,$I65:$K65,0)),INDEX(Movements!$G742:$M742,1,MATCH(X$7,Movements!$G$716:$M$716,0))))
*X1012*X$8,0)</f>
        <v>0</v>
      </c>
      <c r="Y301" s="198">
        <f>_xlfn.IFNA(IF(Y$7="Fixed",1,IF(AND($D100="yes",Y$7="Block"),INDEX($O742:$Q742,1,MATCH(Y$5,$I65:$K65,0)),INDEX(Movements!$G742:$M742,1,MATCH(Y$7,Movements!$G$716:$M$716,0))))
*Y1012*Y$8,0)</f>
        <v>0</v>
      </c>
      <c r="Z301" s="198">
        <f>_xlfn.IFNA(IF(Z$7="Fixed",1,IF(AND($D100="yes",Z$7="Block"),INDEX($O742:$Q742,1,MATCH(Z$5,$I65:$K65,0)),INDEX(Movements!$G742:$M742,1,MATCH(Z$7,Movements!$G$716:$M$716,0))))
*Z1012*Z$8,0)</f>
        <v>0</v>
      </c>
      <c r="AA301" s="198">
        <f>_xlfn.IFNA(IF(AA$7="Fixed",1,IF(AND($D100="yes",AA$7="Block"),INDEX($O742:$Q742,1,MATCH(AA$5,$I65:$K65,0)),INDEX(Movements!$G742:$M742,1,MATCH(AA$7,Movements!$G$716:$M$716,0))))
*AA1012*AA$8,0)</f>
        <v>0</v>
      </c>
      <c r="AB301" s="198">
        <f>_xlfn.IFNA(IF(AB$7="Fixed",1,IF(AND($D100="yes",AB$7="Block"),INDEX($O742:$Q742,1,MATCH(AB$5,$I65:$K65,0)),INDEX(Movements!$G742:$M742,1,MATCH(AB$7,Movements!$G$716:$M$716,0))))
*AB1012*AB$8,0)</f>
        <v>0</v>
      </c>
      <c r="AC301" s="70"/>
      <c r="AD301" s="19"/>
      <c r="AE301" s="19"/>
      <c r="AF301" s="19"/>
      <c r="AG301" s="19"/>
    </row>
    <row r="302" spans="1:33" hidden="1" outlineLevel="3" x14ac:dyDescent="0.2">
      <c r="A302" s="19"/>
      <c r="B302" s="19"/>
      <c r="C302" s="506">
        <f t="shared" si="47"/>
        <v>0</v>
      </c>
      <c r="D302" s="505">
        <f t="shared" si="47"/>
        <v>0</v>
      </c>
      <c r="E302" s="505">
        <f t="shared" si="47"/>
        <v>0</v>
      </c>
      <c r="F302" s="58"/>
      <c r="G302" s="199">
        <f t="shared" si="48"/>
        <v>0</v>
      </c>
      <c r="H302" s="58"/>
      <c r="I302" s="198">
        <f>_xlfn.IFNA(IF(I$7="Fixed",1,IF(AND($D101="yes",I$7="Block"),INDEX($O743:$Q743,1,MATCH(I$5,$I66:$K66,0)),INDEX(Movements!$G743:$M743,1,MATCH(I$7,Movements!$G$716:$M$716,0))))
*I1013*I$8,0)</f>
        <v>0</v>
      </c>
      <c r="J302" s="198">
        <f>_xlfn.IFNA(IF(J$7="Fixed",1,IF(AND($D101="yes",J$7="Block"),INDEX($O743:$Q743,1,MATCH(J$5,$I66:$K66,0)),INDEX(Movements!$G743:$M743,1,MATCH(J$7,Movements!$G$716:$M$716,0))))
*J1013*J$8,0)</f>
        <v>0</v>
      </c>
      <c r="K302" s="198">
        <f>_xlfn.IFNA(IF(K$7="Fixed",1,IF(AND($D101="yes",K$7="Block"),INDEX($O743:$Q743,1,MATCH(K$5,$I66:$K66,0)),INDEX(Movements!$G743:$M743,1,MATCH(K$7,Movements!$G$716:$M$716,0))))
*K1013*K$8,0)</f>
        <v>0</v>
      </c>
      <c r="L302" s="198">
        <f>_xlfn.IFNA(IF(L$7="Fixed",1,IF(AND($D101="yes",L$7="Block"),INDEX($O743:$Q743,1,MATCH(L$5,$I66:$K66,0)),INDEX(Movements!$G743:$M743,1,MATCH(L$7,Movements!$G$716:$M$716,0))))
*L1013*L$8,0)</f>
        <v>0</v>
      </c>
      <c r="M302" s="198">
        <f>_xlfn.IFNA(IF(M$7="Fixed",1,IF(AND($D101="yes",M$7="Block"),INDEX($O743:$Q743,1,MATCH(M$5,$I66:$K66,0)),INDEX(Movements!$G743:$M743,1,MATCH(M$7,Movements!$G$716:$M$716,0))))
*M1013*M$8,0)</f>
        <v>0</v>
      </c>
      <c r="N302" s="198">
        <f>_xlfn.IFNA(IF(N$7="Fixed",1,IF(AND($D101="yes",N$7="Block"),INDEX($O743:$Q743,1,MATCH(N$5,$I66:$K66,0)),INDEX(Movements!$G743:$M743,1,MATCH(N$7,Movements!$G$716:$M$716,0))))
*N1013*N$8,0)</f>
        <v>0</v>
      </c>
      <c r="O302" s="198">
        <f>_xlfn.IFNA(IF(O$7="Fixed",1,IF(AND($D101="yes",O$7="Block"),INDEX($O743:$Q743,1,MATCH(O$5,$I66:$K66,0)),INDEX(Movements!$G743:$M743,1,MATCH(O$7,Movements!$G$716:$M$716,0))))
*O1013*O$8,0)</f>
        <v>0</v>
      </c>
      <c r="P302" s="198">
        <f>_xlfn.IFNA(IF(P$7="Fixed",1,IF(AND($D101="yes",P$7="Block"),INDEX($O743:$Q743,1,MATCH(P$5,$I66:$K66,0)),INDEX(Movements!$G743:$M743,1,MATCH(P$7,Movements!$G$716:$M$716,0))))
*P1013*P$8,0)</f>
        <v>0</v>
      </c>
      <c r="Q302" s="198">
        <f>_xlfn.IFNA(IF(Q$7="Fixed",1,IF(AND($D101="yes",Q$7="Block"),INDEX($O743:$Q743,1,MATCH(Q$5,$I66:$K66,0)),INDEX(Movements!$G743:$M743,1,MATCH(Q$7,Movements!$G$716:$M$716,0))))
*Q1013*Q$8,0)</f>
        <v>0</v>
      </c>
      <c r="R302" s="198">
        <f>_xlfn.IFNA(IF(R$7="Fixed",1,IF(AND($D101="yes",R$7="Block"),INDEX($O743:$Q743,1,MATCH(R$5,$I66:$K66,0)),INDEX(Movements!$G743:$M743,1,MATCH(R$7,Movements!$G$716:$M$716,0))))
*R1013*R$8,0)</f>
        <v>0</v>
      </c>
      <c r="S302" s="198">
        <f>_xlfn.IFNA(IF(S$7="Fixed",1,IF(AND($D101="yes",S$7="Block"),INDEX($O743:$Q743,1,MATCH(S$5,$I66:$K66,0)),INDEX(Movements!$G743:$M743,1,MATCH(S$7,Movements!$G$716:$M$716,0))))
*S1013*S$8,0)</f>
        <v>0</v>
      </c>
      <c r="T302" s="198">
        <f>_xlfn.IFNA(IF(T$7="Fixed",1,IF(AND($D101="yes",T$7="Block"),INDEX($O743:$Q743,1,MATCH(T$5,$I66:$K66,0)),INDEX(Movements!$G743:$M743,1,MATCH(T$7,Movements!$G$716:$M$716,0))))
*T1013*T$8,0)</f>
        <v>0</v>
      </c>
      <c r="U302" s="198">
        <f>_xlfn.IFNA(IF(U$7="Fixed",1,IF(AND($D101="yes",U$7="Block"),INDEX($O743:$Q743,1,MATCH(U$5,$I66:$K66,0)),INDEX(Movements!$G743:$M743,1,MATCH(U$7,Movements!$G$716:$M$716,0))))
*U1013*U$8,0)</f>
        <v>0</v>
      </c>
      <c r="V302" s="198">
        <f>_xlfn.IFNA(IF(V$7="Fixed",1,IF(AND($D101="yes",V$7="Block"),INDEX($O743:$Q743,1,MATCH(V$5,$I66:$K66,0)),INDEX(Movements!$G743:$M743,1,MATCH(V$7,Movements!$G$716:$M$716,0))))
*V1013*V$8,0)</f>
        <v>0</v>
      </c>
      <c r="W302" s="198">
        <f>_xlfn.IFNA(IF(W$7="Fixed",1,IF(AND($D101="yes",W$7="Block"),INDEX($O743:$Q743,1,MATCH(W$5,$I66:$K66,0)),INDEX(Movements!$G743:$M743,1,MATCH(W$7,Movements!$G$716:$M$716,0))))
*W1013*W$8,0)</f>
        <v>0</v>
      </c>
      <c r="X302" s="198">
        <f>_xlfn.IFNA(IF(X$7="Fixed",1,IF(AND($D101="yes",X$7="Block"),INDEX($O743:$Q743,1,MATCH(X$5,$I66:$K66,0)),INDEX(Movements!$G743:$M743,1,MATCH(X$7,Movements!$G$716:$M$716,0))))
*X1013*X$8,0)</f>
        <v>0</v>
      </c>
      <c r="Y302" s="198">
        <f>_xlfn.IFNA(IF(Y$7="Fixed",1,IF(AND($D101="yes",Y$7="Block"),INDEX($O743:$Q743,1,MATCH(Y$5,$I66:$K66,0)),INDEX(Movements!$G743:$M743,1,MATCH(Y$7,Movements!$G$716:$M$716,0))))
*Y1013*Y$8,0)</f>
        <v>0</v>
      </c>
      <c r="Z302" s="198">
        <f>_xlfn.IFNA(IF(Z$7="Fixed",1,IF(AND($D101="yes",Z$7="Block"),INDEX($O743:$Q743,1,MATCH(Z$5,$I66:$K66,0)),INDEX(Movements!$G743:$M743,1,MATCH(Z$7,Movements!$G$716:$M$716,0))))
*Z1013*Z$8,0)</f>
        <v>0</v>
      </c>
      <c r="AA302" s="198">
        <f>_xlfn.IFNA(IF(AA$7="Fixed",1,IF(AND($D101="yes",AA$7="Block"),INDEX($O743:$Q743,1,MATCH(AA$5,$I66:$K66,0)),INDEX(Movements!$G743:$M743,1,MATCH(AA$7,Movements!$G$716:$M$716,0))))
*AA1013*AA$8,0)</f>
        <v>0</v>
      </c>
      <c r="AB302" s="198">
        <f>_xlfn.IFNA(IF(AB$7="Fixed",1,IF(AND($D101="yes",AB$7="Block"),INDEX($O743:$Q743,1,MATCH(AB$5,$I66:$K66,0)),INDEX(Movements!$G743:$M743,1,MATCH(AB$7,Movements!$G$716:$M$716,0))))
*AB1013*AB$8,0)</f>
        <v>0</v>
      </c>
      <c r="AC302" s="70"/>
      <c r="AD302" s="19"/>
      <c r="AE302" s="19"/>
      <c r="AF302" s="19"/>
      <c r="AG302" s="19"/>
    </row>
    <row r="303" spans="1:33" hidden="1" outlineLevel="3" x14ac:dyDescent="0.2">
      <c r="A303" s="19"/>
      <c r="B303" s="19"/>
      <c r="C303" s="506">
        <f t="shared" si="47"/>
        <v>0</v>
      </c>
      <c r="D303" s="505">
        <f t="shared" si="47"/>
        <v>0</v>
      </c>
      <c r="E303" s="505">
        <f t="shared" si="47"/>
        <v>0</v>
      </c>
      <c r="F303" s="58"/>
      <c r="G303" s="199">
        <f t="shared" si="48"/>
        <v>0</v>
      </c>
      <c r="H303" s="58"/>
      <c r="I303" s="198">
        <f>_xlfn.IFNA(IF(I$7="Fixed",1,IF(AND($D102="yes",I$7="Block"),INDEX($O744:$Q744,1,MATCH(I$5,$I67:$K67,0)),INDEX(Movements!$G744:$M744,1,MATCH(I$7,Movements!$G$716:$M$716,0))))
*I1014*I$8,0)</f>
        <v>0</v>
      </c>
      <c r="J303" s="198">
        <f>_xlfn.IFNA(IF(J$7="Fixed",1,IF(AND($D102="yes",J$7="Block"),INDEX($O744:$Q744,1,MATCH(J$5,$I67:$K67,0)),INDEX(Movements!$G744:$M744,1,MATCH(J$7,Movements!$G$716:$M$716,0))))
*J1014*J$8,0)</f>
        <v>0</v>
      </c>
      <c r="K303" s="198">
        <f>_xlfn.IFNA(IF(K$7="Fixed",1,IF(AND($D102="yes",K$7="Block"),INDEX($O744:$Q744,1,MATCH(K$5,$I67:$K67,0)),INDEX(Movements!$G744:$M744,1,MATCH(K$7,Movements!$G$716:$M$716,0))))
*K1014*K$8,0)</f>
        <v>0</v>
      </c>
      <c r="L303" s="198">
        <f>_xlfn.IFNA(IF(L$7="Fixed",1,IF(AND($D102="yes",L$7="Block"),INDEX($O744:$Q744,1,MATCH(L$5,$I67:$K67,0)),INDEX(Movements!$G744:$M744,1,MATCH(L$7,Movements!$G$716:$M$716,0))))
*L1014*L$8,0)</f>
        <v>0</v>
      </c>
      <c r="M303" s="198">
        <f>_xlfn.IFNA(IF(M$7="Fixed",1,IF(AND($D102="yes",M$7="Block"),INDEX($O744:$Q744,1,MATCH(M$5,$I67:$K67,0)),INDEX(Movements!$G744:$M744,1,MATCH(M$7,Movements!$G$716:$M$716,0))))
*M1014*M$8,0)</f>
        <v>0</v>
      </c>
      <c r="N303" s="198">
        <f>_xlfn.IFNA(IF(N$7="Fixed",1,IF(AND($D102="yes",N$7="Block"),INDEX($O744:$Q744,1,MATCH(N$5,$I67:$K67,0)),INDEX(Movements!$G744:$M744,1,MATCH(N$7,Movements!$G$716:$M$716,0))))
*N1014*N$8,0)</f>
        <v>0</v>
      </c>
      <c r="O303" s="198">
        <f>_xlfn.IFNA(IF(O$7="Fixed",1,IF(AND($D102="yes",O$7="Block"),INDEX($O744:$Q744,1,MATCH(O$5,$I67:$K67,0)),INDEX(Movements!$G744:$M744,1,MATCH(O$7,Movements!$G$716:$M$716,0))))
*O1014*O$8,0)</f>
        <v>0</v>
      </c>
      <c r="P303" s="198">
        <f>_xlfn.IFNA(IF(P$7="Fixed",1,IF(AND($D102="yes",P$7="Block"),INDEX($O744:$Q744,1,MATCH(P$5,$I67:$K67,0)),INDEX(Movements!$G744:$M744,1,MATCH(P$7,Movements!$G$716:$M$716,0))))
*P1014*P$8,0)</f>
        <v>0</v>
      </c>
      <c r="Q303" s="198">
        <f>_xlfn.IFNA(IF(Q$7="Fixed",1,IF(AND($D102="yes",Q$7="Block"),INDEX($O744:$Q744,1,MATCH(Q$5,$I67:$K67,0)),INDEX(Movements!$G744:$M744,1,MATCH(Q$7,Movements!$G$716:$M$716,0))))
*Q1014*Q$8,0)</f>
        <v>0</v>
      </c>
      <c r="R303" s="198">
        <f>_xlfn.IFNA(IF(R$7="Fixed",1,IF(AND($D102="yes",R$7="Block"),INDEX($O744:$Q744,1,MATCH(R$5,$I67:$K67,0)),INDEX(Movements!$G744:$M744,1,MATCH(R$7,Movements!$G$716:$M$716,0))))
*R1014*R$8,0)</f>
        <v>0</v>
      </c>
      <c r="S303" s="198">
        <f>_xlfn.IFNA(IF(S$7="Fixed",1,IF(AND($D102="yes",S$7="Block"),INDEX($O744:$Q744,1,MATCH(S$5,$I67:$K67,0)),INDEX(Movements!$G744:$M744,1,MATCH(S$7,Movements!$G$716:$M$716,0))))
*S1014*S$8,0)</f>
        <v>0</v>
      </c>
      <c r="T303" s="198">
        <f>_xlfn.IFNA(IF(T$7="Fixed",1,IF(AND($D102="yes",T$7="Block"),INDEX($O744:$Q744,1,MATCH(T$5,$I67:$K67,0)),INDEX(Movements!$G744:$M744,1,MATCH(T$7,Movements!$G$716:$M$716,0))))
*T1014*T$8,0)</f>
        <v>0</v>
      </c>
      <c r="U303" s="198">
        <f>_xlfn.IFNA(IF(U$7="Fixed",1,IF(AND($D102="yes",U$7="Block"),INDEX($O744:$Q744,1,MATCH(U$5,$I67:$K67,0)),INDEX(Movements!$G744:$M744,1,MATCH(U$7,Movements!$G$716:$M$716,0))))
*U1014*U$8,0)</f>
        <v>0</v>
      </c>
      <c r="V303" s="198">
        <f>_xlfn.IFNA(IF(V$7="Fixed",1,IF(AND($D102="yes",V$7="Block"),INDEX($O744:$Q744,1,MATCH(V$5,$I67:$K67,0)),INDEX(Movements!$G744:$M744,1,MATCH(V$7,Movements!$G$716:$M$716,0))))
*V1014*V$8,0)</f>
        <v>0</v>
      </c>
      <c r="W303" s="198">
        <f>_xlfn.IFNA(IF(W$7="Fixed",1,IF(AND($D102="yes",W$7="Block"),INDEX($O744:$Q744,1,MATCH(W$5,$I67:$K67,0)),INDEX(Movements!$G744:$M744,1,MATCH(W$7,Movements!$G$716:$M$716,0))))
*W1014*W$8,0)</f>
        <v>0</v>
      </c>
      <c r="X303" s="198">
        <f>_xlfn.IFNA(IF(X$7="Fixed",1,IF(AND($D102="yes",X$7="Block"),INDEX($O744:$Q744,1,MATCH(X$5,$I67:$K67,0)),INDEX(Movements!$G744:$M744,1,MATCH(X$7,Movements!$G$716:$M$716,0))))
*X1014*X$8,0)</f>
        <v>0</v>
      </c>
      <c r="Y303" s="198">
        <f>_xlfn.IFNA(IF(Y$7="Fixed",1,IF(AND($D102="yes",Y$7="Block"),INDEX($O744:$Q744,1,MATCH(Y$5,$I67:$K67,0)),INDEX(Movements!$G744:$M744,1,MATCH(Y$7,Movements!$G$716:$M$716,0))))
*Y1014*Y$8,0)</f>
        <v>0</v>
      </c>
      <c r="Z303" s="198">
        <f>_xlfn.IFNA(IF(Z$7="Fixed",1,IF(AND($D102="yes",Z$7="Block"),INDEX($O744:$Q744,1,MATCH(Z$5,$I67:$K67,0)),INDEX(Movements!$G744:$M744,1,MATCH(Z$7,Movements!$G$716:$M$716,0))))
*Z1014*Z$8,0)</f>
        <v>0</v>
      </c>
      <c r="AA303" s="198">
        <f>_xlfn.IFNA(IF(AA$7="Fixed",1,IF(AND($D102="yes",AA$7="Block"),INDEX($O744:$Q744,1,MATCH(AA$5,$I67:$K67,0)),INDEX(Movements!$G744:$M744,1,MATCH(AA$7,Movements!$G$716:$M$716,0))))
*AA1014*AA$8,0)</f>
        <v>0</v>
      </c>
      <c r="AB303" s="198">
        <f>_xlfn.IFNA(IF(AB$7="Fixed",1,IF(AND($D102="yes",AB$7="Block"),INDEX($O744:$Q744,1,MATCH(AB$5,$I67:$K67,0)),INDEX(Movements!$G744:$M744,1,MATCH(AB$7,Movements!$G$716:$M$716,0))))
*AB1014*AB$8,0)</f>
        <v>0</v>
      </c>
      <c r="AC303" s="70"/>
      <c r="AD303" s="19"/>
      <c r="AE303" s="19"/>
      <c r="AF303" s="19"/>
      <c r="AG303" s="19"/>
    </row>
    <row r="304" spans="1:33" hidden="1" outlineLevel="3" x14ac:dyDescent="0.2">
      <c r="A304" s="19"/>
      <c r="B304" s="19"/>
      <c r="C304" s="506">
        <f t="shared" si="47"/>
        <v>0</v>
      </c>
      <c r="D304" s="505">
        <f t="shared" si="47"/>
        <v>0</v>
      </c>
      <c r="E304" s="505">
        <f t="shared" si="47"/>
        <v>0</v>
      </c>
      <c r="F304" s="58"/>
      <c r="G304" s="199">
        <f t="shared" si="48"/>
        <v>0</v>
      </c>
      <c r="H304" s="58"/>
      <c r="I304" s="198">
        <f>_xlfn.IFNA(IF(I$7="Fixed",1,IF(AND($D103="yes",I$7="Block"),INDEX($O745:$Q745,1,MATCH(I$5,$I68:$K68,0)),INDEX(Movements!$G745:$M745,1,MATCH(I$7,Movements!$G$716:$M$716,0))))
*I1015*I$8,0)</f>
        <v>0</v>
      </c>
      <c r="J304" s="198">
        <f>_xlfn.IFNA(IF(J$7="Fixed",1,IF(AND($D103="yes",J$7="Block"),INDEX($O745:$Q745,1,MATCH(J$5,$I68:$K68,0)),INDEX(Movements!$G745:$M745,1,MATCH(J$7,Movements!$G$716:$M$716,0))))
*J1015*J$8,0)</f>
        <v>0</v>
      </c>
      <c r="K304" s="198">
        <f>_xlfn.IFNA(IF(K$7="Fixed",1,IF(AND($D103="yes",K$7="Block"),INDEX($O745:$Q745,1,MATCH(K$5,$I68:$K68,0)),INDEX(Movements!$G745:$M745,1,MATCH(K$7,Movements!$G$716:$M$716,0))))
*K1015*K$8,0)</f>
        <v>0</v>
      </c>
      <c r="L304" s="198">
        <f>_xlfn.IFNA(IF(L$7="Fixed",1,IF(AND($D103="yes",L$7="Block"),INDEX($O745:$Q745,1,MATCH(L$5,$I68:$K68,0)),INDEX(Movements!$G745:$M745,1,MATCH(L$7,Movements!$G$716:$M$716,0))))
*L1015*L$8,0)</f>
        <v>0</v>
      </c>
      <c r="M304" s="198">
        <f>_xlfn.IFNA(IF(M$7="Fixed",1,IF(AND($D103="yes",M$7="Block"),INDEX($O745:$Q745,1,MATCH(M$5,$I68:$K68,0)),INDEX(Movements!$G745:$M745,1,MATCH(M$7,Movements!$G$716:$M$716,0))))
*M1015*M$8,0)</f>
        <v>0</v>
      </c>
      <c r="N304" s="198">
        <f>_xlfn.IFNA(IF(N$7="Fixed",1,IF(AND($D103="yes",N$7="Block"),INDEX($O745:$Q745,1,MATCH(N$5,$I68:$K68,0)),INDEX(Movements!$G745:$M745,1,MATCH(N$7,Movements!$G$716:$M$716,0))))
*N1015*N$8,0)</f>
        <v>0</v>
      </c>
      <c r="O304" s="198">
        <f>_xlfn.IFNA(IF(O$7="Fixed",1,IF(AND($D103="yes",O$7="Block"),INDEX($O745:$Q745,1,MATCH(O$5,$I68:$K68,0)),INDEX(Movements!$G745:$M745,1,MATCH(O$7,Movements!$G$716:$M$716,0))))
*O1015*O$8,0)</f>
        <v>0</v>
      </c>
      <c r="P304" s="198">
        <f>_xlfn.IFNA(IF(P$7="Fixed",1,IF(AND($D103="yes",P$7="Block"),INDEX($O745:$Q745,1,MATCH(P$5,$I68:$K68,0)),INDEX(Movements!$G745:$M745,1,MATCH(P$7,Movements!$G$716:$M$716,0))))
*P1015*P$8,0)</f>
        <v>0</v>
      </c>
      <c r="Q304" s="198">
        <f>_xlfn.IFNA(IF(Q$7="Fixed",1,IF(AND($D103="yes",Q$7="Block"),INDEX($O745:$Q745,1,MATCH(Q$5,$I68:$K68,0)),INDEX(Movements!$G745:$M745,1,MATCH(Q$7,Movements!$G$716:$M$716,0))))
*Q1015*Q$8,0)</f>
        <v>0</v>
      </c>
      <c r="R304" s="198">
        <f>_xlfn.IFNA(IF(R$7="Fixed",1,IF(AND($D103="yes",R$7="Block"),INDEX($O745:$Q745,1,MATCH(R$5,$I68:$K68,0)),INDEX(Movements!$G745:$M745,1,MATCH(R$7,Movements!$G$716:$M$716,0))))
*R1015*R$8,0)</f>
        <v>0</v>
      </c>
      <c r="S304" s="198">
        <f>_xlfn.IFNA(IF(S$7="Fixed",1,IF(AND($D103="yes",S$7="Block"),INDEX($O745:$Q745,1,MATCH(S$5,$I68:$K68,0)),INDEX(Movements!$G745:$M745,1,MATCH(S$7,Movements!$G$716:$M$716,0))))
*S1015*S$8,0)</f>
        <v>0</v>
      </c>
      <c r="T304" s="198">
        <f>_xlfn.IFNA(IF(T$7="Fixed",1,IF(AND($D103="yes",T$7="Block"),INDEX($O745:$Q745,1,MATCH(T$5,$I68:$K68,0)),INDEX(Movements!$G745:$M745,1,MATCH(T$7,Movements!$G$716:$M$716,0))))
*T1015*T$8,0)</f>
        <v>0</v>
      </c>
      <c r="U304" s="198">
        <f>_xlfn.IFNA(IF(U$7="Fixed",1,IF(AND($D103="yes",U$7="Block"),INDEX($O745:$Q745,1,MATCH(U$5,$I68:$K68,0)),INDEX(Movements!$G745:$M745,1,MATCH(U$7,Movements!$G$716:$M$716,0))))
*U1015*U$8,0)</f>
        <v>0</v>
      </c>
      <c r="V304" s="198">
        <f>_xlfn.IFNA(IF(V$7="Fixed",1,IF(AND($D103="yes",V$7="Block"),INDEX($O745:$Q745,1,MATCH(V$5,$I68:$K68,0)),INDEX(Movements!$G745:$M745,1,MATCH(V$7,Movements!$G$716:$M$716,0))))
*V1015*V$8,0)</f>
        <v>0</v>
      </c>
      <c r="W304" s="198">
        <f>_xlfn.IFNA(IF(W$7="Fixed",1,IF(AND($D103="yes",W$7="Block"),INDEX($O745:$Q745,1,MATCH(W$5,$I68:$K68,0)),INDEX(Movements!$G745:$M745,1,MATCH(W$7,Movements!$G$716:$M$716,0))))
*W1015*W$8,0)</f>
        <v>0</v>
      </c>
      <c r="X304" s="198">
        <f>_xlfn.IFNA(IF(X$7="Fixed",1,IF(AND($D103="yes",X$7="Block"),INDEX($O745:$Q745,1,MATCH(X$5,$I68:$K68,0)),INDEX(Movements!$G745:$M745,1,MATCH(X$7,Movements!$G$716:$M$716,0))))
*X1015*X$8,0)</f>
        <v>0</v>
      </c>
      <c r="Y304" s="198">
        <f>_xlfn.IFNA(IF(Y$7="Fixed",1,IF(AND($D103="yes",Y$7="Block"),INDEX($O745:$Q745,1,MATCH(Y$5,$I68:$K68,0)),INDEX(Movements!$G745:$M745,1,MATCH(Y$7,Movements!$G$716:$M$716,0))))
*Y1015*Y$8,0)</f>
        <v>0</v>
      </c>
      <c r="Z304" s="198">
        <f>_xlfn.IFNA(IF(Z$7="Fixed",1,IF(AND($D103="yes",Z$7="Block"),INDEX($O745:$Q745,1,MATCH(Z$5,$I68:$K68,0)),INDEX(Movements!$G745:$M745,1,MATCH(Z$7,Movements!$G$716:$M$716,0))))
*Z1015*Z$8,0)</f>
        <v>0</v>
      </c>
      <c r="AA304" s="198">
        <f>_xlfn.IFNA(IF(AA$7="Fixed",1,IF(AND($D103="yes",AA$7="Block"),INDEX($O745:$Q745,1,MATCH(AA$5,$I68:$K68,0)),INDEX(Movements!$G745:$M745,1,MATCH(AA$7,Movements!$G$716:$M$716,0))))
*AA1015*AA$8,0)</f>
        <v>0</v>
      </c>
      <c r="AB304" s="198">
        <f>_xlfn.IFNA(IF(AB$7="Fixed",1,IF(AND($D103="yes",AB$7="Block"),INDEX($O745:$Q745,1,MATCH(AB$5,$I68:$K68,0)),INDEX(Movements!$G745:$M745,1,MATCH(AB$7,Movements!$G$716:$M$716,0))))
*AB1015*AB$8,0)</f>
        <v>0</v>
      </c>
      <c r="AC304" s="70"/>
      <c r="AD304" s="19"/>
      <c r="AE304" s="19"/>
      <c r="AF304" s="19"/>
      <c r="AG304" s="19"/>
    </row>
    <row r="305" spans="1:33" hidden="1" outlineLevel="3" x14ac:dyDescent="0.2">
      <c r="A305" s="19"/>
      <c r="B305" s="19"/>
      <c r="C305" s="506">
        <f t="shared" si="47"/>
        <v>0</v>
      </c>
      <c r="D305" s="505">
        <f t="shared" si="47"/>
        <v>0</v>
      </c>
      <c r="E305" s="505">
        <f t="shared" si="47"/>
        <v>0</v>
      </c>
      <c r="F305" s="58"/>
      <c r="G305" s="199">
        <f t="shared" si="48"/>
        <v>0</v>
      </c>
      <c r="H305" s="58"/>
      <c r="I305" s="198">
        <f>_xlfn.IFNA(IF(I$7="Fixed",1,IF(AND($D104="yes",I$7="Block"),INDEX($O746:$Q746,1,MATCH(I$5,$I69:$K69,0)),INDEX(Movements!$G746:$M746,1,MATCH(I$7,Movements!$G$716:$M$716,0))))
*I1016*I$8,0)</f>
        <v>0</v>
      </c>
      <c r="J305" s="198">
        <f>_xlfn.IFNA(IF(J$7="Fixed",1,IF(AND($D104="yes",J$7="Block"),INDEX($O746:$Q746,1,MATCH(J$5,$I69:$K69,0)),INDEX(Movements!$G746:$M746,1,MATCH(J$7,Movements!$G$716:$M$716,0))))
*J1016*J$8,0)</f>
        <v>0</v>
      </c>
      <c r="K305" s="198">
        <f>_xlfn.IFNA(IF(K$7="Fixed",1,IF(AND($D104="yes",K$7="Block"),INDEX($O746:$Q746,1,MATCH(K$5,$I69:$K69,0)),INDEX(Movements!$G746:$M746,1,MATCH(K$7,Movements!$G$716:$M$716,0))))
*K1016*K$8,0)</f>
        <v>0</v>
      </c>
      <c r="L305" s="198">
        <f>_xlfn.IFNA(IF(L$7="Fixed",1,IF(AND($D104="yes",L$7="Block"),INDEX($O746:$Q746,1,MATCH(L$5,$I69:$K69,0)),INDEX(Movements!$G746:$M746,1,MATCH(L$7,Movements!$G$716:$M$716,0))))
*L1016*L$8,0)</f>
        <v>0</v>
      </c>
      <c r="M305" s="198">
        <f>_xlfn.IFNA(IF(M$7="Fixed",1,IF(AND($D104="yes",M$7="Block"),INDEX($O746:$Q746,1,MATCH(M$5,$I69:$K69,0)),INDEX(Movements!$G746:$M746,1,MATCH(M$7,Movements!$G$716:$M$716,0))))
*M1016*M$8,0)</f>
        <v>0</v>
      </c>
      <c r="N305" s="198">
        <f>_xlfn.IFNA(IF(N$7="Fixed",1,IF(AND($D104="yes",N$7="Block"),INDEX($O746:$Q746,1,MATCH(N$5,$I69:$K69,0)),INDEX(Movements!$G746:$M746,1,MATCH(N$7,Movements!$G$716:$M$716,0))))
*N1016*N$8,0)</f>
        <v>0</v>
      </c>
      <c r="O305" s="198">
        <f>_xlfn.IFNA(IF(O$7="Fixed",1,IF(AND($D104="yes",O$7="Block"),INDEX($O746:$Q746,1,MATCH(O$5,$I69:$K69,0)),INDEX(Movements!$G746:$M746,1,MATCH(O$7,Movements!$G$716:$M$716,0))))
*O1016*O$8,0)</f>
        <v>0</v>
      </c>
      <c r="P305" s="198">
        <f>_xlfn.IFNA(IF(P$7="Fixed",1,IF(AND($D104="yes",P$7="Block"),INDEX($O746:$Q746,1,MATCH(P$5,$I69:$K69,0)),INDEX(Movements!$G746:$M746,1,MATCH(P$7,Movements!$G$716:$M$716,0))))
*P1016*P$8,0)</f>
        <v>0</v>
      </c>
      <c r="Q305" s="198">
        <f>_xlfn.IFNA(IF(Q$7="Fixed",1,IF(AND($D104="yes",Q$7="Block"),INDEX($O746:$Q746,1,MATCH(Q$5,$I69:$K69,0)),INDEX(Movements!$G746:$M746,1,MATCH(Q$7,Movements!$G$716:$M$716,0))))
*Q1016*Q$8,0)</f>
        <v>0</v>
      </c>
      <c r="R305" s="198">
        <f>_xlfn.IFNA(IF(R$7="Fixed",1,IF(AND($D104="yes",R$7="Block"),INDEX($O746:$Q746,1,MATCH(R$5,$I69:$K69,0)),INDEX(Movements!$G746:$M746,1,MATCH(R$7,Movements!$G$716:$M$716,0))))
*R1016*R$8,0)</f>
        <v>0</v>
      </c>
      <c r="S305" s="198">
        <f>_xlfn.IFNA(IF(S$7="Fixed",1,IF(AND($D104="yes",S$7="Block"),INDEX($O746:$Q746,1,MATCH(S$5,$I69:$K69,0)),INDEX(Movements!$G746:$M746,1,MATCH(S$7,Movements!$G$716:$M$716,0))))
*S1016*S$8,0)</f>
        <v>0</v>
      </c>
      <c r="T305" s="198">
        <f>_xlfn.IFNA(IF(T$7="Fixed",1,IF(AND($D104="yes",T$7="Block"),INDEX($O746:$Q746,1,MATCH(T$5,$I69:$K69,0)),INDEX(Movements!$G746:$M746,1,MATCH(T$7,Movements!$G$716:$M$716,0))))
*T1016*T$8,0)</f>
        <v>0</v>
      </c>
      <c r="U305" s="198">
        <f>_xlfn.IFNA(IF(U$7="Fixed",1,IF(AND($D104="yes",U$7="Block"),INDEX($O746:$Q746,1,MATCH(U$5,$I69:$K69,0)),INDEX(Movements!$G746:$M746,1,MATCH(U$7,Movements!$G$716:$M$716,0))))
*U1016*U$8,0)</f>
        <v>0</v>
      </c>
      <c r="V305" s="198">
        <f>_xlfn.IFNA(IF(V$7="Fixed",1,IF(AND($D104="yes",V$7="Block"),INDEX($O746:$Q746,1,MATCH(V$5,$I69:$K69,0)),INDEX(Movements!$G746:$M746,1,MATCH(V$7,Movements!$G$716:$M$716,0))))
*V1016*V$8,0)</f>
        <v>0</v>
      </c>
      <c r="W305" s="198">
        <f>_xlfn.IFNA(IF(W$7="Fixed",1,IF(AND($D104="yes",W$7="Block"),INDEX($O746:$Q746,1,MATCH(W$5,$I69:$K69,0)),INDEX(Movements!$G746:$M746,1,MATCH(W$7,Movements!$G$716:$M$716,0))))
*W1016*W$8,0)</f>
        <v>0</v>
      </c>
      <c r="X305" s="198">
        <f>_xlfn.IFNA(IF(X$7="Fixed",1,IF(AND($D104="yes",X$7="Block"),INDEX($O746:$Q746,1,MATCH(X$5,$I69:$K69,0)),INDEX(Movements!$G746:$M746,1,MATCH(X$7,Movements!$G$716:$M$716,0))))
*X1016*X$8,0)</f>
        <v>0</v>
      </c>
      <c r="Y305" s="198">
        <f>_xlfn.IFNA(IF(Y$7="Fixed",1,IF(AND($D104="yes",Y$7="Block"),INDEX($O746:$Q746,1,MATCH(Y$5,$I69:$K69,0)),INDEX(Movements!$G746:$M746,1,MATCH(Y$7,Movements!$G$716:$M$716,0))))
*Y1016*Y$8,0)</f>
        <v>0</v>
      </c>
      <c r="Z305" s="198">
        <f>_xlfn.IFNA(IF(Z$7="Fixed",1,IF(AND($D104="yes",Z$7="Block"),INDEX($O746:$Q746,1,MATCH(Z$5,$I69:$K69,0)),INDEX(Movements!$G746:$M746,1,MATCH(Z$7,Movements!$G$716:$M$716,0))))
*Z1016*Z$8,0)</f>
        <v>0</v>
      </c>
      <c r="AA305" s="198">
        <f>_xlfn.IFNA(IF(AA$7="Fixed",1,IF(AND($D104="yes",AA$7="Block"),INDEX($O746:$Q746,1,MATCH(AA$5,$I69:$K69,0)),INDEX(Movements!$G746:$M746,1,MATCH(AA$7,Movements!$G$716:$M$716,0))))
*AA1016*AA$8,0)</f>
        <v>0</v>
      </c>
      <c r="AB305" s="198">
        <f>_xlfn.IFNA(IF(AB$7="Fixed",1,IF(AND($D104="yes",AB$7="Block"),INDEX($O746:$Q746,1,MATCH(AB$5,$I69:$K69,0)),INDEX(Movements!$G746:$M746,1,MATCH(AB$7,Movements!$G$716:$M$716,0))))
*AB1016*AB$8,0)</f>
        <v>0</v>
      </c>
      <c r="AC305" s="70"/>
      <c r="AD305" s="19"/>
      <c r="AE305" s="19"/>
      <c r="AF305" s="19"/>
      <c r="AG305" s="19"/>
    </row>
    <row r="306" spans="1:33" hidden="1" outlineLevel="3" x14ac:dyDescent="0.2">
      <c r="A306" s="19"/>
      <c r="B306" s="19"/>
      <c r="C306" s="506">
        <f t="shared" si="47"/>
        <v>0</v>
      </c>
      <c r="D306" s="505">
        <f t="shared" si="47"/>
        <v>0</v>
      </c>
      <c r="E306" s="505">
        <f t="shared" si="47"/>
        <v>0</v>
      </c>
      <c r="F306" s="58"/>
      <c r="G306" s="199">
        <f t="shared" si="48"/>
        <v>0</v>
      </c>
      <c r="H306" s="58"/>
      <c r="I306" s="198">
        <f>_xlfn.IFNA(IF(I$7="Fixed",1,IF(AND($D105="yes",I$7="Block"),INDEX($O747:$Q747,1,MATCH(I$5,$I70:$K70,0)),INDEX(Movements!$G747:$M747,1,MATCH(I$7,Movements!$G$716:$M$716,0))))
*I1017*I$8,0)</f>
        <v>0</v>
      </c>
      <c r="J306" s="198">
        <f>_xlfn.IFNA(IF(J$7="Fixed",1,IF(AND($D105="yes",J$7="Block"),INDEX($O747:$Q747,1,MATCH(J$5,$I70:$K70,0)),INDEX(Movements!$G747:$M747,1,MATCH(J$7,Movements!$G$716:$M$716,0))))
*J1017*J$8,0)</f>
        <v>0</v>
      </c>
      <c r="K306" s="198">
        <f>_xlfn.IFNA(IF(K$7="Fixed",1,IF(AND($D105="yes",K$7="Block"),INDEX($O747:$Q747,1,MATCH(K$5,$I70:$K70,0)),INDEX(Movements!$G747:$M747,1,MATCH(K$7,Movements!$G$716:$M$716,0))))
*K1017*K$8,0)</f>
        <v>0</v>
      </c>
      <c r="L306" s="198">
        <f>_xlfn.IFNA(IF(L$7="Fixed",1,IF(AND($D105="yes",L$7="Block"),INDEX($O747:$Q747,1,MATCH(L$5,$I70:$K70,0)),INDEX(Movements!$G747:$M747,1,MATCH(L$7,Movements!$G$716:$M$716,0))))
*L1017*L$8,0)</f>
        <v>0</v>
      </c>
      <c r="M306" s="198">
        <f>_xlfn.IFNA(IF(M$7="Fixed",1,IF(AND($D105="yes",M$7="Block"),INDEX($O747:$Q747,1,MATCH(M$5,$I70:$K70,0)),INDEX(Movements!$G747:$M747,1,MATCH(M$7,Movements!$G$716:$M$716,0))))
*M1017*M$8,0)</f>
        <v>0</v>
      </c>
      <c r="N306" s="198">
        <f>_xlfn.IFNA(IF(N$7="Fixed",1,IF(AND($D105="yes",N$7="Block"),INDEX($O747:$Q747,1,MATCH(N$5,$I70:$K70,0)),INDEX(Movements!$G747:$M747,1,MATCH(N$7,Movements!$G$716:$M$716,0))))
*N1017*N$8,0)</f>
        <v>0</v>
      </c>
      <c r="O306" s="198">
        <f>_xlfn.IFNA(IF(O$7="Fixed",1,IF(AND($D105="yes",O$7="Block"),INDEX($O747:$Q747,1,MATCH(O$5,$I70:$K70,0)),INDEX(Movements!$G747:$M747,1,MATCH(O$7,Movements!$G$716:$M$716,0))))
*O1017*O$8,0)</f>
        <v>0</v>
      </c>
      <c r="P306" s="198">
        <f>_xlfn.IFNA(IF(P$7="Fixed",1,IF(AND($D105="yes",P$7="Block"),INDEX($O747:$Q747,1,MATCH(P$5,$I70:$K70,0)),INDEX(Movements!$G747:$M747,1,MATCH(P$7,Movements!$G$716:$M$716,0))))
*P1017*P$8,0)</f>
        <v>0</v>
      </c>
      <c r="Q306" s="198">
        <f>_xlfn.IFNA(IF(Q$7="Fixed",1,IF(AND($D105="yes",Q$7="Block"),INDEX($O747:$Q747,1,MATCH(Q$5,$I70:$K70,0)),INDEX(Movements!$G747:$M747,1,MATCH(Q$7,Movements!$G$716:$M$716,0))))
*Q1017*Q$8,0)</f>
        <v>0</v>
      </c>
      <c r="R306" s="198">
        <f>_xlfn.IFNA(IF(R$7="Fixed",1,IF(AND($D105="yes",R$7="Block"),INDEX($O747:$Q747,1,MATCH(R$5,$I70:$K70,0)),INDEX(Movements!$G747:$M747,1,MATCH(R$7,Movements!$G$716:$M$716,0))))
*R1017*R$8,0)</f>
        <v>0</v>
      </c>
      <c r="S306" s="198">
        <f>_xlfn.IFNA(IF(S$7="Fixed",1,IF(AND($D105="yes",S$7="Block"),INDEX($O747:$Q747,1,MATCH(S$5,$I70:$K70,0)),INDEX(Movements!$G747:$M747,1,MATCH(S$7,Movements!$G$716:$M$716,0))))
*S1017*S$8,0)</f>
        <v>0</v>
      </c>
      <c r="T306" s="198">
        <f>_xlfn.IFNA(IF(T$7="Fixed",1,IF(AND($D105="yes",T$7="Block"),INDEX($O747:$Q747,1,MATCH(T$5,$I70:$K70,0)),INDEX(Movements!$G747:$M747,1,MATCH(T$7,Movements!$G$716:$M$716,0))))
*T1017*T$8,0)</f>
        <v>0</v>
      </c>
      <c r="U306" s="198">
        <f>_xlfn.IFNA(IF(U$7="Fixed",1,IF(AND($D105="yes",U$7="Block"),INDEX($O747:$Q747,1,MATCH(U$5,$I70:$K70,0)),INDEX(Movements!$G747:$M747,1,MATCH(U$7,Movements!$G$716:$M$716,0))))
*U1017*U$8,0)</f>
        <v>0</v>
      </c>
      <c r="V306" s="198">
        <f>_xlfn.IFNA(IF(V$7="Fixed",1,IF(AND($D105="yes",V$7="Block"),INDEX($O747:$Q747,1,MATCH(V$5,$I70:$K70,0)),INDEX(Movements!$G747:$M747,1,MATCH(V$7,Movements!$G$716:$M$716,0))))
*V1017*V$8,0)</f>
        <v>0</v>
      </c>
      <c r="W306" s="198">
        <f>_xlfn.IFNA(IF(W$7="Fixed",1,IF(AND($D105="yes",W$7="Block"),INDEX($O747:$Q747,1,MATCH(W$5,$I70:$K70,0)),INDEX(Movements!$G747:$M747,1,MATCH(W$7,Movements!$G$716:$M$716,0))))
*W1017*W$8,0)</f>
        <v>0</v>
      </c>
      <c r="X306" s="198">
        <f>_xlfn.IFNA(IF(X$7="Fixed",1,IF(AND($D105="yes",X$7="Block"),INDEX($O747:$Q747,1,MATCH(X$5,$I70:$K70,0)),INDEX(Movements!$G747:$M747,1,MATCH(X$7,Movements!$G$716:$M$716,0))))
*X1017*X$8,0)</f>
        <v>0</v>
      </c>
      <c r="Y306" s="198">
        <f>_xlfn.IFNA(IF(Y$7="Fixed",1,IF(AND($D105="yes",Y$7="Block"),INDEX($O747:$Q747,1,MATCH(Y$5,$I70:$K70,0)),INDEX(Movements!$G747:$M747,1,MATCH(Y$7,Movements!$G$716:$M$716,0))))
*Y1017*Y$8,0)</f>
        <v>0</v>
      </c>
      <c r="Z306" s="198">
        <f>_xlfn.IFNA(IF(Z$7="Fixed",1,IF(AND($D105="yes",Z$7="Block"),INDEX($O747:$Q747,1,MATCH(Z$5,$I70:$K70,0)),INDEX(Movements!$G747:$M747,1,MATCH(Z$7,Movements!$G$716:$M$716,0))))
*Z1017*Z$8,0)</f>
        <v>0</v>
      </c>
      <c r="AA306" s="198">
        <f>_xlfn.IFNA(IF(AA$7="Fixed",1,IF(AND($D105="yes",AA$7="Block"),INDEX($O747:$Q747,1,MATCH(AA$5,$I70:$K70,0)),INDEX(Movements!$G747:$M747,1,MATCH(AA$7,Movements!$G$716:$M$716,0))))
*AA1017*AA$8,0)</f>
        <v>0</v>
      </c>
      <c r="AB306" s="198">
        <f>_xlfn.IFNA(IF(AB$7="Fixed",1,IF(AND($D105="yes",AB$7="Block"),INDEX($O747:$Q747,1,MATCH(AB$5,$I70:$K70,0)),INDEX(Movements!$G747:$M747,1,MATCH(AB$7,Movements!$G$716:$M$716,0))))
*AB1017*AB$8,0)</f>
        <v>0</v>
      </c>
      <c r="AC306" s="70"/>
      <c r="AD306" s="19"/>
      <c r="AE306" s="19"/>
      <c r="AF306" s="19"/>
      <c r="AG306" s="19"/>
    </row>
    <row r="307" spans="1:33" hidden="1" outlineLevel="3" x14ac:dyDescent="0.2">
      <c r="A307" s="19"/>
      <c r="B307" s="19"/>
      <c r="C307" s="506">
        <f t="shared" si="47"/>
        <v>0</v>
      </c>
      <c r="D307" s="505">
        <f t="shared" si="47"/>
        <v>0</v>
      </c>
      <c r="E307" s="505">
        <f t="shared" si="47"/>
        <v>0</v>
      </c>
      <c r="F307" s="58"/>
      <c r="G307" s="199">
        <f t="shared" si="48"/>
        <v>0</v>
      </c>
      <c r="H307" s="58"/>
      <c r="I307" s="198">
        <f>_xlfn.IFNA(IF(I$7="Fixed",1,IF(AND($D106="yes",I$7="Block"),INDEX($O748:$Q748,1,MATCH(I$5,$I71:$K71,0)),INDEX(Movements!$G748:$M748,1,MATCH(I$7,Movements!$G$716:$M$716,0))))
*I1018*I$8,0)</f>
        <v>0</v>
      </c>
      <c r="J307" s="198">
        <f>_xlfn.IFNA(IF(J$7="Fixed",1,IF(AND($D106="yes",J$7="Block"),INDEX($O748:$Q748,1,MATCH(J$5,$I71:$K71,0)),INDEX(Movements!$G748:$M748,1,MATCH(J$7,Movements!$G$716:$M$716,0))))
*J1018*J$8,0)</f>
        <v>0</v>
      </c>
      <c r="K307" s="198">
        <f>_xlfn.IFNA(IF(K$7="Fixed",1,IF(AND($D106="yes",K$7="Block"),INDEX($O748:$Q748,1,MATCH(K$5,$I71:$K71,0)),INDEX(Movements!$G748:$M748,1,MATCH(K$7,Movements!$G$716:$M$716,0))))
*K1018*K$8,0)</f>
        <v>0</v>
      </c>
      <c r="L307" s="198">
        <f>_xlfn.IFNA(IF(L$7="Fixed",1,IF(AND($D106="yes",L$7="Block"),INDEX($O748:$Q748,1,MATCH(L$5,$I71:$K71,0)),INDEX(Movements!$G748:$M748,1,MATCH(L$7,Movements!$G$716:$M$716,0))))
*L1018*L$8,0)</f>
        <v>0</v>
      </c>
      <c r="M307" s="198">
        <f>_xlfn.IFNA(IF(M$7="Fixed",1,IF(AND($D106="yes",M$7="Block"),INDEX($O748:$Q748,1,MATCH(M$5,$I71:$K71,0)),INDEX(Movements!$G748:$M748,1,MATCH(M$7,Movements!$G$716:$M$716,0))))
*M1018*M$8,0)</f>
        <v>0</v>
      </c>
      <c r="N307" s="198">
        <f>_xlfn.IFNA(IF(N$7="Fixed",1,IF(AND($D106="yes",N$7="Block"),INDEX($O748:$Q748,1,MATCH(N$5,$I71:$K71,0)),INDEX(Movements!$G748:$M748,1,MATCH(N$7,Movements!$G$716:$M$716,0))))
*N1018*N$8,0)</f>
        <v>0</v>
      </c>
      <c r="O307" s="198">
        <f>_xlfn.IFNA(IF(O$7="Fixed",1,IF(AND($D106="yes",O$7="Block"),INDEX($O748:$Q748,1,MATCH(O$5,$I71:$K71,0)),INDEX(Movements!$G748:$M748,1,MATCH(O$7,Movements!$G$716:$M$716,0))))
*O1018*O$8,0)</f>
        <v>0</v>
      </c>
      <c r="P307" s="198">
        <f>_xlfn.IFNA(IF(P$7="Fixed",1,IF(AND($D106="yes",P$7="Block"),INDEX($O748:$Q748,1,MATCH(P$5,$I71:$K71,0)),INDEX(Movements!$G748:$M748,1,MATCH(P$7,Movements!$G$716:$M$716,0))))
*P1018*P$8,0)</f>
        <v>0</v>
      </c>
      <c r="Q307" s="198">
        <f>_xlfn.IFNA(IF(Q$7="Fixed",1,IF(AND($D106="yes",Q$7="Block"),INDEX($O748:$Q748,1,MATCH(Q$5,$I71:$K71,0)),INDEX(Movements!$G748:$M748,1,MATCH(Q$7,Movements!$G$716:$M$716,0))))
*Q1018*Q$8,0)</f>
        <v>0</v>
      </c>
      <c r="R307" s="198">
        <f>_xlfn.IFNA(IF(R$7="Fixed",1,IF(AND($D106="yes",R$7="Block"),INDEX($O748:$Q748,1,MATCH(R$5,$I71:$K71,0)),INDEX(Movements!$G748:$M748,1,MATCH(R$7,Movements!$G$716:$M$716,0))))
*R1018*R$8,0)</f>
        <v>0</v>
      </c>
      <c r="S307" s="198">
        <f>_xlfn.IFNA(IF(S$7="Fixed",1,IF(AND($D106="yes",S$7="Block"),INDEX($O748:$Q748,1,MATCH(S$5,$I71:$K71,0)),INDEX(Movements!$G748:$M748,1,MATCH(S$7,Movements!$G$716:$M$716,0))))
*S1018*S$8,0)</f>
        <v>0</v>
      </c>
      <c r="T307" s="198">
        <f>_xlfn.IFNA(IF(T$7="Fixed",1,IF(AND($D106="yes",T$7="Block"),INDEX($O748:$Q748,1,MATCH(T$5,$I71:$K71,0)),INDEX(Movements!$G748:$M748,1,MATCH(T$7,Movements!$G$716:$M$716,0))))
*T1018*T$8,0)</f>
        <v>0</v>
      </c>
      <c r="U307" s="198">
        <f>_xlfn.IFNA(IF(U$7="Fixed",1,IF(AND($D106="yes",U$7="Block"),INDEX($O748:$Q748,1,MATCH(U$5,$I71:$K71,0)),INDEX(Movements!$G748:$M748,1,MATCH(U$7,Movements!$G$716:$M$716,0))))
*U1018*U$8,0)</f>
        <v>0</v>
      </c>
      <c r="V307" s="198">
        <f>_xlfn.IFNA(IF(V$7="Fixed",1,IF(AND($D106="yes",V$7="Block"),INDEX($O748:$Q748,1,MATCH(V$5,$I71:$K71,0)),INDEX(Movements!$G748:$M748,1,MATCH(V$7,Movements!$G$716:$M$716,0))))
*V1018*V$8,0)</f>
        <v>0</v>
      </c>
      <c r="W307" s="198">
        <f>_xlfn.IFNA(IF(W$7="Fixed",1,IF(AND($D106="yes",W$7="Block"),INDEX($O748:$Q748,1,MATCH(W$5,$I71:$K71,0)),INDEX(Movements!$G748:$M748,1,MATCH(W$7,Movements!$G$716:$M$716,0))))
*W1018*W$8,0)</f>
        <v>0</v>
      </c>
      <c r="X307" s="198">
        <f>_xlfn.IFNA(IF(X$7="Fixed",1,IF(AND($D106="yes",X$7="Block"),INDEX($O748:$Q748,1,MATCH(X$5,$I71:$K71,0)),INDEX(Movements!$G748:$M748,1,MATCH(X$7,Movements!$G$716:$M$716,0))))
*X1018*X$8,0)</f>
        <v>0</v>
      </c>
      <c r="Y307" s="198">
        <f>_xlfn.IFNA(IF(Y$7="Fixed",1,IF(AND($D106="yes",Y$7="Block"),INDEX($O748:$Q748,1,MATCH(Y$5,$I71:$K71,0)),INDEX(Movements!$G748:$M748,1,MATCH(Y$7,Movements!$G$716:$M$716,0))))
*Y1018*Y$8,0)</f>
        <v>0</v>
      </c>
      <c r="Z307" s="198">
        <f>_xlfn.IFNA(IF(Z$7="Fixed",1,IF(AND($D106="yes",Z$7="Block"),INDEX($O748:$Q748,1,MATCH(Z$5,$I71:$K71,0)),INDEX(Movements!$G748:$M748,1,MATCH(Z$7,Movements!$G$716:$M$716,0))))
*Z1018*Z$8,0)</f>
        <v>0</v>
      </c>
      <c r="AA307" s="198">
        <f>_xlfn.IFNA(IF(AA$7="Fixed",1,IF(AND($D106="yes",AA$7="Block"),INDEX($O748:$Q748,1,MATCH(AA$5,$I71:$K71,0)),INDEX(Movements!$G748:$M748,1,MATCH(AA$7,Movements!$G$716:$M$716,0))))
*AA1018*AA$8,0)</f>
        <v>0</v>
      </c>
      <c r="AB307" s="198">
        <f>_xlfn.IFNA(IF(AB$7="Fixed",1,IF(AND($D106="yes",AB$7="Block"),INDEX($O748:$Q748,1,MATCH(AB$5,$I71:$K71,0)),INDEX(Movements!$G748:$M748,1,MATCH(AB$7,Movements!$G$716:$M$716,0))))
*AB1018*AB$8,0)</f>
        <v>0</v>
      </c>
      <c r="AC307" s="70"/>
      <c r="AD307" s="19"/>
      <c r="AE307" s="19"/>
      <c r="AF307" s="19"/>
      <c r="AG307" s="19"/>
    </row>
    <row r="308" spans="1:33" hidden="1" outlineLevel="2" collapsed="1" x14ac:dyDescent="0.2">
      <c r="A308" s="19"/>
      <c r="B308" s="19"/>
      <c r="C308" s="538"/>
      <c r="D308" s="217"/>
      <c r="E308" s="536"/>
      <c r="F308" s="58"/>
      <c r="G308" s="58"/>
      <c r="H308" s="58"/>
      <c r="I308" s="137"/>
      <c r="J308" s="137"/>
      <c r="K308" s="138"/>
      <c r="L308" s="138"/>
      <c r="M308" s="138"/>
      <c r="N308" s="139"/>
      <c r="O308" s="139"/>
      <c r="P308" s="139"/>
      <c r="Q308" s="139"/>
      <c r="R308" s="139"/>
      <c r="S308" s="138"/>
      <c r="T308" s="138"/>
      <c r="U308" s="138"/>
      <c r="V308" s="70"/>
      <c r="W308" s="70"/>
      <c r="X308" s="70"/>
      <c r="Y308" s="70"/>
      <c r="Z308" s="70"/>
      <c r="AA308" s="70"/>
      <c r="AB308" s="70"/>
      <c r="AC308" s="70"/>
      <c r="AD308" s="19"/>
      <c r="AE308" s="19"/>
      <c r="AF308" s="19"/>
      <c r="AG308" s="19"/>
    </row>
    <row r="309" spans="1:33" outlineLevel="1" collapsed="1" x14ac:dyDescent="0.2">
      <c r="A309" s="19"/>
      <c r="B309" s="19"/>
      <c r="C309" s="217"/>
      <c r="D309" s="217"/>
      <c r="E309" s="58"/>
      <c r="F309" s="58"/>
      <c r="G309" s="58"/>
      <c r="H309" s="58"/>
      <c r="I309" s="71"/>
      <c r="J309" s="71"/>
      <c r="K309" s="70"/>
      <c r="L309" s="70"/>
      <c r="M309" s="70"/>
      <c r="N309" s="72"/>
      <c r="O309" s="72"/>
      <c r="P309" s="72"/>
      <c r="Q309" s="72"/>
      <c r="R309" s="72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19"/>
      <c r="AE309" s="19"/>
      <c r="AF309" s="19"/>
      <c r="AG309" s="19"/>
    </row>
    <row r="310" spans="1:33" outlineLevel="1" x14ac:dyDescent="0.2">
      <c r="A310" s="19"/>
      <c r="B310" s="19"/>
      <c r="C310" s="167" t="str">
        <f>C175</f>
        <v>Total</v>
      </c>
      <c r="D310" s="167"/>
      <c r="E310" s="20"/>
      <c r="F310" s="20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19"/>
      <c r="AD310" s="19"/>
      <c r="AE310" s="19"/>
      <c r="AF310" s="19"/>
      <c r="AG310" s="19"/>
    </row>
    <row r="311" spans="1:33" outlineLevel="2" x14ac:dyDescent="0.2">
      <c r="A311" s="19"/>
      <c r="B311" s="97">
        <v>1</v>
      </c>
      <c r="C311" s="506" t="str">
        <f t="shared" ref="C311:E340" si="49">C212</f>
        <v>Small business time of use consumption</v>
      </c>
      <c r="D311" s="505">
        <f t="shared" si="49"/>
        <v>0</v>
      </c>
      <c r="E311" s="505" t="str">
        <f t="shared" si="49"/>
        <v>yes</v>
      </c>
      <c r="F311" s="20"/>
      <c r="G311" s="199">
        <f t="shared" ref="G311:G340" si="50">SUM(I311:AB311)</f>
        <v>4360.5319679877339</v>
      </c>
      <c r="H311" s="22"/>
      <c r="I311" s="198">
        <f>SUM(I212,I245,I278)</f>
        <v>259.06239999999997</v>
      </c>
      <c r="J311" s="198">
        <f t="shared" ref="J311:AB311" si="51">SUM(J212,J245,J278)</f>
        <v>0</v>
      </c>
      <c r="K311" s="198">
        <f t="shared" si="51"/>
        <v>3349.1468682194495</v>
      </c>
      <c r="L311" s="198">
        <f t="shared" si="51"/>
        <v>504.25998986540566</v>
      </c>
      <c r="M311" s="198">
        <f t="shared" si="51"/>
        <v>248.06270990287931</v>
      </c>
      <c r="N311" s="198">
        <f t="shared" si="51"/>
        <v>0</v>
      </c>
      <c r="O311" s="198">
        <f t="shared" si="51"/>
        <v>0</v>
      </c>
      <c r="P311" s="198">
        <f t="shared" si="51"/>
        <v>0</v>
      </c>
      <c r="Q311" s="198">
        <f t="shared" si="51"/>
        <v>0</v>
      </c>
      <c r="R311" s="198">
        <f t="shared" si="51"/>
        <v>0</v>
      </c>
      <c r="S311" s="198">
        <f t="shared" si="51"/>
        <v>0</v>
      </c>
      <c r="T311" s="198">
        <f t="shared" si="51"/>
        <v>0</v>
      </c>
      <c r="U311" s="198">
        <f t="shared" si="51"/>
        <v>0</v>
      </c>
      <c r="V311" s="198">
        <f t="shared" si="51"/>
        <v>0</v>
      </c>
      <c r="W311" s="198">
        <f t="shared" si="51"/>
        <v>0</v>
      </c>
      <c r="X311" s="198">
        <f t="shared" si="51"/>
        <v>0</v>
      </c>
      <c r="Y311" s="198">
        <f t="shared" si="51"/>
        <v>0</v>
      </c>
      <c r="Z311" s="198">
        <f t="shared" si="51"/>
        <v>0</v>
      </c>
      <c r="AA311" s="198">
        <f t="shared" si="51"/>
        <v>0</v>
      </c>
      <c r="AB311" s="198">
        <f t="shared" si="51"/>
        <v>0</v>
      </c>
      <c r="AC311" s="70"/>
      <c r="AD311" s="19"/>
      <c r="AE311" s="19"/>
      <c r="AF311" s="19"/>
      <c r="AG311" s="19"/>
    </row>
    <row r="312" spans="1:33" s="59" customFormat="1" outlineLevel="2" x14ac:dyDescent="0.2">
      <c r="A312" s="57"/>
      <c r="B312" s="98">
        <v>2</v>
      </c>
      <c r="C312" s="506" t="str">
        <f t="shared" si="49"/>
        <v>Small business general light and power</v>
      </c>
      <c r="D312" s="505">
        <f t="shared" si="49"/>
        <v>0</v>
      </c>
      <c r="E312" s="505" t="str">
        <f t="shared" si="49"/>
        <v>no</v>
      </c>
      <c r="F312" s="58"/>
      <c r="G312" s="199">
        <f t="shared" si="50"/>
        <v>1018.3236890162773</v>
      </c>
      <c r="H312" s="58"/>
      <c r="I312" s="198">
        <f t="shared" ref="I312:AB312" si="52">SUM(I213,I246,I279)</f>
        <v>196.95400000000001</v>
      </c>
      <c r="J312" s="198">
        <f t="shared" si="52"/>
        <v>821.36968901627733</v>
      </c>
      <c r="K312" s="198">
        <f t="shared" si="52"/>
        <v>0</v>
      </c>
      <c r="L312" s="198">
        <f t="shared" si="52"/>
        <v>0</v>
      </c>
      <c r="M312" s="198">
        <f t="shared" si="52"/>
        <v>0</v>
      </c>
      <c r="N312" s="198">
        <f t="shared" si="52"/>
        <v>0</v>
      </c>
      <c r="O312" s="198">
        <f t="shared" si="52"/>
        <v>0</v>
      </c>
      <c r="P312" s="198">
        <f t="shared" si="52"/>
        <v>0</v>
      </c>
      <c r="Q312" s="198">
        <f t="shared" si="52"/>
        <v>0</v>
      </c>
      <c r="R312" s="198">
        <f t="shared" si="52"/>
        <v>0</v>
      </c>
      <c r="S312" s="198">
        <f t="shared" si="52"/>
        <v>0</v>
      </c>
      <c r="T312" s="198">
        <f t="shared" si="52"/>
        <v>0</v>
      </c>
      <c r="U312" s="198">
        <f t="shared" si="52"/>
        <v>0</v>
      </c>
      <c r="V312" s="198">
        <f t="shared" si="52"/>
        <v>0</v>
      </c>
      <c r="W312" s="198">
        <f t="shared" si="52"/>
        <v>0</v>
      </c>
      <c r="X312" s="198">
        <f t="shared" si="52"/>
        <v>0</v>
      </c>
      <c r="Y312" s="198">
        <f t="shared" si="52"/>
        <v>0</v>
      </c>
      <c r="Z312" s="198">
        <f t="shared" si="52"/>
        <v>0</v>
      </c>
      <c r="AA312" s="198">
        <f t="shared" si="52"/>
        <v>0</v>
      </c>
      <c r="AB312" s="198">
        <f t="shared" si="52"/>
        <v>0</v>
      </c>
      <c r="AC312" s="70"/>
      <c r="AD312" s="57"/>
      <c r="AE312" s="57"/>
      <c r="AF312" s="57"/>
      <c r="AG312" s="57"/>
    </row>
    <row r="313" spans="1:33" outlineLevel="2" x14ac:dyDescent="0.2">
      <c r="A313" s="19"/>
      <c r="B313" s="97">
        <v>3</v>
      </c>
      <c r="C313" s="506">
        <f t="shared" si="49"/>
        <v>0</v>
      </c>
      <c r="D313" s="505">
        <f t="shared" si="49"/>
        <v>0</v>
      </c>
      <c r="E313" s="505">
        <f t="shared" si="49"/>
        <v>0</v>
      </c>
      <c r="F313" s="58"/>
      <c r="G313" s="199">
        <f t="shared" si="50"/>
        <v>0</v>
      </c>
      <c r="H313" s="58"/>
      <c r="I313" s="198">
        <f t="shared" ref="I313:AB313" si="53">SUM(I214,I247,I280)</f>
        <v>0</v>
      </c>
      <c r="J313" s="198">
        <f t="shared" si="53"/>
        <v>0</v>
      </c>
      <c r="K313" s="198">
        <f t="shared" si="53"/>
        <v>0</v>
      </c>
      <c r="L313" s="198">
        <f t="shared" si="53"/>
        <v>0</v>
      </c>
      <c r="M313" s="198">
        <f t="shared" si="53"/>
        <v>0</v>
      </c>
      <c r="N313" s="198">
        <f t="shared" si="53"/>
        <v>0</v>
      </c>
      <c r="O313" s="198">
        <f t="shared" si="53"/>
        <v>0</v>
      </c>
      <c r="P313" s="198">
        <f t="shared" si="53"/>
        <v>0</v>
      </c>
      <c r="Q313" s="198">
        <f t="shared" si="53"/>
        <v>0</v>
      </c>
      <c r="R313" s="198">
        <f t="shared" si="53"/>
        <v>0</v>
      </c>
      <c r="S313" s="198">
        <f t="shared" si="53"/>
        <v>0</v>
      </c>
      <c r="T313" s="198">
        <f t="shared" si="53"/>
        <v>0</v>
      </c>
      <c r="U313" s="198">
        <f t="shared" si="53"/>
        <v>0</v>
      </c>
      <c r="V313" s="198">
        <f t="shared" si="53"/>
        <v>0</v>
      </c>
      <c r="W313" s="198">
        <f t="shared" si="53"/>
        <v>0</v>
      </c>
      <c r="X313" s="198">
        <f t="shared" si="53"/>
        <v>0</v>
      </c>
      <c r="Y313" s="198">
        <f t="shared" si="53"/>
        <v>0</v>
      </c>
      <c r="Z313" s="198">
        <f t="shared" si="53"/>
        <v>0</v>
      </c>
      <c r="AA313" s="198">
        <f t="shared" si="53"/>
        <v>0</v>
      </c>
      <c r="AB313" s="198">
        <f t="shared" si="53"/>
        <v>0</v>
      </c>
      <c r="AC313" s="70"/>
      <c r="AD313" s="19"/>
      <c r="AE313" s="19"/>
      <c r="AF313" s="19"/>
      <c r="AG313" s="19"/>
    </row>
    <row r="314" spans="1:33" hidden="1" outlineLevel="3" x14ac:dyDescent="0.2">
      <c r="A314" s="19"/>
      <c r="B314" s="97">
        <v>4</v>
      </c>
      <c r="C314" s="506">
        <f t="shared" si="49"/>
        <v>0</v>
      </c>
      <c r="D314" s="505">
        <f t="shared" si="49"/>
        <v>0</v>
      </c>
      <c r="E314" s="505">
        <f t="shared" si="49"/>
        <v>0</v>
      </c>
      <c r="F314" s="58"/>
      <c r="G314" s="199">
        <f t="shared" si="50"/>
        <v>0</v>
      </c>
      <c r="H314" s="58"/>
      <c r="I314" s="198">
        <f t="shared" ref="I314:AB314" si="54">SUM(I215,I248,I281)</f>
        <v>0</v>
      </c>
      <c r="J314" s="198">
        <f t="shared" si="54"/>
        <v>0</v>
      </c>
      <c r="K314" s="198">
        <f t="shared" si="54"/>
        <v>0</v>
      </c>
      <c r="L314" s="198">
        <f t="shared" si="54"/>
        <v>0</v>
      </c>
      <c r="M314" s="198">
        <f t="shared" si="54"/>
        <v>0</v>
      </c>
      <c r="N314" s="198">
        <f t="shared" si="54"/>
        <v>0</v>
      </c>
      <c r="O314" s="198">
        <f t="shared" si="54"/>
        <v>0</v>
      </c>
      <c r="P314" s="198">
        <f t="shared" si="54"/>
        <v>0</v>
      </c>
      <c r="Q314" s="198">
        <f t="shared" si="54"/>
        <v>0</v>
      </c>
      <c r="R314" s="198">
        <f t="shared" si="54"/>
        <v>0</v>
      </c>
      <c r="S314" s="198">
        <f t="shared" si="54"/>
        <v>0</v>
      </c>
      <c r="T314" s="198">
        <f t="shared" si="54"/>
        <v>0</v>
      </c>
      <c r="U314" s="198">
        <f t="shared" si="54"/>
        <v>0</v>
      </c>
      <c r="V314" s="198">
        <f t="shared" si="54"/>
        <v>0</v>
      </c>
      <c r="W314" s="198">
        <f t="shared" si="54"/>
        <v>0</v>
      </c>
      <c r="X314" s="198">
        <f t="shared" si="54"/>
        <v>0</v>
      </c>
      <c r="Y314" s="198">
        <f t="shared" si="54"/>
        <v>0</v>
      </c>
      <c r="Z314" s="198">
        <f t="shared" si="54"/>
        <v>0</v>
      </c>
      <c r="AA314" s="198">
        <f t="shared" si="54"/>
        <v>0</v>
      </c>
      <c r="AB314" s="198">
        <f t="shared" si="54"/>
        <v>0</v>
      </c>
      <c r="AC314" s="70"/>
      <c r="AD314" s="19"/>
      <c r="AE314" s="19"/>
      <c r="AF314" s="19"/>
      <c r="AG314" s="19"/>
    </row>
    <row r="315" spans="1:33" hidden="1" outlineLevel="3" x14ac:dyDescent="0.2">
      <c r="A315" s="19"/>
      <c r="B315" s="97">
        <v>5</v>
      </c>
      <c r="C315" s="506">
        <f t="shared" si="49"/>
        <v>0</v>
      </c>
      <c r="D315" s="505">
        <f t="shared" si="49"/>
        <v>0</v>
      </c>
      <c r="E315" s="505">
        <f t="shared" si="49"/>
        <v>0</v>
      </c>
      <c r="F315" s="58"/>
      <c r="G315" s="199">
        <f t="shared" si="50"/>
        <v>0</v>
      </c>
      <c r="H315" s="58"/>
      <c r="I315" s="198">
        <f t="shared" ref="I315:AB315" si="55">SUM(I216,I249,I282)</f>
        <v>0</v>
      </c>
      <c r="J315" s="198">
        <f t="shared" si="55"/>
        <v>0</v>
      </c>
      <c r="K315" s="198">
        <f t="shared" si="55"/>
        <v>0</v>
      </c>
      <c r="L315" s="198">
        <f t="shared" si="55"/>
        <v>0</v>
      </c>
      <c r="M315" s="198">
        <f t="shared" si="55"/>
        <v>0</v>
      </c>
      <c r="N315" s="198">
        <f t="shared" si="55"/>
        <v>0</v>
      </c>
      <c r="O315" s="198">
        <f t="shared" si="55"/>
        <v>0</v>
      </c>
      <c r="P315" s="198">
        <f t="shared" si="55"/>
        <v>0</v>
      </c>
      <c r="Q315" s="198">
        <f t="shared" si="55"/>
        <v>0</v>
      </c>
      <c r="R315" s="198">
        <f t="shared" si="55"/>
        <v>0</v>
      </c>
      <c r="S315" s="198">
        <f t="shared" si="55"/>
        <v>0</v>
      </c>
      <c r="T315" s="198">
        <f t="shared" si="55"/>
        <v>0</v>
      </c>
      <c r="U315" s="198">
        <f t="shared" si="55"/>
        <v>0</v>
      </c>
      <c r="V315" s="198">
        <f t="shared" si="55"/>
        <v>0</v>
      </c>
      <c r="W315" s="198">
        <f t="shared" si="55"/>
        <v>0</v>
      </c>
      <c r="X315" s="198">
        <f t="shared" si="55"/>
        <v>0</v>
      </c>
      <c r="Y315" s="198">
        <f t="shared" si="55"/>
        <v>0</v>
      </c>
      <c r="Z315" s="198">
        <f t="shared" si="55"/>
        <v>0</v>
      </c>
      <c r="AA315" s="198">
        <f t="shared" si="55"/>
        <v>0</v>
      </c>
      <c r="AB315" s="198">
        <f t="shared" si="55"/>
        <v>0</v>
      </c>
      <c r="AC315" s="70"/>
      <c r="AD315" s="19"/>
      <c r="AE315" s="19"/>
      <c r="AF315" s="19"/>
      <c r="AG315" s="19"/>
    </row>
    <row r="316" spans="1:33" hidden="1" outlineLevel="3" x14ac:dyDescent="0.2">
      <c r="A316" s="19"/>
      <c r="B316" s="97">
        <v>6</v>
      </c>
      <c r="C316" s="506">
        <f t="shared" si="49"/>
        <v>0</v>
      </c>
      <c r="D316" s="505">
        <f t="shared" si="49"/>
        <v>0</v>
      </c>
      <c r="E316" s="505">
        <f t="shared" si="49"/>
        <v>0</v>
      </c>
      <c r="F316" s="58"/>
      <c r="G316" s="199">
        <f t="shared" si="50"/>
        <v>0</v>
      </c>
      <c r="H316" s="58"/>
      <c r="I316" s="198">
        <f t="shared" ref="I316:AB316" si="56">SUM(I217,I250,I283)</f>
        <v>0</v>
      </c>
      <c r="J316" s="198">
        <f t="shared" si="56"/>
        <v>0</v>
      </c>
      <c r="K316" s="198">
        <f t="shared" si="56"/>
        <v>0</v>
      </c>
      <c r="L316" s="198">
        <f t="shared" si="56"/>
        <v>0</v>
      </c>
      <c r="M316" s="198">
        <f t="shared" si="56"/>
        <v>0</v>
      </c>
      <c r="N316" s="198">
        <f t="shared" si="56"/>
        <v>0</v>
      </c>
      <c r="O316" s="198">
        <f t="shared" si="56"/>
        <v>0</v>
      </c>
      <c r="P316" s="198">
        <f t="shared" si="56"/>
        <v>0</v>
      </c>
      <c r="Q316" s="198">
        <f t="shared" si="56"/>
        <v>0</v>
      </c>
      <c r="R316" s="198">
        <f t="shared" si="56"/>
        <v>0</v>
      </c>
      <c r="S316" s="198">
        <f t="shared" si="56"/>
        <v>0</v>
      </c>
      <c r="T316" s="198">
        <f t="shared" si="56"/>
        <v>0</v>
      </c>
      <c r="U316" s="198">
        <f t="shared" si="56"/>
        <v>0</v>
      </c>
      <c r="V316" s="198">
        <f t="shared" si="56"/>
        <v>0</v>
      </c>
      <c r="W316" s="198">
        <f t="shared" si="56"/>
        <v>0</v>
      </c>
      <c r="X316" s="198">
        <f t="shared" si="56"/>
        <v>0</v>
      </c>
      <c r="Y316" s="198">
        <f t="shared" si="56"/>
        <v>0</v>
      </c>
      <c r="Z316" s="198">
        <f t="shared" si="56"/>
        <v>0</v>
      </c>
      <c r="AA316" s="198">
        <f t="shared" si="56"/>
        <v>0</v>
      </c>
      <c r="AB316" s="198">
        <f t="shared" si="56"/>
        <v>0</v>
      </c>
      <c r="AC316" s="70"/>
      <c r="AD316" s="19"/>
      <c r="AE316" s="19"/>
      <c r="AF316" s="19"/>
      <c r="AG316" s="19"/>
    </row>
    <row r="317" spans="1:33" hidden="1" outlineLevel="3" x14ac:dyDescent="0.2">
      <c r="A317" s="19"/>
      <c r="B317" s="97">
        <v>7</v>
      </c>
      <c r="C317" s="506">
        <f t="shared" si="49"/>
        <v>0</v>
      </c>
      <c r="D317" s="505">
        <f t="shared" si="49"/>
        <v>0</v>
      </c>
      <c r="E317" s="505">
        <f t="shared" si="49"/>
        <v>0</v>
      </c>
      <c r="F317" s="58"/>
      <c r="G317" s="199">
        <f t="shared" si="50"/>
        <v>0</v>
      </c>
      <c r="H317" s="58"/>
      <c r="I317" s="198">
        <f t="shared" ref="I317:AB317" si="57">SUM(I218,I251,I284)</f>
        <v>0</v>
      </c>
      <c r="J317" s="198">
        <f t="shared" si="57"/>
        <v>0</v>
      </c>
      <c r="K317" s="198">
        <f t="shared" si="57"/>
        <v>0</v>
      </c>
      <c r="L317" s="198">
        <f t="shared" si="57"/>
        <v>0</v>
      </c>
      <c r="M317" s="198">
        <f t="shared" si="57"/>
        <v>0</v>
      </c>
      <c r="N317" s="198">
        <f t="shared" si="57"/>
        <v>0</v>
      </c>
      <c r="O317" s="198">
        <f t="shared" si="57"/>
        <v>0</v>
      </c>
      <c r="P317" s="198">
        <f t="shared" si="57"/>
        <v>0</v>
      </c>
      <c r="Q317" s="198">
        <f t="shared" si="57"/>
        <v>0</v>
      </c>
      <c r="R317" s="198">
        <f t="shared" si="57"/>
        <v>0</v>
      </c>
      <c r="S317" s="198">
        <f t="shared" si="57"/>
        <v>0</v>
      </c>
      <c r="T317" s="198">
        <f t="shared" si="57"/>
        <v>0</v>
      </c>
      <c r="U317" s="198">
        <f t="shared" si="57"/>
        <v>0</v>
      </c>
      <c r="V317" s="198">
        <f t="shared" si="57"/>
        <v>0</v>
      </c>
      <c r="W317" s="198">
        <f t="shared" si="57"/>
        <v>0</v>
      </c>
      <c r="X317" s="198">
        <f t="shared" si="57"/>
        <v>0</v>
      </c>
      <c r="Y317" s="198">
        <f t="shared" si="57"/>
        <v>0</v>
      </c>
      <c r="Z317" s="198">
        <f t="shared" si="57"/>
        <v>0</v>
      </c>
      <c r="AA317" s="198">
        <f t="shared" si="57"/>
        <v>0</v>
      </c>
      <c r="AB317" s="198">
        <f t="shared" si="57"/>
        <v>0</v>
      </c>
      <c r="AC317" s="70"/>
      <c r="AD317" s="19"/>
      <c r="AE317" s="19"/>
      <c r="AF317" s="19"/>
      <c r="AG317" s="19"/>
    </row>
    <row r="318" spans="1:33" hidden="1" outlineLevel="3" x14ac:dyDescent="0.2">
      <c r="A318" s="19"/>
      <c r="B318" s="97">
        <v>8</v>
      </c>
      <c r="C318" s="506">
        <f t="shared" si="49"/>
        <v>0</v>
      </c>
      <c r="D318" s="505">
        <f t="shared" si="49"/>
        <v>0</v>
      </c>
      <c r="E318" s="505">
        <f t="shared" si="49"/>
        <v>0</v>
      </c>
      <c r="F318" s="58"/>
      <c r="G318" s="199">
        <f t="shared" si="50"/>
        <v>0</v>
      </c>
      <c r="H318" s="58"/>
      <c r="I318" s="198">
        <f t="shared" ref="I318:AB318" si="58">SUM(I219,I252,I285)</f>
        <v>0</v>
      </c>
      <c r="J318" s="198">
        <f t="shared" si="58"/>
        <v>0</v>
      </c>
      <c r="K318" s="198">
        <f t="shared" si="58"/>
        <v>0</v>
      </c>
      <c r="L318" s="198">
        <f t="shared" si="58"/>
        <v>0</v>
      </c>
      <c r="M318" s="198">
        <f t="shared" si="58"/>
        <v>0</v>
      </c>
      <c r="N318" s="198">
        <f t="shared" si="58"/>
        <v>0</v>
      </c>
      <c r="O318" s="198">
        <f t="shared" si="58"/>
        <v>0</v>
      </c>
      <c r="P318" s="198">
        <f t="shared" si="58"/>
        <v>0</v>
      </c>
      <c r="Q318" s="198">
        <f t="shared" si="58"/>
        <v>0</v>
      </c>
      <c r="R318" s="198">
        <f t="shared" si="58"/>
        <v>0</v>
      </c>
      <c r="S318" s="198">
        <f t="shared" si="58"/>
        <v>0</v>
      </c>
      <c r="T318" s="198">
        <f t="shared" si="58"/>
        <v>0</v>
      </c>
      <c r="U318" s="198">
        <f t="shared" si="58"/>
        <v>0</v>
      </c>
      <c r="V318" s="198">
        <f t="shared" si="58"/>
        <v>0</v>
      </c>
      <c r="W318" s="198">
        <f t="shared" si="58"/>
        <v>0</v>
      </c>
      <c r="X318" s="198">
        <f t="shared" si="58"/>
        <v>0</v>
      </c>
      <c r="Y318" s="198">
        <f t="shared" si="58"/>
        <v>0</v>
      </c>
      <c r="Z318" s="198">
        <f t="shared" si="58"/>
        <v>0</v>
      </c>
      <c r="AA318" s="198">
        <f t="shared" si="58"/>
        <v>0</v>
      </c>
      <c r="AB318" s="198">
        <f t="shared" si="58"/>
        <v>0</v>
      </c>
      <c r="AC318" s="70"/>
      <c r="AD318" s="19"/>
      <c r="AE318" s="19"/>
      <c r="AF318" s="19"/>
      <c r="AG318" s="19"/>
    </row>
    <row r="319" spans="1:33" hidden="1" outlineLevel="3" x14ac:dyDescent="0.2">
      <c r="A319" s="19"/>
      <c r="B319" s="98">
        <v>9</v>
      </c>
      <c r="C319" s="506">
        <f t="shared" si="49"/>
        <v>0</v>
      </c>
      <c r="D319" s="505">
        <f t="shared" si="49"/>
        <v>0</v>
      </c>
      <c r="E319" s="505">
        <f t="shared" si="49"/>
        <v>0</v>
      </c>
      <c r="F319" s="58"/>
      <c r="G319" s="199">
        <f t="shared" si="50"/>
        <v>0</v>
      </c>
      <c r="H319" s="58"/>
      <c r="I319" s="198">
        <f t="shared" ref="I319:AB319" si="59">SUM(I220,I253,I286)</f>
        <v>0</v>
      </c>
      <c r="J319" s="198">
        <f t="shared" si="59"/>
        <v>0</v>
      </c>
      <c r="K319" s="198">
        <f t="shared" si="59"/>
        <v>0</v>
      </c>
      <c r="L319" s="198">
        <f t="shared" si="59"/>
        <v>0</v>
      </c>
      <c r="M319" s="198">
        <f t="shared" si="59"/>
        <v>0</v>
      </c>
      <c r="N319" s="198">
        <f t="shared" si="59"/>
        <v>0</v>
      </c>
      <c r="O319" s="198">
        <f t="shared" si="59"/>
        <v>0</v>
      </c>
      <c r="P319" s="198">
        <f t="shared" si="59"/>
        <v>0</v>
      </c>
      <c r="Q319" s="198">
        <f t="shared" si="59"/>
        <v>0</v>
      </c>
      <c r="R319" s="198">
        <f t="shared" si="59"/>
        <v>0</v>
      </c>
      <c r="S319" s="198">
        <f t="shared" si="59"/>
        <v>0</v>
      </c>
      <c r="T319" s="198">
        <f t="shared" si="59"/>
        <v>0</v>
      </c>
      <c r="U319" s="198">
        <f t="shared" si="59"/>
        <v>0</v>
      </c>
      <c r="V319" s="198">
        <f t="shared" si="59"/>
        <v>0</v>
      </c>
      <c r="W319" s="198">
        <f t="shared" si="59"/>
        <v>0</v>
      </c>
      <c r="X319" s="198">
        <f t="shared" si="59"/>
        <v>0</v>
      </c>
      <c r="Y319" s="198">
        <f t="shared" si="59"/>
        <v>0</v>
      </c>
      <c r="Z319" s="198">
        <f t="shared" si="59"/>
        <v>0</v>
      </c>
      <c r="AA319" s="198">
        <f t="shared" si="59"/>
        <v>0</v>
      </c>
      <c r="AB319" s="198">
        <f t="shared" si="59"/>
        <v>0</v>
      </c>
      <c r="AC319" s="70"/>
      <c r="AD319" s="19"/>
      <c r="AE319" s="19"/>
      <c r="AF319" s="19"/>
      <c r="AG319" s="19"/>
    </row>
    <row r="320" spans="1:33" hidden="1" outlineLevel="3" x14ac:dyDescent="0.2">
      <c r="A320" s="19"/>
      <c r="B320" s="97">
        <v>10</v>
      </c>
      <c r="C320" s="506">
        <f t="shared" si="49"/>
        <v>0</v>
      </c>
      <c r="D320" s="505">
        <f t="shared" si="49"/>
        <v>0</v>
      </c>
      <c r="E320" s="505">
        <f t="shared" si="49"/>
        <v>0</v>
      </c>
      <c r="F320" s="58"/>
      <c r="G320" s="199">
        <f t="shared" si="50"/>
        <v>0</v>
      </c>
      <c r="H320" s="58"/>
      <c r="I320" s="198">
        <f t="shared" ref="I320:AB320" si="60">SUM(I221,I254,I287)</f>
        <v>0</v>
      </c>
      <c r="J320" s="198">
        <f t="shared" si="60"/>
        <v>0</v>
      </c>
      <c r="K320" s="198">
        <f t="shared" si="60"/>
        <v>0</v>
      </c>
      <c r="L320" s="198">
        <f t="shared" si="60"/>
        <v>0</v>
      </c>
      <c r="M320" s="198">
        <f t="shared" si="60"/>
        <v>0</v>
      </c>
      <c r="N320" s="198">
        <f t="shared" si="60"/>
        <v>0</v>
      </c>
      <c r="O320" s="198">
        <f t="shared" si="60"/>
        <v>0</v>
      </c>
      <c r="P320" s="198">
        <f t="shared" si="60"/>
        <v>0</v>
      </c>
      <c r="Q320" s="198">
        <f t="shared" si="60"/>
        <v>0</v>
      </c>
      <c r="R320" s="198">
        <f t="shared" si="60"/>
        <v>0</v>
      </c>
      <c r="S320" s="198">
        <f t="shared" si="60"/>
        <v>0</v>
      </c>
      <c r="T320" s="198">
        <f t="shared" si="60"/>
        <v>0</v>
      </c>
      <c r="U320" s="198">
        <f t="shared" si="60"/>
        <v>0</v>
      </c>
      <c r="V320" s="198">
        <f t="shared" si="60"/>
        <v>0</v>
      </c>
      <c r="W320" s="198">
        <f t="shared" si="60"/>
        <v>0</v>
      </c>
      <c r="X320" s="198">
        <f t="shared" si="60"/>
        <v>0</v>
      </c>
      <c r="Y320" s="198">
        <f t="shared" si="60"/>
        <v>0</v>
      </c>
      <c r="Z320" s="198">
        <f t="shared" si="60"/>
        <v>0</v>
      </c>
      <c r="AA320" s="198">
        <f t="shared" si="60"/>
        <v>0</v>
      </c>
      <c r="AB320" s="198">
        <f t="shared" si="60"/>
        <v>0</v>
      </c>
      <c r="AC320" s="70"/>
      <c r="AD320" s="19"/>
      <c r="AE320" s="19"/>
      <c r="AF320" s="19"/>
      <c r="AG320" s="19"/>
    </row>
    <row r="321" spans="1:33" hidden="1" outlineLevel="3" x14ac:dyDescent="0.2">
      <c r="A321" s="19"/>
      <c r="B321" s="97">
        <v>11</v>
      </c>
      <c r="C321" s="506">
        <f t="shared" si="49"/>
        <v>0</v>
      </c>
      <c r="D321" s="505">
        <f t="shared" si="49"/>
        <v>0</v>
      </c>
      <c r="E321" s="505">
        <f t="shared" si="49"/>
        <v>0</v>
      </c>
      <c r="F321" s="58"/>
      <c r="G321" s="199">
        <f t="shared" si="50"/>
        <v>0</v>
      </c>
      <c r="H321" s="58"/>
      <c r="I321" s="198">
        <f t="shared" ref="I321:AB321" si="61">SUM(I222,I255,I288)</f>
        <v>0</v>
      </c>
      <c r="J321" s="198">
        <f t="shared" si="61"/>
        <v>0</v>
      </c>
      <c r="K321" s="198">
        <f t="shared" si="61"/>
        <v>0</v>
      </c>
      <c r="L321" s="198">
        <f t="shared" si="61"/>
        <v>0</v>
      </c>
      <c r="M321" s="198">
        <f t="shared" si="61"/>
        <v>0</v>
      </c>
      <c r="N321" s="198">
        <f t="shared" si="61"/>
        <v>0</v>
      </c>
      <c r="O321" s="198">
        <f t="shared" si="61"/>
        <v>0</v>
      </c>
      <c r="P321" s="198">
        <f t="shared" si="61"/>
        <v>0</v>
      </c>
      <c r="Q321" s="198">
        <f t="shared" si="61"/>
        <v>0</v>
      </c>
      <c r="R321" s="198">
        <f t="shared" si="61"/>
        <v>0</v>
      </c>
      <c r="S321" s="198">
        <f t="shared" si="61"/>
        <v>0</v>
      </c>
      <c r="T321" s="198">
        <f t="shared" si="61"/>
        <v>0</v>
      </c>
      <c r="U321" s="198">
        <f t="shared" si="61"/>
        <v>0</v>
      </c>
      <c r="V321" s="198">
        <f t="shared" si="61"/>
        <v>0</v>
      </c>
      <c r="W321" s="198">
        <f t="shared" si="61"/>
        <v>0</v>
      </c>
      <c r="X321" s="198">
        <f t="shared" si="61"/>
        <v>0</v>
      </c>
      <c r="Y321" s="198">
        <f t="shared" si="61"/>
        <v>0</v>
      </c>
      <c r="Z321" s="198">
        <f t="shared" si="61"/>
        <v>0</v>
      </c>
      <c r="AA321" s="198">
        <f t="shared" si="61"/>
        <v>0</v>
      </c>
      <c r="AB321" s="198">
        <f t="shared" si="61"/>
        <v>0</v>
      </c>
      <c r="AC321" s="70"/>
      <c r="AD321" s="19"/>
      <c r="AE321" s="19"/>
      <c r="AF321" s="19"/>
      <c r="AG321" s="19"/>
    </row>
    <row r="322" spans="1:33" hidden="1" outlineLevel="3" x14ac:dyDescent="0.2">
      <c r="A322" s="19"/>
      <c r="B322" s="97">
        <v>12</v>
      </c>
      <c r="C322" s="506">
        <f t="shared" si="49"/>
        <v>0</v>
      </c>
      <c r="D322" s="505">
        <f t="shared" si="49"/>
        <v>0</v>
      </c>
      <c r="E322" s="505">
        <f t="shared" si="49"/>
        <v>0</v>
      </c>
      <c r="F322" s="58"/>
      <c r="G322" s="199">
        <f t="shared" si="50"/>
        <v>0</v>
      </c>
      <c r="H322" s="58"/>
      <c r="I322" s="198">
        <f t="shared" ref="I322:AB322" si="62">SUM(I223,I256,I289)</f>
        <v>0</v>
      </c>
      <c r="J322" s="198">
        <f t="shared" si="62"/>
        <v>0</v>
      </c>
      <c r="K322" s="198">
        <f t="shared" si="62"/>
        <v>0</v>
      </c>
      <c r="L322" s="198">
        <f t="shared" si="62"/>
        <v>0</v>
      </c>
      <c r="M322" s="198">
        <f t="shared" si="62"/>
        <v>0</v>
      </c>
      <c r="N322" s="198">
        <f t="shared" si="62"/>
        <v>0</v>
      </c>
      <c r="O322" s="198">
        <f t="shared" si="62"/>
        <v>0</v>
      </c>
      <c r="P322" s="198">
        <f t="shared" si="62"/>
        <v>0</v>
      </c>
      <c r="Q322" s="198">
        <f t="shared" si="62"/>
        <v>0</v>
      </c>
      <c r="R322" s="198">
        <f t="shared" si="62"/>
        <v>0</v>
      </c>
      <c r="S322" s="198">
        <f t="shared" si="62"/>
        <v>0</v>
      </c>
      <c r="T322" s="198">
        <f t="shared" si="62"/>
        <v>0</v>
      </c>
      <c r="U322" s="198">
        <f t="shared" si="62"/>
        <v>0</v>
      </c>
      <c r="V322" s="198">
        <f t="shared" si="62"/>
        <v>0</v>
      </c>
      <c r="W322" s="198">
        <f t="shared" si="62"/>
        <v>0</v>
      </c>
      <c r="X322" s="198">
        <f t="shared" si="62"/>
        <v>0</v>
      </c>
      <c r="Y322" s="198">
        <f t="shared" si="62"/>
        <v>0</v>
      </c>
      <c r="Z322" s="198">
        <f t="shared" si="62"/>
        <v>0</v>
      </c>
      <c r="AA322" s="198">
        <f t="shared" si="62"/>
        <v>0</v>
      </c>
      <c r="AB322" s="198">
        <f t="shared" si="62"/>
        <v>0</v>
      </c>
      <c r="AC322" s="70"/>
      <c r="AD322" s="19"/>
      <c r="AE322" s="19"/>
      <c r="AF322" s="19"/>
      <c r="AG322" s="19"/>
    </row>
    <row r="323" spans="1:33" hidden="1" outlineLevel="3" x14ac:dyDescent="0.2">
      <c r="A323" s="19"/>
      <c r="B323" s="97">
        <v>13</v>
      </c>
      <c r="C323" s="506">
        <f t="shared" si="49"/>
        <v>0</v>
      </c>
      <c r="D323" s="505">
        <f t="shared" si="49"/>
        <v>0</v>
      </c>
      <c r="E323" s="505">
        <f t="shared" si="49"/>
        <v>0</v>
      </c>
      <c r="F323" s="58"/>
      <c r="G323" s="199">
        <f t="shared" si="50"/>
        <v>0</v>
      </c>
      <c r="H323" s="58"/>
      <c r="I323" s="198">
        <f t="shared" ref="I323:AB323" si="63">SUM(I224,I257,I290)</f>
        <v>0</v>
      </c>
      <c r="J323" s="198">
        <f t="shared" si="63"/>
        <v>0</v>
      </c>
      <c r="K323" s="198">
        <f t="shared" si="63"/>
        <v>0</v>
      </c>
      <c r="L323" s="198">
        <f t="shared" si="63"/>
        <v>0</v>
      </c>
      <c r="M323" s="198">
        <f t="shared" si="63"/>
        <v>0</v>
      </c>
      <c r="N323" s="198">
        <f t="shared" si="63"/>
        <v>0</v>
      </c>
      <c r="O323" s="198">
        <f t="shared" si="63"/>
        <v>0</v>
      </c>
      <c r="P323" s="198">
        <f t="shared" si="63"/>
        <v>0</v>
      </c>
      <c r="Q323" s="198">
        <f t="shared" si="63"/>
        <v>0</v>
      </c>
      <c r="R323" s="198">
        <f t="shared" si="63"/>
        <v>0</v>
      </c>
      <c r="S323" s="198">
        <f t="shared" si="63"/>
        <v>0</v>
      </c>
      <c r="T323" s="198">
        <f t="shared" si="63"/>
        <v>0</v>
      </c>
      <c r="U323" s="198">
        <f t="shared" si="63"/>
        <v>0</v>
      </c>
      <c r="V323" s="198">
        <f t="shared" si="63"/>
        <v>0</v>
      </c>
      <c r="W323" s="198">
        <f t="shared" si="63"/>
        <v>0</v>
      </c>
      <c r="X323" s="198">
        <f t="shared" si="63"/>
        <v>0</v>
      </c>
      <c r="Y323" s="198">
        <f t="shared" si="63"/>
        <v>0</v>
      </c>
      <c r="Z323" s="198">
        <f t="shared" si="63"/>
        <v>0</v>
      </c>
      <c r="AA323" s="198">
        <f t="shared" si="63"/>
        <v>0</v>
      </c>
      <c r="AB323" s="198">
        <f t="shared" si="63"/>
        <v>0</v>
      </c>
      <c r="AC323" s="70"/>
      <c r="AD323" s="19"/>
      <c r="AE323" s="19"/>
      <c r="AF323" s="19"/>
      <c r="AG323" s="19"/>
    </row>
    <row r="324" spans="1:33" hidden="1" outlineLevel="3" x14ac:dyDescent="0.2">
      <c r="A324" s="19"/>
      <c r="B324" s="97">
        <v>14</v>
      </c>
      <c r="C324" s="506">
        <f t="shared" si="49"/>
        <v>0</v>
      </c>
      <c r="D324" s="505">
        <f t="shared" si="49"/>
        <v>0</v>
      </c>
      <c r="E324" s="505">
        <f t="shared" si="49"/>
        <v>0</v>
      </c>
      <c r="F324" s="58"/>
      <c r="G324" s="199">
        <f t="shared" si="50"/>
        <v>0</v>
      </c>
      <c r="H324" s="58"/>
      <c r="I324" s="198">
        <f t="shared" ref="I324:AB324" si="64">SUM(I225,I258,I291)</f>
        <v>0</v>
      </c>
      <c r="J324" s="198">
        <f t="shared" si="64"/>
        <v>0</v>
      </c>
      <c r="K324" s="198">
        <f t="shared" si="64"/>
        <v>0</v>
      </c>
      <c r="L324" s="198">
        <f t="shared" si="64"/>
        <v>0</v>
      </c>
      <c r="M324" s="198">
        <f t="shared" si="64"/>
        <v>0</v>
      </c>
      <c r="N324" s="198">
        <f t="shared" si="64"/>
        <v>0</v>
      </c>
      <c r="O324" s="198">
        <f t="shared" si="64"/>
        <v>0</v>
      </c>
      <c r="P324" s="198">
        <f t="shared" si="64"/>
        <v>0</v>
      </c>
      <c r="Q324" s="198">
        <f t="shared" si="64"/>
        <v>0</v>
      </c>
      <c r="R324" s="198">
        <f t="shared" si="64"/>
        <v>0</v>
      </c>
      <c r="S324" s="198">
        <f t="shared" si="64"/>
        <v>0</v>
      </c>
      <c r="T324" s="198">
        <f t="shared" si="64"/>
        <v>0</v>
      </c>
      <c r="U324" s="198">
        <f t="shared" si="64"/>
        <v>0</v>
      </c>
      <c r="V324" s="198">
        <f t="shared" si="64"/>
        <v>0</v>
      </c>
      <c r="W324" s="198">
        <f t="shared" si="64"/>
        <v>0</v>
      </c>
      <c r="X324" s="198">
        <f t="shared" si="64"/>
        <v>0</v>
      </c>
      <c r="Y324" s="198">
        <f t="shared" si="64"/>
        <v>0</v>
      </c>
      <c r="Z324" s="198">
        <f t="shared" si="64"/>
        <v>0</v>
      </c>
      <c r="AA324" s="198">
        <f t="shared" si="64"/>
        <v>0</v>
      </c>
      <c r="AB324" s="198">
        <f t="shared" si="64"/>
        <v>0</v>
      </c>
      <c r="AC324" s="70"/>
      <c r="AD324" s="19"/>
      <c r="AE324" s="19"/>
      <c r="AF324" s="19"/>
      <c r="AG324" s="19"/>
    </row>
    <row r="325" spans="1:33" hidden="1" outlineLevel="3" x14ac:dyDescent="0.2">
      <c r="A325" s="19"/>
      <c r="B325" s="97">
        <v>15</v>
      </c>
      <c r="C325" s="506">
        <f t="shared" si="49"/>
        <v>0</v>
      </c>
      <c r="D325" s="505">
        <f t="shared" si="49"/>
        <v>0</v>
      </c>
      <c r="E325" s="505">
        <f t="shared" si="49"/>
        <v>0</v>
      </c>
      <c r="F325" s="58"/>
      <c r="G325" s="199">
        <f t="shared" si="50"/>
        <v>0</v>
      </c>
      <c r="H325" s="58"/>
      <c r="I325" s="198">
        <f t="shared" ref="I325:AB325" si="65">SUM(I226,I259,I292)</f>
        <v>0</v>
      </c>
      <c r="J325" s="198">
        <f t="shared" si="65"/>
        <v>0</v>
      </c>
      <c r="K325" s="198">
        <f t="shared" si="65"/>
        <v>0</v>
      </c>
      <c r="L325" s="198">
        <f t="shared" si="65"/>
        <v>0</v>
      </c>
      <c r="M325" s="198">
        <f t="shared" si="65"/>
        <v>0</v>
      </c>
      <c r="N325" s="198">
        <f t="shared" si="65"/>
        <v>0</v>
      </c>
      <c r="O325" s="198">
        <f t="shared" si="65"/>
        <v>0</v>
      </c>
      <c r="P325" s="198">
        <f t="shared" si="65"/>
        <v>0</v>
      </c>
      <c r="Q325" s="198">
        <f t="shared" si="65"/>
        <v>0</v>
      </c>
      <c r="R325" s="198">
        <f t="shared" si="65"/>
        <v>0</v>
      </c>
      <c r="S325" s="198">
        <f t="shared" si="65"/>
        <v>0</v>
      </c>
      <c r="T325" s="198">
        <f t="shared" si="65"/>
        <v>0</v>
      </c>
      <c r="U325" s="198">
        <f t="shared" si="65"/>
        <v>0</v>
      </c>
      <c r="V325" s="198">
        <f t="shared" si="65"/>
        <v>0</v>
      </c>
      <c r="W325" s="198">
        <f t="shared" si="65"/>
        <v>0</v>
      </c>
      <c r="X325" s="198">
        <f t="shared" si="65"/>
        <v>0</v>
      </c>
      <c r="Y325" s="198">
        <f t="shared" si="65"/>
        <v>0</v>
      </c>
      <c r="Z325" s="198">
        <f t="shared" si="65"/>
        <v>0</v>
      </c>
      <c r="AA325" s="198">
        <f t="shared" si="65"/>
        <v>0</v>
      </c>
      <c r="AB325" s="198">
        <f t="shared" si="65"/>
        <v>0</v>
      </c>
      <c r="AC325" s="70"/>
      <c r="AD325" s="19"/>
      <c r="AE325" s="19"/>
      <c r="AF325" s="19"/>
      <c r="AG325" s="19"/>
    </row>
    <row r="326" spans="1:33" hidden="1" outlineLevel="3" x14ac:dyDescent="0.2">
      <c r="A326" s="19"/>
      <c r="B326" s="98">
        <v>16</v>
      </c>
      <c r="C326" s="506">
        <f t="shared" si="49"/>
        <v>0</v>
      </c>
      <c r="D326" s="505">
        <f t="shared" si="49"/>
        <v>0</v>
      </c>
      <c r="E326" s="505">
        <f t="shared" si="49"/>
        <v>0</v>
      </c>
      <c r="F326" s="58"/>
      <c r="G326" s="199">
        <f t="shared" si="50"/>
        <v>0</v>
      </c>
      <c r="H326" s="58"/>
      <c r="I326" s="198">
        <f t="shared" ref="I326:AB326" si="66">SUM(I227,I260,I293)</f>
        <v>0</v>
      </c>
      <c r="J326" s="198">
        <f t="shared" si="66"/>
        <v>0</v>
      </c>
      <c r="K326" s="198">
        <f t="shared" si="66"/>
        <v>0</v>
      </c>
      <c r="L326" s="198">
        <f t="shared" si="66"/>
        <v>0</v>
      </c>
      <c r="M326" s="198">
        <f t="shared" si="66"/>
        <v>0</v>
      </c>
      <c r="N326" s="198">
        <f t="shared" si="66"/>
        <v>0</v>
      </c>
      <c r="O326" s="198">
        <f t="shared" si="66"/>
        <v>0</v>
      </c>
      <c r="P326" s="198">
        <f t="shared" si="66"/>
        <v>0</v>
      </c>
      <c r="Q326" s="198">
        <f t="shared" si="66"/>
        <v>0</v>
      </c>
      <c r="R326" s="198">
        <f t="shared" si="66"/>
        <v>0</v>
      </c>
      <c r="S326" s="198">
        <f t="shared" si="66"/>
        <v>0</v>
      </c>
      <c r="T326" s="198">
        <f t="shared" si="66"/>
        <v>0</v>
      </c>
      <c r="U326" s="198">
        <f t="shared" si="66"/>
        <v>0</v>
      </c>
      <c r="V326" s="198">
        <f t="shared" si="66"/>
        <v>0</v>
      </c>
      <c r="W326" s="198">
        <f t="shared" si="66"/>
        <v>0</v>
      </c>
      <c r="X326" s="198">
        <f t="shared" si="66"/>
        <v>0</v>
      </c>
      <c r="Y326" s="198">
        <f t="shared" si="66"/>
        <v>0</v>
      </c>
      <c r="Z326" s="198">
        <f t="shared" si="66"/>
        <v>0</v>
      </c>
      <c r="AA326" s="198">
        <f t="shared" si="66"/>
        <v>0</v>
      </c>
      <c r="AB326" s="198">
        <f t="shared" si="66"/>
        <v>0</v>
      </c>
      <c r="AC326" s="70"/>
      <c r="AD326" s="19"/>
      <c r="AE326" s="19"/>
      <c r="AF326" s="19"/>
      <c r="AG326" s="19"/>
    </row>
    <row r="327" spans="1:33" hidden="1" outlineLevel="3" x14ac:dyDescent="0.2">
      <c r="A327" s="19"/>
      <c r="B327" s="97">
        <v>17</v>
      </c>
      <c r="C327" s="506">
        <f t="shared" si="49"/>
        <v>0</v>
      </c>
      <c r="D327" s="505">
        <f t="shared" si="49"/>
        <v>0</v>
      </c>
      <c r="E327" s="505">
        <f t="shared" si="49"/>
        <v>0</v>
      </c>
      <c r="F327" s="58"/>
      <c r="G327" s="199">
        <f t="shared" si="50"/>
        <v>0</v>
      </c>
      <c r="H327" s="58"/>
      <c r="I327" s="198">
        <f t="shared" ref="I327:AB327" si="67">SUM(I228,I261,I294)</f>
        <v>0</v>
      </c>
      <c r="J327" s="198">
        <f t="shared" si="67"/>
        <v>0</v>
      </c>
      <c r="K327" s="198">
        <f t="shared" si="67"/>
        <v>0</v>
      </c>
      <c r="L327" s="198">
        <f t="shared" si="67"/>
        <v>0</v>
      </c>
      <c r="M327" s="198">
        <f t="shared" si="67"/>
        <v>0</v>
      </c>
      <c r="N327" s="198">
        <f t="shared" si="67"/>
        <v>0</v>
      </c>
      <c r="O327" s="198">
        <f t="shared" si="67"/>
        <v>0</v>
      </c>
      <c r="P327" s="198">
        <f t="shared" si="67"/>
        <v>0</v>
      </c>
      <c r="Q327" s="198">
        <f t="shared" si="67"/>
        <v>0</v>
      </c>
      <c r="R327" s="198">
        <f t="shared" si="67"/>
        <v>0</v>
      </c>
      <c r="S327" s="198">
        <f t="shared" si="67"/>
        <v>0</v>
      </c>
      <c r="T327" s="198">
        <f t="shared" si="67"/>
        <v>0</v>
      </c>
      <c r="U327" s="198">
        <f t="shared" si="67"/>
        <v>0</v>
      </c>
      <c r="V327" s="198">
        <f t="shared" si="67"/>
        <v>0</v>
      </c>
      <c r="W327" s="198">
        <f t="shared" si="67"/>
        <v>0</v>
      </c>
      <c r="X327" s="198">
        <f t="shared" si="67"/>
        <v>0</v>
      </c>
      <c r="Y327" s="198">
        <f t="shared" si="67"/>
        <v>0</v>
      </c>
      <c r="Z327" s="198">
        <f t="shared" si="67"/>
        <v>0</v>
      </c>
      <c r="AA327" s="198">
        <f t="shared" si="67"/>
        <v>0</v>
      </c>
      <c r="AB327" s="198">
        <f t="shared" si="67"/>
        <v>0</v>
      </c>
      <c r="AC327" s="70"/>
      <c r="AD327" s="19"/>
      <c r="AE327" s="19"/>
      <c r="AF327" s="19"/>
      <c r="AG327" s="19"/>
    </row>
    <row r="328" spans="1:33" hidden="1" outlineLevel="3" x14ac:dyDescent="0.2">
      <c r="A328" s="19"/>
      <c r="B328" s="97">
        <v>18</v>
      </c>
      <c r="C328" s="506">
        <f t="shared" si="49"/>
        <v>0</v>
      </c>
      <c r="D328" s="505">
        <f t="shared" si="49"/>
        <v>0</v>
      </c>
      <c r="E328" s="505">
        <f t="shared" si="49"/>
        <v>0</v>
      </c>
      <c r="F328" s="58"/>
      <c r="G328" s="199">
        <f t="shared" si="50"/>
        <v>0</v>
      </c>
      <c r="H328" s="58"/>
      <c r="I328" s="198">
        <f t="shared" ref="I328:AB328" si="68">SUM(I229,I262,I295)</f>
        <v>0</v>
      </c>
      <c r="J328" s="198">
        <f t="shared" si="68"/>
        <v>0</v>
      </c>
      <c r="K328" s="198">
        <f t="shared" si="68"/>
        <v>0</v>
      </c>
      <c r="L328" s="198">
        <f t="shared" si="68"/>
        <v>0</v>
      </c>
      <c r="M328" s="198">
        <f t="shared" si="68"/>
        <v>0</v>
      </c>
      <c r="N328" s="198">
        <f t="shared" si="68"/>
        <v>0</v>
      </c>
      <c r="O328" s="198">
        <f t="shared" si="68"/>
        <v>0</v>
      </c>
      <c r="P328" s="198">
        <f t="shared" si="68"/>
        <v>0</v>
      </c>
      <c r="Q328" s="198">
        <f t="shared" si="68"/>
        <v>0</v>
      </c>
      <c r="R328" s="198">
        <f t="shared" si="68"/>
        <v>0</v>
      </c>
      <c r="S328" s="198">
        <f t="shared" si="68"/>
        <v>0</v>
      </c>
      <c r="T328" s="198">
        <f t="shared" si="68"/>
        <v>0</v>
      </c>
      <c r="U328" s="198">
        <f t="shared" si="68"/>
        <v>0</v>
      </c>
      <c r="V328" s="198">
        <f t="shared" si="68"/>
        <v>0</v>
      </c>
      <c r="W328" s="198">
        <f t="shared" si="68"/>
        <v>0</v>
      </c>
      <c r="X328" s="198">
        <f t="shared" si="68"/>
        <v>0</v>
      </c>
      <c r="Y328" s="198">
        <f t="shared" si="68"/>
        <v>0</v>
      </c>
      <c r="Z328" s="198">
        <f t="shared" si="68"/>
        <v>0</v>
      </c>
      <c r="AA328" s="198">
        <f t="shared" si="68"/>
        <v>0</v>
      </c>
      <c r="AB328" s="198">
        <f t="shared" si="68"/>
        <v>0</v>
      </c>
      <c r="AC328" s="70"/>
      <c r="AD328" s="19"/>
      <c r="AE328" s="19"/>
      <c r="AF328" s="19"/>
      <c r="AG328" s="19"/>
    </row>
    <row r="329" spans="1:33" hidden="1" outlineLevel="3" x14ac:dyDescent="0.2">
      <c r="A329" s="19"/>
      <c r="B329" s="97">
        <v>19</v>
      </c>
      <c r="C329" s="506">
        <f t="shared" si="49"/>
        <v>0</v>
      </c>
      <c r="D329" s="505">
        <f t="shared" si="49"/>
        <v>0</v>
      </c>
      <c r="E329" s="505">
        <f t="shared" si="49"/>
        <v>0</v>
      </c>
      <c r="F329" s="58"/>
      <c r="G329" s="199">
        <f t="shared" si="50"/>
        <v>0</v>
      </c>
      <c r="H329" s="58"/>
      <c r="I329" s="198">
        <f t="shared" ref="I329:AB329" si="69">SUM(I230,I263,I296)</f>
        <v>0</v>
      </c>
      <c r="J329" s="198">
        <f t="shared" si="69"/>
        <v>0</v>
      </c>
      <c r="K329" s="198">
        <f t="shared" si="69"/>
        <v>0</v>
      </c>
      <c r="L329" s="198">
        <f t="shared" si="69"/>
        <v>0</v>
      </c>
      <c r="M329" s="198">
        <f t="shared" si="69"/>
        <v>0</v>
      </c>
      <c r="N329" s="198">
        <f t="shared" si="69"/>
        <v>0</v>
      </c>
      <c r="O329" s="198">
        <f t="shared" si="69"/>
        <v>0</v>
      </c>
      <c r="P329" s="198">
        <f t="shared" si="69"/>
        <v>0</v>
      </c>
      <c r="Q329" s="198">
        <f t="shared" si="69"/>
        <v>0</v>
      </c>
      <c r="R329" s="198">
        <f t="shared" si="69"/>
        <v>0</v>
      </c>
      <c r="S329" s="198">
        <f t="shared" si="69"/>
        <v>0</v>
      </c>
      <c r="T329" s="198">
        <f t="shared" si="69"/>
        <v>0</v>
      </c>
      <c r="U329" s="198">
        <f t="shared" si="69"/>
        <v>0</v>
      </c>
      <c r="V329" s="198">
        <f t="shared" si="69"/>
        <v>0</v>
      </c>
      <c r="W329" s="198">
        <f t="shared" si="69"/>
        <v>0</v>
      </c>
      <c r="X329" s="198">
        <f t="shared" si="69"/>
        <v>0</v>
      </c>
      <c r="Y329" s="198">
        <f t="shared" si="69"/>
        <v>0</v>
      </c>
      <c r="Z329" s="198">
        <f t="shared" si="69"/>
        <v>0</v>
      </c>
      <c r="AA329" s="198">
        <f t="shared" si="69"/>
        <v>0</v>
      </c>
      <c r="AB329" s="198">
        <f t="shared" si="69"/>
        <v>0</v>
      </c>
      <c r="AC329" s="70"/>
      <c r="AD329" s="19"/>
      <c r="AE329" s="19"/>
      <c r="AF329" s="19"/>
      <c r="AG329" s="19"/>
    </row>
    <row r="330" spans="1:33" hidden="1" outlineLevel="3" x14ac:dyDescent="0.2">
      <c r="A330" s="19"/>
      <c r="B330" s="97">
        <v>20</v>
      </c>
      <c r="C330" s="506">
        <f t="shared" si="49"/>
        <v>0</v>
      </c>
      <c r="D330" s="505">
        <f t="shared" si="49"/>
        <v>0</v>
      </c>
      <c r="E330" s="505">
        <f t="shared" si="49"/>
        <v>0</v>
      </c>
      <c r="F330" s="58"/>
      <c r="G330" s="199">
        <f t="shared" si="50"/>
        <v>0</v>
      </c>
      <c r="H330" s="58"/>
      <c r="I330" s="198">
        <f t="shared" ref="I330:AB330" si="70">SUM(I231,I264,I297)</f>
        <v>0</v>
      </c>
      <c r="J330" s="198">
        <f t="shared" si="70"/>
        <v>0</v>
      </c>
      <c r="K330" s="198">
        <f t="shared" si="70"/>
        <v>0</v>
      </c>
      <c r="L330" s="198">
        <f t="shared" si="70"/>
        <v>0</v>
      </c>
      <c r="M330" s="198">
        <f t="shared" si="70"/>
        <v>0</v>
      </c>
      <c r="N330" s="198">
        <f t="shared" si="70"/>
        <v>0</v>
      </c>
      <c r="O330" s="198">
        <f t="shared" si="70"/>
        <v>0</v>
      </c>
      <c r="P330" s="198">
        <f t="shared" si="70"/>
        <v>0</v>
      </c>
      <c r="Q330" s="198">
        <f t="shared" si="70"/>
        <v>0</v>
      </c>
      <c r="R330" s="198">
        <f t="shared" si="70"/>
        <v>0</v>
      </c>
      <c r="S330" s="198">
        <f t="shared" si="70"/>
        <v>0</v>
      </c>
      <c r="T330" s="198">
        <f t="shared" si="70"/>
        <v>0</v>
      </c>
      <c r="U330" s="198">
        <f t="shared" si="70"/>
        <v>0</v>
      </c>
      <c r="V330" s="198">
        <f t="shared" si="70"/>
        <v>0</v>
      </c>
      <c r="W330" s="198">
        <f t="shared" si="70"/>
        <v>0</v>
      </c>
      <c r="X330" s="198">
        <f t="shared" si="70"/>
        <v>0</v>
      </c>
      <c r="Y330" s="198">
        <f t="shared" si="70"/>
        <v>0</v>
      </c>
      <c r="Z330" s="198">
        <f t="shared" si="70"/>
        <v>0</v>
      </c>
      <c r="AA330" s="198">
        <f t="shared" si="70"/>
        <v>0</v>
      </c>
      <c r="AB330" s="198">
        <f t="shared" si="70"/>
        <v>0</v>
      </c>
      <c r="AC330" s="70"/>
      <c r="AD330" s="19"/>
      <c r="AE330" s="19"/>
      <c r="AF330" s="19"/>
      <c r="AG330" s="19"/>
    </row>
    <row r="331" spans="1:33" hidden="1" outlineLevel="3" x14ac:dyDescent="0.2">
      <c r="A331" s="19"/>
      <c r="B331" s="97">
        <v>21</v>
      </c>
      <c r="C331" s="506">
        <f t="shared" si="49"/>
        <v>0</v>
      </c>
      <c r="D331" s="505">
        <f t="shared" si="49"/>
        <v>0</v>
      </c>
      <c r="E331" s="505">
        <f t="shared" si="49"/>
        <v>0</v>
      </c>
      <c r="F331" s="58"/>
      <c r="G331" s="199">
        <f t="shared" si="50"/>
        <v>0</v>
      </c>
      <c r="H331" s="58"/>
      <c r="I331" s="198">
        <f t="shared" ref="I331:AB331" si="71">SUM(I232,I265,I298)</f>
        <v>0</v>
      </c>
      <c r="J331" s="198">
        <f t="shared" si="71"/>
        <v>0</v>
      </c>
      <c r="K331" s="198">
        <f t="shared" si="71"/>
        <v>0</v>
      </c>
      <c r="L331" s="198">
        <f t="shared" si="71"/>
        <v>0</v>
      </c>
      <c r="M331" s="198">
        <f t="shared" si="71"/>
        <v>0</v>
      </c>
      <c r="N331" s="198">
        <f t="shared" si="71"/>
        <v>0</v>
      </c>
      <c r="O331" s="198">
        <f t="shared" si="71"/>
        <v>0</v>
      </c>
      <c r="P331" s="198">
        <f t="shared" si="71"/>
        <v>0</v>
      </c>
      <c r="Q331" s="198">
        <f t="shared" si="71"/>
        <v>0</v>
      </c>
      <c r="R331" s="198">
        <f t="shared" si="71"/>
        <v>0</v>
      </c>
      <c r="S331" s="198">
        <f t="shared" si="71"/>
        <v>0</v>
      </c>
      <c r="T331" s="198">
        <f t="shared" si="71"/>
        <v>0</v>
      </c>
      <c r="U331" s="198">
        <f t="shared" si="71"/>
        <v>0</v>
      </c>
      <c r="V331" s="198">
        <f t="shared" si="71"/>
        <v>0</v>
      </c>
      <c r="W331" s="198">
        <f t="shared" si="71"/>
        <v>0</v>
      </c>
      <c r="X331" s="198">
        <f t="shared" si="71"/>
        <v>0</v>
      </c>
      <c r="Y331" s="198">
        <f t="shared" si="71"/>
        <v>0</v>
      </c>
      <c r="Z331" s="198">
        <f t="shared" si="71"/>
        <v>0</v>
      </c>
      <c r="AA331" s="198">
        <f t="shared" si="71"/>
        <v>0</v>
      </c>
      <c r="AB331" s="198">
        <f t="shared" si="71"/>
        <v>0</v>
      </c>
      <c r="AC331" s="70"/>
      <c r="AD331" s="19"/>
      <c r="AE331" s="19"/>
      <c r="AF331" s="19"/>
      <c r="AG331" s="19"/>
    </row>
    <row r="332" spans="1:33" hidden="1" outlineLevel="3" x14ac:dyDescent="0.2">
      <c r="A332" s="19"/>
      <c r="B332" s="97">
        <v>22</v>
      </c>
      <c r="C332" s="506">
        <f t="shared" si="49"/>
        <v>0</v>
      </c>
      <c r="D332" s="505">
        <f t="shared" si="49"/>
        <v>0</v>
      </c>
      <c r="E332" s="505">
        <f t="shared" si="49"/>
        <v>0</v>
      </c>
      <c r="F332" s="58"/>
      <c r="G332" s="199">
        <f t="shared" si="50"/>
        <v>0</v>
      </c>
      <c r="H332" s="58"/>
      <c r="I332" s="198">
        <f t="shared" ref="I332:AB332" si="72">SUM(I233,I266,I299)</f>
        <v>0</v>
      </c>
      <c r="J332" s="198">
        <f t="shared" si="72"/>
        <v>0</v>
      </c>
      <c r="K332" s="198">
        <f t="shared" si="72"/>
        <v>0</v>
      </c>
      <c r="L332" s="198">
        <f t="shared" si="72"/>
        <v>0</v>
      </c>
      <c r="M332" s="198">
        <f t="shared" si="72"/>
        <v>0</v>
      </c>
      <c r="N332" s="198">
        <f t="shared" si="72"/>
        <v>0</v>
      </c>
      <c r="O332" s="198">
        <f t="shared" si="72"/>
        <v>0</v>
      </c>
      <c r="P332" s="198">
        <f t="shared" si="72"/>
        <v>0</v>
      </c>
      <c r="Q332" s="198">
        <f t="shared" si="72"/>
        <v>0</v>
      </c>
      <c r="R332" s="198">
        <f t="shared" si="72"/>
        <v>0</v>
      </c>
      <c r="S332" s="198">
        <f t="shared" si="72"/>
        <v>0</v>
      </c>
      <c r="T332" s="198">
        <f t="shared" si="72"/>
        <v>0</v>
      </c>
      <c r="U332" s="198">
        <f t="shared" si="72"/>
        <v>0</v>
      </c>
      <c r="V332" s="198">
        <f t="shared" si="72"/>
        <v>0</v>
      </c>
      <c r="W332" s="198">
        <f t="shared" si="72"/>
        <v>0</v>
      </c>
      <c r="X332" s="198">
        <f t="shared" si="72"/>
        <v>0</v>
      </c>
      <c r="Y332" s="198">
        <f t="shared" si="72"/>
        <v>0</v>
      </c>
      <c r="Z332" s="198">
        <f t="shared" si="72"/>
        <v>0</v>
      </c>
      <c r="AA332" s="198">
        <f t="shared" si="72"/>
        <v>0</v>
      </c>
      <c r="AB332" s="198">
        <f t="shared" si="72"/>
        <v>0</v>
      </c>
      <c r="AC332" s="70"/>
      <c r="AD332" s="19"/>
      <c r="AE332" s="19"/>
      <c r="AF332" s="19"/>
      <c r="AG332" s="19"/>
    </row>
    <row r="333" spans="1:33" hidden="1" outlineLevel="3" x14ac:dyDescent="0.2">
      <c r="A333" s="19"/>
      <c r="B333" s="98">
        <v>23</v>
      </c>
      <c r="C333" s="506">
        <f t="shared" si="49"/>
        <v>0</v>
      </c>
      <c r="D333" s="505">
        <f t="shared" si="49"/>
        <v>0</v>
      </c>
      <c r="E333" s="505">
        <f t="shared" si="49"/>
        <v>0</v>
      </c>
      <c r="F333" s="58"/>
      <c r="G333" s="199">
        <f t="shared" si="50"/>
        <v>0</v>
      </c>
      <c r="H333" s="58"/>
      <c r="I333" s="198">
        <f t="shared" ref="I333:AB333" si="73">SUM(I234,I267,I300)</f>
        <v>0</v>
      </c>
      <c r="J333" s="198">
        <f t="shared" si="73"/>
        <v>0</v>
      </c>
      <c r="K333" s="198">
        <f t="shared" si="73"/>
        <v>0</v>
      </c>
      <c r="L333" s="198">
        <f t="shared" si="73"/>
        <v>0</v>
      </c>
      <c r="M333" s="198">
        <f t="shared" si="73"/>
        <v>0</v>
      </c>
      <c r="N333" s="198">
        <f t="shared" si="73"/>
        <v>0</v>
      </c>
      <c r="O333" s="198">
        <f t="shared" si="73"/>
        <v>0</v>
      </c>
      <c r="P333" s="198">
        <f t="shared" si="73"/>
        <v>0</v>
      </c>
      <c r="Q333" s="198">
        <f t="shared" si="73"/>
        <v>0</v>
      </c>
      <c r="R333" s="198">
        <f t="shared" si="73"/>
        <v>0</v>
      </c>
      <c r="S333" s="198">
        <f t="shared" si="73"/>
        <v>0</v>
      </c>
      <c r="T333" s="198">
        <f t="shared" si="73"/>
        <v>0</v>
      </c>
      <c r="U333" s="198">
        <f t="shared" si="73"/>
        <v>0</v>
      </c>
      <c r="V333" s="198">
        <f t="shared" si="73"/>
        <v>0</v>
      </c>
      <c r="W333" s="198">
        <f t="shared" si="73"/>
        <v>0</v>
      </c>
      <c r="X333" s="198">
        <f t="shared" si="73"/>
        <v>0</v>
      </c>
      <c r="Y333" s="198">
        <f t="shared" si="73"/>
        <v>0</v>
      </c>
      <c r="Z333" s="198">
        <f t="shared" si="73"/>
        <v>0</v>
      </c>
      <c r="AA333" s="198">
        <f t="shared" si="73"/>
        <v>0</v>
      </c>
      <c r="AB333" s="198">
        <f t="shared" si="73"/>
        <v>0</v>
      </c>
      <c r="AC333" s="70"/>
      <c r="AD333" s="19"/>
      <c r="AE333" s="19"/>
      <c r="AF333" s="19"/>
      <c r="AG333" s="19"/>
    </row>
    <row r="334" spans="1:33" hidden="1" outlineLevel="3" x14ac:dyDescent="0.2">
      <c r="A334" s="19"/>
      <c r="B334" s="97">
        <v>24</v>
      </c>
      <c r="C334" s="506">
        <f t="shared" si="49"/>
        <v>0</v>
      </c>
      <c r="D334" s="505">
        <f t="shared" si="49"/>
        <v>0</v>
      </c>
      <c r="E334" s="505">
        <f t="shared" si="49"/>
        <v>0</v>
      </c>
      <c r="F334" s="58"/>
      <c r="G334" s="199">
        <f t="shared" si="50"/>
        <v>0</v>
      </c>
      <c r="H334" s="58"/>
      <c r="I334" s="198">
        <f t="shared" ref="I334:AB334" si="74">SUM(I235,I268,I301)</f>
        <v>0</v>
      </c>
      <c r="J334" s="198">
        <f t="shared" si="74"/>
        <v>0</v>
      </c>
      <c r="K334" s="198">
        <f t="shared" si="74"/>
        <v>0</v>
      </c>
      <c r="L334" s="198">
        <f t="shared" si="74"/>
        <v>0</v>
      </c>
      <c r="M334" s="198">
        <f t="shared" si="74"/>
        <v>0</v>
      </c>
      <c r="N334" s="198">
        <f t="shared" si="74"/>
        <v>0</v>
      </c>
      <c r="O334" s="198">
        <f t="shared" si="74"/>
        <v>0</v>
      </c>
      <c r="P334" s="198">
        <f t="shared" si="74"/>
        <v>0</v>
      </c>
      <c r="Q334" s="198">
        <f t="shared" si="74"/>
        <v>0</v>
      </c>
      <c r="R334" s="198">
        <f t="shared" si="74"/>
        <v>0</v>
      </c>
      <c r="S334" s="198">
        <f t="shared" si="74"/>
        <v>0</v>
      </c>
      <c r="T334" s="198">
        <f t="shared" si="74"/>
        <v>0</v>
      </c>
      <c r="U334" s="198">
        <f t="shared" si="74"/>
        <v>0</v>
      </c>
      <c r="V334" s="198">
        <f t="shared" si="74"/>
        <v>0</v>
      </c>
      <c r="W334" s="198">
        <f t="shared" si="74"/>
        <v>0</v>
      </c>
      <c r="X334" s="198">
        <f t="shared" si="74"/>
        <v>0</v>
      </c>
      <c r="Y334" s="198">
        <f t="shared" si="74"/>
        <v>0</v>
      </c>
      <c r="Z334" s="198">
        <f t="shared" si="74"/>
        <v>0</v>
      </c>
      <c r="AA334" s="198">
        <f t="shared" si="74"/>
        <v>0</v>
      </c>
      <c r="AB334" s="198">
        <f t="shared" si="74"/>
        <v>0</v>
      </c>
      <c r="AC334" s="70"/>
      <c r="AD334" s="19"/>
      <c r="AE334" s="19"/>
      <c r="AF334" s="19"/>
      <c r="AG334" s="19"/>
    </row>
    <row r="335" spans="1:33" hidden="1" outlineLevel="3" x14ac:dyDescent="0.2">
      <c r="A335" s="19"/>
      <c r="B335" s="97">
        <v>25</v>
      </c>
      <c r="C335" s="506">
        <f t="shared" si="49"/>
        <v>0</v>
      </c>
      <c r="D335" s="505">
        <f t="shared" si="49"/>
        <v>0</v>
      </c>
      <c r="E335" s="505">
        <f t="shared" si="49"/>
        <v>0</v>
      </c>
      <c r="F335" s="58"/>
      <c r="G335" s="199">
        <f t="shared" si="50"/>
        <v>0</v>
      </c>
      <c r="H335" s="58"/>
      <c r="I335" s="198">
        <f t="shared" ref="I335:AB335" si="75">SUM(I236,I269,I302)</f>
        <v>0</v>
      </c>
      <c r="J335" s="198">
        <f t="shared" si="75"/>
        <v>0</v>
      </c>
      <c r="K335" s="198">
        <f t="shared" si="75"/>
        <v>0</v>
      </c>
      <c r="L335" s="198">
        <f t="shared" si="75"/>
        <v>0</v>
      </c>
      <c r="M335" s="198">
        <f t="shared" si="75"/>
        <v>0</v>
      </c>
      <c r="N335" s="198">
        <f t="shared" si="75"/>
        <v>0</v>
      </c>
      <c r="O335" s="198">
        <f t="shared" si="75"/>
        <v>0</v>
      </c>
      <c r="P335" s="198">
        <f t="shared" si="75"/>
        <v>0</v>
      </c>
      <c r="Q335" s="198">
        <f t="shared" si="75"/>
        <v>0</v>
      </c>
      <c r="R335" s="198">
        <f t="shared" si="75"/>
        <v>0</v>
      </c>
      <c r="S335" s="198">
        <f t="shared" si="75"/>
        <v>0</v>
      </c>
      <c r="T335" s="198">
        <f t="shared" si="75"/>
        <v>0</v>
      </c>
      <c r="U335" s="198">
        <f t="shared" si="75"/>
        <v>0</v>
      </c>
      <c r="V335" s="198">
        <f t="shared" si="75"/>
        <v>0</v>
      </c>
      <c r="W335" s="198">
        <f t="shared" si="75"/>
        <v>0</v>
      </c>
      <c r="X335" s="198">
        <f t="shared" si="75"/>
        <v>0</v>
      </c>
      <c r="Y335" s="198">
        <f t="shared" si="75"/>
        <v>0</v>
      </c>
      <c r="Z335" s="198">
        <f t="shared" si="75"/>
        <v>0</v>
      </c>
      <c r="AA335" s="198">
        <f t="shared" si="75"/>
        <v>0</v>
      </c>
      <c r="AB335" s="198">
        <f t="shared" si="75"/>
        <v>0</v>
      </c>
      <c r="AC335" s="70"/>
      <c r="AD335" s="19"/>
      <c r="AE335" s="19"/>
      <c r="AF335" s="19"/>
      <c r="AG335" s="19"/>
    </row>
    <row r="336" spans="1:33" hidden="1" outlineLevel="3" x14ac:dyDescent="0.2">
      <c r="A336" s="19"/>
      <c r="B336" s="97">
        <v>26</v>
      </c>
      <c r="C336" s="506">
        <f t="shared" si="49"/>
        <v>0</v>
      </c>
      <c r="D336" s="505">
        <f t="shared" si="49"/>
        <v>0</v>
      </c>
      <c r="E336" s="505">
        <f t="shared" si="49"/>
        <v>0</v>
      </c>
      <c r="F336" s="58"/>
      <c r="G336" s="199">
        <f t="shared" si="50"/>
        <v>0</v>
      </c>
      <c r="H336" s="58"/>
      <c r="I336" s="198">
        <f t="shared" ref="I336:AB336" si="76">SUM(I237,I270,I303)</f>
        <v>0</v>
      </c>
      <c r="J336" s="198">
        <f t="shared" si="76"/>
        <v>0</v>
      </c>
      <c r="K336" s="198">
        <f t="shared" si="76"/>
        <v>0</v>
      </c>
      <c r="L336" s="198">
        <f t="shared" si="76"/>
        <v>0</v>
      </c>
      <c r="M336" s="198">
        <f t="shared" si="76"/>
        <v>0</v>
      </c>
      <c r="N336" s="198">
        <f t="shared" si="76"/>
        <v>0</v>
      </c>
      <c r="O336" s="198">
        <f t="shared" si="76"/>
        <v>0</v>
      </c>
      <c r="P336" s="198">
        <f t="shared" si="76"/>
        <v>0</v>
      </c>
      <c r="Q336" s="198">
        <f t="shared" si="76"/>
        <v>0</v>
      </c>
      <c r="R336" s="198">
        <f t="shared" si="76"/>
        <v>0</v>
      </c>
      <c r="S336" s="198">
        <f t="shared" si="76"/>
        <v>0</v>
      </c>
      <c r="T336" s="198">
        <f t="shared" si="76"/>
        <v>0</v>
      </c>
      <c r="U336" s="198">
        <f t="shared" si="76"/>
        <v>0</v>
      </c>
      <c r="V336" s="198">
        <f t="shared" si="76"/>
        <v>0</v>
      </c>
      <c r="W336" s="198">
        <f t="shared" si="76"/>
        <v>0</v>
      </c>
      <c r="X336" s="198">
        <f t="shared" si="76"/>
        <v>0</v>
      </c>
      <c r="Y336" s="198">
        <f t="shared" si="76"/>
        <v>0</v>
      </c>
      <c r="Z336" s="198">
        <f t="shared" si="76"/>
        <v>0</v>
      </c>
      <c r="AA336" s="198">
        <f t="shared" si="76"/>
        <v>0</v>
      </c>
      <c r="AB336" s="198">
        <f t="shared" si="76"/>
        <v>0</v>
      </c>
      <c r="AC336" s="70"/>
      <c r="AD336" s="19"/>
      <c r="AE336" s="19"/>
      <c r="AF336" s="19"/>
      <c r="AG336" s="19"/>
    </row>
    <row r="337" spans="1:33" hidden="1" outlineLevel="3" x14ac:dyDescent="0.2">
      <c r="A337" s="19"/>
      <c r="B337" s="97">
        <v>27</v>
      </c>
      <c r="C337" s="506">
        <f t="shared" si="49"/>
        <v>0</v>
      </c>
      <c r="D337" s="505">
        <f t="shared" si="49"/>
        <v>0</v>
      </c>
      <c r="E337" s="505">
        <f t="shared" si="49"/>
        <v>0</v>
      </c>
      <c r="F337" s="58"/>
      <c r="G337" s="199">
        <f t="shared" si="50"/>
        <v>0</v>
      </c>
      <c r="H337" s="58"/>
      <c r="I337" s="198">
        <f t="shared" ref="I337:AB337" si="77">SUM(I238,I271,I304)</f>
        <v>0</v>
      </c>
      <c r="J337" s="198">
        <f t="shared" si="77"/>
        <v>0</v>
      </c>
      <c r="K337" s="198">
        <f t="shared" si="77"/>
        <v>0</v>
      </c>
      <c r="L337" s="198">
        <f t="shared" si="77"/>
        <v>0</v>
      </c>
      <c r="M337" s="198">
        <f t="shared" si="77"/>
        <v>0</v>
      </c>
      <c r="N337" s="198">
        <f t="shared" si="77"/>
        <v>0</v>
      </c>
      <c r="O337" s="198">
        <f t="shared" si="77"/>
        <v>0</v>
      </c>
      <c r="P337" s="198">
        <f t="shared" si="77"/>
        <v>0</v>
      </c>
      <c r="Q337" s="198">
        <f t="shared" si="77"/>
        <v>0</v>
      </c>
      <c r="R337" s="198">
        <f t="shared" si="77"/>
        <v>0</v>
      </c>
      <c r="S337" s="198">
        <f t="shared" si="77"/>
        <v>0</v>
      </c>
      <c r="T337" s="198">
        <f t="shared" si="77"/>
        <v>0</v>
      </c>
      <c r="U337" s="198">
        <f t="shared" si="77"/>
        <v>0</v>
      </c>
      <c r="V337" s="198">
        <f t="shared" si="77"/>
        <v>0</v>
      </c>
      <c r="W337" s="198">
        <f t="shared" si="77"/>
        <v>0</v>
      </c>
      <c r="X337" s="198">
        <f t="shared" si="77"/>
        <v>0</v>
      </c>
      <c r="Y337" s="198">
        <f t="shared" si="77"/>
        <v>0</v>
      </c>
      <c r="Z337" s="198">
        <f t="shared" si="77"/>
        <v>0</v>
      </c>
      <c r="AA337" s="198">
        <f t="shared" si="77"/>
        <v>0</v>
      </c>
      <c r="AB337" s="198">
        <f t="shared" si="77"/>
        <v>0</v>
      </c>
      <c r="AC337" s="70"/>
      <c r="AD337" s="19"/>
      <c r="AE337" s="19"/>
      <c r="AF337" s="19"/>
      <c r="AG337" s="19"/>
    </row>
    <row r="338" spans="1:33" hidden="1" outlineLevel="3" x14ac:dyDescent="0.2">
      <c r="A338" s="19"/>
      <c r="B338" s="97">
        <v>28</v>
      </c>
      <c r="C338" s="506">
        <f t="shared" si="49"/>
        <v>0</v>
      </c>
      <c r="D338" s="505">
        <f t="shared" si="49"/>
        <v>0</v>
      </c>
      <c r="E338" s="505">
        <f t="shared" si="49"/>
        <v>0</v>
      </c>
      <c r="F338" s="58"/>
      <c r="G338" s="199">
        <f t="shared" si="50"/>
        <v>0</v>
      </c>
      <c r="H338" s="58"/>
      <c r="I338" s="198">
        <f t="shared" ref="I338:AB338" si="78">SUM(I239,I272,I305)</f>
        <v>0</v>
      </c>
      <c r="J338" s="198">
        <f t="shared" si="78"/>
        <v>0</v>
      </c>
      <c r="K338" s="198">
        <f t="shared" si="78"/>
        <v>0</v>
      </c>
      <c r="L338" s="198">
        <f t="shared" si="78"/>
        <v>0</v>
      </c>
      <c r="M338" s="198">
        <f t="shared" si="78"/>
        <v>0</v>
      </c>
      <c r="N338" s="198">
        <f t="shared" si="78"/>
        <v>0</v>
      </c>
      <c r="O338" s="198">
        <f t="shared" si="78"/>
        <v>0</v>
      </c>
      <c r="P338" s="198">
        <f t="shared" si="78"/>
        <v>0</v>
      </c>
      <c r="Q338" s="198">
        <f t="shared" si="78"/>
        <v>0</v>
      </c>
      <c r="R338" s="198">
        <f t="shared" si="78"/>
        <v>0</v>
      </c>
      <c r="S338" s="198">
        <f t="shared" si="78"/>
        <v>0</v>
      </c>
      <c r="T338" s="198">
        <f t="shared" si="78"/>
        <v>0</v>
      </c>
      <c r="U338" s="198">
        <f t="shared" si="78"/>
        <v>0</v>
      </c>
      <c r="V338" s="198">
        <f t="shared" si="78"/>
        <v>0</v>
      </c>
      <c r="W338" s="198">
        <f t="shared" si="78"/>
        <v>0</v>
      </c>
      <c r="X338" s="198">
        <f t="shared" si="78"/>
        <v>0</v>
      </c>
      <c r="Y338" s="198">
        <f t="shared" si="78"/>
        <v>0</v>
      </c>
      <c r="Z338" s="198">
        <f t="shared" si="78"/>
        <v>0</v>
      </c>
      <c r="AA338" s="198">
        <f t="shared" si="78"/>
        <v>0</v>
      </c>
      <c r="AB338" s="198">
        <f t="shared" si="78"/>
        <v>0</v>
      </c>
      <c r="AC338" s="70"/>
      <c r="AD338" s="19"/>
      <c r="AE338" s="19"/>
      <c r="AF338" s="19"/>
      <c r="AG338" s="19"/>
    </row>
    <row r="339" spans="1:33" hidden="1" outlineLevel="3" x14ac:dyDescent="0.2">
      <c r="A339" s="19"/>
      <c r="B339" s="97">
        <v>29</v>
      </c>
      <c r="C339" s="506">
        <f t="shared" si="49"/>
        <v>0</v>
      </c>
      <c r="D339" s="505">
        <f t="shared" si="49"/>
        <v>0</v>
      </c>
      <c r="E339" s="505">
        <f t="shared" si="49"/>
        <v>0</v>
      </c>
      <c r="F339" s="58"/>
      <c r="G339" s="199">
        <f t="shared" si="50"/>
        <v>0</v>
      </c>
      <c r="H339" s="58"/>
      <c r="I339" s="198">
        <f t="shared" ref="I339:AB339" si="79">SUM(I240,I273,I306)</f>
        <v>0</v>
      </c>
      <c r="J339" s="198">
        <f t="shared" si="79"/>
        <v>0</v>
      </c>
      <c r="K339" s="198">
        <f t="shared" si="79"/>
        <v>0</v>
      </c>
      <c r="L339" s="198">
        <f t="shared" si="79"/>
        <v>0</v>
      </c>
      <c r="M339" s="198">
        <f t="shared" si="79"/>
        <v>0</v>
      </c>
      <c r="N339" s="198">
        <f t="shared" si="79"/>
        <v>0</v>
      </c>
      <c r="O339" s="198">
        <f t="shared" si="79"/>
        <v>0</v>
      </c>
      <c r="P339" s="198">
        <f t="shared" si="79"/>
        <v>0</v>
      </c>
      <c r="Q339" s="198">
        <f t="shared" si="79"/>
        <v>0</v>
      </c>
      <c r="R339" s="198">
        <f t="shared" si="79"/>
        <v>0</v>
      </c>
      <c r="S339" s="198">
        <f t="shared" si="79"/>
        <v>0</v>
      </c>
      <c r="T339" s="198">
        <f t="shared" si="79"/>
        <v>0</v>
      </c>
      <c r="U339" s="198">
        <f t="shared" si="79"/>
        <v>0</v>
      </c>
      <c r="V339" s="198">
        <f t="shared" si="79"/>
        <v>0</v>
      </c>
      <c r="W339" s="198">
        <f t="shared" si="79"/>
        <v>0</v>
      </c>
      <c r="X339" s="198">
        <f t="shared" si="79"/>
        <v>0</v>
      </c>
      <c r="Y339" s="198">
        <f t="shared" si="79"/>
        <v>0</v>
      </c>
      <c r="Z339" s="198">
        <f t="shared" si="79"/>
        <v>0</v>
      </c>
      <c r="AA339" s="198">
        <f t="shared" si="79"/>
        <v>0</v>
      </c>
      <c r="AB339" s="198">
        <f t="shared" si="79"/>
        <v>0</v>
      </c>
      <c r="AC339" s="70"/>
      <c r="AD339" s="19"/>
      <c r="AE339" s="19"/>
      <c r="AF339" s="19"/>
      <c r="AG339" s="19"/>
    </row>
    <row r="340" spans="1:33" hidden="1" outlineLevel="3" x14ac:dyDescent="0.2">
      <c r="A340" s="19"/>
      <c r="B340" s="98">
        <v>30</v>
      </c>
      <c r="C340" s="506">
        <f t="shared" si="49"/>
        <v>0</v>
      </c>
      <c r="D340" s="505">
        <f t="shared" si="49"/>
        <v>0</v>
      </c>
      <c r="E340" s="505">
        <f t="shared" si="49"/>
        <v>0</v>
      </c>
      <c r="F340" s="58"/>
      <c r="G340" s="199">
        <f t="shared" si="50"/>
        <v>0</v>
      </c>
      <c r="H340" s="58"/>
      <c r="I340" s="198">
        <f t="shared" ref="I340:AB340" si="80">SUM(I241,I274,I307)</f>
        <v>0</v>
      </c>
      <c r="J340" s="198">
        <f t="shared" si="80"/>
        <v>0</v>
      </c>
      <c r="K340" s="198">
        <f t="shared" si="80"/>
        <v>0</v>
      </c>
      <c r="L340" s="198">
        <f t="shared" si="80"/>
        <v>0</v>
      </c>
      <c r="M340" s="198">
        <f t="shared" si="80"/>
        <v>0</v>
      </c>
      <c r="N340" s="198">
        <f t="shared" si="80"/>
        <v>0</v>
      </c>
      <c r="O340" s="198">
        <f t="shared" si="80"/>
        <v>0</v>
      </c>
      <c r="P340" s="198">
        <f t="shared" si="80"/>
        <v>0</v>
      </c>
      <c r="Q340" s="198">
        <f t="shared" si="80"/>
        <v>0</v>
      </c>
      <c r="R340" s="198">
        <f t="shared" si="80"/>
        <v>0</v>
      </c>
      <c r="S340" s="198">
        <f t="shared" si="80"/>
        <v>0</v>
      </c>
      <c r="T340" s="198">
        <f t="shared" si="80"/>
        <v>0</v>
      </c>
      <c r="U340" s="198">
        <f t="shared" si="80"/>
        <v>0</v>
      </c>
      <c r="V340" s="198">
        <f t="shared" si="80"/>
        <v>0</v>
      </c>
      <c r="W340" s="198">
        <f t="shared" si="80"/>
        <v>0</v>
      </c>
      <c r="X340" s="198">
        <f t="shared" si="80"/>
        <v>0</v>
      </c>
      <c r="Y340" s="198">
        <f t="shared" si="80"/>
        <v>0</v>
      </c>
      <c r="Z340" s="198">
        <f t="shared" si="80"/>
        <v>0</v>
      </c>
      <c r="AA340" s="198">
        <f t="shared" si="80"/>
        <v>0</v>
      </c>
      <c r="AB340" s="198">
        <f t="shared" si="80"/>
        <v>0</v>
      </c>
      <c r="AC340" s="70"/>
      <c r="AD340" s="19"/>
      <c r="AE340" s="19"/>
      <c r="AF340" s="19"/>
      <c r="AG340" s="19"/>
    </row>
    <row r="341" spans="1:33" outlineLevel="2" collapsed="1" x14ac:dyDescent="0.2">
      <c r="A341" s="19"/>
      <c r="B341" s="19"/>
      <c r="C341" s="560"/>
      <c r="D341" s="558"/>
      <c r="E341" s="559"/>
      <c r="F341" s="58"/>
      <c r="G341" s="58"/>
      <c r="H341" s="58"/>
      <c r="I341" s="137"/>
      <c r="J341" s="137"/>
      <c r="K341" s="138"/>
      <c r="L341" s="138"/>
      <c r="M341" s="138"/>
      <c r="N341" s="139"/>
      <c r="O341" s="139"/>
      <c r="P341" s="139"/>
      <c r="Q341" s="139"/>
      <c r="R341" s="139"/>
      <c r="S341" s="138"/>
      <c r="T341" s="138"/>
      <c r="U341" s="138"/>
      <c r="V341" s="70"/>
      <c r="W341" s="70"/>
      <c r="X341" s="70"/>
      <c r="Y341" s="70"/>
      <c r="Z341" s="70"/>
      <c r="AA341" s="70"/>
      <c r="AB341" s="70"/>
      <c r="AC341" s="70"/>
      <c r="AD341" s="19"/>
      <c r="AE341" s="19"/>
      <c r="AF341" s="19"/>
      <c r="AG341" s="19"/>
    </row>
    <row r="342" spans="1:33" outlineLevel="1" x14ac:dyDescent="0.2">
      <c r="A342" s="19"/>
      <c r="B342" s="19"/>
      <c r="C342" s="66"/>
      <c r="D342" s="66"/>
      <c r="E342" s="58"/>
      <c r="F342" s="58"/>
      <c r="G342" s="58"/>
      <c r="H342" s="58"/>
      <c r="I342" s="137"/>
      <c r="J342" s="137"/>
      <c r="K342" s="138"/>
      <c r="L342" s="138"/>
      <c r="M342" s="138"/>
      <c r="N342" s="139"/>
      <c r="O342" s="139"/>
      <c r="P342" s="139"/>
      <c r="Q342" s="139"/>
      <c r="R342" s="139"/>
      <c r="S342" s="138"/>
      <c r="T342" s="138"/>
      <c r="U342" s="138"/>
      <c r="V342" s="70"/>
      <c r="W342" s="70"/>
      <c r="X342" s="70"/>
      <c r="Y342" s="70"/>
      <c r="Z342" s="70"/>
      <c r="AA342" s="70"/>
      <c r="AB342" s="70"/>
      <c r="AC342" s="70"/>
      <c r="AD342" s="19"/>
      <c r="AE342" s="19"/>
      <c r="AF342" s="19"/>
      <c r="AG342" s="19"/>
    </row>
    <row r="343" spans="1:33" x14ac:dyDescent="0.2">
      <c r="A343" s="19"/>
      <c r="B343" s="19"/>
      <c r="C343" s="36"/>
      <c r="D343" s="36"/>
      <c r="E343" s="20"/>
      <c r="F343" s="20"/>
      <c r="G343" s="22"/>
      <c r="H343" s="22"/>
      <c r="I343" s="22"/>
      <c r="J343" s="20"/>
      <c r="K343" s="20"/>
      <c r="L343" s="20"/>
      <c r="M343" s="20"/>
      <c r="N343" s="37"/>
      <c r="O343" s="37"/>
      <c r="P343" s="37"/>
      <c r="Q343" s="37"/>
      <c r="R343" s="37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</row>
    <row r="344" spans="1:33" ht="12.75" x14ac:dyDescent="0.2">
      <c r="A344" s="11"/>
      <c r="B344" s="12" t="str">
        <f>"Calculation table 34 | "&amp;currentyear&amp;" Network costs - residential"</f>
        <v>Calculation table 34 | 2021–22 Network costs - residential</v>
      </c>
      <c r="C344" s="11"/>
      <c r="D344" s="32" t="str">
        <f>D5</f>
        <v>Block?</v>
      </c>
      <c r="E344" s="32" t="str">
        <f>E5</f>
        <v>TOU?</v>
      </c>
      <c r="F344" s="32"/>
      <c r="G344" s="169" t="str">
        <f>G74</f>
        <v>Total</v>
      </c>
      <c r="H344" s="33"/>
      <c r="I344" s="169" t="str">
        <f t="shared" ref="I344:AB344" si="81">I5</f>
        <v>Service</v>
      </c>
      <c r="J344" s="169" t="str">
        <f t="shared" si="81"/>
        <v>All energy</v>
      </c>
      <c r="K344" s="169" t="str">
        <f t="shared" si="81"/>
        <v>Peak energy</v>
      </c>
      <c r="L344" s="169" t="str">
        <f t="shared" si="81"/>
        <v>Shoulder energy</v>
      </c>
      <c r="M344" s="169" t="str">
        <f t="shared" si="81"/>
        <v>Off-peak energy</v>
      </c>
      <c r="N344" s="169">
        <f t="shared" si="81"/>
        <v>0</v>
      </c>
      <c r="O344" s="169">
        <f t="shared" si="81"/>
        <v>0</v>
      </c>
      <c r="P344" s="169">
        <f t="shared" si="81"/>
        <v>0</v>
      </c>
      <c r="Q344" s="169">
        <f t="shared" si="81"/>
        <v>0</v>
      </c>
      <c r="R344" s="169">
        <f t="shared" si="81"/>
        <v>0</v>
      </c>
      <c r="S344" s="169">
        <f t="shared" si="81"/>
        <v>0</v>
      </c>
      <c r="T344" s="169">
        <f t="shared" si="81"/>
        <v>0</v>
      </c>
      <c r="U344" s="169">
        <f t="shared" si="81"/>
        <v>0</v>
      </c>
      <c r="V344" s="169">
        <f t="shared" si="81"/>
        <v>0</v>
      </c>
      <c r="W344" s="169">
        <f t="shared" si="81"/>
        <v>0</v>
      </c>
      <c r="X344" s="169">
        <f t="shared" si="81"/>
        <v>0</v>
      </c>
      <c r="Y344" s="169">
        <f t="shared" si="81"/>
        <v>0</v>
      </c>
      <c r="Z344" s="169">
        <f t="shared" si="81"/>
        <v>0</v>
      </c>
      <c r="AA344" s="169">
        <f t="shared" si="81"/>
        <v>0</v>
      </c>
      <c r="AB344" s="169">
        <f t="shared" si="81"/>
        <v>0</v>
      </c>
      <c r="AC344" s="64"/>
      <c r="AD344" s="15"/>
      <c r="AE344" s="15"/>
      <c r="AF344" s="15"/>
      <c r="AG344" s="15"/>
    </row>
    <row r="345" spans="1:33" outlineLevel="1" x14ac:dyDescent="0.2">
      <c r="A345" s="19"/>
      <c r="B345" s="19"/>
      <c r="C345" s="36"/>
      <c r="D345" s="36"/>
      <c r="E345" s="20"/>
      <c r="F345" s="20"/>
      <c r="G345" s="22" t="str">
        <f>G75</f>
        <v>$dollars</v>
      </c>
      <c r="H345" s="22"/>
      <c r="I345" s="170" t="str">
        <f t="shared" ref="I345:AB345" si="82">I6</f>
        <v>$dollars</v>
      </c>
      <c r="J345" s="170" t="str">
        <f t="shared" si="82"/>
        <v>$dollars</v>
      </c>
      <c r="K345" s="170" t="str">
        <f t="shared" si="82"/>
        <v>$dollars</v>
      </c>
      <c r="L345" s="170" t="str">
        <f t="shared" si="82"/>
        <v>$dollars</v>
      </c>
      <c r="M345" s="170" t="str">
        <f t="shared" si="82"/>
        <v>$dollars</v>
      </c>
      <c r="N345" s="170">
        <f t="shared" si="82"/>
        <v>0</v>
      </c>
      <c r="O345" s="170">
        <f t="shared" si="82"/>
        <v>0</v>
      </c>
      <c r="P345" s="170">
        <f t="shared" si="82"/>
        <v>0</v>
      </c>
      <c r="Q345" s="170">
        <f t="shared" si="82"/>
        <v>0</v>
      </c>
      <c r="R345" s="170">
        <f t="shared" si="82"/>
        <v>0</v>
      </c>
      <c r="S345" s="170">
        <f t="shared" si="82"/>
        <v>0</v>
      </c>
      <c r="T345" s="170">
        <f t="shared" si="82"/>
        <v>0</v>
      </c>
      <c r="U345" s="170">
        <f t="shared" si="82"/>
        <v>0</v>
      </c>
      <c r="V345" s="170">
        <f t="shared" si="82"/>
        <v>0</v>
      </c>
      <c r="W345" s="170">
        <f t="shared" si="82"/>
        <v>0</v>
      </c>
      <c r="X345" s="170">
        <f t="shared" si="82"/>
        <v>0</v>
      </c>
      <c r="Y345" s="170">
        <f t="shared" si="82"/>
        <v>0</v>
      </c>
      <c r="Z345" s="170">
        <f t="shared" si="82"/>
        <v>0</v>
      </c>
      <c r="AA345" s="170">
        <f t="shared" si="82"/>
        <v>0</v>
      </c>
      <c r="AB345" s="170">
        <f t="shared" si="82"/>
        <v>0</v>
      </c>
      <c r="AC345" s="19"/>
      <c r="AD345" s="19"/>
      <c r="AE345" s="19"/>
      <c r="AF345" s="19"/>
      <c r="AG345" s="19"/>
    </row>
    <row r="346" spans="1:33" outlineLevel="1" x14ac:dyDescent="0.2">
      <c r="A346" s="19"/>
      <c r="B346" s="19"/>
      <c r="C346" s="167" t="s">
        <v>136</v>
      </c>
      <c r="D346" s="167"/>
      <c r="E346" s="512"/>
      <c r="F346" s="20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19"/>
      <c r="AD346" s="19"/>
      <c r="AE346" s="19"/>
      <c r="AF346" s="19"/>
      <c r="AG346" s="19"/>
    </row>
    <row r="347" spans="1:33" outlineLevel="2" x14ac:dyDescent="0.2">
      <c r="A347" s="19"/>
      <c r="B347" s="97">
        <v>1</v>
      </c>
      <c r="C347" s="506" t="str">
        <f>IF(C77=0,0,IF(currentyear=RCPminus1,INDEX(Tariffs!$H$46:$H$120,MATCH(Movements!C77,Tariffs!$C$46:$C$120,0)),C77))</f>
        <v>Residential time of use consumption</v>
      </c>
      <c r="D347" s="505">
        <f t="shared" ref="D347:E376" si="83">D77</f>
        <v>0</v>
      </c>
      <c r="E347" s="505" t="str">
        <f t="shared" si="83"/>
        <v>yes</v>
      </c>
      <c r="F347" s="20"/>
      <c r="G347" s="199">
        <f t="shared" ref="G347:G376" si="84">SUM(I347:AB347)</f>
        <v>608.29173427366663</v>
      </c>
      <c r="H347" s="22"/>
      <c r="I347" s="198">
        <f>_xlfn.IFNA(IF(I$7="Fixed",1,IF(AND($D77="yes",I$7="Block"),INDEX($O617:$Q617,1,MATCH(I$5,$I11:$K11,0)),INDEX(Movements!$G617:$M617,1,MATCH(I$7,Movements!$G$614:$M$614,0))))
*I1025*I$8,0)</f>
        <v>210.24365</v>
      </c>
      <c r="J347" s="198">
        <f>_xlfn.IFNA(IF(J$7="Fixed",1,IF(AND($D77="yes",J$7="Block"),INDEX($O617:$Q617,1,MATCH(J$5,$I11:$K11,0)),INDEX(Movements!$G617:$M617,1,MATCH(J$7,Movements!$G$614:$M$614,0))))
*J1025*J$8,0)</f>
        <v>0</v>
      </c>
      <c r="K347" s="198">
        <f>_xlfn.IFNA(IF(K$7="Fixed",1,IF(AND($D77="yes",K$7="Block"),INDEX($O617:$Q617,1,MATCH(K$5,$I11:$K11,0)),INDEX(Movements!$G617:$M617,1,MATCH(K$7,Movements!$G$614:$M$614,0))))
*K1025*K$8,0)</f>
        <v>276.12428427516085</v>
      </c>
      <c r="L347" s="198">
        <f>_xlfn.IFNA(IF(L$7="Fixed",1,IF(AND($D77="yes",L$7="Block"),INDEX($O617:$Q617,1,MATCH(L$5,$I11:$K11,0)),INDEX(Movements!$G617:$M617,1,MATCH(L$7,Movements!$G$614:$M$614,0))))
*L1025*L$8,0)</f>
        <v>0</v>
      </c>
      <c r="M347" s="198">
        <f>_xlfn.IFNA(IF(M$7="Fixed",1,IF(AND($D77="yes",M$7="Block"),INDEX($O617:$Q617,1,MATCH(M$5,$I11:$K11,0)),INDEX(Movements!$G617:$M617,1,MATCH(M$7,Movements!$G$614:$M$614,0))))
*M1025*M$8,0)</f>
        <v>121.92379999850579</v>
      </c>
      <c r="N347" s="198">
        <f>_xlfn.IFNA(IF(N$7="Fixed",1,IF(AND($D77="yes",N$7="Block"),INDEX($O617:$Q617,1,MATCH(N$5,$I11:$K11,0)),INDEX(Movements!$G617:$M617,1,MATCH(N$7,Movements!$G$614:$M$614,0))))
*N1025*N$8,0)</f>
        <v>0</v>
      </c>
      <c r="O347" s="198">
        <f>_xlfn.IFNA(IF(O$7="Fixed",1,IF(AND($D77="yes",O$7="Block"),INDEX($O617:$Q617,1,MATCH(O$5,$I11:$K11,0)),INDEX(Movements!$G617:$M617,1,MATCH(O$7,Movements!$G$614:$M$614,0))))
*O1025*O$8,0)</f>
        <v>0</v>
      </c>
      <c r="P347" s="198">
        <f>_xlfn.IFNA(IF(P$7="Fixed",1,IF(AND($D77="yes",P$7="Block"),INDEX($O617:$Q617,1,MATCH(P$5,$I11:$K11,0)),INDEX(Movements!$G617:$M617,1,MATCH(P$7,Movements!$G$614:$M$614,0))))
*P1025*P$8,0)</f>
        <v>0</v>
      </c>
      <c r="Q347" s="198">
        <f>_xlfn.IFNA(IF(Q$7="Fixed",1,IF(AND($D77="yes",Q$7="Block"),INDEX($O617:$Q617,1,MATCH(Q$5,$I11:$K11,0)),INDEX(Movements!$G617:$M617,1,MATCH(Q$7,Movements!$G$614:$M$614,0))))
*Q1025*Q$8,0)</f>
        <v>0</v>
      </c>
      <c r="R347" s="198">
        <f>_xlfn.IFNA(IF(R$7="Fixed",1,IF(AND($D77="yes",R$7="Block"),INDEX($O617:$Q617,1,MATCH(R$5,$I11:$K11,0)),INDEX(Movements!$G617:$M617,1,MATCH(R$7,Movements!$G$614:$M$614,0))))
*R1025*R$8,0)</f>
        <v>0</v>
      </c>
      <c r="S347" s="198">
        <f>_xlfn.IFNA(IF(S$7="Fixed",1,IF(AND($D77="yes",S$7="Block"),INDEX($O617:$Q617,1,MATCH(S$5,$I11:$K11,0)),INDEX(Movements!$G617:$M617,1,MATCH(S$7,Movements!$G$614:$M$614,0))))
*S1025*S$8,0)</f>
        <v>0</v>
      </c>
      <c r="T347" s="198">
        <f>_xlfn.IFNA(IF(T$7="Fixed",1,IF(AND($D77="yes",T$7="Block"),INDEX($O617:$Q617,1,MATCH(T$5,$I11:$K11,0)),INDEX(Movements!$G617:$M617,1,MATCH(T$7,Movements!$G$614:$M$614,0))))
*T1025*T$8,0)</f>
        <v>0</v>
      </c>
      <c r="U347" s="198">
        <f>_xlfn.IFNA(IF(U$7="Fixed",1,IF(AND($D77="yes",U$7="Block"),INDEX($O617:$Q617,1,MATCH(U$5,$I11:$K11,0)),INDEX(Movements!$G617:$M617,1,MATCH(U$7,Movements!$G$614:$M$614,0))))
*U1025*U$8,0)</f>
        <v>0</v>
      </c>
      <c r="V347" s="198">
        <f>_xlfn.IFNA(IF(V$7="Fixed",1,IF(AND($D77="yes",V$7="Block"),INDEX($O617:$Q617,1,MATCH(V$5,$I11:$K11,0)),INDEX(Movements!$G617:$M617,1,MATCH(V$7,Movements!$G$614:$M$614,0))))
*V1025*V$8,0)</f>
        <v>0</v>
      </c>
      <c r="W347" s="198">
        <f>_xlfn.IFNA(IF(W$7="Fixed",1,IF(AND($D77="yes",W$7="Block"),INDEX($O617:$Q617,1,MATCH(W$5,$I11:$K11,0)),INDEX(Movements!$G617:$M617,1,MATCH(W$7,Movements!$G$614:$M$614,0))))
*W1025*W$8,0)</f>
        <v>0</v>
      </c>
      <c r="X347" s="198">
        <f>_xlfn.IFNA(IF(X$7="Fixed",1,IF(AND($D77="yes",X$7="Block"),INDEX($O617:$Q617,1,MATCH(X$5,$I11:$K11,0)),INDEX(Movements!$G617:$M617,1,MATCH(X$7,Movements!$G$614:$M$614,0))))
*X1025*X$8,0)</f>
        <v>0</v>
      </c>
      <c r="Y347" s="198">
        <f>_xlfn.IFNA(IF(Y$7="Fixed",1,IF(AND($D77="yes",Y$7="Block"),INDEX($O617:$Q617,1,MATCH(Y$5,$I11:$K11,0)),INDEX(Movements!$G617:$M617,1,MATCH(Y$7,Movements!$G$614:$M$614,0))))
*Y1025*Y$8,0)</f>
        <v>0</v>
      </c>
      <c r="Z347" s="198">
        <f>_xlfn.IFNA(IF(Z$7="Fixed",1,IF(AND($D77="yes",Z$7="Block"),INDEX($O617:$Q617,1,MATCH(Z$5,$I11:$K11,0)),INDEX(Movements!$G617:$M617,1,MATCH(Z$7,Movements!$G$614:$M$614,0))))
*Z1025*Z$8,0)</f>
        <v>0</v>
      </c>
      <c r="AA347" s="198">
        <f>_xlfn.IFNA(IF(AA$7="Fixed",1,IF(AND($D77="yes",AA$7="Block"),INDEX($O617:$Q617,1,MATCH(AA$5,$I11:$K11,0)),INDEX(Movements!$G617:$M617,1,MATCH(AA$7,Movements!$G$614:$M$614,0))))
*AA1025*AA$8,0)</f>
        <v>0</v>
      </c>
      <c r="AB347" s="198">
        <f>_xlfn.IFNA(IF(AB$7="Fixed",1,IF(AND($D77="yes",AB$7="Block"),INDEX($O617:$Q617,1,MATCH(AB$5,$I11:$K11,0)),INDEX(Movements!$G617:$M617,1,MATCH(AB$7,Movements!$G$614:$M$614,0))))
*AB1025*AB$8,0)</f>
        <v>0</v>
      </c>
      <c r="AC347" s="70"/>
      <c r="AD347" s="19"/>
      <c r="AE347" s="19"/>
      <c r="AF347" s="19"/>
      <c r="AG347" s="19"/>
    </row>
    <row r="348" spans="1:33" s="59" customFormat="1" outlineLevel="2" x14ac:dyDescent="0.2">
      <c r="A348" s="57"/>
      <c r="B348" s="98">
        <v>2</v>
      </c>
      <c r="C348" s="506" t="str">
        <f>IF(C78=0,0,IF(currentyear=RCPminus1,INDEX(Tariffs!$H$46:$H$120,MATCH(Movements!C78,Tariffs!$C$46:$C$120,0)),C78))</f>
        <v>Residential general light and power</v>
      </c>
      <c r="D348" s="505">
        <f t="shared" si="83"/>
        <v>0</v>
      </c>
      <c r="E348" s="505" t="str">
        <f t="shared" si="83"/>
        <v>no</v>
      </c>
      <c r="F348" s="58"/>
      <c r="G348" s="199">
        <f t="shared" si="84"/>
        <v>421.89362957883145</v>
      </c>
      <c r="H348" s="58"/>
      <c r="I348" s="198">
        <f>_xlfn.IFNA(IF(I$7="Fixed",1,IF(AND($D78="yes",I$7="Block"),INDEX($O618:$Q618,1,MATCH(I$5,$I12:$K12,0)),INDEX(Movements!$G618:$M618,1,MATCH(I$7,Movements!$G$614:$M$614,0))))
*I1026*I$8,0)</f>
        <v>192.31120000000001</v>
      </c>
      <c r="J348" s="198">
        <f>_xlfn.IFNA(IF(J$7="Fixed",1,IF(AND($D78="yes",J$7="Block"),INDEX($O618:$Q618,1,MATCH(J$5,$I12:$K12,0)),INDEX(Movements!$G618:$M618,1,MATCH(J$7,Movements!$G$614:$M$614,0))))
*J1026*J$8,0)</f>
        <v>229.58242957883144</v>
      </c>
      <c r="K348" s="198">
        <f>_xlfn.IFNA(IF(K$7="Fixed",1,IF(AND($D78="yes",K$7="Block"),INDEX($O618:$Q618,1,MATCH(K$5,$I12:$K12,0)),INDEX(Movements!$G618:$M618,1,MATCH(K$7,Movements!$G$614:$M$614,0))))
*K1026*K$8,0)</f>
        <v>0</v>
      </c>
      <c r="L348" s="198">
        <f>_xlfn.IFNA(IF(L$7="Fixed",1,IF(AND($D78="yes",L$7="Block"),INDEX($O618:$Q618,1,MATCH(L$5,$I12:$K12,0)),INDEX(Movements!$G618:$M618,1,MATCH(L$7,Movements!$G$614:$M$614,0))))
*L1026*L$8,0)</f>
        <v>0</v>
      </c>
      <c r="M348" s="198">
        <f>_xlfn.IFNA(IF(M$7="Fixed",1,IF(AND($D78="yes",M$7="Block"),INDEX($O618:$Q618,1,MATCH(M$5,$I12:$K12,0)),INDEX(Movements!$G618:$M618,1,MATCH(M$7,Movements!$G$614:$M$614,0))))
*M1026*M$8,0)</f>
        <v>0</v>
      </c>
      <c r="N348" s="198">
        <f>_xlfn.IFNA(IF(N$7="Fixed",1,IF(AND($D78="yes",N$7="Block"),INDEX($O618:$Q618,1,MATCH(N$5,$I12:$K12,0)),INDEX(Movements!$G618:$M618,1,MATCH(N$7,Movements!$G$614:$M$614,0))))
*N1026*N$8,0)</f>
        <v>0</v>
      </c>
      <c r="O348" s="198">
        <f>_xlfn.IFNA(IF(O$7="Fixed",1,IF(AND($D78="yes",O$7="Block"),INDEX($O618:$Q618,1,MATCH(O$5,$I12:$K12,0)),INDEX(Movements!$G618:$M618,1,MATCH(O$7,Movements!$G$614:$M$614,0))))
*O1026*O$8,0)</f>
        <v>0</v>
      </c>
      <c r="P348" s="198">
        <f>_xlfn.IFNA(IF(P$7="Fixed",1,IF(AND($D78="yes",P$7="Block"),INDEX($O618:$Q618,1,MATCH(P$5,$I12:$K12,0)),INDEX(Movements!$G618:$M618,1,MATCH(P$7,Movements!$G$614:$M$614,0))))
*P1026*P$8,0)</f>
        <v>0</v>
      </c>
      <c r="Q348" s="198">
        <f>_xlfn.IFNA(IF(Q$7="Fixed",1,IF(AND($D78="yes",Q$7="Block"),INDEX($O618:$Q618,1,MATCH(Q$5,$I12:$K12,0)),INDEX(Movements!$G618:$M618,1,MATCH(Q$7,Movements!$G$614:$M$614,0))))
*Q1026*Q$8,0)</f>
        <v>0</v>
      </c>
      <c r="R348" s="198">
        <f>_xlfn.IFNA(IF(R$7="Fixed",1,IF(AND($D78="yes",R$7="Block"),INDEX($O618:$Q618,1,MATCH(R$5,$I12:$K12,0)),INDEX(Movements!$G618:$M618,1,MATCH(R$7,Movements!$G$614:$M$614,0))))
*R1026*R$8,0)</f>
        <v>0</v>
      </c>
      <c r="S348" s="198">
        <f>_xlfn.IFNA(IF(S$7="Fixed",1,IF(AND($D78="yes",S$7="Block"),INDEX($O618:$Q618,1,MATCH(S$5,$I12:$K12,0)),INDEX(Movements!$G618:$M618,1,MATCH(S$7,Movements!$G$614:$M$614,0))))
*S1026*S$8,0)</f>
        <v>0</v>
      </c>
      <c r="T348" s="198">
        <f>_xlfn.IFNA(IF(T$7="Fixed",1,IF(AND($D78="yes",T$7="Block"),INDEX($O618:$Q618,1,MATCH(T$5,$I12:$K12,0)),INDEX(Movements!$G618:$M618,1,MATCH(T$7,Movements!$G$614:$M$614,0))))
*T1026*T$8,0)</f>
        <v>0</v>
      </c>
      <c r="U348" s="198">
        <f>_xlfn.IFNA(IF(U$7="Fixed",1,IF(AND($D78="yes",U$7="Block"),INDEX($O618:$Q618,1,MATCH(U$5,$I12:$K12,0)),INDEX(Movements!$G618:$M618,1,MATCH(U$7,Movements!$G$614:$M$614,0))))
*U1026*U$8,0)</f>
        <v>0</v>
      </c>
      <c r="V348" s="198">
        <f>_xlfn.IFNA(IF(V$7="Fixed",1,IF(AND($D78="yes",V$7="Block"),INDEX($O618:$Q618,1,MATCH(V$5,$I12:$K12,0)),INDEX(Movements!$G618:$M618,1,MATCH(V$7,Movements!$G$614:$M$614,0))))
*V1026*V$8,0)</f>
        <v>0</v>
      </c>
      <c r="W348" s="198">
        <f>_xlfn.IFNA(IF(W$7="Fixed",1,IF(AND($D78="yes",W$7="Block"),INDEX($O618:$Q618,1,MATCH(W$5,$I12:$K12,0)),INDEX(Movements!$G618:$M618,1,MATCH(W$7,Movements!$G$614:$M$614,0))))
*W1026*W$8,0)</f>
        <v>0</v>
      </c>
      <c r="X348" s="198">
        <f>_xlfn.IFNA(IF(X$7="Fixed",1,IF(AND($D78="yes",X$7="Block"),INDEX($O618:$Q618,1,MATCH(X$5,$I12:$K12,0)),INDEX(Movements!$G618:$M618,1,MATCH(X$7,Movements!$G$614:$M$614,0))))
*X1026*X$8,0)</f>
        <v>0</v>
      </c>
      <c r="Y348" s="198">
        <f>_xlfn.IFNA(IF(Y$7="Fixed",1,IF(AND($D78="yes",Y$7="Block"),INDEX($O618:$Q618,1,MATCH(Y$5,$I12:$K12,0)),INDEX(Movements!$G618:$M618,1,MATCH(Y$7,Movements!$G$614:$M$614,0))))
*Y1026*Y$8,0)</f>
        <v>0</v>
      </c>
      <c r="Z348" s="198">
        <f>_xlfn.IFNA(IF(Z$7="Fixed",1,IF(AND($D78="yes",Z$7="Block"),INDEX($O618:$Q618,1,MATCH(Z$5,$I12:$K12,0)),INDEX(Movements!$G618:$M618,1,MATCH(Z$7,Movements!$G$614:$M$614,0))))
*Z1026*Z$8,0)</f>
        <v>0</v>
      </c>
      <c r="AA348" s="198">
        <f>_xlfn.IFNA(IF(AA$7="Fixed",1,IF(AND($D78="yes",AA$7="Block"),INDEX($O618:$Q618,1,MATCH(AA$5,$I12:$K12,0)),INDEX(Movements!$G618:$M618,1,MATCH(AA$7,Movements!$G$614:$M$614,0))))
*AA1026*AA$8,0)</f>
        <v>0</v>
      </c>
      <c r="AB348" s="198">
        <f>_xlfn.IFNA(IF(AB$7="Fixed",1,IF(AND($D78="yes",AB$7="Block"),INDEX($O618:$Q618,1,MATCH(AB$5,$I12:$K12,0)),INDEX(Movements!$G618:$M618,1,MATCH(AB$7,Movements!$G$614:$M$614,0))))
*AB1026*AB$8,0)</f>
        <v>0</v>
      </c>
      <c r="AC348" s="70"/>
      <c r="AD348" s="57"/>
      <c r="AE348" s="57"/>
      <c r="AF348" s="57"/>
      <c r="AG348" s="57"/>
    </row>
    <row r="349" spans="1:33" outlineLevel="2" x14ac:dyDescent="0.2">
      <c r="A349" s="19"/>
      <c r="B349" s="97">
        <v>3</v>
      </c>
      <c r="C349" s="506" t="str">
        <f>IF(C79=0,0,IF(currentyear=RCPminus1,INDEX(Tariffs!$H$46:$H$120,MATCH(Movements!C79,Tariffs!$C$46:$C$120,0)),C79))</f>
        <v>Residential pay as you go</v>
      </c>
      <c r="D349" s="505">
        <f t="shared" si="83"/>
        <v>0</v>
      </c>
      <c r="E349" s="505" t="str">
        <f t="shared" si="83"/>
        <v>no</v>
      </c>
      <c r="F349" s="58"/>
      <c r="G349" s="199">
        <f t="shared" si="84"/>
        <v>193.88069999999999</v>
      </c>
      <c r="H349" s="58"/>
      <c r="I349" s="198">
        <f>_xlfn.IFNA(IF(I$7="Fixed",1,IF(AND($D79="yes",I$7="Block"),INDEX($O619:$Q619,1,MATCH(I$5,$I13:$K13,0)),INDEX(Movements!$G619:$M619,1,MATCH(I$7,Movements!$G$614:$M$614,0))))
*I1027*I$8,0)</f>
        <v>193.88069999999999</v>
      </c>
      <c r="J349" s="198">
        <f>_xlfn.IFNA(IF(J$7="Fixed",1,IF(AND($D79="yes",J$7="Block"),INDEX($O619:$Q619,1,MATCH(J$5,$I13:$K13,0)),INDEX(Movements!$G619:$M619,1,MATCH(J$7,Movements!$G$614:$M$614,0))))
*J1027*J$8,0)</f>
        <v>0</v>
      </c>
      <c r="K349" s="198">
        <f>_xlfn.IFNA(IF(K$7="Fixed",1,IF(AND($D79="yes",K$7="Block"),INDEX($O619:$Q619,1,MATCH(K$5,$I13:$K13,0)),INDEX(Movements!$G619:$M619,1,MATCH(K$7,Movements!$G$614:$M$614,0))))
*K1027*K$8,0)</f>
        <v>0</v>
      </c>
      <c r="L349" s="198">
        <f>_xlfn.IFNA(IF(L$7="Fixed",1,IF(AND($D79="yes",L$7="Block"),INDEX($O619:$Q619,1,MATCH(L$5,$I13:$K13,0)),INDEX(Movements!$G619:$M619,1,MATCH(L$7,Movements!$G$614:$M$614,0))))
*L1027*L$8,0)</f>
        <v>0</v>
      </c>
      <c r="M349" s="198">
        <f>_xlfn.IFNA(IF(M$7="Fixed",1,IF(AND($D79="yes",M$7="Block"),INDEX($O619:$Q619,1,MATCH(M$5,$I13:$K13,0)),INDEX(Movements!$G619:$M619,1,MATCH(M$7,Movements!$G$614:$M$614,0))))
*M1027*M$8,0)</f>
        <v>0</v>
      </c>
      <c r="N349" s="198">
        <f>_xlfn.IFNA(IF(N$7="Fixed",1,IF(AND($D79="yes",N$7="Block"),INDEX($O619:$Q619,1,MATCH(N$5,$I13:$K13,0)),INDEX(Movements!$G619:$M619,1,MATCH(N$7,Movements!$G$614:$M$614,0))))
*N1027*N$8,0)</f>
        <v>0</v>
      </c>
      <c r="O349" s="198">
        <f>_xlfn.IFNA(IF(O$7="Fixed",1,IF(AND($D79="yes",O$7="Block"),INDEX($O619:$Q619,1,MATCH(O$5,$I13:$K13,0)),INDEX(Movements!$G619:$M619,1,MATCH(O$7,Movements!$G$614:$M$614,0))))
*O1027*O$8,0)</f>
        <v>0</v>
      </c>
      <c r="P349" s="198">
        <f>_xlfn.IFNA(IF(P$7="Fixed",1,IF(AND($D79="yes",P$7="Block"),INDEX($O619:$Q619,1,MATCH(P$5,$I13:$K13,0)),INDEX(Movements!$G619:$M619,1,MATCH(P$7,Movements!$G$614:$M$614,0))))
*P1027*P$8,0)</f>
        <v>0</v>
      </c>
      <c r="Q349" s="198">
        <f>_xlfn.IFNA(IF(Q$7="Fixed",1,IF(AND($D79="yes",Q$7="Block"),INDEX($O619:$Q619,1,MATCH(Q$5,$I13:$K13,0)),INDEX(Movements!$G619:$M619,1,MATCH(Q$7,Movements!$G$614:$M$614,0))))
*Q1027*Q$8,0)</f>
        <v>0</v>
      </c>
      <c r="R349" s="198">
        <f>_xlfn.IFNA(IF(R$7="Fixed",1,IF(AND($D79="yes",R$7="Block"),INDEX($O619:$Q619,1,MATCH(R$5,$I13:$K13,0)),INDEX(Movements!$G619:$M619,1,MATCH(R$7,Movements!$G$614:$M$614,0))))
*R1027*R$8,0)</f>
        <v>0</v>
      </c>
      <c r="S349" s="198">
        <f>_xlfn.IFNA(IF(S$7="Fixed",1,IF(AND($D79="yes",S$7="Block"),INDEX($O619:$Q619,1,MATCH(S$5,$I13:$K13,0)),INDEX(Movements!$G619:$M619,1,MATCH(S$7,Movements!$G$614:$M$614,0))))
*S1027*S$8,0)</f>
        <v>0</v>
      </c>
      <c r="T349" s="198">
        <f>_xlfn.IFNA(IF(T$7="Fixed",1,IF(AND($D79="yes",T$7="Block"),INDEX($O619:$Q619,1,MATCH(T$5,$I13:$K13,0)),INDEX(Movements!$G619:$M619,1,MATCH(T$7,Movements!$G$614:$M$614,0))))
*T1027*T$8,0)</f>
        <v>0</v>
      </c>
      <c r="U349" s="198">
        <f>_xlfn.IFNA(IF(U$7="Fixed",1,IF(AND($D79="yes",U$7="Block"),INDEX($O619:$Q619,1,MATCH(U$5,$I13:$K13,0)),INDEX(Movements!$G619:$M619,1,MATCH(U$7,Movements!$G$614:$M$614,0))))
*U1027*U$8,0)</f>
        <v>0</v>
      </c>
      <c r="V349" s="198">
        <f>_xlfn.IFNA(IF(V$7="Fixed",1,IF(AND($D79="yes",V$7="Block"),INDEX($O619:$Q619,1,MATCH(V$5,$I13:$K13,0)),INDEX(Movements!$G619:$M619,1,MATCH(V$7,Movements!$G$614:$M$614,0))))
*V1027*V$8,0)</f>
        <v>0</v>
      </c>
      <c r="W349" s="198">
        <f>_xlfn.IFNA(IF(W$7="Fixed",1,IF(AND($D79="yes",W$7="Block"),INDEX($O619:$Q619,1,MATCH(W$5,$I13:$K13,0)),INDEX(Movements!$G619:$M619,1,MATCH(W$7,Movements!$G$614:$M$614,0))))
*W1027*W$8,0)</f>
        <v>0</v>
      </c>
      <c r="X349" s="198">
        <f>_xlfn.IFNA(IF(X$7="Fixed",1,IF(AND($D79="yes",X$7="Block"),INDEX($O619:$Q619,1,MATCH(X$5,$I13:$K13,0)),INDEX(Movements!$G619:$M619,1,MATCH(X$7,Movements!$G$614:$M$614,0))))
*X1027*X$8,0)</f>
        <v>0</v>
      </c>
      <c r="Y349" s="198">
        <f>_xlfn.IFNA(IF(Y$7="Fixed",1,IF(AND($D79="yes",Y$7="Block"),INDEX($O619:$Q619,1,MATCH(Y$5,$I13:$K13,0)),INDEX(Movements!$G619:$M619,1,MATCH(Y$7,Movements!$G$614:$M$614,0))))
*Y1027*Y$8,0)</f>
        <v>0</v>
      </c>
      <c r="Z349" s="198">
        <f>_xlfn.IFNA(IF(Z$7="Fixed",1,IF(AND($D79="yes",Z$7="Block"),INDEX($O619:$Q619,1,MATCH(Z$5,$I13:$K13,0)),INDEX(Movements!$G619:$M619,1,MATCH(Z$7,Movements!$G$614:$M$614,0))))
*Z1027*Z$8,0)</f>
        <v>0</v>
      </c>
      <c r="AA349" s="198">
        <f>_xlfn.IFNA(IF(AA$7="Fixed",1,IF(AND($D79="yes",AA$7="Block"),INDEX($O619:$Q619,1,MATCH(AA$5,$I13:$K13,0)),INDEX(Movements!$G619:$M619,1,MATCH(AA$7,Movements!$G$614:$M$614,0))))
*AA1027*AA$8,0)</f>
        <v>0</v>
      </c>
      <c r="AB349" s="198">
        <f>_xlfn.IFNA(IF(AB$7="Fixed",1,IF(AND($D79="yes",AB$7="Block"),INDEX($O619:$Q619,1,MATCH(AB$5,$I13:$K13,0)),INDEX(Movements!$G619:$M619,1,MATCH(AB$7,Movements!$G$614:$M$614,0))))
*AB1027*AB$8,0)</f>
        <v>0</v>
      </c>
      <c r="AC349" s="70"/>
      <c r="AD349" s="19"/>
      <c r="AE349" s="19"/>
      <c r="AF349" s="19"/>
      <c r="AG349" s="19"/>
    </row>
    <row r="350" spans="1:33" outlineLevel="2" x14ac:dyDescent="0.2">
      <c r="A350" s="19"/>
      <c r="B350" s="97">
        <v>4</v>
      </c>
      <c r="C350" s="506" t="str">
        <f>IF(C80=0,0,IF(currentyear=RCPminus1,INDEX(Tariffs!$H$46:$H$120,MATCH(Movements!C80,Tariffs!$C$46:$C$120,0)),C80))</f>
        <v>Residential pay as you go time of use</v>
      </c>
      <c r="D350" s="505">
        <f t="shared" si="83"/>
        <v>0</v>
      </c>
      <c r="E350" s="505" t="str">
        <f t="shared" si="83"/>
        <v>no</v>
      </c>
      <c r="F350" s="58"/>
      <c r="G350" s="199">
        <f t="shared" si="84"/>
        <v>210.24365</v>
      </c>
      <c r="H350" s="58"/>
      <c r="I350" s="198">
        <f>_xlfn.IFNA(IF(I$7="Fixed",1,IF(AND($D80="yes",I$7="Block"),INDEX($O620:$Q620,1,MATCH(I$5,$I14:$K14,0)),INDEX(Movements!$G620:$M620,1,MATCH(I$7,Movements!$G$614:$M$614,0))))
*I1028*I$8,0)</f>
        <v>210.24365</v>
      </c>
      <c r="J350" s="198">
        <f>_xlfn.IFNA(IF(J$7="Fixed",1,IF(AND($D80="yes",J$7="Block"),INDEX($O620:$Q620,1,MATCH(J$5,$I14:$K14,0)),INDEX(Movements!$G620:$M620,1,MATCH(J$7,Movements!$G$614:$M$614,0))))
*J1028*J$8,0)</f>
        <v>0</v>
      </c>
      <c r="K350" s="198">
        <f>_xlfn.IFNA(IF(K$7="Fixed",1,IF(AND($D80="yes",K$7="Block"),INDEX($O620:$Q620,1,MATCH(K$5,$I14:$K14,0)),INDEX(Movements!$G620:$M620,1,MATCH(K$7,Movements!$G$614:$M$614,0))))
*K1028*K$8,0)</f>
        <v>0</v>
      </c>
      <c r="L350" s="198">
        <f>_xlfn.IFNA(IF(L$7="Fixed",1,IF(AND($D80="yes",L$7="Block"),INDEX($O620:$Q620,1,MATCH(L$5,$I14:$K14,0)),INDEX(Movements!$G620:$M620,1,MATCH(L$7,Movements!$G$614:$M$614,0))))
*L1028*L$8,0)</f>
        <v>0</v>
      </c>
      <c r="M350" s="198">
        <f>_xlfn.IFNA(IF(M$7="Fixed",1,IF(AND($D80="yes",M$7="Block"),INDEX($O620:$Q620,1,MATCH(M$5,$I14:$K14,0)),INDEX(Movements!$G620:$M620,1,MATCH(M$7,Movements!$G$614:$M$614,0))))
*M1028*M$8,0)</f>
        <v>0</v>
      </c>
      <c r="N350" s="198">
        <f>_xlfn.IFNA(IF(N$7="Fixed",1,IF(AND($D80="yes",N$7="Block"),INDEX($O620:$Q620,1,MATCH(N$5,$I14:$K14,0)),INDEX(Movements!$G620:$M620,1,MATCH(N$7,Movements!$G$614:$M$614,0))))
*N1028*N$8,0)</f>
        <v>0</v>
      </c>
      <c r="O350" s="198">
        <f>_xlfn.IFNA(IF(O$7="Fixed",1,IF(AND($D80="yes",O$7="Block"),INDEX($O620:$Q620,1,MATCH(O$5,$I14:$K14,0)),INDEX(Movements!$G620:$M620,1,MATCH(O$7,Movements!$G$614:$M$614,0))))
*O1028*O$8,0)</f>
        <v>0</v>
      </c>
      <c r="P350" s="198">
        <f>_xlfn.IFNA(IF(P$7="Fixed",1,IF(AND($D80="yes",P$7="Block"),INDEX($O620:$Q620,1,MATCH(P$5,$I14:$K14,0)),INDEX(Movements!$G620:$M620,1,MATCH(P$7,Movements!$G$614:$M$614,0))))
*P1028*P$8,0)</f>
        <v>0</v>
      </c>
      <c r="Q350" s="198">
        <f>_xlfn.IFNA(IF(Q$7="Fixed",1,IF(AND($D80="yes",Q$7="Block"),INDEX($O620:$Q620,1,MATCH(Q$5,$I14:$K14,0)),INDEX(Movements!$G620:$M620,1,MATCH(Q$7,Movements!$G$614:$M$614,0))))
*Q1028*Q$8,0)</f>
        <v>0</v>
      </c>
      <c r="R350" s="198">
        <f>_xlfn.IFNA(IF(R$7="Fixed",1,IF(AND($D80="yes",R$7="Block"),INDEX($O620:$Q620,1,MATCH(R$5,$I14:$K14,0)),INDEX(Movements!$G620:$M620,1,MATCH(R$7,Movements!$G$614:$M$614,0))))
*R1028*R$8,0)</f>
        <v>0</v>
      </c>
      <c r="S350" s="198">
        <f>_xlfn.IFNA(IF(S$7="Fixed",1,IF(AND($D80="yes",S$7="Block"),INDEX($O620:$Q620,1,MATCH(S$5,$I14:$K14,0)),INDEX(Movements!$G620:$M620,1,MATCH(S$7,Movements!$G$614:$M$614,0))))
*S1028*S$8,0)</f>
        <v>0</v>
      </c>
      <c r="T350" s="198">
        <f>_xlfn.IFNA(IF(T$7="Fixed",1,IF(AND($D80="yes",T$7="Block"),INDEX($O620:$Q620,1,MATCH(T$5,$I14:$K14,0)),INDEX(Movements!$G620:$M620,1,MATCH(T$7,Movements!$G$614:$M$614,0))))
*T1028*T$8,0)</f>
        <v>0</v>
      </c>
      <c r="U350" s="198">
        <f>_xlfn.IFNA(IF(U$7="Fixed",1,IF(AND($D80="yes",U$7="Block"),INDEX($O620:$Q620,1,MATCH(U$5,$I14:$K14,0)),INDEX(Movements!$G620:$M620,1,MATCH(U$7,Movements!$G$614:$M$614,0))))
*U1028*U$8,0)</f>
        <v>0</v>
      </c>
      <c r="V350" s="198">
        <f>_xlfn.IFNA(IF(V$7="Fixed",1,IF(AND($D80="yes",V$7="Block"),INDEX($O620:$Q620,1,MATCH(V$5,$I14:$K14,0)),INDEX(Movements!$G620:$M620,1,MATCH(V$7,Movements!$G$614:$M$614,0))))
*V1028*V$8,0)</f>
        <v>0</v>
      </c>
      <c r="W350" s="198">
        <f>_xlfn.IFNA(IF(W$7="Fixed",1,IF(AND($D80="yes",W$7="Block"),INDEX($O620:$Q620,1,MATCH(W$5,$I14:$K14,0)),INDEX(Movements!$G620:$M620,1,MATCH(W$7,Movements!$G$614:$M$614,0))))
*W1028*W$8,0)</f>
        <v>0</v>
      </c>
      <c r="X350" s="198">
        <f>_xlfn.IFNA(IF(X$7="Fixed",1,IF(AND($D80="yes",X$7="Block"),INDEX($O620:$Q620,1,MATCH(X$5,$I14:$K14,0)),INDEX(Movements!$G620:$M620,1,MATCH(X$7,Movements!$G$614:$M$614,0))))
*X1028*X$8,0)</f>
        <v>0</v>
      </c>
      <c r="Y350" s="198">
        <f>_xlfn.IFNA(IF(Y$7="Fixed",1,IF(AND($D80="yes",Y$7="Block"),INDEX($O620:$Q620,1,MATCH(Y$5,$I14:$K14,0)),INDEX(Movements!$G620:$M620,1,MATCH(Y$7,Movements!$G$614:$M$614,0))))
*Y1028*Y$8,0)</f>
        <v>0</v>
      </c>
      <c r="Z350" s="198">
        <f>_xlfn.IFNA(IF(Z$7="Fixed",1,IF(AND($D80="yes",Z$7="Block"),INDEX($O620:$Q620,1,MATCH(Z$5,$I14:$K14,0)),INDEX(Movements!$G620:$M620,1,MATCH(Z$7,Movements!$G$614:$M$614,0))))
*Z1028*Z$8,0)</f>
        <v>0</v>
      </c>
      <c r="AA350" s="198">
        <f>_xlfn.IFNA(IF(AA$7="Fixed",1,IF(AND($D80="yes",AA$7="Block"),INDEX($O620:$Q620,1,MATCH(AA$5,$I14:$K14,0)),INDEX(Movements!$G620:$M620,1,MATCH(AA$7,Movements!$G$614:$M$614,0))))
*AA1028*AA$8,0)</f>
        <v>0</v>
      </c>
      <c r="AB350" s="198">
        <f>_xlfn.IFNA(IF(AB$7="Fixed",1,IF(AND($D80="yes",AB$7="Block"),INDEX($O620:$Q620,1,MATCH(AB$5,$I14:$K14,0)),INDEX(Movements!$G620:$M620,1,MATCH(AB$7,Movements!$G$614:$M$614,0))))
*AB1028*AB$8,0)</f>
        <v>0</v>
      </c>
      <c r="AC350" s="70"/>
      <c r="AD350" s="19"/>
      <c r="AE350" s="19"/>
      <c r="AF350" s="19"/>
      <c r="AG350" s="19"/>
    </row>
    <row r="351" spans="1:33" outlineLevel="2" x14ac:dyDescent="0.2">
      <c r="A351" s="19"/>
      <c r="B351" s="97">
        <v>5</v>
      </c>
      <c r="C351" s="506">
        <f>IF(C81=0,0,IF(currentyear=RCPminus1,INDEX(Tariffs!$H$46:$H$120,MATCH(Movements!C81,Tariffs!$C$46:$C$120,0)),C81))</f>
        <v>0</v>
      </c>
      <c r="D351" s="505">
        <f t="shared" si="83"/>
        <v>0</v>
      </c>
      <c r="E351" s="505">
        <f t="shared" si="83"/>
        <v>0</v>
      </c>
      <c r="F351" s="58"/>
      <c r="G351" s="199">
        <f t="shared" si="84"/>
        <v>0</v>
      </c>
      <c r="H351" s="58"/>
      <c r="I351" s="198">
        <f>_xlfn.IFNA(IF(I$7="Fixed",1,IF(AND($D81="yes",I$7="Block"),INDEX($O621:$Q621,1,MATCH(I$5,$I15:$K15,0)),INDEX(Movements!$G621:$M621,1,MATCH(I$7,Movements!$G$614:$M$614,0))))
*I1029*I$8,0)</f>
        <v>0</v>
      </c>
      <c r="J351" s="198">
        <f>_xlfn.IFNA(IF(J$7="Fixed",1,IF(AND($D81="yes",J$7="Block"),INDEX($O621:$Q621,1,MATCH(J$5,$I15:$K15,0)),INDEX(Movements!$G621:$M621,1,MATCH(J$7,Movements!$G$614:$M$614,0))))
*J1029*J$8,0)</f>
        <v>0</v>
      </c>
      <c r="K351" s="198">
        <f>_xlfn.IFNA(IF(K$7="Fixed",1,IF(AND($D81="yes",K$7="Block"),INDEX($O621:$Q621,1,MATCH(K$5,$I15:$K15,0)),INDEX(Movements!$G621:$M621,1,MATCH(K$7,Movements!$G$614:$M$614,0))))
*K1029*K$8,0)</f>
        <v>0</v>
      </c>
      <c r="L351" s="198">
        <f>_xlfn.IFNA(IF(L$7="Fixed",1,IF(AND($D81="yes",L$7="Block"),INDEX($O621:$Q621,1,MATCH(L$5,$I15:$K15,0)),INDEX(Movements!$G621:$M621,1,MATCH(L$7,Movements!$G$614:$M$614,0))))
*L1029*L$8,0)</f>
        <v>0</v>
      </c>
      <c r="M351" s="198">
        <f>_xlfn.IFNA(IF(M$7="Fixed",1,IF(AND($D81="yes",M$7="Block"),INDEX($O621:$Q621,1,MATCH(M$5,$I15:$K15,0)),INDEX(Movements!$G621:$M621,1,MATCH(M$7,Movements!$G$614:$M$614,0))))
*M1029*M$8,0)</f>
        <v>0</v>
      </c>
      <c r="N351" s="198">
        <f>_xlfn.IFNA(IF(N$7="Fixed",1,IF(AND($D81="yes",N$7="Block"),INDEX($O621:$Q621,1,MATCH(N$5,$I15:$K15,0)),INDEX(Movements!$G621:$M621,1,MATCH(N$7,Movements!$G$614:$M$614,0))))
*N1029*N$8,0)</f>
        <v>0</v>
      </c>
      <c r="O351" s="198">
        <f>_xlfn.IFNA(IF(O$7="Fixed",1,IF(AND($D81="yes",O$7="Block"),INDEX($O621:$Q621,1,MATCH(O$5,$I15:$K15,0)),INDEX(Movements!$G621:$M621,1,MATCH(O$7,Movements!$G$614:$M$614,0))))
*O1029*O$8,0)</f>
        <v>0</v>
      </c>
      <c r="P351" s="198">
        <f>_xlfn.IFNA(IF(P$7="Fixed",1,IF(AND($D81="yes",P$7="Block"),INDEX($O621:$Q621,1,MATCH(P$5,$I15:$K15,0)),INDEX(Movements!$G621:$M621,1,MATCH(P$7,Movements!$G$614:$M$614,0))))
*P1029*P$8,0)</f>
        <v>0</v>
      </c>
      <c r="Q351" s="198">
        <f>_xlfn.IFNA(IF(Q$7="Fixed",1,IF(AND($D81="yes",Q$7="Block"),INDEX($O621:$Q621,1,MATCH(Q$5,$I15:$K15,0)),INDEX(Movements!$G621:$M621,1,MATCH(Q$7,Movements!$G$614:$M$614,0))))
*Q1029*Q$8,0)</f>
        <v>0</v>
      </c>
      <c r="R351" s="198">
        <f>_xlfn.IFNA(IF(R$7="Fixed",1,IF(AND($D81="yes",R$7="Block"),INDEX($O621:$Q621,1,MATCH(R$5,$I15:$K15,0)),INDEX(Movements!$G621:$M621,1,MATCH(R$7,Movements!$G$614:$M$614,0))))
*R1029*R$8,0)</f>
        <v>0</v>
      </c>
      <c r="S351" s="198">
        <f>_xlfn.IFNA(IF(S$7="Fixed",1,IF(AND($D81="yes",S$7="Block"),INDEX($O621:$Q621,1,MATCH(S$5,$I15:$K15,0)),INDEX(Movements!$G621:$M621,1,MATCH(S$7,Movements!$G$614:$M$614,0))))
*S1029*S$8,0)</f>
        <v>0</v>
      </c>
      <c r="T351" s="198">
        <f>_xlfn.IFNA(IF(T$7="Fixed",1,IF(AND($D81="yes",T$7="Block"),INDEX($O621:$Q621,1,MATCH(T$5,$I15:$K15,0)),INDEX(Movements!$G621:$M621,1,MATCH(T$7,Movements!$G$614:$M$614,0))))
*T1029*T$8,0)</f>
        <v>0</v>
      </c>
      <c r="U351" s="198">
        <f>_xlfn.IFNA(IF(U$7="Fixed",1,IF(AND($D81="yes",U$7="Block"),INDEX($O621:$Q621,1,MATCH(U$5,$I15:$K15,0)),INDEX(Movements!$G621:$M621,1,MATCH(U$7,Movements!$G$614:$M$614,0))))
*U1029*U$8,0)</f>
        <v>0</v>
      </c>
      <c r="V351" s="198">
        <f>_xlfn.IFNA(IF(V$7="Fixed",1,IF(AND($D81="yes",V$7="Block"),INDEX($O621:$Q621,1,MATCH(V$5,$I15:$K15,0)),INDEX(Movements!$G621:$M621,1,MATCH(V$7,Movements!$G$614:$M$614,0))))
*V1029*V$8,0)</f>
        <v>0</v>
      </c>
      <c r="W351" s="198">
        <f>_xlfn.IFNA(IF(W$7="Fixed",1,IF(AND($D81="yes",W$7="Block"),INDEX($O621:$Q621,1,MATCH(W$5,$I15:$K15,0)),INDEX(Movements!$G621:$M621,1,MATCH(W$7,Movements!$G$614:$M$614,0))))
*W1029*W$8,0)</f>
        <v>0</v>
      </c>
      <c r="X351" s="198">
        <f>_xlfn.IFNA(IF(X$7="Fixed",1,IF(AND($D81="yes",X$7="Block"),INDEX($O621:$Q621,1,MATCH(X$5,$I15:$K15,0)),INDEX(Movements!$G621:$M621,1,MATCH(X$7,Movements!$G$614:$M$614,0))))
*X1029*X$8,0)</f>
        <v>0</v>
      </c>
      <c r="Y351" s="198">
        <f>_xlfn.IFNA(IF(Y$7="Fixed",1,IF(AND($D81="yes",Y$7="Block"),INDEX($O621:$Q621,1,MATCH(Y$5,$I15:$K15,0)),INDEX(Movements!$G621:$M621,1,MATCH(Y$7,Movements!$G$614:$M$614,0))))
*Y1029*Y$8,0)</f>
        <v>0</v>
      </c>
      <c r="Z351" s="198">
        <f>_xlfn.IFNA(IF(Z$7="Fixed",1,IF(AND($D81="yes",Z$7="Block"),INDEX($O621:$Q621,1,MATCH(Z$5,$I15:$K15,0)),INDEX(Movements!$G621:$M621,1,MATCH(Z$7,Movements!$G$614:$M$614,0))))
*Z1029*Z$8,0)</f>
        <v>0</v>
      </c>
      <c r="AA351" s="198">
        <f>_xlfn.IFNA(IF(AA$7="Fixed",1,IF(AND($D81="yes",AA$7="Block"),INDEX($O621:$Q621,1,MATCH(AA$5,$I15:$K15,0)),INDEX(Movements!$G621:$M621,1,MATCH(AA$7,Movements!$G$614:$M$614,0))))
*AA1029*AA$8,0)</f>
        <v>0</v>
      </c>
      <c r="AB351" s="198">
        <f>_xlfn.IFNA(IF(AB$7="Fixed",1,IF(AND($D81="yes",AB$7="Block"),INDEX($O621:$Q621,1,MATCH(AB$5,$I15:$K15,0)),INDEX(Movements!$G621:$M621,1,MATCH(AB$7,Movements!$G$614:$M$614,0))))
*AB1029*AB$8,0)</f>
        <v>0</v>
      </c>
      <c r="AC351" s="70"/>
      <c r="AD351" s="19"/>
      <c r="AE351" s="19"/>
      <c r="AF351" s="19"/>
      <c r="AG351" s="19"/>
    </row>
    <row r="352" spans="1:33" hidden="1" outlineLevel="3" x14ac:dyDescent="0.2">
      <c r="A352" s="19"/>
      <c r="B352" s="97">
        <v>6</v>
      </c>
      <c r="C352" s="506">
        <f>IF(C82=0,0,IF(currentyear=RCPminus1,INDEX(Tariffs!$H$46:$H$120,MATCH(Movements!C82,Tariffs!$C$46:$C$120,0)),C82))</f>
        <v>0</v>
      </c>
      <c r="D352" s="505">
        <f t="shared" si="83"/>
        <v>0</v>
      </c>
      <c r="E352" s="505">
        <f t="shared" si="83"/>
        <v>0</v>
      </c>
      <c r="F352" s="58"/>
      <c r="G352" s="199">
        <f t="shared" si="84"/>
        <v>0</v>
      </c>
      <c r="H352" s="58"/>
      <c r="I352" s="198">
        <f>_xlfn.IFNA(IF(I$7="Fixed",1,IF(AND($D82="yes",I$7="Block"),INDEX($O622:$Q622,1,MATCH(I$5,$I16:$K16,0)),INDEX(Movements!$G622:$M622,1,MATCH(I$7,Movements!$G$614:$M$614,0))))
*I1030*I$8,0)</f>
        <v>0</v>
      </c>
      <c r="J352" s="198">
        <f>_xlfn.IFNA(IF(J$7="Fixed",1,IF(AND($D82="yes",J$7="Block"),INDEX($O622:$Q622,1,MATCH(J$5,$I16:$K16,0)),INDEX(Movements!$G622:$M622,1,MATCH(J$7,Movements!$G$614:$M$614,0))))
*J1030*J$8,0)</f>
        <v>0</v>
      </c>
      <c r="K352" s="198">
        <f>_xlfn.IFNA(IF(K$7="Fixed",1,IF(AND($D82="yes",K$7="Block"),INDEX($O622:$Q622,1,MATCH(K$5,$I16:$K16,0)),INDEX(Movements!$G622:$M622,1,MATCH(K$7,Movements!$G$614:$M$614,0))))
*K1030*K$8,0)</f>
        <v>0</v>
      </c>
      <c r="L352" s="198">
        <f>_xlfn.IFNA(IF(L$7="Fixed",1,IF(AND($D82="yes",L$7="Block"),INDEX($O622:$Q622,1,MATCH(L$5,$I16:$K16,0)),INDEX(Movements!$G622:$M622,1,MATCH(L$7,Movements!$G$614:$M$614,0))))
*L1030*L$8,0)</f>
        <v>0</v>
      </c>
      <c r="M352" s="198">
        <f>_xlfn.IFNA(IF(M$7="Fixed",1,IF(AND($D82="yes",M$7="Block"),INDEX($O622:$Q622,1,MATCH(M$5,$I16:$K16,0)),INDEX(Movements!$G622:$M622,1,MATCH(M$7,Movements!$G$614:$M$614,0))))
*M1030*M$8,0)</f>
        <v>0</v>
      </c>
      <c r="N352" s="198">
        <f>_xlfn.IFNA(IF(N$7="Fixed",1,IF(AND($D82="yes",N$7="Block"),INDEX($O622:$Q622,1,MATCH(N$5,$I16:$K16,0)),INDEX(Movements!$G622:$M622,1,MATCH(N$7,Movements!$G$614:$M$614,0))))
*N1030*N$8,0)</f>
        <v>0</v>
      </c>
      <c r="O352" s="198">
        <f>_xlfn.IFNA(IF(O$7="Fixed",1,IF(AND($D82="yes",O$7="Block"),INDEX($O622:$Q622,1,MATCH(O$5,$I16:$K16,0)),INDEX(Movements!$G622:$M622,1,MATCH(O$7,Movements!$G$614:$M$614,0))))
*O1030*O$8,0)</f>
        <v>0</v>
      </c>
      <c r="P352" s="198">
        <f>_xlfn.IFNA(IF(P$7="Fixed",1,IF(AND($D82="yes",P$7="Block"),INDEX($O622:$Q622,1,MATCH(P$5,$I16:$K16,0)),INDEX(Movements!$G622:$M622,1,MATCH(P$7,Movements!$G$614:$M$614,0))))
*P1030*P$8,0)</f>
        <v>0</v>
      </c>
      <c r="Q352" s="198">
        <f>_xlfn.IFNA(IF(Q$7="Fixed",1,IF(AND($D82="yes",Q$7="Block"),INDEX($O622:$Q622,1,MATCH(Q$5,$I16:$K16,0)),INDEX(Movements!$G622:$M622,1,MATCH(Q$7,Movements!$G$614:$M$614,0))))
*Q1030*Q$8,0)</f>
        <v>0</v>
      </c>
      <c r="R352" s="198">
        <f>_xlfn.IFNA(IF(R$7="Fixed",1,IF(AND($D82="yes",R$7="Block"),INDEX($O622:$Q622,1,MATCH(R$5,$I16:$K16,0)),INDEX(Movements!$G622:$M622,1,MATCH(R$7,Movements!$G$614:$M$614,0))))
*R1030*R$8,0)</f>
        <v>0</v>
      </c>
      <c r="S352" s="198">
        <f>_xlfn.IFNA(IF(S$7="Fixed",1,IF(AND($D82="yes",S$7="Block"),INDEX($O622:$Q622,1,MATCH(S$5,$I16:$K16,0)),INDEX(Movements!$G622:$M622,1,MATCH(S$7,Movements!$G$614:$M$614,0))))
*S1030*S$8,0)</f>
        <v>0</v>
      </c>
      <c r="T352" s="198">
        <f>_xlfn.IFNA(IF(T$7="Fixed",1,IF(AND($D82="yes",T$7="Block"),INDEX($O622:$Q622,1,MATCH(T$5,$I16:$K16,0)),INDEX(Movements!$G622:$M622,1,MATCH(T$7,Movements!$G$614:$M$614,0))))
*T1030*T$8,0)</f>
        <v>0</v>
      </c>
      <c r="U352" s="198">
        <f>_xlfn.IFNA(IF(U$7="Fixed",1,IF(AND($D82="yes",U$7="Block"),INDEX($O622:$Q622,1,MATCH(U$5,$I16:$K16,0)),INDEX(Movements!$G622:$M622,1,MATCH(U$7,Movements!$G$614:$M$614,0))))
*U1030*U$8,0)</f>
        <v>0</v>
      </c>
      <c r="V352" s="198">
        <f>_xlfn.IFNA(IF(V$7="Fixed",1,IF(AND($D82="yes",V$7="Block"),INDEX($O622:$Q622,1,MATCH(V$5,$I16:$K16,0)),INDEX(Movements!$G622:$M622,1,MATCH(V$7,Movements!$G$614:$M$614,0))))
*V1030*V$8,0)</f>
        <v>0</v>
      </c>
      <c r="W352" s="198">
        <f>_xlfn.IFNA(IF(W$7="Fixed",1,IF(AND($D82="yes",W$7="Block"),INDEX($O622:$Q622,1,MATCH(W$5,$I16:$K16,0)),INDEX(Movements!$G622:$M622,1,MATCH(W$7,Movements!$G$614:$M$614,0))))
*W1030*W$8,0)</f>
        <v>0</v>
      </c>
      <c r="X352" s="198">
        <f>_xlfn.IFNA(IF(X$7="Fixed",1,IF(AND($D82="yes",X$7="Block"),INDEX($O622:$Q622,1,MATCH(X$5,$I16:$K16,0)),INDEX(Movements!$G622:$M622,1,MATCH(X$7,Movements!$G$614:$M$614,0))))
*X1030*X$8,0)</f>
        <v>0</v>
      </c>
      <c r="Y352" s="198">
        <f>_xlfn.IFNA(IF(Y$7="Fixed",1,IF(AND($D82="yes",Y$7="Block"),INDEX($O622:$Q622,1,MATCH(Y$5,$I16:$K16,0)),INDEX(Movements!$G622:$M622,1,MATCH(Y$7,Movements!$G$614:$M$614,0))))
*Y1030*Y$8,0)</f>
        <v>0</v>
      </c>
      <c r="Z352" s="198">
        <f>_xlfn.IFNA(IF(Z$7="Fixed",1,IF(AND($D82="yes",Z$7="Block"),INDEX($O622:$Q622,1,MATCH(Z$5,$I16:$K16,0)),INDEX(Movements!$G622:$M622,1,MATCH(Z$7,Movements!$G$614:$M$614,0))))
*Z1030*Z$8,0)</f>
        <v>0</v>
      </c>
      <c r="AA352" s="198">
        <f>_xlfn.IFNA(IF(AA$7="Fixed",1,IF(AND($D82="yes",AA$7="Block"),INDEX($O622:$Q622,1,MATCH(AA$5,$I16:$K16,0)),INDEX(Movements!$G622:$M622,1,MATCH(AA$7,Movements!$G$614:$M$614,0))))
*AA1030*AA$8,0)</f>
        <v>0</v>
      </c>
      <c r="AB352" s="198">
        <f>_xlfn.IFNA(IF(AB$7="Fixed",1,IF(AND($D82="yes",AB$7="Block"),INDEX($O622:$Q622,1,MATCH(AB$5,$I16:$K16,0)),INDEX(Movements!$G622:$M622,1,MATCH(AB$7,Movements!$G$614:$M$614,0))))
*AB1030*AB$8,0)</f>
        <v>0</v>
      </c>
      <c r="AC352" s="70"/>
      <c r="AD352" s="19"/>
      <c r="AE352" s="19"/>
      <c r="AF352" s="19"/>
      <c r="AG352" s="19"/>
    </row>
    <row r="353" spans="1:33" hidden="1" outlineLevel="3" x14ac:dyDescent="0.2">
      <c r="A353" s="19"/>
      <c r="B353" s="97">
        <v>7</v>
      </c>
      <c r="C353" s="506">
        <f>IF(C83=0,0,IF(currentyear=RCPminus1,INDEX(Tariffs!$H$46:$H$120,MATCH(Movements!C83,Tariffs!$C$46:$C$120,0)),C83))</f>
        <v>0</v>
      </c>
      <c r="D353" s="505">
        <f t="shared" si="83"/>
        <v>0</v>
      </c>
      <c r="E353" s="505">
        <f t="shared" si="83"/>
        <v>0</v>
      </c>
      <c r="F353" s="58"/>
      <c r="G353" s="199">
        <f t="shared" si="84"/>
        <v>0</v>
      </c>
      <c r="H353" s="58"/>
      <c r="I353" s="198">
        <f>_xlfn.IFNA(IF(I$7="Fixed",1,IF(AND($D83="yes",I$7="Block"),INDEX($O623:$Q623,1,MATCH(I$5,$I17:$K17,0)),INDEX(Movements!$G623:$M623,1,MATCH(I$7,Movements!$G$614:$M$614,0))))
*I1031*I$8,0)</f>
        <v>0</v>
      </c>
      <c r="J353" s="198">
        <f>_xlfn.IFNA(IF(J$7="Fixed",1,IF(AND($D83="yes",J$7="Block"),INDEX($O623:$Q623,1,MATCH(J$5,$I17:$K17,0)),INDEX(Movements!$G623:$M623,1,MATCH(J$7,Movements!$G$614:$M$614,0))))
*J1031*J$8,0)</f>
        <v>0</v>
      </c>
      <c r="K353" s="198">
        <f>_xlfn.IFNA(IF(K$7="Fixed",1,IF(AND($D83="yes",K$7="Block"),INDEX($O623:$Q623,1,MATCH(K$5,$I17:$K17,0)),INDEX(Movements!$G623:$M623,1,MATCH(K$7,Movements!$G$614:$M$614,0))))
*K1031*K$8,0)</f>
        <v>0</v>
      </c>
      <c r="L353" s="198">
        <f>_xlfn.IFNA(IF(L$7="Fixed",1,IF(AND($D83="yes",L$7="Block"),INDEX($O623:$Q623,1,MATCH(L$5,$I17:$K17,0)),INDEX(Movements!$G623:$M623,1,MATCH(L$7,Movements!$G$614:$M$614,0))))
*L1031*L$8,0)</f>
        <v>0</v>
      </c>
      <c r="M353" s="198">
        <f>_xlfn.IFNA(IF(M$7="Fixed",1,IF(AND($D83="yes",M$7="Block"),INDEX($O623:$Q623,1,MATCH(M$5,$I17:$K17,0)),INDEX(Movements!$G623:$M623,1,MATCH(M$7,Movements!$G$614:$M$614,0))))
*M1031*M$8,0)</f>
        <v>0</v>
      </c>
      <c r="N353" s="198">
        <f>_xlfn.IFNA(IF(N$7="Fixed",1,IF(AND($D83="yes",N$7="Block"),INDEX($O623:$Q623,1,MATCH(N$5,$I17:$K17,0)),INDEX(Movements!$G623:$M623,1,MATCH(N$7,Movements!$G$614:$M$614,0))))
*N1031*N$8,0)</f>
        <v>0</v>
      </c>
      <c r="O353" s="198">
        <f>_xlfn.IFNA(IF(O$7="Fixed",1,IF(AND($D83="yes",O$7="Block"),INDEX($O623:$Q623,1,MATCH(O$5,$I17:$K17,0)),INDEX(Movements!$G623:$M623,1,MATCH(O$7,Movements!$G$614:$M$614,0))))
*O1031*O$8,0)</f>
        <v>0</v>
      </c>
      <c r="P353" s="198">
        <f>_xlfn.IFNA(IF(P$7="Fixed",1,IF(AND($D83="yes",P$7="Block"),INDEX($O623:$Q623,1,MATCH(P$5,$I17:$K17,0)),INDEX(Movements!$G623:$M623,1,MATCH(P$7,Movements!$G$614:$M$614,0))))
*P1031*P$8,0)</f>
        <v>0</v>
      </c>
      <c r="Q353" s="198">
        <f>_xlfn.IFNA(IF(Q$7="Fixed",1,IF(AND($D83="yes",Q$7="Block"),INDEX($O623:$Q623,1,MATCH(Q$5,$I17:$K17,0)),INDEX(Movements!$G623:$M623,1,MATCH(Q$7,Movements!$G$614:$M$614,0))))
*Q1031*Q$8,0)</f>
        <v>0</v>
      </c>
      <c r="R353" s="198">
        <f>_xlfn.IFNA(IF(R$7="Fixed",1,IF(AND($D83="yes",R$7="Block"),INDEX($O623:$Q623,1,MATCH(R$5,$I17:$K17,0)),INDEX(Movements!$G623:$M623,1,MATCH(R$7,Movements!$G$614:$M$614,0))))
*R1031*R$8,0)</f>
        <v>0</v>
      </c>
      <c r="S353" s="198">
        <f>_xlfn.IFNA(IF(S$7="Fixed",1,IF(AND($D83="yes",S$7="Block"),INDEX($O623:$Q623,1,MATCH(S$5,$I17:$K17,0)),INDEX(Movements!$G623:$M623,1,MATCH(S$7,Movements!$G$614:$M$614,0))))
*S1031*S$8,0)</f>
        <v>0</v>
      </c>
      <c r="T353" s="198">
        <f>_xlfn.IFNA(IF(T$7="Fixed",1,IF(AND($D83="yes",T$7="Block"),INDEX($O623:$Q623,1,MATCH(T$5,$I17:$K17,0)),INDEX(Movements!$G623:$M623,1,MATCH(T$7,Movements!$G$614:$M$614,0))))
*T1031*T$8,0)</f>
        <v>0</v>
      </c>
      <c r="U353" s="198">
        <f>_xlfn.IFNA(IF(U$7="Fixed",1,IF(AND($D83="yes",U$7="Block"),INDEX($O623:$Q623,1,MATCH(U$5,$I17:$K17,0)),INDEX(Movements!$G623:$M623,1,MATCH(U$7,Movements!$G$614:$M$614,0))))
*U1031*U$8,0)</f>
        <v>0</v>
      </c>
      <c r="V353" s="198">
        <f>_xlfn.IFNA(IF(V$7="Fixed",1,IF(AND($D83="yes",V$7="Block"),INDEX($O623:$Q623,1,MATCH(V$5,$I17:$K17,0)),INDEX(Movements!$G623:$M623,1,MATCH(V$7,Movements!$G$614:$M$614,0))))
*V1031*V$8,0)</f>
        <v>0</v>
      </c>
      <c r="W353" s="198">
        <f>_xlfn.IFNA(IF(W$7="Fixed",1,IF(AND($D83="yes",W$7="Block"),INDEX($O623:$Q623,1,MATCH(W$5,$I17:$K17,0)),INDEX(Movements!$G623:$M623,1,MATCH(W$7,Movements!$G$614:$M$614,0))))
*W1031*W$8,0)</f>
        <v>0</v>
      </c>
      <c r="X353" s="198">
        <f>_xlfn.IFNA(IF(X$7="Fixed",1,IF(AND($D83="yes",X$7="Block"),INDEX($O623:$Q623,1,MATCH(X$5,$I17:$K17,0)),INDEX(Movements!$G623:$M623,1,MATCH(X$7,Movements!$G$614:$M$614,0))))
*X1031*X$8,0)</f>
        <v>0</v>
      </c>
      <c r="Y353" s="198">
        <f>_xlfn.IFNA(IF(Y$7="Fixed",1,IF(AND($D83="yes",Y$7="Block"),INDEX($O623:$Q623,1,MATCH(Y$5,$I17:$K17,0)),INDEX(Movements!$G623:$M623,1,MATCH(Y$7,Movements!$G$614:$M$614,0))))
*Y1031*Y$8,0)</f>
        <v>0</v>
      </c>
      <c r="Z353" s="198">
        <f>_xlfn.IFNA(IF(Z$7="Fixed",1,IF(AND($D83="yes",Z$7="Block"),INDEX($O623:$Q623,1,MATCH(Z$5,$I17:$K17,0)),INDEX(Movements!$G623:$M623,1,MATCH(Z$7,Movements!$G$614:$M$614,0))))
*Z1031*Z$8,0)</f>
        <v>0</v>
      </c>
      <c r="AA353" s="198">
        <f>_xlfn.IFNA(IF(AA$7="Fixed",1,IF(AND($D83="yes",AA$7="Block"),INDEX($O623:$Q623,1,MATCH(AA$5,$I17:$K17,0)),INDEX(Movements!$G623:$M623,1,MATCH(AA$7,Movements!$G$614:$M$614,0))))
*AA1031*AA$8,0)</f>
        <v>0</v>
      </c>
      <c r="AB353" s="198">
        <f>_xlfn.IFNA(IF(AB$7="Fixed",1,IF(AND($D83="yes",AB$7="Block"),INDEX($O623:$Q623,1,MATCH(AB$5,$I17:$K17,0)),INDEX(Movements!$G623:$M623,1,MATCH(AB$7,Movements!$G$614:$M$614,0))))
*AB1031*AB$8,0)</f>
        <v>0</v>
      </c>
      <c r="AC353" s="70"/>
      <c r="AD353" s="19"/>
      <c r="AE353" s="19"/>
      <c r="AF353" s="19"/>
      <c r="AG353" s="19"/>
    </row>
    <row r="354" spans="1:33" hidden="1" outlineLevel="3" x14ac:dyDescent="0.2">
      <c r="A354" s="19"/>
      <c r="B354" s="97">
        <v>8</v>
      </c>
      <c r="C354" s="506">
        <f>IF(C84=0,0,IF(currentyear=RCPminus1,INDEX(Tariffs!$H$46:$H$120,MATCH(Movements!C84,Tariffs!$C$46:$C$120,0)),C84))</f>
        <v>0</v>
      </c>
      <c r="D354" s="505">
        <f t="shared" si="83"/>
        <v>0</v>
      </c>
      <c r="E354" s="505">
        <f t="shared" si="83"/>
        <v>0</v>
      </c>
      <c r="F354" s="58"/>
      <c r="G354" s="199">
        <f t="shared" si="84"/>
        <v>0</v>
      </c>
      <c r="H354" s="58"/>
      <c r="I354" s="198">
        <f>_xlfn.IFNA(IF(I$7="Fixed",1,IF(AND($D84="yes",I$7="Block"),INDEX($O624:$Q624,1,MATCH(I$5,$I18:$K18,0)),INDEX(Movements!$G624:$M624,1,MATCH(I$7,Movements!$G$614:$M$614,0))))
*I1032*I$8,0)</f>
        <v>0</v>
      </c>
      <c r="J354" s="198">
        <f>_xlfn.IFNA(IF(J$7="Fixed",1,IF(AND($D84="yes",J$7="Block"),INDEX($O624:$Q624,1,MATCH(J$5,$I18:$K18,0)),INDEX(Movements!$G624:$M624,1,MATCH(J$7,Movements!$G$614:$M$614,0))))
*J1032*J$8,0)</f>
        <v>0</v>
      </c>
      <c r="K354" s="198">
        <f>_xlfn.IFNA(IF(K$7="Fixed",1,IF(AND($D84="yes",K$7="Block"),INDEX($O624:$Q624,1,MATCH(K$5,$I18:$K18,0)),INDEX(Movements!$G624:$M624,1,MATCH(K$7,Movements!$G$614:$M$614,0))))
*K1032*K$8,0)</f>
        <v>0</v>
      </c>
      <c r="L354" s="198">
        <f>_xlfn.IFNA(IF(L$7="Fixed",1,IF(AND($D84="yes",L$7="Block"),INDEX($O624:$Q624,1,MATCH(L$5,$I18:$K18,0)),INDEX(Movements!$G624:$M624,1,MATCH(L$7,Movements!$G$614:$M$614,0))))
*L1032*L$8,0)</f>
        <v>0</v>
      </c>
      <c r="M354" s="198">
        <f>_xlfn.IFNA(IF(M$7="Fixed",1,IF(AND($D84="yes",M$7="Block"),INDEX($O624:$Q624,1,MATCH(M$5,$I18:$K18,0)),INDEX(Movements!$G624:$M624,1,MATCH(M$7,Movements!$G$614:$M$614,0))))
*M1032*M$8,0)</f>
        <v>0</v>
      </c>
      <c r="N354" s="198">
        <f>_xlfn.IFNA(IF(N$7="Fixed",1,IF(AND($D84="yes",N$7="Block"),INDEX($O624:$Q624,1,MATCH(N$5,$I18:$K18,0)),INDEX(Movements!$G624:$M624,1,MATCH(N$7,Movements!$G$614:$M$614,0))))
*N1032*N$8,0)</f>
        <v>0</v>
      </c>
      <c r="O354" s="198">
        <f>_xlfn.IFNA(IF(O$7="Fixed",1,IF(AND($D84="yes",O$7="Block"),INDEX($O624:$Q624,1,MATCH(O$5,$I18:$K18,0)),INDEX(Movements!$G624:$M624,1,MATCH(O$7,Movements!$G$614:$M$614,0))))
*O1032*O$8,0)</f>
        <v>0</v>
      </c>
      <c r="P354" s="198">
        <f>_xlfn.IFNA(IF(P$7="Fixed",1,IF(AND($D84="yes",P$7="Block"),INDEX($O624:$Q624,1,MATCH(P$5,$I18:$K18,0)),INDEX(Movements!$G624:$M624,1,MATCH(P$7,Movements!$G$614:$M$614,0))))
*P1032*P$8,0)</f>
        <v>0</v>
      </c>
      <c r="Q354" s="198">
        <f>_xlfn.IFNA(IF(Q$7="Fixed",1,IF(AND($D84="yes",Q$7="Block"),INDEX($O624:$Q624,1,MATCH(Q$5,$I18:$K18,0)),INDEX(Movements!$G624:$M624,1,MATCH(Q$7,Movements!$G$614:$M$614,0))))
*Q1032*Q$8,0)</f>
        <v>0</v>
      </c>
      <c r="R354" s="198">
        <f>_xlfn.IFNA(IF(R$7="Fixed",1,IF(AND($D84="yes",R$7="Block"),INDEX($O624:$Q624,1,MATCH(R$5,$I18:$K18,0)),INDEX(Movements!$G624:$M624,1,MATCH(R$7,Movements!$G$614:$M$614,0))))
*R1032*R$8,0)</f>
        <v>0</v>
      </c>
      <c r="S354" s="198">
        <f>_xlfn.IFNA(IF(S$7="Fixed",1,IF(AND($D84="yes",S$7="Block"),INDEX($O624:$Q624,1,MATCH(S$5,$I18:$K18,0)),INDEX(Movements!$G624:$M624,1,MATCH(S$7,Movements!$G$614:$M$614,0))))
*S1032*S$8,0)</f>
        <v>0</v>
      </c>
      <c r="T354" s="198">
        <f>_xlfn.IFNA(IF(T$7="Fixed",1,IF(AND($D84="yes",T$7="Block"),INDEX($O624:$Q624,1,MATCH(T$5,$I18:$K18,0)),INDEX(Movements!$G624:$M624,1,MATCH(T$7,Movements!$G$614:$M$614,0))))
*T1032*T$8,0)</f>
        <v>0</v>
      </c>
      <c r="U354" s="198">
        <f>_xlfn.IFNA(IF(U$7="Fixed",1,IF(AND($D84="yes",U$7="Block"),INDEX($O624:$Q624,1,MATCH(U$5,$I18:$K18,0)),INDEX(Movements!$G624:$M624,1,MATCH(U$7,Movements!$G$614:$M$614,0))))
*U1032*U$8,0)</f>
        <v>0</v>
      </c>
      <c r="V354" s="198">
        <f>_xlfn.IFNA(IF(V$7="Fixed",1,IF(AND($D84="yes",V$7="Block"),INDEX($O624:$Q624,1,MATCH(V$5,$I18:$K18,0)),INDEX(Movements!$G624:$M624,1,MATCH(V$7,Movements!$G$614:$M$614,0))))
*V1032*V$8,0)</f>
        <v>0</v>
      </c>
      <c r="W354" s="198">
        <f>_xlfn.IFNA(IF(W$7="Fixed",1,IF(AND($D84="yes",W$7="Block"),INDEX($O624:$Q624,1,MATCH(W$5,$I18:$K18,0)),INDEX(Movements!$G624:$M624,1,MATCH(W$7,Movements!$G$614:$M$614,0))))
*W1032*W$8,0)</f>
        <v>0</v>
      </c>
      <c r="X354" s="198">
        <f>_xlfn.IFNA(IF(X$7="Fixed",1,IF(AND($D84="yes",X$7="Block"),INDEX($O624:$Q624,1,MATCH(X$5,$I18:$K18,0)),INDEX(Movements!$G624:$M624,1,MATCH(X$7,Movements!$G$614:$M$614,0))))
*X1032*X$8,0)</f>
        <v>0</v>
      </c>
      <c r="Y354" s="198">
        <f>_xlfn.IFNA(IF(Y$7="Fixed",1,IF(AND($D84="yes",Y$7="Block"),INDEX($O624:$Q624,1,MATCH(Y$5,$I18:$K18,0)),INDEX(Movements!$G624:$M624,1,MATCH(Y$7,Movements!$G$614:$M$614,0))))
*Y1032*Y$8,0)</f>
        <v>0</v>
      </c>
      <c r="Z354" s="198">
        <f>_xlfn.IFNA(IF(Z$7="Fixed",1,IF(AND($D84="yes",Z$7="Block"),INDEX($O624:$Q624,1,MATCH(Z$5,$I18:$K18,0)),INDEX(Movements!$G624:$M624,1,MATCH(Z$7,Movements!$G$614:$M$614,0))))
*Z1032*Z$8,0)</f>
        <v>0</v>
      </c>
      <c r="AA354" s="198">
        <f>_xlfn.IFNA(IF(AA$7="Fixed",1,IF(AND($D84="yes",AA$7="Block"),INDEX($O624:$Q624,1,MATCH(AA$5,$I18:$K18,0)),INDEX(Movements!$G624:$M624,1,MATCH(AA$7,Movements!$G$614:$M$614,0))))
*AA1032*AA$8,0)</f>
        <v>0</v>
      </c>
      <c r="AB354" s="198">
        <f>_xlfn.IFNA(IF(AB$7="Fixed",1,IF(AND($D84="yes",AB$7="Block"),INDEX($O624:$Q624,1,MATCH(AB$5,$I18:$K18,0)),INDEX(Movements!$G624:$M624,1,MATCH(AB$7,Movements!$G$614:$M$614,0))))
*AB1032*AB$8,0)</f>
        <v>0</v>
      </c>
      <c r="AC354" s="70"/>
      <c r="AD354" s="19"/>
      <c r="AE354" s="19"/>
      <c r="AF354" s="19"/>
      <c r="AG354" s="19"/>
    </row>
    <row r="355" spans="1:33" hidden="1" outlineLevel="3" x14ac:dyDescent="0.2">
      <c r="A355" s="19"/>
      <c r="B355" s="98">
        <v>9</v>
      </c>
      <c r="C355" s="506">
        <f>IF(C85=0,0,IF(currentyear=RCPminus1,INDEX(Tariffs!$H$46:$H$120,MATCH(Movements!C85,Tariffs!$C$46:$C$120,0)),C85))</f>
        <v>0</v>
      </c>
      <c r="D355" s="505">
        <f t="shared" si="83"/>
        <v>0</v>
      </c>
      <c r="E355" s="505">
        <f t="shared" si="83"/>
        <v>0</v>
      </c>
      <c r="F355" s="58"/>
      <c r="G355" s="199">
        <f t="shared" si="84"/>
        <v>0</v>
      </c>
      <c r="H355" s="58"/>
      <c r="I355" s="198">
        <f>_xlfn.IFNA(IF(I$7="Fixed",1,IF(AND($D85="yes",I$7="Block"),INDEX($O625:$Q625,1,MATCH(I$5,$I19:$K19,0)),INDEX(Movements!$G625:$M625,1,MATCH(I$7,Movements!$G$614:$M$614,0))))
*I1033*I$8,0)</f>
        <v>0</v>
      </c>
      <c r="J355" s="198">
        <f>_xlfn.IFNA(IF(J$7="Fixed",1,IF(AND($D85="yes",J$7="Block"),INDEX($O625:$Q625,1,MATCH(J$5,$I19:$K19,0)),INDEX(Movements!$G625:$M625,1,MATCH(J$7,Movements!$G$614:$M$614,0))))
*J1033*J$8,0)</f>
        <v>0</v>
      </c>
      <c r="K355" s="198">
        <f>_xlfn.IFNA(IF(K$7="Fixed",1,IF(AND($D85="yes",K$7="Block"),INDEX($O625:$Q625,1,MATCH(K$5,$I19:$K19,0)),INDEX(Movements!$G625:$M625,1,MATCH(K$7,Movements!$G$614:$M$614,0))))
*K1033*K$8,0)</f>
        <v>0</v>
      </c>
      <c r="L355" s="198">
        <f>_xlfn.IFNA(IF(L$7="Fixed",1,IF(AND($D85="yes",L$7="Block"),INDEX($O625:$Q625,1,MATCH(L$5,$I19:$K19,0)),INDEX(Movements!$G625:$M625,1,MATCH(L$7,Movements!$G$614:$M$614,0))))
*L1033*L$8,0)</f>
        <v>0</v>
      </c>
      <c r="M355" s="198">
        <f>_xlfn.IFNA(IF(M$7="Fixed",1,IF(AND($D85="yes",M$7="Block"),INDEX($O625:$Q625,1,MATCH(M$5,$I19:$K19,0)),INDEX(Movements!$G625:$M625,1,MATCH(M$7,Movements!$G$614:$M$614,0))))
*M1033*M$8,0)</f>
        <v>0</v>
      </c>
      <c r="N355" s="198">
        <f>_xlfn.IFNA(IF(N$7="Fixed",1,IF(AND($D85="yes",N$7="Block"),INDEX($O625:$Q625,1,MATCH(N$5,$I19:$K19,0)),INDEX(Movements!$G625:$M625,1,MATCH(N$7,Movements!$G$614:$M$614,0))))
*N1033*N$8,0)</f>
        <v>0</v>
      </c>
      <c r="O355" s="198">
        <f>_xlfn.IFNA(IF(O$7="Fixed",1,IF(AND($D85="yes",O$7="Block"),INDEX($O625:$Q625,1,MATCH(O$5,$I19:$K19,0)),INDEX(Movements!$G625:$M625,1,MATCH(O$7,Movements!$G$614:$M$614,0))))
*O1033*O$8,0)</f>
        <v>0</v>
      </c>
      <c r="P355" s="198">
        <f>_xlfn.IFNA(IF(P$7="Fixed",1,IF(AND($D85="yes",P$7="Block"),INDEX($O625:$Q625,1,MATCH(P$5,$I19:$K19,0)),INDEX(Movements!$G625:$M625,1,MATCH(P$7,Movements!$G$614:$M$614,0))))
*P1033*P$8,0)</f>
        <v>0</v>
      </c>
      <c r="Q355" s="198">
        <f>_xlfn.IFNA(IF(Q$7="Fixed",1,IF(AND($D85="yes",Q$7="Block"),INDEX($O625:$Q625,1,MATCH(Q$5,$I19:$K19,0)),INDEX(Movements!$G625:$M625,1,MATCH(Q$7,Movements!$G$614:$M$614,0))))
*Q1033*Q$8,0)</f>
        <v>0</v>
      </c>
      <c r="R355" s="198">
        <f>_xlfn.IFNA(IF(R$7="Fixed",1,IF(AND($D85="yes",R$7="Block"),INDEX($O625:$Q625,1,MATCH(R$5,$I19:$K19,0)),INDEX(Movements!$G625:$M625,1,MATCH(R$7,Movements!$G$614:$M$614,0))))
*R1033*R$8,0)</f>
        <v>0</v>
      </c>
      <c r="S355" s="198">
        <f>_xlfn.IFNA(IF(S$7="Fixed",1,IF(AND($D85="yes",S$7="Block"),INDEX($O625:$Q625,1,MATCH(S$5,$I19:$K19,0)),INDEX(Movements!$G625:$M625,1,MATCH(S$7,Movements!$G$614:$M$614,0))))
*S1033*S$8,0)</f>
        <v>0</v>
      </c>
      <c r="T355" s="198">
        <f>_xlfn.IFNA(IF(T$7="Fixed",1,IF(AND($D85="yes",T$7="Block"),INDEX($O625:$Q625,1,MATCH(T$5,$I19:$K19,0)),INDEX(Movements!$G625:$M625,1,MATCH(T$7,Movements!$G$614:$M$614,0))))
*T1033*T$8,0)</f>
        <v>0</v>
      </c>
      <c r="U355" s="198">
        <f>_xlfn.IFNA(IF(U$7="Fixed",1,IF(AND($D85="yes",U$7="Block"),INDEX($O625:$Q625,1,MATCH(U$5,$I19:$K19,0)),INDEX(Movements!$G625:$M625,1,MATCH(U$7,Movements!$G$614:$M$614,0))))
*U1033*U$8,0)</f>
        <v>0</v>
      </c>
      <c r="V355" s="198">
        <f>_xlfn.IFNA(IF(V$7="Fixed",1,IF(AND($D85="yes",V$7="Block"),INDEX($O625:$Q625,1,MATCH(V$5,$I19:$K19,0)),INDEX(Movements!$G625:$M625,1,MATCH(V$7,Movements!$G$614:$M$614,0))))
*V1033*V$8,0)</f>
        <v>0</v>
      </c>
      <c r="W355" s="198">
        <f>_xlfn.IFNA(IF(W$7="Fixed",1,IF(AND($D85="yes",W$7="Block"),INDEX($O625:$Q625,1,MATCH(W$5,$I19:$K19,0)),INDEX(Movements!$G625:$M625,1,MATCH(W$7,Movements!$G$614:$M$614,0))))
*W1033*W$8,0)</f>
        <v>0</v>
      </c>
      <c r="X355" s="198">
        <f>_xlfn.IFNA(IF(X$7="Fixed",1,IF(AND($D85="yes",X$7="Block"),INDEX($O625:$Q625,1,MATCH(X$5,$I19:$K19,0)),INDEX(Movements!$G625:$M625,1,MATCH(X$7,Movements!$G$614:$M$614,0))))
*X1033*X$8,0)</f>
        <v>0</v>
      </c>
      <c r="Y355" s="198">
        <f>_xlfn.IFNA(IF(Y$7="Fixed",1,IF(AND($D85="yes",Y$7="Block"),INDEX($O625:$Q625,1,MATCH(Y$5,$I19:$K19,0)),INDEX(Movements!$G625:$M625,1,MATCH(Y$7,Movements!$G$614:$M$614,0))))
*Y1033*Y$8,0)</f>
        <v>0</v>
      </c>
      <c r="Z355" s="198">
        <f>_xlfn.IFNA(IF(Z$7="Fixed",1,IF(AND($D85="yes",Z$7="Block"),INDEX($O625:$Q625,1,MATCH(Z$5,$I19:$K19,0)),INDEX(Movements!$G625:$M625,1,MATCH(Z$7,Movements!$G$614:$M$614,0))))
*Z1033*Z$8,0)</f>
        <v>0</v>
      </c>
      <c r="AA355" s="198">
        <f>_xlfn.IFNA(IF(AA$7="Fixed",1,IF(AND($D85="yes",AA$7="Block"),INDEX($O625:$Q625,1,MATCH(AA$5,$I19:$K19,0)),INDEX(Movements!$G625:$M625,1,MATCH(AA$7,Movements!$G$614:$M$614,0))))
*AA1033*AA$8,0)</f>
        <v>0</v>
      </c>
      <c r="AB355" s="198">
        <f>_xlfn.IFNA(IF(AB$7="Fixed",1,IF(AND($D85="yes",AB$7="Block"),INDEX($O625:$Q625,1,MATCH(AB$5,$I19:$K19,0)),INDEX(Movements!$G625:$M625,1,MATCH(AB$7,Movements!$G$614:$M$614,0))))
*AB1033*AB$8,0)</f>
        <v>0</v>
      </c>
      <c r="AC355" s="70"/>
      <c r="AD355" s="19"/>
      <c r="AE355" s="19"/>
      <c r="AF355" s="19"/>
      <c r="AG355" s="19"/>
    </row>
    <row r="356" spans="1:33" hidden="1" outlineLevel="3" x14ac:dyDescent="0.2">
      <c r="A356" s="19"/>
      <c r="B356" s="97">
        <v>10</v>
      </c>
      <c r="C356" s="506">
        <f>IF(C86=0,0,IF(currentyear=RCPminus1,INDEX(Tariffs!$H$46:$H$120,MATCH(Movements!C86,Tariffs!$C$46:$C$120,0)),C86))</f>
        <v>0</v>
      </c>
      <c r="D356" s="505">
        <f t="shared" si="83"/>
        <v>0</v>
      </c>
      <c r="E356" s="505">
        <f t="shared" si="83"/>
        <v>0</v>
      </c>
      <c r="F356" s="58"/>
      <c r="G356" s="199">
        <f t="shared" si="84"/>
        <v>0</v>
      </c>
      <c r="H356" s="58"/>
      <c r="I356" s="198">
        <f>_xlfn.IFNA(IF(I$7="Fixed",1,IF(AND($D86="yes",I$7="Block"),INDEX($O626:$Q626,1,MATCH(I$5,$I20:$K20,0)),INDEX(Movements!$G626:$M626,1,MATCH(I$7,Movements!$G$614:$M$614,0))))
*I1034*I$8,0)</f>
        <v>0</v>
      </c>
      <c r="J356" s="198">
        <f>_xlfn.IFNA(IF(J$7="Fixed",1,IF(AND($D86="yes",J$7="Block"),INDEX($O626:$Q626,1,MATCH(J$5,$I20:$K20,0)),INDEX(Movements!$G626:$M626,1,MATCH(J$7,Movements!$G$614:$M$614,0))))
*J1034*J$8,0)</f>
        <v>0</v>
      </c>
      <c r="K356" s="198">
        <f>_xlfn.IFNA(IF(K$7="Fixed",1,IF(AND($D86="yes",K$7="Block"),INDEX($O626:$Q626,1,MATCH(K$5,$I20:$K20,0)),INDEX(Movements!$G626:$M626,1,MATCH(K$7,Movements!$G$614:$M$614,0))))
*K1034*K$8,0)</f>
        <v>0</v>
      </c>
      <c r="L356" s="198">
        <f>_xlfn.IFNA(IF(L$7="Fixed",1,IF(AND($D86="yes",L$7="Block"),INDEX($O626:$Q626,1,MATCH(L$5,$I20:$K20,0)),INDEX(Movements!$G626:$M626,1,MATCH(L$7,Movements!$G$614:$M$614,0))))
*L1034*L$8,0)</f>
        <v>0</v>
      </c>
      <c r="M356" s="198">
        <f>_xlfn.IFNA(IF(M$7="Fixed",1,IF(AND($D86="yes",M$7="Block"),INDEX($O626:$Q626,1,MATCH(M$5,$I20:$K20,0)),INDEX(Movements!$G626:$M626,1,MATCH(M$7,Movements!$G$614:$M$614,0))))
*M1034*M$8,0)</f>
        <v>0</v>
      </c>
      <c r="N356" s="198">
        <f>_xlfn.IFNA(IF(N$7="Fixed",1,IF(AND($D86="yes",N$7="Block"),INDEX($O626:$Q626,1,MATCH(N$5,$I20:$K20,0)),INDEX(Movements!$G626:$M626,1,MATCH(N$7,Movements!$G$614:$M$614,0))))
*N1034*N$8,0)</f>
        <v>0</v>
      </c>
      <c r="O356" s="198">
        <f>_xlfn.IFNA(IF(O$7="Fixed",1,IF(AND($D86="yes",O$7="Block"),INDEX($O626:$Q626,1,MATCH(O$5,$I20:$K20,0)),INDEX(Movements!$G626:$M626,1,MATCH(O$7,Movements!$G$614:$M$614,0))))
*O1034*O$8,0)</f>
        <v>0</v>
      </c>
      <c r="P356" s="198">
        <f>_xlfn.IFNA(IF(P$7="Fixed",1,IF(AND($D86="yes",P$7="Block"),INDEX($O626:$Q626,1,MATCH(P$5,$I20:$K20,0)),INDEX(Movements!$G626:$M626,1,MATCH(P$7,Movements!$G$614:$M$614,0))))
*P1034*P$8,0)</f>
        <v>0</v>
      </c>
      <c r="Q356" s="198">
        <f>_xlfn.IFNA(IF(Q$7="Fixed",1,IF(AND($D86="yes",Q$7="Block"),INDEX($O626:$Q626,1,MATCH(Q$5,$I20:$K20,0)),INDEX(Movements!$G626:$M626,1,MATCH(Q$7,Movements!$G$614:$M$614,0))))
*Q1034*Q$8,0)</f>
        <v>0</v>
      </c>
      <c r="R356" s="198">
        <f>_xlfn.IFNA(IF(R$7="Fixed",1,IF(AND($D86="yes",R$7="Block"),INDEX($O626:$Q626,1,MATCH(R$5,$I20:$K20,0)),INDEX(Movements!$G626:$M626,1,MATCH(R$7,Movements!$G$614:$M$614,0))))
*R1034*R$8,0)</f>
        <v>0</v>
      </c>
      <c r="S356" s="198">
        <f>_xlfn.IFNA(IF(S$7="Fixed",1,IF(AND($D86="yes",S$7="Block"),INDEX($O626:$Q626,1,MATCH(S$5,$I20:$K20,0)),INDEX(Movements!$G626:$M626,1,MATCH(S$7,Movements!$G$614:$M$614,0))))
*S1034*S$8,0)</f>
        <v>0</v>
      </c>
      <c r="T356" s="198">
        <f>_xlfn.IFNA(IF(T$7="Fixed",1,IF(AND($D86="yes",T$7="Block"),INDEX($O626:$Q626,1,MATCH(T$5,$I20:$K20,0)),INDEX(Movements!$G626:$M626,1,MATCH(T$7,Movements!$G$614:$M$614,0))))
*T1034*T$8,0)</f>
        <v>0</v>
      </c>
      <c r="U356" s="198">
        <f>_xlfn.IFNA(IF(U$7="Fixed",1,IF(AND($D86="yes",U$7="Block"),INDEX($O626:$Q626,1,MATCH(U$5,$I20:$K20,0)),INDEX(Movements!$G626:$M626,1,MATCH(U$7,Movements!$G$614:$M$614,0))))
*U1034*U$8,0)</f>
        <v>0</v>
      </c>
      <c r="V356" s="198">
        <f>_xlfn.IFNA(IF(V$7="Fixed",1,IF(AND($D86="yes",V$7="Block"),INDEX($O626:$Q626,1,MATCH(V$5,$I20:$K20,0)),INDEX(Movements!$G626:$M626,1,MATCH(V$7,Movements!$G$614:$M$614,0))))
*V1034*V$8,0)</f>
        <v>0</v>
      </c>
      <c r="W356" s="198">
        <f>_xlfn.IFNA(IF(W$7="Fixed",1,IF(AND($D86="yes",W$7="Block"),INDEX($O626:$Q626,1,MATCH(W$5,$I20:$K20,0)),INDEX(Movements!$G626:$M626,1,MATCH(W$7,Movements!$G$614:$M$614,0))))
*W1034*W$8,0)</f>
        <v>0</v>
      </c>
      <c r="X356" s="198">
        <f>_xlfn.IFNA(IF(X$7="Fixed",1,IF(AND($D86="yes",X$7="Block"),INDEX($O626:$Q626,1,MATCH(X$5,$I20:$K20,0)),INDEX(Movements!$G626:$M626,1,MATCH(X$7,Movements!$G$614:$M$614,0))))
*X1034*X$8,0)</f>
        <v>0</v>
      </c>
      <c r="Y356" s="198">
        <f>_xlfn.IFNA(IF(Y$7="Fixed",1,IF(AND($D86="yes",Y$7="Block"),INDEX($O626:$Q626,1,MATCH(Y$5,$I20:$K20,0)),INDEX(Movements!$G626:$M626,1,MATCH(Y$7,Movements!$G$614:$M$614,0))))
*Y1034*Y$8,0)</f>
        <v>0</v>
      </c>
      <c r="Z356" s="198">
        <f>_xlfn.IFNA(IF(Z$7="Fixed",1,IF(AND($D86="yes",Z$7="Block"),INDEX($O626:$Q626,1,MATCH(Z$5,$I20:$K20,0)),INDEX(Movements!$G626:$M626,1,MATCH(Z$7,Movements!$G$614:$M$614,0))))
*Z1034*Z$8,0)</f>
        <v>0</v>
      </c>
      <c r="AA356" s="198">
        <f>_xlfn.IFNA(IF(AA$7="Fixed",1,IF(AND($D86="yes",AA$7="Block"),INDEX($O626:$Q626,1,MATCH(AA$5,$I20:$K20,0)),INDEX(Movements!$G626:$M626,1,MATCH(AA$7,Movements!$G$614:$M$614,0))))
*AA1034*AA$8,0)</f>
        <v>0</v>
      </c>
      <c r="AB356" s="198">
        <f>_xlfn.IFNA(IF(AB$7="Fixed",1,IF(AND($D86="yes",AB$7="Block"),INDEX($O626:$Q626,1,MATCH(AB$5,$I20:$K20,0)),INDEX(Movements!$G626:$M626,1,MATCH(AB$7,Movements!$G$614:$M$614,0))))
*AB1034*AB$8,0)</f>
        <v>0</v>
      </c>
      <c r="AC356" s="70"/>
      <c r="AD356" s="19"/>
      <c r="AE356" s="19"/>
      <c r="AF356" s="19"/>
      <c r="AG356" s="19"/>
    </row>
    <row r="357" spans="1:33" hidden="1" outlineLevel="3" x14ac:dyDescent="0.2">
      <c r="A357" s="19"/>
      <c r="B357" s="97">
        <v>11</v>
      </c>
      <c r="C357" s="506">
        <f>IF(C87=0,0,IF(currentyear=RCPminus1,INDEX(Tariffs!$H$46:$H$120,MATCH(Movements!C87,Tariffs!$C$46:$C$120,0)),C87))</f>
        <v>0</v>
      </c>
      <c r="D357" s="505">
        <f t="shared" si="83"/>
        <v>0</v>
      </c>
      <c r="E357" s="505">
        <f t="shared" si="83"/>
        <v>0</v>
      </c>
      <c r="F357" s="58"/>
      <c r="G357" s="199">
        <f t="shared" si="84"/>
        <v>0</v>
      </c>
      <c r="H357" s="58"/>
      <c r="I357" s="198">
        <f>_xlfn.IFNA(IF(I$7="Fixed",1,IF(AND($D87="yes",I$7="Block"),INDEX($O627:$Q627,1,MATCH(I$5,$I21:$K21,0)),INDEX(Movements!$G627:$M627,1,MATCH(I$7,Movements!$G$614:$M$614,0))))
*I1035*I$8,0)</f>
        <v>0</v>
      </c>
      <c r="J357" s="198">
        <f>_xlfn.IFNA(IF(J$7="Fixed",1,IF(AND($D87="yes",J$7="Block"),INDEX($O627:$Q627,1,MATCH(J$5,$I21:$K21,0)),INDEX(Movements!$G627:$M627,1,MATCH(J$7,Movements!$G$614:$M$614,0))))
*J1035*J$8,0)</f>
        <v>0</v>
      </c>
      <c r="K357" s="198">
        <f>_xlfn.IFNA(IF(K$7="Fixed",1,IF(AND($D87="yes",K$7="Block"),INDEX($O627:$Q627,1,MATCH(K$5,$I21:$K21,0)),INDEX(Movements!$G627:$M627,1,MATCH(K$7,Movements!$G$614:$M$614,0))))
*K1035*K$8,0)</f>
        <v>0</v>
      </c>
      <c r="L357" s="198">
        <f>_xlfn.IFNA(IF(L$7="Fixed",1,IF(AND($D87="yes",L$7="Block"),INDEX($O627:$Q627,1,MATCH(L$5,$I21:$K21,0)),INDEX(Movements!$G627:$M627,1,MATCH(L$7,Movements!$G$614:$M$614,0))))
*L1035*L$8,0)</f>
        <v>0</v>
      </c>
      <c r="M357" s="198">
        <f>_xlfn.IFNA(IF(M$7="Fixed",1,IF(AND($D87="yes",M$7="Block"),INDEX($O627:$Q627,1,MATCH(M$5,$I21:$K21,0)),INDEX(Movements!$G627:$M627,1,MATCH(M$7,Movements!$G$614:$M$614,0))))
*M1035*M$8,0)</f>
        <v>0</v>
      </c>
      <c r="N357" s="198">
        <f>_xlfn.IFNA(IF(N$7="Fixed",1,IF(AND($D87="yes",N$7="Block"),INDEX($O627:$Q627,1,MATCH(N$5,$I21:$K21,0)),INDEX(Movements!$G627:$M627,1,MATCH(N$7,Movements!$G$614:$M$614,0))))
*N1035*N$8,0)</f>
        <v>0</v>
      </c>
      <c r="O357" s="198">
        <f>_xlfn.IFNA(IF(O$7="Fixed",1,IF(AND($D87="yes",O$7="Block"),INDEX($O627:$Q627,1,MATCH(O$5,$I21:$K21,0)),INDEX(Movements!$G627:$M627,1,MATCH(O$7,Movements!$G$614:$M$614,0))))
*O1035*O$8,0)</f>
        <v>0</v>
      </c>
      <c r="P357" s="198">
        <f>_xlfn.IFNA(IF(P$7="Fixed",1,IF(AND($D87="yes",P$7="Block"),INDEX($O627:$Q627,1,MATCH(P$5,$I21:$K21,0)),INDEX(Movements!$G627:$M627,1,MATCH(P$7,Movements!$G$614:$M$614,0))))
*P1035*P$8,0)</f>
        <v>0</v>
      </c>
      <c r="Q357" s="198">
        <f>_xlfn.IFNA(IF(Q$7="Fixed",1,IF(AND($D87="yes",Q$7="Block"),INDEX($O627:$Q627,1,MATCH(Q$5,$I21:$K21,0)),INDEX(Movements!$G627:$M627,1,MATCH(Q$7,Movements!$G$614:$M$614,0))))
*Q1035*Q$8,0)</f>
        <v>0</v>
      </c>
      <c r="R357" s="198">
        <f>_xlfn.IFNA(IF(R$7="Fixed",1,IF(AND($D87="yes",R$7="Block"),INDEX($O627:$Q627,1,MATCH(R$5,$I21:$K21,0)),INDEX(Movements!$G627:$M627,1,MATCH(R$7,Movements!$G$614:$M$614,0))))
*R1035*R$8,0)</f>
        <v>0</v>
      </c>
      <c r="S357" s="198">
        <f>_xlfn.IFNA(IF(S$7="Fixed",1,IF(AND($D87="yes",S$7="Block"),INDEX($O627:$Q627,1,MATCH(S$5,$I21:$K21,0)),INDEX(Movements!$G627:$M627,1,MATCH(S$7,Movements!$G$614:$M$614,0))))
*S1035*S$8,0)</f>
        <v>0</v>
      </c>
      <c r="T357" s="198">
        <f>_xlfn.IFNA(IF(T$7="Fixed",1,IF(AND($D87="yes",T$7="Block"),INDEX($O627:$Q627,1,MATCH(T$5,$I21:$K21,0)),INDEX(Movements!$G627:$M627,1,MATCH(T$7,Movements!$G$614:$M$614,0))))
*T1035*T$8,0)</f>
        <v>0</v>
      </c>
      <c r="U357" s="198">
        <f>_xlfn.IFNA(IF(U$7="Fixed",1,IF(AND($D87="yes",U$7="Block"),INDEX($O627:$Q627,1,MATCH(U$5,$I21:$K21,0)),INDEX(Movements!$G627:$M627,1,MATCH(U$7,Movements!$G$614:$M$614,0))))
*U1035*U$8,0)</f>
        <v>0</v>
      </c>
      <c r="V357" s="198">
        <f>_xlfn.IFNA(IF(V$7="Fixed",1,IF(AND($D87="yes",V$7="Block"),INDEX($O627:$Q627,1,MATCH(V$5,$I21:$K21,0)),INDEX(Movements!$G627:$M627,1,MATCH(V$7,Movements!$G$614:$M$614,0))))
*V1035*V$8,0)</f>
        <v>0</v>
      </c>
      <c r="W357" s="198">
        <f>_xlfn.IFNA(IF(W$7="Fixed",1,IF(AND($D87="yes",W$7="Block"),INDEX($O627:$Q627,1,MATCH(W$5,$I21:$K21,0)),INDEX(Movements!$G627:$M627,1,MATCH(W$7,Movements!$G$614:$M$614,0))))
*W1035*W$8,0)</f>
        <v>0</v>
      </c>
      <c r="X357" s="198">
        <f>_xlfn.IFNA(IF(X$7="Fixed",1,IF(AND($D87="yes",X$7="Block"),INDEX($O627:$Q627,1,MATCH(X$5,$I21:$K21,0)),INDEX(Movements!$G627:$M627,1,MATCH(X$7,Movements!$G$614:$M$614,0))))
*X1035*X$8,0)</f>
        <v>0</v>
      </c>
      <c r="Y357" s="198">
        <f>_xlfn.IFNA(IF(Y$7="Fixed",1,IF(AND($D87="yes",Y$7="Block"),INDEX($O627:$Q627,1,MATCH(Y$5,$I21:$K21,0)),INDEX(Movements!$G627:$M627,1,MATCH(Y$7,Movements!$G$614:$M$614,0))))
*Y1035*Y$8,0)</f>
        <v>0</v>
      </c>
      <c r="Z357" s="198">
        <f>_xlfn.IFNA(IF(Z$7="Fixed",1,IF(AND($D87="yes",Z$7="Block"),INDEX($O627:$Q627,1,MATCH(Z$5,$I21:$K21,0)),INDEX(Movements!$G627:$M627,1,MATCH(Z$7,Movements!$G$614:$M$614,0))))
*Z1035*Z$8,0)</f>
        <v>0</v>
      </c>
      <c r="AA357" s="198">
        <f>_xlfn.IFNA(IF(AA$7="Fixed",1,IF(AND($D87="yes",AA$7="Block"),INDEX($O627:$Q627,1,MATCH(AA$5,$I21:$K21,0)),INDEX(Movements!$G627:$M627,1,MATCH(AA$7,Movements!$G$614:$M$614,0))))
*AA1035*AA$8,0)</f>
        <v>0</v>
      </c>
      <c r="AB357" s="198">
        <f>_xlfn.IFNA(IF(AB$7="Fixed",1,IF(AND($D87="yes",AB$7="Block"),INDEX($O627:$Q627,1,MATCH(AB$5,$I21:$K21,0)),INDEX(Movements!$G627:$M627,1,MATCH(AB$7,Movements!$G$614:$M$614,0))))
*AB1035*AB$8,0)</f>
        <v>0</v>
      </c>
      <c r="AC357" s="70"/>
      <c r="AD357" s="19"/>
      <c r="AE357" s="19"/>
      <c r="AF357" s="19"/>
      <c r="AG357" s="19"/>
    </row>
    <row r="358" spans="1:33" hidden="1" outlineLevel="3" x14ac:dyDescent="0.2">
      <c r="A358" s="19"/>
      <c r="B358" s="97">
        <v>12</v>
      </c>
      <c r="C358" s="506">
        <f>IF(C88=0,0,IF(currentyear=RCPminus1,INDEX(Tariffs!$H$46:$H$120,MATCH(Movements!C88,Tariffs!$C$46:$C$120,0)),C88))</f>
        <v>0</v>
      </c>
      <c r="D358" s="505">
        <f t="shared" si="83"/>
        <v>0</v>
      </c>
      <c r="E358" s="505">
        <f t="shared" si="83"/>
        <v>0</v>
      </c>
      <c r="F358" s="58"/>
      <c r="G358" s="199">
        <f t="shared" si="84"/>
        <v>0</v>
      </c>
      <c r="H358" s="58"/>
      <c r="I358" s="198">
        <f>_xlfn.IFNA(IF(I$7="Fixed",1,IF(AND($D88="yes",I$7="Block"),INDEX($O628:$Q628,1,MATCH(I$5,$I22:$K22,0)),INDEX(Movements!$G628:$M628,1,MATCH(I$7,Movements!$G$614:$M$614,0))))
*I1036*I$8,0)</f>
        <v>0</v>
      </c>
      <c r="J358" s="198">
        <f>_xlfn.IFNA(IF(J$7="Fixed",1,IF(AND($D88="yes",J$7="Block"),INDEX($O628:$Q628,1,MATCH(J$5,$I22:$K22,0)),INDEX(Movements!$G628:$M628,1,MATCH(J$7,Movements!$G$614:$M$614,0))))
*J1036*J$8,0)</f>
        <v>0</v>
      </c>
      <c r="K358" s="198">
        <f>_xlfn.IFNA(IF(K$7="Fixed",1,IF(AND($D88="yes",K$7="Block"),INDEX($O628:$Q628,1,MATCH(K$5,$I22:$K22,0)),INDEX(Movements!$G628:$M628,1,MATCH(K$7,Movements!$G$614:$M$614,0))))
*K1036*K$8,0)</f>
        <v>0</v>
      </c>
      <c r="L358" s="198">
        <f>_xlfn.IFNA(IF(L$7="Fixed",1,IF(AND($D88="yes",L$7="Block"),INDEX($O628:$Q628,1,MATCH(L$5,$I22:$K22,0)),INDEX(Movements!$G628:$M628,1,MATCH(L$7,Movements!$G$614:$M$614,0))))
*L1036*L$8,0)</f>
        <v>0</v>
      </c>
      <c r="M358" s="198">
        <f>_xlfn.IFNA(IF(M$7="Fixed",1,IF(AND($D88="yes",M$7="Block"),INDEX($O628:$Q628,1,MATCH(M$5,$I22:$K22,0)),INDEX(Movements!$G628:$M628,1,MATCH(M$7,Movements!$G$614:$M$614,0))))
*M1036*M$8,0)</f>
        <v>0</v>
      </c>
      <c r="N358" s="198">
        <f>_xlfn.IFNA(IF(N$7="Fixed",1,IF(AND($D88="yes",N$7="Block"),INDEX($O628:$Q628,1,MATCH(N$5,$I22:$K22,0)),INDEX(Movements!$G628:$M628,1,MATCH(N$7,Movements!$G$614:$M$614,0))))
*N1036*N$8,0)</f>
        <v>0</v>
      </c>
      <c r="O358" s="198">
        <f>_xlfn.IFNA(IF(O$7="Fixed",1,IF(AND($D88="yes",O$7="Block"),INDEX($O628:$Q628,1,MATCH(O$5,$I22:$K22,0)),INDEX(Movements!$G628:$M628,1,MATCH(O$7,Movements!$G$614:$M$614,0))))
*O1036*O$8,0)</f>
        <v>0</v>
      </c>
      <c r="P358" s="198">
        <f>_xlfn.IFNA(IF(P$7="Fixed",1,IF(AND($D88="yes",P$7="Block"),INDEX($O628:$Q628,1,MATCH(P$5,$I22:$K22,0)),INDEX(Movements!$G628:$M628,1,MATCH(P$7,Movements!$G$614:$M$614,0))))
*P1036*P$8,0)</f>
        <v>0</v>
      </c>
      <c r="Q358" s="198">
        <f>_xlfn.IFNA(IF(Q$7="Fixed",1,IF(AND($D88="yes",Q$7="Block"),INDEX($O628:$Q628,1,MATCH(Q$5,$I22:$K22,0)),INDEX(Movements!$G628:$M628,1,MATCH(Q$7,Movements!$G$614:$M$614,0))))
*Q1036*Q$8,0)</f>
        <v>0</v>
      </c>
      <c r="R358" s="198">
        <f>_xlfn.IFNA(IF(R$7="Fixed",1,IF(AND($D88="yes",R$7="Block"),INDEX($O628:$Q628,1,MATCH(R$5,$I22:$K22,0)),INDEX(Movements!$G628:$M628,1,MATCH(R$7,Movements!$G$614:$M$614,0))))
*R1036*R$8,0)</f>
        <v>0</v>
      </c>
      <c r="S358" s="198">
        <f>_xlfn.IFNA(IF(S$7="Fixed",1,IF(AND($D88="yes",S$7="Block"),INDEX($O628:$Q628,1,MATCH(S$5,$I22:$K22,0)),INDEX(Movements!$G628:$M628,1,MATCH(S$7,Movements!$G$614:$M$614,0))))
*S1036*S$8,0)</f>
        <v>0</v>
      </c>
      <c r="T358" s="198">
        <f>_xlfn.IFNA(IF(T$7="Fixed",1,IF(AND($D88="yes",T$7="Block"),INDEX($O628:$Q628,1,MATCH(T$5,$I22:$K22,0)),INDEX(Movements!$G628:$M628,1,MATCH(T$7,Movements!$G$614:$M$614,0))))
*T1036*T$8,0)</f>
        <v>0</v>
      </c>
      <c r="U358" s="198">
        <f>_xlfn.IFNA(IF(U$7="Fixed",1,IF(AND($D88="yes",U$7="Block"),INDEX($O628:$Q628,1,MATCH(U$5,$I22:$K22,0)),INDEX(Movements!$G628:$M628,1,MATCH(U$7,Movements!$G$614:$M$614,0))))
*U1036*U$8,0)</f>
        <v>0</v>
      </c>
      <c r="V358" s="198">
        <f>_xlfn.IFNA(IF(V$7="Fixed",1,IF(AND($D88="yes",V$7="Block"),INDEX($O628:$Q628,1,MATCH(V$5,$I22:$K22,0)),INDEX(Movements!$G628:$M628,1,MATCH(V$7,Movements!$G$614:$M$614,0))))
*V1036*V$8,0)</f>
        <v>0</v>
      </c>
      <c r="W358" s="198">
        <f>_xlfn.IFNA(IF(W$7="Fixed",1,IF(AND($D88="yes",W$7="Block"),INDEX($O628:$Q628,1,MATCH(W$5,$I22:$K22,0)),INDEX(Movements!$G628:$M628,1,MATCH(W$7,Movements!$G$614:$M$614,0))))
*W1036*W$8,0)</f>
        <v>0</v>
      </c>
      <c r="X358" s="198">
        <f>_xlfn.IFNA(IF(X$7="Fixed",1,IF(AND($D88="yes",X$7="Block"),INDEX($O628:$Q628,1,MATCH(X$5,$I22:$K22,0)),INDEX(Movements!$G628:$M628,1,MATCH(X$7,Movements!$G$614:$M$614,0))))
*X1036*X$8,0)</f>
        <v>0</v>
      </c>
      <c r="Y358" s="198">
        <f>_xlfn.IFNA(IF(Y$7="Fixed",1,IF(AND($D88="yes",Y$7="Block"),INDEX($O628:$Q628,1,MATCH(Y$5,$I22:$K22,0)),INDEX(Movements!$G628:$M628,1,MATCH(Y$7,Movements!$G$614:$M$614,0))))
*Y1036*Y$8,0)</f>
        <v>0</v>
      </c>
      <c r="Z358" s="198">
        <f>_xlfn.IFNA(IF(Z$7="Fixed",1,IF(AND($D88="yes",Z$7="Block"),INDEX($O628:$Q628,1,MATCH(Z$5,$I22:$K22,0)),INDEX(Movements!$G628:$M628,1,MATCH(Z$7,Movements!$G$614:$M$614,0))))
*Z1036*Z$8,0)</f>
        <v>0</v>
      </c>
      <c r="AA358" s="198">
        <f>_xlfn.IFNA(IF(AA$7="Fixed",1,IF(AND($D88="yes",AA$7="Block"),INDEX($O628:$Q628,1,MATCH(AA$5,$I22:$K22,0)),INDEX(Movements!$G628:$M628,1,MATCH(AA$7,Movements!$G$614:$M$614,0))))
*AA1036*AA$8,0)</f>
        <v>0</v>
      </c>
      <c r="AB358" s="198">
        <f>_xlfn.IFNA(IF(AB$7="Fixed",1,IF(AND($D88="yes",AB$7="Block"),INDEX($O628:$Q628,1,MATCH(AB$5,$I22:$K22,0)),INDEX(Movements!$G628:$M628,1,MATCH(AB$7,Movements!$G$614:$M$614,0))))
*AB1036*AB$8,0)</f>
        <v>0</v>
      </c>
      <c r="AC358" s="70"/>
      <c r="AD358" s="19"/>
      <c r="AE358" s="19"/>
      <c r="AF358" s="19"/>
      <c r="AG358" s="19"/>
    </row>
    <row r="359" spans="1:33" hidden="1" outlineLevel="3" x14ac:dyDescent="0.2">
      <c r="A359" s="19"/>
      <c r="B359" s="97">
        <v>13</v>
      </c>
      <c r="C359" s="506">
        <f>IF(C89=0,0,IF(currentyear=RCPminus1,INDEX(Tariffs!$H$46:$H$120,MATCH(Movements!C89,Tariffs!$C$46:$C$120,0)),C89))</f>
        <v>0</v>
      </c>
      <c r="D359" s="505">
        <f t="shared" si="83"/>
        <v>0</v>
      </c>
      <c r="E359" s="505">
        <f t="shared" si="83"/>
        <v>0</v>
      </c>
      <c r="F359" s="58"/>
      <c r="G359" s="199">
        <f t="shared" si="84"/>
        <v>0</v>
      </c>
      <c r="H359" s="58"/>
      <c r="I359" s="198">
        <f>_xlfn.IFNA(IF(I$7="Fixed",1,IF(AND($D89="yes",I$7="Block"),INDEX($O629:$Q629,1,MATCH(I$5,$I23:$K23,0)),INDEX(Movements!$G629:$M629,1,MATCH(I$7,Movements!$G$614:$M$614,0))))
*I1037*I$8,0)</f>
        <v>0</v>
      </c>
      <c r="J359" s="198">
        <f>_xlfn.IFNA(IF(J$7="Fixed",1,IF(AND($D89="yes",J$7="Block"),INDEX($O629:$Q629,1,MATCH(J$5,$I23:$K23,0)),INDEX(Movements!$G629:$M629,1,MATCH(J$7,Movements!$G$614:$M$614,0))))
*J1037*J$8,0)</f>
        <v>0</v>
      </c>
      <c r="K359" s="198">
        <f>_xlfn.IFNA(IF(K$7="Fixed",1,IF(AND($D89="yes",K$7="Block"),INDEX($O629:$Q629,1,MATCH(K$5,$I23:$K23,0)),INDEX(Movements!$G629:$M629,1,MATCH(K$7,Movements!$G$614:$M$614,0))))
*K1037*K$8,0)</f>
        <v>0</v>
      </c>
      <c r="L359" s="198">
        <f>_xlfn.IFNA(IF(L$7="Fixed",1,IF(AND($D89="yes",L$7="Block"),INDEX($O629:$Q629,1,MATCH(L$5,$I23:$K23,0)),INDEX(Movements!$G629:$M629,1,MATCH(L$7,Movements!$G$614:$M$614,0))))
*L1037*L$8,0)</f>
        <v>0</v>
      </c>
      <c r="M359" s="198">
        <f>_xlfn.IFNA(IF(M$7="Fixed",1,IF(AND($D89="yes",M$7="Block"),INDEX($O629:$Q629,1,MATCH(M$5,$I23:$K23,0)),INDEX(Movements!$G629:$M629,1,MATCH(M$7,Movements!$G$614:$M$614,0))))
*M1037*M$8,0)</f>
        <v>0</v>
      </c>
      <c r="N359" s="198">
        <f>_xlfn.IFNA(IF(N$7="Fixed",1,IF(AND($D89="yes",N$7="Block"),INDEX($O629:$Q629,1,MATCH(N$5,$I23:$K23,0)),INDEX(Movements!$G629:$M629,1,MATCH(N$7,Movements!$G$614:$M$614,0))))
*N1037*N$8,0)</f>
        <v>0</v>
      </c>
      <c r="O359" s="198">
        <f>_xlfn.IFNA(IF(O$7="Fixed",1,IF(AND($D89="yes",O$7="Block"),INDEX($O629:$Q629,1,MATCH(O$5,$I23:$K23,0)),INDEX(Movements!$G629:$M629,1,MATCH(O$7,Movements!$G$614:$M$614,0))))
*O1037*O$8,0)</f>
        <v>0</v>
      </c>
      <c r="P359" s="198">
        <f>_xlfn.IFNA(IF(P$7="Fixed",1,IF(AND($D89="yes",P$7="Block"),INDEX($O629:$Q629,1,MATCH(P$5,$I23:$K23,0)),INDEX(Movements!$G629:$M629,1,MATCH(P$7,Movements!$G$614:$M$614,0))))
*P1037*P$8,0)</f>
        <v>0</v>
      </c>
      <c r="Q359" s="198">
        <f>_xlfn.IFNA(IF(Q$7="Fixed",1,IF(AND($D89="yes",Q$7="Block"),INDEX($O629:$Q629,1,MATCH(Q$5,$I23:$K23,0)),INDEX(Movements!$G629:$M629,1,MATCH(Q$7,Movements!$G$614:$M$614,0))))
*Q1037*Q$8,0)</f>
        <v>0</v>
      </c>
      <c r="R359" s="198">
        <f>_xlfn.IFNA(IF(R$7="Fixed",1,IF(AND($D89="yes",R$7="Block"),INDEX($O629:$Q629,1,MATCH(R$5,$I23:$K23,0)),INDEX(Movements!$G629:$M629,1,MATCH(R$7,Movements!$G$614:$M$614,0))))
*R1037*R$8,0)</f>
        <v>0</v>
      </c>
      <c r="S359" s="198">
        <f>_xlfn.IFNA(IF(S$7="Fixed",1,IF(AND($D89="yes",S$7="Block"),INDEX($O629:$Q629,1,MATCH(S$5,$I23:$K23,0)),INDEX(Movements!$G629:$M629,1,MATCH(S$7,Movements!$G$614:$M$614,0))))
*S1037*S$8,0)</f>
        <v>0</v>
      </c>
      <c r="T359" s="198">
        <f>_xlfn.IFNA(IF(T$7="Fixed",1,IF(AND($D89="yes",T$7="Block"),INDEX($O629:$Q629,1,MATCH(T$5,$I23:$K23,0)),INDEX(Movements!$G629:$M629,1,MATCH(T$7,Movements!$G$614:$M$614,0))))
*T1037*T$8,0)</f>
        <v>0</v>
      </c>
      <c r="U359" s="198">
        <f>_xlfn.IFNA(IF(U$7="Fixed",1,IF(AND($D89="yes",U$7="Block"),INDEX($O629:$Q629,1,MATCH(U$5,$I23:$K23,0)),INDEX(Movements!$G629:$M629,1,MATCH(U$7,Movements!$G$614:$M$614,0))))
*U1037*U$8,0)</f>
        <v>0</v>
      </c>
      <c r="V359" s="198">
        <f>_xlfn.IFNA(IF(V$7="Fixed",1,IF(AND($D89="yes",V$7="Block"),INDEX($O629:$Q629,1,MATCH(V$5,$I23:$K23,0)),INDEX(Movements!$G629:$M629,1,MATCH(V$7,Movements!$G$614:$M$614,0))))
*V1037*V$8,0)</f>
        <v>0</v>
      </c>
      <c r="W359" s="198">
        <f>_xlfn.IFNA(IF(W$7="Fixed",1,IF(AND($D89="yes",W$7="Block"),INDEX($O629:$Q629,1,MATCH(W$5,$I23:$K23,0)),INDEX(Movements!$G629:$M629,1,MATCH(W$7,Movements!$G$614:$M$614,0))))
*W1037*W$8,0)</f>
        <v>0</v>
      </c>
      <c r="X359" s="198">
        <f>_xlfn.IFNA(IF(X$7="Fixed",1,IF(AND($D89="yes",X$7="Block"),INDEX($O629:$Q629,1,MATCH(X$5,$I23:$K23,0)),INDEX(Movements!$G629:$M629,1,MATCH(X$7,Movements!$G$614:$M$614,0))))
*X1037*X$8,0)</f>
        <v>0</v>
      </c>
      <c r="Y359" s="198">
        <f>_xlfn.IFNA(IF(Y$7="Fixed",1,IF(AND($D89="yes",Y$7="Block"),INDEX($O629:$Q629,1,MATCH(Y$5,$I23:$K23,0)),INDEX(Movements!$G629:$M629,1,MATCH(Y$7,Movements!$G$614:$M$614,0))))
*Y1037*Y$8,0)</f>
        <v>0</v>
      </c>
      <c r="Z359" s="198">
        <f>_xlfn.IFNA(IF(Z$7="Fixed",1,IF(AND($D89="yes",Z$7="Block"),INDEX($O629:$Q629,1,MATCH(Z$5,$I23:$K23,0)),INDEX(Movements!$G629:$M629,1,MATCH(Z$7,Movements!$G$614:$M$614,0))))
*Z1037*Z$8,0)</f>
        <v>0</v>
      </c>
      <c r="AA359" s="198">
        <f>_xlfn.IFNA(IF(AA$7="Fixed",1,IF(AND($D89="yes",AA$7="Block"),INDEX($O629:$Q629,1,MATCH(AA$5,$I23:$K23,0)),INDEX(Movements!$G629:$M629,1,MATCH(AA$7,Movements!$G$614:$M$614,0))))
*AA1037*AA$8,0)</f>
        <v>0</v>
      </c>
      <c r="AB359" s="198">
        <f>_xlfn.IFNA(IF(AB$7="Fixed",1,IF(AND($D89="yes",AB$7="Block"),INDEX($O629:$Q629,1,MATCH(AB$5,$I23:$K23,0)),INDEX(Movements!$G629:$M629,1,MATCH(AB$7,Movements!$G$614:$M$614,0))))
*AB1037*AB$8,0)</f>
        <v>0</v>
      </c>
      <c r="AC359" s="70"/>
      <c r="AD359" s="19"/>
      <c r="AE359" s="19"/>
      <c r="AF359" s="19"/>
      <c r="AG359" s="19"/>
    </row>
    <row r="360" spans="1:33" hidden="1" outlineLevel="3" x14ac:dyDescent="0.2">
      <c r="A360" s="19"/>
      <c r="B360" s="97">
        <v>14</v>
      </c>
      <c r="C360" s="506">
        <f>IF(C90=0,0,IF(currentyear=RCPminus1,INDEX(Tariffs!$H$46:$H$120,MATCH(Movements!C90,Tariffs!$C$46:$C$120,0)),C90))</f>
        <v>0</v>
      </c>
      <c r="D360" s="505">
        <f t="shared" si="83"/>
        <v>0</v>
      </c>
      <c r="E360" s="505">
        <f t="shared" si="83"/>
        <v>0</v>
      </c>
      <c r="F360" s="58"/>
      <c r="G360" s="199">
        <f t="shared" si="84"/>
        <v>0</v>
      </c>
      <c r="H360" s="58"/>
      <c r="I360" s="198">
        <f>_xlfn.IFNA(IF(I$7="Fixed",1,IF(AND($D90="yes",I$7="Block"),INDEX($O630:$Q630,1,MATCH(I$5,$I24:$K24,0)),INDEX(Movements!$G630:$M630,1,MATCH(I$7,Movements!$G$614:$M$614,0))))
*I1038*I$8,0)</f>
        <v>0</v>
      </c>
      <c r="J360" s="198">
        <f>_xlfn.IFNA(IF(J$7="Fixed",1,IF(AND($D90="yes",J$7="Block"),INDEX($O630:$Q630,1,MATCH(J$5,$I24:$K24,0)),INDEX(Movements!$G630:$M630,1,MATCH(J$7,Movements!$G$614:$M$614,0))))
*J1038*J$8,0)</f>
        <v>0</v>
      </c>
      <c r="K360" s="198">
        <f>_xlfn.IFNA(IF(K$7="Fixed",1,IF(AND($D90="yes",K$7="Block"),INDEX($O630:$Q630,1,MATCH(K$5,$I24:$K24,0)),INDEX(Movements!$G630:$M630,1,MATCH(K$7,Movements!$G$614:$M$614,0))))
*K1038*K$8,0)</f>
        <v>0</v>
      </c>
      <c r="L360" s="198">
        <f>_xlfn.IFNA(IF(L$7="Fixed",1,IF(AND($D90="yes",L$7="Block"),INDEX($O630:$Q630,1,MATCH(L$5,$I24:$K24,0)),INDEX(Movements!$G630:$M630,1,MATCH(L$7,Movements!$G$614:$M$614,0))))
*L1038*L$8,0)</f>
        <v>0</v>
      </c>
      <c r="M360" s="198">
        <f>_xlfn.IFNA(IF(M$7="Fixed",1,IF(AND($D90="yes",M$7="Block"),INDEX($O630:$Q630,1,MATCH(M$5,$I24:$K24,0)),INDEX(Movements!$G630:$M630,1,MATCH(M$7,Movements!$G$614:$M$614,0))))
*M1038*M$8,0)</f>
        <v>0</v>
      </c>
      <c r="N360" s="198">
        <f>_xlfn.IFNA(IF(N$7="Fixed",1,IF(AND($D90="yes",N$7="Block"),INDEX($O630:$Q630,1,MATCH(N$5,$I24:$K24,0)),INDEX(Movements!$G630:$M630,1,MATCH(N$7,Movements!$G$614:$M$614,0))))
*N1038*N$8,0)</f>
        <v>0</v>
      </c>
      <c r="O360" s="198">
        <f>_xlfn.IFNA(IF(O$7="Fixed",1,IF(AND($D90="yes",O$7="Block"),INDEX($O630:$Q630,1,MATCH(O$5,$I24:$K24,0)),INDEX(Movements!$G630:$M630,1,MATCH(O$7,Movements!$G$614:$M$614,0))))
*O1038*O$8,0)</f>
        <v>0</v>
      </c>
      <c r="P360" s="198">
        <f>_xlfn.IFNA(IF(P$7="Fixed",1,IF(AND($D90="yes",P$7="Block"),INDEX($O630:$Q630,1,MATCH(P$5,$I24:$K24,0)),INDEX(Movements!$G630:$M630,1,MATCH(P$7,Movements!$G$614:$M$614,0))))
*P1038*P$8,0)</f>
        <v>0</v>
      </c>
      <c r="Q360" s="198">
        <f>_xlfn.IFNA(IF(Q$7="Fixed",1,IF(AND($D90="yes",Q$7="Block"),INDEX($O630:$Q630,1,MATCH(Q$5,$I24:$K24,0)),INDEX(Movements!$G630:$M630,1,MATCH(Q$7,Movements!$G$614:$M$614,0))))
*Q1038*Q$8,0)</f>
        <v>0</v>
      </c>
      <c r="R360" s="198">
        <f>_xlfn.IFNA(IF(R$7="Fixed",1,IF(AND($D90="yes",R$7="Block"),INDEX($O630:$Q630,1,MATCH(R$5,$I24:$K24,0)),INDEX(Movements!$G630:$M630,1,MATCH(R$7,Movements!$G$614:$M$614,0))))
*R1038*R$8,0)</f>
        <v>0</v>
      </c>
      <c r="S360" s="198">
        <f>_xlfn.IFNA(IF(S$7="Fixed",1,IF(AND($D90="yes",S$7="Block"),INDEX($O630:$Q630,1,MATCH(S$5,$I24:$K24,0)),INDEX(Movements!$G630:$M630,1,MATCH(S$7,Movements!$G$614:$M$614,0))))
*S1038*S$8,0)</f>
        <v>0</v>
      </c>
      <c r="T360" s="198">
        <f>_xlfn.IFNA(IF(T$7="Fixed",1,IF(AND($D90="yes",T$7="Block"),INDEX($O630:$Q630,1,MATCH(T$5,$I24:$K24,0)),INDEX(Movements!$G630:$M630,1,MATCH(T$7,Movements!$G$614:$M$614,0))))
*T1038*T$8,0)</f>
        <v>0</v>
      </c>
      <c r="U360" s="198">
        <f>_xlfn.IFNA(IF(U$7="Fixed",1,IF(AND($D90="yes",U$7="Block"),INDEX($O630:$Q630,1,MATCH(U$5,$I24:$K24,0)),INDEX(Movements!$G630:$M630,1,MATCH(U$7,Movements!$G$614:$M$614,0))))
*U1038*U$8,0)</f>
        <v>0</v>
      </c>
      <c r="V360" s="198">
        <f>_xlfn.IFNA(IF(V$7="Fixed",1,IF(AND($D90="yes",V$7="Block"),INDEX($O630:$Q630,1,MATCH(V$5,$I24:$K24,0)),INDEX(Movements!$G630:$M630,1,MATCH(V$7,Movements!$G$614:$M$614,0))))
*V1038*V$8,0)</f>
        <v>0</v>
      </c>
      <c r="W360" s="198">
        <f>_xlfn.IFNA(IF(W$7="Fixed",1,IF(AND($D90="yes",W$7="Block"),INDEX($O630:$Q630,1,MATCH(W$5,$I24:$K24,0)),INDEX(Movements!$G630:$M630,1,MATCH(W$7,Movements!$G$614:$M$614,0))))
*W1038*W$8,0)</f>
        <v>0</v>
      </c>
      <c r="X360" s="198">
        <f>_xlfn.IFNA(IF(X$7="Fixed",1,IF(AND($D90="yes",X$7="Block"),INDEX($O630:$Q630,1,MATCH(X$5,$I24:$K24,0)),INDEX(Movements!$G630:$M630,1,MATCH(X$7,Movements!$G$614:$M$614,0))))
*X1038*X$8,0)</f>
        <v>0</v>
      </c>
      <c r="Y360" s="198">
        <f>_xlfn.IFNA(IF(Y$7="Fixed",1,IF(AND($D90="yes",Y$7="Block"),INDEX($O630:$Q630,1,MATCH(Y$5,$I24:$K24,0)),INDEX(Movements!$G630:$M630,1,MATCH(Y$7,Movements!$G$614:$M$614,0))))
*Y1038*Y$8,0)</f>
        <v>0</v>
      </c>
      <c r="Z360" s="198">
        <f>_xlfn.IFNA(IF(Z$7="Fixed",1,IF(AND($D90="yes",Z$7="Block"),INDEX($O630:$Q630,1,MATCH(Z$5,$I24:$K24,0)),INDEX(Movements!$G630:$M630,1,MATCH(Z$7,Movements!$G$614:$M$614,0))))
*Z1038*Z$8,0)</f>
        <v>0</v>
      </c>
      <c r="AA360" s="198">
        <f>_xlfn.IFNA(IF(AA$7="Fixed",1,IF(AND($D90="yes",AA$7="Block"),INDEX($O630:$Q630,1,MATCH(AA$5,$I24:$K24,0)),INDEX(Movements!$G630:$M630,1,MATCH(AA$7,Movements!$G$614:$M$614,0))))
*AA1038*AA$8,0)</f>
        <v>0</v>
      </c>
      <c r="AB360" s="198">
        <f>_xlfn.IFNA(IF(AB$7="Fixed",1,IF(AND($D90="yes",AB$7="Block"),INDEX($O630:$Q630,1,MATCH(AB$5,$I24:$K24,0)),INDEX(Movements!$G630:$M630,1,MATCH(AB$7,Movements!$G$614:$M$614,0))))
*AB1038*AB$8,0)</f>
        <v>0</v>
      </c>
      <c r="AC360" s="70"/>
      <c r="AD360" s="19"/>
      <c r="AE360" s="19"/>
      <c r="AF360" s="19"/>
      <c r="AG360" s="19"/>
    </row>
    <row r="361" spans="1:33" hidden="1" outlineLevel="3" x14ac:dyDescent="0.2">
      <c r="A361" s="19"/>
      <c r="B361" s="97">
        <v>15</v>
      </c>
      <c r="C361" s="506">
        <f>IF(C91=0,0,IF(currentyear=RCPminus1,INDEX(Tariffs!$H$46:$H$120,MATCH(Movements!C91,Tariffs!$C$46:$C$120,0)),C91))</f>
        <v>0</v>
      </c>
      <c r="D361" s="505">
        <f t="shared" si="83"/>
        <v>0</v>
      </c>
      <c r="E361" s="505">
        <f t="shared" si="83"/>
        <v>0</v>
      </c>
      <c r="F361" s="58"/>
      <c r="G361" s="199">
        <f t="shared" si="84"/>
        <v>0</v>
      </c>
      <c r="H361" s="58"/>
      <c r="I361" s="198">
        <f>_xlfn.IFNA(IF(I$7="Fixed",1,IF(AND($D91="yes",I$7="Block"),INDEX($O631:$Q631,1,MATCH(I$5,$I25:$K25,0)),INDEX(Movements!$G631:$M631,1,MATCH(I$7,Movements!$G$614:$M$614,0))))
*I1039*I$8,0)</f>
        <v>0</v>
      </c>
      <c r="J361" s="198">
        <f>_xlfn.IFNA(IF(J$7="Fixed",1,IF(AND($D91="yes",J$7="Block"),INDEX($O631:$Q631,1,MATCH(J$5,$I25:$K25,0)),INDEX(Movements!$G631:$M631,1,MATCH(J$7,Movements!$G$614:$M$614,0))))
*J1039*J$8,0)</f>
        <v>0</v>
      </c>
      <c r="K361" s="198">
        <f>_xlfn.IFNA(IF(K$7="Fixed",1,IF(AND($D91="yes",K$7="Block"),INDEX($O631:$Q631,1,MATCH(K$5,$I25:$K25,0)),INDEX(Movements!$G631:$M631,1,MATCH(K$7,Movements!$G$614:$M$614,0))))
*K1039*K$8,0)</f>
        <v>0</v>
      </c>
      <c r="L361" s="198">
        <f>_xlfn.IFNA(IF(L$7="Fixed",1,IF(AND($D91="yes",L$7="Block"),INDEX($O631:$Q631,1,MATCH(L$5,$I25:$K25,0)),INDEX(Movements!$G631:$M631,1,MATCH(L$7,Movements!$G$614:$M$614,0))))
*L1039*L$8,0)</f>
        <v>0</v>
      </c>
      <c r="M361" s="198">
        <f>_xlfn.IFNA(IF(M$7="Fixed",1,IF(AND($D91="yes",M$7="Block"),INDEX($O631:$Q631,1,MATCH(M$5,$I25:$K25,0)),INDEX(Movements!$G631:$M631,1,MATCH(M$7,Movements!$G$614:$M$614,0))))
*M1039*M$8,0)</f>
        <v>0</v>
      </c>
      <c r="N361" s="198">
        <f>_xlfn.IFNA(IF(N$7="Fixed",1,IF(AND($D91="yes",N$7="Block"),INDEX($O631:$Q631,1,MATCH(N$5,$I25:$K25,0)),INDEX(Movements!$G631:$M631,1,MATCH(N$7,Movements!$G$614:$M$614,0))))
*N1039*N$8,0)</f>
        <v>0</v>
      </c>
      <c r="O361" s="198">
        <f>_xlfn.IFNA(IF(O$7="Fixed",1,IF(AND($D91="yes",O$7="Block"),INDEX($O631:$Q631,1,MATCH(O$5,$I25:$K25,0)),INDEX(Movements!$G631:$M631,1,MATCH(O$7,Movements!$G$614:$M$614,0))))
*O1039*O$8,0)</f>
        <v>0</v>
      </c>
      <c r="P361" s="198">
        <f>_xlfn.IFNA(IF(P$7="Fixed",1,IF(AND($D91="yes",P$7="Block"),INDEX($O631:$Q631,1,MATCH(P$5,$I25:$K25,0)),INDEX(Movements!$G631:$M631,1,MATCH(P$7,Movements!$G$614:$M$614,0))))
*P1039*P$8,0)</f>
        <v>0</v>
      </c>
      <c r="Q361" s="198">
        <f>_xlfn.IFNA(IF(Q$7="Fixed",1,IF(AND($D91="yes",Q$7="Block"),INDEX($O631:$Q631,1,MATCH(Q$5,$I25:$K25,0)),INDEX(Movements!$G631:$M631,1,MATCH(Q$7,Movements!$G$614:$M$614,0))))
*Q1039*Q$8,0)</f>
        <v>0</v>
      </c>
      <c r="R361" s="198">
        <f>_xlfn.IFNA(IF(R$7="Fixed",1,IF(AND($D91="yes",R$7="Block"),INDEX($O631:$Q631,1,MATCH(R$5,$I25:$K25,0)),INDEX(Movements!$G631:$M631,1,MATCH(R$7,Movements!$G$614:$M$614,0))))
*R1039*R$8,0)</f>
        <v>0</v>
      </c>
      <c r="S361" s="198">
        <f>_xlfn.IFNA(IF(S$7="Fixed",1,IF(AND($D91="yes",S$7="Block"),INDEX($O631:$Q631,1,MATCH(S$5,$I25:$K25,0)),INDEX(Movements!$G631:$M631,1,MATCH(S$7,Movements!$G$614:$M$614,0))))
*S1039*S$8,0)</f>
        <v>0</v>
      </c>
      <c r="T361" s="198">
        <f>_xlfn.IFNA(IF(T$7="Fixed",1,IF(AND($D91="yes",T$7="Block"),INDEX($O631:$Q631,1,MATCH(T$5,$I25:$K25,0)),INDEX(Movements!$G631:$M631,1,MATCH(T$7,Movements!$G$614:$M$614,0))))
*T1039*T$8,0)</f>
        <v>0</v>
      </c>
      <c r="U361" s="198">
        <f>_xlfn.IFNA(IF(U$7="Fixed",1,IF(AND($D91="yes",U$7="Block"),INDEX($O631:$Q631,1,MATCH(U$5,$I25:$K25,0)),INDEX(Movements!$G631:$M631,1,MATCH(U$7,Movements!$G$614:$M$614,0))))
*U1039*U$8,0)</f>
        <v>0</v>
      </c>
      <c r="V361" s="198">
        <f>_xlfn.IFNA(IF(V$7="Fixed",1,IF(AND($D91="yes",V$7="Block"),INDEX($O631:$Q631,1,MATCH(V$5,$I25:$K25,0)),INDEX(Movements!$G631:$M631,1,MATCH(V$7,Movements!$G$614:$M$614,0))))
*V1039*V$8,0)</f>
        <v>0</v>
      </c>
      <c r="W361" s="198">
        <f>_xlfn.IFNA(IF(W$7="Fixed",1,IF(AND($D91="yes",W$7="Block"),INDEX($O631:$Q631,1,MATCH(W$5,$I25:$K25,0)),INDEX(Movements!$G631:$M631,1,MATCH(W$7,Movements!$G$614:$M$614,0))))
*W1039*W$8,0)</f>
        <v>0</v>
      </c>
      <c r="X361" s="198">
        <f>_xlfn.IFNA(IF(X$7="Fixed",1,IF(AND($D91="yes",X$7="Block"),INDEX($O631:$Q631,1,MATCH(X$5,$I25:$K25,0)),INDEX(Movements!$G631:$M631,1,MATCH(X$7,Movements!$G$614:$M$614,0))))
*X1039*X$8,0)</f>
        <v>0</v>
      </c>
      <c r="Y361" s="198">
        <f>_xlfn.IFNA(IF(Y$7="Fixed",1,IF(AND($D91="yes",Y$7="Block"),INDEX($O631:$Q631,1,MATCH(Y$5,$I25:$K25,0)),INDEX(Movements!$G631:$M631,1,MATCH(Y$7,Movements!$G$614:$M$614,0))))
*Y1039*Y$8,0)</f>
        <v>0</v>
      </c>
      <c r="Z361" s="198">
        <f>_xlfn.IFNA(IF(Z$7="Fixed",1,IF(AND($D91="yes",Z$7="Block"),INDEX($O631:$Q631,1,MATCH(Z$5,$I25:$K25,0)),INDEX(Movements!$G631:$M631,1,MATCH(Z$7,Movements!$G$614:$M$614,0))))
*Z1039*Z$8,0)</f>
        <v>0</v>
      </c>
      <c r="AA361" s="198">
        <f>_xlfn.IFNA(IF(AA$7="Fixed",1,IF(AND($D91="yes",AA$7="Block"),INDEX($O631:$Q631,1,MATCH(AA$5,$I25:$K25,0)),INDEX(Movements!$G631:$M631,1,MATCH(AA$7,Movements!$G$614:$M$614,0))))
*AA1039*AA$8,0)</f>
        <v>0</v>
      </c>
      <c r="AB361" s="198">
        <f>_xlfn.IFNA(IF(AB$7="Fixed",1,IF(AND($D91="yes",AB$7="Block"),INDEX($O631:$Q631,1,MATCH(AB$5,$I25:$K25,0)),INDEX(Movements!$G631:$M631,1,MATCH(AB$7,Movements!$G$614:$M$614,0))))
*AB1039*AB$8,0)</f>
        <v>0</v>
      </c>
      <c r="AC361" s="70"/>
      <c r="AD361" s="19"/>
      <c r="AE361" s="19"/>
      <c r="AF361" s="19"/>
      <c r="AG361" s="19"/>
    </row>
    <row r="362" spans="1:33" hidden="1" outlineLevel="3" x14ac:dyDescent="0.2">
      <c r="A362" s="19"/>
      <c r="B362" s="98">
        <v>16</v>
      </c>
      <c r="C362" s="506">
        <f>IF(C92=0,0,IF(currentyear=RCPminus1,INDEX(Tariffs!$H$46:$H$120,MATCH(Movements!C92,Tariffs!$C$46:$C$120,0)),C92))</f>
        <v>0</v>
      </c>
      <c r="D362" s="505">
        <f t="shared" si="83"/>
        <v>0</v>
      </c>
      <c r="E362" s="505">
        <f t="shared" si="83"/>
        <v>0</v>
      </c>
      <c r="F362" s="58"/>
      <c r="G362" s="199">
        <f t="shared" si="84"/>
        <v>0</v>
      </c>
      <c r="H362" s="58"/>
      <c r="I362" s="198">
        <f>_xlfn.IFNA(IF(I$7="Fixed",1,IF(AND($D92="yes",I$7="Block"),INDEX($O632:$Q632,1,MATCH(I$5,$I26:$K26,0)),INDEX(Movements!$G632:$M632,1,MATCH(I$7,Movements!$G$614:$M$614,0))))
*I1040*I$8,0)</f>
        <v>0</v>
      </c>
      <c r="J362" s="198">
        <f>_xlfn.IFNA(IF(J$7="Fixed",1,IF(AND($D92="yes",J$7="Block"),INDEX($O632:$Q632,1,MATCH(J$5,$I26:$K26,0)),INDEX(Movements!$G632:$M632,1,MATCH(J$7,Movements!$G$614:$M$614,0))))
*J1040*J$8,0)</f>
        <v>0</v>
      </c>
      <c r="K362" s="198">
        <f>_xlfn.IFNA(IF(K$7="Fixed",1,IF(AND($D92="yes",K$7="Block"),INDEX($O632:$Q632,1,MATCH(K$5,$I26:$K26,0)),INDEX(Movements!$G632:$M632,1,MATCH(K$7,Movements!$G$614:$M$614,0))))
*K1040*K$8,0)</f>
        <v>0</v>
      </c>
      <c r="L362" s="198">
        <f>_xlfn.IFNA(IF(L$7="Fixed",1,IF(AND($D92="yes",L$7="Block"),INDEX($O632:$Q632,1,MATCH(L$5,$I26:$K26,0)),INDEX(Movements!$G632:$M632,1,MATCH(L$7,Movements!$G$614:$M$614,0))))
*L1040*L$8,0)</f>
        <v>0</v>
      </c>
      <c r="M362" s="198">
        <f>_xlfn.IFNA(IF(M$7="Fixed",1,IF(AND($D92="yes",M$7="Block"),INDEX($O632:$Q632,1,MATCH(M$5,$I26:$K26,0)),INDEX(Movements!$G632:$M632,1,MATCH(M$7,Movements!$G$614:$M$614,0))))
*M1040*M$8,0)</f>
        <v>0</v>
      </c>
      <c r="N362" s="198">
        <f>_xlfn.IFNA(IF(N$7="Fixed",1,IF(AND($D92="yes",N$7="Block"),INDEX($O632:$Q632,1,MATCH(N$5,$I26:$K26,0)),INDEX(Movements!$G632:$M632,1,MATCH(N$7,Movements!$G$614:$M$614,0))))
*N1040*N$8,0)</f>
        <v>0</v>
      </c>
      <c r="O362" s="198">
        <f>_xlfn.IFNA(IF(O$7="Fixed",1,IF(AND($D92="yes",O$7="Block"),INDEX($O632:$Q632,1,MATCH(O$5,$I26:$K26,0)),INDEX(Movements!$G632:$M632,1,MATCH(O$7,Movements!$G$614:$M$614,0))))
*O1040*O$8,0)</f>
        <v>0</v>
      </c>
      <c r="P362" s="198">
        <f>_xlfn.IFNA(IF(P$7="Fixed",1,IF(AND($D92="yes",P$7="Block"),INDEX($O632:$Q632,1,MATCH(P$5,$I26:$K26,0)),INDEX(Movements!$G632:$M632,1,MATCH(P$7,Movements!$G$614:$M$614,0))))
*P1040*P$8,0)</f>
        <v>0</v>
      </c>
      <c r="Q362" s="198">
        <f>_xlfn.IFNA(IF(Q$7="Fixed",1,IF(AND($D92="yes",Q$7="Block"),INDEX($O632:$Q632,1,MATCH(Q$5,$I26:$K26,0)),INDEX(Movements!$G632:$M632,1,MATCH(Q$7,Movements!$G$614:$M$614,0))))
*Q1040*Q$8,0)</f>
        <v>0</v>
      </c>
      <c r="R362" s="198">
        <f>_xlfn.IFNA(IF(R$7="Fixed",1,IF(AND($D92="yes",R$7="Block"),INDEX($O632:$Q632,1,MATCH(R$5,$I26:$K26,0)),INDEX(Movements!$G632:$M632,1,MATCH(R$7,Movements!$G$614:$M$614,0))))
*R1040*R$8,0)</f>
        <v>0</v>
      </c>
      <c r="S362" s="198">
        <f>_xlfn.IFNA(IF(S$7="Fixed",1,IF(AND($D92="yes",S$7="Block"),INDEX($O632:$Q632,1,MATCH(S$5,$I26:$K26,0)),INDEX(Movements!$G632:$M632,1,MATCH(S$7,Movements!$G$614:$M$614,0))))
*S1040*S$8,0)</f>
        <v>0</v>
      </c>
      <c r="T362" s="198">
        <f>_xlfn.IFNA(IF(T$7="Fixed",1,IF(AND($D92="yes",T$7="Block"),INDEX($O632:$Q632,1,MATCH(T$5,$I26:$K26,0)),INDEX(Movements!$G632:$M632,1,MATCH(T$7,Movements!$G$614:$M$614,0))))
*T1040*T$8,0)</f>
        <v>0</v>
      </c>
      <c r="U362" s="198">
        <f>_xlfn.IFNA(IF(U$7="Fixed",1,IF(AND($D92="yes",U$7="Block"),INDEX($O632:$Q632,1,MATCH(U$5,$I26:$K26,0)),INDEX(Movements!$G632:$M632,1,MATCH(U$7,Movements!$G$614:$M$614,0))))
*U1040*U$8,0)</f>
        <v>0</v>
      </c>
      <c r="V362" s="198">
        <f>_xlfn.IFNA(IF(V$7="Fixed",1,IF(AND($D92="yes",V$7="Block"),INDEX($O632:$Q632,1,MATCH(V$5,$I26:$K26,0)),INDEX(Movements!$G632:$M632,1,MATCH(V$7,Movements!$G$614:$M$614,0))))
*V1040*V$8,0)</f>
        <v>0</v>
      </c>
      <c r="W362" s="198">
        <f>_xlfn.IFNA(IF(W$7="Fixed",1,IF(AND($D92="yes",W$7="Block"),INDEX($O632:$Q632,1,MATCH(W$5,$I26:$K26,0)),INDEX(Movements!$G632:$M632,1,MATCH(W$7,Movements!$G$614:$M$614,0))))
*W1040*W$8,0)</f>
        <v>0</v>
      </c>
      <c r="X362" s="198">
        <f>_xlfn.IFNA(IF(X$7="Fixed",1,IF(AND($D92="yes",X$7="Block"),INDEX($O632:$Q632,1,MATCH(X$5,$I26:$K26,0)),INDEX(Movements!$G632:$M632,1,MATCH(X$7,Movements!$G$614:$M$614,0))))
*X1040*X$8,0)</f>
        <v>0</v>
      </c>
      <c r="Y362" s="198">
        <f>_xlfn.IFNA(IF(Y$7="Fixed",1,IF(AND($D92="yes",Y$7="Block"),INDEX($O632:$Q632,1,MATCH(Y$5,$I26:$K26,0)),INDEX(Movements!$G632:$M632,1,MATCH(Y$7,Movements!$G$614:$M$614,0))))
*Y1040*Y$8,0)</f>
        <v>0</v>
      </c>
      <c r="Z362" s="198">
        <f>_xlfn.IFNA(IF(Z$7="Fixed",1,IF(AND($D92="yes",Z$7="Block"),INDEX($O632:$Q632,1,MATCH(Z$5,$I26:$K26,0)),INDEX(Movements!$G632:$M632,1,MATCH(Z$7,Movements!$G$614:$M$614,0))))
*Z1040*Z$8,0)</f>
        <v>0</v>
      </c>
      <c r="AA362" s="198">
        <f>_xlfn.IFNA(IF(AA$7="Fixed",1,IF(AND($D92="yes",AA$7="Block"),INDEX($O632:$Q632,1,MATCH(AA$5,$I26:$K26,0)),INDEX(Movements!$G632:$M632,1,MATCH(AA$7,Movements!$G$614:$M$614,0))))
*AA1040*AA$8,0)</f>
        <v>0</v>
      </c>
      <c r="AB362" s="198">
        <f>_xlfn.IFNA(IF(AB$7="Fixed",1,IF(AND($D92="yes",AB$7="Block"),INDEX($O632:$Q632,1,MATCH(AB$5,$I26:$K26,0)),INDEX(Movements!$G632:$M632,1,MATCH(AB$7,Movements!$G$614:$M$614,0))))
*AB1040*AB$8,0)</f>
        <v>0</v>
      </c>
      <c r="AC362" s="70"/>
      <c r="AD362" s="19"/>
      <c r="AE362" s="19"/>
      <c r="AF362" s="19"/>
      <c r="AG362" s="19"/>
    </row>
    <row r="363" spans="1:33" hidden="1" outlineLevel="3" x14ac:dyDescent="0.2">
      <c r="A363" s="19"/>
      <c r="B363" s="97">
        <v>17</v>
      </c>
      <c r="C363" s="506">
        <f>IF(C93=0,0,IF(currentyear=RCPminus1,INDEX(Tariffs!$H$46:$H$120,MATCH(Movements!C93,Tariffs!$C$46:$C$120,0)),C93))</f>
        <v>0</v>
      </c>
      <c r="D363" s="505">
        <f t="shared" si="83"/>
        <v>0</v>
      </c>
      <c r="E363" s="505">
        <f t="shared" si="83"/>
        <v>0</v>
      </c>
      <c r="F363" s="58"/>
      <c r="G363" s="199">
        <f t="shared" si="84"/>
        <v>0</v>
      </c>
      <c r="H363" s="58"/>
      <c r="I363" s="198">
        <f>_xlfn.IFNA(IF(I$7="Fixed",1,IF(AND($D93="yes",I$7="Block"),INDEX($O633:$Q633,1,MATCH(I$5,$I27:$K27,0)),INDEX(Movements!$G633:$M633,1,MATCH(I$7,Movements!$G$614:$M$614,0))))
*I1041*I$8,0)</f>
        <v>0</v>
      </c>
      <c r="J363" s="198">
        <f>_xlfn.IFNA(IF(J$7="Fixed",1,IF(AND($D93="yes",J$7="Block"),INDEX($O633:$Q633,1,MATCH(J$5,$I27:$K27,0)),INDEX(Movements!$G633:$M633,1,MATCH(J$7,Movements!$G$614:$M$614,0))))
*J1041*J$8,0)</f>
        <v>0</v>
      </c>
      <c r="K363" s="198">
        <f>_xlfn.IFNA(IF(K$7="Fixed",1,IF(AND($D93="yes",K$7="Block"),INDEX($O633:$Q633,1,MATCH(K$5,$I27:$K27,0)),INDEX(Movements!$G633:$M633,1,MATCH(K$7,Movements!$G$614:$M$614,0))))
*K1041*K$8,0)</f>
        <v>0</v>
      </c>
      <c r="L363" s="198">
        <f>_xlfn.IFNA(IF(L$7="Fixed",1,IF(AND($D93="yes",L$7="Block"),INDEX($O633:$Q633,1,MATCH(L$5,$I27:$K27,0)),INDEX(Movements!$G633:$M633,1,MATCH(L$7,Movements!$G$614:$M$614,0))))
*L1041*L$8,0)</f>
        <v>0</v>
      </c>
      <c r="M363" s="198">
        <f>_xlfn.IFNA(IF(M$7="Fixed",1,IF(AND($D93="yes",M$7="Block"),INDEX($O633:$Q633,1,MATCH(M$5,$I27:$K27,0)),INDEX(Movements!$G633:$M633,1,MATCH(M$7,Movements!$G$614:$M$614,0))))
*M1041*M$8,0)</f>
        <v>0</v>
      </c>
      <c r="N363" s="198">
        <f>_xlfn.IFNA(IF(N$7="Fixed",1,IF(AND($D93="yes",N$7="Block"),INDEX($O633:$Q633,1,MATCH(N$5,$I27:$K27,0)),INDEX(Movements!$G633:$M633,1,MATCH(N$7,Movements!$G$614:$M$614,0))))
*N1041*N$8,0)</f>
        <v>0</v>
      </c>
      <c r="O363" s="198">
        <f>_xlfn.IFNA(IF(O$7="Fixed",1,IF(AND($D93="yes",O$7="Block"),INDEX($O633:$Q633,1,MATCH(O$5,$I27:$K27,0)),INDEX(Movements!$G633:$M633,1,MATCH(O$7,Movements!$G$614:$M$614,0))))
*O1041*O$8,0)</f>
        <v>0</v>
      </c>
      <c r="P363" s="198">
        <f>_xlfn.IFNA(IF(P$7="Fixed",1,IF(AND($D93="yes",P$7="Block"),INDEX($O633:$Q633,1,MATCH(P$5,$I27:$K27,0)),INDEX(Movements!$G633:$M633,1,MATCH(P$7,Movements!$G$614:$M$614,0))))
*P1041*P$8,0)</f>
        <v>0</v>
      </c>
      <c r="Q363" s="198">
        <f>_xlfn.IFNA(IF(Q$7="Fixed",1,IF(AND($D93="yes",Q$7="Block"),INDEX($O633:$Q633,1,MATCH(Q$5,$I27:$K27,0)),INDEX(Movements!$G633:$M633,1,MATCH(Q$7,Movements!$G$614:$M$614,0))))
*Q1041*Q$8,0)</f>
        <v>0</v>
      </c>
      <c r="R363" s="198">
        <f>_xlfn.IFNA(IF(R$7="Fixed",1,IF(AND($D93="yes",R$7="Block"),INDEX($O633:$Q633,1,MATCH(R$5,$I27:$K27,0)),INDEX(Movements!$G633:$M633,1,MATCH(R$7,Movements!$G$614:$M$614,0))))
*R1041*R$8,0)</f>
        <v>0</v>
      </c>
      <c r="S363" s="198">
        <f>_xlfn.IFNA(IF(S$7="Fixed",1,IF(AND($D93="yes",S$7="Block"),INDEX($O633:$Q633,1,MATCH(S$5,$I27:$K27,0)),INDEX(Movements!$G633:$M633,1,MATCH(S$7,Movements!$G$614:$M$614,0))))
*S1041*S$8,0)</f>
        <v>0</v>
      </c>
      <c r="T363" s="198">
        <f>_xlfn.IFNA(IF(T$7="Fixed",1,IF(AND($D93="yes",T$7="Block"),INDEX($O633:$Q633,1,MATCH(T$5,$I27:$K27,0)),INDEX(Movements!$G633:$M633,1,MATCH(T$7,Movements!$G$614:$M$614,0))))
*T1041*T$8,0)</f>
        <v>0</v>
      </c>
      <c r="U363" s="198">
        <f>_xlfn.IFNA(IF(U$7="Fixed",1,IF(AND($D93="yes",U$7="Block"),INDEX($O633:$Q633,1,MATCH(U$5,$I27:$K27,0)),INDEX(Movements!$G633:$M633,1,MATCH(U$7,Movements!$G$614:$M$614,0))))
*U1041*U$8,0)</f>
        <v>0</v>
      </c>
      <c r="V363" s="198">
        <f>_xlfn.IFNA(IF(V$7="Fixed",1,IF(AND($D93="yes",V$7="Block"),INDEX($O633:$Q633,1,MATCH(V$5,$I27:$K27,0)),INDEX(Movements!$G633:$M633,1,MATCH(V$7,Movements!$G$614:$M$614,0))))
*V1041*V$8,0)</f>
        <v>0</v>
      </c>
      <c r="W363" s="198">
        <f>_xlfn.IFNA(IF(W$7="Fixed",1,IF(AND($D93="yes",W$7="Block"),INDEX($O633:$Q633,1,MATCH(W$5,$I27:$K27,0)),INDEX(Movements!$G633:$M633,1,MATCH(W$7,Movements!$G$614:$M$614,0))))
*W1041*W$8,0)</f>
        <v>0</v>
      </c>
      <c r="X363" s="198">
        <f>_xlfn.IFNA(IF(X$7="Fixed",1,IF(AND($D93="yes",X$7="Block"),INDEX($O633:$Q633,1,MATCH(X$5,$I27:$K27,0)),INDEX(Movements!$G633:$M633,1,MATCH(X$7,Movements!$G$614:$M$614,0))))
*X1041*X$8,0)</f>
        <v>0</v>
      </c>
      <c r="Y363" s="198">
        <f>_xlfn.IFNA(IF(Y$7="Fixed",1,IF(AND($D93="yes",Y$7="Block"),INDEX($O633:$Q633,1,MATCH(Y$5,$I27:$K27,0)),INDEX(Movements!$G633:$M633,1,MATCH(Y$7,Movements!$G$614:$M$614,0))))
*Y1041*Y$8,0)</f>
        <v>0</v>
      </c>
      <c r="Z363" s="198">
        <f>_xlfn.IFNA(IF(Z$7="Fixed",1,IF(AND($D93="yes",Z$7="Block"),INDEX($O633:$Q633,1,MATCH(Z$5,$I27:$K27,0)),INDEX(Movements!$G633:$M633,1,MATCH(Z$7,Movements!$G$614:$M$614,0))))
*Z1041*Z$8,0)</f>
        <v>0</v>
      </c>
      <c r="AA363" s="198">
        <f>_xlfn.IFNA(IF(AA$7="Fixed",1,IF(AND($D93="yes",AA$7="Block"),INDEX($O633:$Q633,1,MATCH(AA$5,$I27:$K27,0)),INDEX(Movements!$G633:$M633,1,MATCH(AA$7,Movements!$G$614:$M$614,0))))
*AA1041*AA$8,0)</f>
        <v>0</v>
      </c>
      <c r="AB363" s="198">
        <f>_xlfn.IFNA(IF(AB$7="Fixed",1,IF(AND($D93="yes",AB$7="Block"),INDEX($O633:$Q633,1,MATCH(AB$5,$I27:$K27,0)),INDEX(Movements!$G633:$M633,1,MATCH(AB$7,Movements!$G$614:$M$614,0))))
*AB1041*AB$8,0)</f>
        <v>0</v>
      </c>
      <c r="AC363" s="70"/>
      <c r="AD363" s="19"/>
      <c r="AE363" s="19"/>
      <c r="AF363" s="19"/>
      <c r="AG363" s="19"/>
    </row>
    <row r="364" spans="1:33" hidden="1" outlineLevel="3" x14ac:dyDescent="0.2">
      <c r="A364" s="19"/>
      <c r="B364" s="97">
        <v>18</v>
      </c>
      <c r="C364" s="506">
        <f>IF(C94=0,0,IF(currentyear=RCPminus1,INDEX(Tariffs!$H$46:$H$120,MATCH(Movements!C94,Tariffs!$C$46:$C$120,0)),C94))</f>
        <v>0</v>
      </c>
      <c r="D364" s="505">
        <f t="shared" si="83"/>
        <v>0</v>
      </c>
      <c r="E364" s="505">
        <f t="shared" si="83"/>
        <v>0</v>
      </c>
      <c r="F364" s="58"/>
      <c r="G364" s="199">
        <f t="shared" si="84"/>
        <v>0</v>
      </c>
      <c r="H364" s="58"/>
      <c r="I364" s="198">
        <f>_xlfn.IFNA(IF(I$7="Fixed",1,IF(AND($D94="yes",I$7="Block"),INDEX($O634:$Q634,1,MATCH(I$5,$I28:$K28,0)),INDEX(Movements!$G634:$M634,1,MATCH(I$7,Movements!$G$614:$M$614,0))))
*I1042*I$8,0)</f>
        <v>0</v>
      </c>
      <c r="J364" s="198">
        <f>_xlfn.IFNA(IF(J$7="Fixed",1,IF(AND($D94="yes",J$7="Block"),INDEX($O634:$Q634,1,MATCH(J$5,$I28:$K28,0)),INDEX(Movements!$G634:$M634,1,MATCH(J$7,Movements!$G$614:$M$614,0))))
*J1042*J$8,0)</f>
        <v>0</v>
      </c>
      <c r="K364" s="198">
        <f>_xlfn.IFNA(IF(K$7="Fixed",1,IF(AND($D94="yes",K$7="Block"),INDEX($O634:$Q634,1,MATCH(K$5,$I28:$K28,0)),INDEX(Movements!$G634:$M634,1,MATCH(K$7,Movements!$G$614:$M$614,0))))
*K1042*K$8,0)</f>
        <v>0</v>
      </c>
      <c r="L364" s="198">
        <f>_xlfn.IFNA(IF(L$7="Fixed",1,IF(AND($D94="yes",L$7="Block"),INDEX($O634:$Q634,1,MATCH(L$5,$I28:$K28,0)),INDEX(Movements!$G634:$M634,1,MATCH(L$7,Movements!$G$614:$M$614,0))))
*L1042*L$8,0)</f>
        <v>0</v>
      </c>
      <c r="M364" s="198">
        <f>_xlfn.IFNA(IF(M$7="Fixed",1,IF(AND($D94="yes",M$7="Block"),INDEX($O634:$Q634,1,MATCH(M$5,$I28:$K28,0)),INDEX(Movements!$G634:$M634,1,MATCH(M$7,Movements!$G$614:$M$614,0))))
*M1042*M$8,0)</f>
        <v>0</v>
      </c>
      <c r="N364" s="198">
        <f>_xlfn.IFNA(IF(N$7="Fixed",1,IF(AND($D94="yes",N$7="Block"),INDEX($O634:$Q634,1,MATCH(N$5,$I28:$K28,0)),INDEX(Movements!$G634:$M634,1,MATCH(N$7,Movements!$G$614:$M$614,0))))
*N1042*N$8,0)</f>
        <v>0</v>
      </c>
      <c r="O364" s="198">
        <f>_xlfn.IFNA(IF(O$7="Fixed",1,IF(AND($D94="yes",O$7="Block"),INDEX($O634:$Q634,1,MATCH(O$5,$I28:$K28,0)),INDEX(Movements!$G634:$M634,1,MATCH(O$7,Movements!$G$614:$M$614,0))))
*O1042*O$8,0)</f>
        <v>0</v>
      </c>
      <c r="P364" s="198">
        <f>_xlfn.IFNA(IF(P$7="Fixed",1,IF(AND($D94="yes",P$7="Block"),INDEX($O634:$Q634,1,MATCH(P$5,$I28:$K28,0)),INDEX(Movements!$G634:$M634,1,MATCH(P$7,Movements!$G$614:$M$614,0))))
*P1042*P$8,0)</f>
        <v>0</v>
      </c>
      <c r="Q364" s="198">
        <f>_xlfn.IFNA(IF(Q$7="Fixed",1,IF(AND($D94="yes",Q$7="Block"),INDEX($O634:$Q634,1,MATCH(Q$5,$I28:$K28,0)),INDEX(Movements!$G634:$M634,1,MATCH(Q$7,Movements!$G$614:$M$614,0))))
*Q1042*Q$8,0)</f>
        <v>0</v>
      </c>
      <c r="R364" s="198">
        <f>_xlfn.IFNA(IF(R$7="Fixed",1,IF(AND($D94="yes",R$7="Block"),INDEX($O634:$Q634,1,MATCH(R$5,$I28:$K28,0)),INDEX(Movements!$G634:$M634,1,MATCH(R$7,Movements!$G$614:$M$614,0))))
*R1042*R$8,0)</f>
        <v>0</v>
      </c>
      <c r="S364" s="198">
        <f>_xlfn.IFNA(IF(S$7="Fixed",1,IF(AND($D94="yes",S$7="Block"),INDEX($O634:$Q634,1,MATCH(S$5,$I28:$K28,0)),INDEX(Movements!$G634:$M634,1,MATCH(S$7,Movements!$G$614:$M$614,0))))
*S1042*S$8,0)</f>
        <v>0</v>
      </c>
      <c r="T364" s="198">
        <f>_xlfn.IFNA(IF(T$7="Fixed",1,IF(AND($D94="yes",T$7="Block"),INDEX($O634:$Q634,1,MATCH(T$5,$I28:$K28,0)),INDEX(Movements!$G634:$M634,1,MATCH(T$7,Movements!$G$614:$M$614,0))))
*T1042*T$8,0)</f>
        <v>0</v>
      </c>
      <c r="U364" s="198">
        <f>_xlfn.IFNA(IF(U$7="Fixed",1,IF(AND($D94="yes",U$7="Block"),INDEX($O634:$Q634,1,MATCH(U$5,$I28:$K28,0)),INDEX(Movements!$G634:$M634,1,MATCH(U$7,Movements!$G$614:$M$614,0))))
*U1042*U$8,0)</f>
        <v>0</v>
      </c>
      <c r="V364" s="198">
        <f>_xlfn.IFNA(IF(V$7="Fixed",1,IF(AND($D94="yes",V$7="Block"),INDEX($O634:$Q634,1,MATCH(V$5,$I28:$K28,0)),INDEX(Movements!$G634:$M634,1,MATCH(V$7,Movements!$G$614:$M$614,0))))
*V1042*V$8,0)</f>
        <v>0</v>
      </c>
      <c r="W364" s="198">
        <f>_xlfn.IFNA(IF(W$7="Fixed",1,IF(AND($D94="yes",W$7="Block"),INDEX($O634:$Q634,1,MATCH(W$5,$I28:$K28,0)),INDEX(Movements!$G634:$M634,1,MATCH(W$7,Movements!$G$614:$M$614,0))))
*W1042*W$8,0)</f>
        <v>0</v>
      </c>
      <c r="X364" s="198">
        <f>_xlfn.IFNA(IF(X$7="Fixed",1,IF(AND($D94="yes",X$7="Block"),INDEX($O634:$Q634,1,MATCH(X$5,$I28:$K28,0)),INDEX(Movements!$G634:$M634,1,MATCH(X$7,Movements!$G$614:$M$614,0))))
*X1042*X$8,0)</f>
        <v>0</v>
      </c>
      <c r="Y364" s="198">
        <f>_xlfn.IFNA(IF(Y$7="Fixed",1,IF(AND($D94="yes",Y$7="Block"),INDEX($O634:$Q634,1,MATCH(Y$5,$I28:$K28,0)),INDEX(Movements!$G634:$M634,1,MATCH(Y$7,Movements!$G$614:$M$614,0))))
*Y1042*Y$8,0)</f>
        <v>0</v>
      </c>
      <c r="Z364" s="198">
        <f>_xlfn.IFNA(IF(Z$7="Fixed",1,IF(AND($D94="yes",Z$7="Block"),INDEX($O634:$Q634,1,MATCH(Z$5,$I28:$K28,0)),INDEX(Movements!$G634:$M634,1,MATCH(Z$7,Movements!$G$614:$M$614,0))))
*Z1042*Z$8,0)</f>
        <v>0</v>
      </c>
      <c r="AA364" s="198">
        <f>_xlfn.IFNA(IF(AA$7="Fixed",1,IF(AND($D94="yes",AA$7="Block"),INDEX($O634:$Q634,1,MATCH(AA$5,$I28:$K28,0)),INDEX(Movements!$G634:$M634,1,MATCH(AA$7,Movements!$G$614:$M$614,0))))
*AA1042*AA$8,0)</f>
        <v>0</v>
      </c>
      <c r="AB364" s="198">
        <f>_xlfn.IFNA(IF(AB$7="Fixed",1,IF(AND($D94="yes",AB$7="Block"),INDEX($O634:$Q634,1,MATCH(AB$5,$I28:$K28,0)),INDEX(Movements!$G634:$M634,1,MATCH(AB$7,Movements!$G$614:$M$614,0))))
*AB1042*AB$8,0)</f>
        <v>0</v>
      </c>
      <c r="AC364" s="70"/>
      <c r="AD364" s="19"/>
      <c r="AE364" s="19"/>
      <c r="AF364" s="19"/>
      <c r="AG364" s="19"/>
    </row>
    <row r="365" spans="1:33" hidden="1" outlineLevel="3" x14ac:dyDescent="0.2">
      <c r="A365" s="19"/>
      <c r="B365" s="97">
        <v>19</v>
      </c>
      <c r="C365" s="506">
        <f>IF(C95=0,0,IF(currentyear=RCPminus1,INDEX(Tariffs!$H$46:$H$120,MATCH(Movements!C95,Tariffs!$C$46:$C$120,0)),C95))</f>
        <v>0</v>
      </c>
      <c r="D365" s="505">
        <f t="shared" si="83"/>
        <v>0</v>
      </c>
      <c r="E365" s="505">
        <f t="shared" si="83"/>
        <v>0</v>
      </c>
      <c r="F365" s="58"/>
      <c r="G365" s="199">
        <f t="shared" si="84"/>
        <v>0</v>
      </c>
      <c r="H365" s="58"/>
      <c r="I365" s="198">
        <f>_xlfn.IFNA(IF(I$7="Fixed",1,IF(AND($D95="yes",I$7="Block"),INDEX($O635:$Q635,1,MATCH(I$5,$I29:$K29,0)),INDEX(Movements!$G635:$M635,1,MATCH(I$7,Movements!$G$614:$M$614,0))))
*I1043*I$8,0)</f>
        <v>0</v>
      </c>
      <c r="J365" s="198">
        <f>_xlfn.IFNA(IF(J$7="Fixed",1,IF(AND($D95="yes",J$7="Block"),INDEX($O635:$Q635,1,MATCH(J$5,$I29:$K29,0)),INDEX(Movements!$G635:$M635,1,MATCH(J$7,Movements!$G$614:$M$614,0))))
*J1043*J$8,0)</f>
        <v>0</v>
      </c>
      <c r="K365" s="198">
        <f>_xlfn.IFNA(IF(K$7="Fixed",1,IF(AND($D95="yes",K$7="Block"),INDEX($O635:$Q635,1,MATCH(K$5,$I29:$K29,0)),INDEX(Movements!$G635:$M635,1,MATCH(K$7,Movements!$G$614:$M$614,0))))
*K1043*K$8,0)</f>
        <v>0</v>
      </c>
      <c r="L365" s="198">
        <f>_xlfn.IFNA(IF(L$7="Fixed",1,IF(AND($D95="yes",L$7="Block"),INDEX($O635:$Q635,1,MATCH(L$5,$I29:$K29,0)),INDEX(Movements!$G635:$M635,1,MATCH(L$7,Movements!$G$614:$M$614,0))))
*L1043*L$8,0)</f>
        <v>0</v>
      </c>
      <c r="M365" s="198">
        <f>_xlfn.IFNA(IF(M$7="Fixed",1,IF(AND($D95="yes",M$7="Block"),INDEX($O635:$Q635,1,MATCH(M$5,$I29:$K29,0)),INDEX(Movements!$G635:$M635,1,MATCH(M$7,Movements!$G$614:$M$614,0))))
*M1043*M$8,0)</f>
        <v>0</v>
      </c>
      <c r="N365" s="198">
        <f>_xlfn.IFNA(IF(N$7="Fixed",1,IF(AND($D95="yes",N$7="Block"),INDEX($O635:$Q635,1,MATCH(N$5,$I29:$K29,0)),INDEX(Movements!$G635:$M635,1,MATCH(N$7,Movements!$G$614:$M$614,0))))
*N1043*N$8,0)</f>
        <v>0</v>
      </c>
      <c r="O365" s="198">
        <f>_xlfn.IFNA(IF(O$7="Fixed",1,IF(AND($D95="yes",O$7="Block"),INDEX($O635:$Q635,1,MATCH(O$5,$I29:$K29,0)),INDEX(Movements!$G635:$M635,1,MATCH(O$7,Movements!$G$614:$M$614,0))))
*O1043*O$8,0)</f>
        <v>0</v>
      </c>
      <c r="P365" s="198">
        <f>_xlfn.IFNA(IF(P$7="Fixed",1,IF(AND($D95="yes",P$7="Block"),INDEX($O635:$Q635,1,MATCH(P$5,$I29:$K29,0)),INDEX(Movements!$G635:$M635,1,MATCH(P$7,Movements!$G$614:$M$614,0))))
*P1043*P$8,0)</f>
        <v>0</v>
      </c>
      <c r="Q365" s="198">
        <f>_xlfn.IFNA(IF(Q$7="Fixed",1,IF(AND($D95="yes",Q$7="Block"),INDEX($O635:$Q635,1,MATCH(Q$5,$I29:$K29,0)),INDEX(Movements!$G635:$M635,1,MATCH(Q$7,Movements!$G$614:$M$614,0))))
*Q1043*Q$8,0)</f>
        <v>0</v>
      </c>
      <c r="R365" s="198">
        <f>_xlfn.IFNA(IF(R$7="Fixed",1,IF(AND($D95="yes",R$7="Block"),INDEX($O635:$Q635,1,MATCH(R$5,$I29:$K29,0)),INDEX(Movements!$G635:$M635,1,MATCH(R$7,Movements!$G$614:$M$614,0))))
*R1043*R$8,0)</f>
        <v>0</v>
      </c>
      <c r="S365" s="198">
        <f>_xlfn.IFNA(IF(S$7="Fixed",1,IF(AND($D95="yes",S$7="Block"),INDEX($O635:$Q635,1,MATCH(S$5,$I29:$K29,0)),INDEX(Movements!$G635:$M635,1,MATCH(S$7,Movements!$G$614:$M$614,0))))
*S1043*S$8,0)</f>
        <v>0</v>
      </c>
      <c r="T365" s="198">
        <f>_xlfn.IFNA(IF(T$7="Fixed",1,IF(AND($D95="yes",T$7="Block"),INDEX($O635:$Q635,1,MATCH(T$5,$I29:$K29,0)),INDEX(Movements!$G635:$M635,1,MATCH(T$7,Movements!$G$614:$M$614,0))))
*T1043*T$8,0)</f>
        <v>0</v>
      </c>
      <c r="U365" s="198">
        <f>_xlfn.IFNA(IF(U$7="Fixed",1,IF(AND($D95="yes",U$7="Block"),INDEX($O635:$Q635,1,MATCH(U$5,$I29:$K29,0)),INDEX(Movements!$G635:$M635,1,MATCH(U$7,Movements!$G$614:$M$614,0))))
*U1043*U$8,0)</f>
        <v>0</v>
      </c>
      <c r="V365" s="198">
        <f>_xlfn.IFNA(IF(V$7="Fixed",1,IF(AND($D95="yes",V$7="Block"),INDEX($O635:$Q635,1,MATCH(V$5,$I29:$K29,0)),INDEX(Movements!$G635:$M635,1,MATCH(V$7,Movements!$G$614:$M$614,0))))
*V1043*V$8,0)</f>
        <v>0</v>
      </c>
      <c r="W365" s="198">
        <f>_xlfn.IFNA(IF(W$7="Fixed",1,IF(AND($D95="yes",W$7="Block"),INDEX($O635:$Q635,1,MATCH(W$5,$I29:$K29,0)),INDEX(Movements!$G635:$M635,1,MATCH(W$7,Movements!$G$614:$M$614,0))))
*W1043*W$8,0)</f>
        <v>0</v>
      </c>
      <c r="X365" s="198">
        <f>_xlfn.IFNA(IF(X$7="Fixed",1,IF(AND($D95="yes",X$7="Block"),INDEX($O635:$Q635,1,MATCH(X$5,$I29:$K29,0)),INDEX(Movements!$G635:$M635,1,MATCH(X$7,Movements!$G$614:$M$614,0))))
*X1043*X$8,0)</f>
        <v>0</v>
      </c>
      <c r="Y365" s="198">
        <f>_xlfn.IFNA(IF(Y$7="Fixed",1,IF(AND($D95="yes",Y$7="Block"),INDEX($O635:$Q635,1,MATCH(Y$5,$I29:$K29,0)),INDEX(Movements!$G635:$M635,1,MATCH(Y$7,Movements!$G$614:$M$614,0))))
*Y1043*Y$8,0)</f>
        <v>0</v>
      </c>
      <c r="Z365" s="198">
        <f>_xlfn.IFNA(IF(Z$7="Fixed",1,IF(AND($D95="yes",Z$7="Block"),INDEX($O635:$Q635,1,MATCH(Z$5,$I29:$K29,0)),INDEX(Movements!$G635:$M635,1,MATCH(Z$7,Movements!$G$614:$M$614,0))))
*Z1043*Z$8,0)</f>
        <v>0</v>
      </c>
      <c r="AA365" s="198">
        <f>_xlfn.IFNA(IF(AA$7="Fixed",1,IF(AND($D95="yes",AA$7="Block"),INDEX($O635:$Q635,1,MATCH(AA$5,$I29:$K29,0)),INDEX(Movements!$G635:$M635,1,MATCH(AA$7,Movements!$G$614:$M$614,0))))
*AA1043*AA$8,0)</f>
        <v>0</v>
      </c>
      <c r="AB365" s="198">
        <f>_xlfn.IFNA(IF(AB$7="Fixed",1,IF(AND($D95="yes",AB$7="Block"),INDEX($O635:$Q635,1,MATCH(AB$5,$I29:$K29,0)),INDEX(Movements!$G635:$M635,1,MATCH(AB$7,Movements!$G$614:$M$614,0))))
*AB1043*AB$8,0)</f>
        <v>0</v>
      </c>
      <c r="AC365" s="70"/>
      <c r="AD365" s="19"/>
      <c r="AE365" s="19"/>
      <c r="AF365" s="19"/>
      <c r="AG365" s="19"/>
    </row>
    <row r="366" spans="1:33" hidden="1" outlineLevel="3" x14ac:dyDescent="0.2">
      <c r="A366" s="19"/>
      <c r="B366" s="97">
        <v>20</v>
      </c>
      <c r="C366" s="506">
        <f>IF(C96=0,0,IF(currentyear=RCPminus1,INDEX(Tariffs!$H$46:$H$120,MATCH(Movements!C96,Tariffs!$C$46:$C$120,0)),C96))</f>
        <v>0</v>
      </c>
      <c r="D366" s="505">
        <f t="shared" si="83"/>
        <v>0</v>
      </c>
      <c r="E366" s="505">
        <f t="shared" si="83"/>
        <v>0</v>
      </c>
      <c r="F366" s="58"/>
      <c r="G366" s="199">
        <f t="shared" si="84"/>
        <v>0</v>
      </c>
      <c r="H366" s="58"/>
      <c r="I366" s="198">
        <f>_xlfn.IFNA(IF(I$7="Fixed",1,IF(AND($D96="yes",I$7="Block"),INDEX($O636:$Q636,1,MATCH(I$5,$I30:$K30,0)),INDEX(Movements!$G636:$M636,1,MATCH(I$7,Movements!$G$614:$M$614,0))))
*I1044*I$8,0)</f>
        <v>0</v>
      </c>
      <c r="J366" s="198">
        <f>_xlfn.IFNA(IF(J$7="Fixed",1,IF(AND($D96="yes",J$7="Block"),INDEX($O636:$Q636,1,MATCH(J$5,$I30:$K30,0)),INDEX(Movements!$G636:$M636,1,MATCH(J$7,Movements!$G$614:$M$614,0))))
*J1044*J$8,0)</f>
        <v>0</v>
      </c>
      <c r="K366" s="198">
        <f>_xlfn.IFNA(IF(K$7="Fixed",1,IF(AND($D96="yes",K$7="Block"),INDEX($O636:$Q636,1,MATCH(K$5,$I30:$K30,0)),INDEX(Movements!$G636:$M636,1,MATCH(K$7,Movements!$G$614:$M$614,0))))
*K1044*K$8,0)</f>
        <v>0</v>
      </c>
      <c r="L366" s="198">
        <f>_xlfn.IFNA(IF(L$7="Fixed",1,IF(AND($D96="yes",L$7="Block"),INDEX($O636:$Q636,1,MATCH(L$5,$I30:$K30,0)),INDEX(Movements!$G636:$M636,1,MATCH(L$7,Movements!$G$614:$M$614,0))))
*L1044*L$8,0)</f>
        <v>0</v>
      </c>
      <c r="M366" s="198">
        <f>_xlfn.IFNA(IF(M$7="Fixed",1,IF(AND($D96="yes",M$7="Block"),INDEX($O636:$Q636,1,MATCH(M$5,$I30:$K30,0)),INDEX(Movements!$G636:$M636,1,MATCH(M$7,Movements!$G$614:$M$614,0))))
*M1044*M$8,0)</f>
        <v>0</v>
      </c>
      <c r="N366" s="198">
        <f>_xlfn.IFNA(IF(N$7="Fixed",1,IF(AND($D96="yes",N$7="Block"),INDEX($O636:$Q636,1,MATCH(N$5,$I30:$K30,0)),INDEX(Movements!$G636:$M636,1,MATCH(N$7,Movements!$G$614:$M$614,0))))
*N1044*N$8,0)</f>
        <v>0</v>
      </c>
      <c r="O366" s="198">
        <f>_xlfn.IFNA(IF(O$7="Fixed",1,IF(AND($D96="yes",O$7="Block"),INDEX($O636:$Q636,1,MATCH(O$5,$I30:$K30,0)),INDEX(Movements!$G636:$M636,1,MATCH(O$7,Movements!$G$614:$M$614,0))))
*O1044*O$8,0)</f>
        <v>0</v>
      </c>
      <c r="P366" s="198">
        <f>_xlfn.IFNA(IF(P$7="Fixed",1,IF(AND($D96="yes",P$7="Block"),INDEX($O636:$Q636,1,MATCH(P$5,$I30:$K30,0)),INDEX(Movements!$G636:$M636,1,MATCH(P$7,Movements!$G$614:$M$614,0))))
*P1044*P$8,0)</f>
        <v>0</v>
      </c>
      <c r="Q366" s="198">
        <f>_xlfn.IFNA(IF(Q$7="Fixed",1,IF(AND($D96="yes",Q$7="Block"),INDEX($O636:$Q636,1,MATCH(Q$5,$I30:$K30,0)),INDEX(Movements!$G636:$M636,1,MATCH(Q$7,Movements!$G$614:$M$614,0))))
*Q1044*Q$8,0)</f>
        <v>0</v>
      </c>
      <c r="R366" s="198">
        <f>_xlfn.IFNA(IF(R$7="Fixed",1,IF(AND($D96="yes",R$7="Block"),INDEX($O636:$Q636,1,MATCH(R$5,$I30:$K30,0)),INDEX(Movements!$G636:$M636,1,MATCH(R$7,Movements!$G$614:$M$614,0))))
*R1044*R$8,0)</f>
        <v>0</v>
      </c>
      <c r="S366" s="198">
        <f>_xlfn.IFNA(IF(S$7="Fixed",1,IF(AND($D96="yes",S$7="Block"),INDEX($O636:$Q636,1,MATCH(S$5,$I30:$K30,0)),INDEX(Movements!$G636:$M636,1,MATCH(S$7,Movements!$G$614:$M$614,0))))
*S1044*S$8,0)</f>
        <v>0</v>
      </c>
      <c r="T366" s="198">
        <f>_xlfn.IFNA(IF(T$7="Fixed",1,IF(AND($D96="yes",T$7="Block"),INDEX($O636:$Q636,1,MATCH(T$5,$I30:$K30,0)),INDEX(Movements!$G636:$M636,1,MATCH(T$7,Movements!$G$614:$M$614,0))))
*T1044*T$8,0)</f>
        <v>0</v>
      </c>
      <c r="U366" s="198">
        <f>_xlfn.IFNA(IF(U$7="Fixed",1,IF(AND($D96="yes",U$7="Block"),INDEX($O636:$Q636,1,MATCH(U$5,$I30:$K30,0)),INDEX(Movements!$G636:$M636,1,MATCH(U$7,Movements!$G$614:$M$614,0))))
*U1044*U$8,0)</f>
        <v>0</v>
      </c>
      <c r="V366" s="198">
        <f>_xlfn.IFNA(IF(V$7="Fixed",1,IF(AND($D96="yes",V$7="Block"),INDEX($O636:$Q636,1,MATCH(V$5,$I30:$K30,0)),INDEX(Movements!$G636:$M636,1,MATCH(V$7,Movements!$G$614:$M$614,0))))
*V1044*V$8,0)</f>
        <v>0</v>
      </c>
      <c r="W366" s="198">
        <f>_xlfn.IFNA(IF(W$7="Fixed",1,IF(AND($D96="yes",W$7="Block"),INDEX($O636:$Q636,1,MATCH(W$5,$I30:$K30,0)),INDEX(Movements!$G636:$M636,1,MATCH(W$7,Movements!$G$614:$M$614,0))))
*W1044*W$8,0)</f>
        <v>0</v>
      </c>
      <c r="X366" s="198">
        <f>_xlfn.IFNA(IF(X$7="Fixed",1,IF(AND($D96="yes",X$7="Block"),INDEX($O636:$Q636,1,MATCH(X$5,$I30:$K30,0)),INDEX(Movements!$G636:$M636,1,MATCH(X$7,Movements!$G$614:$M$614,0))))
*X1044*X$8,0)</f>
        <v>0</v>
      </c>
      <c r="Y366" s="198">
        <f>_xlfn.IFNA(IF(Y$7="Fixed",1,IF(AND($D96="yes",Y$7="Block"),INDEX($O636:$Q636,1,MATCH(Y$5,$I30:$K30,0)),INDEX(Movements!$G636:$M636,1,MATCH(Y$7,Movements!$G$614:$M$614,0))))
*Y1044*Y$8,0)</f>
        <v>0</v>
      </c>
      <c r="Z366" s="198">
        <f>_xlfn.IFNA(IF(Z$7="Fixed",1,IF(AND($D96="yes",Z$7="Block"),INDEX($O636:$Q636,1,MATCH(Z$5,$I30:$K30,0)),INDEX(Movements!$G636:$M636,1,MATCH(Z$7,Movements!$G$614:$M$614,0))))
*Z1044*Z$8,0)</f>
        <v>0</v>
      </c>
      <c r="AA366" s="198">
        <f>_xlfn.IFNA(IF(AA$7="Fixed",1,IF(AND($D96="yes",AA$7="Block"),INDEX($O636:$Q636,1,MATCH(AA$5,$I30:$K30,0)),INDEX(Movements!$G636:$M636,1,MATCH(AA$7,Movements!$G$614:$M$614,0))))
*AA1044*AA$8,0)</f>
        <v>0</v>
      </c>
      <c r="AB366" s="198">
        <f>_xlfn.IFNA(IF(AB$7="Fixed",1,IF(AND($D96="yes",AB$7="Block"),INDEX($O636:$Q636,1,MATCH(AB$5,$I30:$K30,0)),INDEX(Movements!$G636:$M636,1,MATCH(AB$7,Movements!$G$614:$M$614,0))))
*AB1044*AB$8,0)</f>
        <v>0</v>
      </c>
      <c r="AC366" s="70"/>
      <c r="AD366" s="19"/>
      <c r="AE366" s="19"/>
      <c r="AF366" s="19"/>
      <c r="AG366" s="19"/>
    </row>
    <row r="367" spans="1:33" hidden="1" outlineLevel="3" x14ac:dyDescent="0.2">
      <c r="A367" s="19"/>
      <c r="B367" s="97">
        <v>21</v>
      </c>
      <c r="C367" s="506">
        <f>IF(C97=0,0,IF(currentyear=RCPminus1,INDEX(Tariffs!$H$46:$H$120,MATCH(Movements!C97,Tariffs!$C$46:$C$120,0)),C97))</f>
        <v>0</v>
      </c>
      <c r="D367" s="505">
        <f t="shared" si="83"/>
        <v>0</v>
      </c>
      <c r="E367" s="505">
        <f t="shared" si="83"/>
        <v>0</v>
      </c>
      <c r="F367" s="58"/>
      <c r="G367" s="199">
        <f t="shared" si="84"/>
        <v>0</v>
      </c>
      <c r="H367" s="58"/>
      <c r="I367" s="198">
        <f>_xlfn.IFNA(IF(I$7="Fixed",1,IF(AND($D97="yes",I$7="Block"),INDEX($O637:$Q637,1,MATCH(I$5,$I31:$K31,0)),INDEX(Movements!$G637:$M637,1,MATCH(I$7,Movements!$G$614:$M$614,0))))
*I1045*I$8,0)</f>
        <v>0</v>
      </c>
      <c r="J367" s="198">
        <f>_xlfn.IFNA(IF(J$7="Fixed",1,IF(AND($D97="yes",J$7="Block"),INDEX($O637:$Q637,1,MATCH(J$5,$I31:$K31,0)),INDEX(Movements!$G637:$M637,1,MATCH(J$7,Movements!$G$614:$M$614,0))))
*J1045*J$8,0)</f>
        <v>0</v>
      </c>
      <c r="K367" s="198">
        <f>_xlfn.IFNA(IF(K$7="Fixed",1,IF(AND($D97="yes",K$7="Block"),INDEX($O637:$Q637,1,MATCH(K$5,$I31:$K31,0)),INDEX(Movements!$G637:$M637,1,MATCH(K$7,Movements!$G$614:$M$614,0))))
*K1045*K$8,0)</f>
        <v>0</v>
      </c>
      <c r="L367" s="198">
        <f>_xlfn.IFNA(IF(L$7="Fixed",1,IF(AND($D97="yes",L$7="Block"),INDEX($O637:$Q637,1,MATCH(L$5,$I31:$K31,0)),INDEX(Movements!$G637:$M637,1,MATCH(L$7,Movements!$G$614:$M$614,0))))
*L1045*L$8,0)</f>
        <v>0</v>
      </c>
      <c r="M367" s="198">
        <f>_xlfn.IFNA(IF(M$7="Fixed",1,IF(AND($D97="yes",M$7="Block"),INDEX($O637:$Q637,1,MATCH(M$5,$I31:$K31,0)),INDEX(Movements!$G637:$M637,1,MATCH(M$7,Movements!$G$614:$M$614,0))))
*M1045*M$8,0)</f>
        <v>0</v>
      </c>
      <c r="N367" s="198">
        <f>_xlfn.IFNA(IF(N$7="Fixed",1,IF(AND($D97="yes",N$7="Block"),INDEX($O637:$Q637,1,MATCH(N$5,$I31:$K31,0)),INDEX(Movements!$G637:$M637,1,MATCH(N$7,Movements!$G$614:$M$614,0))))
*N1045*N$8,0)</f>
        <v>0</v>
      </c>
      <c r="O367" s="198">
        <f>_xlfn.IFNA(IF(O$7="Fixed",1,IF(AND($D97="yes",O$7="Block"),INDEX($O637:$Q637,1,MATCH(O$5,$I31:$K31,0)),INDEX(Movements!$G637:$M637,1,MATCH(O$7,Movements!$G$614:$M$614,0))))
*O1045*O$8,0)</f>
        <v>0</v>
      </c>
      <c r="P367" s="198">
        <f>_xlfn.IFNA(IF(P$7="Fixed",1,IF(AND($D97="yes",P$7="Block"),INDEX($O637:$Q637,1,MATCH(P$5,$I31:$K31,0)),INDEX(Movements!$G637:$M637,1,MATCH(P$7,Movements!$G$614:$M$614,0))))
*P1045*P$8,0)</f>
        <v>0</v>
      </c>
      <c r="Q367" s="198">
        <f>_xlfn.IFNA(IF(Q$7="Fixed",1,IF(AND($D97="yes",Q$7="Block"),INDEX($O637:$Q637,1,MATCH(Q$5,$I31:$K31,0)),INDEX(Movements!$G637:$M637,1,MATCH(Q$7,Movements!$G$614:$M$614,0))))
*Q1045*Q$8,0)</f>
        <v>0</v>
      </c>
      <c r="R367" s="198">
        <f>_xlfn.IFNA(IF(R$7="Fixed",1,IF(AND($D97="yes",R$7="Block"),INDEX($O637:$Q637,1,MATCH(R$5,$I31:$K31,0)),INDEX(Movements!$G637:$M637,1,MATCH(R$7,Movements!$G$614:$M$614,0))))
*R1045*R$8,0)</f>
        <v>0</v>
      </c>
      <c r="S367" s="198">
        <f>_xlfn.IFNA(IF(S$7="Fixed",1,IF(AND($D97="yes",S$7="Block"),INDEX($O637:$Q637,1,MATCH(S$5,$I31:$K31,0)),INDEX(Movements!$G637:$M637,1,MATCH(S$7,Movements!$G$614:$M$614,0))))
*S1045*S$8,0)</f>
        <v>0</v>
      </c>
      <c r="T367" s="198">
        <f>_xlfn.IFNA(IF(T$7="Fixed",1,IF(AND($D97="yes",T$7="Block"),INDEX($O637:$Q637,1,MATCH(T$5,$I31:$K31,0)),INDEX(Movements!$G637:$M637,1,MATCH(T$7,Movements!$G$614:$M$614,0))))
*T1045*T$8,0)</f>
        <v>0</v>
      </c>
      <c r="U367" s="198">
        <f>_xlfn.IFNA(IF(U$7="Fixed",1,IF(AND($D97="yes",U$7="Block"),INDEX($O637:$Q637,1,MATCH(U$5,$I31:$K31,0)),INDEX(Movements!$G637:$M637,1,MATCH(U$7,Movements!$G$614:$M$614,0))))
*U1045*U$8,0)</f>
        <v>0</v>
      </c>
      <c r="V367" s="198">
        <f>_xlfn.IFNA(IF(V$7="Fixed",1,IF(AND($D97="yes",V$7="Block"),INDEX($O637:$Q637,1,MATCH(V$5,$I31:$K31,0)),INDEX(Movements!$G637:$M637,1,MATCH(V$7,Movements!$G$614:$M$614,0))))
*V1045*V$8,0)</f>
        <v>0</v>
      </c>
      <c r="W367" s="198">
        <f>_xlfn.IFNA(IF(W$7="Fixed",1,IF(AND($D97="yes",W$7="Block"),INDEX($O637:$Q637,1,MATCH(W$5,$I31:$K31,0)),INDEX(Movements!$G637:$M637,1,MATCH(W$7,Movements!$G$614:$M$614,0))))
*W1045*W$8,0)</f>
        <v>0</v>
      </c>
      <c r="X367" s="198">
        <f>_xlfn.IFNA(IF(X$7="Fixed",1,IF(AND($D97="yes",X$7="Block"),INDEX($O637:$Q637,1,MATCH(X$5,$I31:$K31,0)),INDEX(Movements!$G637:$M637,1,MATCH(X$7,Movements!$G$614:$M$614,0))))
*X1045*X$8,0)</f>
        <v>0</v>
      </c>
      <c r="Y367" s="198">
        <f>_xlfn.IFNA(IF(Y$7="Fixed",1,IF(AND($D97="yes",Y$7="Block"),INDEX($O637:$Q637,1,MATCH(Y$5,$I31:$K31,0)),INDEX(Movements!$G637:$M637,1,MATCH(Y$7,Movements!$G$614:$M$614,0))))
*Y1045*Y$8,0)</f>
        <v>0</v>
      </c>
      <c r="Z367" s="198">
        <f>_xlfn.IFNA(IF(Z$7="Fixed",1,IF(AND($D97="yes",Z$7="Block"),INDEX($O637:$Q637,1,MATCH(Z$5,$I31:$K31,0)),INDEX(Movements!$G637:$M637,1,MATCH(Z$7,Movements!$G$614:$M$614,0))))
*Z1045*Z$8,0)</f>
        <v>0</v>
      </c>
      <c r="AA367" s="198">
        <f>_xlfn.IFNA(IF(AA$7="Fixed",1,IF(AND($D97="yes",AA$7="Block"),INDEX($O637:$Q637,1,MATCH(AA$5,$I31:$K31,0)),INDEX(Movements!$G637:$M637,1,MATCH(AA$7,Movements!$G$614:$M$614,0))))
*AA1045*AA$8,0)</f>
        <v>0</v>
      </c>
      <c r="AB367" s="198">
        <f>_xlfn.IFNA(IF(AB$7="Fixed",1,IF(AND($D97="yes",AB$7="Block"),INDEX($O637:$Q637,1,MATCH(AB$5,$I31:$K31,0)),INDEX(Movements!$G637:$M637,1,MATCH(AB$7,Movements!$G$614:$M$614,0))))
*AB1045*AB$8,0)</f>
        <v>0</v>
      </c>
      <c r="AC367" s="70"/>
      <c r="AD367" s="19"/>
      <c r="AE367" s="19"/>
      <c r="AF367" s="19"/>
      <c r="AG367" s="19"/>
    </row>
    <row r="368" spans="1:33" hidden="1" outlineLevel="3" x14ac:dyDescent="0.2">
      <c r="A368" s="19"/>
      <c r="B368" s="97">
        <v>22</v>
      </c>
      <c r="C368" s="506">
        <f>IF(C98=0,0,IF(currentyear=RCPminus1,INDEX(Tariffs!$H$46:$H$120,MATCH(Movements!C98,Tariffs!$C$46:$C$120,0)),C98))</f>
        <v>0</v>
      </c>
      <c r="D368" s="505">
        <f t="shared" si="83"/>
        <v>0</v>
      </c>
      <c r="E368" s="505">
        <f t="shared" si="83"/>
        <v>0</v>
      </c>
      <c r="F368" s="58"/>
      <c r="G368" s="199">
        <f t="shared" si="84"/>
        <v>0</v>
      </c>
      <c r="H368" s="58"/>
      <c r="I368" s="198">
        <f>_xlfn.IFNA(IF(I$7="Fixed",1,IF(AND($D98="yes",I$7="Block"),INDEX($O638:$Q638,1,MATCH(I$5,$I32:$K32,0)),INDEX(Movements!$G638:$M638,1,MATCH(I$7,Movements!$G$614:$M$614,0))))
*I1046*I$8,0)</f>
        <v>0</v>
      </c>
      <c r="J368" s="198">
        <f>_xlfn.IFNA(IF(J$7="Fixed",1,IF(AND($D98="yes",J$7="Block"),INDEX($O638:$Q638,1,MATCH(J$5,$I32:$K32,0)),INDEX(Movements!$G638:$M638,1,MATCH(J$7,Movements!$G$614:$M$614,0))))
*J1046*J$8,0)</f>
        <v>0</v>
      </c>
      <c r="K368" s="198">
        <f>_xlfn.IFNA(IF(K$7="Fixed",1,IF(AND($D98="yes",K$7="Block"),INDEX($O638:$Q638,1,MATCH(K$5,$I32:$K32,0)),INDEX(Movements!$G638:$M638,1,MATCH(K$7,Movements!$G$614:$M$614,0))))
*K1046*K$8,0)</f>
        <v>0</v>
      </c>
      <c r="L368" s="198">
        <f>_xlfn.IFNA(IF(L$7="Fixed",1,IF(AND($D98="yes",L$7="Block"),INDEX($O638:$Q638,1,MATCH(L$5,$I32:$K32,0)),INDEX(Movements!$G638:$M638,1,MATCH(L$7,Movements!$G$614:$M$614,0))))
*L1046*L$8,0)</f>
        <v>0</v>
      </c>
      <c r="M368" s="198">
        <f>_xlfn.IFNA(IF(M$7="Fixed",1,IF(AND($D98="yes",M$7="Block"),INDEX($O638:$Q638,1,MATCH(M$5,$I32:$K32,0)),INDEX(Movements!$G638:$M638,1,MATCH(M$7,Movements!$G$614:$M$614,0))))
*M1046*M$8,0)</f>
        <v>0</v>
      </c>
      <c r="N368" s="198">
        <f>_xlfn.IFNA(IF(N$7="Fixed",1,IF(AND($D98="yes",N$7="Block"),INDEX($O638:$Q638,1,MATCH(N$5,$I32:$K32,0)),INDEX(Movements!$G638:$M638,1,MATCH(N$7,Movements!$G$614:$M$614,0))))
*N1046*N$8,0)</f>
        <v>0</v>
      </c>
      <c r="O368" s="198">
        <f>_xlfn.IFNA(IF(O$7="Fixed",1,IF(AND($D98="yes",O$7="Block"),INDEX($O638:$Q638,1,MATCH(O$5,$I32:$K32,0)),INDEX(Movements!$G638:$M638,1,MATCH(O$7,Movements!$G$614:$M$614,0))))
*O1046*O$8,0)</f>
        <v>0</v>
      </c>
      <c r="P368" s="198">
        <f>_xlfn.IFNA(IF(P$7="Fixed",1,IF(AND($D98="yes",P$7="Block"),INDEX($O638:$Q638,1,MATCH(P$5,$I32:$K32,0)),INDEX(Movements!$G638:$M638,1,MATCH(P$7,Movements!$G$614:$M$614,0))))
*P1046*P$8,0)</f>
        <v>0</v>
      </c>
      <c r="Q368" s="198">
        <f>_xlfn.IFNA(IF(Q$7="Fixed",1,IF(AND($D98="yes",Q$7="Block"),INDEX($O638:$Q638,1,MATCH(Q$5,$I32:$K32,0)),INDEX(Movements!$G638:$M638,1,MATCH(Q$7,Movements!$G$614:$M$614,0))))
*Q1046*Q$8,0)</f>
        <v>0</v>
      </c>
      <c r="R368" s="198">
        <f>_xlfn.IFNA(IF(R$7="Fixed",1,IF(AND($D98="yes",R$7="Block"),INDEX($O638:$Q638,1,MATCH(R$5,$I32:$K32,0)),INDEX(Movements!$G638:$M638,1,MATCH(R$7,Movements!$G$614:$M$614,0))))
*R1046*R$8,0)</f>
        <v>0</v>
      </c>
      <c r="S368" s="198">
        <f>_xlfn.IFNA(IF(S$7="Fixed",1,IF(AND($D98="yes",S$7="Block"),INDEX($O638:$Q638,1,MATCH(S$5,$I32:$K32,0)),INDEX(Movements!$G638:$M638,1,MATCH(S$7,Movements!$G$614:$M$614,0))))
*S1046*S$8,0)</f>
        <v>0</v>
      </c>
      <c r="T368" s="198">
        <f>_xlfn.IFNA(IF(T$7="Fixed",1,IF(AND($D98="yes",T$7="Block"),INDEX($O638:$Q638,1,MATCH(T$5,$I32:$K32,0)),INDEX(Movements!$G638:$M638,1,MATCH(T$7,Movements!$G$614:$M$614,0))))
*T1046*T$8,0)</f>
        <v>0</v>
      </c>
      <c r="U368" s="198">
        <f>_xlfn.IFNA(IF(U$7="Fixed",1,IF(AND($D98="yes",U$7="Block"),INDEX($O638:$Q638,1,MATCH(U$5,$I32:$K32,0)),INDEX(Movements!$G638:$M638,1,MATCH(U$7,Movements!$G$614:$M$614,0))))
*U1046*U$8,0)</f>
        <v>0</v>
      </c>
      <c r="V368" s="198">
        <f>_xlfn.IFNA(IF(V$7="Fixed",1,IF(AND($D98="yes",V$7="Block"),INDEX($O638:$Q638,1,MATCH(V$5,$I32:$K32,0)),INDEX(Movements!$G638:$M638,1,MATCH(V$7,Movements!$G$614:$M$614,0))))
*V1046*V$8,0)</f>
        <v>0</v>
      </c>
      <c r="W368" s="198">
        <f>_xlfn.IFNA(IF(W$7="Fixed",1,IF(AND($D98="yes",W$7="Block"),INDEX($O638:$Q638,1,MATCH(W$5,$I32:$K32,0)),INDEX(Movements!$G638:$M638,1,MATCH(W$7,Movements!$G$614:$M$614,0))))
*W1046*W$8,0)</f>
        <v>0</v>
      </c>
      <c r="X368" s="198">
        <f>_xlfn.IFNA(IF(X$7="Fixed",1,IF(AND($D98="yes",X$7="Block"),INDEX($O638:$Q638,1,MATCH(X$5,$I32:$K32,0)),INDEX(Movements!$G638:$M638,1,MATCH(X$7,Movements!$G$614:$M$614,0))))
*X1046*X$8,0)</f>
        <v>0</v>
      </c>
      <c r="Y368" s="198">
        <f>_xlfn.IFNA(IF(Y$7="Fixed",1,IF(AND($D98="yes",Y$7="Block"),INDEX($O638:$Q638,1,MATCH(Y$5,$I32:$K32,0)),INDEX(Movements!$G638:$M638,1,MATCH(Y$7,Movements!$G$614:$M$614,0))))
*Y1046*Y$8,0)</f>
        <v>0</v>
      </c>
      <c r="Z368" s="198">
        <f>_xlfn.IFNA(IF(Z$7="Fixed",1,IF(AND($D98="yes",Z$7="Block"),INDEX($O638:$Q638,1,MATCH(Z$5,$I32:$K32,0)),INDEX(Movements!$G638:$M638,1,MATCH(Z$7,Movements!$G$614:$M$614,0))))
*Z1046*Z$8,0)</f>
        <v>0</v>
      </c>
      <c r="AA368" s="198">
        <f>_xlfn.IFNA(IF(AA$7="Fixed",1,IF(AND($D98="yes",AA$7="Block"),INDEX($O638:$Q638,1,MATCH(AA$5,$I32:$K32,0)),INDEX(Movements!$G638:$M638,1,MATCH(AA$7,Movements!$G$614:$M$614,0))))
*AA1046*AA$8,0)</f>
        <v>0</v>
      </c>
      <c r="AB368" s="198">
        <f>_xlfn.IFNA(IF(AB$7="Fixed",1,IF(AND($D98="yes",AB$7="Block"),INDEX($O638:$Q638,1,MATCH(AB$5,$I32:$K32,0)),INDEX(Movements!$G638:$M638,1,MATCH(AB$7,Movements!$G$614:$M$614,0))))
*AB1046*AB$8,0)</f>
        <v>0</v>
      </c>
      <c r="AC368" s="70"/>
      <c r="AD368" s="19"/>
      <c r="AE368" s="19"/>
      <c r="AF368" s="19"/>
      <c r="AG368" s="19"/>
    </row>
    <row r="369" spans="1:33" hidden="1" outlineLevel="3" x14ac:dyDescent="0.2">
      <c r="A369" s="19"/>
      <c r="B369" s="98">
        <v>23</v>
      </c>
      <c r="C369" s="506">
        <f>IF(C99=0,0,IF(currentyear=RCPminus1,INDEX(Tariffs!$H$46:$H$120,MATCH(Movements!C99,Tariffs!$C$46:$C$120,0)),C99))</f>
        <v>0</v>
      </c>
      <c r="D369" s="505">
        <f t="shared" si="83"/>
        <v>0</v>
      </c>
      <c r="E369" s="505">
        <f t="shared" si="83"/>
        <v>0</v>
      </c>
      <c r="F369" s="58"/>
      <c r="G369" s="199">
        <f t="shared" si="84"/>
        <v>0</v>
      </c>
      <c r="H369" s="58"/>
      <c r="I369" s="198">
        <f>_xlfn.IFNA(IF(I$7="Fixed",1,IF(AND($D99="yes",I$7="Block"),INDEX($O639:$Q639,1,MATCH(I$5,$I33:$K33,0)),INDEX(Movements!$G639:$M639,1,MATCH(I$7,Movements!$G$614:$M$614,0))))
*I1047*I$8,0)</f>
        <v>0</v>
      </c>
      <c r="J369" s="198">
        <f>_xlfn.IFNA(IF(J$7="Fixed",1,IF(AND($D99="yes",J$7="Block"),INDEX($O639:$Q639,1,MATCH(J$5,$I33:$K33,0)),INDEX(Movements!$G639:$M639,1,MATCH(J$7,Movements!$G$614:$M$614,0))))
*J1047*J$8,0)</f>
        <v>0</v>
      </c>
      <c r="K369" s="198">
        <f>_xlfn.IFNA(IF(K$7="Fixed",1,IF(AND($D99="yes",K$7="Block"),INDEX($O639:$Q639,1,MATCH(K$5,$I33:$K33,0)),INDEX(Movements!$G639:$M639,1,MATCH(K$7,Movements!$G$614:$M$614,0))))
*K1047*K$8,0)</f>
        <v>0</v>
      </c>
      <c r="L369" s="198">
        <f>_xlfn.IFNA(IF(L$7="Fixed",1,IF(AND($D99="yes",L$7="Block"),INDEX($O639:$Q639,1,MATCH(L$5,$I33:$K33,0)),INDEX(Movements!$G639:$M639,1,MATCH(L$7,Movements!$G$614:$M$614,0))))
*L1047*L$8,0)</f>
        <v>0</v>
      </c>
      <c r="M369" s="198">
        <f>_xlfn.IFNA(IF(M$7="Fixed",1,IF(AND($D99="yes",M$7="Block"),INDEX($O639:$Q639,1,MATCH(M$5,$I33:$K33,0)),INDEX(Movements!$G639:$M639,1,MATCH(M$7,Movements!$G$614:$M$614,0))))
*M1047*M$8,0)</f>
        <v>0</v>
      </c>
      <c r="N369" s="198">
        <f>_xlfn.IFNA(IF(N$7="Fixed",1,IF(AND($D99="yes",N$7="Block"),INDEX($O639:$Q639,1,MATCH(N$5,$I33:$K33,0)),INDEX(Movements!$G639:$M639,1,MATCH(N$7,Movements!$G$614:$M$614,0))))
*N1047*N$8,0)</f>
        <v>0</v>
      </c>
      <c r="O369" s="198">
        <f>_xlfn.IFNA(IF(O$7="Fixed",1,IF(AND($D99="yes",O$7="Block"),INDEX($O639:$Q639,1,MATCH(O$5,$I33:$K33,0)),INDEX(Movements!$G639:$M639,1,MATCH(O$7,Movements!$G$614:$M$614,0))))
*O1047*O$8,0)</f>
        <v>0</v>
      </c>
      <c r="P369" s="198">
        <f>_xlfn.IFNA(IF(P$7="Fixed",1,IF(AND($D99="yes",P$7="Block"),INDEX($O639:$Q639,1,MATCH(P$5,$I33:$K33,0)),INDEX(Movements!$G639:$M639,1,MATCH(P$7,Movements!$G$614:$M$614,0))))
*P1047*P$8,0)</f>
        <v>0</v>
      </c>
      <c r="Q369" s="198">
        <f>_xlfn.IFNA(IF(Q$7="Fixed",1,IF(AND($D99="yes",Q$7="Block"),INDEX($O639:$Q639,1,MATCH(Q$5,$I33:$K33,0)),INDEX(Movements!$G639:$M639,1,MATCH(Q$7,Movements!$G$614:$M$614,0))))
*Q1047*Q$8,0)</f>
        <v>0</v>
      </c>
      <c r="R369" s="198">
        <f>_xlfn.IFNA(IF(R$7="Fixed",1,IF(AND($D99="yes",R$7="Block"),INDEX($O639:$Q639,1,MATCH(R$5,$I33:$K33,0)),INDEX(Movements!$G639:$M639,1,MATCH(R$7,Movements!$G$614:$M$614,0))))
*R1047*R$8,0)</f>
        <v>0</v>
      </c>
      <c r="S369" s="198">
        <f>_xlfn.IFNA(IF(S$7="Fixed",1,IF(AND($D99="yes",S$7="Block"),INDEX($O639:$Q639,1,MATCH(S$5,$I33:$K33,0)),INDEX(Movements!$G639:$M639,1,MATCH(S$7,Movements!$G$614:$M$614,0))))
*S1047*S$8,0)</f>
        <v>0</v>
      </c>
      <c r="T369" s="198">
        <f>_xlfn.IFNA(IF(T$7="Fixed",1,IF(AND($D99="yes",T$7="Block"),INDEX($O639:$Q639,1,MATCH(T$5,$I33:$K33,0)),INDEX(Movements!$G639:$M639,1,MATCH(T$7,Movements!$G$614:$M$614,0))))
*T1047*T$8,0)</f>
        <v>0</v>
      </c>
      <c r="U369" s="198">
        <f>_xlfn.IFNA(IF(U$7="Fixed",1,IF(AND($D99="yes",U$7="Block"),INDEX($O639:$Q639,1,MATCH(U$5,$I33:$K33,0)),INDEX(Movements!$G639:$M639,1,MATCH(U$7,Movements!$G$614:$M$614,0))))
*U1047*U$8,0)</f>
        <v>0</v>
      </c>
      <c r="V369" s="198">
        <f>_xlfn.IFNA(IF(V$7="Fixed",1,IF(AND($D99="yes",V$7="Block"),INDEX($O639:$Q639,1,MATCH(V$5,$I33:$K33,0)),INDEX(Movements!$G639:$M639,1,MATCH(V$7,Movements!$G$614:$M$614,0))))
*V1047*V$8,0)</f>
        <v>0</v>
      </c>
      <c r="W369" s="198">
        <f>_xlfn.IFNA(IF(W$7="Fixed",1,IF(AND($D99="yes",W$7="Block"),INDEX($O639:$Q639,1,MATCH(W$5,$I33:$K33,0)),INDEX(Movements!$G639:$M639,1,MATCH(W$7,Movements!$G$614:$M$614,0))))
*W1047*W$8,0)</f>
        <v>0</v>
      </c>
      <c r="X369" s="198">
        <f>_xlfn.IFNA(IF(X$7="Fixed",1,IF(AND($D99="yes",X$7="Block"),INDEX($O639:$Q639,1,MATCH(X$5,$I33:$K33,0)),INDEX(Movements!$G639:$M639,1,MATCH(X$7,Movements!$G$614:$M$614,0))))
*X1047*X$8,0)</f>
        <v>0</v>
      </c>
      <c r="Y369" s="198">
        <f>_xlfn.IFNA(IF(Y$7="Fixed",1,IF(AND($D99="yes",Y$7="Block"),INDEX($O639:$Q639,1,MATCH(Y$5,$I33:$K33,0)),INDEX(Movements!$G639:$M639,1,MATCH(Y$7,Movements!$G$614:$M$614,0))))
*Y1047*Y$8,0)</f>
        <v>0</v>
      </c>
      <c r="Z369" s="198">
        <f>_xlfn.IFNA(IF(Z$7="Fixed",1,IF(AND($D99="yes",Z$7="Block"),INDEX($O639:$Q639,1,MATCH(Z$5,$I33:$K33,0)),INDEX(Movements!$G639:$M639,1,MATCH(Z$7,Movements!$G$614:$M$614,0))))
*Z1047*Z$8,0)</f>
        <v>0</v>
      </c>
      <c r="AA369" s="198">
        <f>_xlfn.IFNA(IF(AA$7="Fixed",1,IF(AND($D99="yes",AA$7="Block"),INDEX($O639:$Q639,1,MATCH(AA$5,$I33:$K33,0)),INDEX(Movements!$G639:$M639,1,MATCH(AA$7,Movements!$G$614:$M$614,0))))
*AA1047*AA$8,0)</f>
        <v>0</v>
      </c>
      <c r="AB369" s="198">
        <f>_xlfn.IFNA(IF(AB$7="Fixed",1,IF(AND($D99="yes",AB$7="Block"),INDEX($O639:$Q639,1,MATCH(AB$5,$I33:$K33,0)),INDEX(Movements!$G639:$M639,1,MATCH(AB$7,Movements!$G$614:$M$614,0))))
*AB1047*AB$8,0)</f>
        <v>0</v>
      </c>
      <c r="AC369" s="70"/>
      <c r="AD369" s="19"/>
      <c r="AE369" s="19"/>
      <c r="AF369" s="19"/>
      <c r="AG369" s="19"/>
    </row>
    <row r="370" spans="1:33" hidden="1" outlineLevel="3" x14ac:dyDescent="0.2">
      <c r="A370" s="19"/>
      <c r="B370" s="97">
        <v>24</v>
      </c>
      <c r="C370" s="506">
        <f>IF(C100=0,0,IF(currentyear=RCPminus1,INDEX(Tariffs!$H$46:$H$120,MATCH(Movements!C100,Tariffs!$C$46:$C$120,0)),C100))</f>
        <v>0</v>
      </c>
      <c r="D370" s="505">
        <f t="shared" si="83"/>
        <v>0</v>
      </c>
      <c r="E370" s="505">
        <f t="shared" si="83"/>
        <v>0</v>
      </c>
      <c r="F370" s="58"/>
      <c r="G370" s="199">
        <f t="shared" si="84"/>
        <v>0</v>
      </c>
      <c r="H370" s="58"/>
      <c r="I370" s="198">
        <f>_xlfn.IFNA(IF(I$7="Fixed",1,IF(AND($D100="yes",I$7="Block"),INDEX($O640:$Q640,1,MATCH(I$5,$I34:$K34,0)),INDEX(Movements!$G640:$M640,1,MATCH(I$7,Movements!$G$614:$M$614,0))))
*I1048*I$8,0)</f>
        <v>0</v>
      </c>
      <c r="J370" s="198">
        <f>_xlfn.IFNA(IF(J$7="Fixed",1,IF(AND($D100="yes",J$7="Block"),INDEX($O640:$Q640,1,MATCH(J$5,$I34:$K34,0)),INDEX(Movements!$G640:$M640,1,MATCH(J$7,Movements!$G$614:$M$614,0))))
*J1048*J$8,0)</f>
        <v>0</v>
      </c>
      <c r="K370" s="198">
        <f>_xlfn.IFNA(IF(K$7="Fixed",1,IF(AND($D100="yes",K$7="Block"),INDEX($O640:$Q640,1,MATCH(K$5,$I34:$K34,0)),INDEX(Movements!$G640:$M640,1,MATCH(K$7,Movements!$G$614:$M$614,0))))
*K1048*K$8,0)</f>
        <v>0</v>
      </c>
      <c r="L370" s="198">
        <f>_xlfn.IFNA(IF(L$7="Fixed",1,IF(AND($D100="yes",L$7="Block"),INDEX($O640:$Q640,1,MATCH(L$5,$I34:$K34,0)),INDEX(Movements!$G640:$M640,1,MATCH(L$7,Movements!$G$614:$M$614,0))))
*L1048*L$8,0)</f>
        <v>0</v>
      </c>
      <c r="M370" s="198">
        <f>_xlfn.IFNA(IF(M$7="Fixed",1,IF(AND($D100="yes",M$7="Block"),INDEX($O640:$Q640,1,MATCH(M$5,$I34:$K34,0)),INDEX(Movements!$G640:$M640,1,MATCH(M$7,Movements!$G$614:$M$614,0))))
*M1048*M$8,0)</f>
        <v>0</v>
      </c>
      <c r="N370" s="198">
        <f>_xlfn.IFNA(IF(N$7="Fixed",1,IF(AND($D100="yes",N$7="Block"),INDEX($O640:$Q640,1,MATCH(N$5,$I34:$K34,0)),INDEX(Movements!$G640:$M640,1,MATCH(N$7,Movements!$G$614:$M$614,0))))
*N1048*N$8,0)</f>
        <v>0</v>
      </c>
      <c r="O370" s="198">
        <f>_xlfn.IFNA(IF(O$7="Fixed",1,IF(AND($D100="yes",O$7="Block"),INDEX($O640:$Q640,1,MATCH(O$5,$I34:$K34,0)),INDEX(Movements!$G640:$M640,1,MATCH(O$7,Movements!$G$614:$M$614,0))))
*O1048*O$8,0)</f>
        <v>0</v>
      </c>
      <c r="P370" s="198">
        <f>_xlfn.IFNA(IF(P$7="Fixed",1,IF(AND($D100="yes",P$7="Block"),INDEX($O640:$Q640,1,MATCH(P$5,$I34:$K34,0)),INDEX(Movements!$G640:$M640,1,MATCH(P$7,Movements!$G$614:$M$614,0))))
*P1048*P$8,0)</f>
        <v>0</v>
      </c>
      <c r="Q370" s="198">
        <f>_xlfn.IFNA(IF(Q$7="Fixed",1,IF(AND($D100="yes",Q$7="Block"),INDEX($O640:$Q640,1,MATCH(Q$5,$I34:$K34,0)),INDEX(Movements!$G640:$M640,1,MATCH(Q$7,Movements!$G$614:$M$614,0))))
*Q1048*Q$8,0)</f>
        <v>0</v>
      </c>
      <c r="R370" s="198">
        <f>_xlfn.IFNA(IF(R$7="Fixed",1,IF(AND($D100="yes",R$7="Block"),INDEX($O640:$Q640,1,MATCH(R$5,$I34:$K34,0)),INDEX(Movements!$G640:$M640,1,MATCH(R$7,Movements!$G$614:$M$614,0))))
*R1048*R$8,0)</f>
        <v>0</v>
      </c>
      <c r="S370" s="198">
        <f>_xlfn.IFNA(IF(S$7="Fixed",1,IF(AND($D100="yes",S$7="Block"),INDEX($O640:$Q640,1,MATCH(S$5,$I34:$K34,0)),INDEX(Movements!$G640:$M640,1,MATCH(S$7,Movements!$G$614:$M$614,0))))
*S1048*S$8,0)</f>
        <v>0</v>
      </c>
      <c r="T370" s="198">
        <f>_xlfn.IFNA(IF(T$7="Fixed",1,IF(AND($D100="yes",T$7="Block"),INDEX($O640:$Q640,1,MATCH(T$5,$I34:$K34,0)),INDEX(Movements!$G640:$M640,1,MATCH(T$7,Movements!$G$614:$M$614,0))))
*T1048*T$8,0)</f>
        <v>0</v>
      </c>
      <c r="U370" s="198">
        <f>_xlfn.IFNA(IF(U$7="Fixed",1,IF(AND($D100="yes",U$7="Block"),INDEX($O640:$Q640,1,MATCH(U$5,$I34:$K34,0)),INDEX(Movements!$G640:$M640,1,MATCH(U$7,Movements!$G$614:$M$614,0))))
*U1048*U$8,0)</f>
        <v>0</v>
      </c>
      <c r="V370" s="198">
        <f>_xlfn.IFNA(IF(V$7="Fixed",1,IF(AND($D100="yes",V$7="Block"),INDEX($O640:$Q640,1,MATCH(V$5,$I34:$K34,0)),INDEX(Movements!$G640:$M640,1,MATCH(V$7,Movements!$G$614:$M$614,0))))
*V1048*V$8,0)</f>
        <v>0</v>
      </c>
      <c r="W370" s="198">
        <f>_xlfn.IFNA(IF(W$7="Fixed",1,IF(AND($D100="yes",W$7="Block"),INDEX($O640:$Q640,1,MATCH(W$5,$I34:$K34,0)),INDEX(Movements!$G640:$M640,1,MATCH(W$7,Movements!$G$614:$M$614,0))))
*W1048*W$8,0)</f>
        <v>0</v>
      </c>
      <c r="X370" s="198">
        <f>_xlfn.IFNA(IF(X$7="Fixed",1,IF(AND($D100="yes",X$7="Block"),INDEX($O640:$Q640,1,MATCH(X$5,$I34:$K34,0)),INDEX(Movements!$G640:$M640,1,MATCH(X$7,Movements!$G$614:$M$614,0))))
*X1048*X$8,0)</f>
        <v>0</v>
      </c>
      <c r="Y370" s="198">
        <f>_xlfn.IFNA(IF(Y$7="Fixed",1,IF(AND($D100="yes",Y$7="Block"),INDEX($O640:$Q640,1,MATCH(Y$5,$I34:$K34,0)),INDEX(Movements!$G640:$M640,1,MATCH(Y$7,Movements!$G$614:$M$614,0))))
*Y1048*Y$8,0)</f>
        <v>0</v>
      </c>
      <c r="Z370" s="198">
        <f>_xlfn.IFNA(IF(Z$7="Fixed",1,IF(AND($D100="yes",Z$7="Block"),INDEX($O640:$Q640,1,MATCH(Z$5,$I34:$K34,0)),INDEX(Movements!$G640:$M640,1,MATCH(Z$7,Movements!$G$614:$M$614,0))))
*Z1048*Z$8,0)</f>
        <v>0</v>
      </c>
      <c r="AA370" s="198">
        <f>_xlfn.IFNA(IF(AA$7="Fixed",1,IF(AND($D100="yes",AA$7="Block"),INDEX($O640:$Q640,1,MATCH(AA$5,$I34:$K34,0)),INDEX(Movements!$G640:$M640,1,MATCH(AA$7,Movements!$G$614:$M$614,0))))
*AA1048*AA$8,0)</f>
        <v>0</v>
      </c>
      <c r="AB370" s="198">
        <f>_xlfn.IFNA(IF(AB$7="Fixed",1,IF(AND($D100="yes",AB$7="Block"),INDEX($O640:$Q640,1,MATCH(AB$5,$I34:$K34,0)),INDEX(Movements!$G640:$M640,1,MATCH(AB$7,Movements!$G$614:$M$614,0))))
*AB1048*AB$8,0)</f>
        <v>0</v>
      </c>
      <c r="AC370" s="70"/>
      <c r="AD370" s="19"/>
      <c r="AE370" s="19"/>
      <c r="AF370" s="19"/>
      <c r="AG370" s="19"/>
    </row>
    <row r="371" spans="1:33" hidden="1" outlineLevel="3" x14ac:dyDescent="0.2">
      <c r="A371" s="19"/>
      <c r="B371" s="97">
        <v>25</v>
      </c>
      <c r="C371" s="506">
        <f>IF(C101=0,0,IF(currentyear=RCPminus1,INDEX(Tariffs!$H$46:$H$120,MATCH(Movements!C101,Tariffs!$C$46:$C$120,0)),C101))</f>
        <v>0</v>
      </c>
      <c r="D371" s="505">
        <f t="shared" si="83"/>
        <v>0</v>
      </c>
      <c r="E371" s="505">
        <f t="shared" si="83"/>
        <v>0</v>
      </c>
      <c r="F371" s="58"/>
      <c r="G371" s="199">
        <f t="shared" si="84"/>
        <v>0</v>
      </c>
      <c r="H371" s="58"/>
      <c r="I371" s="198">
        <f>_xlfn.IFNA(IF(I$7="Fixed",1,IF(AND($D101="yes",I$7="Block"),INDEX($O641:$Q641,1,MATCH(I$5,$I35:$K35,0)),INDEX(Movements!$G641:$M641,1,MATCH(I$7,Movements!$G$614:$M$614,0))))
*I1049*I$8,0)</f>
        <v>0</v>
      </c>
      <c r="J371" s="198">
        <f>_xlfn.IFNA(IF(J$7="Fixed",1,IF(AND($D101="yes",J$7="Block"),INDEX($O641:$Q641,1,MATCH(J$5,$I35:$K35,0)),INDEX(Movements!$G641:$M641,1,MATCH(J$7,Movements!$G$614:$M$614,0))))
*J1049*J$8,0)</f>
        <v>0</v>
      </c>
      <c r="K371" s="198">
        <f>_xlfn.IFNA(IF(K$7="Fixed",1,IF(AND($D101="yes",K$7="Block"),INDEX($O641:$Q641,1,MATCH(K$5,$I35:$K35,0)),INDEX(Movements!$G641:$M641,1,MATCH(K$7,Movements!$G$614:$M$614,0))))
*K1049*K$8,0)</f>
        <v>0</v>
      </c>
      <c r="L371" s="198">
        <f>_xlfn.IFNA(IF(L$7="Fixed",1,IF(AND($D101="yes",L$7="Block"),INDEX($O641:$Q641,1,MATCH(L$5,$I35:$K35,0)),INDEX(Movements!$G641:$M641,1,MATCH(L$7,Movements!$G$614:$M$614,0))))
*L1049*L$8,0)</f>
        <v>0</v>
      </c>
      <c r="M371" s="198">
        <f>_xlfn.IFNA(IF(M$7="Fixed",1,IF(AND($D101="yes",M$7="Block"),INDEX($O641:$Q641,1,MATCH(M$5,$I35:$K35,0)),INDEX(Movements!$G641:$M641,1,MATCH(M$7,Movements!$G$614:$M$614,0))))
*M1049*M$8,0)</f>
        <v>0</v>
      </c>
      <c r="N371" s="198">
        <f>_xlfn.IFNA(IF(N$7="Fixed",1,IF(AND($D101="yes",N$7="Block"),INDEX($O641:$Q641,1,MATCH(N$5,$I35:$K35,0)),INDEX(Movements!$G641:$M641,1,MATCH(N$7,Movements!$G$614:$M$614,0))))
*N1049*N$8,0)</f>
        <v>0</v>
      </c>
      <c r="O371" s="198">
        <f>_xlfn.IFNA(IF(O$7="Fixed",1,IF(AND($D101="yes",O$7="Block"),INDEX($O641:$Q641,1,MATCH(O$5,$I35:$K35,0)),INDEX(Movements!$G641:$M641,1,MATCH(O$7,Movements!$G$614:$M$614,0))))
*O1049*O$8,0)</f>
        <v>0</v>
      </c>
      <c r="P371" s="198">
        <f>_xlfn.IFNA(IF(P$7="Fixed",1,IF(AND($D101="yes",P$7="Block"),INDEX($O641:$Q641,1,MATCH(P$5,$I35:$K35,0)),INDEX(Movements!$G641:$M641,1,MATCH(P$7,Movements!$G$614:$M$614,0))))
*P1049*P$8,0)</f>
        <v>0</v>
      </c>
      <c r="Q371" s="198">
        <f>_xlfn.IFNA(IF(Q$7="Fixed",1,IF(AND($D101="yes",Q$7="Block"),INDEX($O641:$Q641,1,MATCH(Q$5,$I35:$K35,0)),INDEX(Movements!$G641:$M641,1,MATCH(Q$7,Movements!$G$614:$M$614,0))))
*Q1049*Q$8,0)</f>
        <v>0</v>
      </c>
      <c r="R371" s="198">
        <f>_xlfn.IFNA(IF(R$7="Fixed",1,IF(AND($D101="yes",R$7="Block"),INDEX($O641:$Q641,1,MATCH(R$5,$I35:$K35,0)),INDEX(Movements!$G641:$M641,1,MATCH(R$7,Movements!$G$614:$M$614,0))))
*R1049*R$8,0)</f>
        <v>0</v>
      </c>
      <c r="S371" s="198">
        <f>_xlfn.IFNA(IF(S$7="Fixed",1,IF(AND($D101="yes",S$7="Block"),INDEX($O641:$Q641,1,MATCH(S$5,$I35:$K35,0)),INDEX(Movements!$G641:$M641,1,MATCH(S$7,Movements!$G$614:$M$614,0))))
*S1049*S$8,0)</f>
        <v>0</v>
      </c>
      <c r="T371" s="198">
        <f>_xlfn.IFNA(IF(T$7="Fixed",1,IF(AND($D101="yes",T$7="Block"),INDEX($O641:$Q641,1,MATCH(T$5,$I35:$K35,0)),INDEX(Movements!$G641:$M641,1,MATCH(T$7,Movements!$G$614:$M$614,0))))
*T1049*T$8,0)</f>
        <v>0</v>
      </c>
      <c r="U371" s="198">
        <f>_xlfn.IFNA(IF(U$7="Fixed",1,IF(AND($D101="yes",U$7="Block"),INDEX($O641:$Q641,1,MATCH(U$5,$I35:$K35,0)),INDEX(Movements!$G641:$M641,1,MATCH(U$7,Movements!$G$614:$M$614,0))))
*U1049*U$8,0)</f>
        <v>0</v>
      </c>
      <c r="V371" s="198">
        <f>_xlfn.IFNA(IF(V$7="Fixed",1,IF(AND($D101="yes",V$7="Block"),INDEX($O641:$Q641,1,MATCH(V$5,$I35:$K35,0)),INDEX(Movements!$G641:$M641,1,MATCH(V$7,Movements!$G$614:$M$614,0))))
*V1049*V$8,0)</f>
        <v>0</v>
      </c>
      <c r="W371" s="198">
        <f>_xlfn.IFNA(IF(W$7="Fixed",1,IF(AND($D101="yes",W$7="Block"),INDEX($O641:$Q641,1,MATCH(W$5,$I35:$K35,0)),INDEX(Movements!$G641:$M641,1,MATCH(W$7,Movements!$G$614:$M$614,0))))
*W1049*W$8,0)</f>
        <v>0</v>
      </c>
      <c r="X371" s="198">
        <f>_xlfn.IFNA(IF(X$7="Fixed",1,IF(AND($D101="yes",X$7="Block"),INDEX($O641:$Q641,1,MATCH(X$5,$I35:$K35,0)),INDEX(Movements!$G641:$M641,1,MATCH(X$7,Movements!$G$614:$M$614,0))))
*X1049*X$8,0)</f>
        <v>0</v>
      </c>
      <c r="Y371" s="198">
        <f>_xlfn.IFNA(IF(Y$7="Fixed",1,IF(AND($D101="yes",Y$7="Block"),INDEX($O641:$Q641,1,MATCH(Y$5,$I35:$K35,0)),INDEX(Movements!$G641:$M641,1,MATCH(Y$7,Movements!$G$614:$M$614,0))))
*Y1049*Y$8,0)</f>
        <v>0</v>
      </c>
      <c r="Z371" s="198">
        <f>_xlfn.IFNA(IF(Z$7="Fixed",1,IF(AND($D101="yes",Z$7="Block"),INDEX($O641:$Q641,1,MATCH(Z$5,$I35:$K35,0)),INDEX(Movements!$G641:$M641,1,MATCH(Z$7,Movements!$G$614:$M$614,0))))
*Z1049*Z$8,0)</f>
        <v>0</v>
      </c>
      <c r="AA371" s="198">
        <f>_xlfn.IFNA(IF(AA$7="Fixed",1,IF(AND($D101="yes",AA$7="Block"),INDEX($O641:$Q641,1,MATCH(AA$5,$I35:$K35,0)),INDEX(Movements!$G641:$M641,1,MATCH(AA$7,Movements!$G$614:$M$614,0))))
*AA1049*AA$8,0)</f>
        <v>0</v>
      </c>
      <c r="AB371" s="198">
        <f>_xlfn.IFNA(IF(AB$7="Fixed",1,IF(AND($D101="yes",AB$7="Block"),INDEX($O641:$Q641,1,MATCH(AB$5,$I35:$K35,0)),INDEX(Movements!$G641:$M641,1,MATCH(AB$7,Movements!$G$614:$M$614,0))))
*AB1049*AB$8,0)</f>
        <v>0</v>
      </c>
      <c r="AC371" s="70"/>
      <c r="AD371" s="19"/>
      <c r="AE371" s="19"/>
      <c r="AF371" s="19"/>
      <c r="AG371" s="19"/>
    </row>
    <row r="372" spans="1:33" hidden="1" outlineLevel="3" x14ac:dyDescent="0.2">
      <c r="A372" s="19"/>
      <c r="B372" s="97">
        <v>26</v>
      </c>
      <c r="C372" s="506">
        <f>IF(C102=0,0,IF(currentyear=RCPminus1,INDEX(Tariffs!$H$46:$H$120,MATCH(Movements!C102,Tariffs!$C$46:$C$120,0)),C102))</f>
        <v>0</v>
      </c>
      <c r="D372" s="505">
        <f t="shared" si="83"/>
        <v>0</v>
      </c>
      <c r="E372" s="505">
        <f t="shared" si="83"/>
        <v>0</v>
      </c>
      <c r="F372" s="58"/>
      <c r="G372" s="199">
        <f t="shared" si="84"/>
        <v>0</v>
      </c>
      <c r="H372" s="58"/>
      <c r="I372" s="198">
        <f>_xlfn.IFNA(IF(I$7="Fixed",1,IF(AND($D102="yes",I$7="Block"),INDEX($O642:$Q642,1,MATCH(I$5,$I36:$K36,0)),INDEX(Movements!$G642:$M642,1,MATCH(I$7,Movements!$G$614:$M$614,0))))
*I1050*I$8,0)</f>
        <v>0</v>
      </c>
      <c r="J372" s="198">
        <f>_xlfn.IFNA(IF(J$7="Fixed",1,IF(AND($D102="yes",J$7="Block"),INDEX($O642:$Q642,1,MATCH(J$5,$I36:$K36,0)),INDEX(Movements!$G642:$M642,1,MATCH(J$7,Movements!$G$614:$M$614,0))))
*J1050*J$8,0)</f>
        <v>0</v>
      </c>
      <c r="K372" s="198">
        <f>_xlfn.IFNA(IF(K$7="Fixed",1,IF(AND($D102="yes",K$7="Block"),INDEX($O642:$Q642,1,MATCH(K$5,$I36:$K36,0)),INDEX(Movements!$G642:$M642,1,MATCH(K$7,Movements!$G$614:$M$614,0))))
*K1050*K$8,0)</f>
        <v>0</v>
      </c>
      <c r="L372" s="198">
        <f>_xlfn.IFNA(IF(L$7="Fixed",1,IF(AND($D102="yes",L$7="Block"),INDEX($O642:$Q642,1,MATCH(L$5,$I36:$K36,0)),INDEX(Movements!$G642:$M642,1,MATCH(L$7,Movements!$G$614:$M$614,0))))
*L1050*L$8,0)</f>
        <v>0</v>
      </c>
      <c r="M372" s="198">
        <f>_xlfn.IFNA(IF(M$7="Fixed",1,IF(AND($D102="yes",M$7="Block"),INDEX($O642:$Q642,1,MATCH(M$5,$I36:$K36,0)),INDEX(Movements!$G642:$M642,1,MATCH(M$7,Movements!$G$614:$M$614,0))))
*M1050*M$8,0)</f>
        <v>0</v>
      </c>
      <c r="N372" s="198">
        <f>_xlfn.IFNA(IF(N$7="Fixed",1,IF(AND($D102="yes",N$7="Block"),INDEX($O642:$Q642,1,MATCH(N$5,$I36:$K36,0)),INDEX(Movements!$G642:$M642,1,MATCH(N$7,Movements!$G$614:$M$614,0))))
*N1050*N$8,0)</f>
        <v>0</v>
      </c>
      <c r="O372" s="198">
        <f>_xlfn.IFNA(IF(O$7="Fixed",1,IF(AND($D102="yes",O$7="Block"),INDEX($O642:$Q642,1,MATCH(O$5,$I36:$K36,0)),INDEX(Movements!$G642:$M642,1,MATCH(O$7,Movements!$G$614:$M$614,0))))
*O1050*O$8,0)</f>
        <v>0</v>
      </c>
      <c r="P372" s="198">
        <f>_xlfn.IFNA(IF(P$7="Fixed",1,IF(AND($D102="yes",P$7="Block"),INDEX($O642:$Q642,1,MATCH(P$5,$I36:$K36,0)),INDEX(Movements!$G642:$M642,1,MATCH(P$7,Movements!$G$614:$M$614,0))))
*P1050*P$8,0)</f>
        <v>0</v>
      </c>
      <c r="Q372" s="198">
        <f>_xlfn.IFNA(IF(Q$7="Fixed",1,IF(AND($D102="yes",Q$7="Block"),INDEX($O642:$Q642,1,MATCH(Q$5,$I36:$K36,0)),INDEX(Movements!$G642:$M642,1,MATCH(Q$7,Movements!$G$614:$M$614,0))))
*Q1050*Q$8,0)</f>
        <v>0</v>
      </c>
      <c r="R372" s="198">
        <f>_xlfn.IFNA(IF(R$7="Fixed",1,IF(AND($D102="yes",R$7="Block"),INDEX($O642:$Q642,1,MATCH(R$5,$I36:$K36,0)),INDEX(Movements!$G642:$M642,1,MATCH(R$7,Movements!$G$614:$M$614,0))))
*R1050*R$8,0)</f>
        <v>0</v>
      </c>
      <c r="S372" s="198">
        <f>_xlfn.IFNA(IF(S$7="Fixed",1,IF(AND($D102="yes",S$7="Block"),INDEX($O642:$Q642,1,MATCH(S$5,$I36:$K36,0)),INDEX(Movements!$G642:$M642,1,MATCH(S$7,Movements!$G$614:$M$614,0))))
*S1050*S$8,0)</f>
        <v>0</v>
      </c>
      <c r="T372" s="198">
        <f>_xlfn.IFNA(IF(T$7="Fixed",1,IF(AND($D102="yes",T$7="Block"),INDEX($O642:$Q642,1,MATCH(T$5,$I36:$K36,0)),INDEX(Movements!$G642:$M642,1,MATCH(T$7,Movements!$G$614:$M$614,0))))
*T1050*T$8,0)</f>
        <v>0</v>
      </c>
      <c r="U372" s="198">
        <f>_xlfn.IFNA(IF(U$7="Fixed",1,IF(AND($D102="yes",U$7="Block"),INDEX($O642:$Q642,1,MATCH(U$5,$I36:$K36,0)),INDEX(Movements!$G642:$M642,1,MATCH(U$7,Movements!$G$614:$M$614,0))))
*U1050*U$8,0)</f>
        <v>0</v>
      </c>
      <c r="V372" s="198">
        <f>_xlfn.IFNA(IF(V$7="Fixed",1,IF(AND($D102="yes",V$7="Block"),INDEX($O642:$Q642,1,MATCH(V$5,$I36:$K36,0)),INDEX(Movements!$G642:$M642,1,MATCH(V$7,Movements!$G$614:$M$614,0))))
*V1050*V$8,0)</f>
        <v>0</v>
      </c>
      <c r="W372" s="198">
        <f>_xlfn.IFNA(IF(W$7="Fixed",1,IF(AND($D102="yes",W$7="Block"),INDEX($O642:$Q642,1,MATCH(W$5,$I36:$K36,0)),INDEX(Movements!$G642:$M642,1,MATCH(W$7,Movements!$G$614:$M$614,0))))
*W1050*W$8,0)</f>
        <v>0</v>
      </c>
      <c r="X372" s="198">
        <f>_xlfn.IFNA(IF(X$7="Fixed",1,IF(AND($D102="yes",X$7="Block"),INDEX($O642:$Q642,1,MATCH(X$5,$I36:$K36,0)),INDEX(Movements!$G642:$M642,1,MATCH(X$7,Movements!$G$614:$M$614,0))))
*X1050*X$8,0)</f>
        <v>0</v>
      </c>
      <c r="Y372" s="198">
        <f>_xlfn.IFNA(IF(Y$7="Fixed",1,IF(AND($D102="yes",Y$7="Block"),INDEX($O642:$Q642,1,MATCH(Y$5,$I36:$K36,0)),INDEX(Movements!$G642:$M642,1,MATCH(Y$7,Movements!$G$614:$M$614,0))))
*Y1050*Y$8,0)</f>
        <v>0</v>
      </c>
      <c r="Z372" s="198">
        <f>_xlfn.IFNA(IF(Z$7="Fixed",1,IF(AND($D102="yes",Z$7="Block"),INDEX($O642:$Q642,1,MATCH(Z$5,$I36:$K36,0)),INDEX(Movements!$G642:$M642,1,MATCH(Z$7,Movements!$G$614:$M$614,0))))
*Z1050*Z$8,0)</f>
        <v>0</v>
      </c>
      <c r="AA372" s="198">
        <f>_xlfn.IFNA(IF(AA$7="Fixed",1,IF(AND($D102="yes",AA$7="Block"),INDEX($O642:$Q642,1,MATCH(AA$5,$I36:$K36,0)),INDEX(Movements!$G642:$M642,1,MATCH(AA$7,Movements!$G$614:$M$614,0))))
*AA1050*AA$8,0)</f>
        <v>0</v>
      </c>
      <c r="AB372" s="198">
        <f>_xlfn.IFNA(IF(AB$7="Fixed",1,IF(AND($D102="yes",AB$7="Block"),INDEX($O642:$Q642,1,MATCH(AB$5,$I36:$K36,0)),INDEX(Movements!$G642:$M642,1,MATCH(AB$7,Movements!$G$614:$M$614,0))))
*AB1050*AB$8,0)</f>
        <v>0</v>
      </c>
      <c r="AC372" s="70"/>
      <c r="AD372" s="19"/>
      <c r="AE372" s="19"/>
      <c r="AF372" s="19"/>
      <c r="AG372" s="19"/>
    </row>
    <row r="373" spans="1:33" hidden="1" outlineLevel="3" x14ac:dyDescent="0.2">
      <c r="A373" s="19"/>
      <c r="B373" s="97">
        <v>27</v>
      </c>
      <c r="C373" s="506">
        <f>IF(C103=0,0,IF(currentyear=RCPminus1,INDEX(Tariffs!$H$46:$H$120,MATCH(Movements!C103,Tariffs!$C$46:$C$120,0)),C103))</f>
        <v>0</v>
      </c>
      <c r="D373" s="505">
        <f t="shared" si="83"/>
        <v>0</v>
      </c>
      <c r="E373" s="505">
        <f t="shared" si="83"/>
        <v>0</v>
      </c>
      <c r="F373" s="58"/>
      <c r="G373" s="199">
        <f t="shared" si="84"/>
        <v>0</v>
      </c>
      <c r="H373" s="58"/>
      <c r="I373" s="198">
        <f>_xlfn.IFNA(IF(I$7="Fixed",1,IF(AND($D103="yes",I$7="Block"),INDEX($O643:$Q643,1,MATCH(I$5,$I37:$K37,0)),INDEX(Movements!$G643:$M643,1,MATCH(I$7,Movements!$G$614:$M$614,0))))
*I1051*I$8,0)</f>
        <v>0</v>
      </c>
      <c r="J373" s="198">
        <f>_xlfn.IFNA(IF(J$7="Fixed",1,IF(AND($D103="yes",J$7="Block"),INDEX($O643:$Q643,1,MATCH(J$5,$I37:$K37,0)),INDEX(Movements!$G643:$M643,1,MATCH(J$7,Movements!$G$614:$M$614,0))))
*J1051*J$8,0)</f>
        <v>0</v>
      </c>
      <c r="K373" s="198">
        <f>_xlfn.IFNA(IF(K$7="Fixed",1,IF(AND($D103="yes",K$7="Block"),INDEX($O643:$Q643,1,MATCH(K$5,$I37:$K37,0)),INDEX(Movements!$G643:$M643,1,MATCH(K$7,Movements!$G$614:$M$614,0))))
*K1051*K$8,0)</f>
        <v>0</v>
      </c>
      <c r="L373" s="198">
        <f>_xlfn.IFNA(IF(L$7="Fixed",1,IF(AND($D103="yes",L$7="Block"),INDEX($O643:$Q643,1,MATCH(L$5,$I37:$K37,0)),INDEX(Movements!$G643:$M643,1,MATCH(L$7,Movements!$G$614:$M$614,0))))
*L1051*L$8,0)</f>
        <v>0</v>
      </c>
      <c r="M373" s="198">
        <f>_xlfn.IFNA(IF(M$7="Fixed",1,IF(AND($D103="yes",M$7="Block"),INDEX($O643:$Q643,1,MATCH(M$5,$I37:$K37,0)),INDEX(Movements!$G643:$M643,1,MATCH(M$7,Movements!$G$614:$M$614,0))))
*M1051*M$8,0)</f>
        <v>0</v>
      </c>
      <c r="N373" s="198">
        <f>_xlfn.IFNA(IF(N$7="Fixed",1,IF(AND($D103="yes",N$7="Block"),INDEX($O643:$Q643,1,MATCH(N$5,$I37:$K37,0)),INDEX(Movements!$G643:$M643,1,MATCH(N$7,Movements!$G$614:$M$614,0))))
*N1051*N$8,0)</f>
        <v>0</v>
      </c>
      <c r="O373" s="198">
        <f>_xlfn.IFNA(IF(O$7="Fixed",1,IF(AND($D103="yes",O$7="Block"),INDEX($O643:$Q643,1,MATCH(O$5,$I37:$K37,0)),INDEX(Movements!$G643:$M643,1,MATCH(O$7,Movements!$G$614:$M$614,0))))
*O1051*O$8,0)</f>
        <v>0</v>
      </c>
      <c r="P373" s="198">
        <f>_xlfn.IFNA(IF(P$7="Fixed",1,IF(AND($D103="yes",P$7="Block"),INDEX($O643:$Q643,1,MATCH(P$5,$I37:$K37,0)),INDEX(Movements!$G643:$M643,1,MATCH(P$7,Movements!$G$614:$M$614,0))))
*P1051*P$8,0)</f>
        <v>0</v>
      </c>
      <c r="Q373" s="198">
        <f>_xlfn.IFNA(IF(Q$7="Fixed",1,IF(AND($D103="yes",Q$7="Block"),INDEX($O643:$Q643,1,MATCH(Q$5,$I37:$K37,0)),INDEX(Movements!$G643:$M643,1,MATCH(Q$7,Movements!$G$614:$M$614,0))))
*Q1051*Q$8,0)</f>
        <v>0</v>
      </c>
      <c r="R373" s="198">
        <f>_xlfn.IFNA(IF(R$7="Fixed",1,IF(AND($D103="yes",R$7="Block"),INDEX($O643:$Q643,1,MATCH(R$5,$I37:$K37,0)),INDEX(Movements!$G643:$M643,1,MATCH(R$7,Movements!$G$614:$M$614,0))))
*R1051*R$8,0)</f>
        <v>0</v>
      </c>
      <c r="S373" s="198">
        <f>_xlfn.IFNA(IF(S$7="Fixed",1,IF(AND($D103="yes",S$7="Block"),INDEX($O643:$Q643,1,MATCH(S$5,$I37:$K37,0)),INDEX(Movements!$G643:$M643,1,MATCH(S$7,Movements!$G$614:$M$614,0))))
*S1051*S$8,0)</f>
        <v>0</v>
      </c>
      <c r="T373" s="198">
        <f>_xlfn.IFNA(IF(T$7="Fixed",1,IF(AND($D103="yes",T$7="Block"),INDEX($O643:$Q643,1,MATCH(T$5,$I37:$K37,0)),INDEX(Movements!$G643:$M643,1,MATCH(T$7,Movements!$G$614:$M$614,0))))
*T1051*T$8,0)</f>
        <v>0</v>
      </c>
      <c r="U373" s="198">
        <f>_xlfn.IFNA(IF(U$7="Fixed",1,IF(AND($D103="yes",U$7="Block"),INDEX($O643:$Q643,1,MATCH(U$5,$I37:$K37,0)),INDEX(Movements!$G643:$M643,1,MATCH(U$7,Movements!$G$614:$M$614,0))))
*U1051*U$8,0)</f>
        <v>0</v>
      </c>
      <c r="V373" s="198">
        <f>_xlfn.IFNA(IF(V$7="Fixed",1,IF(AND($D103="yes",V$7="Block"),INDEX($O643:$Q643,1,MATCH(V$5,$I37:$K37,0)),INDEX(Movements!$G643:$M643,1,MATCH(V$7,Movements!$G$614:$M$614,0))))
*V1051*V$8,0)</f>
        <v>0</v>
      </c>
      <c r="W373" s="198">
        <f>_xlfn.IFNA(IF(W$7="Fixed",1,IF(AND($D103="yes",W$7="Block"),INDEX($O643:$Q643,1,MATCH(W$5,$I37:$K37,0)),INDEX(Movements!$G643:$M643,1,MATCH(W$7,Movements!$G$614:$M$614,0))))
*W1051*W$8,0)</f>
        <v>0</v>
      </c>
      <c r="X373" s="198">
        <f>_xlfn.IFNA(IF(X$7="Fixed",1,IF(AND($D103="yes",X$7="Block"),INDEX($O643:$Q643,1,MATCH(X$5,$I37:$K37,0)),INDEX(Movements!$G643:$M643,1,MATCH(X$7,Movements!$G$614:$M$614,0))))
*X1051*X$8,0)</f>
        <v>0</v>
      </c>
      <c r="Y373" s="198">
        <f>_xlfn.IFNA(IF(Y$7="Fixed",1,IF(AND($D103="yes",Y$7="Block"),INDEX($O643:$Q643,1,MATCH(Y$5,$I37:$K37,0)),INDEX(Movements!$G643:$M643,1,MATCH(Y$7,Movements!$G$614:$M$614,0))))
*Y1051*Y$8,0)</f>
        <v>0</v>
      </c>
      <c r="Z373" s="198">
        <f>_xlfn.IFNA(IF(Z$7="Fixed",1,IF(AND($D103="yes",Z$7="Block"),INDEX($O643:$Q643,1,MATCH(Z$5,$I37:$K37,0)),INDEX(Movements!$G643:$M643,1,MATCH(Z$7,Movements!$G$614:$M$614,0))))
*Z1051*Z$8,0)</f>
        <v>0</v>
      </c>
      <c r="AA373" s="198">
        <f>_xlfn.IFNA(IF(AA$7="Fixed",1,IF(AND($D103="yes",AA$7="Block"),INDEX($O643:$Q643,1,MATCH(AA$5,$I37:$K37,0)),INDEX(Movements!$G643:$M643,1,MATCH(AA$7,Movements!$G$614:$M$614,0))))
*AA1051*AA$8,0)</f>
        <v>0</v>
      </c>
      <c r="AB373" s="198">
        <f>_xlfn.IFNA(IF(AB$7="Fixed",1,IF(AND($D103="yes",AB$7="Block"),INDEX($O643:$Q643,1,MATCH(AB$5,$I37:$K37,0)),INDEX(Movements!$G643:$M643,1,MATCH(AB$7,Movements!$G$614:$M$614,0))))
*AB1051*AB$8,0)</f>
        <v>0</v>
      </c>
      <c r="AC373" s="70"/>
      <c r="AD373" s="19"/>
      <c r="AE373" s="19"/>
      <c r="AF373" s="19"/>
      <c r="AG373" s="19"/>
    </row>
    <row r="374" spans="1:33" hidden="1" outlineLevel="3" x14ac:dyDescent="0.2">
      <c r="A374" s="19"/>
      <c r="B374" s="97">
        <v>28</v>
      </c>
      <c r="C374" s="506">
        <f>IF(C104=0,0,IF(currentyear=RCPminus1,INDEX(Tariffs!$H$46:$H$120,MATCH(Movements!C104,Tariffs!$C$46:$C$120,0)),C104))</f>
        <v>0</v>
      </c>
      <c r="D374" s="505">
        <f t="shared" si="83"/>
        <v>0</v>
      </c>
      <c r="E374" s="505">
        <f t="shared" si="83"/>
        <v>0</v>
      </c>
      <c r="F374" s="58"/>
      <c r="G374" s="199">
        <f t="shared" si="84"/>
        <v>0</v>
      </c>
      <c r="H374" s="58"/>
      <c r="I374" s="198">
        <f>_xlfn.IFNA(IF(I$7="Fixed",1,IF(AND($D104="yes",I$7="Block"),INDEX($O644:$Q644,1,MATCH(I$5,$I38:$K38,0)),INDEX(Movements!$G644:$M644,1,MATCH(I$7,Movements!$G$614:$M$614,0))))
*I1052*I$8,0)</f>
        <v>0</v>
      </c>
      <c r="J374" s="198">
        <f>_xlfn.IFNA(IF(J$7="Fixed",1,IF(AND($D104="yes",J$7="Block"),INDEX($O644:$Q644,1,MATCH(J$5,$I38:$K38,0)),INDEX(Movements!$G644:$M644,1,MATCH(J$7,Movements!$G$614:$M$614,0))))
*J1052*J$8,0)</f>
        <v>0</v>
      </c>
      <c r="K374" s="198">
        <f>_xlfn.IFNA(IF(K$7="Fixed",1,IF(AND($D104="yes",K$7="Block"),INDEX($O644:$Q644,1,MATCH(K$5,$I38:$K38,0)),INDEX(Movements!$G644:$M644,1,MATCH(K$7,Movements!$G$614:$M$614,0))))
*K1052*K$8,0)</f>
        <v>0</v>
      </c>
      <c r="L374" s="198">
        <f>_xlfn.IFNA(IF(L$7="Fixed",1,IF(AND($D104="yes",L$7="Block"),INDEX($O644:$Q644,1,MATCH(L$5,$I38:$K38,0)),INDEX(Movements!$G644:$M644,1,MATCH(L$7,Movements!$G$614:$M$614,0))))
*L1052*L$8,0)</f>
        <v>0</v>
      </c>
      <c r="M374" s="198">
        <f>_xlfn.IFNA(IF(M$7="Fixed",1,IF(AND($D104="yes",M$7="Block"),INDEX($O644:$Q644,1,MATCH(M$5,$I38:$K38,0)),INDEX(Movements!$G644:$M644,1,MATCH(M$7,Movements!$G$614:$M$614,0))))
*M1052*M$8,0)</f>
        <v>0</v>
      </c>
      <c r="N374" s="198">
        <f>_xlfn.IFNA(IF(N$7="Fixed",1,IF(AND($D104="yes",N$7="Block"),INDEX($O644:$Q644,1,MATCH(N$5,$I38:$K38,0)),INDEX(Movements!$G644:$M644,1,MATCH(N$7,Movements!$G$614:$M$614,0))))
*N1052*N$8,0)</f>
        <v>0</v>
      </c>
      <c r="O374" s="198">
        <f>_xlfn.IFNA(IF(O$7="Fixed",1,IF(AND($D104="yes",O$7="Block"),INDEX($O644:$Q644,1,MATCH(O$5,$I38:$K38,0)),INDEX(Movements!$G644:$M644,1,MATCH(O$7,Movements!$G$614:$M$614,0))))
*O1052*O$8,0)</f>
        <v>0</v>
      </c>
      <c r="P374" s="198">
        <f>_xlfn.IFNA(IF(P$7="Fixed",1,IF(AND($D104="yes",P$7="Block"),INDEX($O644:$Q644,1,MATCH(P$5,$I38:$K38,0)),INDEX(Movements!$G644:$M644,1,MATCH(P$7,Movements!$G$614:$M$614,0))))
*P1052*P$8,0)</f>
        <v>0</v>
      </c>
      <c r="Q374" s="198">
        <f>_xlfn.IFNA(IF(Q$7="Fixed",1,IF(AND($D104="yes",Q$7="Block"),INDEX($O644:$Q644,1,MATCH(Q$5,$I38:$K38,0)),INDEX(Movements!$G644:$M644,1,MATCH(Q$7,Movements!$G$614:$M$614,0))))
*Q1052*Q$8,0)</f>
        <v>0</v>
      </c>
      <c r="R374" s="198">
        <f>_xlfn.IFNA(IF(R$7="Fixed",1,IF(AND($D104="yes",R$7="Block"),INDEX($O644:$Q644,1,MATCH(R$5,$I38:$K38,0)),INDEX(Movements!$G644:$M644,1,MATCH(R$7,Movements!$G$614:$M$614,0))))
*R1052*R$8,0)</f>
        <v>0</v>
      </c>
      <c r="S374" s="198">
        <f>_xlfn.IFNA(IF(S$7="Fixed",1,IF(AND($D104="yes",S$7="Block"),INDEX($O644:$Q644,1,MATCH(S$5,$I38:$K38,0)),INDEX(Movements!$G644:$M644,1,MATCH(S$7,Movements!$G$614:$M$614,0))))
*S1052*S$8,0)</f>
        <v>0</v>
      </c>
      <c r="T374" s="198">
        <f>_xlfn.IFNA(IF(T$7="Fixed",1,IF(AND($D104="yes",T$7="Block"),INDEX($O644:$Q644,1,MATCH(T$5,$I38:$K38,0)),INDEX(Movements!$G644:$M644,1,MATCH(T$7,Movements!$G$614:$M$614,0))))
*T1052*T$8,0)</f>
        <v>0</v>
      </c>
      <c r="U374" s="198">
        <f>_xlfn.IFNA(IF(U$7="Fixed",1,IF(AND($D104="yes",U$7="Block"),INDEX($O644:$Q644,1,MATCH(U$5,$I38:$K38,0)),INDEX(Movements!$G644:$M644,1,MATCH(U$7,Movements!$G$614:$M$614,0))))
*U1052*U$8,0)</f>
        <v>0</v>
      </c>
      <c r="V374" s="198">
        <f>_xlfn.IFNA(IF(V$7="Fixed",1,IF(AND($D104="yes",V$7="Block"),INDEX($O644:$Q644,1,MATCH(V$5,$I38:$K38,0)),INDEX(Movements!$G644:$M644,1,MATCH(V$7,Movements!$G$614:$M$614,0))))
*V1052*V$8,0)</f>
        <v>0</v>
      </c>
      <c r="W374" s="198">
        <f>_xlfn.IFNA(IF(W$7="Fixed",1,IF(AND($D104="yes",W$7="Block"),INDEX($O644:$Q644,1,MATCH(W$5,$I38:$K38,0)),INDEX(Movements!$G644:$M644,1,MATCH(W$7,Movements!$G$614:$M$614,0))))
*W1052*W$8,0)</f>
        <v>0</v>
      </c>
      <c r="X374" s="198">
        <f>_xlfn.IFNA(IF(X$7="Fixed",1,IF(AND($D104="yes",X$7="Block"),INDEX($O644:$Q644,1,MATCH(X$5,$I38:$K38,0)),INDEX(Movements!$G644:$M644,1,MATCH(X$7,Movements!$G$614:$M$614,0))))
*X1052*X$8,0)</f>
        <v>0</v>
      </c>
      <c r="Y374" s="198">
        <f>_xlfn.IFNA(IF(Y$7="Fixed",1,IF(AND($D104="yes",Y$7="Block"),INDEX($O644:$Q644,1,MATCH(Y$5,$I38:$K38,0)),INDEX(Movements!$G644:$M644,1,MATCH(Y$7,Movements!$G$614:$M$614,0))))
*Y1052*Y$8,0)</f>
        <v>0</v>
      </c>
      <c r="Z374" s="198">
        <f>_xlfn.IFNA(IF(Z$7="Fixed",1,IF(AND($D104="yes",Z$7="Block"),INDEX($O644:$Q644,1,MATCH(Z$5,$I38:$K38,0)),INDEX(Movements!$G644:$M644,1,MATCH(Z$7,Movements!$G$614:$M$614,0))))
*Z1052*Z$8,0)</f>
        <v>0</v>
      </c>
      <c r="AA374" s="198">
        <f>_xlfn.IFNA(IF(AA$7="Fixed",1,IF(AND($D104="yes",AA$7="Block"),INDEX($O644:$Q644,1,MATCH(AA$5,$I38:$K38,0)),INDEX(Movements!$G644:$M644,1,MATCH(AA$7,Movements!$G$614:$M$614,0))))
*AA1052*AA$8,0)</f>
        <v>0</v>
      </c>
      <c r="AB374" s="198">
        <f>_xlfn.IFNA(IF(AB$7="Fixed",1,IF(AND($D104="yes",AB$7="Block"),INDEX($O644:$Q644,1,MATCH(AB$5,$I38:$K38,0)),INDEX(Movements!$G644:$M644,1,MATCH(AB$7,Movements!$G$614:$M$614,0))))
*AB1052*AB$8,0)</f>
        <v>0</v>
      </c>
      <c r="AC374" s="70"/>
      <c r="AD374" s="19"/>
      <c r="AE374" s="19"/>
      <c r="AF374" s="19"/>
      <c r="AG374" s="19"/>
    </row>
    <row r="375" spans="1:33" hidden="1" outlineLevel="3" x14ac:dyDescent="0.2">
      <c r="A375" s="19"/>
      <c r="B375" s="97">
        <v>29</v>
      </c>
      <c r="C375" s="506">
        <f>IF(C105=0,0,IF(currentyear=RCPminus1,INDEX(Tariffs!$H$46:$H$120,MATCH(Movements!C105,Tariffs!$C$46:$C$120,0)),C105))</f>
        <v>0</v>
      </c>
      <c r="D375" s="505">
        <f t="shared" si="83"/>
        <v>0</v>
      </c>
      <c r="E375" s="505">
        <f t="shared" si="83"/>
        <v>0</v>
      </c>
      <c r="F375" s="58"/>
      <c r="G375" s="199">
        <f t="shared" si="84"/>
        <v>0</v>
      </c>
      <c r="H375" s="58"/>
      <c r="I375" s="198">
        <f>_xlfn.IFNA(IF(I$7="Fixed",1,IF(AND($D105="yes",I$7="Block"),INDEX($O645:$Q645,1,MATCH(I$5,$I39:$K39,0)),INDEX(Movements!$G645:$M645,1,MATCH(I$7,Movements!$G$614:$M$614,0))))
*I1053*I$8,0)</f>
        <v>0</v>
      </c>
      <c r="J375" s="198">
        <f>_xlfn.IFNA(IF(J$7="Fixed",1,IF(AND($D105="yes",J$7="Block"),INDEX($O645:$Q645,1,MATCH(J$5,$I39:$K39,0)),INDEX(Movements!$G645:$M645,1,MATCH(J$7,Movements!$G$614:$M$614,0))))
*J1053*J$8,0)</f>
        <v>0</v>
      </c>
      <c r="K375" s="198">
        <f>_xlfn.IFNA(IF(K$7="Fixed",1,IF(AND($D105="yes",K$7="Block"),INDEX($O645:$Q645,1,MATCH(K$5,$I39:$K39,0)),INDEX(Movements!$G645:$M645,1,MATCH(K$7,Movements!$G$614:$M$614,0))))
*K1053*K$8,0)</f>
        <v>0</v>
      </c>
      <c r="L375" s="198">
        <f>_xlfn.IFNA(IF(L$7="Fixed",1,IF(AND($D105="yes",L$7="Block"),INDEX($O645:$Q645,1,MATCH(L$5,$I39:$K39,0)),INDEX(Movements!$G645:$M645,1,MATCH(L$7,Movements!$G$614:$M$614,0))))
*L1053*L$8,0)</f>
        <v>0</v>
      </c>
      <c r="M375" s="198">
        <f>_xlfn.IFNA(IF(M$7="Fixed",1,IF(AND($D105="yes",M$7="Block"),INDEX($O645:$Q645,1,MATCH(M$5,$I39:$K39,0)),INDEX(Movements!$G645:$M645,1,MATCH(M$7,Movements!$G$614:$M$614,0))))
*M1053*M$8,0)</f>
        <v>0</v>
      </c>
      <c r="N375" s="198">
        <f>_xlfn.IFNA(IF(N$7="Fixed",1,IF(AND($D105="yes",N$7="Block"),INDEX($O645:$Q645,1,MATCH(N$5,$I39:$K39,0)),INDEX(Movements!$G645:$M645,1,MATCH(N$7,Movements!$G$614:$M$614,0))))
*N1053*N$8,0)</f>
        <v>0</v>
      </c>
      <c r="O375" s="198">
        <f>_xlfn.IFNA(IF(O$7="Fixed",1,IF(AND($D105="yes",O$7="Block"),INDEX($O645:$Q645,1,MATCH(O$5,$I39:$K39,0)),INDEX(Movements!$G645:$M645,1,MATCH(O$7,Movements!$G$614:$M$614,0))))
*O1053*O$8,0)</f>
        <v>0</v>
      </c>
      <c r="P375" s="198">
        <f>_xlfn.IFNA(IF(P$7="Fixed",1,IF(AND($D105="yes",P$7="Block"),INDEX($O645:$Q645,1,MATCH(P$5,$I39:$K39,0)),INDEX(Movements!$G645:$M645,1,MATCH(P$7,Movements!$G$614:$M$614,0))))
*P1053*P$8,0)</f>
        <v>0</v>
      </c>
      <c r="Q375" s="198">
        <f>_xlfn.IFNA(IF(Q$7="Fixed",1,IF(AND($D105="yes",Q$7="Block"),INDEX($O645:$Q645,1,MATCH(Q$5,$I39:$K39,0)),INDEX(Movements!$G645:$M645,1,MATCH(Q$7,Movements!$G$614:$M$614,0))))
*Q1053*Q$8,0)</f>
        <v>0</v>
      </c>
      <c r="R375" s="198">
        <f>_xlfn.IFNA(IF(R$7="Fixed",1,IF(AND($D105="yes",R$7="Block"),INDEX($O645:$Q645,1,MATCH(R$5,$I39:$K39,0)),INDEX(Movements!$G645:$M645,1,MATCH(R$7,Movements!$G$614:$M$614,0))))
*R1053*R$8,0)</f>
        <v>0</v>
      </c>
      <c r="S375" s="198">
        <f>_xlfn.IFNA(IF(S$7="Fixed",1,IF(AND($D105="yes",S$7="Block"),INDEX($O645:$Q645,1,MATCH(S$5,$I39:$K39,0)),INDEX(Movements!$G645:$M645,1,MATCH(S$7,Movements!$G$614:$M$614,0))))
*S1053*S$8,0)</f>
        <v>0</v>
      </c>
      <c r="T375" s="198">
        <f>_xlfn.IFNA(IF(T$7="Fixed",1,IF(AND($D105="yes",T$7="Block"),INDEX($O645:$Q645,1,MATCH(T$5,$I39:$K39,0)),INDEX(Movements!$G645:$M645,1,MATCH(T$7,Movements!$G$614:$M$614,0))))
*T1053*T$8,0)</f>
        <v>0</v>
      </c>
      <c r="U375" s="198">
        <f>_xlfn.IFNA(IF(U$7="Fixed",1,IF(AND($D105="yes",U$7="Block"),INDEX($O645:$Q645,1,MATCH(U$5,$I39:$K39,0)),INDEX(Movements!$G645:$M645,1,MATCH(U$7,Movements!$G$614:$M$614,0))))
*U1053*U$8,0)</f>
        <v>0</v>
      </c>
      <c r="V375" s="198">
        <f>_xlfn.IFNA(IF(V$7="Fixed",1,IF(AND($D105="yes",V$7="Block"),INDEX($O645:$Q645,1,MATCH(V$5,$I39:$K39,0)),INDEX(Movements!$G645:$M645,1,MATCH(V$7,Movements!$G$614:$M$614,0))))
*V1053*V$8,0)</f>
        <v>0</v>
      </c>
      <c r="W375" s="198">
        <f>_xlfn.IFNA(IF(W$7="Fixed",1,IF(AND($D105="yes",W$7="Block"),INDEX($O645:$Q645,1,MATCH(W$5,$I39:$K39,0)),INDEX(Movements!$G645:$M645,1,MATCH(W$7,Movements!$G$614:$M$614,0))))
*W1053*W$8,0)</f>
        <v>0</v>
      </c>
      <c r="X375" s="198">
        <f>_xlfn.IFNA(IF(X$7="Fixed",1,IF(AND($D105="yes",X$7="Block"),INDEX($O645:$Q645,1,MATCH(X$5,$I39:$K39,0)),INDEX(Movements!$G645:$M645,1,MATCH(X$7,Movements!$G$614:$M$614,0))))
*X1053*X$8,0)</f>
        <v>0</v>
      </c>
      <c r="Y375" s="198">
        <f>_xlfn.IFNA(IF(Y$7="Fixed",1,IF(AND($D105="yes",Y$7="Block"),INDEX($O645:$Q645,1,MATCH(Y$5,$I39:$K39,0)),INDEX(Movements!$G645:$M645,1,MATCH(Y$7,Movements!$G$614:$M$614,0))))
*Y1053*Y$8,0)</f>
        <v>0</v>
      </c>
      <c r="Z375" s="198">
        <f>_xlfn.IFNA(IF(Z$7="Fixed",1,IF(AND($D105="yes",Z$7="Block"),INDEX($O645:$Q645,1,MATCH(Z$5,$I39:$K39,0)),INDEX(Movements!$G645:$M645,1,MATCH(Z$7,Movements!$G$614:$M$614,0))))
*Z1053*Z$8,0)</f>
        <v>0</v>
      </c>
      <c r="AA375" s="198">
        <f>_xlfn.IFNA(IF(AA$7="Fixed",1,IF(AND($D105="yes",AA$7="Block"),INDEX($O645:$Q645,1,MATCH(AA$5,$I39:$K39,0)),INDEX(Movements!$G645:$M645,1,MATCH(AA$7,Movements!$G$614:$M$614,0))))
*AA1053*AA$8,0)</f>
        <v>0</v>
      </c>
      <c r="AB375" s="198">
        <f>_xlfn.IFNA(IF(AB$7="Fixed",1,IF(AND($D105="yes",AB$7="Block"),INDEX($O645:$Q645,1,MATCH(AB$5,$I39:$K39,0)),INDEX(Movements!$G645:$M645,1,MATCH(AB$7,Movements!$G$614:$M$614,0))))
*AB1053*AB$8,0)</f>
        <v>0</v>
      </c>
      <c r="AC375" s="70"/>
      <c r="AD375" s="19"/>
      <c r="AE375" s="19"/>
      <c r="AF375" s="19"/>
      <c r="AG375" s="19"/>
    </row>
    <row r="376" spans="1:33" hidden="1" outlineLevel="3" x14ac:dyDescent="0.2">
      <c r="A376" s="19"/>
      <c r="B376" s="98">
        <v>30</v>
      </c>
      <c r="C376" s="506">
        <f>IF(C106=0,0,IF(currentyear=RCPminus1,INDEX(Tariffs!$H$46:$H$120,MATCH(Movements!C106,Tariffs!$C$46:$C$120,0)),C106))</f>
        <v>0</v>
      </c>
      <c r="D376" s="505">
        <f t="shared" si="83"/>
        <v>0</v>
      </c>
      <c r="E376" s="505">
        <f t="shared" si="83"/>
        <v>0</v>
      </c>
      <c r="F376" s="58"/>
      <c r="G376" s="199">
        <f t="shared" si="84"/>
        <v>0</v>
      </c>
      <c r="H376" s="58"/>
      <c r="I376" s="198">
        <f>_xlfn.IFNA(IF(I$7="Fixed",1,IF(AND($D106="yes",I$7="Block"),INDEX($O646:$Q646,1,MATCH(I$5,$I40:$K40,0)),INDEX(Movements!$G646:$M646,1,MATCH(I$7,Movements!$G$614:$M$614,0))))
*I1054*I$8,0)</f>
        <v>0</v>
      </c>
      <c r="J376" s="198">
        <f>_xlfn.IFNA(IF(J$7="Fixed",1,IF(AND($D106="yes",J$7="Block"),INDEX($O646:$Q646,1,MATCH(J$5,$I40:$K40,0)),INDEX(Movements!$G646:$M646,1,MATCH(J$7,Movements!$G$614:$M$614,0))))
*J1054*J$8,0)</f>
        <v>0</v>
      </c>
      <c r="K376" s="198">
        <f>_xlfn.IFNA(IF(K$7="Fixed",1,IF(AND($D106="yes",K$7="Block"),INDEX($O646:$Q646,1,MATCH(K$5,$I40:$K40,0)),INDEX(Movements!$G646:$M646,1,MATCH(K$7,Movements!$G$614:$M$614,0))))
*K1054*K$8,0)</f>
        <v>0</v>
      </c>
      <c r="L376" s="198">
        <f>_xlfn.IFNA(IF(L$7="Fixed",1,IF(AND($D106="yes",L$7="Block"),INDEX($O646:$Q646,1,MATCH(L$5,$I40:$K40,0)),INDEX(Movements!$G646:$M646,1,MATCH(L$7,Movements!$G$614:$M$614,0))))
*L1054*L$8,0)</f>
        <v>0</v>
      </c>
      <c r="M376" s="198">
        <f>_xlfn.IFNA(IF(M$7="Fixed",1,IF(AND($D106="yes",M$7="Block"),INDEX($O646:$Q646,1,MATCH(M$5,$I40:$K40,0)),INDEX(Movements!$G646:$M646,1,MATCH(M$7,Movements!$G$614:$M$614,0))))
*M1054*M$8,0)</f>
        <v>0</v>
      </c>
      <c r="N376" s="198">
        <f>_xlfn.IFNA(IF(N$7="Fixed",1,IF(AND($D106="yes",N$7="Block"),INDEX($O646:$Q646,1,MATCH(N$5,$I40:$K40,0)),INDEX(Movements!$G646:$M646,1,MATCH(N$7,Movements!$G$614:$M$614,0))))
*N1054*N$8,0)</f>
        <v>0</v>
      </c>
      <c r="O376" s="198">
        <f>_xlfn.IFNA(IF(O$7="Fixed",1,IF(AND($D106="yes",O$7="Block"),INDEX($O646:$Q646,1,MATCH(O$5,$I40:$K40,0)),INDEX(Movements!$G646:$M646,1,MATCH(O$7,Movements!$G$614:$M$614,0))))
*O1054*O$8,0)</f>
        <v>0</v>
      </c>
      <c r="P376" s="198">
        <f>_xlfn.IFNA(IF(P$7="Fixed",1,IF(AND($D106="yes",P$7="Block"),INDEX($O646:$Q646,1,MATCH(P$5,$I40:$K40,0)),INDEX(Movements!$G646:$M646,1,MATCH(P$7,Movements!$G$614:$M$614,0))))
*P1054*P$8,0)</f>
        <v>0</v>
      </c>
      <c r="Q376" s="198">
        <f>_xlfn.IFNA(IF(Q$7="Fixed",1,IF(AND($D106="yes",Q$7="Block"),INDEX($O646:$Q646,1,MATCH(Q$5,$I40:$K40,0)),INDEX(Movements!$G646:$M646,1,MATCH(Q$7,Movements!$G$614:$M$614,0))))
*Q1054*Q$8,0)</f>
        <v>0</v>
      </c>
      <c r="R376" s="198">
        <f>_xlfn.IFNA(IF(R$7="Fixed",1,IF(AND($D106="yes",R$7="Block"),INDEX($O646:$Q646,1,MATCH(R$5,$I40:$K40,0)),INDEX(Movements!$G646:$M646,1,MATCH(R$7,Movements!$G$614:$M$614,0))))
*R1054*R$8,0)</f>
        <v>0</v>
      </c>
      <c r="S376" s="198">
        <f>_xlfn.IFNA(IF(S$7="Fixed",1,IF(AND($D106="yes",S$7="Block"),INDEX($O646:$Q646,1,MATCH(S$5,$I40:$K40,0)),INDEX(Movements!$G646:$M646,1,MATCH(S$7,Movements!$G$614:$M$614,0))))
*S1054*S$8,0)</f>
        <v>0</v>
      </c>
      <c r="T376" s="198">
        <f>_xlfn.IFNA(IF(T$7="Fixed",1,IF(AND($D106="yes",T$7="Block"),INDEX($O646:$Q646,1,MATCH(T$5,$I40:$K40,0)),INDEX(Movements!$G646:$M646,1,MATCH(T$7,Movements!$G$614:$M$614,0))))
*T1054*T$8,0)</f>
        <v>0</v>
      </c>
      <c r="U376" s="198">
        <f>_xlfn.IFNA(IF(U$7="Fixed",1,IF(AND($D106="yes",U$7="Block"),INDEX($O646:$Q646,1,MATCH(U$5,$I40:$K40,0)),INDEX(Movements!$G646:$M646,1,MATCH(U$7,Movements!$G$614:$M$614,0))))
*U1054*U$8,0)</f>
        <v>0</v>
      </c>
      <c r="V376" s="198">
        <f>_xlfn.IFNA(IF(V$7="Fixed",1,IF(AND($D106="yes",V$7="Block"),INDEX($O646:$Q646,1,MATCH(V$5,$I40:$K40,0)),INDEX(Movements!$G646:$M646,1,MATCH(V$7,Movements!$G$614:$M$614,0))))
*V1054*V$8,0)</f>
        <v>0</v>
      </c>
      <c r="W376" s="198">
        <f>_xlfn.IFNA(IF(W$7="Fixed",1,IF(AND($D106="yes",W$7="Block"),INDEX($O646:$Q646,1,MATCH(W$5,$I40:$K40,0)),INDEX(Movements!$G646:$M646,1,MATCH(W$7,Movements!$G$614:$M$614,0))))
*W1054*W$8,0)</f>
        <v>0</v>
      </c>
      <c r="X376" s="198">
        <f>_xlfn.IFNA(IF(X$7="Fixed",1,IF(AND($D106="yes",X$7="Block"),INDEX($O646:$Q646,1,MATCH(X$5,$I40:$K40,0)),INDEX(Movements!$G646:$M646,1,MATCH(X$7,Movements!$G$614:$M$614,0))))
*X1054*X$8,0)</f>
        <v>0</v>
      </c>
      <c r="Y376" s="198">
        <f>_xlfn.IFNA(IF(Y$7="Fixed",1,IF(AND($D106="yes",Y$7="Block"),INDEX($O646:$Q646,1,MATCH(Y$5,$I40:$K40,0)),INDEX(Movements!$G646:$M646,1,MATCH(Y$7,Movements!$G$614:$M$614,0))))
*Y1054*Y$8,0)</f>
        <v>0</v>
      </c>
      <c r="Z376" s="198">
        <f>_xlfn.IFNA(IF(Z$7="Fixed",1,IF(AND($D106="yes",Z$7="Block"),INDEX($O646:$Q646,1,MATCH(Z$5,$I40:$K40,0)),INDEX(Movements!$G646:$M646,1,MATCH(Z$7,Movements!$G$614:$M$614,0))))
*Z1054*Z$8,0)</f>
        <v>0</v>
      </c>
      <c r="AA376" s="198">
        <f>_xlfn.IFNA(IF(AA$7="Fixed",1,IF(AND($D106="yes",AA$7="Block"),INDEX($O646:$Q646,1,MATCH(AA$5,$I40:$K40,0)),INDEX(Movements!$G646:$M646,1,MATCH(AA$7,Movements!$G$614:$M$614,0))))
*AA1054*AA$8,0)</f>
        <v>0</v>
      </c>
      <c r="AB376" s="198">
        <f>_xlfn.IFNA(IF(AB$7="Fixed",1,IF(AND($D106="yes",AB$7="Block"),INDEX($O646:$Q646,1,MATCH(AB$5,$I40:$K40,0)),INDEX(Movements!$G646:$M646,1,MATCH(AB$7,Movements!$G$614:$M$614,0))))
*AB1054*AB$8,0)</f>
        <v>0</v>
      </c>
      <c r="AC376" s="70"/>
      <c r="AD376" s="19"/>
      <c r="AE376" s="19"/>
      <c r="AF376" s="19"/>
      <c r="AG376" s="19"/>
    </row>
    <row r="377" spans="1:33" outlineLevel="2" collapsed="1" x14ac:dyDescent="0.2">
      <c r="A377" s="19"/>
      <c r="B377" s="19"/>
      <c r="C377" s="560"/>
      <c r="D377" s="558"/>
      <c r="E377" s="559"/>
      <c r="F377" s="58"/>
      <c r="G377" s="58"/>
      <c r="H377" s="58"/>
      <c r="I377" s="137"/>
      <c r="J377" s="137"/>
      <c r="K377" s="138"/>
      <c r="L377" s="138"/>
      <c r="M377" s="138"/>
      <c r="N377" s="139"/>
      <c r="O377" s="139"/>
      <c r="P377" s="139"/>
      <c r="Q377" s="139"/>
      <c r="R377" s="139"/>
      <c r="S377" s="138"/>
      <c r="T377" s="138"/>
      <c r="U377" s="138"/>
      <c r="V377" s="70"/>
      <c r="W377" s="70"/>
      <c r="X377" s="70"/>
      <c r="Y377" s="70"/>
      <c r="Z377" s="70"/>
      <c r="AA377" s="70"/>
      <c r="AB377" s="70"/>
      <c r="AC377" s="70"/>
      <c r="AD377" s="19"/>
      <c r="AE377" s="19"/>
      <c r="AF377" s="19"/>
      <c r="AG377" s="19"/>
    </row>
    <row r="378" spans="1:33" outlineLevel="1" x14ac:dyDescent="0.2">
      <c r="A378" s="19"/>
      <c r="B378" s="19"/>
      <c r="C378" s="217"/>
      <c r="D378" s="217"/>
      <c r="E378" s="536"/>
      <c r="F378" s="58"/>
      <c r="G378" s="58"/>
      <c r="H378" s="58"/>
      <c r="I378" s="137"/>
      <c r="J378" s="137"/>
      <c r="K378" s="138"/>
      <c r="L378" s="138"/>
      <c r="M378" s="138"/>
      <c r="N378" s="139"/>
      <c r="O378" s="139"/>
      <c r="P378" s="139"/>
      <c r="Q378" s="139"/>
      <c r="R378" s="139"/>
      <c r="S378" s="138"/>
      <c r="T378" s="138"/>
      <c r="U378" s="138"/>
      <c r="V378" s="70"/>
      <c r="W378" s="70"/>
      <c r="X378" s="70"/>
      <c r="Y378" s="70"/>
      <c r="Z378" s="70"/>
      <c r="AA378" s="70"/>
      <c r="AB378" s="70"/>
      <c r="AC378" s="70"/>
      <c r="AD378" s="19"/>
      <c r="AE378" s="19"/>
      <c r="AF378" s="19"/>
      <c r="AG378" s="19"/>
    </row>
    <row r="379" spans="1:33" outlineLevel="1" x14ac:dyDescent="0.2">
      <c r="A379" s="19"/>
      <c r="B379" s="19"/>
      <c r="C379" s="167" t="s">
        <v>137</v>
      </c>
      <c r="D379" s="167"/>
      <c r="E379" s="512"/>
      <c r="F379" s="20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19"/>
      <c r="AD379" s="19"/>
      <c r="AE379" s="19"/>
      <c r="AF379" s="19"/>
      <c r="AG379" s="19"/>
    </row>
    <row r="380" spans="1:33" outlineLevel="2" x14ac:dyDescent="0.2">
      <c r="A380" s="19"/>
      <c r="B380" s="97">
        <v>1</v>
      </c>
      <c r="C380" s="506" t="str">
        <f t="shared" ref="C380:E409" si="85">C347</f>
        <v>Residential time of use consumption</v>
      </c>
      <c r="D380" s="505">
        <f t="shared" si="85"/>
        <v>0</v>
      </c>
      <c r="E380" s="505" t="str">
        <f t="shared" si="85"/>
        <v>yes</v>
      </c>
      <c r="F380" s="20"/>
      <c r="G380" s="199">
        <f t="shared" ref="G380:G409" si="86">SUM(I380:AB380)</f>
        <v>123.94490760974463</v>
      </c>
      <c r="H380" s="22"/>
      <c r="I380" s="198">
        <f>_xlfn.IFNA(IF(I$7="Fixed",1,IF(AND($D77="yes",I$7="Block"),INDEX($O617:$Q617,1,MATCH(I$5,$I11:$K11,0)),INDEX(Movements!$G617:$M617,1,MATCH(I$7,Movements!$G$614:$M$614,0))))
*I1058*I$8,0)</f>
        <v>0</v>
      </c>
      <c r="J380" s="198">
        <f>_xlfn.IFNA(IF(J$7="Fixed",1,IF(AND($D77="yes",J$7="Block"),INDEX($O617:$Q617,1,MATCH(J$5,$I11:$K11,0)),INDEX(Movements!$G617:$M617,1,MATCH(J$7,Movements!$G$614:$M$614,0))))
*J1058*J$8,0)</f>
        <v>0</v>
      </c>
      <c r="K380" s="198">
        <f>_xlfn.IFNA(IF(K$7="Fixed",1,IF(AND($D77="yes",K$7="Block"),INDEX($O617:$Q617,1,MATCH(K$5,$I11:$K11,0)),INDEX(Movements!$G617:$M617,1,MATCH(K$7,Movements!$G$614:$M$614,0))))
*K1058*K$8,0)</f>
        <v>86.016750026194927</v>
      </c>
      <c r="L380" s="198">
        <f>_xlfn.IFNA(IF(L$7="Fixed",1,IF(AND($D77="yes",L$7="Block"),INDEX($O617:$Q617,1,MATCH(L$5,$I11:$K11,0)),INDEX(Movements!$G617:$M617,1,MATCH(L$7,Movements!$G$614:$M$614,0))))
*L1058*L$8,0)</f>
        <v>0</v>
      </c>
      <c r="M380" s="198">
        <f>_xlfn.IFNA(IF(M$7="Fixed",1,IF(AND($D77="yes",M$7="Block"),INDEX($O617:$Q617,1,MATCH(M$5,$I11:$K11,0)),INDEX(Movements!$G617:$M617,1,MATCH(M$7,Movements!$G$614:$M$614,0))))
*M1058*M$8,0)</f>
        <v>37.928157583549712</v>
      </c>
      <c r="N380" s="198">
        <f>_xlfn.IFNA(IF(N$7="Fixed",1,IF(AND($D77="yes",N$7="Block"),INDEX($O617:$Q617,1,MATCH(N$5,$I11:$K11,0)),INDEX(Movements!$G617:$M617,1,MATCH(N$7,Movements!$G$614:$M$614,0))))
*N1058*N$8,0)</f>
        <v>0</v>
      </c>
      <c r="O380" s="198">
        <f>_xlfn.IFNA(IF(O$7="Fixed",1,IF(AND($D77="yes",O$7="Block"),INDEX($O617:$Q617,1,MATCH(O$5,$I11:$K11,0)),INDEX(Movements!$G617:$M617,1,MATCH(O$7,Movements!$G$614:$M$614,0))))
*O1058*O$8,0)</f>
        <v>0</v>
      </c>
      <c r="P380" s="198">
        <f>_xlfn.IFNA(IF(P$7="Fixed",1,IF(AND($D77="yes",P$7="Block"),INDEX($O617:$Q617,1,MATCH(P$5,$I11:$K11,0)),INDEX(Movements!$G617:$M617,1,MATCH(P$7,Movements!$G$614:$M$614,0))))
*P1058*P$8,0)</f>
        <v>0</v>
      </c>
      <c r="Q380" s="198">
        <f>_xlfn.IFNA(IF(Q$7="Fixed",1,IF(AND($D77="yes",Q$7="Block"),INDEX($O617:$Q617,1,MATCH(Q$5,$I11:$K11,0)),INDEX(Movements!$G617:$M617,1,MATCH(Q$7,Movements!$G$614:$M$614,0))))
*Q1058*Q$8,0)</f>
        <v>0</v>
      </c>
      <c r="R380" s="198">
        <f>_xlfn.IFNA(IF(R$7="Fixed",1,IF(AND($D77="yes",R$7="Block"),INDEX($O617:$Q617,1,MATCH(R$5,$I11:$K11,0)),INDEX(Movements!$G617:$M617,1,MATCH(R$7,Movements!$G$614:$M$614,0))))
*R1058*R$8,0)</f>
        <v>0</v>
      </c>
      <c r="S380" s="198">
        <f>_xlfn.IFNA(IF(S$7="Fixed",1,IF(AND($D77="yes",S$7="Block"),INDEX($O617:$Q617,1,MATCH(S$5,$I11:$K11,0)),INDEX(Movements!$G617:$M617,1,MATCH(S$7,Movements!$G$614:$M$614,0))))
*S1058*S$8,0)</f>
        <v>0</v>
      </c>
      <c r="T380" s="198">
        <f>_xlfn.IFNA(IF(T$7="Fixed",1,IF(AND($D77="yes",T$7="Block"),INDEX($O617:$Q617,1,MATCH(T$5,$I11:$K11,0)),INDEX(Movements!$G617:$M617,1,MATCH(T$7,Movements!$G$614:$M$614,0))))
*T1058*T$8,0)</f>
        <v>0</v>
      </c>
      <c r="U380" s="198">
        <f>_xlfn.IFNA(IF(U$7="Fixed",1,IF(AND($D77="yes",U$7="Block"),INDEX($O617:$Q617,1,MATCH(U$5,$I11:$K11,0)),INDEX(Movements!$G617:$M617,1,MATCH(U$7,Movements!$G$614:$M$614,0))))
*U1058*U$8,0)</f>
        <v>0</v>
      </c>
      <c r="V380" s="198">
        <f>_xlfn.IFNA(IF(V$7="Fixed",1,IF(AND($D77="yes",V$7="Block"),INDEX($O617:$Q617,1,MATCH(V$5,$I11:$K11,0)),INDEX(Movements!$G617:$M617,1,MATCH(V$7,Movements!$G$614:$M$614,0))))
*V1058*V$8,0)</f>
        <v>0</v>
      </c>
      <c r="W380" s="198">
        <f>_xlfn.IFNA(IF(W$7="Fixed",1,IF(AND($D77="yes",W$7="Block"),INDEX($O617:$Q617,1,MATCH(W$5,$I11:$K11,0)),INDEX(Movements!$G617:$M617,1,MATCH(W$7,Movements!$G$614:$M$614,0))))
*W1058*W$8,0)</f>
        <v>0</v>
      </c>
      <c r="X380" s="198">
        <f>_xlfn.IFNA(IF(X$7="Fixed",1,IF(AND($D77="yes",X$7="Block"),INDEX($O617:$Q617,1,MATCH(X$5,$I11:$K11,0)),INDEX(Movements!$G617:$M617,1,MATCH(X$7,Movements!$G$614:$M$614,0))))
*X1058*X$8,0)</f>
        <v>0</v>
      </c>
      <c r="Y380" s="198">
        <f>_xlfn.IFNA(IF(Y$7="Fixed",1,IF(AND($D77="yes",Y$7="Block"),INDEX($O617:$Q617,1,MATCH(Y$5,$I11:$K11,0)),INDEX(Movements!$G617:$M617,1,MATCH(Y$7,Movements!$G$614:$M$614,0))))
*Y1058*Y$8,0)</f>
        <v>0</v>
      </c>
      <c r="Z380" s="198">
        <f>_xlfn.IFNA(IF(Z$7="Fixed",1,IF(AND($D77="yes",Z$7="Block"),INDEX($O617:$Q617,1,MATCH(Z$5,$I11:$K11,0)),INDEX(Movements!$G617:$M617,1,MATCH(Z$7,Movements!$G$614:$M$614,0))))
*Z1058*Z$8,0)</f>
        <v>0</v>
      </c>
      <c r="AA380" s="198">
        <f>_xlfn.IFNA(IF(AA$7="Fixed",1,IF(AND($D77="yes",AA$7="Block"),INDEX($O617:$Q617,1,MATCH(AA$5,$I11:$K11,0)),INDEX(Movements!$G617:$M617,1,MATCH(AA$7,Movements!$G$614:$M$614,0))))
*AA1058*AA$8,0)</f>
        <v>0</v>
      </c>
      <c r="AB380" s="198">
        <f>_xlfn.IFNA(IF(AB$7="Fixed",1,IF(AND($D77="yes",AB$7="Block"),INDEX($O617:$Q617,1,MATCH(AB$5,$I11:$K11,0)),INDEX(Movements!$G617:$M617,1,MATCH(AB$7,Movements!$G$614:$M$614,0))))
*AB1058*AB$8,0)</f>
        <v>0</v>
      </c>
      <c r="AC380" s="70"/>
      <c r="AD380" s="19"/>
      <c r="AE380" s="19"/>
      <c r="AF380" s="19"/>
      <c r="AG380" s="19"/>
    </row>
    <row r="381" spans="1:33" s="59" customFormat="1" outlineLevel="2" x14ac:dyDescent="0.2">
      <c r="A381" s="57"/>
      <c r="B381" s="98">
        <v>2</v>
      </c>
      <c r="C381" s="506" t="str">
        <f t="shared" si="85"/>
        <v>Residential general light and power</v>
      </c>
      <c r="D381" s="505">
        <f t="shared" si="85"/>
        <v>0</v>
      </c>
      <c r="E381" s="505" t="str">
        <f t="shared" si="85"/>
        <v>no</v>
      </c>
      <c r="F381" s="58"/>
      <c r="G381" s="199">
        <f t="shared" si="86"/>
        <v>65.374053738001606</v>
      </c>
      <c r="H381" s="58"/>
      <c r="I381" s="198">
        <f>_xlfn.IFNA(IF(I$7="Fixed",1,IF(AND($D78="yes",I$7="Block"),INDEX($O618:$Q618,1,MATCH(I$5,$I12:$K12,0)),INDEX(Movements!$G618:$M618,1,MATCH(I$7,Movements!$G$614:$M$614,0))))
*I1059*I$8,0)</f>
        <v>0</v>
      </c>
      <c r="J381" s="198">
        <f>_xlfn.IFNA(IF(J$7="Fixed",1,IF(AND($D78="yes",J$7="Block"),INDEX($O618:$Q618,1,MATCH(J$5,$I12:$K12,0)),INDEX(Movements!$G618:$M618,1,MATCH(J$7,Movements!$G$614:$M$614,0))))
*J1059*J$8,0)</f>
        <v>65.374053738001606</v>
      </c>
      <c r="K381" s="198">
        <f>_xlfn.IFNA(IF(K$7="Fixed",1,IF(AND($D78="yes",K$7="Block"),INDEX($O618:$Q618,1,MATCH(K$5,$I12:$K12,0)),INDEX(Movements!$G618:$M618,1,MATCH(K$7,Movements!$G$614:$M$614,0))))
*K1059*K$8,0)</f>
        <v>0</v>
      </c>
      <c r="L381" s="198">
        <f>_xlfn.IFNA(IF(L$7="Fixed",1,IF(AND($D78="yes",L$7="Block"),INDEX($O618:$Q618,1,MATCH(L$5,$I12:$K12,0)),INDEX(Movements!$G618:$M618,1,MATCH(L$7,Movements!$G$614:$M$614,0))))
*L1059*L$8,0)</f>
        <v>0</v>
      </c>
      <c r="M381" s="198">
        <f>_xlfn.IFNA(IF(M$7="Fixed",1,IF(AND($D78="yes",M$7="Block"),INDEX($O618:$Q618,1,MATCH(M$5,$I12:$K12,0)),INDEX(Movements!$G618:$M618,1,MATCH(M$7,Movements!$G$614:$M$614,0))))
*M1059*M$8,0)</f>
        <v>0</v>
      </c>
      <c r="N381" s="198">
        <f>_xlfn.IFNA(IF(N$7="Fixed",1,IF(AND($D78="yes",N$7="Block"),INDEX($O618:$Q618,1,MATCH(N$5,$I12:$K12,0)),INDEX(Movements!$G618:$M618,1,MATCH(N$7,Movements!$G$614:$M$614,0))))
*N1059*N$8,0)</f>
        <v>0</v>
      </c>
      <c r="O381" s="198">
        <f>_xlfn.IFNA(IF(O$7="Fixed",1,IF(AND($D78="yes",O$7="Block"),INDEX($O618:$Q618,1,MATCH(O$5,$I12:$K12,0)),INDEX(Movements!$G618:$M618,1,MATCH(O$7,Movements!$G$614:$M$614,0))))
*O1059*O$8,0)</f>
        <v>0</v>
      </c>
      <c r="P381" s="198">
        <f>_xlfn.IFNA(IF(P$7="Fixed",1,IF(AND($D78="yes",P$7="Block"),INDEX($O618:$Q618,1,MATCH(P$5,$I12:$K12,0)),INDEX(Movements!$G618:$M618,1,MATCH(P$7,Movements!$G$614:$M$614,0))))
*P1059*P$8,0)</f>
        <v>0</v>
      </c>
      <c r="Q381" s="198">
        <f>_xlfn.IFNA(IF(Q$7="Fixed",1,IF(AND($D78="yes",Q$7="Block"),INDEX($O618:$Q618,1,MATCH(Q$5,$I12:$K12,0)),INDEX(Movements!$G618:$M618,1,MATCH(Q$7,Movements!$G$614:$M$614,0))))
*Q1059*Q$8,0)</f>
        <v>0</v>
      </c>
      <c r="R381" s="198">
        <f>_xlfn.IFNA(IF(R$7="Fixed",1,IF(AND($D78="yes",R$7="Block"),INDEX($O618:$Q618,1,MATCH(R$5,$I12:$K12,0)),INDEX(Movements!$G618:$M618,1,MATCH(R$7,Movements!$G$614:$M$614,0))))
*R1059*R$8,0)</f>
        <v>0</v>
      </c>
      <c r="S381" s="198">
        <f>_xlfn.IFNA(IF(S$7="Fixed",1,IF(AND($D78="yes",S$7="Block"),INDEX($O618:$Q618,1,MATCH(S$5,$I12:$K12,0)),INDEX(Movements!$G618:$M618,1,MATCH(S$7,Movements!$G$614:$M$614,0))))
*S1059*S$8,0)</f>
        <v>0</v>
      </c>
      <c r="T381" s="198">
        <f>_xlfn.IFNA(IF(T$7="Fixed",1,IF(AND($D78="yes",T$7="Block"),INDEX($O618:$Q618,1,MATCH(T$5,$I12:$K12,0)),INDEX(Movements!$G618:$M618,1,MATCH(T$7,Movements!$G$614:$M$614,0))))
*T1059*T$8,0)</f>
        <v>0</v>
      </c>
      <c r="U381" s="198">
        <f>_xlfn.IFNA(IF(U$7="Fixed",1,IF(AND($D78="yes",U$7="Block"),INDEX($O618:$Q618,1,MATCH(U$5,$I12:$K12,0)),INDEX(Movements!$G618:$M618,1,MATCH(U$7,Movements!$G$614:$M$614,0))))
*U1059*U$8,0)</f>
        <v>0</v>
      </c>
      <c r="V381" s="198">
        <f>_xlfn.IFNA(IF(V$7="Fixed",1,IF(AND($D78="yes",V$7="Block"),INDEX($O618:$Q618,1,MATCH(V$5,$I12:$K12,0)),INDEX(Movements!$G618:$M618,1,MATCH(V$7,Movements!$G$614:$M$614,0))))
*V1059*V$8,0)</f>
        <v>0</v>
      </c>
      <c r="W381" s="198">
        <f>_xlfn.IFNA(IF(W$7="Fixed",1,IF(AND($D78="yes",W$7="Block"),INDEX($O618:$Q618,1,MATCH(W$5,$I12:$K12,0)),INDEX(Movements!$G618:$M618,1,MATCH(W$7,Movements!$G$614:$M$614,0))))
*W1059*W$8,0)</f>
        <v>0</v>
      </c>
      <c r="X381" s="198">
        <f>_xlfn.IFNA(IF(X$7="Fixed",1,IF(AND($D78="yes",X$7="Block"),INDEX($O618:$Q618,1,MATCH(X$5,$I12:$K12,0)),INDEX(Movements!$G618:$M618,1,MATCH(X$7,Movements!$G$614:$M$614,0))))
*X1059*X$8,0)</f>
        <v>0</v>
      </c>
      <c r="Y381" s="198">
        <f>_xlfn.IFNA(IF(Y$7="Fixed",1,IF(AND($D78="yes",Y$7="Block"),INDEX($O618:$Q618,1,MATCH(Y$5,$I12:$K12,0)),INDEX(Movements!$G618:$M618,1,MATCH(Y$7,Movements!$G$614:$M$614,0))))
*Y1059*Y$8,0)</f>
        <v>0</v>
      </c>
      <c r="Z381" s="198">
        <f>_xlfn.IFNA(IF(Z$7="Fixed",1,IF(AND($D78="yes",Z$7="Block"),INDEX($O618:$Q618,1,MATCH(Z$5,$I12:$K12,0)),INDEX(Movements!$G618:$M618,1,MATCH(Z$7,Movements!$G$614:$M$614,0))))
*Z1059*Z$8,0)</f>
        <v>0</v>
      </c>
      <c r="AA381" s="198">
        <f>_xlfn.IFNA(IF(AA$7="Fixed",1,IF(AND($D78="yes",AA$7="Block"),INDEX($O618:$Q618,1,MATCH(AA$5,$I12:$K12,0)),INDEX(Movements!$G618:$M618,1,MATCH(AA$7,Movements!$G$614:$M$614,0))))
*AA1059*AA$8,0)</f>
        <v>0</v>
      </c>
      <c r="AB381" s="198">
        <f>_xlfn.IFNA(IF(AB$7="Fixed",1,IF(AND($D78="yes",AB$7="Block"),INDEX($O618:$Q618,1,MATCH(AB$5,$I12:$K12,0)),INDEX(Movements!$G618:$M618,1,MATCH(AB$7,Movements!$G$614:$M$614,0))))
*AB1059*AB$8,0)</f>
        <v>0</v>
      </c>
      <c r="AC381" s="70"/>
      <c r="AD381" s="57"/>
      <c r="AE381" s="57"/>
      <c r="AF381" s="57"/>
      <c r="AG381" s="57"/>
    </row>
    <row r="382" spans="1:33" outlineLevel="2" x14ac:dyDescent="0.2">
      <c r="A382" s="19"/>
      <c r="B382" s="97">
        <v>3</v>
      </c>
      <c r="C382" s="506" t="str">
        <f t="shared" si="85"/>
        <v>Residential pay as you go</v>
      </c>
      <c r="D382" s="505">
        <f t="shared" si="85"/>
        <v>0</v>
      </c>
      <c r="E382" s="505" t="str">
        <f t="shared" si="85"/>
        <v>no</v>
      </c>
      <c r="F382" s="58"/>
      <c r="G382" s="199">
        <f t="shared" si="86"/>
        <v>0</v>
      </c>
      <c r="H382" s="58"/>
      <c r="I382" s="198">
        <f>_xlfn.IFNA(IF(I$7="Fixed",1,IF(AND($D79="yes",I$7="Block"),INDEX($O619:$Q619,1,MATCH(I$5,$I13:$K13,0)),INDEX(Movements!$G619:$M619,1,MATCH(I$7,Movements!$G$614:$M$614,0))))
*I1060*I$8,0)</f>
        <v>0</v>
      </c>
      <c r="J382" s="198">
        <f>_xlfn.IFNA(IF(J$7="Fixed",1,IF(AND($D79="yes",J$7="Block"),INDEX($O619:$Q619,1,MATCH(J$5,$I13:$K13,0)),INDEX(Movements!$G619:$M619,1,MATCH(J$7,Movements!$G$614:$M$614,0))))
*J1060*J$8,0)</f>
        <v>0</v>
      </c>
      <c r="K382" s="198">
        <f>_xlfn.IFNA(IF(K$7="Fixed",1,IF(AND($D79="yes",K$7="Block"),INDEX($O619:$Q619,1,MATCH(K$5,$I13:$K13,0)),INDEX(Movements!$G619:$M619,1,MATCH(K$7,Movements!$G$614:$M$614,0))))
*K1060*K$8,0)</f>
        <v>0</v>
      </c>
      <c r="L382" s="198">
        <f>_xlfn.IFNA(IF(L$7="Fixed",1,IF(AND($D79="yes",L$7="Block"),INDEX($O619:$Q619,1,MATCH(L$5,$I13:$K13,0)),INDEX(Movements!$G619:$M619,1,MATCH(L$7,Movements!$G$614:$M$614,0))))
*L1060*L$8,0)</f>
        <v>0</v>
      </c>
      <c r="M382" s="198">
        <f>_xlfn.IFNA(IF(M$7="Fixed",1,IF(AND($D79="yes",M$7="Block"),INDEX($O619:$Q619,1,MATCH(M$5,$I13:$K13,0)),INDEX(Movements!$G619:$M619,1,MATCH(M$7,Movements!$G$614:$M$614,0))))
*M1060*M$8,0)</f>
        <v>0</v>
      </c>
      <c r="N382" s="198">
        <f>_xlfn.IFNA(IF(N$7="Fixed",1,IF(AND($D79="yes",N$7="Block"),INDEX($O619:$Q619,1,MATCH(N$5,$I13:$K13,0)),INDEX(Movements!$G619:$M619,1,MATCH(N$7,Movements!$G$614:$M$614,0))))
*N1060*N$8,0)</f>
        <v>0</v>
      </c>
      <c r="O382" s="198">
        <f>_xlfn.IFNA(IF(O$7="Fixed",1,IF(AND($D79="yes",O$7="Block"),INDEX($O619:$Q619,1,MATCH(O$5,$I13:$K13,0)),INDEX(Movements!$G619:$M619,1,MATCH(O$7,Movements!$G$614:$M$614,0))))
*O1060*O$8,0)</f>
        <v>0</v>
      </c>
      <c r="P382" s="198">
        <f>_xlfn.IFNA(IF(P$7="Fixed",1,IF(AND($D79="yes",P$7="Block"),INDEX($O619:$Q619,1,MATCH(P$5,$I13:$K13,0)),INDEX(Movements!$G619:$M619,1,MATCH(P$7,Movements!$G$614:$M$614,0))))
*P1060*P$8,0)</f>
        <v>0</v>
      </c>
      <c r="Q382" s="198">
        <f>_xlfn.IFNA(IF(Q$7="Fixed",1,IF(AND($D79="yes",Q$7="Block"),INDEX($O619:$Q619,1,MATCH(Q$5,$I13:$K13,0)),INDEX(Movements!$G619:$M619,1,MATCH(Q$7,Movements!$G$614:$M$614,0))))
*Q1060*Q$8,0)</f>
        <v>0</v>
      </c>
      <c r="R382" s="198">
        <f>_xlfn.IFNA(IF(R$7="Fixed",1,IF(AND($D79="yes",R$7="Block"),INDEX($O619:$Q619,1,MATCH(R$5,$I13:$K13,0)),INDEX(Movements!$G619:$M619,1,MATCH(R$7,Movements!$G$614:$M$614,0))))
*R1060*R$8,0)</f>
        <v>0</v>
      </c>
      <c r="S382" s="198">
        <f>_xlfn.IFNA(IF(S$7="Fixed",1,IF(AND($D79="yes",S$7="Block"),INDEX($O619:$Q619,1,MATCH(S$5,$I13:$K13,0)),INDEX(Movements!$G619:$M619,1,MATCH(S$7,Movements!$G$614:$M$614,0))))
*S1060*S$8,0)</f>
        <v>0</v>
      </c>
      <c r="T382" s="198">
        <f>_xlfn.IFNA(IF(T$7="Fixed",1,IF(AND($D79="yes",T$7="Block"),INDEX($O619:$Q619,1,MATCH(T$5,$I13:$K13,0)),INDEX(Movements!$G619:$M619,1,MATCH(T$7,Movements!$G$614:$M$614,0))))
*T1060*T$8,0)</f>
        <v>0</v>
      </c>
      <c r="U382" s="198">
        <f>_xlfn.IFNA(IF(U$7="Fixed",1,IF(AND($D79="yes",U$7="Block"),INDEX($O619:$Q619,1,MATCH(U$5,$I13:$K13,0)),INDEX(Movements!$G619:$M619,1,MATCH(U$7,Movements!$G$614:$M$614,0))))
*U1060*U$8,0)</f>
        <v>0</v>
      </c>
      <c r="V382" s="198">
        <f>_xlfn.IFNA(IF(V$7="Fixed",1,IF(AND($D79="yes",V$7="Block"),INDEX($O619:$Q619,1,MATCH(V$5,$I13:$K13,0)),INDEX(Movements!$G619:$M619,1,MATCH(V$7,Movements!$G$614:$M$614,0))))
*V1060*V$8,0)</f>
        <v>0</v>
      </c>
      <c r="W382" s="198">
        <f>_xlfn.IFNA(IF(W$7="Fixed",1,IF(AND($D79="yes",W$7="Block"),INDEX($O619:$Q619,1,MATCH(W$5,$I13:$K13,0)),INDEX(Movements!$G619:$M619,1,MATCH(W$7,Movements!$G$614:$M$614,0))))
*W1060*W$8,0)</f>
        <v>0</v>
      </c>
      <c r="X382" s="198">
        <f>_xlfn.IFNA(IF(X$7="Fixed",1,IF(AND($D79="yes",X$7="Block"),INDEX($O619:$Q619,1,MATCH(X$5,$I13:$K13,0)),INDEX(Movements!$G619:$M619,1,MATCH(X$7,Movements!$G$614:$M$614,0))))
*X1060*X$8,0)</f>
        <v>0</v>
      </c>
      <c r="Y382" s="198">
        <f>_xlfn.IFNA(IF(Y$7="Fixed",1,IF(AND($D79="yes",Y$7="Block"),INDEX($O619:$Q619,1,MATCH(Y$5,$I13:$K13,0)),INDEX(Movements!$G619:$M619,1,MATCH(Y$7,Movements!$G$614:$M$614,0))))
*Y1060*Y$8,0)</f>
        <v>0</v>
      </c>
      <c r="Z382" s="198">
        <f>_xlfn.IFNA(IF(Z$7="Fixed",1,IF(AND($D79="yes",Z$7="Block"),INDEX($O619:$Q619,1,MATCH(Z$5,$I13:$K13,0)),INDEX(Movements!$G619:$M619,1,MATCH(Z$7,Movements!$G$614:$M$614,0))))
*Z1060*Z$8,0)</f>
        <v>0</v>
      </c>
      <c r="AA382" s="198">
        <f>_xlfn.IFNA(IF(AA$7="Fixed",1,IF(AND($D79="yes",AA$7="Block"),INDEX($O619:$Q619,1,MATCH(AA$5,$I13:$K13,0)),INDEX(Movements!$G619:$M619,1,MATCH(AA$7,Movements!$G$614:$M$614,0))))
*AA1060*AA$8,0)</f>
        <v>0</v>
      </c>
      <c r="AB382" s="198">
        <f>_xlfn.IFNA(IF(AB$7="Fixed",1,IF(AND($D79="yes",AB$7="Block"),INDEX($O619:$Q619,1,MATCH(AB$5,$I13:$K13,0)),INDEX(Movements!$G619:$M619,1,MATCH(AB$7,Movements!$G$614:$M$614,0))))
*AB1060*AB$8,0)</f>
        <v>0</v>
      </c>
      <c r="AC382" s="70"/>
      <c r="AD382" s="19"/>
      <c r="AE382" s="19"/>
      <c r="AF382" s="19"/>
      <c r="AG382" s="19"/>
    </row>
    <row r="383" spans="1:33" outlineLevel="2" x14ac:dyDescent="0.2">
      <c r="A383" s="19"/>
      <c r="B383" s="97">
        <v>4</v>
      </c>
      <c r="C383" s="506" t="str">
        <f t="shared" si="85"/>
        <v>Residential pay as you go time of use</v>
      </c>
      <c r="D383" s="505">
        <f t="shared" si="85"/>
        <v>0</v>
      </c>
      <c r="E383" s="505" t="str">
        <f t="shared" si="85"/>
        <v>no</v>
      </c>
      <c r="F383" s="58"/>
      <c r="G383" s="199">
        <f t="shared" si="86"/>
        <v>0</v>
      </c>
      <c r="H383" s="58"/>
      <c r="I383" s="198">
        <f>_xlfn.IFNA(IF(I$7="Fixed",1,IF(AND($D80="yes",I$7="Block"),INDEX($O620:$Q620,1,MATCH(I$5,$I14:$K14,0)),INDEX(Movements!$G620:$M620,1,MATCH(I$7,Movements!$G$614:$M$614,0))))
*I1061*I$8,0)</f>
        <v>0</v>
      </c>
      <c r="J383" s="198">
        <f>_xlfn.IFNA(IF(J$7="Fixed",1,IF(AND($D80="yes",J$7="Block"),INDEX($O620:$Q620,1,MATCH(J$5,$I14:$K14,0)),INDEX(Movements!$G620:$M620,1,MATCH(J$7,Movements!$G$614:$M$614,0))))
*J1061*J$8,0)</f>
        <v>0</v>
      </c>
      <c r="K383" s="198">
        <f>_xlfn.IFNA(IF(K$7="Fixed",1,IF(AND($D80="yes",K$7="Block"),INDEX($O620:$Q620,1,MATCH(K$5,$I14:$K14,0)),INDEX(Movements!$G620:$M620,1,MATCH(K$7,Movements!$G$614:$M$614,0))))
*K1061*K$8,0)</f>
        <v>0</v>
      </c>
      <c r="L383" s="198">
        <f>_xlfn.IFNA(IF(L$7="Fixed",1,IF(AND($D80="yes",L$7="Block"),INDEX($O620:$Q620,1,MATCH(L$5,$I14:$K14,0)),INDEX(Movements!$G620:$M620,1,MATCH(L$7,Movements!$G$614:$M$614,0))))
*L1061*L$8,0)</f>
        <v>0</v>
      </c>
      <c r="M383" s="198">
        <f>_xlfn.IFNA(IF(M$7="Fixed",1,IF(AND($D80="yes",M$7="Block"),INDEX($O620:$Q620,1,MATCH(M$5,$I14:$K14,0)),INDEX(Movements!$G620:$M620,1,MATCH(M$7,Movements!$G$614:$M$614,0))))
*M1061*M$8,0)</f>
        <v>0</v>
      </c>
      <c r="N383" s="198">
        <f>_xlfn.IFNA(IF(N$7="Fixed",1,IF(AND($D80="yes",N$7="Block"),INDEX($O620:$Q620,1,MATCH(N$5,$I14:$K14,0)),INDEX(Movements!$G620:$M620,1,MATCH(N$7,Movements!$G$614:$M$614,0))))
*N1061*N$8,0)</f>
        <v>0</v>
      </c>
      <c r="O383" s="198">
        <f>_xlfn.IFNA(IF(O$7="Fixed",1,IF(AND($D80="yes",O$7="Block"),INDEX($O620:$Q620,1,MATCH(O$5,$I14:$K14,0)),INDEX(Movements!$G620:$M620,1,MATCH(O$7,Movements!$G$614:$M$614,0))))
*O1061*O$8,0)</f>
        <v>0</v>
      </c>
      <c r="P383" s="198">
        <f>_xlfn.IFNA(IF(P$7="Fixed",1,IF(AND($D80="yes",P$7="Block"),INDEX($O620:$Q620,1,MATCH(P$5,$I14:$K14,0)),INDEX(Movements!$G620:$M620,1,MATCH(P$7,Movements!$G$614:$M$614,0))))
*P1061*P$8,0)</f>
        <v>0</v>
      </c>
      <c r="Q383" s="198">
        <f>_xlfn.IFNA(IF(Q$7="Fixed",1,IF(AND($D80="yes",Q$7="Block"),INDEX($O620:$Q620,1,MATCH(Q$5,$I14:$K14,0)),INDEX(Movements!$G620:$M620,1,MATCH(Q$7,Movements!$G$614:$M$614,0))))
*Q1061*Q$8,0)</f>
        <v>0</v>
      </c>
      <c r="R383" s="198">
        <f>_xlfn.IFNA(IF(R$7="Fixed",1,IF(AND($D80="yes",R$7="Block"),INDEX($O620:$Q620,1,MATCH(R$5,$I14:$K14,0)),INDEX(Movements!$G620:$M620,1,MATCH(R$7,Movements!$G$614:$M$614,0))))
*R1061*R$8,0)</f>
        <v>0</v>
      </c>
      <c r="S383" s="198">
        <f>_xlfn.IFNA(IF(S$7="Fixed",1,IF(AND($D80="yes",S$7="Block"),INDEX($O620:$Q620,1,MATCH(S$5,$I14:$K14,0)),INDEX(Movements!$G620:$M620,1,MATCH(S$7,Movements!$G$614:$M$614,0))))
*S1061*S$8,0)</f>
        <v>0</v>
      </c>
      <c r="T383" s="198">
        <f>_xlfn.IFNA(IF(T$7="Fixed",1,IF(AND($D80="yes",T$7="Block"),INDEX($O620:$Q620,1,MATCH(T$5,$I14:$K14,0)),INDEX(Movements!$G620:$M620,1,MATCH(T$7,Movements!$G$614:$M$614,0))))
*T1061*T$8,0)</f>
        <v>0</v>
      </c>
      <c r="U383" s="198">
        <f>_xlfn.IFNA(IF(U$7="Fixed",1,IF(AND($D80="yes",U$7="Block"),INDEX($O620:$Q620,1,MATCH(U$5,$I14:$K14,0)),INDEX(Movements!$G620:$M620,1,MATCH(U$7,Movements!$G$614:$M$614,0))))
*U1061*U$8,0)</f>
        <v>0</v>
      </c>
      <c r="V383" s="198">
        <f>_xlfn.IFNA(IF(V$7="Fixed",1,IF(AND($D80="yes",V$7="Block"),INDEX($O620:$Q620,1,MATCH(V$5,$I14:$K14,0)),INDEX(Movements!$G620:$M620,1,MATCH(V$7,Movements!$G$614:$M$614,0))))
*V1061*V$8,0)</f>
        <v>0</v>
      </c>
      <c r="W383" s="198">
        <f>_xlfn.IFNA(IF(W$7="Fixed",1,IF(AND($D80="yes",W$7="Block"),INDEX($O620:$Q620,1,MATCH(W$5,$I14:$K14,0)),INDEX(Movements!$G620:$M620,1,MATCH(W$7,Movements!$G$614:$M$614,0))))
*W1061*W$8,0)</f>
        <v>0</v>
      </c>
      <c r="X383" s="198">
        <f>_xlfn.IFNA(IF(X$7="Fixed",1,IF(AND($D80="yes",X$7="Block"),INDEX($O620:$Q620,1,MATCH(X$5,$I14:$K14,0)),INDEX(Movements!$G620:$M620,1,MATCH(X$7,Movements!$G$614:$M$614,0))))
*X1061*X$8,0)</f>
        <v>0</v>
      </c>
      <c r="Y383" s="198">
        <f>_xlfn.IFNA(IF(Y$7="Fixed",1,IF(AND($D80="yes",Y$7="Block"),INDEX($O620:$Q620,1,MATCH(Y$5,$I14:$K14,0)),INDEX(Movements!$G620:$M620,1,MATCH(Y$7,Movements!$G$614:$M$614,0))))
*Y1061*Y$8,0)</f>
        <v>0</v>
      </c>
      <c r="Z383" s="198">
        <f>_xlfn.IFNA(IF(Z$7="Fixed",1,IF(AND($D80="yes",Z$7="Block"),INDEX($O620:$Q620,1,MATCH(Z$5,$I14:$K14,0)),INDEX(Movements!$G620:$M620,1,MATCH(Z$7,Movements!$G$614:$M$614,0))))
*Z1061*Z$8,0)</f>
        <v>0</v>
      </c>
      <c r="AA383" s="198">
        <f>_xlfn.IFNA(IF(AA$7="Fixed",1,IF(AND($D80="yes",AA$7="Block"),INDEX($O620:$Q620,1,MATCH(AA$5,$I14:$K14,0)),INDEX(Movements!$G620:$M620,1,MATCH(AA$7,Movements!$G$614:$M$614,0))))
*AA1061*AA$8,0)</f>
        <v>0</v>
      </c>
      <c r="AB383" s="198">
        <f>_xlfn.IFNA(IF(AB$7="Fixed",1,IF(AND($D80="yes",AB$7="Block"),INDEX($O620:$Q620,1,MATCH(AB$5,$I14:$K14,0)),INDEX(Movements!$G620:$M620,1,MATCH(AB$7,Movements!$G$614:$M$614,0))))
*AB1061*AB$8,0)</f>
        <v>0</v>
      </c>
      <c r="AC383" s="70"/>
      <c r="AD383" s="19"/>
      <c r="AE383" s="19"/>
      <c r="AF383" s="19"/>
      <c r="AG383" s="19"/>
    </row>
    <row r="384" spans="1:33" outlineLevel="2" x14ac:dyDescent="0.2">
      <c r="A384" s="19"/>
      <c r="B384" s="97">
        <v>5</v>
      </c>
      <c r="C384" s="506">
        <f t="shared" si="85"/>
        <v>0</v>
      </c>
      <c r="D384" s="505">
        <f t="shared" si="85"/>
        <v>0</v>
      </c>
      <c r="E384" s="505">
        <f t="shared" si="85"/>
        <v>0</v>
      </c>
      <c r="F384" s="58"/>
      <c r="G384" s="199">
        <f t="shared" si="86"/>
        <v>0</v>
      </c>
      <c r="H384" s="58"/>
      <c r="I384" s="198">
        <f>_xlfn.IFNA(IF(I$7="Fixed",1,IF(AND($D81="yes",I$7="Block"),INDEX($O621:$Q621,1,MATCH(I$5,$I15:$K15,0)),INDEX(Movements!$G621:$M621,1,MATCH(I$7,Movements!$G$614:$M$614,0))))
*I1062*I$8,0)</f>
        <v>0</v>
      </c>
      <c r="J384" s="198">
        <f>_xlfn.IFNA(IF(J$7="Fixed",1,IF(AND($D81="yes",J$7="Block"),INDEX($O621:$Q621,1,MATCH(J$5,$I15:$K15,0)),INDEX(Movements!$G621:$M621,1,MATCH(J$7,Movements!$G$614:$M$614,0))))
*J1062*J$8,0)</f>
        <v>0</v>
      </c>
      <c r="K384" s="198">
        <f>_xlfn.IFNA(IF(K$7="Fixed",1,IF(AND($D81="yes",K$7="Block"),INDEX($O621:$Q621,1,MATCH(K$5,$I15:$K15,0)),INDEX(Movements!$G621:$M621,1,MATCH(K$7,Movements!$G$614:$M$614,0))))
*K1062*K$8,0)</f>
        <v>0</v>
      </c>
      <c r="L384" s="198">
        <f>_xlfn.IFNA(IF(L$7="Fixed",1,IF(AND($D81="yes",L$7="Block"),INDEX($O621:$Q621,1,MATCH(L$5,$I15:$K15,0)),INDEX(Movements!$G621:$M621,1,MATCH(L$7,Movements!$G$614:$M$614,0))))
*L1062*L$8,0)</f>
        <v>0</v>
      </c>
      <c r="M384" s="198">
        <f>_xlfn.IFNA(IF(M$7="Fixed",1,IF(AND($D81="yes",M$7="Block"),INDEX($O621:$Q621,1,MATCH(M$5,$I15:$K15,0)),INDEX(Movements!$G621:$M621,1,MATCH(M$7,Movements!$G$614:$M$614,0))))
*M1062*M$8,0)</f>
        <v>0</v>
      </c>
      <c r="N384" s="198">
        <f>_xlfn.IFNA(IF(N$7="Fixed",1,IF(AND($D81="yes",N$7="Block"),INDEX($O621:$Q621,1,MATCH(N$5,$I15:$K15,0)),INDEX(Movements!$G621:$M621,1,MATCH(N$7,Movements!$G$614:$M$614,0))))
*N1062*N$8,0)</f>
        <v>0</v>
      </c>
      <c r="O384" s="198">
        <f>_xlfn.IFNA(IF(O$7="Fixed",1,IF(AND($D81="yes",O$7="Block"),INDEX($O621:$Q621,1,MATCH(O$5,$I15:$K15,0)),INDEX(Movements!$G621:$M621,1,MATCH(O$7,Movements!$G$614:$M$614,0))))
*O1062*O$8,0)</f>
        <v>0</v>
      </c>
      <c r="P384" s="198">
        <f>_xlfn.IFNA(IF(P$7="Fixed",1,IF(AND($D81="yes",P$7="Block"),INDEX($O621:$Q621,1,MATCH(P$5,$I15:$K15,0)),INDEX(Movements!$G621:$M621,1,MATCH(P$7,Movements!$G$614:$M$614,0))))
*P1062*P$8,0)</f>
        <v>0</v>
      </c>
      <c r="Q384" s="198">
        <f>_xlfn.IFNA(IF(Q$7="Fixed",1,IF(AND($D81="yes",Q$7="Block"),INDEX($O621:$Q621,1,MATCH(Q$5,$I15:$K15,0)),INDEX(Movements!$G621:$M621,1,MATCH(Q$7,Movements!$G$614:$M$614,0))))
*Q1062*Q$8,0)</f>
        <v>0</v>
      </c>
      <c r="R384" s="198">
        <f>_xlfn.IFNA(IF(R$7="Fixed",1,IF(AND($D81="yes",R$7="Block"),INDEX($O621:$Q621,1,MATCH(R$5,$I15:$K15,0)),INDEX(Movements!$G621:$M621,1,MATCH(R$7,Movements!$G$614:$M$614,0))))
*R1062*R$8,0)</f>
        <v>0</v>
      </c>
      <c r="S384" s="198">
        <f>_xlfn.IFNA(IF(S$7="Fixed",1,IF(AND($D81="yes",S$7="Block"),INDEX($O621:$Q621,1,MATCH(S$5,$I15:$K15,0)),INDEX(Movements!$G621:$M621,1,MATCH(S$7,Movements!$G$614:$M$614,0))))
*S1062*S$8,0)</f>
        <v>0</v>
      </c>
      <c r="T384" s="198">
        <f>_xlfn.IFNA(IF(T$7="Fixed",1,IF(AND($D81="yes",T$7="Block"),INDEX($O621:$Q621,1,MATCH(T$5,$I15:$K15,0)),INDEX(Movements!$G621:$M621,1,MATCH(T$7,Movements!$G$614:$M$614,0))))
*T1062*T$8,0)</f>
        <v>0</v>
      </c>
      <c r="U384" s="198">
        <f>_xlfn.IFNA(IF(U$7="Fixed",1,IF(AND($D81="yes",U$7="Block"),INDEX($O621:$Q621,1,MATCH(U$5,$I15:$K15,0)),INDEX(Movements!$G621:$M621,1,MATCH(U$7,Movements!$G$614:$M$614,0))))
*U1062*U$8,0)</f>
        <v>0</v>
      </c>
      <c r="V384" s="198">
        <f>_xlfn.IFNA(IF(V$7="Fixed",1,IF(AND($D81="yes",V$7="Block"),INDEX($O621:$Q621,1,MATCH(V$5,$I15:$K15,0)),INDEX(Movements!$G621:$M621,1,MATCH(V$7,Movements!$G$614:$M$614,0))))
*V1062*V$8,0)</f>
        <v>0</v>
      </c>
      <c r="W384" s="198">
        <f>_xlfn.IFNA(IF(W$7="Fixed",1,IF(AND($D81="yes",W$7="Block"),INDEX($O621:$Q621,1,MATCH(W$5,$I15:$K15,0)),INDEX(Movements!$G621:$M621,1,MATCH(W$7,Movements!$G$614:$M$614,0))))
*W1062*W$8,0)</f>
        <v>0</v>
      </c>
      <c r="X384" s="198">
        <f>_xlfn.IFNA(IF(X$7="Fixed",1,IF(AND($D81="yes",X$7="Block"),INDEX($O621:$Q621,1,MATCH(X$5,$I15:$K15,0)),INDEX(Movements!$G621:$M621,1,MATCH(X$7,Movements!$G$614:$M$614,0))))
*X1062*X$8,0)</f>
        <v>0</v>
      </c>
      <c r="Y384" s="198">
        <f>_xlfn.IFNA(IF(Y$7="Fixed",1,IF(AND($D81="yes",Y$7="Block"),INDEX($O621:$Q621,1,MATCH(Y$5,$I15:$K15,0)),INDEX(Movements!$G621:$M621,1,MATCH(Y$7,Movements!$G$614:$M$614,0))))
*Y1062*Y$8,0)</f>
        <v>0</v>
      </c>
      <c r="Z384" s="198">
        <f>_xlfn.IFNA(IF(Z$7="Fixed",1,IF(AND($D81="yes",Z$7="Block"),INDEX($O621:$Q621,1,MATCH(Z$5,$I15:$K15,0)),INDEX(Movements!$G621:$M621,1,MATCH(Z$7,Movements!$G$614:$M$614,0))))
*Z1062*Z$8,0)</f>
        <v>0</v>
      </c>
      <c r="AA384" s="198">
        <f>_xlfn.IFNA(IF(AA$7="Fixed",1,IF(AND($D81="yes",AA$7="Block"),INDEX($O621:$Q621,1,MATCH(AA$5,$I15:$K15,0)),INDEX(Movements!$G621:$M621,1,MATCH(AA$7,Movements!$G$614:$M$614,0))))
*AA1062*AA$8,0)</f>
        <v>0</v>
      </c>
      <c r="AB384" s="198">
        <f>_xlfn.IFNA(IF(AB$7="Fixed",1,IF(AND($D81="yes",AB$7="Block"),INDEX($O621:$Q621,1,MATCH(AB$5,$I15:$K15,0)),INDEX(Movements!$G621:$M621,1,MATCH(AB$7,Movements!$G$614:$M$614,0))))
*AB1062*AB$8,0)</f>
        <v>0</v>
      </c>
      <c r="AC384" s="70"/>
      <c r="AD384" s="19"/>
      <c r="AE384" s="19"/>
      <c r="AF384" s="19"/>
      <c r="AG384" s="19"/>
    </row>
    <row r="385" spans="1:33" hidden="1" outlineLevel="3" x14ac:dyDescent="0.2">
      <c r="A385" s="19"/>
      <c r="B385" s="97">
        <v>6</v>
      </c>
      <c r="C385" s="506">
        <f t="shared" si="85"/>
        <v>0</v>
      </c>
      <c r="D385" s="505">
        <f t="shared" si="85"/>
        <v>0</v>
      </c>
      <c r="E385" s="505">
        <f t="shared" si="85"/>
        <v>0</v>
      </c>
      <c r="F385" s="58"/>
      <c r="G385" s="199">
        <f t="shared" si="86"/>
        <v>0</v>
      </c>
      <c r="H385" s="58"/>
      <c r="I385" s="198">
        <f>_xlfn.IFNA(IF(I$7="Fixed",1,IF(AND($D82="yes",I$7="Block"),INDEX($O622:$Q622,1,MATCH(I$5,$I16:$K16,0)),INDEX(Movements!$G622:$M622,1,MATCH(I$7,Movements!$G$614:$M$614,0))))
*I1063*I$8,0)</f>
        <v>0</v>
      </c>
      <c r="J385" s="198">
        <f>_xlfn.IFNA(IF(J$7="Fixed",1,IF(AND($D82="yes",J$7="Block"),INDEX($O622:$Q622,1,MATCH(J$5,$I16:$K16,0)),INDEX(Movements!$G622:$M622,1,MATCH(J$7,Movements!$G$614:$M$614,0))))
*J1063*J$8,0)</f>
        <v>0</v>
      </c>
      <c r="K385" s="198">
        <f>_xlfn.IFNA(IF(K$7="Fixed",1,IF(AND($D82="yes",K$7="Block"),INDEX($O622:$Q622,1,MATCH(K$5,$I16:$K16,0)),INDEX(Movements!$G622:$M622,1,MATCH(K$7,Movements!$G$614:$M$614,0))))
*K1063*K$8,0)</f>
        <v>0</v>
      </c>
      <c r="L385" s="198">
        <f>_xlfn.IFNA(IF(L$7="Fixed",1,IF(AND($D82="yes",L$7="Block"),INDEX($O622:$Q622,1,MATCH(L$5,$I16:$K16,0)),INDEX(Movements!$G622:$M622,1,MATCH(L$7,Movements!$G$614:$M$614,0))))
*L1063*L$8,0)</f>
        <v>0</v>
      </c>
      <c r="M385" s="198">
        <f>_xlfn.IFNA(IF(M$7="Fixed",1,IF(AND($D82="yes",M$7="Block"),INDEX($O622:$Q622,1,MATCH(M$5,$I16:$K16,0)),INDEX(Movements!$G622:$M622,1,MATCH(M$7,Movements!$G$614:$M$614,0))))
*M1063*M$8,0)</f>
        <v>0</v>
      </c>
      <c r="N385" s="198">
        <f>_xlfn.IFNA(IF(N$7="Fixed",1,IF(AND($D82="yes",N$7="Block"),INDEX($O622:$Q622,1,MATCH(N$5,$I16:$K16,0)),INDEX(Movements!$G622:$M622,1,MATCH(N$7,Movements!$G$614:$M$614,0))))
*N1063*N$8,0)</f>
        <v>0</v>
      </c>
      <c r="O385" s="198">
        <f>_xlfn.IFNA(IF(O$7="Fixed",1,IF(AND($D82="yes",O$7="Block"),INDEX($O622:$Q622,1,MATCH(O$5,$I16:$K16,0)),INDEX(Movements!$G622:$M622,1,MATCH(O$7,Movements!$G$614:$M$614,0))))
*O1063*O$8,0)</f>
        <v>0</v>
      </c>
      <c r="P385" s="198">
        <f>_xlfn.IFNA(IF(P$7="Fixed",1,IF(AND($D82="yes",P$7="Block"),INDEX($O622:$Q622,1,MATCH(P$5,$I16:$K16,0)),INDEX(Movements!$G622:$M622,1,MATCH(P$7,Movements!$G$614:$M$614,0))))
*P1063*P$8,0)</f>
        <v>0</v>
      </c>
      <c r="Q385" s="198">
        <f>_xlfn.IFNA(IF(Q$7="Fixed",1,IF(AND($D82="yes",Q$7="Block"),INDEX($O622:$Q622,1,MATCH(Q$5,$I16:$K16,0)),INDEX(Movements!$G622:$M622,1,MATCH(Q$7,Movements!$G$614:$M$614,0))))
*Q1063*Q$8,0)</f>
        <v>0</v>
      </c>
      <c r="R385" s="198">
        <f>_xlfn.IFNA(IF(R$7="Fixed",1,IF(AND($D82="yes",R$7="Block"),INDEX($O622:$Q622,1,MATCH(R$5,$I16:$K16,0)),INDEX(Movements!$G622:$M622,1,MATCH(R$7,Movements!$G$614:$M$614,0))))
*R1063*R$8,0)</f>
        <v>0</v>
      </c>
      <c r="S385" s="198">
        <f>_xlfn.IFNA(IF(S$7="Fixed",1,IF(AND($D82="yes",S$7="Block"),INDEX($O622:$Q622,1,MATCH(S$5,$I16:$K16,0)),INDEX(Movements!$G622:$M622,1,MATCH(S$7,Movements!$G$614:$M$614,0))))
*S1063*S$8,0)</f>
        <v>0</v>
      </c>
      <c r="T385" s="198">
        <f>_xlfn.IFNA(IF(T$7="Fixed",1,IF(AND($D82="yes",T$7="Block"),INDEX($O622:$Q622,1,MATCH(T$5,$I16:$K16,0)),INDEX(Movements!$G622:$M622,1,MATCH(T$7,Movements!$G$614:$M$614,0))))
*T1063*T$8,0)</f>
        <v>0</v>
      </c>
      <c r="U385" s="198">
        <f>_xlfn.IFNA(IF(U$7="Fixed",1,IF(AND($D82="yes",U$7="Block"),INDEX($O622:$Q622,1,MATCH(U$5,$I16:$K16,0)),INDEX(Movements!$G622:$M622,1,MATCH(U$7,Movements!$G$614:$M$614,0))))
*U1063*U$8,0)</f>
        <v>0</v>
      </c>
      <c r="V385" s="198">
        <f>_xlfn.IFNA(IF(V$7="Fixed",1,IF(AND($D82="yes",V$7="Block"),INDEX($O622:$Q622,1,MATCH(V$5,$I16:$K16,0)),INDEX(Movements!$G622:$M622,1,MATCH(V$7,Movements!$G$614:$M$614,0))))
*V1063*V$8,0)</f>
        <v>0</v>
      </c>
      <c r="W385" s="198">
        <f>_xlfn.IFNA(IF(W$7="Fixed",1,IF(AND($D82="yes",W$7="Block"),INDEX($O622:$Q622,1,MATCH(W$5,$I16:$K16,0)),INDEX(Movements!$G622:$M622,1,MATCH(W$7,Movements!$G$614:$M$614,0))))
*W1063*W$8,0)</f>
        <v>0</v>
      </c>
      <c r="X385" s="198">
        <f>_xlfn.IFNA(IF(X$7="Fixed",1,IF(AND($D82="yes",X$7="Block"),INDEX($O622:$Q622,1,MATCH(X$5,$I16:$K16,0)),INDEX(Movements!$G622:$M622,1,MATCH(X$7,Movements!$G$614:$M$614,0))))
*X1063*X$8,0)</f>
        <v>0</v>
      </c>
      <c r="Y385" s="198">
        <f>_xlfn.IFNA(IF(Y$7="Fixed",1,IF(AND($D82="yes",Y$7="Block"),INDEX($O622:$Q622,1,MATCH(Y$5,$I16:$K16,0)),INDEX(Movements!$G622:$M622,1,MATCH(Y$7,Movements!$G$614:$M$614,0))))
*Y1063*Y$8,0)</f>
        <v>0</v>
      </c>
      <c r="Z385" s="198">
        <f>_xlfn.IFNA(IF(Z$7="Fixed",1,IF(AND($D82="yes",Z$7="Block"),INDEX($O622:$Q622,1,MATCH(Z$5,$I16:$K16,0)),INDEX(Movements!$G622:$M622,1,MATCH(Z$7,Movements!$G$614:$M$614,0))))
*Z1063*Z$8,0)</f>
        <v>0</v>
      </c>
      <c r="AA385" s="198">
        <f>_xlfn.IFNA(IF(AA$7="Fixed",1,IF(AND($D82="yes",AA$7="Block"),INDEX($O622:$Q622,1,MATCH(AA$5,$I16:$K16,0)),INDEX(Movements!$G622:$M622,1,MATCH(AA$7,Movements!$G$614:$M$614,0))))
*AA1063*AA$8,0)</f>
        <v>0</v>
      </c>
      <c r="AB385" s="198">
        <f>_xlfn.IFNA(IF(AB$7="Fixed",1,IF(AND($D82="yes",AB$7="Block"),INDEX($O622:$Q622,1,MATCH(AB$5,$I16:$K16,0)),INDEX(Movements!$G622:$M622,1,MATCH(AB$7,Movements!$G$614:$M$614,0))))
*AB1063*AB$8,0)</f>
        <v>0</v>
      </c>
      <c r="AC385" s="70"/>
      <c r="AD385" s="19"/>
      <c r="AE385" s="19"/>
      <c r="AF385" s="19"/>
      <c r="AG385" s="19"/>
    </row>
    <row r="386" spans="1:33" hidden="1" outlineLevel="3" x14ac:dyDescent="0.2">
      <c r="A386" s="19"/>
      <c r="B386" s="97">
        <v>7</v>
      </c>
      <c r="C386" s="506">
        <f t="shared" si="85"/>
        <v>0</v>
      </c>
      <c r="D386" s="505">
        <f t="shared" si="85"/>
        <v>0</v>
      </c>
      <c r="E386" s="505">
        <f t="shared" si="85"/>
        <v>0</v>
      </c>
      <c r="F386" s="58"/>
      <c r="G386" s="199">
        <f t="shared" si="86"/>
        <v>0</v>
      </c>
      <c r="H386" s="58"/>
      <c r="I386" s="198">
        <f>_xlfn.IFNA(IF(I$7="Fixed",1,IF(AND($D83="yes",I$7="Block"),INDEX($O623:$Q623,1,MATCH(I$5,$I17:$K17,0)),INDEX(Movements!$G623:$M623,1,MATCH(I$7,Movements!$G$614:$M$614,0))))
*I1064*I$8,0)</f>
        <v>0</v>
      </c>
      <c r="J386" s="198">
        <f>_xlfn.IFNA(IF(J$7="Fixed",1,IF(AND($D83="yes",J$7="Block"),INDEX($O623:$Q623,1,MATCH(J$5,$I17:$K17,0)),INDEX(Movements!$G623:$M623,1,MATCH(J$7,Movements!$G$614:$M$614,0))))
*J1064*J$8,0)</f>
        <v>0</v>
      </c>
      <c r="K386" s="198">
        <f>_xlfn.IFNA(IF(K$7="Fixed",1,IF(AND($D83="yes",K$7="Block"),INDEX($O623:$Q623,1,MATCH(K$5,$I17:$K17,0)),INDEX(Movements!$G623:$M623,1,MATCH(K$7,Movements!$G$614:$M$614,0))))
*K1064*K$8,0)</f>
        <v>0</v>
      </c>
      <c r="L386" s="198">
        <f>_xlfn.IFNA(IF(L$7="Fixed",1,IF(AND($D83="yes",L$7="Block"),INDEX($O623:$Q623,1,MATCH(L$5,$I17:$K17,0)),INDEX(Movements!$G623:$M623,1,MATCH(L$7,Movements!$G$614:$M$614,0))))
*L1064*L$8,0)</f>
        <v>0</v>
      </c>
      <c r="M386" s="198">
        <f>_xlfn.IFNA(IF(M$7="Fixed",1,IF(AND($D83="yes",M$7="Block"),INDEX($O623:$Q623,1,MATCH(M$5,$I17:$K17,0)),INDEX(Movements!$G623:$M623,1,MATCH(M$7,Movements!$G$614:$M$614,0))))
*M1064*M$8,0)</f>
        <v>0</v>
      </c>
      <c r="N386" s="198">
        <f>_xlfn.IFNA(IF(N$7="Fixed",1,IF(AND($D83="yes",N$7="Block"),INDEX($O623:$Q623,1,MATCH(N$5,$I17:$K17,0)),INDEX(Movements!$G623:$M623,1,MATCH(N$7,Movements!$G$614:$M$614,0))))
*N1064*N$8,0)</f>
        <v>0</v>
      </c>
      <c r="O386" s="198">
        <f>_xlfn.IFNA(IF(O$7="Fixed",1,IF(AND($D83="yes",O$7="Block"),INDEX($O623:$Q623,1,MATCH(O$5,$I17:$K17,0)),INDEX(Movements!$G623:$M623,1,MATCH(O$7,Movements!$G$614:$M$614,0))))
*O1064*O$8,0)</f>
        <v>0</v>
      </c>
      <c r="P386" s="198">
        <f>_xlfn.IFNA(IF(P$7="Fixed",1,IF(AND($D83="yes",P$7="Block"),INDEX($O623:$Q623,1,MATCH(P$5,$I17:$K17,0)),INDEX(Movements!$G623:$M623,1,MATCH(P$7,Movements!$G$614:$M$614,0))))
*P1064*P$8,0)</f>
        <v>0</v>
      </c>
      <c r="Q386" s="198">
        <f>_xlfn.IFNA(IF(Q$7="Fixed",1,IF(AND($D83="yes",Q$7="Block"),INDEX($O623:$Q623,1,MATCH(Q$5,$I17:$K17,0)),INDEX(Movements!$G623:$M623,1,MATCH(Q$7,Movements!$G$614:$M$614,0))))
*Q1064*Q$8,0)</f>
        <v>0</v>
      </c>
      <c r="R386" s="198">
        <f>_xlfn.IFNA(IF(R$7="Fixed",1,IF(AND($D83="yes",R$7="Block"),INDEX($O623:$Q623,1,MATCH(R$5,$I17:$K17,0)),INDEX(Movements!$G623:$M623,1,MATCH(R$7,Movements!$G$614:$M$614,0))))
*R1064*R$8,0)</f>
        <v>0</v>
      </c>
      <c r="S386" s="198">
        <f>_xlfn.IFNA(IF(S$7="Fixed",1,IF(AND($D83="yes",S$7="Block"),INDEX($O623:$Q623,1,MATCH(S$5,$I17:$K17,0)),INDEX(Movements!$G623:$M623,1,MATCH(S$7,Movements!$G$614:$M$614,0))))
*S1064*S$8,0)</f>
        <v>0</v>
      </c>
      <c r="T386" s="198">
        <f>_xlfn.IFNA(IF(T$7="Fixed",1,IF(AND($D83="yes",T$7="Block"),INDEX($O623:$Q623,1,MATCH(T$5,$I17:$K17,0)),INDEX(Movements!$G623:$M623,1,MATCH(T$7,Movements!$G$614:$M$614,0))))
*T1064*T$8,0)</f>
        <v>0</v>
      </c>
      <c r="U386" s="198">
        <f>_xlfn.IFNA(IF(U$7="Fixed",1,IF(AND($D83="yes",U$7="Block"),INDEX($O623:$Q623,1,MATCH(U$5,$I17:$K17,0)),INDEX(Movements!$G623:$M623,1,MATCH(U$7,Movements!$G$614:$M$614,0))))
*U1064*U$8,0)</f>
        <v>0</v>
      </c>
      <c r="V386" s="198">
        <f>_xlfn.IFNA(IF(V$7="Fixed",1,IF(AND($D83="yes",V$7="Block"),INDEX($O623:$Q623,1,MATCH(V$5,$I17:$K17,0)),INDEX(Movements!$G623:$M623,1,MATCH(V$7,Movements!$G$614:$M$614,0))))
*V1064*V$8,0)</f>
        <v>0</v>
      </c>
      <c r="W386" s="198">
        <f>_xlfn.IFNA(IF(W$7="Fixed",1,IF(AND($D83="yes",W$7="Block"),INDEX($O623:$Q623,1,MATCH(W$5,$I17:$K17,0)),INDEX(Movements!$G623:$M623,1,MATCH(W$7,Movements!$G$614:$M$614,0))))
*W1064*W$8,0)</f>
        <v>0</v>
      </c>
      <c r="X386" s="198">
        <f>_xlfn.IFNA(IF(X$7="Fixed",1,IF(AND($D83="yes",X$7="Block"),INDEX($O623:$Q623,1,MATCH(X$5,$I17:$K17,0)),INDEX(Movements!$G623:$M623,1,MATCH(X$7,Movements!$G$614:$M$614,0))))
*X1064*X$8,0)</f>
        <v>0</v>
      </c>
      <c r="Y386" s="198">
        <f>_xlfn.IFNA(IF(Y$7="Fixed",1,IF(AND($D83="yes",Y$7="Block"),INDEX($O623:$Q623,1,MATCH(Y$5,$I17:$K17,0)),INDEX(Movements!$G623:$M623,1,MATCH(Y$7,Movements!$G$614:$M$614,0))))
*Y1064*Y$8,0)</f>
        <v>0</v>
      </c>
      <c r="Z386" s="198">
        <f>_xlfn.IFNA(IF(Z$7="Fixed",1,IF(AND($D83="yes",Z$7="Block"),INDEX($O623:$Q623,1,MATCH(Z$5,$I17:$K17,0)),INDEX(Movements!$G623:$M623,1,MATCH(Z$7,Movements!$G$614:$M$614,0))))
*Z1064*Z$8,0)</f>
        <v>0</v>
      </c>
      <c r="AA386" s="198">
        <f>_xlfn.IFNA(IF(AA$7="Fixed",1,IF(AND($D83="yes",AA$7="Block"),INDEX($O623:$Q623,1,MATCH(AA$5,$I17:$K17,0)),INDEX(Movements!$G623:$M623,1,MATCH(AA$7,Movements!$G$614:$M$614,0))))
*AA1064*AA$8,0)</f>
        <v>0</v>
      </c>
      <c r="AB386" s="198">
        <f>_xlfn.IFNA(IF(AB$7="Fixed",1,IF(AND($D83="yes",AB$7="Block"),INDEX($O623:$Q623,1,MATCH(AB$5,$I17:$K17,0)),INDEX(Movements!$G623:$M623,1,MATCH(AB$7,Movements!$G$614:$M$614,0))))
*AB1064*AB$8,0)</f>
        <v>0</v>
      </c>
      <c r="AC386" s="70"/>
      <c r="AD386" s="19"/>
      <c r="AE386" s="19"/>
      <c r="AF386" s="19"/>
      <c r="AG386" s="19"/>
    </row>
    <row r="387" spans="1:33" hidden="1" outlineLevel="3" x14ac:dyDescent="0.2">
      <c r="A387" s="19"/>
      <c r="B387" s="97">
        <v>8</v>
      </c>
      <c r="C387" s="506">
        <f t="shared" si="85"/>
        <v>0</v>
      </c>
      <c r="D387" s="505">
        <f t="shared" si="85"/>
        <v>0</v>
      </c>
      <c r="E387" s="505">
        <f t="shared" si="85"/>
        <v>0</v>
      </c>
      <c r="F387" s="58"/>
      <c r="G387" s="199">
        <f t="shared" si="86"/>
        <v>0</v>
      </c>
      <c r="H387" s="58"/>
      <c r="I387" s="198">
        <f>_xlfn.IFNA(IF(I$7="Fixed",1,IF(AND($D84="yes",I$7="Block"),INDEX($O624:$Q624,1,MATCH(I$5,$I18:$K18,0)),INDEX(Movements!$G624:$M624,1,MATCH(I$7,Movements!$G$614:$M$614,0))))
*I1065*I$8,0)</f>
        <v>0</v>
      </c>
      <c r="J387" s="198">
        <f>_xlfn.IFNA(IF(J$7="Fixed",1,IF(AND($D84="yes",J$7="Block"),INDEX($O624:$Q624,1,MATCH(J$5,$I18:$K18,0)),INDEX(Movements!$G624:$M624,1,MATCH(J$7,Movements!$G$614:$M$614,0))))
*J1065*J$8,0)</f>
        <v>0</v>
      </c>
      <c r="K387" s="198">
        <f>_xlfn.IFNA(IF(K$7="Fixed",1,IF(AND($D84="yes",K$7="Block"),INDEX($O624:$Q624,1,MATCH(K$5,$I18:$K18,0)),INDEX(Movements!$G624:$M624,1,MATCH(K$7,Movements!$G$614:$M$614,0))))
*K1065*K$8,0)</f>
        <v>0</v>
      </c>
      <c r="L387" s="198">
        <f>_xlfn.IFNA(IF(L$7="Fixed",1,IF(AND($D84="yes",L$7="Block"),INDEX($O624:$Q624,1,MATCH(L$5,$I18:$K18,0)),INDEX(Movements!$G624:$M624,1,MATCH(L$7,Movements!$G$614:$M$614,0))))
*L1065*L$8,0)</f>
        <v>0</v>
      </c>
      <c r="M387" s="198">
        <f>_xlfn.IFNA(IF(M$7="Fixed",1,IF(AND($D84="yes",M$7="Block"),INDEX($O624:$Q624,1,MATCH(M$5,$I18:$K18,0)),INDEX(Movements!$G624:$M624,1,MATCH(M$7,Movements!$G$614:$M$614,0))))
*M1065*M$8,0)</f>
        <v>0</v>
      </c>
      <c r="N387" s="198">
        <f>_xlfn.IFNA(IF(N$7="Fixed",1,IF(AND($D84="yes",N$7="Block"),INDEX($O624:$Q624,1,MATCH(N$5,$I18:$K18,0)),INDEX(Movements!$G624:$M624,1,MATCH(N$7,Movements!$G$614:$M$614,0))))
*N1065*N$8,0)</f>
        <v>0</v>
      </c>
      <c r="O387" s="198">
        <f>_xlfn.IFNA(IF(O$7="Fixed",1,IF(AND($D84="yes",O$7="Block"),INDEX($O624:$Q624,1,MATCH(O$5,$I18:$K18,0)),INDEX(Movements!$G624:$M624,1,MATCH(O$7,Movements!$G$614:$M$614,0))))
*O1065*O$8,0)</f>
        <v>0</v>
      </c>
      <c r="P387" s="198">
        <f>_xlfn.IFNA(IF(P$7="Fixed",1,IF(AND($D84="yes",P$7="Block"),INDEX($O624:$Q624,1,MATCH(P$5,$I18:$K18,0)),INDEX(Movements!$G624:$M624,1,MATCH(P$7,Movements!$G$614:$M$614,0))))
*P1065*P$8,0)</f>
        <v>0</v>
      </c>
      <c r="Q387" s="198">
        <f>_xlfn.IFNA(IF(Q$7="Fixed",1,IF(AND($D84="yes",Q$7="Block"),INDEX($O624:$Q624,1,MATCH(Q$5,$I18:$K18,0)),INDEX(Movements!$G624:$M624,1,MATCH(Q$7,Movements!$G$614:$M$614,0))))
*Q1065*Q$8,0)</f>
        <v>0</v>
      </c>
      <c r="R387" s="198">
        <f>_xlfn.IFNA(IF(R$7="Fixed",1,IF(AND($D84="yes",R$7="Block"),INDEX($O624:$Q624,1,MATCH(R$5,$I18:$K18,0)),INDEX(Movements!$G624:$M624,1,MATCH(R$7,Movements!$G$614:$M$614,0))))
*R1065*R$8,0)</f>
        <v>0</v>
      </c>
      <c r="S387" s="198">
        <f>_xlfn.IFNA(IF(S$7="Fixed",1,IF(AND($D84="yes",S$7="Block"),INDEX($O624:$Q624,1,MATCH(S$5,$I18:$K18,0)),INDEX(Movements!$G624:$M624,1,MATCH(S$7,Movements!$G$614:$M$614,0))))
*S1065*S$8,0)</f>
        <v>0</v>
      </c>
      <c r="T387" s="198">
        <f>_xlfn.IFNA(IF(T$7="Fixed",1,IF(AND($D84="yes",T$7="Block"),INDEX($O624:$Q624,1,MATCH(T$5,$I18:$K18,0)),INDEX(Movements!$G624:$M624,1,MATCH(T$7,Movements!$G$614:$M$614,0))))
*T1065*T$8,0)</f>
        <v>0</v>
      </c>
      <c r="U387" s="198">
        <f>_xlfn.IFNA(IF(U$7="Fixed",1,IF(AND($D84="yes",U$7="Block"),INDEX($O624:$Q624,1,MATCH(U$5,$I18:$K18,0)),INDEX(Movements!$G624:$M624,1,MATCH(U$7,Movements!$G$614:$M$614,0))))
*U1065*U$8,0)</f>
        <v>0</v>
      </c>
      <c r="V387" s="198">
        <f>_xlfn.IFNA(IF(V$7="Fixed",1,IF(AND($D84="yes",V$7="Block"),INDEX($O624:$Q624,1,MATCH(V$5,$I18:$K18,0)),INDEX(Movements!$G624:$M624,1,MATCH(V$7,Movements!$G$614:$M$614,0))))
*V1065*V$8,0)</f>
        <v>0</v>
      </c>
      <c r="W387" s="198">
        <f>_xlfn.IFNA(IF(W$7="Fixed",1,IF(AND($D84="yes",W$7="Block"),INDEX($O624:$Q624,1,MATCH(W$5,$I18:$K18,0)),INDEX(Movements!$G624:$M624,1,MATCH(W$7,Movements!$G$614:$M$614,0))))
*W1065*W$8,0)</f>
        <v>0</v>
      </c>
      <c r="X387" s="198">
        <f>_xlfn.IFNA(IF(X$7="Fixed",1,IF(AND($D84="yes",X$7="Block"),INDEX($O624:$Q624,1,MATCH(X$5,$I18:$K18,0)),INDEX(Movements!$G624:$M624,1,MATCH(X$7,Movements!$G$614:$M$614,0))))
*X1065*X$8,0)</f>
        <v>0</v>
      </c>
      <c r="Y387" s="198">
        <f>_xlfn.IFNA(IF(Y$7="Fixed",1,IF(AND($D84="yes",Y$7="Block"),INDEX($O624:$Q624,1,MATCH(Y$5,$I18:$K18,0)),INDEX(Movements!$G624:$M624,1,MATCH(Y$7,Movements!$G$614:$M$614,0))))
*Y1065*Y$8,0)</f>
        <v>0</v>
      </c>
      <c r="Z387" s="198">
        <f>_xlfn.IFNA(IF(Z$7="Fixed",1,IF(AND($D84="yes",Z$7="Block"),INDEX($O624:$Q624,1,MATCH(Z$5,$I18:$K18,0)),INDEX(Movements!$G624:$M624,1,MATCH(Z$7,Movements!$G$614:$M$614,0))))
*Z1065*Z$8,0)</f>
        <v>0</v>
      </c>
      <c r="AA387" s="198">
        <f>_xlfn.IFNA(IF(AA$7="Fixed",1,IF(AND($D84="yes",AA$7="Block"),INDEX($O624:$Q624,1,MATCH(AA$5,$I18:$K18,0)),INDEX(Movements!$G624:$M624,1,MATCH(AA$7,Movements!$G$614:$M$614,0))))
*AA1065*AA$8,0)</f>
        <v>0</v>
      </c>
      <c r="AB387" s="198">
        <f>_xlfn.IFNA(IF(AB$7="Fixed",1,IF(AND($D84="yes",AB$7="Block"),INDEX($O624:$Q624,1,MATCH(AB$5,$I18:$K18,0)),INDEX(Movements!$G624:$M624,1,MATCH(AB$7,Movements!$G$614:$M$614,0))))
*AB1065*AB$8,0)</f>
        <v>0</v>
      </c>
      <c r="AC387" s="70"/>
      <c r="AD387" s="19"/>
      <c r="AE387" s="19"/>
      <c r="AF387" s="19"/>
      <c r="AG387" s="19"/>
    </row>
    <row r="388" spans="1:33" hidden="1" outlineLevel="3" x14ac:dyDescent="0.2">
      <c r="A388" s="19"/>
      <c r="B388" s="98">
        <v>9</v>
      </c>
      <c r="C388" s="506">
        <f t="shared" si="85"/>
        <v>0</v>
      </c>
      <c r="D388" s="505">
        <f t="shared" si="85"/>
        <v>0</v>
      </c>
      <c r="E388" s="505">
        <f t="shared" si="85"/>
        <v>0</v>
      </c>
      <c r="F388" s="58"/>
      <c r="G388" s="199">
        <f t="shared" si="86"/>
        <v>0</v>
      </c>
      <c r="H388" s="58"/>
      <c r="I388" s="198">
        <f>_xlfn.IFNA(IF(I$7="Fixed",1,IF(AND($D85="yes",I$7="Block"),INDEX($O625:$Q625,1,MATCH(I$5,$I19:$K19,0)),INDEX(Movements!$G625:$M625,1,MATCH(I$7,Movements!$G$614:$M$614,0))))
*I1066*I$8,0)</f>
        <v>0</v>
      </c>
      <c r="J388" s="198">
        <f>_xlfn.IFNA(IF(J$7="Fixed",1,IF(AND($D85="yes",J$7="Block"),INDEX($O625:$Q625,1,MATCH(J$5,$I19:$K19,0)),INDEX(Movements!$G625:$M625,1,MATCH(J$7,Movements!$G$614:$M$614,0))))
*J1066*J$8,0)</f>
        <v>0</v>
      </c>
      <c r="K388" s="198">
        <f>_xlfn.IFNA(IF(K$7="Fixed",1,IF(AND($D85="yes",K$7="Block"),INDEX($O625:$Q625,1,MATCH(K$5,$I19:$K19,0)),INDEX(Movements!$G625:$M625,1,MATCH(K$7,Movements!$G$614:$M$614,0))))
*K1066*K$8,0)</f>
        <v>0</v>
      </c>
      <c r="L388" s="198">
        <f>_xlfn.IFNA(IF(L$7="Fixed",1,IF(AND($D85="yes",L$7="Block"),INDEX($O625:$Q625,1,MATCH(L$5,$I19:$K19,0)),INDEX(Movements!$G625:$M625,1,MATCH(L$7,Movements!$G$614:$M$614,0))))
*L1066*L$8,0)</f>
        <v>0</v>
      </c>
      <c r="M388" s="198">
        <f>_xlfn.IFNA(IF(M$7="Fixed",1,IF(AND($D85="yes",M$7="Block"),INDEX($O625:$Q625,1,MATCH(M$5,$I19:$K19,0)),INDEX(Movements!$G625:$M625,1,MATCH(M$7,Movements!$G$614:$M$614,0))))
*M1066*M$8,0)</f>
        <v>0</v>
      </c>
      <c r="N388" s="198">
        <f>_xlfn.IFNA(IF(N$7="Fixed",1,IF(AND($D85="yes",N$7="Block"),INDEX($O625:$Q625,1,MATCH(N$5,$I19:$K19,0)),INDEX(Movements!$G625:$M625,1,MATCH(N$7,Movements!$G$614:$M$614,0))))
*N1066*N$8,0)</f>
        <v>0</v>
      </c>
      <c r="O388" s="198">
        <f>_xlfn.IFNA(IF(O$7="Fixed",1,IF(AND($D85="yes",O$7="Block"),INDEX($O625:$Q625,1,MATCH(O$5,$I19:$K19,0)),INDEX(Movements!$G625:$M625,1,MATCH(O$7,Movements!$G$614:$M$614,0))))
*O1066*O$8,0)</f>
        <v>0</v>
      </c>
      <c r="P388" s="198">
        <f>_xlfn.IFNA(IF(P$7="Fixed",1,IF(AND($D85="yes",P$7="Block"),INDEX($O625:$Q625,1,MATCH(P$5,$I19:$K19,0)),INDEX(Movements!$G625:$M625,1,MATCH(P$7,Movements!$G$614:$M$614,0))))
*P1066*P$8,0)</f>
        <v>0</v>
      </c>
      <c r="Q388" s="198">
        <f>_xlfn.IFNA(IF(Q$7="Fixed",1,IF(AND($D85="yes",Q$7="Block"),INDEX($O625:$Q625,1,MATCH(Q$5,$I19:$K19,0)),INDEX(Movements!$G625:$M625,1,MATCH(Q$7,Movements!$G$614:$M$614,0))))
*Q1066*Q$8,0)</f>
        <v>0</v>
      </c>
      <c r="R388" s="198">
        <f>_xlfn.IFNA(IF(R$7="Fixed",1,IF(AND($D85="yes",R$7="Block"),INDEX($O625:$Q625,1,MATCH(R$5,$I19:$K19,0)),INDEX(Movements!$G625:$M625,1,MATCH(R$7,Movements!$G$614:$M$614,0))))
*R1066*R$8,0)</f>
        <v>0</v>
      </c>
      <c r="S388" s="198">
        <f>_xlfn.IFNA(IF(S$7="Fixed",1,IF(AND($D85="yes",S$7="Block"),INDEX($O625:$Q625,1,MATCH(S$5,$I19:$K19,0)),INDEX(Movements!$G625:$M625,1,MATCH(S$7,Movements!$G$614:$M$614,0))))
*S1066*S$8,0)</f>
        <v>0</v>
      </c>
      <c r="T388" s="198">
        <f>_xlfn.IFNA(IF(T$7="Fixed",1,IF(AND($D85="yes",T$7="Block"),INDEX($O625:$Q625,1,MATCH(T$5,$I19:$K19,0)),INDEX(Movements!$G625:$M625,1,MATCH(T$7,Movements!$G$614:$M$614,0))))
*T1066*T$8,0)</f>
        <v>0</v>
      </c>
      <c r="U388" s="198">
        <f>_xlfn.IFNA(IF(U$7="Fixed",1,IF(AND($D85="yes",U$7="Block"),INDEX($O625:$Q625,1,MATCH(U$5,$I19:$K19,0)),INDEX(Movements!$G625:$M625,1,MATCH(U$7,Movements!$G$614:$M$614,0))))
*U1066*U$8,0)</f>
        <v>0</v>
      </c>
      <c r="V388" s="198">
        <f>_xlfn.IFNA(IF(V$7="Fixed",1,IF(AND($D85="yes",V$7="Block"),INDEX($O625:$Q625,1,MATCH(V$5,$I19:$K19,0)),INDEX(Movements!$G625:$M625,1,MATCH(V$7,Movements!$G$614:$M$614,0))))
*V1066*V$8,0)</f>
        <v>0</v>
      </c>
      <c r="W388" s="198">
        <f>_xlfn.IFNA(IF(W$7="Fixed",1,IF(AND($D85="yes",W$7="Block"),INDEX($O625:$Q625,1,MATCH(W$5,$I19:$K19,0)),INDEX(Movements!$G625:$M625,1,MATCH(W$7,Movements!$G$614:$M$614,0))))
*W1066*W$8,0)</f>
        <v>0</v>
      </c>
      <c r="X388" s="198">
        <f>_xlfn.IFNA(IF(X$7="Fixed",1,IF(AND($D85="yes",X$7="Block"),INDEX($O625:$Q625,1,MATCH(X$5,$I19:$K19,0)),INDEX(Movements!$G625:$M625,1,MATCH(X$7,Movements!$G$614:$M$614,0))))
*X1066*X$8,0)</f>
        <v>0</v>
      </c>
      <c r="Y388" s="198">
        <f>_xlfn.IFNA(IF(Y$7="Fixed",1,IF(AND($D85="yes",Y$7="Block"),INDEX($O625:$Q625,1,MATCH(Y$5,$I19:$K19,0)),INDEX(Movements!$G625:$M625,1,MATCH(Y$7,Movements!$G$614:$M$614,0))))
*Y1066*Y$8,0)</f>
        <v>0</v>
      </c>
      <c r="Z388" s="198">
        <f>_xlfn.IFNA(IF(Z$7="Fixed",1,IF(AND($D85="yes",Z$7="Block"),INDEX($O625:$Q625,1,MATCH(Z$5,$I19:$K19,0)),INDEX(Movements!$G625:$M625,1,MATCH(Z$7,Movements!$G$614:$M$614,0))))
*Z1066*Z$8,0)</f>
        <v>0</v>
      </c>
      <c r="AA388" s="198">
        <f>_xlfn.IFNA(IF(AA$7="Fixed",1,IF(AND($D85="yes",AA$7="Block"),INDEX($O625:$Q625,1,MATCH(AA$5,$I19:$K19,0)),INDEX(Movements!$G625:$M625,1,MATCH(AA$7,Movements!$G$614:$M$614,0))))
*AA1066*AA$8,0)</f>
        <v>0</v>
      </c>
      <c r="AB388" s="198">
        <f>_xlfn.IFNA(IF(AB$7="Fixed",1,IF(AND($D85="yes",AB$7="Block"),INDEX($O625:$Q625,1,MATCH(AB$5,$I19:$K19,0)),INDEX(Movements!$G625:$M625,1,MATCH(AB$7,Movements!$G$614:$M$614,0))))
*AB1066*AB$8,0)</f>
        <v>0</v>
      </c>
      <c r="AC388" s="70"/>
      <c r="AD388" s="19"/>
      <c r="AE388" s="19"/>
      <c r="AF388" s="19"/>
      <c r="AG388" s="19"/>
    </row>
    <row r="389" spans="1:33" hidden="1" outlineLevel="3" x14ac:dyDescent="0.2">
      <c r="A389" s="19"/>
      <c r="B389" s="97">
        <v>10</v>
      </c>
      <c r="C389" s="506">
        <f t="shared" si="85"/>
        <v>0</v>
      </c>
      <c r="D389" s="505">
        <f t="shared" si="85"/>
        <v>0</v>
      </c>
      <c r="E389" s="505">
        <f t="shared" si="85"/>
        <v>0</v>
      </c>
      <c r="F389" s="58"/>
      <c r="G389" s="199">
        <f t="shared" si="86"/>
        <v>0</v>
      </c>
      <c r="H389" s="58"/>
      <c r="I389" s="198">
        <f>_xlfn.IFNA(IF(I$7="Fixed",1,IF(AND($D86="yes",I$7="Block"),INDEX($O626:$Q626,1,MATCH(I$5,$I20:$K20,0)),INDEX(Movements!$G626:$M626,1,MATCH(I$7,Movements!$G$614:$M$614,0))))
*I1067*I$8,0)</f>
        <v>0</v>
      </c>
      <c r="J389" s="198">
        <f>_xlfn.IFNA(IF(J$7="Fixed",1,IF(AND($D86="yes",J$7="Block"),INDEX($O626:$Q626,1,MATCH(J$5,$I20:$K20,0)),INDEX(Movements!$G626:$M626,1,MATCH(J$7,Movements!$G$614:$M$614,0))))
*J1067*J$8,0)</f>
        <v>0</v>
      </c>
      <c r="K389" s="198">
        <f>_xlfn.IFNA(IF(K$7="Fixed",1,IF(AND($D86="yes",K$7="Block"),INDEX($O626:$Q626,1,MATCH(K$5,$I20:$K20,0)),INDEX(Movements!$G626:$M626,1,MATCH(K$7,Movements!$G$614:$M$614,0))))
*K1067*K$8,0)</f>
        <v>0</v>
      </c>
      <c r="L389" s="198">
        <f>_xlfn.IFNA(IF(L$7="Fixed",1,IF(AND($D86="yes",L$7="Block"),INDEX($O626:$Q626,1,MATCH(L$5,$I20:$K20,0)),INDEX(Movements!$G626:$M626,1,MATCH(L$7,Movements!$G$614:$M$614,0))))
*L1067*L$8,0)</f>
        <v>0</v>
      </c>
      <c r="M389" s="198">
        <f>_xlfn.IFNA(IF(M$7="Fixed",1,IF(AND($D86="yes",M$7="Block"),INDEX($O626:$Q626,1,MATCH(M$5,$I20:$K20,0)),INDEX(Movements!$G626:$M626,1,MATCH(M$7,Movements!$G$614:$M$614,0))))
*M1067*M$8,0)</f>
        <v>0</v>
      </c>
      <c r="N389" s="198">
        <f>_xlfn.IFNA(IF(N$7="Fixed",1,IF(AND($D86="yes",N$7="Block"),INDEX($O626:$Q626,1,MATCH(N$5,$I20:$K20,0)),INDEX(Movements!$G626:$M626,1,MATCH(N$7,Movements!$G$614:$M$614,0))))
*N1067*N$8,0)</f>
        <v>0</v>
      </c>
      <c r="O389" s="198">
        <f>_xlfn.IFNA(IF(O$7="Fixed",1,IF(AND($D86="yes",O$7="Block"),INDEX($O626:$Q626,1,MATCH(O$5,$I20:$K20,0)),INDEX(Movements!$G626:$M626,1,MATCH(O$7,Movements!$G$614:$M$614,0))))
*O1067*O$8,0)</f>
        <v>0</v>
      </c>
      <c r="P389" s="198">
        <f>_xlfn.IFNA(IF(P$7="Fixed",1,IF(AND($D86="yes",P$7="Block"),INDEX($O626:$Q626,1,MATCH(P$5,$I20:$K20,0)),INDEX(Movements!$G626:$M626,1,MATCH(P$7,Movements!$G$614:$M$614,0))))
*P1067*P$8,0)</f>
        <v>0</v>
      </c>
      <c r="Q389" s="198">
        <f>_xlfn.IFNA(IF(Q$7="Fixed",1,IF(AND($D86="yes",Q$7="Block"),INDEX($O626:$Q626,1,MATCH(Q$5,$I20:$K20,0)),INDEX(Movements!$G626:$M626,1,MATCH(Q$7,Movements!$G$614:$M$614,0))))
*Q1067*Q$8,0)</f>
        <v>0</v>
      </c>
      <c r="R389" s="198">
        <f>_xlfn.IFNA(IF(R$7="Fixed",1,IF(AND($D86="yes",R$7="Block"),INDEX($O626:$Q626,1,MATCH(R$5,$I20:$K20,0)),INDEX(Movements!$G626:$M626,1,MATCH(R$7,Movements!$G$614:$M$614,0))))
*R1067*R$8,0)</f>
        <v>0</v>
      </c>
      <c r="S389" s="198">
        <f>_xlfn.IFNA(IF(S$7="Fixed",1,IF(AND($D86="yes",S$7="Block"),INDEX($O626:$Q626,1,MATCH(S$5,$I20:$K20,0)),INDEX(Movements!$G626:$M626,1,MATCH(S$7,Movements!$G$614:$M$614,0))))
*S1067*S$8,0)</f>
        <v>0</v>
      </c>
      <c r="T389" s="198">
        <f>_xlfn.IFNA(IF(T$7="Fixed",1,IF(AND($D86="yes",T$7="Block"),INDEX($O626:$Q626,1,MATCH(T$5,$I20:$K20,0)),INDEX(Movements!$G626:$M626,1,MATCH(T$7,Movements!$G$614:$M$614,0))))
*T1067*T$8,0)</f>
        <v>0</v>
      </c>
      <c r="U389" s="198">
        <f>_xlfn.IFNA(IF(U$7="Fixed",1,IF(AND($D86="yes",U$7="Block"),INDEX($O626:$Q626,1,MATCH(U$5,$I20:$K20,0)),INDEX(Movements!$G626:$M626,1,MATCH(U$7,Movements!$G$614:$M$614,0))))
*U1067*U$8,0)</f>
        <v>0</v>
      </c>
      <c r="V389" s="198">
        <f>_xlfn.IFNA(IF(V$7="Fixed",1,IF(AND($D86="yes",V$7="Block"),INDEX($O626:$Q626,1,MATCH(V$5,$I20:$K20,0)),INDEX(Movements!$G626:$M626,1,MATCH(V$7,Movements!$G$614:$M$614,0))))
*V1067*V$8,0)</f>
        <v>0</v>
      </c>
      <c r="W389" s="198">
        <f>_xlfn.IFNA(IF(W$7="Fixed",1,IF(AND($D86="yes",W$7="Block"),INDEX($O626:$Q626,1,MATCH(W$5,$I20:$K20,0)),INDEX(Movements!$G626:$M626,1,MATCH(W$7,Movements!$G$614:$M$614,0))))
*W1067*W$8,0)</f>
        <v>0</v>
      </c>
      <c r="X389" s="198">
        <f>_xlfn.IFNA(IF(X$7="Fixed",1,IF(AND($D86="yes",X$7="Block"),INDEX($O626:$Q626,1,MATCH(X$5,$I20:$K20,0)),INDEX(Movements!$G626:$M626,1,MATCH(X$7,Movements!$G$614:$M$614,0))))
*X1067*X$8,0)</f>
        <v>0</v>
      </c>
      <c r="Y389" s="198">
        <f>_xlfn.IFNA(IF(Y$7="Fixed",1,IF(AND($D86="yes",Y$7="Block"),INDEX($O626:$Q626,1,MATCH(Y$5,$I20:$K20,0)),INDEX(Movements!$G626:$M626,1,MATCH(Y$7,Movements!$G$614:$M$614,0))))
*Y1067*Y$8,0)</f>
        <v>0</v>
      </c>
      <c r="Z389" s="198">
        <f>_xlfn.IFNA(IF(Z$7="Fixed",1,IF(AND($D86="yes",Z$7="Block"),INDEX($O626:$Q626,1,MATCH(Z$5,$I20:$K20,0)),INDEX(Movements!$G626:$M626,1,MATCH(Z$7,Movements!$G$614:$M$614,0))))
*Z1067*Z$8,0)</f>
        <v>0</v>
      </c>
      <c r="AA389" s="198">
        <f>_xlfn.IFNA(IF(AA$7="Fixed",1,IF(AND($D86="yes",AA$7="Block"),INDEX($O626:$Q626,1,MATCH(AA$5,$I20:$K20,0)),INDEX(Movements!$G626:$M626,1,MATCH(AA$7,Movements!$G$614:$M$614,0))))
*AA1067*AA$8,0)</f>
        <v>0</v>
      </c>
      <c r="AB389" s="198">
        <f>_xlfn.IFNA(IF(AB$7="Fixed",1,IF(AND($D86="yes",AB$7="Block"),INDEX($O626:$Q626,1,MATCH(AB$5,$I20:$K20,0)),INDEX(Movements!$G626:$M626,1,MATCH(AB$7,Movements!$G$614:$M$614,0))))
*AB1067*AB$8,0)</f>
        <v>0</v>
      </c>
      <c r="AC389" s="70"/>
      <c r="AD389" s="19"/>
      <c r="AE389" s="19"/>
      <c r="AF389" s="19"/>
      <c r="AG389" s="19"/>
    </row>
    <row r="390" spans="1:33" hidden="1" outlineLevel="3" x14ac:dyDescent="0.2">
      <c r="A390" s="19"/>
      <c r="B390" s="97">
        <v>11</v>
      </c>
      <c r="C390" s="506">
        <f t="shared" si="85"/>
        <v>0</v>
      </c>
      <c r="D390" s="505">
        <f t="shared" si="85"/>
        <v>0</v>
      </c>
      <c r="E390" s="505">
        <f t="shared" si="85"/>
        <v>0</v>
      </c>
      <c r="F390" s="58"/>
      <c r="G390" s="199">
        <f t="shared" si="86"/>
        <v>0</v>
      </c>
      <c r="H390" s="58"/>
      <c r="I390" s="198">
        <f>_xlfn.IFNA(IF(I$7="Fixed",1,IF(AND($D87="yes",I$7="Block"),INDEX($O627:$Q627,1,MATCH(I$5,$I21:$K21,0)),INDEX(Movements!$G627:$M627,1,MATCH(I$7,Movements!$G$614:$M$614,0))))
*I1068*I$8,0)</f>
        <v>0</v>
      </c>
      <c r="J390" s="198">
        <f>_xlfn.IFNA(IF(J$7="Fixed",1,IF(AND($D87="yes",J$7="Block"),INDEX($O627:$Q627,1,MATCH(J$5,$I21:$K21,0)),INDEX(Movements!$G627:$M627,1,MATCH(J$7,Movements!$G$614:$M$614,0))))
*J1068*J$8,0)</f>
        <v>0</v>
      </c>
      <c r="K390" s="198">
        <f>_xlfn.IFNA(IF(K$7="Fixed",1,IF(AND($D87="yes",K$7="Block"),INDEX($O627:$Q627,1,MATCH(K$5,$I21:$K21,0)),INDEX(Movements!$G627:$M627,1,MATCH(K$7,Movements!$G$614:$M$614,0))))
*K1068*K$8,0)</f>
        <v>0</v>
      </c>
      <c r="L390" s="198">
        <f>_xlfn.IFNA(IF(L$7="Fixed",1,IF(AND($D87="yes",L$7="Block"),INDEX($O627:$Q627,1,MATCH(L$5,$I21:$K21,0)),INDEX(Movements!$G627:$M627,1,MATCH(L$7,Movements!$G$614:$M$614,0))))
*L1068*L$8,0)</f>
        <v>0</v>
      </c>
      <c r="M390" s="198">
        <f>_xlfn.IFNA(IF(M$7="Fixed",1,IF(AND($D87="yes",M$7="Block"),INDEX($O627:$Q627,1,MATCH(M$5,$I21:$K21,0)),INDEX(Movements!$G627:$M627,1,MATCH(M$7,Movements!$G$614:$M$614,0))))
*M1068*M$8,0)</f>
        <v>0</v>
      </c>
      <c r="N390" s="198">
        <f>_xlfn.IFNA(IF(N$7="Fixed",1,IF(AND($D87="yes",N$7="Block"),INDEX($O627:$Q627,1,MATCH(N$5,$I21:$K21,0)),INDEX(Movements!$G627:$M627,1,MATCH(N$7,Movements!$G$614:$M$614,0))))
*N1068*N$8,0)</f>
        <v>0</v>
      </c>
      <c r="O390" s="198">
        <f>_xlfn.IFNA(IF(O$7="Fixed",1,IF(AND($D87="yes",O$7="Block"),INDEX($O627:$Q627,1,MATCH(O$5,$I21:$K21,0)),INDEX(Movements!$G627:$M627,1,MATCH(O$7,Movements!$G$614:$M$614,0))))
*O1068*O$8,0)</f>
        <v>0</v>
      </c>
      <c r="P390" s="198">
        <f>_xlfn.IFNA(IF(P$7="Fixed",1,IF(AND($D87="yes",P$7="Block"),INDEX($O627:$Q627,1,MATCH(P$5,$I21:$K21,0)),INDEX(Movements!$G627:$M627,1,MATCH(P$7,Movements!$G$614:$M$614,0))))
*P1068*P$8,0)</f>
        <v>0</v>
      </c>
      <c r="Q390" s="198">
        <f>_xlfn.IFNA(IF(Q$7="Fixed",1,IF(AND($D87="yes",Q$7="Block"),INDEX($O627:$Q627,1,MATCH(Q$5,$I21:$K21,0)),INDEX(Movements!$G627:$M627,1,MATCH(Q$7,Movements!$G$614:$M$614,0))))
*Q1068*Q$8,0)</f>
        <v>0</v>
      </c>
      <c r="R390" s="198">
        <f>_xlfn.IFNA(IF(R$7="Fixed",1,IF(AND($D87="yes",R$7="Block"),INDEX($O627:$Q627,1,MATCH(R$5,$I21:$K21,0)),INDEX(Movements!$G627:$M627,1,MATCH(R$7,Movements!$G$614:$M$614,0))))
*R1068*R$8,0)</f>
        <v>0</v>
      </c>
      <c r="S390" s="198">
        <f>_xlfn.IFNA(IF(S$7="Fixed",1,IF(AND($D87="yes",S$7="Block"),INDEX($O627:$Q627,1,MATCH(S$5,$I21:$K21,0)),INDEX(Movements!$G627:$M627,1,MATCH(S$7,Movements!$G$614:$M$614,0))))
*S1068*S$8,0)</f>
        <v>0</v>
      </c>
      <c r="T390" s="198">
        <f>_xlfn.IFNA(IF(T$7="Fixed",1,IF(AND($D87="yes",T$7="Block"),INDEX($O627:$Q627,1,MATCH(T$5,$I21:$K21,0)),INDEX(Movements!$G627:$M627,1,MATCH(T$7,Movements!$G$614:$M$614,0))))
*T1068*T$8,0)</f>
        <v>0</v>
      </c>
      <c r="U390" s="198">
        <f>_xlfn.IFNA(IF(U$7="Fixed",1,IF(AND($D87="yes",U$7="Block"),INDEX($O627:$Q627,1,MATCH(U$5,$I21:$K21,0)),INDEX(Movements!$G627:$M627,1,MATCH(U$7,Movements!$G$614:$M$614,0))))
*U1068*U$8,0)</f>
        <v>0</v>
      </c>
      <c r="V390" s="198">
        <f>_xlfn.IFNA(IF(V$7="Fixed",1,IF(AND($D87="yes",V$7="Block"),INDEX($O627:$Q627,1,MATCH(V$5,$I21:$K21,0)),INDEX(Movements!$G627:$M627,1,MATCH(V$7,Movements!$G$614:$M$614,0))))
*V1068*V$8,0)</f>
        <v>0</v>
      </c>
      <c r="W390" s="198">
        <f>_xlfn.IFNA(IF(W$7="Fixed",1,IF(AND($D87="yes",W$7="Block"),INDEX($O627:$Q627,1,MATCH(W$5,$I21:$K21,0)),INDEX(Movements!$G627:$M627,1,MATCH(W$7,Movements!$G$614:$M$614,0))))
*W1068*W$8,0)</f>
        <v>0</v>
      </c>
      <c r="X390" s="198">
        <f>_xlfn.IFNA(IF(X$7="Fixed",1,IF(AND($D87="yes",X$7="Block"),INDEX($O627:$Q627,1,MATCH(X$5,$I21:$K21,0)),INDEX(Movements!$G627:$M627,1,MATCH(X$7,Movements!$G$614:$M$614,0))))
*X1068*X$8,0)</f>
        <v>0</v>
      </c>
      <c r="Y390" s="198">
        <f>_xlfn.IFNA(IF(Y$7="Fixed",1,IF(AND($D87="yes",Y$7="Block"),INDEX($O627:$Q627,1,MATCH(Y$5,$I21:$K21,0)),INDEX(Movements!$G627:$M627,1,MATCH(Y$7,Movements!$G$614:$M$614,0))))
*Y1068*Y$8,0)</f>
        <v>0</v>
      </c>
      <c r="Z390" s="198">
        <f>_xlfn.IFNA(IF(Z$7="Fixed",1,IF(AND($D87="yes",Z$7="Block"),INDEX($O627:$Q627,1,MATCH(Z$5,$I21:$K21,0)),INDEX(Movements!$G627:$M627,1,MATCH(Z$7,Movements!$G$614:$M$614,0))))
*Z1068*Z$8,0)</f>
        <v>0</v>
      </c>
      <c r="AA390" s="198">
        <f>_xlfn.IFNA(IF(AA$7="Fixed",1,IF(AND($D87="yes",AA$7="Block"),INDEX($O627:$Q627,1,MATCH(AA$5,$I21:$K21,0)),INDEX(Movements!$G627:$M627,1,MATCH(AA$7,Movements!$G$614:$M$614,0))))
*AA1068*AA$8,0)</f>
        <v>0</v>
      </c>
      <c r="AB390" s="198">
        <f>_xlfn.IFNA(IF(AB$7="Fixed",1,IF(AND($D87="yes",AB$7="Block"),INDEX($O627:$Q627,1,MATCH(AB$5,$I21:$K21,0)),INDEX(Movements!$G627:$M627,1,MATCH(AB$7,Movements!$G$614:$M$614,0))))
*AB1068*AB$8,0)</f>
        <v>0</v>
      </c>
      <c r="AC390" s="70"/>
      <c r="AD390" s="19"/>
      <c r="AE390" s="19"/>
      <c r="AF390" s="19"/>
      <c r="AG390" s="19"/>
    </row>
    <row r="391" spans="1:33" hidden="1" outlineLevel="3" x14ac:dyDescent="0.2">
      <c r="A391" s="19"/>
      <c r="B391" s="97">
        <v>12</v>
      </c>
      <c r="C391" s="506">
        <f t="shared" si="85"/>
        <v>0</v>
      </c>
      <c r="D391" s="505">
        <f t="shared" si="85"/>
        <v>0</v>
      </c>
      <c r="E391" s="505">
        <f t="shared" si="85"/>
        <v>0</v>
      </c>
      <c r="F391" s="58"/>
      <c r="G391" s="199">
        <f t="shared" si="86"/>
        <v>0</v>
      </c>
      <c r="H391" s="58"/>
      <c r="I391" s="198">
        <f>_xlfn.IFNA(IF(I$7="Fixed",1,IF(AND($D88="yes",I$7="Block"),INDEX($O628:$Q628,1,MATCH(I$5,$I22:$K22,0)),INDEX(Movements!$G628:$M628,1,MATCH(I$7,Movements!$G$614:$M$614,0))))
*I1069*I$8,0)</f>
        <v>0</v>
      </c>
      <c r="J391" s="198">
        <f>_xlfn.IFNA(IF(J$7="Fixed",1,IF(AND($D88="yes",J$7="Block"),INDEX($O628:$Q628,1,MATCH(J$5,$I22:$K22,0)),INDEX(Movements!$G628:$M628,1,MATCH(J$7,Movements!$G$614:$M$614,0))))
*J1069*J$8,0)</f>
        <v>0</v>
      </c>
      <c r="K391" s="198">
        <f>_xlfn.IFNA(IF(K$7="Fixed",1,IF(AND($D88="yes",K$7="Block"),INDEX($O628:$Q628,1,MATCH(K$5,$I22:$K22,0)),INDEX(Movements!$G628:$M628,1,MATCH(K$7,Movements!$G$614:$M$614,0))))
*K1069*K$8,0)</f>
        <v>0</v>
      </c>
      <c r="L391" s="198">
        <f>_xlfn.IFNA(IF(L$7="Fixed",1,IF(AND($D88="yes",L$7="Block"),INDEX($O628:$Q628,1,MATCH(L$5,$I22:$K22,0)),INDEX(Movements!$G628:$M628,1,MATCH(L$7,Movements!$G$614:$M$614,0))))
*L1069*L$8,0)</f>
        <v>0</v>
      </c>
      <c r="M391" s="198">
        <f>_xlfn.IFNA(IF(M$7="Fixed",1,IF(AND($D88="yes",M$7="Block"),INDEX($O628:$Q628,1,MATCH(M$5,$I22:$K22,0)),INDEX(Movements!$G628:$M628,1,MATCH(M$7,Movements!$G$614:$M$614,0))))
*M1069*M$8,0)</f>
        <v>0</v>
      </c>
      <c r="N391" s="198">
        <f>_xlfn.IFNA(IF(N$7="Fixed",1,IF(AND($D88="yes",N$7="Block"),INDEX($O628:$Q628,1,MATCH(N$5,$I22:$K22,0)),INDEX(Movements!$G628:$M628,1,MATCH(N$7,Movements!$G$614:$M$614,0))))
*N1069*N$8,0)</f>
        <v>0</v>
      </c>
      <c r="O391" s="198">
        <f>_xlfn.IFNA(IF(O$7="Fixed",1,IF(AND($D88="yes",O$7="Block"),INDEX($O628:$Q628,1,MATCH(O$5,$I22:$K22,0)),INDEX(Movements!$G628:$M628,1,MATCH(O$7,Movements!$G$614:$M$614,0))))
*O1069*O$8,0)</f>
        <v>0</v>
      </c>
      <c r="P391" s="198">
        <f>_xlfn.IFNA(IF(P$7="Fixed",1,IF(AND($D88="yes",P$7="Block"),INDEX($O628:$Q628,1,MATCH(P$5,$I22:$K22,0)),INDEX(Movements!$G628:$M628,1,MATCH(P$7,Movements!$G$614:$M$614,0))))
*P1069*P$8,0)</f>
        <v>0</v>
      </c>
      <c r="Q391" s="198">
        <f>_xlfn.IFNA(IF(Q$7="Fixed",1,IF(AND($D88="yes",Q$7="Block"),INDEX($O628:$Q628,1,MATCH(Q$5,$I22:$K22,0)),INDEX(Movements!$G628:$M628,1,MATCH(Q$7,Movements!$G$614:$M$614,0))))
*Q1069*Q$8,0)</f>
        <v>0</v>
      </c>
      <c r="R391" s="198">
        <f>_xlfn.IFNA(IF(R$7="Fixed",1,IF(AND($D88="yes",R$7="Block"),INDEX($O628:$Q628,1,MATCH(R$5,$I22:$K22,0)),INDEX(Movements!$G628:$M628,1,MATCH(R$7,Movements!$G$614:$M$614,0))))
*R1069*R$8,0)</f>
        <v>0</v>
      </c>
      <c r="S391" s="198">
        <f>_xlfn.IFNA(IF(S$7="Fixed",1,IF(AND($D88="yes",S$7="Block"),INDEX($O628:$Q628,1,MATCH(S$5,$I22:$K22,0)),INDEX(Movements!$G628:$M628,1,MATCH(S$7,Movements!$G$614:$M$614,0))))
*S1069*S$8,0)</f>
        <v>0</v>
      </c>
      <c r="T391" s="198">
        <f>_xlfn.IFNA(IF(T$7="Fixed",1,IF(AND($D88="yes",T$7="Block"),INDEX($O628:$Q628,1,MATCH(T$5,$I22:$K22,0)),INDEX(Movements!$G628:$M628,1,MATCH(T$7,Movements!$G$614:$M$614,0))))
*T1069*T$8,0)</f>
        <v>0</v>
      </c>
      <c r="U391" s="198">
        <f>_xlfn.IFNA(IF(U$7="Fixed",1,IF(AND($D88="yes",U$7="Block"),INDEX($O628:$Q628,1,MATCH(U$5,$I22:$K22,0)),INDEX(Movements!$G628:$M628,1,MATCH(U$7,Movements!$G$614:$M$614,0))))
*U1069*U$8,0)</f>
        <v>0</v>
      </c>
      <c r="V391" s="198">
        <f>_xlfn.IFNA(IF(V$7="Fixed",1,IF(AND($D88="yes",V$7="Block"),INDEX($O628:$Q628,1,MATCH(V$5,$I22:$K22,0)),INDEX(Movements!$G628:$M628,1,MATCH(V$7,Movements!$G$614:$M$614,0))))
*V1069*V$8,0)</f>
        <v>0</v>
      </c>
      <c r="W391" s="198">
        <f>_xlfn.IFNA(IF(W$7="Fixed",1,IF(AND($D88="yes",W$7="Block"),INDEX($O628:$Q628,1,MATCH(W$5,$I22:$K22,0)),INDEX(Movements!$G628:$M628,1,MATCH(W$7,Movements!$G$614:$M$614,0))))
*W1069*W$8,0)</f>
        <v>0</v>
      </c>
      <c r="X391" s="198">
        <f>_xlfn.IFNA(IF(X$7="Fixed",1,IF(AND($D88="yes",X$7="Block"),INDEX($O628:$Q628,1,MATCH(X$5,$I22:$K22,0)),INDEX(Movements!$G628:$M628,1,MATCH(X$7,Movements!$G$614:$M$614,0))))
*X1069*X$8,0)</f>
        <v>0</v>
      </c>
      <c r="Y391" s="198">
        <f>_xlfn.IFNA(IF(Y$7="Fixed",1,IF(AND($D88="yes",Y$7="Block"),INDEX($O628:$Q628,1,MATCH(Y$5,$I22:$K22,0)),INDEX(Movements!$G628:$M628,1,MATCH(Y$7,Movements!$G$614:$M$614,0))))
*Y1069*Y$8,0)</f>
        <v>0</v>
      </c>
      <c r="Z391" s="198">
        <f>_xlfn.IFNA(IF(Z$7="Fixed",1,IF(AND($D88="yes",Z$7="Block"),INDEX($O628:$Q628,1,MATCH(Z$5,$I22:$K22,0)),INDEX(Movements!$G628:$M628,1,MATCH(Z$7,Movements!$G$614:$M$614,0))))
*Z1069*Z$8,0)</f>
        <v>0</v>
      </c>
      <c r="AA391" s="198">
        <f>_xlfn.IFNA(IF(AA$7="Fixed",1,IF(AND($D88="yes",AA$7="Block"),INDEX($O628:$Q628,1,MATCH(AA$5,$I22:$K22,0)),INDEX(Movements!$G628:$M628,1,MATCH(AA$7,Movements!$G$614:$M$614,0))))
*AA1069*AA$8,0)</f>
        <v>0</v>
      </c>
      <c r="AB391" s="198">
        <f>_xlfn.IFNA(IF(AB$7="Fixed",1,IF(AND($D88="yes",AB$7="Block"),INDEX($O628:$Q628,1,MATCH(AB$5,$I22:$K22,0)),INDEX(Movements!$G628:$M628,1,MATCH(AB$7,Movements!$G$614:$M$614,0))))
*AB1069*AB$8,0)</f>
        <v>0</v>
      </c>
      <c r="AC391" s="70"/>
      <c r="AD391" s="19"/>
      <c r="AE391" s="19"/>
      <c r="AF391" s="19"/>
      <c r="AG391" s="19"/>
    </row>
    <row r="392" spans="1:33" hidden="1" outlineLevel="3" x14ac:dyDescent="0.2">
      <c r="A392" s="19"/>
      <c r="B392" s="97">
        <v>13</v>
      </c>
      <c r="C392" s="506">
        <f t="shared" si="85"/>
        <v>0</v>
      </c>
      <c r="D392" s="505">
        <f t="shared" si="85"/>
        <v>0</v>
      </c>
      <c r="E392" s="505">
        <f t="shared" si="85"/>
        <v>0</v>
      </c>
      <c r="F392" s="58"/>
      <c r="G392" s="199">
        <f t="shared" si="86"/>
        <v>0</v>
      </c>
      <c r="H392" s="58"/>
      <c r="I392" s="198">
        <f>_xlfn.IFNA(IF(I$7="Fixed",1,IF(AND($D89="yes",I$7="Block"),INDEX($O629:$Q629,1,MATCH(I$5,$I23:$K23,0)),INDEX(Movements!$G629:$M629,1,MATCH(I$7,Movements!$G$614:$M$614,0))))
*I1070*I$8,0)</f>
        <v>0</v>
      </c>
      <c r="J392" s="198">
        <f>_xlfn.IFNA(IF(J$7="Fixed",1,IF(AND($D89="yes",J$7="Block"),INDEX($O629:$Q629,1,MATCH(J$5,$I23:$K23,0)),INDEX(Movements!$G629:$M629,1,MATCH(J$7,Movements!$G$614:$M$614,0))))
*J1070*J$8,0)</f>
        <v>0</v>
      </c>
      <c r="K392" s="198">
        <f>_xlfn.IFNA(IF(K$7="Fixed",1,IF(AND($D89="yes",K$7="Block"),INDEX($O629:$Q629,1,MATCH(K$5,$I23:$K23,0)),INDEX(Movements!$G629:$M629,1,MATCH(K$7,Movements!$G$614:$M$614,0))))
*K1070*K$8,0)</f>
        <v>0</v>
      </c>
      <c r="L392" s="198">
        <f>_xlfn.IFNA(IF(L$7="Fixed",1,IF(AND($D89="yes",L$7="Block"),INDEX($O629:$Q629,1,MATCH(L$5,$I23:$K23,0)),INDEX(Movements!$G629:$M629,1,MATCH(L$7,Movements!$G$614:$M$614,0))))
*L1070*L$8,0)</f>
        <v>0</v>
      </c>
      <c r="M392" s="198">
        <f>_xlfn.IFNA(IF(M$7="Fixed",1,IF(AND($D89="yes",M$7="Block"),INDEX($O629:$Q629,1,MATCH(M$5,$I23:$K23,0)),INDEX(Movements!$G629:$M629,1,MATCH(M$7,Movements!$G$614:$M$614,0))))
*M1070*M$8,0)</f>
        <v>0</v>
      </c>
      <c r="N392" s="198">
        <f>_xlfn.IFNA(IF(N$7="Fixed",1,IF(AND($D89="yes",N$7="Block"),INDEX($O629:$Q629,1,MATCH(N$5,$I23:$K23,0)),INDEX(Movements!$G629:$M629,1,MATCH(N$7,Movements!$G$614:$M$614,0))))
*N1070*N$8,0)</f>
        <v>0</v>
      </c>
      <c r="O392" s="198">
        <f>_xlfn.IFNA(IF(O$7="Fixed",1,IF(AND($D89="yes",O$7="Block"),INDEX($O629:$Q629,1,MATCH(O$5,$I23:$K23,0)),INDEX(Movements!$G629:$M629,1,MATCH(O$7,Movements!$G$614:$M$614,0))))
*O1070*O$8,0)</f>
        <v>0</v>
      </c>
      <c r="P392" s="198">
        <f>_xlfn.IFNA(IF(P$7="Fixed",1,IF(AND($D89="yes",P$7="Block"),INDEX($O629:$Q629,1,MATCH(P$5,$I23:$K23,0)),INDEX(Movements!$G629:$M629,1,MATCH(P$7,Movements!$G$614:$M$614,0))))
*P1070*P$8,0)</f>
        <v>0</v>
      </c>
      <c r="Q392" s="198">
        <f>_xlfn.IFNA(IF(Q$7="Fixed",1,IF(AND($D89="yes",Q$7="Block"),INDEX($O629:$Q629,1,MATCH(Q$5,$I23:$K23,0)),INDEX(Movements!$G629:$M629,1,MATCH(Q$7,Movements!$G$614:$M$614,0))))
*Q1070*Q$8,0)</f>
        <v>0</v>
      </c>
      <c r="R392" s="198">
        <f>_xlfn.IFNA(IF(R$7="Fixed",1,IF(AND($D89="yes",R$7="Block"),INDEX($O629:$Q629,1,MATCH(R$5,$I23:$K23,0)),INDEX(Movements!$G629:$M629,1,MATCH(R$7,Movements!$G$614:$M$614,0))))
*R1070*R$8,0)</f>
        <v>0</v>
      </c>
      <c r="S392" s="198">
        <f>_xlfn.IFNA(IF(S$7="Fixed",1,IF(AND($D89="yes",S$7="Block"),INDEX($O629:$Q629,1,MATCH(S$5,$I23:$K23,0)),INDEX(Movements!$G629:$M629,1,MATCH(S$7,Movements!$G$614:$M$614,0))))
*S1070*S$8,0)</f>
        <v>0</v>
      </c>
      <c r="T392" s="198">
        <f>_xlfn.IFNA(IF(T$7="Fixed",1,IF(AND($D89="yes",T$7="Block"),INDEX($O629:$Q629,1,MATCH(T$5,$I23:$K23,0)),INDEX(Movements!$G629:$M629,1,MATCH(T$7,Movements!$G$614:$M$614,0))))
*T1070*T$8,0)</f>
        <v>0</v>
      </c>
      <c r="U392" s="198">
        <f>_xlfn.IFNA(IF(U$7="Fixed",1,IF(AND($D89="yes",U$7="Block"),INDEX($O629:$Q629,1,MATCH(U$5,$I23:$K23,0)),INDEX(Movements!$G629:$M629,1,MATCH(U$7,Movements!$G$614:$M$614,0))))
*U1070*U$8,0)</f>
        <v>0</v>
      </c>
      <c r="V392" s="198">
        <f>_xlfn.IFNA(IF(V$7="Fixed",1,IF(AND($D89="yes",V$7="Block"),INDEX($O629:$Q629,1,MATCH(V$5,$I23:$K23,0)),INDEX(Movements!$G629:$M629,1,MATCH(V$7,Movements!$G$614:$M$614,0))))
*V1070*V$8,0)</f>
        <v>0</v>
      </c>
      <c r="W392" s="198">
        <f>_xlfn.IFNA(IF(W$7="Fixed",1,IF(AND($D89="yes",W$7="Block"),INDEX($O629:$Q629,1,MATCH(W$5,$I23:$K23,0)),INDEX(Movements!$G629:$M629,1,MATCH(W$7,Movements!$G$614:$M$614,0))))
*W1070*W$8,0)</f>
        <v>0</v>
      </c>
      <c r="X392" s="198">
        <f>_xlfn.IFNA(IF(X$7="Fixed",1,IF(AND($D89="yes",X$7="Block"),INDEX($O629:$Q629,1,MATCH(X$5,$I23:$K23,0)),INDEX(Movements!$G629:$M629,1,MATCH(X$7,Movements!$G$614:$M$614,0))))
*X1070*X$8,0)</f>
        <v>0</v>
      </c>
      <c r="Y392" s="198">
        <f>_xlfn.IFNA(IF(Y$7="Fixed",1,IF(AND($D89="yes",Y$7="Block"),INDEX($O629:$Q629,1,MATCH(Y$5,$I23:$K23,0)),INDEX(Movements!$G629:$M629,1,MATCH(Y$7,Movements!$G$614:$M$614,0))))
*Y1070*Y$8,0)</f>
        <v>0</v>
      </c>
      <c r="Z392" s="198">
        <f>_xlfn.IFNA(IF(Z$7="Fixed",1,IF(AND($D89="yes",Z$7="Block"),INDEX($O629:$Q629,1,MATCH(Z$5,$I23:$K23,0)),INDEX(Movements!$G629:$M629,1,MATCH(Z$7,Movements!$G$614:$M$614,0))))
*Z1070*Z$8,0)</f>
        <v>0</v>
      </c>
      <c r="AA392" s="198">
        <f>_xlfn.IFNA(IF(AA$7="Fixed",1,IF(AND($D89="yes",AA$7="Block"),INDEX($O629:$Q629,1,MATCH(AA$5,$I23:$K23,0)),INDEX(Movements!$G629:$M629,1,MATCH(AA$7,Movements!$G$614:$M$614,0))))
*AA1070*AA$8,0)</f>
        <v>0</v>
      </c>
      <c r="AB392" s="198">
        <f>_xlfn.IFNA(IF(AB$7="Fixed",1,IF(AND($D89="yes",AB$7="Block"),INDEX($O629:$Q629,1,MATCH(AB$5,$I23:$K23,0)),INDEX(Movements!$G629:$M629,1,MATCH(AB$7,Movements!$G$614:$M$614,0))))
*AB1070*AB$8,0)</f>
        <v>0</v>
      </c>
      <c r="AC392" s="70"/>
      <c r="AD392" s="19"/>
      <c r="AE392" s="19"/>
      <c r="AF392" s="19"/>
      <c r="AG392" s="19"/>
    </row>
    <row r="393" spans="1:33" hidden="1" outlineLevel="3" x14ac:dyDescent="0.2">
      <c r="A393" s="19"/>
      <c r="B393" s="97">
        <v>14</v>
      </c>
      <c r="C393" s="506">
        <f t="shared" si="85"/>
        <v>0</v>
      </c>
      <c r="D393" s="505">
        <f t="shared" si="85"/>
        <v>0</v>
      </c>
      <c r="E393" s="505">
        <f t="shared" si="85"/>
        <v>0</v>
      </c>
      <c r="F393" s="58"/>
      <c r="G393" s="199">
        <f t="shared" si="86"/>
        <v>0</v>
      </c>
      <c r="H393" s="58"/>
      <c r="I393" s="198">
        <f>_xlfn.IFNA(IF(I$7="Fixed",1,IF(AND($D90="yes",I$7="Block"),INDEX($O630:$Q630,1,MATCH(I$5,$I24:$K24,0)),INDEX(Movements!$G630:$M630,1,MATCH(I$7,Movements!$G$614:$M$614,0))))
*I1071*I$8,0)</f>
        <v>0</v>
      </c>
      <c r="J393" s="198">
        <f>_xlfn.IFNA(IF(J$7="Fixed",1,IF(AND($D90="yes",J$7="Block"),INDEX($O630:$Q630,1,MATCH(J$5,$I24:$K24,0)),INDEX(Movements!$G630:$M630,1,MATCH(J$7,Movements!$G$614:$M$614,0))))
*J1071*J$8,0)</f>
        <v>0</v>
      </c>
      <c r="K393" s="198">
        <f>_xlfn.IFNA(IF(K$7="Fixed",1,IF(AND($D90="yes",K$7="Block"),INDEX($O630:$Q630,1,MATCH(K$5,$I24:$K24,0)),INDEX(Movements!$G630:$M630,1,MATCH(K$7,Movements!$G$614:$M$614,0))))
*K1071*K$8,0)</f>
        <v>0</v>
      </c>
      <c r="L393" s="198">
        <f>_xlfn.IFNA(IF(L$7="Fixed",1,IF(AND($D90="yes",L$7="Block"),INDEX($O630:$Q630,1,MATCH(L$5,$I24:$K24,0)),INDEX(Movements!$G630:$M630,1,MATCH(L$7,Movements!$G$614:$M$614,0))))
*L1071*L$8,0)</f>
        <v>0</v>
      </c>
      <c r="M393" s="198">
        <f>_xlfn.IFNA(IF(M$7="Fixed",1,IF(AND($D90="yes",M$7="Block"),INDEX($O630:$Q630,1,MATCH(M$5,$I24:$K24,0)),INDEX(Movements!$G630:$M630,1,MATCH(M$7,Movements!$G$614:$M$614,0))))
*M1071*M$8,0)</f>
        <v>0</v>
      </c>
      <c r="N393" s="198">
        <f>_xlfn.IFNA(IF(N$7="Fixed",1,IF(AND($D90="yes",N$7="Block"),INDEX($O630:$Q630,1,MATCH(N$5,$I24:$K24,0)),INDEX(Movements!$G630:$M630,1,MATCH(N$7,Movements!$G$614:$M$614,0))))
*N1071*N$8,0)</f>
        <v>0</v>
      </c>
      <c r="O393" s="198">
        <f>_xlfn.IFNA(IF(O$7="Fixed",1,IF(AND($D90="yes",O$7="Block"),INDEX($O630:$Q630,1,MATCH(O$5,$I24:$K24,0)),INDEX(Movements!$G630:$M630,1,MATCH(O$7,Movements!$G$614:$M$614,0))))
*O1071*O$8,0)</f>
        <v>0</v>
      </c>
      <c r="P393" s="198">
        <f>_xlfn.IFNA(IF(P$7="Fixed",1,IF(AND($D90="yes",P$7="Block"),INDEX($O630:$Q630,1,MATCH(P$5,$I24:$K24,0)),INDEX(Movements!$G630:$M630,1,MATCH(P$7,Movements!$G$614:$M$614,0))))
*P1071*P$8,0)</f>
        <v>0</v>
      </c>
      <c r="Q393" s="198">
        <f>_xlfn.IFNA(IF(Q$7="Fixed",1,IF(AND($D90="yes",Q$7="Block"),INDEX($O630:$Q630,1,MATCH(Q$5,$I24:$K24,0)),INDEX(Movements!$G630:$M630,1,MATCH(Q$7,Movements!$G$614:$M$614,0))))
*Q1071*Q$8,0)</f>
        <v>0</v>
      </c>
      <c r="R393" s="198">
        <f>_xlfn.IFNA(IF(R$7="Fixed",1,IF(AND($D90="yes",R$7="Block"),INDEX($O630:$Q630,1,MATCH(R$5,$I24:$K24,0)),INDEX(Movements!$G630:$M630,1,MATCH(R$7,Movements!$G$614:$M$614,0))))
*R1071*R$8,0)</f>
        <v>0</v>
      </c>
      <c r="S393" s="198">
        <f>_xlfn.IFNA(IF(S$7="Fixed",1,IF(AND($D90="yes",S$7="Block"),INDEX($O630:$Q630,1,MATCH(S$5,$I24:$K24,0)),INDEX(Movements!$G630:$M630,1,MATCH(S$7,Movements!$G$614:$M$614,0))))
*S1071*S$8,0)</f>
        <v>0</v>
      </c>
      <c r="T393" s="198">
        <f>_xlfn.IFNA(IF(T$7="Fixed",1,IF(AND($D90="yes",T$7="Block"),INDEX($O630:$Q630,1,MATCH(T$5,$I24:$K24,0)),INDEX(Movements!$G630:$M630,1,MATCH(T$7,Movements!$G$614:$M$614,0))))
*T1071*T$8,0)</f>
        <v>0</v>
      </c>
      <c r="U393" s="198">
        <f>_xlfn.IFNA(IF(U$7="Fixed",1,IF(AND($D90="yes",U$7="Block"),INDEX($O630:$Q630,1,MATCH(U$5,$I24:$K24,0)),INDEX(Movements!$G630:$M630,1,MATCH(U$7,Movements!$G$614:$M$614,0))))
*U1071*U$8,0)</f>
        <v>0</v>
      </c>
      <c r="V393" s="198">
        <f>_xlfn.IFNA(IF(V$7="Fixed",1,IF(AND($D90="yes",V$7="Block"),INDEX($O630:$Q630,1,MATCH(V$5,$I24:$K24,0)),INDEX(Movements!$G630:$M630,1,MATCH(V$7,Movements!$G$614:$M$614,0))))
*V1071*V$8,0)</f>
        <v>0</v>
      </c>
      <c r="W393" s="198">
        <f>_xlfn.IFNA(IF(W$7="Fixed",1,IF(AND($D90="yes",W$7="Block"),INDEX($O630:$Q630,1,MATCH(W$5,$I24:$K24,0)),INDEX(Movements!$G630:$M630,1,MATCH(W$7,Movements!$G$614:$M$614,0))))
*W1071*W$8,0)</f>
        <v>0</v>
      </c>
      <c r="X393" s="198">
        <f>_xlfn.IFNA(IF(X$7="Fixed",1,IF(AND($D90="yes",X$7="Block"),INDEX($O630:$Q630,1,MATCH(X$5,$I24:$K24,0)),INDEX(Movements!$G630:$M630,1,MATCH(X$7,Movements!$G$614:$M$614,0))))
*X1071*X$8,0)</f>
        <v>0</v>
      </c>
      <c r="Y393" s="198">
        <f>_xlfn.IFNA(IF(Y$7="Fixed",1,IF(AND($D90="yes",Y$7="Block"),INDEX($O630:$Q630,1,MATCH(Y$5,$I24:$K24,0)),INDEX(Movements!$G630:$M630,1,MATCH(Y$7,Movements!$G$614:$M$614,0))))
*Y1071*Y$8,0)</f>
        <v>0</v>
      </c>
      <c r="Z393" s="198">
        <f>_xlfn.IFNA(IF(Z$7="Fixed",1,IF(AND($D90="yes",Z$7="Block"),INDEX($O630:$Q630,1,MATCH(Z$5,$I24:$K24,0)),INDEX(Movements!$G630:$M630,1,MATCH(Z$7,Movements!$G$614:$M$614,0))))
*Z1071*Z$8,0)</f>
        <v>0</v>
      </c>
      <c r="AA393" s="198">
        <f>_xlfn.IFNA(IF(AA$7="Fixed",1,IF(AND($D90="yes",AA$7="Block"),INDEX($O630:$Q630,1,MATCH(AA$5,$I24:$K24,0)),INDEX(Movements!$G630:$M630,1,MATCH(AA$7,Movements!$G$614:$M$614,0))))
*AA1071*AA$8,0)</f>
        <v>0</v>
      </c>
      <c r="AB393" s="198">
        <f>_xlfn.IFNA(IF(AB$7="Fixed",1,IF(AND($D90="yes",AB$7="Block"),INDEX($O630:$Q630,1,MATCH(AB$5,$I24:$K24,0)),INDEX(Movements!$G630:$M630,1,MATCH(AB$7,Movements!$G$614:$M$614,0))))
*AB1071*AB$8,0)</f>
        <v>0</v>
      </c>
      <c r="AC393" s="70"/>
      <c r="AD393" s="19"/>
      <c r="AE393" s="19"/>
      <c r="AF393" s="19"/>
      <c r="AG393" s="19"/>
    </row>
    <row r="394" spans="1:33" hidden="1" outlineLevel="3" x14ac:dyDescent="0.2">
      <c r="A394" s="19"/>
      <c r="B394" s="97">
        <v>15</v>
      </c>
      <c r="C394" s="506">
        <f t="shared" si="85"/>
        <v>0</v>
      </c>
      <c r="D394" s="505">
        <f t="shared" si="85"/>
        <v>0</v>
      </c>
      <c r="E394" s="505">
        <f t="shared" si="85"/>
        <v>0</v>
      </c>
      <c r="F394" s="58"/>
      <c r="G394" s="199">
        <f t="shared" si="86"/>
        <v>0</v>
      </c>
      <c r="H394" s="58"/>
      <c r="I394" s="198">
        <f>_xlfn.IFNA(IF(I$7="Fixed",1,IF(AND($D91="yes",I$7="Block"),INDEX($O631:$Q631,1,MATCH(I$5,$I25:$K25,0)),INDEX(Movements!$G631:$M631,1,MATCH(I$7,Movements!$G$614:$M$614,0))))
*I1072*I$8,0)</f>
        <v>0</v>
      </c>
      <c r="J394" s="198">
        <f>_xlfn.IFNA(IF(J$7="Fixed",1,IF(AND($D91="yes",J$7="Block"),INDEX($O631:$Q631,1,MATCH(J$5,$I25:$K25,0)),INDEX(Movements!$G631:$M631,1,MATCH(J$7,Movements!$G$614:$M$614,0))))
*J1072*J$8,0)</f>
        <v>0</v>
      </c>
      <c r="K394" s="198">
        <f>_xlfn.IFNA(IF(K$7="Fixed",1,IF(AND($D91="yes",K$7="Block"),INDEX($O631:$Q631,1,MATCH(K$5,$I25:$K25,0)),INDEX(Movements!$G631:$M631,1,MATCH(K$7,Movements!$G$614:$M$614,0))))
*K1072*K$8,0)</f>
        <v>0</v>
      </c>
      <c r="L394" s="198">
        <f>_xlfn.IFNA(IF(L$7="Fixed",1,IF(AND($D91="yes",L$7="Block"),INDEX($O631:$Q631,1,MATCH(L$5,$I25:$K25,0)),INDEX(Movements!$G631:$M631,1,MATCH(L$7,Movements!$G$614:$M$614,0))))
*L1072*L$8,0)</f>
        <v>0</v>
      </c>
      <c r="M394" s="198">
        <f>_xlfn.IFNA(IF(M$7="Fixed",1,IF(AND($D91="yes",M$7="Block"),INDEX($O631:$Q631,1,MATCH(M$5,$I25:$K25,0)),INDEX(Movements!$G631:$M631,1,MATCH(M$7,Movements!$G$614:$M$614,0))))
*M1072*M$8,0)</f>
        <v>0</v>
      </c>
      <c r="N394" s="198">
        <f>_xlfn.IFNA(IF(N$7="Fixed",1,IF(AND($D91="yes",N$7="Block"),INDEX($O631:$Q631,1,MATCH(N$5,$I25:$K25,0)),INDEX(Movements!$G631:$M631,1,MATCH(N$7,Movements!$G$614:$M$614,0))))
*N1072*N$8,0)</f>
        <v>0</v>
      </c>
      <c r="O394" s="198">
        <f>_xlfn.IFNA(IF(O$7="Fixed",1,IF(AND($D91="yes",O$7="Block"),INDEX($O631:$Q631,1,MATCH(O$5,$I25:$K25,0)),INDEX(Movements!$G631:$M631,1,MATCH(O$7,Movements!$G$614:$M$614,0))))
*O1072*O$8,0)</f>
        <v>0</v>
      </c>
      <c r="P394" s="198">
        <f>_xlfn.IFNA(IF(P$7="Fixed",1,IF(AND($D91="yes",P$7="Block"),INDEX($O631:$Q631,1,MATCH(P$5,$I25:$K25,0)),INDEX(Movements!$G631:$M631,1,MATCH(P$7,Movements!$G$614:$M$614,0))))
*P1072*P$8,0)</f>
        <v>0</v>
      </c>
      <c r="Q394" s="198">
        <f>_xlfn.IFNA(IF(Q$7="Fixed",1,IF(AND($D91="yes",Q$7="Block"),INDEX($O631:$Q631,1,MATCH(Q$5,$I25:$K25,0)),INDEX(Movements!$G631:$M631,1,MATCH(Q$7,Movements!$G$614:$M$614,0))))
*Q1072*Q$8,0)</f>
        <v>0</v>
      </c>
      <c r="R394" s="198">
        <f>_xlfn.IFNA(IF(R$7="Fixed",1,IF(AND($D91="yes",R$7="Block"),INDEX($O631:$Q631,1,MATCH(R$5,$I25:$K25,0)),INDEX(Movements!$G631:$M631,1,MATCH(R$7,Movements!$G$614:$M$614,0))))
*R1072*R$8,0)</f>
        <v>0</v>
      </c>
      <c r="S394" s="198">
        <f>_xlfn.IFNA(IF(S$7="Fixed",1,IF(AND($D91="yes",S$7="Block"),INDEX($O631:$Q631,1,MATCH(S$5,$I25:$K25,0)),INDEX(Movements!$G631:$M631,1,MATCH(S$7,Movements!$G$614:$M$614,0))))
*S1072*S$8,0)</f>
        <v>0</v>
      </c>
      <c r="T394" s="198">
        <f>_xlfn.IFNA(IF(T$7="Fixed",1,IF(AND($D91="yes",T$7="Block"),INDEX($O631:$Q631,1,MATCH(T$5,$I25:$K25,0)),INDEX(Movements!$G631:$M631,1,MATCH(T$7,Movements!$G$614:$M$614,0))))
*T1072*T$8,0)</f>
        <v>0</v>
      </c>
      <c r="U394" s="198">
        <f>_xlfn.IFNA(IF(U$7="Fixed",1,IF(AND($D91="yes",U$7="Block"),INDEX($O631:$Q631,1,MATCH(U$5,$I25:$K25,0)),INDEX(Movements!$G631:$M631,1,MATCH(U$7,Movements!$G$614:$M$614,0))))
*U1072*U$8,0)</f>
        <v>0</v>
      </c>
      <c r="V394" s="198">
        <f>_xlfn.IFNA(IF(V$7="Fixed",1,IF(AND($D91="yes",V$7="Block"),INDEX($O631:$Q631,1,MATCH(V$5,$I25:$K25,0)),INDEX(Movements!$G631:$M631,1,MATCH(V$7,Movements!$G$614:$M$614,0))))
*V1072*V$8,0)</f>
        <v>0</v>
      </c>
      <c r="W394" s="198">
        <f>_xlfn.IFNA(IF(W$7="Fixed",1,IF(AND($D91="yes",W$7="Block"),INDEX($O631:$Q631,1,MATCH(W$5,$I25:$K25,0)),INDEX(Movements!$G631:$M631,1,MATCH(W$7,Movements!$G$614:$M$614,0))))
*W1072*W$8,0)</f>
        <v>0</v>
      </c>
      <c r="X394" s="198">
        <f>_xlfn.IFNA(IF(X$7="Fixed",1,IF(AND($D91="yes",X$7="Block"),INDEX($O631:$Q631,1,MATCH(X$5,$I25:$K25,0)),INDEX(Movements!$G631:$M631,1,MATCH(X$7,Movements!$G$614:$M$614,0))))
*X1072*X$8,0)</f>
        <v>0</v>
      </c>
      <c r="Y394" s="198">
        <f>_xlfn.IFNA(IF(Y$7="Fixed",1,IF(AND($D91="yes",Y$7="Block"),INDEX($O631:$Q631,1,MATCH(Y$5,$I25:$K25,0)),INDEX(Movements!$G631:$M631,1,MATCH(Y$7,Movements!$G$614:$M$614,0))))
*Y1072*Y$8,0)</f>
        <v>0</v>
      </c>
      <c r="Z394" s="198">
        <f>_xlfn.IFNA(IF(Z$7="Fixed",1,IF(AND($D91="yes",Z$7="Block"),INDEX($O631:$Q631,1,MATCH(Z$5,$I25:$K25,0)),INDEX(Movements!$G631:$M631,1,MATCH(Z$7,Movements!$G$614:$M$614,0))))
*Z1072*Z$8,0)</f>
        <v>0</v>
      </c>
      <c r="AA394" s="198">
        <f>_xlfn.IFNA(IF(AA$7="Fixed",1,IF(AND($D91="yes",AA$7="Block"),INDEX($O631:$Q631,1,MATCH(AA$5,$I25:$K25,0)),INDEX(Movements!$G631:$M631,1,MATCH(AA$7,Movements!$G$614:$M$614,0))))
*AA1072*AA$8,0)</f>
        <v>0</v>
      </c>
      <c r="AB394" s="198">
        <f>_xlfn.IFNA(IF(AB$7="Fixed",1,IF(AND($D91="yes",AB$7="Block"),INDEX($O631:$Q631,1,MATCH(AB$5,$I25:$K25,0)),INDEX(Movements!$G631:$M631,1,MATCH(AB$7,Movements!$G$614:$M$614,0))))
*AB1072*AB$8,0)</f>
        <v>0</v>
      </c>
      <c r="AC394" s="70"/>
      <c r="AD394" s="19"/>
      <c r="AE394" s="19"/>
      <c r="AF394" s="19"/>
      <c r="AG394" s="19"/>
    </row>
    <row r="395" spans="1:33" hidden="1" outlineLevel="3" x14ac:dyDescent="0.2">
      <c r="A395" s="19"/>
      <c r="B395" s="98">
        <v>16</v>
      </c>
      <c r="C395" s="506">
        <f t="shared" si="85"/>
        <v>0</v>
      </c>
      <c r="D395" s="505">
        <f t="shared" si="85"/>
        <v>0</v>
      </c>
      <c r="E395" s="505">
        <f t="shared" si="85"/>
        <v>0</v>
      </c>
      <c r="F395" s="58"/>
      <c r="G395" s="199">
        <f t="shared" si="86"/>
        <v>0</v>
      </c>
      <c r="H395" s="58"/>
      <c r="I395" s="198">
        <f>_xlfn.IFNA(IF(I$7="Fixed",1,IF(AND($D92="yes",I$7="Block"),INDEX($O632:$Q632,1,MATCH(I$5,$I26:$K26,0)),INDEX(Movements!$G632:$M632,1,MATCH(I$7,Movements!$G$614:$M$614,0))))
*I1073*I$8,0)</f>
        <v>0</v>
      </c>
      <c r="J395" s="198">
        <f>_xlfn.IFNA(IF(J$7="Fixed",1,IF(AND($D92="yes",J$7="Block"),INDEX($O632:$Q632,1,MATCH(J$5,$I26:$K26,0)),INDEX(Movements!$G632:$M632,1,MATCH(J$7,Movements!$G$614:$M$614,0))))
*J1073*J$8,0)</f>
        <v>0</v>
      </c>
      <c r="K395" s="198">
        <f>_xlfn.IFNA(IF(K$7="Fixed",1,IF(AND($D92="yes",K$7="Block"),INDEX($O632:$Q632,1,MATCH(K$5,$I26:$K26,0)),INDEX(Movements!$G632:$M632,1,MATCH(K$7,Movements!$G$614:$M$614,0))))
*K1073*K$8,0)</f>
        <v>0</v>
      </c>
      <c r="L395" s="198">
        <f>_xlfn.IFNA(IF(L$7="Fixed",1,IF(AND($D92="yes",L$7="Block"),INDEX($O632:$Q632,1,MATCH(L$5,$I26:$K26,0)),INDEX(Movements!$G632:$M632,1,MATCH(L$7,Movements!$G$614:$M$614,0))))
*L1073*L$8,0)</f>
        <v>0</v>
      </c>
      <c r="M395" s="198">
        <f>_xlfn.IFNA(IF(M$7="Fixed",1,IF(AND($D92="yes",M$7="Block"),INDEX($O632:$Q632,1,MATCH(M$5,$I26:$K26,0)),INDEX(Movements!$G632:$M632,1,MATCH(M$7,Movements!$G$614:$M$614,0))))
*M1073*M$8,0)</f>
        <v>0</v>
      </c>
      <c r="N395" s="198">
        <f>_xlfn.IFNA(IF(N$7="Fixed",1,IF(AND($D92="yes",N$7="Block"),INDEX($O632:$Q632,1,MATCH(N$5,$I26:$K26,0)),INDEX(Movements!$G632:$M632,1,MATCH(N$7,Movements!$G$614:$M$614,0))))
*N1073*N$8,0)</f>
        <v>0</v>
      </c>
      <c r="O395" s="198">
        <f>_xlfn.IFNA(IF(O$7="Fixed",1,IF(AND($D92="yes",O$7="Block"),INDEX($O632:$Q632,1,MATCH(O$5,$I26:$K26,0)),INDEX(Movements!$G632:$M632,1,MATCH(O$7,Movements!$G$614:$M$614,0))))
*O1073*O$8,0)</f>
        <v>0</v>
      </c>
      <c r="P395" s="198">
        <f>_xlfn.IFNA(IF(P$7="Fixed",1,IF(AND($D92="yes",P$7="Block"),INDEX($O632:$Q632,1,MATCH(P$5,$I26:$K26,0)),INDEX(Movements!$G632:$M632,1,MATCH(P$7,Movements!$G$614:$M$614,0))))
*P1073*P$8,0)</f>
        <v>0</v>
      </c>
      <c r="Q395" s="198">
        <f>_xlfn.IFNA(IF(Q$7="Fixed",1,IF(AND($D92="yes",Q$7="Block"),INDEX($O632:$Q632,1,MATCH(Q$5,$I26:$K26,0)),INDEX(Movements!$G632:$M632,1,MATCH(Q$7,Movements!$G$614:$M$614,0))))
*Q1073*Q$8,0)</f>
        <v>0</v>
      </c>
      <c r="R395" s="198">
        <f>_xlfn.IFNA(IF(R$7="Fixed",1,IF(AND($D92="yes",R$7="Block"),INDEX($O632:$Q632,1,MATCH(R$5,$I26:$K26,0)),INDEX(Movements!$G632:$M632,1,MATCH(R$7,Movements!$G$614:$M$614,0))))
*R1073*R$8,0)</f>
        <v>0</v>
      </c>
      <c r="S395" s="198">
        <f>_xlfn.IFNA(IF(S$7="Fixed",1,IF(AND($D92="yes",S$7="Block"),INDEX($O632:$Q632,1,MATCH(S$5,$I26:$K26,0)),INDEX(Movements!$G632:$M632,1,MATCH(S$7,Movements!$G$614:$M$614,0))))
*S1073*S$8,0)</f>
        <v>0</v>
      </c>
      <c r="T395" s="198">
        <f>_xlfn.IFNA(IF(T$7="Fixed",1,IF(AND($D92="yes",T$7="Block"),INDEX($O632:$Q632,1,MATCH(T$5,$I26:$K26,0)),INDEX(Movements!$G632:$M632,1,MATCH(T$7,Movements!$G$614:$M$614,0))))
*T1073*T$8,0)</f>
        <v>0</v>
      </c>
      <c r="U395" s="198">
        <f>_xlfn.IFNA(IF(U$7="Fixed",1,IF(AND($D92="yes",U$7="Block"),INDEX($O632:$Q632,1,MATCH(U$5,$I26:$K26,0)),INDEX(Movements!$G632:$M632,1,MATCH(U$7,Movements!$G$614:$M$614,0))))
*U1073*U$8,0)</f>
        <v>0</v>
      </c>
      <c r="V395" s="198">
        <f>_xlfn.IFNA(IF(V$7="Fixed",1,IF(AND($D92="yes",V$7="Block"),INDEX($O632:$Q632,1,MATCH(V$5,$I26:$K26,0)),INDEX(Movements!$G632:$M632,1,MATCH(V$7,Movements!$G$614:$M$614,0))))
*V1073*V$8,0)</f>
        <v>0</v>
      </c>
      <c r="W395" s="198">
        <f>_xlfn.IFNA(IF(W$7="Fixed",1,IF(AND($D92="yes",W$7="Block"),INDEX($O632:$Q632,1,MATCH(W$5,$I26:$K26,0)),INDEX(Movements!$G632:$M632,1,MATCH(W$7,Movements!$G$614:$M$614,0))))
*W1073*W$8,0)</f>
        <v>0</v>
      </c>
      <c r="X395" s="198">
        <f>_xlfn.IFNA(IF(X$7="Fixed",1,IF(AND($D92="yes",X$7="Block"),INDEX($O632:$Q632,1,MATCH(X$5,$I26:$K26,0)),INDEX(Movements!$G632:$M632,1,MATCH(X$7,Movements!$G$614:$M$614,0))))
*X1073*X$8,0)</f>
        <v>0</v>
      </c>
      <c r="Y395" s="198">
        <f>_xlfn.IFNA(IF(Y$7="Fixed",1,IF(AND($D92="yes",Y$7="Block"),INDEX($O632:$Q632,1,MATCH(Y$5,$I26:$K26,0)),INDEX(Movements!$G632:$M632,1,MATCH(Y$7,Movements!$G$614:$M$614,0))))
*Y1073*Y$8,0)</f>
        <v>0</v>
      </c>
      <c r="Z395" s="198">
        <f>_xlfn.IFNA(IF(Z$7="Fixed",1,IF(AND($D92="yes",Z$7="Block"),INDEX($O632:$Q632,1,MATCH(Z$5,$I26:$K26,0)),INDEX(Movements!$G632:$M632,1,MATCH(Z$7,Movements!$G$614:$M$614,0))))
*Z1073*Z$8,0)</f>
        <v>0</v>
      </c>
      <c r="AA395" s="198">
        <f>_xlfn.IFNA(IF(AA$7="Fixed",1,IF(AND($D92="yes",AA$7="Block"),INDEX($O632:$Q632,1,MATCH(AA$5,$I26:$K26,0)),INDEX(Movements!$G632:$M632,1,MATCH(AA$7,Movements!$G$614:$M$614,0))))
*AA1073*AA$8,0)</f>
        <v>0</v>
      </c>
      <c r="AB395" s="198">
        <f>_xlfn.IFNA(IF(AB$7="Fixed",1,IF(AND($D92="yes",AB$7="Block"),INDEX($O632:$Q632,1,MATCH(AB$5,$I26:$K26,0)),INDEX(Movements!$G632:$M632,1,MATCH(AB$7,Movements!$G$614:$M$614,0))))
*AB1073*AB$8,0)</f>
        <v>0</v>
      </c>
      <c r="AC395" s="70"/>
      <c r="AD395" s="19"/>
      <c r="AE395" s="19"/>
      <c r="AF395" s="19"/>
      <c r="AG395" s="19"/>
    </row>
    <row r="396" spans="1:33" hidden="1" outlineLevel="3" x14ac:dyDescent="0.2">
      <c r="A396" s="19"/>
      <c r="B396" s="97">
        <v>17</v>
      </c>
      <c r="C396" s="506">
        <f t="shared" si="85"/>
        <v>0</v>
      </c>
      <c r="D396" s="505">
        <f t="shared" si="85"/>
        <v>0</v>
      </c>
      <c r="E396" s="505">
        <f t="shared" si="85"/>
        <v>0</v>
      </c>
      <c r="F396" s="58"/>
      <c r="G396" s="199">
        <f t="shared" si="86"/>
        <v>0</v>
      </c>
      <c r="H396" s="58"/>
      <c r="I396" s="198">
        <f>_xlfn.IFNA(IF(I$7="Fixed",1,IF(AND($D93="yes",I$7="Block"),INDEX($O633:$Q633,1,MATCH(I$5,$I27:$K27,0)),INDEX(Movements!$G633:$M633,1,MATCH(I$7,Movements!$G$614:$M$614,0))))
*I1074*I$8,0)</f>
        <v>0</v>
      </c>
      <c r="J396" s="198">
        <f>_xlfn.IFNA(IF(J$7="Fixed",1,IF(AND($D93="yes",J$7="Block"),INDEX($O633:$Q633,1,MATCH(J$5,$I27:$K27,0)),INDEX(Movements!$G633:$M633,1,MATCH(J$7,Movements!$G$614:$M$614,0))))
*J1074*J$8,0)</f>
        <v>0</v>
      </c>
      <c r="K396" s="198">
        <f>_xlfn.IFNA(IF(K$7="Fixed",1,IF(AND($D93="yes",K$7="Block"),INDEX($O633:$Q633,1,MATCH(K$5,$I27:$K27,0)),INDEX(Movements!$G633:$M633,1,MATCH(K$7,Movements!$G$614:$M$614,0))))
*K1074*K$8,0)</f>
        <v>0</v>
      </c>
      <c r="L396" s="198">
        <f>_xlfn.IFNA(IF(L$7="Fixed",1,IF(AND($D93="yes",L$7="Block"),INDEX($O633:$Q633,1,MATCH(L$5,$I27:$K27,0)),INDEX(Movements!$G633:$M633,1,MATCH(L$7,Movements!$G$614:$M$614,0))))
*L1074*L$8,0)</f>
        <v>0</v>
      </c>
      <c r="M396" s="198">
        <f>_xlfn.IFNA(IF(M$7="Fixed",1,IF(AND($D93="yes",M$7="Block"),INDEX($O633:$Q633,1,MATCH(M$5,$I27:$K27,0)),INDEX(Movements!$G633:$M633,1,MATCH(M$7,Movements!$G$614:$M$614,0))))
*M1074*M$8,0)</f>
        <v>0</v>
      </c>
      <c r="N396" s="198">
        <f>_xlfn.IFNA(IF(N$7="Fixed",1,IF(AND($D93="yes",N$7="Block"),INDEX($O633:$Q633,1,MATCH(N$5,$I27:$K27,0)),INDEX(Movements!$G633:$M633,1,MATCH(N$7,Movements!$G$614:$M$614,0))))
*N1074*N$8,0)</f>
        <v>0</v>
      </c>
      <c r="O396" s="198">
        <f>_xlfn.IFNA(IF(O$7="Fixed",1,IF(AND($D93="yes",O$7="Block"),INDEX($O633:$Q633,1,MATCH(O$5,$I27:$K27,0)),INDEX(Movements!$G633:$M633,1,MATCH(O$7,Movements!$G$614:$M$614,0))))
*O1074*O$8,0)</f>
        <v>0</v>
      </c>
      <c r="P396" s="198">
        <f>_xlfn.IFNA(IF(P$7="Fixed",1,IF(AND($D93="yes",P$7="Block"),INDEX($O633:$Q633,1,MATCH(P$5,$I27:$K27,0)),INDEX(Movements!$G633:$M633,1,MATCH(P$7,Movements!$G$614:$M$614,0))))
*P1074*P$8,0)</f>
        <v>0</v>
      </c>
      <c r="Q396" s="198">
        <f>_xlfn.IFNA(IF(Q$7="Fixed",1,IF(AND($D93="yes",Q$7="Block"),INDEX($O633:$Q633,1,MATCH(Q$5,$I27:$K27,0)),INDEX(Movements!$G633:$M633,1,MATCH(Q$7,Movements!$G$614:$M$614,0))))
*Q1074*Q$8,0)</f>
        <v>0</v>
      </c>
      <c r="R396" s="198">
        <f>_xlfn.IFNA(IF(R$7="Fixed",1,IF(AND($D93="yes",R$7="Block"),INDEX($O633:$Q633,1,MATCH(R$5,$I27:$K27,0)),INDEX(Movements!$G633:$M633,1,MATCH(R$7,Movements!$G$614:$M$614,0))))
*R1074*R$8,0)</f>
        <v>0</v>
      </c>
      <c r="S396" s="198">
        <f>_xlfn.IFNA(IF(S$7="Fixed",1,IF(AND($D93="yes",S$7="Block"),INDEX($O633:$Q633,1,MATCH(S$5,$I27:$K27,0)),INDEX(Movements!$G633:$M633,1,MATCH(S$7,Movements!$G$614:$M$614,0))))
*S1074*S$8,0)</f>
        <v>0</v>
      </c>
      <c r="T396" s="198">
        <f>_xlfn.IFNA(IF(T$7="Fixed",1,IF(AND($D93="yes",T$7="Block"),INDEX($O633:$Q633,1,MATCH(T$5,$I27:$K27,0)),INDEX(Movements!$G633:$M633,1,MATCH(T$7,Movements!$G$614:$M$614,0))))
*T1074*T$8,0)</f>
        <v>0</v>
      </c>
      <c r="U396" s="198">
        <f>_xlfn.IFNA(IF(U$7="Fixed",1,IF(AND($D93="yes",U$7="Block"),INDEX($O633:$Q633,1,MATCH(U$5,$I27:$K27,0)),INDEX(Movements!$G633:$M633,1,MATCH(U$7,Movements!$G$614:$M$614,0))))
*U1074*U$8,0)</f>
        <v>0</v>
      </c>
      <c r="V396" s="198">
        <f>_xlfn.IFNA(IF(V$7="Fixed",1,IF(AND($D93="yes",V$7="Block"),INDEX($O633:$Q633,1,MATCH(V$5,$I27:$K27,0)),INDEX(Movements!$G633:$M633,1,MATCH(V$7,Movements!$G$614:$M$614,0))))
*V1074*V$8,0)</f>
        <v>0</v>
      </c>
      <c r="W396" s="198">
        <f>_xlfn.IFNA(IF(W$7="Fixed",1,IF(AND($D93="yes",W$7="Block"),INDEX($O633:$Q633,1,MATCH(W$5,$I27:$K27,0)),INDEX(Movements!$G633:$M633,1,MATCH(W$7,Movements!$G$614:$M$614,0))))
*W1074*W$8,0)</f>
        <v>0</v>
      </c>
      <c r="X396" s="198">
        <f>_xlfn.IFNA(IF(X$7="Fixed",1,IF(AND($D93="yes",X$7="Block"),INDEX($O633:$Q633,1,MATCH(X$5,$I27:$K27,0)),INDEX(Movements!$G633:$M633,1,MATCH(X$7,Movements!$G$614:$M$614,0))))
*X1074*X$8,0)</f>
        <v>0</v>
      </c>
      <c r="Y396" s="198">
        <f>_xlfn.IFNA(IF(Y$7="Fixed",1,IF(AND($D93="yes",Y$7="Block"),INDEX($O633:$Q633,1,MATCH(Y$5,$I27:$K27,0)),INDEX(Movements!$G633:$M633,1,MATCH(Y$7,Movements!$G$614:$M$614,0))))
*Y1074*Y$8,0)</f>
        <v>0</v>
      </c>
      <c r="Z396" s="198">
        <f>_xlfn.IFNA(IF(Z$7="Fixed",1,IF(AND($D93="yes",Z$7="Block"),INDEX($O633:$Q633,1,MATCH(Z$5,$I27:$K27,0)),INDEX(Movements!$G633:$M633,1,MATCH(Z$7,Movements!$G$614:$M$614,0))))
*Z1074*Z$8,0)</f>
        <v>0</v>
      </c>
      <c r="AA396" s="198">
        <f>_xlfn.IFNA(IF(AA$7="Fixed",1,IF(AND($D93="yes",AA$7="Block"),INDEX($O633:$Q633,1,MATCH(AA$5,$I27:$K27,0)),INDEX(Movements!$G633:$M633,1,MATCH(AA$7,Movements!$G$614:$M$614,0))))
*AA1074*AA$8,0)</f>
        <v>0</v>
      </c>
      <c r="AB396" s="198">
        <f>_xlfn.IFNA(IF(AB$7="Fixed",1,IF(AND($D93="yes",AB$7="Block"),INDEX($O633:$Q633,1,MATCH(AB$5,$I27:$K27,0)),INDEX(Movements!$G633:$M633,1,MATCH(AB$7,Movements!$G$614:$M$614,0))))
*AB1074*AB$8,0)</f>
        <v>0</v>
      </c>
      <c r="AC396" s="70"/>
      <c r="AD396" s="19"/>
      <c r="AE396" s="19"/>
      <c r="AF396" s="19"/>
      <c r="AG396" s="19"/>
    </row>
    <row r="397" spans="1:33" hidden="1" outlineLevel="3" x14ac:dyDescent="0.2">
      <c r="A397" s="19"/>
      <c r="B397" s="97">
        <v>18</v>
      </c>
      <c r="C397" s="506">
        <f t="shared" si="85"/>
        <v>0</v>
      </c>
      <c r="D397" s="505">
        <f t="shared" si="85"/>
        <v>0</v>
      </c>
      <c r="E397" s="505">
        <f t="shared" si="85"/>
        <v>0</v>
      </c>
      <c r="F397" s="58"/>
      <c r="G397" s="199">
        <f t="shared" si="86"/>
        <v>0</v>
      </c>
      <c r="H397" s="58"/>
      <c r="I397" s="198">
        <f>_xlfn.IFNA(IF(I$7="Fixed",1,IF(AND($D94="yes",I$7="Block"),INDEX($O634:$Q634,1,MATCH(I$5,$I28:$K28,0)),INDEX(Movements!$G634:$M634,1,MATCH(I$7,Movements!$G$614:$M$614,0))))
*I1075*I$8,0)</f>
        <v>0</v>
      </c>
      <c r="J397" s="198">
        <f>_xlfn.IFNA(IF(J$7="Fixed",1,IF(AND($D94="yes",J$7="Block"),INDEX($O634:$Q634,1,MATCH(J$5,$I28:$K28,0)),INDEX(Movements!$G634:$M634,1,MATCH(J$7,Movements!$G$614:$M$614,0))))
*J1075*J$8,0)</f>
        <v>0</v>
      </c>
      <c r="K397" s="198">
        <f>_xlfn.IFNA(IF(K$7="Fixed",1,IF(AND($D94="yes",K$7="Block"),INDEX($O634:$Q634,1,MATCH(K$5,$I28:$K28,0)),INDEX(Movements!$G634:$M634,1,MATCH(K$7,Movements!$G$614:$M$614,0))))
*K1075*K$8,0)</f>
        <v>0</v>
      </c>
      <c r="L397" s="198">
        <f>_xlfn.IFNA(IF(L$7="Fixed",1,IF(AND($D94="yes",L$7="Block"),INDEX($O634:$Q634,1,MATCH(L$5,$I28:$K28,0)),INDEX(Movements!$G634:$M634,1,MATCH(L$7,Movements!$G$614:$M$614,0))))
*L1075*L$8,0)</f>
        <v>0</v>
      </c>
      <c r="M397" s="198">
        <f>_xlfn.IFNA(IF(M$7="Fixed",1,IF(AND($D94="yes",M$7="Block"),INDEX($O634:$Q634,1,MATCH(M$5,$I28:$K28,0)),INDEX(Movements!$G634:$M634,1,MATCH(M$7,Movements!$G$614:$M$614,0))))
*M1075*M$8,0)</f>
        <v>0</v>
      </c>
      <c r="N397" s="198">
        <f>_xlfn.IFNA(IF(N$7="Fixed",1,IF(AND($D94="yes",N$7="Block"),INDEX($O634:$Q634,1,MATCH(N$5,$I28:$K28,0)),INDEX(Movements!$G634:$M634,1,MATCH(N$7,Movements!$G$614:$M$614,0))))
*N1075*N$8,0)</f>
        <v>0</v>
      </c>
      <c r="O397" s="198">
        <f>_xlfn.IFNA(IF(O$7="Fixed",1,IF(AND($D94="yes",O$7="Block"),INDEX($O634:$Q634,1,MATCH(O$5,$I28:$K28,0)),INDEX(Movements!$G634:$M634,1,MATCH(O$7,Movements!$G$614:$M$614,0))))
*O1075*O$8,0)</f>
        <v>0</v>
      </c>
      <c r="P397" s="198">
        <f>_xlfn.IFNA(IF(P$7="Fixed",1,IF(AND($D94="yes",P$7="Block"),INDEX($O634:$Q634,1,MATCH(P$5,$I28:$K28,0)),INDEX(Movements!$G634:$M634,1,MATCH(P$7,Movements!$G$614:$M$614,0))))
*P1075*P$8,0)</f>
        <v>0</v>
      </c>
      <c r="Q397" s="198">
        <f>_xlfn.IFNA(IF(Q$7="Fixed",1,IF(AND($D94="yes",Q$7="Block"),INDEX($O634:$Q634,1,MATCH(Q$5,$I28:$K28,0)),INDEX(Movements!$G634:$M634,1,MATCH(Q$7,Movements!$G$614:$M$614,0))))
*Q1075*Q$8,0)</f>
        <v>0</v>
      </c>
      <c r="R397" s="198">
        <f>_xlfn.IFNA(IF(R$7="Fixed",1,IF(AND($D94="yes",R$7="Block"),INDEX($O634:$Q634,1,MATCH(R$5,$I28:$K28,0)),INDEX(Movements!$G634:$M634,1,MATCH(R$7,Movements!$G$614:$M$614,0))))
*R1075*R$8,0)</f>
        <v>0</v>
      </c>
      <c r="S397" s="198">
        <f>_xlfn.IFNA(IF(S$7="Fixed",1,IF(AND($D94="yes",S$7="Block"),INDEX($O634:$Q634,1,MATCH(S$5,$I28:$K28,0)),INDEX(Movements!$G634:$M634,1,MATCH(S$7,Movements!$G$614:$M$614,0))))
*S1075*S$8,0)</f>
        <v>0</v>
      </c>
      <c r="T397" s="198">
        <f>_xlfn.IFNA(IF(T$7="Fixed",1,IF(AND($D94="yes",T$7="Block"),INDEX($O634:$Q634,1,MATCH(T$5,$I28:$K28,0)),INDEX(Movements!$G634:$M634,1,MATCH(T$7,Movements!$G$614:$M$614,0))))
*T1075*T$8,0)</f>
        <v>0</v>
      </c>
      <c r="U397" s="198">
        <f>_xlfn.IFNA(IF(U$7="Fixed",1,IF(AND($D94="yes",U$7="Block"),INDEX($O634:$Q634,1,MATCH(U$5,$I28:$K28,0)),INDEX(Movements!$G634:$M634,1,MATCH(U$7,Movements!$G$614:$M$614,0))))
*U1075*U$8,0)</f>
        <v>0</v>
      </c>
      <c r="V397" s="198">
        <f>_xlfn.IFNA(IF(V$7="Fixed",1,IF(AND($D94="yes",V$7="Block"),INDEX($O634:$Q634,1,MATCH(V$5,$I28:$K28,0)),INDEX(Movements!$G634:$M634,1,MATCH(V$7,Movements!$G$614:$M$614,0))))
*V1075*V$8,0)</f>
        <v>0</v>
      </c>
      <c r="W397" s="198">
        <f>_xlfn.IFNA(IF(W$7="Fixed",1,IF(AND($D94="yes",W$7="Block"),INDEX($O634:$Q634,1,MATCH(W$5,$I28:$K28,0)),INDEX(Movements!$G634:$M634,1,MATCH(W$7,Movements!$G$614:$M$614,0))))
*W1075*W$8,0)</f>
        <v>0</v>
      </c>
      <c r="X397" s="198">
        <f>_xlfn.IFNA(IF(X$7="Fixed",1,IF(AND($D94="yes",X$7="Block"),INDEX($O634:$Q634,1,MATCH(X$5,$I28:$K28,0)),INDEX(Movements!$G634:$M634,1,MATCH(X$7,Movements!$G$614:$M$614,0))))
*X1075*X$8,0)</f>
        <v>0</v>
      </c>
      <c r="Y397" s="198">
        <f>_xlfn.IFNA(IF(Y$7="Fixed",1,IF(AND($D94="yes",Y$7="Block"),INDEX($O634:$Q634,1,MATCH(Y$5,$I28:$K28,0)),INDEX(Movements!$G634:$M634,1,MATCH(Y$7,Movements!$G$614:$M$614,0))))
*Y1075*Y$8,0)</f>
        <v>0</v>
      </c>
      <c r="Z397" s="198">
        <f>_xlfn.IFNA(IF(Z$7="Fixed",1,IF(AND($D94="yes",Z$7="Block"),INDEX($O634:$Q634,1,MATCH(Z$5,$I28:$K28,0)),INDEX(Movements!$G634:$M634,1,MATCH(Z$7,Movements!$G$614:$M$614,0))))
*Z1075*Z$8,0)</f>
        <v>0</v>
      </c>
      <c r="AA397" s="198">
        <f>_xlfn.IFNA(IF(AA$7="Fixed",1,IF(AND($D94="yes",AA$7="Block"),INDEX($O634:$Q634,1,MATCH(AA$5,$I28:$K28,0)),INDEX(Movements!$G634:$M634,1,MATCH(AA$7,Movements!$G$614:$M$614,0))))
*AA1075*AA$8,0)</f>
        <v>0</v>
      </c>
      <c r="AB397" s="198">
        <f>_xlfn.IFNA(IF(AB$7="Fixed",1,IF(AND($D94="yes",AB$7="Block"),INDEX($O634:$Q634,1,MATCH(AB$5,$I28:$K28,0)),INDEX(Movements!$G634:$M634,1,MATCH(AB$7,Movements!$G$614:$M$614,0))))
*AB1075*AB$8,0)</f>
        <v>0</v>
      </c>
      <c r="AC397" s="70"/>
      <c r="AD397" s="19"/>
      <c r="AE397" s="19"/>
      <c r="AF397" s="19"/>
      <c r="AG397" s="19"/>
    </row>
    <row r="398" spans="1:33" hidden="1" outlineLevel="3" x14ac:dyDescent="0.2">
      <c r="A398" s="19"/>
      <c r="B398" s="97">
        <v>19</v>
      </c>
      <c r="C398" s="506">
        <f t="shared" si="85"/>
        <v>0</v>
      </c>
      <c r="D398" s="505">
        <f t="shared" si="85"/>
        <v>0</v>
      </c>
      <c r="E398" s="505">
        <f t="shared" si="85"/>
        <v>0</v>
      </c>
      <c r="F398" s="58"/>
      <c r="G398" s="199">
        <f t="shared" si="86"/>
        <v>0</v>
      </c>
      <c r="H398" s="58"/>
      <c r="I398" s="198">
        <f>_xlfn.IFNA(IF(I$7="Fixed",1,IF(AND($D95="yes",I$7="Block"),INDEX($O635:$Q635,1,MATCH(I$5,$I29:$K29,0)),INDEX(Movements!$G635:$M635,1,MATCH(I$7,Movements!$G$614:$M$614,0))))
*I1076*I$8,0)</f>
        <v>0</v>
      </c>
      <c r="J398" s="198">
        <f>_xlfn.IFNA(IF(J$7="Fixed",1,IF(AND($D95="yes",J$7="Block"),INDEX($O635:$Q635,1,MATCH(J$5,$I29:$K29,0)),INDEX(Movements!$G635:$M635,1,MATCH(J$7,Movements!$G$614:$M$614,0))))
*J1076*J$8,0)</f>
        <v>0</v>
      </c>
      <c r="K398" s="198">
        <f>_xlfn.IFNA(IF(K$7="Fixed",1,IF(AND($D95="yes",K$7="Block"),INDEX($O635:$Q635,1,MATCH(K$5,$I29:$K29,0)),INDEX(Movements!$G635:$M635,1,MATCH(K$7,Movements!$G$614:$M$614,0))))
*K1076*K$8,0)</f>
        <v>0</v>
      </c>
      <c r="L398" s="198">
        <f>_xlfn.IFNA(IF(L$7="Fixed",1,IF(AND($D95="yes",L$7="Block"),INDEX($O635:$Q635,1,MATCH(L$5,$I29:$K29,0)),INDEX(Movements!$G635:$M635,1,MATCH(L$7,Movements!$G$614:$M$614,0))))
*L1076*L$8,0)</f>
        <v>0</v>
      </c>
      <c r="M398" s="198">
        <f>_xlfn.IFNA(IF(M$7="Fixed",1,IF(AND($D95="yes",M$7="Block"),INDEX($O635:$Q635,1,MATCH(M$5,$I29:$K29,0)),INDEX(Movements!$G635:$M635,1,MATCH(M$7,Movements!$G$614:$M$614,0))))
*M1076*M$8,0)</f>
        <v>0</v>
      </c>
      <c r="N398" s="198">
        <f>_xlfn.IFNA(IF(N$7="Fixed",1,IF(AND($D95="yes",N$7="Block"),INDEX($O635:$Q635,1,MATCH(N$5,$I29:$K29,0)),INDEX(Movements!$G635:$M635,1,MATCH(N$7,Movements!$G$614:$M$614,0))))
*N1076*N$8,0)</f>
        <v>0</v>
      </c>
      <c r="O398" s="198">
        <f>_xlfn.IFNA(IF(O$7="Fixed",1,IF(AND($D95="yes",O$7="Block"),INDEX($O635:$Q635,1,MATCH(O$5,$I29:$K29,0)),INDEX(Movements!$G635:$M635,1,MATCH(O$7,Movements!$G$614:$M$614,0))))
*O1076*O$8,0)</f>
        <v>0</v>
      </c>
      <c r="P398" s="198">
        <f>_xlfn.IFNA(IF(P$7="Fixed",1,IF(AND($D95="yes",P$7="Block"),INDEX($O635:$Q635,1,MATCH(P$5,$I29:$K29,0)),INDEX(Movements!$G635:$M635,1,MATCH(P$7,Movements!$G$614:$M$614,0))))
*P1076*P$8,0)</f>
        <v>0</v>
      </c>
      <c r="Q398" s="198">
        <f>_xlfn.IFNA(IF(Q$7="Fixed",1,IF(AND($D95="yes",Q$7="Block"),INDEX($O635:$Q635,1,MATCH(Q$5,$I29:$K29,0)),INDEX(Movements!$G635:$M635,1,MATCH(Q$7,Movements!$G$614:$M$614,0))))
*Q1076*Q$8,0)</f>
        <v>0</v>
      </c>
      <c r="R398" s="198">
        <f>_xlfn.IFNA(IF(R$7="Fixed",1,IF(AND($D95="yes",R$7="Block"),INDEX($O635:$Q635,1,MATCH(R$5,$I29:$K29,0)),INDEX(Movements!$G635:$M635,1,MATCH(R$7,Movements!$G$614:$M$614,0))))
*R1076*R$8,0)</f>
        <v>0</v>
      </c>
      <c r="S398" s="198">
        <f>_xlfn.IFNA(IF(S$7="Fixed",1,IF(AND($D95="yes",S$7="Block"),INDEX($O635:$Q635,1,MATCH(S$5,$I29:$K29,0)),INDEX(Movements!$G635:$M635,1,MATCH(S$7,Movements!$G$614:$M$614,0))))
*S1076*S$8,0)</f>
        <v>0</v>
      </c>
      <c r="T398" s="198">
        <f>_xlfn.IFNA(IF(T$7="Fixed",1,IF(AND($D95="yes",T$7="Block"),INDEX($O635:$Q635,1,MATCH(T$5,$I29:$K29,0)),INDEX(Movements!$G635:$M635,1,MATCH(T$7,Movements!$G$614:$M$614,0))))
*T1076*T$8,0)</f>
        <v>0</v>
      </c>
      <c r="U398" s="198">
        <f>_xlfn.IFNA(IF(U$7="Fixed",1,IF(AND($D95="yes",U$7="Block"),INDEX($O635:$Q635,1,MATCH(U$5,$I29:$K29,0)),INDEX(Movements!$G635:$M635,1,MATCH(U$7,Movements!$G$614:$M$614,0))))
*U1076*U$8,0)</f>
        <v>0</v>
      </c>
      <c r="V398" s="198">
        <f>_xlfn.IFNA(IF(V$7="Fixed",1,IF(AND($D95="yes",V$7="Block"),INDEX($O635:$Q635,1,MATCH(V$5,$I29:$K29,0)),INDEX(Movements!$G635:$M635,1,MATCH(V$7,Movements!$G$614:$M$614,0))))
*V1076*V$8,0)</f>
        <v>0</v>
      </c>
      <c r="W398" s="198">
        <f>_xlfn.IFNA(IF(W$7="Fixed",1,IF(AND($D95="yes",W$7="Block"),INDEX($O635:$Q635,1,MATCH(W$5,$I29:$K29,0)),INDEX(Movements!$G635:$M635,1,MATCH(W$7,Movements!$G$614:$M$614,0))))
*W1076*W$8,0)</f>
        <v>0</v>
      </c>
      <c r="X398" s="198">
        <f>_xlfn.IFNA(IF(X$7="Fixed",1,IF(AND($D95="yes",X$7="Block"),INDEX($O635:$Q635,1,MATCH(X$5,$I29:$K29,0)),INDEX(Movements!$G635:$M635,1,MATCH(X$7,Movements!$G$614:$M$614,0))))
*X1076*X$8,0)</f>
        <v>0</v>
      </c>
      <c r="Y398" s="198">
        <f>_xlfn.IFNA(IF(Y$7="Fixed",1,IF(AND($D95="yes",Y$7="Block"),INDEX($O635:$Q635,1,MATCH(Y$5,$I29:$K29,0)),INDEX(Movements!$G635:$M635,1,MATCH(Y$7,Movements!$G$614:$M$614,0))))
*Y1076*Y$8,0)</f>
        <v>0</v>
      </c>
      <c r="Z398" s="198">
        <f>_xlfn.IFNA(IF(Z$7="Fixed",1,IF(AND($D95="yes",Z$7="Block"),INDEX($O635:$Q635,1,MATCH(Z$5,$I29:$K29,0)),INDEX(Movements!$G635:$M635,1,MATCH(Z$7,Movements!$G$614:$M$614,0))))
*Z1076*Z$8,0)</f>
        <v>0</v>
      </c>
      <c r="AA398" s="198">
        <f>_xlfn.IFNA(IF(AA$7="Fixed",1,IF(AND($D95="yes",AA$7="Block"),INDEX($O635:$Q635,1,MATCH(AA$5,$I29:$K29,0)),INDEX(Movements!$G635:$M635,1,MATCH(AA$7,Movements!$G$614:$M$614,0))))
*AA1076*AA$8,0)</f>
        <v>0</v>
      </c>
      <c r="AB398" s="198">
        <f>_xlfn.IFNA(IF(AB$7="Fixed",1,IF(AND($D95="yes",AB$7="Block"),INDEX($O635:$Q635,1,MATCH(AB$5,$I29:$K29,0)),INDEX(Movements!$G635:$M635,1,MATCH(AB$7,Movements!$G$614:$M$614,0))))
*AB1076*AB$8,0)</f>
        <v>0</v>
      </c>
      <c r="AC398" s="70"/>
      <c r="AD398" s="19"/>
      <c r="AE398" s="19"/>
      <c r="AF398" s="19"/>
      <c r="AG398" s="19"/>
    </row>
    <row r="399" spans="1:33" hidden="1" outlineLevel="3" x14ac:dyDescent="0.2">
      <c r="A399" s="19"/>
      <c r="B399" s="97">
        <v>20</v>
      </c>
      <c r="C399" s="506">
        <f t="shared" si="85"/>
        <v>0</v>
      </c>
      <c r="D399" s="505">
        <f t="shared" si="85"/>
        <v>0</v>
      </c>
      <c r="E399" s="505">
        <f t="shared" si="85"/>
        <v>0</v>
      </c>
      <c r="F399" s="58"/>
      <c r="G399" s="199">
        <f t="shared" si="86"/>
        <v>0</v>
      </c>
      <c r="H399" s="58"/>
      <c r="I399" s="198">
        <f>_xlfn.IFNA(IF(I$7="Fixed",1,IF(AND($D96="yes",I$7="Block"),INDEX($O636:$Q636,1,MATCH(I$5,$I30:$K30,0)),INDEX(Movements!$G636:$M636,1,MATCH(I$7,Movements!$G$614:$M$614,0))))
*I1077*I$8,0)</f>
        <v>0</v>
      </c>
      <c r="J399" s="198">
        <f>_xlfn.IFNA(IF(J$7="Fixed",1,IF(AND($D96="yes",J$7="Block"),INDEX($O636:$Q636,1,MATCH(J$5,$I30:$K30,0)),INDEX(Movements!$G636:$M636,1,MATCH(J$7,Movements!$G$614:$M$614,0))))
*J1077*J$8,0)</f>
        <v>0</v>
      </c>
      <c r="K399" s="198">
        <f>_xlfn.IFNA(IF(K$7="Fixed",1,IF(AND($D96="yes",K$7="Block"),INDEX($O636:$Q636,1,MATCH(K$5,$I30:$K30,0)),INDEX(Movements!$G636:$M636,1,MATCH(K$7,Movements!$G$614:$M$614,0))))
*K1077*K$8,0)</f>
        <v>0</v>
      </c>
      <c r="L399" s="198">
        <f>_xlfn.IFNA(IF(L$7="Fixed",1,IF(AND($D96="yes",L$7="Block"),INDEX($O636:$Q636,1,MATCH(L$5,$I30:$K30,0)),INDEX(Movements!$G636:$M636,1,MATCH(L$7,Movements!$G$614:$M$614,0))))
*L1077*L$8,0)</f>
        <v>0</v>
      </c>
      <c r="M399" s="198">
        <f>_xlfn.IFNA(IF(M$7="Fixed",1,IF(AND($D96="yes",M$7="Block"),INDEX($O636:$Q636,1,MATCH(M$5,$I30:$K30,0)),INDEX(Movements!$G636:$M636,1,MATCH(M$7,Movements!$G$614:$M$614,0))))
*M1077*M$8,0)</f>
        <v>0</v>
      </c>
      <c r="N399" s="198">
        <f>_xlfn.IFNA(IF(N$7="Fixed",1,IF(AND($D96="yes",N$7="Block"),INDEX($O636:$Q636,1,MATCH(N$5,$I30:$K30,0)),INDEX(Movements!$G636:$M636,1,MATCH(N$7,Movements!$G$614:$M$614,0))))
*N1077*N$8,0)</f>
        <v>0</v>
      </c>
      <c r="O399" s="198">
        <f>_xlfn.IFNA(IF(O$7="Fixed",1,IF(AND($D96="yes",O$7="Block"),INDEX($O636:$Q636,1,MATCH(O$5,$I30:$K30,0)),INDEX(Movements!$G636:$M636,1,MATCH(O$7,Movements!$G$614:$M$614,0))))
*O1077*O$8,0)</f>
        <v>0</v>
      </c>
      <c r="P399" s="198">
        <f>_xlfn.IFNA(IF(P$7="Fixed",1,IF(AND($D96="yes",P$7="Block"),INDEX($O636:$Q636,1,MATCH(P$5,$I30:$K30,0)),INDEX(Movements!$G636:$M636,1,MATCH(P$7,Movements!$G$614:$M$614,0))))
*P1077*P$8,0)</f>
        <v>0</v>
      </c>
      <c r="Q399" s="198">
        <f>_xlfn.IFNA(IF(Q$7="Fixed",1,IF(AND($D96="yes",Q$7="Block"),INDEX($O636:$Q636,1,MATCH(Q$5,$I30:$K30,0)),INDEX(Movements!$G636:$M636,1,MATCH(Q$7,Movements!$G$614:$M$614,0))))
*Q1077*Q$8,0)</f>
        <v>0</v>
      </c>
      <c r="R399" s="198">
        <f>_xlfn.IFNA(IF(R$7="Fixed",1,IF(AND($D96="yes",R$7="Block"),INDEX($O636:$Q636,1,MATCH(R$5,$I30:$K30,0)),INDEX(Movements!$G636:$M636,1,MATCH(R$7,Movements!$G$614:$M$614,0))))
*R1077*R$8,0)</f>
        <v>0</v>
      </c>
      <c r="S399" s="198">
        <f>_xlfn.IFNA(IF(S$7="Fixed",1,IF(AND($D96="yes",S$7="Block"),INDEX($O636:$Q636,1,MATCH(S$5,$I30:$K30,0)),INDEX(Movements!$G636:$M636,1,MATCH(S$7,Movements!$G$614:$M$614,0))))
*S1077*S$8,0)</f>
        <v>0</v>
      </c>
      <c r="T399" s="198">
        <f>_xlfn.IFNA(IF(T$7="Fixed",1,IF(AND($D96="yes",T$7="Block"),INDEX($O636:$Q636,1,MATCH(T$5,$I30:$K30,0)),INDEX(Movements!$G636:$M636,1,MATCH(T$7,Movements!$G$614:$M$614,0))))
*T1077*T$8,0)</f>
        <v>0</v>
      </c>
      <c r="U399" s="198">
        <f>_xlfn.IFNA(IF(U$7="Fixed",1,IF(AND($D96="yes",U$7="Block"),INDEX($O636:$Q636,1,MATCH(U$5,$I30:$K30,0)),INDEX(Movements!$G636:$M636,1,MATCH(U$7,Movements!$G$614:$M$614,0))))
*U1077*U$8,0)</f>
        <v>0</v>
      </c>
      <c r="V399" s="198">
        <f>_xlfn.IFNA(IF(V$7="Fixed",1,IF(AND($D96="yes",V$7="Block"),INDEX($O636:$Q636,1,MATCH(V$5,$I30:$K30,0)),INDEX(Movements!$G636:$M636,1,MATCH(V$7,Movements!$G$614:$M$614,0))))
*V1077*V$8,0)</f>
        <v>0</v>
      </c>
      <c r="W399" s="198">
        <f>_xlfn.IFNA(IF(W$7="Fixed",1,IF(AND($D96="yes",W$7="Block"),INDEX($O636:$Q636,1,MATCH(W$5,$I30:$K30,0)),INDEX(Movements!$G636:$M636,1,MATCH(W$7,Movements!$G$614:$M$614,0))))
*W1077*W$8,0)</f>
        <v>0</v>
      </c>
      <c r="X399" s="198">
        <f>_xlfn.IFNA(IF(X$7="Fixed",1,IF(AND($D96="yes",X$7="Block"),INDEX($O636:$Q636,1,MATCH(X$5,$I30:$K30,0)),INDEX(Movements!$G636:$M636,1,MATCH(X$7,Movements!$G$614:$M$614,0))))
*X1077*X$8,0)</f>
        <v>0</v>
      </c>
      <c r="Y399" s="198">
        <f>_xlfn.IFNA(IF(Y$7="Fixed",1,IF(AND($D96="yes",Y$7="Block"),INDEX($O636:$Q636,1,MATCH(Y$5,$I30:$K30,0)),INDEX(Movements!$G636:$M636,1,MATCH(Y$7,Movements!$G$614:$M$614,0))))
*Y1077*Y$8,0)</f>
        <v>0</v>
      </c>
      <c r="Z399" s="198">
        <f>_xlfn.IFNA(IF(Z$7="Fixed",1,IF(AND($D96="yes",Z$7="Block"),INDEX($O636:$Q636,1,MATCH(Z$5,$I30:$K30,0)),INDEX(Movements!$G636:$M636,1,MATCH(Z$7,Movements!$G$614:$M$614,0))))
*Z1077*Z$8,0)</f>
        <v>0</v>
      </c>
      <c r="AA399" s="198">
        <f>_xlfn.IFNA(IF(AA$7="Fixed",1,IF(AND($D96="yes",AA$7="Block"),INDEX($O636:$Q636,1,MATCH(AA$5,$I30:$K30,0)),INDEX(Movements!$G636:$M636,1,MATCH(AA$7,Movements!$G$614:$M$614,0))))
*AA1077*AA$8,0)</f>
        <v>0</v>
      </c>
      <c r="AB399" s="198">
        <f>_xlfn.IFNA(IF(AB$7="Fixed",1,IF(AND($D96="yes",AB$7="Block"),INDEX($O636:$Q636,1,MATCH(AB$5,$I30:$K30,0)),INDEX(Movements!$G636:$M636,1,MATCH(AB$7,Movements!$G$614:$M$614,0))))
*AB1077*AB$8,0)</f>
        <v>0</v>
      </c>
      <c r="AC399" s="70"/>
      <c r="AD399" s="19"/>
      <c r="AE399" s="19"/>
      <c r="AF399" s="19"/>
      <c r="AG399" s="19"/>
    </row>
    <row r="400" spans="1:33" hidden="1" outlineLevel="3" x14ac:dyDescent="0.2">
      <c r="A400" s="19"/>
      <c r="B400" s="97">
        <v>21</v>
      </c>
      <c r="C400" s="506">
        <f t="shared" si="85"/>
        <v>0</v>
      </c>
      <c r="D400" s="505">
        <f t="shared" si="85"/>
        <v>0</v>
      </c>
      <c r="E400" s="505">
        <f t="shared" si="85"/>
        <v>0</v>
      </c>
      <c r="F400" s="58"/>
      <c r="G400" s="199">
        <f t="shared" si="86"/>
        <v>0</v>
      </c>
      <c r="H400" s="58"/>
      <c r="I400" s="198">
        <f>_xlfn.IFNA(IF(I$7="Fixed",1,IF(AND($D97="yes",I$7="Block"),INDEX($O637:$Q637,1,MATCH(I$5,$I31:$K31,0)),INDEX(Movements!$G637:$M637,1,MATCH(I$7,Movements!$G$614:$M$614,0))))
*I1078*I$8,0)</f>
        <v>0</v>
      </c>
      <c r="J400" s="198">
        <f>_xlfn.IFNA(IF(J$7="Fixed",1,IF(AND($D97="yes",J$7="Block"),INDEX($O637:$Q637,1,MATCH(J$5,$I31:$K31,0)),INDEX(Movements!$G637:$M637,1,MATCH(J$7,Movements!$G$614:$M$614,0))))
*J1078*J$8,0)</f>
        <v>0</v>
      </c>
      <c r="K400" s="198">
        <f>_xlfn.IFNA(IF(K$7="Fixed",1,IF(AND($D97="yes",K$7="Block"),INDEX($O637:$Q637,1,MATCH(K$5,$I31:$K31,0)),INDEX(Movements!$G637:$M637,1,MATCH(K$7,Movements!$G$614:$M$614,0))))
*K1078*K$8,0)</f>
        <v>0</v>
      </c>
      <c r="L400" s="198">
        <f>_xlfn.IFNA(IF(L$7="Fixed",1,IF(AND($D97="yes",L$7="Block"),INDEX($O637:$Q637,1,MATCH(L$5,$I31:$K31,0)),INDEX(Movements!$G637:$M637,1,MATCH(L$7,Movements!$G$614:$M$614,0))))
*L1078*L$8,0)</f>
        <v>0</v>
      </c>
      <c r="M400" s="198">
        <f>_xlfn.IFNA(IF(M$7="Fixed",1,IF(AND($D97="yes",M$7="Block"),INDEX($O637:$Q637,1,MATCH(M$5,$I31:$K31,0)),INDEX(Movements!$G637:$M637,1,MATCH(M$7,Movements!$G$614:$M$614,0))))
*M1078*M$8,0)</f>
        <v>0</v>
      </c>
      <c r="N400" s="198">
        <f>_xlfn.IFNA(IF(N$7="Fixed",1,IF(AND($D97="yes",N$7="Block"),INDEX($O637:$Q637,1,MATCH(N$5,$I31:$K31,0)),INDEX(Movements!$G637:$M637,1,MATCH(N$7,Movements!$G$614:$M$614,0))))
*N1078*N$8,0)</f>
        <v>0</v>
      </c>
      <c r="O400" s="198">
        <f>_xlfn.IFNA(IF(O$7="Fixed",1,IF(AND($D97="yes",O$7="Block"),INDEX($O637:$Q637,1,MATCH(O$5,$I31:$K31,0)),INDEX(Movements!$G637:$M637,1,MATCH(O$7,Movements!$G$614:$M$614,0))))
*O1078*O$8,0)</f>
        <v>0</v>
      </c>
      <c r="P400" s="198">
        <f>_xlfn.IFNA(IF(P$7="Fixed",1,IF(AND($D97="yes",P$7="Block"),INDEX($O637:$Q637,1,MATCH(P$5,$I31:$K31,0)),INDEX(Movements!$G637:$M637,1,MATCH(P$7,Movements!$G$614:$M$614,0))))
*P1078*P$8,0)</f>
        <v>0</v>
      </c>
      <c r="Q400" s="198">
        <f>_xlfn.IFNA(IF(Q$7="Fixed",1,IF(AND($D97="yes",Q$7="Block"),INDEX($O637:$Q637,1,MATCH(Q$5,$I31:$K31,0)),INDEX(Movements!$G637:$M637,1,MATCH(Q$7,Movements!$G$614:$M$614,0))))
*Q1078*Q$8,0)</f>
        <v>0</v>
      </c>
      <c r="R400" s="198">
        <f>_xlfn.IFNA(IF(R$7="Fixed",1,IF(AND($D97="yes",R$7="Block"),INDEX($O637:$Q637,1,MATCH(R$5,$I31:$K31,0)),INDEX(Movements!$G637:$M637,1,MATCH(R$7,Movements!$G$614:$M$614,0))))
*R1078*R$8,0)</f>
        <v>0</v>
      </c>
      <c r="S400" s="198">
        <f>_xlfn.IFNA(IF(S$7="Fixed",1,IF(AND($D97="yes",S$7="Block"),INDEX($O637:$Q637,1,MATCH(S$5,$I31:$K31,0)),INDEX(Movements!$G637:$M637,1,MATCH(S$7,Movements!$G$614:$M$614,0))))
*S1078*S$8,0)</f>
        <v>0</v>
      </c>
      <c r="T400" s="198">
        <f>_xlfn.IFNA(IF(T$7="Fixed",1,IF(AND($D97="yes",T$7="Block"),INDEX($O637:$Q637,1,MATCH(T$5,$I31:$K31,0)),INDEX(Movements!$G637:$M637,1,MATCH(T$7,Movements!$G$614:$M$614,0))))
*T1078*T$8,0)</f>
        <v>0</v>
      </c>
      <c r="U400" s="198">
        <f>_xlfn.IFNA(IF(U$7="Fixed",1,IF(AND($D97="yes",U$7="Block"),INDEX($O637:$Q637,1,MATCH(U$5,$I31:$K31,0)),INDEX(Movements!$G637:$M637,1,MATCH(U$7,Movements!$G$614:$M$614,0))))
*U1078*U$8,0)</f>
        <v>0</v>
      </c>
      <c r="V400" s="198">
        <f>_xlfn.IFNA(IF(V$7="Fixed",1,IF(AND($D97="yes",V$7="Block"),INDEX($O637:$Q637,1,MATCH(V$5,$I31:$K31,0)),INDEX(Movements!$G637:$M637,1,MATCH(V$7,Movements!$G$614:$M$614,0))))
*V1078*V$8,0)</f>
        <v>0</v>
      </c>
      <c r="W400" s="198">
        <f>_xlfn.IFNA(IF(W$7="Fixed",1,IF(AND($D97="yes",W$7="Block"),INDEX($O637:$Q637,1,MATCH(W$5,$I31:$K31,0)),INDEX(Movements!$G637:$M637,1,MATCH(W$7,Movements!$G$614:$M$614,0))))
*W1078*W$8,0)</f>
        <v>0</v>
      </c>
      <c r="X400" s="198">
        <f>_xlfn.IFNA(IF(X$7="Fixed",1,IF(AND($D97="yes",X$7="Block"),INDEX($O637:$Q637,1,MATCH(X$5,$I31:$K31,0)),INDEX(Movements!$G637:$M637,1,MATCH(X$7,Movements!$G$614:$M$614,0))))
*X1078*X$8,0)</f>
        <v>0</v>
      </c>
      <c r="Y400" s="198">
        <f>_xlfn.IFNA(IF(Y$7="Fixed",1,IF(AND($D97="yes",Y$7="Block"),INDEX($O637:$Q637,1,MATCH(Y$5,$I31:$K31,0)),INDEX(Movements!$G637:$M637,1,MATCH(Y$7,Movements!$G$614:$M$614,0))))
*Y1078*Y$8,0)</f>
        <v>0</v>
      </c>
      <c r="Z400" s="198">
        <f>_xlfn.IFNA(IF(Z$7="Fixed",1,IF(AND($D97="yes",Z$7="Block"),INDEX($O637:$Q637,1,MATCH(Z$5,$I31:$K31,0)),INDEX(Movements!$G637:$M637,1,MATCH(Z$7,Movements!$G$614:$M$614,0))))
*Z1078*Z$8,0)</f>
        <v>0</v>
      </c>
      <c r="AA400" s="198">
        <f>_xlfn.IFNA(IF(AA$7="Fixed",1,IF(AND($D97="yes",AA$7="Block"),INDEX($O637:$Q637,1,MATCH(AA$5,$I31:$K31,0)),INDEX(Movements!$G637:$M637,1,MATCH(AA$7,Movements!$G$614:$M$614,0))))
*AA1078*AA$8,0)</f>
        <v>0</v>
      </c>
      <c r="AB400" s="198">
        <f>_xlfn.IFNA(IF(AB$7="Fixed",1,IF(AND($D97="yes",AB$7="Block"),INDEX($O637:$Q637,1,MATCH(AB$5,$I31:$K31,0)),INDEX(Movements!$G637:$M637,1,MATCH(AB$7,Movements!$G$614:$M$614,0))))
*AB1078*AB$8,0)</f>
        <v>0</v>
      </c>
      <c r="AC400" s="70"/>
      <c r="AD400" s="19"/>
      <c r="AE400" s="19"/>
      <c r="AF400" s="19"/>
      <c r="AG400" s="19"/>
    </row>
    <row r="401" spans="1:33" hidden="1" outlineLevel="3" x14ac:dyDescent="0.2">
      <c r="A401" s="19"/>
      <c r="B401" s="97">
        <v>22</v>
      </c>
      <c r="C401" s="506">
        <f t="shared" si="85"/>
        <v>0</v>
      </c>
      <c r="D401" s="505">
        <f t="shared" si="85"/>
        <v>0</v>
      </c>
      <c r="E401" s="505">
        <f t="shared" si="85"/>
        <v>0</v>
      </c>
      <c r="F401" s="58"/>
      <c r="G401" s="199">
        <f t="shared" si="86"/>
        <v>0</v>
      </c>
      <c r="H401" s="58"/>
      <c r="I401" s="198">
        <f>_xlfn.IFNA(IF(I$7="Fixed",1,IF(AND($D98="yes",I$7="Block"),INDEX($O638:$Q638,1,MATCH(I$5,$I32:$K32,0)),INDEX(Movements!$G638:$M638,1,MATCH(I$7,Movements!$G$614:$M$614,0))))
*I1079*I$8,0)</f>
        <v>0</v>
      </c>
      <c r="J401" s="198">
        <f>_xlfn.IFNA(IF(J$7="Fixed",1,IF(AND($D98="yes",J$7="Block"),INDEX($O638:$Q638,1,MATCH(J$5,$I32:$K32,0)),INDEX(Movements!$G638:$M638,1,MATCH(J$7,Movements!$G$614:$M$614,0))))
*J1079*J$8,0)</f>
        <v>0</v>
      </c>
      <c r="K401" s="198">
        <f>_xlfn.IFNA(IF(K$7="Fixed",1,IF(AND($D98="yes",K$7="Block"),INDEX($O638:$Q638,1,MATCH(K$5,$I32:$K32,0)),INDEX(Movements!$G638:$M638,1,MATCH(K$7,Movements!$G$614:$M$614,0))))
*K1079*K$8,0)</f>
        <v>0</v>
      </c>
      <c r="L401" s="198">
        <f>_xlfn.IFNA(IF(L$7="Fixed",1,IF(AND($D98="yes",L$7="Block"),INDEX($O638:$Q638,1,MATCH(L$5,$I32:$K32,0)),INDEX(Movements!$G638:$M638,1,MATCH(L$7,Movements!$G$614:$M$614,0))))
*L1079*L$8,0)</f>
        <v>0</v>
      </c>
      <c r="M401" s="198">
        <f>_xlfn.IFNA(IF(M$7="Fixed",1,IF(AND($D98="yes",M$7="Block"),INDEX($O638:$Q638,1,MATCH(M$5,$I32:$K32,0)),INDEX(Movements!$G638:$M638,1,MATCH(M$7,Movements!$G$614:$M$614,0))))
*M1079*M$8,0)</f>
        <v>0</v>
      </c>
      <c r="N401" s="198">
        <f>_xlfn.IFNA(IF(N$7="Fixed",1,IF(AND($D98="yes",N$7="Block"),INDEX($O638:$Q638,1,MATCH(N$5,$I32:$K32,0)),INDEX(Movements!$G638:$M638,1,MATCH(N$7,Movements!$G$614:$M$614,0))))
*N1079*N$8,0)</f>
        <v>0</v>
      </c>
      <c r="O401" s="198">
        <f>_xlfn.IFNA(IF(O$7="Fixed",1,IF(AND($D98="yes",O$7="Block"),INDEX($O638:$Q638,1,MATCH(O$5,$I32:$K32,0)),INDEX(Movements!$G638:$M638,1,MATCH(O$7,Movements!$G$614:$M$614,0))))
*O1079*O$8,0)</f>
        <v>0</v>
      </c>
      <c r="P401" s="198">
        <f>_xlfn.IFNA(IF(P$7="Fixed",1,IF(AND($D98="yes",P$7="Block"),INDEX($O638:$Q638,1,MATCH(P$5,$I32:$K32,0)),INDEX(Movements!$G638:$M638,1,MATCH(P$7,Movements!$G$614:$M$614,0))))
*P1079*P$8,0)</f>
        <v>0</v>
      </c>
      <c r="Q401" s="198">
        <f>_xlfn.IFNA(IF(Q$7="Fixed",1,IF(AND($D98="yes",Q$7="Block"),INDEX($O638:$Q638,1,MATCH(Q$5,$I32:$K32,0)),INDEX(Movements!$G638:$M638,1,MATCH(Q$7,Movements!$G$614:$M$614,0))))
*Q1079*Q$8,0)</f>
        <v>0</v>
      </c>
      <c r="R401" s="198">
        <f>_xlfn.IFNA(IF(R$7="Fixed",1,IF(AND($D98="yes",R$7="Block"),INDEX($O638:$Q638,1,MATCH(R$5,$I32:$K32,0)),INDEX(Movements!$G638:$M638,1,MATCH(R$7,Movements!$G$614:$M$614,0))))
*R1079*R$8,0)</f>
        <v>0</v>
      </c>
      <c r="S401" s="198">
        <f>_xlfn.IFNA(IF(S$7="Fixed",1,IF(AND($D98="yes",S$7="Block"),INDEX($O638:$Q638,1,MATCH(S$5,$I32:$K32,0)),INDEX(Movements!$G638:$M638,1,MATCH(S$7,Movements!$G$614:$M$614,0))))
*S1079*S$8,0)</f>
        <v>0</v>
      </c>
      <c r="T401" s="198">
        <f>_xlfn.IFNA(IF(T$7="Fixed",1,IF(AND($D98="yes",T$7="Block"),INDEX($O638:$Q638,1,MATCH(T$5,$I32:$K32,0)),INDEX(Movements!$G638:$M638,1,MATCH(T$7,Movements!$G$614:$M$614,0))))
*T1079*T$8,0)</f>
        <v>0</v>
      </c>
      <c r="U401" s="198">
        <f>_xlfn.IFNA(IF(U$7="Fixed",1,IF(AND($D98="yes",U$7="Block"),INDEX($O638:$Q638,1,MATCH(U$5,$I32:$K32,0)),INDEX(Movements!$G638:$M638,1,MATCH(U$7,Movements!$G$614:$M$614,0))))
*U1079*U$8,0)</f>
        <v>0</v>
      </c>
      <c r="V401" s="198">
        <f>_xlfn.IFNA(IF(V$7="Fixed",1,IF(AND($D98="yes",V$7="Block"),INDEX($O638:$Q638,1,MATCH(V$5,$I32:$K32,0)),INDEX(Movements!$G638:$M638,1,MATCH(V$7,Movements!$G$614:$M$614,0))))
*V1079*V$8,0)</f>
        <v>0</v>
      </c>
      <c r="W401" s="198">
        <f>_xlfn.IFNA(IF(W$7="Fixed",1,IF(AND($D98="yes",W$7="Block"),INDEX($O638:$Q638,1,MATCH(W$5,$I32:$K32,0)),INDEX(Movements!$G638:$M638,1,MATCH(W$7,Movements!$G$614:$M$614,0))))
*W1079*W$8,0)</f>
        <v>0</v>
      </c>
      <c r="X401" s="198">
        <f>_xlfn.IFNA(IF(X$7="Fixed",1,IF(AND($D98="yes",X$7="Block"),INDEX($O638:$Q638,1,MATCH(X$5,$I32:$K32,0)),INDEX(Movements!$G638:$M638,1,MATCH(X$7,Movements!$G$614:$M$614,0))))
*X1079*X$8,0)</f>
        <v>0</v>
      </c>
      <c r="Y401" s="198">
        <f>_xlfn.IFNA(IF(Y$7="Fixed",1,IF(AND($D98="yes",Y$7="Block"),INDEX($O638:$Q638,1,MATCH(Y$5,$I32:$K32,0)),INDEX(Movements!$G638:$M638,1,MATCH(Y$7,Movements!$G$614:$M$614,0))))
*Y1079*Y$8,0)</f>
        <v>0</v>
      </c>
      <c r="Z401" s="198">
        <f>_xlfn.IFNA(IF(Z$7="Fixed",1,IF(AND($D98="yes",Z$7="Block"),INDEX($O638:$Q638,1,MATCH(Z$5,$I32:$K32,0)),INDEX(Movements!$G638:$M638,1,MATCH(Z$7,Movements!$G$614:$M$614,0))))
*Z1079*Z$8,0)</f>
        <v>0</v>
      </c>
      <c r="AA401" s="198">
        <f>_xlfn.IFNA(IF(AA$7="Fixed",1,IF(AND($D98="yes",AA$7="Block"),INDEX($O638:$Q638,1,MATCH(AA$5,$I32:$K32,0)),INDEX(Movements!$G638:$M638,1,MATCH(AA$7,Movements!$G$614:$M$614,0))))
*AA1079*AA$8,0)</f>
        <v>0</v>
      </c>
      <c r="AB401" s="198">
        <f>_xlfn.IFNA(IF(AB$7="Fixed",1,IF(AND($D98="yes",AB$7="Block"),INDEX($O638:$Q638,1,MATCH(AB$5,$I32:$K32,0)),INDEX(Movements!$G638:$M638,1,MATCH(AB$7,Movements!$G$614:$M$614,0))))
*AB1079*AB$8,0)</f>
        <v>0</v>
      </c>
      <c r="AC401" s="70"/>
      <c r="AD401" s="19"/>
      <c r="AE401" s="19"/>
      <c r="AF401" s="19"/>
      <c r="AG401" s="19"/>
    </row>
    <row r="402" spans="1:33" hidden="1" outlineLevel="3" x14ac:dyDescent="0.2">
      <c r="A402" s="19"/>
      <c r="B402" s="98">
        <v>23</v>
      </c>
      <c r="C402" s="506">
        <f t="shared" si="85"/>
        <v>0</v>
      </c>
      <c r="D402" s="505">
        <f t="shared" si="85"/>
        <v>0</v>
      </c>
      <c r="E402" s="505">
        <f t="shared" si="85"/>
        <v>0</v>
      </c>
      <c r="F402" s="58"/>
      <c r="G402" s="199">
        <f t="shared" si="86"/>
        <v>0</v>
      </c>
      <c r="H402" s="58"/>
      <c r="I402" s="198">
        <f>_xlfn.IFNA(IF(I$7="Fixed",1,IF(AND($D99="yes",I$7="Block"),INDEX($O639:$Q639,1,MATCH(I$5,$I33:$K33,0)),INDEX(Movements!$G639:$M639,1,MATCH(I$7,Movements!$G$614:$M$614,0))))
*I1080*I$8,0)</f>
        <v>0</v>
      </c>
      <c r="J402" s="198">
        <f>_xlfn.IFNA(IF(J$7="Fixed",1,IF(AND($D99="yes",J$7="Block"),INDEX($O639:$Q639,1,MATCH(J$5,$I33:$K33,0)),INDEX(Movements!$G639:$M639,1,MATCH(J$7,Movements!$G$614:$M$614,0))))
*J1080*J$8,0)</f>
        <v>0</v>
      </c>
      <c r="K402" s="198">
        <f>_xlfn.IFNA(IF(K$7="Fixed",1,IF(AND($D99="yes",K$7="Block"),INDEX($O639:$Q639,1,MATCH(K$5,$I33:$K33,0)),INDEX(Movements!$G639:$M639,1,MATCH(K$7,Movements!$G$614:$M$614,0))))
*K1080*K$8,0)</f>
        <v>0</v>
      </c>
      <c r="L402" s="198">
        <f>_xlfn.IFNA(IF(L$7="Fixed",1,IF(AND($D99="yes",L$7="Block"),INDEX($O639:$Q639,1,MATCH(L$5,$I33:$K33,0)),INDEX(Movements!$G639:$M639,1,MATCH(L$7,Movements!$G$614:$M$614,0))))
*L1080*L$8,0)</f>
        <v>0</v>
      </c>
      <c r="M402" s="198">
        <f>_xlfn.IFNA(IF(M$7="Fixed",1,IF(AND($D99="yes",M$7="Block"),INDEX($O639:$Q639,1,MATCH(M$5,$I33:$K33,0)),INDEX(Movements!$G639:$M639,1,MATCH(M$7,Movements!$G$614:$M$614,0))))
*M1080*M$8,0)</f>
        <v>0</v>
      </c>
      <c r="N402" s="198">
        <f>_xlfn.IFNA(IF(N$7="Fixed",1,IF(AND($D99="yes",N$7="Block"),INDEX($O639:$Q639,1,MATCH(N$5,$I33:$K33,0)),INDEX(Movements!$G639:$M639,1,MATCH(N$7,Movements!$G$614:$M$614,0))))
*N1080*N$8,0)</f>
        <v>0</v>
      </c>
      <c r="O402" s="198">
        <f>_xlfn.IFNA(IF(O$7="Fixed",1,IF(AND($D99="yes",O$7="Block"),INDEX($O639:$Q639,1,MATCH(O$5,$I33:$K33,0)),INDEX(Movements!$G639:$M639,1,MATCH(O$7,Movements!$G$614:$M$614,0))))
*O1080*O$8,0)</f>
        <v>0</v>
      </c>
      <c r="P402" s="198">
        <f>_xlfn.IFNA(IF(P$7="Fixed",1,IF(AND($D99="yes",P$7="Block"),INDEX($O639:$Q639,1,MATCH(P$5,$I33:$K33,0)),INDEX(Movements!$G639:$M639,1,MATCH(P$7,Movements!$G$614:$M$614,0))))
*P1080*P$8,0)</f>
        <v>0</v>
      </c>
      <c r="Q402" s="198">
        <f>_xlfn.IFNA(IF(Q$7="Fixed",1,IF(AND($D99="yes",Q$7="Block"),INDEX($O639:$Q639,1,MATCH(Q$5,$I33:$K33,0)),INDEX(Movements!$G639:$M639,1,MATCH(Q$7,Movements!$G$614:$M$614,0))))
*Q1080*Q$8,0)</f>
        <v>0</v>
      </c>
      <c r="R402" s="198">
        <f>_xlfn.IFNA(IF(R$7="Fixed",1,IF(AND($D99="yes",R$7="Block"),INDEX($O639:$Q639,1,MATCH(R$5,$I33:$K33,0)),INDEX(Movements!$G639:$M639,1,MATCH(R$7,Movements!$G$614:$M$614,0))))
*R1080*R$8,0)</f>
        <v>0</v>
      </c>
      <c r="S402" s="198">
        <f>_xlfn.IFNA(IF(S$7="Fixed",1,IF(AND($D99="yes",S$7="Block"),INDEX($O639:$Q639,1,MATCH(S$5,$I33:$K33,0)),INDEX(Movements!$G639:$M639,1,MATCH(S$7,Movements!$G$614:$M$614,0))))
*S1080*S$8,0)</f>
        <v>0</v>
      </c>
      <c r="T402" s="198">
        <f>_xlfn.IFNA(IF(T$7="Fixed",1,IF(AND($D99="yes",T$7="Block"),INDEX($O639:$Q639,1,MATCH(T$5,$I33:$K33,0)),INDEX(Movements!$G639:$M639,1,MATCH(T$7,Movements!$G$614:$M$614,0))))
*T1080*T$8,0)</f>
        <v>0</v>
      </c>
      <c r="U402" s="198">
        <f>_xlfn.IFNA(IF(U$7="Fixed",1,IF(AND($D99="yes",U$7="Block"),INDEX($O639:$Q639,1,MATCH(U$5,$I33:$K33,0)),INDEX(Movements!$G639:$M639,1,MATCH(U$7,Movements!$G$614:$M$614,0))))
*U1080*U$8,0)</f>
        <v>0</v>
      </c>
      <c r="V402" s="198">
        <f>_xlfn.IFNA(IF(V$7="Fixed",1,IF(AND($D99="yes",V$7="Block"),INDEX($O639:$Q639,1,MATCH(V$5,$I33:$K33,0)),INDEX(Movements!$G639:$M639,1,MATCH(V$7,Movements!$G$614:$M$614,0))))
*V1080*V$8,0)</f>
        <v>0</v>
      </c>
      <c r="W402" s="198">
        <f>_xlfn.IFNA(IF(W$7="Fixed",1,IF(AND($D99="yes",W$7="Block"),INDEX($O639:$Q639,1,MATCH(W$5,$I33:$K33,0)),INDEX(Movements!$G639:$M639,1,MATCH(W$7,Movements!$G$614:$M$614,0))))
*W1080*W$8,0)</f>
        <v>0</v>
      </c>
      <c r="X402" s="198">
        <f>_xlfn.IFNA(IF(X$7="Fixed",1,IF(AND($D99="yes",X$7="Block"),INDEX($O639:$Q639,1,MATCH(X$5,$I33:$K33,0)),INDEX(Movements!$G639:$M639,1,MATCH(X$7,Movements!$G$614:$M$614,0))))
*X1080*X$8,0)</f>
        <v>0</v>
      </c>
      <c r="Y402" s="198">
        <f>_xlfn.IFNA(IF(Y$7="Fixed",1,IF(AND($D99="yes",Y$7="Block"),INDEX($O639:$Q639,1,MATCH(Y$5,$I33:$K33,0)),INDEX(Movements!$G639:$M639,1,MATCH(Y$7,Movements!$G$614:$M$614,0))))
*Y1080*Y$8,0)</f>
        <v>0</v>
      </c>
      <c r="Z402" s="198">
        <f>_xlfn.IFNA(IF(Z$7="Fixed",1,IF(AND($D99="yes",Z$7="Block"),INDEX($O639:$Q639,1,MATCH(Z$5,$I33:$K33,0)),INDEX(Movements!$G639:$M639,1,MATCH(Z$7,Movements!$G$614:$M$614,0))))
*Z1080*Z$8,0)</f>
        <v>0</v>
      </c>
      <c r="AA402" s="198">
        <f>_xlfn.IFNA(IF(AA$7="Fixed",1,IF(AND($D99="yes",AA$7="Block"),INDEX($O639:$Q639,1,MATCH(AA$5,$I33:$K33,0)),INDEX(Movements!$G639:$M639,1,MATCH(AA$7,Movements!$G$614:$M$614,0))))
*AA1080*AA$8,0)</f>
        <v>0</v>
      </c>
      <c r="AB402" s="198">
        <f>_xlfn.IFNA(IF(AB$7="Fixed",1,IF(AND($D99="yes",AB$7="Block"),INDEX($O639:$Q639,1,MATCH(AB$5,$I33:$K33,0)),INDEX(Movements!$G639:$M639,1,MATCH(AB$7,Movements!$G$614:$M$614,0))))
*AB1080*AB$8,0)</f>
        <v>0</v>
      </c>
      <c r="AC402" s="70"/>
      <c r="AD402" s="19"/>
      <c r="AE402" s="19"/>
      <c r="AF402" s="19"/>
      <c r="AG402" s="19"/>
    </row>
    <row r="403" spans="1:33" hidden="1" outlineLevel="3" x14ac:dyDescent="0.2">
      <c r="A403" s="19"/>
      <c r="B403" s="97">
        <v>24</v>
      </c>
      <c r="C403" s="506">
        <f t="shared" si="85"/>
        <v>0</v>
      </c>
      <c r="D403" s="505">
        <f t="shared" si="85"/>
        <v>0</v>
      </c>
      <c r="E403" s="505">
        <f t="shared" si="85"/>
        <v>0</v>
      </c>
      <c r="F403" s="58"/>
      <c r="G403" s="199">
        <f t="shared" si="86"/>
        <v>0</v>
      </c>
      <c r="H403" s="58"/>
      <c r="I403" s="198">
        <f>_xlfn.IFNA(IF(I$7="Fixed",1,IF(AND($D100="yes",I$7="Block"),INDEX($O640:$Q640,1,MATCH(I$5,$I34:$K34,0)),INDEX(Movements!$G640:$M640,1,MATCH(I$7,Movements!$G$614:$M$614,0))))
*I1081*I$8,0)</f>
        <v>0</v>
      </c>
      <c r="J403" s="198">
        <f>_xlfn.IFNA(IF(J$7="Fixed",1,IF(AND($D100="yes",J$7="Block"),INDEX($O640:$Q640,1,MATCH(J$5,$I34:$K34,0)),INDEX(Movements!$G640:$M640,1,MATCH(J$7,Movements!$G$614:$M$614,0))))
*J1081*J$8,0)</f>
        <v>0</v>
      </c>
      <c r="K403" s="198">
        <f>_xlfn.IFNA(IF(K$7="Fixed",1,IF(AND($D100="yes",K$7="Block"),INDEX($O640:$Q640,1,MATCH(K$5,$I34:$K34,0)),INDEX(Movements!$G640:$M640,1,MATCH(K$7,Movements!$G$614:$M$614,0))))
*K1081*K$8,0)</f>
        <v>0</v>
      </c>
      <c r="L403" s="198">
        <f>_xlfn.IFNA(IF(L$7="Fixed",1,IF(AND($D100="yes",L$7="Block"),INDEX($O640:$Q640,1,MATCH(L$5,$I34:$K34,0)),INDEX(Movements!$G640:$M640,1,MATCH(L$7,Movements!$G$614:$M$614,0))))
*L1081*L$8,0)</f>
        <v>0</v>
      </c>
      <c r="M403" s="198">
        <f>_xlfn.IFNA(IF(M$7="Fixed",1,IF(AND($D100="yes",M$7="Block"),INDEX($O640:$Q640,1,MATCH(M$5,$I34:$K34,0)),INDEX(Movements!$G640:$M640,1,MATCH(M$7,Movements!$G$614:$M$614,0))))
*M1081*M$8,0)</f>
        <v>0</v>
      </c>
      <c r="N403" s="198">
        <f>_xlfn.IFNA(IF(N$7="Fixed",1,IF(AND($D100="yes",N$7="Block"),INDEX($O640:$Q640,1,MATCH(N$5,$I34:$K34,0)),INDEX(Movements!$G640:$M640,1,MATCH(N$7,Movements!$G$614:$M$614,0))))
*N1081*N$8,0)</f>
        <v>0</v>
      </c>
      <c r="O403" s="198">
        <f>_xlfn.IFNA(IF(O$7="Fixed",1,IF(AND($D100="yes",O$7="Block"),INDEX($O640:$Q640,1,MATCH(O$5,$I34:$K34,0)),INDEX(Movements!$G640:$M640,1,MATCH(O$7,Movements!$G$614:$M$614,0))))
*O1081*O$8,0)</f>
        <v>0</v>
      </c>
      <c r="P403" s="198">
        <f>_xlfn.IFNA(IF(P$7="Fixed",1,IF(AND($D100="yes",P$7="Block"),INDEX($O640:$Q640,1,MATCH(P$5,$I34:$K34,0)),INDEX(Movements!$G640:$M640,1,MATCH(P$7,Movements!$G$614:$M$614,0))))
*P1081*P$8,0)</f>
        <v>0</v>
      </c>
      <c r="Q403" s="198">
        <f>_xlfn.IFNA(IF(Q$7="Fixed",1,IF(AND($D100="yes",Q$7="Block"),INDEX($O640:$Q640,1,MATCH(Q$5,$I34:$K34,0)),INDEX(Movements!$G640:$M640,1,MATCH(Q$7,Movements!$G$614:$M$614,0))))
*Q1081*Q$8,0)</f>
        <v>0</v>
      </c>
      <c r="R403" s="198">
        <f>_xlfn.IFNA(IF(R$7="Fixed",1,IF(AND($D100="yes",R$7="Block"),INDEX($O640:$Q640,1,MATCH(R$5,$I34:$K34,0)),INDEX(Movements!$G640:$M640,1,MATCH(R$7,Movements!$G$614:$M$614,0))))
*R1081*R$8,0)</f>
        <v>0</v>
      </c>
      <c r="S403" s="198">
        <f>_xlfn.IFNA(IF(S$7="Fixed",1,IF(AND($D100="yes",S$7="Block"),INDEX($O640:$Q640,1,MATCH(S$5,$I34:$K34,0)),INDEX(Movements!$G640:$M640,1,MATCH(S$7,Movements!$G$614:$M$614,0))))
*S1081*S$8,0)</f>
        <v>0</v>
      </c>
      <c r="T403" s="198">
        <f>_xlfn.IFNA(IF(T$7="Fixed",1,IF(AND($D100="yes",T$7="Block"),INDEX($O640:$Q640,1,MATCH(T$5,$I34:$K34,0)),INDEX(Movements!$G640:$M640,1,MATCH(T$7,Movements!$G$614:$M$614,0))))
*T1081*T$8,0)</f>
        <v>0</v>
      </c>
      <c r="U403" s="198">
        <f>_xlfn.IFNA(IF(U$7="Fixed",1,IF(AND($D100="yes",U$7="Block"),INDEX($O640:$Q640,1,MATCH(U$5,$I34:$K34,0)),INDEX(Movements!$G640:$M640,1,MATCH(U$7,Movements!$G$614:$M$614,0))))
*U1081*U$8,0)</f>
        <v>0</v>
      </c>
      <c r="V403" s="198">
        <f>_xlfn.IFNA(IF(V$7="Fixed",1,IF(AND($D100="yes",V$7="Block"),INDEX($O640:$Q640,1,MATCH(V$5,$I34:$K34,0)),INDEX(Movements!$G640:$M640,1,MATCH(V$7,Movements!$G$614:$M$614,0))))
*V1081*V$8,0)</f>
        <v>0</v>
      </c>
      <c r="W403" s="198">
        <f>_xlfn.IFNA(IF(W$7="Fixed",1,IF(AND($D100="yes",W$7="Block"),INDEX($O640:$Q640,1,MATCH(W$5,$I34:$K34,0)),INDEX(Movements!$G640:$M640,1,MATCH(W$7,Movements!$G$614:$M$614,0))))
*W1081*W$8,0)</f>
        <v>0</v>
      </c>
      <c r="X403" s="198">
        <f>_xlfn.IFNA(IF(X$7="Fixed",1,IF(AND($D100="yes",X$7="Block"),INDEX($O640:$Q640,1,MATCH(X$5,$I34:$K34,0)),INDEX(Movements!$G640:$M640,1,MATCH(X$7,Movements!$G$614:$M$614,0))))
*X1081*X$8,0)</f>
        <v>0</v>
      </c>
      <c r="Y403" s="198">
        <f>_xlfn.IFNA(IF(Y$7="Fixed",1,IF(AND($D100="yes",Y$7="Block"),INDEX($O640:$Q640,1,MATCH(Y$5,$I34:$K34,0)),INDEX(Movements!$G640:$M640,1,MATCH(Y$7,Movements!$G$614:$M$614,0))))
*Y1081*Y$8,0)</f>
        <v>0</v>
      </c>
      <c r="Z403" s="198">
        <f>_xlfn.IFNA(IF(Z$7="Fixed",1,IF(AND($D100="yes",Z$7="Block"),INDEX($O640:$Q640,1,MATCH(Z$5,$I34:$K34,0)),INDEX(Movements!$G640:$M640,1,MATCH(Z$7,Movements!$G$614:$M$614,0))))
*Z1081*Z$8,0)</f>
        <v>0</v>
      </c>
      <c r="AA403" s="198">
        <f>_xlfn.IFNA(IF(AA$7="Fixed",1,IF(AND($D100="yes",AA$7="Block"),INDEX($O640:$Q640,1,MATCH(AA$5,$I34:$K34,0)),INDEX(Movements!$G640:$M640,1,MATCH(AA$7,Movements!$G$614:$M$614,0))))
*AA1081*AA$8,0)</f>
        <v>0</v>
      </c>
      <c r="AB403" s="198">
        <f>_xlfn.IFNA(IF(AB$7="Fixed",1,IF(AND($D100="yes",AB$7="Block"),INDEX($O640:$Q640,1,MATCH(AB$5,$I34:$K34,0)),INDEX(Movements!$G640:$M640,1,MATCH(AB$7,Movements!$G$614:$M$614,0))))
*AB1081*AB$8,0)</f>
        <v>0</v>
      </c>
      <c r="AC403" s="70"/>
      <c r="AD403" s="19"/>
      <c r="AE403" s="19"/>
      <c r="AF403" s="19"/>
      <c r="AG403" s="19"/>
    </row>
    <row r="404" spans="1:33" hidden="1" outlineLevel="3" x14ac:dyDescent="0.2">
      <c r="A404" s="19"/>
      <c r="B404" s="97">
        <v>25</v>
      </c>
      <c r="C404" s="506">
        <f t="shared" si="85"/>
        <v>0</v>
      </c>
      <c r="D404" s="505">
        <f t="shared" si="85"/>
        <v>0</v>
      </c>
      <c r="E404" s="505">
        <f t="shared" si="85"/>
        <v>0</v>
      </c>
      <c r="F404" s="58"/>
      <c r="G404" s="199">
        <f t="shared" si="86"/>
        <v>0</v>
      </c>
      <c r="H404" s="58"/>
      <c r="I404" s="198">
        <f>_xlfn.IFNA(IF(I$7="Fixed",1,IF(AND($D101="yes",I$7="Block"),INDEX($O641:$Q641,1,MATCH(I$5,$I35:$K35,0)),INDEX(Movements!$G641:$M641,1,MATCH(I$7,Movements!$G$614:$M$614,0))))
*I1082*I$8,0)</f>
        <v>0</v>
      </c>
      <c r="J404" s="198">
        <f>_xlfn.IFNA(IF(J$7="Fixed",1,IF(AND($D101="yes",J$7="Block"),INDEX($O641:$Q641,1,MATCH(J$5,$I35:$K35,0)),INDEX(Movements!$G641:$M641,1,MATCH(J$7,Movements!$G$614:$M$614,0))))
*J1082*J$8,0)</f>
        <v>0</v>
      </c>
      <c r="K404" s="198">
        <f>_xlfn.IFNA(IF(K$7="Fixed",1,IF(AND($D101="yes",K$7="Block"),INDEX($O641:$Q641,1,MATCH(K$5,$I35:$K35,0)),INDEX(Movements!$G641:$M641,1,MATCH(K$7,Movements!$G$614:$M$614,0))))
*K1082*K$8,0)</f>
        <v>0</v>
      </c>
      <c r="L404" s="198">
        <f>_xlfn.IFNA(IF(L$7="Fixed",1,IF(AND($D101="yes",L$7="Block"),INDEX($O641:$Q641,1,MATCH(L$5,$I35:$K35,0)),INDEX(Movements!$G641:$M641,1,MATCH(L$7,Movements!$G$614:$M$614,0))))
*L1082*L$8,0)</f>
        <v>0</v>
      </c>
      <c r="M404" s="198">
        <f>_xlfn.IFNA(IF(M$7="Fixed",1,IF(AND($D101="yes",M$7="Block"),INDEX($O641:$Q641,1,MATCH(M$5,$I35:$K35,0)),INDEX(Movements!$G641:$M641,1,MATCH(M$7,Movements!$G$614:$M$614,0))))
*M1082*M$8,0)</f>
        <v>0</v>
      </c>
      <c r="N404" s="198">
        <f>_xlfn.IFNA(IF(N$7="Fixed",1,IF(AND($D101="yes",N$7="Block"),INDEX($O641:$Q641,1,MATCH(N$5,$I35:$K35,0)),INDEX(Movements!$G641:$M641,1,MATCH(N$7,Movements!$G$614:$M$614,0))))
*N1082*N$8,0)</f>
        <v>0</v>
      </c>
      <c r="O404" s="198">
        <f>_xlfn.IFNA(IF(O$7="Fixed",1,IF(AND($D101="yes",O$7="Block"),INDEX($O641:$Q641,1,MATCH(O$5,$I35:$K35,0)),INDEX(Movements!$G641:$M641,1,MATCH(O$7,Movements!$G$614:$M$614,0))))
*O1082*O$8,0)</f>
        <v>0</v>
      </c>
      <c r="P404" s="198">
        <f>_xlfn.IFNA(IF(P$7="Fixed",1,IF(AND($D101="yes",P$7="Block"),INDEX($O641:$Q641,1,MATCH(P$5,$I35:$K35,0)),INDEX(Movements!$G641:$M641,1,MATCH(P$7,Movements!$G$614:$M$614,0))))
*P1082*P$8,0)</f>
        <v>0</v>
      </c>
      <c r="Q404" s="198">
        <f>_xlfn.IFNA(IF(Q$7="Fixed",1,IF(AND($D101="yes",Q$7="Block"),INDEX($O641:$Q641,1,MATCH(Q$5,$I35:$K35,0)),INDEX(Movements!$G641:$M641,1,MATCH(Q$7,Movements!$G$614:$M$614,0))))
*Q1082*Q$8,0)</f>
        <v>0</v>
      </c>
      <c r="R404" s="198">
        <f>_xlfn.IFNA(IF(R$7="Fixed",1,IF(AND($D101="yes",R$7="Block"),INDEX($O641:$Q641,1,MATCH(R$5,$I35:$K35,0)),INDEX(Movements!$G641:$M641,1,MATCH(R$7,Movements!$G$614:$M$614,0))))
*R1082*R$8,0)</f>
        <v>0</v>
      </c>
      <c r="S404" s="198">
        <f>_xlfn.IFNA(IF(S$7="Fixed",1,IF(AND($D101="yes",S$7="Block"),INDEX($O641:$Q641,1,MATCH(S$5,$I35:$K35,0)),INDEX(Movements!$G641:$M641,1,MATCH(S$7,Movements!$G$614:$M$614,0))))
*S1082*S$8,0)</f>
        <v>0</v>
      </c>
      <c r="T404" s="198">
        <f>_xlfn.IFNA(IF(T$7="Fixed",1,IF(AND($D101="yes",T$7="Block"),INDEX($O641:$Q641,1,MATCH(T$5,$I35:$K35,0)),INDEX(Movements!$G641:$M641,1,MATCH(T$7,Movements!$G$614:$M$614,0))))
*T1082*T$8,0)</f>
        <v>0</v>
      </c>
      <c r="U404" s="198">
        <f>_xlfn.IFNA(IF(U$7="Fixed",1,IF(AND($D101="yes",U$7="Block"),INDEX($O641:$Q641,1,MATCH(U$5,$I35:$K35,0)),INDEX(Movements!$G641:$M641,1,MATCH(U$7,Movements!$G$614:$M$614,0))))
*U1082*U$8,0)</f>
        <v>0</v>
      </c>
      <c r="V404" s="198">
        <f>_xlfn.IFNA(IF(V$7="Fixed",1,IF(AND($D101="yes",V$7="Block"),INDEX($O641:$Q641,1,MATCH(V$5,$I35:$K35,0)),INDEX(Movements!$G641:$M641,1,MATCH(V$7,Movements!$G$614:$M$614,0))))
*V1082*V$8,0)</f>
        <v>0</v>
      </c>
      <c r="W404" s="198">
        <f>_xlfn.IFNA(IF(W$7="Fixed",1,IF(AND($D101="yes",W$7="Block"),INDEX($O641:$Q641,1,MATCH(W$5,$I35:$K35,0)),INDEX(Movements!$G641:$M641,1,MATCH(W$7,Movements!$G$614:$M$614,0))))
*W1082*W$8,0)</f>
        <v>0</v>
      </c>
      <c r="X404" s="198">
        <f>_xlfn.IFNA(IF(X$7="Fixed",1,IF(AND($D101="yes",X$7="Block"),INDEX($O641:$Q641,1,MATCH(X$5,$I35:$K35,0)),INDEX(Movements!$G641:$M641,1,MATCH(X$7,Movements!$G$614:$M$614,0))))
*X1082*X$8,0)</f>
        <v>0</v>
      </c>
      <c r="Y404" s="198">
        <f>_xlfn.IFNA(IF(Y$7="Fixed",1,IF(AND($D101="yes",Y$7="Block"),INDEX($O641:$Q641,1,MATCH(Y$5,$I35:$K35,0)),INDEX(Movements!$G641:$M641,1,MATCH(Y$7,Movements!$G$614:$M$614,0))))
*Y1082*Y$8,0)</f>
        <v>0</v>
      </c>
      <c r="Z404" s="198">
        <f>_xlfn.IFNA(IF(Z$7="Fixed",1,IF(AND($D101="yes",Z$7="Block"),INDEX($O641:$Q641,1,MATCH(Z$5,$I35:$K35,0)),INDEX(Movements!$G641:$M641,1,MATCH(Z$7,Movements!$G$614:$M$614,0))))
*Z1082*Z$8,0)</f>
        <v>0</v>
      </c>
      <c r="AA404" s="198">
        <f>_xlfn.IFNA(IF(AA$7="Fixed",1,IF(AND($D101="yes",AA$7="Block"),INDEX($O641:$Q641,1,MATCH(AA$5,$I35:$K35,0)),INDEX(Movements!$G641:$M641,1,MATCH(AA$7,Movements!$G$614:$M$614,0))))
*AA1082*AA$8,0)</f>
        <v>0</v>
      </c>
      <c r="AB404" s="198">
        <f>_xlfn.IFNA(IF(AB$7="Fixed",1,IF(AND($D101="yes",AB$7="Block"),INDEX($O641:$Q641,1,MATCH(AB$5,$I35:$K35,0)),INDEX(Movements!$G641:$M641,1,MATCH(AB$7,Movements!$G$614:$M$614,0))))
*AB1082*AB$8,0)</f>
        <v>0</v>
      </c>
      <c r="AC404" s="70"/>
      <c r="AD404" s="19"/>
      <c r="AE404" s="19"/>
      <c r="AF404" s="19"/>
      <c r="AG404" s="19"/>
    </row>
    <row r="405" spans="1:33" hidden="1" outlineLevel="3" x14ac:dyDescent="0.2">
      <c r="A405" s="19"/>
      <c r="B405" s="97">
        <v>26</v>
      </c>
      <c r="C405" s="506">
        <f t="shared" si="85"/>
        <v>0</v>
      </c>
      <c r="D405" s="505">
        <f t="shared" si="85"/>
        <v>0</v>
      </c>
      <c r="E405" s="505">
        <f t="shared" si="85"/>
        <v>0</v>
      </c>
      <c r="F405" s="58"/>
      <c r="G405" s="199">
        <f t="shared" si="86"/>
        <v>0</v>
      </c>
      <c r="H405" s="58"/>
      <c r="I405" s="198">
        <f>_xlfn.IFNA(IF(I$7="Fixed",1,IF(AND($D102="yes",I$7="Block"),INDEX($O642:$Q642,1,MATCH(I$5,$I36:$K36,0)),INDEX(Movements!$G642:$M642,1,MATCH(I$7,Movements!$G$614:$M$614,0))))
*I1083*I$8,0)</f>
        <v>0</v>
      </c>
      <c r="J405" s="198">
        <f>_xlfn.IFNA(IF(J$7="Fixed",1,IF(AND($D102="yes",J$7="Block"),INDEX($O642:$Q642,1,MATCH(J$5,$I36:$K36,0)),INDEX(Movements!$G642:$M642,1,MATCH(J$7,Movements!$G$614:$M$614,0))))
*J1083*J$8,0)</f>
        <v>0</v>
      </c>
      <c r="K405" s="198">
        <f>_xlfn.IFNA(IF(K$7="Fixed",1,IF(AND($D102="yes",K$7="Block"),INDEX($O642:$Q642,1,MATCH(K$5,$I36:$K36,0)),INDEX(Movements!$G642:$M642,1,MATCH(K$7,Movements!$G$614:$M$614,0))))
*K1083*K$8,0)</f>
        <v>0</v>
      </c>
      <c r="L405" s="198">
        <f>_xlfn.IFNA(IF(L$7="Fixed",1,IF(AND($D102="yes",L$7="Block"),INDEX($O642:$Q642,1,MATCH(L$5,$I36:$K36,0)),INDEX(Movements!$G642:$M642,1,MATCH(L$7,Movements!$G$614:$M$614,0))))
*L1083*L$8,0)</f>
        <v>0</v>
      </c>
      <c r="M405" s="198">
        <f>_xlfn.IFNA(IF(M$7="Fixed",1,IF(AND($D102="yes",M$7="Block"),INDEX($O642:$Q642,1,MATCH(M$5,$I36:$K36,0)),INDEX(Movements!$G642:$M642,1,MATCH(M$7,Movements!$G$614:$M$614,0))))
*M1083*M$8,0)</f>
        <v>0</v>
      </c>
      <c r="N405" s="198">
        <f>_xlfn.IFNA(IF(N$7="Fixed",1,IF(AND($D102="yes",N$7="Block"),INDEX($O642:$Q642,1,MATCH(N$5,$I36:$K36,0)),INDEX(Movements!$G642:$M642,1,MATCH(N$7,Movements!$G$614:$M$614,0))))
*N1083*N$8,0)</f>
        <v>0</v>
      </c>
      <c r="O405" s="198">
        <f>_xlfn.IFNA(IF(O$7="Fixed",1,IF(AND($D102="yes",O$7="Block"),INDEX($O642:$Q642,1,MATCH(O$5,$I36:$K36,0)),INDEX(Movements!$G642:$M642,1,MATCH(O$7,Movements!$G$614:$M$614,0))))
*O1083*O$8,0)</f>
        <v>0</v>
      </c>
      <c r="P405" s="198">
        <f>_xlfn.IFNA(IF(P$7="Fixed",1,IF(AND($D102="yes",P$7="Block"),INDEX($O642:$Q642,1,MATCH(P$5,$I36:$K36,0)),INDEX(Movements!$G642:$M642,1,MATCH(P$7,Movements!$G$614:$M$614,0))))
*P1083*P$8,0)</f>
        <v>0</v>
      </c>
      <c r="Q405" s="198">
        <f>_xlfn.IFNA(IF(Q$7="Fixed",1,IF(AND($D102="yes",Q$7="Block"),INDEX($O642:$Q642,1,MATCH(Q$5,$I36:$K36,0)),INDEX(Movements!$G642:$M642,1,MATCH(Q$7,Movements!$G$614:$M$614,0))))
*Q1083*Q$8,0)</f>
        <v>0</v>
      </c>
      <c r="R405" s="198">
        <f>_xlfn.IFNA(IF(R$7="Fixed",1,IF(AND($D102="yes",R$7="Block"),INDEX($O642:$Q642,1,MATCH(R$5,$I36:$K36,0)),INDEX(Movements!$G642:$M642,1,MATCH(R$7,Movements!$G$614:$M$614,0))))
*R1083*R$8,0)</f>
        <v>0</v>
      </c>
      <c r="S405" s="198">
        <f>_xlfn.IFNA(IF(S$7="Fixed",1,IF(AND($D102="yes",S$7="Block"),INDEX($O642:$Q642,1,MATCH(S$5,$I36:$K36,0)),INDEX(Movements!$G642:$M642,1,MATCH(S$7,Movements!$G$614:$M$614,0))))
*S1083*S$8,0)</f>
        <v>0</v>
      </c>
      <c r="T405" s="198">
        <f>_xlfn.IFNA(IF(T$7="Fixed",1,IF(AND($D102="yes",T$7="Block"),INDEX($O642:$Q642,1,MATCH(T$5,$I36:$K36,0)),INDEX(Movements!$G642:$M642,1,MATCH(T$7,Movements!$G$614:$M$614,0))))
*T1083*T$8,0)</f>
        <v>0</v>
      </c>
      <c r="U405" s="198">
        <f>_xlfn.IFNA(IF(U$7="Fixed",1,IF(AND($D102="yes",U$7="Block"),INDEX($O642:$Q642,1,MATCH(U$5,$I36:$K36,0)),INDEX(Movements!$G642:$M642,1,MATCH(U$7,Movements!$G$614:$M$614,0))))
*U1083*U$8,0)</f>
        <v>0</v>
      </c>
      <c r="V405" s="198">
        <f>_xlfn.IFNA(IF(V$7="Fixed",1,IF(AND($D102="yes",V$7="Block"),INDEX($O642:$Q642,1,MATCH(V$5,$I36:$K36,0)),INDEX(Movements!$G642:$M642,1,MATCH(V$7,Movements!$G$614:$M$614,0))))
*V1083*V$8,0)</f>
        <v>0</v>
      </c>
      <c r="W405" s="198">
        <f>_xlfn.IFNA(IF(W$7="Fixed",1,IF(AND($D102="yes",W$7="Block"),INDEX($O642:$Q642,1,MATCH(W$5,$I36:$K36,0)),INDEX(Movements!$G642:$M642,1,MATCH(W$7,Movements!$G$614:$M$614,0))))
*W1083*W$8,0)</f>
        <v>0</v>
      </c>
      <c r="X405" s="198">
        <f>_xlfn.IFNA(IF(X$7="Fixed",1,IF(AND($D102="yes",X$7="Block"),INDEX($O642:$Q642,1,MATCH(X$5,$I36:$K36,0)),INDEX(Movements!$G642:$M642,1,MATCH(X$7,Movements!$G$614:$M$614,0))))
*X1083*X$8,0)</f>
        <v>0</v>
      </c>
      <c r="Y405" s="198">
        <f>_xlfn.IFNA(IF(Y$7="Fixed",1,IF(AND($D102="yes",Y$7="Block"),INDEX($O642:$Q642,1,MATCH(Y$5,$I36:$K36,0)),INDEX(Movements!$G642:$M642,1,MATCH(Y$7,Movements!$G$614:$M$614,0))))
*Y1083*Y$8,0)</f>
        <v>0</v>
      </c>
      <c r="Z405" s="198">
        <f>_xlfn.IFNA(IF(Z$7="Fixed",1,IF(AND($D102="yes",Z$7="Block"),INDEX($O642:$Q642,1,MATCH(Z$5,$I36:$K36,0)),INDEX(Movements!$G642:$M642,1,MATCH(Z$7,Movements!$G$614:$M$614,0))))
*Z1083*Z$8,0)</f>
        <v>0</v>
      </c>
      <c r="AA405" s="198">
        <f>_xlfn.IFNA(IF(AA$7="Fixed",1,IF(AND($D102="yes",AA$7="Block"),INDEX($O642:$Q642,1,MATCH(AA$5,$I36:$K36,0)),INDEX(Movements!$G642:$M642,1,MATCH(AA$7,Movements!$G$614:$M$614,0))))
*AA1083*AA$8,0)</f>
        <v>0</v>
      </c>
      <c r="AB405" s="198">
        <f>_xlfn.IFNA(IF(AB$7="Fixed",1,IF(AND($D102="yes",AB$7="Block"),INDEX($O642:$Q642,1,MATCH(AB$5,$I36:$K36,0)),INDEX(Movements!$G642:$M642,1,MATCH(AB$7,Movements!$G$614:$M$614,0))))
*AB1083*AB$8,0)</f>
        <v>0</v>
      </c>
      <c r="AC405" s="70"/>
      <c r="AD405" s="19"/>
      <c r="AE405" s="19"/>
      <c r="AF405" s="19"/>
      <c r="AG405" s="19"/>
    </row>
    <row r="406" spans="1:33" hidden="1" outlineLevel="3" x14ac:dyDescent="0.2">
      <c r="A406" s="19"/>
      <c r="B406" s="97">
        <v>27</v>
      </c>
      <c r="C406" s="506">
        <f t="shared" si="85"/>
        <v>0</v>
      </c>
      <c r="D406" s="505">
        <f t="shared" si="85"/>
        <v>0</v>
      </c>
      <c r="E406" s="505">
        <f t="shared" si="85"/>
        <v>0</v>
      </c>
      <c r="F406" s="58"/>
      <c r="G406" s="199">
        <f t="shared" si="86"/>
        <v>0</v>
      </c>
      <c r="H406" s="58"/>
      <c r="I406" s="198">
        <f>_xlfn.IFNA(IF(I$7="Fixed",1,IF(AND($D103="yes",I$7="Block"),INDEX($O643:$Q643,1,MATCH(I$5,$I37:$K37,0)),INDEX(Movements!$G643:$M643,1,MATCH(I$7,Movements!$G$614:$M$614,0))))
*I1084*I$8,0)</f>
        <v>0</v>
      </c>
      <c r="J406" s="198">
        <f>_xlfn.IFNA(IF(J$7="Fixed",1,IF(AND($D103="yes",J$7="Block"),INDEX($O643:$Q643,1,MATCH(J$5,$I37:$K37,0)),INDEX(Movements!$G643:$M643,1,MATCH(J$7,Movements!$G$614:$M$614,0))))
*J1084*J$8,0)</f>
        <v>0</v>
      </c>
      <c r="K406" s="198">
        <f>_xlfn.IFNA(IF(K$7="Fixed",1,IF(AND($D103="yes",K$7="Block"),INDEX($O643:$Q643,1,MATCH(K$5,$I37:$K37,0)),INDEX(Movements!$G643:$M643,1,MATCH(K$7,Movements!$G$614:$M$614,0))))
*K1084*K$8,0)</f>
        <v>0</v>
      </c>
      <c r="L406" s="198">
        <f>_xlfn.IFNA(IF(L$7="Fixed",1,IF(AND($D103="yes",L$7="Block"),INDEX($O643:$Q643,1,MATCH(L$5,$I37:$K37,0)),INDEX(Movements!$G643:$M643,1,MATCH(L$7,Movements!$G$614:$M$614,0))))
*L1084*L$8,0)</f>
        <v>0</v>
      </c>
      <c r="M406" s="198">
        <f>_xlfn.IFNA(IF(M$7="Fixed",1,IF(AND($D103="yes",M$7="Block"),INDEX($O643:$Q643,1,MATCH(M$5,$I37:$K37,0)),INDEX(Movements!$G643:$M643,1,MATCH(M$7,Movements!$G$614:$M$614,0))))
*M1084*M$8,0)</f>
        <v>0</v>
      </c>
      <c r="N406" s="198">
        <f>_xlfn.IFNA(IF(N$7="Fixed",1,IF(AND($D103="yes",N$7="Block"),INDEX($O643:$Q643,1,MATCH(N$5,$I37:$K37,0)),INDEX(Movements!$G643:$M643,1,MATCH(N$7,Movements!$G$614:$M$614,0))))
*N1084*N$8,0)</f>
        <v>0</v>
      </c>
      <c r="O406" s="198">
        <f>_xlfn.IFNA(IF(O$7="Fixed",1,IF(AND($D103="yes",O$7="Block"),INDEX($O643:$Q643,1,MATCH(O$5,$I37:$K37,0)),INDEX(Movements!$G643:$M643,1,MATCH(O$7,Movements!$G$614:$M$614,0))))
*O1084*O$8,0)</f>
        <v>0</v>
      </c>
      <c r="P406" s="198">
        <f>_xlfn.IFNA(IF(P$7="Fixed",1,IF(AND($D103="yes",P$7="Block"),INDEX($O643:$Q643,1,MATCH(P$5,$I37:$K37,0)),INDEX(Movements!$G643:$M643,1,MATCH(P$7,Movements!$G$614:$M$614,0))))
*P1084*P$8,0)</f>
        <v>0</v>
      </c>
      <c r="Q406" s="198">
        <f>_xlfn.IFNA(IF(Q$7="Fixed",1,IF(AND($D103="yes",Q$7="Block"),INDEX($O643:$Q643,1,MATCH(Q$5,$I37:$K37,0)),INDEX(Movements!$G643:$M643,1,MATCH(Q$7,Movements!$G$614:$M$614,0))))
*Q1084*Q$8,0)</f>
        <v>0</v>
      </c>
      <c r="R406" s="198">
        <f>_xlfn.IFNA(IF(R$7="Fixed",1,IF(AND($D103="yes",R$7="Block"),INDEX($O643:$Q643,1,MATCH(R$5,$I37:$K37,0)),INDEX(Movements!$G643:$M643,1,MATCH(R$7,Movements!$G$614:$M$614,0))))
*R1084*R$8,0)</f>
        <v>0</v>
      </c>
      <c r="S406" s="198">
        <f>_xlfn.IFNA(IF(S$7="Fixed",1,IF(AND($D103="yes",S$7="Block"),INDEX($O643:$Q643,1,MATCH(S$5,$I37:$K37,0)),INDEX(Movements!$G643:$M643,1,MATCH(S$7,Movements!$G$614:$M$614,0))))
*S1084*S$8,0)</f>
        <v>0</v>
      </c>
      <c r="T406" s="198">
        <f>_xlfn.IFNA(IF(T$7="Fixed",1,IF(AND($D103="yes",T$7="Block"),INDEX($O643:$Q643,1,MATCH(T$5,$I37:$K37,0)),INDEX(Movements!$G643:$M643,1,MATCH(T$7,Movements!$G$614:$M$614,0))))
*T1084*T$8,0)</f>
        <v>0</v>
      </c>
      <c r="U406" s="198">
        <f>_xlfn.IFNA(IF(U$7="Fixed",1,IF(AND($D103="yes",U$7="Block"),INDEX($O643:$Q643,1,MATCH(U$5,$I37:$K37,0)),INDEX(Movements!$G643:$M643,1,MATCH(U$7,Movements!$G$614:$M$614,0))))
*U1084*U$8,0)</f>
        <v>0</v>
      </c>
      <c r="V406" s="198">
        <f>_xlfn.IFNA(IF(V$7="Fixed",1,IF(AND($D103="yes",V$7="Block"),INDEX($O643:$Q643,1,MATCH(V$5,$I37:$K37,0)),INDEX(Movements!$G643:$M643,1,MATCH(V$7,Movements!$G$614:$M$614,0))))
*V1084*V$8,0)</f>
        <v>0</v>
      </c>
      <c r="W406" s="198">
        <f>_xlfn.IFNA(IF(W$7="Fixed",1,IF(AND($D103="yes",W$7="Block"),INDEX($O643:$Q643,1,MATCH(W$5,$I37:$K37,0)),INDEX(Movements!$G643:$M643,1,MATCH(W$7,Movements!$G$614:$M$614,0))))
*W1084*W$8,0)</f>
        <v>0</v>
      </c>
      <c r="X406" s="198">
        <f>_xlfn.IFNA(IF(X$7="Fixed",1,IF(AND($D103="yes",X$7="Block"),INDEX($O643:$Q643,1,MATCH(X$5,$I37:$K37,0)),INDEX(Movements!$G643:$M643,1,MATCH(X$7,Movements!$G$614:$M$614,0))))
*X1084*X$8,0)</f>
        <v>0</v>
      </c>
      <c r="Y406" s="198">
        <f>_xlfn.IFNA(IF(Y$7="Fixed",1,IF(AND($D103="yes",Y$7="Block"),INDEX($O643:$Q643,1,MATCH(Y$5,$I37:$K37,0)),INDEX(Movements!$G643:$M643,1,MATCH(Y$7,Movements!$G$614:$M$614,0))))
*Y1084*Y$8,0)</f>
        <v>0</v>
      </c>
      <c r="Z406" s="198">
        <f>_xlfn.IFNA(IF(Z$7="Fixed",1,IF(AND($D103="yes",Z$7="Block"),INDEX($O643:$Q643,1,MATCH(Z$5,$I37:$K37,0)),INDEX(Movements!$G643:$M643,1,MATCH(Z$7,Movements!$G$614:$M$614,0))))
*Z1084*Z$8,0)</f>
        <v>0</v>
      </c>
      <c r="AA406" s="198">
        <f>_xlfn.IFNA(IF(AA$7="Fixed",1,IF(AND($D103="yes",AA$7="Block"),INDEX($O643:$Q643,1,MATCH(AA$5,$I37:$K37,0)),INDEX(Movements!$G643:$M643,1,MATCH(AA$7,Movements!$G$614:$M$614,0))))
*AA1084*AA$8,0)</f>
        <v>0</v>
      </c>
      <c r="AB406" s="198">
        <f>_xlfn.IFNA(IF(AB$7="Fixed",1,IF(AND($D103="yes",AB$7="Block"),INDEX($O643:$Q643,1,MATCH(AB$5,$I37:$K37,0)),INDEX(Movements!$G643:$M643,1,MATCH(AB$7,Movements!$G$614:$M$614,0))))
*AB1084*AB$8,0)</f>
        <v>0</v>
      </c>
      <c r="AC406" s="70"/>
      <c r="AD406" s="19"/>
      <c r="AE406" s="19"/>
      <c r="AF406" s="19"/>
      <c r="AG406" s="19"/>
    </row>
    <row r="407" spans="1:33" hidden="1" outlineLevel="3" x14ac:dyDescent="0.2">
      <c r="A407" s="19"/>
      <c r="B407" s="97">
        <v>28</v>
      </c>
      <c r="C407" s="506">
        <f t="shared" si="85"/>
        <v>0</v>
      </c>
      <c r="D407" s="505">
        <f t="shared" si="85"/>
        <v>0</v>
      </c>
      <c r="E407" s="505">
        <f t="shared" si="85"/>
        <v>0</v>
      </c>
      <c r="F407" s="58"/>
      <c r="G407" s="199">
        <f t="shared" si="86"/>
        <v>0</v>
      </c>
      <c r="H407" s="58"/>
      <c r="I407" s="198">
        <f>_xlfn.IFNA(IF(I$7="Fixed",1,IF(AND($D104="yes",I$7="Block"),INDEX($O644:$Q644,1,MATCH(I$5,$I38:$K38,0)),INDEX(Movements!$G644:$M644,1,MATCH(I$7,Movements!$G$614:$M$614,0))))
*I1085*I$8,0)</f>
        <v>0</v>
      </c>
      <c r="J407" s="198">
        <f>_xlfn.IFNA(IF(J$7="Fixed",1,IF(AND($D104="yes",J$7="Block"),INDEX($O644:$Q644,1,MATCH(J$5,$I38:$K38,0)),INDEX(Movements!$G644:$M644,1,MATCH(J$7,Movements!$G$614:$M$614,0))))
*J1085*J$8,0)</f>
        <v>0</v>
      </c>
      <c r="K407" s="198">
        <f>_xlfn.IFNA(IF(K$7="Fixed",1,IF(AND($D104="yes",K$7="Block"),INDEX($O644:$Q644,1,MATCH(K$5,$I38:$K38,0)),INDEX(Movements!$G644:$M644,1,MATCH(K$7,Movements!$G$614:$M$614,0))))
*K1085*K$8,0)</f>
        <v>0</v>
      </c>
      <c r="L407" s="198">
        <f>_xlfn.IFNA(IF(L$7="Fixed",1,IF(AND($D104="yes",L$7="Block"),INDEX($O644:$Q644,1,MATCH(L$5,$I38:$K38,0)),INDEX(Movements!$G644:$M644,1,MATCH(L$7,Movements!$G$614:$M$614,0))))
*L1085*L$8,0)</f>
        <v>0</v>
      </c>
      <c r="M407" s="198">
        <f>_xlfn.IFNA(IF(M$7="Fixed",1,IF(AND($D104="yes",M$7="Block"),INDEX($O644:$Q644,1,MATCH(M$5,$I38:$K38,0)),INDEX(Movements!$G644:$M644,1,MATCH(M$7,Movements!$G$614:$M$614,0))))
*M1085*M$8,0)</f>
        <v>0</v>
      </c>
      <c r="N407" s="198">
        <f>_xlfn.IFNA(IF(N$7="Fixed",1,IF(AND($D104="yes",N$7="Block"),INDEX($O644:$Q644,1,MATCH(N$5,$I38:$K38,0)),INDEX(Movements!$G644:$M644,1,MATCH(N$7,Movements!$G$614:$M$614,0))))
*N1085*N$8,0)</f>
        <v>0</v>
      </c>
      <c r="O407" s="198">
        <f>_xlfn.IFNA(IF(O$7="Fixed",1,IF(AND($D104="yes",O$7="Block"),INDEX($O644:$Q644,1,MATCH(O$5,$I38:$K38,0)),INDEX(Movements!$G644:$M644,1,MATCH(O$7,Movements!$G$614:$M$614,0))))
*O1085*O$8,0)</f>
        <v>0</v>
      </c>
      <c r="P407" s="198">
        <f>_xlfn.IFNA(IF(P$7="Fixed",1,IF(AND($D104="yes",P$7="Block"),INDEX($O644:$Q644,1,MATCH(P$5,$I38:$K38,0)),INDEX(Movements!$G644:$M644,1,MATCH(P$7,Movements!$G$614:$M$614,0))))
*P1085*P$8,0)</f>
        <v>0</v>
      </c>
      <c r="Q407" s="198">
        <f>_xlfn.IFNA(IF(Q$7="Fixed",1,IF(AND($D104="yes",Q$7="Block"),INDEX($O644:$Q644,1,MATCH(Q$5,$I38:$K38,0)),INDEX(Movements!$G644:$M644,1,MATCH(Q$7,Movements!$G$614:$M$614,0))))
*Q1085*Q$8,0)</f>
        <v>0</v>
      </c>
      <c r="R407" s="198">
        <f>_xlfn.IFNA(IF(R$7="Fixed",1,IF(AND($D104="yes",R$7="Block"),INDEX($O644:$Q644,1,MATCH(R$5,$I38:$K38,0)),INDEX(Movements!$G644:$M644,1,MATCH(R$7,Movements!$G$614:$M$614,0))))
*R1085*R$8,0)</f>
        <v>0</v>
      </c>
      <c r="S407" s="198">
        <f>_xlfn.IFNA(IF(S$7="Fixed",1,IF(AND($D104="yes",S$7="Block"),INDEX($O644:$Q644,1,MATCH(S$5,$I38:$K38,0)),INDEX(Movements!$G644:$M644,1,MATCH(S$7,Movements!$G$614:$M$614,0))))
*S1085*S$8,0)</f>
        <v>0</v>
      </c>
      <c r="T407" s="198">
        <f>_xlfn.IFNA(IF(T$7="Fixed",1,IF(AND($D104="yes",T$7="Block"),INDEX($O644:$Q644,1,MATCH(T$5,$I38:$K38,0)),INDEX(Movements!$G644:$M644,1,MATCH(T$7,Movements!$G$614:$M$614,0))))
*T1085*T$8,0)</f>
        <v>0</v>
      </c>
      <c r="U407" s="198">
        <f>_xlfn.IFNA(IF(U$7="Fixed",1,IF(AND($D104="yes",U$7="Block"),INDEX($O644:$Q644,1,MATCH(U$5,$I38:$K38,0)),INDEX(Movements!$G644:$M644,1,MATCH(U$7,Movements!$G$614:$M$614,0))))
*U1085*U$8,0)</f>
        <v>0</v>
      </c>
      <c r="V407" s="198">
        <f>_xlfn.IFNA(IF(V$7="Fixed",1,IF(AND($D104="yes",V$7="Block"),INDEX($O644:$Q644,1,MATCH(V$5,$I38:$K38,0)),INDEX(Movements!$G644:$M644,1,MATCH(V$7,Movements!$G$614:$M$614,0))))
*V1085*V$8,0)</f>
        <v>0</v>
      </c>
      <c r="W407" s="198">
        <f>_xlfn.IFNA(IF(W$7="Fixed",1,IF(AND($D104="yes",W$7="Block"),INDEX($O644:$Q644,1,MATCH(W$5,$I38:$K38,0)),INDEX(Movements!$G644:$M644,1,MATCH(W$7,Movements!$G$614:$M$614,0))))
*W1085*W$8,0)</f>
        <v>0</v>
      </c>
      <c r="X407" s="198">
        <f>_xlfn.IFNA(IF(X$7="Fixed",1,IF(AND($D104="yes",X$7="Block"),INDEX($O644:$Q644,1,MATCH(X$5,$I38:$K38,0)),INDEX(Movements!$G644:$M644,1,MATCH(X$7,Movements!$G$614:$M$614,0))))
*X1085*X$8,0)</f>
        <v>0</v>
      </c>
      <c r="Y407" s="198">
        <f>_xlfn.IFNA(IF(Y$7="Fixed",1,IF(AND($D104="yes",Y$7="Block"),INDEX($O644:$Q644,1,MATCH(Y$5,$I38:$K38,0)),INDEX(Movements!$G644:$M644,1,MATCH(Y$7,Movements!$G$614:$M$614,0))))
*Y1085*Y$8,0)</f>
        <v>0</v>
      </c>
      <c r="Z407" s="198">
        <f>_xlfn.IFNA(IF(Z$7="Fixed",1,IF(AND($D104="yes",Z$7="Block"),INDEX($O644:$Q644,1,MATCH(Z$5,$I38:$K38,0)),INDEX(Movements!$G644:$M644,1,MATCH(Z$7,Movements!$G$614:$M$614,0))))
*Z1085*Z$8,0)</f>
        <v>0</v>
      </c>
      <c r="AA407" s="198">
        <f>_xlfn.IFNA(IF(AA$7="Fixed",1,IF(AND($D104="yes",AA$7="Block"),INDEX($O644:$Q644,1,MATCH(AA$5,$I38:$K38,0)),INDEX(Movements!$G644:$M644,1,MATCH(AA$7,Movements!$G$614:$M$614,0))))
*AA1085*AA$8,0)</f>
        <v>0</v>
      </c>
      <c r="AB407" s="198">
        <f>_xlfn.IFNA(IF(AB$7="Fixed",1,IF(AND($D104="yes",AB$7="Block"),INDEX($O644:$Q644,1,MATCH(AB$5,$I38:$K38,0)),INDEX(Movements!$G644:$M644,1,MATCH(AB$7,Movements!$G$614:$M$614,0))))
*AB1085*AB$8,0)</f>
        <v>0</v>
      </c>
      <c r="AC407" s="70"/>
      <c r="AD407" s="19"/>
      <c r="AE407" s="19"/>
      <c r="AF407" s="19"/>
      <c r="AG407" s="19"/>
    </row>
    <row r="408" spans="1:33" hidden="1" outlineLevel="3" x14ac:dyDescent="0.2">
      <c r="A408" s="19"/>
      <c r="B408" s="97">
        <v>29</v>
      </c>
      <c r="C408" s="506">
        <f t="shared" si="85"/>
        <v>0</v>
      </c>
      <c r="D408" s="505">
        <f t="shared" si="85"/>
        <v>0</v>
      </c>
      <c r="E408" s="505">
        <f t="shared" si="85"/>
        <v>0</v>
      </c>
      <c r="F408" s="58"/>
      <c r="G408" s="199">
        <f t="shared" si="86"/>
        <v>0</v>
      </c>
      <c r="H408" s="58"/>
      <c r="I408" s="198">
        <f>_xlfn.IFNA(IF(I$7="Fixed",1,IF(AND($D105="yes",I$7="Block"),INDEX($O645:$Q645,1,MATCH(I$5,$I39:$K39,0)),INDEX(Movements!$G645:$M645,1,MATCH(I$7,Movements!$G$614:$M$614,0))))
*I1086*I$8,0)</f>
        <v>0</v>
      </c>
      <c r="J408" s="198">
        <f>_xlfn.IFNA(IF(J$7="Fixed",1,IF(AND($D105="yes",J$7="Block"),INDEX($O645:$Q645,1,MATCH(J$5,$I39:$K39,0)),INDEX(Movements!$G645:$M645,1,MATCH(J$7,Movements!$G$614:$M$614,0))))
*J1086*J$8,0)</f>
        <v>0</v>
      </c>
      <c r="K408" s="198">
        <f>_xlfn.IFNA(IF(K$7="Fixed",1,IF(AND($D105="yes",K$7="Block"),INDEX($O645:$Q645,1,MATCH(K$5,$I39:$K39,0)),INDEX(Movements!$G645:$M645,1,MATCH(K$7,Movements!$G$614:$M$614,0))))
*K1086*K$8,0)</f>
        <v>0</v>
      </c>
      <c r="L408" s="198">
        <f>_xlfn.IFNA(IF(L$7="Fixed",1,IF(AND($D105="yes",L$7="Block"),INDEX($O645:$Q645,1,MATCH(L$5,$I39:$K39,0)),INDEX(Movements!$G645:$M645,1,MATCH(L$7,Movements!$G$614:$M$614,0))))
*L1086*L$8,0)</f>
        <v>0</v>
      </c>
      <c r="M408" s="198">
        <f>_xlfn.IFNA(IF(M$7="Fixed",1,IF(AND($D105="yes",M$7="Block"),INDEX($O645:$Q645,1,MATCH(M$5,$I39:$K39,0)),INDEX(Movements!$G645:$M645,1,MATCH(M$7,Movements!$G$614:$M$614,0))))
*M1086*M$8,0)</f>
        <v>0</v>
      </c>
      <c r="N408" s="198">
        <f>_xlfn.IFNA(IF(N$7="Fixed",1,IF(AND($D105="yes",N$7="Block"),INDEX($O645:$Q645,1,MATCH(N$5,$I39:$K39,0)),INDEX(Movements!$G645:$M645,1,MATCH(N$7,Movements!$G$614:$M$614,0))))
*N1086*N$8,0)</f>
        <v>0</v>
      </c>
      <c r="O408" s="198">
        <f>_xlfn.IFNA(IF(O$7="Fixed",1,IF(AND($D105="yes",O$7="Block"),INDEX($O645:$Q645,1,MATCH(O$5,$I39:$K39,0)),INDEX(Movements!$G645:$M645,1,MATCH(O$7,Movements!$G$614:$M$614,0))))
*O1086*O$8,0)</f>
        <v>0</v>
      </c>
      <c r="P408" s="198">
        <f>_xlfn.IFNA(IF(P$7="Fixed",1,IF(AND($D105="yes",P$7="Block"),INDEX($O645:$Q645,1,MATCH(P$5,$I39:$K39,0)),INDEX(Movements!$G645:$M645,1,MATCH(P$7,Movements!$G$614:$M$614,0))))
*P1086*P$8,0)</f>
        <v>0</v>
      </c>
      <c r="Q408" s="198">
        <f>_xlfn.IFNA(IF(Q$7="Fixed",1,IF(AND($D105="yes",Q$7="Block"),INDEX($O645:$Q645,1,MATCH(Q$5,$I39:$K39,0)),INDEX(Movements!$G645:$M645,1,MATCH(Q$7,Movements!$G$614:$M$614,0))))
*Q1086*Q$8,0)</f>
        <v>0</v>
      </c>
      <c r="R408" s="198">
        <f>_xlfn.IFNA(IF(R$7="Fixed",1,IF(AND($D105="yes",R$7="Block"),INDEX($O645:$Q645,1,MATCH(R$5,$I39:$K39,0)),INDEX(Movements!$G645:$M645,1,MATCH(R$7,Movements!$G$614:$M$614,0))))
*R1086*R$8,0)</f>
        <v>0</v>
      </c>
      <c r="S408" s="198">
        <f>_xlfn.IFNA(IF(S$7="Fixed",1,IF(AND($D105="yes",S$7="Block"),INDEX($O645:$Q645,1,MATCH(S$5,$I39:$K39,0)),INDEX(Movements!$G645:$M645,1,MATCH(S$7,Movements!$G$614:$M$614,0))))
*S1086*S$8,0)</f>
        <v>0</v>
      </c>
      <c r="T408" s="198">
        <f>_xlfn.IFNA(IF(T$7="Fixed",1,IF(AND($D105="yes",T$7="Block"),INDEX($O645:$Q645,1,MATCH(T$5,$I39:$K39,0)),INDEX(Movements!$G645:$M645,1,MATCH(T$7,Movements!$G$614:$M$614,0))))
*T1086*T$8,0)</f>
        <v>0</v>
      </c>
      <c r="U408" s="198">
        <f>_xlfn.IFNA(IF(U$7="Fixed",1,IF(AND($D105="yes",U$7="Block"),INDEX($O645:$Q645,1,MATCH(U$5,$I39:$K39,0)),INDEX(Movements!$G645:$M645,1,MATCH(U$7,Movements!$G$614:$M$614,0))))
*U1086*U$8,0)</f>
        <v>0</v>
      </c>
      <c r="V408" s="198">
        <f>_xlfn.IFNA(IF(V$7="Fixed",1,IF(AND($D105="yes",V$7="Block"),INDEX($O645:$Q645,1,MATCH(V$5,$I39:$K39,0)),INDEX(Movements!$G645:$M645,1,MATCH(V$7,Movements!$G$614:$M$614,0))))
*V1086*V$8,0)</f>
        <v>0</v>
      </c>
      <c r="W408" s="198">
        <f>_xlfn.IFNA(IF(W$7="Fixed",1,IF(AND($D105="yes",W$7="Block"),INDEX($O645:$Q645,1,MATCH(W$5,$I39:$K39,0)),INDEX(Movements!$G645:$M645,1,MATCH(W$7,Movements!$G$614:$M$614,0))))
*W1086*W$8,0)</f>
        <v>0</v>
      </c>
      <c r="X408" s="198">
        <f>_xlfn.IFNA(IF(X$7="Fixed",1,IF(AND($D105="yes",X$7="Block"),INDEX($O645:$Q645,1,MATCH(X$5,$I39:$K39,0)),INDEX(Movements!$G645:$M645,1,MATCH(X$7,Movements!$G$614:$M$614,0))))
*X1086*X$8,0)</f>
        <v>0</v>
      </c>
      <c r="Y408" s="198">
        <f>_xlfn.IFNA(IF(Y$7="Fixed",1,IF(AND($D105="yes",Y$7="Block"),INDEX($O645:$Q645,1,MATCH(Y$5,$I39:$K39,0)),INDEX(Movements!$G645:$M645,1,MATCH(Y$7,Movements!$G$614:$M$614,0))))
*Y1086*Y$8,0)</f>
        <v>0</v>
      </c>
      <c r="Z408" s="198">
        <f>_xlfn.IFNA(IF(Z$7="Fixed",1,IF(AND($D105="yes",Z$7="Block"),INDEX($O645:$Q645,1,MATCH(Z$5,$I39:$K39,0)),INDEX(Movements!$G645:$M645,1,MATCH(Z$7,Movements!$G$614:$M$614,0))))
*Z1086*Z$8,0)</f>
        <v>0</v>
      </c>
      <c r="AA408" s="198">
        <f>_xlfn.IFNA(IF(AA$7="Fixed",1,IF(AND($D105="yes",AA$7="Block"),INDEX($O645:$Q645,1,MATCH(AA$5,$I39:$K39,0)),INDEX(Movements!$G645:$M645,1,MATCH(AA$7,Movements!$G$614:$M$614,0))))
*AA1086*AA$8,0)</f>
        <v>0</v>
      </c>
      <c r="AB408" s="198">
        <f>_xlfn.IFNA(IF(AB$7="Fixed",1,IF(AND($D105="yes",AB$7="Block"),INDEX($O645:$Q645,1,MATCH(AB$5,$I39:$K39,0)),INDEX(Movements!$G645:$M645,1,MATCH(AB$7,Movements!$G$614:$M$614,0))))
*AB1086*AB$8,0)</f>
        <v>0</v>
      </c>
      <c r="AC408" s="70"/>
      <c r="AD408" s="19"/>
      <c r="AE408" s="19"/>
      <c r="AF408" s="19"/>
      <c r="AG408" s="19"/>
    </row>
    <row r="409" spans="1:33" hidden="1" outlineLevel="3" x14ac:dyDescent="0.2">
      <c r="A409" s="19"/>
      <c r="B409" s="98">
        <v>30</v>
      </c>
      <c r="C409" s="506">
        <f t="shared" si="85"/>
        <v>0</v>
      </c>
      <c r="D409" s="505">
        <f t="shared" si="85"/>
        <v>0</v>
      </c>
      <c r="E409" s="505">
        <f t="shared" si="85"/>
        <v>0</v>
      </c>
      <c r="F409" s="58"/>
      <c r="G409" s="199">
        <f t="shared" si="86"/>
        <v>0</v>
      </c>
      <c r="H409" s="58"/>
      <c r="I409" s="198">
        <f>_xlfn.IFNA(IF(I$7="Fixed",1,IF(AND($D106="yes",I$7="Block"),INDEX($O646:$Q646,1,MATCH(I$5,$I40:$K40,0)),INDEX(Movements!$G646:$M646,1,MATCH(I$7,Movements!$G$614:$M$614,0))))
*I1087*I$8,0)</f>
        <v>0</v>
      </c>
      <c r="J409" s="198">
        <f>_xlfn.IFNA(IF(J$7="Fixed",1,IF(AND($D106="yes",J$7="Block"),INDEX($O646:$Q646,1,MATCH(J$5,$I40:$K40,0)),INDEX(Movements!$G646:$M646,1,MATCH(J$7,Movements!$G$614:$M$614,0))))
*J1087*J$8,0)</f>
        <v>0</v>
      </c>
      <c r="K409" s="198">
        <f>_xlfn.IFNA(IF(K$7="Fixed",1,IF(AND($D106="yes",K$7="Block"),INDEX($O646:$Q646,1,MATCH(K$5,$I40:$K40,0)),INDEX(Movements!$G646:$M646,1,MATCH(K$7,Movements!$G$614:$M$614,0))))
*K1087*K$8,0)</f>
        <v>0</v>
      </c>
      <c r="L409" s="198">
        <f>_xlfn.IFNA(IF(L$7="Fixed",1,IF(AND($D106="yes",L$7="Block"),INDEX($O646:$Q646,1,MATCH(L$5,$I40:$K40,0)),INDEX(Movements!$G646:$M646,1,MATCH(L$7,Movements!$G$614:$M$614,0))))
*L1087*L$8,0)</f>
        <v>0</v>
      </c>
      <c r="M409" s="198">
        <f>_xlfn.IFNA(IF(M$7="Fixed",1,IF(AND($D106="yes",M$7="Block"),INDEX($O646:$Q646,1,MATCH(M$5,$I40:$K40,0)),INDEX(Movements!$G646:$M646,1,MATCH(M$7,Movements!$G$614:$M$614,0))))
*M1087*M$8,0)</f>
        <v>0</v>
      </c>
      <c r="N409" s="198">
        <f>_xlfn.IFNA(IF(N$7="Fixed",1,IF(AND($D106="yes",N$7="Block"),INDEX($O646:$Q646,1,MATCH(N$5,$I40:$K40,0)),INDEX(Movements!$G646:$M646,1,MATCH(N$7,Movements!$G$614:$M$614,0))))
*N1087*N$8,0)</f>
        <v>0</v>
      </c>
      <c r="O409" s="198">
        <f>_xlfn.IFNA(IF(O$7="Fixed",1,IF(AND($D106="yes",O$7="Block"),INDEX($O646:$Q646,1,MATCH(O$5,$I40:$K40,0)),INDEX(Movements!$G646:$M646,1,MATCH(O$7,Movements!$G$614:$M$614,0))))
*O1087*O$8,0)</f>
        <v>0</v>
      </c>
      <c r="P409" s="198">
        <f>_xlfn.IFNA(IF(P$7="Fixed",1,IF(AND($D106="yes",P$7="Block"),INDEX($O646:$Q646,1,MATCH(P$5,$I40:$K40,0)),INDEX(Movements!$G646:$M646,1,MATCH(P$7,Movements!$G$614:$M$614,0))))
*P1087*P$8,0)</f>
        <v>0</v>
      </c>
      <c r="Q409" s="198">
        <f>_xlfn.IFNA(IF(Q$7="Fixed",1,IF(AND($D106="yes",Q$7="Block"),INDEX($O646:$Q646,1,MATCH(Q$5,$I40:$K40,0)),INDEX(Movements!$G646:$M646,1,MATCH(Q$7,Movements!$G$614:$M$614,0))))
*Q1087*Q$8,0)</f>
        <v>0</v>
      </c>
      <c r="R409" s="198">
        <f>_xlfn.IFNA(IF(R$7="Fixed",1,IF(AND($D106="yes",R$7="Block"),INDEX($O646:$Q646,1,MATCH(R$5,$I40:$K40,0)),INDEX(Movements!$G646:$M646,1,MATCH(R$7,Movements!$G$614:$M$614,0))))
*R1087*R$8,0)</f>
        <v>0</v>
      </c>
      <c r="S409" s="198">
        <f>_xlfn.IFNA(IF(S$7="Fixed",1,IF(AND($D106="yes",S$7="Block"),INDEX($O646:$Q646,1,MATCH(S$5,$I40:$K40,0)),INDEX(Movements!$G646:$M646,1,MATCH(S$7,Movements!$G$614:$M$614,0))))
*S1087*S$8,0)</f>
        <v>0</v>
      </c>
      <c r="T409" s="198">
        <f>_xlfn.IFNA(IF(T$7="Fixed",1,IF(AND($D106="yes",T$7="Block"),INDEX($O646:$Q646,1,MATCH(T$5,$I40:$K40,0)),INDEX(Movements!$G646:$M646,1,MATCH(T$7,Movements!$G$614:$M$614,0))))
*T1087*T$8,0)</f>
        <v>0</v>
      </c>
      <c r="U409" s="198">
        <f>_xlfn.IFNA(IF(U$7="Fixed",1,IF(AND($D106="yes",U$7="Block"),INDEX($O646:$Q646,1,MATCH(U$5,$I40:$K40,0)),INDEX(Movements!$G646:$M646,1,MATCH(U$7,Movements!$G$614:$M$614,0))))
*U1087*U$8,0)</f>
        <v>0</v>
      </c>
      <c r="V409" s="198">
        <f>_xlfn.IFNA(IF(V$7="Fixed",1,IF(AND($D106="yes",V$7="Block"),INDEX($O646:$Q646,1,MATCH(V$5,$I40:$K40,0)),INDEX(Movements!$G646:$M646,1,MATCH(V$7,Movements!$G$614:$M$614,0))))
*V1087*V$8,0)</f>
        <v>0</v>
      </c>
      <c r="W409" s="198">
        <f>_xlfn.IFNA(IF(W$7="Fixed",1,IF(AND($D106="yes",W$7="Block"),INDEX($O646:$Q646,1,MATCH(W$5,$I40:$K40,0)),INDEX(Movements!$G646:$M646,1,MATCH(W$7,Movements!$G$614:$M$614,0))))
*W1087*W$8,0)</f>
        <v>0</v>
      </c>
      <c r="X409" s="198">
        <f>_xlfn.IFNA(IF(X$7="Fixed",1,IF(AND($D106="yes",X$7="Block"),INDEX($O646:$Q646,1,MATCH(X$5,$I40:$K40,0)),INDEX(Movements!$G646:$M646,1,MATCH(X$7,Movements!$G$614:$M$614,0))))
*X1087*X$8,0)</f>
        <v>0</v>
      </c>
      <c r="Y409" s="198">
        <f>_xlfn.IFNA(IF(Y$7="Fixed",1,IF(AND($D106="yes",Y$7="Block"),INDEX($O646:$Q646,1,MATCH(Y$5,$I40:$K40,0)),INDEX(Movements!$G646:$M646,1,MATCH(Y$7,Movements!$G$614:$M$614,0))))
*Y1087*Y$8,0)</f>
        <v>0</v>
      </c>
      <c r="Z409" s="198">
        <f>_xlfn.IFNA(IF(Z$7="Fixed",1,IF(AND($D106="yes",Z$7="Block"),INDEX($O646:$Q646,1,MATCH(Z$5,$I40:$K40,0)),INDEX(Movements!$G646:$M646,1,MATCH(Z$7,Movements!$G$614:$M$614,0))))
*Z1087*Z$8,0)</f>
        <v>0</v>
      </c>
      <c r="AA409" s="198">
        <f>_xlfn.IFNA(IF(AA$7="Fixed",1,IF(AND($D106="yes",AA$7="Block"),INDEX($O646:$Q646,1,MATCH(AA$5,$I40:$K40,0)),INDEX(Movements!$G646:$M646,1,MATCH(AA$7,Movements!$G$614:$M$614,0))))
*AA1087*AA$8,0)</f>
        <v>0</v>
      </c>
      <c r="AB409" s="198">
        <f>_xlfn.IFNA(IF(AB$7="Fixed",1,IF(AND($D106="yes",AB$7="Block"),INDEX($O646:$Q646,1,MATCH(AB$5,$I40:$K40,0)),INDEX(Movements!$G646:$M646,1,MATCH(AB$7,Movements!$G$614:$M$614,0))))
*AB1087*AB$8,0)</f>
        <v>0</v>
      </c>
      <c r="AC409" s="70"/>
      <c r="AD409" s="19"/>
      <c r="AE409" s="19"/>
      <c r="AF409" s="19"/>
      <c r="AG409" s="19"/>
    </row>
    <row r="410" spans="1:33" outlineLevel="2" collapsed="1" x14ac:dyDescent="0.2">
      <c r="A410" s="19"/>
      <c r="B410" s="19"/>
      <c r="C410" s="560"/>
      <c r="D410" s="558"/>
      <c r="E410" s="559"/>
      <c r="F410" s="58"/>
      <c r="G410" s="58"/>
      <c r="H410" s="58"/>
      <c r="I410" s="137"/>
      <c r="J410" s="137"/>
      <c r="K410" s="138"/>
      <c r="L410" s="138"/>
      <c r="M410" s="138"/>
      <c r="N410" s="139"/>
      <c r="O410" s="139"/>
      <c r="P410" s="139"/>
      <c r="Q410" s="139"/>
      <c r="R410" s="139"/>
      <c r="S410" s="138"/>
      <c r="T410" s="138"/>
      <c r="U410" s="138"/>
      <c r="V410" s="70"/>
      <c r="W410" s="70"/>
      <c r="X410" s="70"/>
      <c r="Y410" s="70"/>
      <c r="Z410" s="70"/>
      <c r="AA410" s="70"/>
      <c r="AB410" s="70"/>
      <c r="AC410" s="70"/>
      <c r="AD410" s="19"/>
      <c r="AE410" s="19"/>
      <c r="AF410" s="19"/>
      <c r="AG410" s="19"/>
    </row>
    <row r="411" spans="1:33" outlineLevel="1" x14ac:dyDescent="0.2">
      <c r="A411" s="19"/>
      <c r="B411" s="19"/>
      <c r="C411" s="217"/>
      <c r="D411" s="217"/>
      <c r="E411" s="536"/>
      <c r="F411" s="58"/>
      <c r="G411" s="58"/>
      <c r="H411" s="58"/>
      <c r="I411" s="137"/>
      <c r="J411" s="137"/>
      <c r="K411" s="138"/>
      <c r="L411" s="138"/>
      <c r="M411" s="138"/>
      <c r="N411" s="139"/>
      <c r="O411" s="139"/>
      <c r="P411" s="139"/>
      <c r="Q411" s="139"/>
      <c r="R411" s="139"/>
      <c r="S411" s="138"/>
      <c r="T411" s="138"/>
      <c r="U411" s="138"/>
      <c r="V411" s="70"/>
      <c r="W411" s="70"/>
      <c r="X411" s="70"/>
      <c r="Y411" s="70"/>
      <c r="Z411" s="70"/>
      <c r="AA411" s="70"/>
      <c r="AB411" s="70"/>
      <c r="AC411" s="70"/>
      <c r="AD411" s="19"/>
      <c r="AE411" s="19"/>
      <c r="AF411" s="19"/>
      <c r="AG411" s="19"/>
    </row>
    <row r="412" spans="1:33" outlineLevel="1" x14ac:dyDescent="0.2">
      <c r="A412" s="19"/>
      <c r="B412" s="19"/>
      <c r="C412" s="167" t="s">
        <v>138</v>
      </c>
      <c r="D412" s="167"/>
      <c r="E412" s="512"/>
      <c r="F412" s="20"/>
      <c r="G412" s="22"/>
      <c r="H412" s="22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70"/>
      <c r="W412" s="70"/>
      <c r="X412" s="70"/>
      <c r="Y412" s="70"/>
      <c r="Z412" s="70"/>
      <c r="AA412" s="70"/>
      <c r="AB412" s="70"/>
      <c r="AC412" s="70"/>
      <c r="AD412" s="19"/>
      <c r="AE412" s="19"/>
      <c r="AF412" s="19"/>
      <c r="AG412" s="19"/>
    </row>
    <row r="413" spans="1:33" hidden="1" outlineLevel="2" x14ac:dyDescent="0.2">
      <c r="A413" s="19"/>
      <c r="B413" s="19"/>
      <c r="C413" s="506" t="str">
        <f t="shared" ref="C413:E442" si="87">C347</f>
        <v>Residential time of use consumption</v>
      </c>
      <c r="D413" s="505">
        <f t="shared" si="87"/>
        <v>0</v>
      </c>
      <c r="E413" s="505" t="str">
        <f t="shared" si="87"/>
        <v>yes</v>
      </c>
      <c r="F413" s="20"/>
      <c r="G413" s="199">
        <f t="shared" ref="G413:G442" si="88">SUM(I413:AB413)</f>
        <v>0</v>
      </c>
      <c r="H413" s="22"/>
      <c r="I413" s="198">
        <f>_xlfn.IFNA(IF(I$7="Fixed",1,IF(AND($D77="yes",I$7="Block"),INDEX($O617:$Q617,1,MATCH(I$5,$I11:$K11,0)),INDEX(Movements!$G617:$M617,1,MATCH(I$7,Movements!$G$614:$M$614,0))))
*I1091*I$8,0)</f>
        <v>0</v>
      </c>
      <c r="J413" s="198">
        <f>_xlfn.IFNA(IF(J$7="Fixed",1,IF(AND($D77="yes",J$7="Block"),INDEX($O617:$Q617,1,MATCH(J$5,$I11:$K11,0)),INDEX(Movements!$G617:$M617,1,MATCH(J$7,Movements!$G$614:$M$614,0))))
*J1091*J$8,0)</f>
        <v>0</v>
      </c>
      <c r="K413" s="198">
        <f>_xlfn.IFNA(IF(K$7="Fixed",1,IF(AND($D77="yes",K$7="Block"),INDEX($O617:$Q617,1,MATCH(K$5,$I11:$K11,0)),INDEX(Movements!$G617:$M617,1,MATCH(K$7,Movements!$G$614:$M$614,0))))
*K1091*K$8,0)</f>
        <v>0</v>
      </c>
      <c r="L413" s="198">
        <f>_xlfn.IFNA(IF(L$7="Fixed",1,IF(AND($D77="yes",L$7="Block"),INDEX($O617:$Q617,1,MATCH(L$5,$I11:$K11,0)),INDEX(Movements!$G617:$M617,1,MATCH(L$7,Movements!$G$614:$M$614,0))))
*L1091*L$8,0)</f>
        <v>0</v>
      </c>
      <c r="M413" s="198">
        <f>_xlfn.IFNA(IF(M$7="Fixed",1,IF(AND($D77="yes",M$7="Block"),INDEX($O617:$Q617,1,MATCH(M$5,$I11:$K11,0)),INDEX(Movements!$G617:$M617,1,MATCH(M$7,Movements!$G$614:$M$614,0))))
*M1091*M$8,0)</f>
        <v>0</v>
      </c>
      <c r="N413" s="198">
        <f>_xlfn.IFNA(IF(N$7="Fixed",1,IF(AND($D77="yes",N$7="Block"),INDEX($O617:$Q617,1,MATCH(N$5,$I11:$K11,0)),INDEX(Movements!$G617:$M617,1,MATCH(N$7,Movements!$G$614:$M$614,0))))
*N1091*N$8,0)</f>
        <v>0</v>
      </c>
      <c r="O413" s="198">
        <f>_xlfn.IFNA(IF(O$7="Fixed",1,IF(AND($D77="yes",O$7="Block"),INDEX($O617:$Q617,1,MATCH(O$5,$I11:$K11,0)),INDEX(Movements!$G617:$M617,1,MATCH(O$7,Movements!$G$614:$M$614,0))))
*O1091*O$8,0)</f>
        <v>0</v>
      </c>
      <c r="P413" s="198">
        <f>_xlfn.IFNA(IF(P$7="Fixed",1,IF(AND($D77="yes",P$7="Block"),INDEX($O617:$Q617,1,MATCH(P$5,$I11:$K11,0)),INDEX(Movements!$G617:$M617,1,MATCH(P$7,Movements!$G$614:$M$614,0))))
*P1091*P$8,0)</f>
        <v>0</v>
      </c>
      <c r="Q413" s="198">
        <f>_xlfn.IFNA(IF(Q$7="Fixed",1,IF(AND($D77="yes",Q$7="Block"),INDEX($O617:$Q617,1,MATCH(Q$5,$I11:$K11,0)),INDEX(Movements!$G617:$M617,1,MATCH(Q$7,Movements!$G$614:$M$614,0))))
*Q1091*Q$8,0)</f>
        <v>0</v>
      </c>
      <c r="R413" s="198">
        <f>_xlfn.IFNA(IF(R$7="Fixed",1,IF(AND($D77="yes",R$7="Block"),INDEX($O617:$Q617,1,MATCH(R$5,$I11:$K11,0)),INDEX(Movements!$G617:$M617,1,MATCH(R$7,Movements!$G$614:$M$614,0))))
*R1091*R$8,0)</f>
        <v>0</v>
      </c>
      <c r="S413" s="198">
        <f>_xlfn.IFNA(IF(S$7="Fixed",1,IF(AND($D77="yes",S$7="Block"),INDEX($O617:$Q617,1,MATCH(S$5,$I11:$K11,0)),INDEX(Movements!$G617:$M617,1,MATCH(S$7,Movements!$G$614:$M$614,0))))
*S1091*S$8,0)</f>
        <v>0</v>
      </c>
      <c r="T413" s="198">
        <f>_xlfn.IFNA(IF(T$7="Fixed",1,IF(AND($D77="yes",T$7="Block"),INDEX($O617:$Q617,1,MATCH(T$5,$I11:$K11,0)),INDEX(Movements!$G617:$M617,1,MATCH(T$7,Movements!$G$614:$M$614,0))))
*T1091*T$8,0)</f>
        <v>0</v>
      </c>
      <c r="U413" s="198">
        <f>_xlfn.IFNA(IF(U$7="Fixed",1,IF(AND($D77="yes",U$7="Block"),INDEX($O617:$Q617,1,MATCH(U$5,$I11:$K11,0)),INDEX(Movements!$G617:$M617,1,MATCH(U$7,Movements!$G$614:$M$614,0))))
*U1091*U$8,0)</f>
        <v>0</v>
      </c>
      <c r="V413" s="198">
        <f>_xlfn.IFNA(IF(V$7="Fixed",1,IF(AND($D77="yes",V$7="Block"),INDEX($O617:$Q617,1,MATCH(V$5,$I11:$K11,0)),INDEX(Movements!$G617:$M617,1,MATCH(V$7,Movements!$G$614:$M$614,0))))
*V1091*V$8,0)</f>
        <v>0</v>
      </c>
      <c r="W413" s="198">
        <f>_xlfn.IFNA(IF(W$7="Fixed",1,IF(AND($D77="yes",W$7="Block"),INDEX($O617:$Q617,1,MATCH(W$5,$I11:$K11,0)),INDEX(Movements!$G617:$M617,1,MATCH(W$7,Movements!$G$614:$M$614,0))))
*W1091*W$8,0)</f>
        <v>0</v>
      </c>
      <c r="X413" s="198">
        <f>_xlfn.IFNA(IF(X$7="Fixed",1,IF(AND($D77="yes",X$7="Block"),INDEX($O617:$Q617,1,MATCH(X$5,$I11:$K11,0)),INDEX(Movements!$G617:$M617,1,MATCH(X$7,Movements!$G$614:$M$614,0))))
*X1091*X$8,0)</f>
        <v>0</v>
      </c>
      <c r="Y413" s="198">
        <f>_xlfn.IFNA(IF(Y$7="Fixed",1,IF(AND($D77="yes",Y$7="Block"),INDEX($O617:$Q617,1,MATCH(Y$5,$I11:$K11,0)),INDEX(Movements!$G617:$M617,1,MATCH(Y$7,Movements!$G$614:$M$614,0))))
*Y1091*Y$8,0)</f>
        <v>0</v>
      </c>
      <c r="Z413" s="198">
        <f>_xlfn.IFNA(IF(Z$7="Fixed",1,IF(AND($D77="yes",Z$7="Block"),INDEX($O617:$Q617,1,MATCH(Z$5,$I11:$K11,0)),INDEX(Movements!$G617:$M617,1,MATCH(Z$7,Movements!$G$614:$M$614,0))))
*Z1091*Z$8,0)</f>
        <v>0</v>
      </c>
      <c r="AA413" s="198">
        <f>_xlfn.IFNA(IF(AA$7="Fixed",1,IF(AND($D77="yes",AA$7="Block"),INDEX($O617:$Q617,1,MATCH(AA$5,$I11:$K11,0)),INDEX(Movements!$G617:$M617,1,MATCH(AA$7,Movements!$G$614:$M$614,0))))
*AA1091*AA$8,0)</f>
        <v>0</v>
      </c>
      <c r="AB413" s="198">
        <f>_xlfn.IFNA(IF(AB$7="Fixed",1,IF(AND($D77="yes",AB$7="Block"),INDEX($O617:$Q617,1,MATCH(AB$5,$I11:$K11,0)),INDEX(Movements!$G617:$M617,1,MATCH(AB$7,Movements!$G$614:$M$614,0))))
*AB1091*AB$8,0)</f>
        <v>0</v>
      </c>
      <c r="AC413" s="70"/>
      <c r="AD413" s="19"/>
      <c r="AE413" s="19"/>
      <c r="AF413" s="19"/>
      <c r="AG413" s="19"/>
    </row>
    <row r="414" spans="1:33" s="59" customFormat="1" hidden="1" outlineLevel="2" x14ac:dyDescent="0.2">
      <c r="A414" s="57"/>
      <c r="B414" s="57"/>
      <c r="C414" s="506" t="str">
        <f t="shared" si="87"/>
        <v>Residential general light and power</v>
      </c>
      <c r="D414" s="505">
        <f t="shared" si="87"/>
        <v>0</v>
      </c>
      <c r="E414" s="505" t="str">
        <f t="shared" si="87"/>
        <v>no</v>
      </c>
      <c r="F414" s="58"/>
      <c r="G414" s="199">
        <f t="shared" si="88"/>
        <v>0</v>
      </c>
      <c r="H414" s="58"/>
      <c r="I414" s="198">
        <f>_xlfn.IFNA(IF(I$7="Fixed",1,IF(AND($D78="yes",I$7="Block"),INDEX($O618:$Q618,1,MATCH(I$5,$I12:$K12,0)),INDEX(Movements!$G618:$M618,1,MATCH(I$7,Movements!$G$614:$M$614,0))))
*I1092*I$8,0)</f>
        <v>0</v>
      </c>
      <c r="J414" s="198">
        <f>_xlfn.IFNA(IF(J$7="Fixed",1,IF(AND($D78="yes",J$7="Block"),INDEX($O618:$Q618,1,MATCH(J$5,$I12:$K12,0)),INDEX(Movements!$G618:$M618,1,MATCH(J$7,Movements!$G$614:$M$614,0))))
*J1092*J$8,0)</f>
        <v>0</v>
      </c>
      <c r="K414" s="198">
        <f>_xlfn.IFNA(IF(K$7="Fixed",1,IF(AND($D78="yes",K$7="Block"),INDEX($O618:$Q618,1,MATCH(K$5,$I12:$K12,0)),INDEX(Movements!$G618:$M618,1,MATCH(K$7,Movements!$G$614:$M$614,0))))
*K1092*K$8,0)</f>
        <v>0</v>
      </c>
      <c r="L414" s="198">
        <f>_xlfn.IFNA(IF(L$7="Fixed",1,IF(AND($D78="yes",L$7="Block"),INDEX($O618:$Q618,1,MATCH(L$5,$I12:$K12,0)),INDEX(Movements!$G618:$M618,1,MATCH(L$7,Movements!$G$614:$M$614,0))))
*L1092*L$8,0)</f>
        <v>0</v>
      </c>
      <c r="M414" s="198">
        <f>_xlfn.IFNA(IF(M$7="Fixed",1,IF(AND($D78="yes",M$7="Block"),INDEX($O618:$Q618,1,MATCH(M$5,$I12:$K12,0)),INDEX(Movements!$G618:$M618,1,MATCH(M$7,Movements!$G$614:$M$614,0))))
*M1092*M$8,0)</f>
        <v>0</v>
      </c>
      <c r="N414" s="198">
        <f>_xlfn.IFNA(IF(N$7="Fixed",1,IF(AND($D78="yes",N$7="Block"),INDEX($O618:$Q618,1,MATCH(N$5,$I12:$K12,0)),INDEX(Movements!$G618:$M618,1,MATCH(N$7,Movements!$G$614:$M$614,0))))
*N1092*N$8,0)</f>
        <v>0</v>
      </c>
      <c r="O414" s="198">
        <f>_xlfn.IFNA(IF(O$7="Fixed",1,IF(AND($D78="yes",O$7="Block"),INDEX($O618:$Q618,1,MATCH(O$5,$I12:$K12,0)),INDEX(Movements!$G618:$M618,1,MATCH(O$7,Movements!$G$614:$M$614,0))))
*O1092*O$8,0)</f>
        <v>0</v>
      </c>
      <c r="P414" s="198">
        <f>_xlfn.IFNA(IF(P$7="Fixed",1,IF(AND($D78="yes",P$7="Block"),INDEX($O618:$Q618,1,MATCH(P$5,$I12:$K12,0)),INDEX(Movements!$G618:$M618,1,MATCH(P$7,Movements!$G$614:$M$614,0))))
*P1092*P$8,0)</f>
        <v>0</v>
      </c>
      <c r="Q414" s="198">
        <f>_xlfn.IFNA(IF(Q$7="Fixed",1,IF(AND($D78="yes",Q$7="Block"),INDEX($O618:$Q618,1,MATCH(Q$5,$I12:$K12,0)),INDEX(Movements!$G618:$M618,1,MATCH(Q$7,Movements!$G$614:$M$614,0))))
*Q1092*Q$8,0)</f>
        <v>0</v>
      </c>
      <c r="R414" s="198">
        <f>_xlfn.IFNA(IF(R$7="Fixed",1,IF(AND($D78="yes",R$7="Block"),INDEX($O618:$Q618,1,MATCH(R$5,$I12:$K12,0)),INDEX(Movements!$G618:$M618,1,MATCH(R$7,Movements!$G$614:$M$614,0))))
*R1092*R$8,0)</f>
        <v>0</v>
      </c>
      <c r="S414" s="198">
        <f>_xlfn.IFNA(IF(S$7="Fixed",1,IF(AND($D78="yes",S$7="Block"),INDEX($O618:$Q618,1,MATCH(S$5,$I12:$K12,0)),INDEX(Movements!$G618:$M618,1,MATCH(S$7,Movements!$G$614:$M$614,0))))
*S1092*S$8,0)</f>
        <v>0</v>
      </c>
      <c r="T414" s="198">
        <f>_xlfn.IFNA(IF(T$7="Fixed",1,IF(AND($D78="yes",T$7="Block"),INDEX($O618:$Q618,1,MATCH(T$5,$I12:$K12,0)),INDEX(Movements!$G618:$M618,1,MATCH(T$7,Movements!$G$614:$M$614,0))))
*T1092*T$8,0)</f>
        <v>0</v>
      </c>
      <c r="U414" s="198">
        <f>_xlfn.IFNA(IF(U$7="Fixed",1,IF(AND($D78="yes",U$7="Block"),INDEX($O618:$Q618,1,MATCH(U$5,$I12:$K12,0)),INDEX(Movements!$G618:$M618,1,MATCH(U$7,Movements!$G$614:$M$614,0))))
*U1092*U$8,0)</f>
        <v>0</v>
      </c>
      <c r="V414" s="198">
        <f>_xlfn.IFNA(IF(V$7="Fixed",1,IF(AND($D78="yes",V$7="Block"),INDEX($O618:$Q618,1,MATCH(V$5,$I12:$K12,0)),INDEX(Movements!$G618:$M618,1,MATCH(V$7,Movements!$G$614:$M$614,0))))
*V1092*V$8,0)</f>
        <v>0</v>
      </c>
      <c r="W414" s="198">
        <f>_xlfn.IFNA(IF(W$7="Fixed",1,IF(AND($D78="yes",W$7="Block"),INDEX($O618:$Q618,1,MATCH(W$5,$I12:$K12,0)),INDEX(Movements!$G618:$M618,1,MATCH(W$7,Movements!$G$614:$M$614,0))))
*W1092*W$8,0)</f>
        <v>0</v>
      </c>
      <c r="X414" s="198">
        <f>_xlfn.IFNA(IF(X$7="Fixed",1,IF(AND($D78="yes",X$7="Block"),INDEX($O618:$Q618,1,MATCH(X$5,$I12:$K12,0)),INDEX(Movements!$G618:$M618,1,MATCH(X$7,Movements!$G$614:$M$614,0))))
*X1092*X$8,0)</f>
        <v>0</v>
      </c>
      <c r="Y414" s="198">
        <f>_xlfn.IFNA(IF(Y$7="Fixed",1,IF(AND($D78="yes",Y$7="Block"),INDEX($O618:$Q618,1,MATCH(Y$5,$I12:$K12,0)),INDEX(Movements!$G618:$M618,1,MATCH(Y$7,Movements!$G$614:$M$614,0))))
*Y1092*Y$8,0)</f>
        <v>0</v>
      </c>
      <c r="Z414" s="198">
        <f>_xlfn.IFNA(IF(Z$7="Fixed",1,IF(AND($D78="yes",Z$7="Block"),INDEX($O618:$Q618,1,MATCH(Z$5,$I12:$K12,0)),INDEX(Movements!$G618:$M618,1,MATCH(Z$7,Movements!$G$614:$M$614,0))))
*Z1092*Z$8,0)</f>
        <v>0</v>
      </c>
      <c r="AA414" s="198">
        <f>_xlfn.IFNA(IF(AA$7="Fixed",1,IF(AND($D78="yes",AA$7="Block"),INDEX($O618:$Q618,1,MATCH(AA$5,$I12:$K12,0)),INDEX(Movements!$G618:$M618,1,MATCH(AA$7,Movements!$G$614:$M$614,0))))
*AA1092*AA$8,0)</f>
        <v>0</v>
      </c>
      <c r="AB414" s="198">
        <f>_xlfn.IFNA(IF(AB$7="Fixed",1,IF(AND($D78="yes",AB$7="Block"),INDEX($O618:$Q618,1,MATCH(AB$5,$I12:$K12,0)),INDEX(Movements!$G618:$M618,1,MATCH(AB$7,Movements!$G$614:$M$614,0))))
*AB1092*AB$8,0)</f>
        <v>0</v>
      </c>
      <c r="AC414" s="70"/>
      <c r="AD414" s="57"/>
      <c r="AE414" s="57"/>
      <c r="AF414" s="57"/>
      <c r="AG414" s="57"/>
    </row>
    <row r="415" spans="1:33" hidden="1" outlineLevel="2" x14ac:dyDescent="0.2">
      <c r="A415" s="19"/>
      <c r="B415" s="19"/>
      <c r="C415" s="506" t="str">
        <f t="shared" si="87"/>
        <v>Residential pay as you go</v>
      </c>
      <c r="D415" s="505">
        <f t="shared" si="87"/>
        <v>0</v>
      </c>
      <c r="E415" s="505" t="str">
        <f t="shared" si="87"/>
        <v>no</v>
      </c>
      <c r="F415" s="58"/>
      <c r="G415" s="199">
        <f t="shared" si="88"/>
        <v>0</v>
      </c>
      <c r="H415" s="58"/>
      <c r="I415" s="198">
        <f>_xlfn.IFNA(IF(I$7="Fixed",1,IF(AND($D79="yes",I$7="Block"),INDEX($O619:$Q619,1,MATCH(I$5,$I13:$K13,0)),INDEX(Movements!$G619:$M619,1,MATCH(I$7,Movements!$G$614:$M$614,0))))
*I1093*I$8,0)</f>
        <v>0</v>
      </c>
      <c r="J415" s="198">
        <f>_xlfn.IFNA(IF(J$7="Fixed",1,IF(AND($D79="yes",J$7="Block"),INDEX($O619:$Q619,1,MATCH(J$5,$I13:$K13,0)),INDEX(Movements!$G619:$M619,1,MATCH(J$7,Movements!$G$614:$M$614,0))))
*J1093*J$8,0)</f>
        <v>0</v>
      </c>
      <c r="K415" s="198">
        <f>_xlfn.IFNA(IF(K$7="Fixed",1,IF(AND($D79="yes",K$7="Block"),INDEX($O619:$Q619,1,MATCH(K$5,$I13:$K13,0)),INDEX(Movements!$G619:$M619,1,MATCH(K$7,Movements!$G$614:$M$614,0))))
*K1093*K$8,0)</f>
        <v>0</v>
      </c>
      <c r="L415" s="198">
        <f>_xlfn.IFNA(IF(L$7="Fixed",1,IF(AND($D79="yes",L$7="Block"),INDEX($O619:$Q619,1,MATCH(L$5,$I13:$K13,0)),INDEX(Movements!$G619:$M619,1,MATCH(L$7,Movements!$G$614:$M$614,0))))
*L1093*L$8,0)</f>
        <v>0</v>
      </c>
      <c r="M415" s="198">
        <f>_xlfn.IFNA(IF(M$7="Fixed",1,IF(AND($D79="yes",M$7="Block"),INDEX($O619:$Q619,1,MATCH(M$5,$I13:$K13,0)),INDEX(Movements!$G619:$M619,1,MATCH(M$7,Movements!$G$614:$M$614,0))))
*M1093*M$8,0)</f>
        <v>0</v>
      </c>
      <c r="N415" s="198">
        <f>_xlfn.IFNA(IF(N$7="Fixed",1,IF(AND($D79="yes",N$7="Block"),INDEX($O619:$Q619,1,MATCH(N$5,$I13:$K13,0)),INDEX(Movements!$G619:$M619,1,MATCH(N$7,Movements!$G$614:$M$614,0))))
*N1093*N$8,0)</f>
        <v>0</v>
      </c>
      <c r="O415" s="198">
        <f>_xlfn.IFNA(IF(O$7="Fixed",1,IF(AND($D79="yes",O$7="Block"),INDEX($O619:$Q619,1,MATCH(O$5,$I13:$K13,0)),INDEX(Movements!$G619:$M619,1,MATCH(O$7,Movements!$G$614:$M$614,0))))
*O1093*O$8,0)</f>
        <v>0</v>
      </c>
      <c r="P415" s="198">
        <f>_xlfn.IFNA(IF(P$7="Fixed",1,IF(AND($D79="yes",P$7="Block"),INDEX($O619:$Q619,1,MATCH(P$5,$I13:$K13,0)),INDEX(Movements!$G619:$M619,1,MATCH(P$7,Movements!$G$614:$M$614,0))))
*P1093*P$8,0)</f>
        <v>0</v>
      </c>
      <c r="Q415" s="198">
        <f>_xlfn.IFNA(IF(Q$7="Fixed",1,IF(AND($D79="yes",Q$7="Block"),INDEX($O619:$Q619,1,MATCH(Q$5,$I13:$K13,0)),INDEX(Movements!$G619:$M619,1,MATCH(Q$7,Movements!$G$614:$M$614,0))))
*Q1093*Q$8,0)</f>
        <v>0</v>
      </c>
      <c r="R415" s="198">
        <f>_xlfn.IFNA(IF(R$7="Fixed",1,IF(AND($D79="yes",R$7="Block"),INDEX($O619:$Q619,1,MATCH(R$5,$I13:$K13,0)),INDEX(Movements!$G619:$M619,1,MATCH(R$7,Movements!$G$614:$M$614,0))))
*R1093*R$8,0)</f>
        <v>0</v>
      </c>
      <c r="S415" s="198">
        <f>_xlfn.IFNA(IF(S$7="Fixed",1,IF(AND($D79="yes",S$7="Block"),INDEX($O619:$Q619,1,MATCH(S$5,$I13:$K13,0)),INDEX(Movements!$G619:$M619,1,MATCH(S$7,Movements!$G$614:$M$614,0))))
*S1093*S$8,0)</f>
        <v>0</v>
      </c>
      <c r="T415" s="198">
        <f>_xlfn.IFNA(IF(T$7="Fixed",1,IF(AND($D79="yes",T$7="Block"),INDEX($O619:$Q619,1,MATCH(T$5,$I13:$K13,0)),INDEX(Movements!$G619:$M619,1,MATCH(T$7,Movements!$G$614:$M$614,0))))
*T1093*T$8,0)</f>
        <v>0</v>
      </c>
      <c r="U415" s="198">
        <f>_xlfn.IFNA(IF(U$7="Fixed",1,IF(AND($D79="yes",U$7="Block"),INDEX($O619:$Q619,1,MATCH(U$5,$I13:$K13,0)),INDEX(Movements!$G619:$M619,1,MATCH(U$7,Movements!$G$614:$M$614,0))))
*U1093*U$8,0)</f>
        <v>0</v>
      </c>
      <c r="V415" s="198">
        <f>_xlfn.IFNA(IF(V$7="Fixed",1,IF(AND($D79="yes",V$7="Block"),INDEX($O619:$Q619,1,MATCH(V$5,$I13:$K13,0)),INDEX(Movements!$G619:$M619,1,MATCH(V$7,Movements!$G$614:$M$614,0))))
*V1093*V$8,0)</f>
        <v>0</v>
      </c>
      <c r="W415" s="198">
        <f>_xlfn.IFNA(IF(W$7="Fixed",1,IF(AND($D79="yes",W$7="Block"),INDEX($O619:$Q619,1,MATCH(W$5,$I13:$K13,0)),INDEX(Movements!$G619:$M619,1,MATCH(W$7,Movements!$G$614:$M$614,0))))
*W1093*W$8,0)</f>
        <v>0</v>
      </c>
      <c r="X415" s="198">
        <f>_xlfn.IFNA(IF(X$7="Fixed",1,IF(AND($D79="yes",X$7="Block"),INDEX($O619:$Q619,1,MATCH(X$5,$I13:$K13,0)),INDEX(Movements!$G619:$M619,1,MATCH(X$7,Movements!$G$614:$M$614,0))))
*X1093*X$8,0)</f>
        <v>0</v>
      </c>
      <c r="Y415" s="198">
        <f>_xlfn.IFNA(IF(Y$7="Fixed",1,IF(AND($D79="yes",Y$7="Block"),INDEX($O619:$Q619,1,MATCH(Y$5,$I13:$K13,0)),INDEX(Movements!$G619:$M619,1,MATCH(Y$7,Movements!$G$614:$M$614,0))))
*Y1093*Y$8,0)</f>
        <v>0</v>
      </c>
      <c r="Z415" s="198">
        <f>_xlfn.IFNA(IF(Z$7="Fixed",1,IF(AND($D79="yes",Z$7="Block"),INDEX($O619:$Q619,1,MATCH(Z$5,$I13:$K13,0)),INDEX(Movements!$G619:$M619,1,MATCH(Z$7,Movements!$G$614:$M$614,0))))
*Z1093*Z$8,0)</f>
        <v>0</v>
      </c>
      <c r="AA415" s="198">
        <f>_xlfn.IFNA(IF(AA$7="Fixed",1,IF(AND($D79="yes",AA$7="Block"),INDEX($O619:$Q619,1,MATCH(AA$5,$I13:$K13,0)),INDEX(Movements!$G619:$M619,1,MATCH(AA$7,Movements!$G$614:$M$614,0))))
*AA1093*AA$8,0)</f>
        <v>0</v>
      </c>
      <c r="AB415" s="198">
        <f>_xlfn.IFNA(IF(AB$7="Fixed",1,IF(AND($D79="yes",AB$7="Block"),INDEX($O619:$Q619,1,MATCH(AB$5,$I13:$K13,0)),INDEX(Movements!$G619:$M619,1,MATCH(AB$7,Movements!$G$614:$M$614,0))))
*AB1093*AB$8,0)</f>
        <v>0</v>
      </c>
      <c r="AC415" s="70"/>
      <c r="AD415" s="19"/>
      <c r="AE415" s="19"/>
      <c r="AF415" s="19"/>
      <c r="AG415" s="19"/>
    </row>
    <row r="416" spans="1:33" hidden="1" outlineLevel="2" x14ac:dyDescent="0.2">
      <c r="A416" s="19"/>
      <c r="B416" s="19"/>
      <c r="C416" s="506" t="str">
        <f t="shared" si="87"/>
        <v>Residential pay as you go time of use</v>
      </c>
      <c r="D416" s="505">
        <f t="shared" si="87"/>
        <v>0</v>
      </c>
      <c r="E416" s="505" t="str">
        <f t="shared" si="87"/>
        <v>no</v>
      </c>
      <c r="F416" s="58"/>
      <c r="G416" s="199">
        <f t="shared" si="88"/>
        <v>0</v>
      </c>
      <c r="H416" s="58"/>
      <c r="I416" s="198">
        <f>_xlfn.IFNA(IF(I$7="Fixed",1,IF(AND($D80="yes",I$7="Block"),INDEX($O620:$Q620,1,MATCH(I$5,$I14:$K14,0)),INDEX(Movements!$G620:$M620,1,MATCH(I$7,Movements!$G$614:$M$614,0))))
*I1094*I$8,0)</f>
        <v>0</v>
      </c>
      <c r="J416" s="198">
        <f>_xlfn.IFNA(IF(J$7="Fixed",1,IF(AND($D80="yes",J$7="Block"),INDEX($O620:$Q620,1,MATCH(J$5,$I14:$K14,0)),INDEX(Movements!$G620:$M620,1,MATCH(J$7,Movements!$G$614:$M$614,0))))
*J1094*J$8,0)</f>
        <v>0</v>
      </c>
      <c r="K416" s="198">
        <f>_xlfn.IFNA(IF(K$7="Fixed",1,IF(AND($D80="yes",K$7="Block"),INDEX($O620:$Q620,1,MATCH(K$5,$I14:$K14,0)),INDEX(Movements!$G620:$M620,1,MATCH(K$7,Movements!$G$614:$M$614,0))))
*K1094*K$8,0)</f>
        <v>0</v>
      </c>
      <c r="L416" s="198">
        <f>_xlfn.IFNA(IF(L$7="Fixed",1,IF(AND($D80="yes",L$7="Block"),INDEX($O620:$Q620,1,MATCH(L$5,$I14:$K14,0)),INDEX(Movements!$G620:$M620,1,MATCH(L$7,Movements!$G$614:$M$614,0))))
*L1094*L$8,0)</f>
        <v>0</v>
      </c>
      <c r="M416" s="198">
        <f>_xlfn.IFNA(IF(M$7="Fixed",1,IF(AND($D80="yes",M$7="Block"),INDEX($O620:$Q620,1,MATCH(M$5,$I14:$K14,0)),INDEX(Movements!$G620:$M620,1,MATCH(M$7,Movements!$G$614:$M$614,0))))
*M1094*M$8,0)</f>
        <v>0</v>
      </c>
      <c r="N416" s="198">
        <f>_xlfn.IFNA(IF(N$7="Fixed",1,IF(AND($D80="yes",N$7="Block"),INDEX($O620:$Q620,1,MATCH(N$5,$I14:$K14,0)),INDEX(Movements!$G620:$M620,1,MATCH(N$7,Movements!$G$614:$M$614,0))))
*N1094*N$8,0)</f>
        <v>0</v>
      </c>
      <c r="O416" s="198">
        <f>_xlfn.IFNA(IF(O$7="Fixed",1,IF(AND($D80="yes",O$7="Block"),INDEX($O620:$Q620,1,MATCH(O$5,$I14:$K14,0)),INDEX(Movements!$G620:$M620,1,MATCH(O$7,Movements!$G$614:$M$614,0))))
*O1094*O$8,0)</f>
        <v>0</v>
      </c>
      <c r="P416" s="198">
        <f>_xlfn.IFNA(IF(P$7="Fixed",1,IF(AND($D80="yes",P$7="Block"),INDEX($O620:$Q620,1,MATCH(P$5,$I14:$K14,0)),INDEX(Movements!$G620:$M620,1,MATCH(P$7,Movements!$G$614:$M$614,0))))
*P1094*P$8,0)</f>
        <v>0</v>
      </c>
      <c r="Q416" s="198">
        <f>_xlfn.IFNA(IF(Q$7="Fixed",1,IF(AND($D80="yes",Q$7="Block"),INDEX($O620:$Q620,1,MATCH(Q$5,$I14:$K14,0)),INDEX(Movements!$G620:$M620,1,MATCH(Q$7,Movements!$G$614:$M$614,0))))
*Q1094*Q$8,0)</f>
        <v>0</v>
      </c>
      <c r="R416" s="198">
        <f>_xlfn.IFNA(IF(R$7="Fixed",1,IF(AND($D80="yes",R$7="Block"),INDEX($O620:$Q620,1,MATCH(R$5,$I14:$K14,0)),INDEX(Movements!$G620:$M620,1,MATCH(R$7,Movements!$G$614:$M$614,0))))
*R1094*R$8,0)</f>
        <v>0</v>
      </c>
      <c r="S416" s="198">
        <f>_xlfn.IFNA(IF(S$7="Fixed",1,IF(AND($D80="yes",S$7="Block"),INDEX($O620:$Q620,1,MATCH(S$5,$I14:$K14,0)),INDEX(Movements!$G620:$M620,1,MATCH(S$7,Movements!$G$614:$M$614,0))))
*S1094*S$8,0)</f>
        <v>0</v>
      </c>
      <c r="T416" s="198">
        <f>_xlfn.IFNA(IF(T$7="Fixed",1,IF(AND($D80="yes",T$7="Block"),INDEX($O620:$Q620,1,MATCH(T$5,$I14:$K14,0)),INDEX(Movements!$G620:$M620,1,MATCH(T$7,Movements!$G$614:$M$614,0))))
*T1094*T$8,0)</f>
        <v>0</v>
      </c>
      <c r="U416" s="198">
        <f>_xlfn.IFNA(IF(U$7="Fixed",1,IF(AND($D80="yes",U$7="Block"),INDEX($O620:$Q620,1,MATCH(U$5,$I14:$K14,0)),INDEX(Movements!$G620:$M620,1,MATCH(U$7,Movements!$G$614:$M$614,0))))
*U1094*U$8,0)</f>
        <v>0</v>
      </c>
      <c r="V416" s="198">
        <f>_xlfn.IFNA(IF(V$7="Fixed",1,IF(AND($D80="yes",V$7="Block"),INDEX($O620:$Q620,1,MATCH(V$5,$I14:$K14,0)),INDEX(Movements!$G620:$M620,1,MATCH(V$7,Movements!$G$614:$M$614,0))))
*V1094*V$8,0)</f>
        <v>0</v>
      </c>
      <c r="W416" s="198">
        <f>_xlfn.IFNA(IF(W$7="Fixed",1,IF(AND($D80="yes",W$7="Block"),INDEX($O620:$Q620,1,MATCH(W$5,$I14:$K14,0)),INDEX(Movements!$G620:$M620,1,MATCH(W$7,Movements!$G$614:$M$614,0))))
*W1094*W$8,0)</f>
        <v>0</v>
      </c>
      <c r="X416" s="198">
        <f>_xlfn.IFNA(IF(X$7="Fixed",1,IF(AND($D80="yes",X$7="Block"),INDEX($O620:$Q620,1,MATCH(X$5,$I14:$K14,0)),INDEX(Movements!$G620:$M620,1,MATCH(X$7,Movements!$G$614:$M$614,0))))
*X1094*X$8,0)</f>
        <v>0</v>
      </c>
      <c r="Y416" s="198">
        <f>_xlfn.IFNA(IF(Y$7="Fixed",1,IF(AND($D80="yes",Y$7="Block"),INDEX($O620:$Q620,1,MATCH(Y$5,$I14:$K14,0)),INDEX(Movements!$G620:$M620,1,MATCH(Y$7,Movements!$G$614:$M$614,0))))
*Y1094*Y$8,0)</f>
        <v>0</v>
      </c>
      <c r="Z416" s="198">
        <f>_xlfn.IFNA(IF(Z$7="Fixed",1,IF(AND($D80="yes",Z$7="Block"),INDEX($O620:$Q620,1,MATCH(Z$5,$I14:$K14,0)),INDEX(Movements!$G620:$M620,1,MATCH(Z$7,Movements!$G$614:$M$614,0))))
*Z1094*Z$8,0)</f>
        <v>0</v>
      </c>
      <c r="AA416" s="198">
        <f>_xlfn.IFNA(IF(AA$7="Fixed",1,IF(AND($D80="yes",AA$7="Block"),INDEX($O620:$Q620,1,MATCH(AA$5,$I14:$K14,0)),INDEX(Movements!$G620:$M620,1,MATCH(AA$7,Movements!$G$614:$M$614,0))))
*AA1094*AA$8,0)</f>
        <v>0</v>
      </c>
      <c r="AB416" s="198">
        <f>_xlfn.IFNA(IF(AB$7="Fixed",1,IF(AND($D80="yes",AB$7="Block"),INDEX($O620:$Q620,1,MATCH(AB$5,$I14:$K14,0)),INDEX(Movements!$G620:$M620,1,MATCH(AB$7,Movements!$G$614:$M$614,0))))
*AB1094*AB$8,0)</f>
        <v>0</v>
      </c>
      <c r="AC416" s="70"/>
      <c r="AD416" s="19"/>
      <c r="AE416" s="19"/>
      <c r="AF416" s="19"/>
      <c r="AG416" s="19"/>
    </row>
    <row r="417" spans="1:33" hidden="1" outlineLevel="2" x14ac:dyDescent="0.2">
      <c r="A417" s="19"/>
      <c r="B417" s="19"/>
      <c r="C417" s="506">
        <f t="shared" si="87"/>
        <v>0</v>
      </c>
      <c r="D417" s="505">
        <f t="shared" si="87"/>
        <v>0</v>
      </c>
      <c r="E417" s="505">
        <f t="shared" si="87"/>
        <v>0</v>
      </c>
      <c r="F417" s="58"/>
      <c r="G417" s="199">
        <f t="shared" si="88"/>
        <v>0</v>
      </c>
      <c r="H417" s="58"/>
      <c r="I417" s="198">
        <f>_xlfn.IFNA(IF(I$7="Fixed",1,IF(AND($D81="yes",I$7="Block"),INDEX($O621:$Q621,1,MATCH(I$5,$I15:$K15,0)),INDEX(Movements!$G621:$M621,1,MATCH(I$7,Movements!$G$614:$M$614,0))))
*I1095*I$8,0)</f>
        <v>0</v>
      </c>
      <c r="J417" s="198">
        <f>_xlfn.IFNA(IF(J$7="Fixed",1,IF(AND($D81="yes",J$7="Block"),INDEX($O621:$Q621,1,MATCH(J$5,$I15:$K15,0)),INDEX(Movements!$G621:$M621,1,MATCH(J$7,Movements!$G$614:$M$614,0))))
*J1095*J$8,0)</f>
        <v>0</v>
      </c>
      <c r="K417" s="198">
        <f>_xlfn.IFNA(IF(K$7="Fixed",1,IF(AND($D81="yes",K$7="Block"),INDEX($O621:$Q621,1,MATCH(K$5,$I15:$K15,0)),INDEX(Movements!$G621:$M621,1,MATCH(K$7,Movements!$G$614:$M$614,0))))
*K1095*K$8,0)</f>
        <v>0</v>
      </c>
      <c r="L417" s="198">
        <f>_xlfn.IFNA(IF(L$7="Fixed",1,IF(AND($D81="yes",L$7="Block"),INDEX($O621:$Q621,1,MATCH(L$5,$I15:$K15,0)),INDEX(Movements!$G621:$M621,1,MATCH(L$7,Movements!$G$614:$M$614,0))))
*L1095*L$8,0)</f>
        <v>0</v>
      </c>
      <c r="M417" s="198">
        <f>_xlfn.IFNA(IF(M$7="Fixed",1,IF(AND($D81="yes",M$7="Block"),INDEX($O621:$Q621,1,MATCH(M$5,$I15:$K15,0)),INDEX(Movements!$G621:$M621,1,MATCH(M$7,Movements!$G$614:$M$614,0))))
*M1095*M$8,0)</f>
        <v>0</v>
      </c>
      <c r="N417" s="198">
        <f>_xlfn.IFNA(IF(N$7="Fixed",1,IF(AND($D81="yes",N$7="Block"),INDEX($O621:$Q621,1,MATCH(N$5,$I15:$K15,0)),INDEX(Movements!$G621:$M621,1,MATCH(N$7,Movements!$G$614:$M$614,0))))
*N1095*N$8,0)</f>
        <v>0</v>
      </c>
      <c r="O417" s="198">
        <f>_xlfn.IFNA(IF(O$7="Fixed",1,IF(AND($D81="yes",O$7="Block"),INDEX($O621:$Q621,1,MATCH(O$5,$I15:$K15,0)),INDEX(Movements!$G621:$M621,1,MATCH(O$7,Movements!$G$614:$M$614,0))))
*O1095*O$8,0)</f>
        <v>0</v>
      </c>
      <c r="P417" s="198">
        <f>_xlfn.IFNA(IF(P$7="Fixed",1,IF(AND($D81="yes",P$7="Block"),INDEX($O621:$Q621,1,MATCH(P$5,$I15:$K15,0)),INDEX(Movements!$G621:$M621,1,MATCH(P$7,Movements!$G$614:$M$614,0))))
*P1095*P$8,0)</f>
        <v>0</v>
      </c>
      <c r="Q417" s="198">
        <f>_xlfn.IFNA(IF(Q$7="Fixed",1,IF(AND($D81="yes",Q$7="Block"),INDEX($O621:$Q621,1,MATCH(Q$5,$I15:$K15,0)),INDEX(Movements!$G621:$M621,1,MATCH(Q$7,Movements!$G$614:$M$614,0))))
*Q1095*Q$8,0)</f>
        <v>0</v>
      </c>
      <c r="R417" s="198">
        <f>_xlfn.IFNA(IF(R$7="Fixed",1,IF(AND($D81="yes",R$7="Block"),INDEX($O621:$Q621,1,MATCH(R$5,$I15:$K15,0)),INDEX(Movements!$G621:$M621,1,MATCH(R$7,Movements!$G$614:$M$614,0))))
*R1095*R$8,0)</f>
        <v>0</v>
      </c>
      <c r="S417" s="198">
        <f>_xlfn.IFNA(IF(S$7="Fixed",1,IF(AND($D81="yes",S$7="Block"),INDEX($O621:$Q621,1,MATCH(S$5,$I15:$K15,0)),INDEX(Movements!$G621:$M621,1,MATCH(S$7,Movements!$G$614:$M$614,0))))
*S1095*S$8,0)</f>
        <v>0</v>
      </c>
      <c r="T417" s="198">
        <f>_xlfn.IFNA(IF(T$7="Fixed",1,IF(AND($D81="yes",T$7="Block"),INDEX($O621:$Q621,1,MATCH(T$5,$I15:$K15,0)),INDEX(Movements!$G621:$M621,1,MATCH(T$7,Movements!$G$614:$M$614,0))))
*T1095*T$8,0)</f>
        <v>0</v>
      </c>
      <c r="U417" s="198">
        <f>_xlfn.IFNA(IF(U$7="Fixed",1,IF(AND($D81="yes",U$7="Block"),INDEX($O621:$Q621,1,MATCH(U$5,$I15:$K15,0)),INDEX(Movements!$G621:$M621,1,MATCH(U$7,Movements!$G$614:$M$614,0))))
*U1095*U$8,0)</f>
        <v>0</v>
      </c>
      <c r="V417" s="198">
        <f>_xlfn.IFNA(IF(V$7="Fixed",1,IF(AND($D81="yes",V$7="Block"),INDEX($O621:$Q621,1,MATCH(V$5,$I15:$K15,0)),INDEX(Movements!$G621:$M621,1,MATCH(V$7,Movements!$G$614:$M$614,0))))
*V1095*V$8,0)</f>
        <v>0</v>
      </c>
      <c r="W417" s="198">
        <f>_xlfn.IFNA(IF(W$7="Fixed",1,IF(AND($D81="yes",W$7="Block"),INDEX($O621:$Q621,1,MATCH(W$5,$I15:$K15,0)),INDEX(Movements!$G621:$M621,1,MATCH(W$7,Movements!$G$614:$M$614,0))))
*W1095*W$8,0)</f>
        <v>0</v>
      </c>
      <c r="X417" s="198">
        <f>_xlfn.IFNA(IF(X$7="Fixed",1,IF(AND($D81="yes",X$7="Block"),INDEX($O621:$Q621,1,MATCH(X$5,$I15:$K15,0)),INDEX(Movements!$G621:$M621,1,MATCH(X$7,Movements!$G$614:$M$614,0))))
*X1095*X$8,0)</f>
        <v>0</v>
      </c>
      <c r="Y417" s="198">
        <f>_xlfn.IFNA(IF(Y$7="Fixed",1,IF(AND($D81="yes",Y$7="Block"),INDEX($O621:$Q621,1,MATCH(Y$5,$I15:$K15,0)),INDEX(Movements!$G621:$M621,1,MATCH(Y$7,Movements!$G$614:$M$614,0))))
*Y1095*Y$8,0)</f>
        <v>0</v>
      </c>
      <c r="Z417" s="198">
        <f>_xlfn.IFNA(IF(Z$7="Fixed",1,IF(AND($D81="yes",Z$7="Block"),INDEX($O621:$Q621,1,MATCH(Z$5,$I15:$K15,0)),INDEX(Movements!$G621:$M621,1,MATCH(Z$7,Movements!$G$614:$M$614,0))))
*Z1095*Z$8,0)</f>
        <v>0</v>
      </c>
      <c r="AA417" s="198">
        <f>_xlfn.IFNA(IF(AA$7="Fixed",1,IF(AND($D81="yes",AA$7="Block"),INDEX($O621:$Q621,1,MATCH(AA$5,$I15:$K15,0)),INDEX(Movements!$G621:$M621,1,MATCH(AA$7,Movements!$G$614:$M$614,0))))
*AA1095*AA$8,0)</f>
        <v>0</v>
      </c>
      <c r="AB417" s="198">
        <f>_xlfn.IFNA(IF(AB$7="Fixed",1,IF(AND($D81="yes",AB$7="Block"),INDEX($O621:$Q621,1,MATCH(AB$5,$I15:$K15,0)),INDEX(Movements!$G621:$M621,1,MATCH(AB$7,Movements!$G$614:$M$614,0))))
*AB1095*AB$8,0)</f>
        <v>0</v>
      </c>
      <c r="AC417" s="70"/>
      <c r="AD417" s="19"/>
      <c r="AE417" s="19"/>
      <c r="AF417" s="19"/>
      <c r="AG417" s="19"/>
    </row>
    <row r="418" spans="1:33" hidden="1" outlineLevel="3" x14ac:dyDescent="0.2">
      <c r="A418" s="19"/>
      <c r="B418" s="19"/>
      <c r="C418" s="506">
        <f t="shared" si="87"/>
        <v>0</v>
      </c>
      <c r="D418" s="505">
        <f t="shared" si="87"/>
        <v>0</v>
      </c>
      <c r="E418" s="505">
        <f t="shared" si="87"/>
        <v>0</v>
      </c>
      <c r="F418" s="58"/>
      <c r="G418" s="199">
        <f t="shared" si="88"/>
        <v>0</v>
      </c>
      <c r="H418" s="58"/>
      <c r="I418" s="198">
        <f>_xlfn.IFNA(IF(I$7="Fixed",1,IF(AND($D82="yes",I$7="Block"),INDEX($O622:$Q622,1,MATCH(I$5,$I16:$K16,0)),INDEX(Movements!$G622:$M622,1,MATCH(I$7,Movements!$G$614:$M$614,0))))
*I1096*I$8,0)</f>
        <v>0</v>
      </c>
      <c r="J418" s="198">
        <f>_xlfn.IFNA(IF(J$7="Fixed",1,IF(AND($D82="yes",J$7="Block"),INDEX($O622:$Q622,1,MATCH(J$5,$I16:$K16,0)),INDEX(Movements!$G622:$M622,1,MATCH(J$7,Movements!$G$614:$M$614,0))))
*J1096*J$8,0)</f>
        <v>0</v>
      </c>
      <c r="K418" s="198">
        <f>_xlfn.IFNA(IF(K$7="Fixed",1,IF(AND($D82="yes",K$7="Block"),INDEX($O622:$Q622,1,MATCH(K$5,$I16:$K16,0)),INDEX(Movements!$G622:$M622,1,MATCH(K$7,Movements!$G$614:$M$614,0))))
*K1096*K$8,0)</f>
        <v>0</v>
      </c>
      <c r="L418" s="198">
        <f>_xlfn.IFNA(IF(L$7="Fixed",1,IF(AND($D82="yes",L$7="Block"),INDEX($O622:$Q622,1,MATCH(L$5,$I16:$K16,0)),INDEX(Movements!$G622:$M622,1,MATCH(L$7,Movements!$G$614:$M$614,0))))
*L1096*L$8,0)</f>
        <v>0</v>
      </c>
      <c r="M418" s="198">
        <f>_xlfn.IFNA(IF(M$7="Fixed",1,IF(AND($D82="yes",M$7="Block"),INDEX($O622:$Q622,1,MATCH(M$5,$I16:$K16,0)),INDEX(Movements!$G622:$M622,1,MATCH(M$7,Movements!$G$614:$M$614,0))))
*M1096*M$8,0)</f>
        <v>0</v>
      </c>
      <c r="N418" s="198">
        <f>_xlfn.IFNA(IF(N$7="Fixed",1,IF(AND($D82="yes",N$7="Block"),INDEX($O622:$Q622,1,MATCH(N$5,$I16:$K16,0)),INDEX(Movements!$G622:$M622,1,MATCH(N$7,Movements!$G$614:$M$614,0))))
*N1096*N$8,0)</f>
        <v>0</v>
      </c>
      <c r="O418" s="198">
        <f>_xlfn.IFNA(IF(O$7="Fixed",1,IF(AND($D82="yes",O$7="Block"),INDEX($O622:$Q622,1,MATCH(O$5,$I16:$K16,0)),INDEX(Movements!$G622:$M622,1,MATCH(O$7,Movements!$G$614:$M$614,0))))
*O1096*O$8,0)</f>
        <v>0</v>
      </c>
      <c r="P418" s="198">
        <f>_xlfn.IFNA(IF(P$7="Fixed",1,IF(AND($D82="yes",P$7="Block"),INDEX($O622:$Q622,1,MATCH(P$5,$I16:$K16,0)),INDEX(Movements!$G622:$M622,1,MATCH(P$7,Movements!$G$614:$M$614,0))))
*P1096*P$8,0)</f>
        <v>0</v>
      </c>
      <c r="Q418" s="198">
        <f>_xlfn.IFNA(IF(Q$7="Fixed",1,IF(AND($D82="yes",Q$7="Block"),INDEX($O622:$Q622,1,MATCH(Q$5,$I16:$K16,0)),INDEX(Movements!$G622:$M622,1,MATCH(Q$7,Movements!$G$614:$M$614,0))))
*Q1096*Q$8,0)</f>
        <v>0</v>
      </c>
      <c r="R418" s="198">
        <f>_xlfn.IFNA(IF(R$7="Fixed",1,IF(AND($D82="yes",R$7="Block"),INDEX($O622:$Q622,1,MATCH(R$5,$I16:$K16,0)),INDEX(Movements!$G622:$M622,1,MATCH(R$7,Movements!$G$614:$M$614,0))))
*R1096*R$8,0)</f>
        <v>0</v>
      </c>
      <c r="S418" s="198">
        <f>_xlfn.IFNA(IF(S$7="Fixed",1,IF(AND($D82="yes",S$7="Block"),INDEX($O622:$Q622,1,MATCH(S$5,$I16:$K16,0)),INDEX(Movements!$G622:$M622,1,MATCH(S$7,Movements!$G$614:$M$614,0))))
*S1096*S$8,0)</f>
        <v>0</v>
      </c>
      <c r="T418" s="198">
        <f>_xlfn.IFNA(IF(T$7="Fixed",1,IF(AND($D82="yes",T$7="Block"),INDEX($O622:$Q622,1,MATCH(T$5,$I16:$K16,0)),INDEX(Movements!$G622:$M622,1,MATCH(T$7,Movements!$G$614:$M$614,0))))
*T1096*T$8,0)</f>
        <v>0</v>
      </c>
      <c r="U418" s="198">
        <f>_xlfn.IFNA(IF(U$7="Fixed",1,IF(AND($D82="yes",U$7="Block"),INDEX($O622:$Q622,1,MATCH(U$5,$I16:$K16,0)),INDEX(Movements!$G622:$M622,1,MATCH(U$7,Movements!$G$614:$M$614,0))))
*U1096*U$8,0)</f>
        <v>0</v>
      </c>
      <c r="V418" s="198">
        <f>_xlfn.IFNA(IF(V$7="Fixed",1,IF(AND($D82="yes",V$7="Block"),INDEX($O622:$Q622,1,MATCH(V$5,$I16:$K16,0)),INDEX(Movements!$G622:$M622,1,MATCH(V$7,Movements!$G$614:$M$614,0))))
*V1096*V$8,0)</f>
        <v>0</v>
      </c>
      <c r="W418" s="198">
        <f>_xlfn.IFNA(IF(W$7="Fixed",1,IF(AND($D82="yes",W$7="Block"),INDEX($O622:$Q622,1,MATCH(W$5,$I16:$K16,0)),INDEX(Movements!$G622:$M622,1,MATCH(W$7,Movements!$G$614:$M$614,0))))
*W1096*W$8,0)</f>
        <v>0</v>
      </c>
      <c r="X418" s="198">
        <f>_xlfn.IFNA(IF(X$7="Fixed",1,IF(AND($D82="yes",X$7="Block"),INDEX($O622:$Q622,1,MATCH(X$5,$I16:$K16,0)),INDEX(Movements!$G622:$M622,1,MATCH(X$7,Movements!$G$614:$M$614,0))))
*X1096*X$8,0)</f>
        <v>0</v>
      </c>
      <c r="Y418" s="198">
        <f>_xlfn.IFNA(IF(Y$7="Fixed",1,IF(AND($D82="yes",Y$7="Block"),INDEX($O622:$Q622,1,MATCH(Y$5,$I16:$K16,0)),INDEX(Movements!$G622:$M622,1,MATCH(Y$7,Movements!$G$614:$M$614,0))))
*Y1096*Y$8,0)</f>
        <v>0</v>
      </c>
      <c r="Z418" s="198">
        <f>_xlfn.IFNA(IF(Z$7="Fixed",1,IF(AND($D82="yes",Z$7="Block"),INDEX($O622:$Q622,1,MATCH(Z$5,$I16:$K16,0)),INDEX(Movements!$G622:$M622,1,MATCH(Z$7,Movements!$G$614:$M$614,0))))
*Z1096*Z$8,0)</f>
        <v>0</v>
      </c>
      <c r="AA418" s="198">
        <f>_xlfn.IFNA(IF(AA$7="Fixed",1,IF(AND($D82="yes",AA$7="Block"),INDEX($O622:$Q622,1,MATCH(AA$5,$I16:$K16,0)),INDEX(Movements!$G622:$M622,1,MATCH(AA$7,Movements!$G$614:$M$614,0))))
*AA1096*AA$8,0)</f>
        <v>0</v>
      </c>
      <c r="AB418" s="198">
        <f>_xlfn.IFNA(IF(AB$7="Fixed",1,IF(AND($D82="yes",AB$7="Block"),INDEX($O622:$Q622,1,MATCH(AB$5,$I16:$K16,0)),INDEX(Movements!$G622:$M622,1,MATCH(AB$7,Movements!$G$614:$M$614,0))))
*AB1096*AB$8,0)</f>
        <v>0</v>
      </c>
      <c r="AC418" s="70"/>
      <c r="AD418" s="19"/>
      <c r="AE418" s="19"/>
      <c r="AF418" s="19"/>
      <c r="AG418" s="19"/>
    </row>
    <row r="419" spans="1:33" hidden="1" outlineLevel="3" x14ac:dyDescent="0.2">
      <c r="A419" s="19"/>
      <c r="B419" s="19"/>
      <c r="C419" s="506">
        <f t="shared" si="87"/>
        <v>0</v>
      </c>
      <c r="D419" s="505">
        <f t="shared" si="87"/>
        <v>0</v>
      </c>
      <c r="E419" s="505">
        <f t="shared" si="87"/>
        <v>0</v>
      </c>
      <c r="F419" s="58"/>
      <c r="G419" s="199">
        <f t="shared" si="88"/>
        <v>0</v>
      </c>
      <c r="H419" s="58"/>
      <c r="I419" s="198">
        <f>_xlfn.IFNA(IF(I$7="Fixed",1,IF(AND($D83="yes",I$7="Block"),INDEX($O623:$Q623,1,MATCH(I$5,$I17:$K17,0)),INDEX(Movements!$G623:$M623,1,MATCH(I$7,Movements!$G$614:$M$614,0))))
*I1097*I$8,0)</f>
        <v>0</v>
      </c>
      <c r="J419" s="198">
        <f>_xlfn.IFNA(IF(J$7="Fixed",1,IF(AND($D83="yes",J$7="Block"),INDEX($O623:$Q623,1,MATCH(J$5,$I17:$K17,0)),INDEX(Movements!$G623:$M623,1,MATCH(J$7,Movements!$G$614:$M$614,0))))
*J1097*J$8,0)</f>
        <v>0</v>
      </c>
      <c r="K419" s="198">
        <f>_xlfn.IFNA(IF(K$7="Fixed",1,IF(AND($D83="yes",K$7="Block"),INDEX($O623:$Q623,1,MATCH(K$5,$I17:$K17,0)),INDEX(Movements!$G623:$M623,1,MATCH(K$7,Movements!$G$614:$M$614,0))))
*K1097*K$8,0)</f>
        <v>0</v>
      </c>
      <c r="L419" s="198">
        <f>_xlfn.IFNA(IF(L$7="Fixed",1,IF(AND($D83="yes",L$7="Block"),INDEX($O623:$Q623,1,MATCH(L$5,$I17:$K17,0)),INDEX(Movements!$G623:$M623,1,MATCH(L$7,Movements!$G$614:$M$614,0))))
*L1097*L$8,0)</f>
        <v>0</v>
      </c>
      <c r="M419" s="198">
        <f>_xlfn.IFNA(IF(M$7="Fixed",1,IF(AND($D83="yes",M$7="Block"),INDEX($O623:$Q623,1,MATCH(M$5,$I17:$K17,0)),INDEX(Movements!$G623:$M623,1,MATCH(M$7,Movements!$G$614:$M$614,0))))
*M1097*M$8,0)</f>
        <v>0</v>
      </c>
      <c r="N419" s="198">
        <f>_xlfn.IFNA(IF(N$7="Fixed",1,IF(AND($D83="yes",N$7="Block"),INDEX($O623:$Q623,1,MATCH(N$5,$I17:$K17,0)),INDEX(Movements!$G623:$M623,1,MATCH(N$7,Movements!$G$614:$M$614,0))))
*N1097*N$8,0)</f>
        <v>0</v>
      </c>
      <c r="O419" s="198">
        <f>_xlfn.IFNA(IF(O$7="Fixed",1,IF(AND($D83="yes",O$7="Block"),INDEX($O623:$Q623,1,MATCH(O$5,$I17:$K17,0)),INDEX(Movements!$G623:$M623,1,MATCH(O$7,Movements!$G$614:$M$614,0))))
*O1097*O$8,0)</f>
        <v>0</v>
      </c>
      <c r="P419" s="198">
        <f>_xlfn.IFNA(IF(P$7="Fixed",1,IF(AND($D83="yes",P$7="Block"),INDEX($O623:$Q623,1,MATCH(P$5,$I17:$K17,0)),INDEX(Movements!$G623:$M623,1,MATCH(P$7,Movements!$G$614:$M$614,0))))
*P1097*P$8,0)</f>
        <v>0</v>
      </c>
      <c r="Q419" s="198">
        <f>_xlfn.IFNA(IF(Q$7="Fixed",1,IF(AND($D83="yes",Q$7="Block"),INDEX($O623:$Q623,1,MATCH(Q$5,$I17:$K17,0)),INDEX(Movements!$G623:$M623,1,MATCH(Q$7,Movements!$G$614:$M$614,0))))
*Q1097*Q$8,0)</f>
        <v>0</v>
      </c>
      <c r="R419" s="198">
        <f>_xlfn.IFNA(IF(R$7="Fixed",1,IF(AND($D83="yes",R$7="Block"),INDEX($O623:$Q623,1,MATCH(R$5,$I17:$K17,0)),INDEX(Movements!$G623:$M623,1,MATCH(R$7,Movements!$G$614:$M$614,0))))
*R1097*R$8,0)</f>
        <v>0</v>
      </c>
      <c r="S419" s="198">
        <f>_xlfn.IFNA(IF(S$7="Fixed",1,IF(AND($D83="yes",S$7="Block"),INDEX($O623:$Q623,1,MATCH(S$5,$I17:$K17,0)),INDEX(Movements!$G623:$M623,1,MATCH(S$7,Movements!$G$614:$M$614,0))))
*S1097*S$8,0)</f>
        <v>0</v>
      </c>
      <c r="T419" s="198">
        <f>_xlfn.IFNA(IF(T$7="Fixed",1,IF(AND($D83="yes",T$7="Block"),INDEX($O623:$Q623,1,MATCH(T$5,$I17:$K17,0)),INDEX(Movements!$G623:$M623,1,MATCH(T$7,Movements!$G$614:$M$614,0))))
*T1097*T$8,0)</f>
        <v>0</v>
      </c>
      <c r="U419" s="198">
        <f>_xlfn.IFNA(IF(U$7="Fixed",1,IF(AND($D83="yes",U$7="Block"),INDEX($O623:$Q623,1,MATCH(U$5,$I17:$K17,0)),INDEX(Movements!$G623:$M623,1,MATCH(U$7,Movements!$G$614:$M$614,0))))
*U1097*U$8,0)</f>
        <v>0</v>
      </c>
      <c r="V419" s="198">
        <f>_xlfn.IFNA(IF(V$7="Fixed",1,IF(AND($D83="yes",V$7="Block"),INDEX($O623:$Q623,1,MATCH(V$5,$I17:$K17,0)),INDEX(Movements!$G623:$M623,1,MATCH(V$7,Movements!$G$614:$M$614,0))))
*V1097*V$8,0)</f>
        <v>0</v>
      </c>
      <c r="W419" s="198">
        <f>_xlfn.IFNA(IF(W$7="Fixed",1,IF(AND($D83="yes",W$7="Block"),INDEX($O623:$Q623,1,MATCH(W$5,$I17:$K17,0)),INDEX(Movements!$G623:$M623,1,MATCH(W$7,Movements!$G$614:$M$614,0))))
*W1097*W$8,0)</f>
        <v>0</v>
      </c>
      <c r="X419" s="198">
        <f>_xlfn.IFNA(IF(X$7="Fixed",1,IF(AND($D83="yes",X$7="Block"),INDEX($O623:$Q623,1,MATCH(X$5,$I17:$K17,0)),INDEX(Movements!$G623:$M623,1,MATCH(X$7,Movements!$G$614:$M$614,0))))
*X1097*X$8,0)</f>
        <v>0</v>
      </c>
      <c r="Y419" s="198">
        <f>_xlfn.IFNA(IF(Y$7="Fixed",1,IF(AND($D83="yes",Y$7="Block"),INDEX($O623:$Q623,1,MATCH(Y$5,$I17:$K17,0)),INDEX(Movements!$G623:$M623,1,MATCH(Y$7,Movements!$G$614:$M$614,0))))
*Y1097*Y$8,0)</f>
        <v>0</v>
      </c>
      <c r="Z419" s="198">
        <f>_xlfn.IFNA(IF(Z$7="Fixed",1,IF(AND($D83="yes",Z$7="Block"),INDEX($O623:$Q623,1,MATCH(Z$5,$I17:$K17,0)),INDEX(Movements!$G623:$M623,1,MATCH(Z$7,Movements!$G$614:$M$614,0))))
*Z1097*Z$8,0)</f>
        <v>0</v>
      </c>
      <c r="AA419" s="198">
        <f>_xlfn.IFNA(IF(AA$7="Fixed",1,IF(AND($D83="yes",AA$7="Block"),INDEX($O623:$Q623,1,MATCH(AA$5,$I17:$K17,0)),INDEX(Movements!$G623:$M623,1,MATCH(AA$7,Movements!$G$614:$M$614,0))))
*AA1097*AA$8,0)</f>
        <v>0</v>
      </c>
      <c r="AB419" s="198">
        <f>_xlfn.IFNA(IF(AB$7="Fixed",1,IF(AND($D83="yes",AB$7="Block"),INDEX($O623:$Q623,1,MATCH(AB$5,$I17:$K17,0)),INDEX(Movements!$G623:$M623,1,MATCH(AB$7,Movements!$G$614:$M$614,0))))
*AB1097*AB$8,0)</f>
        <v>0</v>
      </c>
      <c r="AC419" s="70"/>
      <c r="AD419" s="19"/>
      <c r="AE419" s="19"/>
      <c r="AF419" s="19"/>
      <c r="AG419" s="19"/>
    </row>
    <row r="420" spans="1:33" hidden="1" outlineLevel="3" x14ac:dyDescent="0.2">
      <c r="A420" s="19"/>
      <c r="B420" s="19"/>
      <c r="C420" s="506">
        <f t="shared" si="87"/>
        <v>0</v>
      </c>
      <c r="D420" s="505">
        <f t="shared" si="87"/>
        <v>0</v>
      </c>
      <c r="E420" s="505">
        <f t="shared" si="87"/>
        <v>0</v>
      </c>
      <c r="F420" s="58"/>
      <c r="G420" s="199">
        <f t="shared" si="88"/>
        <v>0</v>
      </c>
      <c r="H420" s="58"/>
      <c r="I420" s="198">
        <f>_xlfn.IFNA(IF(I$7="Fixed",1,IF(AND($D84="yes",I$7="Block"),INDEX($O624:$Q624,1,MATCH(I$5,$I18:$K18,0)),INDEX(Movements!$G624:$M624,1,MATCH(I$7,Movements!$G$614:$M$614,0))))
*I1098*I$8,0)</f>
        <v>0</v>
      </c>
      <c r="J420" s="198">
        <f>_xlfn.IFNA(IF(J$7="Fixed",1,IF(AND($D84="yes",J$7="Block"),INDEX($O624:$Q624,1,MATCH(J$5,$I18:$K18,0)),INDEX(Movements!$G624:$M624,1,MATCH(J$7,Movements!$G$614:$M$614,0))))
*J1098*J$8,0)</f>
        <v>0</v>
      </c>
      <c r="K420" s="198">
        <f>_xlfn.IFNA(IF(K$7="Fixed",1,IF(AND($D84="yes",K$7="Block"),INDEX($O624:$Q624,1,MATCH(K$5,$I18:$K18,0)),INDEX(Movements!$G624:$M624,1,MATCH(K$7,Movements!$G$614:$M$614,0))))
*K1098*K$8,0)</f>
        <v>0</v>
      </c>
      <c r="L420" s="198">
        <f>_xlfn.IFNA(IF(L$7="Fixed",1,IF(AND($D84="yes",L$7="Block"),INDEX($O624:$Q624,1,MATCH(L$5,$I18:$K18,0)),INDEX(Movements!$G624:$M624,1,MATCH(L$7,Movements!$G$614:$M$614,0))))
*L1098*L$8,0)</f>
        <v>0</v>
      </c>
      <c r="M420" s="198">
        <f>_xlfn.IFNA(IF(M$7="Fixed",1,IF(AND($D84="yes",M$7="Block"),INDEX($O624:$Q624,1,MATCH(M$5,$I18:$K18,0)),INDEX(Movements!$G624:$M624,1,MATCH(M$7,Movements!$G$614:$M$614,0))))
*M1098*M$8,0)</f>
        <v>0</v>
      </c>
      <c r="N420" s="198">
        <f>_xlfn.IFNA(IF(N$7="Fixed",1,IF(AND($D84="yes",N$7="Block"),INDEX($O624:$Q624,1,MATCH(N$5,$I18:$K18,0)),INDEX(Movements!$G624:$M624,1,MATCH(N$7,Movements!$G$614:$M$614,0))))
*N1098*N$8,0)</f>
        <v>0</v>
      </c>
      <c r="O420" s="198">
        <f>_xlfn.IFNA(IF(O$7="Fixed",1,IF(AND($D84="yes",O$7="Block"),INDEX($O624:$Q624,1,MATCH(O$5,$I18:$K18,0)),INDEX(Movements!$G624:$M624,1,MATCH(O$7,Movements!$G$614:$M$614,0))))
*O1098*O$8,0)</f>
        <v>0</v>
      </c>
      <c r="P420" s="198">
        <f>_xlfn.IFNA(IF(P$7="Fixed",1,IF(AND($D84="yes",P$7="Block"),INDEX($O624:$Q624,1,MATCH(P$5,$I18:$K18,0)),INDEX(Movements!$G624:$M624,1,MATCH(P$7,Movements!$G$614:$M$614,0))))
*P1098*P$8,0)</f>
        <v>0</v>
      </c>
      <c r="Q420" s="198">
        <f>_xlfn.IFNA(IF(Q$7="Fixed",1,IF(AND($D84="yes",Q$7="Block"),INDEX($O624:$Q624,1,MATCH(Q$5,$I18:$K18,0)),INDEX(Movements!$G624:$M624,1,MATCH(Q$7,Movements!$G$614:$M$614,0))))
*Q1098*Q$8,0)</f>
        <v>0</v>
      </c>
      <c r="R420" s="198">
        <f>_xlfn.IFNA(IF(R$7="Fixed",1,IF(AND($D84="yes",R$7="Block"),INDEX($O624:$Q624,1,MATCH(R$5,$I18:$K18,0)),INDEX(Movements!$G624:$M624,1,MATCH(R$7,Movements!$G$614:$M$614,0))))
*R1098*R$8,0)</f>
        <v>0</v>
      </c>
      <c r="S420" s="198">
        <f>_xlfn.IFNA(IF(S$7="Fixed",1,IF(AND($D84="yes",S$7="Block"),INDEX($O624:$Q624,1,MATCH(S$5,$I18:$K18,0)),INDEX(Movements!$G624:$M624,1,MATCH(S$7,Movements!$G$614:$M$614,0))))
*S1098*S$8,0)</f>
        <v>0</v>
      </c>
      <c r="T420" s="198">
        <f>_xlfn.IFNA(IF(T$7="Fixed",1,IF(AND($D84="yes",T$7="Block"),INDEX($O624:$Q624,1,MATCH(T$5,$I18:$K18,0)),INDEX(Movements!$G624:$M624,1,MATCH(T$7,Movements!$G$614:$M$614,0))))
*T1098*T$8,0)</f>
        <v>0</v>
      </c>
      <c r="U420" s="198">
        <f>_xlfn.IFNA(IF(U$7="Fixed",1,IF(AND($D84="yes",U$7="Block"),INDEX($O624:$Q624,1,MATCH(U$5,$I18:$K18,0)),INDEX(Movements!$G624:$M624,1,MATCH(U$7,Movements!$G$614:$M$614,0))))
*U1098*U$8,0)</f>
        <v>0</v>
      </c>
      <c r="V420" s="198">
        <f>_xlfn.IFNA(IF(V$7="Fixed",1,IF(AND($D84="yes",V$7="Block"),INDEX($O624:$Q624,1,MATCH(V$5,$I18:$K18,0)),INDEX(Movements!$G624:$M624,1,MATCH(V$7,Movements!$G$614:$M$614,0))))
*V1098*V$8,0)</f>
        <v>0</v>
      </c>
      <c r="W420" s="198">
        <f>_xlfn.IFNA(IF(W$7="Fixed",1,IF(AND($D84="yes",W$7="Block"),INDEX($O624:$Q624,1,MATCH(W$5,$I18:$K18,0)),INDEX(Movements!$G624:$M624,1,MATCH(W$7,Movements!$G$614:$M$614,0))))
*W1098*W$8,0)</f>
        <v>0</v>
      </c>
      <c r="X420" s="198">
        <f>_xlfn.IFNA(IF(X$7="Fixed",1,IF(AND($D84="yes",X$7="Block"),INDEX($O624:$Q624,1,MATCH(X$5,$I18:$K18,0)),INDEX(Movements!$G624:$M624,1,MATCH(X$7,Movements!$G$614:$M$614,0))))
*X1098*X$8,0)</f>
        <v>0</v>
      </c>
      <c r="Y420" s="198">
        <f>_xlfn.IFNA(IF(Y$7="Fixed",1,IF(AND($D84="yes",Y$7="Block"),INDEX($O624:$Q624,1,MATCH(Y$5,$I18:$K18,0)),INDEX(Movements!$G624:$M624,1,MATCH(Y$7,Movements!$G$614:$M$614,0))))
*Y1098*Y$8,0)</f>
        <v>0</v>
      </c>
      <c r="Z420" s="198">
        <f>_xlfn.IFNA(IF(Z$7="Fixed",1,IF(AND($D84="yes",Z$7="Block"),INDEX($O624:$Q624,1,MATCH(Z$5,$I18:$K18,0)),INDEX(Movements!$G624:$M624,1,MATCH(Z$7,Movements!$G$614:$M$614,0))))
*Z1098*Z$8,0)</f>
        <v>0</v>
      </c>
      <c r="AA420" s="198">
        <f>_xlfn.IFNA(IF(AA$7="Fixed",1,IF(AND($D84="yes",AA$7="Block"),INDEX($O624:$Q624,1,MATCH(AA$5,$I18:$K18,0)),INDEX(Movements!$G624:$M624,1,MATCH(AA$7,Movements!$G$614:$M$614,0))))
*AA1098*AA$8,0)</f>
        <v>0</v>
      </c>
      <c r="AB420" s="198">
        <f>_xlfn.IFNA(IF(AB$7="Fixed",1,IF(AND($D84="yes",AB$7="Block"),INDEX($O624:$Q624,1,MATCH(AB$5,$I18:$K18,0)),INDEX(Movements!$G624:$M624,1,MATCH(AB$7,Movements!$G$614:$M$614,0))))
*AB1098*AB$8,0)</f>
        <v>0</v>
      </c>
      <c r="AC420" s="70"/>
      <c r="AD420" s="19"/>
      <c r="AE420" s="19"/>
      <c r="AF420" s="19"/>
      <c r="AG420" s="19"/>
    </row>
    <row r="421" spans="1:33" hidden="1" outlineLevel="3" x14ac:dyDescent="0.2">
      <c r="A421" s="19"/>
      <c r="B421" s="19"/>
      <c r="C421" s="506">
        <f t="shared" si="87"/>
        <v>0</v>
      </c>
      <c r="D421" s="505">
        <f t="shared" si="87"/>
        <v>0</v>
      </c>
      <c r="E421" s="505">
        <f t="shared" si="87"/>
        <v>0</v>
      </c>
      <c r="F421" s="58"/>
      <c r="G421" s="199">
        <f t="shared" si="88"/>
        <v>0</v>
      </c>
      <c r="H421" s="58"/>
      <c r="I421" s="198">
        <f>_xlfn.IFNA(IF(I$7="Fixed",1,IF(AND($D85="yes",I$7="Block"),INDEX($O625:$Q625,1,MATCH(I$5,$I19:$K19,0)),INDEX(Movements!$G625:$M625,1,MATCH(I$7,Movements!$G$614:$M$614,0))))
*I1099*I$8,0)</f>
        <v>0</v>
      </c>
      <c r="J421" s="198">
        <f>_xlfn.IFNA(IF(J$7="Fixed",1,IF(AND($D85="yes",J$7="Block"),INDEX($O625:$Q625,1,MATCH(J$5,$I19:$K19,0)),INDEX(Movements!$G625:$M625,1,MATCH(J$7,Movements!$G$614:$M$614,0))))
*J1099*J$8,0)</f>
        <v>0</v>
      </c>
      <c r="K421" s="198">
        <f>_xlfn.IFNA(IF(K$7="Fixed",1,IF(AND($D85="yes",K$7="Block"),INDEX($O625:$Q625,1,MATCH(K$5,$I19:$K19,0)),INDEX(Movements!$G625:$M625,1,MATCH(K$7,Movements!$G$614:$M$614,0))))
*K1099*K$8,0)</f>
        <v>0</v>
      </c>
      <c r="L421" s="198">
        <f>_xlfn.IFNA(IF(L$7="Fixed",1,IF(AND($D85="yes",L$7="Block"),INDEX($O625:$Q625,1,MATCH(L$5,$I19:$K19,0)),INDEX(Movements!$G625:$M625,1,MATCH(L$7,Movements!$G$614:$M$614,0))))
*L1099*L$8,0)</f>
        <v>0</v>
      </c>
      <c r="M421" s="198">
        <f>_xlfn.IFNA(IF(M$7="Fixed",1,IF(AND($D85="yes",M$7="Block"),INDEX($O625:$Q625,1,MATCH(M$5,$I19:$K19,0)),INDEX(Movements!$G625:$M625,1,MATCH(M$7,Movements!$G$614:$M$614,0))))
*M1099*M$8,0)</f>
        <v>0</v>
      </c>
      <c r="N421" s="198">
        <f>_xlfn.IFNA(IF(N$7="Fixed",1,IF(AND($D85="yes",N$7="Block"),INDEX($O625:$Q625,1,MATCH(N$5,$I19:$K19,0)),INDEX(Movements!$G625:$M625,1,MATCH(N$7,Movements!$G$614:$M$614,0))))
*N1099*N$8,0)</f>
        <v>0</v>
      </c>
      <c r="O421" s="198">
        <f>_xlfn.IFNA(IF(O$7="Fixed",1,IF(AND($D85="yes",O$7="Block"),INDEX($O625:$Q625,1,MATCH(O$5,$I19:$K19,0)),INDEX(Movements!$G625:$M625,1,MATCH(O$7,Movements!$G$614:$M$614,0))))
*O1099*O$8,0)</f>
        <v>0</v>
      </c>
      <c r="P421" s="198">
        <f>_xlfn.IFNA(IF(P$7="Fixed",1,IF(AND($D85="yes",P$7="Block"),INDEX($O625:$Q625,1,MATCH(P$5,$I19:$K19,0)),INDEX(Movements!$G625:$M625,1,MATCH(P$7,Movements!$G$614:$M$614,0))))
*P1099*P$8,0)</f>
        <v>0</v>
      </c>
      <c r="Q421" s="198">
        <f>_xlfn.IFNA(IF(Q$7="Fixed",1,IF(AND($D85="yes",Q$7="Block"),INDEX($O625:$Q625,1,MATCH(Q$5,$I19:$K19,0)),INDEX(Movements!$G625:$M625,1,MATCH(Q$7,Movements!$G$614:$M$614,0))))
*Q1099*Q$8,0)</f>
        <v>0</v>
      </c>
      <c r="R421" s="198">
        <f>_xlfn.IFNA(IF(R$7="Fixed",1,IF(AND($D85="yes",R$7="Block"),INDEX($O625:$Q625,1,MATCH(R$5,$I19:$K19,0)),INDEX(Movements!$G625:$M625,1,MATCH(R$7,Movements!$G$614:$M$614,0))))
*R1099*R$8,0)</f>
        <v>0</v>
      </c>
      <c r="S421" s="198">
        <f>_xlfn.IFNA(IF(S$7="Fixed",1,IF(AND($D85="yes",S$7="Block"),INDEX($O625:$Q625,1,MATCH(S$5,$I19:$K19,0)),INDEX(Movements!$G625:$M625,1,MATCH(S$7,Movements!$G$614:$M$614,0))))
*S1099*S$8,0)</f>
        <v>0</v>
      </c>
      <c r="T421" s="198">
        <f>_xlfn.IFNA(IF(T$7="Fixed",1,IF(AND($D85="yes",T$7="Block"),INDEX($O625:$Q625,1,MATCH(T$5,$I19:$K19,0)),INDEX(Movements!$G625:$M625,1,MATCH(T$7,Movements!$G$614:$M$614,0))))
*T1099*T$8,0)</f>
        <v>0</v>
      </c>
      <c r="U421" s="198">
        <f>_xlfn.IFNA(IF(U$7="Fixed",1,IF(AND($D85="yes",U$7="Block"),INDEX($O625:$Q625,1,MATCH(U$5,$I19:$K19,0)),INDEX(Movements!$G625:$M625,1,MATCH(U$7,Movements!$G$614:$M$614,0))))
*U1099*U$8,0)</f>
        <v>0</v>
      </c>
      <c r="V421" s="198">
        <f>_xlfn.IFNA(IF(V$7="Fixed",1,IF(AND($D85="yes",V$7="Block"),INDEX($O625:$Q625,1,MATCH(V$5,$I19:$K19,0)),INDEX(Movements!$G625:$M625,1,MATCH(V$7,Movements!$G$614:$M$614,0))))
*V1099*V$8,0)</f>
        <v>0</v>
      </c>
      <c r="W421" s="198">
        <f>_xlfn.IFNA(IF(W$7="Fixed",1,IF(AND($D85="yes",W$7="Block"),INDEX($O625:$Q625,1,MATCH(W$5,$I19:$K19,0)),INDEX(Movements!$G625:$M625,1,MATCH(W$7,Movements!$G$614:$M$614,0))))
*W1099*W$8,0)</f>
        <v>0</v>
      </c>
      <c r="X421" s="198">
        <f>_xlfn.IFNA(IF(X$7="Fixed",1,IF(AND($D85="yes",X$7="Block"),INDEX($O625:$Q625,1,MATCH(X$5,$I19:$K19,0)),INDEX(Movements!$G625:$M625,1,MATCH(X$7,Movements!$G$614:$M$614,0))))
*X1099*X$8,0)</f>
        <v>0</v>
      </c>
      <c r="Y421" s="198">
        <f>_xlfn.IFNA(IF(Y$7="Fixed",1,IF(AND($D85="yes",Y$7="Block"),INDEX($O625:$Q625,1,MATCH(Y$5,$I19:$K19,0)),INDEX(Movements!$G625:$M625,1,MATCH(Y$7,Movements!$G$614:$M$614,0))))
*Y1099*Y$8,0)</f>
        <v>0</v>
      </c>
      <c r="Z421" s="198">
        <f>_xlfn.IFNA(IF(Z$7="Fixed",1,IF(AND($D85="yes",Z$7="Block"),INDEX($O625:$Q625,1,MATCH(Z$5,$I19:$K19,0)),INDEX(Movements!$G625:$M625,1,MATCH(Z$7,Movements!$G$614:$M$614,0))))
*Z1099*Z$8,0)</f>
        <v>0</v>
      </c>
      <c r="AA421" s="198">
        <f>_xlfn.IFNA(IF(AA$7="Fixed",1,IF(AND($D85="yes",AA$7="Block"),INDEX($O625:$Q625,1,MATCH(AA$5,$I19:$K19,0)),INDEX(Movements!$G625:$M625,1,MATCH(AA$7,Movements!$G$614:$M$614,0))))
*AA1099*AA$8,0)</f>
        <v>0</v>
      </c>
      <c r="AB421" s="198">
        <f>_xlfn.IFNA(IF(AB$7="Fixed",1,IF(AND($D85="yes",AB$7="Block"),INDEX($O625:$Q625,1,MATCH(AB$5,$I19:$K19,0)),INDEX(Movements!$G625:$M625,1,MATCH(AB$7,Movements!$G$614:$M$614,0))))
*AB1099*AB$8,0)</f>
        <v>0</v>
      </c>
      <c r="AC421" s="70"/>
      <c r="AD421" s="19"/>
      <c r="AE421" s="19"/>
      <c r="AF421" s="19"/>
      <c r="AG421" s="19"/>
    </row>
    <row r="422" spans="1:33" hidden="1" outlineLevel="3" x14ac:dyDescent="0.2">
      <c r="A422" s="19"/>
      <c r="B422" s="19"/>
      <c r="C422" s="506">
        <f t="shared" si="87"/>
        <v>0</v>
      </c>
      <c r="D422" s="505">
        <f t="shared" si="87"/>
        <v>0</v>
      </c>
      <c r="E422" s="505">
        <f t="shared" si="87"/>
        <v>0</v>
      </c>
      <c r="F422" s="58"/>
      <c r="G422" s="199">
        <f t="shared" si="88"/>
        <v>0</v>
      </c>
      <c r="H422" s="58"/>
      <c r="I422" s="198">
        <f>_xlfn.IFNA(IF(I$7="Fixed",1,IF(AND($D86="yes",I$7="Block"),INDEX($O626:$Q626,1,MATCH(I$5,$I20:$K20,0)),INDEX(Movements!$G626:$M626,1,MATCH(I$7,Movements!$G$614:$M$614,0))))
*I1100*I$8,0)</f>
        <v>0</v>
      </c>
      <c r="J422" s="198">
        <f>_xlfn.IFNA(IF(J$7="Fixed",1,IF(AND($D86="yes",J$7="Block"),INDEX($O626:$Q626,1,MATCH(J$5,$I20:$K20,0)),INDEX(Movements!$G626:$M626,1,MATCH(J$7,Movements!$G$614:$M$614,0))))
*J1100*J$8,0)</f>
        <v>0</v>
      </c>
      <c r="K422" s="198">
        <f>_xlfn.IFNA(IF(K$7="Fixed",1,IF(AND($D86="yes",K$7="Block"),INDEX($O626:$Q626,1,MATCH(K$5,$I20:$K20,0)),INDEX(Movements!$G626:$M626,1,MATCH(K$7,Movements!$G$614:$M$614,0))))
*K1100*K$8,0)</f>
        <v>0</v>
      </c>
      <c r="L422" s="198">
        <f>_xlfn.IFNA(IF(L$7="Fixed",1,IF(AND($D86="yes",L$7="Block"),INDEX($O626:$Q626,1,MATCH(L$5,$I20:$K20,0)),INDEX(Movements!$G626:$M626,1,MATCH(L$7,Movements!$G$614:$M$614,0))))
*L1100*L$8,0)</f>
        <v>0</v>
      </c>
      <c r="M422" s="198">
        <f>_xlfn.IFNA(IF(M$7="Fixed",1,IF(AND($D86="yes",M$7="Block"),INDEX($O626:$Q626,1,MATCH(M$5,$I20:$K20,0)),INDEX(Movements!$G626:$M626,1,MATCH(M$7,Movements!$G$614:$M$614,0))))
*M1100*M$8,0)</f>
        <v>0</v>
      </c>
      <c r="N422" s="198">
        <f>_xlfn.IFNA(IF(N$7="Fixed",1,IF(AND($D86="yes",N$7="Block"),INDEX($O626:$Q626,1,MATCH(N$5,$I20:$K20,0)),INDEX(Movements!$G626:$M626,1,MATCH(N$7,Movements!$G$614:$M$614,0))))
*N1100*N$8,0)</f>
        <v>0</v>
      </c>
      <c r="O422" s="198">
        <f>_xlfn.IFNA(IF(O$7="Fixed",1,IF(AND($D86="yes",O$7="Block"),INDEX($O626:$Q626,1,MATCH(O$5,$I20:$K20,0)),INDEX(Movements!$G626:$M626,1,MATCH(O$7,Movements!$G$614:$M$614,0))))
*O1100*O$8,0)</f>
        <v>0</v>
      </c>
      <c r="P422" s="198">
        <f>_xlfn.IFNA(IF(P$7="Fixed",1,IF(AND($D86="yes",P$7="Block"),INDEX($O626:$Q626,1,MATCH(P$5,$I20:$K20,0)),INDEX(Movements!$G626:$M626,1,MATCH(P$7,Movements!$G$614:$M$614,0))))
*P1100*P$8,0)</f>
        <v>0</v>
      </c>
      <c r="Q422" s="198">
        <f>_xlfn.IFNA(IF(Q$7="Fixed",1,IF(AND($D86="yes",Q$7="Block"),INDEX($O626:$Q626,1,MATCH(Q$5,$I20:$K20,0)),INDEX(Movements!$G626:$M626,1,MATCH(Q$7,Movements!$G$614:$M$614,0))))
*Q1100*Q$8,0)</f>
        <v>0</v>
      </c>
      <c r="R422" s="198">
        <f>_xlfn.IFNA(IF(R$7="Fixed",1,IF(AND($D86="yes",R$7="Block"),INDEX($O626:$Q626,1,MATCH(R$5,$I20:$K20,0)),INDEX(Movements!$G626:$M626,1,MATCH(R$7,Movements!$G$614:$M$614,0))))
*R1100*R$8,0)</f>
        <v>0</v>
      </c>
      <c r="S422" s="198">
        <f>_xlfn.IFNA(IF(S$7="Fixed",1,IF(AND($D86="yes",S$7="Block"),INDEX($O626:$Q626,1,MATCH(S$5,$I20:$K20,0)),INDEX(Movements!$G626:$M626,1,MATCH(S$7,Movements!$G$614:$M$614,0))))
*S1100*S$8,0)</f>
        <v>0</v>
      </c>
      <c r="T422" s="198">
        <f>_xlfn.IFNA(IF(T$7="Fixed",1,IF(AND($D86="yes",T$7="Block"),INDEX($O626:$Q626,1,MATCH(T$5,$I20:$K20,0)),INDEX(Movements!$G626:$M626,1,MATCH(T$7,Movements!$G$614:$M$614,0))))
*T1100*T$8,0)</f>
        <v>0</v>
      </c>
      <c r="U422" s="198">
        <f>_xlfn.IFNA(IF(U$7="Fixed",1,IF(AND($D86="yes",U$7="Block"),INDEX($O626:$Q626,1,MATCH(U$5,$I20:$K20,0)),INDEX(Movements!$G626:$M626,1,MATCH(U$7,Movements!$G$614:$M$614,0))))
*U1100*U$8,0)</f>
        <v>0</v>
      </c>
      <c r="V422" s="198">
        <f>_xlfn.IFNA(IF(V$7="Fixed",1,IF(AND($D86="yes",V$7="Block"),INDEX($O626:$Q626,1,MATCH(V$5,$I20:$K20,0)),INDEX(Movements!$G626:$M626,1,MATCH(V$7,Movements!$G$614:$M$614,0))))
*V1100*V$8,0)</f>
        <v>0</v>
      </c>
      <c r="W422" s="198">
        <f>_xlfn.IFNA(IF(W$7="Fixed",1,IF(AND($D86="yes",W$7="Block"),INDEX($O626:$Q626,1,MATCH(W$5,$I20:$K20,0)),INDEX(Movements!$G626:$M626,1,MATCH(W$7,Movements!$G$614:$M$614,0))))
*W1100*W$8,0)</f>
        <v>0</v>
      </c>
      <c r="X422" s="198">
        <f>_xlfn.IFNA(IF(X$7="Fixed",1,IF(AND($D86="yes",X$7="Block"),INDEX($O626:$Q626,1,MATCH(X$5,$I20:$K20,0)),INDEX(Movements!$G626:$M626,1,MATCH(X$7,Movements!$G$614:$M$614,0))))
*X1100*X$8,0)</f>
        <v>0</v>
      </c>
      <c r="Y422" s="198">
        <f>_xlfn.IFNA(IF(Y$7="Fixed",1,IF(AND($D86="yes",Y$7="Block"),INDEX($O626:$Q626,1,MATCH(Y$5,$I20:$K20,0)),INDEX(Movements!$G626:$M626,1,MATCH(Y$7,Movements!$G$614:$M$614,0))))
*Y1100*Y$8,0)</f>
        <v>0</v>
      </c>
      <c r="Z422" s="198">
        <f>_xlfn.IFNA(IF(Z$7="Fixed",1,IF(AND($D86="yes",Z$7="Block"),INDEX($O626:$Q626,1,MATCH(Z$5,$I20:$K20,0)),INDEX(Movements!$G626:$M626,1,MATCH(Z$7,Movements!$G$614:$M$614,0))))
*Z1100*Z$8,0)</f>
        <v>0</v>
      </c>
      <c r="AA422" s="198">
        <f>_xlfn.IFNA(IF(AA$7="Fixed",1,IF(AND($D86="yes",AA$7="Block"),INDEX($O626:$Q626,1,MATCH(AA$5,$I20:$K20,0)),INDEX(Movements!$G626:$M626,1,MATCH(AA$7,Movements!$G$614:$M$614,0))))
*AA1100*AA$8,0)</f>
        <v>0</v>
      </c>
      <c r="AB422" s="198">
        <f>_xlfn.IFNA(IF(AB$7="Fixed",1,IF(AND($D86="yes",AB$7="Block"),INDEX($O626:$Q626,1,MATCH(AB$5,$I20:$K20,0)),INDEX(Movements!$G626:$M626,1,MATCH(AB$7,Movements!$G$614:$M$614,0))))
*AB1100*AB$8,0)</f>
        <v>0</v>
      </c>
      <c r="AC422" s="70"/>
      <c r="AD422" s="19"/>
      <c r="AE422" s="19"/>
      <c r="AF422" s="19"/>
      <c r="AG422" s="19"/>
    </row>
    <row r="423" spans="1:33" hidden="1" outlineLevel="3" x14ac:dyDescent="0.2">
      <c r="A423" s="19"/>
      <c r="B423" s="19"/>
      <c r="C423" s="506">
        <f t="shared" si="87"/>
        <v>0</v>
      </c>
      <c r="D423" s="505">
        <f t="shared" si="87"/>
        <v>0</v>
      </c>
      <c r="E423" s="505">
        <f t="shared" si="87"/>
        <v>0</v>
      </c>
      <c r="F423" s="58"/>
      <c r="G423" s="199">
        <f t="shared" si="88"/>
        <v>0</v>
      </c>
      <c r="H423" s="58"/>
      <c r="I423" s="198">
        <f>_xlfn.IFNA(IF(I$7="Fixed",1,IF(AND($D87="yes",I$7="Block"),INDEX($O627:$Q627,1,MATCH(I$5,$I21:$K21,0)),INDEX(Movements!$G627:$M627,1,MATCH(I$7,Movements!$G$614:$M$614,0))))
*I1101*I$8,0)</f>
        <v>0</v>
      </c>
      <c r="J423" s="198">
        <f>_xlfn.IFNA(IF(J$7="Fixed",1,IF(AND($D87="yes",J$7="Block"),INDEX($O627:$Q627,1,MATCH(J$5,$I21:$K21,0)),INDEX(Movements!$G627:$M627,1,MATCH(J$7,Movements!$G$614:$M$614,0))))
*J1101*J$8,0)</f>
        <v>0</v>
      </c>
      <c r="K423" s="198">
        <f>_xlfn.IFNA(IF(K$7="Fixed",1,IF(AND($D87="yes",K$7="Block"),INDEX($O627:$Q627,1,MATCH(K$5,$I21:$K21,0)),INDEX(Movements!$G627:$M627,1,MATCH(K$7,Movements!$G$614:$M$614,0))))
*K1101*K$8,0)</f>
        <v>0</v>
      </c>
      <c r="L423" s="198">
        <f>_xlfn.IFNA(IF(L$7="Fixed",1,IF(AND($D87="yes",L$7="Block"),INDEX($O627:$Q627,1,MATCH(L$5,$I21:$K21,0)),INDEX(Movements!$G627:$M627,1,MATCH(L$7,Movements!$G$614:$M$614,0))))
*L1101*L$8,0)</f>
        <v>0</v>
      </c>
      <c r="M423" s="198">
        <f>_xlfn.IFNA(IF(M$7="Fixed",1,IF(AND($D87="yes",M$7="Block"),INDEX($O627:$Q627,1,MATCH(M$5,$I21:$K21,0)),INDEX(Movements!$G627:$M627,1,MATCH(M$7,Movements!$G$614:$M$614,0))))
*M1101*M$8,0)</f>
        <v>0</v>
      </c>
      <c r="N423" s="198">
        <f>_xlfn.IFNA(IF(N$7="Fixed",1,IF(AND($D87="yes",N$7="Block"),INDEX($O627:$Q627,1,MATCH(N$5,$I21:$K21,0)),INDEX(Movements!$G627:$M627,1,MATCH(N$7,Movements!$G$614:$M$614,0))))
*N1101*N$8,0)</f>
        <v>0</v>
      </c>
      <c r="O423" s="198">
        <f>_xlfn.IFNA(IF(O$7="Fixed",1,IF(AND($D87="yes",O$7="Block"),INDEX($O627:$Q627,1,MATCH(O$5,$I21:$K21,0)),INDEX(Movements!$G627:$M627,1,MATCH(O$7,Movements!$G$614:$M$614,0))))
*O1101*O$8,0)</f>
        <v>0</v>
      </c>
      <c r="P423" s="198">
        <f>_xlfn.IFNA(IF(P$7="Fixed",1,IF(AND($D87="yes",P$7="Block"),INDEX($O627:$Q627,1,MATCH(P$5,$I21:$K21,0)),INDEX(Movements!$G627:$M627,1,MATCH(P$7,Movements!$G$614:$M$614,0))))
*P1101*P$8,0)</f>
        <v>0</v>
      </c>
      <c r="Q423" s="198">
        <f>_xlfn.IFNA(IF(Q$7="Fixed",1,IF(AND($D87="yes",Q$7="Block"),INDEX($O627:$Q627,1,MATCH(Q$5,$I21:$K21,0)),INDEX(Movements!$G627:$M627,1,MATCH(Q$7,Movements!$G$614:$M$614,0))))
*Q1101*Q$8,0)</f>
        <v>0</v>
      </c>
      <c r="R423" s="198">
        <f>_xlfn.IFNA(IF(R$7="Fixed",1,IF(AND($D87="yes",R$7="Block"),INDEX($O627:$Q627,1,MATCH(R$5,$I21:$K21,0)),INDEX(Movements!$G627:$M627,1,MATCH(R$7,Movements!$G$614:$M$614,0))))
*R1101*R$8,0)</f>
        <v>0</v>
      </c>
      <c r="S423" s="198">
        <f>_xlfn.IFNA(IF(S$7="Fixed",1,IF(AND($D87="yes",S$7="Block"),INDEX($O627:$Q627,1,MATCH(S$5,$I21:$K21,0)),INDEX(Movements!$G627:$M627,1,MATCH(S$7,Movements!$G$614:$M$614,0))))
*S1101*S$8,0)</f>
        <v>0</v>
      </c>
      <c r="T423" s="198">
        <f>_xlfn.IFNA(IF(T$7="Fixed",1,IF(AND($D87="yes",T$7="Block"),INDEX($O627:$Q627,1,MATCH(T$5,$I21:$K21,0)),INDEX(Movements!$G627:$M627,1,MATCH(T$7,Movements!$G$614:$M$614,0))))
*T1101*T$8,0)</f>
        <v>0</v>
      </c>
      <c r="U423" s="198">
        <f>_xlfn.IFNA(IF(U$7="Fixed",1,IF(AND($D87="yes",U$7="Block"),INDEX($O627:$Q627,1,MATCH(U$5,$I21:$K21,0)),INDEX(Movements!$G627:$M627,1,MATCH(U$7,Movements!$G$614:$M$614,0))))
*U1101*U$8,0)</f>
        <v>0</v>
      </c>
      <c r="V423" s="198">
        <f>_xlfn.IFNA(IF(V$7="Fixed",1,IF(AND($D87="yes",V$7="Block"),INDEX($O627:$Q627,1,MATCH(V$5,$I21:$K21,0)),INDEX(Movements!$G627:$M627,1,MATCH(V$7,Movements!$G$614:$M$614,0))))
*V1101*V$8,0)</f>
        <v>0</v>
      </c>
      <c r="W423" s="198">
        <f>_xlfn.IFNA(IF(W$7="Fixed",1,IF(AND($D87="yes",W$7="Block"),INDEX($O627:$Q627,1,MATCH(W$5,$I21:$K21,0)),INDEX(Movements!$G627:$M627,1,MATCH(W$7,Movements!$G$614:$M$614,0))))
*W1101*W$8,0)</f>
        <v>0</v>
      </c>
      <c r="X423" s="198">
        <f>_xlfn.IFNA(IF(X$7="Fixed",1,IF(AND($D87="yes",X$7="Block"),INDEX($O627:$Q627,1,MATCH(X$5,$I21:$K21,0)),INDEX(Movements!$G627:$M627,1,MATCH(X$7,Movements!$G$614:$M$614,0))))
*X1101*X$8,0)</f>
        <v>0</v>
      </c>
      <c r="Y423" s="198">
        <f>_xlfn.IFNA(IF(Y$7="Fixed",1,IF(AND($D87="yes",Y$7="Block"),INDEX($O627:$Q627,1,MATCH(Y$5,$I21:$K21,0)),INDEX(Movements!$G627:$M627,1,MATCH(Y$7,Movements!$G$614:$M$614,0))))
*Y1101*Y$8,0)</f>
        <v>0</v>
      </c>
      <c r="Z423" s="198">
        <f>_xlfn.IFNA(IF(Z$7="Fixed",1,IF(AND($D87="yes",Z$7="Block"),INDEX($O627:$Q627,1,MATCH(Z$5,$I21:$K21,0)),INDEX(Movements!$G627:$M627,1,MATCH(Z$7,Movements!$G$614:$M$614,0))))
*Z1101*Z$8,0)</f>
        <v>0</v>
      </c>
      <c r="AA423" s="198">
        <f>_xlfn.IFNA(IF(AA$7="Fixed",1,IF(AND($D87="yes",AA$7="Block"),INDEX($O627:$Q627,1,MATCH(AA$5,$I21:$K21,0)),INDEX(Movements!$G627:$M627,1,MATCH(AA$7,Movements!$G$614:$M$614,0))))
*AA1101*AA$8,0)</f>
        <v>0</v>
      </c>
      <c r="AB423" s="198">
        <f>_xlfn.IFNA(IF(AB$7="Fixed",1,IF(AND($D87="yes",AB$7="Block"),INDEX($O627:$Q627,1,MATCH(AB$5,$I21:$K21,0)),INDEX(Movements!$G627:$M627,1,MATCH(AB$7,Movements!$G$614:$M$614,0))))
*AB1101*AB$8,0)</f>
        <v>0</v>
      </c>
      <c r="AC423" s="70"/>
      <c r="AD423" s="19"/>
      <c r="AE423" s="19"/>
      <c r="AF423" s="19"/>
      <c r="AG423" s="19"/>
    </row>
    <row r="424" spans="1:33" hidden="1" outlineLevel="3" x14ac:dyDescent="0.2">
      <c r="A424" s="19"/>
      <c r="B424" s="19"/>
      <c r="C424" s="506">
        <f t="shared" si="87"/>
        <v>0</v>
      </c>
      <c r="D424" s="505">
        <f t="shared" si="87"/>
        <v>0</v>
      </c>
      <c r="E424" s="505">
        <f t="shared" si="87"/>
        <v>0</v>
      </c>
      <c r="F424" s="58"/>
      <c r="G424" s="199">
        <f t="shared" si="88"/>
        <v>0</v>
      </c>
      <c r="H424" s="58"/>
      <c r="I424" s="198">
        <f>_xlfn.IFNA(IF(I$7="Fixed",1,IF(AND($D88="yes",I$7="Block"),INDEX($O628:$Q628,1,MATCH(I$5,$I22:$K22,0)),INDEX(Movements!$G628:$M628,1,MATCH(I$7,Movements!$G$614:$M$614,0))))
*I1102*I$8,0)</f>
        <v>0</v>
      </c>
      <c r="J424" s="198">
        <f>_xlfn.IFNA(IF(J$7="Fixed",1,IF(AND($D88="yes",J$7="Block"),INDEX($O628:$Q628,1,MATCH(J$5,$I22:$K22,0)),INDEX(Movements!$G628:$M628,1,MATCH(J$7,Movements!$G$614:$M$614,0))))
*J1102*J$8,0)</f>
        <v>0</v>
      </c>
      <c r="K424" s="198">
        <f>_xlfn.IFNA(IF(K$7="Fixed",1,IF(AND($D88="yes",K$7="Block"),INDEX($O628:$Q628,1,MATCH(K$5,$I22:$K22,0)),INDEX(Movements!$G628:$M628,1,MATCH(K$7,Movements!$G$614:$M$614,0))))
*K1102*K$8,0)</f>
        <v>0</v>
      </c>
      <c r="L424" s="198">
        <f>_xlfn.IFNA(IF(L$7="Fixed",1,IF(AND($D88="yes",L$7="Block"),INDEX($O628:$Q628,1,MATCH(L$5,$I22:$K22,0)),INDEX(Movements!$G628:$M628,1,MATCH(L$7,Movements!$G$614:$M$614,0))))
*L1102*L$8,0)</f>
        <v>0</v>
      </c>
      <c r="M424" s="198">
        <f>_xlfn.IFNA(IF(M$7="Fixed",1,IF(AND($D88="yes",M$7="Block"),INDEX($O628:$Q628,1,MATCH(M$5,$I22:$K22,0)),INDEX(Movements!$G628:$M628,1,MATCH(M$7,Movements!$G$614:$M$614,0))))
*M1102*M$8,0)</f>
        <v>0</v>
      </c>
      <c r="N424" s="198">
        <f>_xlfn.IFNA(IF(N$7="Fixed",1,IF(AND($D88="yes",N$7="Block"),INDEX($O628:$Q628,1,MATCH(N$5,$I22:$K22,0)),INDEX(Movements!$G628:$M628,1,MATCH(N$7,Movements!$G$614:$M$614,0))))
*N1102*N$8,0)</f>
        <v>0</v>
      </c>
      <c r="O424" s="198">
        <f>_xlfn.IFNA(IF(O$7="Fixed",1,IF(AND($D88="yes",O$7="Block"),INDEX($O628:$Q628,1,MATCH(O$5,$I22:$K22,0)),INDEX(Movements!$G628:$M628,1,MATCH(O$7,Movements!$G$614:$M$614,0))))
*O1102*O$8,0)</f>
        <v>0</v>
      </c>
      <c r="P424" s="198">
        <f>_xlfn.IFNA(IF(P$7="Fixed",1,IF(AND($D88="yes",P$7="Block"),INDEX($O628:$Q628,1,MATCH(P$5,$I22:$K22,0)),INDEX(Movements!$G628:$M628,1,MATCH(P$7,Movements!$G$614:$M$614,0))))
*P1102*P$8,0)</f>
        <v>0</v>
      </c>
      <c r="Q424" s="198">
        <f>_xlfn.IFNA(IF(Q$7="Fixed",1,IF(AND($D88="yes",Q$7="Block"),INDEX($O628:$Q628,1,MATCH(Q$5,$I22:$K22,0)),INDEX(Movements!$G628:$M628,1,MATCH(Q$7,Movements!$G$614:$M$614,0))))
*Q1102*Q$8,0)</f>
        <v>0</v>
      </c>
      <c r="R424" s="198">
        <f>_xlfn.IFNA(IF(R$7="Fixed",1,IF(AND($D88="yes",R$7="Block"),INDEX($O628:$Q628,1,MATCH(R$5,$I22:$K22,0)),INDEX(Movements!$G628:$M628,1,MATCH(R$7,Movements!$G$614:$M$614,0))))
*R1102*R$8,0)</f>
        <v>0</v>
      </c>
      <c r="S424" s="198">
        <f>_xlfn.IFNA(IF(S$7="Fixed",1,IF(AND($D88="yes",S$7="Block"),INDEX($O628:$Q628,1,MATCH(S$5,$I22:$K22,0)),INDEX(Movements!$G628:$M628,1,MATCH(S$7,Movements!$G$614:$M$614,0))))
*S1102*S$8,0)</f>
        <v>0</v>
      </c>
      <c r="T424" s="198">
        <f>_xlfn.IFNA(IF(T$7="Fixed",1,IF(AND($D88="yes",T$7="Block"),INDEX($O628:$Q628,1,MATCH(T$5,$I22:$K22,0)),INDEX(Movements!$G628:$M628,1,MATCH(T$7,Movements!$G$614:$M$614,0))))
*T1102*T$8,0)</f>
        <v>0</v>
      </c>
      <c r="U424" s="198">
        <f>_xlfn.IFNA(IF(U$7="Fixed",1,IF(AND($D88="yes",U$7="Block"),INDEX($O628:$Q628,1,MATCH(U$5,$I22:$K22,0)),INDEX(Movements!$G628:$M628,1,MATCH(U$7,Movements!$G$614:$M$614,0))))
*U1102*U$8,0)</f>
        <v>0</v>
      </c>
      <c r="V424" s="198">
        <f>_xlfn.IFNA(IF(V$7="Fixed",1,IF(AND($D88="yes",V$7="Block"),INDEX($O628:$Q628,1,MATCH(V$5,$I22:$K22,0)),INDEX(Movements!$G628:$M628,1,MATCH(V$7,Movements!$G$614:$M$614,0))))
*V1102*V$8,0)</f>
        <v>0</v>
      </c>
      <c r="W424" s="198">
        <f>_xlfn.IFNA(IF(W$7="Fixed",1,IF(AND($D88="yes",W$7="Block"),INDEX($O628:$Q628,1,MATCH(W$5,$I22:$K22,0)),INDEX(Movements!$G628:$M628,1,MATCH(W$7,Movements!$G$614:$M$614,0))))
*W1102*W$8,0)</f>
        <v>0</v>
      </c>
      <c r="X424" s="198">
        <f>_xlfn.IFNA(IF(X$7="Fixed",1,IF(AND($D88="yes",X$7="Block"),INDEX($O628:$Q628,1,MATCH(X$5,$I22:$K22,0)),INDEX(Movements!$G628:$M628,1,MATCH(X$7,Movements!$G$614:$M$614,0))))
*X1102*X$8,0)</f>
        <v>0</v>
      </c>
      <c r="Y424" s="198">
        <f>_xlfn.IFNA(IF(Y$7="Fixed",1,IF(AND($D88="yes",Y$7="Block"),INDEX($O628:$Q628,1,MATCH(Y$5,$I22:$K22,0)),INDEX(Movements!$G628:$M628,1,MATCH(Y$7,Movements!$G$614:$M$614,0))))
*Y1102*Y$8,0)</f>
        <v>0</v>
      </c>
      <c r="Z424" s="198">
        <f>_xlfn.IFNA(IF(Z$7="Fixed",1,IF(AND($D88="yes",Z$7="Block"),INDEX($O628:$Q628,1,MATCH(Z$5,$I22:$K22,0)),INDEX(Movements!$G628:$M628,1,MATCH(Z$7,Movements!$G$614:$M$614,0))))
*Z1102*Z$8,0)</f>
        <v>0</v>
      </c>
      <c r="AA424" s="198">
        <f>_xlfn.IFNA(IF(AA$7="Fixed",1,IF(AND($D88="yes",AA$7="Block"),INDEX($O628:$Q628,1,MATCH(AA$5,$I22:$K22,0)),INDEX(Movements!$G628:$M628,1,MATCH(AA$7,Movements!$G$614:$M$614,0))))
*AA1102*AA$8,0)</f>
        <v>0</v>
      </c>
      <c r="AB424" s="198">
        <f>_xlfn.IFNA(IF(AB$7="Fixed",1,IF(AND($D88="yes",AB$7="Block"),INDEX($O628:$Q628,1,MATCH(AB$5,$I22:$K22,0)),INDEX(Movements!$G628:$M628,1,MATCH(AB$7,Movements!$G$614:$M$614,0))))
*AB1102*AB$8,0)</f>
        <v>0</v>
      </c>
      <c r="AC424" s="70"/>
      <c r="AD424" s="19"/>
      <c r="AE424" s="19"/>
      <c r="AF424" s="19"/>
      <c r="AG424" s="19"/>
    </row>
    <row r="425" spans="1:33" hidden="1" outlineLevel="3" x14ac:dyDescent="0.2">
      <c r="A425" s="19"/>
      <c r="B425" s="19"/>
      <c r="C425" s="506">
        <f t="shared" si="87"/>
        <v>0</v>
      </c>
      <c r="D425" s="505">
        <f t="shared" si="87"/>
        <v>0</v>
      </c>
      <c r="E425" s="505">
        <f t="shared" si="87"/>
        <v>0</v>
      </c>
      <c r="F425" s="58"/>
      <c r="G425" s="199">
        <f t="shared" si="88"/>
        <v>0</v>
      </c>
      <c r="H425" s="58"/>
      <c r="I425" s="198">
        <f>_xlfn.IFNA(IF(I$7="Fixed",1,IF(AND($D89="yes",I$7="Block"),INDEX($O629:$Q629,1,MATCH(I$5,$I23:$K23,0)),INDEX(Movements!$G629:$M629,1,MATCH(I$7,Movements!$G$614:$M$614,0))))
*I1103*I$8,0)</f>
        <v>0</v>
      </c>
      <c r="J425" s="198">
        <f>_xlfn.IFNA(IF(J$7="Fixed",1,IF(AND($D89="yes",J$7="Block"),INDEX($O629:$Q629,1,MATCH(J$5,$I23:$K23,0)),INDEX(Movements!$G629:$M629,1,MATCH(J$7,Movements!$G$614:$M$614,0))))
*J1103*J$8,0)</f>
        <v>0</v>
      </c>
      <c r="K425" s="198">
        <f>_xlfn.IFNA(IF(K$7="Fixed",1,IF(AND($D89="yes",K$7="Block"),INDEX($O629:$Q629,1,MATCH(K$5,$I23:$K23,0)),INDEX(Movements!$G629:$M629,1,MATCH(K$7,Movements!$G$614:$M$614,0))))
*K1103*K$8,0)</f>
        <v>0</v>
      </c>
      <c r="L425" s="198">
        <f>_xlfn.IFNA(IF(L$7="Fixed",1,IF(AND($D89="yes",L$7="Block"),INDEX($O629:$Q629,1,MATCH(L$5,$I23:$K23,0)),INDEX(Movements!$G629:$M629,1,MATCH(L$7,Movements!$G$614:$M$614,0))))
*L1103*L$8,0)</f>
        <v>0</v>
      </c>
      <c r="M425" s="198">
        <f>_xlfn.IFNA(IF(M$7="Fixed",1,IF(AND($D89="yes",M$7="Block"),INDEX($O629:$Q629,1,MATCH(M$5,$I23:$K23,0)),INDEX(Movements!$G629:$M629,1,MATCH(M$7,Movements!$G$614:$M$614,0))))
*M1103*M$8,0)</f>
        <v>0</v>
      </c>
      <c r="N425" s="198">
        <f>_xlfn.IFNA(IF(N$7="Fixed",1,IF(AND($D89="yes",N$7="Block"),INDEX($O629:$Q629,1,MATCH(N$5,$I23:$K23,0)),INDEX(Movements!$G629:$M629,1,MATCH(N$7,Movements!$G$614:$M$614,0))))
*N1103*N$8,0)</f>
        <v>0</v>
      </c>
      <c r="O425" s="198">
        <f>_xlfn.IFNA(IF(O$7="Fixed",1,IF(AND($D89="yes",O$7="Block"),INDEX($O629:$Q629,1,MATCH(O$5,$I23:$K23,0)),INDEX(Movements!$G629:$M629,1,MATCH(O$7,Movements!$G$614:$M$614,0))))
*O1103*O$8,0)</f>
        <v>0</v>
      </c>
      <c r="P425" s="198">
        <f>_xlfn.IFNA(IF(P$7="Fixed",1,IF(AND($D89="yes",P$7="Block"),INDEX($O629:$Q629,1,MATCH(P$5,$I23:$K23,0)),INDEX(Movements!$G629:$M629,1,MATCH(P$7,Movements!$G$614:$M$614,0))))
*P1103*P$8,0)</f>
        <v>0</v>
      </c>
      <c r="Q425" s="198">
        <f>_xlfn.IFNA(IF(Q$7="Fixed",1,IF(AND($D89="yes",Q$7="Block"),INDEX($O629:$Q629,1,MATCH(Q$5,$I23:$K23,0)),INDEX(Movements!$G629:$M629,1,MATCH(Q$7,Movements!$G$614:$M$614,0))))
*Q1103*Q$8,0)</f>
        <v>0</v>
      </c>
      <c r="R425" s="198">
        <f>_xlfn.IFNA(IF(R$7="Fixed",1,IF(AND($D89="yes",R$7="Block"),INDEX($O629:$Q629,1,MATCH(R$5,$I23:$K23,0)),INDEX(Movements!$G629:$M629,1,MATCH(R$7,Movements!$G$614:$M$614,0))))
*R1103*R$8,0)</f>
        <v>0</v>
      </c>
      <c r="S425" s="198">
        <f>_xlfn.IFNA(IF(S$7="Fixed",1,IF(AND($D89="yes",S$7="Block"),INDEX($O629:$Q629,1,MATCH(S$5,$I23:$K23,0)),INDEX(Movements!$G629:$M629,1,MATCH(S$7,Movements!$G$614:$M$614,0))))
*S1103*S$8,0)</f>
        <v>0</v>
      </c>
      <c r="T425" s="198">
        <f>_xlfn.IFNA(IF(T$7="Fixed",1,IF(AND($D89="yes",T$7="Block"),INDEX($O629:$Q629,1,MATCH(T$5,$I23:$K23,0)),INDEX(Movements!$G629:$M629,1,MATCH(T$7,Movements!$G$614:$M$614,0))))
*T1103*T$8,0)</f>
        <v>0</v>
      </c>
      <c r="U425" s="198">
        <f>_xlfn.IFNA(IF(U$7="Fixed",1,IF(AND($D89="yes",U$7="Block"),INDEX($O629:$Q629,1,MATCH(U$5,$I23:$K23,0)),INDEX(Movements!$G629:$M629,1,MATCH(U$7,Movements!$G$614:$M$614,0))))
*U1103*U$8,0)</f>
        <v>0</v>
      </c>
      <c r="V425" s="198">
        <f>_xlfn.IFNA(IF(V$7="Fixed",1,IF(AND($D89="yes",V$7="Block"),INDEX($O629:$Q629,1,MATCH(V$5,$I23:$K23,0)),INDEX(Movements!$G629:$M629,1,MATCH(V$7,Movements!$G$614:$M$614,0))))
*V1103*V$8,0)</f>
        <v>0</v>
      </c>
      <c r="W425" s="198">
        <f>_xlfn.IFNA(IF(W$7="Fixed",1,IF(AND($D89="yes",W$7="Block"),INDEX($O629:$Q629,1,MATCH(W$5,$I23:$K23,0)),INDEX(Movements!$G629:$M629,1,MATCH(W$7,Movements!$G$614:$M$614,0))))
*W1103*W$8,0)</f>
        <v>0</v>
      </c>
      <c r="X425" s="198">
        <f>_xlfn.IFNA(IF(X$7="Fixed",1,IF(AND($D89="yes",X$7="Block"),INDEX($O629:$Q629,1,MATCH(X$5,$I23:$K23,0)),INDEX(Movements!$G629:$M629,1,MATCH(X$7,Movements!$G$614:$M$614,0))))
*X1103*X$8,0)</f>
        <v>0</v>
      </c>
      <c r="Y425" s="198">
        <f>_xlfn.IFNA(IF(Y$7="Fixed",1,IF(AND($D89="yes",Y$7="Block"),INDEX($O629:$Q629,1,MATCH(Y$5,$I23:$K23,0)),INDEX(Movements!$G629:$M629,1,MATCH(Y$7,Movements!$G$614:$M$614,0))))
*Y1103*Y$8,0)</f>
        <v>0</v>
      </c>
      <c r="Z425" s="198">
        <f>_xlfn.IFNA(IF(Z$7="Fixed",1,IF(AND($D89="yes",Z$7="Block"),INDEX($O629:$Q629,1,MATCH(Z$5,$I23:$K23,0)),INDEX(Movements!$G629:$M629,1,MATCH(Z$7,Movements!$G$614:$M$614,0))))
*Z1103*Z$8,0)</f>
        <v>0</v>
      </c>
      <c r="AA425" s="198">
        <f>_xlfn.IFNA(IF(AA$7="Fixed",1,IF(AND($D89="yes",AA$7="Block"),INDEX($O629:$Q629,1,MATCH(AA$5,$I23:$K23,0)),INDEX(Movements!$G629:$M629,1,MATCH(AA$7,Movements!$G$614:$M$614,0))))
*AA1103*AA$8,0)</f>
        <v>0</v>
      </c>
      <c r="AB425" s="198">
        <f>_xlfn.IFNA(IF(AB$7="Fixed",1,IF(AND($D89="yes",AB$7="Block"),INDEX($O629:$Q629,1,MATCH(AB$5,$I23:$K23,0)),INDEX(Movements!$G629:$M629,1,MATCH(AB$7,Movements!$G$614:$M$614,0))))
*AB1103*AB$8,0)</f>
        <v>0</v>
      </c>
      <c r="AC425" s="70"/>
      <c r="AD425" s="19"/>
      <c r="AE425" s="19"/>
      <c r="AF425" s="19"/>
      <c r="AG425" s="19"/>
    </row>
    <row r="426" spans="1:33" hidden="1" outlineLevel="3" x14ac:dyDescent="0.2">
      <c r="A426" s="19"/>
      <c r="B426" s="19"/>
      <c r="C426" s="506">
        <f t="shared" si="87"/>
        <v>0</v>
      </c>
      <c r="D426" s="505">
        <f t="shared" si="87"/>
        <v>0</v>
      </c>
      <c r="E426" s="505">
        <f t="shared" si="87"/>
        <v>0</v>
      </c>
      <c r="F426" s="58"/>
      <c r="G426" s="199">
        <f t="shared" si="88"/>
        <v>0</v>
      </c>
      <c r="H426" s="58"/>
      <c r="I426" s="198">
        <f>_xlfn.IFNA(IF(I$7="Fixed",1,IF(AND($D90="yes",I$7="Block"),INDEX($O630:$Q630,1,MATCH(I$5,$I24:$K24,0)),INDEX(Movements!$G630:$M630,1,MATCH(I$7,Movements!$G$614:$M$614,0))))
*I1104*I$8,0)</f>
        <v>0</v>
      </c>
      <c r="J426" s="198">
        <f>_xlfn.IFNA(IF(J$7="Fixed",1,IF(AND($D90="yes",J$7="Block"),INDEX($O630:$Q630,1,MATCH(J$5,$I24:$K24,0)),INDEX(Movements!$G630:$M630,1,MATCH(J$7,Movements!$G$614:$M$614,0))))
*J1104*J$8,0)</f>
        <v>0</v>
      </c>
      <c r="K426" s="198">
        <f>_xlfn.IFNA(IF(K$7="Fixed",1,IF(AND($D90="yes",K$7="Block"),INDEX($O630:$Q630,1,MATCH(K$5,$I24:$K24,0)),INDEX(Movements!$G630:$M630,1,MATCH(K$7,Movements!$G$614:$M$614,0))))
*K1104*K$8,0)</f>
        <v>0</v>
      </c>
      <c r="L426" s="198">
        <f>_xlfn.IFNA(IF(L$7="Fixed",1,IF(AND($D90="yes",L$7="Block"),INDEX($O630:$Q630,1,MATCH(L$5,$I24:$K24,0)),INDEX(Movements!$G630:$M630,1,MATCH(L$7,Movements!$G$614:$M$614,0))))
*L1104*L$8,0)</f>
        <v>0</v>
      </c>
      <c r="M426" s="198">
        <f>_xlfn.IFNA(IF(M$7="Fixed",1,IF(AND($D90="yes",M$7="Block"),INDEX($O630:$Q630,1,MATCH(M$5,$I24:$K24,0)),INDEX(Movements!$G630:$M630,1,MATCH(M$7,Movements!$G$614:$M$614,0))))
*M1104*M$8,0)</f>
        <v>0</v>
      </c>
      <c r="N426" s="198">
        <f>_xlfn.IFNA(IF(N$7="Fixed",1,IF(AND($D90="yes",N$7="Block"),INDEX($O630:$Q630,1,MATCH(N$5,$I24:$K24,0)),INDEX(Movements!$G630:$M630,1,MATCH(N$7,Movements!$G$614:$M$614,0))))
*N1104*N$8,0)</f>
        <v>0</v>
      </c>
      <c r="O426" s="198">
        <f>_xlfn.IFNA(IF(O$7="Fixed",1,IF(AND($D90="yes",O$7="Block"),INDEX($O630:$Q630,1,MATCH(O$5,$I24:$K24,0)),INDEX(Movements!$G630:$M630,1,MATCH(O$7,Movements!$G$614:$M$614,0))))
*O1104*O$8,0)</f>
        <v>0</v>
      </c>
      <c r="P426" s="198">
        <f>_xlfn.IFNA(IF(P$7="Fixed",1,IF(AND($D90="yes",P$7="Block"),INDEX($O630:$Q630,1,MATCH(P$5,$I24:$K24,0)),INDEX(Movements!$G630:$M630,1,MATCH(P$7,Movements!$G$614:$M$614,0))))
*P1104*P$8,0)</f>
        <v>0</v>
      </c>
      <c r="Q426" s="198">
        <f>_xlfn.IFNA(IF(Q$7="Fixed",1,IF(AND($D90="yes",Q$7="Block"),INDEX($O630:$Q630,1,MATCH(Q$5,$I24:$K24,0)),INDEX(Movements!$G630:$M630,1,MATCH(Q$7,Movements!$G$614:$M$614,0))))
*Q1104*Q$8,0)</f>
        <v>0</v>
      </c>
      <c r="R426" s="198">
        <f>_xlfn.IFNA(IF(R$7="Fixed",1,IF(AND($D90="yes",R$7="Block"),INDEX($O630:$Q630,1,MATCH(R$5,$I24:$K24,0)),INDEX(Movements!$G630:$M630,1,MATCH(R$7,Movements!$G$614:$M$614,0))))
*R1104*R$8,0)</f>
        <v>0</v>
      </c>
      <c r="S426" s="198">
        <f>_xlfn.IFNA(IF(S$7="Fixed",1,IF(AND($D90="yes",S$7="Block"),INDEX($O630:$Q630,1,MATCH(S$5,$I24:$K24,0)),INDEX(Movements!$G630:$M630,1,MATCH(S$7,Movements!$G$614:$M$614,0))))
*S1104*S$8,0)</f>
        <v>0</v>
      </c>
      <c r="T426" s="198">
        <f>_xlfn.IFNA(IF(T$7="Fixed",1,IF(AND($D90="yes",T$7="Block"),INDEX($O630:$Q630,1,MATCH(T$5,$I24:$K24,0)),INDEX(Movements!$G630:$M630,1,MATCH(T$7,Movements!$G$614:$M$614,0))))
*T1104*T$8,0)</f>
        <v>0</v>
      </c>
      <c r="U426" s="198">
        <f>_xlfn.IFNA(IF(U$7="Fixed",1,IF(AND($D90="yes",U$7="Block"),INDEX($O630:$Q630,1,MATCH(U$5,$I24:$K24,0)),INDEX(Movements!$G630:$M630,1,MATCH(U$7,Movements!$G$614:$M$614,0))))
*U1104*U$8,0)</f>
        <v>0</v>
      </c>
      <c r="V426" s="198">
        <f>_xlfn.IFNA(IF(V$7="Fixed",1,IF(AND($D90="yes",V$7="Block"),INDEX($O630:$Q630,1,MATCH(V$5,$I24:$K24,0)),INDEX(Movements!$G630:$M630,1,MATCH(V$7,Movements!$G$614:$M$614,0))))
*V1104*V$8,0)</f>
        <v>0</v>
      </c>
      <c r="W426" s="198">
        <f>_xlfn.IFNA(IF(W$7="Fixed",1,IF(AND($D90="yes",W$7="Block"),INDEX($O630:$Q630,1,MATCH(W$5,$I24:$K24,0)),INDEX(Movements!$G630:$M630,1,MATCH(W$7,Movements!$G$614:$M$614,0))))
*W1104*W$8,0)</f>
        <v>0</v>
      </c>
      <c r="X426" s="198">
        <f>_xlfn.IFNA(IF(X$7="Fixed",1,IF(AND($D90="yes",X$7="Block"),INDEX($O630:$Q630,1,MATCH(X$5,$I24:$K24,0)),INDEX(Movements!$G630:$M630,1,MATCH(X$7,Movements!$G$614:$M$614,0))))
*X1104*X$8,0)</f>
        <v>0</v>
      </c>
      <c r="Y426" s="198">
        <f>_xlfn.IFNA(IF(Y$7="Fixed",1,IF(AND($D90="yes",Y$7="Block"),INDEX($O630:$Q630,1,MATCH(Y$5,$I24:$K24,0)),INDEX(Movements!$G630:$M630,1,MATCH(Y$7,Movements!$G$614:$M$614,0))))
*Y1104*Y$8,0)</f>
        <v>0</v>
      </c>
      <c r="Z426" s="198">
        <f>_xlfn.IFNA(IF(Z$7="Fixed",1,IF(AND($D90="yes",Z$7="Block"),INDEX($O630:$Q630,1,MATCH(Z$5,$I24:$K24,0)),INDEX(Movements!$G630:$M630,1,MATCH(Z$7,Movements!$G$614:$M$614,0))))
*Z1104*Z$8,0)</f>
        <v>0</v>
      </c>
      <c r="AA426" s="198">
        <f>_xlfn.IFNA(IF(AA$7="Fixed",1,IF(AND($D90="yes",AA$7="Block"),INDEX($O630:$Q630,1,MATCH(AA$5,$I24:$K24,0)),INDEX(Movements!$G630:$M630,1,MATCH(AA$7,Movements!$G$614:$M$614,0))))
*AA1104*AA$8,0)</f>
        <v>0</v>
      </c>
      <c r="AB426" s="198">
        <f>_xlfn.IFNA(IF(AB$7="Fixed",1,IF(AND($D90="yes",AB$7="Block"),INDEX($O630:$Q630,1,MATCH(AB$5,$I24:$K24,0)),INDEX(Movements!$G630:$M630,1,MATCH(AB$7,Movements!$G$614:$M$614,0))))
*AB1104*AB$8,0)</f>
        <v>0</v>
      </c>
      <c r="AC426" s="70"/>
      <c r="AD426" s="19"/>
      <c r="AE426" s="19"/>
      <c r="AF426" s="19"/>
      <c r="AG426" s="19"/>
    </row>
    <row r="427" spans="1:33" hidden="1" outlineLevel="3" x14ac:dyDescent="0.2">
      <c r="A427" s="19"/>
      <c r="B427" s="19"/>
      <c r="C427" s="506">
        <f t="shared" si="87"/>
        <v>0</v>
      </c>
      <c r="D427" s="505">
        <f t="shared" si="87"/>
        <v>0</v>
      </c>
      <c r="E427" s="505">
        <f t="shared" si="87"/>
        <v>0</v>
      </c>
      <c r="F427" s="58"/>
      <c r="G427" s="199">
        <f t="shared" si="88"/>
        <v>0</v>
      </c>
      <c r="H427" s="58"/>
      <c r="I427" s="198">
        <f>_xlfn.IFNA(IF(I$7="Fixed",1,IF(AND($D91="yes",I$7="Block"),INDEX($O631:$Q631,1,MATCH(I$5,$I25:$K25,0)),INDEX(Movements!$G631:$M631,1,MATCH(I$7,Movements!$G$614:$M$614,0))))
*I1105*I$8,0)</f>
        <v>0</v>
      </c>
      <c r="J427" s="198">
        <f>_xlfn.IFNA(IF(J$7="Fixed",1,IF(AND($D91="yes",J$7="Block"),INDEX($O631:$Q631,1,MATCH(J$5,$I25:$K25,0)),INDEX(Movements!$G631:$M631,1,MATCH(J$7,Movements!$G$614:$M$614,0))))
*J1105*J$8,0)</f>
        <v>0</v>
      </c>
      <c r="K427" s="198">
        <f>_xlfn.IFNA(IF(K$7="Fixed",1,IF(AND($D91="yes",K$7="Block"),INDEX($O631:$Q631,1,MATCH(K$5,$I25:$K25,0)),INDEX(Movements!$G631:$M631,1,MATCH(K$7,Movements!$G$614:$M$614,0))))
*K1105*K$8,0)</f>
        <v>0</v>
      </c>
      <c r="L427" s="198">
        <f>_xlfn.IFNA(IF(L$7="Fixed",1,IF(AND($D91="yes",L$7="Block"),INDEX($O631:$Q631,1,MATCH(L$5,$I25:$K25,0)),INDEX(Movements!$G631:$M631,1,MATCH(L$7,Movements!$G$614:$M$614,0))))
*L1105*L$8,0)</f>
        <v>0</v>
      </c>
      <c r="M427" s="198">
        <f>_xlfn.IFNA(IF(M$7="Fixed",1,IF(AND($D91="yes",M$7="Block"),INDEX($O631:$Q631,1,MATCH(M$5,$I25:$K25,0)),INDEX(Movements!$G631:$M631,1,MATCH(M$7,Movements!$G$614:$M$614,0))))
*M1105*M$8,0)</f>
        <v>0</v>
      </c>
      <c r="N427" s="198">
        <f>_xlfn.IFNA(IF(N$7="Fixed",1,IF(AND($D91="yes",N$7="Block"),INDEX($O631:$Q631,1,MATCH(N$5,$I25:$K25,0)),INDEX(Movements!$G631:$M631,1,MATCH(N$7,Movements!$G$614:$M$614,0))))
*N1105*N$8,0)</f>
        <v>0</v>
      </c>
      <c r="O427" s="198">
        <f>_xlfn.IFNA(IF(O$7="Fixed",1,IF(AND($D91="yes",O$7="Block"),INDEX($O631:$Q631,1,MATCH(O$5,$I25:$K25,0)),INDEX(Movements!$G631:$M631,1,MATCH(O$7,Movements!$G$614:$M$614,0))))
*O1105*O$8,0)</f>
        <v>0</v>
      </c>
      <c r="P427" s="198">
        <f>_xlfn.IFNA(IF(P$7="Fixed",1,IF(AND($D91="yes",P$7="Block"),INDEX($O631:$Q631,1,MATCH(P$5,$I25:$K25,0)),INDEX(Movements!$G631:$M631,1,MATCH(P$7,Movements!$G$614:$M$614,0))))
*P1105*P$8,0)</f>
        <v>0</v>
      </c>
      <c r="Q427" s="198">
        <f>_xlfn.IFNA(IF(Q$7="Fixed",1,IF(AND($D91="yes",Q$7="Block"),INDEX($O631:$Q631,1,MATCH(Q$5,$I25:$K25,0)),INDEX(Movements!$G631:$M631,1,MATCH(Q$7,Movements!$G$614:$M$614,0))))
*Q1105*Q$8,0)</f>
        <v>0</v>
      </c>
      <c r="R427" s="198">
        <f>_xlfn.IFNA(IF(R$7="Fixed",1,IF(AND($D91="yes",R$7="Block"),INDEX($O631:$Q631,1,MATCH(R$5,$I25:$K25,0)),INDEX(Movements!$G631:$M631,1,MATCH(R$7,Movements!$G$614:$M$614,0))))
*R1105*R$8,0)</f>
        <v>0</v>
      </c>
      <c r="S427" s="198">
        <f>_xlfn.IFNA(IF(S$7="Fixed",1,IF(AND($D91="yes",S$7="Block"),INDEX($O631:$Q631,1,MATCH(S$5,$I25:$K25,0)),INDEX(Movements!$G631:$M631,1,MATCH(S$7,Movements!$G$614:$M$614,0))))
*S1105*S$8,0)</f>
        <v>0</v>
      </c>
      <c r="T427" s="198">
        <f>_xlfn.IFNA(IF(T$7="Fixed",1,IF(AND($D91="yes",T$7="Block"),INDEX($O631:$Q631,1,MATCH(T$5,$I25:$K25,0)),INDEX(Movements!$G631:$M631,1,MATCH(T$7,Movements!$G$614:$M$614,0))))
*T1105*T$8,0)</f>
        <v>0</v>
      </c>
      <c r="U427" s="198">
        <f>_xlfn.IFNA(IF(U$7="Fixed",1,IF(AND($D91="yes",U$7="Block"),INDEX($O631:$Q631,1,MATCH(U$5,$I25:$K25,0)),INDEX(Movements!$G631:$M631,1,MATCH(U$7,Movements!$G$614:$M$614,0))))
*U1105*U$8,0)</f>
        <v>0</v>
      </c>
      <c r="V427" s="198">
        <f>_xlfn.IFNA(IF(V$7="Fixed",1,IF(AND($D91="yes",V$7="Block"),INDEX($O631:$Q631,1,MATCH(V$5,$I25:$K25,0)),INDEX(Movements!$G631:$M631,1,MATCH(V$7,Movements!$G$614:$M$614,0))))
*V1105*V$8,0)</f>
        <v>0</v>
      </c>
      <c r="W427" s="198">
        <f>_xlfn.IFNA(IF(W$7="Fixed",1,IF(AND($D91="yes",W$7="Block"),INDEX($O631:$Q631,1,MATCH(W$5,$I25:$K25,0)),INDEX(Movements!$G631:$M631,1,MATCH(W$7,Movements!$G$614:$M$614,0))))
*W1105*W$8,0)</f>
        <v>0</v>
      </c>
      <c r="X427" s="198">
        <f>_xlfn.IFNA(IF(X$7="Fixed",1,IF(AND($D91="yes",X$7="Block"),INDEX($O631:$Q631,1,MATCH(X$5,$I25:$K25,0)),INDEX(Movements!$G631:$M631,1,MATCH(X$7,Movements!$G$614:$M$614,0))))
*X1105*X$8,0)</f>
        <v>0</v>
      </c>
      <c r="Y427" s="198">
        <f>_xlfn.IFNA(IF(Y$7="Fixed",1,IF(AND($D91="yes",Y$7="Block"),INDEX($O631:$Q631,1,MATCH(Y$5,$I25:$K25,0)),INDEX(Movements!$G631:$M631,1,MATCH(Y$7,Movements!$G$614:$M$614,0))))
*Y1105*Y$8,0)</f>
        <v>0</v>
      </c>
      <c r="Z427" s="198">
        <f>_xlfn.IFNA(IF(Z$7="Fixed",1,IF(AND($D91="yes",Z$7="Block"),INDEX($O631:$Q631,1,MATCH(Z$5,$I25:$K25,0)),INDEX(Movements!$G631:$M631,1,MATCH(Z$7,Movements!$G$614:$M$614,0))))
*Z1105*Z$8,0)</f>
        <v>0</v>
      </c>
      <c r="AA427" s="198">
        <f>_xlfn.IFNA(IF(AA$7="Fixed",1,IF(AND($D91="yes",AA$7="Block"),INDEX($O631:$Q631,1,MATCH(AA$5,$I25:$K25,0)),INDEX(Movements!$G631:$M631,1,MATCH(AA$7,Movements!$G$614:$M$614,0))))
*AA1105*AA$8,0)</f>
        <v>0</v>
      </c>
      <c r="AB427" s="198">
        <f>_xlfn.IFNA(IF(AB$7="Fixed",1,IF(AND($D91="yes",AB$7="Block"),INDEX($O631:$Q631,1,MATCH(AB$5,$I25:$K25,0)),INDEX(Movements!$G631:$M631,1,MATCH(AB$7,Movements!$G$614:$M$614,0))))
*AB1105*AB$8,0)</f>
        <v>0</v>
      </c>
      <c r="AC427" s="70"/>
      <c r="AD427" s="19"/>
      <c r="AE427" s="19"/>
      <c r="AF427" s="19"/>
      <c r="AG427" s="19"/>
    </row>
    <row r="428" spans="1:33" hidden="1" outlineLevel="3" x14ac:dyDescent="0.2">
      <c r="A428" s="19"/>
      <c r="B428" s="19"/>
      <c r="C428" s="506">
        <f t="shared" si="87"/>
        <v>0</v>
      </c>
      <c r="D428" s="505">
        <f t="shared" si="87"/>
        <v>0</v>
      </c>
      <c r="E428" s="505">
        <f t="shared" si="87"/>
        <v>0</v>
      </c>
      <c r="F428" s="58"/>
      <c r="G428" s="199">
        <f t="shared" si="88"/>
        <v>0</v>
      </c>
      <c r="H428" s="58"/>
      <c r="I428" s="198">
        <f>_xlfn.IFNA(IF(I$7="Fixed",1,IF(AND($D92="yes",I$7="Block"),INDEX($O632:$Q632,1,MATCH(I$5,$I26:$K26,0)),INDEX(Movements!$G632:$M632,1,MATCH(I$7,Movements!$G$614:$M$614,0))))
*I1106*I$8,0)</f>
        <v>0</v>
      </c>
      <c r="J428" s="198">
        <f>_xlfn.IFNA(IF(J$7="Fixed",1,IF(AND($D92="yes",J$7="Block"),INDEX($O632:$Q632,1,MATCH(J$5,$I26:$K26,0)),INDEX(Movements!$G632:$M632,1,MATCH(J$7,Movements!$G$614:$M$614,0))))
*J1106*J$8,0)</f>
        <v>0</v>
      </c>
      <c r="K428" s="198">
        <f>_xlfn.IFNA(IF(K$7="Fixed",1,IF(AND($D92="yes",K$7="Block"),INDEX($O632:$Q632,1,MATCH(K$5,$I26:$K26,0)),INDEX(Movements!$G632:$M632,1,MATCH(K$7,Movements!$G$614:$M$614,0))))
*K1106*K$8,0)</f>
        <v>0</v>
      </c>
      <c r="L428" s="198">
        <f>_xlfn.IFNA(IF(L$7="Fixed",1,IF(AND($D92="yes",L$7="Block"),INDEX($O632:$Q632,1,MATCH(L$5,$I26:$K26,0)),INDEX(Movements!$G632:$M632,1,MATCH(L$7,Movements!$G$614:$M$614,0))))
*L1106*L$8,0)</f>
        <v>0</v>
      </c>
      <c r="M428" s="198">
        <f>_xlfn.IFNA(IF(M$7="Fixed",1,IF(AND($D92="yes",M$7="Block"),INDEX($O632:$Q632,1,MATCH(M$5,$I26:$K26,0)),INDEX(Movements!$G632:$M632,1,MATCH(M$7,Movements!$G$614:$M$614,0))))
*M1106*M$8,0)</f>
        <v>0</v>
      </c>
      <c r="N428" s="198">
        <f>_xlfn.IFNA(IF(N$7="Fixed",1,IF(AND($D92="yes",N$7="Block"),INDEX($O632:$Q632,1,MATCH(N$5,$I26:$K26,0)),INDEX(Movements!$G632:$M632,1,MATCH(N$7,Movements!$G$614:$M$614,0))))
*N1106*N$8,0)</f>
        <v>0</v>
      </c>
      <c r="O428" s="198">
        <f>_xlfn.IFNA(IF(O$7="Fixed",1,IF(AND($D92="yes",O$7="Block"),INDEX($O632:$Q632,1,MATCH(O$5,$I26:$K26,0)),INDEX(Movements!$G632:$M632,1,MATCH(O$7,Movements!$G$614:$M$614,0))))
*O1106*O$8,0)</f>
        <v>0</v>
      </c>
      <c r="P428" s="198">
        <f>_xlfn.IFNA(IF(P$7="Fixed",1,IF(AND($D92="yes",P$7="Block"),INDEX($O632:$Q632,1,MATCH(P$5,$I26:$K26,0)),INDEX(Movements!$G632:$M632,1,MATCH(P$7,Movements!$G$614:$M$614,0))))
*P1106*P$8,0)</f>
        <v>0</v>
      </c>
      <c r="Q428" s="198">
        <f>_xlfn.IFNA(IF(Q$7="Fixed",1,IF(AND($D92="yes",Q$7="Block"),INDEX($O632:$Q632,1,MATCH(Q$5,$I26:$K26,0)),INDEX(Movements!$G632:$M632,1,MATCH(Q$7,Movements!$G$614:$M$614,0))))
*Q1106*Q$8,0)</f>
        <v>0</v>
      </c>
      <c r="R428" s="198">
        <f>_xlfn.IFNA(IF(R$7="Fixed",1,IF(AND($D92="yes",R$7="Block"),INDEX($O632:$Q632,1,MATCH(R$5,$I26:$K26,0)),INDEX(Movements!$G632:$M632,1,MATCH(R$7,Movements!$G$614:$M$614,0))))
*R1106*R$8,0)</f>
        <v>0</v>
      </c>
      <c r="S428" s="198">
        <f>_xlfn.IFNA(IF(S$7="Fixed",1,IF(AND($D92="yes",S$7="Block"),INDEX($O632:$Q632,1,MATCH(S$5,$I26:$K26,0)),INDEX(Movements!$G632:$M632,1,MATCH(S$7,Movements!$G$614:$M$614,0))))
*S1106*S$8,0)</f>
        <v>0</v>
      </c>
      <c r="T428" s="198">
        <f>_xlfn.IFNA(IF(T$7="Fixed",1,IF(AND($D92="yes",T$7="Block"),INDEX($O632:$Q632,1,MATCH(T$5,$I26:$K26,0)),INDEX(Movements!$G632:$M632,1,MATCH(T$7,Movements!$G$614:$M$614,0))))
*T1106*T$8,0)</f>
        <v>0</v>
      </c>
      <c r="U428" s="198">
        <f>_xlfn.IFNA(IF(U$7="Fixed",1,IF(AND($D92="yes",U$7="Block"),INDEX($O632:$Q632,1,MATCH(U$5,$I26:$K26,0)),INDEX(Movements!$G632:$M632,1,MATCH(U$7,Movements!$G$614:$M$614,0))))
*U1106*U$8,0)</f>
        <v>0</v>
      </c>
      <c r="V428" s="198">
        <f>_xlfn.IFNA(IF(V$7="Fixed",1,IF(AND($D92="yes",V$7="Block"),INDEX($O632:$Q632,1,MATCH(V$5,$I26:$K26,0)),INDEX(Movements!$G632:$M632,1,MATCH(V$7,Movements!$G$614:$M$614,0))))
*V1106*V$8,0)</f>
        <v>0</v>
      </c>
      <c r="W428" s="198">
        <f>_xlfn.IFNA(IF(W$7="Fixed",1,IF(AND($D92="yes",W$7="Block"),INDEX($O632:$Q632,1,MATCH(W$5,$I26:$K26,0)),INDEX(Movements!$G632:$M632,1,MATCH(W$7,Movements!$G$614:$M$614,0))))
*W1106*W$8,0)</f>
        <v>0</v>
      </c>
      <c r="X428" s="198">
        <f>_xlfn.IFNA(IF(X$7="Fixed",1,IF(AND($D92="yes",X$7="Block"),INDEX($O632:$Q632,1,MATCH(X$5,$I26:$K26,0)),INDEX(Movements!$G632:$M632,1,MATCH(X$7,Movements!$G$614:$M$614,0))))
*X1106*X$8,0)</f>
        <v>0</v>
      </c>
      <c r="Y428" s="198">
        <f>_xlfn.IFNA(IF(Y$7="Fixed",1,IF(AND($D92="yes",Y$7="Block"),INDEX($O632:$Q632,1,MATCH(Y$5,$I26:$K26,0)),INDEX(Movements!$G632:$M632,1,MATCH(Y$7,Movements!$G$614:$M$614,0))))
*Y1106*Y$8,0)</f>
        <v>0</v>
      </c>
      <c r="Z428" s="198">
        <f>_xlfn.IFNA(IF(Z$7="Fixed",1,IF(AND($D92="yes",Z$7="Block"),INDEX($O632:$Q632,1,MATCH(Z$5,$I26:$K26,0)),INDEX(Movements!$G632:$M632,1,MATCH(Z$7,Movements!$G$614:$M$614,0))))
*Z1106*Z$8,0)</f>
        <v>0</v>
      </c>
      <c r="AA428" s="198">
        <f>_xlfn.IFNA(IF(AA$7="Fixed",1,IF(AND($D92="yes",AA$7="Block"),INDEX($O632:$Q632,1,MATCH(AA$5,$I26:$K26,0)),INDEX(Movements!$G632:$M632,1,MATCH(AA$7,Movements!$G$614:$M$614,0))))
*AA1106*AA$8,0)</f>
        <v>0</v>
      </c>
      <c r="AB428" s="198">
        <f>_xlfn.IFNA(IF(AB$7="Fixed",1,IF(AND($D92="yes",AB$7="Block"),INDEX($O632:$Q632,1,MATCH(AB$5,$I26:$K26,0)),INDEX(Movements!$G632:$M632,1,MATCH(AB$7,Movements!$G$614:$M$614,0))))
*AB1106*AB$8,0)</f>
        <v>0</v>
      </c>
      <c r="AC428" s="70"/>
      <c r="AD428" s="19"/>
      <c r="AE428" s="19"/>
      <c r="AF428" s="19"/>
      <c r="AG428" s="19"/>
    </row>
    <row r="429" spans="1:33" hidden="1" outlineLevel="3" x14ac:dyDescent="0.2">
      <c r="A429" s="19"/>
      <c r="B429" s="19"/>
      <c r="C429" s="506">
        <f t="shared" si="87"/>
        <v>0</v>
      </c>
      <c r="D429" s="505">
        <f t="shared" si="87"/>
        <v>0</v>
      </c>
      <c r="E429" s="505">
        <f t="shared" si="87"/>
        <v>0</v>
      </c>
      <c r="F429" s="58"/>
      <c r="G429" s="199">
        <f t="shared" si="88"/>
        <v>0</v>
      </c>
      <c r="H429" s="58"/>
      <c r="I429" s="198">
        <f>_xlfn.IFNA(IF(I$7="Fixed",1,IF(AND($D93="yes",I$7="Block"),INDEX($O633:$Q633,1,MATCH(I$5,$I27:$K27,0)),INDEX(Movements!$G633:$M633,1,MATCH(I$7,Movements!$G$614:$M$614,0))))
*I1107*I$8,0)</f>
        <v>0</v>
      </c>
      <c r="J429" s="198">
        <f>_xlfn.IFNA(IF(J$7="Fixed",1,IF(AND($D93="yes",J$7="Block"),INDEX($O633:$Q633,1,MATCH(J$5,$I27:$K27,0)),INDEX(Movements!$G633:$M633,1,MATCH(J$7,Movements!$G$614:$M$614,0))))
*J1107*J$8,0)</f>
        <v>0</v>
      </c>
      <c r="K429" s="198">
        <f>_xlfn.IFNA(IF(K$7="Fixed",1,IF(AND($D93="yes",K$7="Block"),INDEX($O633:$Q633,1,MATCH(K$5,$I27:$K27,0)),INDEX(Movements!$G633:$M633,1,MATCH(K$7,Movements!$G$614:$M$614,0))))
*K1107*K$8,0)</f>
        <v>0</v>
      </c>
      <c r="L429" s="198">
        <f>_xlfn.IFNA(IF(L$7="Fixed",1,IF(AND($D93="yes",L$7="Block"),INDEX($O633:$Q633,1,MATCH(L$5,$I27:$K27,0)),INDEX(Movements!$G633:$M633,1,MATCH(L$7,Movements!$G$614:$M$614,0))))
*L1107*L$8,0)</f>
        <v>0</v>
      </c>
      <c r="M429" s="198">
        <f>_xlfn.IFNA(IF(M$7="Fixed",1,IF(AND($D93="yes",M$7="Block"),INDEX($O633:$Q633,1,MATCH(M$5,$I27:$K27,0)),INDEX(Movements!$G633:$M633,1,MATCH(M$7,Movements!$G$614:$M$614,0))))
*M1107*M$8,0)</f>
        <v>0</v>
      </c>
      <c r="N429" s="198">
        <f>_xlfn.IFNA(IF(N$7="Fixed",1,IF(AND($D93="yes",N$7="Block"),INDEX($O633:$Q633,1,MATCH(N$5,$I27:$K27,0)),INDEX(Movements!$G633:$M633,1,MATCH(N$7,Movements!$G$614:$M$614,0))))
*N1107*N$8,0)</f>
        <v>0</v>
      </c>
      <c r="O429" s="198">
        <f>_xlfn.IFNA(IF(O$7="Fixed",1,IF(AND($D93="yes",O$7="Block"),INDEX($O633:$Q633,1,MATCH(O$5,$I27:$K27,0)),INDEX(Movements!$G633:$M633,1,MATCH(O$7,Movements!$G$614:$M$614,0))))
*O1107*O$8,0)</f>
        <v>0</v>
      </c>
      <c r="P429" s="198">
        <f>_xlfn.IFNA(IF(P$7="Fixed",1,IF(AND($D93="yes",P$7="Block"),INDEX($O633:$Q633,1,MATCH(P$5,$I27:$K27,0)),INDEX(Movements!$G633:$M633,1,MATCH(P$7,Movements!$G$614:$M$614,0))))
*P1107*P$8,0)</f>
        <v>0</v>
      </c>
      <c r="Q429" s="198">
        <f>_xlfn.IFNA(IF(Q$7="Fixed",1,IF(AND($D93="yes",Q$7="Block"),INDEX($O633:$Q633,1,MATCH(Q$5,$I27:$K27,0)),INDEX(Movements!$G633:$M633,1,MATCH(Q$7,Movements!$G$614:$M$614,0))))
*Q1107*Q$8,0)</f>
        <v>0</v>
      </c>
      <c r="R429" s="198">
        <f>_xlfn.IFNA(IF(R$7="Fixed",1,IF(AND($D93="yes",R$7="Block"),INDEX($O633:$Q633,1,MATCH(R$5,$I27:$K27,0)),INDEX(Movements!$G633:$M633,1,MATCH(R$7,Movements!$G$614:$M$614,0))))
*R1107*R$8,0)</f>
        <v>0</v>
      </c>
      <c r="S429" s="198">
        <f>_xlfn.IFNA(IF(S$7="Fixed",1,IF(AND($D93="yes",S$7="Block"),INDEX($O633:$Q633,1,MATCH(S$5,$I27:$K27,0)),INDEX(Movements!$G633:$M633,1,MATCH(S$7,Movements!$G$614:$M$614,0))))
*S1107*S$8,0)</f>
        <v>0</v>
      </c>
      <c r="T429" s="198">
        <f>_xlfn.IFNA(IF(T$7="Fixed",1,IF(AND($D93="yes",T$7="Block"),INDEX($O633:$Q633,1,MATCH(T$5,$I27:$K27,0)),INDEX(Movements!$G633:$M633,1,MATCH(T$7,Movements!$G$614:$M$614,0))))
*T1107*T$8,0)</f>
        <v>0</v>
      </c>
      <c r="U429" s="198">
        <f>_xlfn.IFNA(IF(U$7="Fixed",1,IF(AND($D93="yes",U$7="Block"),INDEX($O633:$Q633,1,MATCH(U$5,$I27:$K27,0)),INDEX(Movements!$G633:$M633,1,MATCH(U$7,Movements!$G$614:$M$614,0))))
*U1107*U$8,0)</f>
        <v>0</v>
      </c>
      <c r="V429" s="198">
        <f>_xlfn.IFNA(IF(V$7="Fixed",1,IF(AND($D93="yes",V$7="Block"),INDEX($O633:$Q633,1,MATCH(V$5,$I27:$K27,0)),INDEX(Movements!$G633:$M633,1,MATCH(V$7,Movements!$G$614:$M$614,0))))
*V1107*V$8,0)</f>
        <v>0</v>
      </c>
      <c r="W429" s="198">
        <f>_xlfn.IFNA(IF(W$7="Fixed",1,IF(AND($D93="yes",W$7="Block"),INDEX($O633:$Q633,1,MATCH(W$5,$I27:$K27,0)),INDEX(Movements!$G633:$M633,1,MATCH(W$7,Movements!$G$614:$M$614,0))))
*W1107*W$8,0)</f>
        <v>0</v>
      </c>
      <c r="X429" s="198">
        <f>_xlfn.IFNA(IF(X$7="Fixed",1,IF(AND($D93="yes",X$7="Block"),INDEX($O633:$Q633,1,MATCH(X$5,$I27:$K27,0)),INDEX(Movements!$G633:$M633,1,MATCH(X$7,Movements!$G$614:$M$614,0))))
*X1107*X$8,0)</f>
        <v>0</v>
      </c>
      <c r="Y429" s="198">
        <f>_xlfn.IFNA(IF(Y$7="Fixed",1,IF(AND($D93="yes",Y$7="Block"),INDEX($O633:$Q633,1,MATCH(Y$5,$I27:$K27,0)),INDEX(Movements!$G633:$M633,1,MATCH(Y$7,Movements!$G$614:$M$614,0))))
*Y1107*Y$8,0)</f>
        <v>0</v>
      </c>
      <c r="Z429" s="198">
        <f>_xlfn.IFNA(IF(Z$7="Fixed",1,IF(AND($D93="yes",Z$7="Block"),INDEX($O633:$Q633,1,MATCH(Z$5,$I27:$K27,0)),INDEX(Movements!$G633:$M633,1,MATCH(Z$7,Movements!$G$614:$M$614,0))))
*Z1107*Z$8,0)</f>
        <v>0</v>
      </c>
      <c r="AA429" s="198">
        <f>_xlfn.IFNA(IF(AA$7="Fixed",1,IF(AND($D93="yes",AA$7="Block"),INDEX($O633:$Q633,1,MATCH(AA$5,$I27:$K27,0)),INDEX(Movements!$G633:$M633,1,MATCH(AA$7,Movements!$G$614:$M$614,0))))
*AA1107*AA$8,0)</f>
        <v>0</v>
      </c>
      <c r="AB429" s="198">
        <f>_xlfn.IFNA(IF(AB$7="Fixed",1,IF(AND($D93="yes",AB$7="Block"),INDEX($O633:$Q633,1,MATCH(AB$5,$I27:$K27,0)),INDEX(Movements!$G633:$M633,1,MATCH(AB$7,Movements!$G$614:$M$614,0))))
*AB1107*AB$8,0)</f>
        <v>0</v>
      </c>
      <c r="AC429" s="70"/>
      <c r="AD429" s="19"/>
      <c r="AE429" s="19"/>
      <c r="AF429" s="19"/>
      <c r="AG429" s="19"/>
    </row>
    <row r="430" spans="1:33" hidden="1" outlineLevel="3" x14ac:dyDescent="0.2">
      <c r="A430" s="19"/>
      <c r="B430" s="19"/>
      <c r="C430" s="506">
        <f t="shared" si="87"/>
        <v>0</v>
      </c>
      <c r="D430" s="505">
        <f t="shared" si="87"/>
        <v>0</v>
      </c>
      <c r="E430" s="505">
        <f t="shared" si="87"/>
        <v>0</v>
      </c>
      <c r="F430" s="58"/>
      <c r="G430" s="199">
        <f t="shared" si="88"/>
        <v>0</v>
      </c>
      <c r="H430" s="58"/>
      <c r="I430" s="198">
        <f>_xlfn.IFNA(IF(I$7="Fixed",1,IF(AND($D94="yes",I$7="Block"),INDEX($O634:$Q634,1,MATCH(I$5,$I28:$K28,0)),INDEX(Movements!$G634:$M634,1,MATCH(I$7,Movements!$G$614:$M$614,0))))
*I1108*I$8,0)</f>
        <v>0</v>
      </c>
      <c r="J430" s="198">
        <f>_xlfn.IFNA(IF(J$7="Fixed",1,IF(AND($D94="yes",J$7="Block"),INDEX($O634:$Q634,1,MATCH(J$5,$I28:$K28,0)),INDEX(Movements!$G634:$M634,1,MATCH(J$7,Movements!$G$614:$M$614,0))))
*J1108*J$8,0)</f>
        <v>0</v>
      </c>
      <c r="K430" s="198">
        <f>_xlfn.IFNA(IF(K$7="Fixed",1,IF(AND($D94="yes",K$7="Block"),INDEX($O634:$Q634,1,MATCH(K$5,$I28:$K28,0)),INDEX(Movements!$G634:$M634,1,MATCH(K$7,Movements!$G$614:$M$614,0))))
*K1108*K$8,0)</f>
        <v>0</v>
      </c>
      <c r="L430" s="198">
        <f>_xlfn.IFNA(IF(L$7="Fixed",1,IF(AND($D94="yes",L$7="Block"),INDEX($O634:$Q634,1,MATCH(L$5,$I28:$K28,0)),INDEX(Movements!$G634:$M634,1,MATCH(L$7,Movements!$G$614:$M$614,0))))
*L1108*L$8,0)</f>
        <v>0</v>
      </c>
      <c r="M430" s="198">
        <f>_xlfn.IFNA(IF(M$7="Fixed",1,IF(AND($D94="yes",M$7="Block"),INDEX($O634:$Q634,1,MATCH(M$5,$I28:$K28,0)),INDEX(Movements!$G634:$M634,1,MATCH(M$7,Movements!$G$614:$M$614,0))))
*M1108*M$8,0)</f>
        <v>0</v>
      </c>
      <c r="N430" s="198">
        <f>_xlfn.IFNA(IF(N$7="Fixed",1,IF(AND($D94="yes",N$7="Block"),INDEX($O634:$Q634,1,MATCH(N$5,$I28:$K28,0)),INDEX(Movements!$G634:$M634,1,MATCH(N$7,Movements!$G$614:$M$614,0))))
*N1108*N$8,0)</f>
        <v>0</v>
      </c>
      <c r="O430" s="198">
        <f>_xlfn.IFNA(IF(O$7="Fixed",1,IF(AND($D94="yes",O$7="Block"),INDEX($O634:$Q634,1,MATCH(O$5,$I28:$K28,0)),INDEX(Movements!$G634:$M634,1,MATCH(O$7,Movements!$G$614:$M$614,0))))
*O1108*O$8,0)</f>
        <v>0</v>
      </c>
      <c r="P430" s="198">
        <f>_xlfn.IFNA(IF(P$7="Fixed",1,IF(AND($D94="yes",P$7="Block"),INDEX($O634:$Q634,1,MATCH(P$5,$I28:$K28,0)),INDEX(Movements!$G634:$M634,1,MATCH(P$7,Movements!$G$614:$M$614,0))))
*P1108*P$8,0)</f>
        <v>0</v>
      </c>
      <c r="Q430" s="198">
        <f>_xlfn.IFNA(IF(Q$7="Fixed",1,IF(AND($D94="yes",Q$7="Block"),INDEX($O634:$Q634,1,MATCH(Q$5,$I28:$K28,0)),INDEX(Movements!$G634:$M634,1,MATCH(Q$7,Movements!$G$614:$M$614,0))))
*Q1108*Q$8,0)</f>
        <v>0</v>
      </c>
      <c r="R430" s="198">
        <f>_xlfn.IFNA(IF(R$7="Fixed",1,IF(AND($D94="yes",R$7="Block"),INDEX($O634:$Q634,1,MATCH(R$5,$I28:$K28,0)),INDEX(Movements!$G634:$M634,1,MATCH(R$7,Movements!$G$614:$M$614,0))))
*R1108*R$8,0)</f>
        <v>0</v>
      </c>
      <c r="S430" s="198">
        <f>_xlfn.IFNA(IF(S$7="Fixed",1,IF(AND($D94="yes",S$7="Block"),INDEX($O634:$Q634,1,MATCH(S$5,$I28:$K28,0)),INDEX(Movements!$G634:$M634,1,MATCH(S$7,Movements!$G$614:$M$614,0))))
*S1108*S$8,0)</f>
        <v>0</v>
      </c>
      <c r="T430" s="198">
        <f>_xlfn.IFNA(IF(T$7="Fixed",1,IF(AND($D94="yes",T$7="Block"),INDEX($O634:$Q634,1,MATCH(T$5,$I28:$K28,0)),INDEX(Movements!$G634:$M634,1,MATCH(T$7,Movements!$G$614:$M$614,0))))
*T1108*T$8,0)</f>
        <v>0</v>
      </c>
      <c r="U430" s="198">
        <f>_xlfn.IFNA(IF(U$7="Fixed",1,IF(AND($D94="yes",U$7="Block"),INDEX($O634:$Q634,1,MATCH(U$5,$I28:$K28,0)),INDEX(Movements!$G634:$M634,1,MATCH(U$7,Movements!$G$614:$M$614,0))))
*U1108*U$8,0)</f>
        <v>0</v>
      </c>
      <c r="V430" s="198">
        <f>_xlfn.IFNA(IF(V$7="Fixed",1,IF(AND($D94="yes",V$7="Block"),INDEX($O634:$Q634,1,MATCH(V$5,$I28:$K28,0)),INDEX(Movements!$G634:$M634,1,MATCH(V$7,Movements!$G$614:$M$614,0))))
*V1108*V$8,0)</f>
        <v>0</v>
      </c>
      <c r="W430" s="198">
        <f>_xlfn.IFNA(IF(W$7="Fixed",1,IF(AND($D94="yes",W$7="Block"),INDEX($O634:$Q634,1,MATCH(W$5,$I28:$K28,0)),INDEX(Movements!$G634:$M634,1,MATCH(W$7,Movements!$G$614:$M$614,0))))
*W1108*W$8,0)</f>
        <v>0</v>
      </c>
      <c r="X430" s="198">
        <f>_xlfn.IFNA(IF(X$7="Fixed",1,IF(AND($D94="yes",X$7="Block"),INDEX($O634:$Q634,1,MATCH(X$5,$I28:$K28,0)),INDEX(Movements!$G634:$M634,1,MATCH(X$7,Movements!$G$614:$M$614,0))))
*X1108*X$8,0)</f>
        <v>0</v>
      </c>
      <c r="Y430" s="198">
        <f>_xlfn.IFNA(IF(Y$7="Fixed",1,IF(AND($D94="yes",Y$7="Block"),INDEX($O634:$Q634,1,MATCH(Y$5,$I28:$K28,0)),INDEX(Movements!$G634:$M634,1,MATCH(Y$7,Movements!$G$614:$M$614,0))))
*Y1108*Y$8,0)</f>
        <v>0</v>
      </c>
      <c r="Z430" s="198">
        <f>_xlfn.IFNA(IF(Z$7="Fixed",1,IF(AND($D94="yes",Z$7="Block"),INDEX($O634:$Q634,1,MATCH(Z$5,$I28:$K28,0)),INDEX(Movements!$G634:$M634,1,MATCH(Z$7,Movements!$G$614:$M$614,0))))
*Z1108*Z$8,0)</f>
        <v>0</v>
      </c>
      <c r="AA430" s="198">
        <f>_xlfn.IFNA(IF(AA$7="Fixed",1,IF(AND($D94="yes",AA$7="Block"),INDEX($O634:$Q634,1,MATCH(AA$5,$I28:$K28,0)),INDEX(Movements!$G634:$M634,1,MATCH(AA$7,Movements!$G$614:$M$614,0))))
*AA1108*AA$8,0)</f>
        <v>0</v>
      </c>
      <c r="AB430" s="198">
        <f>_xlfn.IFNA(IF(AB$7="Fixed",1,IF(AND($D94="yes",AB$7="Block"),INDEX($O634:$Q634,1,MATCH(AB$5,$I28:$K28,0)),INDEX(Movements!$G634:$M634,1,MATCH(AB$7,Movements!$G$614:$M$614,0))))
*AB1108*AB$8,0)</f>
        <v>0</v>
      </c>
      <c r="AC430" s="70"/>
      <c r="AD430" s="19"/>
      <c r="AE430" s="19"/>
      <c r="AF430" s="19"/>
      <c r="AG430" s="19"/>
    </row>
    <row r="431" spans="1:33" hidden="1" outlineLevel="3" x14ac:dyDescent="0.2">
      <c r="A431" s="19"/>
      <c r="B431" s="19"/>
      <c r="C431" s="506">
        <f t="shared" si="87"/>
        <v>0</v>
      </c>
      <c r="D431" s="505">
        <f t="shared" si="87"/>
        <v>0</v>
      </c>
      <c r="E431" s="505">
        <f t="shared" si="87"/>
        <v>0</v>
      </c>
      <c r="F431" s="58"/>
      <c r="G431" s="199">
        <f t="shared" si="88"/>
        <v>0</v>
      </c>
      <c r="H431" s="58"/>
      <c r="I431" s="198">
        <f>_xlfn.IFNA(IF(I$7="Fixed",1,IF(AND($D95="yes",I$7="Block"),INDEX($O635:$Q635,1,MATCH(I$5,$I29:$K29,0)),INDEX(Movements!$G635:$M635,1,MATCH(I$7,Movements!$G$614:$M$614,0))))
*I1109*I$8,0)</f>
        <v>0</v>
      </c>
      <c r="J431" s="198">
        <f>_xlfn.IFNA(IF(J$7="Fixed",1,IF(AND($D95="yes",J$7="Block"),INDEX($O635:$Q635,1,MATCH(J$5,$I29:$K29,0)),INDEX(Movements!$G635:$M635,1,MATCH(J$7,Movements!$G$614:$M$614,0))))
*J1109*J$8,0)</f>
        <v>0</v>
      </c>
      <c r="K431" s="198">
        <f>_xlfn.IFNA(IF(K$7="Fixed",1,IF(AND($D95="yes",K$7="Block"),INDEX($O635:$Q635,1,MATCH(K$5,$I29:$K29,0)),INDEX(Movements!$G635:$M635,1,MATCH(K$7,Movements!$G$614:$M$614,0))))
*K1109*K$8,0)</f>
        <v>0</v>
      </c>
      <c r="L431" s="198">
        <f>_xlfn.IFNA(IF(L$7="Fixed",1,IF(AND($D95="yes",L$7="Block"),INDEX($O635:$Q635,1,MATCH(L$5,$I29:$K29,0)),INDEX(Movements!$G635:$M635,1,MATCH(L$7,Movements!$G$614:$M$614,0))))
*L1109*L$8,0)</f>
        <v>0</v>
      </c>
      <c r="M431" s="198">
        <f>_xlfn.IFNA(IF(M$7="Fixed",1,IF(AND($D95="yes",M$7="Block"),INDEX($O635:$Q635,1,MATCH(M$5,$I29:$K29,0)),INDEX(Movements!$G635:$M635,1,MATCH(M$7,Movements!$G$614:$M$614,0))))
*M1109*M$8,0)</f>
        <v>0</v>
      </c>
      <c r="N431" s="198">
        <f>_xlfn.IFNA(IF(N$7="Fixed",1,IF(AND($D95="yes",N$7="Block"),INDEX($O635:$Q635,1,MATCH(N$5,$I29:$K29,0)),INDEX(Movements!$G635:$M635,1,MATCH(N$7,Movements!$G$614:$M$614,0))))
*N1109*N$8,0)</f>
        <v>0</v>
      </c>
      <c r="O431" s="198">
        <f>_xlfn.IFNA(IF(O$7="Fixed",1,IF(AND($D95="yes",O$7="Block"),INDEX($O635:$Q635,1,MATCH(O$5,$I29:$K29,0)),INDEX(Movements!$G635:$M635,1,MATCH(O$7,Movements!$G$614:$M$614,0))))
*O1109*O$8,0)</f>
        <v>0</v>
      </c>
      <c r="P431" s="198">
        <f>_xlfn.IFNA(IF(P$7="Fixed",1,IF(AND($D95="yes",P$7="Block"),INDEX($O635:$Q635,1,MATCH(P$5,$I29:$K29,0)),INDEX(Movements!$G635:$M635,1,MATCH(P$7,Movements!$G$614:$M$614,0))))
*P1109*P$8,0)</f>
        <v>0</v>
      </c>
      <c r="Q431" s="198">
        <f>_xlfn.IFNA(IF(Q$7="Fixed",1,IF(AND($D95="yes",Q$7="Block"),INDEX($O635:$Q635,1,MATCH(Q$5,$I29:$K29,0)),INDEX(Movements!$G635:$M635,1,MATCH(Q$7,Movements!$G$614:$M$614,0))))
*Q1109*Q$8,0)</f>
        <v>0</v>
      </c>
      <c r="R431" s="198">
        <f>_xlfn.IFNA(IF(R$7="Fixed",1,IF(AND($D95="yes",R$7="Block"),INDEX($O635:$Q635,1,MATCH(R$5,$I29:$K29,0)),INDEX(Movements!$G635:$M635,1,MATCH(R$7,Movements!$G$614:$M$614,0))))
*R1109*R$8,0)</f>
        <v>0</v>
      </c>
      <c r="S431" s="198">
        <f>_xlfn.IFNA(IF(S$7="Fixed",1,IF(AND($D95="yes",S$7="Block"),INDEX($O635:$Q635,1,MATCH(S$5,$I29:$K29,0)),INDEX(Movements!$G635:$M635,1,MATCH(S$7,Movements!$G$614:$M$614,0))))
*S1109*S$8,0)</f>
        <v>0</v>
      </c>
      <c r="T431" s="198">
        <f>_xlfn.IFNA(IF(T$7="Fixed",1,IF(AND($D95="yes",T$7="Block"),INDEX($O635:$Q635,1,MATCH(T$5,$I29:$K29,0)),INDEX(Movements!$G635:$M635,1,MATCH(T$7,Movements!$G$614:$M$614,0))))
*T1109*T$8,0)</f>
        <v>0</v>
      </c>
      <c r="U431" s="198">
        <f>_xlfn.IFNA(IF(U$7="Fixed",1,IF(AND($D95="yes",U$7="Block"),INDEX($O635:$Q635,1,MATCH(U$5,$I29:$K29,0)),INDEX(Movements!$G635:$M635,1,MATCH(U$7,Movements!$G$614:$M$614,0))))
*U1109*U$8,0)</f>
        <v>0</v>
      </c>
      <c r="V431" s="198">
        <f>_xlfn.IFNA(IF(V$7="Fixed",1,IF(AND($D95="yes",V$7="Block"),INDEX($O635:$Q635,1,MATCH(V$5,$I29:$K29,0)),INDEX(Movements!$G635:$M635,1,MATCH(V$7,Movements!$G$614:$M$614,0))))
*V1109*V$8,0)</f>
        <v>0</v>
      </c>
      <c r="W431" s="198">
        <f>_xlfn.IFNA(IF(W$7="Fixed",1,IF(AND($D95="yes",W$7="Block"),INDEX($O635:$Q635,1,MATCH(W$5,$I29:$K29,0)),INDEX(Movements!$G635:$M635,1,MATCH(W$7,Movements!$G$614:$M$614,0))))
*W1109*W$8,0)</f>
        <v>0</v>
      </c>
      <c r="X431" s="198">
        <f>_xlfn.IFNA(IF(X$7="Fixed",1,IF(AND($D95="yes",X$7="Block"),INDEX($O635:$Q635,1,MATCH(X$5,$I29:$K29,0)),INDEX(Movements!$G635:$M635,1,MATCH(X$7,Movements!$G$614:$M$614,0))))
*X1109*X$8,0)</f>
        <v>0</v>
      </c>
      <c r="Y431" s="198">
        <f>_xlfn.IFNA(IF(Y$7="Fixed",1,IF(AND($D95="yes",Y$7="Block"),INDEX($O635:$Q635,1,MATCH(Y$5,$I29:$K29,0)),INDEX(Movements!$G635:$M635,1,MATCH(Y$7,Movements!$G$614:$M$614,0))))
*Y1109*Y$8,0)</f>
        <v>0</v>
      </c>
      <c r="Z431" s="198">
        <f>_xlfn.IFNA(IF(Z$7="Fixed",1,IF(AND($D95="yes",Z$7="Block"),INDEX($O635:$Q635,1,MATCH(Z$5,$I29:$K29,0)),INDEX(Movements!$G635:$M635,1,MATCH(Z$7,Movements!$G$614:$M$614,0))))
*Z1109*Z$8,0)</f>
        <v>0</v>
      </c>
      <c r="AA431" s="198">
        <f>_xlfn.IFNA(IF(AA$7="Fixed",1,IF(AND($D95="yes",AA$7="Block"),INDEX($O635:$Q635,1,MATCH(AA$5,$I29:$K29,0)),INDEX(Movements!$G635:$M635,1,MATCH(AA$7,Movements!$G$614:$M$614,0))))
*AA1109*AA$8,0)</f>
        <v>0</v>
      </c>
      <c r="AB431" s="198">
        <f>_xlfn.IFNA(IF(AB$7="Fixed",1,IF(AND($D95="yes",AB$7="Block"),INDEX($O635:$Q635,1,MATCH(AB$5,$I29:$K29,0)),INDEX(Movements!$G635:$M635,1,MATCH(AB$7,Movements!$G$614:$M$614,0))))
*AB1109*AB$8,0)</f>
        <v>0</v>
      </c>
      <c r="AC431" s="70"/>
      <c r="AD431" s="19"/>
      <c r="AE431" s="19"/>
      <c r="AF431" s="19"/>
      <c r="AG431" s="19"/>
    </row>
    <row r="432" spans="1:33" hidden="1" outlineLevel="3" x14ac:dyDescent="0.2">
      <c r="A432" s="19"/>
      <c r="B432" s="19"/>
      <c r="C432" s="506">
        <f t="shared" si="87"/>
        <v>0</v>
      </c>
      <c r="D432" s="505">
        <f t="shared" si="87"/>
        <v>0</v>
      </c>
      <c r="E432" s="505">
        <f t="shared" si="87"/>
        <v>0</v>
      </c>
      <c r="F432" s="58"/>
      <c r="G432" s="199">
        <f t="shared" si="88"/>
        <v>0</v>
      </c>
      <c r="H432" s="58"/>
      <c r="I432" s="198">
        <f>_xlfn.IFNA(IF(I$7="Fixed",1,IF(AND($D96="yes",I$7="Block"),INDEX($O636:$Q636,1,MATCH(I$5,$I30:$K30,0)),INDEX(Movements!$G636:$M636,1,MATCH(I$7,Movements!$G$614:$M$614,0))))
*I1110*I$8,0)</f>
        <v>0</v>
      </c>
      <c r="J432" s="198">
        <f>_xlfn.IFNA(IF(J$7="Fixed",1,IF(AND($D96="yes",J$7="Block"),INDEX($O636:$Q636,1,MATCH(J$5,$I30:$K30,0)),INDEX(Movements!$G636:$M636,1,MATCH(J$7,Movements!$G$614:$M$614,0))))
*J1110*J$8,0)</f>
        <v>0</v>
      </c>
      <c r="K432" s="198">
        <f>_xlfn.IFNA(IF(K$7="Fixed",1,IF(AND($D96="yes",K$7="Block"),INDEX($O636:$Q636,1,MATCH(K$5,$I30:$K30,0)),INDEX(Movements!$G636:$M636,1,MATCH(K$7,Movements!$G$614:$M$614,0))))
*K1110*K$8,0)</f>
        <v>0</v>
      </c>
      <c r="L432" s="198">
        <f>_xlfn.IFNA(IF(L$7="Fixed",1,IF(AND($D96="yes",L$7="Block"),INDEX($O636:$Q636,1,MATCH(L$5,$I30:$K30,0)),INDEX(Movements!$G636:$M636,1,MATCH(L$7,Movements!$G$614:$M$614,0))))
*L1110*L$8,0)</f>
        <v>0</v>
      </c>
      <c r="M432" s="198">
        <f>_xlfn.IFNA(IF(M$7="Fixed",1,IF(AND($D96="yes",M$7="Block"),INDEX($O636:$Q636,1,MATCH(M$5,$I30:$K30,0)),INDEX(Movements!$G636:$M636,1,MATCH(M$7,Movements!$G$614:$M$614,0))))
*M1110*M$8,0)</f>
        <v>0</v>
      </c>
      <c r="N432" s="198">
        <f>_xlfn.IFNA(IF(N$7="Fixed",1,IF(AND($D96="yes",N$7="Block"),INDEX($O636:$Q636,1,MATCH(N$5,$I30:$K30,0)),INDEX(Movements!$G636:$M636,1,MATCH(N$7,Movements!$G$614:$M$614,0))))
*N1110*N$8,0)</f>
        <v>0</v>
      </c>
      <c r="O432" s="198">
        <f>_xlfn.IFNA(IF(O$7="Fixed",1,IF(AND($D96="yes",O$7="Block"),INDEX($O636:$Q636,1,MATCH(O$5,$I30:$K30,0)),INDEX(Movements!$G636:$M636,1,MATCH(O$7,Movements!$G$614:$M$614,0))))
*O1110*O$8,0)</f>
        <v>0</v>
      </c>
      <c r="P432" s="198">
        <f>_xlfn.IFNA(IF(P$7="Fixed",1,IF(AND($D96="yes",P$7="Block"),INDEX($O636:$Q636,1,MATCH(P$5,$I30:$K30,0)),INDEX(Movements!$G636:$M636,1,MATCH(P$7,Movements!$G$614:$M$614,0))))
*P1110*P$8,0)</f>
        <v>0</v>
      </c>
      <c r="Q432" s="198">
        <f>_xlfn.IFNA(IF(Q$7="Fixed",1,IF(AND($D96="yes",Q$7="Block"),INDEX($O636:$Q636,1,MATCH(Q$5,$I30:$K30,0)),INDEX(Movements!$G636:$M636,1,MATCH(Q$7,Movements!$G$614:$M$614,0))))
*Q1110*Q$8,0)</f>
        <v>0</v>
      </c>
      <c r="R432" s="198">
        <f>_xlfn.IFNA(IF(R$7="Fixed",1,IF(AND($D96="yes",R$7="Block"),INDEX($O636:$Q636,1,MATCH(R$5,$I30:$K30,0)),INDEX(Movements!$G636:$M636,1,MATCH(R$7,Movements!$G$614:$M$614,0))))
*R1110*R$8,0)</f>
        <v>0</v>
      </c>
      <c r="S432" s="198">
        <f>_xlfn.IFNA(IF(S$7="Fixed",1,IF(AND($D96="yes",S$7="Block"),INDEX($O636:$Q636,1,MATCH(S$5,$I30:$K30,0)),INDEX(Movements!$G636:$M636,1,MATCH(S$7,Movements!$G$614:$M$614,0))))
*S1110*S$8,0)</f>
        <v>0</v>
      </c>
      <c r="T432" s="198">
        <f>_xlfn.IFNA(IF(T$7="Fixed",1,IF(AND($D96="yes",T$7="Block"),INDEX($O636:$Q636,1,MATCH(T$5,$I30:$K30,0)),INDEX(Movements!$G636:$M636,1,MATCH(T$7,Movements!$G$614:$M$614,0))))
*T1110*T$8,0)</f>
        <v>0</v>
      </c>
      <c r="U432" s="198">
        <f>_xlfn.IFNA(IF(U$7="Fixed",1,IF(AND($D96="yes",U$7="Block"),INDEX($O636:$Q636,1,MATCH(U$5,$I30:$K30,0)),INDEX(Movements!$G636:$M636,1,MATCH(U$7,Movements!$G$614:$M$614,0))))
*U1110*U$8,0)</f>
        <v>0</v>
      </c>
      <c r="V432" s="198">
        <f>_xlfn.IFNA(IF(V$7="Fixed",1,IF(AND($D96="yes",V$7="Block"),INDEX($O636:$Q636,1,MATCH(V$5,$I30:$K30,0)),INDEX(Movements!$G636:$M636,1,MATCH(V$7,Movements!$G$614:$M$614,0))))
*V1110*V$8,0)</f>
        <v>0</v>
      </c>
      <c r="W432" s="198">
        <f>_xlfn.IFNA(IF(W$7="Fixed",1,IF(AND($D96="yes",W$7="Block"),INDEX($O636:$Q636,1,MATCH(W$5,$I30:$K30,0)),INDEX(Movements!$G636:$M636,1,MATCH(W$7,Movements!$G$614:$M$614,0))))
*W1110*W$8,0)</f>
        <v>0</v>
      </c>
      <c r="X432" s="198">
        <f>_xlfn.IFNA(IF(X$7="Fixed",1,IF(AND($D96="yes",X$7="Block"),INDEX($O636:$Q636,1,MATCH(X$5,$I30:$K30,0)),INDEX(Movements!$G636:$M636,1,MATCH(X$7,Movements!$G$614:$M$614,0))))
*X1110*X$8,0)</f>
        <v>0</v>
      </c>
      <c r="Y432" s="198">
        <f>_xlfn.IFNA(IF(Y$7="Fixed",1,IF(AND($D96="yes",Y$7="Block"),INDEX($O636:$Q636,1,MATCH(Y$5,$I30:$K30,0)),INDEX(Movements!$G636:$M636,1,MATCH(Y$7,Movements!$G$614:$M$614,0))))
*Y1110*Y$8,0)</f>
        <v>0</v>
      </c>
      <c r="Z432" s="198">
        <f>_xlfn.IFNA(IF(Z$7="Fixed",1,IF(AND($D96="yes",Z$7="Block"),INDEX($O636:$Q636,1,MATCH(Z$5,$I30:$K30,0)),INDEX(Movements!$G636:$M636,1,MATCH(Z$7,Movements!$G$614:$M$614,0))))
*Z1110*Z$8,0)</f>
        <v>0</v>
      </c>
      <c r="AA432" s="198">
        <f>_xlfn.IFNA(IF(AA$7="Fixed",1,IF(AND($D96="yes",AA$7="Block"),INDEX($O636:$Q636,1,MATCH(AA$5,$I30:$K30,0)),INDEX(Movements!$G636:$M636,1,MATCH(AA$7,Movements!$G$614:$M$614,0))))
*AA1110*AA$8,0)</f>
        <v>0</v>
      </c>
      <c r="AB432" s="198">
        <f>_xlfn.IFNA(IF(AB$7="Fixed",1,IF(AND($D96="yes",AB$7="Block"),INDEX($O636:$Q636,1,MATCH(AB$5,$I30:$K30,0)),INDEX(Movements!$G636:$M636,1,MATCH(AB$7,Movements!$G$614:$M$614,0))))
*AB1110*AB$8,0)</f>
        <v>0</v>
      </c>
      <c r="AC432" s="70"/>
      <c r="AD432" s="19"/>
      <c r="AE432" s="19"/>
      <c r="AF432" s="19"/>
      <c r="AG432" s="19"/>
    </row>
    <row r="433" spans="1:33" hidden="1" outlineLevel="3" x14ac:dyDescent="0.2">
      <c r="A433" s="19"/>
      <c r="B433" s="19"/>
      <c r="C433" s="506">
        <f t="shared" si="87"/>
        <v>0</v>
      </c>
      <c r="D433" s="505">
        <f t="shared" si="87"/>
        <v>0</v>
      </c>
      <c r="E433" s="505">
        <f t="shared" si="87"/>
        <v>0</v>
      </c>
      <c r="F433" s="58"/>
      <c r="G433" s="199">
        <f t="shared" si="88"/>
        <v>0</v>
      </c>
      <c r="H433" s="58"/>
      <c r="I433" s="198">
        <f>_xlfn.IFNA(IF(I$7="Fixed",1,IF(AND($D97="yes",I$7="Block"),INDEX($O637:$Q637,1,MATCH(I$5,$I31:$K31,0)),INDEX(Movements!$G637:$M637,1,MATCH(I$7,Movements!$G$614:$M$614,0))))
*I1111*I$8,0)</f>
        <v>0</v>
      </c>
      <c r="J433" s="198">
        <f>_xlfn.IFNA(IF(J$7="Fixed",1,IF(AND($D97="yes",J$7="Block"),INDEX($O637:$Q637,1,MATCH(J$5,$I31:$K31,0)),INDEX(Movements!$G637:$M637,1,MATCH(J$7,Movements!$G$614:$M$614,0))))
*J1111*J$8,0)</f>
        <v>0</v>
      </c>
      <c r="K433" s="198">
        <f>_xlfn.IFNA(IF(K$7="Fixed",1,IF(AND($D97="yes",K$7="Block"),INDEX($O637:$Q637,1,MATCH(K$5,$I31:$K31,0)),INDEX(Movements!$G637:$M637,1,MATCH(K$7,Movements!$G$614:$M$614,0))))
*K1111*K$8,0)</f>
        <v>0</v>
      </c>
      <c r="L433" s="198">
        <f>_xlfn.IFNA(IF(L$7="Fixed",1,IF(AND($D97="yes",L$7="Block"),INDEX($O637:$Q637,1,MATCH(L$5,$I31:$K31,0)),INDEX(Movements!$G637:$M637,1,MATCH(L$7,Movements!$G$614:$M$614,0))))
*L1111*L$8,0)</f>
        <v>0</v>
      </c>
      <c r="M433" s="198">
        <f>_xlfn.IFNA(IF(M$7="Fixed",1,IF(AND($D97="yes",M$7="Block"),INDEX($O637:$Q637,1,MATCH(M$5,$I31:$K31,0)),INDEX(Movements!$G637:$M637,1,MATCH(M$7,Movements!$G$614:$M$614,0))))
*M1111*M$8,0)</f>
        <v>0</v>
      </c>
      <c r="N433" s="198">
        <f>_xlfn.IFNA(IF(N$7="Fixed",1,IF(AND($D97="yes",N$7="Block"),INDEX($O637:$Q637,1,MATCH(N$5,$I31:$K31,0)),INDEX(Movements!$G637:$M637,1,MATCH(N$7,Movements!$G$614:$M$614,0))))
*N1111*N$8,0)</f>
        <v>0</v>
      </c>
      <c r="O433" s="198">
        <f>_xlfn.IFNA(IF(O$7="Fixed",1,IF(AND($D97="yes",O$7="Block"),INDEX($O637:$Q637,1,MATCH(O$5,$I31:$K31,0)),INDEX(Movements!$G637:$M637,1,MATCH(O$7,Movements!$G$614:$M$614,0))))
*O1111*O$8,0)</f>
        <v>0</v>
      </c>
      <c r="P433" s="198">
        <f>_xlfn.IFNA(IF(P$7="Fixed",1,IF(AND($D97="yes",P$7="Block"),INDEX($O637:$Q637,1,MATCH(P$5,$I31:$K31,0)),INDEX(Movements!$G637:$M637,1,MATCH(P$7,Movements!$G$614:$M$614,0))))
*P1111*P$8,0)</f>
        <v>0</v>
      </c>
      <c r="Q433" s="198">
        <f>_xlfn.IFNA(IF(Q$7="Fixed",1,IF(AND($D97="yes",Q$7="Block"),INDEX($O637:$Q637,1,MATCH(Q$5,$I31:$K31,0)),INDEX(Movements!$G637:$M637,1,MATCH(Q$7,Movements!$G$614:$M$614,0))))
*Q1111*Q$8,0)</f>
        <v>0</v>
      </c>
      <c r="R433" s="198">
        <f>_xlfn.IFNA(IF(R$7="Fixed",1,IF(AND($D97="yes",R$7="Block"),INDEX($O637:$Q637,1,MATCH(R$5,$I31:$K31,0)),INDEX(Movements!$G637:$M637,1,MATCH(R$7,Movements!$G$614:$M$614,0))))
*R1111*R$8,0)</f>
        <v>0</v>
      </c>
      <c r="S433" s="198">
        <f>_xlfn.IFNA(IF(S$7="Fixed",1,IF(AND($D97="yes",S$7="Block"),INDEX($O637:$Q637,1,MATCH(S$5,$I31:$K31,0)),INDEX(Movements!$G637:$M637,1,MATCH(S$7,Movements!$G$614:$M$614,0))))
*S1111*S$8,0)</f>
        <v>0</v>
      </c>
      <c r="T433" s="198">
        <f>_xlfn.IFNA(IF(T$7="Fixed",1,IF(AND($D97="yes",T$7="Block"),INDEX($O637:$Q637,1,MATCH(T$5,$I31:$K31,0)),INDEX(Movements!$G637:$M637,1,MATCH(T$7,Movements!$G$614:$M$614,0))))
*T1111*T$8,0)</f>
        <v>0</v>
      </c>
      <c r="U433" s="198">
        <f>_xlfn.IFNA(IF(U$7="Fixed",1,IF(AND($D97="yes",U$7="Block"),INDEX($O637:$Q637,1,MATCH(U$5,$I31:$K31,0)),INDEX(Movements!$G637:$M637,1,MATCH(U$7,Movements!$G$614:$M$614,0))))
*U1111*U$8,0)</f>
        <v>0</v>
      </c>
      <c r="V433" s="198">
        <f>_xlfn.IFNA(IF(V$7="Fixed",1,IF(AND($D97="yes",V$7="Block"),INDEX($O637:$Q637,1,MATCH(V$5,$I31:$K31,0)),INDEX(Movements!$G637:$M637,1,MATCH(V$7,Movements!$G$614:$M$614,0))))
*V1111*V$8,0)</f>
        <v>0</v>
      </c>
      <c r="W433" s="198">
        <f>_xlfn.IFNA(IF(W$7="Fixed",1,IF(AND($D97="yes",W$7="Block"),INDEX($O637:$Q637,1,MATCH(W$5,$I31:$K31,0)),INDEX(Movements!$G637:$M637,1,MATCH(W$7,Movements!$G$614:$M$614,0))))
*W1111*W$8,0)</f>
        <v>0</v>
      </c>
      <c r="X433" s="198">
        <f>_xlfn.IFNA(IF(X$7="Fixed",1,IF(AND($D97="yes",X$7="Block"),INDEX($O637:$Q637,1,MATCH(X$5,$I31:$K31,0)),INDEX(Movements!$G637:$M637,1,MATCH(X$7,Movements!$G$614:$M$614,0))))
*X1111*X$8,0)</f>
        <v>0</v>
      </c>
      <c r="Y433" s="198">
        <f>_xlfn.IFNA(IF(Y$7="Fixed",1,IF(AND($D97="yes",Y$7="Block"),INDEX($O637:$Q637,1,MATCH(Y$5,$I31:$K31,0)),INDEX(Movements!$G637:$M637,1,MATCH(Y$7,Movements!$G$614:$M$614,0))))
*Y1111*Y$8,0)</f>
        <v>0</v>
      </c>
      <c r="Z433" s="198">
        <f>_xlfn.IFNA(IF(Z$7="Fixed",1,IF(AND($D97="yes",Z$7="Block"),INDEX($O637:$Q637,1,MATCH(Z$5,$I31:$K31,0)),INDEX(Movements!$G637:$M637,1,MATCH(Z$7,Movements!$G$614:$M$614,0))))
*Z1111*Z$8,0)</f>
        <v>0</v>
      </c>
      <c r="AA433" s="198">
        <f>_xlfn.IFNA(IF(AA$7="Fixed",1,IF(AND($D97="yes",AA$7="Block"),INDEX($O637:$Q637,1,MATCH(AA$5,$I31:$K31,0)),INDEX(Movements!$G637:$M637,1,MATCH(AA$7,Movements!$G$614:$M$614,0))))
*AA1111*AA$8,0)</f>
        <v>0</v>
      </c>
      <c r="AB433" s="198">
        <f>_xlfn.IFNA(IF(AB$7="Fixed",1,IF(AND($D97="yes",AB$7="Block"),INDEX($O637:$Q637,1,MATCH(AB$5,$I31:$K31,0)),INDEX(Movements!$G637:$M637,1,MATCH(AB$7,Movements!$G$614:$M$614,0))))
*AB1111*AB$8,0)</f>
        <v>0</v>
      </c>
      <c r="AC433" s="70"/>
      <c r="AD433" s="19"/>
      <c r="AE433" s="19"/>
      <c r="AF433" s="19"/>
      <c r="AG433" s="19"/>
    </row>
    <row r="434" spans="1:33" hidden="1" outlineLevel="3" x14ac:dyDescent="0.2">
      <c r="A434" s="19"/>
      <c r="B434" s="19"/>
      <c r="C434" s="506">
        <f t="shared" si="87"/>
        <v>0</v>
      </c>
      <c r="D434" s="505">
        <f t="shared" si="87"/>
        <v>0</v>
      </c>
      <c r="E434" s="505">
        <f t="shared" si="87"/>
        <v>0</v>
      </c>
      <c r="F434" s="58"/>
      <c r="G434" s="199">
        <f t="shared" si="88"/>
        <v>0</v>
      </c>
      <c r="H434" s="58"/>
      <c r="I434" s="198">
        <f>_xlfn.IFNA(IF(I$7="Fixed",1,IF(AND($D98="yes",I$7="Block"),INDEX($O638:$Q638,1,MATCH(I$5,$I32:$K32,0)),INDEX(Movements!$G638:$M638,1,MATCH(I$7,Movements!$G$614:$M$614,0))))
*I1112*I$8,0)</f>
        <v>0</v>
      </c>
      <c r="J434" s="198">
        <f>_xlfn.IFNA(IF(J$7="Fixed",1,IF(AND($D98="yes",J$7="Block"),INDEX($O638:$Q638,1,MATCH(J$5,$I32:$K32,0)),INDEX(Movements!$G638:$M638,1,MATCH(J$7,Movements!$G$614:$M$614,0))))
*J1112*J$8,0)</f>
        <v>0</v>
      </c>
      <c r="K434" s="198">
        <f>_xlfn.IFNA(IF(K$7="Fixed",1,IF(AND($D98="yes",K$7="Block"),INDEX($O638:$Q638,1,MATCH(K$5,$I32:$K32,0)),INDEX(Movements!$G638:$M638,1,MATCH(K$7,Movements!$G$614:$M$614,0))))
*K1112*K$8,0)</f>
        <v>0</v>
      </c>
      <c r="L434" s="198">
        <f>_xlfn.IFNA(IF(L$7="Fixed",1,IF(AND($D98="yes",L$7="Block"),INDEX($O638:$Q638,1,MATCH(L$5,$I32:$K32,0)),INDEX(Movements!$G638:$M638,1,MATCH(L$7,Movements!$G$614:$M$614,0))))
*L1112*L$8,0)</f>
        <v>0</v>
      </c>
      <c r="M434" s="198">
        <f>_xlfn.IFNA(IF(M$7="Fixed",1,IF(AND($D98="yes",M$7="Block"),INDEX($O638:$Q638,1,MATCH(M$5,$I32:$K32,0)),INDEX(Movements!$G638:$M638,1,MATCH(M$7,Movements!$G$614:$M$614,0))))
*M1112*M$8,0)</f>
        <v>0</v>
      </c>
      <c r="N434" s="198">
        <f>_xlfn.IFNA(IF(N$7="Fixed",1,IF(AND($D98="yes",N$7="Block"),INDEX($O638:$Q638,1,MATCH(N$5,$I32:$K32,0)),INDEX(Movements!$G638:$M638,1,MATCH(N$7,Movements!$G$614:$M$614,0))))
*N1112*N$8,0)</f>
        <v>0</v>
      </c>
      <c r="O434" s="198">
        <f>_xlfn.IFNA(IF(O$7="Fixed",1,IF(AND($D98="yes",O$7="Block"),INDEX($O638:$Q638,1,MATCH(O$5,$I32:$K32,0)),INDEX(Movements!$G638:$M638,1,MATCH(O$7,Movements!$G$614:$M$614,0))))
*O1112*O$8,0)</f>
        <v>0</v>
      </c>
      <c r="P434" s="198">
        <f>_xlfn.IFNA(IF(P$7="Fixed",1,IF(AND($D98="yes",P$7="Block"),INDEX($O638:$Q638,1,MATCH(P$5,$I32:$K32,0)),INDEX(Movements!$G638:$M638,1,MATCH(P$7,Movements!$G$614:$M$614,0))))
*P1112*P$8,0)</f>
        <v>0</v>
      </c>
      <c r="Q434" s="198">
        <f>_xlfn.IFNA(IF(Q$7="Fixed",1,IF(AND($D98="yes",Q$7="Block"),INDEX($O638:$Q638,1,MATCH(Q$5,$I32:$K32,0)),INDEX(Movements!$G638:$M638,1,MATCH(Q$7,Movements!$G$614:$M$614,0))))
*Q1112*Q$8,0)</f>
        <v>0</v>
      </c>
      <c r="R434" s="198">
        <f>_xlfn.IFNA(IF(R$7="Fixed",1,IF(AND($D98="yes",R$7="Block"),INDEX($O638:$Q638,1,MATCH(R$5,$I32:$K32,0)),INDEX(Movements!$G638:$M638,1,MATCH(R$7,Movements!$G$614:$M$614,0))))
*R1112*R$8,0)</f>
        <v>0</v>
      </c>
      <c r="S434" s="198">
        <f>_xlfn.IFNA(IF(S$7="Fixed",1,IF(AND($D98="yes",S$7="Block"),INDEX($O638:$Q638,1,MATCH(S$5,$I32:$K32,0)),INDEX(Movements!$G638:$M638,1,MATCH(S$7,Movements!$G$614:$M$614,0))))
*S1112*S$8,0)</f>
        <v>0</v>
      </c>
      <c r="T434" s="198">
        <f>_xlfn.IFNA(IF(T$7="Fixed",1,IF(AND($D98="yes",T$7="Block"),INDEX($O638:$Q638,1,MATCH(T$5,$I32:$K32,0)),INDEX(Movements!$G638:$M638,1,MATCH(T$7,Movements!$G$614:$M$614,0))))
*T1112*T$8,0)</f>
        <v>0</v>
      </c>
      <c r="U434" s="198">
        <f>_xlfn.IFNA(IF(U$7="Fixed",1,IF(AND($D98="yes",U$7="Block"),INDEX($O638:$Q638,1,MATCH(U$5,$I32:$K32,0)),INDEX(Movements!$G638:$M638,1,MATCH(U$7,Movements!$G$614:$M$614,0))))
*U1112*U$8,0)</f>
        <v>0</v>
      </c>
      <c r="V434" s="198">
        <f>_xlfn.IFNA(IF(V$7="Fixed",1,IF(AND($D98="yes",V$7="Block"),INDEX($O638:$Q638,1,MATCH(V$5,$I32:$K32,0)),INDEX(Movements!$G638:$M638,1,MATCH(V$7,Movements!$G$614:$M$614,0))))
*V1112*V$8,0)</f>
        <v>0</v>
      </c>
      <c r="W434" s="198">
        <f>_xlfn.IFNA(IF(W$7="Fixed",1,IF(AND($D98="yes",W$7="Block"),INDEX($O638:$Q638,1,MATCH(W$5,$I32:$K32,0)),INDEX(Movements!$G638:$M638,1,MATCH(W$7,Movements!$G$614:$M$614,0))))
*W1112*W$8,0)</f>
        <v>0</v>
      </c>
      <c r="X434" s="198">
        <f>_xlfn.IFNA(IF(X$7="Fixed",1,IF(AND($D98="yes",X$7="Block"),INDEX($O638:$Q638,1,MATCH(X$5,$I32:$K32,0)),INDEX(Movements!$G638:$M638,1,MATCH(X$7,Movements!$G$614:$M$614,0))))
*X1112*X$8,0)</f>
        <v>0</v>
      </c>
      <c r="Y434" s="198">
        <f>_xlfn.IFNA(IF(Y$7="Fixed",1,IF(AND($D98="yes",Y$7="Block"),INDEX($O638:$Q638,1,MATCH(Y$5,$I32:$K32,0)),INDEX(Movements!$G638:$M638,1,MATCH(Y$7,Movements!$G$614:$M$614,0))))
*Y1112*Y$8,0)</f>
        <v>0</v>
      </c>
      <c r="Z434" s="198">
        <f>_xlfn.IFNA(IF(Z$7="Fixed",1,IF(AND($D98="yes",Z$7="Block"),INDEX($O638:$Q638,1,MATCH(Z$5,$I32:$K32,0)),INDEX(Movements!$G638:$M638,1,MATCH(Z$7,Movements!$G$614:$M$614,0))))
*Z1112*Z$8,0)</f>
        <v>0</v>
      </c>
      <c r="AA434" s="198">
        <f>_xlfn.IFNA(IF(AA$7="Fixed",1,IF(AND($D98="yes",AA$7="Block"),INDEX($O638:$Q638,1,MATCH(AA$5,$I32:$K32,0)),INDEX(Movements!$G638:$M638,1,MATCH(AA$7,Movements!$G$614:$M$614,0))))
*AA1112*AA$8,0)</f>
        <v>0</v>
      </c>
      <c r="AB434" s="198">
        <f>_xlfn.IFNA(IF(AB$7="Fixed",1,IF(AND($D98="yes",AB$7="Block"),INDEX($O638:$Q638,1,MATCH(AB$5,$I32:$K32,0)),INDEX(Movements!$G638:$M638,1,MATCH(AB$7,Movements!$G$614:$M$614,0))))
*AB1112*AB$8,0)</f>
        <v>0</v>
      </c>
      <c r="AC434" s="70"/>
      <c r="AD434" s="19"/>
      <c r="AE434" s="19"/>
      <c r="AF434" s="19"/>
      <c r="AG434" s="19"/>
    </row>
    <row r="435" spans="1:33" hidden="1" outlineLevel="3" x14ac:dyDescent="0.2">
      <c r="A435" s="19"/>
      <c r="B435" s="19"/>
      <c r="C435" s="506">
        <f t="shared" si="87"/>
        <v>0</v>
      </c>
      <c r="D435" s="505">
        <f t="shared" si="87"/>
        <v>0</v>
      </c>
      <c r="E435" s="505">
        <f t="shared" si="87"/>
        <v>0</v>
      </c>
      <c r="F435" s="58"/>
      <c r="G435" s="199">
        <f t="shared" si="88"/>
        <v>0</v>
      </c>
      <c r="H435" s="58"/>
      <c r="I435" s="198">
        <f>_xlfn.IFNA(IF(I$7="Fixed",1,IF(AND($D99="yes",I$7="Block"),INDEX($O639:$Q639,1,MATCH(I$5,$I33:$K33,0)),INDEX(Movements!$G639:$M639,1,MATCH(I$7,Movements!$G$614:$M$614,0))))
*I1113*I$8,0)</f>
        <v>0</v>
      </c>
      <c r="J435" s="198">
        <f>_xlfn.IFNA(IF(J$7="Fixed",1,IF(AND($D99="yes",J$7="Block"),INDEX($O639:$Q639,1,MATCH(J$5,$I33:$K33,0)),INDEX(Movements!$G639:$M639,1,MATCH(J$7,Movements!$G$614:$M$614,0))))
*J1113*J$8,0)</f>
        <v>0</v>
      </c>
      <c r="K435" s="198">
        <f>_xlfn.IFNA(IF(K$7="Fixed",1,IF(AND($D99="yes",K$7="Block"),INDEX($O639:$Q639,1,MATCH(K$5,$I33:$K33,0)),INDEX(Movements!$G639:$M639,1,MATCH(K$7,Movements!$G$614:$M$614,0))))
*K1113*K$8,0)</f>
        <v>0</v>
      </c>
      <c r="L435" s="198">
        <f>_xlfn.IFNA(IF(L$7="Fixed",1,IF(AND($D99="yes",L$7="Block"),INDEX($O639:$Q639,1,MATCH(L$5,$I33:$K33,0)),INDEX(Movements!$G639:$M639,1,MATCH(L$7,Movements!$G$614:$M$614,0))))
*L1113*L$8,0)</f>
        <v>0</v>
      </c>
      <c r="M435" s="198">
        <f>_xlfn.IFNA(IF(M$7="Fixed",1,IF(AND($D99="yes",M$7="Block"),INDEX($O639:$Q639,1,MATCH(M$5,$I33:$K33,0)),INDEX(Movements!$G639:$M639,1,MATCH(M$7,Movements!$G$614:$M$614,0))))
*M1113*M$8,0)</f>
        <v>0</v>
      </c>
      <c r="N435" s="198">
        <f>_xlfn.IFNA(IF(N$7="Fixed",1,IF(AND($D99="yes",N$7="Block"),INDEX($O639:$Q639,1,MATCH(N$5,$I33:$K33,0)),INDEX(Movements!$G639:$M639,1,MATCH(N$7,Movements!$G$614:$M$614,0))))
*N1113*N$8,0)</f>
        <v>0</v>
      </c>
      <c r="O435" s="198">
        <f>_xlfn.IFNA(IF(O$7="Fixed",1,IF(AND($D99="yes",O$7="Block"),INDEX($O639:$Q639,1,MATCH(O$5,$I33:$K33,0)),INDEX(Movements!$G639:$M639,1,MATCH(O$7,Movements!$G$614:$M$614,0))))
*O1113*O$8,0)</f>
        <v>0</v>
      </c>
      <c r="P435" s="198">
        <f>_xlfn.IFNA(IF(P$7="Fixed",1,IF(AND($D99="yes",P$7="Block"),INDEX($O639:$Q639,1,MATCH(P$5,$I33:$K33,0)),INDEX(Movements!$G639:$M639,1,MATCH(P$7,Movements!$G$614:$M$614,0))))
*P1113*P$8,0)</f>
        <v>0</v>
      </c>
      <c r="Q435" s="198">
        <f>_xlfn.IFNA(IF(Q$7="Fixed",1,IF(AND($D99="yes",Q$7="Block"),INDEX($O639:$Q639,1,MATCH(Q$5,$I33:$K33,0)),INDEX(Movements!$G639:$M639,1,MATCH(Q$7,Movements!$G$614:$M$614,0))))
*Q1113*Q$8,0)</f>
        <v>0</v>
      </c>
      <c r="R435" s="198">
        <f>_xlfn.IFNA(IF(R$7="Fixed",1,IF(AND($D99="yes",R$7="Block"),INDEX($O639:$Q639,1,MATCH(R$5,$I33:$K33,0)),INDEX(Movements!$G639:$M639,1,MATCH(R$7,Movements!$G$614:$M$614,0))))
*R1113*R$8,0)</f>
        <v>0</v>
      </c>
      <c r="S435" s="198">
        <f>_xlfn.IFNA(IF(S$7="Fixed",1,IF(AND($D99="yes",S$7="Block"),INDEX($O639:$Q639,1,MATCH(S$5,$I33:$K33,0)),INDEX(Movements!$G639:$M639,1,MATCH(S$7,Movements!$G$614:$M$614,0))))
*S1113*S$8,0)</f>
        <v>0</v>
      </c>
      <c r="T435" s="198">
        <f>_xlfn.IFNA(IF(T$7="Fixed",1,IF(AND($D99="yes",T$7="Block"),INDEX($O639:$Q639,1,MATCH(T$5,$I33:$K33,0)),INDEX(Movements!$G639:$M639,1,MATCH(T$7,Movements!$G$614:$M$614,0))))
*T1113*T$8,0)</f>
        <v>0</v>
      </c>
      <c r="U435" s="198">
        <f>_xlfn.IFNA(IF(U$7="Fixed",1,IF(AND($D99="yes",U$7="Block"),INDEX($O639:$Q639,1,MATCH(U$5,$I33:$K33,0)),INDEX(Movements!$G639:$M639,1,MATCH(U$7,Movements!$G$614:$M$614,0))))
*U1113*U$8,0)</f>
        <v>0</v>
      </c>
      <c r="V435" s="198">
        <f>_xlfn.IFNA(IF(V$7="Fixed",1,IF(AND($D99="yes",V$7="Block"),INDEX($O639:$Q639,1,MATCH(V$5,$I33:$K33,0)),INDEX(Movements!$G639:$M639,1,MATCH(V$7,Movements!$G$614:$M$614,0))))
*V1113*V$8,0)</f>
        <v>0</v>
      </c>
      <c r="W435" s="198">
        <f>_xlfn.IFNA(IF(W$7="Fixed",1,IF(AND($D99="yes",W$7="Block"),INDEX($O639:$Q639,1,MATCH(W$5,$I33:$K33,0)),INDEX(Movements!$G639:$M639,1,MATCH(W$7,Movements!$G$614:$M$614,0))))
*W1113*W$8,0)</f>
        <v>0</v>
      </c>
      <c r="X435" s="198">
        <f>_xlfn.IFNA(IF(X$7="Fixed",1,IF(AND($D99="yes",X$7="Block"),INDEX($O639:$Q639,1,MATCH(X$5,$I33:$K33,0)),INDEX(Movements!$G639:$M639,1,MATCH(X$7,Movements!$G$614:$M$614,0))))
*X1113*X$8,0)</f>
        <v>0</v>
      </c>
      <c r="Y435" s="198">
        <f>_xlfn.IFNA(IF(Y$7="Fixed",1,IF(AND($D99="yes",Y$7="Block"),INDEX($O639:$Q639,1,MATCH(Y$5,$I33:$K33,0)),INDEX(Movements!$G639:$M639,1,MATCH(Y$7,Movements!$G$614:$M$614,0))))
*Y1113*Y$8,0)</f>
        <v>0</v>
      </c>
      <c r="Z435" s="198">
        <f>_xlfn.IFNA(IF(Z$7="Fixed",1,IF(AND($D99="yes",Z$7="Block"),INDEX($O639:$Q639,1,MATCH(Z$5,$I33:$K33,0)),INDEX(Movements!$G639:$M639,1,MATCH(Z$7,Movements!$G$614:$M$614,0))))
*Z1113*Z$8,0)</f>
        <v>0</v>
      </c>
      <c r="AA435" s="198">
        <f>_xlfn.IFNA(IF(AA$7="Fixed",1,IF(AND($D99="yes",AA$7="Block"),INDEX($O639:$Q639,1,MATCH(AA$5,$I33:$K33,0)),INDEX(Movements!$G639:$M639,1,MATCH(AA$7,Movements!$G$614:$M$614,0))))
*AA1113*AA$8,0)</f>
        <v>0</v>
      </c>
      <c r="AB435" s="198">
        <f>_xlfn.IFNA(IF(AB$7="Fixed",1,IF(AND($D99="yes",AB$7="Block"),INDEX($O639:$Q639,1,MATCH(AB$5,$I33:$K33,0)),INDEX(Movements!$G639:$M639,1,MATCH(AB$7,Movements!$G$614:$M$614,0))))
*AB1113*AB$8,0)</f>
        <v>0</v>
      </c>
      <c r="AC435" s="70"/>
      <c r="AD435" s="19"/>
      <c r="AE435" s="19"/>
      <c r="AF435" s="19"/>
      <c r="AG435" s="19"/>
    </row>
    <row r="436" spans="1:33" hidden="1" outlineLevel="3" x14ac:dyDescent="0.2">
      <c r="A436" s="19"/>
      <c r="B436" s="19"/>
      <c r="C436" s="506">
        <f t="shared" si="87"/>
        <v>0</v>
      </c>
      <c r="D436" s="505">
        <f t="shared" si="87"/>
        <v>0</v>
      </c>
      <c r="E436" s="505">
        <f t="shared" si="87"/>
        <v>0</v>
      </c>
      <c r="F436" s="58"/>
      <c r="G436" s="199">
        <f t="shared" si="88"/>
        <v>0</v>
      </c>
      <c r="H436" s="58"/>
      <c r="I436" s="198">
        <f>_xlfn.IFNA(IF(I$7="Fixed",1,IF(AND($D100="yes",I$7="Block"),INDEX($O640:$Q640,1,MATCH(I$5,$I34:$K34,0)),INDEX(Movements!$G640:$M640,1,MATCH(I$7,Movements!$G$614:$M$614,0))))
*I1114*I$8,0)</f>
        <v>0</v>
      </c>
      <c r="J436" s="198">
        <f>_xlfn.IFNA(IF(J$7="Fixed",1,IF(AND($D100="yes",J$7="Block"),INDEX($O640:$Q640,1,MATCH(J$5,$I34:$K34,0)),INDEX(Movements!$G640:$M640,1,MATCH(J$7,Movements!$G$614:$M$614,0))))
*J1114*J$8,0)</f>
        <v>0</v>
      </c>
      <c r="K436" s="198">
        <f>_xlfn.IFNA(IF(K$7="Fixed",1,IF(AND($D100="yes",K$7="Block"),INDEX($O640:$Q640,1,MATCH(K$5,$I34:$K34,0)),INDEX(Movements!$G640:$M640,1,MATCH(K$7,Movements!$G$614:$M$614,0))))
*K1114*K$8,0)</f>
        <v>0</v>
      </c>
      <c r="L436" s="198">
        <f>_xlfn.IFNA(IF(L$7="Fixed",1,IF(AND($D100="yes",L$7="Block"),INDEX($O640:$Q640,1,MATCH(L$5,$I34:$K34,0)),INDEX(Movements!$G640:$M640,1,MATCH(L$7,Movements!$G$614:$M$614,0))))
*L1114*L$8,0)</f>
        <v>0</v>
      </c>
      <c r="M436" s="198">
        <f>_xlfn.IFNA(IF(M$7="Fixed",1,IF(AND($D100="yes",M$7="Block"),INDEX($O640:$Q640,1,MATCH(M$5,$I34:$K34,0)),INDEX(Movements!$G640:$M640,1,MATCH(M$7,Movements!$G$614:$M$614,0))))
*M1114*M$8,0)</f>
        <v>0</v>
      </c>
      <c r="N436" s="198">
        <f>_xlfn.IFNA(IF(N$7="Fixed",1,IF(AND($D100="yes",N$7="Block"),INDEX($O640:$Q640,1,MATCH(N$5,$I34:$K34,0)),INDEX(Movements!$G640:$M640,1,MATCH(N$7,Movements!$G$614:$M$614,0))))
*N1114*N$8,0)</f>
        <v>0</v>
      </c>
      <c r="O436" s="198">
        <f>_xlfn.IFNA(IF(O$7="Fixed",1,IF(AND($D100="yes",O$7="Block"),INDEX($O640:$Q640,1,MATCH(O$5,$I34:$K34,0)),INDEX(Movements!$G640:$M640,1,MATCH(O$7,Movements!$G$614:$M$614,0))))
*O1114*O$8,0)</f>
        <v>0</v>
      </c>
      <c r="P436" s="198">
        <f>_xlfn.IFNA(IF(P$7="Fixed",1,IF(AND($D100="yes",P$7="Block"),INDEX($O640:$Q640,1,MATCH(P$5,$I34:$K34,0)),INDEX(Movements!$G640:$M640,1,MATCH(P$7,Movements!$G$614:$M$614,0))))
*P1114*P$8,0)</f>
        <v>0</v>
      </c>
      <c r="Q436" s="198">
        <f>_xlfn.IFNA(IF(Q$7="Fixed",1,IF(AND($D100="yes",Q$7="Block"),INDEX($O640:$Q640,1,MATCH(Q$5,$I34:$K34,0)),INDEX(Movements!$G640:$M640,1,MATCH(Q$7,Movements!$G$614:$M$614,0))))
*Q1114*Q$8,0)</f>
        <v>0</v>
      </c>
      <c r="R436" s="198">
        <f>_xlfn.IFNA(IF(R$7="Fixed",1,IF(AND($D100="yes",R$7="Block"),INDEX($O640:$Q640,1,MATCH(R$5,$I34:$K34,0)),INDEX(Movements!$G640:$M640,1,MATCH(R$7,Movements!$G$614:$M$614,0))))
*R1114*R$8,0)</f>
        <v>0</v>
      </c>
      <c r="S436" s="198">
        <f>_xlfn.IFNA(IF(S$7="Fixed",1,IF(AND($D100="yes",S$7="Block"),INDEX($O640:$Q640,1,MATCH(S$5,$I34:$K34,0)),INDEX(Movements!$G640:$M640,1,MATCH(S$7,Movements!$G$614:$M$614,0))))
*S1114*S$8,0)</f>
        <v>0</v>
      </c>
      <c r="T436" s="198">
        <f>_xlfn.IFNA(IF(T$7="Fixed",1,IF(AND($D100="yes",T$7="Block"),INDEX($O640:$Q640,1,MATCH(T$5,$I34:$K34,0)),INDEX(Movements!$G640:$M640,1,MATCH(T$7,Movements!$G$614:$M$614,0))))
*T1114*T$8,0)</f>
        <v>0</v>
      </c>
      <c r="U436" s="198">
        <f>_xlfn.IFNA(IF(U$7="Fixed",1,IF(AND($D100="yes",U$7="Block"),INDEX($O640:$Q640,1,MATCH(U$5,$I34:$K34,0)),INDEX(Movements!$G640:$M640,1,MATCH(U$7,Movements!$G$614:$M$614,0))))
*U1114*U$8,0)</f>
        <v>0</v>
      </c>
      <c r="V436" s="198">
        <f>_xlfn.IFNA(IF(V$7="Fixed",1,IF(AND($D100="yes",V$7="Block"),INDEX($O640:$Q640,1,MATCH(V$5,$I34:$K34,0)),INDEX(Movements!$G640:$M640,1,MATCH(V$7,Movements!$G$614:$M$614,0))))
*V1114*V$8,0)</f>
        <v>0</v>
      </c>
      <c r="W436" s="198">
        <f>_xlfn.IFNA(IF(W$7="Fixed",1,IF(AND($D100="yes",W$7="Block"),INDEX($O640:$Q640,1,MATCH(W$5,$I34:$K34,0)),INDEX(Movements!$G640:$M640,1,MATCH(W$7,Movements!$G$614:$M$614,0))))
*W1114*W$8,0)</f>
        <v>0</v>
      </c>
      <c r="X436" s="198">
        <f>_xlfn.IFNA(IF(X$7="Fixed",1,IF(AND($D100="yes",X$7="Block"),INDEX($O640:$Q640,1,MATCH(X$5,$I34:$K34,0)),INDEX(Movements!$G640:$M640,1,MATCH(X$7,Movements!$G$614:$M$614,0))))
*X1114*X$8,0)</f>
        <v>0</v>
      </c>
      <c r="Y436" s="198">
        <f>_xlfn.IFNA(IF(Y$7="Fixed",1,IF(AND($D100="yes",Y$7="Block"),INDEX($O640:$Q640,1,MATCH(Y$5,$I34:$K34,0)),INDEX(Movements!$G640:$M640,1,MATCH(Y$7,Movements!$G$614:$M$614,0))))
*Y1114*Y$8,0)</f>
        <v>0</v>
      </c>
      <c r="Z436" s="198">
        <f>_xlfn.IFNA(IF(Z$7="Fixed",1,IF(AND($D100="yes",Z$7="Block"),INDEX($O640:$Q640,1,MATCH(Z$5,$I34:$K34,0)),INDEX(Movements!$G640:$M640,1,MATCH(Z$7,Movements!$G$614:$M$614,0))))
*Z1114*Z$8,0)</f>
        <v>0</v>
      </c>
      <c r="AA436" s="198">
        <f>_xlfn.IFNA(IF(AA$7="Fixed",1,IF(AND($D100="yes",AA$7="Block"),INDEX($O640:$Q640,1,MATCH(AA$5,$I34:$K34,0)),INDEX(Movements!$G640:$M640,1,MATCH(AA$7,Movements!$G$614:$M$614,0))))
*AA1114*AA$8,0)</f>
        <v>0</v>
      </c>
      <c r="AB436" s="198">
        <f>_xlfn.IFNA(IF(AB$7="Fixed",1,IF(AND($D100="yes",AB$7="Block"),INDEX($O640:$Q640,1,MATCH(AB$5,$I34:$K34,0)),INDEX(Movements!$G640:$M640,1,MATCH(AB$7,Movements!$G$614:$M$614,0))))
*AB1114*AB$8,0)</f>
        <v>0</v>
      </c>
      <c r="AC436" s="70"/>
      <c r="AD436" s="19"/>
      <c r="AE436" s="19"/>
      <c r="AF436" s="19"/>
      <c r="AG436" s="19"/>
    </row>
    <row r="437" spans="1:33" hidden="1" outlineLevel="3" x14ac:dyDescent="0.2">
      <c r="A437" s="19"/>
      <c r="B437" s="19"/>
      <c r="C437" s="506">
        <f t="shared" si="87"/>
        <v>0</v>
      </c>
      <c r="D437" s="505">
        <f t="shared" si="87"/>
        <v>0</v>
      </c>
      <c r="E437" s="505">
        <f t="shared" si="87"/>
        <v>0</v>
      </c>
      <c r="F437" s="58"/>
      <c r="G437" s="199">
        <f t="shared" si="88"/>
        <v>0</v>
      </c>
      <c r="H437" s="58"/>
      <c r="I437" s="198">
        <f>_xlfn.IFNA(IF(I$7="Fixed",1,IF(AND($D101="yes",I$7="Block"),INDEX($O641:$Q641,1,MATCH(I$5,$I35:$K35,0)),INDEX(Movements!$G641:$M641,1,MATCH(I$7,Movements!$G$614:$M$614,0))))
*I1115*I$8,0)</f>
        <v>0</v>
      </c>
      <c r="J437" s="198">
        <f>_xlfn.IFNA(IF(J$7="Fixed",1,IF(AND($D101="yes",J$7="Block"),INDEX($O641:$Q641,1,MATCH(J$5,$I35:$K35,0)),INDEX(Movements!$G641:$M641,1,MATCH(J$7,Movements!$G$614:$M$614,0))))
*J1115*J$8,0)</f>
        <v>0</v>
      </c>
      <c r="K437" s="198">
        <f>_xlfn.IFNA(IF(K$7="Fixed",1,IF(AND($D101="yes",K$7="Block"),INDEX($O641:$Q641,1,MATCH(K$5,$I35:$K35,0)),INDEX(Movements!$G641:$M641,1,MATCH(K$7,Movements!$G$614:$M$614,0))))
*K1115*K$8,0)</f>
        <v>0</v>
      </c>
      <c r="L437" s="198">
        <f>_xlfn.IFNA(IF(L$7="Fixed",1,IF(AND($D101="yes",L$7="Block"),INDEX($O641:$Q641,1,MATCH(L$5,$I35:$K35,0)),INDEX(Movements!$G641:$M641,1,MATCH(L$7,Movements!$G$614:$M$614,0))))
*L1115*L$8,0)</f>
        <v>0</v>
      </c>
      <c r="M437" s="198">
        <f>_xlfn.IFNA(IF(M$7="Fixed",1,IF(AND($D101="yes",M$7="Block"),INDEX($O641:$Q641,1,MATCH(M$5,$I35:$K35,0)),INDEX(Movements!$G641:$M641,1,MATCH(M$7,Movements!$G$614:$M$614,0))))
*M1115*M$8,0)</f>
        <v>0</v>
      </c>
      <c r="N437" s="198">
        <f>_xlfn.IFNA(IF(N$7="Fixed",1,IF(AND($D101="yes",N$7="Block"),INDEX($O641:$Q641,1,MATCH(N$5,$I35:$K35,0)),INDEX(Movements!$G641:$M641,1,MATCH(N$7,Movements!$G$614:$M$614,0))))
*N1115*N$8,0)</f>
        <v>0</v>
      </c>
      <c r="O437" s="198">
        <f>_xlfn.IFNA(IF(O$7="Fixed",1,IF(AND($D101="yes",O$7="Block"),INDEX($O641:$Q641,1,MATCH(O$5,$I35:$K35,0)),INDEX(Movements!$G641:$M641,1,MATCH(O$7,Movements!$G$614:$M$614,0))))
*O1115*O$8,0)</f>
        <v>0</v>
      </c>
      <c r="P437" s="198">
        <f>_xlfn.IFNA(IF(P$7="Fixed",1,IF(AND($D101="yes",P$7="Block"),INDEX($O641:$Q641,1,MATCH(P$5,$I35:$K35,0)),INDEX(Movements!$G641:$M641,1,MATCH(P$7,Movements!$G$614:$M$614,0))))
*P1115*P$8,0)</f>
        <v>0</v>
      </c>
      <c r="Q437" s="198">
        <f>_xlfn.IFNA(IF(Q$7="Fixed",1,IF(AND($D101="yes",Q$7="Block"),INDEX($O641:$Q641,1,MATCH(Q$5,$I35:$K35,0)),INDEX(Movements!$G641:$M641,1,MATCH(Q$7,Movements!$G$614:$M$614,0))))
*Q1115*Q$8,0)</f>
        <v>0</v>
      </c>
      <c r="R437" s="198">
        <f>_xlfn.IFNA(IF(R$7="Fixed",1,IF(AND($D101="yes",R$7="Block"),INDEX($O641:$Q641,1,MATCH(R$5,$I35:$K35,0)),INDEX(Movements!$G641:$M641,1,MATCH(R$7,Movements!$G$614:$M$614,0))))
*R1115*R$8,0)</f>
        <v>0</v>
      </c>
      <c r="S437" s="198">
        <f>_xlfn.IFNA(IF(S$7="Fixed",1,IF(AND($D101="yes",S$7="Block"),INDEX($O641:$Q641,1,MATCH(S$5,$I35:$K35,0)),INDEX(Movements!$G641:$M641,1,MATCH(S$7,Movements!$G$614:$M$614,0))))
*S1115*S$8,0)</f>
        <v>0</v>
      </c>
      <c r="T437" s="198">
        <f>_xlfn.IFNA(IF(T$7="Fixed",1,IF(AND($D101="yes",T$7="Block"),INDEX($O641:$Q641,1,MATCH(T$5,$I35:$K35,0)),INDEX(Movements!$G641:$M641,1,MATCH(T$7,Movements!$G$614:$M$614,0))))
*T1115*T$8,0)</f>
        <v>0</v>
      </c>
      <c r="U437" s="198">
        <f>_xlfn.IFNA(IF(U$7="Fixed",1,IF(AND($D101="yes",U$7="Block"),INDEX($O641:$Q641,1,MATCH(U$5,$I35:$K35,0)),INDEX(Movements!$G641:$M641,1,MATCH(U$7,Movements!$G$614:$M$614,0))))
*U1115*U$8,0)</f>
        <v>0</v>
      </c>
      <c r="V437" s="198">
        <f>_xlfn.IFNA(IF(V$7="Fixed",1,IF(AND($D101="yes",V$7="Block"),INDEX($O641:$Q641,1,MATCH(V$5,$I35:$K35,0)),INDEX(Movements!$G641:$M641,1,MATCH(V$7,Movements!$G$614:$M$614,0))))
*V1115*V$8,0)</f>
        <v>0</v>
      </c>
      <c r="W437" s="198">
        <f>_xlfn.IFNA(IF(W$7="Fixed",1,IF(AND($D101="yes",W$7="Block"),INDEX($O641:$Q641,1,MATCH(W$5,$I35:$K35,0)),INDEX(Movements!$G641:$M641,1,MATCH(W$7,Movements!$G$614:$M$614,0))))
*W1115*W$8,0)</f>
        <v>0</v>
      </c>
      <c r="X437" s="198">
        <f>_xlfn.IFNA(IF(X$7="Fixed",1,IF(AND($D101="yes",X$7="Block"),INDEX($O641:$Q641,1,MATCH(X$5,$I35:$K35,0)),INDEX(Movements!$G641:$M641,1,MATCH(X$7,Movements!$G$614:$M$614,0))))
*X1115*X$8,0)</f>
        <v>0</v>
      </c>
      <c r="Y437" s="198">
        <f>_xlfn.IFNA(IF(Y$7="Fixed",1,IF(AND($D101="yes",Y$7="Block"),INDEX($O641:$Q641,1,MATCH(Y$5,$I35:$K35,0)),INDEX(Movements!$G641:$M641,1,MATCH(Y$7,Movements!$G$614:$M$614,0))))
*Y1115*Y$8,0)</f>
        <v>0</v>
      </c>
      <c r="Z437" s="198">
        <f>_xlfn.IFNA(IF(Z$7="Fixed",1,IF(AND($D101="yes",Z$7="Block"),INDEX($O641:$Q641,1,MATCH(Z$5,$I35:$K35,0)),INDEX(Movements!$G641:$M641,1,MATCH(Z$7,Movements!$G$614:$M$614,0))))
*Z1115*Z$8,0)</f>
        <v>0</v>
      </c>
      <c r="AA437" s="198">
        <f>_xlfn.IFNA(IF(AA$7="Fixed",1,IF(AND($D101="yes",AA$7="Block"),INDEX($O641:$Q641,1,MATCH(AA$5,$I35:$K35,0)),INDEX(Movements!$G641:$M641,1,MATCH(AA$7,Movements!$G$614:$M$614,0))))
*AA1115*AA$8,0)</f>
        <v>0</v>
      </c>
      <c r="AB437" s="198">
        <f>_xlfn.IFNA(IF(AB$7="Fixed",1,IF(AND($D101="yes",AB$7="Block"),INDEX($O641:$Q641,1,MATCH(AB$5,$I35:$K35,0)),INDEX(Movements!$G641:$M641,1,MATCH(AB$7,Movements!$G$614:$M$614,0))))
*AB1115*AB$8,0)</f>
        <v>0</v>
      </c>
      <c r="AC437" s="70"/>
      <c r="AD437" s="19"/>
      <c r="AE437" s="19"/>
      <c r="AF437" s="19"/>
      <c r="AG437" s="19"/>
    </row>
    <row r="438" spans="1:33" hidden="1" outlineLevel="3" x14ac:dyDescent="0.2">
      <c r="A438" s="19"/>
      <c r="B438" s="19"/>
      <c r="C438" s="506">
        <f t="shared" si="87"/>
        <v>0</v>
      </c>
      <c r="D438" s="505">
        <f t="shared" si="87"/>
        <v>0</v>
      </c>
      <c r="E438" s="505">
        <f t="shared" si="87"/>
        <v>0</v>
      </c>
      <c r="F438" s="58"/>
      <c r="G438" s="199">
        <f t="shared" si="88"/>
        <v>0</v>
      </c>
      <c r="H438" s="58"/>
      <c r="I438" s="198">
        <f>_xlfn.IFNA(IF(I$7="Fixed",1,IF(AND($D102="yes",I$7="Block"),INDEX($O642:$Q642,1,MATCH(I$5,$I36:$K36,0)),INDEX(Movements!$G642:$M642,1,MATCH(I$7,Movements!$G$614:$M$614,0))))
*I1116*I$8,0)</f>
        <v>0</v>
      </c>
      <c r="J438" s="198">
        <f>_xlfn.IFNA(IF(J$7="Fixed",1,IF(AND($D102="yes",J$7="Block"),INDEX($O642:$Q642,1,MATCH(J$5,$I36:$K36,0)),INDEX(Movements!$G642:$M642,1,MATCH(J$7,Movements!$G$614:$M$614,0))))
*J1116*J$8,0)</f>
        <v>0</v>
      </c>
      <c r="K438" s="198">
        <f>_xlfn.IFNA(IF(K$7="Fixed",1,IF(AND($D102="yes",K$7="Block"),INDEX($O642:$Q642,1,MATCH(K$5,$I36:$K36,0)),INDEX(Movements!$G642:$M642,1,MATCH(K$7,Movements!$G$614:$M$614,0))))
*K1116*K$8,0)</f>
        <v>0</v>
      </c>
      <c r="L438" s="198">
        <f>_xlfn.IFNA(IF(L$7="Fixed",1,IF(AND($D102="yes",L$7="Block"),INDEX($O642:$Q642,1,MATCH(L$5,$I36:$K36,0)),INDEX(Movements!$G642:$M642,1,MATCH(L$7,Movements!$G$614:$M$614,0))))
*L1116*L$8,0)</f>
        <v>0</v>
      </c>
      <c r="M438" s="198">
        <f>_xlfn.IFNA(IF(M$7="Fixed",1,IF(AND($D102="yes",M$7="Block"),INDEX($O642:$Q642,1,MATCH(M$5,$I36:$K36,0)),INDEX(Movements!$G642:$M642,1,MATCH(M$7,Movements!$G$614:$M$614,0))))
*M1116*M$8,0)</f>
        <v>0</v>
      </c>
      <c r="N438" s="198">
        <f>_xlfn.IFNA(IF(N$7="Fixed",1,IF(AND($D102="yes",N$7="Block"),INDEX($O642:$Q642,1,MATCH(N$5,$I36:$K36,0)),INDEX(Movements!$G642:$M642,1,MATCH(N$7,Movements!$G$614:$M$614,0))))
*N1116*N$8,0)</f>
        <v>0</v>
      </c>
      <c r="O438" s="198">
        <f>_xlfn.IFNA(IF(O$7="Fixed",1,IF(AND($D102="yes",O$7="Block"),INDEX($O642:$Q642,1,MATCH(O$5,$I36:$K36,0)),INDEX(Movements!$G642:$M642,1,MATCH(O$7,Movements!$G$614:$M$614,0))))
*O1116*O$8,0)</f>
        <v>0</v>
      </c>
      <c r="P438" s="198">
        <f>_xlfn.IFNA(IF(P$7="Fixed",1,IF(AND($D102="yes",P$7="Block"),INDEX($O642:$Q642,1,MATCH(P$5,$I36:$K36,0)),INDEX(Movements!$G642:$M642,1,MATCH(P$7,Movements!$G$614:$M$614,0))))
*P1116*P$8,0)</f>
        <v>0</v>
      </c>
      <c r="Q438" s="198">
        <f>_xlfn.IFNA(IF(Q$7="Fixed",1,IF(AND($D102="yes",Q$7="Block"),INDEX($O642:$Q642,1,MATCH(Q$5,$I36:$K36,0)),INDEX(Movements!$G642:$M642,1,MATCH(Q$7,Movements!$G$614:$M$614,0))))
*Q1116*Q$8,0)</f>
        <v>0</v>
      </c>
      <c r="R438" s="198">
        <f>_xlfn.IFNA(IF(R$7="Fixed",1,IF(AND($D102="yes",R$7="Block"),INDEX($O642:$Q642,1,MATCH(R$5,$I36:$K36,0)),INDEX(Movements!$G642:$M642,1,MATCH(R$7,Movements!$G$614:$M$614,0))))
*R1116*R$8,0)</f>
        <v>0</v>
      </c>
      <c r="S438" s="198">
        <f>_xlfn.IFNA(IF(S$7="Fixed",1,IF(AND($D102="yes",S$7="Block"),INDEX($O642:$Q642,1,MATCH(S$5,$I36:$K36,0)),INDEX(Movements!$G642:$M642,1,MATCH(S$7,Movements!$G$614:$M$614,0))))
*S1116*S$8,0)</f>
        <v>0</v>
      </c>
      <c r="T438" s="198">
        <f>_xlfn.IFNA(IF(T$7="Fixed",1,IF(AND($D102="yes",T$7="Block"),INDEX($O642:$Q642,1,MATCH(T$5,$I36:$K36,0)),INDEX(Movements!$G642:$M642,1,MATCH(T$7,Movements!$G$614:$M$614,0))))
*T1116*T$8,0)</f>
        <v>0</v>
      </c>
      <c r="U438" s="198">
        <f>_xlfn.IFNA(IF(U$7="Fixed",1,IF(AND($D102="yes",U$7="Block"),INDEX($O642:$Q642,1,MATCH(U$5,$I36:$K36,0)),INDEX(Movements!$G642:$M642,1,MATCH(U$7,Movements!$G$614:$M$614,0))))
*U1116*U$8,0)</f>
        <v>0</v>
      </c>
      <c r="V438" s="198">
        <f>_xlfn.IFNA(IF(V$7="Fixed",1,IF(AND($D102="yes",V$7="Block"),INDEX($O642:$Q642,1,MATCH(V$5,$I36:$K36,0)),INDEX(Movements!$G642:$M642,1,MATCH(V$7,Movements!$G$614:$M$614,0))))
*V1116*V$8,0)</f>
        <v>0</v>
      </c>
      <c r="W438" s="198">
        <f>_xlfn.IFNA(IF(W$7="Fixed",1,IF(AND($D102="yes",W$7="Block"),INDEX($O642:$Q642,1,MATCH(W$5,$I36:$K36,0)),INDEX(Movements!$G642:$M642,1,MATCH(W$7,Movements!$G$614:$M$614,0))))
*W1116*W$8,0)</f>
        <v>0</v>
      </c>
      <c r="X438" s="198">
        <f>_xlfn.IFNA(IF(X$7="Fixed",1,IF(AND($D102="yes",X$7="Block"),INDEX($O642:$Q642,1,MATCH(X$5,$I36:$K36,0)),INDEX(Movements!$G642:$M642,1,MATCH(X$7,Movements!$G$614:$M$614,0))))
*X1116*X$8,0)</f>
        <v>0</v>
      </c>
      <c r="Y438" s="198">
        <f>_xlfn.IFNA(IF(Y$7="Fixed",1,IF(AND($D102="yes",Y$7="Block"),INDEX($O642:$Q642,1,MATCH(Y$5,$I36:$K36,0)),INDEX(Movements!$G642:$M642,1,MATCH(Y$7,Movements!$G$614:$M$614,0))))
*Y1116*Y$8,0)</f>
        <v>0</v>
      </c>
      <c r="Z438" s="198">
        <f>_xlfn.IFNA(IF(Z$7="Fixed",1,IF(AND($D102="yes",Z$7="Block"),INDEX($O642:$Q642,1,MATCH(Z$5,$I36:$K36,0)),INDEX(Movements!$G642:$M642,1,MATCH(Z$7,Movements!$G$614:$M$614,0))))
*Z1116*Z$8,0)</f>
        <v>0</v>
      </c>
      <c r="AA438" s="198">
        <f>_xlfn.IFNA(IF(AA$7="Fixed",1,IF(AND($D102="yes",AA$7="Block"),INDEX($O642:$Q642,1,MATCH(AA$5,$I36:$K36,0)),INDEX(Movements!$G642:$M642,1,MATCH(AA$7,Movements!$G$614:$M$614,0))))
*AA1116*AA$8,0)</f>
        <v>0</v>
      </c>
      <c r="AB438" s="198">
        <f>_xlfn.IFNA(IF(AB$7="Fixed",1,IF(AND($D102="yes",AB$7="Block"),INDEX($O642:$Q642,1,MATCH(AB$5,$I36:$K36,0)),INDEX(Movements!$G642:$M642,1,MATCH(AB$7,Movements!$G$614:$M$614,0))))
*AB1116*AB$8,0)</f>
        <v>0</v>
      </c>
      <c r="AC438" s="70"/>
      <c r="AD438" s="19"/>
      <c r="AE438" s="19"/>
      <c r="AF438" s="19"/>
      <c r="AG438" s="19"/>
    </row>
    <row r="439" spans="1:33" hidden="1" outlineLevel="3" x14ac:dyDescent="0.2">
      <c r="A439" s="19"/>
      <c r="B439" s="19"/>
      <c r="C439" s="506">
        <f t="shared" si="87"/>
        <v>0</v>
      </c>
      <c r="D439" s="505">
        <f t="shared" si="87"/>
        <v>0</v>
      </c>
      <c r="E439" s="505">
        <f t="shared" si="87"/>
        <v>0</v>
      </c>
      <c r="F439" s="58"/>
      <c r="G439" s="199">
        <f t="shared" si="88"/>
        <v>0</v>
      </c>
      <c r="H439" s="58"/>
      <c r="I439" s="198">
        <f>_xlfn.IFNA(IF(I$7="Fixed",1,IF(AND($D103="yes",I$7="Block"),INDEX($O643:$Q643,1,MATCH(I$5,$I37:$K37,0)),INDEX(Movements!$G643:$M643,1,MATCH(I$7,Movements!$G$614:$M$614,0))))
*I1117*I$8,0)</f>
        <v>0</v>
      </c>
      <c r="J439" s="198">
        <f>_xlfn.IFNA(IF(J$7="Fixed",1,IF(AND($D103="yes",J$7="Block"),INDEX($O643:$Q643,1,MATCH(J$5,$I37:$K37,0)),INDEX(Movements!$G643:$M643,1,MATCH(J$7,Movements!$G$614:$M$614,0))))
*J1117*J$8,0)</f>
        <v>0</v>
      </c>
      <c r="K439" s="198">
        <f>_xlfn.IFNA(IF(K$7="Fixed",1,IF(AND($D103="yes",K$7="Block"),INDEX($O643:$Q643,1,MATCH(K$5,$I37:$K37,0)),INDEX(Movements!$G643:$M643,1,MATCH(K$7,Movements!$G$614:$M$614,0))))
*K1117*K$8,0)</f>
        <v>0</v>
      </c>
      <c r="L439" s="198">
        <f>_xlfn.IFNA(IF(L$7="Fixed",1,IF(AND($D103="yes",L$7="Block"),INDEX($O643:$Q643,1,MATCH(L$5,$I37:$K37,0)),INDEX(Movements!$G643:$M643,1,MATCH(L$7,Movements!$G$614:$M$614,0))))
*L1117*L$8,0)</f>
        <v>0</v>
      </c>
      <c r="M439" s="198">
        <f>_xlfn.IFNA(IF(M$7="Fixed",1,IF(AND($D103="yes",M$7="Block"),INDEX($O643:$Q643,1,MATCH(M$5,$I37:$K37,0)),INDEX(Movements!$G643:$M643,1,MATCH(M$7,Movements!$G$614:$M$614,0))))
*M1117*M$8,0)</f>
        <v>0</v>
      </c>
      <c r="N439" s="198">
        <f>_xlfn.IFNA(IF(N$7="Fixed",1,IF(AND($D103="yes",N$7="Block"),INDEX($O643:$Q643,1,MATCH(N$5,$I37:$K37,0)),INDEX(Movements!$G643:$M643,1,MATCH(N$7,Movements!$G$614:$M$614,0))))
*N1117*N$8,0)</f>
        <v>0</v>
      </c>
      <c r="O439" s="198">
        <f>_xlfn.IFNA(IF(O$7="Fixed",1,IF(AND($D103="yes",O$7="Block"),INDEX($O643:$Q643,1,MATCH(O$5,$I37:$K37,0)),INDEX(Movements!$G643:$M643,1,MATCH(O$7,Movements!$G$614:$M$614,0))))
*O1117*O$8,0)</f>
        <v>0</v>
      </c>
      <c r="P439" s="198">
        <f>_xlfn.IFNA(IF(P$7="Fixed",1,IF(AND($D103="yes",P$7="Block"),INDEX($O643:$Q643,1,MATCH(P$5,$I37:$K37,0)),INDEX(Movements!$G643:$M643,1,MATCH(P$7,Movements!$G$614:$M$614,0))))
*P1117*P$8,0)</f>
        <v>0</v>
      </c>
      <c r="Q439" s="198">
        <f>_xlfn.IFNA(IF(Q$7="Fixed",1,IF(AND($D103="yes",Q$7="Block"),INDEX($O643:$Q643,1,MATCH(Q$5,$I37:$K37,0)),INDEX(Movements!$G643:$M643,1,MATCH(Q$7,Movements!$G$614:$M$614,0))))
*Q1117*Q$8,0)</f>
        <v>0</v>
      </c>
      <c r="R439" s="198">
        <f>_xlfn.IFNA(IF(R$7="Fixed",1,IF(AND($D103="yes",R$7="Block"),INDEX($O643:$Q643,1,MATCH(R$5,$I37:$K37,0)),INDEX(Movements!$G643:$M643,1,MATCH(R$7,Movements!$G$614:$M$614,0))))
*R1117*R$8,0)</f>
        <v>0</v>
      </c>
      <c r="S439" s="198">
        <f>_xlfn.IFNA(IF(S$7="Fixed",1,IF(AND($D103="yes",S$7="Block"),INDEX($O643:$Q643,1,MATCH(S$5,$I37:$K37,0)),INDEX(Movements!$G643:$M643,1,MATCH(S$7,Movements!$G$614:$M$614,0))))
*S1117*S$8,0)</f>
        <v>0</v>
      </c>
      <c r="T439" s="198">
        <f>_xlfn.IFNA(IF(T$7="Fixed",1,IF(AND($D103="yes",T$7="Block"),INDEX($O643:$Q643,1,MATCH(T$5,$I37:$K37,0)),INDEX(Movements!$G643:$M643,1,MATCH(T$7,Movements!$G$614:$M$614,0))))
*T1117*T$8,0)</f>
        <v>0</v>
      </c>
      <c r="U439" s="198">
        <f>_xlfn.IFNA(IF(U$7="Fixed",1,IF(AND($D103="yes",U$7="Block"),INDEX($O643:$Q643,1,MATCH(U$5,$I37:$K37,0)),INDEX(Movements!$G643:$M643,1,MATCH(U$7,Movements!$G$614:$M$614,0))))
*U1117*U$8,0)</f>
        <v>0</v>
      </c>
      <c r="V439" s="198">
        <f>_xlfn.IFNA(IF(V$7="Fixed",1,IF(AND($D103="yes",V$7="Block"),INDEX($O643:$Q643,1,MATCH(V$5,$I37:$K37,0)),INDEX(Movements!$G643:$M643,1,MATCH(V$7,Movements!$G$614:$M$614,0))))
*V1117*V$8,0)</f>
        <v>0</v>
      </c>
      <c r="W439" s="198">
        <f>_xlfn.IFNA(IF(W$7="Fixed",1,IF(AND($D103="yes",W$7="Block"),INDEX($O643:$Q643,1,MATCH(W$5,$I37:$K37,0)),INDEX(Movements!$G643:$M643,1,MATCH(W$7,Movements!$G$614:$M$614,0))))
*W1117*W$8,0)</f>
        <v>0</v>
      </c>
      <c r="X439" s="198">
        <f>_xlfn.IFNA(IF(X$7="Fixed",1,IF(AND($D103="yes",X$7="Block"),INDEX($O643:$Q643,1,MATCH(X$5,$I37:$K37,0)),INDEX(Movements!$G643:$M643,1,MATCH(X$7,Movements!$G$614:$M$614,0))))
*X1117*X$8,0)</f>
        <v>0</v>
      </c>
      <c r="Y439" s="198">
        <f>_xlfn.IFNA(IF(Y$7="Fixed",1,IF(AND($D103="yes",Y$7="Block"),INDEX($O643:$Q643,1,MATCH(Y$5,$I37:$K37,0)),INDEX(Movements!$G643:$M643,1,MATCH(Y$7,Movements!$G$614:$M$614,0))))
*Y1117*Y$8,0)</f>
        <v>0</v>
      </c>
      <c r="Z439" s="198">
        <f>_xlfn.IFNA(IF(Z$7="Fixed",1,IF(AND($D103="yes",Z$7="Block"),INDEX($O643:$Q643,1,MATCH(Z$5,$I37:$K37,0)),INDEX(Movements!$G643:$M643,1,MATCH(Z$7,Movements!$G$614:$M$614,0))))
*Z1117*Z$8,0)</f>
        <v>0</v>
      </c>
      <c r="AA439" s="198">
        <f>_xlfn.IFNA(IF(AA$7="Fixed",1,IF(AND($D103="yes",AA$7="Block"),INDEX($O643:$Q643,1,MATCH(AA$5,$I37:$K37,0)),INDEX(Movements!$G643:$M643,1,MATCH(AA$7,Movements!$G$614:$M$614,0))))
*AA1117*AA$8,0)</f>
        <v>0</v>
      </c>
      <c r="AB439" s="198">
        <f>_xlfn.IFNA(IF(AB$7="Fixed",1,IF(AND($D103="yes",AB$7="Block"),INDEX($O643:$Q643,1,MATCH(AB$5,$I37:$K37,0)),INDEX(Movements!$G643:$M643,1,MATCH(AB$7,Movements!$G$614:$M$614,0))))
*AB1117*AB$8,0)</f>
        <v>0</v>
      </c>
      <c r="AC439" s="70"/>
      <c r="AD439" s="19"/>
      <c r="AE439" s="19"/>
      <c r="AF439" s="19"/>
      <c r="AG439" s="19"/>
    </row>
    <row r="440" spans="1:33" hidden="1" outlineLevel="3" x14ac:dyDescent="0.2">
      <c r="A440" s="19"/>
      <c r="B440" s="19"/>
      <c r="C440" s="506">
        <f t="shared" si="87"/>
        <v>0</v>
      </c>
      <c r="D440" s="505">
        <f t="shared" si="87"/>
        <v>0</v>
      </c>
      <c r="E440" s="505">
        <f t="shared" si="87"/>
        <v>0</v>
      </c>
      <c r="F440" s="58"/>
      <c r="G440" s="199">
        <f t="shared" si="88"/>
        <v>0</v>
      </c>
      <c r="H440" s="58"/>
      <c r="I440" s="198">
        <f>_xlfn.IFNA(IF(I$7="Fixed",1,IF(AND($D104="yes",I$7="Block"),INDEX($O644:$Q644,1,MATCH(I$5,$I38:$K38,0)),INDEX(Movements!$G644:$M644,1,MATCH(I$7,Movements!$G$614:$M$614,0))))
*I1118*I$8,0)</f>
        <v>0</v>
      </c>
      <c r="J440" s="198">
        <f>_xlfn.IFNA(IF(J$7="Fixed",1,IF(AND($D104="yes",J$7="Block"),INDEX($O644:$Q644,1,MATCH(J$5,$I38:$K38,0)),INDEX(Movements!$G644:$M644,1,MATCH(J$7,Movements!$G$614:$M$614,0))))
*J1118*J$8,0)</f>
        <v>0</v>
      </c>
      <c r="K440" s="198">
        <f>_xlfn.IFNA(IF(K$7="Fixed",1,IF(AND($D104="yes",K$7="Block"),INDEX($O644:$Q644,1,MATCH(K$5,$I38:$K38,0)),INDEX(Movements!$G644:$M644,1,MATCH(K$7,Movements!$G$614:$M$614,0))))
*K1118*K$8,0)</f>
        <v>0</v>
      </c>
      <c r="L440" s="198">
        <f>_xlfn.IFNA(IF(L$7="Fixed",1,IF(AND($D104="yes",L$7="Block"),INDEX($O644:$Q644,1,MATCH(L$5,$I38:$K38,0)),INDEX(Movements!$G644:$M644,1,MATCH(L$7,Movements!$G$614:$M$614,0))))
*L1118*L$8,0)</f>
        <v>0</v>
      </c>
      <c r="M440" s="198">
        <f>_xlfn.IFNA(IF(M$7="Fixed",1,IF(AND($D104="yes",M$7="Block"),INDEX($O644:$Q644,1,MATCH(M$5,$I38:$K38,0)),INDEX(Movements!$G644:$M644,1,MATCH(M$7,Movements!$G$614:$M$614,0))))
*M1118*M$8,0)</f>
        <v>0</v>
      </c>
      <c r="N440" s="198">
        <f>_xlfn.IFNA(IF(N$7="Fixed",1,IF(AND($D104="yes",N$7="Block"),INDEX($O644:$Q644,1,MATCH(N$5,$I38:$K38,0)),INDEX(Movements!$G644:$M644,1,MATCH(N$7,Movements!$G$614:$M$614,0))))
*N1118*N$8,0)</f>
        <v>0</v>
      </c>
      <c r="O440" s="198">
        <f>_xlfn.IFNA(IF(O$7="Fixed",1,IF(AND($D104="yes",O$7="Block"),INDEX($O644:$Q644,1,MATCH(O$5,$I38:$K38,0)),INDEX(Movements!$G644:$M644,1,MATCH(O$7,Movements!$G$614:$M$614,0))))
*O1118*O$8,0)</f>
        <v>0</v>
      </c>
      <c r="P440" s="198">
        <f>_xlfn.IFNA(IF(P$7="Fixed",1,IF(AND($D104="yes",P$7="Block"),INDEX($O644:$Q644,1,MATCH(P$5,$I38:$K38,0)),INDEX(Movements!$G644:$M644,1,MATCH(P$7,Movements!$G$614:$M$614,0))))
*P1118*P$8,0)</f>
        <v>0</v>
      </c>
      <c r="Q440" s="198">
        <f>_xlfn.IFNA(IF(Q$7="Fixed",1,IF(AND($D104="yes",Q$7="Block"),INDEX($O644:$Q644,1,MATCH(Q$5,$I38:$K38,0)),INDEX(Movements!$G644:$M644,1,MATCH(Q$7,Movements!$G$614:$M$614,0))))
*Q1118*Q$8,0)</f>
        <v>0</v>
      </c>
      <c r="R440" s="198">
        <f>_xlfn.IFNA(IF(R$7="Fixed",1,IF(AND($D104="yes",R$7="Block"),INDEX($O644:$Q644,1,MATCH(R$5,$I38:$K38,0)),INDEX(Movements!$G644:$M644,1,MATCH(R$7,Movements!$G$614:$M$614,0))))
*R1118*R$8,0)</f>
        <v>0</v>
      </c>
      <c r="S440" s="198">
        <f>_xlfn.IFNA(IF(S$7="Fixed",1,IF(AND($D104="yes",S$7="Block"),INDEX($O644:$Q644,1,MATCH(S$5,$I38:$K38,0)),INDEX(Movements!$G644:$M644,1,MATCH(S$7,Movements!$G$614:$M$614,0))))
*S1118*S$8,0)</f>
        <v>0</v>
      </c>
      <c r="T440" s="198">
        <f>_xlfn.IFNA(IF(T$7="Fixed",1,IF(AND($D104="yes",T$7="Block"),INDEX($O644:$Q644,1,MATCH(T$5,$I38:$K38,0)),INDEX(Movements!$G644:$M644,1,MATCH(T$7,Movements!$G$614:$M$614,0))))
*T1118*T$8,0)</f>
        <v>0</v>
      </c>
      <c r="U440" s="198">
        <f>_xlfn.IFNA(IF(U$7="Fixed",1,IF(AND($D104="yes",U$7="Block"),INDEX($O644:$Q644,1,MATCH(U$5,$I38:$K38,0)),INDEX(Movements!$G644:$M644,1,MATCH(U$7,Movements!$G$614:$M$614,0))))
*U1118*U$8,0)</f>
        <v>0</v>
      </c>
      <c r="V440" s="198">
        <f>_xlfn.IFNA(IF(V$7="Fixed",1,IF(AND($D104="yes",V$7="Block"),INDEX($O644:$Q644,1,MATCH(V$5,$I38:$K38,0)),INDEX(Movements!$G644:$M644,1,MATCH(V$7,Movements!$G$614:$M$614,0))))
*V1118*V$8,0)</f>
        <v>0</v>
      </c>
      <c r="W440" s="198">
        <f>_xlfn.IFNA(IF(W$7="Fixed",1,IF(AND($D104="yes",W$7="Block"),INDEX($O644:$Q644,1,MATCH(W$5,$I38:$K38,0)),INDEX(Movements!$G644:$M644,1,MATCH(W$7,Movements!$G$614:$M$614,0))))
*W1118*W$8,0)</f>
        <v>0</v>
      </c>
      <c r="X440" s="198">
        <f>_xlfn.IFNA(IF(X$7="Fixed",1,IF(AND($D104="yes",X$7="Block"),INDEX($O644:$Q644,1,MATCH(X$5,$I38:$K38,0)),INDEX(Movements!$G644:$M644,1,MATCH(X$7,Movements!$G$614:$M$614,0))))
*X1118*X$8,0)</f>
        <v>0</v>
      </c>
      <c r="Y440" s="198">
        <f>_xlfn.IFNA(IF(Y$7="Fixed",1,IF(AND($D104="yes",Y$7="Block"),INDEX($O644:$Q644,1,MATCH(Y$5,$I38:$K38,0)),INDEX(Movements!$G644:$M644,1,MATCH(Y$7,Movements!$G$614:$M$614,0))))
*Y1118*Y$8,0)</f>
        <v>0</v>
      </c>
      <c r="Z440" s="198">
        <f>_xlfn.IFNA(IF(Z$7="Fixed",1,IF(AND($D104="yes",Z$7="Block"),INDEX($O644:$Q644,1,MATCH(Z$5,$I38:$K38,0)),INDEX(Movements!$G644:$M644,1,MATCH(Z$7,Movements!$G$614:$M$614,0))))
*Z1118*Z$8,0)</f>
        <v>0</v>
      </c>
      <c r="AA440" s="198">
        <f>_xlfn.IFNA(IF(AA$7="Fixed",1,IF(AND($D104="yes",AA$7="Block"),INDEX($O644:$Q644,1,MATCH(AA$5,$I38:$K38,0)),INDEX(Movements!$G644:$M644,1,MATCH(AA$7,Movements!$G$614:$M$614,0))))
*AA1118*AA$8,0)</f>
        <v>0</v>
      </c>
      <c r="AB440" s="198">
        <f>_xlfn.IFNA(IF(AB$7="Fixed",1,IF(AND($D104="yes",AB$7="Block"),INDEX($O644:$Q644,1,MATCH(AB$5,$I38:$K38,0)),INDEX(Movements!$G644:$M644,1,MATCH(AB$7,Movements!$G$614:$M$614,0))))
*AB1118*AB$8,0)</f>
        <v>0</v>
      </c>
      <c r="AC440" s="70"/>
      <c r="AD440" s="19"/>
      <c r="AE440" s="19"/>
      <c r="AF440" s="19"/>
      <c r="AG440" s="19"/>
    </row>
    <row r="441" spans="1:33" hidden="1" outlineLevel="3" x14ac:dyDescent="0.2">
      <c r="A441" s="19"/>
      <c r="B441" s="19"/>
      <c r="C441" s="506">
        <f t="shared" si="87"/>
        <v>0</v>
      </c>
      <c r="D441" s="505">
        <f t="shared" si="87"/>
        <v>0</v>
      </c>
      <c r="E441" s="505">
        <f t="shared" si="87"/>
        <v>0</v>
      </c>
      <c r="F441" s="58"/>
      <c r="G441" s="199">
        <f t="shared" si="88"/>
        <v>0</v>
      </c>
      <c r="H441" s="58"/>
      <c r="I441" s="198">
        <f>_xlfn.IFNA(IF(I$7="Fixed",1,IF(AND($D105="yes",I$7="Block"),INDEX($O645:$Q645,1,MATCH(I$5,$I39:$K39,0)),INDEX(Movements!$G645:$M645,1,MATCH(I$7,Movements!$G$614:$M$614,0))))
*I1119*I$8,0)</f>
        <v>0</v>
      </c>
      <c r="J441" s="198">
        <f>_xlfn.IFNA(IF(J$7="Fixed",1,IF(AND($D105="yes",J$7="Block"),INDEX($O645:$Q645,1,MATCH(J$5,$I39:$K39,0)),INDEX(Movements!$G645:$M645,1,MATCH(J$7,Movements!$G$614:$M$614,0))))
*J1119*J$8,0)</f>
        <v>0</v>
      </c>
      <c r="K441" s="198">
        <f>_xlfn.IFNA(IF(K$7="Fixed",1,IF(AND($D105="yes",K$7="Block"),INDEX($O645:$Q645,1,MATCH(K$5,$I39:$K39,0)),INDEX(Movements!$G645:$M645,1,MATCH(K$7,Movements!$G$614:$M$614,0))))
*K1119*K$8,0)</f>
        <v>0</v>
      </c>
      <c r="L441" s="198">
        <f>_xlfn.IFNA(IF(L$7="Fixed",1,IF(AND($D105="yes",L$7="Block"),INDEX($O645:$Q645,1,MATCH(L$5,$I39:$K39,0)),INDEX(Movements!$G645:$M645,1,MATCH(L$7,Movements!$G$614:$M$614,0))))
*L1119*L$8,0)</f>
        <v>0</v>
      </c>
      <c r="M441" s="198">
        <f>_xlfn.IFNA(IF(M$7="Fixed",1,IF(AND($D105="yes",M$7="Block"),INDEX($O645:$Q645,1,MATCH(M$5,$I39:$K39,0)),INDEX(Movements!$G645:$M645,1,MATCH(M$7,Movements!$G$614:$M$614,0))))
*M1119*M$8,0)</f>
        <v>0</v>
      </c>
      <c r="N441" s="198">
        <f>_xlfn.IFNA(IF(N$7="Fixed",1,IF(AND($D105="yes",N$7="Block"),INDEX($O645:$Q645,1,MATCH(N$5,$I39:$K39,0)),INDEX(Movements!$G645:$M645,1,MATCH(N$7,Movements!$G$614:$M$614,0))))
*N1119*N$8,0)</f>
        <v>0</v>
      </c>
      <c r="O441" s="198">
        <f>_xlfn.IFNA(IF(O$7="Fixed",1,IF(AND($D105="yes",O$7="Block"),INDEX($O645:$Q645,1,MATCH(O$5,$I39:$K39,0)),INDEX(Movements!$G645:$M645,1,MATCH(O$7,Movements!$G$614:$M$614,0))))
*O1119*O$8,0)</f>
        <v>0</v>
      </c>
      <c r="P441" s="198">
        <f>_xlfn.IFNA(IF(P$7="Fixed",1,IF(AND($D105="yes",P$7="Block"),INDEX($O645:$Q645,1,MATCH(P$5,$I39:$K39,0)),INDEX(Movements!$G645:$M645,1,MATCH(P$7,Movements!$G$614:$M$614,0))))
*P1119*P$8,0)</f>
        <v>0</v>
      </c>
      <c r="Q441" s="198">
        <f>_xlfn.IFNA(IF(Q$7="Fixed",1,IF(AND($D105="yes",Q$7="Block"),INDEX($O645:$Q645,1,MATCH(Q$5,$I39:$K39,0)),INDEX(Movements!$G645:$M645,1,MATCH(Q$7,Movements!$G$614:$M$614,0))))
*Q1119*Q$8,0)</f>
        <v>0</v>
      </c>
      <c r="R441" s="198">
        <f>_xlfn.IFNA(IF(R$7="Fixed",1,IF(AND($D105="yes",R$7="Block"),INDEX($O645:$Q645,1,MATCH(R$5,$I39:$K39,0)),INDEX(Movements!$G645:$M645,1,MATCH(R$7,Movements!$G$614:$M$614,0))))
*R1119*R$8,0)</f>
        <v>0</v>
      </c>
      <c r="S441" s="198">
        <f>_xlfn.IFNA(IF(S$7="Fixed",1,IF(AND($D105="yes",S$7="Block"),INDEX($O645:$Q645,1,MATCH(S$5,$I39:$K39,0)),INDEX(Movements!$G645:$M645,1,MATCH(S$7,Movements!$G$614:$M$614,0))))
*S1119*S$8,0)</f>
        <v>0</v>
      </c>
      <c r="T441" s="198">
        <f>_xlfn.IFNA(IF(T$7="Fixed",1,IF(AND($D105="yes",T$7="Block"),INDEX($O645:$Q645,1,MATCH(T$5,$I39:$K39,0)),INDEX(Movements!$G645:$M645,1,MATCH(T$7,Movements!$G$614:$M$614,0))))
*T1119*T$8,0)</f>
        <v>0</v>
      </c>
      <c r="U441" s="198">
        <f>_xlfn.IFNA(IF(U$7="Fixed",1,IF(AND($D105="yes",U$7="Block"),INDEX($O645:$Q645,1,MATCH(U$5,$I39:$K39,0)),INDEX(Movements!$G645:$M645,1,MATCH(U$7,Movements!$G$614:$M$614,0))))
*U1119*U$8,0)</f>
        <v>0</v>
      </c>
      <c r="V441" s="198">
        <f>_xlfn.IFNA(IF(V$7="Fixed",1,IF(AND($D105="yes",V$7="Block"),INDEX($O645:$Q645,1,MATCH(V$5,$I39:$K39,0)),INDEX(Movements!$G645:$M645,1,MATCH(V$7,Movements!$G$614:$M$614,0))))
*V1119*V$8,0)</f>
        <v>0</v>
      </c>
      <c r="W441" s="198">
        <f>_xlfn.IFNA(IF(W$7="Fixed",1,IF(AND($D105="yes",W$7="Block"),INDEX($O645:$Q645,1,MATCH(W$5,$I39:$K39,0)),INDEX(Movements!$G645:$M645,1,MATCH(W$7,Movements!$G$614:$M$614,0))))
*W1119*W$8,0)</f>
        <v>0</v>
      </c>
      <c r="X441" s="198">
        <f>_xlfn.IFNA(IF(X$7="Fixed",1,IF(AND($D105="yes",X$7="Block"),INDEX($O645:$Q645,1,MATCH(X$5,$I39:$K39,0)),INDEX(Movements!$G645:$M645,1,MATCH(X$7,Movements!$G$614:$M$614,0))))
*X1119*X$8,0)</f>
        <v>0</v>
      </c>
      <c r="Y441" s="198">
        <f>_xlfn.IFNA(IF(Y$7="Fixed",1,IF(AND($D105="yes",Y$7="Block"),INDEX($O645:$Q645,1,MATCH(Y$5,$I39:$K39,0)),INDEX(Movements!$G645:$M645,1,MATCH(Y$7,Movements!$G$614:$M$614,0))))
*Y1119*Y$8,0)</f>
        <v>0</v>
      </c>
      <c r="Z441" s="198">
        <f>_xlfn.IFNA(IF(Z$7="Fixed",1,IF(AND($D105="yes",Z$7="Block"),INDEX($O645:$Q645,1,MATCH(Z$5,$I39:$K39,0)),INDEX(Movements!$G645:$M645,1,MATCH(Z$7,Movements!$G$614:$M$614,0))))
*Z1119*Z$8,0)</f>
        <v>0</v>
      </c>
      <c r="AA441" s="198">
        <f>_xlfn.IFNA(IF(AA$7="Fixed",1,IF(AND($D105="yes",AA$7="Block"),INDEX($O645:$Q645,1,MATCH(AA$5,$I39:$K39,0)),INDEX(Movements!$G645:$M645,1,MATCH(AA$7,Movements!$G$614:$M$614,0))))
*AA1119*AA$8,0)</f>
        <v>0</v>
      </c>
      <c r="AB441" s="198">
        <f>_xlfn.IFNA(IF(AB$7="Fixed",1,IF(AND($D105="yes",AB$7="Block"),INDEX($O645:$Q645,1,MATCH(AB$5,$I39:$K39,0)),INDEX(Movements!$G645:$M645,1,MATCH(AB$7,Movements!$G$614:$M$614,0))))
*AB1119*AB$8,0)</f>
        <v>0</v>
      </c>
      <c r="AC441" s="70"/>
      <c r="AD441" s="19"/>
      <c r="AE441" s="19"/>
      <c r="AF441" s="19"/>
      <c r="AG441" s="19"/>
    </row>
    <row r="442" spans="1:33" hidden="1" outlineLevel="3" x14ac:dyDescent="0.2">
      <c r="A442" s="19"/>
      <c r="B442" s="19"/>
      <c r="C442" s="506">
        <f t="shared" si="87"/>
        <v>0</v>
      </c>
      <c r="D442" s="505">
        <f t="shared" si="87"/>
        <v>0</v>
      </c>
      <c r="E442" s="505">
        <f t="shared" si="87"/>
        <v>0</v>
      </c>
      <c r="F442" s="58"/>
      <c r="G442" s="199">
        <f t="shared" si="88"/>
        <v>0</v>
      </c>
      <c r="H442" s="58"/>
      <c r="I442" s="198">
        <f>_xlfn.IFNA(IF(I$7="Fixed",1,IF(AND($D106="yes",I$7="Block"),INDEX($O646:$Q646,1,MATCH(I$5,$I40:$K40,0)),INDEX(Movements!$G646:$M646,1,MATCH(I$7,Movements!$G$614:$M$614,0))))
*I1120*I$8,0)</f>
        <v>0</v>
      </c>
      <c r="J442" s="198">
        <f>_xlfn.IFNA(IF(J$7="Fixed",1,IF(AND($D106="yes",J$7="Block"),INDEX($O646:$Q646,1,MATCH(J$5,$I40:$K40,0)),INDEX(Movements!$G646:$M646,1,MATCH(J$7,Movements!$G$614:$M$614,0))))
*J1120*J$8,0)</f>
        <v>0</v>
      </c>
      <c r="K442" s="198">
        <f>_xlfn.IFNA(IF(K$7="Fixed",1,IF(AND($D106="yes",K$7="Block"),INDEX($O646:$Q646,1,MATCH(K$5,$I40:$K40,0)),INDEX(Movements!$G646:$M646,1,MATCH(K$7,Movements!$G$614:$M$614,0))))
*K1120*K$8,0)</f>
        <v>0</v>
      </c>
      <c r="L442" s="198">
        <f>_xlfn.IFNA(IF(L$7="Fixed",1,IF(AND($D106="yes",L$7="Block"),INDEX($O646:$Q646,1,MATCH(L$5,$I40:$K40,0)),INDEX(Movements!$G646:$M646,1,MATCH(L$7,Movements!$G$614:$M$614,0))))
*L1120*L$8,0)</f>
        <v>0</v>
      </c>
      <c r="M442" s="198">
        <f>_xlfn.IFNA(IF(M$7="Fixed",1,IF(AND($D106="yes",M$7="Block"),INDEX($O646:$Q646,1,MATCH(M$5,$I40:$K40,0)),INDEX(Movements!$G646:$M646,1,MATCH(M$7,Movements!$G$614:$M$614,0))))
*M1120*M$8,0)</f>
        <v>0</v>
      </c>
      <c r="N442" s="198">
        <f>_xlfn.IFNA(IF(N$7="Fixed",1,IF(AND($D106="yes",N$7="Block"),INDEX($O646:$Q646,1,MATCH(N$5,$I40:$K40,0)),INDEX(Movements!$G646:$M646,1,MATCH(N$7,Movements!$G$614:$M$614,0))))
*N1120*N$8,0)</f>
        <v>0</v>
      </c>
      <c r="O442" s="198">
        <f>_xlfn.IFNA(IF(O$7="Fixed",1,IF(AND($D106="yes",O$7="Block"),INDEX($O646:$Q646,1,MATCH(O$5,$I40:$K40,0)),INDEX(Movements!$G646:$M646,1,MATCH(O$7,Movements!$G$614:$M$614,0))))
*O1120*O$8,0)</f>
        <v>0</v>
      </c>
      <c r="P442" s="198">
        <f>_xlfn.IFNA(IF(P$7="Fixed",1,IF(AND($D106="yes",P$7="Block"),INDEX($O646:$Q646,1,MATCH(P$5,$I40:$K40,0)),INDEX(Movements!$G646:$M646,1,MATCH(P$7,Movements!$G$614:$M$614,0))))
*P1120*P$8,0)</f>
        <v>0</v>
      </c>
      <c r="Q442" s="198">
        <f>_xlfn.IFNA(IF(Q$7="Fixed",1,IF(AND($D106="yes",Q$7="Block"),INDEX($O646:$Q646,1,MATCH(Q$5,$I40:$K40,0)),INDEX(Movements!$G646:$M646,1,MATCH(Q$7,Movements!$G$614:$M$614,0))))
*Q1120*Q$8,0)</f>
        <v>0</v>
      </c>
      <c r="R442" s="198">
        <f>_xlfn.IFNA(IF(R$7="Fixed",1,IF(AND($D106="yes",R$7="Block"),INDEX($O646:$Q646,1,MATCH(R$5,$I40:$K40,0)),INDEX(Movements!$G646:$M646,1,MATCH(R$7,Movements!$G$614:$M$614,0))))
*R1120*R$8,0)</f>
        <v>0</v>
      </c>
      <c r="S442" s="198">
        <f>_xlfn.IFNA(IF(S$7="Fixed",1,IF(AND($D106="yes",S$7="Block"),INDEX($O646:$Q646,1,MATCH(S$5,$I40:$K40,0)),INDEX(Movements!$G646:$M646,1,MATCH(S$7,Movements!$G$614:$M$614,0))))
*S1120*S$8,0)</f>
        <v>0</v>
      </c>
      <c r="T442" s="198">
        <f>_xlfn.IFNA(IF(T$7="Fixed",1,IF(AND($D106="yes",T$7="Block"),INDEX($O646:$Q646,1,MATCH(T$5,$I40:$K40,0)),INDEX(Movements!$G646:$M646,1,MATCH(T$7,Movements!$G$614:$M$614,0))))
*T1120*T$8,0)</f>
        <v>0</v>
      </c>
      <c r="U442" s="198">
        <f>_xlfn.IFNA(IF(U$7="Fixed",1,IF(AND($D106="yes",U$7="Block"),INDEX($O646:$Q646,1,MATCH(U$5,$I40:$K40,0)),INDEX(Movements!$G646:$M646,1,MATCH(U$7,Movements!$G$614:$M$614,0))))
*U1120*U$8,0)</f>
        <v>0</v>
      </c>
      <c r="V442" s="198">
        <f>_xlfn.IFNA(IF(V$7="Fixed",1,IF(AND($D106="yes",V$7="Block"),INDEX($O646:$Q646,1,MATCH(V$5,$I40:$K40,0)),INDEX(Movements!$G646:$M646,1,MATCH(V$7,Movements!$G$614:$M$614,0))))
*V1120*V$8,0)</f>
        <v>0</v>
      </c>
      <c r="W442" s="198">
        <f>_xlfn.IFNA(IF(W$7="Fixed",1,IF(AND($D106="yes",W$7="Block"),INDEX($O646:$Q646,1,MATCH(W$5,$I40:$K40,0)),INDEX(Movements!$G646:$M646,1,MATCH(W$7,Movements!$G$614:$M$614,0))))
*W1120*W$8,0)</f>
        <v>0</v>
      </c>
      <c r="X442" s="198">
        <f>_xlfn.IFNA(IF(X$7="Fixed",1,IF(AND($D106="yes",X$7="Block"),INDEX($O646:$Q646,1,MATCH(X$5,$I40:$K40,0)),INDEX(Movements!$G646:$M646,1,MATCH(X$7,Movements!$G$614:$M$614,0))))
*X1120*X$8,0)</f>
        <v>0</v>
      </c>
      <c r="Y442" s="198">
        <f>_xlfn.IFNA(IF(Y$7="Fixed",1,IF(AND($D106="yes",Y$7="Block"),INDEX($O646:$Q646,1,MATCH(Y$5,$I40:$K40,0)),INDEX(Movements!$G646:$M646,1,MATCH(Y$7,Movements!$G$614:$M$614,0))))
*Y1120*Y$8,0)</f>
        <v>0</v>
      </c>
      <c r="Z442" s="198">
        <f>_xlfn.IFNA(IF(Z$7="Fixed",1,IF(AND($D106="yes",Z$7="Block"),INDEX($O646:$Q646,1,MATCH(Z$5,$I40:$K40,0)),INDEX(Movements!$G646:$M646,1,MATCH(Z$7,Movements!$G$614:$M$614,0))))
*Z1120*Z$8,0)</f>
        <v>0</v>
      </c>
      <c r="AA442" s="198">
        <f>_xlfn.IFNA(IF(AA$7="Fixed",1,IF(AND($D106="yes",AA$7="Block"),INDEX($O646:$Q646,1,MATCH(AA$5,$I40:$K40,0)),INDEX(Movements!$G646:$M646,1,MATCH(AA$7,Movements!$G$614:$M$614,0))))
*AA1120*AA$8,0)</f>
        <v>0</v>
      </c>
      <c r="AB442" s="198">
        <f>_xlfn.IFNA(IF(AB$7="Fixed",1,IF(AND($D106="yes",AB$7="Block"),INDEX($O646:$Q646,1,MATCH(AB$5,$I40:$K40,0)),INDEX(Movements!$G646:$M646,1,MATCH(AB$7,Movements!$G$614:$M$614,0))))
*AB1120*AB$8,0)</f>
        <v>0</v>
      </c>
      <c r="AC442" s="70"/>
      <c r="AD442" s="19"/>
      <c r="AE442" s="19"/>
      <c r="AF442" s="19"/>
      <c r="AG442" s="19"/>
    </row>
    <row r="443" spans="1:33" hidden="1" outlineLevel="2" collapsed="1" x14ac:dyDescent="0.2">
      <c r="A443" s="19"/>
      <c r="B443" s="19"/>
      <c r="C443" s="538"/>
      <c r="D443" s="217"/>
      <c r="E443" s="536"/>
      <c r="F443" s="58"/>
      <c r="G443" s="58"/>
      <c r="H443" s="58"/>
      <c r="I443" s="137"/>
      <c r="J443" s="137"/>
      <c r="K443" s="138"/>
      <c r="L443" s="138"/>
      <c r="M443" s="138"/>
      <c r="N443" s="139"/>
      <c r="O443" s="139"/>
      <c r="P443" s="139"/>
      <c r="Q443" s="139"/>
      <c r="R443" s="139"/>
      <c r="S443" s="138"/>
      <c r="T443" s="138"/>
      <c r="U443" s="138"/>
      <c r="V443" s="70"/>
      <c r="W443" s="70"/>
      <c r="X443" s="70"/>
      <c r="Y443" s="70"/>
      <c r="Z443" s="70"/>
      <c r="AA443" s="70"/>
      <c r="AB443" s="70"/>
      <c r="AC443" s="70"/>
      <c r="AD443" s="19"/>
      <c r="AE443" s="19"/>
      <c r="AF443" s="19"/>
      <c r="AG443" s="19"/>
    </row>
    <row r="444" spans="1:33" outlineLevel="1" collapsed="1" x14ac:dyDescent="0.2">
      <c r="A444" s="19"/>
      <c r="B444" s="19"/>
      <c r="C444" s="217"/>
      <c r="D444" s="217"/>
      <c r="E444" s="536"/>
      <c r="F444" s="58"/>
      <c r="G444" s="58"/>
      <c r="H444" s="58"/>
      <c r="I444" s="137"/>
      <c r="J444" s="137"/>
      <c r="K444" s="138"/>
      <c r="L444" s="138"/>
      <c r="M444" s="138"/>
      <c r="N444" s="139"/>
      <c r="O444" s="139"/>
      <c r="P444" s="139"/>
      <c r="Q444" s="139"/>
      <c r="R444" s="139"/>
      <c r="S444" s="138"/>
      <c r="T444" s="138"/>
      <c r="U444" s="138"/>
      <c r="V444" s="70"/>
      <c r="W444" s="70"/>
      <c r="X444" s="70"/>
      <c r="Y444" s="70"/>
      <c r="Z444" s="70"/>
      <c r="AA444" s="70"/>
      <c r="AB444" s="70"/>
      <c r="AC444" s="70"/>
      <c r="AD444" s="19"/>
      <c r="AE444" s="19"/>
      <c r="AF444" s="19"/>
      <c r="AG444" s="19"/>
    </row>
    <row r="445" spans="1:33" outlineLevel="1" x14ac:dyDescent="0.2">
      <c r="A445" s="19"/>
      <c r="B445" s="19"/>
      <c r="C445" s="167" t="s">
        <v>240</v>
      </c>
      <c r="D445" s="167"/>
      <c r="E445" s="512"/>
      <c r="F445" s="20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19"/>
      <c r="AD445" s="19"/>
      <c r="AE445" s="19"/>
      <c r="AF445" s="19"/>
      <c r="AG445" s="19"/>
    </row>
    <row r="446" spans="1:33" outlineLevel="2" x14ac:dyDescent="0.2">
      <c r="A446" s="19"/>
      <c r="B446" s="97">
        <v>1</v>
      </c>
      <c r="C446" s="506" t="str">
        <f t="shared" ref="C446:E475" si="89">C347</f>
        <v>Residential time of use consumption</v>
      </c>
      <c r="D446" s="505">
        <f t="shared" si="89"/>
        <v>0</v>
      </c>
      <c r="E446" s="505" t="str">
        <f t="shared" si="89"/>
        <v>yes</v>
      </c>
      <c r="F446" s="20"/>
      <c r="G446" s="199">
        <f t="shared" ref="G446:G475" si="90">SUM(I446:AB446)</f>
        <v>732.23664188341127</v>
      </c>
      <c r="H446" s="22"/>
      <c r="I446" s="198">
        <f>SUM(I347,I380,I413)</f>
        <v>210.24365</v>
      </c>
      <c r="J446" s="198">
        <f t="shared" ref="J446:AB446" si="91">SUM(J347,J380,J413)</f>
        <v>0</v>
      </c>
      <c r="K446" s="198">
        <f t="shared" si="91"/>
        <v>362.14103430135577</v>
      </c>
      <c r="L446" s="198">
        <f t="shared" si="91"/>
        <v>0</v>
      </c>
      <c r="M446" s="198">
        <f t="shared" si="91"/>
        <v>159.85195758205549</v>
      </c>
      <c r="N446" s="198">
        <f t="shared" si="91"/>
        <v>0</v>
      </c>
      <c r="O446" s="198">
        <f t="shared" si="91"/>
        <v>0</v>
      </c>
      <c r="P446" s="198">
        <f t="shared" si="91"/>
        <v>0</v>
      </c>
      <c r="Q446" s="198">
        <f t="shared" si="91"/>
        <v>0</v>
      </c>
      <c r="R446" s="198">
        <f t="shared" si="91"/>
        <v>0</v>
      </c>
      <c r="S446" s="198">
        <f t="shared" si="91"/>
        <v>0</v>
      </c>
      <c r="T446" s="198">
        <f t="shared" si="91"/>
        <v>0</v>
      </c>
      <c r="U446" s="198">
        <f t="shared" si="91"/>
        <v>0</v>
      </c>
      <c r="V446" s="198">
        <f t="shared" si="91"/>
        <v>0</v>
      </c>
      <c r="W446" s="198">
        <f t="shared" si="91"/>
        <v>0</v>
      </c>
      <c r="X446" s="198">
        <f t="shared" si="91"/>
        <v>0</v>
      </c>
      <c r="Y446" s="198">
        <f t="shared" si="91"/>
        <v>0</v>
      </c>
      <c r="Z446" s="198">
        <f t="shared" si="91"/>
        <v>0</v>
      </c>
      <c r="AA446" s="198">
        <f t="shared" si="91"/>
        <v>0</v>
      </c>
      <c r="AB446" s="198">
        <f t="shared" si="91"/>
        <v>0</v>
      </c>
      <c r="AC446" s="70"/>
      <c r="AD446" s="19"/>
      <c r="AE446" s="19"/>
      <c r="AF446" s="19"/>
      <c r="AG446" s="19"/>
    </row>
    <row r="447" spans="1:33" s="59" customFormat="1" outlineLevel="2" x14ac:dyDescent="0.2">
      <c r="A447" s="57"/>
      <c r="B447" s="98">
        <v>2</v>
      </c>
      <c r="C447" s="506" t="str">
        <f t="shared" si="89"/>
        <v>Residential general light and power</v>
      </c>
      <c r="D447" s="505">
        <f t="shared" si="89"/>
        <v>0</v>
      </c>
      <c r="E447" s="505" t="str">
        <f t="shared" si="89"/>
        <v>no</v>
      </c>
      <c r="F447" s="58"/>
      <c r="G447" s="199">
        <f t="shared" si="90"/>
        <v>487.26768331683309</v>
      </c>
      <c r="H447" s="58"/>
      <c r="I447" s="198">
        <f t="shared" ref="I447:AB447" si="92">SUM(I348,I381,I414)</f>
        <v>192.31120000000001</v>
      </c>
      <c r="J447" s="198">
        <f t="shared" si="92"/>
        <v>294.95648331683304</v>
      </c>
      <c r="K447" s="198">
        <f t="shared" si="92"/>
        <v>0</v>
      </c>
      <c r="L447" s="198">
        <f t="shared" si="92"/>
        <v>0</v>
      </c>
      <c r="M447" s="198">
        <f t="shared" si="92"/>
        <v>0</v>
      </c>
      <c r="N447" s="198">
        <f t="shared" si="92"/>
        <v>0</v>
      </c>
      <c r="O447" s="198">
        <f t="shared" si="92"/>
        <v>0</v>
      </c>
      <c r="P447" s="198">
        <f t="shared" si="92"/>
        <v>0</v>
      </c>
      <c r="Q447" s="198">
        <f t="shared" si="92"/>
        <v>0</v>
      </c>
      <c r="R447" s="198">
        <f t="shared" si="92"/>
        <v>0</v>
      </c>
      <c r="S447" s="198">
        <f t="shared" si="92"/>
        <v>0</v>
      </c>
      <c r="T447" s="198">
        <f t="shared" si="92"/>
        <v>0</v>
      </c>
      <c r="U447" s="198">
        <f t="shared" si="92"/>
        <v>0</v>
      </c>
      <c r="V447" s="198">
        <f t="shared" si="92"/>
        <v>0</v>
      </c>
      <c r="W447" s="198">
        <f t="shared" si="92"/>
        <v>0</v>
      </c>
      <c r="X447" s="198">
        <f t="shared" si="92"/>
        <v>0</v>
      </c>
      <c r="Y447" s="198">
        <f t="shared" si="92"/>
        <v>0</v>
      </c>
      <c r="Z447" s="198">
        <f t="shared" si="92"/>
        <v>0</v>
      </c>
      <c r="AA447" s="198">
        <f t="shared" si="92"/>
        <v>0</v>
      </c>
      <c r="AB447" s="198">
        <f t="shared" si="92"/>
        <v>0</v>
      </c>
      <c r="AC447" s="70"/>
      <c r="AD447" s="57"/>
      <c r="AE447" s="57"/>
      <c r="AF447" s="57"/>
      <c r="AG447" s="57"/>
    </row>
    <row r="448" spans="1:33" outlineLevel="2" x14ac:dyDescent="0.2">
      <c r="A448" s="19"/>
      <c r="B448" s="97">
        <v>3</v>
      </c>
      <c r="C448" s="506" t="str">
        <f t="shared" si="89"/>
        <v>Residential pay as you go</v>
      </c>
      <c r="D448" s="505">
        <f t="shared" si="89"/>
        <v>0</v>
      </c>
      <c r="E448" s="505" t="str">
        <f t="shared" si="89"/>
        <v>no</v>
      </c>
      <c r="F448" s="58"/>
      <c r="G448" s="199">
        <f t="shared" si="90"/>
        <v>193.88069999999999</v>
      </c>
      <c r="H448" s="58"/>
      <c r="I448" s="198">
        <f t="shared" ref="I448:AB448" si="93">SUM(I349,I382,I415)</f>
        <v>193.88069999999999</v>
      </c>
      <c r="J448" s="198">
        <f t="shared" si="93"/>
        <v>0</v>
      </c>
      <c r="K448" s="198">
        <f t="shared" si="93"/>
        <v>0</v>
      </c>
      <c r="L448" s="198">
        <f t="shared" si="93"/>
        <v>0</v>
      </c>
      <c r="M448" s="198">
        <f t="shared" si="93"/>
        <v>0</v>
      </c>
      <c r="N448" s="198">
        <f t="shared" si="93"/>
        <v>0</v>
      </c>
      <c r="O448" s="198">
        <f t="shared" si="93"/>
        <v>0</v>
      </c>
      <c r="P448" s="198">
        <f t="shared" si="93"/>
        <v>0</v>
      </c>
      <c r="Q448" s="198">
        <f t="shared" si="93"/>
        <v>0</v>
      </c>
      <c r="R448" s="198">
        <f t="shared" si="93"/>
        <v>0</v>
      </c>
      <c r="S448" s="198">
        <f t="shared" si="93"/>
        <v>0</v>
      </c>
      <c r="T448" s="198">
        <f t="shared" si="93"/>
        <v>0</v>
      </c>
      <c r="U448" s="198">
        <f t="shared" si="93"/>
        <v>0</v>
      </c>
      <c r="V448" s="198">
        <f t="shared" si="93"/>
        <v>0</v>
      </c>
      <c r="W448" s="198">
        <f t="shared" si="93"/>
        <v>0</v>
      </c>
      <c r="X448" s="198">
        <f t="shared" si="93"/>
        <v>0</v>
      </c>
      <c r="Y448" s="198">
        <f t="shared" si="93"/>
        <v>0</v>
      </c>
      <c r="Z448" s="198">
        <f t="shared" si="93"/>
        <v>0</v>
      </c>
      <c r="AA448" s="198">
        <f t="shared" si="93"/>
        <v>0</v>
      </c>
      <c r="AB448" s="198">
        <f t="shared" si="93"/>
        <v>0</v>
      </c>
      <c r="AC448" s="70"/>
      <c r="AD448" s="19"/>
      <c r="AE448" s="19"/>
      <c r="AF448" s="19"/>
      <c r="AG448" s="19"/>
    </row>
    <row r="449" spans="1:33" outlineLevel="2" x14ac:dyDescent="0.2">
      <c r="A449" s="19"/>
      <c r="B449" s="97">
        <v>4</v>
      </c>
      <c r="C449" s="506" t="str">
        <f t="shared" si="89"/>
        <v>Residential pay as you go time of use</v>
      </c>
      <c r="D449" s="505">
        <f t="shared" si="89"/>
        <v>0</v>
      </c>
      <c r="E449" s="505" t="str">
        <f t="shared" si="89"/>
        <v>no</v>
      </c>
      <c r="F449" s="58"/>
      <c r="G449" s="199">
        <f t="shared" si="90"/>
        <v>210.24365</v>
      </c>
      <c r="H449" s="58"/>
      <c r="I449" s="198">
        <f t="shared" ref="I449:AB449" si="94">SUM(I350,I383,I416)</f>
        <v>210.24365</v>
      </c>
      <c r="J449" s="198">
        <f t="shared" si="94"/>
        <v>0</v>
      </c>
      <c r="K449" s="198">
        <f t="shared" si="94"/>
        <v>0</v>
      </c>
      <c r="L449" s="198">
        <f t="shared" si="94"/>
        <v>0</v>
      </c>
      <c r="M449" s="198">
        <f t="shared" si="94"/>
        <v>0</v>
      </c>
      <c r="N449" s="198">
        <f t="shared" si="94"/>
        <v>0</v>
      </c>
      <c r="O449" s="198">
        <f t="shared" si="94"/>
        <v>0</v>
      </c>
      <c r="P449" s="198">
        <f t="shared" si="94"/>
        <v>0</v>
      </c>
      <c r="Q449" s="198">
        <f t="shared" si="94"/>
        <v>0</v>
      </c>
      <c r="R449" s="198">
        <f t="shared" si="94"/>
        <v>0</v>
      </c>
      <c r="S449" s="198">
        <f t="shared" si="94"/>
        <v>0</v>
      </c>
      <c r="T449" s="198">
        <f t="shared" si="94"/>
        <v>0</v>
      </c>
      <c r="U449" s="198">
        <f t="shared" si="94"/>
        <v>0</v>
      </c>
      <c r="V449" s="198">
        <f t="shared" si="94"/>
        <v>0</v>
      </c>
      <c r="W449" s="198">
        <f t="shared" si="94"/>
        <v>0</v>
      </c>
      <c r="X449" s="198">
        <f t="shared" si="94"/>
        <v>0</v>
      </c>
      <c r="Y449" s="198">
        <f t="shared" si="94"/>
        <v>0</v>
      </c>
      <c r="Z449" s="198">
        <f t="shared" si="94"/>
        <v>0</v>
      </c>
      <c r="AA449" s="198">
        <f t="shared" si="94"/>
        <v>0</v>
      </c>
      <c r="AB449" s="198">
        <f t="shared" si="94"/>
        <v>0</v>
      </c>
      <c r="AC449" s="70"/>
      <c r="AD449" s="19"/>
      <c r="AE449" s="19"/>
      <c r="AF449" s="19"/>
      <c r="AG449" s="19"/>
    </row>
    <row r="450" spans="1:33" outlineLevel="2" x14ac:dyDescent="0.2">
      <c r="A450" s="19"/>
      <c r="B450" s="97">
        <v>5</v>
      </c>
      <c r="C450" s="506">
        <f t="shared" si="89"/>
        <v>0</v>
      </c>
      <c r="D450" s="505">
        <f t="shared" si="89"/>
        <v>0</v>
      </c>
      <c r="E450" s="505">
        <f t="shared" si="89"/>
        <v>0</v>
      </c>
      <c r="F450" s="58"/>
      <c r="G450" s="199">
        <f t="shared" si="90"/>
        <v>0</v>
      </c>
      <c r="H450" s="58"/>
      <c r="I450" s="198">
        <f t="shared" ref="I450:AB450" si="95">SUM(I351,I384,I417)</f>
        <v>0</v>
      </c>
      <c r="J450" s="198">
        <f t="shared" si="95"/>
        <v>0</v>
      </c>
      <c r="K450" s="198">
        <f t="shared" si="95"/>
        <v>0</v>
      </c>
      <c r="L450" s="198">
        <f t="shared" si="95"/>
        <v>0</v>
      </c>
      <c r="M450" s="198">
        <f t="shared" si="95"/>
        <v>0</v>
      </c>
      <c r="N450" s="198">
        <f t="shared" si="95"/>
        <v>0</v>
      </c>
      <c r="O450" s="198">
        <f t="shared" si="95"/>
        <v>0</v>
      </c>
      <c r="P450" s="198">
        <f t="shared" si="95"/>
        <v>0</v>
      </c>
      <c r="Q450" s="198">
        <f t="shared" si="95"/>
        <v>0</v>
      </c>
      <c r="R450" s="198">
        <f t="shared" si="95"/>
        <v>0</v>
      </c>
      <c r="S450" s="198">
        <f t="shared" si="95"/>
        <v>0</v>
      </c>
      <c r="T450" s="198">
        <f t="shared" si="95"/>
        <v>0</v>
      </c>
      <c r="U450" s="198">
        <f t="shared" si="95"/>
        <v>0</v>
      </c>
      <c r="V450" s="198">
        <f t="shared" si="95"/>
        <v>0</v>
      </c>
      <c r="W450" s="198">
        <f t="shared" si="95"/>
        <v>0</v>
      </c>
      <c r="X450" s="198">
        <f t="shared" si="95"/>
        <v>0</v>
      </c>
      <c r="Y450" s="198">
        <f t="shared" si="95"/>
        <v>0</v>
      </c>
      <c r="Z450" s="198">
        <f t="shared" si="95"/>
        <v>0</v>
      </c>
      <c r="AA450" s="198">
        <f t="shared" si="95"/>
        <v>0</v>
      </c>
      <c r="AB450" s="198">
        <f t="shared" si="95"/>
        <v>0</v>
      </c>
      <c r="AC450" s="70"/>
      <c r="AD450" s="19"/>
      <c r="AE450" s="19"/>
      <c r="AF450" s="19"/>
      <c r="AG450" s="19"/>
    </row>
    <row r="451" spans="1:33" hidden="1" outlineLevel="3" x14ac:dyDescent="0.2">
      <c r="A451" s="19"/>
      <c r="B451" s="97">
        <v>6</v>
      </c>
      <c r="C451" s="506">
        <f t="shared" si="89"/>
        <v>0</v>
      </c>
      <c r="D451" s="505">
        <f t="shared" si="89"/>
        <v>0</v>
      </c>
      <c r="E451" s="505">
        <f t="shared" si="89"/>
        <v>0</v>
      </c>
      <c r="F451" s="58"/>
      <c r="G451" s="199">
        <f t="shared" si="90"/>
        <v>0</v>
      </c>
      <c r="H451" s="58"/>
      <c r="I451" s="198">
        <f t="shared" ref="I451:AB451" si="96">SUM(I352,I385,I418)</f>
        <v>0</v>
      </c>
      <c r="J451" s="198">
        <f t="shared" si="96"/>
        <v>0</v>
      </c>
      <c r="K451" s="198">
        <f t="shared" si="96"/>
        <v>0</v>
      </c>
      <c r="L451" s="198">
        <f t="shared" si="96"/>
        <v>0</v>
      </c>
      <c r="M451" s="198">
        <f t="shared" si="96"/>
        <v>0</v>
      </c>
      <c r="N451" s="198">
        <f t="shared" si="96"/>
        <v>0</v>
      </c>
      <c r="O451" s="198">
        <f t="shared" si="96"/>
        <v>0</v>
      </c>
      <c r="P451" s="198">
        <f t="shared" si="96"/>
        <v>0</v>
      </c>
      <c r="Q451" s="198">
        <f t="shared" si="96"/>
        <v>0</v>
      </c>
      <c r="R451" s="198">
        <f t="shared" si="96"/>
        <v>0</v>
      </c>
      <c r="S451" s="198">
        <f t="shared" si="96"/>
        <v>0</v>
      </c>
      <c r="T451" s="198">
        <f t="shared" si="96"/>
        <v>0</v>
      </c>
      <c r="U451" s="198">
        <f t="shared" si="96"/>
        <v>0</v>
      </c>
      <c r="V451" s="198">
        <f t="shared" si="96"/>
        <v>0</v>
      </c>
      <c r="W451" s="198">
        <f t="shared" si="96"/>
        <v>0</v>
      </c>
      <c r="X451" s="198">
        <f t="shared" si="96"/>
        <v>0</v>
      </c>
      <c r="Y451" s="198">
        <f t="shared" si="96"/>
        <v>0</v>
      </c>
      <c r="Z451" s="198">
        <f t="shared" si="96"/>
        <v>0</v>
      </c>
      <c r="AA451" s="198">
        <f t="shared" si="96"/>
        <v>0</v>
      </c>
      <c r="AB451" s="198">
        <f t="shared" si="96"/>
        <v>0</v>
      </c>
      <c r="AC451" s="70"/>
      <c r="AD451" s="19"/>
      <c r="AE451" s="19"/>
      <c r="AF451" s="19"/>
      <c r="AG451" s="19"/>
    </row>
    <row r="452" spans="1:33" hidden="1" outlineLevel="3" x14ac:dyDescent="0.2">
      <c r="A452" s="19"/>
      <c r="B452" s="97">
        <v>7</v>
      </c>
      <c r="C452" s="506">
        <f t="shared" si="89"/>
        <v>0</v>
      </c>
      <c r="D452" s="505">
        <f t="shared" si="89"/>
        <v>0</v>
      </c>
      <c r="E452" s="505">
        <f t="shared" si="89"/>
        <v>0</v>
      </c>
      <c r="F452" s="58"/>
      <c r="G452" s="199">
        <f t="shared" si="90"/>
        <v>0</v>
      </c>
      <c r="H452" s="58"/>
      <c r="I452" s="198">
        <f t="shared" ref="I452:AB452" si="97">SUM(I353,I386,I419)</f>
        <v>0</v>
      </c>
      <c r="J452" s="198">
        <f t="shared" si="97"/>
        <v>0</v>
      </c>
      <c r="K452" s="198">
        <f t="shared" si="97"/>
        <v>0</v>
      </c>
      <c r="L452" s="198">
        <f t="shared" si="97"/>
        <v>0</v>
      </c>
      <c r="M452" s="198">
        <f t="shared" si="97"/>
        <v>0</v>
      </c>
      <c r="N452" s="198">
        <f t="shared" si="97"/>
        <v>0</v>
      </c>
      <c r="O452" s="198">
        <f t="shared" si="97"/>
        <v>0</v>
      </c>
      <c r="P452" s="198">
        <f t="shared" si="97"/>
        <v>0</v>
      </c>
      <c r="Q452" s="198">
        <f t="shared" si="97"/>
        <v>0</v>
      </c>
      <c r="R452" s="198">
        <f t="shared" si="97"/>
        <v>0</v>
      </c>
      <c r="S452" s="198">
        <f t="shared" si="97"/>
        <v>0</v>
      </c>
      <c r="T452" s="198">
        <f t="shared" si="97"/>
        <v>0</v>
      </c>
      <c r="U452" s="198">
        <f t="shared" si="97"/>
        <v>0</v>
      </c>
      <c r="V452" s="198">
        <f t="shared" si="97"/>
        <v>0</v>
      </c>
      <c r="W452" s="198">
        <f t="shared" si="97"/>
        <v>0</v>
      </c>
      <c r="X452" s="198">
        <f t="shared" si="97"/>
        <v>0</v>
      </c>
      <c r="Y452" s="198">
        <f t="shared" si="97"/>
        <v>0</v>
      </c>
      <c r="Z452" s="198">
        <f t="shared" si="97"/>
        <v>0</v>
      </c>
      <c r="AA452" s="198">
        <f t="shared" si="97"/>
        <v>0</v>
      </c>
      <c r="AB452" s="198">
        <f t="shared" si="97"/>
        <v>0</v>
      </c>
      <c r="AC452" s="70"/>
      <c r="AD452" s="19"/>
      <c r="AE452" s="19"/>
      <c r="AF452" s="19"/>
      <c r="AG452" s="19"/>
    </row>
    <row r="453" spans="1:33" hidden="1" outlineLevel="3" x14ac:dyDescent="0.2">
      <c r="A453" s="19"/>
      <c r="B453" s="97">
        <v>8</v>
      </c>
      <c r="C453" s="506">
        <f t="shared" si="89"/>
        <v>0</v>
      </c>
      <c r="D453" s="505">
        <f t="shared" si="89"/>
        <v>0</v>
      </c>
      <c r="E453" s="505">
        <f t="shared" si="89"/>
        <v>0</v>
      </c>
      <c r="F453" s="58"/>
      <c r="G453" s="199">
        <f t="shared" si="90"/>
        <v>0</v>
      </c>
      <c r="H453" s="58"/>
      <c r="I453" s="198">
        <f t="shared" ref="I453:AB453" si="98">SUM(I354,I387,I420)</f>
        <v>0</v>
      </c>
      <c r="J453" s="198">
        <f t="shared" si="98"/>
        <v>0</v>
      </c>
      <c r="K453" s="198">
        <f t="shared" si="98"/>
        <v>0</v>
      </c>
      <c r="L453" s="198">
        <f t="shared" si="98"/>
        <v>0</v>
      </c>
      <c r="M453" s="198">
        <f t="shared" si="98"/>
        <v>0</v>
      </c>
      <c r="N453" s="198">
        <f t="shared" si="98"/>
        <v>0</v>
      </c>
      <c r="O453" s="198">
        <f t="shared" si="98"/>
        <v>0</v>
      </c>
      <c r="P453" s="198">
        <f t="shared" si="98"/>
        <v>0</v>
      </c>
      <c r="Q453" s="198">
        <f t="shared" si="98"/>
        <v>0</v>
      </c>
      <c r="R453" s="198">
        <f t="shared" si="98"/>
        <v>0</v>
      </c>
      <c r="S453" s="198">
        <f t="shared" si="98"/>
        <v>0</v>
      </c>
      <c r="T453" s="198">
        <f t="shared" si="98"/>
        <v>0</v>
      </c>
      <c r="U453" s="198">
        <f t="shared" si="98"/>
        <v>0</v>
      </c>
      <c r="V453" s="198">
        <f t="shared" si="98"/>
        <v>0</v>
      </c>
      <c r="W453" s="198">
        <f t="shared" si="98"/>
        <v>0</v>
      </c>
      <c r="X453" s="198">
        <f t="shared" si="98"/>
        <v>0</v>
      </c>
      <c r="Y453" s="198">
        <f t="shared" si="98"/>
        <v>0</v>
      </c>
      <c r="Z453" s="198">
        <f t="shared" si="98"/>
        <v>0</v>
      </c>
      <c r="AA453" s="198">
        <f t="shared" si="98"/>
        <v>0</v>
      </c>
      <c r="AB453" s="198">
        <f t="shared" si="98"/>
        <v>0</v>
      </c>
      <c r="AC453" s="70"/>
      <c r="AD453" s="19"/>
      <c r="AE453" s="19"/>
      <c r="AF453" s="19"/>
      <c r="AG453" s="19"/>
    </row>
    <row r="454" spans="1:33" hidden="1" outlineLevel="3" x14ac:dyDescent="0.2">
      <c r="A454" s="19"/>
      <c r="B454" s="98">
        <v>9</v>
      </c>
      <c r="C454" s="506">
        <f t="shared" si="89"/>
        <v>0</v>
      </c>
      <c r="D454" s="505">
        <f t="shared" si="89"/>
        <v>0</v>
      </c>
      <c r="E454" s="505">
        <f t="shared" si="89"/>
        <v>0</v>
      </c>
      <c r="F454" s="58"/>
      <c r="G454" s="199">
        <f t="shared" si="90"/>
        <v>0</v>
      </c>
      <c r="H454" s="58"/>
      <c r="I454" s="198">
        <f t="shared" ref="I454:AB454" si="99">SUM(I355,I388,I421)</f>
        <v>0</v>
      </c>
      <c r="J454" s="198">
        <f t="shared" si="99"/>
        <v>0</v>
      </c>
      <c r="K454" s="198">
        <f t="shared" si="99"/>
        <v>0</v>
      </c>
      <c r="L454" s="198">
        <f t="shared" si="99"/>
        <v>0</v>
      </c>
      <c r="M454" s="198">
        <f t="shared" si="99"/>
        <v>0</v>
      </c>
      <c r="N454" s="198">
        <f t="shared" si="99"/>
        <v>0</v>
      </c>
      <c r="O454" s="198">
        <f t="shared" si="99"/>
        <v>0</v>
      </c>
      <c r="P454" s="198">
        <f t="shared" si="99"/>
        <v>0</v>
      </c>
      <c r="Q454" s="198">
        <f t="shared" si="99"/>
        <v>0</v>
      </c>
      <c r="R454" s="198">
        <f t="shared" si="99"/>
        <v>0</v>
      </c>
      <c r="S454" s="198">
        <f t="shared" si="99"/>
        <v>0</v>
      </c>
      <c r="T454" s="198">
        <f t="shared" si="99"/>
        <v>0</v>
      </c>
      <c r="U454" s="198">
        <f t="shared" si="99"/>
        <v>0</v>
      </c>
      <c r="V454" s="198">
        <f t="shared" si="99"/>
        <v>0</v>
      </c>
      <c r="W454" s="198">
        <f t="shared" si="99"/>
        <v>0</v>
      </c>
      <c r="X454" s="198">
        <f t="shared" si="99"/>
        <v>0</v>
      </c>
      <c r="Y454" s="198">
        <f t="shared" si="99"/>
        <v>0</v>
      </c>
      <c r="Z454" s="198">
        <f t="shared" si="99"/>
        <v>0</v>
      </c>
      <c r="AA454" s="198">
        <f t="shared" si="99"/>
        <v>0</v>
      </c>
      <c r="AB454" s="198">
        <f t="shared" si="99"/>
        <v>0</v>
      </c>
      <c r="AC454" s="70"/>
      <c r="AD454" s="19"/>
      <c r="AE454" s="19"/>
      <c r="AF454" s="19"/>
      <c r="AG454" s="19"/>
    </row>
    <row r="455" spans="1:33" hidden="1" outlineLevel="3" x14ac:dyDescent="0.2">
      <c r="A455" s="19"/>
      <c r="B455" s="97">
        <v>10</v>
      </c>
      <c r="C455" s="506">
        <f t="shared" si="89"/>
        <v>0</v>
      </c>
      <c r="D455" s="505">
        <f t="shared" si="89"/>
        <v>0</v>
      </c>
      <c r="E455" s="505">
        <f t="shared" si="89"/>
        <v>0</v>
      </c>
      <c r="F455" s="58"/>
      <c r="G455" s="199">
        <f t="shared" si="90"/>
        <v>0</v>
      </c>
      <c r="H455" s="58"/>
      <c r="I455" s="198">
        <f t="shared" ref="I455:AB455" si="100">SUM(I356,I389,I422)</f>
        <v>0</v>
      </c>
      <c r="J455" s="198">
        <f t="shared" si="100"/>
        <v>0</v>
      </c>
      <c r="K455" s="198">
        <f t="shared" si="100"/>
        <v>0</v>
      </c>
      <c r="L455" s="198">
        <f t="shared" si="100"/>
        <v>0</v>
      </c>
      <c r="M455" s="198">
        <f t="shared" si="100"/>
        <v>0</v>
      </c>
      <c r="N455" s="198">
        <f t="shared" si="100"/>
        <v>0</v>
      </c>
      <c r="O455" s="198">
        <f t="shared" si="100"/>
        <v>0</v>
      </c>
      <c r="P455" s="198">
        <f t="shared" si="100"/>
        <v>0</v>
      </c>
      <c r="Q455" s="198">
        <f t="shared" si="100"/>
        <v>0</v>
      </c>
      <c r="R455" s="198">
        <f t="shared" si="100"/>
        <v>0</v>
      </c>
      <c r="S455" s="198">
        <f t="shared" si="100"/>
        <v>0</v>
      </c>
      <c r="T455" s="198">
        <f t="shared" si="100"/>
        <v>0</v>
      </c>
      <c r="U455" s="198">
        <f t="shared" si="100"/>
        <v>0</v>
      </c>
      <c r="V455" s="198">
        <f t="shared" si="100"/>
        <v>0</v>
      </c>
      <c r="W455" s="198">
        <f t="shared" si="100"/>
        <v>0</v>
      </c>
      <c r="X455" s="198">
        <f t="shared" si="100"/>
        <v>0</v>
      </c>
      <c r="Y455" s="198">
        <f t="shared" si="100"/>
        <v>0</v>
      </c>
      <c r="Z455" s="198">
        <f t="shared" si="100"/>
        <v>0</v>
      </c>
      <c r="AA455" s="198">
        <f t="shared" si="100"/>
        <v>0</v>
      </c>
      <c r="AB455" s="198">
        <f t="shared" si="100"/>
        <v>0</v>
      </c>
      <c r="AC455" s="70"/>
      <c r="AD455" s="19"/>
      <c r="AE455" s="19"/>
      <c r="AF455" s="19"/>
      <c r="AG455" s="19"/>
    </row>
    <row r="456" spans="1:33" hidden="1" outlineLevel="3" x14ac:dyDescent="0.2">
      <c r="A456" s="19"/>
      <c r="B456" s="97">
        <v>11</v>
      </c>
      <c r="C456" s="506">
        <f t="shared" si="89"/>
        <v>0</v>
      </c>
      <c r="D456" s="505">
        <f t="shared" si="89"/>
        <v>0</v>
      </c>
      <c r="E456" s="505">
        <f t="shared" si="89"/>
        <v>0</v>
      </c>
      <c r="F456" s="58"/>
      <c r="G456" s="199">
        <f t="shared" si="90"/>
        <v>0</v>
      </c>
      <c r="H456" s="58"/>
      <c r="I456" s="198">
        <f t="shared" ref="I456:AB456" si="101">SUM(I357,I390,I423)</f>
        <v>0</v>
      </c>
      <c r="J456" s="198">
        <f t="shared" si="101"/>
        <v>0</v>
      </c>
      <c r="K456" s="198">
        <f t="shared" si="101"/>
        <v>0</v>
      </c>
      <c r="L456" s="198">
        <f t="shared" si="101"/>
        <v>0</v>
      </c>
      <c r="M456" s="198">
        <f t="shared" si="101"/>
        <v>0</v>
      </c>
      <c r="N456" s="198">
        <f t="shared" si="101"/>
        <v>0</v>
      </c>
      <c r="O456" s="198">
        <f t="shared" si="101"/>
        <v>0</v>
      </c>
      <c r="P456" s="198">
        <f t="shared" si="101"/>
        <v>0</v>
      </c>
      <c r="Q456" s="198">
        <f t="shared" si="101"/>
        <v>0</v>
      </c>
      <c r="R456" s="198">
        <f t="shared" si="101"/>
        <v>0</v>
      </c>
      <c r="S456" s="198">
        <f t="shared" si="101"/>
        <v>0</v>
      </c>
      <c r="T456" s="198">
        <f t="shared" si="101"/>
        <v>0</v>
      </c>
      <c r="U456" s="198">
        <f t="shared" si="101"/>
        <v>0</v>
      </c>
      <c r="V456" s="198">
        <f t="shared" si="101"/>
        <v>0</v>
      </c>
      <c r="W456" s="198">
        <f t="shared" si="101"/>
        <v>0</v>
      </c>
      <c r="X456" s="198">
        <f t="shared" si="101"/>
        <v>0</v>
      </c>
      <c r="Y456" s="198">
        <f t="shared" si="101"/>
        <v>0</v>
      </c>
      <c r="Z456" s="198">
        <f t="shared" si="101"/>
        <v>0</v>
      </c>
      <c r="AA456" s="198">
        <f t="shared" si="101"/>
        <v>0</v>
      </c>
      <c r="AB456" s="198">
        <f t="shared" si="101"/>
        <v>0</v>
      </c>
      <c r="AC456" s="70"/>
      <c r="AD456" s="19"/>
      <c r="AE456" s="19"/>
      <c r="AF456" s="19"/>
      <c r="AG456" s="19"/>
    </row>
    <row r="457" spans="1:33" hidden="1" outlineLevel="3" x14ac:dyDescent="0.2">
      <c r="A457" s="19"/>
      <c r="B457" s="97">
        <v>12</v>
      </c>
      <c r="C457" s="506">
        <f t="shared" si="89"/>
        <v>0</v>
      </c>
      <c r="D457" s="505">
        <f t="shared" si="89"/>
        <v>0</v>
      </c>
      <c r="E457" s="505">
        <f t="shared" si="89"/>
        <v>0</v>
      </c>
      <c r="F457" s="58"/>
      <c r="G457" s="199">
        <f t="shared" si="90"/>
        <v>0</v>
      </c>
      <c r="H457" s="58"/>
      <c r="I457" s="198">
        <f t="shared" ref="I457:AB457" si="102">SUM(I358,I391,I424)</f>
        <v>0</v>
      </c>
      <c r="J457" s="198">
        <f t="shared" si="102"/>
        <v>0</v>
      </c>
      <c r="K457" s="198">
        <f t="shared" si="102"/>
        <v>0</v>
      </c>
      <c r="L457" s="198">
        <f t="shared" si="102"/>
        <v>0</v>
      </c>
      <c r="M457" s="198">
        <f t="shared" si="102"/>
        <v>0</v>
      </c>
      <c r="N457" s="198">
        <f t="shared" si="102"/>
        <v>0</v>
      </c>
      <c r="O457" s="198">
        <f t="shared" si="102"/>
        <v>0</v>
      </c>
      <c r="P457" s="198">
        <f t="shared" si="102"/>
        <v>0</v>
      </c>
      <c r="Q457" s="198">
        <f t="shared" si="102"/>
        <v>0</v>
      </c>
      <c r="R457" s="198">
        <f t="shared" si="102"/>
        <v>0</v>
      </c>
      <c r="S457" s="198">
        <f t="shared" si="102"/>
        <v>0</v>
      </c>
      <c r="T457" s="198">
        <f t="shared" si="102"/>
        <v>0</v>
      </c>
      <c r="U457" s="198">
        <f t="shared" si="102"/>
        <v>0</v>
      </c>
      <c r="V457" s="198">
        <f t="shared" si="102"/>
        <v>0</v>
      </c>
      <c r="W457" s="198">
        <f t="shared" si="102"/>
        <v>0</v>
      </c>
      <c r="X457" s="198">
        <f t="shared" si="102"/>
        <v>0</v>
      </c>
      <c r="Y457" s="198">
        <f t="shared" si="102"/>
        <v>0</v>
      </c>
      <c r="Z457" s="198">
        <f t="shared" si="102"/>
        <v>0</v>
      </c>
      <c r="AA457" s="198">
        <f t="shared" si="102"/>
        <v>0</v>
      </c>
      <c r="AB457" s="198">
        <f t="shared" si="102"/>
        <v>0</v>
      </c>
      <c r="AC457" s="70"/>
      <c r="AD457" s="19"/>
      <c r="AE457" s="19"/>
      <c r="AF457" s="19"/>
      <c r="AG457" s="19"/>
    </row>
    <row r="458" spans="1:33" hidden="1" outlineLevel="3" x14ac:dyDescent="0.2">
      <c r="A458" s="19"/>
      <c r="B458" s="97">
        <v>13</v>
      </c>
      <c r="C458" s="506">
        <f t="shared" si="89"/>
        <v>0</v>
      </c>
      <c r="D458" s="505">
        <f t="shared" si="89"/>
        <v>0</v>
      </c>
      <c r="E458" s="505">
        <f t="shared" si="89"/>
        <v>0</v>
      </c>
      <c r="F458" s="58"/>
      <c r="G458" s="199">
        <f t="shared" si="90"/>
        <v>0</v>
      </c>
      <c r="H458" s="58"/>
      <c r="I458" s="198">
        <f t="shared" ref="I458:AB458" si="103">SUM(I359,I392,I425)</f>
        <v>0</v>
      </c>
      <c r="J458" s="198">
        <f t="shared" si="103"/>
        <v>0</v>
      </c>
      <c r="K458" s="198">
        <f t="shared" si="103"/>
        <v>0</v>
      </c>
      <c r="L458" s="198">
        <f t="shared" si="103"/>
        <v>0</v>
      </c>
      <c r="M458" s="198">
        <f t="shared" si="103"/>
        <v>0</v>
      </c>
      <c r="N458" s="198">
        <f t="shared" si="103"/>
        <v>0</v>
      </c>
      <c r="O458" s="198">
        <f t="shared" si="103"/>
        <v>0</v>
      </c>
      <c r="P458" s="198">
        <f t="shared" si="103"/>
        <v>0</v>
      </c>
      <c r="Q458" s="198">
        <f t="shared" si="103"/>
        <v>0</v>
      </c>
      <c r="R458" s="198">
        <f t="shared" si="103"/>
        <v>0</v>
      </c>
      <c r="S458" s="198">
        <f t="shared" si="103"/>
        <v>0</v>
      </c>
      <c r="T458" s="198">
        <f t="shared" si="103"/>
        <v>0</v>
      </c>
      <c r="U458" s="198">
        <f t="shared" si="103"/>
        <v>0</v>
      </c>
      <c r="V458" s="198">
        <f t="shared" si="103"/>
        <v>0</v>
      </c>
      <c r="W458" s="198">
        <f t="shared" si="103"/>
        <v>0</v>
      </c>
      <c r="X458" s="198">
        <f t="shared" si="103"/>
        <v>0</v>
      </c>
      <c r="Y458" s="198">
        <f t="shared" si="103"/>
        <v>0</v>
      </c>
      <c r="Z458" s="198">
        <f t="shared" si="103"/>
        <v>0</v>
      </c>
      <c r="AA458" s="198">
        <f t="shared" si="103"/>
        <v>0</v>
      </c>
      <c r="AB458" s="198">
        <f t="shared" si="103"/>
        <v>0</v>
      </c>
      <c r="AC458" s="70"/>
      <c r="AD458" s="19"/>
      <c r="AE458" s="19"/>
      <c r="AF458" s="19"/>
      <c r="AG458" s="19"/>
    </row>
    <row r="459" spans="1:33" hidden="1" outlineLevel="3" x14ac:dyDescent="0.2">
      <c r="A459" s="19"/>
      <c r="B459" s="97">
        <v>14</v>
      </c>
      <c r="C459" s="506">
        <f t="shared" si="89"/>
        <v>0</v>
      </c>
      <c r="D459" s="505">
        <f t="shared" si="89"/>
        <v>0</v>
      </c>
      <c r="E459" s="505">
        <f t="shared" si="89"/>
        <v>0</v>
      </c>
      <c r="F459" s="58"/>
      <c r="G459" s="199">
        <f t="shared" si="90"/>
        <v>0</v>
      </c>
      <c r="H459" s="58"/>
      <c r="I459" s="198">
        <f t="shared" ref="I459:AB459" si="104">SUM(I360,I393,I426)</f>
        <v>0</v>
      </c>
      <c r="J459" s="198">
        <f t="shared" si="104"/>
        <v>0</v>
      </c>
      <c r="K459" s="198">
        <f t="shared" si="104"/>
        <v>0</v>
      </c>
      <c r="L459" s="198">
        <f t="shared" si="104"/>
        <v>0</v>
      </c>
      <c r="M459" s="198">
        <f t="shared" si="104"/>
        <v>0</v>
      </c>
      <c r="N459" s="198">
        <f t="shared" si="104"/>
        <v>0</v>
      </c>
      <c r="O459" s="198">
        <f t="shared" si="104"/>
        <v>0</v>
      </c>
      <c r="P459" s="198">
        <f t="shared" si="104"/>
        <v>0</v>
      </c>
      <c r="Q459" s="198">
        <f t="shared" si="104"/>
        <v>0</v>
      </c>
      <c r="R459" s="198">
        <f t="shared" si="104"/>
        <v>0</v>
      </c>
      <c r="S459" s="198">
        <f t="shared" si="104"/>
        <v>0</v>
      </c>
      <c r="T459" s="198">
        <f t="shared" si="104"/>
        <v>0</v>
      </c>
      <c r="U459" s="198">
        <f t="shared" si="104"/>
        <v>0</v>
      </c>
      <c r="V459" s="198">
        <f t="shared" si="104"/>
        <v>0</v>
      </c>
      <c r="W459" s="198">
        <f t="shared" si="104"/>
        <v>0</v>
      </c>
      <c r="X459" s="198">
        <f t="shared" si="104"/>
        <v>0</v>
      </c>
      <c r="Y459" s="198">
        <f t="shared" si="104"/>
        <v>0</v>
      </c>
      <c r="Z459" s="198">
        <f t="shared" si="104"/>
        <v>0</v>
      </c>
      <c r="AA459" s="198">
        <f t="shared" si="104"/>
        <v>0</v>
      </c>
      <c r="AB459" s="198">
        <f t="shared" si="104"/>
        <v>0</v>
      </c>
      <c r="AC459" s="70"/>
      <c r="AD459" s="19"/>
      <c r="AE459" s="19"/>
      <c r="AF459" s="19"/>
      <c r="AG459" s="19"/>
    </row>
    <row r="460" spans="1:33" hidden="1" outlineLevel="3" x14ac:dyDescent="0.2">
      <c r="A460" s="19"/>
      <c r="B460" s="97">
        <v>15</v>
      </c>
      <c r="C460" s="506">
        <f t="shared" si="89"/>
        <v>0</v>
      </c>
      <c r="D460" s="505">
        <f t="shared" si="89"/>
        <v>0</v>
      </c>
      <c r="E460" s="505">
        <f t="shared" si="89"/>
        <v>0</v>
      </c>
      <c r="F460" s="58"/>
      <c r="G460" s="199">
        <f t="shared" si="90"/>
        <v>0</v>
      </c>
      <c r="H460" s="58"/>
      <c r="I460" s="198">
        <f t="shared" ref="I460:AB460" si="105">SUM(I361,I394,I427)</f>
        <v>0</v>
      </c>
      <c r="J460" s="198">
        <f t="shared" si="105"/>
        <v>0</v>
      </c>
      <c r="K460" s="198">
        <f t="shared" si="105"/>
        <v>0</v>
      </c>
      <c r="L460" s="198">
        <f t="shared" si="105"/>
        <v>0</v>
      </c>
      <c r="M460" s="198">
        <f t="shared" si="105"/>
        <v>0</v>
      </c>
      <c r="N460" s="198">
        <f t="shared" si="105"/>
        <v>0</v>
      </c>
      <c r="O460" s="198">
        <f t="shared" si="105"/>
        <v>0</v>
      </c>
      <c r="P460" s="198">
        <f t="shared" si="105"/>
        <v>0</v>
      </c>
      <c r="Q460" s="198">
        <f t="shared" si="105"/>
        <v>0</v>
      </c>
      <c r="R460" s="198">
        <f t="shared" si="105"/>
        <v>0</v>
      </c>
      <c r="S460" s="198">
        <f t="shared" si="105"/>
        <v>0</v>
      </c>
      <c r="T460" s="198">
        <f t="shared" si="105"/>
        <v>0</v>
      </c>
      <c r="U460" s="198">
        <f t="shared" si="105"/>
        <v>0</v>
      </c>
      <c r="V460" s="198">
        <f t="shared" si="105"/>
        <v>0</v>
      </c>
      <c r="W460" s="198">
        <f t="shared" si="105"/>
        <v>0</v>
      </c>
      <c r="X460" s="198">
        <f t="shared" si="105"/>
        <v>0</v>
      </c>
      <c r="Y460" s="198">
        <f t="shared" si="105"/>
        <v>0</v>
      </c>
      <c r="Z460" s="198">
        <f t="shared" si="105"/>
        <v>0</v>
      </c>
      <c r="AA460" s="198">
        <f t="shared" si="105"/>
        <v>0</v>
      </c>
      <c r="AB460" s="198">
        <f t="shared" si="105"/>
        <v>0</v>
      </c>
      <c r="AC460" s="70"/>
      <c r="AD460" s="19"/>
      <c r="AE460" s="19"/>
      <c r="AF460" s="19"/>
      <c r="AG460" s="19"/>
    </row>
    <row r="461" spans="1:33" hidden="1" outlineLevel="3" x14ac:dyDescent="0.2">
      <c r="A461" s="19"/>
      <c r="B461" s="98">
        <v>16</v>
      </c>
      <c r="C461" s="506">
        <f t="shared" si="89"/>
        <v>0</v>
      </c>
      <c r="D461" s="505">
        <f t="shared" si="89"/>
        <v>0</v>
      </c>
      <c r="E461" s="505">
        <f t="shared" si="89"/>
        <v>0</v>
      </c>
      <c r="F461" s="58"/>
      <c r="G461" s="199">
        <f t="shared" si="90"/>
        <v>0</v>
      </c>
      <c r="H461" s="58"/>
      <c r="I461" s="198">
        <f t="shared" ref="I461:AB461" si="106">SUM(I362,I395,I428)</f>
        <v>0</v>
      </c>
      <c r="J461" s="198">
        <f t="shared" si="106"/>
        <v>0</v>
      </c>
      <c r="K461" s="198">
        <f t="shared" si="106"/>
        <v>0</v>
      </c>
      <c r="L461" s="198">
        <f t="shared" si="106"/>
        <v>0</v>
      </c>
      <c r="M461" s="198">
        <f t="shared" si="106"/>
        <v>0</v>
      </c>
      <c r="N461" s="198">
        <f t="shared" si="106"/>
        <v>0</v>
      </c>
      <c r="O461" s="198">
        <f t="shared" si="106"/>
        <v>0</v>
      </c>
      <c r="P461" s="198">
        <f t="shared" si="106"/>
        <v>0</v>
      </c>
      <c r="Q461" s="198">
        <f t="shared" si="106"/>
        <v>0</v>
      </c>
      <c r="R461" s="198">
        <f t="shared" si="106"/>
        <v>0</v>
      </c>
      <c r="S461" s="198">
        <f t="shared" si="106"/>
        <v>0</v>
      </c>
      <c r="T461" s="198">
        <f t="shared" si="106"/>
        <v>0</v>
      </c>
      <c r="U461" s="198">
        <f t="shared" si="106"/>
        <v>0</v>
      </c>
      <c r="V461" s="198">
        <f t="shared" si="106"/>
        <v>0</v>
      </c>
      <c r="W461" s="198">
        <f t="shared" si="106"/>
        <v>0</v>
      </c>
      <c r="X461" s="198">
        <f t="shared" si="106"/>
        <v>0</v>
      </c>
      <c r="Y461" s="198">
        <f t="shared" si="106"/>
        <v>0</v>
      </c>
      <c r="Z461" s="198">
        <f t="shared" si="106"/>
        <v>0</v>
      </c>
      <c r="AA461" s="198">
        <f t="shared" si="106"/>
        <v>0</v>
      </c>
      <c r="AB461" s="198">
        <f t="shared" si="106"/>
        <v>0</v>
      </c>
      <c r="AC461" s="70"/>
      <c r="AD461" s="19"/>
      <c r="AE461" s="19"/>
      <c r="AF461" s="19"/>
      <c r="AG461" s="19"/>
    </row>
    <row r="462" spans="1:33" hidden="1" outlineLevel="3" x14ac:dyDescent="0.2">
      <c r="A462" s="19"/>
      <c r="B462" s="97">
        <v>17</v>
      </c>
      <c r="C462" s="506">
        <f t="shared" si="89"/>
        <v>0</v>
      </c>
      <c r="D462" s="505">
        <f t="shared" si="89"/>
        <v>0</v>
      </c>
      <c r="E462" s="505">
        <f t="shared" si="89"/>
        <v>0</v>
      </c>
      <c r="F462" s="58"/>
      <c r="G462" s="199">
        <f t="shared" si="90"/>
        <v>0</v>
      </c>
      <c r="H462" s="58"/>
      <c r="I462" s="198">
        <f t="shared" ref="I462:AB462" si="107">SUM(I363,I396,I429)</f>
        <v>0</v>
      </c>
      <c r="J462" s="198">
        <f t="shared" si="107"/>
        <v>0</v>
      </c>
      <c r="K462" s="198">
        <f t="shared" si="107"/>
        <v>0</v>
      </c>
      <c r="L462" s="198">
        <f t="shared" si="107"/>
        <v>0</v>
      </c>
      <c r="M462" s="198">
        <f t="shared" si="107"/>
        <v>0</v>
      </c>
      <c r="N462" s="198">
        <f t="shared" si="107"/>
        <v>0</v>
      </c>
      <c r="O462" s="198">
        <f t="shared" si="107"/>
        <v>0</v>
      </c>
      <c r="P462" s="198">
        <f t="shared" si="107"/>
        <v>0</v>
      </c>
      <c r="Q462" s="198">
        <f t="shared" si="107"/>
        <v>0</v>
      </c>
      <c r="R462" s="198">
        <f t="shared" si="107"/>
        <v>0</v>
      </c>
      <c r="S462" s="198">
        <f t="shared" si="107"/>
        <v>0</v>
      </c>
      <c r="T462" s="198">
        <f t="shared" si="107"/>
        <v>0</v>
      </c>
      <c r="U462" s="198">
        <f t="shared" si="107"/>
        <v>0</v>
      </c>
      <c r="V462" s="198">
        <f t="shared" si="107"/>
        <v>0</v>
      </c>
      <c r="W462" s="198">
        <f t="shared" si="107"/>
        <v>0</v>
      </c>
      <c r="X462" s="198">
        <f t="shared" si="107"/>
        <v>0</v>
      </c>
      <c r="Y462" s="198">
        <f t="shared" si="107"/>
        <v>0</v>
      </c>
      <c r="Z462" s="198">
        <f t="shared" si="107"/>
        <v>0</v>
      </c>
      <c r="AA462" s="198">
        <f t="shared" si="107"/>
        <v>0</v>
      </c>
      <c r="AB462" s="198">
        <f t="shared" si="107"/>
        <v>0</v>
      </c>
      <c r="AC462" s="70"/>
      <c r="AD462" s="19"/>
      <c r="AE462" s="19"/>
      <c r="AF462" s="19"/>
      <c r="AG462" s="19"/>
    </row>
    <row r="463" spans="1:33" hidden="1" outlineLevel="3" x14ac:dyDescent="0.2">
      <c r="A463" s="19"/>
      <c r="B463" s="97">
        <v>18</v>
      </c>
      <c r="C463" s="506">
        <f t="shared" si="89"/>
        <v>0</v>
      </c>
      <c r="D463" s="505">
        <f t="shared" si="89"/>
        <v>0</v>
      </c>
      <c r="E463" s="505">
        <f t="shared" si="89"/>
        <v>0</v>
      </c>
      <c r="F463" s="58"/>
      <c r="G463" s="199">
        <f t="shared" si="90"/>
        <v>0</v>
      </c>
      <c r="H463" s="58"/>
      <c r="I463" s="198">
        <f t="shared" ref="I463:AB463" si="108">SUM(I364,I397,I430)</f>
        <v>0</v>
      </c>
      <c r="J463" s="198">
        <f t="shared" si="108"/>
        <v>0</v>
      </c>
      <c r="K463" s="198">
        <f t="shared" si="108"/>
        <v>0</v>
      </c>
      <c r="L463" s="198">
        <f t="shared" si="108"/>
        <v>0</v>
      </c>
      <c r="M463" s="198">
        <f t="shared" si="108"/>
        <v>0</v>
      </c>
      <c r="N463" s="198">
        <f t="shared" si="108"/>
        <v>0</v>
      </c>
      <c r="O463" s="198">
        <f t="shared" si="108"/>
        <v>0</v>
      </c>
      <c r="P463" s="198">
        <f t="shared" si="108"/>
        <v>0</v>
      </c>
      <c r="Q463" s="198">
        <f t="shared" si="108"/>
        <v>0</v>
      </c>
      <c r="R463" s="198">
        <f t="shared" si="108"/>
        <v>0</v>
      </c>
      <c r="S463" s="198">
        <f t="shared" si="108"/>
        <v>0</v>
      </c>
      <c r="T463" s="198">
        <f t="shared" si="108"/>
        <v>0</v>
      </c>
      <c r="U463" s="198">
        <f t="shared" si="108"/>
        <v>0</v>
      </c>
      <c r="V463" s="198">
        <f t="shared" si="108"/>
        <v>0</v>
      </c>
      <c r="W463" s="198">
        <f t="shared" si="108"/>
        <v>0</v>
      </c>
      <c r="X463" s="198">
        <f t="shared" si="108"/>
        <v>0</v>
      </c>
      <c r="Y463" s="198">
        <f t="shared" si="108"/>
        <v>0</v>
      </c>
      <c r="Z463" s="198">
        <f t="shared" si="108"/>
        <v>0</v>
      </c>
      <c r="AA463" s="198">
        <f t="shared" si="108"/>
        <v>0</v>
      </c>
      <c r="AB463" s="198">
        <f t="shared" si="108"/>
        <v>0</v>
      </c>
      <c r="AC463" s="70"/>
      <c r="AD463" s="19"/>
      <c r="AE463" s="19"/>
      <c r="AF463" s="19"/>
      <c r="AG463" s="19"/>
    </row>
    <row r="464" spans="1:33" hidden="1" outlineLevel="3" x14ac:dyDescent="0.2">
      <c r="A464" s="19"/>
      <c r="B464" s="97">
        <v>19</v>
      </c>
      <c r="C464" s="506">
        <f t="shared" si="89"/>
        <v>0</v>
      </c>
      <c r="D464" s="505">
        <f t="shared" si="89"/>
        <v>0</v>
      </c>
      <c r="E464" s="505">
        <f t="shared" si="89"/>
        <v>0</v>
      </c>
      <c r="F464" s="58"/>
      <c r="G464" s="199">
        <f t="shared" si="90"/>
        <v>0</v>
      </c>
      <c r="H464" s="58"/>
      <c r="I464" s="198">
        <f t="shared" ref="I464:AB464" si="109">SUM(I365,I398,I431)</f>
        <v>0</v>
      </c>
      <c r="J464" s="198">
        <f t="shared" si="109"/>
        <v>0</v>
      </c>
      <c r="K464" s="198">
        <f t="shared" si="109"/>
        <v>0</v>
      </c>
      <c r="L464" s="198">
        <f t="shared" si="109"/>
        <v>0</v>
      </c>
      <c r="M464" s="198">
        <f t="shared" si="109"/>
        <v>0</v>
      </c>
      <c r="N464" s="198">
        <f t="shared" si="109"/>
        <v>0</v>
      </c>
      <c r="O464" s="198">
        <f t="shared" si="109"/>
        <v>0</v>
      </c>
      <c r="P464" s="198">
        <f t="shared" si="109"/>
        <v>0</v>
      </c>
      <c r="Q464" s="198">
        <f t="shared" si="109"/>
        <v>0</v>
      </c>
      <c r="R464" s="198">
        <f t="shared" si="109"/>
        <v>0</v>
      </c>
      <c r="S464" s="198">
        <f t="shared" si="109"/>
        <v>0</v>
      </c>
      <c r="T464" s="198">
        <f t="shared" si="109"/>
        <v>0</v>
      </c>
      <c r="U464" s="198">
        <f t="shared" si="109"/>
        <v>0</v>
      </c>
      <c r="V464" s="198">
        <f t="shared" si="109"/>
        <v>0</v>
      </c>
      <c r="W464" s="198">
        <f t="shared" si="109"/>
        <v>0</v>
      </c>
      <c r="X464" s="198">
        <f t="shared" si="109"/>
        <v>0</v>
      </c>
      <c r="Y464" s="198">
        <f t="shared" si="109"/>
        <v>0</v>
      </c>
      <c r="Z464" s="198">
        <f t="shared" si="109"/>
        <v>0</v>
      </c>
      <c r="AA464" s="198">
        <f t="shared" si="109"/>
        <v>0</v>
      </c>
      <c r="AB464" s="198">
        <f t="shared" si="109"/>
        <v>0</v>
      </c>
      <c r="AC464" s="70"/>
      <c r="AD464" s="19"/>
      <c r="AE464" s="19"/>
      <c r="AF464" s="19"/>
      <c r="AG464" s="19"/>
    </row>
    <row r="465" spans="1:33" hidden="1" outlineLevel="3" x14ac:dyDescent="0.2">
      <c r="A465" s="19"/>
      <c r="B465" s="97">
        <v>20</v>
      </c>
      <c r="C465" s="506">
        <f t="shared" si="89"/>
        <v>0</v>
      </c>
      <c r="D465" s="505">
        <f t="shared" si="89"/>
        <v>0</v>
      </c>
      <c r="E465" s="505">
        <f t="shared" si="89"/>
        <v>0</v>
      </c>
      <c r="F465" s="58"/>
      <c r="G465" s="199">
        <f t="shared" si="90"/>
        <v>0</v>
      </c>
      <c r="H465" s="58"/>
      <c r="I465" s="198">
        <f t="shared" ref="I465:AB465" si="110">SUM(I366,I399,I432)</f>
        <v>0</v>
      </c>
      <c r="J465" s="198">
        <f t="shared" si="110"/>
        <v>0</v>
      </c>
      <c r="K465" s="198">
        <f t="shared" si="110"/>
        <v>0</v>
      </c>
      <c r="L465" s="198">
        <f t="shared" si="110"/>
        <v>0</v>
      </c>
      <c r="M465" s="198">
        <f t="shared" si="110"/>
        <v>0</v>
      </c>
      <c r="N465" s="198">
        <f t="shared" si="110"/>
        <v>0</v>
      </c>
      <c r="O465" s="198">
        <f t="shared" si="110"/>
        <v>0</v>
      </c>
      <c r="P465" s="198">
        <f t="shared" si="110"/>
        <v>0</v>
      </c>
      <c r="Q465" s="198">
        <f t="shared" si="110"/>
        <v>0</v>
      </c>
      <c r="R465" s="198">
        <f t="shared" si="110"/>
        <v>0</v>
      </c>
      <c r="S465" s="198">
        <f t="shared" si="110"/>
        <v>0</v>
      </c>
      <c r="T465" s="198">
        <f t="shared" si="110"/>
        <v>0</v>
      </c>
      <c r="U465" s="198">
        <f t="shared" si="110"/>
        <v>0</v>
      </c>
      <c r="V465" s="198">
        <f t="shared" si="110"/>
        <v>0</v>
      </c>
      <c r="W465" s="198">
        <f t="shared" si="110"/>
        <v>0</v>
      </c>
      <c r="X465" s="198">
        <f t="shared" si="110"/>
        <v>0</v>
      </c>
      <c r="Y465" s="198">
        <f t="shared" si="110"/>
        <v>0</v>
      </c>
      <c r="Z465" s="198">
        <f t="shared" si="110"/>
        <v>0</v>
      </c>
      <c r="AA465" s="198">
        <f t="shared" si="110"/>
        <v>0</v>
      </c>
      <c r="AB465" s="198">
        <f t="shared" si="110"/>
        <v>0</v>
      </c>
      <c r="AC465" s="70"/>
      <c r="AD465" s="19"/>
      <c r="AE465" s="19"/>
      <c r="AF465" s="19"/>
      <c r="AG465" s="19"/>
    </row>
    <row r="466" spans="1:33" hidden="1" outlineLevel="3" x14ac:dyDescent="0.2">
      <c r="A466" s="19"/>
      <c r="B466" s="97">
        <v>21</v>
      </c>
      <c r="C466" s="506">
        <f t="shared" si="89"/>
        <v>0</v>
      </c>
      <c r="D466" s="505">
        <f t="shared" si="89"/>
        <v>0</v>
      </c>
      <c r="E466" s="505">
        <f t="shared" si="89"/>
        <v>0</v>
      </c>
      <c r="F466" s="58"/>
      <c r="G466" s="199">
        <f t="shared" si="90"/>
        <v>0</v>
      </c>
      <c r="H466" s="58"/>
      <c r="I466" s="198">
        <f t="shared" ref="I466:AB466" si="111">SUM(I367,I400,I433)</f>
        <v>0</v>
      </c>
      <c r="J466" s="198">
        <f t="shared" si="111"/>
        <v>0</v>
      </c>
      <c r="K466" s="198">
        <f t="shared" si="111"/>
        <v>0</v>
      </c>
      <c r="L466" s="198">
        <f t="shared" si="111"/>
        <v>0</v>
      </c>
      <c r="M466" s="198">
        <f t="shared" si="111"/>
        <v>0</v>
      </c>
      <c r="N466" s="198">
        <f t="shared" si="111"/>
        <v>0</v>
      </c>
      <c r="O466" s="198">
        <f t="shared" si="111"/>
        <v>0</v>
      </c>
      <c r="P466" s="198">
        <f t="shared" si="111"/>
        <v>0</v>
      </c>
      <c r="Q466" s="198">
        <f t="shared" si="111"/>
        <v>0</v>
      </c>
      <c r="R466" s="198">
        <f t="shared" si="111"/>
        <v>0</v>
      </c>
      <c r="S466" s="198">
        <f t="shared" si="111"/>
        <v>0</v>
      </c>
      <c r="T466" s="198">
        <f t="shared" si="111"/>
        <v>0</v>
      </c>
      <c r="U466" s="198">
        <f t="shared" si="111"/>
        <v>0</v>
      </c>
      <c r="V466" s="198">
        <f t="shared" si="111"/>
        <v>0</v>
      </c>
      <c r="W466" s="198">
        <f t="shared" si="111"/>
        <v>0</v>
      </c>
      <c r="X466" s="198">
        <f t="shared" si="111"/>
        <v>0</v>
      </c>
      <c r="Y466" s="198">
        <f t="shared" si="111"/>
        <v>0</v>
      </c>
      <c r="Z466" s="198">
        <f t="shared" si="111"/>
        <v>0</v>
      </c>
      <c r="AA466" s="198">
        <f t="shared" si="111"/>
        <v>0</v>
      </c>
      <c r="AB466" s="198">
        <f t="shared" si="111"/>
        <v>0</v>
      </c>
      <c r="AC466" s="70"/>
      <c r="AD466" s="19"/>
      <c r="AE466" s="19"/>
      <c r="AF466" s="19"/>
      <c r="AG466" s="19"/>
    </row>
    <row r="467" spans="1:33" hidden="1" outlineLevel="3" x14ac:dyDescent="0.2">
      <c r="A467" s="19"/>
      <c r="B467" s="97">
        <v>22</v>
      </c>
      <c r="C467" s="506">
        <f t="shared" si="89"/>
        <v>0</v>
      </c>
      <c r="D467" s="505">
        <f t="shared" si="89"/>
        <v>0</v>
      </c>
      <c r="E467" s="505">
        <f t="shared" si="89"/>
        <v>0</v>
      </c>
      <c r="F467" s="58"/>
      <c r="G467" s="199">
        <f t="shared" si="90"/>
        <v>0</v>
      </c>
      <c r="H467" s="58"/>
      <c r="I467" s="198">
        <f t="shared" ref="I467:AB467" si="112">SUM(I368,I401,I434)</f>
        <v>0</v>
      </c>
      <c r="J467" s="198">
        <f t="shared" si="112"/>
        <v>0</v>
      </c>
      <c r="K467" s="198">
        <f t="shared" si="112"/>
        <v>0</v>
      </c>
      <c r="L467" s="198">
        <f t="shared" si="112"/>
        <v>0</v>
      </c>
      <c r="M467" s="198">
        <f t="shared" si="112"/>
        <v>0</v>
      </c>
      <c r="N467" s="198">
        <f t="shared" si="112"/>
        <v>0</v>
      </c>
      <c r="O467" s="198">
        <f t="shared" si="112"/>
        <v>0</v>
      </c>
      <c r="P467" s="198">
        <f t="shared" si="112"/>
        <v>0</v>
      </c>
      <c r="Q467" s="198">
        <f t="shared" si="112"/>
        <v>0</v>
      </c>
      <c r="R467" s="198">
        <f t="shared" si="112"/>
        <v>0</v>
      </c>
      <c r="S467" s="198">
        <f t="shared" si="112"/>
        <v>0</v>
      </c>
      <c r="T467" s="198">
        <f t="shared" si="112"/>
        <v>0</v>
      </c>
      <c r="U467" s="198">
        <f t="shared" si="112"/>
        <v>0</v>
      </c>
      <c r="V467" s="198">
        <f t="shared" si="112"/>
        <v>0</v>
      </c>
      <c r="W467" s="198">
        <f t="shared" si="112"/>
        <v>0</v>
      </c>
      <c r="X467" s="198">
        <f t="shared" si="112"/>
        <v>0</v>
      </c>
      <c r="Y467" s="198">
        <f t="shared" si="112"/>
        <v>0</v>
      </c>
      <c r="Z467" s="198">
        <f t="shared" si="112"/>
        <v>0</v>
      </c>
      <c r="AA467" s="198">
        <f t="shared" si="112"/>
        <v>0</v>
      </c>
      <c r="AB467" s="198">
        <f t="shared" si="112"/>
        <v>0</v>
      </c>
      <c r="AC467" s="70"/>
      <c r="AD467" s="19"/>
      <c r="AE467" s="19"/>
      <c r="AF467" s="19"/>
      <c r="AG467" s="19"/>
    </row>
    <row r="468" spans="1:33" hidden="1" outlineLevel="3" x14ac:dyDescent="0.2">
      <c r="A468" s="19"/>
      <c r="B468" s="98">
        <v>23</v>
      </c>
      <c r="C468" s="506">
        <f t="shared" si="89"/>
        <v>0</v>
      </c>
      <c r="D468" s="505">
        <f t="shared" si="89"/>
        <v>0</v>
      </c>
      <c r="E468" s="505">
        <f t="shared" si="89"/>
        <v>0</v>
      </c>
      <c r="F468" s="58"/>
      <c r="G468" s="199">
        <f t="shared" si="90"/>
        <v>0</v>
      </c>
      <c r="H468" s="58"/>
      <c r="I468" s="198">
        <f t="shared" ref="I468:AB468" si="113">SUM(I369,I402,I435)</f>
        <v>0</v>
      </c>
      <c r="J468" s="198">
        <f t="shared" si="113"/>
        <v>0</v>
      </c>
      <c r="K468" s="198">
        <f t="shared" si="113"/>
        <v>0</v>
      </c>
      <c r="L468" s="198">
        <f t="shared" si="113"/>
        <v>0</v>
      </c>
      <c r="M468" s="198">
        <f t="shared" si="113"/>
        <v>0</v>
      </c>
      <c r="N468" s="198">
        <f t="shared" si="113"/>
        <v>0</v>
      </c>
      <c r="O468" s="198">
        <f t="shared" si="113"/>
        <v>0</v>
      </c>
      <c r="P468" s="198">
        <f t="shared" si="113"/>
        <v>0</v>
      </c>
      <c r="Q468" s="198">
        <f t="shared" si="113"/>
        <v>0</v>
      </c>
      <c r="R468" s="198">
        <f t="shared" si="113"/>
        <v>0</v>
      </c>
      <c r="S468" s="198">
        <f t="shared" si="113"/>
        <v>0</v>
      </c>
      <c r="T468" s="198">
        <f t="shared" si="113"/>
        <v>0</v>
      </c>
      <c r="U468" s="198">
        <f t="shared" si="113"/>
        <v>0</v>
      </c>
      <c r="V468" s="198">
        <f t="shared" si="113"/>
        <v>0</v>
      </c>
      <c r="W468" s="198">
        <f t="shared" si="113"/>
        <v>0</v>
      </c>
      <c r="X468" s="198">
        <f t="shared" si="113"/>
        <v>0</v>
      </c>
      <c r="Y468" s="198">
        <f t="shared" si="113"/>
        <v>0</v>
      </c>
      <c r="Z468" s="198">
        <f t="shared" si="113"/>
        <v>0</v>
      </c>
      <c r="AA468" s="198">
        <f t="shared" si="113"/>
        <v>0</v>
      </c>
      <c r="AB468" s="198">
        <f t="shared" si="113"/>
        <v>0</v>
      </c>
      <c r="AC468" s="70"/>
      <c r="AD468" s="19"/>
      <c r="AE468" s="19"/>
      <c r="AF468" s="19"/>
      <c r="AG468" s="19"/>
    </row>
    <row r="469" spans="1:33" hidden="1" outlineLevel="3" x14ac:dyDescent="0.2">
      <c r="A469" s="19"/>
      <c r="B469" s="97">
        <v>24</v>
      </c>
      <c r="C469" s="506">
        <f t="shared" si="89"/>
        <v>0</v>
      </c>
      <c r="D469" s="505">
        <f t="shared" si="89"/>
        <v>0</v>
      </c>
      <c r="E469" s="505">
        <f t="shared" si="89"/>
        <v>0</v>
      </c>
      <c r="F469" s="58"/>
      <c r="G469" s="199">
        <f t="shared" si="90"/>
        <v>0</v>
      </c>
      <c r="H469" s="58"/>
      <c r="I469" s="198">
        <f t="shared" ref="I469:AB469" si="114">SUM(I370,I403,I436)</f>
        <v>0</v>
      </c>
      <c r="J469" s="198">
        <f t="shared" si="114"/>
        <v>0</v>
      </c>
      <c r="K469" s="198">
        <f t="shared" si="114"/>
        <v>0</v>
      </c>
      <c r="L469" s="198">
        <f t="shared" si="114"/>
        <v>0</v>
      </c>
      <c r="M469" s="198">
        <f t="shared" si="114"/>
        <v>0</v>
      </c>
      <c r="N469" s="198">
        <f t="shared" si="114"/>
        <v>0</v>
      </c>
      <c r="O469" s="198">
        <f t="shared" si="114"/>
        <v>0</v>
      </c>
      <c r="P469" s="198">
        <f t="shared" si="114"/>
        <v>0</v>
      </c>
      <c r="Q469" s="198">
        <f t="shared" si="114"/>
        <v>0</v>
      </c>
      <c r="R469" s="198">
        <f t="shared" si="114"/>
        <v>0</v>
      </c>
      <c r="S469" s="198">
        <f t="shared" si="114"/>
        <v>0</v>
      </c>
      <c r="T469" s="198">
        <f t="shared" si="114"/>
        <v>0</v>
      </c>
      <c r="U469" s="198">
        <f t="shared" si="114"/>
        <v>0</v>
      </c>
      <c r="V469" s="198">
        <f t="shared" si="114"/>
        <v>0</v>
      </c>
      <c r="W469" s="198">
        <f t="shared" si="114"/>
        <v>0</v>
      </c>
      <c r="X469" s="198">
        <f t="shared" si="114"/>
        <v>0</v>
      </c>
      <c r="Y469" s="198">
        <f t="shared" si="114"/>
        <v>0</v>
      </c>
      <c r="Z469" s="198">
        <f t="shared" si="114"/>
        <v>0</v>
      </c>
      <c r="AA469" s="198">
        <f t="shared" si="114"/>
        <v>0</v>
      </c>
      <c r="AB469" s="198">
        <f t="shared" si="114"/>
        <v>0</v>
      </c>
      <c r="AC469" s="70"/>
      <c r="AD469" s="19"/>
      <c r="AE469" s="19"/>
      <c r="AF469" s="19"/>
      <c r="AG469" s="19"/>
    </row>
    <row r="470" spans="1:33" hidden="1" outlineLevel="3" x14ac:dyDescent="0.2">
      <c r="A470" s="19"/>
      <c r="B470" s="97">
        <v>25</v>
      </c>
      <c r="C470" s="506">
        <f t="shared" si="89"/>
        <v>0</v>
      </c>
      <c r="D470" s="505">
        <f t="shared" si="89"/>
        <v>0</v>
      </c>
      <c r="E470" s="505">
        <f t="shared" si="89"/>
        <v>0</v>
      </c>
      <c r="F470" s="58"/>
      <c r="G470" s="199">
        <f t="shared" si="90"/>
        <v>0</v>
      </c>
      <c r="H470" s="58"/>
      <c r="I470" s="198">
        <f t="shared" ref="I470:AB470" si="115">SUM(I371,I404,I437)</f>
        <v>0</v>
      </c>
      <c r="J470" s="198">
        <f t="shared" si="115"/>
        <v>0</v>
      </c>
      <c r="K470" s="198">
        <f t="shared" si="115"/>
        <v>0</v>
      </c>
      <c r="L470" s="198">
        <f t="shared" si="115"/>
        <v>0</v>
      </c>
      <c r="M470" s="198">
        <f t="shared" si="115"/>
        <v>0</v>
      </c>
      <c r="N470" s="198">
        <f t="shared" si="115"/>
        <v>0</v>
      </c>
      <c r="O470" s="198">
        <f t="shared" si="115"/>
        <v>0</v>
      </c>
      <c r="P470" s="198">
        <f t="shared" si="115"/>
        <v>0</v>
      </c>
      <c r="Q470" s="198">
        <f t="shared" si="115"/>
        <v>0</v>
      </c>
      <c r="R470" s="198">
        <f t="shared" si="115"/>
        <v>0</v>
      </c>
      <c r="S470" s="198">
        <f t="shared" si="115"/>
        <v>0</v>
      </c>
      <c r="T470" s="198">
        <f t="shared" si="115"/>
        <v>0</v>
      </c>
      <c r="U470" s="198">
        <f t="shared" si="115"/>
        <v>0</v>
      </c>
      <c r="V470" s="198">
        <f t="shared" si="115"/>
        <v>0</v>
      </c>
      <c r="W470" s="198">
        <f t="shared" si="115"/>
        <v>0</v>
      </c>
      <c r="X470" s="198">
        <f t="shared" si="115"/>
        <v>0</v>
      </c>
      <c r="Y470" s="198">
        <f t="shared" si="115"/>
        <v>0</v>
      </c>
      <c r="Z470" s="198">
        <f t="shared" si="115"/>
        <v>0</v>
      </c>
      <c r="AA470" s="198">
        <f t="shared" si="115"/>
        <v>0</v>
      </c>
      <c r="AB470" s="198">
        <f t="shared" si="115"/>
        <v>0</v>
      </c>
      <c r="AC470" s="70"/>
      <c r="AD470" s="19"/>
      <c r="AE470" s="19"/>
      <c r="AF470" s="19"/>
      <c r="AG470" s="19"/>
    </row>
    <row r="471" spans="1:33" hidden="1" outlineLevel="3" x14ac:dyDescent="0.2">
      <c r="A471" s="19"/>
      <c r="B471" s="97">
        <v>26</v>
      </c>
      <c r="C471" s="506">
        <f t="shared" si="89"/>
        <v>0</v>
      </c>
      <c r="D471" s="505">
        <f t="shared" si="89"/>
        <v>0</v>
      </c>
      <c r="E471" s="505">
        <f t="shared" si="89"/>
        <v>0</v>
      </c>
      <c r="F471" s="58"/>
      <c r="G471" s="199">
        <f t="shared" si="90"/>
        <v>0</v>
      </c>
      <c r="H471" s="58"/>
      <c r="I471" s="198">
        <f t="shared" ref="I471:AB471" si="116">SUM(I372,I405,I438)</f>
        <v>0</v>
      </c>
      <c r="J471" s="198">
        <f t="shared" si="116"/>
        <v>0</v>
      </c>
      <c r="K471" s="198">
        <f t="shared" si="116"/>
        <v>0</v>
      </c>
      <c r="L471" s="198">
        <f t="shared" si="116"/>
        <v>0</v>
      </c>
      <c r="M471" s="198">
        <f t="shared" si="116"/>
        <v>0</v>
      </c>
      <c r="N471" s="198">
        <f t="shared" si="116"/>
        <v>0</v>
      </c>
      <c r="O471" s="198">
        <f t="shared" si="116"/>
        <v>0</v>
      </c>
      <c r="P471" s="198">
        <f t="shared" si="116"/>
        <v>0</v>
      </c>
      <c r="Q471" s="198">
        <f t="shared" si="116"/>
        <v>0</v>
      </c>
      <c r="R471" s="198">
        <f t="shared" si="116"/>
        <v>0</v>
      </c>
      <c r="S471" s="198">
        <f t="shared" si="116"/>
        <v>0</v>
      </c>
      <c r="T471" s="198">
        <f t="shared" si="116"/>
        <v>0</v>
      </c>
      <c r="U471" s="198">
        <f t="shared" si="116"/>
        <v>0</v>
      </c>
      <c r="V471" s="198">
        <f t="shared" si="116"/>
        <v>0</v>
      </c>
      <c r="W471" s="198">
        <f t="shared" si="116"/>
        <v>0</v>
      </c>
      <c r="X471" s="198">
        <f t="shared" si="116"/>
        <v>0</v>
      </c>
      <c r="Y471" s="198">
        <f t="shared" si="116"/>
        <v>0</v>
      </c>
      <c r="Z471" s="198">
        <f t="shared" si="116"/>
        <v>0</v>
      </c>
      <c r="AA471" s="198">
        <f t="shared" si="116"/>
        <v>0</v>
      </c>
      <c r="AB471" s="198">
        <f t="shared" si="116"/>
        <v>0</v>
      </c>
      <c r="AC471" s="70"/>
      <c r="AD471" s="19"/>
      <c r="AE471" s="19"/>
      <c r="AF471" s="19"/>
      <c r="AG471" s="19"/>
    </row>
    <row r="472" spans="1:33" hidden="1" outlineLevel="3" x14ac:dyDescent="0.2">
      <c r="A472" s="19"/>
      <c r="B472" s="97">
        <v>27</v>
      </c>
      <c r="C472" s="506">
        <f t="shared" si="89"/>
        <v>0</v>
      </c>
      <c r="D472" s="505">
        <f t="shared" si="89"/>
        <v>0</v>
      </c>
      <c r="E472" s="505">
        <f t="shared" si="89"/>
        <v>0</v>
      </c>
      <c r="F472" s="58"/>
      <c r="G472" s="199">
        <f t="shared" si="90"/>
        <v>0</v>
      </c>
      <c r="H472" s="58"/>
      <c r="I472" s="198">
        <f t="shared" ref="I472:AB472" si="117">SUM(I373,I406,I439)</f>
        <v>0</v>
      </c>
      <c r="J472" s="198">
        <f t="shared" si="117"/>
        <v>0</v>
      </c>
      <c r="K472" s="198">
        <f t="shared" si="117"/>
        <v>0</v>
      </c>
      <c r="L472" s="198">
        <f t="shared" si="117"/>
        <v>0</v>
      </c>
      <c r="M472" s="198">
        <f t="shared" si="117"/>
        <v>0</v>
      </c>
      <c r="N472" s="198">
        <f t="shared" si="117"/>
        <v>0</v>
      </c>
      <c r="O472" s="198">
        <f t="shared" si="117"/>
        <v>0</v>
      </c>
      <c r="P472" s="198">
        <f t="shared" si="117"/>
        <v>0</v>
      </c>
      <c r="Q472" s="198">
        <f t="shared" si="117"/>
        <v>0</v>
      </c>
      <c r="R472" s="198">
        <f t="shared" si="117"/>
        <v>0</v>
      </c>
      <c r="S472" s="198">
        <f t="shared" si="117"/>
        <v>0</v>
      </c>
      <c r="T472" s="198">
        <f t="shared" si="117"/>
        <v>0</v>
      </c>
      <c r="U472" s="198">
        <f t="shared" si="117"/>
        <v>0</v>
      </c>
      <c r="V472" s="198">
        <f t="shared" si="117"/>
        <v>0</v>
      </c>
      <c r="W472" s="198">
        <f t="shared" si="117"/>
        <v>0</v>
      </c>
      <c r="X472" s="198">
        <f t="shared" si="117"/>
        <v>0</v>
      </c>
      <c r="Y472" s="198">
        <f t="shared" si="117"/>
        <v>0</v>
      </c>
      <c r="Z472" s="198">
        <f t="shared" si="117"/>
        <v>0</v>
      </c>
      <c r="AA472" s="198">
        <f t="shared" si="117"/>
        <v>0</v>
      </c>
      <c r="AB472" s="198">
        <f t="shared" si="117"/>
        <v>0</v>
      </c>
      <c r="AC472" s="70"/>
      <c r="AD472" s="19"/>
      <c r="AE472" s="19"/>
      <c r="AF472" s="19"/>
      <c r="AG472" s="19"/>
    </row>
    <row r="473" spans="1:33" hidden="1" outlineLevel="3" x14ac:dyDescent="0.2">
      <c r="A473" s="19"/>
      <c r="B473" s="97">
        <v>28</v>
      </c>
      <c r="C473" s="506">
        <f t="shared" si="89"/>
        <v>0</v>
      </c>
      <c r="D473" s="505">
        <f t="shared" si="89"/>
        <v>0</v>
      </c>
      <c r="E473" s="505">
        <f t="shared" si="89"/>
        <v>0</v>
      </c>
      <c r="F473" s="58"/>
      <c r="G473" s="199">
        <f t="shared" si="90"/>
        <v>0</v>
      </c>
      <c r="H473" s="58"/>
      <c r="I473" s="198">
        <f t="shared" ref="I473:AB473" si="118">SUM(I374,I407,I440)</f>
        <v>0</v>
      </c>
      <c r="J473" s="198">
        <f t="shared" si="118"/>
        <v>0</v>
      </c>
      <c r="K473" s="198">
        <f t="shared" si="118"/>
        <v>0</v>
      </c>
      <c r="L473" s="198">
        <f t="shared" si="118"/>
        <v>0</v>
      </c>
      <c r="M473" s="198">
        <f t="shared" si="118"/>
        <v>0</v>
      </c>
      <c r="N473" s="198">
        <f t="shared" si="118"/>
        <v>0</v>
      </c>
      <c r="O473" s="198">
        <f t="shared" si="118"/>
        <v>0</v>
      </c>
      <c r="P473" s="198">
        <f t="shared" si="118"/>
        <v>0</v>
      </c>
      <c r="Q473" s="198">
        <f t="shared" si="118"/>
        <v>0</v>
      </c>
      <c r="R473" s="198">
        <f t="shared" si="118"/>
        <v>0</v>
      </c>
      <c r="S473" s="198">
        <f t="shared" si="118"/>
        <v>0</v>
      </c>
      <c r="T473" s="198">
        <f t="shared" si="118"/>
        <v>0</v>
      </c>
      <c r="U473" s="198">
        <f t="shared" si="118"/>
        <v>0</v>
      </c>
      <c r="V473" s="198">
        <f t="shared" si="118"/>
        <v>0</v>
      </c>
      <c r="W473" s="198">
        <f t="shared" si="118"/>
        <v>0</v>
      </c>
      <c r="X473" s="198">
        <f t="shared" si="118"/>
        <v>0</v>
      </c>
      <c r="Y473" s="198">
        <f t="shared" si="118"/>
        <v>0</v>
      </c>
      <c r="Z473" s="198">
        <f t="shared" si="118"/>
        <v>0</v>
      </c>
      <c r="AA473" s="198">
        <f t="shared" si="118"/>
        <v>0</v>
      </c>
      <c r="AB473" s="198">
        <f t="shared" si="118"/>
        <v>0</v>
      </c>
      <c r="AC473" s="70"/>
      <c r="AD473" s="19"/>
      <c r="AE473" s="19"/>
      <c r="AF473" s="19"/>
      <c r="AG473" s="19"/>
    </row>
    <row r="474" spans="1:33" hidden="1" outlineLevel="3" x14ac:dyDescent="0.2">
      <c r="A474" s="19"/>
      <c r="B474" s="97">
        <v>29</v>
      </c>
      <c r="C474" s="506">
        <f t="shared" si="89"/>
        <v>0</v>
      </c>
      <c r="D474" s="505">
        <f t="shared" si="89"/>
        <v>0</v>
      </c>
      <c r="E474" s="505">
        <f t="shared" si="89"/>
        <v>0</v>
      </c>
      <c r="F474" s="58"/>
      <c r="G474" s="199">
        <f t="shared" si="90"/>
        <v>0</v>
      </c>
      <c r="H474" s="58"/>
      <c r="I474" s="198">
        <f t="shared" ref="I474:AB474" si="119">SUM(I375,I408,I441)</f>
        <v>0</v>
      </c>
      <c r="J474" s="198">
        <f t="shared" si="119"/>
        <v>0</v>
      </c>
      <c r="K474" s="198">
        <f t="shared" si="119"/>
        <v>0</v>
      </c>
      <c r="L474" s="198">
        <f t="shared" si="119"/>
        <v>0</v>
      </c>
      <c r="M474" s="198">
        <f t="shared" si="119"/>
        <v>0</v>
      </c>
      <c r="N474" s="198">
        <f t="shared" si="119"/>
        <v>0</v>
      </c>
      <c r="O474" s="198">
        <f t="shared" si="119"/>
        <v>0</v>
      </c>
      <c r="P474" s="198">
        <f t="shared" si="119"/>
        <v>0</v>
      </c>
      <c r="Q474" s="198">
        <f t="shared" si="119"/>
        <v>0</v>
      </c>
      <c r="R474" s="198">
        <f t="shared" si="119"/>
        <v>0</v>
      </c>
      <c r="S474" s="198">
        <f t="shared" si="119"/>
        <v>0</v>
      </c>
      <c r="T474" s="198">
        <f t="shared" si="119"/>
        <v>0</v>
      </c>
      <c r="U474" s="198">
        <f t="shared" si="119"/>
        <v>0</v>
      </c>
      <c r="V474" s="198">
        <f t="shared" si="119"/>
        <v>0</v>
      </c>
      <c r="W474" s="198">
        <f t="shared" si="119"/>
        <v>0</v>
      </c>
      <c r="X474" s="198">
        <f t="shared" si="119"/>
        <v>0</v>
      </c>
      <c r="Y474" s="198">
        <f t="shared" si="119"/>
        <v>0</v>
      </c>
      <c r="Z474" s="198">
        <f t="shared" si="119"/>
        <v>0</v>
      </c>
      <c r="AA474" s="198">
        <f t="shared" si="119"/>
        <v>0</v>
      </c>
      <c r="AB474" s="198">
        <f t="shared" si="119"/>
        <v>0</v>
      </c>
      <c r="AC474" s="70"/>
      <c r="AD474" s="19"/>
      <c r="AE474" s="19"/>
      <c r="AF474" s="19"/>
      <c r="AG474" s="19"/>
    </row>
    <row r="475" spans="1:33" hidden="1" outlineLevel="3" x14ac:dyDescent="0.2">
      <c r="A475" s="19"/>
      <c r="B475" s="98">
        <v>30</v>
      </c>
      <c r="C475" s="506">
        <f t="shared" si="89"/>
        <v>0</v>
      </c>
      <c r="D475" s="505">
        <f t="shared" si="89"/>
        <v>0</v>
      </c>
      <c r="E475" s="505">
        <f t="shared" si="89"/>
        <v>0</v>
      </c>
      <c r="F475" s="58"/>
      <c r="G475" s="199">
        <f t="shared" si="90"/>
        <v>0</v>
      </c>
      <c r="H475" s="58"/>
      <c r="I475" s="198">
        <f t="shared" ref="I475:AB475" si="120">SUM(I376,I409,I442)</f>
        <v>0</v>
      </c>
      <c r="J475" s="198">
        <f t="shared" si="120"/>
        <v>0</v>
      </c>
      <c r="K475" s="198">
        <f t="shared" si="120"/>
        <v>0</v>
      </c>
      <c r="L475" s="198">
        <f t="shared" si="120"/>
        <v>0</v>
      </c>
      <c r="M475" s="198">
        <f t="shared" si="120"/>
        <v>0</v>
      </c>
      <c r="N475" s="198">
        <f t="shared" si="120"/>
        <v>0</v>
      </c>
      <c r="O475" s="198">
        <f t="shared" si="120"/>
        <v>0</v>
      </c>
      <c r="P475" s="198">
        <f t="shared" si="120"/>
        <v>0</v>
      </c>
      <c r="Q475" s="198">
        <f t="shared" si="120"/>
        <v>0</v>
      </c>
      <c r="R475" s="198">
        <f t="shared" si="120"/>
        <v>0</v>
      </c>
      <c r="S475" s="198">
        <f t="shared" si="120"/>
        <v>0</v>
      </c>
      <c r="T475" s="198">
        <f t="shared" si="120"/>
        <v>0</v>
      </c>
      <c r="U475" s="198">
        <f t="shared" si="120"/>
        <v>0</v>
      </c>
      <c r="V475" s="198">
        <f t="shared" si="120"/>
        <v>0</v>
      </c>
      <c r="W475" s="198">
        <f t="shared" si="120"/>
        <v>0</v>
      </c>
      <c r="X475" s="198">
        <f t="shared" si="120"/>
        <v>0</v>
      </c>
      <c r="Y475" s="198">
        <f t="shared" si="120"/>
        <v>0</v>
      </c>
      <c r="Z475" s="198">
        <f t="shared" si="120"/>
        <v>0</v>
      </c>
      <c r="AA475" s="198">
        <f t="shared" si="120"/>
        <v>0</v>
      </c>
      <c r="AB475" s="198">
        <f t="shared" si="120"/>
        <v>0</v>
      </c>
      <c r="AC475" s="70"/>
      <c r="AD475" s="19"/>
      <c r="AE475" s="19"/>
      <c r="AF475" s="19"/>
      <c r="AG475" s="19"/>
    </row>
    <row r="476" spans="1:33" outlineLevel="2" collapsed="1" x14ac:dyDescent="0.2">
      <c r="A476" s="19"/>
      <c r="B476" s="19"/>
      <c r="C476" s="560"/>
      <c r="D476" s="558"/>
      <c r="E476" s="559"/>
      <c r="F476" s="58"/>
      <c r="G476" s="58"/>
      <c r="H476" s="58"/>
      <c r="I476" s="137"/>
      <c r="J476" s="137"/>
      <c r="K476" s="138"/>
      <c r="L476" s="138"/>
      <c r="M476" s="138"/>
      <c r="N476" s="139"/>
      <c r="O476" s="139"/>
      <c r="P476" s="139"/>
      <c r="Q476" s="139"/>
      <c r="R476" s="139"/>
      <c r="S476" s="138"/>
      <c r="T476" s="138"/>
      <c r="U476" s="138"/>
      <c r="V476" s="70"/>
      <c r="W476" s="70"/>
      <c r="X476" s="70"/>
      <c r="Y476" s="70"/>
      <c r="Z476" s="70"/>
      <c r="AA476" s="70"/>
      <c r="AB476" s="70"/>
      <c r="AC476" s="70"/>
      <c r="AD476" s="19"/>
      <c r="AE476" s="19"/>
      <c r="AF476" s="19"/>
      <c r="AG476" s="19"/>
    </row>
    <row r="477" spans="1:33" outlineLevel="1" x14ac:dyDescent="0.2">
      <c r="A477" s="19"/>
      <c r="B477" s="19"/>
      <c r="C477" s="217"/>
      <c r="D477" s="217"/>
      <c r="E477" s="536"/>
      <c r="F477" s="58"/>
      <c r="G477" s="58"/>
      <c r="H477" s="58"/>
      <c r="I477" s="137"/>
      <c r="J477" s="137"/>
      <c r="K477" s="138"/>
      <c r="L477" s="138"/>
      <c r="M477" s="138"/>
      <c r="N477" s="139"/>
      <c r="O477" s="139"/>
      <c r="P477" s="139"/>
      <c r="Q477" s="139"/>
      <c r="R477" s="139"/>
      <c r="S477" s="138"/>
      <c r="T477" s="138"/>
      <c r="U477" s="138"/>
      <c r="V477" s="70"/>
      <c r="W477" s="70"/>
      <c r="X477" s="70"/>
      <c r="Y477" s="70"/>
      <c r="Z477" s="70"/>
      <c r="AA477" s="70"/>
      <c r="AB477" s="70"/>
      <c r="AC477" s="70"/>
      <c r="AD477" s="19"/>
      <c r="AE477" s="19"/>
      <c r="AF477" s="19"/>
      <c r="AG477" s="19"/>
    </row>
    <row r="478" spans="1:33" x14ac:dyDescent="0.2">
      <c r="A478" s="19"/>
      <c r="B478" s="19"/>
      <c r="C478" s="36"/>
      <c r="D478" s="36"/>
      <c r="E478" s="20"/>
      <c r="F478" s="20"/>
      <c r="G478" s="22"/>
      <c r="H478" s="22"/>
      <c r="I478" s="22"/>
      <c r="J478" s="20"/>
      <c r="K478" s="20"/>
      <c r="L478" s="20"/>
      <c r="M478" s="20"/>
      <c r="N478" s="37"/>
      <c r="O478" s="37"/>
      <c r="P478" s="37"/>
      <c r="Q478" s="37"/>
      <c r="R478" s="37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</row>
    <row r="479" spans="1:33" ht="12.75" x14ac:dyDescent="0.2">
      <c r="A479" s="11"/>
      <c r="B479" s="12" t="str">
        <f>"Calculation table 35 | "&amp;currentyear&amp;" Network costs - small business"</f>
        <v>Calculation table 35 | 2021–22 Network costs - small business</v>
      </c>
      <c r="C479" s="11"/>
      <c r="D479" s="32" t="str">
        <f>D5</f>
        <v>Block?</v>
      </c>
      <c r="E479" s="32" t="str">
        <f>E5</f>
        <v>TOU?</v>
      </c>
      <c r="F479" s="32"/>
      <c r="G479" s="169" t="str">
        <f>G74</f>
        <v>Total</v>
      </c>
      <c r="H479" s="33"/>
      <c r="I479" s="169" t="str">
        <f t="shared" ref="I479:AB479" si="121">I5</f>
        <v>Service</v>
      </c>
      <c r="J479" s="169" t="str">
        <f t="shared" si="121"/>
        <v>All energy</v>
      </c>
      <c r="K479" s="169" t="str">
        <f t="shared" si="121"/>
        <v>Peak energy</v>
      </c>
      <c r="L479" s="169" t="str">
        <f t="shared" si="121"/>
        <v>Shoulder energy</v>
      </c>
      <c r="M479" s="169" t="str">
        <f t="shared" si="121"/>
        <v>Off-peak energy</v>
      </c>
      <c r="N479" s="169">
        <f t="shared" si="121"/>
        <v>0</v>
      </c>
      <c r="O479" s="169">
        <f t="shared" si="121"/>
        <v>0</v>
      </c>
      <c r="P479" s="169">
        <f t="shared" si="121"/>
        <v>0</v>
      </c>
      <c r="Q479" s="169">
        <f t="shared" si="121"/>
        <v>0</v>
      </c>
      <c r="R479" s="169">
        <f t="shared" si="121"/>
        <v>0</v>
      </c>
      <c r="S479" s="169">
        <f t="shared" si="121"/>
        <v>0</v>
      </c>
      <c r="T479" s="169">
        <f t="shared" si="121"/>
        <v>0</v>
      </c>
      <c r="U479" s="169">
        <f t="shared" si="121"/>
        <v>0</v>
      </c>
      <c r="V479" s="169">
        <f t="shared" si="121"/>
        <v>0</v>
      </c>
      <c r="W479" s="169">
        <f t="shared" si="121"/>
        <v>0</v>
      </c>
      <c r="X479" s="169">
        <f t="shared" si="121"/>
        <v>0</v>
      </c>
      <c r="Y479" s="169">
        <f t="shared" si="121"/>
        <v>0</v>
      </c>
      <c r="Z479" s="169">
        <f t="shared" si="121"/>
        <v>0</v>
      </c>
      <c r="AA479" s="169">
        <f t="shared" si="121"/>
        <v>0</v>
      </c>
      <c r="AB479" s="169">
        <f t="shared" si="121"/>
        <v>0</v>
      </c>
      <c r="AC479" s="64"/>
      <c r="AD479" s="15"/>
      <c r="AE479" s="15"/>
      <c r="AF479" s="15"/>
      <c r="AG479" s="15"/>
    </row>
    <row r="480" spans="1:33" outlineLevel="1" x14ac:dyDescent="0.2">
      <c r="A480" s="19"/>
      <c r="B480" s="19"/>
      <c r="C480" s="36"/>
      <c r="D480" s="36"/>
      <c r="E480" s="20"/>
      <c r="F480" s="20"/>
      <c r="G480" s="22" t="str">
        <f>G75</f>
        <v>$dollars</v>
      </c>
      <c r="H480" s="22"/>
      <c r="I480" s="170" t="str">
        <f t="shared" ref="I480:AB480" si="122">I6</f>
        <v>$dollars</v>
      </c>
      <c r="J480" s="170" t="str">
        <f t="shared" si="122"/>
        <v>$dollars</v>
      </c>
      <c r="K480" s="170" t="str">
        <f t="shared" si="122"/>
        <v>$dollars</v>
      </c>
      <c r="L480" s="170" t="str">
        <f t="shared" si="122"/>
        <v>$dollars</v>
      </c>
      <c r="M480" s="170" t="str">
        <f t="shared" si="122"/>
        <v>$dollars</v>
      </c>
      <c r="N480" s="170">
        <f t="shared" si="122"/>
        <v>0</v>
      </c>
      <c r="O480" s="170">
        <f t="shared" si="122"/>
        <v>0</v>
      </c>
      <c r="P480" s="170">
        <f t="shared" si="122"/>
        <v>0</v>
      </c>
      <c r="Q480" s="170">
        <f t="shared" si="122"/>
        <v>0</v>
      </c>
      <c r="R480" s="170">
        <f t="shared" si="122"/>
        <v>0</v>
      </c>
      <c r="S480" s="170">
        <f t="shared" si="122"/>
        <v>0</v>
      </c>
      <c r="T480" s="170">
        <f t="shared" si="122"/>
        <v>0</v>
      </c>
      <c r="U480" s="170">
        <f t="shared" si="122"/>
        <v>0</v>
      </c>
      <c r="V480" s="170">
        <f t="shared" si="122"/>
        <v>0</v>
      </c>
      <c r="W480" s="170">
        <f t="shared" si="122"/>
        <v>0</v>
      </c>
      <c r="X480" s="170">
        <f t="shared" si="122"/>
        <v>0</v>
      </c>
      <c r="Y480" s="170">
        <f t="shared" si="122"/>
        <v>0</v>
      </c>
      <c r="Z480" s="170">
        <f t="shared" si="122"/>
        <v>0</v>
      </c>
      <c r="AA480" s="170">
        <f t="shared" si="122"/>
        <v>0</v>
      </c>
      <c r="AB480" s="170">
        <f t="shared" si="122"/>
        <v>0</v>
      </c>
      <c r="AC480" s="19"/>
      <c r="AD480" s="19"/>
      <c r="AE480" s="19"/>
      <c r="AF480" s="19"/>
      <c r="AG480" s="19"/>
    </row>
    <row r="481" spans="1:33" outlineLevel="1" x14ac:dyDescent="0.2">
      <c r="A481" s="19"/>
      <c r="B481" s="19"/>
      <c r="C481" s="167" t="str">
        <f>C346</f>
        <v>Distribution</v>
      </c>
      <c r="D481" s="167"/>
      <c r="E481" s="512"/>
      <c r="F481" s="20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19"/>
      <c r="AD481" s="19"/>
      <c r="AE481" s="19"/>
      <c r="AF481" s="19"/>
      <c r="AG481" s="19"/>
    </row>
    <row r="482" spans="1:33" outlineLevel="2" x14ac:dyDescent="0.2">
      <c r="A482" s="19"/>
      <c r="B482" s="97">
        <v>1</v>
      </c>
      <c r="C482" s="506" t="str">
        <f>IF(C212=0,0,IF(currentyear=RCPminus1,INDEX(Tariffs!$H$46:$H$120,MATCH(Movements!C212,Tariffs!$C$46:$C$120,0)),C212))</f>
        <v>Small business time of use consumption</v>
      </c>
      <c r="D482" s="505">
        <f t="shared" ref="D482:E511" si="123">D212</f>
        <v>0</v>
      </c>
      <c r="E482" s="505" t="str">
        <f t="shared" si="123"/>
        <v>yes</v>
      </c>
      <c r="F482" s="20"/>
      <c r="G482" s="199">
        <f t="shared" ref="G482:G511" si="124">SUM(I482:AB482)</f>
        <v>3402.4291693728392</v>
      </c>
      <c r="H482" s="22"/>
      <c r="I482" s="198">
        <f>_xlfn.IFNA(IF(I$7="Fixed",1,IF(AND($D77="yes",I$7="Block"),INDEX($O719:$Q719,1,MATCH(I$5,$I42:$K42,0)),INDEX(Movements!$G719:$M719,1,MATCH(I$7,Movements!$G$716:$M$716,0))))
*I1127*I$8,0)</f>
        <v>251.51785000000001</v>
      </c>
      <c r="J482" s="198">
        <f>_xlfn.IFNA(IF(J$7="Fixed",1,IF(AND($D77="yes",J$7="Block"),INDEX($O719:$Q719,1,MATCH(J$5,$I42:$K42,0)),INDEX(Movements!$G719:$M719,1,MATCH(J$7,Movements!$G$716:$M$716,0))))
*J1127*J$8,0)</f>
        <v>0</v>
      </c>
      <c r="K482" s="198">
        <f>_xlfn.IFNA(IF(K$7="Fixed",1,IF(AND($D77="yes",K$7="Block"),INDEX($O719:$Q719,1,MATCH(K$5,$I42:$K42,0)),INDEX(Movements!$G719:$M719,1,MATCH(K$7,Movements!$G$716:$M$716,0))))
*K1127*K$8,0)</f>
        <v>2573.0370258876947</v>
      </c>
      <c r="L482" s="198">
        <f>_xlfn.IFNA(IF(L$7="Fixed",1,IF(AND($D77="yes",L$7="Block"),INDEX($O719:$Q719,1,MATCH(L$5,$I42:$K42,0)),INDEX(Movements!$G719:$M719,1,MATCH(L$7,Movements!$G$716:$M$716,0))))
*L1127*L$8,0)</f>
        <v>387.45539867718975</v>
      </c>
      <c r="M482" s="198">
        <f>_xlfn.IFNA(IF(M$7="Fixed",1,IF(AND($D77="yes",M$7="Block"),INDEX($O719:$Q719,1,MATCH(M$5,$I42:$K42,0)),INDEX(Movements!$G719:$M719,1,MATCH(M$7,Movements!$G$716:$M$716,0))))
*M1127*M$8,0)</f>
        <v>190.4188948079543</v>
      </c>
      <c r="N482" s="198">
        <f>_xlfn.IFNA(IF(N$7="Fixed",1,IF(AND($D77="yes",N$7="Block"),INDEX($O719:$Q719,1,MATCH(N$5,$I42:$K42,0)),INDEX(Movements!$G719:$M719,1,MATCH(N$7,Movements!$G$716:$M$716,0))))
*N1127*N$8,0)</f>
        <v>0</v>
      </c>
      <c r="O482" s="198">
        <f>_xlfn.IFNA(IF(O$7="Fixed",1,IF(AND($D77="yes",O$7="Block"),INDEX($O719:$Q719,1,MATCH(O$5,$I42:$K42,0)),INDEX(Movements!$G719:$M719,1,MATCH(O$7,Movements!$G$716:$M$716,0))))
*O1127*O$8,0)</f>
        <v>0</v>
      </c>
      <c r="P482" s="198">
        <f>_xlfn.IFNA(IF(P$7="Fixed",1,IF(AND($D77="yes",P$7="Block"),INDEX($O719:$Q719,1,MATCH(P$5,$I42:$K42,0)),INDEX(Movements!$G719:$M719,1,MATCH(P$7,Movements!$G$716:$M$716,0))))
*P1127*P$8,0)</f>
        <v>0</v>
      </c>
      <c r="Q482" s="198">
        <f>_xlfn.IFNA(IF(Q$7="Fixed",1,IF(AND($D77="yes",Q$7="Block"),INDEX($O719:$Q719,1,MATCH(Q$5,$I42:$K42,0)),INDEX(Movements!$G719:$M719,1,MATCH(Q$7,Movements!$G$716:$M$716,0))))
*Q1127*Q$8,0)</f>
        <v>0</v>
      </c>
      <c r="R482" s="198">
        <f>_xlfn.IFNA(IF(R$7="Fixed",1,IF(AND($D77="yes",R$7="Block"),INDEX($O719:$Q719,1,MATCH(R$5,$I42:$K42,0)),INDEX(Movements!$G719:$M719,1,MATCH(R$7,Movements!$G$716:$M$716,0))))
*R1127*R$8,0)</f>
        <v>0</v>
      </c>
      <c r="S482" s="198">
        <f>_xlfn.IFNA(IF(S$7="Fixed",1,IF(AND($D77="yes",S$7="Block"),INDEX($O719:$Q719,1,MATCH(S$5,$I42:$K42,0)),INDEX(Movements!$G719:$M719,1,MATCH(S$7,Movements!$G$716:$M$716,0))))
*S1127*S$8,0)</f>
        <v>0</v>
      </c>
      <c r="T482" s="198">
        <f>_xlfn.IFNA(IF(T$7="Fixed",1,IF(AND($D77="yes",T$7="Block"),INDEX($O719:$Q719,1,MATCH(T$5,$I42:$K42,0)),INDEX(Movements!$G719:$M719,1,MATCH(T$7,Movements!$G$716:$M$716,0))))
*T1127*T$8,0)</f>
        <v>0</v>
      </c>
      <c r="U482" s="198">
        <f>_xlfn.IFNA(IF(U$7="Fixed",1,IF(AND($D77="yes",U$7="Block"),INDEX($O719:$Q719,1,MATCH(U$5,$I42:$K42,0)),INDEX(Movements!$G719:$M719,1,MATCH(U$7,Movements!$G$716:$M$716,0))))
*U1127*U$8,0)</f>
        <v>0</v>
      </c>
      <c r="V482" s="198">
        <f>_xlfn.IFNA(IF(V$7="Fixed",1,IF(AND($D77="yes",V$7="Block"),INDEX($O719:$Q719,1,MATCH(V$5,$I42:$K42,0)),INDEX(Movements!$G719:$M719,1,MATCH(V$7,Movements!$G$716:$M$716,0))))
*V1127*V$8,0)</f>
        <v>0</v>
      </c>
      <c r="W482" s="198">
        <f>_xlfn.IFNA(IF(W$7="Fixed",1,IF(AND($D77="yes",W$7="Block"),INDEX($O719:$Q719,1,MATCH(W$5,$I42:$K42,0)),INDEX(Movements!$G719:$M719,1,MATCH(W$7,Movements!$G$716:$M$716,0))))
*W1127*W$8,0)</f>
        <v>0</v>
      </c>
      <c r="X482" s="198">
        <f>_xlfn.IFNA(IF(X$7="Fixed",1,IF(AND($D77="yes",X$7="Block"),INDEX($O719:$Q719,1,MATCH(X$5,$I42:$K42,0)),INDEX(Movements!$G719:$M719,1,MATCH(X$7,Movements!$G$716:$M$716,0))))
*X1127*X$8,0)</f>
        <v>0</v>
      </c>
      <c r="Y482" s="198">
        <f>_xlfn.IFNA(IF(Y$7="Fixed",1,IF(AND($D77="yes",Y$7="Block"),INDEX($O719:$Q719,1,MATCH(Y$5,$I42:$K42,0)),INDEX(Movements!$G719:$M719,1,MATCH(Y$7,Movements!$G$716:$M$716,0))))
*Y1127*Y$8,0)</f>
        <v>0</v>
      </c>
      <c r="Z482" s="198">
        <f>_xlfn.IFNA(IF(Z$7="Fixed",1,IF(AND($D77="yes",Z$7="Block"),INDEX($O719:$Q719,1,MATCH(Z$5,$I42:$K42,0)),INDEX(Movements!$G719:$M719,1,MATCH(Z$7,Movements!$G$716:$M$716,0))))
*Z1127*Z$8,0)</f>
        <v>0</v>
      </c>
      <c r="AA482" s="198">
        <f>_xlfn.IFNA(IF(AA$7="Fixed",1,IF(AND($D77="yes",AA$7="Block"),INDEX($O719:$Q719,1,MATCH(AA$5,$I42:$K42,0)),INDEX(Movements!$G719:$M719,1,MATCH(AA$7,Movements!$G$716:$M$716,0))))
*AA1127*AA$8,0)</f>
        <v>0</v>
      </c>
      <c r="AB482" s="198">
        <f>_xlfn.IFNA(IF(AB$7="Fixed",1,IF(AND($D77="yes",AB$7="Block"),INDEX($O719:$Q719,1,MATCH(AB$5,$I42:$K42,0)),INDEX(Movements!$G719:$M719,1,MATCH(AB$7,Movements!$G$716:$M$716,0))))
*AB1127*AB$8,0)</f>
        <v>0</v>
      </c>
      <c r="AC482" s="70"/>
      <c r="AD482" s="19"/>
      <c r="AE482" s="19"/>
      <c r="AF482" s="19"/>
      <c r="AG482" s="19"/>
    </row>
    <row r="483" spans="1:33" s="59" customFormat="1" outlineLevel="2" x14ac:dyDescent="0.2">
      <c r="A483" s="57"/>
      <c r="B483" s="98">
        <v>2</v>
      </c>
      <c r="C483" s="506" t="str">
        <f>IF(C213=0,0,IF(currentyear=RCPminus1,INDEX(Tariffs!$H$46:$H$120,MATCH(Movements!C213,Tariffs!$C$46:$C$120,0)),C213))</f>
        <v>Small business general light and power</v>
      </c>
      <c r="D483" s="505">
        <f t="shared" si="123"/>
        <v>0</v>
      </c>
      <c r="E483" s="505" t="str">
        <f t="shared" si="123"/>
        <v>no</v>
      </c>
      <c r="F483" s="58"/>
      <c r="G483" s="199">
        <f t="shared" si="124"/>
        <v>844.90768530616424</v>
      </c>
      <c r="H483" s="58"/>
      <c r="I483" s="198">
        <f>_xlfn.IFNA(IF(I$7="Fixed",1,IF(AND($D78="yes",I$7="Block"),INDEX($O720:$Q720,1,MATCH(I$5,$I43:$K43,0)),INDEX(Movements!$G720:$M720,1,MATCH(I$7,Movements!$G$716:$M$716,0))))
*I1128*I$8,0)</f>
        <v>191.21619999999999</v>
      </c>
      <c r="J483" s="198">
        <f>_xlfn.IFNA(IF(J$7="Fixed",1,IF(AND($D78="yes",J$7="Block"),INDEX($O720:$Q720,1,MATCH(J$5,$I43:$K43,0)),INDEX(Movements!$G720:$M720,1,MATCH(J$7,Movements!$G$716:$M$716,0))))
*J1128*J$8,0)</f>
        <v>653.69148530616428</v>
      </c>
      <c r="K483" s="198">
        <f>_xlfn.IFNA(IF(K$7="Fixed",1,IF(AND($D78="yes",K$7="Block"),INDEX($O720:$Q720,1,MATCH(K$5,$I43:$K43,0)),INDEX(Movements!$G720:$M720,1,MATCH(K$7,Movements!$G$716:$M$716,0))))
*K1128*K$8,0)</f>
        <v>0</v>
      </c>
      <c r="L483" s="198">
        <f>_xlfn.IFNA(IF(L$7="Fixed",1,IF(AND($D78="yes",L$7="Block"),INDEX($O720:$Q720,1,MATCH(L$5,$I43:$K43,0)),INDEX(Movements!$G720:$M720,1,MATCH(L$7,Movements!$G$716:$M$716,0))))
*L1128*L$8,0)</f>
        <v>0</v>
      </c>
      <c r="M483" s="198">
        <f>_xlfn.IFNA(IF(M$7="Fixed",1,IF(AND($D78="yes",M$7="Block"),INDEX($O720:$Q720,1,MATCH(M$5,$I43:$K43,0)),INDEX(Movements!$G720:$M720,1,MATCH(M$7,Movements!$G$716:$M$716,0))))
*M1128*M$8,0)</f>
        <v>0</v>
      </c>
      <c r="N483" s="198">
        <f>_xlfn.IFNA(IF(N$7="Fixed",1,IF(AND($D78="yes",N$7="Block"),INDEX($O720:$Q720,1,MATCH(N$5,$I43:$K43,0)),INDEX(Movements!$G720:$M720,1,MATCH(N$7,Movements!$G$716:$M$716,0))))
*N1128*N$8,0)</f>
        <v>0</v>
      </c>
      <c r="O483" s="198">
        <f>_xlfn.IFNA(IF(O$7="Fixed",1,IF(AND($D78="yes",O$7="Block"),INDEX($O720:$Q720,1,MATCH(O$5,$I43:$K43,0)),INDEX(Movements!$G720:$M720,1,MATCH(O$7,Movements!$G$716:$M$716,0))))
*O1128*O$8,0)</f>
        <v>0</v>
      </c>
      <c r="P483" s="198">
        <f>_xlfn.IFNA(IF(P$7="Fixed",1,IF(AND($D78="yes",P$7="Block"),INDEX($O720:$Q720,1,MATCH(P$5,$I43:$K43,0)),INDEX(Movements!$G720:$M720,1,MATCH(P$7,Movements!$G$716:$M$716,0))))
*P1128*P$8,0)</f>
        <v>0</v>
      </c>
      <c r="Q483" s="198">
        <f>_xlfn.IFNA(IF(Q$7="Fixed",1,IF(AND($D78="yes",Q$7="Block"),INDEX($O720:$Q720,1,MATCH(Q$5,$I43:$K43,0)),INDEX(Movements!$G720:$M720,1,MATCH(Q$7,Movements!$G$716:$M$716,0))))
*Q1128*Q$8,0)</f>
        <v>0</v>
      </c>
      <c r="R483" s="198">
        <f>_xlfn.IFNA(IF(R$7="Fixed",1,IF(AND($D78="yes",R$7="Block"),INDEX($O720:$Q720,1,MATCH(R$5,$I43:$K43,0)),INDEX(Movements!$G720:$M720,1,MATCH(R$7,Movements!$G$716:$M$716,0))))
*R1128*R$8,0)</f>
        <v>0</v>
      </c>
      <c r="S483" s="198">
        <f>_xlfn.IFNA(IF(S$7="Fixed",1,IF(AND($D78="yes",S$7="Block"),INDEX($O720:$Q720,1,MATCH(S$5,$I43:$K43,0)),INDEX(Movements!$G720:$M720,1,MATCH(S$7,Movements!$G$716:$M$716,0))))
*S1128*S$8,0)</f>
        <v>0</v>
      </c>
      <c r="T483" s="198">
        <f>_xlfn.IFNA(IF(T$7="Fixed",1,IF(AND($D78="yes",T$7="Block"),INDEX($O720:$Q720,1,MATCH(T$5,$I43:$K43,0)),INDEX(Movements!$G720:$M720,1,MATCH(T$7,Movements!$G$716:$M$716,0))))
*T1128*T$8,0)</f>
        <v>0</v>
      </c>
      <c r="U483" s="198">
        <f>_xlfn.IFNA(IF(U$7="Fixed",1,IF(AND($D78="yes",U$7="Block"),INDEX($O720:$Q720,1,MATCH(U$5,$I43:$K43,0)),INDEX(Movements!$G720:$M720,1,MATCH(U$7,Movements!$G$716:$M$716,0))))
*U1128*U$8,0)</f>
        <v>0</v>
      </c>
      <c r="V483" s="198">
        <f>_xlfn.IFNA(IF(V$7="Fixed",1,IF(AND($D78="yes",V$7="Block"),INDEX($O720:$Q720,1,MATCH(V$5,$I43:$K43,0)),INDEX(Movements!$G720:$M720,1,MATCH(V$7,Movements!$G$716:$M$716,0))))
*V1128*V$8,0)</f>
        <v>0</v>
      </c>
      <c r="W483" s="198">
        <f>_xlfn.IFNA(IF(W$7="Fixed",1,IF(AND($D78="yes",W$7="Block"),INDEX($O720:$Q720,1,MATCH(W$5,$I43:$K43,0)),INDEX(Movements!$G720:$M720,1,MATCH(W$7,Movements!$G$716:$M$716,0))))
*W1128*W$8,0)</f>
        <v>0</v>
      </c>
      <c r="X483" s="198">
        <f>_xlfn.IFNA(IF(X$7="Fixed",1,IF(AND($D78="yes",X$7="Block"),INDEX($O720:$Q720,1,MATCH(X$5,$I43:$K43,0)),INDEX(Movements!$G720:$M720,1,MATCH(X$7,Movements!$G$716:$M$716,0))))
*X1128*X$8,0)</f>
        <v>0</v>
      </c>
      <c r="Y483" s="198">
        <f>_xlfn.IFNA(IF(Y$7="Fixed",1,IF(AND($D78="yes",Y$7="Block"),INDEX($O720:$Q720,1,MATCH(Y$5,$I43:$K43,0)),INDEX(Movements!$G720:$M720,1,MATCH(Y$7,Movements!$G$716:$M$716,0))))
*Y1128*Y$8,0)</f>
        <v>0</v>
      </c>
      <c r="Z483" s="198">
        <f>_xlfn.IFNA(IF(Z$7="Fixed",1,IF(AND($D78="yes",Z$7="Block"),INDEX($O720:$Q720,1,MATCH(Z$5,$I43:$K43,0)),INDEX(Movements!$G720:$M720,1,MATCH(Z$7,Movements!$G$716:$M$716,0))))
*Z1128*Z$8,0)</f>
        <v>0</v>
      </c>
      <c r="AA483" s="198">
        <f>_xlfn.IFNA(IF(AA$7="Fixed",1,IF(AND($D78="yes",AA$7="Block"),INDEX($O720:$Q720,1,MATCH(AA$5,$I43:$K43,0)),INDEX(Movements!$G720:$M720,1,MATCH(AA$7,Movements!$G$716:$M$716,0))))
*AA1128*AA$8,0)</f>
        <v>0</v>
      </c>
      <c r="AB483" s="198">
        <f>_xlfn.IFNA(IF(AB$7="Fixed",1,IF(AND($D78="yes",AB$7="Block"),INDEX($O720:$Q720,1,MATCH(AB$5,$I43:$K43,0)),INDEX(Movements!$G720:$M720,1,MATCH(AB$7,Movements!$G$716:$M$716,0))))
*AB1128*AB$8,0)</f>
        <v>0</v>
      </c>
      <c r="AC483" s="70"/>
      <c r="AD483" s="57"/>
      <c r="AE483" s="57"/>
      <c r="AF483" s="57"/>
      <c r="AG483" s="57"/>
    </row>
    <row r="484" spans="1:33" outlineLevel="2" x14ac:dyDescent="0.2">
      <c r="A484" s="19"/>
      <c r="B484" s="97">
        <v>3</v>
      </c>
      <c r="C484" s="506">
        <f>IF(C214=0,0,IF(currentyear=RCPminus1,INDEX(Tariffs!$H$46:$H$120,MATCH(Movements!C214,Tariffs!$C$46:$C$120,0)),C214))</f>
        <v>0</v>
      </c>
      <c r="D484" s="505">
        <f t="shared" si="123"/>
        <v>0</v>
      </c>
      <c r="E484" s="505">
        <f t="shared" si="123"/>
        <v>0</v>
      </c>
      <c r="F484" s="58"/>
      <c r="G484" s="199">
        <f t="shared" si="124"/>
        <v>0</v>
      </c>
      <c r="H484" s="58"/>
      <c r="I484" s="198">
        <f>_xlfn.IFNA(IF(I$7="Fixed",1,IF(AND($D79="yes",I$7="Block"),INDEX($O721:$Q721,1,MATCH(I$5,$I44:$K44,0)),INDEX(Movements!$G721:$M721,1,MATCH(I$7,Movements!$G$716:$M$716,0))))
*I1129*I$8,0)</f>
        <v>0</v>
      </c>
      <c r="J484" s="198">
        <f>_xlfn.IFNA(IF(J$7="Fixed",1,IF(AND($D79="yes",J$7="Block"),INDEX($O721:$Q721,1,MATCH(J$5,$I44:$K44,0)),INDEX(Movements!$G721:$M721,1,MATCH(J$7,Movements!$G$716:$M$716,0))))
*J1129*J$8,0)</f>
        <v>0</v>
      </c>
      <c r="K484" s="198">
        <f>_xlfn.IFNA(IF(K$7="Fixed",1,IF(AND($D79="yes",K$7="Block"),INDEX($O721:$Q721,1,MATCH(K$5,$I44:$K44,0)),INDEX(Movements!$G721:$M721,1,MATCH(K$7,Movements!$G$716:$M$716,0))))
*K1129*K$8,0)</f>
        <v>0</v>
      </c>
      <c r="L484" s="198">
        <f>_xlfn.IFNA(IF(L$7="Fixed",1,IF(AND($D79="yes",L$7="Block"),INDEX($O721:$Q721,1,MATCH(L$5,$I44:$K44,0)),INDEX(Movements!$G721:$M721,1,MATCH(L$7,Movements!$G$716:$M$716,0))))
*L1129*L$8,0)</f>
        <v>0</v>
      </c>
      <c r="M484" s="198">
        <f>_xlfn.IFNA(IF(M$7="Fixed",1,IF(AND($D79="yes",M$7="Block"),INDEX($O721:$Q721,1,MATCH(M$5,$I44:$K44,0)),INDEX(Movements!$G721:$M721,1,MATCH(M$7,Movements!$G$716:$M$716,0))))
*M1129*M$8,0)</f>
        <v>0</v>
      </c>
      <c r="N484" s="198">
        <f>_xlfn.IFNA(IF(N$7="Fixed",1,IF(AND($D79="yes",N$7="Block"),INDEX($O721:$Q721,1,MATCH(N$5,$I44:$K44,0)),INDEX(Movements!$G721:$M721,1,MATCH(N$7,Movements!$G$716:$M$716,0))))
*N1129*N$8,0)</f>
        <v>0</v>
      </c>
      <c r="O484" s="198">
        <f>_xlfn.IFNA(IF(O$7="Fixed",1,IF(AND($D79="yes",O$7="Block"),INDEX($O721:$Q721,1,MATCH(O$5,$I44:$K44,0)),INDEX(Movements!$G721:$M721,1,MATCH(O$7,Movements!$G$716:$M$716,0))))
*O1129*O$8,0)</f>
        <v>0</v>
      </c>
      <c r="P484" s="198">
        <f>_xlfn.IFNA(IF(P$7="Fixed",1,IF(AND($D79="yes",P$7="Block"),INDEX($O721:$Q721,1,MATCH(P$5,$I44:$K44,0)),INDEX(Movements!$G721:$M721,1,MATCH(P$7,Movements!$G$716:$M$716,0))))
*P1129*P$8,0)</f>
        <v>0</v>
      </c>
      <c r="Q484" s="198">
        <f>_xlfn.IFNA(IF(Q$7="Fixed",1,IF(AND($D79="yes",Q$7="Block"),INDEX($O721:$Q721,1,MATCH(Q$5,$I44:$K44,0)),INDEX(Movements!$G721:$M721,1,MATCH(Q$7,Movements!$G$716:$M$716,0))))
*Q1129*Q$8,0)</f>
        <v>0</v>
      </c>
      <c r="R484" s="198">
        <f>_xlfn.IFNA(IF(R$7="Fixed",1,IF(AND($D79="yes",R$7="Block"),INDEX($O721:$Q721,1,MATCH(R$5,$I44:$K44,0)),INDEX(Movements!$G721:$M721,1,MATCH(R$7,Movements!$G$716:$M$716,0))))
*R1129*R$8,0)</f>
        <v>0</v>
      </c>
      <c r="S484" s="198">
        <f>_xlfn.IFNA(IF(S$7="Fixed",1,IF(AND($D79="yes",S$7="Block"),INDEX($O721:$Q721,1,MATCH(S$5,$I44:$K44,0)),INDEX(Movements!$G721:$M721,1,MATCH(S$7,Movements!$G$716:$M$716,0))))
*S1129*S$8,0)</f>
        <v>0</v>
      </c>
      <c r="T484" s="198">
        <f>_xlfn.IFNA(IF(T$7="Fixed",1,IF(AND($D79="yes",T$7="Block"),INDEX($O721:$Q721,1,MATCH(T$5,$I44:$K44,0)),INDEX(Movements!$G721:$M721,1,MATCH(T$7,Movements!$G$716:$M$716,0))))
*T1129*T$8,0)</f>
        <v>0</v>
      </c>
      <c r="U484" s="198">
        <f>_xlfn.IFNA(IF(U$7="Fixed",1,IF(AND($D79="yes",U$7="Block"),INDEX($O721:$Q721,1,MATCH(U$5,$I44:$K44,0)),INDEX(Movements!$G721:$M721,1,MATCH(U$7,Movements!$G$716:$M$716,0))))
*U1129*U$8,0)</f>
        <v>0</v>
      </c>
      <c r="V484" s="198">
        <f>_xlfn.IFNA(IF(V$7="Fixed",1,IF(AND($D79="yes",V$7="Block"),INDEX($O721:$Q721,1,MATCH(V$5,$I44:$K44,0)),INDEX(Movements!$G721:$M721,1,MATCH(V$7,Movements!$G$716:$M$716,0))))
*V1129*V$8,0)</f>
        <v>0</v>
      </c>
      <c r="W484" s="198">
        <f>_xlfn.IFNA(IF(W$7="Fixed",1,IF(AND($D79="yes",W$7="Block"),INDEX($O721:$Q721,1,MATCH(W$5,$I44:$K44,0)),INDEX(Movements!$G721:$M721,1,MATCH(W$7,Movements!$G$716:$M$716,0))))
*W1129*W$8,0)</f>
        <v>0</v>
      </c>
      <c r="X484" s="198">
        <f>_xlfn.IFNA(IF(X$7="Fixed",1,IF(AND($D79="yes",X$7="Block"),INDEX($O721:$Q721,1,MATCH(X$5,$I44:$K44,0)),INDEX(Movements!$G721:$M721,1,MATCH(X$7,Movements!$G$716:$M$716,0))))
*X1129*X$8,0)</f>
        <v>0</v>
      </c>
      <c r="Y484" s="198">
        <f>_xlfn.IFNA(IF(Y$7="Fixed",1,IF(AND($D79="yes",Y$7="Block"),INDEX($O721:$Q721,1,MATCH(Y$5,$I44:$K44,0)),INDEX(Movements!$G721:$M721,1,MATCH(Y$7,Movements!$G$716:$M$716,0))))
*Y1129*Y$8,0)</f>
        <v>0</v>
      </c>
      <c r="Z484" s="198">
        <f>_xlfn.IFNA(IF(Z$7="Fixed",1,IF(AND($D79="yes",Z$7="Block"),INDEX($O721:$Q721,1,MATCH(Z$5,$I44:$K44,0)),INDEX(Movements!$G721:$M721,1,MATCH(Z$7,Movements!$G$716:$M$716,0))))
*Z1129*Z$8,0)</f>
        <v>0</v>
      </c>
      <c r="AA484" s="198">
        <f>_xlfn.IFNA(IF(AA$7="Fixed",1,IF(AND($D79="yes",AA$7="Block"),INDEX($O721:$Q721,1,MATCH(AA$5,$I44:$K44,0)),INDEX(Movements!$G721:$M721,1,MATCH(AA$7,Movements!$G$716:$M$716,0))))
*AA1129*AA$8,0)</f>
        <v>0</v>
      </c>
      <c r="AB484" s="198">
        <f>_xlfn.IFNA(IF(AB$7="Fixed",1,IF(AND($D79="yes",AB$7="Block"),INDEX($O721:$Q721,1,MATCH(AB$5,$I44:$K44,0)),INDEX(Movements!$G721:$M721,1,MATCH(AB$7,Movements!$G$716:$M$716,0))))
*AB1129*AB$8,0)</f>
        <v>0</v>
      </c>
      <c r="AC484" s="70"/>
      <c r="AD484" s="19"/>
      <c r="AE484" s="19"/>
      <c r="AF484" s="19"/>
      <c r="AG484" s="19"/>
    </row>
    <row r="485" spans="1:33" hidden="1" outlineLevel="3" x14ac:dyDescent="0.2">
      <c r="A485" s="19"/>
      <c r="B485" s="97">
        <v>4</v>
      </c>
      <c r="C485" s="506">
        <f>IF(C215=0,0,IF(currentyear=RCPminus1,INDEX(Tariffs!$H$46:$H$120,MATCH(Movements!C215,Tariffs!$C$46:$C$120,0)),C215))</f>
        <v>0</v>
      </c>
      <c r="D485" s="505">
        <f t="shared" si="123"/>
        <v>0</v>
      </c>
      <c r="E485" s="505">
        <f t="shared" si="123"/>
        <v>0</v>
      </c>
      <c r="F485" s="58"/>
      <c r="G485" s="199">
        <f t="shared" si="124"/>
        <v>0</v>
      </c>
      <c r="H485" s="58"/>
      <c r="I485" s="198">
        <f>_xlfn.IFNA(IF(I$7="Fixed",1,IF(AND($D80="yes",I$7="Block"),INDEX($O722:$Q722,1,MATCH(I$5,$I45:$K45,0)),INDEX(Movements!$G722:$M722,1,MATCH(I$7,Movements!$G$716:$M$716,0))))
*I1130*I$8,0)</f>
        <v>0</v>
      </c>
      <c r="J485" s="198">
        <f>_xlfn.IFNA(IF(J$7="Fixed",1,IF(AND($D80="yes",J$7="Block"),INDEX($O722:$Q722,1,MATCH(J$5,$I45:$K45,0)),INDEX(Movements!$G722:$M722,1,MATCH(J$7,Movements!$G$716:$M$716,0))))
*J1130*J$8,0)</f>
        <v>0</v>
      </c>
      <c r="K485" s="198">
        <f>_xlfn.IFNA(IF(K$7="Fixed",1,IF(AND($D80="yes",K$7="Block"),INDEX($O722:$Q722,1,MATCH(K$5,$I45:$K45,0)),INDEX(Movements!$G722:$M722,1,MATCH(K$7,Movements!$G$716:$M$716,0))))
*K1130*K$8,0)</f>
        <v>0</v>
      </c>
      <c r="L485" s="198">
        <f>_xlfn.IFNA(IF(L$7="Fixed",1,IF(AND($D80="yes",L$7="Block"),INDEX($O722:$Q722,1,MATCH(L$5,$I45:$K45,0)),INDEX(Movements!$G722:$M722,1,MATCH(L$7,Movements!$G$716:$M$716,0))))
*L1130*L$8,0)</f>
        <v>0</v>
      </c>
      <c r="M485" s="198">
        <f>_xlfn.IFNA(IF(M$7="Fixed",1,IF(AND($D80="yes",M$7="Block"),INDEX($O722:$Q722,1,MATCH(M$5,$I45:$K45,0)),INDEX(Movements!$G722:$M722,1,MATCH(M$7,Movements!$G$716:$M$716,0))))
*M1130*M$8,0)</f>
        <v>0</v>
      </c>
      <c r="N485" s="198">
        <f>_xlfn.IFNA(IF(N$7="Fixed",1,IF(AND($D80="yes",N$7="Block"),INDEX($O722:$Q722,1,MATCH(N$5,$I45:$K45,0)),INDEX(Movements!$G722:$M722,1,MATCH(N$7,Movements!$G$716:$M$716,0))))
*N1130*N$8,0)</f>
        <v>0</v>
      </c>
      <c r="O485" s="198">
        <f>_xlfn.IFNA(IF(O$7="Fixed",1,IF(AND($D80="yes",O$7="Block"),INDEX($O722:$Q722,1,MATCH(O$5,$I45:$K45,0)),INDEX(Movements!$G722:$M722,1,MATCH(O$7,Movements!$G$716:$M$716,0))))
*O1130*O$8,0)</f>
        <v>0</v>
      </c>
      <c r="P485" s="198">
        <f>_xlfn.IFNA(IF(P$7="Fixed",1,IF(AND($D80="yes",P$7="Block"),INDEX($O722:$Q722,1,MATCH(P$5,$I45:$K45,0)),INDEX(Movements!$G722:$M722,1,MATCH(P$7,Movements!$G$716:$M$716,0))))
*P1130*P$8,0)</f>
        <v>0</v>
      </c>
      <c r="Q485" s="198">
        <f>_xlfn.IFNA(IF(Q$7="Fixed",1,IF(AND($D80="yes",Q$7="Block"),INDEX($O722:$Q722,1,MATCH(Q$5,$I45:$K45,0)),INDEX(Movements!$G722:$M722,1,MATCH(Q$7,Movements!$G$716:$M$716,0))))
*Q1130*Q$8,0)</f>
        <v>0</v>
      </c>
      <c r="R485" s="198">
        <f>_xlfn.IFNA(IF(R$7="Fixed",1,IF(AND($D80="yes",R$7="Block"),INDEX($O722:$Q722,1,MATCH(R$5,$I45:$K45,0)),INDEX(Movements!$G722:$M722,1,MATCH(R$7,Movements!$G$716:$M$716,0))))
*R1130*R$8,0)</f>
        <v>0</v>
      </c>
      <c r="S485" s="198">
        <f>_xlfn.IFNA(IF(S$7="Fixed",1,IF(AND($D80="yes",S$7="Block"),INDEX($O722:$Q722,1,MATCH(S$5,$I45:$K45,0)),INDEX(Movements!$G722:$M722,1,MATCH(S$7,Movements!$G$716:$M$716,0))))
*S1130*S$8,0)</f>
        <v>0</v>
      </c>
      <c r="T485" s="198">
        <f>_xlfn.IFNA(IF(T$7="Fixed",1,IF(AND($D80="yes",T$7="Block"),INDEX($O722:$Q722,1,MATCH(T$5,$I45:$K45,0)),INDEX(Movements!$G722:$M722,1,MATCH(T$7,Movements!$G$716:$M$716,0))))
*T1130*T$8,0)</f>
        <v>0</v>
      </c>
      <c r="U485" s="198">
        <f>_xlfn.IFNA(IF(U$7="Fixed",1,IF(AND($D80="yes",U$7="Block"),INDEX($O722:$Q722,1,MATCH(U$5,$I45:$K45,0)),INDEX(Movements!$G722:$M722,1,MATCH(U$7,Movements!$G$716:$M$716,0))))
*U1130*U$8,0)</f>
        <v>0</v>
      </c>
      <c r="V485" s="198">
        <f>_xlfn.IFNA(IF(V$7="Fixed",1,IF(AND($D80="yes",V$7="Block"),INDEX($O722:$Q722,1,MATCH(V$5,$I45:$K45,0)),INDEX(Movements!$G722:$M722,1,MATCH(V$7,Movements!$G$716:$M$716,0))))
*V1130*V$8,0)</f>
        <v>0</v>
      </c>
      <c r="W485" s="198">
        <f>_xlfn.IFNA(IF(W$7="Fixed",1,IF(AND($D80="yes",W$7="Block"),INDEX($O722:$Q722,1,MATCH(W$5,$I45:$K45,0)),INDEX(Movements!$G722:$M722,1,MATCH(W$7,Movements!$G$716:$M$716,0))))
*W1130*W$8,0)</f>
        <v>0</v>
      </c>
      <c r="X485" s="198">
        <f>_xlfn.IFNA(IF(X$7="Fixed",1,IF(AND($D80="yes",X$7="Block"),INDEX($O722:$Q722,1,MATCH(X$5,$I45:$K45,0)),INDEX(Movements!$G722:$M722,1,MATCH(X$7,Movements!$G$716:$M$716,0))))
*X1130*X$8,0)</f>
        <v>0</v>
      </c>
      <c r="Y485" s="198">
        <f>_xlfn.IFNA(IF(Y$7="Fixed",1,IF(AND($D80="yes",Y$7="Block"),INDEX($O722:$Q722,1,MATCH(Y$5,$I45:$K45,0)),INDEX(Movements!$G722:$M722,1,MATCH(Y$7,Movements!$G$716:$M$716,0))))
*Y1130*Y$8,0)</f>
        <v>0</v>
      </c>
      <c r="Z485" s="198">
        <f>_xlfn.IFNA(IF(Z$7="Fixed",1,IF(AND($D80="yes",Z$7="Block"),INDEX($O722:$Q722,1,MATCH(Z$5,$I45:$K45,0)),INDEX(Movements!$G722:$M722,1,MATCH(Z$7,Movements!$G$716:$M$716,0))))
*Z1130*Z$8,0)</f>
        <v>0</v>
      </c>
      <c r="AA485" s="198">
        <f>_xlfn.IFNA(IF(AA$7="Fixed",1,IF(AND($D80="yes",AA$7="Block"),INDEX($O722:$Q722,1,MATCH(AA$5,$I45:$K45,0)),INDEX(Movements!$G722:$M722,1,MATCH(AA$7,Movements!$G$716:$M$716,0))))
*AA1130*AA$8,0)</f>
        <v>0</v>
      </c>
      <c r="AB485" s="198">
        <f>_xlfn.IFNA(IF(AB$7="Fixed",1,IF(AND($D80="yes",AB$7="Block"),INDEX($O722:$Q722,1,MATCH(AB$5,$I45:$K45,0)),INDEX(Movements!$G722:$M722,1,MATCH(AB$7,Movements!$G$716:$M$716,0))))
*AB1130*AB$8,0)</f>
        <v>0</v>
      </c>
      <c r="AC485" s="70"/>
      <c r="AD485" s="19"/>
      <c r="AE485" s="19"/>
      <c r="AF485" s="19"/>
      <c r="AG485" s="19"/>
    </row>
    <row r="486" spans="1:33" hidden="1" outlineLevel="3" x14ac:dyDescent="0.2">
      <c r="A486" s="19"/>
      <c r="B486" s="97">
        <v>5</v>
      </c>
      <c r="C486" s="506">
        <f>IF(C216=0,0,IF(currentyear=RCPminus1,INDEX(Tariffs!$H$46:$H$120,MATCH(Movements!C216,Tariffs!$C$46:$C$120,0)),C216))</f>
        <v>0</v>
      </c>
      <c r="D486" s="505">
        <f t="shared" si="123"/>
        <v>0</v>
      </c>
      <c r="E486" s="505">
        <f t="shared" si="123"/>
        <v>0</v>
      </c>
      <c r="F486" s="58"/>
      <c r="G486" s="199">
        <f t="shared" si="124"/>
        <v>0</v>
      </c>
      <c r="H486" s="58"/>
      <c r="I486" s="198">
        <f>_xlfn.IFNA(IF(I$7="Fixed",1,IF(AND($D81="yes",I$7="Block"),INDEX($O723:$Q723,1,MATCH(I$5,$I46:$K46,0)),INDEX(Movements!$G723:$M723,1,MATCH(I$7,Movements!$G$716:$M$716,0))))
*I1131*I$8,0)</f>
        <v>0</v>
      </c>
      <c r="J486" s="198">
        <f>_xlfn.IFNA(IF(J$7="Fixed",1,IF(AND($D81="yes",J$7="Block"),INDEX($O723:$Q723,1,MATCH(J$5,$I46:$K46,0)),INDEX(Movements!$G723:$M723,1,MATCH(J$7,Movements!$G$716:$M$716,0))))
*J1131*J$8,0)</f>
        <v>0</v>
      </c>
      <c r="K486" s="198">
        <f>_xlfn.IFNA(IF(K$7="Fixed",1,IF(AND($D81="yes",K$7="Block"),INDEX($O723:$Q723,1,MATCH(K$5,$I46:$K46,0)),INDEX(Movements!$G723:$M723,1,MATCH(K$7,Movements!$G$716:$M$716,0))))
*K1131*K$8,0)</f>
        <v>0</v>
      </c>
      <c r="L486" s="198">
        <f>_xlfn.IFNA(IF(L$7="Fixed",1,IF(AND($D81="yes",L$7="Block"),INDEX($O723:$Q723,1,MATCH(L$5,$I46:$K46,0)),INDEX(Movements!$G723:$M723,1,MATCH(L$7,Movements!$G$716:$M$716,0))))
*L1131*L$8,0)</f>
        <v>0</v>
      </c>
      <c r="M486" s="198">
        <f>_xlfn.IFNA(IF(M$7="Fixed",1,IF(AND($D81="yes",M$7="Block"),INDEX($O723:$Q723,1,MATCH(M$5,$I46:$K46,0)),INDEX(Movements!$G723:$M723,1,MATCH(M$7,Movements!$G$716:$M$716,0))))
*M1131*M$8,0)</f>
        <v>0</v>
      </c>
      <c r="N486" s="198">
        <f>_xlfn.IFNA(IF(N$7="Fixed",1,IF(AND($D81="yes",N$7="Block"),INDEX($O723:$Q723,1,MATCH(N$5,$I46:$K46,0)),INDEX(Movements!$G723:$M723,1,MATCH(N$7,Movements!$G$716:$M$716,0))))
*N1131*N$8,0)</f>
        <v>0</v>
      </c>
      <c r="O486" s="198">
        <f>_xlfn.IFNA(IF(O$7="Fixed",1,IF(AND($D81="yes",O$7="Block"),INDEX($O723:$Q723,1,MATCH(O$5,$I46:$K46,0)),INDEX(Movements!$G723:$M723,1,MATCH(O$7,Movements!$G$716:$M$716,0))))
*O1131*O$8,0)</f>
        <v>0</v>
      </c>
      <c r="P486" s="198">
        <f>_xlfn.IFNA(IF(P$7="Fixed",1,IF(AND($D81="yes",P$7="Block"),INDEX($O723:$Q723,1,MATCH(P$5,$I46:$K46,0)),INDEX(Movements!$G723:$M723,1,MATCH(P$7,Movements!$G$716:$M$716,0))))
*P1131*P$8,0)</f>
        <v>0</v>
      </c>
      <c r="Q486" s="198">
        <f>_xlfn.IFNA(IF(Q$7="Fixed",1,IF(AND($D81="yes",Q$7="Block"),INDEX($O723:$Q723,1,MATCH(Q$5,$I46:$K46,0)),INDEX(Movements!$G723:$M723,1,MATCH(Q$7,Movements!$G$716:$M$716,0))))
*Q1131*Q$8,0)</f>
        <v>0</v>
      </c>
      <c r="R486" s="198">
        <f>_xlfn.IFNA(IF(R$7="Fixed",1,IF(AND($D81="yes",R$7="Block"),INDEX($O723:$Q723,1,MATCH(R$5,$I46:$K46,0)),INDEX(Movements!$G723:$M723,1,MATCH(R$7,Movements!$G$716:$M$716,0))))
*R1131*R$8,0)</f>
        <v>0</v>
      </c>
      <c r="S486" s="198">
        <f>_xlfn.IFNA(IF(S$7="Fixed",1,IF(AND($D81="yes",S$7="Block"),INDEX($O723:$Q723,1,MATCH(S$5,$I46:$K46,0)),INDEX(Movements!$G723:$M723,1,MATCH(S$7,Movements!$G$716:$M$716,0))))
*S1131*S$8,0)</f>
        <v>0</v>
      </c>
      <c r="T486" s="198">
        <f>_xlfn.IFNA(IF(T$7="Fixed",1,IF(AND($D81="yes",T$7="Block"),INDEX($O723:$Q723,1,MATCH(T$5,$I46:$K46,0)),INDEX(Movements!$G723:$M723,1,MATCH(T$7,Movements!$G$716:$M$716,0))))
*T1131*T$8,0)</f>
        <v>0</v>
      </c>
      <c r="U486" s="198">
        <f>_xlfn.IFNA(IF(U$7="Fixed",1,IF(AND($D81="yes",U$7="Block"),INDEX($O723:$Q723,1,MATCH(U$5,$I46:$K46,0)),INDEX(Movements!$G723:$M723,1,MATCH(U$7,Movements!$G$716:$M$716,0))))
*U1131*U$8,0)</f>
        <v>0</v>
      </c>
      <c r="V486" s="198">
        <f>_xlfn.IFNA(IF(V$7="Fixed",1,IF(AND($D81="yes",V$7="Block"),INDEX($O723:$Q723,1,MATCH(V$5,$I46:$K46,0)),INDEX(Movements!$G723:$M723,1,MATCH(V$7,Movements!$G$716:$M$716,0))))
*V1131*V$8,0)</f>
        <v>0</v>
      </c>
      <c r="W486" s="198">
        <f>_xlfn.IFNA(IF(W$7="Fixed",1,IF(AND($D81="yes",W$7="Block"),INDEX($O723:$Q723,1,MATCH(W$5,$I46:$K46,0)),INDEX(Movements!$G723:$M723,1,MATCH(W$7,Movements!$G$716:$M$716,0))))
*W1131*W$8,0)</f>
        <v>0</v>
      </c>
      <c r="X486" s="198">
        <f>_xlfn.IFNA(IF(X$7="Fixed",1,IF(AND($D81="yes",X$7="Block"),INDEX($O723:$Q723,1,MATCH(X$5,$I46:$K46,0)),INDEX(Movements!$G723:$M723,1,MATCH(X$7,Movements!$G$716:$M$716,0))))
*X1131*X$8,0)</f>
        <v>0</v>
      </c>
      <c r="Y486" s="198">
        <f>_xlfn.IFNA(IF(Y$7="Fixed",1,IF(AND($D81="yes",Y$7="Block"),INDEX($O723:$Q723,1,MATCH(Y$5,$I46:$K46,0)),INDEX(Movements!$G723:$M723,1,MATCH(Y$7,Movements!$G$716:$M$716,0))))
*Y1131*Y$8,0)</f>
        <v>0</v>
      </c>
      <c r="Z486" s="198">
        <f>_xlfn.IFNA(IF(Z$7="Fixed",1,IF(AND($D81="yes",Z$7="Block"),INDEX($O723:$Q723,1,MATCH(Z$5,$I46:$K46,0)),INDEX(Movements!$G723:$M723,1,MATCH(Z$7,Movements!$G$716:$M$716,0))))
*Z1131*Z$8,0)</f>
        <v>0</v>
      </c>
      <c r="AA486" s="198">
        <f>_xlfn.IFNA(IF(AA$7="Fixed",1,IF(AND($D81="yes",AA$7="Block"),INDEX($O723:$Q723,1,MATCH(AA$5,$I46:$K46,0)),INDEX(Movements!$G723:$M723,1,MATCH(AA$7,Movements!$G$716:$M$716,0))))
*AA1131*AA$8,0)</f>
        <v>0</v>
      </c>
      <c r="AB486" s="198">
        <f>_xlfn.IFNA(IF(AB$7="Fixed",1,IF(AND($D81="yes",AB$7="Block"),INDEX($O723:$Q723,1,MATCH(AB$5,$I46:$K46,0)),INDEX(Movements!$G723:$M723,1,MATCH(AB$7,Movements!$G$716:$M$716,0))))
*AB1131*AB$8,0)</f>
        <v>0</v>
      </c>
      <c r="AC486" s="70"/>
      <c r="AD486" s="19"/>
      <c r="AE486" s="19"/>
      <c r="AF486" s="19"/>
      <c r="AG486" s="19"/>
    </row>
    <row r="487" spans="1:33" hidden="1" outlineLevel="3" x14ac:dyDescent="0.2">
      <c r="A487" s="19"/>
      <c r="B487" s="97">
        <v>6</v>
      </c>
      <c r="C487" s="506">
        <f>IF(C217=0,0,IF(currentyear=RCPminus1,INDEX(Tariffs!$H$46:$H$120,MATCH(Movements!C217,Tariffs!$C$46:$C$120,0)),C217))</f>
        <v>0</v>
      </c>
      <c r="D487" s="505">
        <f t="shared" si="123"/>
        <v>0</v>
      </c>
      <c r="E487" s="505">
        <f t="shared" si="123"/>
        <v>0</v>
      </c>
      <c r="F487" s="58"/>
      <c r="G487" s="199">
        <f t="shared" si="124"/>
        <v>0</v>
      </c>
      <c r="H487" s="58"/>
      <c r="I487" s="198">
        <f>_xlfn.IFNA(IF(I$7="Fixed",1,IF(AND($D82="yes",I$7="Block"),INDEX($O724:$Q724,1,MATCH(I$5,$I47:$K47,0)),INDEX(Movements!$G724:$M724,1,MATCH(I$7,Movements!$G$716:$M$716,0))))
*I1132*I$8,0)</f>
        <v>0</v>
      </c>
      <c r="J487" s="198">
        <f>_xlfn.IFNA(IF(J$7="Fixed",1,IF(AND($D82="yes",J$7="Block"),INDEX($O724:$Q724,1,MATCH(J$5,$I47:$K47,0)),INDEX(Movements!$G724:$M724,1,MATCH(J$7,Movements!$G$716:$M$716,0))))
*J1132*J$8,0)</f>
        <v>0</v>
      </c>
      <c r="K487" s="198">
        <f>_xlfn.IFNA(IF(K$7="Fixed",1,IF(AND($D82="yes",K$7="Block"),INDEX($O724:$Q724,1,MATCH(K$5,$I47:$K47,0)),INDEX(Movements!$G724:$M724,1,MATCH(K$7,Movements!$G$716:$M$716,0))))
*K1132*K$8,0)</f>
        <v>0</v>
      </c>
      <c r="L487" s="198">
        <f>_xlfn.IFNA(IF(L$7="Fixed",1,IF(AND($D82="yes",L$7="Block"),INDEX($O724:$Q724,1,MATCH(L$5,$I47:$K47,0)),INDEX(Movements!$G724:$M724,1,MATCH(L$7,Movements!$G$716:$M$716,0))))
*L1132*L$8,0)</f>
        <v>0</v>
      </c>
      <c r="M487" s="198">
        <f>_xlfn.IFNA(IF(M$7="Fixed",1,IF(AND($D82="yes",M$7="Block"),INDEX($O724:$Q724,1,MATCH(M$5,$I47:$K47,0)),INDEX(Movements!$G724:$M724,1,MATCH(M$7,Movements!$G$716:$M$716,0))))
*M1132*M$8,0)</f>
        <v>0</v>
      </c>
      <c r="N487" s="198">
        <f>_xlfn.IFNA(IF(N$7="Fixed",1,IF(AND($D82="yes",N$7="Block"),INDEX($O724:$Q724,1,MATCH(N$5,$I47:$K47,0)),INDEX(Movements!$G724:$M724,1,MATCH(N$7,Movements!$G$716:$M$716,0))))
*N1132*N$8,0)</f>
        <v>0</v>
      </c>
      <c r="O487" s="198">
        <f>_xlfn.IFNA(IF(O$7="Fixed",1,IF(AND($D82="yes",O$7="Block"),INDEX($O724:$Q724,1,MATCH(O$5,$I47:$K47,0)),INDEX(Movements!$G724:$M724,1,MATCH(O$7,Movements!$G$716:$M$716,0))))
*O1132*O$8,0)</f>
        <v>0</v>
      </c>
      <c r="P487" s="198">
        <f>_xlfn.IFNA(IF(P$7="Fixed",1,IF(AND($D82="yes",P$7="Block"),INDEX($O724:$Q724,1,MATCH(P$5,$I47:$K47,0)),INDEX(Movements!$G724:$M724,1,MATCH(P$7,Movements!$G$716:$M$716,0))))
*P1132*P$8,0)</f>
        <v>0</v>
      </c>
      <c r="Q487" s="198">
        <f>_xlfn.IFNA(IF(Q$7="Fixed",1,IF(AND($D82="yes",Q$7="Block"),INDEX($O724:$Q724,1,MATCH(Q$5,$I47:$K47,0)),INDEX(Movements!$G724:$M724,1,MATCH(Q$7,Movements!$G$716:$M$716,0))))
*Q1132*Q$8,0)</f>
        <v>0</v>
      </c>
      <c r="R487" s="198">
        <f>_xlfn.IFNA(IF(R$7="Fixed",1,IF(AND($D82="yes",R$7="Block"),INDEX($O724:$Q724,1,MATCH(R$5,$I47:$K47,0)),INDEX(Movements!$G724:$M724,1,MATCH(R$7,Movements!$G$716:$M$716,0))))
*R1132*R$8,0)</f>
        <v>0</v>
      </c>
      <c r="S487" s="198">
        <f>_xlfn.IFNA(IF(S$7="Fixed",1,IF(AND($D82="yes",S$7="Block"),INDEX($O724:$Q724,1,MATCH(S$5,$I47:$K47,0)),INDEX(Movements!$G724:$M724,1,MATCH(S$7,Movements!$G$716:$M$716,0))))
*S1132*S$8,0)</f>
        <v>0</v>
      </c>
      <c r="T487" s="198">
        <f>_xlfn.IFNA(IF(T$7="Fixed",1,IF(AND($D82="yes",T$7="Block"),INDEX($O724:$Q724,1,MATCH(T$5,$I47:$K47,0)),INDEX(Movements!$G724:$M724,1,MATCH(T$7,Movements!$G$716:$M$716,0))))
*T1132*T$8,0)</f>
        <v>0</v>
      </c>
      <c r="U487" s="198">
        <f>_xlfn.IFNA(IF(U$7="Fixed",1,IF(AND($D82="yes",U$7="Block"),INDEX($O724:$Q724,1,MATCH(U$5,$I47:$K47,0)),INDEX(Movements!$G724:$M724,1,MATCH(U$7,Movements!$G$716:$M$716,0))))
*U1132*U$8,0)</f>
        <v>0</v>
      </c>
      <c r="V487" s="198">
        <f>_xlfn.IFNA(IF(V$7="Fixed",1,IF(AND($D82="yes",V$7="Block"),INDEX($O724:$Q724,1,MATCH(V$5,$I47:$K47,0)),INDEX(Movements!$G724:$M724,1,MATCH(V$7,Movements!$G$716:$M$716,0))))
*V1132*V$8,0)</f>
        <v>0</v>
      </c>
      <c r="W487" s="198">
        <f>_xlfn.IFNA(IF(W$7="Fixed",1,IF(AND($D82="yes",W$7="Block"),INDEX($O724:$Q724,1,MATCH(W$5,$I47:$K47,0)),INDEX(Movements!$G724:$M724,1,MATCH(W$7,Movements!$G$716:$M$716,0))))
*W1132*W$8,0)</f>
        <v>0</v>
      </c>
      <c r="X487" s="198">
        <f>_xlfn.IFNA(IF(X$7="Fixed",1,IF(AND($D82="yes",X$7="Block"),INDEX($O724:$Q724,1,MATCH(X$5,$I47:$K47,0)),INDEX(Movements!$G724:$M724,1,MATCH(X$7,Movements!$G$716:$M$716,0))))
*X1132*X$8,0)</f>
        <v>0</v>
      </c>
      <c r="Y487" s="198">
        <f>_xlfn.IFNA(IF(Y$7="Fixed",1,IF(AND($D82="yes",Y$7="Block"),INDEX($O724:$Q724,1,MATCH(Y$5,$I47:$K47,0)),INDEX(Movements!$G724:$M724,1,MATCH(Y$7,Movements!$G$716:$M$716,0))))
*Y1132*Y$8,0)</f>
        <v>0</v>
      </c>
      <c r="Z487" s="198">
        <f>_xlfn.IFNA(IF(Z$7="Fixed",1,IF(AND($D82="yes",Z$7="Block"),INDEX($O724:$Q724,1,MATCH(Z$5,$I47:$K47,0)),INDEX(Movements!$G724:$M724,1,MATCH(Z$7,Movements!$G$716:$M$716,0))))
*Z1132*Z$8,0)</f>
        <v>0</v>
      </c>
      <c r="AA487" s="198">
        <f>_xlfn.IFNA(IF(AA$7="Fixed",1,IF(AND($D82="yes",AA$7="Block"),INDEX($O724:$Q724,1,MATCH(AA$5,$I47:$K47,0)),INDEX(Movements!$G724:$M724,1,MATCH(AA$7,Movements!$G$716:$M$716,0))))
*AA1132*AA$8,0)</f>
        <v>0</v>
      </c>
      <c r="AB487" s="198">
        <f>_xlfn.IFNA(IF(AB$7="Fixed",1,IF(AND($D82="yes",AB$7="Block"),INDEX($O724:$Q724,1,MATCH(AB$5,$I47:$K47,0)),INDEX(Movements!$G724:$M724,1,MATCH(AB$7,Movements!$G$716:$M$716,0))))
*AB1132*AB$8,0)</f>
        <v>0</v>
      </c>
      <c r="AC487" s="70"/>
      <c r="AD487" s="19"/>
      <c r="AE487" s="19"/>
      <c r="AF487" s="19"/>
      <c r="AG487" s="19"/>
    </row>
    <row r="488" spans="1:33" hidden="1" outlineLevel="3" x14ac:dyDescent="0.2">
      <c r="A488" s="19"/>
      <c r="B488" s="97">
        <v>7</v>
      </c>
      <c r="C488" s="506">
        <f>IF(C218=0,0,IF(currentyear=RCPminus1,INDEX(Tariffs!$H$46:$H$120,MATCH(Movements!C218,Tariffs!$C$46:$C$120,0)),C218))</f>
        <v>0</v>
      </c>
      <c r="D488" s="505">
        <f t="shared" si="123"/>
        <v>0</v>
      </c>
      <c r="E488" s="505">
        <f t="shared" si="123"/>
        <v>0</v>
      </c>
      <c r="F488" s="58"/>
      <c r="G488" s="199">
        <f t="shared" si="124"/>
        <v>0</v>
      </c>
      <c r="H488" s="58"/>
      <c r="I488" s="198">
        <f>_xlfn.IFNA(IF(I$7="Fixed",1,IF(AND($D83="yes",I$7="Block"),INDEX($O725:$Q725,1,MATCH(I$5,$I48:$K48,0)),INDEX(Movements!$G725:$M725,1,MATCH(I$7,Movements!$G$716:$M$716,0))))
*I1133*I$8,0)</f>
        <v>0</v>
      </c>
      <c r="J488" s="198">
        <f>_xlfn.IFNA(IF(J$7="Fixed",1,IF(AND($D83="yes",J$7="Block"),INDEX($O725:$Q725,1,MATCH(J$5,$I48:$K48,0)),INDEX(Movements!$G725:$M725,1,MATCH(J$7,Movements!$G$716:$M$716,0))))
*J1133*J$8,0)</f>
        <v>0</v>
      </c>
      <c r="K488" s="198">
        <f>_xlfn.IFNA(IF(K$7="Fixed",1,IF(AND($D83="yes",K$7="Block"),INDEX($O725:$Q725,1,MATCH(K$5,$I48:$K48,0)),INDEX(Movements!$G725:$M725,1,MATCH(K$7,Movements!$G$716:$M$716,0))))
*K1133*K$8,0)</f>
        <v>0</v>
      </c>
      <c r="L488" s="198">
        <f>_xlfn.IFNA(IF(L$7="Fixed",1,IF(AND($D83="yes",L$7="Block"),INDEX($O725:$Q725,1,MATCH(L$5,$I48:$K48,0)),INDEX(Movements!$G725:$M725,1,MATCH(L$7,Movements!$G$716:$M$716,0))))
*L1133*L$8,0)</f>
        <v>0</v>
      </c>
      <c r="M488" s="198">
        <f>_xlfn.IFNA(IF(M$7="Fixed",1,IF(AND($D83="yes",M$7="Block"),INDEX($O725:$Q725,1,MATCH(M$5,$I48:$K48,0)),INDEX(Movements!$G725:$M725,1,MATCH(M$7,Movements!$G$716:$M$716,0))))
*M1133*M$8,0)</f>
        <v>0</v>
      </c>
      <c r="N488" s="198">
        <f>_xlfn.IFNA(IF(N$7="Fixed",1,IF(AND($D83="yes",N$7="Block"),INDEX($O725:$Q725,1,MATCH(N$5,$I48:$K48,0)),INDEX(Movements!$G725:$M725,1,MATCH(N$7,Movements!$G$716:$M$716,0))))
*N1133*N$8,0)</f>
        <v>0</v>
      </c>
      <c r="O488" s="198">
        <f>_xlfn.IFNA(IF(O$7="Fixed",1,IF(AND($D83="yes",O$7="Block"),INDEX($O725:$Q725,1,MATCH(O$5,$I48:$K48,0)),INDEX(Movements!$G725:$M725,1,MATCH(O$7,Movements!$G$716:$M$716,0))))
*O1133*O$8,0)</f>
        <v>0</v>
      </c>
      <c r="P488" s="198">
        <f>_xlfn.IFNA(IF(P$7="Fixed",1,IF(AND($D83="yes",P$7="Block"),INDEX($O725:$Q725,1,MATCH(P$5,$I48:$K48,0)),INDEX(Movements!$G725:$M725,1,MATCH(P$7,Movements!$G$716:$M$716,0))))
*P1133*P$8,0)</f>
        <v>0</v>
      </c>
      <c r="Q488" s="198">
        <f>_xlfn.IFNA(IF(Q$7="Fixed",1,IF(AND($D83="yes",Q$7="Block"),INDEX($O725:$Q725,1,MATCH(Q$5,$I48:$K48,0)),INDEX(Movements!$G725:$M725,1,MATCH(Q$7,Movements!$G$716:$M$716,0))))
*Q1133*Q$8,0)</f>
        <v>0</v>
      </c>
      <c r="R488" s="198">
        <f>_xlfn.IFNA(IF(R$7="Fixed",1,IF(AND($D83="yes",R$7="Block"),INDEX($O725:$Q725,1,MATCH(R$5,$I48:$K48,0)),INDEX(Movements!$G725:$M725,1,MATCH(R$7,Movements!$G$716:$M$716,0))))
*R1133*R$8,0)</f>
        <v>0</v>
      </c>
      <c r="S488" s="198">
        <f>_xlfn.IFNA(IF(S$7="Fixed",1,IF(AND($D83="yes",S$7="Block"),INDEX($O725:$Q725,1,MATCH(S$5,$I48:$K48,0)),INDEX(Movements!$G725:$M725,1,MATCH(S$7,Movements!$G$716:$M$716,0))))
*S1133*S$8,0)</f>
        <v>0</v>
      </c>
      <c r="T488" s="198">
        <f>_xlfn.IFNA(IF(T$7="Fixed",1,IF(AND($D83="yes",T$7="Block"),INDEX($O725:$Q725,1,MATCH(T$5,$I48:$K48,0)),INDEX(Movements!$G725:$M725,1,MATCH(T$7,Movements!$G$716:$M$716,0))))
*T1133*T$8,0)</f>
        <v>0</v>
      </c>
      <c r="U488" s="198">
        <f>_xlfn.IFNA(IF(U$7="Fixed",1,IF(AND($D83="yes",U$7="Block"),INDEX($O725:$Q725,1,MATCH(U$5,$I48:$K48,0)),INDEX(Movements!$G725:$M725,1,MATCH(U$7,Movements!$G$716:$M$716,0))))
*U1133*U$8,0)</f>
        <v>0</v>
      </c>
      <c r="V488" s="198">
        <f>_xlfn.IFNA(IF(V$7="Fixed",1,IF(AND($D83="yes",V$7="Block"),INDEX($O725:$Q725,1,MATCH(V$5,$I48:$K48,0)),INDEX(Movements!$G725:$M725,1,MATCH(V$7,Movements!$G$716:$M$716,0))))
*V1133*V$8,0)</f>
        <v>0</v>
      </c>
      <c r="W488" s="198">
        <f>_xlfn.IFNA(IF(W$7="Fixed",1,IF(AND($D83="yes",W$7="Block"),INDEX($O725:$Q725,1,MATCH(W$5,$I48:$K48,0)),INDEX(Movements!$G725:$M725,1,MATCH(W$7,Movements!$G$716:$M$716,0))))
*W1133*W$8,0)</f>
        <v>0</v>
      </c>
      <c r="X488" s="198">
        <f>_xlfn.IFNA(IF(X$7="Fixed",1,IF(AND($D83="yes",X$7="Block"),INDEX($O725:$Q725,1,MATCH(X$5,$I48:$K48,0)),INDEX(Movements!$G725:$M725,1,MATCH(X$7,Movements!$G$716:$M$716,0))))
*X1133*X$8,0)</f>
        <v>0</v>
      </c>
      <c r="Y488" s="198">
        <f>_xlfn.IFNA(IF(Y$7="Fixed",1,IF(AND($D83="yes",Y$7="Block"),INDEX($O725:$Q725,1,MATCH(Y$5,$I48:$K48,0)),INDEX(Movements!$G725:$M725,1,MATCH(Y$7,Movements!$G$716:$M$716,0))))
*Y1133*Y$8,0)</f>
        <v>0</v>
      </c>
      <c r="Z488" s="198">
        <f>_xlfn.IFNA(IF(Z$7="Fixed",1,IF(AND($D83="yes",Z$7="Block"),INDEX($O725:$Q725,1,MATCH(Z$5,$I48:$K48,0)),INDEX(Movements!$G725:$M725,1,MATCH(Z$7,Movements!$G$716:$M$716,0))))
*Z1133*Z$8,0)</f>
        <v>0</v>
      </c>
      <c r="AA488" s="198">
        <f>_xlfn.IFNA(IF(AA$7="Fixed",1,IF(AND($D83="yes",AA$7="Block"),INDEX($O725:$Q725,1,MATCH(AA$5,$I48:$K48,0)),INDEX(Movements!$G725:$M725,1,MATCH(AA$7,Movements!$G$716:$M$716,0))))
*AA1133*AA$8,0)</f>
        <v>0</v>
      </c>
      <c r="AB488" s="198">
        <f>_xlfn.IFNA(IF(AB$7="Fixed",1,IF(AND($D83="yes",AB$7="Block"),INDEX($O725:$Q725,1,MATCH(AB$5,$I48:$K48,0)),INDEX(Movements!$G725:$M725,1,MATCH(AB$7,Movements!$G$716:$M$716,0))))
*AB1133*AB$8,0)</f>
        <v>0</v>
      </c>
      <c r="AC488" s="70"/>
      <c r="AD488" s="19"/>
      <c r="AE488" s="19"/>
      <c r="AF488" s="19"/>
      <c r="AG488" s="19"/>
    </row>
    <row r="489" spans="1:33" hidden="1" outlineLevel="3" x14ac:dyDescent="0.2">
      <c r="A489" s="19"/>
      <c r="B489" s="97">
        <v>8</v>
      </c>
      <c r="C489" s="506">
        <f>IF(C219=0,0,IF(currentyear=RCPminus1,INDEX(Tariffs!$H$46:$H$120,MATCH(Movements!C219,Tariffs!$C$46:$C$120,0)),C219))</f>
        <v>0</v>
      </c>
      <c r="D489" s="505">
        <f t="shared" si="123"/>
        <v>0</v>
      </c>
      <c r="E489" s="505">
        <f t="shared" si="123"/>
        <v>0</v>
      </c>
      <c r="F489" s="58"/>
      <c r="G489" s="199">
        <f t="shared" si="124"/>
        <v>0</v>
      </c>
      <c r="H489" s="58"/>
      <c r="I489" s="198">
        <f>_xlfn.IFNA(IF(I$7="Fixed",1,IF(AND($D84="yes",I$7="Block"),INDEX($O726:$Q726,1,MATCH(I$5,$I49:$K49,0)),INDEX(Movements!$G726:$M726,1,MATCH(I$7,Movements!$G$716:$M$716,0))))
*I1134*I$8,0)</f>
        <v>0</v>
      </c>
      <c r="J489" s="198">
        <f>_xlfn.IFNA(IF(J$7="Fixed",1,IF(AND($D84="yes",J$7="Block"),INDEX($O726:$Q726,1,MATCH(J$5,$I49:$K49,0)),INDEX(Movements!$G726:$M726,1,MATCH(J$7,Movements!$G$716:$M$716,0))))
*J1134*J$8,0)</f>
        <v>0</v>
      </c>
      <c r="K489" s="198">
        <f>_xlfn.IFNA(IF(K$7="Fixed",1,IF(AND($D84="yes",K$7="Block"),INDEX($O726:$Q726,1,MATCH(K$5,$I49:$K49,0)),INDEX(Movements!$G726:$M726,1,MATCH(K$7,Movements!$G$716:$M$716,0))))
*K1134*K$8,0)</f>
        <v>0</v>
      </c>
      <c r="L489" s="198">
        <f>_xlfn.IFNA(IF(L$7="Fixed",1,IF(AND($D84="yes",L$7="Block"),INDEX($O726:$Q726,1,MATCH(L$5,$I49:$K49,0)),INDEX(Movements!$G726:$M726,1,MATCH(L$7,Movements!$G$716:$M$716,0))))
*L1134*L$8,0)</f>
        <v>0</v>
      </c>
      <c r="M489" s="198">
        <f>_xlfn.IFNA(IF(M$7="Fixed",1,IF(AND($D84="yes",M$7="Block"),INDEX($O726:$Q726,1,MATCH(M$5,$I49:$K49,0)),INDEX(Movements!$G726:$M726,1,MATCH(M$7,Movements!$G$716:$M$716,0))))
*M1134*M$8,0)</f>
        <v>0</v>
      </c>
      <c r="N489" s="198">
        <f>_xlfn.IFNA(IF(N$7="Fixed",1,IF(AND($D84="yes",N$7="Block"),INDEX($O726:$Q726,1,MATCH(N$5,$I49:$K49,0)),INDEX(Movements!$G726:$M726,1,MATCH(N$7,Movements!$G$716:$M$716,0))))
*N1134*N$8,0)</f>
        <v>0</v>
      </c>
      <c r="O489" s="198">
        <f>_xlfn.IFNA(IF(O$7="Fixed",1,IF(AND($D84="yes",O$7="Block"),INDEX($O726:$Q726,1,MATCH(O$5,$I49:$K49,0)),INDEX(Movements!$G726:$M726,1,MATCH(O$7,Movements!$G$716:$M$716,0))))
*O1134*O$8,0)</f>
        <v>0</v>
      </c>
      <c r="P489" s="198">
        <f>_xlfn.IFNA(IF(P$7="Fixed",1,IF(AND($D84="yes",P$7="Block"),INDEX($O726:$Q726,1,MATCH(P$5,$I49:$K49,0)),INDEX(Movements!$G726:$M726,1,MATCH(P$7,Movements!$G$716:$M$716,0))))
*P1134*P$8,0)</f>
        <v>0</v>
      </c>
      <c r="Q489" s="198">
        <f>_xlfn.IFNA(IF(Q$7="Fixed",1,IF(AND($D84="yes",Q$7="Block"),INDEX($O726:$Q726,1,MATCH(Q$5,$I49:$K49,0)),INDEX(Movements!$G726:$M726,1,MATCH(Q$7,Movements!$G$716:$M$716,0))))
*Q1134*Q$8,0)</f>
        <v>0</v>
      </c>
      <c r="R489" s="198">
        <f>_xlfn.IFNA(IF(R$7="Fixed",1,IF(AND($D84="yes",R$7="Block"),INDEX($O726:$Q726,1,MATCH(R$5,$I49:$K49,0)),INDEX(Movements!$G726:$M726,1,MATCH(R$7,Movements!$G$716:$M$716,0))))
*R1134*R$8,0)</f>
        <v>0</v>
      </c>
      <c r="S489" s="198">
        <f>_xlfn.IFNA(IF(S$7="Fixed",1,IF(AND($D84="yes",S$7="Block"),INDEX($O726:$Q726,1,MATCH(S$5,$I49:$K49,0)),INDEX(Movements!$G726:$M726,1,MATCH(S$7,Movements!$G$716:$M$716,0))))
*S1134*S$8,0)</f>
        <v>0</v>
      </c>
      <c r="T489" s="198">
        <f>_xlfn.IFNA(IF(T$7="Fixed",1,IF(AND($D84="yes",T$7="Block"),INDEX($O726:$Q726,1,MATCH(T$5,$I49:$K49,0)),INDEX(Movements!$G726:$M726,1,MATCH(T$7,Movements!$G$716:$M$716,0))))
*T1134*T$8,0)</f>
        <v>0</v>
      </c>
      <c r="U489" s="198">
        <f>_xlfn.IFNA(IF(U$7="Fixed",1,IF(AND($D84="yes",U$7="Block"),INDEX($O726:$Q726,1,MATCH(U$5,$I49:$K49,0)),INDEX(Movements!$G726:$M726,1,MATCH(U$7,Movements!$G$716:$M$716,0))))
*U1134*U$8,0)</f>
        <v>0</v>
      </c>
      <c r="V489" s="198">
        <f>_xlfn.IFNA(IF(V$7="Fixed",1,IF(AND($D84="yes",V$7="Block"),INDEX($O726:$Q726,1,MATCH(V$5,$I49:$K49,0)),INDEX(Movements!$G726:$M726,1,MATCH(V$7,Movements!$G$716:$M$716,0))))
*V1134*V$8,0)</f>
        <v>0</v>
      </c>
      <c r="W489" s="198">
        <f>_xlfn.IFNA(IF(W$7="Fixed",1,IF(AND($D84="yes",W$7="Block"),INDEX($O726:$Q726,1,MATCH(W$5,$I49:$K49,0)),INDEX(Movements!$G726:$M726,1,MATCH(W$7,Movements!$G$716:$M$716,0))))
*W1134*W$8,0)</f>
        <v>0</v>
      </c>
      <c r="X489" s="198">
        <f>_xlfn.IFNA(IF(X$7="Fixed",1,IF(AND($D84="yes",X$7="Block"),INDEX($O726:$Q726,1,MATCH(X$5,$I49:$K49,0)),INDEX(Movements!$G726:$M726,1,MATCH(X$7,Movements!$G$716:$M$716,0))))
*X1134*X$8,0)</f>
        <v>0</v>
      </c>
      <c r="Y489" s="198">
        <f>_xlfn.IFNA(IF(Y$7="Fixed",1,IF(AND($D84="yes",Y$7="Block"),INDEX($O726:$Q726,1,MATCH(Y$5,$I49:$K49,0)),INDEX(Movements!$G726:$M726,1,MATCH(Y$7,Movements!$G$716:$M$716,0))))
*Y1134*Y$8,0)</f>
        <v>0</v>
      </c>
      <c r="Z489" s="198">
        <f>_xlfn.IFNA(IF(Z$7="Fixed",1,IF(AND($D84="yes",Z$7="Block"),INDEX($O726:$Q726,1,MATCH(Z$5,$I49:$K49,0)),INDEX(Movements!$G726:$M726,1,MATCH(Z$7,Movements!$G$716:$M$716,0))))
*Z1134*Z$8,0)</f>
        <v>0</v>
      </c>
      <c r="AA489" s="198">
        <f>_xlfn.IFNA(IF(AA$7="Fixed",1,IF(AND($D84="yes",AA$7="Block"),INDEX($O726:$Q726,1,MATCH(AA$5,$I49:$K49,0)),INDEX(Movements!$G726:$M726,1,MATCH(AA$7,Movements!$G$716:$M$716,0))))
*AA1134*AA$8,0)</f>
        <v>0</v>
      </c>
      <c r="AB489" s="198">
        <f>_xlfn.IFNA(IF(AB$7="Fixed",1,IF(AND($D84="yes",AB$7="Block"),INDEX($O726:$Q726,1,MATCH(AB$5,$I49:$K49,0)),INDEX(Movements!$G726:$M726,1,MATCH(AB$7,Movements!$G$716:$M$716,0))))
*AB1134*AB$8,0)</f>
        <v>0</v>
      </c>
      <c r="AC489" s="70"/>
      <c r="AD489" s="19"/>
      <c r="AE489" s="19"/>
      <c r="AF489" s="19"/>
      <c r="AG489" s="19"/>
    </row>
    <row r="490" spans="1:33" hidden="1" outlineLevel="3" x14ac:dyDescent="0.2">
      <c r="A490" s="19"/>
      <c r="B490" s="98">
        <v>9</v>
      </c>
      <c r="C490" s="506">
        <f>IF(C220=0,0,IF(currentyear=RCPminus1,INDEX(Tariffs!$H$46:$H$120,MATCH(Movements!C220,Tariffs!$C$46:$C$120,0)),C220))</f>
        <v>0</v>
      </c>
      <c r="D490" s="505">
        <f t="shared" si="123"/>
        <v>0</v>
      </c>
      <c r="E490" s="505">
        <f t="shared" si="123"/>
        <v>0</v>
      </c>
      <c r="F490" s="58"/>
      <c r="G490" s="199">
        <f t="shared" si="124"/>
        <v>0</v>
      </c>
      <c r="H490" s="58"/>
      <c r="I490" s="198">
        <f>_xlfn.IFNA(IF(I$7="Fixed",1,IF(AND($D85="yes",I$7="Block"),INDEX($O727:$Q727,1,MATCH(I$5,$I50:$K50,0)),INDEX(Movements!$G727:$M727,1,MATCH(I$7,Movements!$G$716:$M$716,0))))
*I1135*I$8,0)</f>
        <v>0</v>
      </c>
      <c r="J490" s="198">
        <f>_xlfn.IFNA(IF(J$7="Fixed",1,IF(AND($D85="yes",J$7="Block"),INDEX($O727:$Q727,1,MATCH(J$5,$I50:$K50,0)),INDEX(Movements!$G727:$M727,1,MATCH(J$7,Movements!$G$716:$M$716,0))))
*J1135*J$8,0)</f>
        <v>0</v>
      </c>
      <c r="K490" s="198">
        <f>_xlfn.IFNA(IF(K$7="Fixed",1,IF(AND($D85="yes",K$7="Block"),INDEX($O727:$Q727,1,MATCH(K$5,$I50:$K50,0)),INDEX(Movements!$G727:$M727,1,MATCH(K$7,Movements!$G$716:$M$716,0))))
*K1135*K$8,0)</f>
        <v>0</v>
      </c>
      <c r="L490" s="198">
        <f>_xlfn.IFNA(IF(L$7="Fixed",1,IF(AND($D85="yes",L$7="Block"),INDEX($O727:$Q727,1,MATCH(L$5,$I50:$K50,0)),INDEX(Movements!$G727:$M727,1,MATCH(L$7,Movements!$G$716:$M$716,0))))
*L1135*L$8,0)</f>
        <v>0</v>
      </c>
      <c r="M490" s="198">
        <f>_xlfn.IFNA(IF(M$7="Fixed",1,IF(AND($D85="yes",M$7="Block"),INDEX($O727:$Q727,1,MATCH(M$5,$I50:$K50,0)),INDEX(Movements!$G727:$M727,1,MATCH(M$7,Movements!$G$716:$M$716,0))))
*M1135*M$8,0)</f>
        <v>0</v>
      </c>
      <c r="N490" s="198">
        <f>_xlfn.IFNA(IF(N$7="Fixed",1,IF(AND($D85="yes",N$7="Block"),INDEX($O727:$Q727,1,MATCH(N$5,$I50:$K50,0)),INDEX(Movements!$G727:$M727,1,MATCH(N$7,Movements!$G$716:$M$716,0))))
*N1135*N$8,0)</f>
        <v>0</v>
      </c>
      <c r="O490" s="198">
        <f>_xlfn.IFNA(IF(O$7="Fixed",1,IF(AND($D85="yes",O$7="Block"),INDEX($O727:$Q727,1,MATCH(O$5,$I50:$K50,0)),INDEX(Movements!$G727:$M727,1,MATCH(O$7,Movements!$G$716:$M$716,0))))
*O1135*O$8,0)</f>
        <v>0</v>
      </c>
      <c r="P490" s="198">
        <f>_xlfn.IFNA(IF(P$7="Fixed",1,IF(AND($D85="yes",P$7="Block"),INDEX($O727:$Q727,1,MATCH(P$5,$I50:$K50,0)),INDEX(Movements!$G727:$M727,1,MATCH(P$7,Movements!$G$716:$M$716,0))))
*P1135*P$8,0)</f>
        <v>0</v>
      </c>
      <c r="Q490" s="198">
        <f>_xlfn.IFNA(IF(Q$7="Fixed",1,IF(AND($D85="yes",Q$7="Block"),INDEX($O727:$Q727,1,MATCH(Q$5,$I50:$K50,0)),INDEX(Movements!$G727:$M727,1,MATCH(Q$7,Movements!$G$716:$M$716,0))))
*Q1135*Q$8,0)</f>
        <v>0</v>
      </c>
      <c r="R490" s="198">
        <f>_xlfn.IFNA(IF(R$7="Fixed",1,IF(AND($D85="yes",R$7="Block"),INDEX($O727:$Q727,1,MATCH(R$5,$I50:$K50,0)),INDEX(Movements!$G727:$M727,1,MATCH(R$7,Movements!$G$716:$M$716,0))))
*R1135*R$8,0)</f>
        <v>0</v>
      </c>
      <c r="S490" s="198">
        <f>_xlfn.IFNA(IF(S$7="Fixed",1,IF(AND($D85="yes",S$7="Block"),INDEX($O727:$Q727,1,MATCH(S$5,$I50:$K50,0)),INDEX(Movements!$G727:$M727,1,MATCH(S$7,Movements!$G$716:$M$716,0))))
*S1135*S$8,0)</f>
        <v>0</v>
      </c>
      <c r="T490" s="198">
        <f>_xlfn.IFNA(IF(T$7="Fixed",1,IF(AND($D85="yes",T$7="Block"),INDEX($O727:$Q727,1,MATCH(T$5,$I50:$K50,0)),INDEX(Movements!$G727:$M727,1,MATCH(T$7,Movements!$G$716:$M$716,0))))
*T1135*T$8,0)</f>
        <v>0</v>
      </c>
      <c r="U490" s="198">
        <f>_xlfn.IFNA(IF(U$7="Fixed",1,IF(AND($D85="yes",U$7="Block"),INDEX($O727:$Q727,1,MATCH(U$5,$I50:$K50,0)),INDEX(Movements!$G727:$M727,1,MATCH(U$7,Movements!$G$716:$M$716,0))))
*U1135*U$8,0)</f>
        <v>0</v>
      </c>
      <c r="V490" s="198">
        <f>_xlfn.IFNA(IF(V$7="Fixed",1,IF(AND($D85="yes",V$7="Block"),INDEX($O727:$Q727,1,MATCH(V$5,$I50:$K50,0)),INDEX(Movements!$G727:$M727,1,MATCH(V$7,Movements!$G$716:$M$716,0))))
*V1135*V$8,0)</f>
        <v>0</v>
      </c>
      <c r="W490" s="198">
        <f>_xlfn.IFNA(IF(W$7="Fixed",1,IF(AND($D85="yes",W$7="Block"),INDEX($O727:$Q727,1,MATCH(W$5,$I50:$K50,0)),INDEX(Movements!$G727:$M727,1,MATCH(W$7,Movements!$G$716:$M$716,0))))
*W1135*W$8,0)</f>
        <v>0</v>
      </c>
      <c r="X490" s="198">
        <f>_xlfn.IFNA(IF(X$7="Fixed",1,IF(AND($D85="yes",X$7="Block"),INDEX($O727:$Q727,1,MATCH(X$5,$I50:$K50,0)),INDEX(Movements!$G727:$M727,1,MATCH(X$7,Movements!$G$716:$M$716,0))))
*X1135*X$8,0)</f>
        <v>0</v>
      </c>
      <c r="Y490" s="198">
        <f>_xlfn.IFNA(IF(Y$7="Fixed",1,IF(AND($D85="yes",Y$7="Block"),INDEX($O727:$Q727,1,MATCH(Y$5,$I50:$K50,0)),INDEX(Movements!$G727:$M727,1,MATCH(Y$7,Movements!$G$716:$M$716,0))))
*Y1135*Y$8,0)</f>
        <v>0</v>
      </c>
      <c r="Z490" s="198">
        <f>_xlfn.IFNA(IF(Z$7="Fixed",1,IF(AND($D85="yes",Z$7="Block"),INDEX($O727:$Q727,1,MATCH(Z$5,$I50:$K50,0)),INDEX(Movements!$G727:$M727,1,MATCH(Z$7,Movements!$G$716:$M$716,0))))
*Z1135*Z$8,0)</f>
        <v>0</v>
      </c>
      <c r="AA490" s="198">
        <f>_xlfn.IFNA(IF(AA$7="Fixed",1,IF(AND($D85="yes",AA$7="Block"),INDEX($O727:$Q727,1,MATCH(AA$5,$I50:$K50,0)),INDEX(Movements!$G727:$M727,1,MATCH(AA$7,Movements!$G$716:$M$716,0))))
*AA1135*AA$8,0)</f>
        <v>0</v>
      </c>
      <c r="AB490" s="198">
        <f>_xlfn.IFNA(IF(AB$7="Fixed",1,IF(AND($D85="yes",AB$7="Block"),INDEX($O727:$Q727,1,MATCH(AB$5,$I50:$K50,0)),INDEX(Movements!$G727:$M727,1,MATCH(AB$7,Movements!$G$716:$M$716,0))))
*AB1135*AB$8,0)</f>
        <v>0</v>
      </c>
      <c r="AC490" s="70"/>
      <c r="AD490" s="19"/>
      <c r="AE490" s="19"/>
      <c r="AF490" s="19"/>
      <c r="AG490" s="19"/>
    </row>
    <row r="491" spans="1:33" hidden="1" outlineLevel="3" x14ac:dyDescent="0.2">
      <c r="A491" s="19"/>
      <c r="B491" s="97">
        <v>10</v>
      </c>
      <c r="C491" s="506">
        <f>IF(C221=0,0,IF(currentyear=RCPminus1,INDEX(Tariffs!$H$46:$H$120,MATCH(Movements!C221,Tariffs!$C$46:$C$120,0)),C221))</f>
        <v>0</v>
      </c>
      <c r="D491" s="505">
        <f t="shared" si="123"/>
        <v>0</v>
      </c>
      <c r="E491" s="505">
        <f t="shared" si="123"/>
        <v>0</v>
      </c>
      <c r="F491" s="58"/>
      <c r="G491" s="199">
        <f t="shared" si="124"/>
        <v>0</v>
      </c>
      <c r="H491" s="58"/>
      <c r="I491" s="198">
        <f>_xlfn.IFNA(IF(I$7="Fixed",1,IF(AND($D86="yes",I$7="Block"),INDEX($O728:$Q728,1,MATCH(I$5,$I51:$K51,0)),INDEX(Movements!$G728:$M728,1,MATCH(I$7,Movements!$G$716:$M$716,0))))
*I1136*I$8,0)</f>
        <v>0</v>
      </c>
      <c r="J491" s="198">
        <f>_xlfn.IFNA(IF(J$7="Fixed",1,IF(AND($D86="yes",J$7="Block"),INDEX($O728:$Q728,1,MATCH(J$5,$I51:$K51,0)),INDEX(Movements!$G728:$M728,1,MATCH(J$7,Movements!$G$716:$M$716,0))))
*J1136*J$8,0)</f>
        <v>0</v>
      </c>
      <c r="K491" s="198">
        <f>_xlfn.IFNA(IF(K$7="Fixed",1,IF(AND($D86="yes",K$7="Block"),INDEX($O728:$Q728,1,MATCH(K$5,$I51:$K51,0)),INDEX(Movements!$G728:$M728,1,MATCH(K$7,Movements!$G$716:$M$716,0))))
*K1136*K$8,0)</f>
        <v>0</v>
      </c>
      <c r="L491" s="198">
        <f>_xlfn.IFNA(IF(L$7="Fixed",1,IF(AND($D86="yes",L$7="Block"),INDEX($O728:$Q728,1,MATCH(L$5,$I51:$K51,0)),INDEX(Movements!$G728:$M728,1,MATCH(L$7,Movements!$G$716:$M$716,0))))
*L1136*L$8,0)</f>
        <v>0</v>
      </c>
      <c r="M491" s="198">
        <f>_xlfn.IFNA(IF(M$7="Fixed",1,IF(AND($D86="yes",M$7="Block"),INDEX($O728:$Q728,1,MATCH(M$5,$I51:$K51,0)),INDEX(Movements!$G728:$M728,1,MATCH(M$7,Movements!$G$716:$M$716,0))))
*M1136*M$8,0)</f>
        <v>0</v>
      </c>
      <c r="N491" s="198">
        <f>_xlfn.IFNA(IF(N$7="Fixed",1,IF(AND($D86="yes",N$7="Block"),INDEX($O728:$Q728,1,MATCH(N$5,$I51:$K51,0)),INDEX(Movements!$G728:$M728,1,MATCH(N$7,Movements!$G$716:$M$716,0))))
*N1136*N$8,0)</f>
        <v>0</v>
      </c>
      <c r="O491" s="198">
        <f>_xlfn.IFNA(IF(O$7="Fixed",1,IF(AND($D86="yes",O$7="Block"),INDEX($O728:$Q728,1,MATCH(O$5,$I51:$K51,0)),INDEX(Movements!$G728:$M728,1,MATCH(O$7,Movements!$G$716:$M$716,0))))
*O1136*O$8,0)</f>
        <v>0</v>
      </c>
      <c r="P491" s="198">
        <f>_xlfn.IFNA(IF(P$7="Fixed",1,IF(AND($D86="yes",P$7="Block"),INDEX($O728:$Q728,1,MATCH(P$5,$I51:$K51,0)),INDEX(Movements!$G728:$M728,1,MATCH(P$7,Movements!$G$716:$M$716,0))))
*P1136*P$8,0)</f>
        <v>0</v>
      </c>
      <c r="Q491" s="198">
        <f>_xlfn.IFNA(IF(Q$7="Fixed",1,IF(AND($D86="yes",Q$7="Block"),INDEX($O728:$Q728,1,MATCH(Q$5,$I51:$K51,0)),INDEX(Movements!$G728:$M728,1,MATCH(Q$7,Movements!$G$716:$M$716,0))))
*Q1136*Q$8,0)</f>
        <v>0</v>
      </c>
      <c r="R491" s="198">
        <f>_xlfn.IFNA(IF(R$7="Fixed",1,IF(AND($D86="yes",R$7="Block"),INDEX($O728:$Q728,1,MATCH(R$5,$I51:$K51,0)),INDEX(Movements!$G728:$M728,1,MATCH(R$7,Movements!$G$716:$M$716,0))))
*R1136*R$8,0)</f>
        <v>0</v>
      </c>
      <c r="S491" s="198">
        <f>_xlfn.IFNA(IF(S$7="Fixed",1,IF(AND($D86="yes",S$7="Block"),INDEX($O728:$Q728,1,MATCH(S$5,$I51:$K51,0)),INDEX(Movements!$G728:$M728,1,MATCH(S$7,Movements!$G$716:$M$716,0))))
*S1136*S$8,0)</f>
        <v>0</v>
      </c>
      <c r="T491" s="198">
        <f>_xlfn.IFNA(IF(T$7="Fixed",1,IF(AND($D86="yes",T$7="Block"),INDEX($O728:$Q728,1,MATCH(T$5,$I51:$K51,0)),INDEX(Movements!$G728:$M728,1,MATCH(T$7,Movements!$G$716:$M$716,0))))
*T1136*T$8,0)</f>
        <v>0</v>
      </c>
      <c r="U491" s="198">
        <f>_xlfn.IFNA(IF(U$7="Fixed",1,IF(AND($D86="yes",U$7="Block"),INDEX($O728:$Q728,1,MATCH(U$5,$I51:$K51,0)),INDEX(Movements!$G728:$M728,1,MATCH(U$7,Movements!$G$716:$M$716,0))))
*U1136*U$8,0)</f>
        <v>0</v>
      </c>
      <c r="V491" s="198">
        <f>_xlfn.IFNA(IF(V$7="Fixed",1,IF(AND($D86="yes",V$7="Block"),INDEX($O728:$Q728,1,MATCH(V$5,$I51:$K51,0)),INDEX(Movements!$G728:$M728,1,MATCH(V$7,Movements!$G$716:$M$716,0))))
*V1136*V$8,0)</f>
        <v>0</v>
      </c>
      <c r="W491" s="198">
        <f>_xlfn.IFNA(IF(W$7="Fixed",1,IF(AND($D86="yes",W$7="Block"),INDEX($O728:$Q728,1,MATCH(W$5,$I51:$K51,0)),INDEX(Movements!$G728:$M728,1,MATCH(W$7,Movements!$G$716:$M$716,0))))
*W1136*W$8,0)</f>
        <v>0</v>
      </c>
      <c r="X491" s="198">
        <f>_xlfn.IFNA(IF(X$7="Fixed",1,IF(AND($D86="yes",X$7="Block"),INDEX($O728:$Q728,1,MATCH(X$5,$I51:$K51,0)),INDEX(Movements!$G728:$M728,1,MATCH(X$7,Movements!$G$716:$M$716,0))))
*X1136*X$8,0)</f>
        <v>0</v>
      </c>
      <c r="Y491" s="198">
        <f>_xlfn.IFNA(IF(Y$7="Fixed",1,IF(AND($D86="yes",Y$7="Block"),INDEX($O728:$Q728,1,MATCH(Y$5,$I51:$K51,0)),INDEX(Movements!$G728:$M728,1,MATCH(Y$7,Movements!$G$716:$M$716,0))))
*Y1136*Y$8,0)</f>
        <v>0</v>
      </c>
      <c r="Z491" s="198">
        <f>_xlfn.IFNA(IF(Z$7="Fixed",1,IF(AND($D86="yes",Z$7="Block"),INDEX($O728:$Q728,1,MATCH(Z$5,$I51:$K51,0)),INDEX(Movements!$G728:$M728,1,MATCH(Z$7,Movements!$G$716:$M$716,0))))
*Z1136*Z$8,0)</f>
        <v>0</v>
      </c>
      <c r="AA491" s="198">
        <f>_xlfn.IFNA(IF(AA$7="Fixed",1,IF(AND($D86="yes",AA$7="Block"),INDEX($O728:$Q728,1,MATCH(AA$5,$I51:$K51,0)),INDEX(Movements!$G728:$M728,1,MATCH(AA$7,Movements!$G$716:$M$716,0))))
*AA1136*AA$8,0)</f>
        <v>0</v>
      </c>
      <c r="AB491" s="198">
        <f>_xlfn.IFNA(IF(AB$7="Fixed",1,IF(AND($D86="yes",AB$7="Block"),INDEX($O728:$Q728,1,MATCH(AB$5,$I51:$K51,0)),INDEX(Movements!$G728:$M728,1,MATCH(AB$7,Movements!$G$716:$M$716,0))))
*AB1136*AB$8,0)</f>
        <v>0</v>
      </c>
      <c r="AC491" s="70"/>
      <c r="AD491" s="19"/>
      <c r="AE491" s="19"/>
      <c r="AF491" s="19"/>
      <c r="AG491" s="19"/>
    </row>
    <row r="492" spans="1:33" hidden="1" outlineLevel="3" x14ac:dyDescent="0.2">
      <c r="A492" s="19"/>
      <c r="B492" s="97">
        <v>11</v>
      </c>
      <c r="C492" s="506">
        <f>IF(C222=0,0,IF(currentyear=RCPminus1,INDEX(Tariffs!$H$46:$H$120,MATCH(Movements!C222,Tariffs!$C$46:$C$120,0)),C222))</f>
        <v>0</v>
      </c>
      <c r="D492" s="505">
        <f t="shared" si="123"/>
        <v>0</v>
      </c>
      <c r="E492" s="505">
        <f t="shared" si="123"/>
        <v>0</v>
      </c>
      <c r="F492" s="58"/>
      <c r="G492" s="199">
        <f t="shared" si="124"/>
        <v>0</v>
      </c>
      <c r="H492" s="58"/>
      <c r="I492" s="198">
        <f>_xlfn.IFNA(IF(I$7="Fixed",1,IF(AND($D87="yes",I$7="Block"),INDEX($O729:$Q729,1,MATCH(I$5,$I52:$K52,0)),INDEX(Movements!$G729:$M729,1,MATCH(I$7,Movements!$G$716:$M$716,0))))
*I1137*I$8,0)</f>
        <v>0</v>
      </c>
      <c r="J492" s="198">
        <f>_xlfn.IFNA(IF(J$7="Fixed",1,IF(AND($D87="yes",J$7="Block"),INDEX($O729:$Q729,1,MATCH(J$5,$I52:$K52,0)),INDEX(Movements!$G729:$M729,1,MATCH(J$7,Movements!$G$716:$M$716,0))))
*J1137*J$8,0)</f>
        <v>0</v>
      </c>
      <c r="K492" s="198">
        <f>_xlfn.IFNA(IF(K$7="Fixed",1,IF(AND($D87="yes",K$7="Block"),INDEX($O729:$Q729,1,MATCH(K$5,$I52:$K52,0)),INDEX(Movements!$G729:$M729,1,MATCH(K$7,Movements!$G$716:$M$716,0))))
*K1137*K$8,0)</f>
        <v>0</v>
      </c>
      <c r="L492" s="198">
        <f>_xlfn.IFNA(IF(L$7="Fixed",1,IF(AND($D87="yes",L$7="Block"),INDEX($O729:$Q729,1,MATCH(L$5,$I52:$K52,0)),INDEX(Movements!$G729:$M729,1,MATCH(L$7,Movements!$G$716:$M$716,0))))
*L1137*L$8,0)</f>
        <v>0</v>
      </c>
      <c r="M492" s="198">
        <f>_xlfn.IFNA(IF(M$7="Fixed",1,IF(AND($D87="yes",M$7="Block"),INDEX($O729:$Q729,1,MATCH(M$5,$I52:$K52,0)),INDEX(Movements!$G729:$M729,1,MATCH(M$7,Movements!$G$716:$M$716,0))))
*M1137*M$8,0)</f>
        <v>0</v>
      </c>
      <c r="N492" s="198">
        <f>_xlfn.IFNA(IF(N$7="Fixed",1,IF(AND($D87="yes",N$7="Block"),INDEX($O729:$Q729,1,MATCH(N$5,$I52:$K52,0)),INDEX(Movements!$G729:$M729,1,MATCH(N$7,Movements!$G$716:$M$716,0))))
*N1137*N$8,0)</f>
        <v>0</v>
      </c>
      <c r="O492" s="198">
        <f>_xlfn.IFNA(IF(O$7="Fixed",1,IF(AND($D87="yes",O$7="Block"),INDEX($O729:$Q729,1,MATCH(O$5,$I52:$K52,0)),INDEX(Movements!$G729:$M729,1,MATCH(O$7,Movements!$G$716:$M$716,0))))
*O1137*O$8,0)</f>
        <v>0</v>
      </c>
      <c r="P492" s="198">
        <f>_xlfn.IFNA(IF(P$7="Fixed",1,IF(AND($D87="yes",P$7="Block"),INDEX($O729:$Q729,1,MATCH(P$5,$I52:$K52,0)),INDEX(Movements!$G729:$M729,1,MATCH(P$7,Movements!$G$716:$M$716,0))))
*P1137*P$8,0)</f>
        <v>0</v>
      </c>
      <c r="Q492" s="198">
        <f>_xlfn.IFNA(IF(Q$7="Fixed",1,IF(AND($D87="yes",Q$7="Block"),INDEX($O729:$Q729,1,MATCH(Q$5,$I52:$K52,0)),INDEX(Movements!$G729:$M729,1,MATCH(Q$7,Movements!$G$716:$M$716,0))))
*Q1137*Q$8,0)</f>
        <v>0</v>
      </c>
      <c r="R492" s="198">
        <f>_xlfn.IFNA(IF(R$7="Fixed",1,IF(AND($D87="yes",R$7="Block"),INDEX($O729:$Q729,1,MATCH(R$5,$I52:$K52,0)),INDEX(Movements!$G729:$M729,1,MATCH(R$7,Movements!$G$716:$M$716,0))))
*R1137*R$8,0)</f>
        <v>0</v>
      </c>
      <c r="S492" s="198">
        <f>_xlfn.IFNA(IF(S$7="Fixed",1,IF(AND($D87="yes",S$7="Block"),INDEX($O729:$Q729,1,MATCH(S$5,$I52:$K52,0)),INDEX(Movements!$G729:$M729,1,MATCH(S$7,Movements!$G$716:$M$716,0))))
*S1137*S$8,0)</f>
        <v>0</v>
      </c>
      <c r="T492" s="198">
        <f>_xlfn.IFNA(IF(T$7="Fixed",1,IF(AND($D87="yes",T$7="Block"),INDEX($O729:$Q729,1,MATCH(T$5,$I52:$K52,0)),INDEX(Movements!$G729:$M729,1,MATCH(T$7,Movements!$G$716:$M$716,0))))
*T1137*T$8,0)</f>
        <v>0</v>
      </c>
      <c r="U492" s="198">
        <f>_xlfn.IFNA(IF(U$7="Fixed",1,IF(AND($D87="yes",U$7="Block"),INDEX($O729:$Q729,1,MATCH(U$5,$I52:$K52,0)),INDEX(Movements!$G729:$M729,1,MATCH(U$7,Movements!$G$716:$M$716,0))))
*U1137*U$8,0)</f>
        <v>0</v>
      </c>
      <c r="V492" s="198">
        <f>_xlfn.IFNA(IF(V$7="Fixed",1,IF(AND($D87="yes",V$7="Block"),INDEX($O729:$Q729,1,MATCH(V$5,$I52:$K52,0)),INDEX(Movements!$G729:$M729,1,MATCH(V$7,Movements!$G$716:$M$716,0))))
*V1137*V$8,0)</f>
        <v>0</v>
      </c>
      <c r="W492" s="198">
        <f>_xlfn.IFNA(IF(W$7="Fixed",1,IF(AND($D87="yes",W$7="Block"),INDEX($O729:$Q729,1,MATCH(W$5,$I52:$K52,0)),INDEX(Movements!$G729:$M729,1,MATCH(W$7,Movements!$G$716:$M$716,0))))
*W1137*W$8,0)</f>
        <v>0</v>
      </c>
      <c r="X492" s="198">
        <f>_xlfn.IFNA(IF(X$7="Fixed",1,IF(AND($D87="yes",X$7="Block"),INDEX($O729:$Q729,1,MATCH(X$5,$I52:$K52,0)),INDEX(Movements!$G729:$M729,1,MATCH(X$7,Movements!$G$716:$M$716,0))))
*X1137*X$8,0)</f>
        <v>0</v>
      </c>
      <c r="Y492" s="198">
        <f>_xlfn.IFNA(IF(Y$7="Fixed",1,IF(AND($D87="yes",Y$7="Block"),INDEX($O729:$Q729,1,MATCH(Y$5,$I52:$K52,0)),INDEX(Movements!$G729:$M729,1,MATCH(Y$7,Movements!$G$716:$M$716,0))))
*Y1137*Y$8,0)</f>
        <v>0</v>
      </c>
      <c r="Z492" s="198">
        <f>_xlfn.IFNA(IF(Z$7="Fixed",1,IF(AND($D87="yes",Z$7="Block"),INDEX($O729:$Q729,1,MATCH(Z$5,$I52:$K52,0)),INDEX(Movements!$G729:$M729,1,MATCH(Z$7,Movements!$G$716:$M$716,0))))
*Z1137*Z$8,0)</f>
        <v>0</v>
      </c>
      <c r="AA492" s="198">
        <f>_xlfn.IFNA(IF(AA$7="Fixed",1,IF(AND($D87="yes",AA$7="Block"),INDEX($O729:$Q729,1,MATCH(AA$5,$I52:$K52,0)),INDEX(Movements!$G729:$M729,1,MATCH(AA$7,Movements!$G$716:$M$716,0))))
*AA1137*AA$8,0)</f>
        <v>0</v>
      </c>
      <c r="AB492" s="198">
        <f>_xlfn.IFNA(IF(AB$7="Fixed",1,IF(AND($D87="yes",AB$7="Block"),INDEX($O729:$Q729,1,MATCH(AB$5,$I52:$K52,0)),INDEX(Movements!$G729:$M729,1,MATCH(AB$7,Movements!$G$716:$M$716,0))))
*AB1137*AB$8,0)</f>
        <v>0</v>
      </c>
      <c r="AC492" s="70"/>
      <c r="AD492" s="19"/>
      <c r="AE492" s="19"/>
      <c r="AF492" s="19"/>
      <c r="AG492" s="19"/>
    </row>
    <row r="493" spans="1:33" hidden="1" outlineLevel="3" x14ac:dyDescent="0.2">
      <c r="A493" s="19"/>
      <c r="B493" s="97">
        <v>12</v>
      </c>
      <c r="C493" s="506">
        <f>IF(C223=0,0,IF(currentyear=RCPminus1,INDEX(Tariffs!$H$46:$H$120,MATCH(Movements!C223,Tariffs!$C$46:$C$120,0)),C223))</f>
        <v>0</v>
      </c>
      <c r="D493" s="505">
        <f t="shared" si="123"/>
        <v>0</v>
      </c>
      <c r="E493" s="505">
        <f t="shared" si="123"/>
        <v>0</v>
      </c>
      <c r="F493" s="58"/>
      <c r="G493" s="199">
        <f t="shared" si="124"/>
        <v>0</v>
      </c>
      <c r="H493" s="58"/>
      <c r="I493" s="198">
        <f>_xlfn.IFNA(IF(I$7="Fixed",1,IF(AND($D88="yes",I$7="Block"),INDEX($O730:$Q730,1,MATCH(I$5,$I53:$K53,0)),INDEX(Movements!$G730:$M730,1,MATCH(I$7,Movements!$G$716:$M$716,0))))
*I1138*I$8,0)</f>
        <v>0</v>
      </c>
      <c r="J493" s="198">
        <f>_xlfn.IFNA(IF(J$7="Fixed",1,IF(AND($D88="yes",J$7="Block"),INDEX($O730:$Q730,1,MATCH(J$5,$I53:$K53,0)),INDEX(Movements!$G730:$M730,1,MATCH(J$7,Movements!$G$716:$M$716,0))))
*J1138*J$8,0)</f>
        <v>0</v>
      </c>
      <c r="K493" s="198">
        <f>_xlfn.IFNA(IF(K$7="Fixed",1,IF(AND($D88="yes",K$7="Block"),INDEX($O730:$Q730,1,MATCH(K$5,$I53:$K53,0)),INDEX(Movements!$G730:$M730,1,MATCH(K$7,Movements!$G$716:$M$716,0))))
*K1138*K$8,0)</f>
        <v>0</v>
      </c>
      <c r="L493" s="198">
        <f>_xlfn.IFNA(IF(L$7="Fixed",1,IF(AND($D88="yes",L$7="Block"),INDEX($O730:$Q730,1,MATCH(L$5,$I53:$K53,0)),INDEX(Movements!$G730:$M730,1,MATCH(L$7,Movements!$G$716:$M$716,0))))
*L1138*L$8,0)</f>
        <v>0</v>
      </c>
      <c r="M493" s="198">
        <f>_xlfn.IFNA(IF(M$7="Fixed",1,IF(AND($D88="yes",M$7="Block"),INDEX($O730:$Q730,1,MATCH(M$5,$I53:$K53,0)),INDEX(Movements!$G730:$M730,1,MATCH(M$7,Movements!$G$716:$M$716,0))))
*M1138*M$8,0)</f>
        <v>0</v>
      </c>
      <c r="N493" s="198">
        <f>_xlfn.IFNA(IF(N$7="Fixed",1,IF(AND($D88="yes",N$7="Block"),INDEX($O730:$Q730,1,MATCH(N$5,$I53:$K53,0)),INDEX(Movements!$G730:$M730,1,MATCH(N$7,Movements!$G$716:$M$716,0))))
*N1138*N$8,0)</f>
        <v>0</v>
      </c>
      <c r="O493" s="198">
        <f>_xlfn.IFNA(IF(O$7="Fixed",1,IF(AND($D88="yes",O$7="Block"),INDEX($O730:$Q730,1,MATCH(O$5,$I53:$K53,0)),INDEX(Movements!$G730:$M730,1,MATCH(O$7,Movements!$G$716:$M$716,0))))
*O1138*O$8,0)</f>
        <v>0</v>
      </c>
      <c r="P493" s="198">
        <f>_xlfn.IFNA(IF(P$7="Fixed",1,IF(AND($D88="yes",P$7="Block"),INDEX($O730:$Q730,1,MATCH(P$5,$I53:$K53,0)),INDEX(Movements!$G730:$M730,1,MATCH(P$7,Movements!$G$716:$M$716,0))))
*P1138*P$8,0)</f>
        <v>0</v>
      </c>
      <c r="Q493" s="198">
        <f>_xlfn.IFNA(IF(Q$7="Fixed",1,IF(AND($D88="yes",Q$7="Block"),INDEX($O730:$Q730,1,MATCH(Q$5,$I53:$K53,0)),INDEX(Movements!$G730:$M730,1,MATCH(Q$7,Movements!$G$716:$M$716,0))))
*Q1138*Q$8,0)</f>
        <v>0</v>
      </c>
      <c r="R493" s="198">
        <f>_xlfn.IFNA(IF(R$7="Fixed",1,IF(AND($D88="yes",R$7="Block"),INDEX($O730:$Q730,1,MATCH(R$5,$I53:$K53,0)),INDEX(Movements!$G730:$M730,1,MATCH(R$7,Movements!$G$716:$M$716,0))))
*R1138*R$8,0)</f>
        <v>0</v>
      </c>
      <c r="S493" s="198">
        <f>_xlfn.IFNA(IF(S$7="Fixed",1,IF(AND($D88="yes",S$7="Block"),INDEX($O730:$Q730,1,MATCH(S$5,$I53:$K53,0)),INDEX(Movements!$G730:$M730,1,MATCH(S$7,Movements!$G$716:$M$716,0))))
*S1138*S$8,0)</f>
        <v>0</v>
      </c>
      <c r="T493" s="198">
        <f>_xlfn.IFNA(IF(T$7="Fixed",1,IF(AND($D88="yes",T$7="Block"),INDEX($O730:$Q730,1,MATCH(T$5,$I53:$K53,0)),INDEX(Movements!$G730:$M730,1,MATCH(T$7,Movements!$G$716:$M$716,0))))
*T1138*T$8,0)</f>
        <v>0</v>
      </c>
      <c r="U493" s="198">
        <f>_xlfn.IFNA(IF(U$7="Fixed",1,IF(AND($D88="yes",U$7="Block"),INDEX($O730:$Q730,1,MATCH(U$5,$I53:$K53,0)),INDEX(Movements!$G730:$M730,1,MATCH(U$7,Movements!$G$716:$M$716,0))))
*U1138*U$8,0)</f>
        <v>0</v>
      </c>
      <c r="V493" s="198">
        <f>_xlfn.IFNA(IF(V$7="Fixed",1,IF(AND($D88="yes",V$7="Block"),INDEX($O730:$Q730,1,MATCH(V$5,$I53:$K53,0)),INDEX(Movements!$G730:$M730,1,MATCH(V$7,Movements!$G$716:$M$716,0))))
*V1138*V$8,0)</f>
        <v>0</v>
      </c>
      <c r="W493" s="198">
        <f>_xlfn.IFNA(IF(W$7="Fixed",1,IF(AND($D88="yes",W$7="Block"),INDEX($O730:$Q730,1,MATCH(W$5,$I53:$K53,0)),INDEX(Movements!$G730:$M730,1,MATCH(W$7,Movements!$G$716:$M$716,0))))
*W1138*W$8,0)</f>
        <v>0</v>
      </c>
      <c r="X493" s="198">
        <f>_xlfn.IFNA(IF(X$7="Fixed",1,IF(AND($D88="yes",X$7="Block"),INDEX($O730:$Q730,1,MATCH(X$5,$I53:$K53,0)),INDEX(Movements!$G730:$M730,1,MATCH(X$7,Movements!$G$716:$M$716,0))))
*X1138*X$8,0)</f>
        <v>0</v>
      </c>
      <c r="Y493" s="198">
        <f>_xlfn.IFNA(IF(Y$7="Fixed",1,IF(AND($D88="yes",Y$7="Block"),INDEX($O730:$Q730,1,MATCH(Y$5,$I53:$K53,0)),INDEX(Movements!$G730:$M730,1,MATCH(Y$7,Movements!$G$716:$M$716,0))))
*Y1138*Y$8,0)</f>
        <v>0</v>
      </c>
      <c r="Z493" s="198">
        <f>_xlfn.IFNA(IF(Z$7="Fixed",1,IF(AND($D88="yes",Z$7="Block"),INDEX($O730:$Q730,1,MATCH(Z$5,$I53:$K53,0)),INDEX(Movements!$G730:$M730,1,MATCH(Z$7,Movements!$G$716:$M$716,0))))
*Z1138*Z$8,0)</f>
        <v>0</v>
      </c>
      <c r="AA493" s="198">
        <f>_xlfn.IFNA(IF(AA$7="Fixed",1,IF(AND($D88="yes",AA$7="Block"),INDEX($O730:$Q730,1,MATCH(AA$5,$I53:$K53,0)),INDEX(Movements!$G730:$M730,1,MATCH(AA$7,Movements!$G$716:$M$716,0))))
*AA1138*AA$8,0)</f>
        <v>0</v>
      </c>
      <c r="AB493" s="198">
        <f>_xlfn.IFNA(IF(AB$7="Fixed",1,IF(AND($D88="yes",AB$7="Block"),INDEX($O730:$Q730,1,MATCH(AB$5,$I53:$K53,0)),INDEX(Movements!$G730:$M730,1,MATCH(AB$7,Movements!$G$716:$M$716,0))))
*AB1138*AB$8,0)</f>
        <v>0</v>
      </c>
      <c r="AC493" s="70"/>
      <c r="AD493" s="19"/>
      <c r="AE493" s="19"/>
      <c r="AF493" s="19"/>
      <c r="AG493" s="19"/>
    </row>
    <row r="494" spans="1:33" hidden="1" outlineLevel="3" x14ac:dyDescent="0.2">
      <c r="A494" s="19"/>
      <c r="B494" s="97">
        <v>13</v>
      </c>
      <c r="C494" s="506">
        <f>IF(C224=0,0,IF(currentyear=RCPminus1,INDEX(Tariffs!$H$46:$H$120,MATCH(Movements!C224,Tariffs!$C$46:$C$120,0)),C224))</f>
        <v>0</v>
      </c>
      <c r="D494" s="505">
        <f t="shared" si="123"/>
        <v>0</v>
      </c>
      <c r="E494" s="505">
        <f t="shared" si="123"/>
        <v>0</v>
      </c>
      <c r="F494" s="58"/>
      <c r="G494" s="199">
        <f t="shared" si="124"/>
        <v>0</v>
      </c>
      <c r="H494" s="58"/>
      <c r="I494" s="198">
        <f>_xlfn.IFNA(IF(I$7="Fixed",1,IF(AND($D89="yes",I$7="Block"),INDEX($O731:$Q731,1,MATCH(I$5,$I54:$K54,0)),INDEX(Movements!$G731:$M731,1,MATCH(I$7,Movements!$G$716:$M$716,0))))
*I1139*I$8,0)</f>
        <v>0</v>
      </c>
      <c r="J494" s="198">
        <f>_xlfn.IFNA(IF(J$7="Fixed",1,IF(AND($D89="yes",J$7="Block"),INDEX($O731:$Q731,1,MATCH(J$5,$I54:$K54,0)),INDEX(Movements!$G731:$M731,1,MATCH(J$7,Movements!$G$716:$M$716,0))))
*J1139*J$8,0)</f>
        <v>0</v>
      </c>
      <c r="K494" s="198">
        <f>_xlfn.IFNA(IF(K$7="Fixed",1,IF(AND($D89="yes",K$7="Block"),INDEX($O731:$Q731,1,MATCH(K$5,$I54:$K54,0)),INDEX(Movements!$G731:$M731,1,MATCH(K$7,Movements!$G$716:$M$716,0))))
*K1139*K$8,0)</f>
        <v>0</v>
      </c>
      <c r="L494" s="198">
        <f>_xlfn.IFNA(IF(L$7="Fixed",1,IF(AND($D89="yes",L$7="Block"),INDEX($O731:$Q731,1,MATCH(L$5,$I54:$K54,0)),INDEX(Movements!$G731:$M731,1,MATCH(L$7,Movements!$G$716:$M$716,0))))
*L1139*L$8,0)</f>
        <v>0</v>
      </c>
      <c r="M494" s="198">
        <f>_xlfn.IFNA(IF(M$7="Fixed",1,IF(AND($D89="yes",M$7="Block"),INDEX($O731:$Q731,1,MATCH(M$5,$I54:$K54,0)),INDEX(Movements!$G731:$M731,1,MATCH(M$7,Movements!$G$716:$M$716,0))))
*M1139*M$8,0)</f>
        <v>0</v>
      </c>
      <c r="N494" s="198">
        <f>_xlfn.IFNA(IF(N$7="Fixed",1,IF(AND($D89="yes",N$7="Block"),INDEX($O731:$Q731,1,MATCH(N$5,$I54:$K54,0)),INDEX(Movements!$G731:$M731,1,MATCH(N$7,Movements!$G$716:$M$716,0))))
*N1139*N$8,0)</f>
        <v>0</v>
      </c>
      <c r="O494" s="198">
        <f>_xlfn.IFNA(IF(O$7="Fixed",1,IF(AND($D89="yes",O$7="Block"),INDEX($O731:$Q731,1,MATCH(O$5,$I54:$K54,0)),INDEX(Movements!$G731:$M731,1,MATCH(O$7,Movements!$G$716:$M$716,0))))
*O1139*O$8,0)</f>
        <v>0</v>
      </c>
      <c r="P494" s="198">
        <f>_xlfn.IFNA(IF(P$7="Fixed",1,IF(AND($D89="yes",P$7="Block"),INDEX($O731:$Q731,1,MATCH(P$5,$I54:$K54,0)),INDEX(Movements!$G731:$M731,1,MATCH(P$7,Movements!$G$716:$M$716,0))))
*P1139*P$8,0)</f>
        <v>0</v>
      </c>
      <c r="Q494" s="198">
        <f>_xlfn.IFNA(IF(Q$7="Fixed",1,IF(AND($D89="yes",Q$7="Block"),INDEX($O731:$Q731,1,MATCH(Q$5,$I54:$K54,0)),INDEX(Movements!$G731:$M731,1,MATCH(Q$7,Movements!$G$716:$M$716,0))))
*Q1139*Q$8,0)</f>
        <v>0</v>
      </c>
      <c r="R494" s="198">
        <f>_xlfn.IFNA(IF(R$7="Fixed",1,IF(AND($D89="yes",R$7="Block"),INDEX($O731:$Q731,1,MATCH(R$5,$I54:$K54,0)),INDEX(Movements!$G731:$M731,1,MATCH(R$7,Movements!$G$716:$M$716,0))))
*R1139*R$8,0)</f>
        <v>0</v>
      </c>
      <c r="S494" s="198">
        <f>_xlfn.IFNA(IF(S$7="Fixed",1,IF(AND($D89="yes",S$7="Block"),INDEX($O731:$Q731,1,MATCH(S$5,$I54:$K54,0)),INDEX(Movements!$G731:$M731,1,MATCH(S$7,Movements!$G$716:$M$716,0))))
*S1139*S$8,0)</f>
        <v>0</v>
      </c>
      <c r="T494" s="198">
        <f>_xlfn.IFNA(IF(T$7="Fixed",1,IF(AND($D89="yes",T$7="Block"),INDEX($O731:$Q731,1,MATCH(T$5,$I54:$K54,0)),INDEX(Movements!$G731:$M731,1,MATCH(T$7,Movements!$G$716:$M$716,0))))
*T1139*T$8,0)</f>
        <v>0</v>
      </c>
      <c r="U494" s="198">
        <f>_xlfn.IFNA(IF(U$7="Fixed",1,IF(AND($D89="yes",U$7="Block"),INDEX($O731:$Q731,1,MATCH(U$5,$I54:$K54,0)),INDEX(Movements!$G731:$M731,1,MATCH(U$7,Movements!$G$716:$M$716,0))))
*U1139*U$8,0)</f>
        <v>0</v>
      </c>
      <c r="V494" s="198">
        <f>_xlfn.IFNA(IF(V$7="Fixed",1,IF(AND($D89="yes",V$7="Block"),INDEX($O731:$Q731,1,MATCH(V$5,$I54:$K54,0)),INDEX(Movements!$G731:$M731,1,MATCH(V$7,Movements!$G$716:$M$716,0))))
*V1139*V$8,0)</f>
        <v>0</v>
      </c>
      <c r="W494" s="198">
        <f>_xlfn.IFNA(IF(W$7="Fixed",1,IF(AND($D89="yes",W$7="Block"),INDEX($O731:$Q731,1,MATCH(W$5,$I54:$K54,0)),INDEX(Movements!$G731:$M731,1,MATCH(W$7,Movements!$G$716:$M$716,0))))
*W1139*W$8,0)</f>
        <v>0</v>
      </c>
      <c r="X494" s="198">
        <f>_xlfn.IFNA(IF(X$7="Fixed",1,IF(AND($D89="yes",X$7="Block"),INDEX($O731:$Q731,1,MATCH(X$5,$I54:$K54,0)),INDEX(Movements!$G731:$M731,1,MATCH(X$7,Movements!$G$716:$M$716,0))))
*X1139*X$8,0)</f>
        <v>0</v>
      </c>
      <c r="Y494" s="198">
        <f>_xlfn.IFNA(IF(Y$7="Fixed",1,IF(AND($D89="yes",Y$7="Block"),INDEX($O731:$Q731,1,MATCH(Y$5,$I54:$K54,0)),INDEX(Movements!$G731:$M731,1,MATCH(Y$7,Movements!$G$716:$M$716,0))))
*Y1139*Y$8,0)</f>
        <v>0</v>
      </c>
      <c r="Z494" s="198">
        <f>_xlfn.IFNA(IF(Z$7="Fixed",1,IF(AND($D89="yes",Z$7="Block"),INDEX($O731:$Q731,1,MATCH(Z$5,$I54:$K54,0)),INDEX(Movements!$G731:$M731,1,MATCH(Z$7,Movements!$G$716:$M$716,0))))
*Z1139*Z$8,0)</f>
        <v>0</v>
      </c>
      <c r="AA494" s="198">
        <f>_xlfn.IFNA(IF(AA$7="Fixed",1,IF(AND($D89="yes",AA$7="Block"),INDEX($O731:$Q731,1,MATCH(AA$5,$I54:$K54,0)),INDEX(Movements!$G731:$M731,1,MATCH(AA$7,Movements!$G$716:$M$716,0))))
*AA1139*AA$8,0)</f>
        <v>0</v>
      </c>
      <c r="AB494" s="198">
        <f>_xlfn.IFNA(IF(AB$7="Fixed",1,IF(AND($D89="yes",AB$7="Block"),INDEX($O731:$Q731,1,MATCH(AB$5,$I54:$K54,0)),INDEX(Movements!$G731:$M731,1,MATCH(AB$7,Movements!$G$716:$M$716,0))))
*AB1139*AB$8,0)</f>
        <v>0</v>
      </c>
      <c r="AC494" s="70"/>
      <c r="AD494" s="19"/>
      <c r="AE494" s="19"/>
      <c r="AF494" s="19"/>
      <c r="AG494" s="19"/>
    </row>
    <row r="495" spans="1:33" hidden="1" outlineLevel="3" x14ac:dyDescent="0.2">
      <c r="A495" s="19"/>
      <c r="B495" s="97">
        <v>14</v>
      </c>
      <c r="C495" s="506">
        <f>IF(C225=0,0,IF(currentyear=RCPminus1,INDEX(Tariffs!$H$46:$H$120,MATCH(Movements!C225,Tariffs!$C$46:$C$120,0)),C225))</f>
        <v>0</v>
      </c>
      <c r="D495" s="505">
        <f t="shared" si="123"/>
        <v>0</v>
      </c>
      <c r="E495" s="505">
        <f t="shared" si="123"/>
        <v>0</v>
      </c>
      <c r="F495" s="58"/>
      <c r="G495" s="199">
        <f t="shared" si="124"/>
        <v>0</v>
      </c>
      <c r="H495" s="58"/>
      <c r="I495" s="198">
        <f>_xlfn.IFNA(IF(I$7="Fixed",1,IF(AND($D90="yes",I$7="Block"),INDEX($O732:$Q732,1,MATCH(I$5,$I55:$K55,0)),INDEX(Movements!$G732:$M732,1,MATCH(I$7,Movements!$G$716:$M$716,0))))
*I1140*I$8,0)</f>
        <v>0</v>
      </c>
      <c r="J495" s="198">
        <f>_xlfn.IFNA(IF(J$7="Fixed",1,IF(AND($D90="yes",J$7="Block"),INDEX($O732:$Q732,1,MATCH(J$5,$I55:$K55,0)),INDEX(Movements!$G732:$M732,1,MATCH(J$7,Movements!$G$716:$M$716,0))))
*J1140*J$8,0)</f>
        <v>0</v>
      </c>
      <c r="K495" s="198">
        <f>_xlfn.IFNA(IF(K$7="Fixed",1,IF(AND($D90="yes",K$7="Block"),INDEX($O732:$Q732,1,MATCH(K$5,$I55:$K55,0)),INDEX(Movements!$G732:$M732,1,MATCH(K$7,Movements!$G$716:$M$716,0))))
*K1140*K$8,0)</f>
        <v>0</v>
      </c>
      <c r="L495" s="198">
        <f>_xlfn.IFNA(IF(L$7="Fixed",1,IF(AND($D90="yes",L$7="Block"),INDEX($O732:$Q732,1,MATCH(L$5,$I55:$K55,0)),INDEX(Movements!$G732:$M732,1,MATCH(L$7,Movements!$G$716:$M$716,0))))
*L1140*L$8,0)</f>
        <v>0</v>
      </c>
      <c r="M495" s="198">
        <f>_xlfn.IFNA(IF(M$7="Fixed",1,IF(AND($D90="yes",M$7="Block"),INDEX($O732:$Q732,1,MATCH(M$5,$I55:$K55,0)),INDEX(Movements!$G732:$M732,1,MATCH(M$7,Movements!$G$716:$M$716,0))))
*M1140*M$8,0)</f>
        <v>0</v>
      </c>
      <c r="N495" s="198">
        <f>_xlfn.IFNA(IF(N$7="Fixed",1,IF(AND($D90="yes",N$7="Block"),INDEX($O732:$Q732,1,MATCH(N$5,$I55:$K55,0)),INDEX(Movements!$G732:$M732,1,MATCH(N$7,Movements!$G$716:$M$716,0))))
*N1140*N$8,0)</f>
        <v>0</v>
      </c>
      <c r="O495" s="198">
        <f>_xlfn.IFNA(IF(O$7="Fixed",1,IF(AND($D90="yes",O$7="Block"),INDEX($O732:$Q732,1,MATCH(O$5,$I55:$K55,0)),INDEX(Movements!$G732:$M732,1,MATCH(O$7,Movements!$G$716:$M$716,0))))
*O1140*O$8,0)</f>
        <v>0</v>
      </c>
      <c r="P495" s="198">
        <f>_xlfn.IFNA(IF(P$7="Fixed",1,IF(AND($D90="yes",P$7="Block"),INDEX($O732:$Q732,1,MATCH(P$5,$I55:$K55,0)),INDEX(Movements!$G732:$M732,1,MATCH(P$7,Movements!$G$716:$M$716,0))))
*P1140*P$8,0)</f>
        <v>0</v>
      </c>
      <c r="Q495" s="198">
        <f>_xlfn.IFNA(IF(Q$7="Fixed",1,IF(AND($D90="yes",Q$7="Block"),INDEX($O732:$Q732,1,MATCH(Q$5,$I55:$K55,0)),INDEX(Movements!$G732:$M732,1,MATCH(Q$7,Movements!$G$716:$M$716,0))))
*Q1140*Q$8,0)</f>
        <v>0</v>
      </c>
      <c r="R495" s="198">
        <f>_xlfn.IFNA(IF(R$7="Fixed",1,IF(AND($D90="yes",R$7="Block"),INDEX($O732:$Q732,1,MATCH(R$5,$I55:$K55,0)),INDEX(Movements!$G732:$M732,1,MATCH(R$7,Movements!$G$716:$M$716,0))))
*R1140*R$8,0)</f>
        <v>0</v>
      </c>
      <c r="S495" s="198">
        <f>_xlfn.IFNA(IF(S$7="Fixed",1,IF(AND($D90="yes",S$7="Block"),INDEX($O732:$Q732,1,MATCH(S$5,$I55:$K55,0)),INDEX(Movements!$G732:$M732,1,MATCH(S$7,Movements!$G$716:$M$716,0))))
*S1140*S$8,0)</f>
        <v>0</v>
      </c>
      <c r="T495" s="198">
        <f>_xlfn.IFNA(IF(T$7="Fixed",1,IF(AND($D90="yes",T$7="Block"),INDEX($O732:$Q732,1,MATCH(T$5,$I55:$K55,0)),INDEX(Movements!$G732:$M732,1,MATCH(T$7,Movements!$G$716:$M$716,0))))
*T1140*T$8,0)</f>
        <v>0</v>
      </c>
      <c r="U495" s="198">
        <f>_xlfn.IFNA(IF(U$7="Fixed",1,IF(AND($D90="yes",U$7="Block"),INDEX($O732:$Q732,1,MATCH(U$5,$I55:$K55,0)),INDEX(Movements!$G732:$M732,1,MATCH(U$7,Movements!$G$716:$M$716,0))))
*U1140*U$8,0)</f>
        <v>0</v>
      </c>
      <c r="V495" s="198">
        <f>_xlfn.IFNA(IF(V$7="Fixed",1,IF(AND($D90="yes",V$7="Block"),INDEX($O732:$Q732,1,MATCH(V$5,$I55:$K55,0)),INDEX(Movements!$G732:$M732,1,MATCH(V$7,Movements!$G$716:$M$716,0))))
*V1140*V$8,0)</f>
        <v>0</v>
      </c>
      <c r="W495" s="198">
        <f>_xlfn.IFNA(IF(W$7="Fixed",1,IF(AND($D90="yes",W$7="Block"),INDEX($O732:$Q732,1,MATCH(W$5,$I55:$K55,0)),INDEX(Movements!$G732:$M732,1,MATCH(W$7,Movements!$G$716:$M$716,0))))
*W1140*W$8,0)</f>
        <v>0</v>
      </c>
      <c r="X495" s="198">
        <f>_xlfn.IFNA(IF(X$7="Fixed",1,IF(AND($D90="yes",X$7="Block"),INDEX($O732:$Q732,1,MATCH(X$5,$I55:$K55,0)),INDEX(Movements!$G732:$M732,1,MATCH(X$7,Movements!$G$716:$M$716,0))))
*X1140*X$8,0)</f>
        <v>0</v>
      </c>
      <c r="Y495" s="198">
        <f>_xlfn.IFNA(IF(Y$7="Fixed",1,IF(AND($D90="yes",Y$7="Block"),INDEX($O732:$Q732,1,MATCH(Y$5,$I55:$K55,0)),INDEX(Movements!$G732:$M732,1,MATCH(Y$7,Movements!$G$716:$M$716,0))))
*Y1140*Y$8,0)</f>
        <v>0</v>
      </c>
      <c r="Z495" s="198">
        <f>_xlfn.IFNA(IF(Z$7="Fixed",1,IF(AND($D90="yes",Z$7="Block"),INDEX($O732:$Q732,1,MATCH(Z$5,$I55:$K55,0)),INDEX(Movements!$G732:$M732,1,MATCH(Z$7,Movements!$G$716:$M$716,0))))
*Z1140*Z$8,0)</f>
        <v>0</v>
      </c>
      <c r="AA495" s="198">
        <f>_xlfn.IFNA(IF(AA$7="Fixed",1,IF(AND($D90="yes",AA$7="Block"),INDEX($O732:$Q732,1,MATCH(AA$5,$I55:$K55,0)),INDEX(Movements!$G732:$M732,1,MATCH(AA$7,Movements!$G$716:$M$716,0))))
*AA1140*AA$8,0)</f>
        <v>0</v>
      </c>
      <c r="AB495" s="198">
        <f>_xlfn.IFNA(IF(AB$7="Fixed",1,IF(AND($D90="yes",AB$7="Block"),INDEX($O732:$Q732,1,MATCH(AB$5,$I55:$K55,0)),INDEX(Movements!$G732:$M732,1,MATCH(AB$7,Movements!$G$716:$M$716,0))))
*AB1140*AB$8,0)</f>
        <v>0</v>
      </c>
      <c r="AC495" s="70"/>
      <c r="AD495" s="19"/>
      <c r="AE495" s="19"/>
      <c r="AF495" s="19"/>
      <c r="AG495" s="19"/>
    </row>
    <row r="496" spans="1:33" hidden="1" outlineLevel="3" x14ac:dyDescent="0.2">
      <c r="A496" s="19"/>
      <c r="B496" s="97">
        <v>15</v>
      </c>
      <c r="C496" s="506">
        <f>IF(C226=0,0,IF(currentyear=RCPminus1,INDEX(Tariffs!$H$46:$H$120,MATCH(Movements!C226,Tariffs!$C$46:$C$120,0)),C226))</f>
        <v>0</v>
      </c>
      <c r="D496" s="505">
        <f t="shared" si="123"/>
        <v>0</v>
      </c>
      <c r="E496" s="505">
        <f t="shared" si="123"/>
        <v>0</v>
      </c>
      <c r="F496" s="58"/>
      <c r="G496" s="199">
        <f t="shared" si="124"/>
        <v>0</v>
      </c>
      <c r="H496" s="58"/>
      <c r="I496" s="198">
        <f>_xlfn.IFNA(IF(I$7="Fixed",1,IF(AND($D91="yes",I$7="Block"),INDEX($O733:$Q733,1,MATCH(I$5,$I56:$K56,0)),INDEX(Movements!$G733:$M733,1,MATCH(I$7,Movements!$G$716:$M$716,0))))
*I1141*I$8,0)</f>
        <v>0</v>
      </c>
      <c r="J496" s="198">
        <f>_xlfn.IFNA(IF(J$7="Fixed",1,IF(AND($D91="yes",J$7="Block"),INDEX($O733:$Q733,1,MATCH(J$5,$I56:$K56,0)),INDEX(Movements!$G733:$M733,1,MATCH(J$7,Movements!$G$716:$M$716,0))))
*J1141*J$8,0)</f>
        <v>0</v>
      </c>
      <c r="K496" s="198">
        <f>_xlfn.IFNA(IF(K$7="Fixed",1,IF(AND($D91="yes",K$7="Block"),INDEX($O733:$Q733,1,MATCH(K$5,$I56:$K56,0)),INDEX(Movements!$G733:$M733,1,MATCH(K$7,Movements!$G$716:$M$716,0))))
*K1141*K$8,0)</f>
        <v>0</v>
      </c>
      <c r="L496" s="198">
        <f>_xlfn.IFNA(IF(L$7="Fixed",1,IF(AND($D91="yes",L$7="Block"),INDEX($O733:$Q733,1,MATCH(L$5,$I56:$K56,0)),INDEX(Movements!$G733:$M733,1,MATCH(L$7,Movements!$G$716:$M$716,0))))
*L1141*L$8,0)</f>
        <v>0</v>
      </c>
      <c r="M496" s="198">
        <f>_xlfn.IFNA(IF(M$7="Fixed",1,IF(AND($D91="yes",M$7="Block"),INDEX($O733:$Q733,1,MATCH(M$5,$I56:$K56,0)),INDEX(Movements!$G733:$M733,1,MATCH(M$7,Movements!$G$716:$M$716,0))))
*M1141*M$8,0)</f>
        <v>0</v>
      </c>
      <c r="N496" s="198">
        <f>_xlfn.IFNA(IF(N$7="Fixed",1,IF(AND($D91="yes",N$7="Block"),INDEX($O733:$Q733,1,MATCH(N$5,$I56:$K56,0)),INDEX(Movements!$G733:$M733,1,MATCH(N$7,Movements!$G$716:$M$716,0))))
*N1141*N$8,0)</f>
        <v>0</v>
      </c>
      <c r="O496" s="198">
        <f>_xlfn.IFNA(IF(O$7="Fixed",1,IF(AND($D91="yes",O$7="Block"),INDEX($O733:$Q733,1,MATCH(O$5,$I56:$K56,0)),INDEX(Movements!$G733:$M733,1,MATCH(O$7,Movements!$G$716:$M$716,0))))
*O1141*O$8,0)</f>
        <v>0</v>
      </c>
      <c r="P496" s="198">
        <f>_xlfn.IFNA(IF(P$7="Fixed",1,IF(AND($D91="yes",P$7="Block"),INDEX($O733:$Q733,1,MATCH(P$5,$I56:$K56,0)),INDEX(Movements!$G733:$M733,1,MATCH(P$7,Movements!$G$716:$M$716,0))))
*P1141*P$8,0)</f>
        <v>0</v>
      </c>
      <c r="Q496" s="198">
        <f>_xlfn.IFNA(IF(Q$7="Fixed",1,IF(AND($D91="yes",Q$7="Block"),INDEX($O733:$Q733,1,MATCH(Q$5,$I56:$K56,0)),INDEX(Movements!$G733:$M733,1,MATCH(Q$7,Movements!$G$716:$M$716,0))))
*Q1141*Q$8,0)</f>
        <v>0</v>
      </c>
      <c r="R496" s="198">
        <f>_xlfn.IFNA(IF(R$7="Fixed",1,IF(AND($D91="yes",R$7="Block"),INDEX($O733:$Q733,1,MATCH(R$5,$I56:$K56,0)),INDEX(Movements!$G733:$M733,1,MATCH(R$7,Movements!$G$716:$M$716,0))))
*R1141*R$8,0)</f>
        <v>0</v>
      </c>
      <c r="S496" s="198">
        <f>_xlfn.IFNA(IF(S$7="Fixed",1,IF(AND($D91="yes",S$7="Block"),INDEX($O733:$Q733,1,MATCH(S$5,$I56:$K56,0)),INDEX(Movements!$G733:$M733,1,MATCH(S$7,Movements!$G$716:$M$716,0))))
*S1141*S$8,0)</f>
        <v>0</v>
      </c>
      <c r="T496" s="198">
        <f>_xlfn.IFNA(IF(T$7="Fixed",1,IF(AND($D91="yes",T$7="Block"),INDEX($O733:$Q733,1,MATCH(T$5,$I56:$K56,0)),INDEX(Movements!$G733:$M733,1,MATCH(T$7,Movements!$G$716:$M$716,0))))
*T1141*T$8,0)</f>
        <v>0</v>
      </c>
      <c r="U496" s="198">
        <f>_xlfn.IFNA(IF(U$7="Fixed",1,IF(AND($D91="yes",U$7="Block"),INDEX($O733:$Q733,1,MATCH(U$5,$I56:$K56,0)),INDEX(Movements!$G733:$M733,1,MATCH(U$7,Movements!$G$716:$M$716,0))))
*U1141*U$8,0)</f>
        <v>0</v>
      </c>
      <c r="V496" s="198">
        <f>_xlfn.IFNA(IF(V$7="Fixed",1,IF(AND($D91="yes",V$7="Block"),INDEX($O733:$Q733,1,MATCH(V$5,$I56:$K56,0)),INDEX(Movements!$G733:$M733,1,MATCH(V$7,Movements!$G$716:$M$716,0))))
*V1141*V$8,0)</f>
        <v>0</v>
      </c>
      <c r="W496" s="198">
        <f>_xlfn.IFNA(IF(W$7="Fixed",1,IF(AND($D91="yes",W$7="Block"),INDEX($O733:$Q733,1,MATCH(W$5,$I56:$K56,0)),INDEX(Movements!$G733:$M733,1,MATCH(W$7,Movements!$G$716:$M$716,0))))
*W1141*W$8,0)</f>
        <v>0</v>
      </c>
      <c r="X496" s="198">
        <f>_xlfn.IFNA(IF(X$7="Fixed",1,IF(AND($D91="yes",X$7="Block"),INDEX($O733:$Q733,1,MATCH(X$5,$I56:$K56,0)),INDEX(Movements!$G733:$M733,1,MATCH(X$7,Movements!$G$716:$M$716,0))))
*X1141*X$8,0)</f>
        <v>0</v>
      </c>
      <c r="Y496" s="198">
        <f>_xlfn.IFNA(IF(Y$7="Fixed",1,IF(AND($D91="yes",Y$7="Block"),INDEX($O733:$Q733,1,MATCH(Y$5,$I56:$K56,0)),INDEX(Movements!$G733:$M733,1,MATCH(Y$7,Movements!$G$716:$M$716,0))))
*Y1141*Y$8,0)</f>
        <v>0</v>
      </c>
      <c r="Z496" s="198">
        <f>_xlfn.IFNA(IF(Z$7="Fixed",1,IF(AND($D91="yes",Z$7="Block"),INDEX($O733:$Q733,1,MATCH(Z$5,$I56:$K56,0)),INDEX(Movements!$G733:$M733,1,MATCH(Z$7,Movements!$G$716:$M$716,0))))
*Z1141*Z$8,0)</f>
        <v>0</v>
      </c>
      <c r="AA496" s="198">
        <f>_xlfn.IFNA(IF(AA$7="Fixed",1,IF(AND($D91="yes",AA$7="Block"),INDEX($O733:$Q733,1,MATCH(AA$5,$I56:$K56,0)),INDEX(Movements!$G733:$M733,1,MATCH(AA$7,Movements!$G$716:$M$716,0))))
*AA1141*AA$8,0)</f>
        <v>0</v>
      </c>
      <c r="AB496" s="198">
        <f>_xlfn.IFNA(IF(AB$7="Fixed",1,IF(AND($D91="yes",AB$7="Block"),INDEX($O733:$Q733,1,MATCH(AB$5,$I56:$K56,0)),INDEX(Movements!$G733:$M733,1,MATCH(AB$7,Movements!$G$716:$M$716,0))))
*AB1141*AB$8,0)</f>
        <v>0</v>
      </c>
      <c r="AC496" s="70"/>
      <c r="AD496" s="19"/>
      <c r="AE496" s="19"/>
      <c r="AF496" s="19"/>
      <c r="AG496" s="19"/>
    </row>
    <row r="497" spans="1:33" hidden="1" outlineLevel="3" x14ac:dyDescent="0.2">
      <c r="A497" s="19"/>
      <c r="B497" s="98">
        <v>16</v>
      </c>
      <c r="C497" s="506">
        <f>IF(C227=0,0,IF(currentyear=RCPminus1,INDEX(Tariffs!$H$46:$H$120,MATCH(Movements!C227,Tariffs!$C$46:$C$120,0)),C227))</f>
        <v>0</v>
      </c>
      <c r="D497" s="505">
        <f t="shared" si="123"/>
        <v>0</v>
      </c>
      <c r="E497" s="505">
        <f t="shared" si="123"/>
        <v>0</v>
      </c>
      <c r="F497" s="58"/>
      <c r="G497" s="199">
        <f t="shared" si="124"/>
        <v>0</v>
      </c>
      <c r="H497" s="58"/>
      <c r="I497" s="198">
        <f>_xlfn.IFNA(IF(I$7="Fixed",1,IF(AND($D92="yes",I$7="Block"),INDEX($O734:$Q734,1,MATCH(I$5,$I57:$K57,0)),INDEX(Movements!$G734:$M734,1,MATCH(I$7,Movements!$G$716:$M$716,0))))
*I1142*I$8,0)</f>
        <v>0</v>
      </c>
      <c r="J497" s="198">
        <f>_xlfn.IFNA(IF(J$7="Fixed",1,IF(AND($D92="yes",J$7="Block"),INDEX($O734:$Q734,1,MATCH(J$5,$I57:$K57,0)),INDEX(Movements!$G734:$M734,1,MATCH(J$7,Movements!$G$716:$M$716,0))))
*J1142*J$8,0)</f>
        <v>0</v>
      </c>
      <c r="K497" s="198">
        <f>_xlfn.IFNA(IF(K$7="Fixed",1,IF(AND($D92="yes",K$7="Block"),INDEX($O734:$Q734,1,MATCH(K$5,$I57:$K57,0)),INDEX(Movements!$G734:$M734,1,MATCH(K$7,Movements!$G$716:$M$716,0))))
*K1142*K$8,0)</f>
        <v>0</v>
      </c>
      <c r="L497" s="198">
        <f>_xlfn.IFNA(IF(L$7="Fixed",1,IF(AND($D92="yes",L$7="Block"),INDEX($O734:$Q734,1,MATCH(L$5,$I57:$K57,0)),INDEX(Movements!$G734:$M734,1,MATCH(L$7,Movements!$G$716:$M$716,0))))
*L1142*L$8,0)</f>
        <v>0</v>
      </c>
      <c r="M497" s="198">
        <f>_xlfn.IFNA(IF(M$7="Fixed",1,IF(AND($D92="yes",M$7="Block"),INDEX($O734:$Q734,1,MATCH(M$5,$I57:$K57,0)),INDEX(Movements!$G734:$M734,1,MATCH(M$7,Movements!$G$716:$M$716,0))))
*M1142*M$8,0)</f>
        <v>0</v>
      </c>
      <c r="N497" s="198">
        <f>_xlfn.IFNA(IF(N$7="Fixed",1,IF(AND($D92="yes",N$7="Block"),INDEX($O734:$Q734,1,MATCH(N$5,$I57:$K57,0)),INDEX(Movements!$G734:$M734,1,MATCH(N$7,Movements!$G$716:$M$716,0))))
*N1142*N$8,0)</f>
        <v>0</v>
      </c>
      <c r="O497" s="198">
        <f>_xlfn.IFNA(IF(O$7="Fixed",1,IF(AND($D92="yes",O$7="Block"),INDEX($O734:$Q734,1,MATCH(O$5,$I57:$K57,0)),INDEX(Movements!$G734:$M734,1,MATCH(O$7,Movements!$G$716:$M$716,0))))
*O1142*O$8,0)</f>
        <v>0</v>
      </c>
      <c r="P497" s="198">
        <f>_xlfn.IFNA(IF(P$7="Fixed",1,IF(AND($D92="yes",P$7="Block"),INDEX($O734:$Q734,1,MATCH(P$5,$I57:$K57,0)),INDEX(Movements!$G734:$M734,1,MATCH(P$7,Movements!$G$716:$M$716,0))))
*P1142*P$8,0)</f>
        <v>0</v>
      </c>
      <c r="Q497" s="198">
        <f>_xlfn.IFNA(IF(Q$7="Fixed",1,IF(AND($D92="yes",Q$7="Block"),INDEX($O734:$Q734,1,MATCH(Q$5,$I57:$K57,0)),INDEX(Movements!$G734:$M734,1,MATCH(Q$7,Movements!$G$716:$M$716,0))))
*Q1142*Q$8,0)</f>
        <v>0</v>
      </c>
      <c r="R497" s="198">
        <f>_xlfn.IFNA(IF(R$7="Fixed",1,IF(AND($D92="yes",R$7="Block"),INDEX($O734:$Q734,1,MATCH(R$5,$I57:$K57,0)),INDEX(Movements!$G734:$M734,1,MATCH(R$7,Movements!$G$716:$M$716,0))))
*R1142*R$8,0)</f>
        <v>0</v>
      </c>
      <c r="S497" s="198">
        <f>_xlfn.IFNA(IF(S$7="Fixed",1,IF(AND($D92="yes",S$7="Block"),INDEX($O734:$Q734,1,MATCH(S$5,$I57:$K57,0)),INDEX(Movements!$G734:$M734,1,MATCH(S$7,Movements!$G$716:$M$716,0))))
*S1142*S$8,0)</f>
        <v>0</v>
      </c>
      <c r="T497" s="198">
        <f>_xlfn.IFNA(IF(T$7="Fixed",1,IF(AND($D92="yes",T$7="Block"),INDEX($O734:$Q734,1,MATCH(T$5,$I57:$K57,0)),INDEX(Movements!$G734:$M734,1,MATCH(T$7,Movements!$G$716:$M$716,0))))
*T1142*T$8,0)</f>
        <v>0</v>
      </c>
      <c r="U497" s="198">
        <f>_xlfn.IFNA(IF(U$7="Fixed",1,IF(AND($D92="yes",U$7="Block"),INDEX($O734:$Q734,1,MATCH(U$5,$I57:$K57,0)),INDEX(Movements!$G734:$M734,1,MATCH(U$7,Movements!$G$716:$M$716,0))))
*U1142*U$8,0)</f>
        <v>0</v>
      </c>
      <c r="V497" s="198">
        <f>_xlfn.IFNA(IF(V$7="Fixed",1,IF(AND($D92="yes",V$7="Block"),INDEX($O734:$Q734,1,MATCH(V$5,$I57:$K57,0)),INDEX(Movements!$G734:$M734,1,MATCH(V$7,Movements!$G$716:$M$716,0))))
*V1142*V$8,0)</f>
        <v>0</v>
      </c>
      <c r="W497" s="198">
        <f>_xlfn.IFNA(IF(W$7="Fixed",1,IF(AND($D92="yes",W$7="Block"),INDEX($O734:$Q734,1,MATCH(W$5,$I57:$K57,0)),INDEX(Movements!$G734:$M734,1,MATCH(W$7,Movements!$G$716:$M$716,0))))
*W1142*W$8,0)</f>
        <v>0</v>
      </c>
      <c r="X497" s="198">
        <f>_xlfn.IFNA(IF(X$7="Fixed",1,IF(AND($D92="yes",X$7="Block"),INDEX($O734:$Q734,1,MATCH(X$5,$I57:$K57,0)),INDEX(Movements!$G734:$M734,1,MATCH(X$7,Movements!$G$716:$M$716,0))))
*X1142*X$8,0)</f>
        <v>0</v>
      </c>
      <c r="Y497" s="198">
        <f>_xlfn.IFNA(IF(Y$7="Fixed",1,IF(AND($D92="yes",Y$7="Block"),INDEX($O734:$Q734,1,MATCH(Y$5,$I57:$K57,0)),INDEX(Movements!$G734:$M734,1,MATCH(Y$7,Movements!$G$716:$M$716,0))))
*Y1142*Y$8,0)</f>
        <v>0</v>
      </c>
      <c r="Z497" s="198">
        <f>_xlfn.IFNA(IF(Z$7="Fixed",1,IF(AND($D92="yes",Z$7="Block"),INDEX($O734:$Q734,1,MATCH(Z$5,$I57:$K57,0)),INDEX(Movements!$G734:$M734,1,MATCH(Z$7,Movements!$G$716:$M$716,0))))
*Z1142*Z$8,0)</f>
        <v>0</v>
      </c>
      <c r="AA497" s="198">
        <f>_xlfn.IFNA(IF(AA$7="Fixed",1,IF(AND($D92="yes",AA$7="Block"),INDEX($O734:$Q734,1,MATCH(AA$5,$I57:$K57,0)),INDEX(Movements!$G734:$M734,1,MATCH(AA$7,Movements!$G$716:$M$716,0))))
*AA1142*AA$8,0)</f>
        <v>0</v>
      </c>
      <c r="AB497" s="198">
        <f>_xlfn.IFNA(IF(AB$7="Fixed",1,IF(AND($D92="yes",AB$7="Block"),INDEX($O734:$Q734,1,MATCH(AB$5,$I57:$K57,0)),INDEX(Movements!$G734:$M734,1,MATCH(AB$7,Movements!$G$716:$M$716,0))))
*AB1142*AB$8,0)</f>
        <v>0</v>
      </c>
      <c r="AC497" s="70"/>
      <c r="AD497" s="19"/>
      <c r="AE497" s="19"/>
      <c r="AF497" s="19"/>
      <c r="AG497" s="19"/>
    </row>
    <row r="498" spans="1:33" hidden="1" outlineLevel="3" x14ac:dyDescent="0.2">
      <c r="A498" s="19"/>
      <c r="B498" s="97">
        <v>17</v>
      </c>
      <c r="C498" s="506">
        <f>IF(C228=0,0,IF(currentyear=RCPminus1,INDEX(Tariffs!$H$46:$H$120,MATCH(Movements!C228,Tariffs!$C$46:$C$120,0)),C228))</f>
        <v>0</v>
      </c>
      <c r="D498" s="505">
        <f t="shared" si="123"/>
        <v>0</v>
      </c>
      <c r="E498" s="505">
        <f t="shared" si="123"/>
        <v>0</v>
      </c>
      <c r="F498" s="58"/>
      <c r="G498" s="199">
        <f t="shared" si="124"/>
        <v>0</v>
      </c>
      <c r="H498" s="58"/>
      <c r="I498" s="198">
        <f>_xlfn.IFNA(IF(I$7="Fixed",1,IF(AND($D93="yes",I$7="Block"),INDEX($O735:$Q735,1,MATCH(I$5,$I58:$K58,0)),INDEX(Movements!$G735:$M735,1,MATCH(I$7,Movements!$G$716:$M$716,0))))
*I1143*I$8,0)</f>
        <v>0</v>
      </c>
      <c r="J498" s="198">
        <f>_xlfn.IFNA(IF(J$7="Fixed",1,IF(AND($D93="yes",J$7="Block"),INDEX($O735:$Q735,1,MATCH(J$5,$I58:$K58,0)),INDEX(Movements!$G735:$M735,1,MATCH(J$7,Movements!$G$716:$M$716,0))))
*J1143*J$8,0)</f>
        <v>0</v>
      </c>
      <c r="K498" s="198">
        <f>_xlfn.IFNA(IF(K$7="Fixed",1,IF(AND($D93="yes",K$7="Block"),INDEX($O735:$Q735,1,MATCH(K$5,$I58:$K58,0)),INDEX(Movements!$G735:$M735,1,MATCH(K$7,Movements!$G$716:$M$716,0))))
*K1143*K$8,0)</f>
        <v>0</v>
      </c>
      <c r="L498" s="198">
        <f>_xlfn.IFNA(IF(L$7="Fixed",1,IF(AND($D93="yes",L$7="Block"),INDEX($O735:$Q735,1,MATCH(L$5,$I58:$K58,0)),INDEX(Movements!$G735:$M735,1,MATCH(L$7,Movements!$G$716:$M$716,0))))
*L1143*L$8,0)</f>
        <v>0</v>
      </c>
      <c r="M498" s="198">
        <f>_xlfn.IFNA(IF(M$7="Fixed",1,IF(AND($D93="yes",M$7="Block"),INDEX($O735:$Q735,1,MATCH(M$5,$I58:$K58,0)),INDEX(Movements!$G735:$M735,1,MATCH(M$7,Movements!$G$716:$M$716,0))))
*M1143*M$8,0)</f>
        <v>0</v>
      </c>
      <c r="N498" s="198">
        <f>_xlfn.IFNA(IF(N$7="Fixed",1,IF(AND($D93="yes",N$7="Block"),INDEX($O735:$Q735,1,MATCH(N$5,$I58:$K58,0)),INDEX(Movements!$G735:$M735,1,MATCH(N$7,Movements!$G$716:$M$716,0))))
*N1143*N$8,0)</f>
        <v>0</v>
      </c>
      <c r="O498" s="198">
        <f>_xlfn.IFNA(IF(O$7="Fixed",1,IF(AND($D93="yes",O$7="Block"),INDEX($O735:$Q735,1,MATCH(O$5,$I58:$K58,0)),INDEX(Movements!$G735:$M735,1,MATCH(O$7,Movements!$G$716:$M$716,0))))
*O1143*O$8,0)</f>
        <v>0</v>
      </c>
      <c r="P498" s="198">
        <f>_xlfn.IFNA(IF(P$7="Fixed",1,IF(AND($D93="yes",P$7="Block"),INDEX($O735:$Q735,1,MATCH(P$5,$I58:$K58,0)),INDEX(Movements!$G735:$M735,1,MATCH(P$7,Movements!$G$716:$M$716,0))))
*P1143*P$8,0)</f>
        <v>0</v>
      </c>
      <c r="Q498" s="198">
        <f>_xlfn.IFNA(IF(Q$7="Fixed",1,IF(AND($D93="yes",Q$7="Block"),INDEX($O735:$Q735,1,MATCH(Q$5,$I58:$K58,0)),INDEX(Movements!$G735:$M735,1,MATCH(Q$7,Movements!$G$716:$M$716,0))))
*Q1143*Q$8,0)</f>
        <v>0</v>
      </c>
      <c r="R498" s="198">
        <f>_xlfn.IFNA(IF(R$7="Fixed",1,IF(AND($D93="yes",R$7="Block"),INDEX($O735:$Q735,1,MATCH(R$5,$I58:$K58,0)),INDEX(Movements!$G735:$M735,1,MATCH(R$7,Movements!$G$716:$M$716,0))))
*R1143*R$8,0)</f>
        <v>0</v>
      </c>
      <c r="S498" s="198">
        <f>_xlfn.IFNA(IF(S$7="Fixed",1,IF(AND($D93="yes",S$7="Block"),INDEX($O735:$Q735,1,MATCH(S$5,$I58:$K58,0)),INDEX(Movements!$G735:$M735,1,MATCH(S$7,Movements!$G$716:$M$716,0))))
*S1143*S$8,0)</f>
        <v>0</v>
      </c>
      <c r="T498" s="198">
        <f>_xlfn.IFNA(IF(T$7="Fixed",1,IF(AND($D93="yes",T$7="Block"),INDEX($O735:$Q735,1,MATCH(T$5,$I58:$K58,0)),INDEX(Movements!$G735:$M735,1,MATCH(T$7,Movements!$G$716:$M$716,0))))
*T1143*T$8,0)</f>
        <v>0</v>
      </c>
      <c r="U498" s="198">
        <f>_xlfn.IFNA(IF(U$7="Fixed",1,IF(AND($D93="yes",U$7="Block"),INDEX($O735:$Q735,1,MATCH(U$5,$I58:$K58,0)),INDEX(Movements!$G735:$M735,1,MATCH(U$7,Movements!$G$716:$M$716,0))))
*U1143*U$8,0)</f>
        <v>0</v>
      </c>
      <c r="V498" s="198">
        <f>_xlfn.IFNA(IF(V$7="Fixed",1,IF(AND($D93="yes",V$7="Block"),INDEX($O735:$Q735,1,MATCH(V$5,$I58:$K58,0)),INDEX(Movements!$G735:$M735,1,MATCH(V$7,Movements!$G$716:$M$716,0))))
*V1143*V$8,0)</f>
        <v>0</v>
      </c>
      <c r="W498" s="198">
        <f>_xlfn.IFNA(IF(W$7="Fixed",1,IF(AND($D93="yes",W$7="Block"),INDEX($O735:$Q735,1,MATCH(W$5,$I58:$K58,0)),INDEX(Movements!$G735:$M735,1,MATCH(W$7,Movements!$G$716:$M$716,0))))
*W1143*W$8,0)</f>
        <v>0</v>
      </c>
      <c r="X498" s="198">
        <f>_xlfn.IFNA(IF(X$7="Fixed",1,IF(AND($D93="yes",X$7="Block"),INDEX($O735:$Q735,1,MATCH(X$5,$I58:$K58,0)),INDEX(Movements!$G735:$M735,1,MATCH(X$7,Movements!$G$716:$M$716,0))))
*X1143*X$8,0)</f>
        <v>0</v>
      </c>
      <c r="Y498" s="198">
        <f>_xlfn.IFNA(IF(Y$7="Fixed",1,IF(AND($D93="yes",Y$7="Block"),INDEX($O735:$Q735,1,MATCH(Y$5,$I58:$K58,0)),INDEX(Movements!$G735:$M735,1,MATCH(Y$7,Movements!$G$716:$M$716,0))))
*Y1143*Y$8,0)</f>
        <v>0</v>
      </c>
      <c r="Z498" s="198">
        <f>_xlfn.IFNA(IF(Z$7="Fixed",1,IF(AND($D93="yes",Z$7="Block"),INDEX($O735:$Q735,1,MATCH(Z$5,$I58:$K58,0)),INDEX(Movements!$G735:$M735,1,MATCH(Z$7,Movements!$G$716:$M$716,0))))
*Z1143*Z$8,0)</f>
        <v>0</v>
      </c>
      <c r="AA498" s="198">
        <f>_xlfn.IFNA(IF(AA$7="Fixed",1,IF(AND($D93="yes",AA$7="Block"),INDEX($O735:$Q735,1,MATCH(AA$5,$I58:$K58,0)),INDEX(Movements!$G735:$M735,1,MATCH(AA$7,Movements!$G$716:$M$716,0))))
*AA1143*AA$8,0)</f>
        <v>0</v>
      </c>
      <c r="AB498" s="198">
        <f>_xlfn.IFNA(IF(AB$7="Fixed",1,IF(AND($D93="yes",AB$7="Block"),INDEX($O735:$Q735,1,MATCH(AB$5,$I58:$K58,0)),INDEX(Movements!$G735:$M735,1,MATCH(AB$7,Movements!$G$716:$M$716,0))))
*AB1143*AB$8,0)</f>
        <v>0</v>
      </c>
      <c r="AC498" s="70"/>
      <c r="AD498" s="19"/>
      <c r="AE498" s="19"/>
      <c r="AF498" s="19"/>
      <c r="AG498" s="19"/>
    </row>
    <row r="499" spans="1:33" hidden="1" outlineLevel="3" x14ac:dyDescent="0.2">
      <c r="A499" s="19"/>
      <c r="B499" s="97">
        <v>18</v>
      </c>
      <c r="C499" s="506">
        <f>IF(C229=0,0,IF(currentyear=RCPminus1,INDEX(Tariffs!$H$46:$H$120,MATCH(Movements!C229,Tariffs!$C$46:$C$120,0)),C229))</f>
        <v>0</v>
      </c>
      <c r="D499" s="505">
        <f t="shared" si="123"/>
        <v>0</v>
      </c>
      <c r="E499" s="505">
        <f t="shared" si="123"/>
        <v>0</v>
      </c>
      <c r="F499" s="58"/>
      <c r="G499" s="199">
        <f t="shared" si="124"/>
        <v>0</v>
      </c>
      <c r="H499" s="58"/>
      <c r="I499" s="198">
        <f>_xlfn.IFNA(IF(I$7="Fixed",1,IF(AND($D94="yes",I$7="Block"),INDEX($O736:$Q736,1,MATCH(I$5,$I59:$K59,0)),INDEX(Movements!$G736:$M736,1,MATCH(I$7,Movements!$G$716:$M$716,0))))
*I1144*I$8,0)</f>
        <v>0</v>
      </c>
      <c r="J499" s="198">
        <f>_xlfn.IFNA(IF(J$7="Fixed",1,IF(AND($D94="yes",J$7="Block"),INDEX($O736:$Q736,1,MATCH(J$5,$I59:$K59,0)),INDEX(Movements!$G736:$M736,1,MATCH(J$7,Movements!$G$716:$M$716,0))))
*J1144*J$8,0)</f>
        <v>0</v>
      </c>
      <c r="K499" s="198">
        <f>_xlfn.IFNA(IF(K$7="Fixed",1,IF(AND($D94="yes",K$7="Block"),INDEX($O736:$Q736,1,MATCH(K$5,$I59:$K59,0)),INDEX(Movements!$G736:$M736,1,MATCH(K$7,Movements!$G$716:$M$716,0))))
*K1144*K$8,0)</f>
        <v>0</v>
      </c>
      <c r="L499" s="198">
        <f>_xlfn.IFNA(IF(L$7="Fixed",1,IF(AND($D94="yes",L$7="Block"),INDEX($O736:$Q736,1,MATCH(L$5,$I59:$K59,0)),INDEX(Movements!$G736:$M736,1,MATCH(L$7,Movements!$G$716:$M$716,0))))
*L1144*L$8,0)</f>
        <v>0</v>
      </c>
      <c r="M499" s="198">
        <f>_xlfn.IFNA(IF(M$7="Fixed",1,IF(AND($D94="yes",M$7="Block"),INDEX($O736:$Q736,1,MATCH(M$5,$I59:$K59,0)),INDEX(Movements!$G736:$M736,1,MATCH(M$7,Movements!$G$716:$M$716,0))))
*M1144*M$8,0)</f>
        <v>0</v>
      </c>
      <c r="N499" s="198">
        <f>_xlfn.IFNA(IF(N$7="Fixed",1,IF(AND($D94="yes",N$7="Block"),INDEX($O736:$Q736,1,MATCH(N$5,$I59:$K59,0)),INDEX(Movements!$G736:$M736,1,MATCH(N$7,Movements!$G$716:$M$716,0))))
*N1144*N$8,0)</f>
        <v>0</v>
      </c>
      <c r="O499" s="198">
        <f>_xlfn.IFNA(IF(O$7="Fixed",1,IF(AND($D94="yes",O$7="Block"),INDEX($O736:$Q736,1,MATCH(O$5,$I59:$K59,0)),INDEX(Movements!$G736:$M736,1,MATCH(O$7,Movements!$G$716:$M$716,0))))
*O1144*O$8,0)</f>
        <v>0</v>
      </c>
      <c r="P499" s="198">
        <f>_xlfn.IFNA(IF(P$7="Fixed",1,IF(AND($D94="yes",P$7="Block"),INDEX($O736:$Q736,1,MATCH(P$5,$I59:$K59,0)),INDEX(Movements!$G736:$M736,1,MATCH(P$7,Movements!$G$716:$M$716,0))))
*P1144*P$8,0)</f>
        <v>0</v>
      </c>
      <c r="Q499" s="198">
        <f>_xlfn.IFNA(IF(Q$7="Fixed",1,IF(AND($D94="yes",Q$7="Block"),INDEX($O736:$Q736,1,MATCH(Q$5,$I59:$K59,0)),INDEX(Movements!$G736:$M736,1,MATCH(Q$7,Movements!$G$716:$M$716,0))))
*Q1144*Q$8,0)</f>
        <v>0</v>
      </c>
      <c r="R499" s="198">
        <f>_xlfn.IFNA(IF(R$7="Fixed",1,IF(AND($D94="yes",R$7="Block"),INDEX($O736:$Q736,1,MATCH(R$5,$I59:$K59,0)),INDEX(Movements!$G736:$M736,1,MATCH(R$7,Movements!$G$716:$M$716,0))))
*R1144*R$8,0)</f>
        <v>0</v>
      </c>
      <c r="S499" s="198">
        <f>_xlfn.IFNA(IF(S$7="Fixed",1,IF(AND($D94="yes",S$7="Block"),INDEX($O736:$Q736,1,MATCH(S$5,$I59:$K59,0)),INDEX(Movements!$G736:$M736,1,MATCH(S$7,Movements!$G$716:$M$716,0))))
*S1144*S$8,0)</f>
        <v>0</v>
      </c>
      <c r="T499" s="198">
        <f>_xlfn.IFNA(IF(T$7="Fixed",1,IF(AND($D94="yes",T$7="Block"),INDEX($O736:$Q736,1,MATCH(T$5,$I59:$K59,0)),INDEX(Movements!$G736:$M736,1,MATCH(T$7,Movements!$G$716:$M$716,0))))
*T1144*T$8,0)</f>
        <v>0</v>
      </c>
      <c r="U499" s="198">
        <f>_xlfn.IFNA(IF(U$7="Fixed",1,IF(AND($D94="yes",U$7="Block"),INDEX($O736:$Q736,1,MATCH(U$5,$I59:$K59,0)),INDEX(Movements!$G736:$M736,1,MATCH(U$7,Movements!$G$716:$M$716,0))))
*U1144*U$8,0)</f>
        <v>0</v>
      </c>
      <c r="V499" s="198">
        <f>_xlfn.IFNA(IF(V$7="Fixed",1,IF(AND($D94="yes",V$7="Block"),INDEX($O736:$Q736,1,MATCH(V$5,$I59:$K59,0)),INDEX(Movements!$G736:$M736,1,MATCH(V$7,Movements!$G$716:$M$716,0))))
*V1144*V$8,0)</f>
        <v>0</v>
      </c>
      <c r="W499" s="198">
        <f>_xlfn.IFNA(IF(W$7="Fixed",1,IF(AND($D94="yes",W$7="Block"),INDEX($O736:$Q736,1,MATCH(W$5,$I59:$K59,0)),INDEX(Movements!$G736:$M736,1,MATCH(W$7,Movements!$G$716:$M$716,0))))
*W1144*W$8,0)</f>
        <v>0</v>
      </c>
      <c r="X499" s="198">
        <f>_xlfn.IFNA(IF(X$7="Fixed",1,IF(AND($D94="yes",X$7="Block"),INDEX($O736:$Q736,1,MATCH(X$5,$I59:$K59,0)),INDEX(Movements!$G736:$M736,1,MATCH(X$7,Movements!$G$716:$M$716,0))))
*X1144*X$8,0)</f>
        <v>0</v>
      </c>
      <c r="Y499" s="198">
        <f>_xlfn.IFNA(IF(Y$7="Fixed",1,IF(AND($D94="yes",Y$7="Block"),INDEX($O736:$Q736,1,MATCH(Y$5,$I59:$K59,0)),INDEX(Movements!$G736:$M736,1,MATCH(Y$7,Movements!$G$716:$M$716,0))))
*Y1144*Y$8,0)</f>
        <v>0</v>
      </c>
      <c r="Z499" s="198">
        <f>_xlfn.IFNA(IF(Z$7="Fixed",1,IF(AND($D94="yes",Z$7="Block"),INDEX($O736:$Q736,1,MATCH(Z$5,$I59:$K59,0)),INDEX(Movements!$G736:$M736,1,MATCH(Z$7,Movements!$G$716:$M$716,0))))
*Z1144*Z$8,0)</f>
        <v>0</v>
      </c>
      <c r="AA499" s="198">
        <f>_xlfn.IFNA(IF(AA$7="Fixed",1,IF(AND($D94="yes",AA$7="Block"),INDEX($O736:$Q736,1,MATCH(AA$5,$I59:$K59,0)),INDEX(Movements!$G736:$M736,1,MATCH(AA$7,Movements!$G$716:$M$716,0))))
*AA1144*AA$8,0)</f>
        <v>0</v>
      </c>
      <c r="AB499" s="198">
        <f>_xlfn.IFNA(IF(AB$7="Fixed",1,IF(AND($D94="yes",AB$7="Block"),INDEX($O736:$Q736,1,MATCH(AB$5,$I59:$K59,0)),INDEX(Movements!$G736:$M736,1,MATCH(AB$7,Movements!$G$716:$M$716,0))))
*AB1144*AB$8,0)</f>
        <v>0</v>
      </c>
      <c r="AC499" s="70"/>
      <c r="AD499" s="19"/>
      <c r="AE499" s="19"/>
      <c r="AF499" s="19"/>
      <c r="AG499" s="19"/>
    </row>
    <row r="500" spans="1:33" hidden="1" outlineLevel="3" x14ac:dyDescent="0.2">
      <c r="A500" s="19"/>
      <c r="B500" s="97">
        <v>19</v>
      </c>
      <c r="C500" s="506">
        <f>IF(C230=0,0,IF(currentyear=RCPminus1,INDEX(Tariffs!$H$46:$H$120,MATCH(Movements!C230,Tariffs!$C$46:$C$120,0)),C230))</f>
        <v>0</v>
      </c>
      <c r="D500" s="505">
        <f t="shared" si="123"/>
        <v>0</v>
      </c>
      <c r="E500" s="505">
        <f t="shared" si="123"/>
        <v>0</v>
      </c>
      <c r="F500" s="58"/>
      <c r="G500" s="199">
        <f t="shared" si="124"/>
        <v>0</v>
      </c>
      <c r="H500" s="58"/>
      <c r="I500" s="198">
        <f>_xlfn.IFNA(IF(I$7="Fixed",1,IF(AND($D95="yes",I$7="Block"),INDEX($O737:$Q737,1,MATCH(I$5,$I60:$K60,0)),INDEX(Movements!$G737:$M737,1,MATCH(I$7,Movements!$G$716:$M$716,0))))
*I1145*I$8,0)</f>
        <v>0</v>
      </c>
      <c r="J500" s="198">
        <f>_xlfn.IFNA(IF(J$7="Fixed",1,IF(AND($D95="yes",J$7="Block"),INDEX($O737:$Q737,1,MATCH(J$5,$I60:$K60,0)),INDEX(Movements!$G737:$M737,1,MATCH(J$7,Movements!$G$716:$M$716,0))))
*J1145*J$8,0)</f>
        <v>0</v>
      </c>
      <c r="K500" s="198">
        <f>_xlfn.IFNA(IF(K$7="Fixed",1,IF(AND($D95="yes",K$7="Block"),INDEX($O737:$Q737,1,MATCH(K$5,$I60:$K60,0)),INDEX(Movements!$G737:$M737,1,MATCH(K$7,Movements!$G$716:$M$716,0))))
*K1145*K$8,0)</f>
        <v>0</v>
      </c>
      <c r="L500" s="198">
        <f>_xlfn.IFNA(IF(L$7="Fixed",1,IF(AND($D95="yes",L$7="Block"),INDEX($O737:$Q737,1,MATCH(L$5,$I60:$K60,0)),INDEX(Movements!$G737:$M737,1,MATCH(L$7,Movements!$G$716:$M$716,0))))
*L1145*L$8,0)</f>
        <v>0</v>
      </c>
      <c r="M500" s="198">
        <f>_xlfn.IFNA(IF(M$7="Fixed",1,IF(AND($D95="yes",M$7="Block"),INDEX($O737:$Q737,1,MATCH(M$5,$I60:$K60,0)),INDEX(Movements!$G737:$M737,1,MATCH(M$7,Movements!$G$716:$M$716,0))))
*M1145*M$8,0)</f>
        <v>0</v>
      </c>
      <c r="N500" s="198">
        <f>_xlfn.IFNA(IF(N$7="Fixed",1,IF(AND($D95="yes",N$7="Block"),INDEX($O737:$Q737,1,MATCH(N$5,$I60:$K60,0)),INDEX(Movements!$G737:$M737,1,MATCH(N$7,Movements!$G$716:$M$716,0))))
*N1145*N$8,0)</f>
        <v>0</v>
      </c>
      <c r="O500" s="198">
        <f>_xlfn.IFNA(IF(O$7="Fixed",1,IF(AND($D95="yes",O$7="Block"),INDEX($O737:$Q737,1,MATCH(O$5,$I60:$K60,0)),INDEX(Movements!$G737:$M737,1,MATCH(O$7,Movements!$G$716:$M$716,0))))
*O1145*O$8,0)</f>
        <v>0</v>
      </c>
      <c r="P500" s="198">
        <f>_xlfn.IFNA(IF(P$7="Fixed",1,IF(AND($D95="yes",P$7="Block"),INDEX($O737:$Q737,1,MATCH(P$5,$I60:$K60,0)),INDEX(Movements!$G737:$M737,1,MATCH(P$7,Movements!$G$716:$M$716,0))))
*P1145*P$8,0)</f>
        <v>0</v>
      </c>
      <c r="Q500" s="198">
        <f>_xlfn.IFNA(IF(Q$7="Fixed",1,IF(AND($D95="yes",Q$7="Block"),INDEX($O737:$Q737,1,MATCH(Q$5,$I60:$K60,0)),INDEX(Movements!$G737:$M737,1,MATCH(Q$7,Movements!$G$716:$M$716,0))))
*Q1145*Q$8,0)</f>
        <v>0</v>
      </c>
      <c r="R500" s="198">
        <f>_xlfn.IFNA(IF(R$7="Fixed",1,IF(AND($D95="yes",R$7="Block"),INDEX($O737:$Q737,1,MATCH(R$5,$I60:$K60,0)),INDEX(Movements!$G737:$M737,1,MATCH(R$7,Movements!$G$716:$M$716,0))))
*R1145*R$8,0)</f>
        <v>0</v>
      </c>
      <c r="S500" s="198">
        <f>_xlfn.IFNA(IF(S$7="Fixed",1,IF(AND($D95="yes",S$7="Block"),INDEX($O737:$Q737,1,MATCH(S$5,$I60:$K60,0)),INDEX(Movements!$G737:$M737,1,MATCH(S$7,Movements!$G$716:$M$716,0))))
*S1145*S$8,0)</f>
        <v>0</v>
      </c>
      <c r="T500" s="198">
        <f>_xlfn.IFNA(IF(T$7="Fixed",1,IF(AND($D95="yes",T$7="Block"),INDEX($O737:$Q737,1,MATCH(T$5,$I60:$K60,0)),INDEX(Movements!$G737:$M737,1,MATCH(T$7,Movements!$G$716:$M$716,0))))
*T1145*T$8,0)</f>
        <v>0</v>
      </c>
      <c r="U500" s="198">
        <f>_xlfn.IFNA(IF(U$7="Fixed",1,IF(AND($D95="yes",U$7="Block"),INDEX($O737:$Q737,1,MATCH(U$5,$I60:$K60,0)),INDEX(Movements!$G737:$M737,1,MATCH(U$7,Movements!$G$716:$M$716,0))))
*U1145*U$8,0)</f>
        <v>0</v>
      </c>
      <c r="V500" s="198">
        <f>_xlfn.IFNA(IF(V$7="Fixed",1,IF(AND($D95="yes",V$7="Block"),INDEX($O737:$Q737,1,MATCH(V$5,$I60:$K60,0)),INDEX(Movements!$G737:$M737,1,MATCH(V$7,Movements!$G$716:$M$716,0))))
*V1145*V$8,0)</f>
        <v>0</v>
      </c>
      <c r="W500" s="198">
        <f>_xlfn.IFNA(IF(W$7="Fixed",1,IF(AND($D95="yes",W$7="Block"),INDEX($O737:$Q737,1,MATCH(W$5,$I60:$K60,0)),INDEX(Movements!$G737:$M737,1,MATCH(W$7,Movements!$G$716:$M$716,0))))
*W1145*W$8,0)</f>
        <v>0</v>
      </c>
      <c r="X500" s="198">
        <f>_xlfn.IFNA(IF(X$7="Fixed",1,IF(AND($D95="yes",X$7="Block"),INDEX($O737:$Q737,1,MATCH(X$5,$I60:$K60,0)),INDEX(Movements!$G737:$M737,1,MATCH(X$7,Movements!$G$716:$M$716,0))))
*X1145*X$8,0)</f>
        <v>0</v>
      </c>
      <c r="Y500" s="198">
        <f>_xlfn.IFNA(IF(Y$7="Fixed",1,IF(AND($D95="yes",Y$7="Block"),INDEX($O737:$Q737,1,MATCH(Y$5,$I60:$K60,0)),INDEX(Movements!$G737:$M737,1,MATCH(Y$7,Movements!$G$716:$M$716,0))))
*Y1145*Y$8,0)</f>
        <v>0</v>
      </c>
      <c r="Z500" s="198">
        <f>_xlfn.IFNA(IF(Z$7="Fixed",1,IF(AND($D95="yes",Z$7="Block"),INDEX($O737:$Q737,1,MATCH(Z$5,$I60:$K60,0)),INDEX(Movements!$G737:$M737,1,MATCH(Z$7,Movements!$G$716:$M$716,0))))
*Z1145*Z$8,0)</f>
        <v>0</v>
      </c>
      <c r="AA500" s="198">
        <f>_xlfn.IFNA(IF(AA$7="Fixed",1,IF(AND($D95="yes",AA$7="Block"),INDEX($O737:$Q737,1,MATCH(AA$5,$I60:$K60,0)),INDEX(Movements!$G737:$M737,1,MATCH(AA$7,Movements!$G$716:$M$716,0))))
*AA1145*AA$8,0)</f>
        <v>0</v>
      </c>
      <c r="AB500" s="198">
        <f>_xlfn.IFNA(IF(AB$7="Fixed",1,IF(AND($D95="yes",AB$7="Block"),INDEX($O737:$Q737,1,MATCH(AB$5,$I60:$K60,0)),INDEX(Movements!$G737:$M737,1,MATCH(AB$7,Movements!$G$716:$M$716,0))))
*AB1145*AB$8,0)</f>
        <v>0</v>
      </c>
      <c r="AC500" s="70"/>
      <c r="AD500" s="19"/>
      <c r="AE500" s="19"/>
      <c r="AF500" s="19"/>
      <c r="AG500" s="19"/>
    </row>
    <row r="501" spans="1:33" hidden="1" outlineLevel="3" x14ac:dyDescent="0.2">
      <c r="A501" s="19"/>
      <c r="B501" s="97">
        <v>20</v>
      </c>
      <c r="C501" s="506">
        <f>IF(C231=0,0,IF(currentyear=RCPminus1,INDEX(Tariffs!$H$46:$H$120,MATCH(Movements!C231,Tariffs!$C$46:$C$120,0)),C231))</f>
        <v>0</v>
      </c>
      <c r="D501" s="505">
        <f t="shared" si="123"/>
        <v>0</v>
      </c>
      <c r="E501" s="505">
        <f t="shared" si="123"/>
        <v>0</v>
      </c>
      <c r="F501" s="58"/>
      <c r="G501" s="199">
        <f t="shared" si="124"/>
        <v>0</v>
      </c>
      <c r="H501" s="58"/>
      <c r="I501" s="198">
        <f>_xlfn.IFNA(IF(I$7="Fixed",1,IF(AND($D96="yes",I$7="Block"),INDEX($O738:$Q738,1,MATCH(I$5,$I61:$K61,0)),INDEX(Movements!$G738:$M738,1,MATCH(I$7,Movements!$G$716:$M$716,0))))
*I1146*I$8,0)</f>
        <v>0</v>
      </c>
      <c r="J501" s="198">
        <f>_xlfn.IFNA(IF(J$7="Fixed",1,IF(AND($D96="yes",J$7="Block"),INDEX($O738:$Q738,1,MATCH(J$5,$I61:$K61,0)),INDEX(Movements!$G738:$M738,1,MATCH(J$7,Movements!$G$716:$M$716,0))))
*J1146*J$8,0)</f>
        <v>0</v>
      </c>
      <c r="K501" s="198">
        <f>_xlfn.IFNA(IF(K$7="Fixed",1,IF(AND($D96="yes",K$7="Block"),INDEX($O738:$Q738,1,MATCH(K$5,$I61:$K61,0)),INDEX(Movements!$G738:$M738,1,MATCH(K$7,Movements!$G$716:$M$716,0))))
*K1146*K$8,0)</f>
        <v>0</v>
      </c>
      <c r="L501" s="198">
        <f>_xlfn.IFNA(IF(L$7="Fixed",1,IF(AND($D96="yes",L$7="Block"),INDEX($O738:$Q738,1,MATCH(L$5,$I61:$K61,0)),INDEX(Movements!$G738:$M738,1,MATCH(L$7,Movements!$G$716:$M$716,0))))
*L1146*L$8,0)</f>
        <v>0</v>
      </c>
      <c r="M501" s="198">
        <f>_xlfn.IFNA(IF(M$7="Fixed",1,IF(AND($D96="yes",M$7="Block"),INDEX($O738:$Q738,1,MATCH(M$5,$I61:$K61,0)),INDEX(Movements!$G738:$M738,1,MATCH(M$7,Movements!$G$716:$M$716,0))))
*M1146*M$8,0)</f>
        <v>0</v>
      </c>
      <c r="N501" s="198">
        <f>_xlfn.IFNA(IF(N$7="Fixed",1,IF(AND($D96="yes",N$7="Block"),INDEX($O738:$Q738,1,MATCH(N$5,$I61:$K61,0)),INDEX(Movements!$G738:$M738,1,MATCH(N$7,Movements!$G$716:$M$716,0))))
*N1146*N$8,0)</f>
        <v>0</v>
      </c>
      <c r="O501" s="198">
        <f>_xlfn.IFNA(IF(O$7="Fixed",1,IF(AND($D96="yes",O$7="Block"),INDEX($O738:$Q738,1,MATCH(O$5,$I61:$K61,0)),INDEX(Movements!$G738:$M738,1,MATCH(O$7,Movements!$G$716:$M$716,0))))
*O1146*O$8,0)</f>
        <v>0</v>
      </c>
      <c r="P501" s="198">
        <f>_xlfn.IFNA(IF(P$7="Fixed",1,IF(AND($D96="yes",P$7="Block"),INDEX($O738:$Q738,1,MATCH(P$5,$I61:$K61,0)),INDEX(Movements!$G738:$M738,1,MATCH(P$7,Movements!$G$716:$M$716,0))))
*P1146*P$8,0)</f>
        <v>0</v>
      </c>
      <c r="Q501" s="198">
        <f>_xlfn.IFNA(IF(Q$7="Fixed",1,IF(AND($D96="yes",Q$7="Block"),INDEX($O738:$Q738,1,MATCH(Q$5,$I61:$K61,0)),INDEX(Movements!$G738:$M738,1,MATCH(Q$7,Movements!$G$716:$M$716,0))))
*Q1146*Q$8,0)</f>
        <v>0</v>
      </c>
      <c r="R501" s="198">
        <f>_xlfn.IFNA(IF(R$7="Fixed",1,IF(AND($D96="yes",R$7="Block"),INDEX($O738:$Q738,1,MATCH(R$5,$I61:$K61,0)),INDEX(Movements!$G738:$M738,1,MATCH(R$7,Movements!$G$716:$M$716,0))))
*R1146*R$8,0)</f>
        <v>0</v>
      </c>
      <c r="S501" s="198">
        <f>_xlfn.IFNA(IF(S$7="Fixed",1,IF(AND($D96="yes",S$7="Block"),INDEX($O738:$Q738,1,MATCH(S$5,$I61:$K61,0)),INDEX(Movements!$G738:$M738,1,MATCH(S$7,Movements!$G$716:$M$716,0))))
*S1146*S$8,0)</f>
        <v>0</v>
      </c>
      <c r="T501" s="198">
        <f>_xlfn.IFNA(IF(T$7="Fixed",1,IF(AND($D96="yes",T$7="Block"),INDEX($O738:$Q738,1,MATCH(T$5,$I61:$K61,0)),INDEX(Movements!$G738:$M738,1,MATCH(T$7,Movements!$G$716:$M$716,0))))
*T1146*T$8,0)</f>
        <v>0</v>
      </c>
      <c r="U501" s="198">
        <f>_xlfn.IFNA(IF(U$7="Fixed",1,IF(AND($D96="yes",U$7="Block"),INDEX($O738:$Q738,1,MATCH(U$5,$I61:$K61,0)),INDEX(Movements!$G738:$M738,1,MATCH(U$7,Movements!$G$716:$M$716,0))))
*U1146*U$8,0)</f>
        <v>0</v>
      </c>
      <c r="V501" s="198">
        <f>_xlfn.IFNA(IF(V$7="Fixed",1,IF(AND($D96="yes",V$7="Block"),INDEX($O738:$Q738,1,MATCH(V$5,$I61:$K61,0)),INDEX(Movements!$G738:$M738,1,MATCH(V$7,Movements!$G$716:$M$716,0))))
*V1146*V$8,0)</f>
        <v>0</v>
      </c>
      <c r="W501" s="198">
        <f>_xlfn.IFNA(IF(W$7="Fixed",1,IF(AND($D96="yes",W$7="Block"),INDEX($O738:$Q738,1,MATCH(W$5,$I61:$K61,0)),INDEX(Movements!$G738:$M738,1,MATCH(W$7,Movements!$G$716:$M$716,0))))
*W1146*W$8,0)</f>
        <v>0</v>
      </c>
      <c r="X501" s="198">
        <f>_xlfn.IFNA(IF(X$7="Fixed",1,IF(AND($D96="yes",X$7="Block"),INDEX($O738:$Q738,1,MATCH(X$5,$I61:$K61,0)),INDEX(Movements!$G738:$M738,1,MATCH(X$7,Movements!$G$716:$M$716,0))))
*X1146*X$8,0)</f>
        <v>0</v>
      </c>
      <c r="Y501" s="198">
        <f>_xlfn.IFNA(IF(Y$7="Fixed",1,IF(AND($D96="yes",Y$7="Block"),INDEX($O738:$Q738,1,MATCH(Y$5,$I61:$K61,0)),INDEX(Movements!$G738:$M738,1,MATCH(Y$7,Movements!$G$716:$M$716,0))))
*Y1146*Y$8,0)</f>
        <v>0</v>
      </c>
      <c r="Z501" s="198">
        <f>_xlfn.IFNA(IF(Z$7="Fixed",1,IF(AND($D96="yes",Z$7="Block"),INDEX($O738:$Q738,1,MATCH(Z$5,$I61:$K61,0)),INDEX(Movements!$G738:$M738,1,MATCH(Z$7,Movements!$G$716:$M$716,0))))
*Z1146*Z$8,0)</f>
        <v>0</v>
      </c>
      <c r="AA501" s="198">
        <f>_xlfn.IFNA(IF(AA$7="Fixed",1,IF(AND($D96="yes",AA$7="Block"),INDEX($O738:$Q738,1,MATCH(AA$5,$I61:$K61,0)),INDEX(Movements!$G738:$M738,1,MATCH(AA$7,Movements!$G$716:$M$716,0))))
*AA1146*AA$8,0)</f>
        <v>0</v>
      </c>
      <c r="AB501" s="198">
        <f>_xlfn.IFNA(IF(AB$7="Fixed",1,IF(AND($D96="yes",AB$7="Block"),INDEX($O738:$Q738,1,MATCH(AB$5,$I61:$K61,0)),INDEX(Movements!$G738:$M738,1,MATCH(AB$7,Movements!$G$716:$M$716,0))))
*AB1146*AB$8,0)</f>
        <v>0</v>
      </c>
      <c r="AC501" s="70"/>
      <c r="AD501" s="19"/>
      <c r="AE501" s="19"/>
      <c r="AF501" s="19"/>
      <c r="AG501" s="19"/>
    </row>
    <row r="502" spans="1:33" hidden="1" outlineLevel="3" x14ac:dyDescent="0.2">
      <c r="A502" s="19"/>
      <c r="B502" s="97">
        <v>21</v>
      </c>
      <c r="C502" s="506">
        <f>IF(C232=0,0,IF(currentyear=RCPminus1,INDEX(Tariffs!$H$46:$H$120,MATCH(Movements!C232,Tariffs!$C$46:$C$120,0)),C232))</f>
        <v>0</v>
      </c>
      <c r="D502" s="505">
        <f t="shared" si="123"/>
        <v>0</v>
      </c>
      <c r="E502" s="505">
        <f t="shared" si="123"/>
        <v>0</v>
      </c>
      <c r="F502" s="58"/>
      <c r="G502" s="199">
        <f t="shared" si="124"/>
        <v>0</v>
      </c>
      <c r="H502" s="58"/>
      <c r="I502" s="198">
        <f>_xlfn.IFNA(IF(I$7="Fixed",1,IF(AND($D97="yes",I$7="Block"),INDEX($O739:$Q739,1,MATCH(I$5,$I62:$K62,0)),INDEX(Movements!$G739:$M739,1,MATCH(I$7,Movements!$G$716:$M$716,0))))
*I1147*I$8,0)</f>
        <v>0</v>
      </c>
      <c r="J502" s="198">
        <f>_xlfn.IFNA(IF(J$7="Fixed",1,IF(AND($D97="yes",J$7="Block"),INDEX($O739:$Q739,1,MATCH(J$5,$I62:$K62,0)),INDEX(Movements!$G739:$M739,1,MATCH(J$7,Movements!$G$716:$M$716,0))))
*J1147*J$8,0)</f>
        <v>0</v>
      </c>
      <c r="K502" s="198">
        <f>_xlfn.IFNA(IF(K$7="Fixed",1,IF(AND($D97="yes",K$7="Block"),INDEX($O739:$Q739,1,MATCH(K$5,$I62:$K62,0)),INDEX(Movements!$G739:$M739,1,MATCH(K$7,Movements!$G$716:$M$716,0))))
*K1147*K$8,0)</f>
        <v>0</v>
      </c>
      <c r="L502" s="198">
        <f>_xlfn.IFNA(IF(L$7="Fixed",1,IF(AND($D97="yes",L$7="Block"),INDEX($O739:$Q739,1,MATCH(L$5,$I62:$K62,0)),INDEX(Movements!$G739:$M739,1,MATCH(L$7,Movements!$G$716:$M$716,0))))
*L1147*L$8,0)</f>
        <v>0</v>
      </c>
      <c r="M502" s="198">
        <f>_xlfn.IFNA(IF(M$7="Fixed",1,IF(AND($D97="yes",M$7="Block"),INDEX($O739:$Q739,1,MATCH(M$5,$I62:$K62,0)),INDEX(Movements!$G739:$M739,1,MATCH(M$7,Movements!$G$716:$M$716,0))))
*M1147*M$8,0)</f>
        <v>0</v>
      </c>
      <c r="N502" s="198">
        <f>_xlfn.IFNA(IF(N$7="Fixed",1,IF(AND($D97="yes",N$7="Block"),INDEX($O739:$Q739,1,MATCH(N$5,$I62:$K62,0)),INDEX(Movements!$G739:$M739,1,MATCH(N$7,Movements!$G$716:$M$716,0))))
*N1147*N$8,0)</f>
        <v>0</v>
      </c>
      <c r="O502" s="198">
        <f>_xlfn.IFNA(IF(O$7="Fixed",1,IF(AND($D97="yes",O$7="Block"),INDEX($O739:$Q739,1,MATCH(O$5,$I62:$K62,0)),INDEX(Movements!$G739:$M739,1,MATCH(O$7,Movements!$G$716:$M$716,0))))
*O1147*O$8,0)</f>
        <v>0</v>
      </c>
      <c r="P502" s="198">
        <f>_xlfn.IFNA(IF(P$7="Fixed",1,IF(AND($D97="yes",P$7="Block"),INDEX($O739:$Q739,1,MATCH(P$5,$I62:$K62,0)),INDEX(Movements!$G739:$M739,1,MATCH(P$7,Movements!$G$716:$M$716,0))))
*P1147*P$8,0)</f>
        <v>0</v>
      </c>
      <c r="Q502" s="198">
        <f>_xlfn.IFNA(IF(Q$7="Fixed",1,IF(AND($D97="yes",Q$7="Block"),INDEX($O739:$Q739,1,MATCH(Q$5,$I62:$K62,0)),INDEX(Movements!$G739:$M739,1,MATCH(Q$7,Movements!$G$716:$M$716,0))))
*Q1147*Q$8,0)</f>
        <v>0</v>
      </c>
      <c r="R502" s="198">
        <f>_xlfn.IFNA(IF(R$7="Fixed",1,IF(AND($D97="yes",R$7="Block"),INDEX($O739:$Q739,1,MATCH(R$5,$I62:$K62,0)),INDEX(Movements!$G739:$M739,1,MATCH(R$7,Movements!$G$716:$M$716,0))))
*R1147*R$8,0)</f>
        <v>0</v>
      </c>
      <c r="S502" s="198">
        <f>_xlfn.IFNA(IF(S$7="Fixed",1,IF(AND($D97="yes",S$7="Block"),INDEX($O739:$Q739,1,MATCH(S$5,$I62:$K62,0)),INDEX(Movements!$G739:$M739,1,MATCH(S$7,Movements!$G$716:$M$716,0))))
*S1147*S$8,0)</f>
        <v>0</v>
      </c>
      <c r="T502" s="198">
        <f>_xlfn.IFNA(IF(T$7="Fixed",1,IF(AND($D97="yes",T$7="Block"),INDEX($O739:$Q739,1,MATCH(T$5,$I62:$K62,0)),INDEX(Movements!$G739:$M739,1,MATCH(T$7,Movements!$G$716:$M$716,0))))
*T1147*T$8,0)</f>
        <v>0</v>
      </c>
      <c r="U502" s="198">
        <f>_xlfn.IFNA(IF(U$7="Fixed",1,IF(AND($D97="yes",U$7="Block"),INDEX($O739:$Q739,1,MATCH(U$5,$I62:$K62,0)),INDEX(Movements!$G739:$M739,1,MATCH(U$7,Movements!$G$716:$M$716,0))))
*U1147*U$8,0)</f>
        <v>0</v>
      </c>
      <c r="V502" s="198">
        <f>_xlfn.IFNA(IF(V$7="Fixed",1,IF(AND($D97="yes",V$7="Block"),INDEX($O739:$Q739,1,MATCH(V$5,$I62:$K62,0)),INDEX(Movements!$G739:$M739,1,MATCH(V$7,Movements!$G$716:$M$716,0))))
*V1147*V$8,0)</f>
        <v>0</v>
      </c>
      <c r="W502" s="198">
        <f>_xlfn.IFNA(IF(W$7="Fixed",1,IF(AND($D97="yes",W$7="Block"),INDEX($O739:$Q739,1,MATCH(W$5,$I62:$K62,0)),INDEX(Movements!$G739:$M739,1,MATCH(W$7,Movements!$G$716:$M$716,0))))
*W1147*W$8,0)</f>
        <v>0</v>
      </c>
      <c r="X502" s="198">
        <f>_xlfn.IFNA(IF(X$7="Fixed",1,IF(AND($D97="yes",X$7="Block"),INDEX($O739:$Q739,1,MATCH(X$5,$I62:$K62,0)),INDEX(Movements!$G739:$M739,1,MATCH(X$7,Movements!$G$716:$M$716,0))))
*X1147*X$8,0)</f>
        <v>0</v>
      </c>
      <c r="Y502" s="198">
        <f>_xlfn.IFNA(IF(Y$7="Fixed",1,IF(AND($D97="yes",Y$7="Block"),INDEX($O739:$Q739,1,MATCH(Y$5,$I62:$K62,0)),INDEX(Movements!$G739:$M739,1,MATCH(Y$7,Movements!$G$716:$M$716,0))))
*Y1147*Y$8,0)</f>
        <v>0</v>
      </c>
      <c r="Z502" s="198">
        <f>_xlfn.IFNA(IF(Z$7="Fixed",1,IF(AND($D97="yes",Z$7="Block"),INDEX($O739:$Q739,1,MATCH(Z$5,$I62:$K62,0)),INDEX(Movements!$G739:$M739,1,MATCH(Z$7,Movements!$G$716:$M$716,0))))
*Z1147*Z$8,0)</f>
        <v>0</v>
      </c>
      <c r="AA502" s="198">
        <f>_xlfn.IFNA(IF(AA$7="Fixed",1,IF(AND($D97="yes",AA$7="Block"),INDEX($O739:$Q739,1,MATCH(AA$5,$I62:$K62,0)),INDEX(Movements!$G739:$M739,1,MATCH(AA$7,Movements!$G$716:$M$716,0))))
*AA1147*AA$8,0)</f>
        <v>0</v>
      </c>
      <c r="AB502" s="198">
        <f>_xlfn.IFNA(IF(AB$7="Fixed",1,IF(AND($D97="yes",AB$7="Block"),INDEX($O739:$Q739,1,MATCH(AB$5,$I62:$K62,0)),INDEX(Movements!$G739:$M739,1,MATCH(AB$7,Movements!$G$716:$M$716,0))))
*AB1147*AB$8,0)</f>
        <v>0</v>
      </c>
      <c r="AC502" s="70"/>
      <c r="AD502" s="19"/>
      <c r="AE502" s="19"/>
      <c r="AF502" s="19"/>
      <c r="AG502" s="19"/>
    </row>
    <row r="503" spans="1:33" hidden="1" outlineLevel="3" x14ac:dyDescent="0.2">
      <c r="A503" s="19"/>
      <c r="B503" s="97">
        <v>22</v>
      </c>
      <c r="C503" s="506">
        <f>IF(C233=0,0,IF(currentyear=RCPminus1,INDEX(Tariffs!$H$46:$H$120,MATCH(Movements!C233,Tariffs!$C$46:$C$120,0)),C233))</f>
        <v>0</v>
      </c>
      <c r="D503" s="505">
        <f t="shared" si="123"/>
        <v>0</v>
      </c>
      <c r="E503" s="505">
        <f t="shared" si="123"/>
        <v>0</v>
      </c>
      <c r="F503" s="58"/>
      <c r="G503" s="199">
        <f t="shared" si="124"/>
        <v>0</v>
      </c>
      <c r="H503" s="58"/>
      <c r="I503" s="198">
        <f>_xlfn.IFNA(IF(I$7="Fixed",1,IF(AND($D98="yes",I$7="Block"),INDEX($O740:$Q740,1,MATCH(I$5,$I63:$K63,0)),INDEX(Movements!$G740:$M740,1,MATCH(I$7,Movements!$G$716:$M$716,0))))
*I1148*I$8,0)</f>
        <v>0</v>
      </c>
      <c r="J503" s="198">
        <f>_xlfn.IFNA(IF(J$7="Fixed",1,IF(AND($D98="yes",J$7="Block"),INDEX($O740:$Q740,1,MATCH(J$5,$I63:$K63,0)),INDEX(Movements!$G740:$M740,1,MATCH(J$7,Movements!$G$716:$M$716,0))))
*J1148*J$8,0)</f>
        <v>0</v>
      </c>
      <c r="K503" s="198">
        <f>_xlfn.IFNA(IF(K$7="Fixed",1,IF(AND($D98="yes",K$7="Block"),INDEX($O740:$Q740,1,MATCH(K$5,$I63:$K63,0)),INDEX(Movements!$G740:$M740,1,MATCH(K$7,Movements!$G$716:$M$716,0))))
*K1148*K$8,0)</f>
        <v>0</v>
      </c>
      <c r="L503" s="198">
        <f>_xlfn.IFNA(IF(L$7="Fixed",1,IF(AND($D98="yes",L$7="Block"),INDEX($O740:$Q740,1,MATCH(L$5,$I63:$K63,0)),INDEX(Movements!$G740:$M740,1,MATCH(L$7,Movements!$G$716:$M$716,0))))
*L1148*L$8,0)</f>
        <v>0</v>
      </c>
      <c r="M503" s="198">
        <f>_xlfn.IFNA(IF(M$7="Fixed",1,IF(AND($D98="yes",M$7="Block"),INDEX($O740:$Q740,1,MATCH(M$5,$I63:$K63,0)),INDEX(Movements!$G740:$M740,1,MATCH(M$7,Movements!$G$716:$M$716,0))))
*M1148*M$8,0)</f>
        <v>0</v>
      </c>
      <c r="N503" s="198">
        <f>_xlfn.IFNA(IF(N$7="Fixed",1,IF(AND($D98="yes",N$7="Block"),INDEX($O740:$Q740,1,MATCH(N$5,$I63:$K63,0)),INDEX(Movements!$G740:$M740,1,MATCH(N$7,Movements!$G$716:$M$716,0))))
*N1148*N$8,0)</f>
        <v>0</v>
      </c>
      <c r="O503" s="198">
        <f>_xlfn.IFNA(IF(O$7="Fixed",1,IF(AND($D98="yes",O$7="Block"),INDEX($O740:$Q740,1,MATCH(O$5,$I63:$K63,0)),INDEX(Movements!$G740:$M740,1,MATCH(O$7,Movements!$G$716:$M$716,0))))
*O1148*O$8,0)</f>
        <v>0</v>
      </c>
      <c r="P503" s="198">
        <f>_xlfn.IFNA(IF(P$7="Fixed",1,IF(AND($D98="yes",P$7="Block"),INDEX($O740:$Q740,1,MATCH(P$5,$I63:$K63,0)),INDEX(Movements!$G740:$M740,1,MATCH(P$7,Movements!$G$716:$M$716,0))))
*P1148*P$8,0)</f>
        <v>0</v>
      </c>
      <c r="Q503" s="198">
        <f>_xlfn.IFNA(IF(Q$7="Fixed",1,IF(AND($D98="yes",Q$7="Block"),INDEX($O740:$Q740,1,MATCH(Q$5,$I63:$K63,0)),INDEX(Movements!$G740:$M740,1,MATCH(Q$7,Movements!$G$716:$M$716,0))))
*Q1148*Q$8,0)</f>
        <v>0</v>
      </c>
      <c r="R503" s="198">
        <f>_xlfn.IFNA(IF(R$7="Fixed",1,IF(AND($D98="yes",R$7="Block"),INDEX($O740:$Q740,1,MATCH(R$5,$I63:$K63,0)),INDEX(Movements!$G740:$M740,1,MATCH(R$7,Movements!$G$716:$M$716,0))))
*R1148*R$8,0)</f>
        <v>0</v>
      </c>
      <c r="S503" s="198">
        <f>_xlfn.IFNA(IF(S$7="Fixed",1,IF(AND($D98="yes",S$7="Block"),INDEX($O740:$Q740,1,MATCH(S$5,$I63:$K63,0)),INDEX(Movements!$G740:$M740,1,MATCH(S$7,Movements!$G$716:$M$716,0))))
*S1148*S$8,0)</f>
        <v>0</v>
      </c>
      <c r="T503" s="198">
        <f>_xlfn.IFNA(IF(T$7="Fixed",1,IF(AND($D98="yes",T$7="Block"),INDEX($O740:$Q740,1,MATCH(T$5,$I63:$K63,0)),INDEX(Movements!$G740:$M740,1,MATCH(T$7,Movements!$G$716:$M$716,0))))
*T1148*T$8,0)</f>
        <v>0</v>
      </c>
      <c r="U503" s="198">
        <f>_xlfn.IFNA(IF(U$7="Fixed",1,IF(AND($D98="yes",U$7="Block"),INDEX($O740:$Q740,1,MATCH(U$5,$I63:$K63,0)),INDEX(Movements!$G740:$M740,1,MATCH(U$7,Movements!$G$716:$M$716,0))))
*U1148*U$8,0)</f>
        <v>0</v>
      </c>
      <c r="V503" s="198">
        <f>_xlfn.IFNA(IF(V$7="Fixed",1,IF(AND($D98="yes",V$7="Block"),INDEX($O740:$Q740,1,MATCH(V$5,$I63:$K63,0)),INDEX(Movements!$G740:$M740,1,MATCH(V$7,Movements!$G$716:$M$716,0))))
*V1148*V$8,0)</f>
        <v>0</v>
      </c>
      <c r="W503" s="198">
        <f>_xlfn.IFNA(IF(W$7="Fixed",1,IF(AND($D98="yes",W$7="Block"),INDEX($O740:$Q740,1,MATCH(W$5,$I63:$K63,0)),INDEX(Movements!$G740:$M740,1,MATCH(W$7,Movements!$G$716:$M$716,0))))
*W1148*W$8,0)</f>
        <v>0</v>
      </c>
      <c r="X503" s="198">
        <f>_xlfn.IFNA(IF(X$7="Fixed",1,IF(AND($D98="yes",X$7="Block"),INDEX($O740:$Q740,1,MATCH(X$5,$I63:$K63,0)),INDEX(Movements!$G740:$M740,1,MATCH(X$7,Movements!$G$716:$M$716,0))))
*X1148*X$8,0)</f>
        <v>0</v>
      </c>
      <c r="Y503" s="198">
        <f>_xlfn.IFNA(IF(Y$7="Fixed",1,IF(AND($D98="yes",Y$7="Block"),INDEX($O740:$Q740,1,MATCH(Y$5,$I63:$K63,0)),INDEX(Movements!$G740:$M740,1,MATCH(Y$7,Movements!$G$716:$M$716,0))))
*Y1148*Y$8,0)</f>
        <v>0</v>
      </c>
      <c r="Z503" s="198">
        <f>_xlfn.IFNA(IF(Z$7="Fixed",1,IF(AND($D98="yes",Z$7="Block"),INDEX($O740:$Q740,1,MATCH(Z$5,$I63:$K63,0)),INDEX(Movements!$G740:$M740,1,MATCH(Z$7,Movements!$G$716:$M$716,0))))
*Z1148*Z$8,0)</f>
        <v>0</v>
      </c>
      <c r="AA503" s="198">
        <f>_xlfn.IFNA(IF(AA$7="Fixed",1,IF(AND($D98="yes",AA$7="Block"),INDEX($O740:$Q740,1,MATCH(AA$5,$I63:$K63,0)),INDEX(Movements!$G740:$M740,1,MATCH(AA$7,Movements!$G$716:$M$716,0))))
*AA1148*AA$8,0)</f>
        <v>0</v>
      </c>
      <c r="AB503" s="198">
        <f>_xlfn.IFNA(IF(AB$7="Fixed",1,IF(AND($D98="yes",AB$7="Block"),INDEX($O740:$Q740,1,MATCH(AB$5,$I63:$K63,0)),INDEX(Movements!$G740:$M740,1,MATCH(AB$7,Movements!$G$716:$M$716,0))))
*AB1148*AB$8,0)</f>
        <v>0</v>
      </c>
      <c r="AC503" s="70"/>
      <c r="AD503" s="19"/>
      <c r="AE503" s="19"/>
      <c r="AF503" s="19"/>
      <c r="AG503" s="19"/>
    </row>
    <row r="504" spans="1:33" hidden="1" outlineLevel="3" x14ac:dyDescent="0.2">
      <c r="A504" s="19"/>
      <c r="B504" s="98">
        <v>23</v>
      </c>
      <c r="C504" s="506">
        <f>IF(C234=0,0,IF(currentyear=RCPminus1,INDEX(Tariffs!$H$46:$H$120,MATCH(Movements!C234,Tariffs!$C$46:$C$120,0)),C234))</f>
        <v>0</v>
      </c>
      <c r="D504" s="505">
        <f t="shared" si="123"/>
        <v>0</v>
      </c>
      <c r="E504" s="505">
        <f t="shared" si="123"/>
        <v>0</v>
      </c>
      <c r="F504" s="58"/>
      <c r="G504" s="199">
        <f t="shared" si="124"/>
        <v>0</v>
      </c>
      <c r="H504" s="58"/>
      <c r="I504" s="198">
        <f>_xlfn.IFNA(IF(I$7="Fixed",1,IF(AND($D99="yes",I$7="Block"),INDEX($O741:$Q741,1,MATCH(I$5,$I64:$K64,0)),INDEX(Movements!$G741:$M741,1,MATCH(I$7,Movements!$G$716:$M$716,0))))
*I1149*I$8,0)</f>
        <v>0</v>
      </c>
      <c r="J504" s="198">
        <f>_xlfn.IFNA(IF(J$7="Fixed",1,IF(AND($D99="yes",J$7="Block"),INDEX($O741:$Q741,1,MATCH(J$5,$I64:$K64,0)),INDEX(Movements!$G741:$M741,1,MATCH(J$7,Movements!$G$716:$M$716,0))))
*J1149*J$8,0)</f>
        <v>0</v>
      </c>
      <c r="K504" s="198">
        <f>_xlfn.IFNA(IF(K$7="Fixed",1,IF(AND($D99="yes",K$7="Block"),INDEX($O741:$Q741,1,MATCH(K$5,$I64:$K64,0)),INDEX(Movements!$G741:$M741,1,MATCH(K$7,Movements!$G$716:$M$716,0))))
*K1149*K$8,0)</f>
        <v>0</v>
      </c>
      <c r="L504" s="198">
        <f>_xlfn.IFNA(IF(L$7="Fixed",1,IF(AND($D99="yes",L$7="Block"),INDEX($O741:$Q741,1,MATCH(L$5,$I64:$K64,0)),INDEX(Movements!$G741:$M741,1,MATCH(L$7,Movements!$G$716:$M$716,0))))
*L1149*L$8,0)</f>
        <v>0</v>
      </c>
      <c r="M504" s="198">
        <f>_xlfn.IFNA(IF(M$7="Fixed",1,IF(AND($D99="yes",M$7="Block"),INDEX($O741:$Q741,1,MATCH(M$5,$I64:$K64,0)),INDEX(Movements!$G741:$M741,1,MATCH(M$7,Movements!$G$716:$M$716,0))))
*M1149*M$8,0)</f>
        <v>0</v>
      </c>
      <c r="N504" s="198">
        <f>_xlfn.IFNA(IF(N$7="Fixed",1,IF(AND($D99="yes",N$7="Block"),INDEX($O741:$Q741,1,MATCH(N$5,$I64:$K64,0)),INDEX(Movements!$G741:$M741,1,MATCH(N$7,Movements!$G$716:$M$716,0))))
*N1149*N$8,0)</f>
        <v>0</v>
      </c>
      <c r="O504" s="198">
        <f>_xlfn.IFNA(IF(O$7="Fixed",1,IF(AND($D99="yes",O$7="Block"),INDEX($O741:$Q741,1,MATCH(O$5,$I64:$K64,0)),INDEX(Movements!$G741:$M741,1,MATCH(O$7,Movements!$G$716:$M$716,0))))
*O1149*O$8,0)</f>
        <v>0</v>
      </c>
      <c r="P504" s="198">
        <f>_xlfn.IFNA(IF(P$7="Fixed",1,IF(AND($D99="yes",P$7="Block"),INDEX($O741:$Q741,1,MATCH(P$5,$I64:$K64,0)),INDEX(Movements!$G741:$M741,1,MATCH(P$7,Movements!$G$716:$M$716,0))))
*P1149*P$8,0)</f>
        <v>0</v>
      </c>
      <c r="Q504" s="198">
        <f>_xlfn.IFNA(IF(Q$7="Fixed",1,IF(AND($D99="yes",Q$7="Block"),INDEX($O741:$Q741,1,MATCH(Q$5,$I64:$K64,0)),INDEX(Movements!$G741:$M741,1,MATCH(Q$7,Movements!$G$716:$M$716,0))))
*Q1149*Q$8,0)</f>
        <v>0</v>
      </c>
      <c r="R504" s="198">
        <f>_xlfn.IFNA(IF(R$7="Fixed",1,IF(AND($D99="yes",R$7="Block"),INDEX($O741:$Q741,1,MATCH(R$5,$I64:$K64,0)),INDEX(Movements!$G741:$M741,1,MATCH(R$7,Movements!$G$716:$M$716,0))))
*R1149*R$8,0)</f>
        <v>0</v>
      </c>
      <c r="S504" s="198">
        <f>_xlfn.IFNA(IF(S$7="Fixed",1,IF(AND($D99="yes",S$7="Block"),INDEX($O741:$Q741,1,MATCH(S$5,$I64:$K64,0)),INDEX(Movements!$G741:$M741,1,MATCH(S$7,Movements!$G$716:$M$716,0))))
*S1149*S$8,0)</f>
        <v>0</v>
      </c>
      <c r="T504" s="198">
        <f>_xlfn.IFNA(IF(T$7="Fixed",1,IF(AND($D99="yes",T$7="Block"),INDEX($O741:$Q741,1,MATCH(T$5,$I64:$K64,0)),INDEX(Movements!$G741:$M741,1,MATCH(T$7,Movements!$G$716:$M$716,0))))
*T1149*T$8,0)</f>
        <v>0</v>
      </c>
      <c r="U504" s="198">
        <f>_xlfn.IFNA(IF(U$7="Fixed",1,IF(AND($D99="yes",U$7="Block"),INDEX($O741:$Q741,1,MATCH(U$5,$I64:$K64,0)),INDEX(Movements!$G741:$M741,1,MATCH(U$7,Movements!$G$716:$M$716,0))))
*U1149*U$8,0)</f>
        <v>0</v>
      </c>
      <c r="V504" s="198">
        <f>_xlfn.IFNA(IF(V$7="Fixed",1,IF(AND($D99="yes",V$7="Block"),INDEX($O741:$Q741,1,MATCH(V$5,$I64:$K64,0)),INDEX(Movements!$G741:$M741,1,MATCH(V$7,Movements!$G$716:$M$716,0))))
*V1149*V$8,0)</f>
        <v>0</v>
      </c>
      <c r="W504" s="198">
        <f>_xlfn.IFNA(IF(W$7="Fixed",1,IF(AND($D99="yes",W$7="Block"),INDEX($O741:$Q741,1,MATCH(W$5,$I64:$K64,0)),INDEX(Movements!$G741:$M741,1,MATCH(W$7,Movements!$G$716:$M$716,0))))
*W1149*W$8,0)</f>
        <v>0</v>
      </c>
      <c r="X504" s="198">
        <f>_xlfn.IFNA(IF(X$7="Fixed",1,IF(AND($D99="yes",X$7="Block"),INDEX($O741:$Q741,1,MATCH(X$5,$I64:$K64,0)),INDEX(Movements!$G741:$M741,1,MATCH(X$7,Movements!$G$716:$M$716,0))))
*X1149*X$8,0)</f>
        <v>0</v>
      </c>
      <c r="Y504" s="198">
        <f>_xlfn.IFNA(IF(Y$7="Fixed",1,IF(AND($D99="yes",Y$7="Block"),INDEX($O741:$Q741,1,MATCH(Y$5,$I64:$K64,0)),INDEX(Movements!$G741:$M741,1,MATCH(Y$7,Movements!$G$716:$M$716,0))))
*Y1149*Y$8,0)</f>
        <v>0</v>
      </c>
      <c r="Z504" s="198">
        <f>_xlfn.IFNA(IF(Z$7="Fixed",1,IF(AND($D99="yes",Z$7="Block"),INDEX($O741:$Q741,1,MATCH(Z$5,$I64:$K64,0)),INDEX(Movements!$G741:$M741,1,MATCH(Z$7,Movements!$G$716:$M$716,0))))
*Z1149*Z$8,0)</f>
        <v>0</v>
      </c>
      <c r="AA504" s="198">
        <f>_xlfn.IFNA(IF(AA$7="Fixed",1,IF(AND($D99="yes",AA$7="Block"),INDEX($O741:$Q741,1,MATCH(AA$5,$I64:$K64,0)),INDEX(Movements!$G741:$M741,1,MATCH(AA$7,Movements!$G$716:$M$716,0))))
*AA1149*AA$8,0)</f>
        <v>0</v>
      </c>
      <c r="AB504" s="198">
        <f>_xlfn.IFNA(IF(AB$7="Fixed",1,IF(AND($D99="yes",AB$7="Block"),INDEX($O741:$Q741,1,MATCH(AB$5,$I64:$K64,0)),INDEX(Movements!$G741:$M741,1,MATCH(AB$7,Movements!$G$716:$M$716,0))))
*AB1149*AB$8,0)</f>
        <v>0</v>
      </c>
      <c r="AC504" s="70"/>
      <c r="AD504" s="19"/>
      <c r="AE504" s="19"/>
      <c r="AF504" s="19"/>
      <c r="AG504" s="19"/>
    </row>
    <row r="505" spans="1:33" hidden="1" outlineLevel="3" x14ac:dyDescent="0.2">
      <c r="A505" s="19"/>
      <c r="B505" s="97">
        <v>24</v>
      </c>
      <c r="C505" s="506">
        <f>IF(C235=0,0,IF(currentyear=RCPminus1,INDEX(Tariffs!$H$46:$H$120,MATCH(Movements!C235,Tariffs!$C$46:$C$120,0)),C235))</f>
        <v>0</v>
      </c>
      <c r="D505" s="505">
        <f t="shared" si="123"/>
        <v>0</v>
      </c>
      <c r="E505" s="505">
        <f t="shared" si="123"/>
        <v>0</v>
      </c>
      <c r="F505" s="58"/>
      <c r="G505" s="199">
        <f t="shared" si="124"/>
        <v>0</v>
      </c>
      <c r="H505" s="58"/>
      <c r="I505" s="198">
        <f>_xlfn.IFNA(IF(I$7="Fixed",1,IF(AND($D100="yes",I$7="Block"),INDEX($O742:$Q742,1,MATCH(I$5,$I65:$K65,0)),INDEX(Movements!$G742:$M742,1,MATCH(I$7,Movements!$G$716:$M$716,0))))
*I1150*I$8,0)</f>
        <v>0</v>
      </c>
      <c r="J505" s="198">
        <f>_xlfn.IFNA(IF(J$7="Fixed",1,IF(AND($D100="yes",J$7="Block"),INDEX($O742:$Q742,1,MATCH(J$5,$I65:$K65,0)),INDEX(Movements!$G742:$M742,1,MATCH(J$7,Movements!$G$716:$M$716,0))))
*J1150*J$8,0)</f>
        <v>0</v>
      </c>
      <c r="K505" s="198">
        <f>_xlfn.IFNA(IF(K$7="Fixed",1,IF(AND($D100="yes",K$7="Block"),INDEX($O742:$Q742,1,MATCH(K$5,$I65:$K65,0)),INDEX(Movements!$G742:$M742,1,MATCH(K$7,Movements!$G$716:$M$716,0))))
*K1150*K$8,0)</f>
        <v>0</v>
      </c>
      <c r="L505" s="198">
        <f>_xlfn.IFNA(IF(L$7="Fixed",1,IF(AND($D100="yes",L$7="Block"),INDEX($O742:$Q742,1,MATCH(L$5,$I65:$K65,0)),INDEX(Movements!$G742:$M742,1,MATCH(L$7,Movements!$G$716:$M$716,0))))
*L1150*L$8,0)</f>
        <v>0</v>
      </c>
      <c r="M505" s="198">
        <f>_xlfn.IFNA(IF(M$7="Fixed",1,IF(AND($D100="yes",M$7="Block"),INDEX($O742:$Q742,1,MATCH(M$5,$I65:$K65,0)),INDEX(Movements!$G742:$M742,1,MATCH(M$7,Movements!$G$716:$M$716,0))))
*M1150*M$8,0)</f>
        <v>0</v>
      </c>
      <c r="N505" s="198">
        <f>_xlfn.IFNA(IF(N$7="Fixed",1,IF(AND($D100="yes",N$7="Block"),INDEX($O742:$Q742,1,MATCH(N$5,$I65:$K65,0)),INDEX(Movements!$G742:$M742,1,MATCH(N$7,Movements!$G$716:$M$716,0))))
*N1150*N$8,0)</f>
        <v>0</v>
      </c>
      <c r="O505" s="198">
        <f>_xlfn.IFNA(IF(O$7="Fixed",1,IF(AND($D100="yes",O$7="Block"),INDEX($O742:$Q742,1,MATCH(O$5,$I65:$K65,0)),INDEX(Movements!$G742:$M742,1,MATCH(O$7,Movements!$G$716:$M$716,0))))
*O1150*O$8,0)</f>
        <v>0</v>
      </c>
      <c r="P505" s="198">
        <f>_xlfn.IFNA(IF(P$7="Fixed",1,IF(AND($D100="yes",P$7="Block"),INDEX($O742:$Q742,1,MATCH(P$5,$I65:$K65,0)),INDEX(Movements!$G742:$M742,1,MATCH(P$7,Movements!$G$716:$M$716,0))))
*P1150*P$8,0)</f>
        <v>0</v>
      </c>
      <c r="Q505" s="198">
        <f>_xlfn.IFNA(IF(Q$7="Fixed",1,IF(AND($D100="yes",Q$7="Block"),INDEX($O742:$Q742,1,MATCH(Q$5,$I65:$K65,0)),INDEX(Movements!$G742:$M742,1,MATCH(Q$7,Movements!$G$716:$M$716,0))))
*Q1150*Q$8,0)</f>
        <v>0</v>
      </c>
      <c r="R505" s="198">
        <f>_xlfn.IFNA(IF(R$7="Fixed",1,IF(AND($D100="yes",R$7="Block"),INDEX($O742:$Q742,1,MATCH(R$5,$I65:$K65,0)),INDEX(Movements!$G742:$M742,1,MATCH(R$7,Movements!$G$716:$M$716,0))))
*R1150*R$8,0)</f>
        <v>0</v>
      </c>
      <c r="S505" s="198">
        <f>_xlfn.IFNA(IF(S$7="Fixed",1,IF(AND($D100="yes",S$7="Block"),INDEX($O742:$Q742,1,MATCH(S$5,$I65:$K65,0)),INDEX(Movements!$G742:$M742,1,MATCH(S$7,Movements!$G$716:$M$716,0))))
*S1150*S$8,0)</f>
        <v>0</v>
      </c>
      <c r="T505" s="198">
        <f>_xlfn.IFNA(IF(T$7="Fixed",1,IF(AND($D100="yes",T$7="Block"),INDEX($O742:$Q742,1,MATCH(T$5,$I65:$K65,0)),INDEX(Movements!$G742:$M742,1,MATCH(T$7,Movements!$G$716:$M$716,0))))
*T1150*T$8,0)</f>
        <v>0</v>
      </c>
      <c r="U505" s="198">
        <f>_xlfn.IFNA(IF(U$7="Fixed",1,IF(AND($D100="yes",U$7="Block"),INDEX($O742:$Q742,1,MATCH(U$5,$I65:$K65,0)),INDEX(Movements!$G742:$M742,1,MATCH(U$7,Movements!$G$716:$M$716,0))))
*U1150*U$8,0)</f>
        <v>0</v>
      </c>
      <c r="V505" s="198">
        <f>_xlfn.IFNA(IF(V$7="Fixed",1,IF(AND($D100="yes",V$7="Block"),INDEX($O742:$Q742,1,MATCH(V$5,$I65:$K65,0)),INDEX(Movements!$G742:$M742,1,MATCH(V$7,Movements!$G$716:$M$716,0))))
*V1150*V$8,0)</f>
        <v>0</v>
      </c>
      <c r="W505" s="198">
        <f>_xlfn.IFNA(IF(W$7="Fixed",1,IF(AND($D100="yes",W$7="Block"),INDEX($O742:$Q742,1,MATCH(W$5,$I65:$K65,0)),INDEX(Movements!$G742:$M742,1,MATCH(W$7,Movements!$G$716:$M$716,0))))
*W1150*W$8,0)</f>
        <v>0</v>
      </c>
      <c r="X505" s="198">
        <f>_xlfn.IFNA(IF(X$7="Fixed",1,IF(AND($D100="yes",X$7="Block"),INDEX($O742:$Q742,1,MATCH(X$5,$I65:$K65,0)),INDEX(Movements!$G742:$M742,1,MATCH(X$7,Movements!$G$716:$M$716,0))))
*X1150*X$8,0)</f>
        <v>0</v>
      </c>
      <c r="Y505" s="198">
        <f>_xlfn.IFNA(IF(Y$7="Fixed",1,IF(AND($D100="yes",Y$7="Block"),INDEX($O742:$Q742,1,MATCH(Y$5,$I65:$K65,0)),INDEX(Movements!$G742:$M742,1,MATCH(Y$7,Movements!$G$716:$M$716,0))))
*Y1150*Y$8,0)</f>
        <v>0</v>
      </c>
      <c r="Z505" s="198">
        <f>_xlfn.IFNA(IF(Z$7="Fixed",1,IF(AND($D100="yes",Z$7="Block"),INDEX($O742:$Q742,1,MATCH(Z$5,$I65:$K65,0)),INDEX(Movements!$G742:$M742,1,MATCH(Z$7,Movements!$G$716:$M$716,0))))
*Z1150*Z$8,0)</f>
        <v>0</v>
      </c>
      <c r="AA505" s="198">
        <f>_xlfn.IFNA(IF(AA$7="Fixed",1,IF(AND($D100="yes",AA$7="Block"),INDEX($O742:$Q742,1,MATCH(AA$5,$I65:$K65,0)),INDEX(Movements!$G742:$M742,1,MATCH(AA$7,Movements!$G$716:$M$716,0))))
*AA1150*AA$8,0)</f>
        <v>0</v>
      </c>
      <c r="AB505" s="198">
        <f>_xlfn.IFNA(IF(AB$7="Fixed",1,IF(AND($D100="yes",AB$7="Block"),INDEX($O742:$Q742,1,MATCH(AB$5,$I65:$K65,0)),INDEX(Movements!$G742:$M742,1,MATCH(AB$7,Movements!$G$716:$M$716,0))))
*AB1150*AB$8,0)</f>
        <v>0</v>
      </c>
      <c r="AC505" s="70"/>
      <c r="AD505" s="19"/>
      <c r="AE505" s="19"/>
      <c r="AF505" s="19"/>
      <c r="AG505" s="19"/>
    </row>
    <row r="506" spans="1:33" hidden="1" outlineLevel="3" x14ac:dyDescent="0.2">
      <c r="A506" s="19"/>
      <c r="B506" s="97">
        <v>25</v>
      </c>
      <c r="C506" s="506">
        <f>IF(C236=0,0,IF(currentyear=RCPminus1,INDEX(Tariffs!$H$46:$H$120,MATCH(Movements!C236,Tariffs!$C$46:$C$120,0)),C236))</f>
        <v>0</v>
      </c>
      <c r="D506" s="505">
        <f t="shared" si="123"/>
        <v>0</v>
      </c>
      <c r="E506" s="505">
        <f t="shared" si="123"/>
        <v>0</v>
      </c>
      <c r="F506" s="58"/>
      <c r="G506" s="199">
        <f t="shared" si="124"/>
        <v>0</v>
      </c>
      <c r="H506" s="58"/>
      <c r="I506" s="198">
        <f>_xlfn.IFNA(IF(I$7="Fixed",1,IF(AND($D101="yes",I$7="Block"),INDEX($O743:$Q743,1,MATCH(I$5,$I66:$K66,0)),INDEX(Movements!$G743:$M743,1,MATCH(I$7,Movements!$G$716:$M$716,0))))
*I1151*I$8,0)</f>
        <v>0</v>
      </c>
      <c r="J506" s="198">
        <f>_xlfn.IFNA(IF(J$7="Fixed",1,IF(AND($D101="yes",J$7="Block"),INDEX($O743:$Q743,1,MATCH(J$5,$I66:$K66,0)),INDEX(Movements!$G743:$M743,1,MATCH(J$7,Movements!$G$716:$M$716,0))))
*J1151*J$8,0)</f>
        <v>0</v>
      </c>
      <c r="K506" s="198">
        <f>_xlfn.IFNA(IF(K$7="Fixed",1,IF(AND($D101="yes",K$7="Block"),INDEX($O743:$Q743,1,MATCH(K$5,$I66:$K66,0)),INDEX(Movements!$G743:$M743,1,MATCH(K$7,Movements!$G$716:$M$716,0))))
*K1151*K$8,0)</f>
        <v>0</v>
      </c>
      <c r="L506" s="198">
        <f>_xlfn.IFNA(IF(L$7="Fixed",1,IF(AND($D101="yes",L$7="Block"),INDEX($O743:$Q743,1,MATCH(L$5,$I66:$K66,0)),INDEX(Movements!$G743:$M743,1,MATCH(L$7,Movements!$G$716:$M$716,0))))
*L1151*L$8,0)</f>
        <v>0</v>
      </c>
      <c r="M506" s="198">
        <f>_xlfn.IFNA(IF(M$7="Fixed",1,IF(AND($D101="yes",M$7="Block"),INDEX($O743:$Q743,1,MATCH(M$5,$I66:$K66,0)),INDEX(Movements!$G743:$M743,1,MATCH(M$7,Movements!$G$716:$M$716,0))))
*M1151*M$8,0)</f>
        <v>0</v>
      </c>
      <c r="N506" s="198">
        <f>_xlfn.IFNA(IF(N$7="Fixed",1,IF(AND($D101="yes",N$7="Block"),INDEX($O743:$Q743,1,MATCH(N$5,$I66:$K66,0)),INDEX(Movements!$G743:$M743,1,MATCH(N$7,Movements!$G$716:$M$716,0))))
*N1151*N$8,0)</f>
        <v>0</v>
      </c>
      <c r="O506" s="198">
        <f>_xlfn.IFNA(IF(O$7="Fixed",1,IF(AND($D101="yes",O$7="Block"),INDEX($O743:$Q743,1,MATCH(O$5,$I66:$K66,0)),INDEX(Movements!$G743:$M743,1,MATCH(O$7,Movements!$G$716:$M$716,0))))
*O1151*O$8,0)</f>
        <v>0</v>
      </c>
      <c r="P506" s="198">
        <f>_xlfn.IFNA(IF(P$7="Fixed",1,IF(AND($D101="yes",P$7="Block"),INDEX($O743:$Q743,1,MATCH(P$5,$I66:$K66,0)),INDEX(Movements!$G743:$M743,1,MATCH(P$7,Movements!$G$716:$M$716,0))))
*P1151*P$8,0)</f>
        <v>0</v>
      </c>
      <c r="Q506" s="198">
        <f>_xlfn.IFNA(IF(Q$7="Fixed",1,IF(AND($D101="yes",Q$7="Block"),INDEX($O743:$Q743,1,MATCH(Q$5,$I66:$K66,0)),INDEX(Movements!$G743:$M743,1,MATCH(Q$7,Movements!$G$716:$M$716,0))))
*Q1151*Q$8,0)</f>
        <v>0</v>
      </c>
      <c r="R506" s="198">
        <f>_xlfn.IFNA(IF(R$7="Fixed",1,IF(AND($D101="yes",R$7="Block"),INDEX($O743:$Q743,1,MATCH(R$5,$I66:$K66,0)),INDEX(Movements!$G743:$M743,1,MATCH(R$7,Movements!$G$716:$M$716,0))))
*R1151*R$8,0)</f>
        <v>0</v>
      </c>
      <c r="S506" s="198">
        <f>_xlfn.IFNA(IF(S$7="Fixed",1,IF(AND($D101="yes",S$7="Block"),INDEX($O743:$Q743,1,MATCH(S$5,$I66:$K66,0)),INDEX(Movements!$G743:$M743,1,MATCH(S$7,Movements!$G$716:$M$716,0))))
*S1151*S$8,0)</f>
        <v>0</v>
      </c>
      <c r="T506" s="198">
        <f>_xlfn.IFNA(IF(T$7="Fixed",1,IF(AND($D101="yes",T$7="Block"),INDEX($O743:$Q743,1,MATCH(T$5,$I66:$K66,0)),INDEX(Movements!$G743:$M743,1,MATCH(T$7,Movements!$G$716:$M$716,0))))
*T1151*T$8,0)</f>
        <v>0</v>
      </c>
      <c r="U506" s="198">
        <f>_xlfn.IFNA(IF(U$7="Fixed",1,IF(AND($D101="yes",U$7="Block"),INDEX($O743:$Q743,1,MATCH(U$5,$I66:$K66,0)),INDEX(Movements!$G743:$M743,1,MATCH(U$7,Movements!$G$716:$M$716,0))))
*U1151*U$8,0)</f>
        <v>0</v>
      </c>
      <c r="V506" s="198">
        <f>_xlfn.IFNA(IF(V$7="Fixed",1,IF(AND($D101="yes",V$7="Block"),INDEX($O743:$Q743,1,MATCH(V$5,$I66:$K66,0)),INDEX(Movements!$G743:$M743,1,MATCH(V$7,Movements!$G$716:$M$716,0))))
*V1151*V$8,0)</f>
        <v>0</v>
      </c>
      <c r="W506" s="198">
        <f>_xlfn.IFNA(IF(W$7="Fixed",1,IF(AND($D101="yes",W$7="Block"),INDEX($O743:$Q743,1,MATCH(W$5,$I66:$K66,0)),INDEX(Movements!$G743:$M743,1,MATCH(W$7,Movements!$G$716:$M$716,0))))
*W1151*W$8,0)</f>
        <v>0</v>
      </c>
      <c r="X506" s="198">
        <f>_xlfn.IFNA(IF(X$7="Fixed",1,IF(AND($D101="yes",X$7="Block"),INDEX($O743:$Q743,1,MATCH(X$5,$I66:$K66,0)),INDEX(Movements!$G743:$M743,1,MATCH(X$7,Movements!$G$716:$M$716,0))))
*X1151*X$8,0)</f>
        <v>0</v>
      </c>
      <c r="Y506" s="198">
        <f>_xlfn.IFNA(IF(Y$7="Fixed",1,IF(AND($D101="yes",Y$7="Block"),INDEX($O743:$Q743,1,MATCH(Y$5,$I66:$K66,0)),INDEX(Movements!$G743:$M743,1,MATCH(Y$7,Movements!$G$716:$M$716,0))))
*Y1151*Y$8,0)</f>
        <v>0</v>
      </c>
      <c r="Z506" s="198">
        <f>_xlfn.IFNA(IF(Z$7="Fixed",1,IF(AND($D101="yes",Z$7="Block"),INDEX($O743:$Q743,1,MATCH(Z$5,$I66:$K66,0)),INDEX(Movements!$G743:$M743,1,MATCH(Z$7,Movements!$G$716:$M$716,0))))
*Z1151*Z$8,0)</f>
        <v>0</v>
      </c>
      <c r="AA506" s="198">
        <f>_xlfn.IFNA(IF(AA$7="Fixed",1,IF(AND($D101="yes",AA$7="Block"),INDEX($O743:$Q743,1,MATCH(AA$5,$I66:$K66,0)),INDEX(Movements!$G743:$M743,1,MATCH(AA$7,Movements!$G$716:$M$716,0))))
*AA1151*AA$8,0)</f>
        <v>0</v>
      </c>
      <c r="AB506" s="198">
        <f>_xlfn.IFNA(IF(AB$7="Fixed",1,IF(AND($D101="yes",AB$7="Block"),INDEX($O743:$Q743,1,MATCH(AB$5,$I66:$K66,0)),INDEX(Movements!$G743:$M743,1,MATCH(AB$7,Movements!$G$716:$M$716,0))))
*AB1151*AB$8,0)</f>
        <v>0</v>
      </c>
      <c r="AC506" s="70"/>
      <c r="AD506" s="19"/>
      <c r="AE506" s="19"/>
      <c r="AF506" s="19"/>
      <c r="AG506" s="19"/>
    </row>
    <row r="507" spans="1:33" hidden="1" outlineLevel="3" x14ac:dyDescent="0.2">
      <c r="A507" s="19"/>
      <c r="B507" s="97">
        <v>26</v>
      </c>
      <c r="C507" s="506">
        <f>IF(C237=0,0,IF(currentyear=RCPminus1,INDEX(Tariffs!$H$46:$H$120,MATCH(Movements!C237,Tariffs!$C$46:$C$120,0)),C237))</f>
        <v>0</v>
      </c>
      <c r="D507" s="505">
        <f t="shared" si="123"/>
        <v>0</v>
      </c>
      <c r="E507" s="505">
        <f t="shared" si="123"/>
        <v>0</v>
      </c>
      <c r="F507" s="58"/>
      <c r="G507" s="199">
        <f t="shared" si="124"/>
        <v>0</v>
      </c>
      <c r="H507" s="58"/>
      <c r="I507" s="198">
        <f>_xlfn.IFNA(IF(I$7="Fixed",1,IF(AND($D102="yes",I$7="Block"),INDEX($O744:$Q744,1,MATCH(I$5,$I67:$K67,0)),INDEX(Movements!$G744:$M744,1,MATCH(I$7,Movements!$G$716:$M$716,0))))
*I1152*I$8,0)</f>
        <v>0</v>
      </c>
      <c r="J507" s="198">
        <f>_xlfn.IFNA(IF(J$7="Fixed",1,IF(AND($D102="yes",J$7="Block"),INDEX($O744:$Q744,1,MATCH(J$5,$I67:$K67,0)),INDEX(Movements!$G744:$M744,1,MATCH(J$7,Movements!$G$716:$M$716,0))))
*J1152*J$8,0)</f>
        <v>0</v>
      </c>
      <c r="K507" s="198">
        <f>_xlfn.IFNA(IF(K$7="Fixed",1,IF(AND($D102="yes",K$7="Block"),INDEX($O744:$Q744,1,MATCH(K$5,$I67:$K67,0)),INDEX(Movements!$G744:$M744,1,MATCH(K$7,Movements!$G$716:$M$716,0))))
*K1152*K$8,0)</f>
        <v>0</v>
      </c>
      <c r="L507" s="198">
        <f>_xlfn.IFNA(IF(L$7="Fixed",1,IF(AND($D102="yes",L$7="Block"),INDEX($O744:$Q744,1,MATCH(L$5,$I67:$K67,0)),INDEX(Movements!$G744:$M744,1,MATCH(L$7,Movements!$G$716:$M$716,0))))
*L1152*L$8,0)</f>
        <v>0</v>
      </c>
      <c r="M507" s="198">
        <f>_xlfn.IFNA(IF(M$7="Fixed",1,IF(AND($D102="yes",M$7="Block"),INDEX($O744:$Q744,1,MATCH(M$5,$I67:$K67,0)),INDEX(Movements!$G744:$M744,1,MATCH(M$7,Movements!$G$716:$M$716,0))))
*M1152*M$8,0)</f>
        <v>0</v>
      </c>
      <c r="N507" s="198">
        <f>_xlfn.IFNA(IF(N$7="Fixed",1,IF(AND($D102="yes",N$7="Block"),INDEX($O744:$Q744,1,MATCH(N$5,$I67:$K67,0)),INDEX(Movements!$G744:$M744,1,MATCH(N$7,Movements!$G$716:$M$716,0))))
*N1152*N$8,0)</f>
        <v>0</v>
      </c>
      <c r="O507" s="198">
        <f>_xlfn.IFNA(IF(O$7="Fixed",1,IF(AND($D102="yes",O$7="Block"),INDEX($O744:$Q744,1,MATCH(O$5,$I67:$K67,0)),INDEX(Movements!$G744:$M744,1,MATCH(O$7,Movements!$G$716:$M$716,0))))
*O1152*O$8,0)</f>
        <v>0</v>
      </c>
      <c r="P507" s="198">
        <f>_xlfn.IFNA(IF(P$7="Fixed",1,IF(AND($D102="yes",P$7="Block"),INDEX($O744:$Q744,1,MATCH(P$5,$I67:$K67,0)),INDEX(Movements!$G744:$M744,1,MATCH(P$7,Movements!$G$716:$M$716,0))))
*P1152*P$8,0)</f>
        <v>0</v>
      </c>
      <c r="Q507" s="198">
        <f>_xlfn.IFNA(IF(Q$7="Fixed",1,IF(AND($D102="yes",Q$7="Block"),INDEX($O744:$Q744,1,MATCH(Q$5,$I67:$K67,0)),INDEX(Movements!$G744:$M744,1,MATCH(Q$7,Movements!$G$716:$M$716,0))))
*Q1152*Q$8,0)</f>
        <v>0</v>
      </c>
      <c r="R507" s="198">
        <f>_xlfn.IFNA(IF(R$7="Fixed",1,IF(AND($D102="yes",R$7="Block"),INDEX($O744:$Q744,1,MATCH(R$5,$I67:$K67,0)),INDEX(Movements!$G744:$M744,1,MATCH(R$7,Movements!$G$716:$M$716,0))))
*R1152*R$8,0)</f>
        <v>0</v>
      </c>
      <c r="S507" s="198">
        <f>_xlfn.IFNA(IF(S$7="Fixed",1,IF(AND($D102="yes",S$7="Block"),INDEX($O744:$Q744,1,MATCH(S$5,$I67:$K67,0)),INDEX(Movements!$G744:$M744,1,MATCH(S$7,Movements!$G$716:$M$716,0))))
*S1152*S$8,0)</f>
        <v>0</v>
      </c>
      <c r="T507" s="198">
        <f>_xlfn.IFNA(IF(T$7="Fixed",1,IF(AND($D102="yes",T$7="Block"),INDEX($O744:$Q744,1,MATCH(T$5,$I67:$K67,0)),INDEX(Movements!$G744:$M744,1,MATCH(T$7,Movements!$G$716:$M$716,0))))
*T1152*T$8,0)</f>
        <v>0</v>
      </c>
      <c r="U507" s="198">
        <f>_xlfn.IFNA(IF(U$7="Fixed",1,IF(AND($D102="yes",U$7="Block"),INDEX($O744:$Q744,1,MATCH(U$5,$I67:$K67,0)),INDEX(Movements!$G744:$M744,1,MATCH(U$7,Movements!$G$716:$M$716,0))))
*U1152*U$8,0)</f>
        <v>0</v>
      </c>
      <c r="V507" s="198">
        <f>_xlfn.IFNA(IF(V$7="Fixed",1,IF(AND($D102="yes",V$7="Block"),INDEX($O744:$Q744,1,MATCH(V$5,$I67:$K67,0)),INDEX(Movements!$G744:$M744,1,MATCH(V$7,Movements!$G$716:$M$716,0))))
*V1152*V$8,0)</f>
        <v>0</v>
      </c>
      <c r="W507" s="198">
        <f>_xlfn.IFNA(IF(W$7="Fixed",1,IF(AND($D102="yes",W$7="Block"),INDEX($O744:$Q744,1,MATCH(W$5,$I67:$K67,0)),INDEX(Movements!$G744:$M744,1,MATCH(W$7,Movements!$G$716:$M$716,0))))
*W1152*W$8,0)</f>
        <v>0</v>
      </c>
      <c r="X507" s="198">
        <f>_xlfn.IFNA(IF(X$7="Fixed",1,IF(AND($D102="yes",X$7="Block"),INDEX($O744:$Q744,1,MATCH(X$5,$I67:$K67,0)),INDEX(Movements!$G744:$M744,1,MATCH(X$7,Movements!$G$716:$M$716,0))))
*X1152*X$8,0)</f>
        <v>0</v>
      </c>
      <c r="Y507" s="198">
        <f>_xlfn.IFNA(IF(Y$7="Fixed",1,IF(AND($D102="yes",Y$7="Block"),INDEX($O744:$Q744,1,MATCH(Y$5,$I67:$K67,0)),INDEX(Movements!$G744:$M744,1,MATCH(Y$7,Movements!$G$716:$M$716,0))))
*Y1152*Y$8,0)</f>
        <v>0</v>
      </c>
      <c r="Z507" s="198">
        <f>_xlfn.IFNA(IF(Z$7="Fixed",1,IF(AND($D102="yes",Z$7="Block"),INDEX($O744:$Q744,1,MATCH(Z$5,$I67:$K67,0)),INDEX(Movements!$G744:$M744,1,MATCH(Z$7,Movements!$G$716:$M$716,0))))
*Z1152*Z$8,0)</f>
        <v>0</v>
      </c>
      <c r="AA507" s="198">
        <f>_xlfn.IFNA(IF(AA$7="Fixed",1,IF(AND($D102="yes",AA$7="Block"),INDEX($O744:$Q744,1,MATCH(AA$5,$I67:$K67,0)),INDEX(Movements!$G744:$M744,1,MATCH(AA$7,Movements!$G$716:$M$716,0))))
*AA1152*AA$8,0)</f>
        <v>0</v>
      </c>
      <c r="AB507" s="198">
        <f>_xlfn.IFNA(IF(AB$7="Fixed",1,IF(AND($D102="yes",AB$7="Block"),INDEX($O744:$Q744,1,MATCH(AB$5,$I67:$K67,0)),INDEX(Movements!$G744:$M744,1,MATCH(AB$7,Movements!$G$716:$M$716,0))))
*AB1152*AB$8,0)</f>
        <v>0</v>
      </c>
      <c r="AC507" s="70"/>
      <c r="AD507" s="19"/>
      <c r="AE507" s="19"/>
      <c r="AF507" s="19"/>
      <c r="AG507" s="19"/>
    </row>
    <row r="508" spans="1:33" hidden="1" outlineLevel="3" x14ac:dyDescent="0.2">
      <c r="A508" s="19"/>
      <c r="B508" s="97">
        <v>27</v>
      </c>
      <c r="C508" s="506">
        <f>IF(C238=0,0,IF(currentyear=RCPminus1,INDEX(Tariffs!$H$46:$H$120,MATCH(Movements!C238,Tariffs!$C$46:$C$120,0)),C238))</f>
        <v>0</v>
      </c>
      <c r="D508" s="505">
        <f t="shared" si="123"/>
        <v>0</v>
      </c>
      <c r="E508" s="505">
        <f t="shared" si="123"/>
        <v>0</v>
      </c>
      <c r="F508" s="58"/>
      <c r="G508" s="199">
        <f t="shared" si="124"/>
        <v>0</v>
      </c>
      <c r="H508" s="58"/>
      <c r="I508" s="198">
        <f>_xlfn.IFNA(IF(I$7="Fixed",1,IF(AND($D103="yes",I$7="Block"),INDEX($O745:$Q745,1,MATCH(I$5,$I68:$K68,0)),INDEX(Movements!$G745:$M745,1,MATCH(I$7,Movements!$G$716:$M$716,0))))
*I1153*I$8,0)</f>
        <v>0</v>
      </c>
      <c r="J508" s="198">
        <f>_xlfn.IFNA(IF(J$7="Fixed",1,IF(AND($D103="yes",J$7="Block"),INDEX($O745:$Q745,1,MATCH(J$5,$I68:$K68,0)),INDEX(Movements!$G745:$M745,1,MATCH(J$7,Movements!$G$716:$M$716,0))))
*J1153*J$8,0)</f>
        <v>0</v>
      </c>
      <c r="K508" s="198">
        <f>_xlfn.IFNA(IF(K$7="Fixed",1,IF(AND($D103="yes",K$7="Block"),INDEX($O745:$Q745,1,MATCH(K$5,$I68:$K68,0)),INDEX(Movements!$G745:$M745,1,MATCH(K$7,Movements!$G$716:$M$716,0))))
*K1153*K$8,0)</f>
        <v>0</v>
      </c>
      <c r="L508" s="198">
        <f>_xlfn.IFNA(IF(L$7="Fixed",1,IF(AND($D103="yes",L$7="Block"),INDEX($O745:$Q745,1,MATCH(L$5,$I68:$K68,0)),INDEX(Movements!$G745:$M745,1,MATCH(L$7,Movements!$G$716:$M$716,0))))
*L1153*L$8,0)</f>
        <v>0</v>
      </c>
      <c r="M508" s="198">
        <f>_xlfn.IFNA(IF(M$7="Fixed",1,IF(AND($D103="yes",M$7="Block"),INDEX($O745:$Q745,1,MATCH(M$5,$I68:$K68,0)),INDEX(Movements!$G745:$M745,1,MATCH(M$7,Movements!$G$716:$M$716,0))))
*M1153*M$8,0)</f>
        <v>0</v>
      </c>
      <c r="N508" s="198">
        <f>_xlfn.IFNA(IF(N$7="Fixed",1,IF(AND($D103="yes",N$7="Block"),INDEX($O745:$Q745,1,MATCH(N$5,$I68:$K68,0)),INDEX(Movements!$G745:$M745,1,MATCH(N$7,Movements!$G$716:$M$716,0))))
*N1153*N$8,0)</f>
        <v>0</v>
      </c>
      <c r="O508" s="198">
        <f>_xlfn.IFNA(IF(O$7="Fixed",1,IF(AND($D103="yes",O$7="Block"),INDEX($O745:$Q745,1,MATCH(O$5,$I68:$K68,0)),INDEX(Movements!$G745:$M745,1,MATCH(O$7,Movements!$G$716:$M$716,0))))
*O1153*O$8,0)</f>
        <v>0</v>
      </c>
      <c r="P508" s="198">
        <f>_xlfn.IFNA(IF(P$7="Fixed",1,IF(AND($D103="yes",P$7="Block"),INDEX($O745:$Q745,1,MATCH(P$5,$I68:$K68,0)),INDEX(Movements!$G745:$M745,1,MATCH(P$7,Movements!$G$716:$M$716,0))))
*P1153*P$8,0)</f>
        <v>0</v>
      </c>
      <c r="Q508" s="198">
        <f>_xlfn.IFNA(IF(Q$7="Fixed",1,IF(AND($D103="yes",Q$7="Block"),INDEX($O745:$Q745,1,MATCH(Q$5,$I68:$K68,0)),INDEX(Movements!$G745:$M745,1,MATCH(Q$7,Movements!$G$716:$M$716,0))))
*Q1153*Q$8,0)</f>
        <v>0</v>
      </c>
      <c r="R508" s="198">
        <f>_xlfn.IFNA(IF(R$7="Fixed",1,IF(AND($D103="yes",R$7="Block"),INDEX($O745:$Q745,1,MATCH(R$5,$I68:$K68,0)),INDEX(Movements!$G745:$M745,1,MATCH(R$7,Movements!$G$716:$M$716,0))))
*R1153*R$8,0)</f>
        <v>0</v>
      </c>
      <c r="S508" s="198">
        <f>_xlfn.IFNA(IF(S$7="Fixed",1,IF(AND($D103="yes",S$7="Block"),INDEX($O745:$Q745,1,MATCH(S$5,$I68:$K68,0)),INDEX(Movements!$G745:$M745,1,MATCH(S$7,Movements!$G$716:$M$716,0))))
*S1153*S$8,0)</f>
        <v>0</v>
      </c>
      <c r="T508" s="198">
        <f>_xlfn.IFNA(IF(T$7="Fixed",1,IF(AND($D103="yes",T$7="Block"),INDEX($O745:$Q745,1,MATCH(T$5,$I68:$K68,0)),INDEX(Movements!$G745:$M745,1,MATCH(T$7,Movements!$G$716:$M$716,0))))
*T1153*T$8,0)</f>
        <v>0</v>
      </c>
      <c r="U508" s="198">
        <f>_xlfn.IFNA(IF(U$7="Fixed",1,IF(AND($D103="yes",U$7="Block"),INDEX($O745:$Q745,1,MATCH(U$5,$I68:$K68,0)),INDEX(Movements!$G745:$M745,1,MATCH(U$7,Movements!$G$716:$M$716,0))))
*U1153*U$8,0)</f>
        <v>0</v>
      </c>
      <c r="V508" s="198">
        <f>_xlfn.IFNA(IF(V$7="Fixed",1,IF(AND($D103="yes",V$7="Block"),INDEX($O745:$Q745,1,MATCH(V$5,$I68:$K68,0)),INDEX(Movements!$G745:$M745,1,MATCH(V$7,Movements!$G$716:$M$716,0))))
*V1153*V$8,0)</f>
        <v>0</v>
      </c>
      <c r="W508" s="198">
        <f>_xlfn.IFNA(IF(W$7="Fixed",1,IF(AND($D103="yes",W$7="Block"),INDEX($O745:$Q745,1,MATCH(W$5,$I68:$K68,0)),INDEX(Movements!$G745:$M745,1,MATCH(W$7,Movements!$G$716:$M$716,0))))
*W1153*W$8,0)</f>
        <v>0</v>
      </c>
      <c r="X508" s="198">
        <f>_xlfn.IFNA(IF(X$7="Fixed",1,IF(AND($D103="yes",X$7="Block"),INDEX($O745:$Q745,1,MATCH(X$5,$I68:$K68,0)),INDEX(Movements!$G745:$M745,1,MATCH(X$7,Movements!$G$716:$M$716,0))))
*X1153*X$8,0)</f>
        <v>0</v>
      </c>
      <c r="Y508" s="198">
        <f>_xlfn.IFNA(IF(Y$7="Fixed",1,IF(AND($D103="yes",Y$7="Block"),INDEX($O745:$Q745,1,MATCH(Y$5,$I68:$K68,0)),INDEX(Movements!$G745:$M745,1,MATCH(Y$7,Movements!$G$716:$M$716,0))))
*Y1153*Y$8,0)</f>
        <v>0</v>
      </c>
      <c r="Z508" s="198">
        <f>_xlfn.IFNA(IF(Z$7="Fixed",1,IF(AND($D103="yes",Z$7="Block"),INDEX($O745:$Q745,1,MATCH(Z$5,$I68:$K68,0)),INDEX(Movements!$G745:$M745,1,MATCH(Z$7,Movements!$G$716:$M$716,0))))
*Z1153*Z$8,0)</f>
        <v>0</v>
      </c>
      <c r="AA508" s="198">
        <f>_xlfn.IFNA(IF(AA$7="Fixed",1,IF(AND($D103="yes",AA$7="Block"),INDEX($O745:$Q745,1,MATCH(AA$5,$I68:$K68,0)),INDEX(Movements!$G745:$M745,1,MATCH(AA$7,Movements!$G$716:$M$716,0))))
*AA1153*AA$8,0)</f>
        <v>0</v>
      </c>
      <c r="AB508" s="198">
        <f>_xlfn.IFNA(IF(AB$7="Fixed",1,IF(AND($D103="yes",AB$7="Block"),INDEX($O745:$Q745,1,MATCH(AB$5,$I68:$K68,0)),INDEX(Movements!$G745:$M745,1,MATCH(AB$7,Movements!$G$716:$M$716,0))))
*AB1153*AB$8,0)</f>
        <v>0</v>
      </c>
      <c r="AC508" s="70"/>
      <c r="AD508" s="19"/>
      <c r="AE508" s="19"/>
      <c r="AF508" s="19"/>
      <c r="AG508" s="19"/>
    </row>
    <row r="509" spans="1:33" hidden="1" outlineLevel="3" x14ac:dyDescent="0.2">
      <c r="A509" s="19"/>
      <c r="B509" s="97">
        <v>28</v>
      </c>
      <c r="C509" s="506">
        <f>IF(C239=0,0,IF(currentyear=RCPminus1,INDEX(Tariffs!$H$46:$H$120,MATCH(Movements!C239,Tariffs!$C$46:$C$120,0)),C239))</f>
        <v>0</v>
      </c>
      <c r="D509" s="505">
        <f t="shared" si="123"/>
        <v>0</v>
      </c>
      <c r="E509" s="505">
        <f t="shared" si="123"/>
        <v>0</v>
      </c>
      <c r="F509" s="58"/>
      <c r="G509" s="199">
        <f t="shared" si="124"/>
        <v>0</v>
      </c>
      <c r="H509" s="58"/>
      <c r="I509" s="198">
        <f>_xlfn.IFNA(IF(I$7="Fixed",1,IF(AND($D104="yes",I$7="Block"),INDEX($O746:$Q746,1,MATCH(I$5,$I69:$K69,0)),INDEX(Movements!$G746:$M746,1,MATCH(I$7,Movements!$G$716:$M$716,0))))
*I1154*I$8,0)</f>
        <v>0</v>
      </c>
      <c r="J509" s="198">
        <f>_xlfn.IFNA(IF(J$7="Fixed",1,IF(AND($D104="yes",J$7="Block"),INDEX($O746:$Q746,1,MATCH(J$5,$I69:$K69,0)),INDEX(Movements!$G746:$M746,1,MATCH(J$7,Movements!$G$716:$M$716,0))))
*J1154*J$8,0)</f>
        <v>0</v>
      </c>
      <c r="K509" s="198">
        <f>_xlfn.IFNA(IF(K$7="Fixed",1,IF(AND($D104="yes",K$7="Block"),INDEX($O746:$Q746,1,MATCH(K$5,$I69:$K69,0)),INDEX(Movements!$G746:$M746,1,MATCH(K$7,Movements!$G$716:$M$716,0))))
*K1154*K$8,0)</f>
        <v>0</v>
      </c>
      <c r="L509" s="198">
        <f>_xlfn.IFNA(IF(L$7="Fixed",1,IF(AND($D104="yes",L$7="Block"),INDEX($O746:$Q746,1,MATCH(L$5,$I69:$K69,0)),INDEX(Movements!$G746:$M746,1,MATCH(L$7,Movements!$G$716:$M$716,0))))
*L1154*L$8,0)</f>
        <v>0</v>
      </c>
      <c r="M509" s="198">
        <f>_xlfn.IFNA(IF(M$7="Fixed",1,IF(AND($D104="yes",M$7="Block"),INDEX($O746:$Q746,1,MATCH(M$5,$I69:$K69,0)),INDEX(Movements!$G746:$M746,1,MATCH(M$7,Movements!$G$716:$M$716,0))))
*M1154*M$8,0)</f>
        <v>0</v>
      </c>
      <c r="N509" s="198">
        <f>_xlfn.IFNA(IF(N$7="Fixed",1,IF(AND($D104="yes",N$7="Block"),INDEX($O746:$Q746,1,MATCH(N$5,$I69:$K69,0)),INDEX(Movements!$G746:$M746,1,MATCH(N$7,Movements!$G$716:$M$716,0))))
*N1154*N$8,0)</f>
        <v>0</v>
      </c>
      <c r="O509" s="198">
        <f>_xlfn.IFNA(IF(O$7="Fixed",1,IF(AND($D104="yes",O$7="Block"),INDEX($O746:$Q746,1,MATCH(O$5,$I69:$K69,0)),INDEX(Movements!$G746:$M746,1,MATCH(O$7,Movements!$G$716:$M$716,0))))
*O1154*O$8,0)</f>
        <v>0</v>
      </c>
      <c r="P509" s="198">
        <f>_xlfn.IFNA(IF(P$7="Fixed",1,IF(AND($D104="yes",P$7="Block"),INDEX($O746:$Q746,1,MATCH(P$5,$I69:$K69,0)),INDEX(Movements!$G746:$M746,1,MATCH(P$7,Movements!$G$716:$M$716,0))))
*P1154*P$8,0)</f>
        <v>0</v>
      </c>
      <c r="Q509" s="198">
        <f>_xlfn.IFNA(IF(Q$7="Fixed",1,IF(AND($D104="yes",Q$7="Block"),INDEX($O746:$Q746,1,MATCH(Q$5,$I69:$K69,0)),INDEX(Movements!$G746:$M746,1,MATCH(Q$7,Movements!$G$716:$M$716,0))))
*Q1154*Q$8,0)</f>
        <v>0</v>
      </c>
      <c r="R509" s="198">
        <f>_xlfn.IFNA(IF(R$7="Fixed",1,IF(AND($D104="yes",R$7="Block"),INDEX($O746:$Q746,1,MATCH(R$5,$I69:$K69,0)),INDEX(Movements!$G746:$M746,1,MATCH(R$7,Movements!$G$716:$M$716,0))))
*R1154*R$8,0)</f>
        <v>0</v>
      </c>
      <c r="S509" s="198">
        <f>_xlfn.IFNA(IF(S$7="Fixed",1,IF(AND($D104="yes",S$7="Block"),INDEX($O746:$Q746,1,MATCH(S$5,$I69:$K69,0)),INDEX(Movements!$G746:$M746,1,MATCH(S$7,Movements!$G$716:$M$716,0))))
*S1154*S$8,0)</f>
        <v>0</v>
      </c>
      <c r="T509" s="198">
        <f>_xlfn.IFNA(IF(T$7="Fixed",1,IF(AND($D104="yes",T$7="Block"),INDEX($O746:$Q746,1,MATCH(T$5,$I69:$K69,0)),INDEX(Movements!$G746:$M746,1,MATCH(T$7,Movements!$G$716:$M$716,0))))
*T1154*T$8,0)</f>
        <v>0</v>
      </c>
      <c r="U509" s="198">
        <f>_xlfn.IFNA(IF(U$7="Fixed",1,IF(AND($D104="yes",U$7="Block"),INDEX($O746:$Q746,1,MATCH(U$5,$I69:$K69,0)),INDEX(Movements!$G746:$M746,1,MATCH(U$7,Movements!$G$716:$M$716,0))))
*U1154*U$8,0)</f>
        <v>0</v>
      </c>
      <c r="V509" s="198">
        <f>_xlfn.IFNA(IF(V$7="Fixed",1,IF(AND($D104="yes",V$7="Block"),INDEX($O746:$Q746,1,MATCH(V$5,$I69:$K69,0)),INDEX(Movements!$G746:$M746,1,MATCH(V$7,Movements!$G$716:$M$716,0))))
*V1154*V$8,0)</f>
        <v>0</v>
      </c>
      <c r="W509" s="198">
        <f>_xlfn.IFNA(IF(W$7="Fixed",1,IF(AND($D104="yes",W$7="Block"),INDEX($O746:$Q746,1,MATCH(W$5,$I69:$K69,0)),INDEX(Movements!$G746:$M746,1,MATCH(W$7,Movements!$G$716:$M$716,0))))
*W1154*W$8,0)</f>
        <v>0</v>
      </c>
      <c r="X509" s="198">
        <f>_xlfn.IFNA(IF(X$7="Fixed",1,IF(AND($D104="yes",X$7="Block"),INDEX($O746:$Q746,1,MATCH(X$5,$I69:$K69,0)),INDEX(Movements!$G746:$M746,1,MATCH(X$7,Movements!$G$716:$M$716,0))))
*X1154*X$8,0)</f>
        <v>0</v>
      </c>
      <c r="Y509" s="198">
        <f>_xlfn.IFNA(IF(Y$7="Fixed",1,IF(AND($D104="yes",Y$7="Block"),INDEX($O746:$Q746,1,MATCH(Y$5,$I69:$K69,0)),INDEX(Movements!$G746:$M746,1,MATCH(Y$7,Movements!$G$716:$M$716,0))))
*Y1154*Y$8,0)</f>
        <v>0</v>
      </c>
      <c r="Z509" s="198">
        <f>_xlfn.IFNA(IF(Z$7="Fixed",1,IF(AND($D104="yes",Z$7="Block"),INDEX($O746:$Q746,1,MATCH(Z$5,$I69:$K69,0)),INDEX(Movements!$G746:$M746,1,MATCH(Z$7,Movements!$G$716:$M$716,0))))
*Z1154*Z$8,0)</f>
        <v>0</v>
      </c>
      <c r="AA509" s="198">
        <f>_xlfn.IFNA(IF(AA$7="Fixed",1,IF(AND($D104="yes",AA$7="Block"),INDEX($O746:$Q746,1,MATCH(AA$5,$I69:$K69,0)),INDEX(Movements!$G746:$M746,1,MATCH(AA$7,Movements!$G$716:$M$716,0))))
*AA1154*AA$8,0)</f>
        <v>0</v>
      </c>
      <c r="AB509" s="198">
        <f>_xlfn.IFNA(IF(AB$7="Fixed",1,IF(AND($D104="yes",AB$7="Block"),INDEX($O746:$Q746,1,MATCH(AB$5,$I69:$K69,0)),INDEX(Movements!$G746:$M746,1,MATCH(AB$7,Movements!$G$716:$M$716,0))))
*AB1154*AB$8,0)</f>
        <v>0</v>
      </c>
      <c r="AC509" s="70"/>
      <c r="AD509" s="19"/>
      <c r="AE509" s="19"/>
      <c r="AF509" s="19"/>
      <c r="AG509" s="19"/>
    </row>
    <row r="510" spans="1:33" hidden="1" outlineLevel="3" x14ac:dyDescent="0.2">
      <c r="A510" s="19"/>
      <c r="B510" s="97">
        <v>29</v>
      </c>
      <c r="C510" s="506">
        <f>IF(C240=0,0,IF(currentyear=RCPminus1,INDEX(Tariffs!$H$46:$H$120,MATCH(Movements!C240,Tariffs!$C$46:$C$120,0)),C240))</f>
        <v>0</v>
      </c>
      <c r="D510" s="505">
        <f t="shared" si="123"/>
        <v>0</v>
      </c>
      <c r="E510" s="505">
        <f t="shared" si="123"/>
        <v>0</v>
      </c>
      <c r="F510" s="58"/>
      <c r="G510" s="199">
        <f t="shared" si="124"/>
        <v>0</v>
      </c>
      <c r="H510" s="58"/>
      <c r="I510" s="198">
        <f>_xlfn.IFNA(IF(I$7="Fixed",1,IF(AND($D105="yes",I$7="Block"),INDEX($O747:$Q747,1,MATCH(I$5,$I70:$K70,0)),INDEX(Movements!$G747:$M747,1,MATCH(I$7,Movements!$G$716:$M$716,0))))
*I1155*I$8,0)</f>
        <v>0</v>
      </c>
      <c r="J510" s="198">
        <f>_xlfn.IFNA(IF(J$7="Fixed",1,IF(AND($D105="yes",J$7="Block"),INDEX($O747:$Q747,1,MATCH(J$5,$I70:$K70,0)),INDEX(Movements!$G747:$M747,1,MATCH(J$7,Movements!$G$716:$M$716,0))))
*J1155*J$8,0)</f>
        <v>0</v>
      </c>
      <c r="K510" s="198">
        <f>_xlfn.IFNA(IF(K$7="Fixed",1,IF(AND($D105="yes",K$7="Block"),INDEX($O747:$Q747,1,MATCH(K$5,$I70:$K70,0)),INDEX(Movements!$G747:$M747,1,MATCH(K$7,Movements!$G$716:$M$716,0))))
*K1155*K$8,0)</f>
        <v>0</v>
      </c>
      <c r="L510" s="198">
        <f>_xlfn.IFNA(IF(L$7="Fixed",1,IF(AND($D105="yes",L$7="Block"),INDEX($O747:$Q747,1,MATCH(L$5,$I70:$K70,0)),INDEX(Movements!$G747:$M747,1,MATCH(L$7,Movements!$G$716:$M$716,0))))
*L1155*L$8,0)</f>
        <v>0</v>
      </c>
      <c r="M510" s="198">
        <f>_xlfn.IFNA(IF(M$7="Fixed",1,IF(AND($D105="yes",M$7="Block"),INDEX($O747:$Q747,1,MATCH(M$5,$I70:$K70,0)),INDEX(Movements!$G747:$M747,1,MATCH(M$7,Movements!$G$716:$M$716,0))))
*M1155*M$8,0)</f>
        <v>0</v>
      </c>
      <c r="N510" s="198">
        <f>_xlfn.IFNA(IF(N$7="Fixed",1,IF(AND($D105="yes",N$7="Block"),INDEX($O747:$Q747,1,MATCH(N$5,$I70:$K70,0)),INDEX(Movements!$G747:$M747,1,MATCH(N$7,Movements!$G$716:$M$716,0))))
*N1155*N$8,0)</f>
        <v>0</v>
      </c>
      <c r="O510" s="198">
        <f>_xlfn.IFNA(IF(O$7="Fixed",1,IF(AND($D105="yes",O$7="Block"),INDEX($O747:$Q747,1,MATCH(O$5,$I70:$K70,0)),INDEX(Movements!$G747:$M747,1,MATCH(O$7,Movements!$G$716:$M$716,0))))
*O1155*O$8,0)</f>
        <v>0</v>
      </c>
      <c r="P510" s="198">
        <f>_xlfn.IFNA(IF(P$7="Fixed",1,IF(AND($D105="yes",P$7="Block"),INDEX($O747:$Q747,1,MATCH(P$5,$I70:$K70,0)),INDEX(Movements!$G747:$M747,1,MATCH(P$7,Movements!$G$716:$M$716,0))))
*P1155*P$8,0)</f>
        <v>0</v>
      </c>
      <c r="Q510" s="198">
        <f>_xlfn.IFNA(IF(Q$7="Fixed",1,IF(AND($D105="yes",Q$7="Block"),INDEX($O747:$Q747,1,MATCH(Q$5,$I70:$K70,0)),INDEX(Movements!$G747:$M747,1,MATCH(Q$7,Movements!$G$716:$M$716,0))))
*Q1155*Q$8,0)</f>
        <v>0</v>
      </c>
      <c r="R510" s="198">
        <f>_xlfn.IFNA(IF(R$7="Fixed",1,IF(AND($D105="yes",R$7="Block"),INDEX($O747:$Q747,1,MATCH(R$5,$I70:$K70,0)),INDEX(Movements!$G747:$M747,1,MATCH(R$7,Movements!$G$716:$M$716,0))))
*R1155*R$8,0)</f>
        <v>0</v>
      </c>
      <c r="S510" s="198">
        <f>_xlfn.IFNA(IF(S$7="Fixed",1,IF(AND($D105="yes",S$7="Block"),INDEX($O747:$Q747,1,MATCH(S$5,$I70:$K70,0)),INDEX(Movements!$G747:$M747,1,MATCH(S$7,Movements!$G$716:$M$716,0))))
*S1155*S$8,0)</f>
        <v>0</v>
      </c>
      <c r="T510" s="198">
        <f>_xlfn.IFNA(IF(T$7="Fixed",1,IF(AND($D105="yes",T$7="Block"),INDEX($O747:$Q747,1,MATCH(T$5,$I70:$K70,0)),INDEX(Movements!$G747:$M747,1,MATCH(T$7,Movements!$G$716:$M$716,0))))
*T1155*T$8,0)</f>
        <v>0</v>
      </c>
      <c r="U510" s="198">
        <f>_xlfn.IFNA(IF(U$7="Fixed",1,IF(AND($D105="yes",U$7="Block"),INDEX($O747:$Q747,1,MATCH(U$5,$I70:$K70,0)),INDEX(Movements!$G747:$M747,1,MATCH(U$7,Movements!$G$716:$M$716,0))))
*U1155*U$8,0)</f>
        <v>0</v>
      </c>
      <c r="V510" s="198">
        <f>_xlfn.IFNA(IF(V$7="Fixed",1,IF(AND($D105="yes",V$7="Block"),INDEX($O747:$Q747,1,MATCH(V$5,$I70:$K70,0)),INDEX(Movements!$G747:$M747,1,MATCH(V$7,Movements!$G$716:$M$716,0))))
*V1155*V$8,0)</f>
        <v>0</v>
      </c>
      <c r="W510" s="198">
        <f>_xlfn.IFNA(IF(W$7="Fixed",1,IF(AND($D105="yes",W$7="Block"),INDEX($O747:$Q747,1,MATCH(W$5,$I70:$K70,0)),INDEX(Movements!$G747:$M747,1,MATCH(W$7,Movements!$G$716:$M$716,0))))
*W1155*W$8,0)</f>
        <v>0</v>
      </c>
      <c r="X510" s="198">
        <f>_xlfn.IFNA(IF(X$7="Fixed",1,IF(AND($D105="yes",X$7="Block"),INDEX($O747:$Q747,1,MATCH(X$5,$I70:$K70,0)),INDEX(Movements!$G747:$M747,1,MATCH(X$7,Movements!$G$716:$M$716,0))))
*X1155*X$8,0)</f>
        <v>0</v>
      </c>
      <c r="Y510" s="198">
        <f>_xlfn.IFNA(IF(Y$7="Fixed",1,IF(AND($D105="yes",Y$7="Block"),INDEX($O747:$Q747,1,MATCH(Y$5,$I70:$K70,0)),INDEX(Movements!$G747:$M747,1,MATCH(Y$7,Movements!$G$716:$M$716,0))))
*Y1155*Y$8,0)</f>
        <v>0</v>
      </c>
      <c r="Z510" s="198">
        <f>_xlfn.IFNA(IF(Z$7="Fixed",1,IF(AND($D105="yes",Z$7="Block"),INDEX($O747:$Q747,1,MATCH(Z$5,$I70:$K70,0)),INDEX(Movements!$G747:$M747,1,MATCH(Z$7,Movements!$G$716:$M$716,0))))
*Z1155*Z$8,0)</f>
        <v>0</v>
      </c>
      <c r="AA510" s="198">
        <f>_xlfn.IFNA(IF(AA$7="Fixed",1,IF(AND($D105="yes",AA$7="Block"),INDEX($O747:$Q747,1,MATCH(AA$5,$I70:$K70,0)),INDEX(Movements!$G747:$M747,1,MATCH(AA$7,Movements!$G$716:$M$716,0))))
*AA1155*AA$8,0)</f>
        <v>0</v>
      </c>
      <c r="AB510" s="198">
        <f>_xlfn.IFNA(IF(AB$7="Fixed",1,IF(AND($D105="yes",AB$7="Block"),INDEX($O747:$Q747,1,MATCH(AB$5,$I70:$K70,0)),INDEX(Movements!$G747:$M747,1,MATCH(AB$7,Movements!$G$716:$M$716,0))))
*AB1155*AB$8,0)</f>
        <v>0</v>
      </c>
      <c r="AC510" s="70"/>
      <c r="AD510" s="19"/>
      <c r="AE510" s="19"/>
      <c r="AF510" s="19"/>
      <c r="AG510" s="19"/>
    </row>
    <row r="511" spans="1:33" hidden="1" outlineLevel="3" x14ac:dyDescent="0.2">
      <c r="A511" s="19"/>
      <c r="B511" s="98">
        <v>30</v>
      </c>
      <c r="C511" s="506">
        <f>IF(C241=0,0,IF(currentyear=RCPminus1,INDEX(Tariffs!$H$46:$H$120,MATCH(Movements!C241,Tariffs!$C$46:$C$120,0)),C241))</f>
        <v>0</v>
      </c>
      <c r="D511" s="505">
        <f t="shared" si="123"/>
        <v>0</v>
      </c>
      <c r="E511" s="505">
        <f t="shared" si="123"/>
        <v>0</v>
      </c>
      <c r="F511" s="58"/>
      <c r="G511" s="199">
        <f t="shared" si="124"/>
        <v>0</v>
      </c>
      <c r="H511" s="58"/>
      <c r="I511" s="198">
        <f>_xlfn.IFNA(IF(I$7="Fixed",1,IF(AND($D106="yes",I$7="Block"),INDEX($O748:$Q748,1,MATCH(I$5,$I71:$K71,0)),INDEX(Movements!$G748:$M748,1,MATCH(I$7,Movements!$G$716:$M$716,0))))
*I1156*I$8,0)</f>
        <v>0</v>
      </c>
      <c r="J511" s="198">
        <f>_xlfn.IFNA(IF(J$7="Fixed",1,IF(AND($D106="yes",J$7="Block"),INDEX($O748:$Q748,1,MATCH(J$5,$I71:$K71,0)),INDEX(Movements!$G748:$M748,1,MATCH(J$7,Movements!$G$716:$M$716,0))))
*J1156*J$8,0)</f>
        <v>0</v>
      </c>
      <c r="K511" s="198">
        <f>_xlfn.IFNA(IF(K$7="Fixed",1,IF(AND($D106="yes",K$7="Block"),INDEX($O748:$Q748,1,MATCH(K$5,$I71:$K71,0)),INDEX(Movements!$G748:$M748,1,MATCH(K$7,Movements!$G$716:$M$716,0))))
*K1156*K$8,0)</f>
        <v>0</v>
      </c>
      <c r="L511" s="198">
        <f>_xlfn.IFNA(IF(L$7="Fixed",1,IF(AND($D106="yes",L$7="Block"),INDEX($O748:$Q748,1,MATCH(L$5,$I71:$K71,0)),INDEX(Movements!$G748:$M748,1,MATCH(L$7,Movements!$G$716:$M$716,0))))
*L1156*L$8,0)</f>
        <v>0</v>
      </c>
      <c r="M511" s="198">
        <f>_xlfn.IFNA(IF(M$7="Fixed",1,IF(AND($D106="yes",M$7="Block"),INDEX($O748:$Q748,1,MATCH(M$5,$I71:$K71,0)),INDEX(Movements!$G748:$M748,1,MATCH(M$7,Movements!$G$716:$M$716,0))))
*M1156*M$8,0)</f>
        <v>0</v>
      </c>
      <c r="N511" s="198">
        <f>_xlfn.IFNA(IF(N$7="Fixed",1,IF(AND($D106="yes",N$7="Block"),INDEX($O748:$Q748,1,MATCH(N$5,$I71:$K71,0)),INDEX(Movements!$G748:$M748,1,MATCH(N$7,Movements!$G$716:$M$716,0))))
*N1156*N$8,0)</f>
        <v>0</v>
      </c>
      <c r="O511" s="198">
        <f>_xlfn.IFNA(IF(O$7="Fixed",1,IF(AND($D106="yes",O$7="Block"),INDEX($O748:$Q748,1,MATCH(O$5,$I71:$K71,0)),INDEX(Movements!$G748:$M748,1,MATCH(O$7,Movements!$G$716:$M$716,0))))
*O1156*O$8,0)</f>
        <v>0</v>
      </c>
      <c r="P511" s="198">
        <f>_xlfn.IFNA(IF(P$7="Fixed",1,IF(AND($D106="yes",P$7="Block"),INDEX($O748:$Q748,1,MATCH(P$5,$I71:$K71,0)),INDEX(Movements!$G748:$M748,1,MATCH(P$7,Movements!$G$716:$M$716,0))))
*P1156*P$8,0)</f>
        <v>0</v>
      </c>
      <c r="Q511" s="198">
        <f>_xlfn.IFNA(IF(Q$7="Fixed",1,IF(AND($D106="yes",Q$7="Block"),INDEX($O748:$Q748,1,MATCH(Q$5,$I71:$K71,0)),INDEX(Movements!$G748:$M748,1,MATCH(Q$7,Movements!$G$716:$M$716,0))))
*Q1156*Q$8,0)</f>
        <v>0</v>
      </c>
      <c r="R511" s="198">
        <f>_xlfn.IFNA(IF(R$7="Fixed",1,IF(AND($D106="yes",R$7="Block"),INDEX($O748:$Q748,1,MATCH(R$5,$I71:$K71,0)),INDEX(Movements!$G748:$M748,1,MATCH(R$7,Movements!$G$716:$M$716,0))))
*R1156*R$8,0)</f>
        <v>0</v>
      </c>
      <c r="S511" s="198">
        <f>_xlfn.IFNA(IF(S$7="Fixed",1,IF(AND($D106="yes",S$7="Block"),INDEX($O748:$Q748,1,MATCH(S$5,$I71:$K71,0)),INDEX(Movements!$G748:$M748,1,MATCH(S$7,Movements!$G$716:$M$716,0))))
*S1156*S$8,0)</f>
        <v>0</v>
      </c>
      <c r="T511" s="198">
        <f>_xlfn.IFNA(IF(T$7="Fixed",1,IF(AND($D106="yes",T$7="Block"),INDEX($O748:$Q748,1,MATCH(T$5,$I71:$K71,0)),INDEX(Movements!$G748:$M748,1,MATCH(T$7,Movements!$G$716:$M$716,0))))
*T1156*T$8,0)</f>
        <v>0</v>
      </c>
      <c r="U511" s="198">
        <f>_xlfn.IFNA(IF(U$7="Fixed",1,IF(AND($D106="yes",U$7="Block"),INDEX($O748:$Q748,1,MATCH(U$5,$I71:$K71,0)),INDEX(Movements!$G748:$M748,1,MATCH(U$7,Movements!$G$716:$M$716,0))))
*U1156*U$8,0)</f>
        <v>0</v>
      </c>
      <c r="V511" s="198">
        <f>_xlfn.IFNA(IF(V$7="Fixed",1,IF(AND($D106="yes",V$7="Block"),INDEX($O748:$Q748,1,MATCH(V$5,$I71:$K71,0)),INDEX(Movements!$G748:$M748,1,MATCH(V$7,Movements!$G$716:$M$716,0))))
*V1156*V$8,0)</f>
        <v>0</v>
      </c>
      <c r="W511" s="198">
        <f>_xlfn.IFNA(IF(W$7="Fixed",1,IF(AND($D106="yes",W$7="Block"),INDEX($O748:$Q748,1,MATCH(W$5,$I71:$K71,0)),INDEX(Movements!$G748:$M748,1,MATCH(W$7,Movements!$G$716:$M$716,0))))
*W1156*W$8,0)</f>
        <v>0</v>
      </c>
      <c r="X511" s="198">
        <f>_xlfn.IFNA(IF(X$7="Fixed",1,IF(AND($D106="yes",X$7="Block"),INDEX($O748:$Q748,1,MATCH(X$5,$I71:$K71,0)),INDEX(Movements!$G748:$M748,1,MATCH(X$7,Movements!$G$716:$M$716,0))))
*X1156*X$8,0)</f>
        <v>0</v>
      </c>
      <c r="Y511" s="198">
        <f>_xlfn.IFNA(IF(Y$7="Fixed",1,IF(AND($D106="yes",Y$7="Block"),INDEX($O748:$Q748,1,MATCH(Y$5,$I71:$K71,0)),INDEX(Movements!$G748:$M748,1,MATCH(Y$7,Movements!$G$716:$M$716,0))))
*Y1156*Y$8,0)</f>
        <v>0</v>
      </c>
      <c r="Z511" s="198">
        <f>_xlfn.IFNA(IF(Z$7="Fixed",1,IF(AND($D106="yes",Z$7="Block"),INDEX($O748:$Q748,1,MATCH(Z$5,$I71:$K71,0)),INDEX(Movements!$G748:$M748,1,MATCH(Z$7,Movements!$G$716:$M$716,0))))
*Z1156*Z$8,0)</f>
        <v>0</v>
      </c>
      <c r="AA511" s="198">
        <f>_xlfn.IFNA(IF(AA$7="Fixed",1,IF(AND($D106="yes",AA$7="Block"),INDEX($O748:$Q748,1,MATCH(AA$5,$I71:$K71,0)),INDEX(Movements!$G748:$M748,1,MATCH(AA$7,Movements!$G$716:$M$716,0))))
*AA1156*AA$8,0)</f>
        <v>0</v>
      </c>
      <c r="AB511" s="198">
        <f>_xlfn.IFNA(IF(AB$7="Fixed",1,IF(AND($D106="yes",AB$7="Block"),INDEX($O748:$Q748,1,MATCH(AB$5,$I71:$K71,0)),INDEX(Movements!$G748:$M748,1,MATCH(AB$7,Movements!$G$716:$M$716,0))))
*AB1156*AB$8,0)</f>
        <v>0</v>
      </c>
      <c r="AC511" s="70"/>
      <c r="AD511" s="19"/>
      <c r="AE511" s="19"/>
      <c r="AF511" s="19"/>
      <c r="AG511" s="19"/>
    </row>
    <row r="512" spans="1:33" outlineLevel="2" collapsed="1" x14ac:dyDescent="0.2">
      <c r="A512" s="19"/>
      <c r="B512" s="19"/>
      <c r="C512" s="560"/>
      <c r="D512" s="558"/>
      <c r="E512" s="559"/>
      <c r="F512" s="58"/>
      <c r="G512" s="58"/>
      <c r="H512" s="58"/>
      <c r="I512" s="137"/>
      <c r="J512" s="137"/>
      <c r="K512" s="138"/>
      <c r="L512" s="138"/>
      <c r="M512" s="138"/>
      <c r="N512" s="139"/>
      <c r="O512" s="139"/>
      <c r="P512" s="139"/>
      <c r="Q512" s="139"/>
      <c r="R512" s="139"/>
      <c r="S512" s="138"/>
      <c r="T512" s="138"/>
      <c r="U512" s="138"/>
      <c r="V512" s="70"/>
      <c r="W512" s="70"/>
      <c r="X512" s="70"/>
      <c r="Y512" s="70"/>
      <c r="Z512" s="70"/>
      <c r="AA512" s="70"/>
      <c r="AB512" s="70"/>
      <c r="AC512" s="70"/>
      <c r="AD512" s="19"/>
      <c r="AE512" s="19"/>
      <c r="AF512" s="19"/>
      <c r="AG512" s="19"/>
    </row>
    <row r="513" spans="1:33" outlineLevel="1" x14ac:dyDescent="0.2">
      <c r="A513" s="19"/>
      <c r="B513" s="19"/>
      <c r="C513" s="217"/>
      <c r="D513" s="217"/>
      <c r="E513" s="536"/>
      <c r="F513" s="58"/>
      <c r="G513" s="58"/>
      <c r="H513" s="58"/>
      <c r="I513" s="137"/>
      <c r="J513" s="137"/>
      <c r="K513" s="138"/>
      <c r="L513" s="138"/>
      <c r="M513" s="138"/>
      <c r="N513" s="139"/>
      <c r="O513" s="139"/>
      <c r="P513" s="139"/>
      <c r="Q513" s="139"/>
      <c r="R513" s="139"/>
      <c r="S513" s="138"/>
      <c r="T513" s="138"/>
      <c r="U513" s="138"/>
      <c r="V513" s="70"/>
      <c r="W513" s="70"/>
      <c r="X513" s="70"/>
      <c r="Y513" s="70"/>
      <c r="Z513" s="70"/>
      <c r="AA513" s="70"/>
      <c r="AB513" s="70"/>
      <c r="AC513" s="70"/>
      <c r="AD513" s="19"/>
      <c r="AE513" s="19"/>
      <c r="AF513" s="19"/>
      <c r="AG513" s="19"/>
    </row>
    <row r="514" spans="1:33" outlineLevel="1" x14ac:dyDescent="0.2">
      <c r="A514" s="19"/>
      <c r="B514" s="19"/>
      <c r="C514" s="167" t="str">
        <f>C379</f>
        <v>DPPC</v>
      </c>
      <c r="D514" s="167"/>
      <c r="E514" s="512"/>
      <c r="F514" s="20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19"/>
      <c r="AD514" s="19"/>
      <c r="AE514" s="19"/>
      <c r="AF514" s="19"/>
      <c r="AG514" s="19"/>
    </row>
    <row r="515" spans="1:33" outlineLevel="2" x14ac:dyDescent="0.2">
      <c r="A515" s="19"/>
      <c r="B515" s="97">
        <v>1</v>
      </c>
      <c r="C515" s="506" t="str">
        <f t="shared" ref="C515:E544" si="125">C482</f>
        <v>Small business time of use consumption</v>
      </c>
      <c r="D515" s="505">
        <f t="shared" si="125"/>
        <v>0</v>
      </c>
      <c r="E515" s="505" t="str">
        <f t="shared" si="125"/>
        <v>yes</v>
      </c>
      <c r="F515" s="20"/>
      <c r="G515" s="199">
        <f t="shared" ref="G515:G544" si="126">SUM(I515:AB515)</f>
        <v>888.25514287494877</v>
      </c>
      <c r="H515" s="22"/>
      <c r="I515" s="198">
        <f>_xlfn.IFNA(IF(I$7="Fixed",1,IF(AND($D77="yes",I$7="Block"),INDEX($O719:$Q719,1,MATCH(I$5,$I42:$K42,0)),INDEX(Movements!$G719:$M719,1,MATCH(I$7,Movements!$G$716:$M$716,0))))
*I1160*I$8,0)</f>
        <v>0</v>
      </c>
      <c r="J515" s="198">
        <f>_xlfn.IFNA(IF(J$7="Fixed",1,IF(AND($D77="yes",J$7="Block"),INDEX($O719:$Q719,1,MATCH(J$5,$I42:$K42,0)),INDEX(Movements!$G719:$M719,1,MATCH(J$7,Movements!$G$716:$M$716,0))))
*J1160*J$8,0)</f>
        <v>0</v>
      </c>
      <c r="K515" s="198">
        <f>_xlfn.IFNA(IF(K$7="Fixed",1,IF(AND($D77="yes",K$7="Block"),INDEX($O719:$Q719,1,MATCH(K$5,$I42:$K42,0)),INDEX(Movements!$G719:$M719,1,MATCH(K$7,Movements!$G$716:$M$716,0))))
*K1160*K$8,0)</f>
        <v>725.26579095330089</v>
      </c>
      <c r="L515" s="198">
        <f>_xlfn.IFNA(IF(L$7="Fixed",1,IF(AND($D77="yes",L$7="Block"),INDEX($O719:$Q719,1,MATCH(L$5,$I42:$K42,0)),INDEX(Movements!$G719:$M719,1,MATCH(L$7,Movements!$G$716:$M$716,0))))
*L1160*L$8,0)</f>
        <v>109.23163672076285</v>
      </c>
      <c r="M515" s="198">
        <f>_xlfn.IFNA(IF(M$7="Fixed",1,IF(AND($D77="yes",M$7="Block"),INDEX($O719:$Q719,1,MATCH(M$5,$I42:$K42,0)),INDEX(Movements!$G719:$M719,1,MATCH(M$7,Movements!$G$716:$M$716,0))))
*M1160*M$8,0)</f>
        <v>53.757715200885066</v>
      </c>
      <c r="N515" s="198">
        <f>_xlfn.IFNA(IF(N$7="Fixed",1,IF(AND($D77="yes",N$7="Block"),INDEX($O719:$Q719,1,MATCH(N$5,$I42:$K42,0)),INDEX(Movements!$G719:$M719,1,MATCH(N$7,Movements!$G$716:$M$716,0))))
*N1160*N$8,0)</f>
        <v>0</v>
      </c>
      <c r="O515" s="198">
        <f>_xlfn.IFNA(IF(O$7="Fixed",1,IF(AND($D77="yes",O$7="Block"),INDEX($O719:$Q719,1,MATCH(O$5,$I42:$K42,0)),INDEX(Movements!$G719:$M719,1,MATCH(O$7,Movements!$G$716:$M$716,0))))
*O1160*O$8,0)</f>
        <v>0</v>
      </c>
      <c r="P515" s="198">
        <f>_xlfn.IFNA(IF(P$7="Fixed",1,IF(AND($D77="yes",P$7="Block"),INDEX($O719:$Q719,1,MATCH(P$5,$I42:$K42,0)),INDEX(Movements!$G719:$M719,1,MATCH(P$7,Movements!$G$716:$M$716,0))))
*P1160*P$8,0)</f>
        <v>0</v>
      </c>
      <c r="Q515" s="198">
        <f>_xlfn.IFNA(IF(Q$7="Fixed",1,IF(AND($D77="yes",Q$7="Block"),INDEX($O719:$Q719,1,MATCH(Q$5,$I42:$K42,0)),INDEX(Movements!$G719:$M719,1,MATCH(Q$7,Movements!$G$716:$M$716,0))))
*Q1160*Q$8,0)</f>
        <v>0</v>
      </c>
      <c r="R515" s="198">
        <f>_xlfn.IFNA(IF(R$7="Fixed",1,IF(AND($D77="yes",R$7="Block"),INDEX($O719:$Q719,1,MATCH(R$5,$I42:$K42,0)),INDEX(Movements!$G719:$M719,1,MATCH(R$7,Movements!$G$716:$M$716,0))))
*R1160*R$8,0)</f>
        <v>0</v>
      </c>
      <c r="S515" s="198">
        <f>_xlfn.IFNA(IF(S$7="Fixed",1,IF(AND($D77="yes",S$7="Block"),INDEX($O719:$Q719,1,MATCH(S$5,$I42:$K42,0)),INDEX(Movements!$G719:$M719,1,MATCH(S$7,Movements!$G$716:$M$716,0))))
*S1160*S$8,0)</f>
        <v>0</v>
      </c>
      <c r="T515" s="198">
        <f>_xlfn.IFNA(IF(T$7="Fixed",1,IF(AND($D77="yes",T$7="Block"),INDEX($O719:$Q719,1,MATCH(T$5,$I42:$K42,0)),INDEX(Movements!$G719:$M719,1,MATCH(T$7,Movements!$G$716:$M$716,0))))
*T1160*T$8,0)</f>
        <v>0</v>
      </c>
      <c r="U515" s="198">
        <f>_xlfn.IFNA(IF(U$7="Fixed",1,IF(AND($D77="yes",U$7="Block"),INDEX($O719:$Q719,1,MATCH(U$5,$I42:$K42,0)),INDEX(Movements!$G719:$M719,1,MATCH(U$7,Movements!$G$716:$M$716,0))))
*U1160*U$8,0)</f>
        <v>0</v>
      </c>
      <c r="V515" s="198">
        <f>_xlfn.IFNA(IF(V$7="Fixed",1,IF(AND($D77="yes",V$7="Block"),INDEX($O719:$Q719,1,MATCH(V$5,$I42:$K42,0)),INDEX(Movements!$G719:$M719,1,MATCH(V$7,Movements!$G$716:$M$716,0))))
*V1160*V$8,0)</f>
        <v>0</v>
      </c>
      <c r="W515" s="198">
        <f>_xlfn.IFNA(IF(W$7="Fixed",1,IF(AND($D77="yes",W$7="Block"),INDEX($O719:$Q719,1,MATCH(W$5,$I42:$K42,0)),INDEX(Movements!$G719:$M719,1,MATCH(W$7,Movements!$G$716:$M$716,0))))
*W1160*W$8,0)</f>
        <v>0</v>
      </c>
      <c r="X515" s="198">
        <f>_xlfn.IFNA(IF(X$7="Fixed",1,IF(AND($D77="yes",X$7="Block"),INDEX($O719:$Q719,1,MATCH(X$5,$I42:$K42,0)),INDEX(Movements!$G719:$M719,1,MATCH(X$7,Movements!$G$716:$M$716,0))))
*X1160*X$8,0)</f>
        <v>0</v>
      </c>
      <c r="Y515" s="198">
        <f>_xlfn.IFNA(IF(Y$7="Fixed",1,IF(AND($D77="yes",Y$7="Block"),INDEX($O719:$Q719,1,MATCH(Y$5,$I42:$K42,0)),INDEX(Movements!$G719:$M719,1,MATCH(Y$7,Movements!$G$716:$M$716,0))))
*Y1160*Y$8,0)</f>
        <v>0</v>
      </c>
      <c r="Z515" s="198">
        <f>_xlfn.IFNA(IF(Z$7="Fixed",1,IF(AND($D77="yes",Z$7="Block"),INDEX($O719:$Q719,1,MATCH(Z$5,$I42:$K42,0)),INDEX(Movements!$G719:$M719,1,MATCH(Z$7,Movements!$G$716:$M$716,0))))
*Z1160*Z$8,0)</f>
        <v>0</v>
      </c>
      <c r="AA515" s="198">
        <f>_xlfn.IFNA(IF(AA$7="Fixed",1,IF(AND($D77="yes",AA$7="Block"),INDEX($O719:$Q719,1,MATCH(AA$5,$I42:$K42,0)),INDEX(Movements!$G719:$M719,1,MATCH(AA$7,Movements!$G$716:$M$716,0))))
*AA1160*AA$8,0)</f>
        <v>0</v>
      </c>
      <c r="AB515" s="198">
        <f>_xlfn.IFNA(IF(AB$7="Fixed",1,IF(AND($D77="yes",AB$7="Block"),INDEX($O719:$Q719,1,MATCH(AB$5,$I42:$K42,0)),INDEX(Movements!$G719:$M719,1,MATCH(AB$7,Movements!$G$716:$M$716,0))))
*AB1160*AB$8,0)</f>
        <v>0</v>
      </c>
      <c r="AC515" s="70"/>
      <c r="AD515" s="19"/>
      <c r="AE515" s="19"/>
      <c r="AF515" s="19"/>
      <c r="AG515" s="19"/>
    </row>
    <row r="516" spans="1:33" s="59" customFormat="1" outlineLevel="2" x14ac:dyDescent="0.2">
      <c r="A516" s="57"/>
      <c r="B516" s="98">
        <v>2</v>
      </c>
      <c r="C516" s="506" t="str">
        <f t="shared" si="125"/>
        <v>Small business general light and power</v>
      </c>
      <c r="D516" s="505">
        <f t="shared" si="125"/>
        <v>0</v>
      </c>
      <c r="E516" s="505" t="str">
        <f t="shared" si="125"/>
        <v>no</v>
      </c>
      <c r="F516" s="58"/>
      <c r="G516" s="199">
        <f t="shared" si="126"/>
        <v>168.40251560518914</v>
      </c>
      <c r="H516" s="58"/>
      <c r="I516" s="198">
        <f>_xlfn.IFNA(IF(I$7="Fixed",1,IF(AND($D78="yes",I$7="Block"),INDEX($O720:$Q720,1,MATCH(I$5,$I43:$K43,0)),INDEX(Movements!$G720:$M720,1,MATCH(I$7,Movements!$G$716:$M$716,0))))
*I1161*I$8,0)</f>
        <v>0</v>
      </c>
      <c r="J516" s="198">
        <f>_xlfn.IFNA(IF(J$7="Fixed",1,IF(AND($D78="yes",J$7="Block"),INDEX($O720:$Q720,1,MATCH(J$5,$I43:$K43,0)),INDEX(Movements!$G720:$M720,1,MATCH(J$7,Movements!$G$716:$M$716,0))))
*J1161*J$8,0)</f>
        <v>168.40251560518914</v>
      </c>
      <c r="K516" s="198">
        <f>_xlfn.IFNA(IF(K$7="Fixed",1,IF(AND($D78="yes",K$7="Block"),INDEX($O720:$Q720,1,MATCH(K$5,$I43:$K43,0)),INDEX(Movements!$G720:$M720,1,MATCH(K$7,Movements!$G$716:$M$716,0))))
*K1161*K$8,0)</f>
        <v>0</v>
      </c>
      <c r="L516" s="198">
        <f>_xlfn.IFNA(IF(L$7="Fixed",1,IF(AND($D78="yes",L$7="Block"),INDEX($O720:$Q720,1,MATCH(L$5,$I43:$K43,0)),INDEX(Movements!$G720:$M720,1,MATCH(L$7,Movements!$G$716:$M$716,0))))
*L1161*L$8,0)</f>
        <v>0</v>
      </c>
      <c r="M516" s="198">
        <f>_xlfn.IFNA(IF(M$7="Fixed",1,IF(AND($D78="yes",M$7="Block"),INDEX($O720:$Q720,1,MATCH(M$5,$I43:$K43,0)),INDEX(Movements!$G720:$M720,1,MATCH(M$7,Movements!$G$716:$M$716,0))))
*M1161*M$8,0)</f>
        <v>0</v>
      </c>
      <c r="N516" s="198">
        <f>_xlfn.IFNA(IF(N$7="Fixed",1,IF(AND($D78="yes",N$7="Block"),INDEX($O720:$Q720,1,MATCH(N$5,$I43:$K43,0)),INDEX(Movements!$G720:$M720,1,MATCH(N$7,Movements!$G$716:$M$716,0))))
*N1161*N$8,0)</f>
        <v>0</v>
      </c>
      <c r="O516" s="198">
        <f>_xlfn.IFNA(IF(O$7="Fixed",1,IF(AND($D78="yes",O$7="Block"),INDEX($O720:$Q720,1,MATCH(O$5,$I43:$K43,0)),INDEX(Movements!$G720:$M720,1,MATCH(O$7,Movements!$G$716:$M$716,0))))
*O1161*O$8,0)</f>
        <v>0</v>
      </c>
      <c r="P516" s="198">
        <f>_xlfn.IFNA(IF(P$7="Fixed",1,IF(AND($D78="yes",P$7="Block"),INDEX($O720:$Q720,1,MATCH(P$5,$I43:$K43,0)),INDEX(Movements!$G720:$M720,1,MATCH(P$7,Movements!$G$716:$M$716,0))))
*P1161*P$8,0)</f>
        <v>0</v>
      </c>
      <c r="Q516" s="198">
        <f>_xlfn.IFNA(IF(Q$7="Fixed",1,IF(AND($D78="yes",Q$7="Block"),INDEX($O720:$Q720,1,MATCH(Q$5,$I43:$K43,0)),INDEX(Movements!$G720:$M720,1,MATCH(Q$7,Movements!$G$716:$M$716,0))))
*Q1161*Q$8,0)</f>
        <v>0</v>
      </c>
      <c r="R516" s="198">
        <f>_xlfn.IFNA(IF(R$7="Fixed",1,IF(AND($D78="yes",R$7="Block"),INDEX($O720:$Q720,1,MATCH(R$5,$I43:$K43,0)),INDEX(Movements!$G720:$M720,1,MATCH(R$7,Movements!$G$716:$M$716,0))))
*R1161*R$8,0)</f>
        <v>0</v>
      </c>
      <c r="S516" s="198">
        <f>_xlfn.IFNA(IF(S$7="Fixed",1,IF(AND($D78="yes",S$7="Block"),INDEX($O720:$Q720,1,MATCH(S$5,$I43:$K43,0)),INDEX(Movements!$G720:$M720,1,MATCH(S$7,Movements!$G$716:$M$716,0))))
*S1161*S$8,0)</f>
        <v>0</v>
      </c>
      <c r="T516" s="198">
        <f>_xlfn.IFNA(IF(T$7="Fixed",1,IF(AND($D78="yes",T$7="Block"),INDEX($O720:$Q720,1,MATCH(T$5,$I43:$K43,0)),INDEX(Movements!$G720:$M720,1,MATCH(T$7,Movements!$G$716:$M$716,0))))
*T1161*T$8,0)</f>
        <v>0</v>
      </c>
      <c r="U516" s="198">
        <f>_xlfn.IFNA(IF(U$7="Fixed",1,IF(AND($D78="yes",U$7="Block"),INDEX($O720:$Q720,1,MATCH(U$5,$I43:$K43,0)),INDEX(Movements!$G720:$M720,1,MATCH(U$7,Movements!$G$716:$M$716,0))))
*U1161*U$8,0)</f>
        <v>0</v>
      </c>
      <c r="V516" s="198">
        <f>_xlfn.IFNA(IF(V$7="Fixed",1,IF(AND($D78="yes",V$7="Block"),INDEX($O720:$Q720,1,MATCH(V$5,$I43:$K43,0)),INDEX(Movements!$G720:$M720,1,MATCH(V$7,Movements!$G$716:$M$716,0))))
*V1161*V$8,0)</f>
        <v>0</v>
      </c>
      <c r="W516" s="198">
        <f>_xlfn.IFNA(IF(W$7="Fixed",1,IF(AND($D78="yes",W$7="Block"),INDEX($O720:$Q720,1,MATCH(W$5,$I43:$K43,0)),INDEX(Movements!$G720:$M720,1,MATCH(W$7,Movements!$G$716:$M$716,0))))
*W1161*W$8,0)</f>
        <v>0</v>
      </c>
      <c r="X516" s="198">
        <f>_xlfn.IFNA(IF(X$7="Fixed",1,IF(AND($D78="yes",X$7="Block"),INDEX($O720:$Q720,1,MATCH(X$5,$I43:$K43,0)),INDEX(Movements!$G720:$M720,1,MATCH(X$7,Movements!$G$716:$M$716,0))))
*X1161*X$8,0)</f>
        <v>0</v>
      </c>
      <c r="Y516" s="198">
        <f>_xlfn.IFNA(IF(Y$7="Fixed",1,IF(AND($D78="yes",Y$7="Block"),INDEX($O720:$Q720,1,MATCH(Y$5,$I43:$K43,0)),INDEX(Movements!$G720:$M720,1,MATCH(Y$7,Movements!$G$716:$M$716,0))))
*Y1161*Y$8,0)</f>
        <v>0</v>
      </c>
      <c r="Z516" s="198">
        <f>_xlfn.IFNA(IF(Z$7="Fixed",1,IF(AND($D78="yes",Z$7="Block"),INDEX($O720:$Q720,1,MATCH(Z$5,$I43:$K43,0)),INDEX(Movements!$G720:$M720,1,MATCH(Z$7,Movements!$G$716:$M$716,0))))
*Z1161*Z$8,0)</f>
        <v>0</v>
      </c>
      <c r="AA516" s="198">
        <f>_xlfn.IFNA(IF(AA$7="Fixed",1,IF(AND($D78="yes",AA$7="Block"),INDEX($O720:$Q720,1,MATCH(AA$5,$I43:$K43,0)),INDEX(Movements!$G720:$M720,1,MATCH(AA$7,Movements!$G$716:$M$716,0))))
*AA1161*AA$8,0)</f>
        <v>0</v>
      </c>
      <c r="AB516" s="198">
        <f>_xlfn.IFNA(IF(AB$7="Fixed",1,IF(AND($D78="yes",AB$7="Block"),INDEX($O720:$Q720,1,MATCH(AB$5,$I43:$K43,0)),INDEX(Movements!$G720:$M720,1,MATCH(AB$7,Movements!$G$716:$M$716,0))))
*AB1161*AB$8,0)</f>
        <v>0</v>
      </c>
      <c r="AC516" s="70"/>
      <c r="AD516" s="57"/>
      <c r="AE516" s="57"/>
      <c r="AF516" s="57"/>
      <c r="AG516" s="57"/>
    </row>
    <row r="517" spans="1:33" outlineLevel="2" x14ac:dyDescent="0.2">
      <c r="A517" s="19"/>
      <c r="B517" s="97">
        <v>3</v>
      </c>
      <c r="C517" s="506">
        <f t="shared" si="125"/>
        <v>0</v>
      </c>
      <c r="D517" s="505">
        <f t="shared" si="125"/>
        <v>0</v>
      </c>
      <c r="E517" s="505">
        <f t="shared" si="125"/>
        <v>0</v>
      </c>
      <c r="F517" s="58"/>
      <c r="G517" s="199">
        <f t="shared" si="126"/>
        <v>0</v>
      </c>
      <c r="H517" s="58"/>
      <c r="I517" s="198">
        <f>_xlfn.IFNA(IF(I$7="Fixed",1,IF(AND($D79="yes",I$7="Block"),INDEX($O721:$Q721,1,MATCH(I$5,$I44:$K44,0)),INDEX(Movements!$G721:$M721,1,MATCH(I$7,Movements!$G$716:$M$716,0))))
*I1162*I$8,0)</f>
        <v>0</v>
      </c>
      <c r="J517" s="198">
        <f>_xlfn.IFNA(IF(J$7="Fixed",1,IF(AND($D79="yes",J$7="Block"),INDEX($O721:$Q721,1,MATCH(J$5,$I44:$K44,0)),INDEX(Movements!$G721:$M721,1,MATCH(J$7,Movements!$G$716:$M$716,0))))
*J1162*J$8,0)</f>
        <v>0</v>
      </c>
      <c r="K517" s="198">
        <f>_xlfn.IFNA(IF(K$7="Fixed",1,IF(AND($D79="yes",K$7="Block"),INDEX($O721:$Q721,1,MATCH(K$5,$I44:$K44,0)),INDEX(Movements!$G721:$M721,1,MATCH(K$7,Movements!$G$716:$M$716,0))))
*K1162*K$8,0)</f>
        <v>0</v>
      </c>
      <c r="L517" s="198">
        <f>_xlfn.IFNA(IF(L$7="Fixed",1,IF(AND($D79="yes",L$7="Block"),INDEX($O721:$Q721,1,MATCH(L$5,$I44:$K44,0)),INDEX(Movements!$G721:$M721,1,MATCH(L$7,Movements!$G$716:$M$716,0))))
*L1162*L$8,0)</f>
        <v>0</v>
      </c>
      <c r="M517" s="198">
        <f>_xlfn.IFNA(IF(M$7="Fixed",1,IF(AND($D79="yes",M$7="Block"),INDEX($O721:$Q721,1,MATCH(M$5,$I44:$K44,0)),INDEX(Movements!$G721:$M721,1,MATCH(M$7,Movements!$G$716:$M$716,0))))
*M1162*M$8,0)</f>
        <v>0</v>
      </c>
      <c r="N517" s="198">
        <f>_xlfn.IFNA(IF(N$7="Fixed",1,IF(AND($D79="yes",N$7="Block"),INDEX($O721:$Q721,1,MATCH(N$5,$I44:$K44,0)),INDEX(Movements!$G721:$M721,1,MATCH(N$7,Movements!$G$716:$M$716,0))))
*N1162*N$8,0)</f>
        <v>0</v>
      </c>
      <c r="O517" s="198">
        <f>_xlfn.IFNA(IF(O$7="Fixed",1,IF(AND($D79="yes",O$7="Block"),INDEX($O721:$Q721,1,MATCH(O$5,$I44:$K44,0)),INDEX(Movements!$G721:$M721,1,MATCH(O$7,Movements!$G$716:$M$716,0))))
*O1162*O$8,0)</f>
        <v>0</v>
      </c>
      <c r="P517" s="198">
        <f>_xlfn.IFNA(IF(P$7="Fixed",1,IF(AND($D79="yes",P$7="Block"),INDEX($O721:$Q721,1,MATCH(P$5,$I44:$K44,0)),INDEX(Movements!$G721:$M721,1,MATCH(P$7,Movements!$G$716:$M$716,0))))
*P1162*P$8,0)</f>
        <v>0</v>
      </c>
      <c r="Q517" s="198">
        <f>_xlfn.IFNA(IF(Q$7="Fixed",1,IF(AND($D79="yes",Q$7="Block"),INDEX($O721:$Q721,1,MATCH(Q$5,$I44:$K44,0)),INDEX(Movements!$G721:$M721,1,MATCH(Q$7,Movements!$G$716:$M$716,0))))
*Q1162*Q$8,0)</f>
        <v>0</v>
      </c>
      <c r="R517" s="198">
        <f>_xlfn.IFNA(IF(R$7="Fixed",1,IF(AND($D79="yes",R$7="Block"),INDEX($O721:$Q721,1,MATCH(R$5,$I44:$K44,0)),INDEX(Movements!$G721:$M721,1,MATCH(R$7,Movements!$G$716:$M$716,0))))
*R1162*R$8,0)</f>
        <v>0</v>
      </c>
      <c r="S517" s="198">
        <f>_xlfn.IFNA(IF(S$7="Fixed",1,IF(AND($D79="yes",S$7="Block"),INDEX($O721:$Q721,1,MATCH(S$5,$I44:$K44,0)),INDEX(Movements!$G721:$M721,1,MATCH(S$7,Movements!$G$716:$M$716,0))))
*S1162*S$8,0)</f>
        <v>0</v>
      </c>
      <c r="T517" s="198">
        <f>_xlfn.IFNA(IF(T$7="Fixed",1,IF(AND($D79="yes",T$7="Block"),INDEX($O721:$Q721,1,MATCH(T$5,$I44:$K44,0)),INDEX(Movements!$G721:$M721,1,MATCH(T$7,Movements!$G$716:$M$716,0))))
*T1162*T$8,0)</f>
        <v>0</v>
      </c>
      <c r="U517" s="198">
        <f>_xlfn.IFNA(IF(U$7="Fixed",1,IF(AND($D79="yes",U$7="Block"),INDEX($O721:$Q721,1,MATCH(U$5,$I44:$K44,0)),INDEX(Movements!$G721:$M721,1,MATCH(U$7,Movements!$G$716:$M$716,0))))
*U1162*U$8,0)</f>
        <v>0</v>
      </c>
      <c r="V517" s="198">
        <f>_xlfn.IFNA(IF(V$7="Fixed",1,IF(AND($D79="yes",V$7="Block"),INDEX($O721:$Q721,1,MATCH(V$5,$I44:$K44,0)),INDEX(Movements!$G721:$M721,1,MATCH(V$7,Movements!$G$716:$M$716,0))))
*V1162*V$8,0)</f>
        <v>0</v>
      </c>
      <c r="W517" s="198">
        <f>_xlfn.IFNA(IF(W$7="Fixed",1,IF(AND($D79="yes",W$7="Block"),INDEX($O721:$Q721,1,MATCH(W$5,$I44:$K44,0)),INDEX(Movements!$G721:$M721,1,MATCH(W$7,Movements!$G$716:$M$716,0))))
*W1162*W$8,0)</f>
        <v>0</v>
      </c>
      <c r="X517" s="198">
        <f>_xlfn.IFNA(IF(X$7="Fixed",1,IF(AND($D79="yes",X$7="Block"),INDEX($O721:$Q721,1,MATCH(X$5,$I44:$K44,0)),INDEX(Movements!$G721:$M721,1,MATCH(X$7,Movements!$G$716:$M$716,0))))
*X1162*X$8,0)</f>
        <v>0</v>
      </c>
      <c r="Y517" s="198">
        <f>_xlfn.IFNA(IF(Y$7="Fixed",1,IF(AND($D79="yes",Y$7="Block"),INDEX($O721:$Q721,1,MATCH(Y$5,$I44:$K44,0)),INDEX(Movements!$G721:$M721,1,MATCH(Y$7,Movements!$G$716:$M$716,0))))
*Y1162*Y$8,0)</f>
        <v>0</v>
      </c>
      <c r="Z517" s="198">
        <f>_xlfn.IFNA(IF(Z$7="Fixed",1,IF(AND($D79="yes",Z$7="Block"),INDEX($O721:$Q721,1,MATCH(Z$5,$I44:$K44,0)),INDEX(Movements!$G721:$M721,1,MATCH(Z$7,Movements!$G$716:$M$716,0))))
*Z1162*Z$8,0)</f>
        <v>0</v>
      </c>
      <c r="AA517" s="198">
        <f>_xlfn.IFNA(IF(AA$7="Fixed",1,IF(AND($D79="yes",AA$7="Block"),INDEX($O721:$Q721,1,MATCH(AA$5,$I44:$K44,0)),INDEX(Movements!$G721:$M721,1,MATCH(AA$7,Movements!$G$716:$M$716,0))))
*AA1162*AA$8,0)</f>
        <v>0</v>
      </c>
      <c r="AB517" s="198">
        <f>_xlfn.IFNA(IF(AB$7="Fixed",1,IF(AND($D79="yes",AB$7="Block"),INDEX($O721:$Q721,1,MATCH(AB$5,$I44:$K44,0)),INDEX(Movements!$G721:$M721,1,MATCH(AB$7,Movements!$G$716:$M$716,0))))
*AB1162*AB$8,0)</f>
        <v>0</v>
      </c>
      <c r="AC517" s="70"/>
      <c r="AD517" s="19"/>
      <c r="AE517" s="19"/>
      <c r="AF517" s="19"/>
      <c r="AG517" s="19"/>
    </row>
    <row r="518" spans="1:33" hidden="1" outlineLevel="3" x14ac:dyDescent="0.2">
      <c r="A518" s="19"/>
      <c r="B518" s="97">
        <v>4</v>
      </c>
      <c r="C518" s="506">
        <f t="shared" si="125"/>
        <v>0</v>
      </c>
      <c r="D518" s="505">
        <f t="shared" si="125"/>
        <v>0</v>
      </c>
      <c r="E518" s="505">
        <f t="shared" si="125"/>
        <v>0</v>
      </c>
      <c r="F518" s="58"/>
      <c r="G518" s="199">
        <f t="shared" si="126"/>
        <v>0</v>
      </c>
      <c r="H518" s="58"/>
      <c r="I518" s="198">
        <f>_xlfn.IFNA(IF(I$7="Fixed",1,IF(AND($D80="yes",I$7="Block"),INDEX($O722:$Q722,1,MATCH(I$5,$I45:$K45,0)),INDEX(Movements!$G722:$M722,1,MATCH(I$7,Movements!$G$716:$M$716,0))))
*I1163*I$8,0)</f>
        <v>0</v>
      </c>
      <c r="J518" s="198">
        <f>_xlfn.IFNA(IF(J$7="Fixed",1,IF(AND($D80="yes",J$7="Block"),INDEX($O722:$Q722,1,MATCH(J$5,$I45:$K45,0)),INDEX(Movements!$G722:$M722,1,MATCH(J$7,Movements!$G$716:$M$716,0))))
*J1163*J$8,0)</f>
        <v>0</v>
      </c>
      <c r="K518" s="198">
        <f>_xlfn.IFNA(IF(K$7="Fixed",1,IF(AND($D80="yes",K$7="Block"),INDEX($O722:$Q722,1,MATCH(K$5,$I45:$K45,0)),INDEX(Movements!$G722:$M722,1,MATCH(K$7,Movements!$G$716:$M$716,0))))
*K1163*K$8,0)</f>
        <v>0</v>
      </c>
      <c r="L518" s="198">
        <f>_xlfn.IFNA(IF(L$7="Fixed",1,IF(AND($D80="yes",L$7="Block"),INDEX($O722:$Q722,1,MATCH(L$5,$I45:$K45,0)),INDEX(Movements!$G722:$M722,1,MATCH(L$7,Movements!$G$716:$M$716,0))))
*L1163*L$8,0)</f>
        <v>0</v>
      </c>
      <c r="M518" s="198">
        <f>_xlfn.IFNA(IF(M$7="Fixed",1,IF(AND($D80="yes",M$7="Block"),INDEX($O722:$Q722,1,MATCH(M$5,$I45:$K45,0)),INDEX(Movements!$G722:$M722,1,MATCH(M$7,Movements!$G$716:$M$716,0))))
*M1163*M$8,0)</f>
        <v>0</v>
      </c>
      <c r="N518" s="198">
        <f>_xlfn.IFNA(IF(N$7="Fixed",1,IF(AND($D80="yes",N$7="Block"),INDEX($O722:$Q722,1,MATCH(N$5,$I45:$K45,0)),INDEX(Movements!$G722:$M722,1,MATCH(N$7,Movements!$G$716:$M$716,0))))
*N1163*N$8,0)</f>
        <v>0</v>
      </c>
      <c r="O518" s="198">
        <f>_xlfn.IFNA(IF(O$7="Fixed",1,IF(AND($D80="yes",O$7="Block"),INDEX($O722:$Q722,1,MATCH(O$5,$I45:$K45,0)),INDEX(Movements!$G722:$M722,1,MATCH(O$7,Movements!$G$716:$M$716,0))))
*O1163*O$8,0)</f>
        <v>0</v>
      </c>
      <c r="P518" s="198">
        <f>_xlfn.IFNA(IF(P$7="Fixed",1,IF(AND($D80="yes",P$7="Block"),INDEX($O722:$Q722,1,MATCH(P$5,$I45:$K45,0)),INDEX(Movements!$G722:$M722,1,MATCH(P$7,Movements!$G$716:$M$716,0))))
*P1163*P$8,0)</f>
        <v>0</v>
      </c>
      <c r="Q518" s="198">
        <f>_xlfn.IFNA(IF(Q$7="Fixed",1,IF(AND($D80="yes",Q$7="Block"),INDEX($O722:$Q722,1,MATCH(Q$5,$I45:$K45,0)),INDEX(Movements!$G722:$M722,1,MATCH(Q$7,Movements!$G$716:$M$716,0))))
*Q1163*Q$8,0)</f>
        <v>0</v>
      </c>
      <c r="R518" s="198">
        <f>_xlfn.IFNA(IF(R$7="Fixed",1,IF(AND($D80="yes",R$7="Block"),INDEX($O722:$Q722,1,MATCH(R$5,$I45:$K45,0)),INDEX(Movements!$G722:$M722,1,MATCH(R$7,Movements!$G$716:$M$716,0))))
*R1163*R$8,0)</f>
        <v>0</v>
      </c>
      <c r="S518" s="198">
        <f>_xlfn.IFNA(IF(S$7="Fixed",1,IF(AND($D80="yes",S$7="Block"),INDEX($O722:$Q722,1,MATCH(S$5,$I45:$K45,0)),INDEX(Movements!$G722:$M722,1,MATCH(S$7,Movements!$G$716:$M$716,0))))
*S1163*S$8,0)</f>
        <v>0</v>
      </c>
      <c r="T518" s="198">
        <f>_xlfn.IFNA(IF(T$7="Fixed",1,IF(AND($D80="yes",T$7="Block"),INDEX($O722:$Q722,1,MATCH(T$5,$I45:$K45,0)),INDEX(Movements!$G722:$M722,1,MATCH(T$7,Movements!$G$716:$M$716,0))))
*T1163*T$8,0)</f>
        <v>0</v>
      </c>
      <c r="U518" s="198">
        <f>_xlfn.IFNA(IF(U$7="Fixed",1,IF(AND($D80="yes",U$7="Block"),INDEX($O722:$Q722,1,MATCH(U$5,$I45:$K45,0)),INDEX(Movements!$G722:$M722,1,MATCH(U$7,Movements!$G$716:$M$716,0))))
*U1163*U$8,0)</f>
        <v>0</v>
      </c>
      <c r="V518" s="198">
        <f>_xlfn.IFNA(IF(V$7="Fixed",1,IF(AND($D80="yes",V$7="Block"),INDEX($O722:$Q722,1,MATCH(V$5,$I45:$K45,0)),INDEX(Movements!$G722:$M722,1,MATCH(V$7,Movements!$G$716:$M$716,0))))
*V1163*V$8,0)</f>
        <v>0</v>
      </c>
      <c r="W518" s="198">
        <f>_xlfn.IFNA(IF(W$7="Fixed",1,IF(AND($D80="yes",W$7="Block"),INDEX($O722:$Q722,1,MATCH(W$5,$I45:$K45,0)),INDEX(Movements!$G722:$M722,1,MATCH(W$7,Movements!$G$716:$M$716,0))))
*W1163*W$8,0)</f>
        <v>0</v>
      </c>
      <c r="X518" s="198">
        <f>_xlfn.IFNA(IF(X$7="Fixed",1,IF(AND($D80="yes",X$7="Block"),INDEX($O722:$Q722,1,MATCH(X$5,$I45:$K45,0)),INDEX(Movements!$G722:$M722,1,MATCH(X$7,Movements!$G$716:$M$716,0))))
*X1163*X$8,0)</f>
        <v>0</v>
      </c>
      <c r="Y518" s="198">
        <f>_xlfn.IFNA(IF(Y$7="Fixed",1,IF(AND($D80="yes",Y$7="Block"),INDEX($O722:$Q722,1,MATCH(Y$5,$I45:$K45,0)),INDEX(Movements!$G722:$M722,1,MATCH(Y$7,Movements!$G$716:$M$716,0))))
*Y1163*Y$8,0)</f>
        <v>0</v>
      </c>
      <c r="Z518" s="198">
        <f>_xlfn.IFNA(IF(Z$7="Fixed",1,IF(AND($D80="yes",Z$7="Block"),INDEX($O722:$Q722,1,MATCH(Z$5,$I45:$K45,0)),INDEX(Movements!$G722:$M722,1,MATCH(Z$7,Movements!$G$716:$M$716,0))))
*Z1163*Z$8,0)</f>
        <v>0</v>
      </c>
      <c r="AA518" s="198">
        <f>_xlfn.IFNA(IF(AA$7="Fixed",1,IF(AND($D80="yes",AA$7="Block"),INDEX($O722:$Q722,1,MATCH(AA$5,$I45:$K45,0)),INDEX(Movements!$G722:$M722,1,MATCH(AA$7,Movements!$G$716:$M$716,0))))
*AA1163*AA$8,0)</f>
        <v>0</v>
      </c>
      <c r="AB518" s="198">
        <f>_xlfn.IFNA(IF(AB$7="Fixed",1,IF(AND($D80="yes",AB$7="Block"),INDEX($O722:$Q722,1,MATCH(AB$5,$I45:$K45,0)),INDEX(Movements!$G722:$M722,1,MATCH(AB$7,Movements!$G$716:$M$716,0))))
*AB1163*AB$8,0)</f>
        <v>0</v>
      </c>
      <c r="AC518" s="70"/>
      <c r="AD518" s="19"/>
      <c r="AE518" s="19"/>
      <c r="AF518" s="19"/>
      <c r="AG518" s="19"/>
    </row>
    <row r="519" spans="1:33" hidden="1" outlineLevel="3" x14ac:dyDescent="0.2">
      <c r="A519" s="19"/>
      <c r="B519" s="97">
        <v>5</v>
      </c>
      <c r="C519" s="506">
        <f t="shared" si="125"/>
        <v>0</v>
      </c>
      <c r="D519" s="505">
        <f t="shared" si="125"/>
        <v>0</v>
      </c>
      <c r="E519" s="505">
        <f t="shared" si="125"/>
        <v>0</v>
      </c>
      <c r="F519" s="58"/>
      <c r="G519" s="199">
        <f t="shared" si="126"/>
        <v>0</v>
      </c>
      <c r="H519" s="58"/>
      <c r="I519" s="198">
        <f>_xlfn.IFNA(IF(I$7="Fixed",1,IF(AND($D81="yes",I$7="Block"),INDEX($O723:$Q723,1,MATCH(I$5,$I46:$K46,0)),INDEX(Movements!$G723:$M723,1,MATCH(I$7,Movements!$G$716:$M$716,0))))
*I1164*I$8,0)</f>
        <v>0</v>
      </c>
      <c r="J519" s="198">
        <f>_xlfn.IFNA(IF(J$7="Fixed",1,IF(AND($D81="yes",J$7="Block"),INDEX($O723:$Q723,1,MATCH(J$5,$I46:$K46,0)),INDEX(Movements!$G723:$M723,1,MATCH(J$7,Movements!$G$716:$M$716,0))))
*J1164*J$8,0)</f>
        <v>0</v>
      </c>
      <c r="K519" s="198">
        <f>_xlfn.IFNA(IF(K$7="Fixed",1,IF(AND($D81="yes",K$7="Block"),INDEX($O723:$Q723,1,MATCH(K$5,$I46:$K46,0)),INDEX(Movements!$G723:$M723,1,MATCH(K$7,Movements!$G$716:$M$716,0))))
*K1164*K$8,0)</f>
        <v>0</v>
      </c>
      <c r="L519" s="198">
        <f>_xlfn.IFNA(IF(L$7="Fixed",1,IF(AND($D81="yes",L$7="Block"),INDEX($O723:$Q723,1,MATCH(L$5,$I46:$K46,0)),INDEX(Movements!$G723:$M723,1,MATCH(L$7,Movements!$G$716:$M$716,0))))
*L1164*L$8,0)</f>
        <v>0</v>
      </c>
      <c r="M519" s="198">
        <f>_xlfn.IFNA(IF(M$7="Fixed",1,IF(AND($D81="yes",M$7="Block"),INDEX($O723:$Q723,1,MATCH(M$5,$I46:$K46,0)),INDEX(Movements!$G723:$M723,1,MATCH(M$7,Movements!$G$716:$M$716,0))))
*M1164*M$8,0)</f>
        <v>0</v>
      </c>
      <c r="N519" s="198">
        <f>_xlfn.IFNA(IF(N$7="Fixed",1,IF(AND($D81="yes",N$7="Block"),INDEX($O723:$Q723,1,MATCH(N$5,$I46:$K46,0)),INDEX(Movements!$G723:$M723,1,MATCH(N$7,Movements!$G$716:$M$716,0))))
*N1164*N$8,0)</f>
        <v>0</v>
      </c>
      <c r="O519" s="198">
        <f>_xlfn.IFNA(IF(O$7="Fixed",1,IF(AND($D81="yes",O$7="Block"),INDEX($O723:$Q723,1,MATCH(O$5,$I46:$K46,0)),INDEX(Movements!$G723:$M723,1,MATCH(O$7,Movements!$G$716:$M$716,0))))
*O1164*O$8,0)</f>
        <v>0</v>
      </c>
      <c r="P519" s="198">
        <f>_xlfn.IFNA(IF(P$7="Fixed",1,IF(AND($D81="yes",P$7="Block"),INDEX($O723:$Q723,1,MATCH(P$5,$I46:$K46,0)),INDEX(Movements!$G723:$M723,1,MATCH(P$7,Movements!$G$716:$M$716,0))))
*P1164*P$8,0)</f>
        <v>0</v>
      </c>
      <c r="Q519" s="198">
        <f>_xlfn.IFNA(IF(Q$7="Fixed",1,IF(AND($D81="yes",Q$7="Block"),INDEX($O723:$Q723,1,MATCH(Q$5,$I46:$K46,0)),INDEX(Movements!$G723:$M723,1,MATCH(Q$7,Movements!$G$716:$M$716,0))))
*Q1164*Q$8,0)</f>
        <v>0</v>
      </c>
      <c r="R519" s="198">
        <f>_xlfn.IFNA(IF(R$7="Fixed",1,IF(AND($D81="yes",R$7="Block"),INDEX($O723:$Q723,1,MATCH(R$5,$I46:$K46,0)),INDEX(Movements!$G723:$M723,1,MATCH(R$7,Movements!$G$716:$M$716,0))))
*R1164*R$8,0)</f>
        <v>0</v>
      </c>
      <c r="S519" s="198">
        <f>_xlfn.IFNA(IF(S$7="Fixed",1,IF(AND($D81="yes",S$7="Block"),INDEX($O723:$Q723,1,MATCH(S$5,$I46:$K46,0)),INDEX(Movements!$G723:$M723,1,MATCH(S$7,Movements!$G$716:$M$716,0))))
*S1164*S$8,0)</f>
        <v>0</v>
      </c>
      <c r="T519" s="198">
        <f>_xlfn.IFNA(IF(T$7="Fixed",1,IF(AND($D81="yes",T$7="Block"),INDEX($O723:$Q723,1,MATCH(T$5,$I46:$K46,0)),INDEX(Movements!$G723:$M723,1,MATCH(T$7,Movements!$G$716:$M$716,0))))
*T1164*T$8,0)</f>
        <v>0</v>
      </c>
      <c r="U519" s="198">
        <f>_xlfn.IFNA(IF(U$7="Fixed",1,IF(AND($D81="yes",U$7="Block"),INDEX($O723:$Q723,1,MATCH(U$5,$I46:$K46,0)),INDEX(Movements!$G723:$M723,1,MATCH(U$7,Movements!$G$716:$M$716,0))))
*U1164*U$8,0)</f>
        <v>0</v>
      </c>
      <c r="V519" s="198">
        <f>_xlfn.IFNA(IF(V$7="Fixed",1,IF(AND($D81="yes",V$7="Block"),INDEX($O723:$Q723,1,MATCH(V$5,$I46:$K46,0)),INDEX(Movements!$G723:$M723,1,MATCH(V$7,Movements!$G$716:$M$716,0))))
*V1164*V$8,0)</f>
        <v>0</v>
      </c>
      <c r="W519" s="198">
        <f>_xlfn.IFNA(IF(W$7="Fixed",1,IF(AND($D81="yes",W$7="Block"),INDEX($O723:$Q723,1,MATCH(W$5,$I46:$K46,0)),INDEX(Movements!$G723:$M723,1,MATCH(W$7,Movements!$G$716:$M$716,0))))
*W1164*W$8,0)</f>
        <v>0</v>
      </c>
      <c r="X519" s="198">
        <f>_xlfn.IFNA(IF(X$7="Fixed",1,IF(AND($D81="yes",X$7="Block"),INDEX($O723:$Q723,1,MATCH(X$5,$I46:$K46,0)),INDEX(Movements!$G723:$M723,1,MATCH(X$7,Movements!$G$716:$M$716,0))))
*X1164*X$8,0)</f>
        <v>0</v>
      </c>
      <c r="Y519" s="198">
        <f>_xlfn.IFNA(IF(Y$7="Fixed",1,IF(AND($D81="yes",Y$7="Block"),INDEX($O723:$Q723,1,MATCH(Y$5,$I46:$K46,0)),INDEX(Movements!$G723:$M723,1,MATCH(Y$7,Movements!$G$716:$M$716,0))))
*Y1164*Y$8,0)</f>
        <v>0</v>
      </c>
      <c r="Z519" s="198">
        <f>_xlfn.IFNA(IF(Z$7="Fixed",1,IF(AND($D81="yes",Z$7="Block"),INDEX($O723:$Q723,1,MATCH(Z$5,$I46:$K46,0)),INDEX(Movements!$G723:$M723,1,MATCH(Z$7,Movements!$G$716:$M$716,0))))
*Z1164*Z$8,0)</f>
        <v>0</v>
      </c>
      <c r="AA519" s="198">
        <f>_xlfn.IFNA(IF(AA$7="Fixed",1,IF(AND($D81="yes",AA$7="Block"),INDEX($O723:$Q723,1,MATCH(AA$5,$I46:$K46,0)),INDEX(Movements!$G723:$M723,1,MATCH(AA$7,Movements!$G$716:$M$716,0))))
*AA1164*AA$8,0)</f>
        <v>0</v>
      </c>
      <c r="AB519" s="198">
        <f>_xlfn.IFNA(IF(AB$7="Fixed",1,IF(AND($D81="yes",AB$7="Block"),INDEX($O723:$Q723,1,MATCH(AB$5,$I46:$K46,0)),INDEX(Movements!$G723:$M723,1,MATCH(AB$7,Movements!$G$716:$M$716,0))))
*AB1164*AB$8,0)</f>
        <v>0</v>
      </c>
      <c r="AC519" s="70"/>
      <c r="AD519" s="19"/>
      <c r="AE519" s="19"/>
      <c r="AF519" s="19"/>
      <c r="AG519" s="19"/>
    </row>
    <row r="520" spans="1:33" hidden="1" outlineLevel="3" x14ac:dyDescent="0.2">
      <c r="A520" s="19"/>
      <c r="B520" s="97">
        <v>6</v>
      </c>
      <c r="C520" s="506">
        <f t="shared" si="125"/>
        <v>0</v>
      </c>
      <c r="D520" s="505">
        <f t="shared" si="125"/>
        <v>0</v>
      </c>
      <c r="E520" s="505">
        <f t="shared" si="125"/>
        <v>0</v>
      </c>
      <c r="F520" s="58"/>
      <c r="G520" s="199">
        <f t="shared" si="126"/>
        <v>0</v>
      </c>
      <c r="H520" s="58"/>
      <c r="I520" s="198">
        <f>_xlfn.IFNA(IF(I$7="Fixed",1,IF(AND($D82="yes",I$7="Block"),INDEX($O724:$Q724,1,MATCH(I$5,$I47:$K47,0)),INDEX(Movements!$G724:$M724,1,MATCH(I$7,Movements!$G$716:$M$716,0))))
*I1165*I$8,0)</f>
        <v>0</v>
      </c>
      <c r="J520" s="198">
        <f>_xlfn.IFNA(IF(J$7="Fixed",1,IF(AND($D82="yes",J$7="Block"),INDEX($O724:$Q724,1,MATCH(J$5,$I47:$K47,0)),INDEX(Movements!$G724:$M724,1,MATCH(J$7,Movements!$G$716:$M$716,0))))
*J1165*J$8,0)</f>
        <v>0</v>
      </c>
      <c r="K520" s="198">
        <f>_xlfn.IFNA(IF(K$7="Fixed",1,IF(AND($D82="yes",K$7="Block"),INDEX($O724:$Q724,1,MATCH(K$5,$I47:$K47,0)),INDEX(Movements!$G724:$M724,1,MATCH(K$7,Movements!$G$716:$M$716,0))))
*K1165*K$8,0)</f>
        <v>0</v>
      </c>
      <c r="L520" s="198">
        <f>_xlfn.IFNA(IF(L$7="Fixed",1,IF(AND($D82="yes",L$7="Block"),INDEX($O724:$Q724,1,MATCH(L$5,$I47:$K47,0)),INDEX(Movements!$G724:$M724,1,MATCH(L$7,Movements!$G$716:$M$716,0))))
*L1165*L$8,0)</f>
        <v>0</v>
      </c>
      <c r="M520" s="198">
        <f>_xlfn.IFNA(IF(M$7="Fixed",1,IF(AND($D82="yes",M$7="Block"),INDEX($O724:$Q724,1,MATCH(M$5,$I47:$K47,0)),INDEX(Movements!$G724:$M724,1,MATCH(M$7,Movements!$G$716:$M$716,0))))
*M1165*M$8,0)</f>
        <v>0</v>
      </c>
      <c r="N520" s="198">
        <f>_xlfn.IFNA(IF(N$7="Fixed",1,IF(AND($D82="yes",N$7="Block"),INDEX($O724:$Q724,1,MATCH(N$5,$I47:$K47,0)),INDEX(Movements!$G724:$M724,1,MATCH(N$7,Movements!$G$716:$M$716,0))))
*N1165*N$8,0)</f>
        <v>0</v>
      </c>
      <c r="O520" s="198">
        <f>_xlfn.IFNA(IF(O$7="Fixed",1,IF(AND($D82="yes",O$7="Block"),INDEX($O724:$Q724,1,MATCH(O$5,$I47:$K47,0)),INDEX(Movements!$G724:$M724,1,MATCH(O$7,Movements!$G$716:$M$716,0))))
*O1165*O$8,0)</f>
        <v>0</v>
      </c>
      <c r="P520" s="198">
        <f>_xlfn.IFNA(IF(P$7="Fixed",1,IF(AND($D82="yes",P$7="Block"),INDEX($O724:$Q724,1,MATCH(P$5,$I47:$K47,0)),INDEX(Movements!$G724:$M724,1,MATCH(P$7,Movements!$G$716:$M$716,0))))
*P1165*P$8,0)</f>
        <v>0</v>
      </c>
      <c r="Q520" s="198">
        <f>_xlfn.IFNA(IF(Q$7="Fixed",1,IF(AND($D82="yes",Q$7="Block"),INDEX($O724:$Q724,1,MATCH(Q$5,$I47:$K47,0)),INDEX(Movements!$G724:$M724,1,MATCH(Q$7,Movements!$G$716:$M$716,0))))
*Q1165*Q$8,0)</f>
        <v>0</v>
      </c>
      <c r="R520" s="198">
        <f>_xlfn.IFNA(IF(R$7="Fixed",1,IF(AND($D82="yes",R$7="Block"),INDEX($O724:$Q724,1,MATCH(R$5,$I47:$K47,0)),INDEX(Movements!$G724:$M724,1,MATCH(R$7,Movements!$G$716:$M$716,0))))
*R1165*R$8,0)</f>
        <v>0</v>
      </c>
      <c r="S520" s="198">
        <f>_xlfn.IFNA(IF(S$7="Fixed",1,IF(AND($D82="yes",S$7="Block"),INDEX($O724:$Q724,1,MATCH(S$5,$I47:$K47,0)),INDEX(Movements!$G724:$M724,1,MATCH(S$7,Movements!$G$716:$M$716,0))))
*S1165*S$8,0)</f>
        <v>0</v>
      </c>
      <c r="T520" s="198">
        <f>_xlfn.IFNA(IF(T$7="Fixed",1,IF(AND($D82="yes",T$7="Block"),INDEX($O724:$Q724,1,MATCH(T$5,$I47:$K47,0)),INDEX(Movements!$G724:$M724,1,MATCH(T$7,Movements!$G$716:$M$716,0))))
*T1165*T$8,0)</f>
        <v>0</v>
      </c>
      <c r="U520" s="198">
        <f>_xlfn.IFNA(IF(U$7="Fixed",1,IF(AND($D82="yes",U$7="Block"),INDEX($O724:$Q724,1,MATCH(U$5,$I47:$K47,0)),INDEX(Movements!$G724:$M724,1,MATCH(U$7,Movements!$G$716:$M$716,0))))
*U1165*U$8,0)</f>
        <v>0</v>
      </c>
      <c r="V520" s="198">
        <f>_xlfn.IFNA(IF(V$7="Fixed",1,IF(AND($D82="yes",V$7="Block"),INDEX($O724:$Q724,1,MATCH(V$5,$I47:$K47,0)),INDEX(Movements!$G724:$M724,1,MATCH(V$7,Movements!$G$716:$M$716,0))))
*V1165*V$8,0)</f>
        <v>0</v>
      </c>
      <c r="W520" s="198">
        <f>_xlfn.IFNA(IF(W$7="Fixed",1,IF(AND($D82="yes",W$7="Block"),INDEX($O724:$Q724,1,MATCH(W$5,$I47:$K47,0)),INDEX(Movements!$G724:$M724,1,MATCH(W$7,Movements!$G$716:$M$716,0))))
*W1165*W$8,0)</f>
        <v>0</v>
      </c>
      <c r="X520" s="198">
        <f>_xlfn.IFNA(IF(X$7="Fixed",1,IF(AND($D82="yes",X$7="Block"),INDEX($O724:$Q724,1,MATCH(X$5,$I47:$K47,0)),INDEX(Movements!$G724:$M724,1,MATCH(X$7,Movements!$G$716:$M$716,0))))
*X1165*X$8,0)</f>
        <v>0</v>
      </c>
      <c r="Y520" s="198">
        <f>_xlfn.IFNA(IF(Y$7="Fixed",1,IF(AND($D82="yes",Y$7="Block"),INDEX($O724:$Q724,1,MATCH(Y$5,$I47:$K47,0)),INDEX(Movements!$G724:$M724,1,MATCH(Y$7,Movements!$G$716:$M$716,0))))
*Y1165*Y$8,0)</f>
        <v>0</v>
      </c>
      <c r="Z520" s="198">
        <f>_xlfn.IFNA(IF(Z$7="Fixed",1,IF(AND($D82="yes",Z$7="Block"),INDEX($O724:$Q724,1,MATCH(Z$5,$I47:$K47,0)),INDEX(Movements!$G724:$M724,1,MATCH(Z$7,Movements!$G$716:$M$716,0))))
*Z1165*Z$8,0)</f>
        <v>0</v>
      </c>
      <c r="AA520" s="198">
        <f>_xlfn.IFNA(IF(AA$7="Fixed",1,IF(AND($D82="yes",AA$7="Block"),INDEX($O724:$Q724,1,MATCH(AA$5,$I47:$K47,0)),INDEX(Movements!$G724:$M724,1,MATCH(AA$7,Movements!$G$716:$M$716,0))))
*AA1165*AA$8,0)</f>
        <v>0</v>
      </c>
      <c r="AB520" s="198">
        <f>_xlfn.IFNA(IF(AB$7="Fixed",1,IF(AND($D82="yes",AB$7="Block"),INDEX($O724:$Q724,1,MATCH(AB$5,$I47:$K47,0)),INDEX(Movements!$G724:$M724,1,MATCH(AB$7,Movements!$G$716:$M$716,0))))
*AB1165*AB$8,0)</f>
        <v>0</v>
      </c>
      <c r="AC520" s="70"/>
      <c r="AD520" s="19"/>
      <c r="AE520" s="19"/>
      <c r="AF520" s="19"/>
      <c r="AG520" s="19"/>
    </row>
    <row r="521" spans="1:33" hidden="1" outlineLevel="3" x14ac:dyDescent="0.2">
      <c r="A521" s="19"/>
      <c r="B521" s="97">
        <v>7</v>
      </c>
      <c r="C521" s="506">
        <f t="shared" si="125"/>
        <v>0</v>
      </c>
      <c r="D521" s="505">
        <f t="shared" si="125"/>
        <v>0</v>
      </c>
      <c r="E521" s="505">
        <f t="shared" si="125"/>
        <v>0</v>
      </c>
      <c r="F521" s="58"/>
      <c r="G521" s="199">
        <f t="shared" si="126"/>
        <v>0</v>
      </c>
      <c r="H521" s="58"/>
      <c r="I521" s="198">
        <f>_xlfn.IFNA(IF(I$7="Fixed",1,IF(AND($D83="yes",I$7="Block"),INDEX($O725:$Q725,1,MATCH(I$5,$I48:$K48,0)),INDEX(Movements!$G725:$M725,1,MATCH(I$7,Movements!$G$716:$M$716,0))))
*I1166*I$8,0)</f>
        <v>0</v>
      </c>
      <c r="J521" s="198">
        <f>_xlfn.IFNA(IF(J$7="Fixed",1,IF(AND($D83="yes",J$7="Block"),INDEX($O725:$Q725,1,MATCH(J$5,$I48:$K48,0)),INDEX(Movements!$G725:$M725,1,MATCH(J$7,Movements!$G$716:$M$716,0))))
*J1166*J$8,0)</f>
        <v>0</v>
      </c>
      <c r="K521" s="198">
        <f>_xlfn.IFNA(IF(K$7="Fixed",1,IF(AND($D83="yes",K$7="Block"),INDEX($O725:$Q725,1,MATCH(K$5,$I48:$K48,0)),INDEX(Movements!$G725:$M725,1,MATCH(K$7,Movements!$G$716:$M$716,0))))
*K1166*K$8,0)</f>
        <v>0</v>
      </c>
      <c r="L521" s="198">
        <f>_xlfn.IFNA(IF(L$7="Fixed",1,IF(AND($D83="yes",L$7="Block"),INDEX($O725:$Q725,1,MATCH(L$5,$I48:$K48,0)),INDEX(Movements!$G725:$M725,1,MATCH(L$7,Movements!$G$716:$M$716,0))))
*L1166*L$8,0)</f>
        <v>0</v>
      </c>
      <c r="M521" s="198">
        <f>_xlfn.IFNA(IF(M$7="Fixed",1,IF(AND($D83="yes",M$7="Block"),INDEX($O725:$Q725,1,MATCH(M$5,$I48:$K48,0)),INDEX(Movements!$G725:$M725,1,MATCH(M$7,Movements!$G$716:$M$716,0))))
*M1166*M$8,0)</f>
        <v>0</v>
      </c>
      <c r="N521" s="198">
        <f>_xlfn.IFNA(IF(N$7="Fixed",1,IF(AND($D83="yes",N$7="Block"),INDEX($O725:$Q725,1,MATCH(N$5,$I48:$K48,0)),INDEX(Movements!$G725:$M725,1,MATCH(N$7,Movements!$G$716:$M$716,0))))
*N1166*N$8,0)</f>
        <v>0</v>
      </c>
      <c r="O521" s="198">
        <f>_xlfn.IFNA(IF(O$7="Fixed",1,IF(AND($D83="yes",O$7="Block"),INDEX($O725:$Q725,1,MATCH(O$5,$I48:$K48,0)),INDEX(Movements!$G725:$M725,1,MATCH(O$7,Movements!$G$716:$M$716,0))))
*O1166*O$8,0)</f>
        <v>0</v>
      </c>
      <c r="P521" s="198">
        <f>_xlfn.IFNA(IF(P$7="Fixed",1,IF(AND($D83="yes",P$7="Block"),INDEX($O725:$Q725,1,MATCH(P$5,$I48:$K48,0)),INDEX(Movements!$G725:$M725,1,MATCH(P$7,Movements!$G$716:$M$716,0))))
*P1166*P$8,0)</f>
        <v>0</v>
      </c>
      <c r="Q521" s="198">
        <f>_xlfn.IFNA(IF(Q$7="Fixed",1,IF(AND($D83="yes",Q$7="Block"),INDEX($O725:$Q725,1,MATCH(Q$5,$I48:$K48,0)),INDEX(Movements!$G725:$M725,1,MATCH(Q$7,Movements!$G$716:$M$716,0))))
*Q1166*Q$8,0)</f>
        <v>0</v>
      </c>
      <c r="R521" s="198">
        <f>_xlfn.IFNA(IF(R$7="Fixed",1,IF(AND($D83="yes",R$7="Block"),INDEX($O725:$Q725,1,MATCH(R$5,$I48:$K48,0)),INDEX(Movements!$G725:$M725,1,MATCH(R$7,Movements!$G$716:$M$716,0))))
*R1166*R$8,0)</f>
        <v>0</v>
      </c>
      <c r="S521" s="198">
        <f>_xlfn.IFNA(IF(S$7="Fixed",1,IF(AND($D83="yes",S$7="Block"),INDEX($O725:$Q725,1,MATCH(S$5,$I48:$K48,0)),INDEX(Movements!$G725:$M725,1,MATCH(S$7,Movements!$G$716:$M$716,0))))
*S1166*S$8,0)</f>
        <v>0</v>
      </c>
      <c r="T521" s="198">
        <f>_xlfn.IFNA(IF(T$7="Fixed",1,IF(AND($D83="yes",T$7="Block"),INDEX($O725:$Q725,1,MATCH(T$5,$I48:$K48,0)),INDEX(Movements!$G725:$M725,1,MATCH(T$7,Movements!$G$716:$M$716,0))))
*T1166*T$8,0)</f>
        <v>0</v>
      </c>
      <c r="U521" s="198">
        <f>_xlfn.IFNA(IF(U$7="Fixed",1,IF(AND($D83="yes",U$7="Block"),INDEX($O725:$Q725,1,MATCH(U$5,$I48:$K48,0)),INDEX(Movements!$G725:$M725,1,MATCH(U$7,Movements!$G$716:$M$716,0))))
*U1166*U$8,0)</f>
        <v>0</v>
      </c>
      <c r="V521" s="198">
        <f>_xlfn.IFNA(IF(V$7="Fixed",1,IF(AND($D83="yes",V$7="Block"),INDEX($O725:$Q725,1,MATCH(V$5,$I48:$K48,0)),INDEX(Movements!$G725:$M725,1,MATCH(V$7,Movements!$G$716:$M$716,0))))
*V1166*V$8,0)</f>
        <v>0</v>
      </c>
      <c r="W521" s="198">
        <f>_xlfn.IFNA(IF(W$7="Fixed",1,IF(AND($D83="yes",W$7="Block"),INDEX($O725:$Q725,1,MATCH(W$5,$I48:$K48,0)),INDEX(Movements!$G725:$M725,1,MATCH(W$7,Movements!$G$716:$M$716,0))))
*W1166*W$8,0)</f>
        <v>0</v>
      </c>
      <c r="X521" s="198">
        <f>_xlfn.IFNA(IF(X$7="Fixed",1,IF(AND($D83="yes",X$7="Block"),INDEX($O725:$Q725,1,MATCH(X$5,$I48:$K48,0)),INDEX(Movements!$G725:$M725,1,MATCH(X$7,Movements!$G$716:$M$716,0))))
*X1166*X$8,0)</f>
        <v>0</v>
      </c>
      <c r="Y521" s="198">
        <f>_xlfn.IFNA(IF(Y$7="Fixed",1,IF(AND($D83="yes",Y$7="Block"),INDEX($O725:$Q725,1,MATCH(Y$5,$I48:$K48,0)),INDEX(Movements!$G725:$M725,1,MATCH(Y$7,Movements!$G$716:$M$716,0))))
*Y1166*Y$8,0)</f>
        <v>0</v>
      </c>
      <c r="Z521" s="198">
        <f>_xlfn.IFNA(IF(Z$7="Fixed",1,IF(AND($D83="yes",Z$7="Block"),INDEX($O725:$Q725,1,MATCH(Z$5,$I48:$K48,0)),INDEX(Movements!$G725:$M725,1,MATCH(Z$7,Movements!$G$716:$M$716,0))))
*Z1166*Z$8,0)</f>
        <v>0</v>
      </c>
      <c r="AA521" s="198">
        <f>_xlfn.IFNA(IF(AA$7="Fixed",1,IF(AND($D83="yes",AA$7="Block"),INDEX($O725:$Q725,1,MATCH(AA$5,$I48:$K48,0)),INDEX(Movements!$G725:$M725,1,MATCH(AA$7,Movements!$G$716:$M$716,0))))
*AA1166*AA$8,0)</f>
        <v>0</v>
      </c>
      <c r="AB521" s="198">
        <f>_xlfn.IFNA(IF(AB$7="Fixed",1,IF(AND($D83="yes",AB$7="Block"),INDEX($O725:$Q725,1,MATCH(AB$5,$I48:$K48,0)),INDEX(Movements!$G725:$M725,1,MATCH(AB$7,Movements!$G$716:$M$716,0))))
*AB1166*AB$8,0)</f>
        <v>0</v>
      </c>
      <c r="AC521" s="70"/>
      <c r="AD521" s="19"/>
      <c r="AE521" s="19"/>
      <c r="AF521" s="19"/>
      <c r="AG521" s="19"/>
    </row>
    <row r="522" spans="1:33" hidden="1" outlineLevel="3" x14ac:dyDescent="0.2">
      <c r="A522" s="19"/>
      <c r="B522" s="97">
        <v>8</v>
      </c>
      <c r="C522" s="506">
        <f t="shared" si="125"/>
        <v>0</v>
      </c>
      <c r="D522" s="505">
        <f t="shared" si="125"/>
        <v>0</v>
      </c>
      <c r="E522" s="505">
        <f t="shared" si="125"/>
        <v>0</v>
      </c>
      <c r="F522" s="58"/>
      <c r="G522" s="199">
        <f t="shared" si="126"/>
        <v>0</v>
      </c>
      <c r="H522" s="58"/>
      <c r="I522" s="198">
        <f>_xlfn.IFNA(IF(I$7="Fixed",1,IF(AND($D84="yes",I$7="Block"),INDEX($O726:$Q726,1,MATCH(I$5,$I49:$K49,0)),INDEX(Movements!$G726:$M726,1,MATCH(I$7,Movements!$G$716:$M$716,0))))
*I1167*I$8,0)</f>
        <v>0</v>
      </c>
      <c r="J522" s="198">
        <f>_xlfn.IFNA(IF(J$7="Fixed",1,IF(AND($D84="yes",J$7="Block"),INDEX($O726:$Q726,1,MATCH(J$5,$I49:$K49,0)),INDEX(Movements!$G726:$M726,1,MATCH(J$7,Movements!$G$716:$M$716,0))))
*J1167*J$8,0)</f>
        <v>0</v>
      </c>
      <c r="K522" s="198">
        <f>_xlfn.IFNA(IF(K$7="Fixed",1,IF(AND($D84="yes",K$7="Block"),INDEX($O726:$Q726,1,MATCH(K$5,$I49:$K49,0)),INDEX(Movements!$G726:$M726,1,MATCH(K$7,Movements!$G$716:$M$716,0))))
*K1167*K$8,0)</f>
        <v>0</v>
      </c>
      <c r="L522" s="198">
        <f>_xlfn.IFNA(IF(L$7="Fixed",1,IF(AND($D84="yes",L$7="Block"),INDEX($O726:$Q726,1,MATCH(L$5,$I49:$K49,0)),INDEX(Movements!$G726:$M726,1,MATCH(L$7,Movements!$G$716:$M$716,0))))
*L1167*L$8,0)</f>
        <v>0</v>
      </c>
      <c r="M522" s="198">
        <f>_xlfn.IFNA(IF(M$7="Fixed",1,IF(AND($D84="yes",M$7="Block"),INDEX($O726:$Q726,1,MATCH(M$5,$I49:$K49,0)),INDEX(Movements!$G726:$M726,1,MATCH(M$7,Movements!$G$716:$M$716,0))))
*M1167*M$8,0)</f>
        <v>0</v>
      </c>
      <c r="N522" s="198">
        <f>_xlfn.IFNA(IF(N$7="Fixed",1,IF(AND($D84="yes",N$7="Block"),INDEX($O726:$Q726,1,MATCH(N$5,$I49:$K49,0)),INDEX(Movements!$G726:$M726,1,MATCH(N$7,Movements!$G$716:$M$716,0))))
*N1167*N$8,0)</f>
        <v>0</v>
      </c>
      <c r="O522" s="198">
        <f>_xlfn.IFNA(IF(O$7="Fixed",1,IF(AND($D84="yes",O$7="Block"),INDEX($O726:$Q726,1,MATCH(O$5,$I49:$K49,0)),INDEX(Movements!$G726:$M726,1,MATCH(O$7,Movements!$G$716:$M$716,0))))
*O1167*O$8,0)</f>
        <v>0</v>
      </c>
      <c r="P522" s="198">
        <f>_xlfn.IFNA(IF(P$7="Fixed",1,IF(AND($D84="yes",P$7="Block"),INDEX($O726:$Q726,1,MATCH(P$5,$I49:$K49,0)),INDEX(Movements!$G726:$M726,1,MATCH(P$7,Movements!$G$716:$M$716,0))))
*P1167*P$8,0)</f>
        <v>0</v>
      </c>
      <c r="Q522" s="198">
        <f>_xlfn.IFNA(IF(Q$7="Fixed",1,IF(AND($D84="yes",Q$7="Block"),INDEX($O726:$Q726,1,MATCH(Q$5,$I49:$K49,0)),INDEX(Movements!$G726:$M726,1,MATCH(Q$7,Movements!$G$716:$M$716,0))))
*Q1167*Q$8,0)</f>
        <v>0</v>
      </c>
      <c r="R522" s="198">
        <f>_xlfn.IFNA(IF(R$7="Fixed",1,IF(AND($D84="yes",R$7="Block"),INDEX($O726:$Q726,1,MATCH(R$5,$I49:$K49,0)),INDEX(Movements!$G726:$M726,1,MATCH(R$7,Movements!$G$716:$M$716,0))))
*R1167*R$8,0)</f>
        <v>0</v>
      </c>
      <c r="S522" s="198">
        <f>_xlfn.IFNA(IF(S$7="Fixed",1,IF(AND($D84="yes",S$7="Block"),INDEX($O726:$Q726,1,MATCH(S$5,$I49:$K49,0)),INDEX(Movements!$G726:$M726,1,MATCH(S$7,Movements!$G$716:$M$716,0))))
*S1167*S$8,0)</f>
        <v>0</v>
      </c>
      <c r="T522" s="198">
        <f>_xlfn.IFNA(IF(T$7="Fixed",1,IF(AND($D84="yes",T$7="Block"),INDEX($O726:$Q726,1,MATCH(T$5,$I49:$K49,0)),INDEX(Movements!$G726:$M726,1,MATCH(T$7,Movements!$G$716:$M$716,0))))
*T1167*T$8,0)</f>
        <v>0</v>
      </c>
      <c r="U522" s="198">
        <f>_xlfn.IFNA(IF(U$7="Fixed",1,IF(AND($D84="yes",U$7="Block"),INDEX($O726:$Q726,1,MATCH(U$5,$I49:$K49,0)),INDEX(Movements!$G726:$M726,1,MATCH(U$7,Movements!$G$716:$M$716,0))))
*U1167*U$8,0)</f>
        <v>0</v>
      </c>
      <c r="V522" s="198">
        <f>_xlfn.IFNA(IF(V$7="Fixed",1,IF(AND($D84="yes",V$7="Block"),INDEX($O726:$Q726,1,MATCH(V$5,$I49:$K49,0)),INDEX(Movements!$G726:$M726,1,MATCH(V$7,Movements!$G$716:$M$716,0))))
*V1167*V$8,0)</f>
        <v>0</v>
      </c>
      <c r="W522" s="198">
        <f>_xlfn.IFNA(IF(W$7="Fixed",1,IF(AND($D84="yes",W$7="Block"),INDEX($O726:$Q726,1,MATCH(W$5,$I49:$K49,0)),INDEX(Movements!$G726:$M726,1,MATCH(W$7,Movements!$G$716:$M$716,0))))
*W1167*W$8,0)</f>
        <v>0</v>
      </c>
      <c r="X522" s="198">
        <f>_xlfn.IFNA(IF(X$7="Fixed",1,IF(AND($D84="yes",X$7="Block"),INDEX($O726:$Q726,1,MATCH(X$5,$I49:$K49,0)),INDEX(Movements!$G726:$M726,1,MATCH(X$7,Movements!$G$716:$M$716,0))))
*X1167*X$8,0)</f>
        <v>0</v>
      </c>
      <c r="Y522" s="198">
        <f>_xlfn.IFNA(IF(Y$7="Fixed",1,IF(AND($D84="yes",Y$7="Block"),INDEX($O726:$Q726,1,MATCH(Y$5,$I49:$K49,0)),INDEX(Movements!$G726:$M726,1,MATCH(Y$7,Movements!$G$716:$M$716,0))))
*Y1167*Y$8,0)</f>
        <v>0</v>
      </c>
      <c r="Z522" s="198">
        <f>_xlfn.IFNA(IF(Z$7="Fixed",1,IF(AND($D84="yes",Z$7="Block"),INDEX($O726:$Q726,1,MATCH(Z$5,$I49:$K49,0)),INDEX(Movements!$G726:$M726,1,MATCH(Z$7,Movements!$G$716:$M$716,0))))
*Z1167*Z$8,0)</f>
        <v>0</v>
      </c>
      <c r="AA522" s="198">
        <f>_xlfn.IFNA(IF(AA$7="Fixed",1,IF(AND($D84="yes",AA$7="Block"),INDEX($O726:$Q726,1,MATCH(AA$5,$I49:$K49,0)),INDEX(Movements!$G726:$M726,1,MATCH(AA$7,Movements!$G$716:$M$716,0))))
*AA1167*AA$8,0)</f>
        <v>0</v>
      </c>
      <c r="AB522" s="198">
        <f>_xlfn.IFNA(IF(AB$7="Fixed",1,IF(AND($D84="yes",AB$7="Block"),INDEX($O726:$Q726,1,MATCH(AB$5,$I49:$K49,0)),INDEX(Movements!$G726:$M726,1,MATCH(AB$7,Movements!$G$716:$M$716,0))))
*AB1167*AB$8,0)</f>
        <v>0</v>
      </c>
      <c r="AC522" s="70"/>
      <c r="AD522" s="19"/>
      <c r="AE522" s="19"/>
      <c r="AF522" s="19"/>
      <c r="AG522" s="19"/>
    </row>
    <row r="523" spans="1:33" hidden="1" outlineLevel="3" x14ac:dyDescent="0.2">
      <c r="A523" s="19"/>
      <c r="B523" s="98">
        <v>9</v>
      </c>
      <c r="C523" s="506">
        <f t="shared" si="125"/>
        <v>0</v>
      </c>
      <c r="D523" s="505">
        <f t="shared" si="125"/>
        <v>0</v>
      </c>
      <c r="E523" s="505">
        <f t="shared" si="125"/>
        <v>0</v>
      </c>
      <c r="F523" s="58"/>
      <c r="G523" s="199">
        <f t="shared" si="126"/>
        <v>0</v>
      </c>
      <c r="H523" s="58"/>
      <c r="I523" s="198">
        <f>_xlfn.IFNA(IF(I$7="Fixed",1,IF(AND($D85="yes",I$7="Block"),INDEX($O727:$Q727,1,MATCH(I$5,$I50:$K50,0)),INDEX(Movements!$G727:$M727,1,MATCH(I$7,Movements!$G$716:$M$716,0))))
*I1168*I$8,0)</f>
        <v>0</v>
      </c>
      <c r="J523" s="198">
        <f>_xlfn.IFNA(IF(J$7="Fixed",1,IF(AND($D85="yes",J$7="Block"),INDEX($O727:$Q727,1,MATCH(J$5,$I50:$K50,0)),INDEX(Movements!$G727:$M727,1,MATCH(J$7,Movements!$G$716:$M$716,0))))
*J1168*J$8,0)</f>
        <v>0</v>
      </c>
      <c r="K523" s="198">
        <f>_xlfn.IFNA(IF(K$7="Fixed",1,IF(AND($D85="yes",K$7="Block"),INDEX($O727:$Q727,1,MATCH(K$5,$I50:$K50,0)),INDEX(Movements!$G727:$M727,1,MATCH(K$7,Movements!$G$716:$M$716,0))))
*K1168*K$8,0)</f>
        <v>0</v>
      </c>
      <c r="L523" s="198">
        <f>_xlfn.IFNA(IF(L$7="Fixed",1,IF(AND($D85="yes",L$7="Block"),INDEX($O727:$Q727,1,MATCH(L$5,$I50:$K50,0)),INDEX(Movements!$G727:$M727,1,MATCH(L$7,Movements!$G$716:$M$716,0))))
*L1168*L$8,0)</f>
        <v>0</v>
      </c>
      <c r="M523" s="198">
        <f>_xlfn.IFNA(IF(M$7="Fixed",1,IF(AND($D85="yes",M$7="Block"),INDEX($O727:$Q727,1,MATCH(M$5,$I50:$K50,0)),INDEX(Movements!$G727:$M727,1,MATCH(M$7,Movements!$G$716:$M$716,0))))
*M1168*M$8,0)</f>
        <v>0</v>
      </c>
      <c r="N523" s="198">
        <f>_xlfn.IFNA(IF(N$7="Fixed",1,IF(AND($D85="yes",N$7="Block"),INDEX($O727:$Q727,1,MATCH(N$5,$I50:$K50,0)),INDEX(Movements!$G727:$M727,1,MATCH(N$7,Movements!$G$716:$M$716,0))))
*N1168*N$8,0)</f>
        <v>0</v>
      </c>
      <c r="O523" s="198">
        <f>_xlfn.IFNA(IF(O$7="Fixed",1,IF(AND($D85="yes",O$7="Block"),INDEX($O727:$Q727,1,MATCH(O$5,$I50:$K50,0)),INDEX(Movements!$G727:$M727,1,MATCH(O$7,Movements!$G$716:$M$716,0))))
*O1168*O$8,0)</f>
        <v>0</v>
      </c>
      <c r="P523" s="198">
        <f>_xlfn.IFNA(IF(P$7="Fixed",1,IF(AND($D85="yes",P$7="Block"),INDEX($O727:$Q727,1,MATCH(P$5,$I50:$K50,0)),INDEX(Movements!$G727:$M727,1,MATCH(P$7,Movements!$G$716:$M$716,0))))
*P1168*P$8,0)</f>
        <v>0</v>
      </c>
      <c r="Q523" s="198">
        <f>_xlfn.IFNA(IF(Q$7="Fixed",1,IF(AND($D85="yes",Q$7="Block"),INDEX($O727:$Q727,1,MATCH(Q$5,$I50:$K50,0)),INDEX(Movements!$G727:$M727,1,MATCH(Q$7,Movements!$G$716:$M$716,0))))
*Q1168*Q$8,0)</f>
        <v>0</v>
      </c>
      <c r="R523" s="198">
        <f>_xlfn.IFNA(IF(R$7="Fixed",1,IF(AND($D85="yes",R$7="Block"),INDEX($O727:$Q727,1,MATCH(R$5,$I50:$K50,0)),INDEX(Movements!$G727:$M727,1,MATCH(R$7,Movements!$G$716:$M$716,0))))
*R1168*R$8,0)</f>
        <v>0</v>
      </c>
      <c r="S523" s="198">
        <f>_xlfn.IFNA(IF(S$7="Fixed",1,IF(AND($D85="yes",S$7="Block"),INDEX($O727:$Q727,1,MATCH(S$5,$I50:$K50,0)),INDEX(Movements!$G727:$M727,1,MATCH(S$7,Movements!$G$716:$M$716,0))))
*S1168*S$8,0)</f>
        <v>0</v>
      </c>
      <c r="T523" s="198">
        <f>_xlfn.IFNA(IF(T$7="Fixed",1,IF(AND($D85="yes",T$7="Block"),INDEX($O727:$Q727,1,MATCH(T$5,$I50:$K50,0)),INDEX(Movements!$G727:$M727,1,MATCH(T$7,Movements!$G$716:$M$716,0))))
*T1168*T$8,0)</f>
        <v>0</v>
      </c>
      <c r="U523" s="198">
        <f>_xlfn.IFNA(IF(U$7="Fixed",1,IF(AND($D85="yes",U$7="Block"),INDEX($O727:$Q727,1,MATCH(U$5,$I50:$K50,0)),INDEX(Movements!$G727:$M727,1,MATCH(U$7,Movements!$G$716:$M$716,0))))
*U1168*U$8,0)</f>
        <v>0</v>
      </c>
      <c r="V523" s="198">
        <f>_xlfn.IFNA(IF(V$7="Fixed",1,IF(AND($D85="yes",V$7="Block"),INDEX($O727:$Q727,1,MATCH(V$5,$I50:$K50,0)),INDEX(Movements!$G727:$M727,1,MATCH(V$7,Movements!$G$716:$M$716,0))))
*V1168*V$8,0)</f>
        <v>0</v>
      </c>
      <c r="W523" s="198">
        <f>_xlfn.IFNA(IF(W$7="Fixed",1,IF(AND($D85="yes",W$7="Block"),INDEX($O727:$Q727,1,MATCH(W$5,$I50:$K50,0)),INDEX(Movements!$G727:$M727,1,MATCH(W$7,Movements!$G$716:$M$716,0))))
*W1168*W$8,0)</f>
        <v>0</v>
      </c>
      <c r="X523" s="198">
        <f>_xlfn.IFNA(IF(X$7="Fixed",1,IF(AND($D85="yes",X$7="Block"),INDEX($O727:$Q727,1,MATCH(X$5,$I50:$K50,0)),INDEX(Movements!$G727:$M727,1,MATCH(X$7,Movements!$G$716:$M$716,0))))
*X1168*X$8,0)</f>
        <v>0</v>
      </c>
      <c r="Y523" s="198">
        <f>_xlfn.IFNA(IF(Y$7="Fixed",1,IF(AND($D85="yes",Y$7="Block"),INDEX($O727:$Q727,1,MATCH(Y$5,$I50:$K50,0)),INDEX(Movements!$G727:$M727,1,MATCH(Y$7,Movements!$G$716:$M$716,0))))
*Y1168*Y$8,0)</f>
        <v>0</v>
      </c>
      <c r="Z523" s="198">
        <f>_xlfn.IFNA(IF(Z$7="Fixed",1,IF(AND($D85="yes",Z$7="Block"),INDEX($O727:$Q727,1,MATCH(Z$5,$I50:$K50,0)),INDEX(Movements!$G727:$M727,1,MATCH(Z$7,Movements!$G$716:$M$716,0))))
*Z1168*Z$8,0)</f>
        <v>0</v>
      </c>
      <c r="AA523" s="198">
        <f>_xlfn.IFNA(IF(AA$7="Fixed",1,IF(AND($D85="yes",AA$7="Block"),INDEX($O727:$Q727,1,MATCH(AA$5,$I50:$K50,0)),INDEX(Movements!$G727:$M727,1,MATCH(AA$7,Movements!$G$716:$M$716,0))))
*AA1168*AA$8,0)</f>
        <v>0</v>
      </c>
      <c r="AB523" s="198">
        <f>_xlfn.IFNA(IF(AB$7="Fixed",1,IF(AND($D85="yes",AB$7="Block"),INDEX($O727:$Q727,1,MATCH(AB$5,$I50:$K50,0)),INDEX(Movements!$G727:$M727,1,MATCH(AB$7,Movements!$G$716:$M$716,0))))
*AB1168*AB$8,0)</f>
        <v>0</v>
      </c>
      <c r="AC523" s="70"/>
      <c r="AD523" s="19"/>
      <c r="AE523" s="19"/>
      <c r="AF523" s="19"/>
      <c r="AG523" s="19"/>
    </row>
    <row r="524" spans="1:33" hidden="1" outlineLevel="3" x14ac:dyDescent="0.2">
      <c r="A524" s="19"/>
      <c r="B524" s="97">
        <v>10</v>
      </c>
      <c r="C524" s="506">
        <f t="shared" si="125"/>
        <v>0</v>
      </c>
      <c r="D524" s="505">
        <f t="shared" si="125"/>
        <v>0</v>
      </c>
      <c r="E524" s="505">
        <f t="shared" si="125"/>
        <v>0</v>
      </c>
      <c r="F524" s="58"/>
      <c r="G524" s="199">
        <f t="shared" si="126"/>
        <v>0</v>
      </c>
      <c r="H524" s="58"/>
      <c r="I524" s="198">
        <f>_xlfn.IFNA(IF(I$7="Fixed",1,IF(AND($D86="yes",I$7="Block"),INDEX($O728:$Q728,1,MATCH(I$5,$I51:$K51,0)),INDEX(Movements!$G728:$M728,1,MATCH(I$7,Movements!$G$716:$M$716,0))))
*I1169*I$8,0)</f>
        <v>0</v>
      </c>
      <c r="J524" s="198">
        <f>_xlfn.IFNA(IF(J$7="Fixed",1,IF(AND($D86="yes",J$7="Block"),INDEX($O728:$Q728,1,MATCH(J$5,$I51:$K51,0)),INDEX(Movements!$G728:$M728,1,MATCH(J$7,Movements!$G$716:$M$716,0))))
*J1169*J$8,0)</f>
        <v>0</v>
      </c>
      <c r="K524" s="198">
        <f>_xlfn.IFNA(IF(K$7="Fixed",1,IF(AND($D86="yes",K$7="Block"),INDEX($O728:$Q728,1,MATCH(K$5,$I51:$K51,0)),INDEX(Movements!$G728:$M728,1,MATCH(K$7,Movements!$G$716:$M$716,0))))
*K1169*K$8,0)</f>
        <v>0</v>
      </c>
      <c r="L524" s="198">
        <f>_xlfn.IFNA(IF(L$7="Fixed",1,IF(AND($D86="yes",L$7="Block"),INDEX($O728:$Q728,1,MATCH(L$5,$I51:$K51,0)),INDEX(Movements!$G728:$M728,1,MATCH(L$7,Movements!$G$716:$M$716,0))))
*L1169*L$8,0)</f>
        <v>0</v>
      </c>
      <c r="M524" s="198">
        <f>_xlfn.IFNA(IF(M$7="Fixed",1,IF(AND($D86="yes",M$7="Block"),INDEX($O728:$Q728,1,MATCH(M$5,$I51:$K51,0)),INDEX(Movements!$G728:$M728,1,MATCH(M$7,Movements!$G$716:$M$716,0))))
*M1169*M$8,0)</f>
        <v>0</v>
      </c>
      <c r="N524" s="198">
        <f>_xlfn.IFNA(IF(N$7="Fixed",1,IF(AND($D86="yes",N$7="Block"),INDEX($O728:$Q728,1,MATCH(N$5,$I51:$K51,0)),INDEX(Movements!$G728:$M728,1,MATCH(N$7,Movements!$G$716:$M$716,0))))
*N1169*N$8,0)</f>
        <v>0</v>
      </c>
      <c r="O524" s="198">
        <f>_xlfn.IFNA(IF(O$7="Fixed",1,IF(AND($D86="yes",O$7="Block"),INDEX($O728:$Q728,1,MATCH(O$5,$I51:$K51,0)),INDEX(Movements!$G728:$M728,1,MATCH(O$7,Movements!$G$716:$M$716,0))))
*O1169*O$8,0)</f>
        <v>0</v>
      </c>
      <c r="P524" s="198">
        <f>_xlfn.IFNA(IF(P$7="Fixed",1,IF(AND($D86="yes",P$7="Block"),INDEX($O728:$Q728,1,MATCH(P$5,$I51:$K51,0)),INDEX(Movements!$G728:$M728,1,MATCH(P$7,Movements!$G$716:$M$716,0))))
*P1169*P$8,0)</f>
        <v>0</v>
      </c>
      <c r="Q524" s="198">
        <f>_xlfn.IFNA(IF(Q$7="Fixed",1,IF(AND($D86="yes",Q$7="Block"),INDEX($O728:$Q728,1,MATCH(Q$5,$I51:$K51,0)),INDEX(Movements!$G728:$M728,1,MATCH(Q$7,Movements!$G$716:$M$716,0))))
*Q1169*Q$8,0)</f>
        <v>0</v>
      </c>
      <c r="R524" s="198">
        <f>_xlfn.IFNA(IF(R$7="Fixed",1,IF(AND($D86="yes",R$7="Block"),INDEX($O728:$Q728,1,MATCH(R$5,$I51:$K51,0)),INDEX(Movements!$G728:$M728,1,MATCH(R$7,Movements!$G$716:$M$716,0))))
*R1169*R$8,0)</f>
        <v>0</v>
      </c>
      <c r="S524" s="198">
        <f>_xlfn.IFNA(IF(S$7="Fixed",1,IF(AND($D86="yes",S$7="Block"),INDEX($O728:$Q728,1,MATCH(S$5,$I51:$K51,0)),INDEX(Movements!$G728:$M728,1,MATCH(S$7,Movements!$G$716:$M$716,0))))
*S1169*S$8,0)</f>
        <v>0</v>
      </c>
      <c r="T524" s="198">
        <f>_xlfn.IFNA(IF(T$7="Fixed",1,IF(AND($D86="yes",T$7="Block"),INDEX($O728:$Q728,1,MATCH(T$5,$I51:$K51,0)),INDEX(Movements!$G728:$M728,1,MATCH(T$7,Movements!$G$716:$M$716,0))))
*T1169*T$8,0)</f>
        <v>0</v>
      </c>
      <c r="U524" s="198">
        <f>_xlfn.IFNA(IF(U$7="Fixed",1,IF(AND($D86="yes",U$7="Block"),INDEX($O728:$Q728,1,MATCH(U$5,$I51:$K51,0)),INDEX(Movements!$G728:$M728,1,MATCH(U$7,Movements!$G$716:$M$716,0))))
*U1169*U$8,0)</f>
        <v>0</v>
      </c>
      <c r="V524" s="198">
        <f>_xlfn.IFNA(IF(V$7="Fixed",1,IF(AND($D86="yes",V$7="Block"),INDEX($O728:$Q728,1,MATCH(V$5,$I51:$K51,0)),INDEX(Movements!$G728:$M728,1,MATCH(V$7,Movements!$G$716:$M$716,0))))
*V1169*V$8,0)</f>
        <v>0</v>
      </c>
      <c r="W524" s="198">
        <f>_xlfn.IFNA(IF(W$7="Fixed",1,IF(AND($D86="yes",W$7="Block"),INDEX($O728:$Q728,1,MATCH(W$5,$I51:$K51,0)),INDEX(Movements!$G728:$M728,1,MATCH(W$7,Movements!$G$716:$M$716,0))))
*W1169*W$8,0)</f>
        <v>0</v>
      </c>
      <c r="X524" s="198">
        <f>_xlfn.IFNA(IF(X$7="Fixed",1,IF(AND($D86="yes",X$7="Block"),INDEX($O728:$Q728,1,MATCH(X$5,$I51:$K51,0)),INDEX(Movements!$G728:$M728,1,MATCH(X$7,Movements!$G$716:$M$716,0))))
*X1169*X$8,0)</f>
        <v>0</v>
      </c>
      <c r="Y524" s="198">
        <f>_xlfn.IFNA(IF(Y$7="Fixed",1,IF(AND($D86="yes",Y$7="Block"),INDEX($O728:$Q728,1,MATCH(Y$5,$I51:$K51,0)),INDEX(Movements!$G728:$M728,1,MATCH(Y$7,Movements!$G$716:$M$716,0))))
*Y1169*Y$8,0)</f>
        <v>0</v>
      </c>
      <c r="Z524" s="198">
        <f>_xlfn.IFNA(IF(Z$7="Fixed",1,IF(AND($D86="yes",Z$7="Block"),INDEX($O728:$Q728,1,MATCH(Z$5,$I51:$K51,0)),INDEX(Movements!$G728:$M728,1,MATCH(Z$7,Movements!$G$716:$M$716,0))))
*Z1169*Z$8,0)</f>
        <v>0</v>
      </c>
      <c r="AA524" s="198">
        <f>_xlfn.IFNA(IF(AA$7="Fixed",1,IF(AND($D86="yes",AA$7="Block"),INDEX($O728:$Q728,1,MATCH(AA$5,$I51:$K51,0)),INDEX(Movements!$G728:$M728,1,MATCH(AA$7,Movements!$G$716:$M$716,0))))
*AA1169*AA$8,0)</f>
        <v>0</v>
      </c>
      <c r="AB524" s="198">
        <f>_xlfn.IFNA(IF(AB$7="Fixed",1,IF(AND($D86="yes",AB$7="Block"),INDEX($O728:$Q728,1,MATCH(AB$5,$I51:$K51,0)),INDEX(Movements!$G728:$M728,1,MATCH(AB$7,Movements!$G$716:$M$716,0))))
*AB1169*AB$8,0)</f>
        <v>0</v>
      </c>
      <c r="AC524" s="70"/>
      <c r="AD524" s="19"/>
      <c r="AE524" s="19"/>
      <c r="AF524" s="19"/>
      <c r="AG524" s="19"/>
    </row>
    <row r="525" spans="1:33" hidden="1" outlineLevel="3" x14ac:dyDescent="0.2">
      <c r="A525" s="19"/>
      <c r="B525" s="97">
        <v>11</v>
      </c>
      <c r="C525" s="506">
        <f t="shared" si="125"/>
        <v>0</v>
      </c>
      <c r="D525" s="505">
        <f t="shared" si="125"/>
        <v>0</v>
      </c>
      <c r="E525" s="505">
        <f t="shared" si="125"/>
        <v>0</v>
      </c>
      <c r="F525" s="58"/>
      <c r="G525" s="199">
        <f t="shared" si="126"/>
        <v>0</v>
      </c>
      <c r="H525" s="58"/>
      <c r="I525" s="198">
        <f>_xlfn.IFNA(IF(I$7="Fixed",1,IF(AND($D87="yes",I$7="Block"),INDEX($O729:$Q729,1,MATCH(I$5,$I52:$K52,0)),INDEX(Movements!$G729:$M729,1,MATCH(I$7,Movements!$G$716:$M$716,0))))
*I1170*I$8,0)</f>
        <v>0</v>
      </c>
      <c r="J525" s="198">
        <f>_xlfn.IFNA(IF(J$7="Fixed",1,IF(AND($D87="yes",J$7="Block"),INDEX($O729:$Q729,1,MATCH(J$5,$I52:$K52,0)),INDEX(Movements!$G729:$M729,1,MATCH(J$7,Movements!$G$716:$M$716,0))))
*J1170*J$8,0)</f>
        <v>0</v>
      </c>
      <c r="K525" s="198">
        <f>_xlfn.IFNA(IF(K$7="Fixed",1,IF(AND($D87="yes",K$7="Block"),INDEX($O729:$Q729,1,MATCH(K$5,$I52:$K52,0)),INDEX(Movements!$G729:$M729,1,MATCH(K$7,Movements!$G$716:$M$716,0))))
*K1170*K$8,0)</f>
        <v>0</v>
      </c>
      <c r="L525" s="198">
        <f>_xlfn.IFNA(IF(L$7="Fixed",1,IF(AND($D87="yes",L$7="Block"),INDEX($O729:$Q729,1,MATCH(L$5,$I52:$K52,0)),INDEX(Movements!$G729:$M729,1,MATCH(L$7,Movements!$G$716:$M$716,0))))
*L1170*L$8,0)</f>
        <v>0</v>
      </c>
      <c r="M525" s="198">
        <f>_xlfn.IFNA(IF(M$7="Fixed",1,IF(AND($D87="yes",M$7="Block"),INDEX($O729:$Q729,1,MATCH(M$5,$I52:$K52,0)),INDEX(Movements!$G729:$M729,1,MATCH(M$7,Movements!$G$716:$M$716,0))))
*M1170*M$8,0)</f>
        <v>0</v>
      </c>
      <c r="N525" s="198">
        <f>_xlfn.IFNA(IF(N$7="Fixed",1,IF(AND($D87="yes",N$7="Block"),INDEX($O729:$Q729,1,MATCH(N$5,$I52:$K52,0)),INDEX(Movements!$G729:$M729,1,MATCH(N$7,Movements!$G$716:$M$716,0))))
*N1170*N$8,0)</f>
        <v>0</v>
      </c>
      <c r="O525" s="198">
        <f>_xlfn.IFNA(IF(O$7="Fixed",1,IF(AND($D87="yes",O$7="Block"),INDEX($O729:$Q729,1,MATCH(O$5,$I52:$K52,0)),INDEX(Movements!$G729:$M729,1,MATCH(O$7,Movements!$G$716:$M$716,0))))
*O1170*O$8,0)</f>
        <v>0</v>
      </c>
      <c r="P525" s="198">
        <f>_xlfn.IFNA(IF(P$7="Fixed",1,IF(AND($D87="yes",P$7="Block"),INDEX($O729:$Q729,1,MATCH(P$5,$I52:$K52,0)),INDEX(Movements!$G729:$M729,1,MATCH(P$7,Movements!$G$716:$M$716,0))))
*P1170*P$8,0)</f>
        <v>0</v>
      </c>
      <c r="Q525" s="198">
        <f>_xlfn.IFNA(IF(Q$7="Fixed",1,IF(AND($D87="yes",Q$7="Block"),INDEX($O729:$Q729,1,MATCH(Q$5,$I52:$K52,0)),INDEX(Movements!$G729:$M729,1,MATCH(Q$7,Movements!$G$716:$M$716,0))))
*Q1170*Q$8,0)</f>
        <v>0</v>
      </c>
      <c r="R525" s="198">
        <f>_xlfn.IFNA(IF(R$7="Fixed",1,IF(AND($D87="yes",R$7="Block"),INDEX($O729:$Q729,1,MATCH(R$5,$I52:$K52,0)),INDEX(Movements!$G729:$M729,1,MATCH(R$7,Movements!$G$716:$M$716,0))))
*R1170*R$8,0)</f>
        <v>0</v>
      </c>
      <c r="S525" s="198">
        <f>_xlfn.IFNA(IF(S$7="Fixed",1,IF(AND($D87="yes",S$7="Block"),INDEX($O729:$Q729,1,MATCH(S$5,$I52:$K52,0)),INDEX(Movements!$G729:$M729,1,MATCH(S$7,Movements!$G$716:$M$716,0))))
*S1170*S$8,0)</f>
        <v>0</v>
      </c>
      <c r="T525" s="198">
        <f>_xlfn.IFNA(IF(T$7="Fixed",1,IF(AND($D87="yes",T$7="Block"),INDEX($O729:$Q729,1,MATCH(T$5,$I52:$K52,0)),INDEX(Movements!$G729:$M729,1,MATCH(T$7,Movements!$G$716:$M$716,0))))
*T1170*T$8,0)</f>
        <v>0</v>
      </c>
      <c r="U525" s="198">
        <f>_xlfn.IFNA(IF(U$7="Fixed",1,IF(AND($D87="yes",U$7="Block"),INDEX($O729:$Q729,1,MATCH(U$5,$I52:$K52,0)),INDEX(Movements!$G729:$M729,1,MATCH(U$7,Movements!$G$716:$M$716,0))))
*U1170*U$8,0)</f>
        <v>0</v>
      </c>
      <c r="V525" s="198">
        <f>_xlfn.IFNA(IF(V$7="Fixed",1,IF(AND($D87="yes",V$7="Block"),INDEX($O729:$Q729,1,MATCH(V$5,$I52:$K52,0)),INDEX(Movements!$G729:$M729,1,MATCH(V$7,Movements!$G$716:$M$716,0))))
*V1170*V$8,0)</f>
        <v>0</v>
      </c>
      <c r="W525" s="198">
        <f>_xlfn.IFNA(IF(W$7="Fixed",1,IF(AND($D87="yes",W$7="Block"),INDEX($O729:$Q729,1,MATCH(W$5,$I52:$K52,0)),INDEX(Movements!$G729:$M729,1,MATCH(W$7,Movements!$G$716:$M$716,0))))
*W1170*W$8,0)</f>
        <v>0</v>
      </c>
      <c r="X525" s="198">
        <f>_xlfn.IFNA(IF(X$7="Fixed",1,IF(AND($D87="yes",X$7="Block"),INDEX($O729:$Q729,1,MATCH(X$5,$I52:$K52,0)),INDEX(Movements!$G729:$M729,1,MATCH(X$7,Movements!$G$716:$M$716,0))))
*X1170*X$8,0)</f>
        <v>0</v>
      </c>
      <c r="Y525" s="198">
        <f>_xlfn.IFNA(IF(Y$7="Fixed",1,IF(AND($D87="yes",Y$7="Block"),INDEX($O729:$Q729,1,MATCH(Y$5,$I52:$K52,0)),INDEX(Movements!$G729:$M729,1,MATCH(Y$7,Movements!$G$716:$M$716,0))))
*Y1170*Y$8,0)</f>
        <v>0</v>
      </c>
      <c r="Z525" s="198">
        <f>_xlfn.IFNA(IF(Z$7="Fixed",1,IF(AND($D87="yes",Z$7="Block"),INDEX($O729:$Q729,1,MATCH(Z$5,$I52:$K52,0)),INDEX(Movements!$G729:$M729,1,MATCH(Z$7,Movements!$G$716:$M$716,0))))
*Z1170*Z$8,0)</f>
        <v>0</v>
      </c>
      <c r="AA525" s="198">
        <f>_xlfn.IFNA(IF(AA$7="Fixed",1,IF(AND($D87="yes",AA$7="Block"),INDEX($O729:$Q729,1,MATCH(AA$5,$I52:$K52,0)),INDEX(Movements!$G729:$M729,1,MATCH(AA$7,Movements!$G$716:$M$716,0))))
*AA1170*AA$8,0)</f>
        <v>0</v>
      </c>
      <c r="AB525" s="198">
        <f>_xlfn.IFNA(IF(AB$7="Fixed",1,IF(AND($D87="yes",AB$7="Block"),INDEX($O729:$Q729,1,MATCH(AB$5,$I52:$K52,0)),INDEX(Movements!$G729:$M729,1,MATCH(AB$7,Movements!$G$716:$M$716,0))))
*AB1170*AB$8,0)</f>
        <v>0</v>
      </c>
      <c r="AC525" s="70"/>
      <c r="AD525" s="19"/>
      <c r="AE525" s="19"/>
      <c r="AF525" s="19"/>
      <c r="AG525" s="19"/>
    </row>
    <row r="526" spans="1:33" hidden="1" outlineLevel="3" x14ac:dyDescent="0.2">
      <c r="A526" s="19"/>
      <c r="B526" s="97">
        <v>12</v>
      </c>
      <c r="C526" s="506">
        <f t="shared" si="125"/>
        <v>0</v>
      </c>
      <c r="D526" s="505">
        <f t="shared" si="125"/>
        <v>0</v>
      </c>
      <c r="E526" s="505">
        <f t="shared" si="125"/>
        <v>0</v>
      </c>
      <c r="F526" s="58"/>
      <c r="G526" s="199">
        <f t="shared" si="126"/>
        <v>0</v>
      </c>
      <c r="H526" s="58"/>
      <c r="I526" s="198">
        <f>_xlfn.IFNA(IF(I$7="Fixed",1,IF(AND($D88="yes",I$7="Block"),INDEX($O730:$Q730,1,MATCH(I$5,$I53:$K53,0)),INDEX(Movements!$G730:$M730,1,MATCH(I$7,Movements!$G$716:$M$716,0))))
*I1171*I$8,0)</f>
        <v>0</v>
      </c>
      <c r="J526" s="198">
        <f>_xlfn.IFNA(IF(J$7="Fixed",1,IF(AND($D88="yes",J$7="Block"),INDEX($O730:$Q730,1,MATCH(J$5,$I53:$K53,0)),INDEX(Movements!$G730:$M730,1,MATCH(J$7,Movements!$G$716:$M$716,0))))
*J1171*J$8,0)</f>
        <v>0</v>
      </c>
      <c r="K526" s="198">
        <f>_xlfn.IFNA(IF(K$7="Fixed",1,IF(AND($D88="yes",K$7="Block"),INDEX($O730:$Q730,1,MATCH(K$5,$I53:$K53,0)),INDEX(Movements!$G730:$M730,1,MATCH(K$7,Movements!$G$716:$M$716,0))))
*K1171*K$8,0)</f>
        <v>0</v>
      </c>
      <c r="L526" s="198">
        <f>_xlfn.IFNA(IF(L$7="Fixed",1,IF(AND($D88="yes",L$7="Block"),INDEX($O730:$Q730,1,MATCH(L$5,$I53:$K53,0)),INDEX(Movements!$G730:$M730,1,MATCH(L$7,Movements!$G$716:$M$716,0))))
*L1171*L$8,0)</f>
        <v>0</v>
      </c>
      <c r="M526" s="198">
        <f>_xlfn.IFNA(IF(M$7="Fixed",1,IF(AND($D88="yes",M$7="Block"),INDEX($O730:$Q730,1,MATCH(M$5,$I53:$K53,0)),INDEX(Movements!$G730:$M730,1,MATCH(M$7,Movements!$G$716:$M$716,0))))
*M1171*M$8,0)</f>
        <v>0</v>
      </c>
      <c r="N526" s="198">
        <f>_xlfn.IFNA(IF(N$7="Fixed",1,IF(AND($D88="yes",N$7="Block"),INDEX($O730:$Q730,1,MATCH(N$5,$I53:$K53,0)),INDEX(Movements!$G730:$M730,1,MATCH(N$7,Movements!$G$716:$M$716,0))))
*N1171*N$8,0)</f>
        <v>0</v>
      </c>
      <c r="O526" s="198">
        <f>_xlfn.IFNA(IF(O$7="Fixed",1,IF(AND($D88="yes",O$7="Block"),INDEX($O730:$Q730,1,MATCH(O$5,$I53:$K53,0)),INDEX(Movements!$G730:$M730,1,MATCH(O$7,Movements!$G$716:$M$716,0))))
*O1171*O$8,0)</f>
        <v>0</v>
      </c>
      <c r="P526" s="198">
        <f>_xlfn.IFNA(IF(P$7="Fixed",1,IF(AND($D88="yes",P$7="Block"),INDEX($O730:$Q730,1,MATCH(P$5,$I53:$K53,0)),INDEX(Movements!$G730:$M730,1,MATCH(P$7,Movements!$G$716:$M$716,0))))
*P1171*P$8,0)</f>
        <v>0</v>
      </c>
      <c r="Q526" s="198">
        <f>_xlfn.IFNA(IF(Q$7="Fixed",1,IF(AND($D88="yes",Q$7="Block"),INDEX($O730:$Q730,1,MATCH(Q$5,$I53:$K53,0)),INDEX(Movements!$G730:$M730,1,MATCH(Q$7,Movements!$G$716:$M$716,0))))
*Q1171*Q$8,0)</f>
        <v>0</v>
      </c>
      <c r="R526" s="198">
        <f>_xlfn.IFNA(IF(R$7="Fixed",1,IF(AND($D88="yes",R$7="Block"),INDEX($O730:$Q730,1,MATCH(R$5,$I53:$K53,0)),INDEX(Movements!$G730:$M730,1,MATCH(R$7,Movements!$G$716:$M$716,0))))
*R1171*R$8,0)</f>
        <v>0</v>
      </c>
      <c r="S526" s="198">
        <f>_xlfn.IFNA(IF(S$7="Fixed",1,IF(AND($D88="yes",S$7="Block"),INDEX($O730:$Q730,1,MATCH(S$5,$I53:$K53,0)),INDEX(Movements!$G730:$M730,1,MATCH(S$7,Movements!$G$716:$M$716,0))))
*S1171*S$8,0)</f>
        <v>0</v>
      </c>
      <c r="T526" s="198">
        <f>_xlfn.IFNA(IF(T$7="Fixed",1,IF(AND($D88="yes",T$7="Block"),INDEX($O730:$Q730,1,MATCH(T$5,$I53:$K53,0)),INDEX(Movements!$G730:$M730,1,MATCH(T$7,Movements!$G$716:$M$716,0))))
*T1171*T$8,0)</f>
        <v>0</v>
      </c>
      <c r="U526" s="198">
        <f>_xlfn.IFNA(IF(U$7="Fixed",1,IF(AND($D88="yes",U$7="Block"),INDEX($O730:$Q730,1,MATCH(U$5,$I53:$K53,0)),INDEX(Movements!$G730:$M730,1,MATCH(U$7,Movements!$G$716:$M$716,0))))
*U1171*U$8,0)</f>
        <v>0</v>
      </c>
      <c r="V526" s="198">
        <f>_xlfn.IFNA(IF(V$7="Fixed",1,IF(AND($D88="yes",V$7="Block"),INDEX($O730:$Q730,1,MATCH(V$5,$I53:$K53,0)),INDEX(Movements!$G730:$M730,1,MATCH(V$7,Movements!$G$716:$M$716,0))))
*V1171*V$8,0)</f>
        <v>0</v>
      </c>
      <c r="W526" s="198">
        <f>_xlfn.IFNA(IF(W$7="Fixed",1,IF(AND($D88="yes",W$7="Block"),INDEX($O730:$Q730,1,MATCH(W$5,$I53:$K53,0)),INDEX(Movements!$G730:$M730,1,MATCH(W$7,Movements!$G$716:$M$716,0))))
*W1171*W$8,0)</f>
        <v>0</v>
      </c>
      <c r="X526" s="198">
        <f>_xlfn.IFNA(IF(X$7="Fixed",1,IF(AND($D88="yes",X$7="Block"),INDEX($O730:$Q730,1,MATCH(X$5,$I53:$K53,0)),INDEX(Movements!$G730:$M730,1,MATCH(X$7,Movements!$G$716:$M$716,0))))
*X1171*X$8,0)</f>
        <v>0</v>
      </c>
      <c r="Y526" s="198">
        <f>_xlfn.IFNA(IF(Y$7="Fixed",1,IF(AND($D88="yes",Y$7="Block"),INDEX($O730:$Q730,1,MATCH(Y$5,$I53:$K53,0)),INDEX(Movements!$G730:$M730,1,MATCH(Y$7,Movements!$G$716:$M$716,0))))
*Y1171*Y$8,0)</f>
        <v>0</v>
      </c>
      <c r="Z526" s="198">
        <f>_xlfn.IFNA(IF(Z$7="Fixed",1,IF(AND($D88="yes",Z$7="Block"),INDEX($O730:$Q730,1,MATCH(Z$5,$I53:$K53,0)),INDEX(Movements!$G730:$M730,1,MATCH(Z$7,Movements!$G$716:$M$716,0))))
*Z1171*Z$8,0)</f>
        <v>0</v>
      </c>
      <c r="AA526" s="198">
        <f>_xlfn.IFNA(IF(AA$7="Fixed",1,IF(AND($D88="yes",AA$7="Block"),INDEX($O730:$Q730,1,MATCH(AA$5,$I53:$K53,0)),INDEX(Movements!$G730:$M730,1,MATCH(AA$7,Movements!$G$716:$M$716,0))))
*AA1171*AA$8,0)</f>
        <v>0</v>
      </c>
      <c r="AB526" s="198">
        <f>_xlfn.IFNA(IF(AB$7="Fixed",1,IF(AND($D88="yes",AB$7="Block"),INDEX($O730:$Q730,1,MATCH(AB$5,$I53:$K53,0)),INDEX(Movements!$G730:$M730,1,MATCH(AB$7,Movements!$G$716:$M$716,0))))
*AB1171*AB$8,0)</f>
        <v>0</v>
      </c>
      <c r="AC526" s="70"/>
      <c r="AD526" s="19"/>
      <c r="AE526" s="19"/>
      <c r="AF526" s="19"/>
      <c r="AG526" s="19"/>
    </row>
    <row r="527" spans="1:33" hidden="1" outlineLevel="3" x14ac:dyDescent="0.2">
      <c r="A527" s="19"/>
      <c r="B527" s="97">
        <v>13</v>
      </c>
      <c r="C527" s="506">
        <f t="shared" si="125"/>
        <v>0</v>
      </c>
      <c r="D527" s="505">
        <f t="shared" si="125"/>
        <v>0</v>
      </c>
      <c r="E527" s="505">
        <f t="shared" si="125"/>
        <v>0</v>
      </c>
      <c r="F527" s="58"/>
      <c r="G527" s="199">
        <f t="shared" si="126"/>
        <v>0</v>
      </c>
      <c r="H527" s="58"/>
      <c r="I527" s="198">
        <f>_xlfn.IFNA(IF(I$7="Fixed",1,IF(AND($D89="yes",I$7="Block"),INDEX($O731:$Q731,1,MATCH(I$5,$I54:$K54,0)),INDEX(Movements!$G731:$M731,1,MATCH(I$7,Movements!$G$716:$M$716,0))))
*I1172*I$8,0)</f>
        <v>0</v>
      </c>
      <c r="J527" s="198">
        <f>_xlfn.IFNA(IF(J$7="Fixed",1,IF(AND($D89="yes",J$7="Block"),INDEX($O731:$Q731,1,MATCH(J$5,$I54:$K54,0)),INDEX(Movements!$G731:$M731,1,MATCH(J$7,Movements!$G$716:$M$716,0))))
*J1172*J$8,0)</f>
        <v>0</v>
      </c>
      <c r="K527" s="198">
        <f>_xlfn.IFNA(IF(K$7="Fixed",1,IF(AND($D89="yes",K$7="Block"),INDEX($O731:$Q731,1,MATCH(K$5,$I54:$K54,0)),INDEX(Movements!$G731:$M731,1,MATCH(K$7,Movements!$G$716:$M$716,0))))
*K1172*K$8,0)</f>
        <v>0</v>
      </c>
      <c r="L527" s="198">
        <f>_xlfn.IFNA(IF(L$7="Fixed",1,IF(AND($D89="yes",L$7="Block"),INDEX($O731:$Q731,1,MATCH(L$5,$I54:$K54,0)),INDEX(Movements!$G731:$M731,1,MATCH(L$7,Movements!$G$716:$M$716,0))))
*L1172*L$8,0)</f>
        <v>0</v>
      </c>
      <c r="M527" s="198">
        <f>_xlfn.IFNA(IF(M$7="Fixed",1,IF(AND($D89="yes",M$7="Block"),INDEX($O731:$Q731,1,MATCH(M$5,$I54:$K54,0)),INDEX(Movements!$G731:$M731,1,MATCH(M$7,Movements!$G$716:$M$716,0))))
*M1172*M$8,0)</f>
        <v>0</v>
      </c>
      <c r="N527" s="198">
        <f>_xlfn.IFNA(IF(N$7="Fixed",1,IF(AND($D89="yes",N$7="Block"),INDEX($O731:$Q731,1,MATCH(N$5,$I54:$K54,0)),INDEX(Movements!$G731:$M731,1,MATCH(N$7,Movements!$G$716:$M$716,0))))
*N1172*N$8,0)</f>
        <v>0</v>
      </c>
      <c r="O527" s="198">
        <f>_xlfn.IFNA(IF(O$7="Fixed",1,IF(AND($D89="yes",O$7="Block"),INDEX($O731:$Q731,1,MATCH(O$5,$I54:$K54,0)),INDEX(Movements!$G731:$M731,1,MATCH(O$7,Movements!$G$716:$M$716,0))))
*O1172*O$8,0)</f>
        <v>0</v>
      </c>
      <c r="P527" s="198">
        <f>_xlfn.IFNA(IF(P$7="Fixed",1,IF(AND($D89="yes",P$7="Block"),INDEX($O731:$Q731,1,MATCH(P$5,$I54:$K54,0)),INDEX(Movements!$G731:$M731,1,MATCH(P$7,Movements!$G$716:$M$716,0))))
*P1172*P$8,0)</f>
        <v>0</v>
      </c>
      <c r="Q527" s="198">
        <f>_xlfn.IFNA(IF(Q$7="Fixed",1,IF(AND($D89="yes",Q$7="Block"),INDEX($O731:$Q731,1,MATCH(Q$5,$I54:$K54,0)),INDEX(Movements!$G731:$M731,1,MATCH(Q$7,Movements!$G$716:$M$716,0))))
*Q1172*Q$8,0)</f>
        <v>0</v>
      </c>
      <c r="R527" s="198">
        <f>_xlfn.IFNA(IF(R$7="Fixed",1,IF(AND($D89="yes",R$7="Block"),INDEX($O731:$Q731,1,MATCH(R$5,$I54:$K54,0)),INDEX(Movements!$G731:$M731,1,MATCH(R$7,Movements!$G$716:$M$716,0))))
*R1172*R$8,0)</f>
        <v>0</v>
      </c>
      <c r="S527" s="198">
        <f>_xlfn.IFNA(IF(S$7="Fixed",1,IF(AND($D89="yes",S$7="Block"),INDEX($O731:$Q731,1,MATCH(S$5,$I54:$K54,0)),INDEX(Movements!$G731:$M731,1,MATCH(S$7,Movements!$G$716:$M$716,0))))
*S1172*S$8,0)</f>
        <v>0</v>
      </c>
      <c r="T527" s="198">
        <f>_xlfn.IFNA(IF(T$7="Fixed",1,IF(AND($D89="yes",T$7="Block"),INDEX($O731:$Q731,1,MATCH(T$5,$I54:$K54,0)),INDEX(Movements!$G731:$M731,1,MATCH(T$7,Movements!$G$716:$M$716,0))))
*T1172*T$8,0)</f>
        <v>0</v>
      </c>
      <c r="U527" s="198">
        <f>_xlfn.IFNA(IF(U$7="Fixed",1,IF(AND($D89="yes",U$7="Block"),INDEX($O731:$Q731,1,MATCH(U$5,$I54:$K54,0)),INDEX(Movements!$G731:$M731,1,MATCH(U$7,Movements!$G$716:$M$716,0))))
*U1172*U$8,0)</f>
        <v>0</v>
      </c>
      <c r="V527" s="198">
        <f>_xlfn.IFNA(IF(V$7="Fixed",1,IF(AND($D89="yes",V$7="Block"),INDEX($O731:$Q731,1,MATCH(V$5,$I54:$K54,0)),INDEX(Movements!$G731:$M731,1,MATCH(V$7,Movements!$G$716:$M$716,0))))
*V1172*V$8,0)</f>
        <v>0</v>
      </c>
      <c r="W527" s="198">
        <f>_xlfn.IFNA(IF(W$7="Fixed",1,IF(AND($D89="yes",W$7="Block"),INDEX($O731:$Q731,1,MATCH(W$5,$I54:$K54,0)),INDEX(Movements!$G731:$M731,1,MATCH(W$7,Movements!$G$716:$M$716,0))))
*W1172*W$8,0)</f>
        <v>0</v>
      </c>
      <c r="X527" s="198">
        <f>_xlfn.IFNA(IF(X$7="Fixed",1,IF(AND($D89="yes",X$7="Block"),INDEX($O731:$Q731,1,MATCH(X$5,$I54:$K54,0)),INDEX(Movements!$G731:$M731,1,MATCH(X$7,Movements!$G$716:$M$716,0))))
*X1172*X$8,0)</f>
        <v>0</v>
      </c>
      <c r="Y527" s="198">
        <f>_xlfn.IFNA(IF(Y$7="Fixed",1,IF(AND($D89="yes",Y$7="Block"),INDEX($O731:$Q731,1,MATCH(Y$5,$I54:$K54,0)),INDEX(Movements!$G731:$M731,1,MATCH(Y$7,Movements!$G$716:$M$716,0))))
*Y1172*Y$8,0)</f>
        <v>0</v>
      </c>
      <c r="Z527" s="198">
        <f>_xlfn.IFNA(IF(Z$7="Fixed",1,IF(AND($D89="yes",Z$7="Block"),INDEX($O731:$Q731,1,MATCH(Z$5,$I54:$K54,0)),INDEX(Movements!$G731:$M731,1,MATCH(Z$7,Movements!$G$716:$M$716,0))))
*Z1172*Z$8,0)</f>
        <v>0</v>
      </c>
      <c r="AA527" s="198">
        <f>_xlfn.IFNA(IF(AA$7="Fixed",1,IF(AND($D89="yes",AA$7="Block"),INDEX($O731:$Q731,1,MATCH(AA$5,$I54:$K54,0)),INDEX(Movements!$G731:$M731,1,MATCH(AA$7,Movements!$G$716:$M$716,0))))
*AA1172*AA$8,0)</f>
        <v>0</v>
      </c>
      <c r="AB527" s="198">
        <f>_xlfn.IFNA(IF(AB$7="Fixed",1,IF(AND($D89="yes",AB$7="Block"),INDEX($O731:$Q731,1,MATCH(AB$5,$I54:$K54,0)),INDEX(Movements!$G731:$M731,1,MATCH(AB$7,Movements!$G$716:$M$716,0))))
*AB1172*AB$8,0)</f>
        <v>0</v>
      </c>
      <c r="AC527" s="70"/>
      <c r="AD527" s="19"/>
      <c r="AE527" s="19"/>
      <c r="AF527" s="19"/>
      <c r="AG527" s="19"/>
    </row>
    <row r="528" spans="1:33" hidden="1" outlineLevel="3" x14ac:dyDescent="0.2">
      <c r="A528" s="19"/>
      <c r="B528" s="97">
        <v>14</v>
      </c>
      <c r="C528" s="506">
        <f t="shared" si="125"/>
        <v>0</v>
      </c>
      <c r="D528" s="505">
        <f t="shared" si="125"/>
        <v>0</v>
      </c>
      <c r="E528" s="505">
        <f t="shared" si="125"/>
        <v>0</v>
      </c>
      <c r="F528" s="58"/>
      <c r="G528" s="199">
        <f t="shared" si="126"/>
        <v>0</v>
      </c>
      <c r="H528" s="58"/>
      <c r="I528" s="198">
        <f>_xlfn.IFNA(IF(I$7="Fixed",1,IF(AND($D90="yes",I$7="Block"),INDEX($O732:$Q732,1,MATCH(I$5,$I55:$K55,0)),INDEX(Movements!$G732:$M732,1,MATCH(I$7,Movements!$G$716:$M$716,0))))
*I1173*I$8,0)</f>
        <v>0</v>
      </c>
      <c r="J528" s="198">
        <f>_xlfn.IFNA(IF(J$7="Fixed",1,IF(AND($D90="yes",J$7="Block"),INDEX($O732:$Q732,1,MATCH(J$5,$I55:$K55,0)),INDEX(Movements!$G732:$M732,1,MATCH(J$7,Movements!$G$716:$M$716,0))))
*J1173*J$8,0)</f>
        <v>0</v>
      </c>
      <c r="K528" s="198">
        <f>_xlfn.IFNA(IF(K$7="Fixed",1,IF(AND($D90="yes",K$7="Block"),INDEX($O732:$Q732,1,MATCH(K$5,$I55:$K55,0)),INDEX(Movements!$G732:$M732,1,MATCH(K$7,Movements!$G$716:$M$716,0))))
*K1173*K$8,0)</f>
        <v>0</v>
      </c>
      <c r="L528" s="198">
        <f>_xlfn.IFNA(IF(L$7="Fixed",1,IF(AND($D90="yes",L$7="Block"),INDEX($O732:$Q732,1,MATCH(L$5,$I55:$K55,0)),INDEX(Movements!$G732:$M732,1,MATCH(L$7,Movements!$G$716:$M$716,0))))
*L1173*L$8,0)</f>
        <v>0</v>
      </c>
      <c r="M528" s="198">
        <f>_xlfn.IFNA(IF(M$7="Fixed",1,IF(AND($D90="yes",M$7="Block"),INDEX($O732:$Q732,1,MATCH(M$5,$I55:$K55,0)),INDEX(Movements!$G732:$M732,1,MATCH(M$7,Movements!$G$716:$M$716,0))))
*M1173*M$8,0)</f>
        <v>0</v>
      </c>
      <c r="N528" s="198">
        <f>_xlfn.IFNA(IF(N$7="Fixed",1,IF(AND($D90="yes",N$7="Block"),INDEX($O732:$Q732,1,MATCH(N$5,$I55:$K55,0)),INDEX(Movements!$G732:$M732,1,MATCH(N$7,Movements!$G$716:$M$716,0))))
*N1173*N$8,0)</f>
        <v>0</v>
      </c>
      <c r="O528" s="198">
        <f>_xlfn.IFNA(IF(O$7="Fixed",1,IF(AND($D90="yes",O$7="Block"),INDEX($O732:$Q732,1,MATCH(O$5,$I55:$K55,0)),INDEX(Movements!$G732:$M732,1,MATCH(O$7,Movements!$G$716:$M$716,0))))
*O1173*O$8,0)</f>
        <v>0</v>
      </c>
      <c r="P528" s="198">
        <f>_xlfn.IFNA(IF(P$7="Fixed",1,IF(AND($D90="yes",P$7="Block"),INDEX($O732:$Q732,1,MATCH(P$5,$I55:$K55,0)),INDEX(Movements!$G732:$M732,1,MATCH(P$7,Movements!$G$716:$M$716,0))))
*P1173*P$8,0)</f>
        <v>0</v>
      </c>
      <c r="Q528" s="198">
        <f>_xlfn.IFNA(IF(Q$7="Fixed",1,IF(AND($D90="yes",Q$7="Block"),INDEX($O732:$Q732,1,MATCH(Q$5,$I55:$K55,0)),INDEX(Movements!$G732:$M732,1,MATCH(Q$7,Movements!$G$716:$M$716,0))))
*Q1173*Q$8,0)</f>
        <v>0</v>
      </c>
      <c r="R528" s="198">
        <f>_xlfn.IFNA(IF(R$7="Fixed",1,IF(AND($D90="yes",R$7="Block"),INDEX($O732:$Q732,1,MATCH(R$5,$I55:$K55,0)),INDEX(Movements!$G732:$M732,1,MATCH(R$7,Movements!$G$716:$M$716,0))))
*R1173*R$8,0)</f>
        <v>0</v>
      </c>
      <c r="S528" s="198">
        <f>_xlfn.IFNA(IF(S$7="Fixed",1,IF(AND($D90="yes",S$7="Block"),INDEX($O732:$Q732,1,MATCH(S$5,$I55:$K55,0)),INDEX(Movements!$G732:$M732,1,MATCH(S$7,Movements!$G$716:$M$716,0))))
*S1173*S$8,0)</f>
        <v>0</v>
      </c>
      <c r="T528" s="198">
        <f>_xlfn.IFNA(IF(T$7="Fixed",1,IF(AND($D90="yes",T$7="Block"),INDEX($O732:$Q732,1,MATCH(T$5,$I55:$K55,0)),INDEX(Movements!$G732:$M732,1,MATCH(T$7,Movements!$G$716:$M$716,0))))
*T1173*T$8,0)</f>
        <v>0</v>
      </c>
      <c r="U528" s="198">
        <f>_xlfn.IFNA(IF(U$7="Fixed",1,IF(AND($D90="yes",U$7="Block"),INDEX($O732:$Q732,1,MATCH(U$5,$I55:$K55,0)),INDEX(Movements!$G732:$M732,1,MATCH(U$7,Movements!$G$716:$M$716,0))))
*U1173*U$8,0)</f>
        <v>0</v>
      </c>
      <c r="V528" s="198">
        <f>_xlfn.IFNA(IF(V$7="Fixed",1,IF(AND($D90="yes",V$7="Block"),INDEX($O732:$Q732,1,MATCH(V$5,$I55:$K55,0)),INDEX(Movements!$G732:$M732,1,MATCH(V$7,Movements!$G$716:$M$716,0))))
*V1173*V$8,0)</f>
        <v>0</v>
      </c>
      <c r="W528" s="198">
        <f>_xlfn.IFNA(IF(W$7="Fixed",1,IF(AND($D90="yes",W$7="Block"),INDEX($O732:$Q732,1,MATCH(W$5,$I55:$K55,0)),INDEX(Movements!$G732:$M732,1,MATCH(W$7,Movements!$G$716:$M$716,0))))
*W1173*W$8,0)</f>
        <v>0</v>
      </c>
      <c r="X528" s="198">
        <f>_xlfn.IFNA(IF(X$7="Fixed",1,IF(AND($D90="yes",X$7="Block"),INDEX($O732:$Q732,1,MATCH(X$5,$I55:$K55,0)),INDEX(Movements!$G732:$M732,1,MATCH(X$7,Movements!$G$716:$M$716,0))))
*X1173*X$8,0)</f>
        <v>0</v>
      </c>
      <c r="Y528" s="198">
        <f>_xlfn.IFNA(IF(Y$7="Fixed",1,IF(AND($D90="yes",Y$7="Block"),INDEX($O732:$Q732,1,MATCH(Y$5,$I55:$K55,0)),INDEX(Movements!$G732:$M732,1,MATCH(Y$7,Movements!$G$716:$M$716,0))))
*Y1173*Y$8,0)</f>
        <v>0</v>
      </c>
      <c r="Z528" s="198">
        <f>_xlfn.IFNA(IF(Z$7="Fixed",1,IF(AND($D90="yes",Z$7="Block"),INDEX($O732:$Q732,1,MATCH(Z$5,$I55:$K55,0)),INDEX(Movements!$G732:$M732,1,MATCH(Z$7,Movements!$G$716:$M$716,0))))
*Z1173*Z$8,0)</f>
        <v>0</v>
      </c>
      <c r="AA528" s="198">
        <f>_xlfn.IFNA(IF(AA$7="Fixed",1,IF(AND($D90="yes",AA$7="Block"),INDEX($O732:$Q732,1,MATCH(AA$5,$I55:$K55,0)),INDEX(Movements!$G732:$M732,1,MATCH(AA$7,Movements!$G$716:$M$716,0))))
*AA1173*AA$8,0)</f>
        <v>0</v>
      </c>
      <c r="AB528" s="198">
        <f>_xlfn.IFNA(IF(AB$7="Fixed",1,IF(AND($D90="yes",AB$7="Block"),INDEX($O732:$Q732,1,MATCH(AB$5,$I55:$K55,0)),INDEX(Movements!$G732:$M732,1,MATCH(AB$7,Movements!$G$716:$M$716,0))))
*AB1173*AB$8,0)</f>
        <v>0</v>
      </c>
      <c r="AC528" s="70"/>
      <c r="AD528" s="19"/>
      <c r="AE528" s="19"/>
      <c r="AF528" s="19"/>
      <c r="AG528" s="19"/>
    </row>
    <row r="529" spans="1:33" hidden="1" outlineLevel="3" x14ac:dyDescent="0.2">
      <c r="A529" s="19"/>
      <c r="B529" s="97">
        <v>15</v>
      </c>
      <c r="C529" s="506">
        <f t="shared" si="125"/>
        <v>0</v>
      </c>
      <c r="D529" s="505">
        <f t="shared" si="125"/>
        <v>0</v>
      </c>
      <c r="E529" s="505">
        <f t="shared" si="125"/>
        <v>0</v>
      </c>
      <c r="F529" s="58"/>
      <c r="G529" s="199">
        <f t="shared" si="126"/>
        <v>0</v>
      </c>
      <c r="H529" s="58"/>
      <c r="I529" s="198">
        <f>_xlfn.IFNA(IF(I$7="Fixed",1,IF(AND($D91="yes",I$7="Block"),INDEX($O733:$Q733,1,MATCH(I$5,$I56:$K56,0)),INDEX(Movements!$G733:$M733,1,MATCH(I$7,Movements!$G$716:$M$716,0))))
*I1174*I$8,0)</f>
        <v>0</v>
      </c>
      <c r="J529" s="198">
        <f>_xlfn.IFNA(IF(J$7="Fixed",1,IF(AND($D91="yes",J$7="Block"),INDEX($O733:$Q733,1,MATCH(J$5,$I56:$K56,0)),INDEX(Movements!$G733:$M733,1,MATCH(J$7,Movements!$G$716:$M$716,0))))
*J1174*J$8,0)</f>
        <v>0</v>
      </c>
      <c r="K529" s="198">
        <f>_xlfn.IFNA(IF(K$7="Fixed",1,IF(AND($D91="yes",K$7="Block"),INDEX($O733:$Q733,1,MATCH(K$5,$I56:$K56,0)),INDEX(Movements!$G733:$M733,1,MATCH(K$7,Movements!$G$716:$M$716,0))))
*K1174*K$8,0)</f>
        <v>0</v>
      </c>
      <c r="L529" s="198">
        <f>_xlfn.IFNA(IF(L$7="Fixed",1,IF(AND($D91="yes",L$7="Block"),INDEX($O733:$Q733,1,MATCH(L$5,$I56:$K56,0)),INDEX(Movements!$G733:$M733,1,MATCH(L$7,Movements!$G$716:$M$716,0))))
*L1174*L$8,0)</f>
        <v>0</v>
      </c>
      <c r="M529" s="198">
        <f>_xlfn.IFNA(IF(M$7="Fixed",1,IF(AND($D91="yes",M$7="Block"),INDEX($O733:$Q733,1,MATCH(M$5,$I56:$K56,0)),INDEX(Movements!$G733:$M733,1,MATCH(M$7,Movements!$G$716:$M$716,0))))
*M1174*M$8,0)</f>
        <v>0</v>
      </c>
      <c r="N529" s="198">
        <f>_xlfn.IFNA(IF(N$7="Fixed",1,IF(AND($D91="yes",N$7="Block"),INDEX($O733:$Q733,1,MATCH(N$5,$I56:$K56,0)),INDEX(Movements!$G733:$M733,1,MATCH(N$7,Movements!$G$716:$M$716,0))))
*N1174*N$8,0)</f>
        <v>0</v>
      </c>
      <c r="O529" s="198">
        <f>_xlfn.IFNA(IF(O$7="Fixed",1,IF(AND($D91="yes",O$7="Block"),INDEX($O733:$Q733,1,MATCH(O$5,$I56:$K56,0)),INDEX(Movements!$G733:$M733,1,MATCH(O$7,Movements!$G$716:$M$716,0))))
*O1174*O$8,0)</f>
        <v>0</v>
      </c>
      <c r="P529" s="198">
        <f>_xlfn.IFNA(IF(P$7="Fixed",1,IF(AND($D91="yes",P$7="Block"),INDEX($O733:$Q733,1,MATCH(P$5,$I56:$K56,0)),INDEX(Movements!$G733:$M733,1,MATCH(P$7,Movements!$G$716:$M$716,0))))
*P1174*P$8,0)</f>
        <v>0</v>
      </c>
      <c r="Q529" s="198">
        <f>_xlfn.IFNA(IF(Q$7="Fixed",1,IF(AND($D91="yes",Q$7="Block"),INDEX($O733:$Q733,1,MATCH(Q$5,$I56:$K56,0)),INDEX(Movements!$G733:$M733,1,MATCH(Q$7,Movements!$G$716:$M$716,0))))
*Q1174*Q$8,0)</f>
        <v>0</v>
      </c>
      <c r="R529" s="198">
        <f>_xlfn.IFNA(IF(R$7="Fixed",1,IF(AND($D91="yes",R$7="Block"),INDEX($O733:$Q733,1,MATCH(R$5,$I56:$K56,0)),INDEX(Movements!$G733:$M733,1,MATCH(R$7,Movements!$G$716:$M$716,0))))
*R1174*R$8,0)</f>
        <v>0</v>
      </c>
      <c r="S529" s="198">
        <f>_xlfn.IFNA(IF(S$7="Fixed",1,IF(AND($D91="yes",S$7="Block"),INDEX($O733:$Q733,1,MATCH(S$5,$I56:$K56,0)),INDEX(Movements!$G733:$M733,1,MATCH(S$7,Movements!$G$716:$M$716,0))))
*S1174*S$8,0)</f>
        <v>0</v>
      </c>
      <c r="T529" s="198">
        <f>_xlfn.IFNA(IF(T$7="Fixed",1,IF(AND($D91="yes",T$7="Block"),INDEX($O733:$Q733,1,MATCH(T$5,$I56:$K56,0)),INDEX(Movements!$G733:$M733,1,MATCH(T$7,Movements!$G$716:$M$716,0))))
*T1174*T$8,0)</f>
        <v>0</v>
      </c>
      <c r="U529" s="198">
        <f>_xlfn.IFNA(IF(U$7="Fixed",1,IF(AND($D91="yes",U$7="Block"),INDEX($O733:$Q733,1,MATCH(U$5,$I56:$K56,0)),INDEX(Movements!$G733:$M733,1,MATCH(U$7,Movements!$G$716:$M$716,0))))
*U1174*U$8,0)</f>
        <v>0</v>
      </c>
      <c r="V529" s="198">
        <f>_xlfn.IFNA(IF(V$7="Fixed",1,IF(AND($D91="yes",V$7="Block"),INDEX($O733:$Q733,1,MATCH(V$5,$I56:$K56,0)),INDEX(Movements!$G733:$M733,1,MATCH(V$7,Movements!$G$716:$M$716,0))))
*V1174*V$8,0)</f>
        <v>0</v>
      </c>
      <c r="W529" s="198">
        <f>_xlfn.IFNA(IF(W$7="Fixed",1,IF(AND($D91="yes",W$7="Block"),INDEX($O733:$Q733,1,MATCH(W$5,$I56:$K56,0)),INDEX(Movements!$G733:$M733,1,MATCH(W$7,Movements!$G$716:$M$716,0))))
*W1174*W$8,0)</f>
        <v>0</v>
      </c>
      <c r="X529" s="198">
        <f>_xlfn.IFNA(IF(X$7="Fixed",1,IF(AND($D91="yes",X$7="Block"),INDEX($O733:$Q733,1,MATCH(X$5,$I56:$K56,0)),INDEX(Movements!$G733:$M733,1,MATCH(X$7,Movements!$G$716:$M$716,0))))
*X1174*X$8,0)</f>
        <v>0</v>
      </c>
      <c r="Y529" s="198">
        <f>_xlfn.IFNA(IF(Y$7="Fixed",1,IF(AND($D91="yes",Y$7="Block"),INDEX($O733:$Q733,1,MATCH(Y$5,$I56:$K56,0)),INDEX(Movements!$G733:$M733,1,MATCH(Y$7,Movements!$G$716:$M$716,0))))
*Y1174*Y$8,0)</f>
        <v>0</v>
      </c>
      <c r="Z529" s="198">
        <f>_xlfn.IFNA(IF(Z$7="Fixed",1,IF(AND($D91="yes",Z$7="Block"),INDEX($O733:$Q733,1,MATCH(Z$5,$I56:$K56,0)),INDEX(Movements!$G733:$M733,1,MATCH(Z$7,Movements!$G$716:$M$716,0))))
*Z1174*Z$8,0)</f>
        <v>0</v>
      </c>
      <c r="AA529" s="198">
        <f>_xlfn.IFNA(IF(AA$7="Fixed",1,IF(AND($D91="yes",AA$7="Block"),INDEX($O733:$Q733,1,MATCH(AA$5,$I56:$K56,0)),INDEX(Movements!$G733:$M733,1,MATCH(AA$7,Movements!$G$716:$M$716,0))))
*AA1174*AA$8,0)</f>
        <v>0</v>
      </c>
      <c r="AB529" s="198">
        <f>_xlfn.IFNA(IF(AB$7="Fixed",1,IF(AND($D91="yes",AB$7="Block"),INDEX($O733:$Q733,1,MATCH(AB$5,$I56:$K56,0)),INDEX(Movements!$G733:$M733,1,MATCH(AB$7,Movements!$G$716:$M$716,0))))
*AB1174*AB$8,0)</f>
        <v>0</v>
      </c>
      <c r="AC529" s="70"/>
      <c r="AD529" s="19"/>
      <c r="AE529" s="19"/>
      <c r="AF529" s="19"/>
      <c r="AG529" s="19"/>
    </row>
    <row r="530" spans="1:33" hidden="1" outlineLevel="3" x14ac:dyDescent="0.2">
      <c r="A530" s="19"/>
      <c r="B530" s="98">
        <v>16</v>
      </c>
      <c r="C530" s="506">
        <f t="shared" si="125"/>
        <v>0</v>
      </c>
      <c r="D530" s="505">
        <f t="shared" si="125"/>
        <v>0</v>
      </c>
      <c r="E530" s="505">
        <f t="shared" si="125"/>
        <v>0</v>
      </c>
      <c r="F530" s="58"/>
      <c r="G530" s="199">
        <f t="shared" si="126"/>
        <v>0</v>
      </c>
      <c r="H530" s="58"/>
      <c r="I530" s="198">
        <f>_xlfn.IFNA(IF(I$7="Fixed",1,IF(AND($D92="yes",I$7="Block"),INDEX($O734:$Q734,1,MATCH(I$5,$I57:$K57,0)),INDEX(Movements!$G734:$M734,1,MATCH(I$7,Movements!$G$716:$M$716,0))))
*I1175*I$8,0)</f>
        <v>0</v>
      </c>
      <c r="J530" s="198">
        <f>_xlfn.IFNA(IF(J$7="Fixed",1,IF(AND($D92="yes",J$7="Block"),INDEX($O734:$Q734,1,MATCH(J$5,$I57:$K57,0)),INDEX(Movements!$G734:$M734,1,MATCH(J$7,Movements!$G$716:$M$716,0))))
*J1175*J$8,0)</f>
        <v>0</v>
      </c>
      <c r="K530" s="198">
        <f>_xlfn.IFNA(IF(K$7="Fixed",1,IF(AND($D92="yes",K$7="Block"),INDEX($O734:$Q734,1,MATCH(K$5,$I57:$K57,0)),INDEX(Movements!$G734:$M734,1,MATCH(K$7,Movements!$G$716:$M$716,0))))
*K1175*K$8,0)</f>
        <v>0</v>
      </c>
      <c r="L530" s="198">
        <f>_xlfn.IFNA(IF(L$7="Fixed",1,IF(AND($D92="yes",L$7="Block"),INDEX($O734:$Q734,1,MATCH(L$5,$I57:$K57,0)),INDEX(Movements!$G734:$M734,1,MATCH(L$7,Movements!$G$716:$M$716,0))))
*L1175*L$8,0)</f>
        <v>0</v>
      </c>
      <c r="M530" s="198">
        <f>_xlfn.IFNA(IF(M$7="Fixed",1,IF(AND($D92="yes",M$7="Block"),INDEX($O734:$Q734,1,MATCH(M$5,$I57:$K57,0)),INDEX(Movements!$G734:$M734,1,MATCH(M$7,Movements!$G$716:$M$716,0))))
*M1175*M$8,0)</f>
        <v>0</v>
      </c>
      <c r="N530" s="198">
        <f>_xlfn.IFNA(IF(N$7="Fixed",1,IF(AND($D92="yes",N$7="Block"),INDEX($O734:$Q734,1,MATCH(N$5,$I57:$K57,0)),INDEX(Movements!$G734:$M734,1,MATCH(N$7,Movements!$G$716:$M$716,0))))
*N1175*N$8,0)</f>
        <v>0</v>
      </c>
      <c r="O530" s="198">
        <f>_xlfn.IFNA(IF(O$7="Fixed",1,IF(AND($D92="yes",O$7="Block"),INDEX($O734:$Q734,1,MATCH(O$5,$I57:$K57,0)),INDEX(Movements!$G734:$M734,1,MATCH(O$7,Movements!$G$716:$M$716,0))))
*O1175*O$8,0)</f>
        <v>0</v>
      </c>
      <c r="P530" s="198">
        <f>_xlfn.IFNA(IF(P$7="Fixed",1,IF(AND($D92="yes",P$7="Block"),INDEX($O734:$Q734,1,MATCH(P$5,$I57:$K57,0)),INDEX(Movements!$G734:$M734,1,MATCH(P$7,Movements!$G$716:$M$716,0))))
*P1175*P$8,0)</f>
        <v>0</v>
      </c>
      <c r="Q530" s="198">
        <f>_xlfn.IFNA(IF(Q$7="Fixed",1,IF(AND($D92="yes",Q$7="Block"),INDEX($O734:$Q734,1,MATCH(Q$5,$I57:$K57,0)),INDEX(Movements!$G734:$M734,1,MATCH(Q$7,Movements!$G$716:$M$716,0))))
*Q1175*Q$8,0)</f>
        <v>0</v>
      </c>
      <c r="R530" s="198">
        <f>_xlfn.IFNA(IF(R$7="Fixed",1,IF(AND($D92="yes",R$7="Block"),INDEX($O734:$Q734,1,MATCH(R$5,$I57:$K57,0)),INDEX(Movements!$G734:$M734,1,MATCH(R$7,Movements!$G$716:$M$716,0))))
*R1175*R$8,0)</f>
        <v>0</v>
      </c>
      <c r="S530" s="198">
        <f>_xlfn.IFNA(IF(S$7="Fixed",1,IF(AND($D92="yes",S$7="Block"),INDEX($O734:$Q734,1,MATCH(S$5,$I57:$K57,0)),INDEX(Movements!$G734:$M734,1,MATCH(S$7,Movements!$G$716:$M$716,0))))
*S1175*S$8,0)</f>
        <v>0</v>
      </c>
      <c r="T530" s="198">
        <f>_xlfn.IFNA(IF(T$7="Fixed",1,IF(AND($D92="yes",T$7="Block"),INDEX($O734:$Q734,1,MATCH(T$5,$I57:$K57,0)),INDEX(Movements!$G734:$M734,1,MATCH(T$7,Movements!$G$716:$M$716,0))))
*T1175*T$8,0)</f>
        <v>0</v>
      </c>
      <c r="U530" s="198">
        <f>_xlfn.IFNA(IF(U$7="Fixed",1,IF(AND($D92="yes",U$7="Block"),INDEX($O734:$Q734,1,MATCH(U$5,$I57:$K57,0)),INDEX(Movements!$G734:$M734,1,MATCH(U$7,Movements!$G$716:$M$716,0))))
*U1175*U$8,0)</f>
        <v>0</v>
      </c>
      <c r="V530" s="198">
        <f>_xlfn.IFNA(IF(V$7="Fixed",1,IF(AND($D92="yes",V$7="Block"),INDEX($O734:$Q734,1,MATCH(V$5,$I57:$K57,0)),INDEX(Movements!$G734:$M734,1,MATCH(V$7,Movements!$G$716:$M$716,0))))
*V1175*V$8,0)</f>
        <v>0</v>
      </c>
      <c r="W530" s="198">
        <f>_xlfn.IFNA(IF(W$7="Fixed",1,IF(AND($D92="yes",W$7="Block"),INDEX($O734:$Q734,1,MATCH(W$5,$I57:$K57,0)),INDEX(Movements!$G734:$M734,1,MATCH(W$7,Movements!$G$716:$M$716,0))))
*W1175*W$8,0)</f>
        <v>0</v>
      </c>
      <c r="X530" s="198">
        <f>_xlfn.IFNA(IF(X$7="Fixed",1,IF(AND($D92="yes",X$7="Block"),INDEX($O734:$Q734,1,MATCH(X$5,$I57:$K57,0)),INDEX(Movements!$G734:$M734,1,MATCH(X$7,Movements!$G$716:$M$716,0))))
*X1175*X$8,0)</f>
        <v>0</v>
      </c>
      <c r="Y530" s="198">
        <f>_xlfn.IFNA(IF(Y$7="Fixed",1,IF(AND($D92="yes",Y$7="Block"),INDEX($O734:$Q734,1,MATCH(Y$5,$I57:$K57,0)),INDEX(Movements!$G734:$M734,1,MATCH(Y$7,Movements!$G$716:$M$716,0))))
*Y1175*Y$8,0)</f>
        <v>0</v>
      </c>
      <c r="Z530" s="198">
        <f>_xlfn.IFNA(IF(Z$7="Fixed",1,IF(AND($D92="yes",Z$7="Block"),INDEX($O734:$Q734,1,MATCH(Z$5,$I57:$K57,0)),INDEX(Movements!$G734:$M734,1,MATCH(Z$7,Movements!$G$716:$M$716,0))))
*Z1175*Z$8,0)</f>
        <v>0</v>
      </c>
      <c r="AA530" s="198">
        <f>_xlfn.IFNA(IF(AA$7="Fixed",1,IF(AND($D92="yes",AA$7="Block"),INDEX($O734:$Q734,1,MATCH(AA$5,$I57:$K57,0)),INDEX(Movements!$G734:$M734,1,MATCH(AA$7,Movements!$G$716:$M$716,0))))
*AA1175*AA$8,0)</f>
        <v>0</v>
      </c>
      <c r="AB530" s="198">
        <f>_xlfn.IFNA(IF(AB$7="Fixed",1,IF(AND($D92="yes",AB$7="Block"),INDEX($O734:$Q734,1,MATCH(AB$5,$I57:$K57,0)),INDEX(Movements!$G734:$M734,1,MATCH(AB$7,Movements!$G$716:$M$716,0))))
*AB1175*AB$8,0)</f>
        <v>0</v>
      </c>
      <c r="AC530" s="70"/>
      <c r="AD530" s="19"/>
      <c r="AE530" s="19"/>
      <c r="AF530" s="19"/>
      <c r="AG530" s="19"/>
    </row>
    <row r="531" spans="1:33" hidden="1" outlineLevel="3" x14ac:dyDescent="0.2">
      <c r="A531" s="19"/>
      <c r="B531" s="97">
        <v>17</v>
      </c>
      <c r="C531" s="506">
        <f t="shared" si="125"/>
        <v>0</v>
      </c>
      <c r="D531" s="505">
        <f t="shared" si="125"/>
        <v>0</v>
      </c>
      <c r="E531" s="505">
        <f t="shared" si="125"/>
        <v>0</v>
      </c>
      <c r="F531" s="58"/>
      <c r="G531" s="199">
        <f t="shared" si="126"/>
        <v>0</v>
      </c>
      <c r="H531" s="58"/>
      <c r="I531" s="198">
        <f>_xlfn.IFNA(IF(I$7="Fixed",1,IF(AND($D93="yes",I$7="Block"),INDEX($O735:$Q735,1,MATCH(I$5,$I58:$K58,0)),INDEX(Movements!$G735:$M735,1,MATCH(I$7,Movements!$G$716:$M$716,0))))
*I1176*I$8,0)</f>
        <v>0</v>
      </c>
      <c r="J531" s="198">
        <f>_xlfn.IFNA(IF(J$7="Fixed",1,IF(AND($D93="yes",J$7="Block"),INDEX($O735:$Q735,1,MATCH(J$5,$I58:$K58,0)),INDEX(Movements!$G735:$M735,1,MATCH(J$7,Movements!$G$716:$M$716,0))))
*J1176*J$8,0)</f>
        <v>0</v>
      </c>
      <c r="K531" s="198">
        <f>_xlfn.IFNA(IF(K$7="Fixed",1,IF(AND($D93="yes",K$7="Block"),INDEX($O735:$Q735,1,MATCH(K$5,$I58:$K58,0)),INDEX(Movements!$G735:$M735,1,MATCH(K$7,Movements!$G$716:$M$716,0))))
*K1176*K$8,0)</f>
        <v>0</v>
      </c>
      <c r="L531" s="198">
        <f>_xlfn.IFNA(IF(L$7="Fixed",1,IF(AND($D93="yes",L$7="Block"),INDEX($O735:$Q735,1,MATCH(L$5,$I58:$K58,0)),INDEX(Movements!$G735:$M735,1,MATCH(L$7,Movements!$G$716:$M$716,0))))
*L1176*L$8,0)</f>
        <v>0</v>
      </c>
      <c r="M531" s="198">
        <f>_xlfn.IFNA(IF(M$7="Fixed",1,IF(AND($D93="yes",M$7="Block"),INDEX($O735:$Q735,1,MATCH(M$5,$I58:$K58,0)),INDEX(Movements!$G735:$M735,1,MATCH(M$7,Movements!$G$716:$M$716,0))))
*M1176*M$8,0)</f>
        <v>0</v>
      </c>
      <c r="N531" s="198">
        <f>_xlfn.IFNA(IF(N$7="Fixed",1,IF(AND($D93="yes",N$7="Block"),INDEX($O735:$Q735,1,MATCH(N$5,$I58:$K58,0)),INDEX(Movements!$G735:$M735,1,MATCH(N$7,Movements!$G$716:$M$716,0))))
*N1176*N$8,0)</f>
        <v>0</v>
      </c>
      <c r="O531" s="198">
        <f>_xlfn.IFNA(IF(O$7="Fixed",1,IF(AND($D93="yes",O$7="Block"),INDEX($O735:$Q735,1,MATCH(O$5,$I58:$K58,0)),INDEX(Movements!$G735:$M735,1,MATCH(O$7,Movements!$G$716:$M$716,0))))
*O1176*O$8,0)</f>
        <v>0</v>
      </c>
      <c r="P531" s="198">
        <f>_xlfn.IFNA(IF(P$7="Fixed",1,IF(AND($D93="yes",P$7="Block"),INDEX($O735:$Q735,1,MATCH(P$5,$I58:$K58,0)),INDEX(Movements!$G735:$M735,1,MATCH(P$7,Movements!$G$716:$M$716,0))))
*P1176*P$8,0)</f>
        <v>0</v>
      </c>
      <c r="Q531" s="198">
        <f>_xlfn.IFNA(IF(Q$7="Fixed",1,IF(AND($D93="yes",Q$7="Block"),INDEX($O735:$Q735,1,MATCH(Q$5,$I58:$K58,0)),INDEX(Movements!$G735:$M735,1,MATCH(Q$7,Movements!$G$716:$M$716,0))))
*Q1176*Q$8,0)</f>
        <v>0</v>
      </c>
      <c r="R531" s="198">
        <f>_xlfn.IFNA(IF(R$7="Fixed",1,IF(AND($D93="yes",R$7="Block"),INDEX($O735:$Q735,1,MATCH(R$5,$I58:$K58,0)),INDEX(Movements!$G735:$M735,1,MATCH(R$7,Movements!$G$716:$M$716,0))))
*R1176*R$8,0)</f>
        <v>0</v>
      </c>
      <c r="S531" s="198">
        <f>_xlfn.IFNA(IF(S$7="Fixed",1,IF(AND($D93="yes",S$7="Block"),INDEX($O735:$Q735,1,MATCH(S$5,$I58:$K58,0)),INDEX(Movements!$G735:$M735,1,MATCH(S$7,Movements!$G$716:$M$716,0))))
*S1176*S$8,0)</f>
        <v>0</v>
      </c>
      <c r="T531" s="198">
        <f>_xlfn.IFNA(IF(T$7="Fixed",1,IF(AND($D93="yes",T$7="Block"),INDEX($O735:$Q735,1,MATCH(T$5,$I58:$K58,0)),INDEX(Movements!$G735:$M735,1,MATCH(T$7,Movements!$G$716:$M$716,0))))
*T1176*T$8,0)</f>
        <v>0</v>
      </c>
      <c r="U531" s="198">
        <f>_xlfn.IFNA(IF(U$7="Fixed",1,IF(AND($D93="yes",U$7="Block"),INDEX($O735:$Q735,1,MATCH(U$5,$I58:$K58,0)),INDEX(Movements!$G735:$M735,1,MATCH(U$7,Movements!$G$716:$M$716,0))))
*U1176*U$8,0)</f>
        <v>0</v>
      </c>
      <c r="V531" s="198">
        <f>_xlfn.IFNA(IF(V$7="Fixed",1,IF(AND($D93="yes",V$7="Block"),INDEX($O735:$Q735,1,MATCH(V$5,$I58:$K58,0)),INDEX(Movements!$G735:$M735,1,MATCH(V$7,Movements!$G$716:$M$716,0))))
*V1176*V$8,0)</f>
        <v>0</v>
      </c>
      <c r="W531" s="198">
        <f>_xlfn.IFNA(IF(W$7="Fixed",1,IF(AND($D93="yes",W$7="Block"),INDEX($O735:$Q735,1,MATCH(W$5,$I58:$K58,0)),INDEX(Movements!$G735:$M735,1,MATCH(W$7,Movements!$G$716:$M$716,0))))
*W1176*W$8,0)</f>
        <v>0</v>
      </c>
      <c r="X531" s="198">
        <f>_xlfn.IFNA(IF(X$7="Fixed",1,IF(AND($D93="yes",X$7="Block"),INDEX($O735:$Q735,1,MATCH(X$5,$I58:$K58,0)),INDEX(Movements!$G735:$M735,1,MATCH(X$7,Movements!$G$716:$M$716,0))))
*X1176*X$8,0)</f>
        <v>0</v>
      </c>
      <c r="Y531" s="198">
        <f>_xlfn.IFNA(IF(Y$7="Fixed",1,IF(AND($D93="yes",Y$7="Block"),INDEX($O735:$Q735,1,MATCH(Y$5,$I58:$K58,0)),INDEX(Movements!$G735:$M735,1,MATCH(Y$7,Movements!$G$716:$M$716,0))))
*Y1176*Y$8,0)</f>
        <v>0</v>
      </c>
      <c r="Z531" s="198">
        <f>_xlfn.IFNA(IF(Z$7="Fixed",1,IF(AND($D93="yes",Z$7="Block"),INDEX($O735:$Q735,1,MATCH(Z$5,$I58:$K58,0)),INDEX(Movements!$G735:$M735,1,MATCH(Z$7,Movements!$G$716:$M$716,0))))
*Z1176*Z$8,0)</f>
        <v>0</v>
      </c>
      <c r="AA531" s="198">
        <f>_xlfn.IFNA(IF(AA$7="Fixed",1,IF(AND($D93="yes",AA$7="Block"),INDEX($O735:$Q735,1,MATCH(AA$5,$I58:$K58,0)),INDEX(Movements!$G735:$M735,1,MATCH(AA$7,Movements!$G$716:$M$716,0))))
*AA1176*AA$8,0)</f>
        <v>0</v>
      </c>
      <c r="AB531" s="198">
        <f>_xlfn.IFNA(IF(AB$7="Fixed",1,IF(AND($D93="yes",AB$7="Block"),INDEX($O735:$Q735,1,MATCH(AB$5,$I58:$K58,0)),INDEX(Movements!$G735:$M735,1,MATCH(AB$7,Movements!$G$716:$M$716,0))))
*AB1176*AB$8,0)</f>
        <v>0</v>
      </c>
      <c r="AC531" s="70"/>
      <c r="AD531" s="19"/>
      <c r="AE531" s="19"/>
      <c r="AF531" s="19"/>
      <c r="AG531" s="19"/>
    </row>
    <row r="532" spans="1:33" hidden="1" outlineLevel="3" x14ac:dyDescent="0.2">
      <c r="A532" s="19"/>
      <c r="B532" s="97">
        <v>18</v>
      </c>
      <c r="C532" s="506">
        <f t="shared" si="125"/>
        <v>0</v>
      </c>
      <c r="D532" s="505">
        <f t="shared" si="125"/>
        <v>0</v>
      </c>
      <c r="E532" s="505">
        <f t="shared" si="125"/>
        <v>0</v>
      </c>
      <c r="F532" s="58"/>
      <c r="G532" s="199">
        <f t="shared" si="126"/>
        <v>0</v>
      </c>
      <c r="H532" s="58"/>
      <c r="I532" s="198">
        <f>_xlfn.IFNA(IF(I$7="Fixed",1,IF(AND($D94="yes",I$7="Block"),INDEX($O736:$Q736,1,MATCH(I$5,$I59:$K59,0)),INDEX(Movements!$G736:$M736,1,MATCH(I$7,Movements!$G$716:$M$716,0))))
*I1177*I$8,0)</f>
        <v>0</v>
      </c>
      <c r="J532" s="198">
        <f>_xlfn.IFNA(IF(J$7="Fixed",1,IF(AND($D94="yes",J$7="Block"),INDEX($O736:$Q736,1,MATCH(J$5,$I59:$K59,0)),INDEX(Movements!$G736:$M736,1,MATCH(J$7,Movements!$G$716:$M$716,0))))
*J1177*J$8,0)</f>
        <v>0</v>
      </c>
      <c r="K532" s="198">
        <f>_xlfn.IFNA(IF(K$7="Fixed",1,IF(AND($D94="yes",K$7="Block"),INDEX($O736:$Q736,1,MATCH(K$5,$I59:$K59,0)),INDEX(Movements!$G736:$M736,1,MATCH(K$7,Movements!$G$716:$M$716,0))))
*K1177*K$8,0)</f>
        <v>0</v>
      </c>
      <c r="L532" s="198">
        <f>_xlfn.IFNA(IF(L$7="Fixed",1,IF(AND($D94="yes",L$7="Block"),INDEX($O736:$Q736,1,MATCH(L$5,$I59:$K59,0)),INDEX(Movements!$G736:$M736,1,MATCH(L$7,Movements!$G$716:$M$716,0))))
*L1177*L$8,0)</f>
        <v>0</v>
      </c>
      <c r="M532" s="198">
        <f>_xlfn.IFNA(IF(M$7="Fixed",1,IF(AND($D94="yes",M$7="Block"),INDEX($O736:$Q736,1,MATCH(M$5,$I59:$K59,0)),INDEX(Movements!$G736:$M736,1,MATCH(M$7,Movements!$G$716:$M$716,0))))
*M1177*M$8,0)</f>
        <v>0</v>
      </c>
      <c r="N532" s="198">
        <f>_xlfn.IFNA(IF(N$7="Fixed",1,IF(AND($D94="yes",N$7="Block"),INDEX($O736:$Q736,1,MATCH(N$5,$I59:$K59,0)),INDEX(Movements!$G736:$M736,1,MATCH(N$7,Movements!$G$716:$M$716,0))))
*N1177*N$8,0)</f>
        <v>0</v>
      </c>
      <c r="O532" s="198">
        <f>_xlfn.IFNA(IF(O$7="Fixed",1,IF(AND($D94="yes",O$7="Block"),INDEX($O736:$Q736,1,MATCH(O$5,$I59:$K59,0)),INDEX(Movements!$G736:$M736,1,MATCH(O$7,Movements!$G$716:$M$716,0))))
*O1177*O$8,0)</f>
        <v>0</v>
      </c>
      <c r="P532" s="198">
        <f>_xlfn.IFNA(IF(P$7="Fixed",1,IF(AND($D94="yes",P$7="Block"),INDEX($O736:$Q736,1,MATCH(P$5,$I59:$K59,0)),INDEX(Movements!$G736:$M736,1,MATCH(P$7,Movements!$G$716:$M$716,0))))
*P1177*P$8,0)</f>
        <v>0</v>
      </c>
      <c r="Q532" s="198">
        <f>_xlfn.IFNA(IF(Q$7="Fixed",1,IF(AND($D94="yes",Q$7="Block"),INDEX($O736:$Q736,1,MATCH(Q$5,$I59:$K59,0)),INDEX(Movements!$G736:$M736,1,MATCH(Q$7,Movements!$G$716:$M$716,0))))
*Q1177*Q$8,0)</f>
        <v>0</v>
      </c>
      <c r="R532" s="198">
        <f>_xlfn.IFNA(IF(R$7="Fixed",1,IF(AND($D94="yes",R$7="Block"),INDEX($O736:$Q736,1,MATCH(R$5,$I59:$K59,0)),INDEX(Movements!$G736:$M736,1,MATCH(R$7,Movements!$G$716:$M$716,0))))
*R1177*R$8,0)</f>
        <v>0</v>
      </c>
      <c r="S532" s="198">
        <f>_xlfn.IFNA(IF(S$7="Fixed",1,IF(AND($D94="yes",S$7="Block"),INDEX($O736:$Q736,1,MATCH(S$5,$I59:$K59,0)),INDEX(Movements!$G736:$M736,1,MATCH(S$7,Movements!$G$716:$M$716,0))))
*S1177*S$8,0)</f>
        <v>0</v>
      </c>
      <c r="T532" s="198">
        <f>_xlfn.IFNA(IF(T$7="Fixed",1,IF(AND($D94="yes",T$7="Block"),INDEX($O736:$Q736,1,MATCH(T$5,$I59:$K59,0)),INDEX(Movements!$G736:$M736,1,MATCH(T$7,Movements!$G$716:$M$716,0))))
*T1177*T$8,0)</f>
        <v>0</v>
      </c>
      <c r="U532" s="198">
        <f>_xlfn.IFNA(IF(U$7="Fixed",1,IF(AND($D94="yes",U$7="Block"),INDEX($O736:$Q736,1,MATCH(U$5,$I59:$K59,0)),INDEX(Movements!$G736:$M736,1,MATCH(U$7,Movements!$G$716:$M$716,0))))
*U1177*U$8,0)</f>
        <v>0</v>
      </c>
      <c r="V532" s="198">
        <f>_xlfn.IFNA(IF(V$7="Fixed",1,IF(AND($D94="yes",V$7="Block"),INDEX($O736:$Q736,1,MATCH(V$5,$I59:$K59,0)),INDEX(Movements!$G736:$M736,1,MATCH(V$7,Movements!$G$716:$M$716,0))))
*V1177*V$8,0)</f>
        <v>0</v>
      </c>
      <c r="W532" s="198">
        <f>_xlfn.IFNA(IF(W$7="Fixed",1,IF(AND($D94="yes",W$7="Block"),INDEX($O736:$Q736,1,MATCH(W$5,$I59:$K59,0)),INDEX(Movements!$G736:$M736,1,MATCH(W$7,Movements!$G$716:$M$716,0))))
*W1177*W$8,0)</f>
        <v>0</v>
      </c>
      <c r="X532" s="198">
        <f>_xlfn.IFNA(IF(X$7="Fixed",1,IF(AND($D94="yes",X$7="Block"),INDEX($O736:$Q736,1,MATCH(X$5,$I59:$K59,0)),INDEX(Movements!$G736:$M736,1,MATCH(X$7,Movements!$G$716:$M$716,0))))
*X1177*X$8,0)</f>
        <v>0</v>
      </c>
      <c r="Y532" s="198">
        <f>_xlfn.IFNA(IF(Y$7="Fixed",1,IF(AND($D94="yes",Y$7="Block"),INDEX($O736:$Q736,1,MATCH(Y$5,$I59:$K59,0)),INDEX(Movements!$G736:$M736,1,MATCH(Y$7,Movements!$G$716:$M$716,0))))
*Y1177*Y$8,0)</f>
        <v>0</v>
      </c>
      <c r="Z532" s="198">
        <f>_xlfn.IFNA(IF(Z$7="Fixed",1,IF(AND($D94="yes",Z$7="Block"),INDEX($O736:$Q736,1,MATCH(Z$5,$I59:$K59,0)),INDEX(Movements!$G736:$M736,1,MATCH(Z$7,Movements!$G$716:$M$716,0))))
*Z1177*Z$8,0)</f>
        <v>0</v>
      </c>
      <c r="AA532" s="198">
        <f>_xlfn.IFNA(IF(AA$7="Fixed",1,IF(AND($D94="yes",AA$7="Block"),INDEX($O736:$Q736,1,MATCH(AA$5,$I59:$K59,0)),INDEX(Movements!$G736:$M736,1,MATCH(AA$7,Movements!$G$716:$M$716,0))))
*AA1177*AA$8,0)</f>
        <v>0</v>
      </c>
      <c r="AB532" s="198">
        <f>_xlfn.IFNA(IF(AB$7="Fixed",1,IF(AND($D94="yes",AB$7="Block"),INDEX($O736:$Q736,1,MATCH(AB$5,$I59:$K59,0)),INDEX(Movements!$G736:$M736,1,MATCH(AB$7,Movements!$G$716:$M$716,0))))
*AB1177*AB$8,0)</f>
        <v>0</v>
      </c>
      <c r="AC532" s="70"/>
      <c r="AD532" s="19"/>
      <c r="AE532" s="19"/>
      <c r="AF532" s="19"/>
      <c r="AG532" s="19"/>
    </row>
    <row r="533" spans="1:33" hidden="1" outlineLevel="3" x14ac:dyDescent="0.2">
      <c r="A533" s="19"/>
      <c r="B533" s="97">
        <v>19</v>
      </c>
      <c r="C533" s="506">
        <f t="shared" si="125"/>
        <v>0</v>
      </c>
      <c r="D533" s="505">
        <f t="shared" si="125"/>
        <v>0</v>
      </c>
      <c r="E533" s="505">
        <f t="shared" si="125"/>
        <v>0</v>
      </c>
      <c r="F533" s="58"/>
      <c r="G533" s="199">
        <f t="shared" si="126"/>
        <v>0</v>
      </c>
      <c r="H533" s="58"/>
      <c r="I533" s="198">
        <f>_xlfn.IFNA(IF(I$7="Fixed",1,IF(AND($D95="yes",I$7="Block"),INDEX($O737:$Q737,1,MATCH(I$5,$I60:$K60,0)),INDEX(Movements!$G737:$M737,1,MATCH(I$7,Movements!$G$716:$M$716,0))))
*I1178*I$8,0)</f>
        <v>0</v>
      </c>
      <c r="J533" s="198">
        <f>_xlfn.IFNA(IF(J$7="Fixed",1,IF(AND($D95="yes",J$7="Block"),INDEX($O737:$Q737,1,MATCH(J$5,$I60:$K60,0)),INDEX(Movements!$G737:$M737,1,MATCH(J$7,Movements!$G$716:$M$716,0))))
*J1178*J$8,0)</f>
        <v>0</v>
      </c>
      <c r="K533" s="198">
        <f>_xlfn.IFNA(IF(K$7="Fixed",1,IF(AND($D95="yes",K$7="Block"),INDEX($O737:$Q737,1,MATCH(K$5,$I60:$K60,0)),INDEX(Movements!$G737:$M737,1,MATCH(K$7,Movements!$G$716:$M$716,0))))
*K1178*K$8,0)</f>
        <v>0</v>
      </c>
      <c r="L533" s="198">
        <f>_xlfn.IFNA(IF(L$7="Fixed",1,IF(AND($D95="yes",L$7="Block"),INDEX($O737:$Q737,1,MATCH(L$5,$I60:$K60,0)),INDEX(Movements!$G737:$M737,1,MATCH(L$7,Movements!$G$716:$M$716,0))))
*L1178*L$8,0)</f>
        <v>0</v>
      </c>
      <c r="M533" s="198">
        <f>_xlfn.IFNA(IF(M$7="Fixed",1,IF(AND($D95="yes",M$7="Block"),INDEX($O737:$Q737,1,MATCH(M$5,$I60:$K60,0)),INDEX(Movements!$G737:$M737,1,MATCH(M$7,Movements!$G$716:$M$716,0))))
*M1178*M$8,0)</f>
        <v>0</v>
      </c>
      <c r="N533" s="198">
        <f>_xlfn.IFNA(IF(N$7="Fixed",1,IF(AND($D95="yes",N$7="Block"),INDEX($O737:$Q737,1,MATCH(N$5,$I60:$K60,0)),INDEX(Movements!$G737:$M737,1,MATCH(N$7,Movements!$G$716:$M$716,0))))
*N1178*N$8,0)</f>
        <v>0</v>
      </c>
      <c r="O533" s="198">
        <f>_xlfn.IFNA(IF(O$7="Fixed",1,IF(AND($D95="yes",O$7="Block"),INDEX($O737:$Q737,1,MATCH(O$5,$I60:$K60,0)),INDEX(Movements!$G737:$M737,1,MATCH(O$7,Movements!$G$716:$M$716,0))))
*O1178*O$8,0)</f>
        <v>0</v>
      </c>
      <c r="P533" s="198">
        <f>_xlfn.IFNA(IF(P$7="Fixed",1,IF(AND($D95="yes",P$7="Block"),INDEX($O737:$Q737,1,MATCH(P$5,$I60:$K60,0)),INDEX(Movements!$G737:$M737,1,MATCH(P$7,Movements!$G$716:$M$716,0))))
*P1178*P$8,0)</f>
        <v>0</v>
      </c>
      <c r="Q533" s="198">
        <f>_xlfn.IFNA(IF(Q$7="Fixed",1,IF(AND($D95="yes",Q$7="Block"),INDEX($O737:$Q737,1,MATCH(Q$5,$I60:$K60,0)),INDEX(Movements!$G737:$M737,1,MATCH(Q$7,Movements!$G$716:$M$716,0))))
*Q1178*Q$8,0)</f>
        <v>0</v>
      </c>
      <c r="R533" s="198">
        <f>_xlfn.IFNA(IF(R$7="Fixed",1,IF(AND($D95="yes",R$7="Block"),INDEX($O737:$Q737,1,MATCH(R$5,$I60:$K60,0)),INDEX(Movements!$G737:$M737,1,MATCH(R$7,Movements!$G$716:$M$716,0))))
*R1178*R$8,0)</f>
        <v>0</v>
      </c>
      <c r="S533" s="198">
        <f>_xlfn.IFNA(IF(S$7="Fixed",1,IF(AND($D95="yes",S$7="Block"),INDEX($O737:$Q737,1,MATCH(S$5,$I60:$K60,0)),INDEX(Movements!$G737:$M737,1,MATCH(S$7,Movements!$G$716:$M$716,0))))
*S1178*S$8,0)</f>
        <v>0</v>
      </c>
      <c r="T533" s="198">
        <f>_xlfn.IFNA(IF(T$7="Fixed",1,IF(AND($D95="yes",T$7="Block"),INDEX($O737:$Q737,1,MATCH(T$5,$I60:$K60,0)),INDEX(Movements!$G737:$M737,1,MATCH(T$7,Movements!$G$716:$M$716,0))))
*T1178*T$8,0)</f>
        <v>0</v>
      </c>
      <c r="U533" s="198">
        <f>_xlfn.IFNA(IF(U$7="Fixed",1,IF(AND($D95="yes",U$7="Block"),INDEX($O737:$Q737,1,MATCH(U$5,$I60:$K60,0)),INDEX(Movements!$G737:$M737,1,MATCH(U$7,Movements!$G$716:$M$716,0))))
*U1178*U$8,0)</f>
        <v>0</v>
      </c>
      <c r="V533" s="198">
        <f>_xlfn.IFNA(IF(V$7="Fixed",1,IF(AND($D95="yes",V$7="Block"),INDEX($O737:$Q737,1,MATCH(V$5,$I60:$K60,0)),INDEX(Movements!$G737:$M737,1,MATCH(V$7,Movements!$G$716:$M$716,0))))
*V1178*V$8,0)</f>
        <v>0</v>
      </c>
      <c r="W533" s="198">
        <f>_xlfn.IFNA(IF(W$7="Fixed",1,IF(AND($D95="yes",W$7="Block"),INDEX($O737:$Q737,1,MATCH(W$5,$I60:$K60,0)),INDEX(Movements!$G737:$M737,1,MATCH(W$7,Movements!$G$716:$M$716,0))))
*W1178*W$8,0)</f>
        <v>0</v>
      </c>
      <c r="X533" s="198">
        <f>_xlfn.IFNA(IF(X$7="Fixed",1,IF(AND($D95="yes",X$7="Block"),INDEX($O737:$Q737,1,MATCH(X$5,$I60:$K60,0)),INDEX(Movements!$G737:$M737,1,MATCH(X$7,Movements!$G$716:$M$716,0))))
*X1178*X$8,0)</f>
        <v>0</v>
      </c>
      <c r="Y533" s="198">
        <f>_xlfn.IFNA(IF(Y$7="Fixed",1,IF(AND($D95="yes",Y$7="Block"),INDEX($O737:$Q737,1,MATCH(Y$5,$I60:$K60,0)),INDEX(Movements!$G737:$M737,1,MATCH(Y$7,Movements!$G$716:$M$716,0))))
*Y1178*Y$8,0)</f>
        <v>0</v>
      </c>
      <c r="Z533" s="198">
        <f>_xlfn.IFNA(IF(Z$7="Fixed",1,IF(AND($D95="yes",Z$7="Block"),INDEX($O737:$Q737,1,MATCH(Z$5,$I60:$K60,0)),INDEX(Movements!$G737:$M737,1,MATCH(Z$7,Movements!$G$716:$M$716,0))))
*Z1178*Z$8,0)</f>
        <v>0</v>
      </c>
      <c r="AA533" s="198">
        <f>_xlfn.IFNA(IF(AA$7="Fixed",1,IF(AND($D95="yes",AA$7="Block"),INDEX($O737:$Q737,1,MATCH(AA$5,$I60:$K60,0)),INDEX(Movements!$G737:$M737,1,MATCH(AA$7,Movements!$G$716:$M$716,0))))
*AA1178*AA$8,0)</f>
        <v>0</v>
      </c>
      <c r="AB533" s="198">
        <f>_xlfn.IFNA(IF(AB$7="Fixed",1,IF(AND($D95="yes",AB$7="Block"),INDEX($O737:$Q737,1,MATCH(AB$5,$I60:$K60,0)),INDEX(Movements!$G737:$M737,1,MATCH(AB$7,Movements!$G$716:$M$716,0))))
*AB1178*AB$8,0)</f>
        <v>0</v>
      </c>
      <c r="AC533" s="70"/>
      <c r="AD533" s="19"/>
      <c r="AE533" s="19"/>
      <c r="AF533" s="19"/>
      <c r="AG533" s="19"/>
    </row>
    <row r="534" spans="1:33" hidden="1" outlineLevel="3" x14ac:dyDescent="0.2">
      <c r="A534" s="19"/>
      <c r="B534" s="97">
        <v>20</v>
      </c>
      <c r="C534" s="506">
        <f t="shared" si="125"/>
        <v>0</v>
      </c>
      <c r="D534" s="505">
        <f t="shared" si="125"/>
        <v>0</v>
      </c>
      <c r="E534" s="505">
        <f t="shared" si="125"/>
        <v>0</v>
      </c>
      <c r="F534" s="58"/>
      <c r="G534" s="199">
        <f t="shared" si="126"/>
        <v>0</v>
      </c>
      <c r="H534" s="58"/>
      <c r="I534" s="198">
        <f>_xlfn.IFNA(IF(I$7="Fixed",1,IF(AND($D96="yes",I$7="Block"),INDEX($O738:$Q738,1,MATCH(I$5,$I61:$K61,0)),INDEX(Movements!$G738:$M738,1,MATCH(I$7,Movements!$G$716:$M$716,0))))
*I1179*I$8,0)</f>
        <v>0</v>
      </c>
      <c r="J534" s="198">
        <f>_xlfn.IFNA(IF(J$7="Fixed",1,IF(AND($D96="yes",J$7="Block"),INDEX($O738:$Q738,1,MATCH(J$5,$I61:$K61,0)),INDEX(Movements!$G738:$M738,1,MATCH(J$7,Movements!$G$716:$M$716,0))))
*J1179*J$8,0)</f>
        <v>0</v>
      </c>
      <c r="K534" s="198">
        <f>_xlfn.IFNA(IF(K$7="Fixed",1,IF(AND($D96="yes",K$7="Block"),INDEX($O738:$Q738,1,MATCH(K$5,$I61:$K61,0)),INDEX(Movements!$G738:$M738,1,MATCH(K$7,Movements!$G$716:$M$716,0))))
*K1179*K$8,0)</f>
        <v>0</v>
      </c>
      <c r="L534" s="198">
        <f>_xlfn.IFNA(IF(L$7="Fixed",1,IF(AND($D96="yes",L$7="Block"),INDEX($O738:$Q738,1,MATCH(L$5,$I61:$K61,0)),INDEX(Movements!$G738:$M738,1,MATCH(L$7,Movements!$G$716:$M$716,0))))
*L1179*L$8,0)</f>
        <v>0</v>
      </c>
      <c r="M534" s="198">
        <f>_xlfn.IFNA(IF(M$7="Fixed",1,IF(AND($D96="yes",M$7="Block"),INDEX($O738:$Q738,1,MATCH(M$5,$I61:$K61,0)),INDEX(Movements!$G738:$M738,1,MATCH(M$7,Movements!$G$716:$M$716,0))))
*M1179*M$8,0)</f>
        <v>0</v>
      </c>
      <c r="N534" s="198">
        <f>_xlfn.IFNA(IF(N$7="Fixed",1,IF(AND($D96="yes",N$7="Block"),INDEX($O738:$Q738,1,MATCH(N$5,$I61:$K61,0)),INDEX(Movements!$G738:$M738,1,MATCH(N$7,Movements!$G$716:$M$716,0))))
*N1179*N$8,0)</f>
        <v>0</v>
      </c>
      <c r="O534" s="198">
        <f>_xlfn.IFNA(IF(O$7="Fixed",1,IF(AND($D96="yes",O$7="Block"),INDEX($O738:$Q738,1,MATCH(O$5,$I61:$K61,0)),INDEX(Movements!$G738:$M738,1,MATCH(O$7,Movements!$G$716:$M$716,0))))
*O1179*O$8,0)</f>
        <v>0</v>
      </c>
      <c r="P534" s="198">
        <f>_xlfn.IFNA(IF(P$7="Fixed",1,IF(AND($D96="yes",P$7="Block"),INDEX($O738:$Q738,1,MATCH(P$5,$I61:$K61,0)),INDEX(Movements!$G738:$M738,1,MATCH(P$7,Movements!$G$716:$M$716,0))))
*P1179*P$8,0)</f>
        <v>0</v>
      </c>
      <c r="Q534" s="198">
        <f>_xlfn.IFNA(IF(Q$7="Fixed",1,IF(AND($D96="yes",Q$7="Block"),INDEX($O738:$Q738,1,MATCH(Q$5,$I61:$K61,0)),INDEX(Movements!$G738:$M738,1,MATCH(Q$7,Movements!$G$716:$M$716,0))))
*Q1179*Q$8,0)</f>
        <v>0</v>
      </c>
      <c r="R534" s="198">
        <f>_xlfn.IFNA(IF(R$7="Fixed",1,IF(AND($D96="yes",R$7="Block"),INDEX($O738:$Q738,1,MATCH(R$5,$I61:$K61,0)),INDEX(Movements!$G738:$M738,1,MATCH(R$7,Movements!$G$716:$M$716,0))))
*R1179*R$8,0)</f>
        <v>0</v>
      </c>
      <c r="S534" s="198">
        <f>_xlfn.IFNA(IF(S$7="Fixed",1,IF(AND($D96="yes",S$7="Block"),INDEX($O738:$Q738,1,MATCH(S$5,$I61:$K61,0)),INDEX(Movements!$G738:$M738,1,MATCH(S$7,Movements!$G$716:$M$716,0))))
*S1179*S$8,0)</f>
        <v>0</v>
      </c>
      <c r="T534" s="198">
        <f>_xlfn.IFNA(IF(T$7="Fixed",1,IF(AND($D96="yes",T$7="Block"),INDEX($O738:$Q738,1,MATCH(T$5,$I61:$K61,0)),INDEX(Movements!$G738:$M738,1,MATCH(T$7,Movements!$G$716:$M$716,0))))
*T1179*T$8,0)</f>
        <v>0</v>
      </c>
      <c r="U534" s="198">
        <f>_xlfn.IFNA(IF(U$7="Fixed",1,IF(AND($D96="yes",U$7="Block"),INDEX($O738:$Q738,1,MATCH(U$5,$I61:$K61,0)),INDEX(Movements!$G738:$M738,1,MATCH(U$7,Movements!$G$716:$M$716,0))))
*U1179*U$8,0)</f>
        <v>0</v>
      </c>
      <c r="V534" s="198">
        <f>_xlfn.IFNA(IF(V$7="Fixed",1,IF(AND($D96="yes",V$7="Block"),INDEX($O738:$Q738,1,MATCH(V$5,$I61:$K61,0)),INDEX(Movements!$G738:$M738,1,MATCH(V$7,Movements!$G$716:$M$716,0))))
*V1179*V$8,0)</f>
        <v>0</v>
      </c>
      <c r="W534" s="198">
        <f>_xlfn.IFNA(IF(W$7="Fixed",1,IF(AND($D96="yes",W$7="Block"),INDEX($O738:$Q738,1,MATCH(W$5,$I61:$K61,0)),INDEX(Movements!$G738:$M738,1,MATCH(W$7,Movements!$G$716:$M$716,0))))
*W1179*W$8,0)</f>
        <v>0</v>
      </c>
      <c r="X534" s="198">
        <f>_xlfn.IFNA(IF(X$7="Fixed",1,IF(AND($D96="yes",X$7="Block"),INDEX($O738:$Q738,1,MATCH(X$5,$I61:$K61,0)),INDEX(Movements!$G738:$M738,1,MATCH(X$7,Movements!$G$716:$M$716,0))))
*X1179*X$8,0)</f>
        <v>0</v>
      </c>
      <c r="Y534" s="198">
        <f>_xlfn.IFNA(IF(Y$7="Fixed",1,IF(AND($D96="yes",Y$7="Block"),INDEX($O738:$Q738,1,MATCH(Y$5,$I61:$K61,0)),INDEX(Movements!$G738:$M738,1,MATCH(Y$7,Movements!$G$716:$M$716,0))))
*Y1179*Y$8,0)</f>
        <v>0</v>
      </c>
      <c r="Z534" s="198">
        <f>_xlfn.IFNA(IF(Z$7="Fixed",1,IF(AND($D96="yes",Z$7="Block"),INDEX($O738:$Q738,1,MATCH(Z$5,$I61:$K61,0)),INDEX(Movements!$G738:$M738,1,MATCH(Z$7,Movements!$G$716:$M$716,0))))
*Z1179*Z$8,0)</f>
        <v>0</v>
      </c>
      <c r="AA534" s="198">
        <f>_xlfn.IFNA(IF(AA$7="Fixed",1,IF(AND($D96="yes",AA$7="Block"),INDEX($O738:$Q738,1,MATCH(AA$5,$I61:$K61,0)),INDEX(Movements!$G738:$M738,1,MATCH(AA$7,Movements!$G$716:$M$716,0))))
*AA1179*AA$8,0)</f>
        <v>0</v>
      </c>
      <c r="AB534" s="198">
        <f>_xlfn.IFNA(IF(AB$7="Fixed",1,IF(AND($D96="yes",AB$7="Block"),INDEX($O738:$Q738,1,MATCH(AB$5,$I61:$K61,0)),INDEX(Movements!$G738:$M738,1,MATCH(AB$7,Movements!$G$716:$M$716,0))))
*AB1179*AB$8,0)</f>
        <v>0</v>
      </c>
      <c r="AC534" s="70"/>
      <c r="AD534" s="19"/>
      <c r="AE534" s="19"/>
      <c r="AF534" s="19"/>
      <c r="AG534" s="19"/>
    </row>
    <row r="535" spans="1:33" hidden="1" outlineLevel="3" x14ac:dyDescent="0.2">
      <c r="A535" s="19"/>
      <c r="B535" s="97">
        <v>21</v>
      </c>
      <c r="C535" s="506">
        <f t="shared" si="125"/>
        <v>0</v>
      </c>
      <c r="D535" s="505">
        <f t="shared" si="125"/>
        <v>0</v>
      </c>
      <c r="E535" s="505">
        <f t="shared" si="125"/>
        <v>0</v>
      </c>
      <c r="F535" s="58"/>
      <c r="G535" s="199">
        <f t="shared" si="126"/>
        <v>0</v>
      </c>
      <c r="H535" s="58"/>
      <c r="I535" s="198">
        <f>_xlfn.IFNA(IF(I$7="Fixed",1,IF(AND($D97="yes",I$7="Block"),INDEX($O739:$Q739,1,MATCH(I$5,$I62:$K62,0)),INDEX(Movements!$G739:$M739,1,MATCH(I$7,Movements!$G$716:$M$716,0))))
*I1180*I$8,0)</f>
        <v>0</v>
      </c>
      <c r="J535" s="198">
        <f>_xlfn.IFNA(IF(J$7="Fixed",1,IF(AND($D97="yes",J$7="Block"),INDEX($O739:$Q739,1,MATCH(J$5,$I62:$K62,0)),INDEX(Movements!$G739:$M739,1,MATCH(J$7,Movements!$G$716:$M$716,0))))
*J1180*J$8,0)</f>
        <v>0</v>
      </c>
      <c r="K535" s="198">
        <f>_xlfn.IFNA(IF(K$7="Fixed",1,IF(AND($D97="yes",K$7="Block"),INDEX($O739:$Q739,1,MATCH(K$5,$I62:$K62,0)),INDEX(Movements!$G739:$M739,1,MATCH(K$7,Movements!$G$716:$M$716,0))))
*K1180*K$8,0)</f>
        <v>0</v>
      </c>
      <c r="L535" s="198">
        <f>_xlfn.IFNA(IF(L$7="Fixed",1,IF(AND($D97="yes",L$7="Block"),INDEX($O739:$Q739,1,MATCH(L$5,$I62:$K62,0)),INDEX(Movements!$G739:$M739,1,MATCH(L$7,Movements!$G$716:$M$716,0))))
*L1180*L$8,0)</f>
        <v>0</v>
      </c>
      <c r="M535" s="198">
        <f>_xlfn.IFNA(IF(M$7="Fixed",1,IF(AND($D97="yes",M$7="Block"),INDEX($O739:$Q739,1,MATCH(M$5,$I62:$K62,0)),INDEX(Movements!$G739:$M739,1,MATCH(M$7,Movements!$G$716:$M$716,0))))
*M1180*M$8,0)</f>
        <v>0</v>
      </c>
      <c r="N535" s="198">
        <f>_xlfn.IFNA(IF(N$7="Fixed",1,IF(AND($D97="yes",N$7="Block"),INDEX($O739:$Q739,1,MATCH(N$5,$I62:$K62,0)),INDEX(Movements!$G739:$M739,1,MATCH(N$7,Movements!$G$716:$M$716,0))))
*N1180*N$8,0)</f>
        <v>0</v>
      </c>
      <c r="O535" s="198">
        <f>_xlfn.IFNA(IF(O$7="Fixed",1,IF(AND($D97="yes",O$7="Block"),INDEX($O739:$Q739,1,MATCH(O$5,$I62:$K62,0)),INDEX(Movements!$G739:$M739,1,MATCH(O$7,Movements!$G$716:$M$716,0))))
*O1180*O$8,0)</f>
        <v>0</v>
      </c>
      <c r="P535" s="198">
        <f>_xlfn.IFNA(IF(P$7="Fixed",1,IF(AND($D97="yes",P$7="Block"),INDEX($O739:$Q739,1,MATCH(P$5,$I62:$K62,0)),INDEX(Movements!$G739:$M739,1,MATCH(P$7,Movements!$G$716:$M$716,0))))
*P1180*P$8,0)</f>
        <v>0</v>
      </c>
      <c r="Q535" s="198">
        <f>_xlfn.IFNA(IF(Q$7="Fixed",1,IF(AND($D97="yes",Q$7="Block"),INDEX($O739:$Q739,1,MATCH(Q$5,$I62:$K62,0)),INDEX(Movements!$G739:$M739,1,MATCH(Q$7,Movements!$G$716:$M$716,0))))
*Q1180*Q$8,0)</f>
        <v>0</v>
      </c>
      <c r="R535" s="198">
        <f>_xlfn.IFNA(IF(R$7="Fixed",1,IF(AND($D97="yes",R$7="Block"),INDEX($O739:$Q739,1,MATCH(R$5,$I62:$K62,0)),INDEX(Movements!$G739:$M739,1,MATCH(R$7,Movements!$G$716:$M$716,0))))
*R1180*R$8,0)</f>
        <v>0</v>
      </c>
      <c r="S535" s="198">
        <f>_xlfn.IFNA(IF(S$7="Fixed",1,IF(AND($D97="yes",S$7="Block"),INDEX($O739:$Q739,1,MATCH(S$5,$I62:$K62,0)),INDEX(Movements!$G739:$M739,1,MATCH(S$7,Movements!$G$716:$M$716,0))))
*S1180*S$8,0)</f>
        <v>0</v>
      </c>
      <c r="T535" s="198">
        <f>_xlfn.IFNA(IF(T$7="Fixed",1,IF(AND($D97="yes",T$7="Block"),INDEX($O739:$Q739,1,MATCH(T$5,$I62:$K62,0)),INDEX(Movements!$G739:$M739,1,MATCH(T$7,Movements!$G$716:$M$716,0))))
*T1180*T$8,0)</f>
        <v>0</v>
      </c>
      <c r="U535" s="198">
        <f>_xlfn.IFNA(IF(U$7="Fixed",1,IF(AND($D97="yes",U$7="Block"),INDEX($O739:$Q739,1,MATCH(U$5,$I62:$K62,0)),INDEX(Movements!$G739:$M739,1,MATCH(U$7,Movements!$G$716:$M$716,0))))
*U1180*U$8,0)</f>
        <v>0</v>
      </c>
      <c r="V535" s="198">
        <f>_xlfn.IFNA(IF(V$7="Fixed",1,IF(AND($D97="yes",V$7="Block"),INDEX($O739:$Q739,1,MATCH(V$5,$I62:$K62,0)),INDEX(Movements!$G739:$M739,1,MATCH(V$7,Movements!$G$716:$M$716,0))))
*V1180*V$8,0)</f>
        <v>0</v>
      </c>
      <c r="W535" s="198">
        <f>_xlfn.IFNA(IF(W$7="Fixed",1,IF(AND($D97="yes",W$7="Block"),INDEX($O739:$Q739,1,MATCH(W$5,$I62:$K62,0)),INDEX(Movements!$G739:$M739,1,MATCH(W$7,Movements!$G$716:$M$716,0))))
*W1180*W$8,0)</f>
        <v>0</v>
      </c>
      <c r="X535" s="198">
        <f>_xlfn.IFNA(IF(X$7="Fixed",1,IF(AND($D97="yes",X$7="Block"),INDEX($O739:$Q739,1,MATCH(X$5,$I62:$K62,0)),INDEX(Movements!$G739:$M739,1,MATCH(X$7,Movements!$G$716:$M$716,0))))
*X1180*X$8,0)</f>
        <v>0</v>
      </c>
      <c r="Y535" s="198">
        <f>_xlfn.IFNA(IF(Y$7="Fixed",1,IF(AND($D97="yes",Y$7="Block"),INDEX($O739:$Q739,1,MATCH(Y$5,$I62:$K62,0)),INDEX(Movements!$G739:$M739,1,MATCH(Y$7,Movements!$G$716:$M$716,0))))
*Y1180*Y$8,0)</f>
        <v>0</v>
      </c>
      <c r="Z535" s="198">
        <f>_xlfn.IFNA(IF(Z$7="Fixed",1,IF(AND($D97="yes",Z$7="Block"),INDEX($O739:$Q739,1,MATCH(Z$5,$I62:$K62,0)),INDEX(Movements!$G739:$M739,1,MATCH(Z$7,Movements!$G$716:$M$716,0))))
*Z1180*Z$8,0)</f>
        <v>0</v>
      </c>
      <c r="AA535" s="198">
        <f>_xlfn.IFNA(IF(AA$7="Fixed",1,IF(AND($D97="yes",AA$7="Block"),INDEX($O739:$Q739,1,MATCH(AA$5,$I62:$K62,0)),INDEX(Movements!$G739:$M739,1,MATCH(AA$7,Movements!$G$716:$M$716,0))))
*AA1180*AA$8,0)</f>
        <v>0</v>
      </c>
      <c r="AB535" s="198">
        <f>_xlfn.IFNA(IF(AB$7="Fixed",1,IF(AND($D97="yes",AB$7="Block"),INDEX($O739:$Q739,1,MATCH(AB$5,$I62:$K62,0)),INDEX(Movements!$G739:$M739,1,MATCH(AB$7,Movements!$G$716:$M$716,0))))
*AB1180*AB$8,0)</f>
        <v>0</v>
      </c>
      <c r="AC535" s="70"/>
      <c r="AD535" s="19"/>
      <c r="AE535" s="19"/>
      <c r="AF535" s="19"/>
      <c r="AG535" s="19"/>
    </row>
    <row r="536" spans="1:33" hidden="1" outlineLevel="3" x14ac:dyDescent="0.2">
      <c r="A536" s="19"/>
      <c r="B536" s="97">
        <v>22</v>
      </c>
      <c r="C536" s="506">
        <f t="shared" si="125"/>
        <v>0</v>
      </c>
      <c r="D536" s="505">
        <f t="shared" si="125"/>
        <v>0</v>
      </c>
      <c r="E536" s="505">
        <f t="shared" si="125"/>
        <v>0</v>
      </c>
      <c r="F536" s="58"/>
      <c r="G536" s="199">
        <f t="shared" si="126"/>
        <v>0</v>
      </c>
      <c r="H536" s="58"/>
      <c r="I536" s="198">
        <f>_xlfn.IFNA(IF(I$7="Fixed",1,IF(AND($D98="yes",I$7="Block"),INDEX($O740:$Q740,1,MATCH(I$5,$I63:$K63,0)),INDEX(Movements!$G740:$M740,1,MATCH(I$7,Movements!$G$716:$M$716,0))))
*I1181*I$8,0)</f>
        <v>0</v>
      </c>
      <c r="J536" s="198">
        <f>_xlfn.IFNA(IF(J$7="Fixed",1,IF(AND($D98="yes",J$7="Block"),INDEX($O740:$Q740,1,MATCH(J$5,$I63:$K63,0)),INDEX(Movements!$G740:$M740,1,MATCH(J$7,Movements!$G$716:$M$716,0))))
*J1181*J$8,0)</f>
        <v>0</v>
      </c>
      <c r="K536" s="198">
        <f>_xlfn.IFNA(IF(K$7="Fixed",1,IF(AND($D98="yes",K$7="Block"),INDEX($O740:$Q740,1,MATCH(K$5,$I63:$K63,0)),INDEX(Movements!$G740:$M740,1,MATCH(K$7,Movements!$G$716:$M$716,0))))
*K1181*K$8,0)</f>
        <v>0</v>
      </c>
      <c r="L536" s="198">
        <f>_xlfn.IFNA(IF(L$7="Fixed",1,IF(AND($D98="yes",L$7="Block"),INDEX($O740:$Q740,1,MATCH(L$5,$I63:$K63,0)),INDEX(Movements!$G740:$M740,1,MATCH(L$7,Movements!$G$716:$M$716,0))))
*L1181*L$8,0)</f>
        <v>0</v>
      </c>
      <c r="M536" s="198">
        <f>_xlfn.IFNA(IF(M$7="Fixed",1,IF(AND($D98="yes",M$7="Block"),INDEX($O740:$Q740,1,MATCH(M$5,$I63:$K63,0)),INDEX(Movements!$G740:$M740,1,MATCH(M$7,Movements!$G$716:$M$716,0))))
*M1181*M$8,0)</f>
        <v>0</v>
      </c>
      <c r="N536" s="198">
        <f>_xlfn.IFNA(IF(N$7="Fixed",1,IF(AND($D98="yes",N$7="Block"),INDEX($O740:$Q740,1,MATCH(N$5,$I63:$K63,0)),INDEX(Movements!$G740:$M740,1,MATCH(N$7,Movements!$G$716:$M$716,0))))
*N1181*N$8,0)</f>
        <v>0</v>
      </c>
      <c r="O536" s="198">
        <f>_xlfn.IFNA(IF(O$7="Fixed",1,IF(AND($D98="yes",O$7="Block"),INDEX($O740:$Q740,1,MATCH(O$5,$I63:$K63,0)),INDEX(Movements!$G740:$M740,1,MATCH(O$7,Movements!$G$716:$M$716,0))))
*O1181*O$8,0)</f>
        <v>0</v>
      </c>
      <c r="P536" s="198">
        <f>_xlfn.IFNA(IF(P$7="Fixed",1,IF(AND($D98="yes",P$7="Block"),INDEX($O740:$Q740,1,MATCH(P$5,$I63:$K63,0)),INDEX(Movements!$G740:$M740,1,MATCH(P$7,Movements!$G$716:$M$716,0))))
*P1181*P$8,0)</f>
        <v>0</v>
      </c>
      <c r="Q536" s="198">
        <f>_xlfn.IFNA(IF(Q$7="Fixed",1,IF(AND($D98="yes",Q$7="Block"),INDEX($O740:$Q740,1,MATCH(Q$5,$I63:$K63,0)),INDEX(Movements!$G740:$M740,1,MATCH(Q$7,Movements!$G$716:$M$716,0))))
*Q1181*Q$8,0)</f>
        <v>0</v>
      </c>
      <c r="R536" s="198">
        <f>_xlfn.IFNA(IF(R$7="Fixed",1,IF(AND($D98="yes",R$7="Block"),INDEX($O740:$Q740,1,MATCH(R$5,$I63:$K63,0)),INDEX(Movements!$G740:$M740,1,MATCH(R$7,Movements!$G$716:$M$716,0))))
*R1181*R$8,0)</f>
        <v>0</v>
      </c>
      <c r="S536" s="198">
        <f>_xlfn.IFNA(IF(S$7="Fixed",1,IF(AND($D98="yes",S$7="Block"),INDEX($O740:$Q740,1,MATCH(S$5,$I63:$K63,0)),INDEX(Movements!$G740:$M740,1,MATCH(S$7,Movements!$G$716:$M$716,0))))
*S1181*S$8,0)</f>
        <v>0</v>
      </c>
      <c r="T536" s="198">
        <f>_xlfn.IFNA(IF(T$7="Fixed",1,IF(AND($D98="yes",T$7="Block"),INDEX($O740:$Q740,1,MATCH(T$5,$I63:$K63,0)),INDEX(Movements!$G740:$M740,1,MATCH(T$7,Movements!$G$716:$M$716,0))))
*T1181*T$8,0)</f>
        <v>0</v>
      </c>
      <c r="U536" s="198">
        <f>_xlfn.IFNA(IF(U$7="Fixed",1,IF(AND($D98="yes",U$7="Block"),INDEX($O740:$Q740,1,MATCH(U$5,$I63:$K63,0)),INDEX(Movements!$G740:$M740,1,MATCH(U$7,Movements!$G$716:$M$716,0))))
*U1181*U$8,0)</f>
        <v>0</v>
      </c>
      <c r="V536" s="198">
        <f>_xlfn.IFNA(IF(V$7="Fixed",1,IF(AND($D98="yes",V$7="Block"),INDEX($O740:$Q740,1,MATCH(V$5,$I63:$K63,0)),INDEX(Movements!$G740:$M740,1,MATCH(V$7,Movements!$G$716:$M$716,0))))
*V1181*V$8,0)</f>
        <v>0</v>
      </c>
      <c r="W536" s="198">
        <f>_xlfn.IFNA(IF(W$7="Fixed",1,IF(AND($D98="yes",W$7="Block"),INDEX($O740:$Q740,1,MATCH(W$5,$I63:$K63,0)),INDEX(Movements!$G740:$M740,1,MATCH(W$7,Movements!$G$716:$M$716,0))))
*W1181*W$8,0)</f>
        <v>0</v>
      </c>
      <c r="X536" s="198">
        <f>_xlfn.IFNA(IF(X$7="Fixed",1,IF(AND($D98="yes",X$7="Block"),INDEX($O740:$Q740,1,MATCH(X$5,$I63:$K63,0)),INDEX(Movements!$G740:$M740,1,MATCH(X$7,Movements!$G$716:$M$716,0))))
*X1181*X$8,0)</f>
        <v>0</v>
      </c>
      <c r="Y536" s="198">
        <f>_xlfn.IFNA(IF(Y$7="Fixed",1,IF(AND($D98="yes",Y$7="Block"),INDEX($O740:$Q740,1,MATCH(Y$5,$I63:$K63,0)),INDEX(Movements!$G740:$M740,1,MATCH(Y$7,Movements!$G$716:$M$716,0))))
*Y1181*Y$8,0)</f>
        <v>0</v>
      </c>
      <c r="Z536" s="198">
        <f>_xlfn.IFNA(IF(Z$7="Fixed",1,IF(AND($D98="yes",Z$7="Block"),INDEX($O740:$Q740,1,MATCH(Z$5,$I63:$K63,0)),INDEX(Movements!$G740:$M740,1,MATCH(Z$7,Movements!$G$716:$M$716,0))))
*Z1181*Z$8,0)</f>
        <v>0</v>
      </c>
      <c r="AA536" s="198">
        <f>_xlfn.IFNA(IF(AA$7="Fixed",1,IF(AND($D98="yes",AA$7="Block"),INDEX($O740:$Q740,1,MATCH(AA$5,$I63:$K63,0)),INDEX(Movements!$G740:$M740,1,MATCH(AA$7,Movements!$G$716:$M$716,0))))
*AA1181*AA$8,0)</f>
        <v>0</v>
      </c>
      <c r="AB536" s="198">
        <f>_xlfn.IFNA(IF(AB$7="Fixed",1,IF(AND($D98="yes",AB$7="Block"),INDEX($O740:$Q740,1,MATCH(AB$5,$I63:$K63,0)),INDEX(Movements!$G740:$M740,1,MATCH(AB$7,Movements!$G$716:$M$716,0))))
*AB1181*AB$8,0)</f>
        <v>0</v>
      </c>
      <c r="AC536" s="70"/>
      <c r="AD536" s="19"/>
      <c r="AE536" s="19"/>
      <c r="AF536" s="19"/>
      <c r="AG536" s="19"/>
    </row>
    <row r="537" spans="1:33" hidden="1" outlineLevel="3" x14ac:dyDescent="0.2">
      <c r="A537" s="19"/>
      <c r="B537" s="98">
        <v>23</v>
      </c>
      <c r="C537" s="506">
        <f t="shared" si="125"/>
        <v>0</v>
      </c>
      <c r="D537" s="505">
        <f t="shared" si="125"/>
        <v>0</v>
      </c>
      <c r="E537" s="505">
        <f t="shared" si="125"/>
        <v>0</v>
      </c>
      <c r="F537" s="58"/>
      <c r="G537" s="199">
        <f t="shared" si="126"/>
        <v>0</v>
      </c>
      <c r="H537" s="58"/>
      <c r="I537" s="198">
        <f>_xlfn.IFNA(IF(I$7="Fixed",1,IF(AND($D99="yes",I$7="Block"),INDEX($O741:$Q741,1,MATCH(I$5,$I64:$K64,0)),INDEX(Movements!$G741:$M741,1,MATCH(I$7,Movements!$G$716:$M$716,0))))
*I1182*I$8,0)</f>
        <v>0</v>
      </c>
      <c r="J537" s="198">
        <f>_xlfn.IFNA(IF(J$7="Fixed",1,IF(AND($D99="yes",J$7="Block"),INDEX($O741:$Q741,1,MATCH(J$5,$I64:$K64,0)),INDEX(Movements!$G741:$M741,1,MATCH(J$7,Movements!$G$716:$M$716,0))))
*J1182*J$8,0)</f>
        <v>0</v>
      </c>
      <c r="K537" s="198">
        <f>_xlfn.IFNA(IF(K$7="Fixed",1,IF(AND($D99="yes",K$7="Block"),INDEX($O741:$Q741,1,MATCH(K$5,$I64:$K64,0)),INDEX(Movements!$G741:$M741,1,MATCH(K$7,Movements!$G$716:$M$716,0))))
*K1182*K$8,0)</f>
        <v>0</v>
      </c>
      <c r="L537" s="198">
        <f>_xlfn.IFNA(IF(L$7="Fixed",1,IF(AND($D99="yes",L$7="Block"),INDEX($O741:$Q741,1,MATCH(L$5,$I64:$K64,0)),INDEX(Movements!$G741:$M741,1,MATCH(L$7,Movements!$G$716:$M$716,0))))
*L1182*L$8,0)</f>
        <v>0</v>
      </c>
      <c r="M537" s="198">
        <f>_xlfn.IFNA(IF(M$7="Fixed",1,IF(AND($D99="yes",M$7="Block"),INDEX($O741:$Q741,1,MATCH(M$5,$I64:$K64,0)),INDEX(Movements!$G741:$M741,1,MATCH(M$7,Movements!$G$716:$M$716,0))))
*M1182*M$8,0)</f>
        <v>0</v>
      </c>
      <c r="N537" s="198">
        <f>_xlfn.IFNA(IF(N$7="Fixed",1,IF(AND($D99="yes",N$7="Block"),INDEX($O741:$Q741,1,MATCH(N$5,$I64:$K64,0)),INDEX(Movements!$G741:$M741,1,MATCH(N$7,Movements!$G$716:$M$716,0))))
*N1182*N$8,0)</f>
        <v>0</v>
      </c>
      <c r="O537" s="198">
        <f>_xlfn.IFNA(IF(O$7="Fixed",1,IF(AND($D99="yes",O$7="Block"),INDEX($O741:$Q741,1,MATCH(O$5,$I64:$K64,0)),INDEX(Movements!$G741:$M741,1,MATCH(O$7,Movements!$G$716:$M$716,0))))
*O1182*O$8,0)</f>
        <v>0</v>
      </c>
      <c r="P537" s="198">
        <f>_xlfn.IFNA(IF(P$7="Fixed",1,IF(AND($D99="yes",P$7="Block"),INDEX($O741:$Q741,1,MATCH(P$5,$I64:$K64,0)),INDEX(Movements!$G741:$M741,1,MATCH(P$7,Movements!$G$716:$M$716,0))))
*P1182*P$8,0)</f>
        <v>0</v>
      </c>
      <c r="Q537" s="198">
        <f>_xlfn.IFNA(IF(Q$7="Fixed",1,IF(AND($D99="yes",Q$7="Block"),INDEX($O741:$Q741,1,MATCH(Q$5,$I64:$K64,0)),INDEX(Movements!$G741:$M741,1,MATCH(Q$7,Movements!$G$716:$M$716,0))))
*Q1182*Q$8,0)</f>
        <v>0</v>
      </c>
      <c r="R537" s="198">
        <f>_xlfn.IFNA(IF(R$7="Fixed",1,IF(AND($D99="yes",R$7="Block"),INDEX($O741:$Q741,1,MATCH(R$5,$I64:$K64,0)),INDEX(Movements!$G741:$M741,1,MATCH(R$7,Movements!$G$716:$M$716,0))))
*R1182*R$8,0)</f>
        <v>0</v>
      </c>
      <c r="S537" s="198">
        <f>_xlfn.IFNA(IF(S$7="Fixed",1,IF(AND($D99="yes",S$7="Block"),INDEX($O741:$Q741,1,MATCH(S$5,$I64:$K64,0)),INDEX(Movements!$G741:$M741,1,MATCH(S$7,Movements!$G$716:$M$716,0))))
*S1182*S$8,0)</f>
        <v>0</v>
      </c>
      <c r="T537" s="198">
        <f>_xlfn.IFNA(IF(T$7="Fixed",1,IF(AND($D99="yes",T$7="Block"),INDEX($O741:$Q741,1,MATCH(T$5,$I64:$K64,0)),INDEX(Movements!$G741:$M741,1,MATCH(T$7,Movements!$G$716:$M$716,0))))
*T1182*T$8,0)</f>
        <v>0</v>
      </c>
      <c r="U537" s="198">
        <f>_xlfn.IFNA(IF(U$7="Fixed",1,IF(AND($D99="yes",U$7="Block"),INDEX($O741:$Q741,1,MATCH(U$5,$I64:$K64,0)),INDEX(Movements!$G741:$M741,1,MATCH(U$7,Movements!$G$716:$M$716,0))))
*U1182*U$8,0)</f>
        <v>0</v>
      </c>
      <c r="V537" s="198">
        <f>_xlfn.IFNA(IF(V$7="Fixed",1,IF(AND($D99="yes",V$7="Block"),INDEX($O741:$Q741,1,MATCH(V$5,$I64:$K64,0)),INDEX(Movements!$G741:$M741,1,MATCH(V$7,Movements!$G$716:$M$716,0))))
*V1182*V$8,0)</f>
        <v>0</v>
      </c>
      <c r="W537" s="198">
        <f>_xlfn.IFNA(IF(W$7="Fixed",1,IF(AND($D99="yes",W$7="Block"),INDEX($O741:$Q741,1,MATCH(W$5,$I64:$K64,0)),INDEX(Movements!$G741:$M741,1,MATCH(W$7,Movements!$G$716:$M$716,0))))
*W1182*W$8,0)</f>
        <v>0</v>
      </c>
      <c r="X537" s="198">
        <f>_xlfn.IFNA(IF(X$7="Fixed",1,IF(AND($D99="yes",X$7="Block"),INDEX($O741:$Q741,1,MATCH(X$5,$I64:$K64,0)),INDEX(Movements!$G741:$M741,1,MATCH(X$7,Movements!$G$716:$M$716,0))))
*X1182*X$8,0)</f>
        <v>0</v>
      </c>
      <c r="Y537" s="198">
        <f>_xlfn.IFNA(IF(Y$7="Fixed",1,IF(AND($D99="yes",Y$7="Block"),INDEX($O741:$Q741,1,MATCH(Y$5,$I64:$K64,0)),INDEX(Movements!$G741:$M741,1,MATCH(Y$7,Movements!$G$716:$M$716,0))))
*Y1182*Y$8,0)</f>
        <v>0</v>
      </c>
      <c r="Z537" s="198">
        <f>_xlfn.IFNA(IF(Z$7="Fixed",1,IF(AND($D99="yes",Z$7="Block"),INDEX($O741:$Q741,1,MATCH(Z$5,$I64:$K64,0)),INDEX(Movements!$G741:$M741,1,MATCH(Z$7,Movements!$G$716:$M$716,0))))
*Z1182*Z$8,0)</f>
        <v>0</v>
      </c>
      <c r="AA537" s="198">
        <f>_xlfn.IFNA(IF(AA$7="Fixed",1,IF(AND($D99="yes",AA$7="Block"),INDEX($O741:$Q741,1,MATCH(AA$5,$I64:$K64,0)),INDEX(Movements!$G741:$M741,1,MATCH(AA$7,Movements!$G$716:$M$716,0))))
*AA1182*AA$8,0)</f>
        <v>0</v>
      </c>
      <c r="AB537" s="198">
        <f>_xlfn.IFNA(IF(AB$7="Fixed",1,IF(AND($D99="yes",AB$7="Block"),INDEX($O741:$Q741,1,MATCH(AB$5,$I64:$K64,0)),INDEX(Movements!$G741:$M741,1,MATCH(AB$7,Movements!$G$716:$M$716,0))))
*AB1182*AB$8,0)</f>
        <v>0</v>
      </c>
      <c r="AC537" s="70"/>
      <c r="AD537" s="19"/>
      <c r="AE537" s="19"/>
      <c r="AF537" s="19"/>
      <c r="AG537" s="19"/>
    </row>
    <row r="538" spans="1:33" hidden="1" outlineLevel="3" x14ac:dyDescent="0.2">
      <c r="A538" s="19"/>
      <c r="B538" s="97">
        <v>24</v>
      </c>
      <c r="C538" s="506">
        <f t="shared" si="125"/>
        <v>0</v>
      </c>
      <c r="D538" s="505">
        <f t="shared" si="125"/>
        <v>0</v>
      </c>
      <c r="E538" s="505">
        <f t="shared" si="125"/>
        <v>0</v>
      </c>
      <c r="F538" s="58"/>
      <c r="G538" s="199">
        <f t="shared" si="126"/>
        <v>0</v>
      </c>
      <c r="H538" s="58"/>
      <c r="I538" s="198">
        <f>_xlfn.IFNA(IF(I$7="Fixed",1,IF(AND($D100="yes",I$7="Block"),INDEX($O742:$Q742,1,MATCH(I$5,$I65:$K65,0)),INDEX(Movements!$G742:$M742,1,MATCH(I$7,Movements!$G$716:$M$716,0))))
*I1183*I$8,0)</f>
        <v>0</v>
      </c>
      <c r="J538" s="198">
        <f>_xlfn.IFNA(IF(J$7="Fixed",1,IF(AND($D100="yes",J$7="Block"),INDEX($O742:$Q742,1,MATCH(J$5,$I65:$K65,0)),INDEX(Movements!$G742:$M742,1,MATCH(J$7,Movements!$G$716:$M$716,0))))
*J1183*J$8,0)</f>
        <v>0</v>
      </c>
      <c r="K538" s="198">
        <f>_xlfn.IFNA(IF(K$7="Fixed",1,IF(AND($D100="yes",K$7="Block"),INDEX($O742:$Q742,1,MATCH(K$5,$I65:$K65,0)),INDEX(Movements!$G742:$M742,1,MATCH(K$7,Movements!$G$716:$M$716,0))))
*K1183*K$8,0)</f>
        <v>0</v>
      </c>
      <c r="L538" s="198">
        <f>_xlfn.IFNA(IF(L$7="Fixed",1,IF(AND($D100="yes",L$7="Block"),INDEX($O742:$Q742,1,MATCH(L$5,$I65:$K65,0)),INDEX(Movements!$G742:$M742,1,MATCH(L$7,Movements!$G$716:$M$716,0))))
*L1183*L$8,0)</f>
        <v>0</v>
      </c>
      <c r="M538" s="198">
        <f>_xlfn.IFNA(IF(M$7="Fixed",1,IF(AND($D100="yes",M$7="Block"),INDEX($O742:$Q742,1,MATCH(M$5,$I65:$K65,0)),INDEX(Movements!$G742:$M742,1,MATCH(M$7,Movements!$G$716:$M$716,0))))
*M1183*M$8,0)</f>
        <v>0</v>
      </c>
      <c r="N538" s="198">
        <f>_xlfn.IFNA(IF(N$7="Fixed",1,IF(AND($D100="yes",N$7="Block"),INDEX($O742:$Q742,1,MATCH(N$5,$I65:$K65,0)),INDEX(Movements!$G742:$M742,1,MATCH(N$7,Movements!$G$716:$M$716,0))))
*N1183*N$8,0)</f>
        <v>0</v>
      </c>
      <c r="O538" s="198">
        <f>_xlfn.IFNA(IF(O$7="Fixed",1,IF(AND($D100="yes",O$7="Block"),INDEX($O742:$Q742,1,MATCH(O$5,$I65:$K65,0)),INDEX(Movements!$G742:$M742,1,MATCH(O$7,Movements!$G$716:$M$716,0))))
*O1183*O$8,0)</f>
        <v>0</v>
      </c>
      <c r="P538" s="198">
        <f>_xlfn.IFNA(IF(P$7="Fixed",1,IF(AND($D100="yes",P$7="Block"),INDEX($O742:$Q742,1,MATCH(P$5,$I65:$K65,0)),INDEX(Movements!$G742:$M742,1,MATCH(P$7,Movements!$G$716:$M$716,0))))
*P1183*P$8,0)</f>
        <v>0</v>
      </c>
      <c r="Q538" s="198">
        <f>_xlfn.IFNA(IF(Q$7="Fixed",1,IF(AND($D100="yes",Q$7="Block"),INDEX($O742:$Q742,1,MATCH(Q$5,$I65:$K65,0)),INDEX(Movements!$G742:$M742,1,MATCH(Q$7,Movements!$G$716:$M$716,0))))
*Q1183*Q$8,0)</f>
        <v>0</v>
      </c>
      <c r="R538" s="198">
        <f>_xlfn.IFNA(IF(R$7="Fixed",1,IF(AND($D100="yes",R$7="Block"),INDEX($O742:$Q742,1,MATCH(R$5,$I65:$K65,0)),INDEX(Movements!$G742:$M742,1,MATCH(R$7,Movements!$G$716:$M$716,0))))
*R1183*R$8,0)</f>
        <v>0</v>
      </c>
      <c r="S538" s="198">
        <f>_xlfn.IFNA(IF(S$7="Fixed",1,IF(AND($D100="yes",S$7="Block"),INDEX($O742:$Q742,1,MATCH(S$5,$I65:$K65,0)),INDEX(Movements!$G742:$M742,1,MATCH(S$7,Movements!$G$716:$M$716,0))))
*S1183*S$8,0)</f>
        <v>0</v>
      </c>
      <c r="T538" s="198">
        <f>_xlfn.IFNA(IF(T$7="Fixed",1,IF(AND($D100="yes",T$7="Block"),INDEX($O742:$Q742,1,MATCH(T$5,$I65:$K65,0)),INDEX(Movements!$G742:$M742,1,MATCH(T$7,Movements!$G$716:$M$716,0))))
*T1183*T$8,0)</f>
        <v>0</v>
      </c>
      <c r="U538" s="198">
        <f>_xlfn.IFNA(IF(U$7="Fixed",1,IF(AND($D100="yes",U$7="Block"),INDEX($O742:$Q742,1,MATCH(U$5,$I65:$K65,0)),INDEX(Movements!$G742:$M742,1,MATCH(U$7,Movements!$G$716:$M$716,0))))
*U1183*U$8,0)</f>
        <v>0</v>
      </c>
      <c r="V538" s="198">
        <f>_xlfn.IFNA(IF(V$7="Fixed",1,IF(AND($D100="yes",V$7="Block"),INDEX($O742:$Q742,1,MATCH(V$5,$I65:$K65,0)),INDEX(Movements!$G742:$M742,1,MATCH(V$7,Movements!$G$716:$M$716,0))))
*V1183*V$8,0)</f>
        <v>0</v>
      </c>
      <c r="W538" s="198">
        <f>_xlfn.IFNA(IF(W$7="Fixed",1,IF(AND($D100="yes",W$7="Block"),INDEX($O742:$Q742,1,MATCH(W$5,$I65:$K65,0)),INDEX(Movements!$G742:$M742,1,MATCH(W$7,Movements!$G$716:$M$716,0))))
*W1183*W$8,0)</f>
        <v>0</v>
      </c>
      <c r="X538" s="198">
        <f>_xlfn.IFNA(IF(X$7="Fixed",1,IF(AND($D100="yes",X$7="Block"),INDEX($O742:$Q742,1,MATCH(X$5,$I65:$K65,0)),INDEX(Movements!$G742:$M742,1,MATCH(X$7,Movements!$G$716:$M$716,0))))
*X1183*X$8,0)</f>
        <v>0</v>
      </c>
      <c r="Y538" s="198">
        <f>_xlfn.IFNA(IF(Y$7="Fixed",1,IF(AND($D100="yes",Y$7="Block"),INDEX($O742:$Q742,1,MATCH(Y$5,$I65:$K65,0)),INDEX(Movements!$G742:$M742,1,MATCH(Y$7,Movements!$G$716:$M$716,0))))
*Y1183*Y$8,0)</f>
        <v>0</v>
      </c>
      <c r="Z538" s="198">
        <f>_xlfn.IFNA(IF(Z$7="Fixed",1,IF(AND($D100="yes",Z$7="Block"),INDEX($O742:$Q742,1,MATCH(Z$5,$I65:$K65,0)),INDEX(Movements!$G742:$M742,1,MATCH(Z$7,Movements!$G$716:$M$716,0))))
*Z1183*Z$8,0)</f>
        <v>0</v>
      </c>
      <c r="AA538" s="198">
        <f>_xlfn.IFNA(IF(AA$7="Fixed",1,IF(AND($D100="yes",AA$7="Block"),INDEX($O742:$Q742,1,MATCH(AA$5,$I65:$K65,0)),INDEX(Movements!$G742:$M742,1,MATCH(AA$7,Movements!$G$716:$M$716,0))))
*AA1183*AA$8,0)</f>
        <v>0</v>
      </c>
      <c r="AB538" s="198">
        <f>_xlfn.IFNA(IF(AB$7="Fixed",1,IF(AND($D100="yes",AB$7="Block"),INDEX($O742:$Q742,1,MATCH(AB$5,$I65:$K65,0)),INDEX(Movements!$G742:$M742,1,MATCH(AB$7,Movements!$G$716:$M$716,0))))
*AB1183*AB$8,0)</f>
        <v>0</v>
      </c>
      <c r="AC538" s="70"/>
      <c r="AD538" s="19"/>
      <c r="AE538" s="19"/>
      <c r="AF538" s="19"/>
      <c r="AG538" s="19"/>
    </row>
    <row r="539" spans="1:33" hidden="1" outlineLevel="3" x14ac:dyDescent="0.2">
      <c r="A539" s="19"/>
      <c r="B539" s="97">
        <v>25</v>
      </c>
      <c r="C539" s="506">
        <f t="shared" si="125"/>
        <v>0</v>
      </c>
      <c r="D539" s="505">
        <f t="shared" si="125"/>
        <v>0</v>
      </c>
      <c r="E539" s="505">
        <f t="shared" si="125"/>
        <v>0</v>
      </c>
      <c r="F539" s="58"/>
      <c r="G539" s="199">
        <f t="shared" si="126"/>
        <v>0</v>
      </c>
      <c r="H539" s="58"/>
      <c r="I539" s="198">
        <f>_xlfn.IFNA(IF(I$7="Fixed",1,IF(AND($D101="yes",I$7="Block"),INDEX($O743:$Q743,1,MATCH(I$5,$I66:$K66,0)),INDEX(Movements!$G743:$M743,1,MATCH(I$7,Movements!$G$716:$M$716,0))))
*I1184*I$8,0)</f>
        <v>0</v>
      </c>
      <c r="J539" s="198">
        <f>_xlfn.IFNA(IF(J$7="Fixed",1,IF(AND($D101="yes",J$7="Block"),INDEX($O743:$Q743,1,MATCH(J$5,$I66:$K66,0)),INDEX(Movements!$G743:$M743,1,MATCH(J$7,Movements!$G$716:$M$716,0))))
*J1184*J$8,0)</f>
        <v>0</v>
      </c>
      <c r="K539" s="198">
        <f>_xlfn.IFNA(IF(K$7="Fixed",1,IF(AND($D101="yes",K$7="Block"),INDEX($O743:$Q743,1,MATCH(K$5,$I66:$K66,0)),INDEX(Movements!$G743:$M743,1,MATCH(K$7,Movements!$G$716:$M$716,0))))
*K1184*K$8,0)</f>
        <v>0</v>
      </c>
      <c r="L539" s="198">
        <f>_xlfn.IFNA(IF(L$7="Fixed",1,IF(AND($D101="yes",L$7="Block"),INDEX($O743:$Q743,1,MATCH(L$5,$I66:$K66,0)),INDEX(Movements!$G743:$M743,1,MATCH(L$7,Movements!$G$716:$M$716,0))))
*L1184*L$8,0)</f>
        <v>0</v>
      </c>
      <c r="M539" s="198">
        <f>_xlfn.IFNA(IF(M$7="Fixed",1,IF(AND($D101="yes",M$7="Block"),INDEX($O743:$Q743,1,MATCH(M$5,$I66:$K66,0)),INDEX(Movements!$G743:$M743,1,MATCH(M$7,Movements!$G$716:$M$716,0))))
*M1184*M$8,0)</f>
        <v>0</v>
      </c>
      <c r="N539" s="198">
        <f>_xlfn.IFNA(IF(N$7="Fixed",1,IF(AND($D101="yes",N$7="Block"),INDEX($O743:$Q743,1,MATCH(N$5,$I66:$K66,0)),INDEX(Movements!$G743:$M743,1,MATCH(N$7,Movements!$G$716:$M$716,0))))
*N1184*N$8,0)</f>
        <v>0</v>
      </c>
      <c r="O539" s="198">
        <f>_xlfn.IFNA(IF(O$7="Fixed",1,IF(AND($D101="yes",O$7="Block"),INDEX($O743:$Q743,1,MATCH(O$5,$I66:$K66,0)),INDEX(Movements!$G743:$M743,1,MATCH(O$7,Movements!$G$716:$M$716,0))))
*O1184*O$8,0)</f>
        <v>0</v>
      </c>
      <c r="P539" s="198">
        <f>_xlfn.IFNA(IF(P$7="Fixed",1,IF(AND($D101="yes",P$7="Block"),INDEX($O743:$Q743,1,MATCH(P$5,$I66:$K66,0)),INDEX(Movements!$G743:$M743,1,MATCH(P$7,Movements!$G$716:$M$716,0))))
*P1184*P$8,0)</f>
        <v>0</v>
      </c>
      <c r="Q539" s="198">
        <f>_xlfn.IFNA(IF(Q$7="Fixed",1,IF(AND($D101="yes",Q$7="Block"),INDEX($O743:$Q743,1,MATCH(Q$5,$I66:$K66,0)),INDEX(Movements!$G743:$M743,1,MATCH(Q$7,Movements!$G$716:$M$716,0))))
*Q1184*Q$8,0)</f>
        <v>0</v>
      </c>
      <c r="R539" s="198">
        <f>_xlfn.IFNA(IF(R$7="Fixed",1,IF(AND($D101="yes",R$7="Block"),INDEX($O743:$Q743,1,MATCH(R$5,$I66:$K66,0)),INDEX(Movements!$G743:$M743,1,MATCH(R$7,Movements!$G$716:$M$716,0))))
*R1184*R$8,0)</f>
        <v>0</v>
      </c>
      <c r="S539" s="198">
        <f>_xlfn.IFNA(IF(S$7="Fixed",1,IF(AND($D101="yes",S$7="Block"),INDEX($O743:$Q743,1,MATCH(S$5,$I66:$K66,0)),INDEX(Movements!$G743:$M743,1,MATCH(S$7,Movements!$G$716:$M$716,0))))
*S1184*S$8,0)</f>
        <v>0</v>
      </c>
      <c r="T539" s="198">
        <f>_xlfn.IFNA(IF(T$7="Fixed",1,IF(AND($D101="yes",T$7="Block"),INDEX($O743:$Q743,1,MATCH(T$5,$I66:$K66,0)),INDEX(Movements!$G743:$M743,1,MATCH(T$7,Movements!$G$716:$M$716,0))))
*T1184*T$8,0)</f>
        <v>0</v>
      </c>
      <c r="U539" s="198">
        <f>_xlfn.IFNA(IF(U$7="Fixed",1,IF(AND($D101="yes",U$7="Block"),INDEX($O743:$Q743,1,MATCH(U$5,$I66:$K66,0)),INDEX(Movements!$G743:$M743,1,MATCH(U$7,Movements!$G$716:$M$716,0))))
*U1184*U$8,0)</f>
        <v>0</v>
      </c>
      <c r="V539" s="198">
        <f>_xlfn.IFNA(IF(V$7="Fixed",1,IF(AND($D101="yes",V$7="Block"),INDEX($O743:$Q743,1,MATCH(V$5,$I66:$K66,0)),INDEX(Movements!$G743:$M743,1,MATCH(V$7,Movements!$G$716:$M$716,0))))
*V1184*V$8,0)</f>
        <v>0</v>
      </c>
      <c r="W539" s="198">
        <f>_xlfn.IFNA(IF(W$7="Fixed",1,IF(AND($D101="yes",W$7="Block"),INDEX($O743:$Q743,1,MATCH(W$5,$I66:$K66,0)),INDEX(Movements!$G743:$M743,1,MATCH(W$7,Movements!$G$716:$M$716,0))))
*W1184*W$8,0)</f>
        <v>0</v>
      </c>
      <c r="X539" s="198">
        <f>_xlfn.IFNA(IF(X$7="Fixed",1,IF(AND($D101="yes",X$7="Block"),INDEX($O743:$Q743,1,MATCH(X$5,$I66:$K66,0)),INDEX(Movements!$G743:$M743,1,MATCH(X$7,Movements!$G$716:$M$716,0))))
*X1184*X$8,0)</f>
        <v>0</v>
      </c>
      <c r="Y539" s="198">
        <f>_xlfn.IFNA(IF(Y$7="Fixed",1,IF(AND($D101="yes",Y$7="Block"),INDEX($O743:$Q743,1,MATCH(Y$5,$I66:$K66,0)),INDEX(Movements!$G743:$M743,1,MATCH(Y$7,Movements!$G$716:$M$716,0))))
*Y1184*Y$8,0)</f>
        <v>0</v>
      </c>
      <c r="Z539" s="198">
        <f>_xlfn.IFNA(IF(Z$7="Fixed",1,IF(AND($D101="yes",Z$7="Block"),INDEX($O743:$Q743,1,MATCH(Z$5,$I66:$K66,0)),INDEX(Movements!$G743:$M743,1,MATCH(Z$7,Movements!$G$716:$M$716,0))))
*Z1184*Z$8,0)</f>
        <v>0</v>
      </c>
      <c r="AA539" s="198">
        <f>_xlfn.IFNA(IF(AA$7="Fixed",1,IF(AND($D101="yes",AA$7="Block"),INDEX($O743:$Q743,1,MATCH(AA$5,$I66:$K66,0)),INDEX(Movements!$G743:$M743,1,MATCH(AA$7,Movements!$G$716:$M$716,0))))
*AA1184*AA$8,0)</f>
        <v>0</v>
      </c>
      <c r="AB539" s="198">
        <f>_xlfn.IFNA(IF(AB$7="Fixed",1,IF(AND($D101="yes",AB$7="Block"),INDEX($O743:$Q743,1,MATCH(AB$5,$I66:$K66,0)),INDEX(Movements!$G743:$M743,1,MATCH(AB$7,Movements!$G$716:$M$716,0))))
*AB1184*AB$8,0)</f>
        <v>0</v>
      </c>
      <c r="AC539" s="70"/>
      <c r="AD539" s="19"/>
      <c r="AE539" s="19"/>
      <c r="AF539" s="19"/>
      <c r="AG539" s="19"/>
    </row>
    <row r="540" spans="1:33" hidden="1" outlineLevel="3" x14ac:dyDescent="0.2">
      <c r="A540" s="19"/>
      <c r="B540" s="97">
        <v>26</v>
      </c>
      <c r="C540" s="506">
        <f t="shared" si="125"/>
        <v>0</v>
      </c>
      <c r="D540" s="505">
        <f t="shared" si="125"/>
        <v>0</v>
      </c>
      <c r="E540" s="505">
        <f t="shared" si="125"/>
        <v>0</v>
      </c>
      <c r="F540" s="58"/>
      <c r="G540" s="199">
        <f t="shared" si="126"/>
        <v>0</v>
      </c>
      <c r="H540" s="58"/>
      <c r="I540" s="198">
        <f>_xlfn.IFNA(IF(I$7="Fixed",1,IF(AND($D102="yes",I$7="Block"),INDEX($O744:$Q744,1,MATCH(I$5,$I67:$K67,0)),INDEX(Movements!$G744:$M744,1,MATCH(I$7,Movements!$G$716:$M$716,0))))
*I1185*I$8,0)</f>
        <v>0</v>
      </c>
      <c r="J540" s="198">
        <f>_xlfn.IFNA(IF(J$7="Fixed",1,IF(AND($D102="yes",J$7="Block"),INDEX($O744:$Q744,1,MATCH(J$5,$I67:$K67,0)),INDEX(Movements!$G744:$M744,1,MATCH(J$7,Movements!$G$716:$M$716,0))))
*J1185*J$8,0)</f>
        <v>0</v>
      </c>
      <c r="K540" s="198">
        <f>_xlfn.IFNA(IF(K$7="Fixed",1,IF(AND($D102="yes",K$7="Block"),INDEX($O744:$Q744,1,MATCH(K$5,$I67:$K67,0)),INDEX(Movements!$G744:$M744,1,MATCH(K$7,Movements!$G$716:$M$716,0))))
*K1185*K$8,0)</f>
        <v>0</v>
      </c>
      <c r="L540" s="198">
        <f>_xlfn.IFNA(IF(L$7="Fixed",1,IF(AND($D102="yes",L$7="Block"),INDEX($O744:$Q744,1,MATCH(L$5,$I67:$K67,0)),INDEX(Movements!$G744:$M744,1,MATCH(L$7,Movements!$G$716:$M$716,0))))
*L1185*L$8,0)</f>
        <v>0</v>
      </c>
      <c r="M540" s="198">
        <f>_xlfn.IFNA(IF(M$7="Fixed",1,IF(AND($D102="yes",M$7="Block"),INDEX($O744:$Q744,1,MATCH(M$5,$I67:$K67,0)),INDEX(Movements!$G744:$M744,1,MATCH(M$7,Movements!$G$716:$M$716,0))))
*M1185*M$8,0)</f>
        <v>0</v>
      </c>
      <c r="N540" s="198">
        <f>_xlfn.IFNA(IF(N$7="Fixed",1,IF(AND($D102="yes",N$7="Block"),INDEX($O744:$Q744,1,MATCH(N$5,$I67:$K67,0)),INDEX(Movements!$G744:$M744,1,MATCH(N$7,Movements!$G$716:$M$716,0))))
*N1185*N$8,0)</f>
        <v>0</v>
      </c>
      <c r="O540" s="198">
        <f>_xlfn.IFNA(IF(O$7="Fixed",1,IF(AND($D102="yes",O$7="Block"),INDEX($O744:$Q744,1,MATCH(O$5,$I67:$K67,0)),INDEX(Movements!$G744:$M744,1,MATCH(O$7,Movements!$G$716:$M$716,0))))
*O1185*O$8,0)</f>
        <v>0</v>
      </c>
      <c r="P540" s="198">
        <f>_xlfn.IFNA(IF(P$7="Fixed",1,IF(AND($D102="yes",P$7="Block"),INDEX($O744:$Q744,1,MATCH(P$5,$I67:$K67,0)),INDEX(Movements!$G744:$M744,1,MATCH(P$7,Movements!$G$716:$M$716,0))))
*P1185*P$8,0)</f>
        <v>0</v>
      </c>
      <c r="Q540" s="198">
        <f>_xlfn.IFNA(IF(Q$7="Fixed",1,IF(AND($D102="yes",Q$7="Block"),INDEX($O744:$Q744,1,MATCH(Q$5,$I67:$K67,0)),INDEX(Movements!$G744:$M744,1,MATCH(Q$7,Movements!$G$716:$M$716,0))))
*Q1185*Q$8,0)</f>
        <v>0</v>
      </c>
      <c r="R540" s="198">
        <f>_xlfn.IFNA(IF(R$7="Fixed",1,IF(AND($D102="yes",R$7="Block"),INDEX($O744:$Q744,1,MATCH(R$5,$I67:$K67,0)),INDEX(Movements!$G744:$M744,1,MATCH(R$7,Movements!$G$716:$M$716,0))))
*R1185*R$8,0)</f>
        <v>0</v>
      </c>
      <c r="S540" s="198">
        <f>_xlfn.IFNA(IF(S$7="Fixed",1,IF(AND($D102="yes",S$7="Block"),INDEX($O744:$Q744,1,MATCH(S$5,$I67:$K67,0)),INDEX(Movements!$G744:$M744,1,MATCH(S$7,Movements!$G$716:$M$716,0))))
*S1185*S$8,0)</f>
        <v>0</v>
      </c>
      <c r="T540" s="198">
        <f>_xlfn.IFNA(IF(T$7="Fixed",1,IF(AND($D102="yes",T$7="Block"),INDEX($O744:$Q744,1,MATCH(T$5,$I67:$K67,0)),INDEX(Movements!$G744:$M744,1,MATCH(T$7,Movements!$G$716:$M$716,0))))
*T1185*T$8,0)</f>
        <v>0</v>
      </c>
      <c r="U540" s="198">
        <f>_xlfn.IFNA(IF(U$7="Fixed",1,IF(AND($D102="yes",U$7="Block"),INDEX($O744:$Q744,1,MATCH(U$5,$I67:$K67,0)),INDEX(Movements!$G744:$M744,1,MATCH(U$7,Movements!$G$716:$M$716,0))))
*U1185*U$8,0)</f>
        <v>0</v>
      </c>
      <c r="V540" s="198">
        <f>_xlfn.IFNA(IF(V$7="Fixed",1,IF(AND($D102="yes",V$7="Block"),INDEX($O744:$Q744,1,MATCH(V$5,$I67:$K67,0)),INDEX(Movements!$G744:$M744,1,MATCH(V$7,Movements!$G$716:$M$716,0))))
*V1185*V$8,0)</f>
        <v>0</v>
      </c>
      <c r="W540" s="198">
        <f>_xlfn.IFNA(IF(W$7="Fixed",1,IF(AND($D102="yes",W$7="Block"),INDEX($O744:$Q744,1,MATCH(W$5,$I67:$K67,0)),INDEX(Movements!$G744:$M744,1,MATCH(W$7,Movements!$G$716:$M$716,0))))
*W1185*W$8,0)</f>
        <v>0</v>
      </c>
      <c r="X540" s="198">
        <f>_xlfn.IFNA(IF(X$7="Fixed",1,IF(AND($D102="yes",X$7="Block"),INDEX($O744:$Q744,1,MATCH(X$5,$I67:$K67,0)),INDEX(Movements!$G744:$M744,1,MATCH(X$7,Movements!$G$716:$M$716,0))))
*X1185*X$8,0)</f>
        <v>0</v>
      </c>
      <c r="Y540" s="198">
        <f>_xlfn.IFNA(IF(Y$7="Fixed",1,IF(AND($D102="yes",Y$7="Block"),INDEX($O744:$Q744,1,MATCH(Y$5,$I67:$K67,0)),INDEX(Movements!$G744:$M744,1,MATCH(Y$7,Movements!$G$716:$M$716,0))))
*Y1185*Y$8,0)</f>
        <v>0</v>
      </c>
      <c r="Z540" s="198">
        <f>_xlfn.IFNA(IF(Z$7="Fixed",1,IF(AND($D102="yes",Z$7="Block"),INDEX($O744:$Q744,1,MATCH(Z$5,$I67:$K67,0)),INDEX(Movements!$G744:$M744,1,MATCH(Z$7,Movements!$G$716:$M$716,0))))
*Z1185*Z$8,0)</f>
        <v>0</v>
      </c>
      <c r="AA540" s="198">
        <f>_xlfn.IFNA(IF(AA$7="Fixed",1,IF(AND($D102="yes",AA$7="Block"),INDEX($O744:$Q744,1,MATCH(AA$5,$I67:$K67,0)),INDEX(Movements!$G744:$M744,1,MATCH(AA$7,Movements!$G$716:$M$716,0))))
*AA1185*AA$8,0)</f>
        <v>0</v>
      </c>
      <c r="AB540" s="198">
        <f>_xlfn.IFNA(IF(AB$7="Fixed",1,IF(AND($D102="yes",AB$7="Block"),INDEX($O744:$Q744,1,MATCH(AB$5,$I67:$K67,0)),INDEX(Movements!$G744:$M744,1,MATCH(AB$7,Movements!$G$716:$M$716,0))))
*AB1185*AB$8,0)</f>
        <v>0</v>
      </c>
      <c r="AC540" s="70"/>
      <c r="AD540" s="19"/>
      <c r="AE540" s="19"/>
      <c r="AF540" s="19"/>
      <c r="AG540" s="19"/>
    </row>
    <row r="541" spans="1:33" hidden="1" outlineLevel="3" x14ac:dyDescent="0.2">
      <c r="A541" s="19"/>
      <c r="B541" s="97">
        <v>27</v>
      </c>
      <c r="C541" s="506">
        <f t="shared" si="125"/>
        <v>0</v>
      </c>
      <c r="D541" s="505">
        <f t="shared" si="125"/>
        <v>0</v>
      </c>
      <c r="E541" s="505">
        <f t="shared" si="125"/>
        <v>0</v>
      </c>
      <c r="F541" s="58"/>
      <c r="G541" s="199">
        <f t="shared" si="126"/>
        <v>0</v>
      </c>
      <c r="H541" s="58"/>
      <c r="I541" s="198">
        <f>_xlfn.IFNA(IF(I$7="Fixed",1,IF(AND($D103="yes",I$7="Block"),INDEX($O745:$Q745,1,MATCH(I$5,$I68:$K68,0)),INDEX(Movements!$G745:$M745,1,MATCH(I$7,Movements!$G$716:$M$716,0))))
*I1186*I$8,0)</f>
        <v>0</v>
      </c>
      <c r="J541" s="198">
        <f>_xlfn.IFNA(IF(J$7="Fixed",1,IF(AND($D103="yes",J$7="Block"),INDEX($O745:$Q745,1,MATCH(J$5,$I68:$K68,0)),INDEX(Movements!$G745:$M745,1,MATCH(J$7,Movements!$G$716:$M$716,0))))
*J1186*J$8,0)</f>
        <v>0</v>
      </c>
      <c r="K541" s="198">
        <f>_xlfn.IFNA(IF(K$7="Fixed",1,IF(AND($D103="yes",K$7="Block"),INDEX($O745:$Q745,1,MATCH(K$5,$I68:$K68,0)),INDEX(Movements!$G745:$M745,1,MATCH(K$7,Movements!$G$716:$M$716,0))))
*K1186*K$8,0)</f>
        <v>0</v>
      </c>
      <c r="L541" s="198">
        <f>_xlfn.IFNA(IF(L$7="Fixed",1,IF(AND($D103="yes",L$7="Block"),INDEX($O745:$Q745,1,MATCH(L$5,$I68:$K68,0)),INDEX(Movements!$G745:$M745,1,MATCH(L$7,Movements!$G$716:$M$716,0))))
*L1186*L$8,0)</f>
        <v>0</v>
      </c>
      <c r="M541" s="198">
        <f>_xlfn.IFNA(IF(M$7="Fixed",1,IF(AND($D103="yes",M$7="Block"),INDEX($O745:$Q745,1,MATCH(M$5,$I68:$K68,0)),INDEX(Movements!$G745:$M745,1,MATCH(M$7,Movements!$G$716:$M$716,0))))
*M1186*M$8,0)</f>
        <v>0</v>
      </c>
      <c r="N541" s="198">
        <f>_xlfn.IFNA(IF(N$7="Fixed",1,IF(AND($D103="yes",N$7="Block"),INDEX($O745:$Q745,1,MATCH(N$5,$I68:$K68,0)),INDEX(Movements!$G745:$M745,1,MATCH(N$7,Movements!$G$716:$M$716,0))))
*N1186*N$8,0)</f>
        <v>0</v>
      </c>
      <c r="O541" s="198">
        <f>_xlfn.IFNA(IF(O$7="Fixed",1,IF(AND($D103="yes",O$7="Block"),INDEX($O745:$Q745,1,MATCH(O$5,$I68:$K68,0)),INDEX(Movements!$G745:$M745,1,MATCH(O$7,Movements!$G$716:$M$716,0))))
*O1186*O$8,0)</f>
        <v>0</v>
      </c>
      <c r="P541" s="198">
        <f>_xlfn.IFNA(IF(P$7="Fixed",1,IF(AND($D103="yes",P$7="Block"),INDEX($O745:$Q745,1,MATCH(P$5,$I68:$K68,0)),INDEX(Movements!$G745:$M745,1,MATCH(P$7,Movements!$G$716:$M$716,0))))
*P1186*P$8,0)</f>
        <v>0</v>
      </c>
      <c r="Q541" s="198">
        <f>_xlfn.IFNA(IF(Q$7="Fixed",1,IF(AND($D103="yes",Q$7="Block"),INDEX($O745:$Q745,1,MATCH(Q$5,$I68:$K68,0)),INDEX(Movements!$G745:$M745,1,MATCH(Q$7,Movements!$G$716:$M$716,0))))
*Q1186*Q$8,0)</f>
        <v>0</v>
      </c>
      <c r="R541" s="198">
        <f>_xlfn.IFNA(IF(R$7="Fixed",1,IF(AND($D103="yes",R$7="Block"),INDEX($O745:$Q745,1,MATCH(R$5,$I68:$K68,0)),INDEX(Movements!$G745:$M745,1,MATCH(R$7,Movements!$G$716:$M$716,0))))
*R1186*R$8,0)</f>
        <v>0</v>
      </c>
      <c r="S541" s="198">
        <f>_xlfn.IFNA(IF(S$7="Fixed",1,IF(AND($D103="yes",S$7="Block"),INDEX($O745:$Q745,1,MATCH(S$5,$I68:$K68,0)),INDEX(Movements!$G745:$M745,1,MATCH(S$7,Movements!$G$716:$M$716,0))))
*S1186*S$8,0)</f>
        <v>0</v>
      </c>
      <c r="T541" s="198">
        <f>_xlfn.IFNA(IF(T$7="Fixed",1,IF(AND($D103="yes",T$7="Block"),INDEX($O745:$Q745,1,MATCH(T$5,$I68:$K68,0)),INDEX(Movements!$G745:$M745,1,MATCH(T$7,Movements!$G$716:$M$716,0))))
*T1186*T$8,0)</f>
        <v>0</v>
      </c>
      <c r="U541" s="198">
        <f>_xlfn.IFNA(IF(U$7="Fixed",1,IF(AND($D103="yes",U$7="Block"),INDEX($O745:$Q745,1,MATCH(U$5,$I68:$K68,0)),INDEX(Movements!$G745:$M745,1,MATCH(U$7,Movements!$G$716:$M$716,0))))
*U1186*U$8,0)</f>
        <v>0</v>
      </c>
      <c r="V541" s="198">
        <f>_xlfn.IFNA(IF(V$7="Fixed",1,IF(AND($D103="yes",V$7="Block"),INDEX($O745:$Q745,1,MATCH(V$5,$I68:$K68,0)),INDEX(Movements!$G745:$M745,1,MATCH(V$7,Movements!$G$716:$M$716,0))))
*V1186*V$8,0)</f>
        <v>0</v>
      </c>
      <c r="W541" s="198">
        <f>_xlfn.IFNA(IF(W$7="Fixed",1,IF(AND($D103="yes",W$7="Block"),INDEX($O745:$Q745,1,MATCH(W$5,$I68:$K68,0)),INDEX(Movements!$G745:$M745,1,MATCH(W$7,Movements!$G$716:$M$716,0))))
*W1186*W$8,0)</f>
        <v>0</v>
      </c>
      <c r="X541" s="198">
        <f>_xlfn.IFNA(IF(X$7="Fixed",1,IF(AND($D103="yes",X$7="Block"),INDEX($O745:$Q745,1,MATCH(X$5,$I68:$K68,0)),INDEX(Movements!$G745:$M745,1,MATCH(X$7,Movements!$G$716:$M$716,0))))
*X1186*X$8,0)</f>
        <v>0</v>
      </c>
      <c r="Y541" s="198">
        <f>_xlfn.IFNA(IF(Y$7="Fixed",1,IF(AND($D103="yes",Y$7="Block"),INDEX($O745:$Q745,1,MATCH(Y$5,$I68:$K68,0)),INDEX(Movements!$G745:$M745,1,MATCH(Y$7,Movements!$G$716:$M$716,0))))
*Y1186*Y$8,0)</f>
        <v>0</v>
      </c>
      <c r="Z541" s="198">
        <f>_xlfn.IFNA(IF(Z$7="Fixed",1,IF(AND($D103="yes",Z$7="Block"),INDEX($O745:$Q745,1,MATCH(Z$5,$I68:$K68,0)),INDEX(Movements!$G745:$M745,1,MATCH(Z$7,Movements!$G$716:$M$716,0))))
*Z1186*Z$8,0)</f>
        <v>0</v>
      </c>
      <c r="AA541" s="198">
        <f>_xlfn.IFNA(IF(AA$7="Fixed",1,IF(AND($D103="yes",AA$7="Block"),INDEX($O745:$Q745,1,MATCH(AA$5,$I68:$K68,0)),INDEX(Movements!$G745:$M745,1,MATCH(AA$7,Movements!$G$716:$M$716,0))))
*AA1186*AA$8,0)</f>
        <v>0</v>
      </c>
      <c r="AB541" s="198">
        <f>_xlfn.IFNA(IF(AB$7="Fixed",1,IF(AND($D103="yes",AB$7="Block"),INDEX($O745:$Q745,1,MATCH(AB$5,$I68:$K68,0)),INDEX(Movements!$G745:$M745,1,MATCH(AB$7,Movements!$G$716:$M$716,0))))
*AB1186*AB$8,0)</f>
        <v>0</v>
      </c>
      <c r="AC541" s="70"/>
      <c r="AD541" s="19"/>
      <c r="AE541" s="19"/>
      <c r="AF541" s="19"/>
      <c r="AG541" s="19"/>
    </row>
    <row r="542" spans="1:33" hidden="1" outlineLevel="3" x14ac:dyDescent="0.2">
      <c r="A542" s="19"/>
      <c r="B542" s="97">
        <v>28</v>
      </c>
      <c r="C542" s="506">
        <f t="shared" si="125"/>
        <v>0</v>
      </c>
      <c r="D542" s="505">
        <f t="shared" si="125"/>
        <v>0</v>
      </c>
      <c r="E542" s="505">
        <f t="shared" si="125"/>
        <v>0</v>
      </c>
      <c r="F542" s="58"/>
      <c r="G542" s="199">
        <f t="shared" si="126"/>
        <v>0</v>
      </c>
      <c r="H542" s="58"/>
      <c r="I542" s="198">
        <f>_xlfn.IFNA(IF(I$7="Fixed",1,IF(AND($D104="yes",I$7="Block"),INDEX($O746:$Q746,1,MATCH(I$5,$I69:$K69,0)),INDEX(Movements!$G746:$M746,1,MATCH(I$7,Movements!$G$716:$M$716,0))))
*I1187*I$8,0)</f>
        <v>0</v>
      </c>
      <c r="J542" s="198">
        <f>_xlfn.IFNA(IF(J$7="Fixed",1,IF(AND($D104="yes",J$7="Block"),INDEX($O746:$Q746,1,MATCH(J$5,$I69:$K69,0)),INDEX(Movements!$G746:$M746,1,MATCH(J$7,Movements!$G$716:$M$716,0))))
*J1187*J$8,0)</f>
        <v>0</v>
      </c>
      <c r="K542" s="198">
        <f>_xlfn.IFNA(IF(K$7="Fixed",1,IF(AND($D104="yes",K$7="Block"),INDEX($O746:$Q746,1,MATCH(K$5,$I69:$K69,0)),INDEX(Movements!$G746:$M746,1,MATCH(K$7,Movements!$G$716:$M$716,0))))
*K1187*K$8,0)</f>
        <v>0</v>
      </c>
      <c r="L542" s="198">
        <f>_xlfn.IFNA(IF(L$7="Fixed",1,IF(AND($D104="yes",L$7="Block"),INDEX($O746:$Q746,1,MATCH(L$5,$I69:$K69,0)),INDEX(Movements!$G746:$M746,1,MATCH(L$7,Movements!$G$716:$M$716,0))))
*L1187*L$8,0)</f>
        <v>0</v>
      </c>
      <c r="M542" s="198">
        <f>_xlfn.IFNA(IF(M$7="Fixed",1,IF(AND($D104="yes",M$7="Block"),INDEX($O746:$Q746,1,MATCH(M$5,$I69:$K69,0)),INDEX(Movements!$G746:$M746,1,MATCH(M$7,Movements!$G$716:$M$716,0))))
*M1187*M$8,0)</f>
        <v>0</v>
      </c>
      <c r="N542" s="198">
        <f>_xlfn.IFNA(IF(N$7="Fixed",1,IF(AND($D104="yes",N$7="Block"),INDEX($O746:$Q746,1,MATCH(N$5,$I69:$K69,0)),INDEX(Movements!$G746:$M746,1,MATCH(N$7,Movements!$G$716:$M$716,0))))
*N1187*N$8,0)</f>
        <v>0</v>
      </c>
      <c r="O542" s="198">
        <f>_xlfn.IFNA(IF(O$7="Fixed",1,IF(AND($D104="yes",O$7="Block"),INDEX($O746:$Q746,1,MATCH(O$5,$I69:$K69,0)),INDEX(Movements!$G746:$M746,1,MATCH(O$7,Movements!$G$716:$M$716,0))))
*O1187*O$8,0)</f>
        <v>0</v>
      </c>
      <c r="P542" s="198">
        <f>_xlfn.IFNA(IF(P$7="Fixed",1,IF(AND($D104="yes",P$7="Block"),INDEX($O746:$Q746,1,MATCH(P$5,$I69:$K69,0)),INDEX(Movements!$G746:$M746,1,MATCH(P$7,Movements!$G$716:$M$716,0))))
*P1187*P$8,0)</f>
        <v>0</v>
      </c>
      <c r="Q542" s="198">
        <f>_xlfn.IFNA(IF(Q$7="Fixed",1,IF(AND($D104="yes",Q$7="Block"),INDEX($O746:$Q746,1,MATCH(Q$5,$I69:$K69,0)),INDEX(Movements!$G746:$M746,1,MATCH(Q$7,Movements!$G$716:$M$716,0))))
*Q1187*Q$8,0)</f>
        <v>0</v>
      </c>
      <c r="R542" s="198">
        <f>_xlfn.IFNA(IF(R$7="Fixed",1,IF(AND($D104="yes",R$7="Block"),INDEX($O746:$Q746,1,MATCH(R$5,$I69:$K69,0)),INDEX(Movements!$G746:$M746,1,MATCH(R$7,Movements!$G$716:$M$716,0))))
*R1187*R$8,0)</f>
        <v>0</v>
      </c>
      <c r="S542" s="198">
        <f>_xlfn.IFNA(IF(S$7="Fixed",1,IF(AND($D104="yes",S$7="Block"),INDEX($O746:$Q746,1,MATCH(S$5,$I69:$K69,0)),INDEX(Movements!$G746:$M746,1,MATCH(S$7,Movements!$G$716:$M$716,0))))
*S1187*S$8,0)</f>
        <v>0</v>
      </c>
      <c r="T542" s="198">
        <f>_xlfn.IFNA(IF(T$7="Fixed",1,IF(AND($D104="yes",T$7="Block"),INDEX($O746:$Q746,1,MATCH(T$5,$I69:$K69,0)),INDEX(Movements!$G746:$M746,1,MATCH(T$7,Movements!$G$716:$M$716,0))))
*T1187*T$8,0)</f>
        <v>0</v>
      </c>
      <c r="U542" s="198">
        <f>_xlfn.IFNA(IF(U$7="Fixed",1,IF(AND($D104="yes",U$7="Block"),INDEX($O746:$Q746,1,MATCH(U$5,$I69:$K69,0)),INDEX(Movements!$G746:$M746,1,MATCH(U$7,Movements!$G$716:$M$716,0))))
*U1187*U$8,0)</f>
        <v>0</v>
      </c>
      <c r="V542" s="198">
        <f>_xlfn.IFNA(IF(V$7="Fixed",1,IF(AND($D104="yes",V$7="Block"),INDEX($O746:$Q746,1,MATCH(V$5,$I69:$K69,0)),INDEX(Movements!$G746:$M746,1,MATCH(V$7,Movements!$G$716:$M$716,0))))
*V1187*V$8,0)</f>
        <v>0</v>
      </c>
      <c r="W542" s="198">
        <f>_xlfn.IFNA(IF(W$7="Fixed",1,IF(AND($D104="yes",W$7="Block"),INDEX($O746:$Q746,1,MATCH(W$5,$I69:$K69,0)),INDEX(Movements!$G746:$M746,1,MATCH(W$7,Movements!$G$716:$M$716,0))))
*W1187*W$8,0)</f>
        <v>0</v>
      </c>
      <c r="X542" s="198">
        <f>_xlfn.IFNA(IF(X$7="Fixed",1,IF(AND($D104="yes",X$7="Block"),INDEX($O746:$Q746,1,MATCH(X$5,$I69:$K69,0)),INDEX(Movements!$G746:$M746,1,MATCH(X$7,Movements!$G$716:$M$716,0))))
*X1187*X$8,0)</f>
        <v>0</v>
      </c>
      <c r="Y542" s="198">
        <f>_xlfn.IFNA(IF(Y$7="Fixed",1,IF(AND($D104="yes",Y$7="Block"),INDEX($O746:$Q746,1,MATCH(Y$5,$I69:$K69,0)),INDEX(Movements!$G746:$M746,1,MATCH(Y$7,Movements!$G$716:$M$716,0))))
*Y1187*Y$8,0)</f>
        <v>0</v>
      </c>
      <c r="Z542" s="198">
        <f>_xlfn.IFNA(IF(Z$7="Fixed",1,IF(AND($D104="yes",Z$7="Block"),INDEX($O746:$Q746,1,MATCH(Z$5,$I69:$K69,0)),INDEX(Movements!$G746:$M746,1,MATCH(Z$7,Movements!$G$716:$M$716,0))))
*Z1187*Z$8,0)</f>
        <v>0</v>
      </c>
      <c r="AA542" s="198">
        <f>_xlfn.IFNA(IF(AA$7="Fixed",1,IF(AND($D104="yes",AA$7="Block"),INDEX($O746:$Q746,1,MATCH(AA$5,$I69:$K69,0)),INDEX(Movements!$G746:$M746,1,MATCH(AA$7,Movements!$G$716:$M$716,0))))
*AA1187*AA$8,0)</f>
        <v>0</v>
      </c>
      <c r="AB542" s="198">
        <f>_xlfn.IFNA(IF(AB$7="Fixed",1,IF(AND($D104="yes",AB$7="Block"),INDEX($O746:$Q746,1,MATCH(AB$5,$I69:$K69,0)),INDEX(Movements!$G746:$M746,1,MATCH(AB$7,Movements!$G$716:$M$716,0))))
*AB1187*AB$8,0)</f>
        <v>0</v>
      </c>
      <c r="AC542" s="70"/>
      <c r="AD542" s="19"/>
      <c r="AE542" s="19"/>
      <c r="AF542" s="19"/>
      <c r="AG542" s="19"/>
    </row>
    <row r="543" spans="1:33" hidden="1" outlineLevel="3" x14ac:dyDescent="0.2">
      <c r="A543" s="19"/>
      <c r="B543" s="97">
        <v>29</v>
      </c>
      <c r="C543" s="506">
        <f t="shared" si="125"/>
        <v>0</v>
      </c>
      <c r="D543" s="505">
        <f t="shared" si="125"/>
        <v>0</v>
      </c>
      <c r="E543" s="505">
        <f t="shared" si="125"/>
        <v>0</v>
      </c>
      <c r="F543" s="58"/>
      <c r="G543" s="199">
        <f t="shared" si="126"/>
        <v>0</v>
      </c>
      <c r="H543" s="58"/>
      <c r="I543" s="198">
        <f>_xlfn.IFNA(IF(I$7="Fixed",1,IF(AND($D105="yes",I$7="Block"),INDEX($O747:$Q747,1,MATCH(I$5,$I70:$K70,0)),INDEX(Movements!$G747:$M747,1,MATCH(I$7,Movements!$G$716:$M$716,0))))
*I1188*I$8,0)</f>
        <v>0</v>
      </c>
      <c r="J543" s="198">
        <f>_xlfn.IFNA(IF(J$7="Fixed",1,IF(AND($D105="yes",J$7="Block"),INDEX($O747:$Q747,1,MATCH(J$5,$I70:$K70,0)),INDEX(Movements!$G747:$M747,1,MATCH(J$7,Movements!$G$716:$M$716,0))))
*J1188*J$8,0)</f>
        <v>0</v>
      </c>
      <c r="K543" s="198">
        <f>_xlfn.IFNA(IF(K$7="Fixed",1,IF(AND($D105="yes",K$7="Block"),INDEX($O747:$Q747,1,MATCH(K$5,$I70:$K70,0)),INDEX(Movements!$G747:$M747,1,MATCH(K$7,Movements!$G$716:$M$716,0))))
*K1188*K$8,0)</f>
        <v>0</v>
      </c>
      <c r="L543" s="198">
        <f>_xlfn.IFNA(IF(L$7="Fixed",1,IF(AND($D105="yes",L$7="Block"),INDEX($O747:$Q747,1,MATCH(L$5,$I70:$K70,0)),INDEX(Movements!$G747:$M747,1,MATCH(L$7,Movements!$G$716:$M$716,0))))
*L1188*L$8,0)</f>
        <v>0</v>
      </c>
      <c r="M543" s="198">
        <f>_xlfn.IFNA(IF(M$7="Fixed",1,IF(AND($D105="yes",M$7="Block"),INDEX($O747:$Q747,1,MATCH(M$5,$I70:$K70,0)),INDEX(Movements!$G747:$M747,1,MATCH(M$7,Movements!$G$716:$M$716,0))))
*M1188*M$8,0)</f>
        <v>0</v>
      </c>
      <c r="N543" s="198">
        <f>_xlfn.IFNA(IF(N$7="Fixed",1,IF(AND($D105="yes",N$7="Block"),INDEX($O747:$Q747,1,MATCH(N$5,$I70:$K70,0)),INDEX(Movements!$G747:$M747,1,MATCH(N$7,Movements!$G$716:$M$716,0))))
*N1188*N$8,0)</f>
        <v>0</v>
      </c>
      <c r="O543" s="198">
        <f>_xlfn.IFNA(IF(O$7="Fixed",1,IF(AND($D105="yes",O$7="Block"),INDEX($O747:$Q747,1,MATCH(O$5,$I70:$K70,0)),INDEX(Movements!$G747:$M747,1,MATCH(O$7,Movements!$G$716:$M$716,0))))
*O1188*O$8,0)</f>
        <v>0</v>
      </c>
      <c r="P543" s="198">
        <f>_xlfn.IFNA(IF(P$7="Fixed",1,IF(AND($D105="yes",P$7="Block"),INDEX($O747:$Q747,1,MATCH(P$5,$I70:$K70,0)),INDEX(Movements!$G747:$M747,1,MATCH(P$7,Movements!$G$716:$M$716,0))))
*P1188*P$8,0)</f>
        <v>0</v>
      </c>
      <c r="Q543" s="198">
        <f>_xlfn.IFNA(IF(Q$7="Fixed",1,IF(AND($D105="yes",Q$7="Block"),INDEX($O747:$Q747,1,MATCH(Q$5,$I70:$K70,0)),INDEX(Movements!$G747:$M747,1,MATCH(Q$7,Movements!$G$716:$M$716,0))))
*Q1188*Q$8,0)</f>
        <v>0</v>
      </c>
      <c r="R543" s="198">
        <f>_xlfn.IFNA(IF(R$7="Fixed",1,IF(AND($D105="yes",R$7="Block"),INDEX($O747:$Q747,1,MATCH(R$5,$I70:$K70,0)),INDEX(Movements!$G747:$M747,1,MATCH(R$7,Movements!$G$716:$M$716,0))))
*R1188*R$8,0)</f>
        <v>0</v>
      </c>
      <c r="S543" s="198">
        <f>_xlfn.IFNA(IF(S$7="Fixed",1,IF(AND($D105="yes",S$7="Block"),INDEX($O747:$Q747,1,MATCH(S$5,$I70:$K70,0)),INDEX(Movements!$G747:$M747,1,MATCH(S$7,Movements!$G$716:$M$716,0))))
*S1188*S$8,0)</f>
        <v>0</v>
      </c>
      <c r="T543" s="198">
        <f>_xlfn.IFNA(IF(T$7="Fixed",1,IF(AND($D105="yes",T$7="Block"),INDEX($O747:$Q747,1,MATCH(T$5,$I70:$K70,0)),INDEX(Movements!$G747:$M747,1,MATCH(T$7,Movements!$G$716:$M$716,0))))
*T1188*T$8,0)</f>
        <v>0</v>
      </c>
      <c r="U543" s="198">
        <f>_xlfn.IFNA(IF(U$7="Fixed",1,IF(AND($D105="yes",U$7="Block"),INDEX($O747:$Q747,1,MATCH(U$5,$I70:$K70,0)),INDEX(Movements!$G747:$M747,1,MATCH(U$7,Movements!$G$716:$M$716,0))))
*U1188*U$8,0)</f>
        <v>0</v>
      </c>
      <c r="V543" s="198">
        <f>_xlfn.IFNA(IF(V$7="Fixed",1,IF(AND($D105="yes",V$7="Block"),INDEX($O747:$Q747,1,MATCH(V$5,$I70:$K70,0)),INDEX(Movements!$G747:$M747,1,MATCH(V$7,Movements!$G$716:$M$716,0))))
*V1188*V$8,0)</f>
        <v>0</v>
      </c>
      <c r="W543" s="198">
        <f>_xlfn.IFNA(IF(W$7="Fixed",1,IF(AND($D105="yes",W$7="Block"),INDEX($O747:$Q747,1,MATCH(W$5,$I70:$K70,0)),INDEX(Movements!$G747:$M747,1,MATCH(W$7,Movements!$G$716:$M$716,0))))
*W1188*W$8,0)</f>
        <v>0</v>
      </c>
      <c r="X543" s="198">
        <f>_xlfn.IFNA(IF(X$7="Fixed",1,IF(AND($D105="yes",X$7="Block"),INDEX($O747:$Q747,1,MATCH(X$5,$I70:$K70,0)),INDEX(Movements!$G747:$M747,1,MATCH(X$7,Movements!$G$716:$M$716,0))))
*X1188*X$8,0)</f>
        <v>0</v>
      </c>
      <c r="Y543" s="198">
        <f>_xlfn.IFNA(IF(Y$7="Fixed",1,IF(AND($D105="yes",Y$7="Block"),INDEX($O747:$Q747,1,MATCH(Y$5,$I70:$K70,0)),INDEX(Movements!$G747:$M747,1,MATCH(Y$7,Movements!$G$716:$M$716,0))))
*Y1188*Y$8,0)</f>
        <v>0</v>
      </c>
      <c r="Z543" s="198">
        <f>_xlfn.IFNA(IF(Z$7="Fixed",1,IF(AND($D105="yes",Z$7="Block"),INDEX($O747:$Q747,1,MATCH(Z$5,$I70:$K70,0)),INDEX(Movements!$G747:$M747,1,MATCH(Z$7,Movements!$G$716:$M$716,0))))
*Z1188*Z$8,0)</f>
        <v>0</v>
      </c>
      <c r="AA543" s="198">
        <f>_xlfn.IFNA(IF(AA$7="Fixed",1,IF(AND($D105="yes",AA$7="Block"),INDEX($O747:$Q747,1,MATCH(AA$5,$I70:$K70,0)),INDEX(Movements!$G747:$M747,1,MATCH(AA$7,Movements!$G$716:$M$716,0))))
*AA1188*AA$8,0)</f>
        <v>0</v>
      </c>
      <c r="AB543" s="198">
        <f>_xlfn.IFNA(IF(AB$7="Fixed",1,IF(AND($D105="yes",AB$7="Block"),INDEX($O747:$Q747,1,MATCH(AB$5,$I70:$K70,0)),INDEX(Movements!$G747:$M747,1,MATCH(AB$7,Movements!$G$716:$M$716,0))))
*AB1188*AB$8,0)</f>
        <v>0</v>
      </c>
      <c r="AC543" s="70"/>
      <c r="AD543" s="19"/>
      <c r="AE543" s="19"/>
      <c r="AF543" s="19"/>
      <c r="AG543" s="19"/>
    </row>
    <row r="544" spans="1:33" hidden="1" outlineLevel="3" x14ac:dyDescent="0.2">
      <c r="A544" s="19"/>
      <c r="B544" s="98">
        <v>30</v>
      </c>
      <c r="C544" s="506">
        <f t="shared" si="125"/>
        <v>0</v>
      </c>
      <c r="D544" s="505">
        <f t="shared" si="125"/>
        <v>0</v>
      </c>
      <c r="E544" s="505">
        <f t="shared" si="125"/>
        <v>0</v>
      </c>
      <c r="F544" s="58"/>
      <c r="G544" s="199">
        <f t="shared" si="126"/>
        <v>0</v>
      </c>
      <c r="H544" s="58"/>
      <c r="I544" s="198">
        <f>_xlfn.IFNA(IF(I$7="Fixed",1,IF(AND($D106="yes",I$7="Block"),INDEX($O748:$Q748,1,MATCH(I$5,$I71:$K71,0)),INDEX(Movements!$G748:$M748,1,MATCH(I$7,Movements!$G$716:$M$716,0))))
*I1189*I$8,0)</f>
        <v>0</v>
      </c>
      <c r="J544" s="198">
        <f>_xlfn.IFNA(IF(J$7="Fixed",1,IF(AND($D106="yes",J$7="Block"),INDEX($O748:$Q748,1,MATCH(J$5,$I71:$K71,0)),INDEX(Movements!$G748:$M748,1,MATCH(J$7,Movements!$G$716:$M$716,0))))
*J1189*J$8,0)</f>
        <v>0</v>
      </c>
      <c r="K544" s="198">
        <f>_xlfn.IFNA(IF(K$7="Fixed",1,IF(AND($D106="yes",K$7="Block"),INDEX($O748:$Q748,1,MATCH(K$5,$I71:$K71,0)),INDEX(Movements!$G748:$M748,1,MATCH(K$7,Movements!$G$716:$M$716,0))))
*K1189*K$8,0)</f>
        <v>0</v>
      </c>
      <c r="L544" s="198">
        <f>_xlfn.IFNA(IF(L$7="Fixed",1,IF(AND($D106="yes",L$7="Block"),INDEX($O748:$Q748,1,MATCH(L$5,$I71:$K71,0)),INDEX(Movements!$G748:$M748,1,MATCH(L$7,Movements!$G$716:$M$716,0))))
*L1189*L$8,0)</f>
        <v>0</v>
      </c>
      <c r="M544" s="198">
        <f>_xlfn.IFNA(IF(M$7="Fixed",1,IF(AND($D106="yes",M$7="Block"),INDEX($O748:$Q748,1,MATCH(M$5,$I71:$K71,0)),INDEX(Movements!$G748:$M748,1,MATCH(M$7,Movements!$G$716:$M$716,0))))
*M1189*M$8,0)</f>
        <v>0</v>
      </c>
      <c r="N544" s="198">
        <f>_xlfn.IFNA(IF(N$7="Fixed",1,IF(AND($D106="yes",N$7="Block"),INDEX($O748:$Q748,1,MATCH(N$5,$I71:$K71,0)),INDEX(Movements!$G748:$M748,1,MATCH(N$7,Movements!$G$716:$M$716,0))))
*N1189*N$8,0)</f>
        <v>0</v>
      </c>
      <c r="O544" s="198">
        <f>_xlfn.IFNA(IF(O$7="Fixed",1,IF(AND($D106="yes",O$7="Block"),INDEX($O748:$Q748,1,MATCH(O$5,$I71:$K71,0)),INDEX(Movements!$G748:$M748,1,MATCH(O$7,Movements!$G$716:$M$716,0))))
*O1189*O$8,0)</f>
        <v>0</v>
      </c>
      <c r="P544" s="198">
        <f>_xlfn.IFNA(IF(P$7="Fixed",1,IF(AND($D106="yes",P$7="Block"),INDEX($O748:$Q748,1,MATCH(P$5,$I71:$K71,0)),INDEX(Movements!$G748:$M748,1,MATCH(P$7,Movements!$G$716:$M$716,0))))
*P1189*P$8,0)</f>
        <v>0</v>
      </c>
      <c r="Q544" s="198">
        <f>_xlfn.IFNA(IF(Q$7="Fixed",1,IF(AND($D106="yes",Q$7="Block"),INDEX($O748:$Q748,1,MATCH(Q$5,$I71:$K71,0)),INDEX(Movements!$G748:$M748,1,MATCH(Q$7,Movements!$G$716:$M$716,0))))
*Q1189*Q$8,0)</f>
        <v>0</v>
      </c>
      <c r="R544" s="198">
        <f>_xlfn.IFNA(IF(R$7="Fixed",1,IF(AND($D106="yes",R$7="Block"),INDEX($O748:$Q748,1,MATCH(R$5,$I71:$K71,0)),INDEX(Movements!$G748:$M748,1,MATCH(R$7,Movements!$G$716:$M$716,0))))
*R1189*R$8,0)</f>
        <v>0</v>
      </c>
      <c r="S544" s="198">
        <f>_xlfn.IFNA(IF(S$7="Fixed",1,IF(AND($D106="yes",S$7="Block"),INDEX($O748:$Q748,1,MATCH(S$5,$I71:$K71,0)),INDEX(Movements!$G748:$M748,1,MATCH(S$7,Movements!$G$716:$M$716,0))))
*S1189*S$8,0)</f>
        <v>0</v>
      </c>
      <c r="T544" s="198">
        <f>_xlfn.IFNA(IF(T$7="Fixed",1,IF(AND($D106="yes",T$7="Block"),INDEX($O748:$Q748,1,MATCH(T$5,$I71:$K71,0)),INDEX(Movements!$G748:$M748,1,MATCH(T$7,Movements!$G$716:$M$716,0))))
*T1189*T$8,0)</f>
        <v>0</v>
      </c>
      <c r="U544" s="198">
        <f>_xlfn.IFNA(IF(U$7="Fixed",1,IF(AND($D106="yes",U$7="Block"),INDEX($O748:$Q748,1,MATCH(U$5,$I71:$K71,0)),INDEX(Movements!$G748:$M748,1,MATCH(U$7,Movements!$G$716:$M$716,0))))
*U1189*U$8,0)</f>
        <v>0</v>
      </c>
      <c r="V544" s="198">
        <f>_xlfn.IFNA(IF(V$7="Fixed",1,IF(AND($D106="yes",V$7="Block"),INDEX($O748:$Q748,1,MATCH(V$5,$I71:$K71,0)),INDEX(Movements!$G748:$M748,1,MATCH(V$7,Movements!$G$716:$M$716,0))))
*V1189*V$8,0)</f>
        <v>0</v>
      </c>
      <c r="W544" s="198">
        <f>_xlfn.IFNA(IF(W$7="Fixed",1,IF(AND($D106="yes",W$7="Block"),INDEX($O748:$Q748,1,MATCH(W$5,$I71:$K71,0)),INDEX(Movements!$G748:$M748,1,MATCH(W$7,Movements!$G$716:$M$716,0))))
*W1189*W$8,0)</f>
        <v>0</v>
      </c>
      <c r="X544" s="198">
        <f>_xlfn.IFNA(IF(X$7="Fixed",1,IF(AND($D106="yes",X$7="Block"),INDEX($O748:$Q748,1,MATCH(X$5,$I71:$K71,0)),INDEX(Movements!$G748:$M748,1,MATCH(X$7,Movements!$G$716:$M$716,0))))
*X1189*X$8,0)</f>
        <v>0</v>
      </c>
      <c r="Y544" s="198">
        <f>_xlfn.IFNA(IF(Y$7="Fixed",1,IF(AND($D106="yes",Y$7="Block"),INDEX($O748:$Q748,1,MATCH(Y$5,$I71:$K71,0)),INDEX(Movements!$G748:$M748,1,MATCH(Y$7,Movements!$G$716:$M$716,0))))
*Y1189*Y$8,0)</f>
        <v>0</v>
      </c>
      <c r="Z544" s="198">
        <f>_xlfn.IFNA(IF(Z$7="Fixed",1,IF(AND($D106="yes",Z$7="Block"),INDEX($O748:$Q748,1,MATCH(Z$5,$I71:$K71,0)),INDEX(Movements!$G748:$M748,1,MATCH(Z$7,Movements!$G$716:$M$716,0))))
*Z1189*Z$8,0)</f>
        <v>0</v>
      </c>
      <c r="AA544" s="198">
        <f>_xlfn.IFNA(IF(AA$7="Fixed",1,IF(AND($D106="yes",AA$7="Block"),INDEX($O748:$Q748,1,MATCH(AA$5,$I71:$K71,0)),INDEX(Movements!$G748:$M748,1,MATCH(AA$7,Movements!$G$716:$M$716,0))))
*AA1189*AA$8,0)</f>
        <v>0</v>
      </c>
      <c r="AB544" s="198">
        <f>_xlfn.IFNA(IF(AB$7="Fixed",1,IF(AND($D106="yes",AB$7="Block"),INDEX($O748:$Q748,1,MATCH(AB$5,$I71:$K71,0)),INDEX(Movements!$G748:$M748,1,MATCH(AB$7,Movements!$G$716:$M$716,0))))
*AB1189*AB$8,0)</f>
        <v>0</v>
      </c>
      <c r="AC544" s="70"/>
      <c r="AD544" s="19"/>
      <c r="AE544" s="19"/>
      <c r="AF544" s="19"/>
      <c r="AG544" s="19"/>
    </row>
    <row r="545" spans="1:33" outlineLevel="2" collapsed="1" x14ac:dyDescent="0.2">
      <c r="A545" s="19"/>
      <c r="B545" s="19"/>
      <c r="C545" s="560"/>
      <c r="D545" s="558"/>
      <c r="E545" s="559"/>
      <c r="F545" s="58"/>
      <c r="G545" s="58"/>
      <c r="H545" s="58"/>
      <c r="I545" s="137"/>
      <c r="J545" s="137"/>
      <c r="K545" s="138"/>
      <c r="L545" s="138"/>
      <c r="M545" s="138"/>
      <c r="N545" s="139"/>
      <c r="O545" s="139"/>
      <c r="P545" s="139"/>
      <c r="Q545" s="139"/>
      <c r="R545" s="139"/>
      <c r="S545" s="138"/>
      <c r="T545" s="138"/>
      <c r="U545" s="138"/>
      <c r="V545" s="70"/>
      <c r="W545" s="70"/>
      <c r="X545" s="70"/>
      <c r="Y545" s="70"/>
      <c r="Z545" s="70"/>
      <c r="AA545" s="70"/>
      <c r="AB545" s="70"/>
      <c r="AC545" s="70"/>
      <c r="AD545" s="19"/>
      <c r="AE545" s="19"/>
      <c r="AF545" s="19"/>
      <c r="AG545" s="19"/>
    </row>
    <row r="546" spans="1:33" outlineLevel="1" x14ac:dyDescent="0.2">
      <c r="A546" s="19"/>
      <c r="B546" s="19"/>
      <c r="C546" s="217"/>
      <c r="D546" s="217"/>
      <c r="E546" s="536"/>
      <c r="F546" s="58"/>
      <c r="G546" s="58"/>
      <c r="H546" s="58"/>
      <c r="I546" s="137"/>
      <c r="J546" s="137"/>
      <c r="K546" s="138"/>
      <c r="L546" s="138"/>
      <c r="M546" s="138"/>
      <c r="N546" s="139"/>
      <c r="O546" s="139"/>
      <c r="P546" s="139"/>
      <c r="Q546" s="139"/>
      <c r="R546" s="139"/>
      <c r="S546" s="138"/>
      <c r="T546" s="138"/>
      <c r="U546" s="138"/>
      <c r="V546" s="70"/>
      <c r="W546" s="70"/>
      <c r="X546" s="70"/>
      <c r="Y546" s="70"/>
      <c r="Z546" s="70"/>
      <c r="AA546" s="70"/>
      <c r="AB546" s="70"/>
      <c r="AC546" s="70"/>
      <c r="AD546" s="19"/>
      <c r="AE546" s="19"/>
      <c r="AF546" s="19"/>
      <c r="AG546" s="19"/>
    </row>
    <row r="547" spans="1:33" outlineLevel="1" x14ac:dyDescent="0.2">
      <c r="A547" s="19"/>
      <c r="B547" s="19"/>
      <c r="C547" s="167" t="str">
        <f>C412</f>
        <v>JSA</v>
      </c>
      <c r="D547" s="167"/>
      <c r="E547" s="512"/>
      <c r="F547" s="20"/>
      <c r="G547" s="22"/>
      <c r="H547" s="22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70"/>
      <c r="W547" s="70"/>
      <c r="X547" s="70"/>
      <c r="Y547" s="70"/>
      <c r="Z547" s="70"/>
      <c r="AA547" s="70"/>
      <c r="AB547" s="70"/>
      <c r="AC547" s="70"/>
      <c r="AD547" s="19"/>
      <c r="AE547" s="19"/>
      <c r="AF547" s="19"/>
      <c r="AG547" s="19"/>
    </row>
    <row r="548" spans="1:33" hidden="1" outlineLevel="2" x14ac:dyDescent="0.2">
      <c r="A548" s="19"/>
      <c r="B548" s="19"/>
      <c r="C548" s="506" t="str">
        <f t="shared" ref="C548:E577" si="127">C482</f>
        <v>Small business time of use consumption</v>
      </c>
      <c r="D548" s="505">
        <f t="shared" si="127"/>
        <v>0</v>
      </c>
      <c r="E548" s="505" t="str">
        <f t="shared" si="127"/>
        <v>yes</v>
      </c>
      <c r="F548" s="20"/>
      <c r="G548" s="199">
        <f t="shared" ref="G548:G577" si="128">SUM(I548:AB548)</f>
        <v>0</v>
      </c>
      <c r="H548" s="22"/>
      <c r="I548" s="198">
        <f>_xlfn.IFNA(IF(I$7="Fixed",1,IF(AND($D77="yes",I$7="Block"),INDEX($O719:$Q719,1,MATCH(I$5,$I42:$K42,0)),INDEX(Movements!$G719:$M719,1,MATCH(I$7,Movements!$G$716:$M$716,0))))
*I1193*I$8,0)</f>
        <v>0</v>
      </c>
      <c r="J548" s="198">
        <f>_xlfn.IFNA(IF(J$7="Fixed",1,IF(AND($D77="yes",J$7="Block"),INDEX($O719:$Q719,1,MATCH(J$5,$I42:$K42,0)),INDEX(Movements!$G719:$M719,1,MATCH(J$7,Movements!$G$716:$M$716,0))))
*J1193*J$8,0)</f>
        <v>0</v>
      </c>
      <c r="K548" s="198">
        <f>_xlfn.IFNA(IF(K$7="Fixed",1,IF(AND($D77="yes",K$7="Block"),INDEX($O719:$Q719,1,MATCH(K$5,$I42:$K42,0)),INDEX(Movements!$G719:$M719,1,MATCH(K$7,Movements!$G$716:$M$716,0))))
*K1193*K$8,0)</f>
        <v>0</v>
      </c>
      <c r="L548" s="198">
        <f>_xlfn.IFNA(IF(L$7="Fixed",1,IF(AND($D77="yes",L$7="Block"),INDEX($O719:$Q719,1,MATCH(L$5,$I42:$K42,0)),INDEX(Movements!$G719:$M719,1,MATCH(L$7,Movements!$G$716:$M$716,0))))
*L1193*L$8,0)</f>
        <v>0</v>
      </c>
      <c r="M548" s="198">
        <f>_xlfn.IFNA(IF(M$7="Fixed",1,IF(AND($D77="yes",M$7="Block"),INDEX($O719:$Q719,1,MATCH(M$5,$I42:$K42,0)),INDEX(Movements!$G719:$M719,1,MATCH(M$7,Movements!$G$716:$M$716,0))))
*M1193*M$8,0)</f>
        <v>0</v>
      </c>
      <c r="N548" s="198">
        <f>_xlfn.IFNA(IF(N$7="Fixed",1,IF(AND($D77="yes",N$7="Block"),INDEX($O719:$Q719,1,MATCH(N$5,$I42:$K42,0)),INDEX(Movements!$G719:$M719,1,MATCH(N$7,Movements!$G$716:$M$716,0))))
*N1193*N$8,0)</f>
        <v>0</v>
      </c>
      <c r="O548" s="198">
        <f>_xlfn.IFNA(IF(O$7="Fixed",1,IF(AND($D77="yes",O$7="Block"),INDEX($O719:$Q719,1,MATCH(O$5,$I42:$K42,0)),INDEX(Movements!$G719:$M719,1,MATCH(O$7,Movements!$G$716:$M$716,0))))
*O1193*O$8,0)</f>
        <v>0</v>
      </c>
      <c r="P548" s="198">
        <f>_xlfn.IFNA(IF(P$7="Fixed",1,IF(AND($D77="yes",P$7="Block"),INDEX($O719:$Q719,1,MATCH(P$5,$I42:$K42,0)),INDEX(Movements!$G719:$M719,1,MATCH(P$7,Movements!$G$716:$M$716,0))))
*P1193*P$8,0)</f>
        <v>0</v>
      </c>
      <c r="Q548" s="198">
        <f>_xlfn.IFNA(IF(Q$7="Fixed",1,IF(AND($D77="yes",Q$7="Block"),INDEX($O719:$Q719,1,MATCH(Q$5,$I42:$K42,0)),INDEX(Movements!$G719:$M719,1,MATCH(Q$7,Movements!$G$716:$M$716,0))))
*Q1193*Q$8,0)</f>
        <v>0</v>
      </c>
      <c r="R548" s="198">
        <f>_xlfn.IFNA(IF(R$7="Fixed",1,IF(AND($D77="yes",R$7="Block"),INDEX($O719:$Q719,1,MATCH(R$5,$I42:$K42,0)),INDEX(Movements!$G719:$M719,1,MATCH(R$7,Movements!$G$716:$M$716,0))))
*R1193*R$8,0)</f>
        <v>0</v>
      </c>
      <c r="S548" s="198">
        <f>_xlfn.IFNA(IF(S$7="Fixed",1,IF(AND($D77="yes",S$7="Block"),INDEX($O719:$Q719,1,MATCH(S$5,$I42:$K42,0)),INDEX(Movements!$G719:$M719,1,MATCH(S$7,Movements!$G$716:$M$716,0))))
*S1193*S$8,0)</f>
        <v>0</v>
      </c>
      <c r="T548" s="198">
        <f>_xlfn.IFNA(IF(T$7="Fixed",1,IF(AND($D77="yes",T$7="Block"),INDEX($O719:$Q719,1,MATCH(T$5,$I42:$K42,0)),INDEX(Movements!$G719:$M719,1,MATCH(T$7,Movements!$G$716:$M$716,0))))
*T1193*T$8,0)</f>
        <v>0</v>
      </c>
      <c r="U548" s="198">
        <f>_xlfn.IFNA(IF(U$7="Fixed",1,IF(AND($D77="yes",U$7="Block"),INDEX($O719:$Q719,1,MATCH(U$5,$I42:$K42,0)),INDEX(Movements!$G719:$M719,1,MATCH(U$7,Movements!$G$716:$M$716,0))))
*U1193*U$8,0)</f>
        <v>0</v>
      </c>
      <c r="V548" s="198">
        <f>_xlfn.IFNA(IF(V$7="Fixed",1,IF(AND($D77="yes",V$7="Block"),INDEX($O719:$Q719,1,MATCH(V$5,$I42:$K42,0)),INDEX(Movements!$G719:$M719,1,MATCH(V$7,Movements!$G$716:$M$716,0))))
*V1193*V$8,0)</f>
        <v>0</v>
      </c>
      <c r="W548" s="198">
        <f>_xlfn.IFNA(IF(W$7="Fixed",1,IF(AND($D77="yes",W$7="Block"),INDEX($O719:$Q719,1,MATCH(W$5,$I42:$K42,0)),INDEX(Movements!$G719:$M719,1,MATCH(W$7,Movements!$G$716:$M$716,0))))
*W1193*W$8,0)</f>
        <v>0</v>
      </c>
      <c r="X548" s="198">
        <f>_xlfn.IFNA(IF(X$7="Fixed",1,IF(AND($D77="yes",X$7="Block"),INDEX($O719:$Q719,1,MATCH(X$5,$I42:$K42,0)),INDEX(Movements!$G719:$M719,1,MATCH(X$7,Movements!$G$716:$M$716,0))))
*X1193*X$8,0)</f>
        <v>0</v>
      </c>
      <c r="Y548" s="198">
        <f>_xlfn.IFNA(IF(Y$7="Fixed",1,IF(AND($D77="yes",Y$7="Block"),INDEX($O719:$Q719,1,MATCH(Y$5,$I42:$K42,0)),INDEX(Movements!$G719:$M719,1,MATCH(Y$7,Movements!$G$716:$M$716,0))))
*Y1193*Y$8,0)</f>
        <v>0</v>
      </c>
      <c r="Z548" s="198">
        <f>_xlfn.IFNA(IF(Z$7="Fixed",1,IF(AND($D77="yes",Z$7="Block"),INDEX($O719:$Q719,1,MATCH(Z$5,$I42:$K42,0)),INDEX(Movements!$G719:$M719,1,MATCH(Z$7,Movements!$G$716:$M$716,0))))
*Z1193*Z$8,0)</f>
        <v>0</v>
      </c>
      <c r="AA548" s="198">
        <f>_xlfn.IFNA(IF(AA$7="Fixed",1,IF(AND($D77="yes",AA$7="Block"),INDEX($O719:$Q719,1,MATCH(AA$5,$I42:$K42,0)),INDEX(Movements!$G719:$M719,1,MATCH(AA$7,Movements!$G$716:$M$716,0))))
*AA1193*AA$8,0)</f>
        <v>0</v>
      </c>
      <c r="AB548" s="198">
        <f>_xlfn.IFNA(IF(AB$7="Fixed",1,IF(AND($D77="yes",AB$7="Block"),INDEX($O719:$Q719,1,MATCH(AB$5,$I42:$K42,0)),INDEX(Movements!$G719:$M719,1,MATCH(AB$7,Movements!$G$716:$M$716,0))))
*AB1193*AB$8,0)</f>
        <v>0</v>
      </c>
      <c r="AC548" s="70"/>
      <c r="AD548" s="19"/>
      <c r="AE548" s="19"/>
      <c r="AF548" s="19"/>
      <c r="AG548" s="19"/>
    </row>
    <row r="549" spans="1:33" s="59" customFormat="1" hidden="1" outlineLevel="2" x14ac:dyDescent="0.2">
      <c r="A549" s="57"/>
      <c r="B549" s="57"/>
      <c r="C549" s="506" t="str">
        <f t="shared" si="127"/>
        <v>Small business general light and power</v>
      </c>
      <c r="D549" s="505">
        <f t="shared" si="127"/>
        <v>0</v>
      </c>
      <c r="E549" s="505" t="str">
        <f t="shared" si="127"/>
        <v>no</v>
      </c>
      <c r="F549" s="58"/>
      <c r="G549" s="199">
        <f t="shared" si="128"/>
        <v>0</v>
      </c>
      <c r="H549" s="58"/>
      <c r="I549" s="198">
        <f>_xlfn.IFNA(IF(I$7="Fixed",1,IF(AND($D78="yes",I$7="Block"),INDEX($O720:$Q720,1,MATCH(I$5,$I43:$K43,0)),INDEX(Movements!$G720:$M720,1,MATCH(I$7,Movements!$G$716:$M$716,0))))
*I1194*I$8,0)</f>
        <v>0</v>
      </c>
      <c r="J549" s="198">
        <f>_xlfn.IFNA(IF(J$7="Fixed",1,IF(AND($D78="yes",J$7="Block"),INDEX($O720:$Q720,1,MATCH(J$5,$I43:$K43,0)),INDEX(Movements!$G720:$M720,1,MATCH(J$7,Movements!$G$716:$M$716,0))))
*J1194*J$8,0)</f>
        <v>0</v>
      </c>
      <c r="K549" s="198">
        <f>_xlfn.IFNA(IF(K$7="Fixed",1,IF(AND($D78="yes",K$7="Block"),INDEX($O720:$Q720,1,MATCH(K$5,$I43:$K43,0)),INDEX(Movements!$G720:$M720,1,MATCH(K$7,Movements!$G$716:$M$716,0))))
*K1194*K$8,0)</f>
        <v>0</v>
      </c>
      <c r="L549" s="198">
        <f>_xlfn.IFNA(IF(L$7="Fixed",1,IF(AND($D78="yes",L$7="Block"),INDEX($O720:$Q720,1,MATCH(L$5,$I43:$K43,0)),INDEX(Movements!$G720:$M720,1,MATCH(L$7,Movements!$G$716:$M$716,0))))
*L1194*L$8,0)</f>
        <v>0</v>
      </c>
      <c r="M549" s="198">
        <f>_xlfn.IFNA(IF(M$7="Fixed",1,IF(AND($D78="yes",M$7="Block"),INDEX($O720:$Q720,1,MATCH(M$5,$I43:$K43,0)),INDEX(Movements!$G720:$M720,1,MATCH(M$7,Movements!$G$716:$M$716,0))))
*M1194*M$8,0)</f>
        <v>0</v>
      </c>
      <c r="N549" s="198">
        <f>_xlfn.IFNA(IF(N$7="Fixed",1,IF(AND($D78="yes",N$7="Block"),INDEX($O720:$Q720,1,MATCH(N$5,$I43:$K43,0)),INDEX(Movements!$G720:$M720,1,MATCH(N$7,Movements!$G$716:$M$716,0))))
*N1194*N$8,0)</f>
        <v>0</v>
      </c>
      <c r="O549" s="198">
        <f>_xlfn.IFNA(IF(O$7="Fixed",1,IF(AND($D78="yes",O$7="Block"),INDEX($O720:$Q720,1,MATCH(O$5,$I43:$K43,0)),INDEX(Movements!$G720:$M720,1,MATCH(O$7,Movements!$G$716:$M$716,0))))
*O1194*O$8,0)</f>
        <v>0</v>
      </c>
      <c r="P549" s="198">
        <f>_xlfn.IFNA(IF(P$7="Fixed",1,IF(AND($D78="yes",P$7="Block"),INDEX($O720:$Q720,1,MATCH(P$5,$I43:$K43,0)),INDEX(Movements!$G720:$M720,1,MATCH(P$7,Movements!$G$716:$M$716,0))))
*P1194*P$8,0)</f>
        <v>0</v>
      </c>
      <c r="Q549" s="198">
        <f>_xlfn.IFNA(IF(Q$7="Fixed",1,IF(AND($D78="yes",Q$7="Block"),INDEX($O720:$Q720,1,MATCH(Q$5,$I43:$K43,0)),INDEX(Movements!$G720:$M720,1,MATCH(Q$7,Movements!$G$716:$M$716,0))))
*Q1194*Q$8,0)</f>
        <v>0</v>
      </c>
      <c r="R549" s="198">
        <f>_xlfn.IFNA(IF(R$7="Fixed",1,IF(AND($D78="yes",R$7="Block"),INDEX($O720:$Q720,1,MATCH(R$5,$I43:$K43,0)),INDEX(Movements!$G720:$M720,1,MATCH(R$7,Movements!$G$716:$M$716,0))))
*R1194*R$8,0)</f>
        <v>0</v>
      </c>
      <c r="S549" s="198">
        <f>_xlfn.IFNA(IF(S$7="Fixed",1,IF(AND($D78="yes",S$7="Block"),INDEX($O720:$Q720,1,MATCH(S$5,$I43:$K43,0)),INDEX(Movements!$G720:$M720,1,MATCH(S$7,Movements!$G$716:$M$716,0))))
*S1194*S$8,0)</f>
        <v>0</v>
      </c>
      <c r="T549" s="198">
        <f>_xlfn.IFNA(IF(T$7="Fixed",1,IF(AND($D78="yes",T$7="Block"),INDEX($O720:$Q720,1,MATCH(T$5,$I43:$K43,0)),INDEX(Movements!$G720:$M720,1,MATCH(T$7,Movements!$G$716:$M$716,0))))
*T1194*T$8,0)</f>
        <v>0</v>
      </c>
      <c r="U549" s="198">
        <f>_xlfn.IFNA(IF(U$7="Fixed",1,IF(AND($D78="yes",U$7="Block"),INDEX($O720:$Q720,1,MATCH(U$5,$I43:$K43,0)),INDEX(Movements!$G720:$M720,1,MATCH(U$7,Movements!$G$716:$M$716,0))))
*U1194*U$8,0)</f>
        <v>0</v>
      </c>
      <c r="V549" s="198">
        <f>_xlfn.IFNA(IF(V$7="Fixed",1,IF(AND($D78="yes",V$7="Block"),INDEX($O720:$Q720,1,MATCH(V$5,$I43:$K43,0)),INDEX(Movements!$G720:$M720,1,MATCH(V$7,Movements!$G$716:$M$716,0))))
*V1194*V$8,0)</f>
        <v>0</v>
      </c>
      <c r="W549" s="198">
        <f>_xlfn.IFNA(IF(W$7="Fixed",1,IF(AND($D78="yes",W$7="Block"),INDEX($O720:$Q720,1,MATCH(W$5,$I43:$K43,0)),INDEX(Movements!$G720:$M720,1,MATCH(W$7,Movements!$G$716:$M$716,0))))
*W1194*W$8,0)</f>
        <v>0</v>
      </c>
      <c r="X549" s="198">
        <f>_xlfn.IFNA(IF(X$7="Fixed",1,IF(AND($D78="yes",X$7="Block"),INDEX($O720:$Q720,1,MATCH(X$5,$I43:$K43,0)),INDEX(Movements!$G720:$M720,1,MATCH(X$7,Movements!$G$716:$M$716,0))))
*X1194*X$8,0)</f>
        <v>0</v>
      </c>
      <c r="Y549" s="198">
        <f>_xlfn.IFNA(IF(Y$7="Fixed",1,IF(AND($D78="yes",Y$7="Block"),INDEX($O720:$Q720,1,MATCH(Y$5,$I43:$K43,0)),INDEX(Movements!$G720:$M720,1,MATCH(Y$7,Movements!$G$716:$M$716,0))))
*Y1194*Y$8,0)</f>
        <v>0</v>
      </c>
      <c r="Z549" s="198">
        <f>_xlfn.IFNA(IF(Z$7="Fixed",1,IF(AND($D78="yes",Z$7="Block"),INDEX($O720:$Q720,1,MATCH(Z$5,$I43:$K43,0)),INDEX(Movements!$G720:$M720,1,MATCH(Z$7,Movements!$G$716:$M$716,0))))
*Z1194*Z$8,0)</f>
        <v>0</v>
      </c>
      <c r="AA549" s="198">
        <f>_xlfn.IFNA(IF(AA$7="Fixed",1,IF(AND($D78="yes",AA$7="Block"),INDEX($O720:$Q720,1,MATCH(AA$5,$I43:$K43,0)),INDEX(Movements!$G720:$M720,1,MATCH(AA$7,Movements!$G$716:$M$716,0))))
*AA1194*AA$8,0)</f>
        <v>0</v>
      </c>
      <c r="AB549" s="198">
        <f>_xlfn.IFNA(IF(AB$7="Fixed",1,IF(AND($D78="yes",AB$7="Block"),INDEX($O720:$Q720,1,MATCH(AB$5,$I43:$K43,0)),INDEX(Movements!$G720:$M720,1,MATCH(AB$7,Movements!$G$716:$M$716,0))))
*AB1194*AB$8,0)</f>
        <v>0</v>
      </c>
      <c r="AC549" s="70"/>
      <c r="AD549" s="57"/>
      <c r="AE549" s="57"/>
      <c r="AF549" s="57"/>
      <c r="AG549" s="57"/>
    </row>
    <row r="550" spans="1:33" hidden="1" outlineLevel="2" x14ac:dyDescent="0.2">
      <c r="A550" s="19"/>
      <c r="B550" s="19"/>
      <c r="C550" s="506">
        <f t="shared" si="127"/>
        <v>0</v>
      </c>
      <c r="D550" s="505">
        <f t="shared" si="127"/>
        <v>0</v>
      </c>
      <c r="E550" s="505">
        <f t="shared" si="127"/>
        <v>0</v>
      </c>
      <c r="F550" s="58"/>
      <c r="G550" s="199">
        <f t="shared" si="128"/>
        <v>0</v>
      </c>
      <c r="H550" s="58"/>
      <c r="I550" s="198">
        <f>_xlfn.IFNA(IF(I$7="Fixed",1,IF(AND($D79="yes",I$7="Block"),INDEX($O721:$Q721,1,MATCH(I$5,$I44:$K44,0)),INDEX(Movements!$G721:$M721,1,MATCH(I$7,Movements!$G$716:$M$716,0))))
*I1195*I$8,0)</f>
        <v>0</v>
      </c>
      <c r="J550" s="198">
        <f>_xlfn.IFNA(IF(J$7="Fixed",1,IF(AND($D79="yes",J$7="Block"),INDEX($O721:$Q721,1,MATCH(J$5,$I44:$K44,0)),INDEX(Movements!$G721:$M721,1,MATCH(J$7,Movements!$G$716:$M$716,0))))
*J1195*J$8,0)</f>
        <v>0</v>
      </c>
      <c r="K550" s="198">
        <f>_xlfn.IFNA(IF(K$7="Fixed",1,IF(AND($D79="yes",K$7="Block"),INDEX($O721:$Q721,1,MATCH(K$5,$I44:$K44,0)),INDEX(Movements!$G721:$M721,1,MATCH(K$7,Movements!$G$716:$M$716,0))))
*K1195*K$8,0)</f>
        <v>0</v>
      </c>
      <c r="L550" s="198">
        <f>_xlfn.IFNA(IF(L$7="Fixed",1,IF(AND($D79="yes",L$7="Block"),INDEX($O721:$Q721,1,MATCH(L$5,$I44:$K44,0)),INDEX(Movements!$G721:$M721,1,MATCH(L$7,Movements!$G$716:$M$716,0))))
*L1195*L$8,0)</f>
        <v>0</v>
      </c>
      <c r="M550" s="198">
        <f>_xlfn.IFNA(IF(M$7="Fixed",1,IF(AND($D79="yes",M$7="Block"),INDEX($O721:$Q721,1,MATCH(M$5,$I44:$K44,0)),INDEX(Movements!$G721:$M721,1,MATCH(M$7,Movements!$G$716:$M$716,0))))
*M1195*M$8,0)</f>
        <v>0</v>
      </c>
      <c r="N550" s="198">
        <f>_xlfn.IFNA(IF(N$7="Fixed",1,IF(AND($D79="yes",N$7="Block"),INDEX($O721:$Q721,1,MATCH(N$5,$I44:$K44,0)),INDEX(Movements!$G721:$M721,1,MATCH(N$7,Movements!$G$716:$M$716,0))))
*N1195*N$8,0)</f>
        <v>0</v>
      </c>
      <c r="O550" s="198">
        <f>_xlfn.IFNA(IF(O$7="Fixed",1,IF(AND($D79="yes",O$7="Block"),INDEX($O721:$Q721,1,MATCH(O$5,$I44:$K44,0)),INDEX(Movements!$G721:$M721,1,MATCH(O$7,Movements!$G$716:$M$716,0))))
*O1195*O$8,0)</f>
        <v>0</v>
      </c>
      <c r="P550" s="198">
        <f>_xlfn.IFNA(IF(P$7="Fixed",1,IF(AND($D79="yes",P$7="Block"),INDEX($O721:$Q721,1,MATCH(P$5,$I44:$K44,0)),INDEX(Movements!$G721:$M721,1,MATCH(P$7,Movements!$G$716:$M$716,0))))
*P1195*P$8,0)</f>
        <v>0</v>
      </c>
      <c r="Q550" s="198">
        <f>_xlfn.IFNA(IF(Q$7="Fixed",1,IF(AND($D79="yes",Q$7="Block"),INDEX($O721:$Q721,1,MATCH(Q$5,$I44:$K44,0)),INDEX(Movements!$G721:$M721,1,MATCH(Q$7,Movements!$G$716:$M$716,0))))
*Q1195*Q$8,0)</f>
        <v>0</v>
      </c>
      <c r="R550" s="198">
        <f>_xlfn.IFNA(IF(R$7="Fixed",1,IF(AND($D79="yes",R$7="Block"),INDEX($O721:$Q721,1,MATCH(R$5,$I44:$K44,0)),INDEX(Movements!$G721:$M721,1,MATCH(R$7,Movements!$G$716:$M$716,0))))
*R1195*R$8,0)</f>
        <v>0</v>
      </c>
      <c r="S550" s="198">
        <f>_xlfn.IFNA(IF(S$7="Fixed",1,IF(AND($D79="yes",S$7="Block"),INDEX($O721:$Q721,1,MATCH(S$5,$I44:$K44,0)),INDEX(Movements!$G721:$M721,1,MATCH(S$7,Movements!$G$716:$M$716,0))))
*S1195*S$8,0)</f>
        <v>0</v>
      </c>
      <c r="T550" s="198">
        <f>_xlfn.IFNA(IF(T$7="Fixed",1,IF(AND($D79="yes",T$7="Block"),INDEX($O721:$Q721,1,MATCH(T$5,$I44:$K44,0)),INDEX(Movements!$G721:$M721,1,MATCH(T$7,Movements!$G$716:$M$716,0))))
*T1195*T$8,0)</f>
        <v>0</v>
      </c>
      <c r="U550" s="198">
        <f>_xlfn.IFNA(IF(U$7="Fixed",1,IF(AND($D79="yes",U$7="Block"),INDEX($O721:$Q721,1,MATCH(U$5,$I44:$K44,0)),INDEX(Movements!$G721:$M721,1,MATCH(U$7,Movements!$G$716:$M$716,0))))
*U1195*U$8,0)</f>
        <v>0</v>
      </c>
      <c r="V550" s="198">
        <f>_xlfn.IFNA(IF(V$7="Fixed",1,IF(AND($D79="yes",V$7="Block"),INDEX($O721:$Q721,1,MATCH(V$5,$I44:$K44,0)),INDEX(Movements!$G721:$M721,1,MATCH(V$7,Movements!$G$716:$M$716,0))))
*V1195*V$8,0)</f>
        <v>0</v>
      </c>
      <c r="W550" s="198">
        <f>_xlfn.IFNA(IF(W$7="Fixed",1,IF(AND($D79="yes",W$7="Block"),INDEX($O721:$Q721,1,MATCH(W$5,$I44:$K44,0)),INDEX(Movements!$G721:$M721,1,MATCH(W$7,Movements!$G$716:$M$716,0))))
*W1195*W$8,0)</f>
        <v>0</v>
      </c>
      <c r="X550" s="198">
        <f>_xlfn.IFNA(IF(X$7="Fixed",1,IF(AND($D79="yes",X$7="Block"),INDEX($O721:$Q721,1,MATCH(X$5,$I44:$K44,0)),INDEX(Movements!$G721:$M721,1,MATCH(X$7,Movements!$G$716:$M$716,0))))
*X1195*X$8,0)</f>
        <v>0</v>
      </c>
      <c r="Y550" s="198">
        <f>_xlfn.IFNA(IF(Y$7="Fixed",1,IF(AND($D79="yes",Y$7="Block"),INDEX($O721:$Q721,1,MATCH(Y$5,$I44:$K44,0)),INDEX(Movements!$G721:$M721,1,MATCH(Y$7,Movements!$G$716:$M$716,0))))
*Y1195*Y$8,0)</f>
        <v>0</v>
      </c>
      <c r="Z550" s="198">
        <f>_xlfn.IFNA(IF(Z$7="Fixed",1,IF(AND($D79="yes",Z$7="Block"),INDEX($O721:$Q721,1,MATCH(Z$5,$I44:$K44,0)),INDEX(Movements!$G721:$M721,1,MATCH(Z$7,Movements!$G$716:$M$716,0))))
*Z1195*Z$8,0)</f>
        <v>0</v>
      </c>
      <c r="AA550" s="198">
        <f>_xlfn.IFNA(IF(AA$7="Fixed",1,IF(AND($D79="yes",AA$7="Block"),INDEX($O721:$Q721,1,MATCH(AA$5,$I44:$K44,0)),INDEX(Movements!$G721:$M721,1,MATCH(AA$7,Movements!$G$716:$M$716,0))))
*AA1195*AA$8,0)</f>
        <v>0</v>
      </c>
      <c r="AB550" s="198">
        <f>_xlfn.IFNA(IF(AB$7="Fixed",1,IF(AND($D79="yes",AB$7="Block"),INDEX($O721:$Q721,1,MATCH(AB$5,$I44:$K44,0)),INDEX(Movements!$G721:$M721,1,MATCH(AB$7,Movements!$G$716:$M$716,0))))
*AB1195*AB$8,0)</f>
        <v>0</v>
      </c>
      <c r="AC550" s="70"/>
      <c r="AD550" s="19"/>
      <c r="AE550" s="19"/>
      <c r="AF550" s="19"/>
      <c r="AG550" s="19"/>
    </row>
    <row r="551" spans="1:33" hidden="1" outlineLevel="3" x14ac:dyDescent="0.2">
      <c r="A551" s="19"/>
      <c r="B551" s="19"/>
      <c r="C551" s="506">
        <f t="shared" si="127"/>
        <v>0</v>
      </c>
      <c r="D551" s="505">
        <f t="shared" si="127"/>
        <v>0</v>
      </c>
      <c r="E551" s="505">
        <f t="shared" si="127"/>
        <v>0</v>
      </c>
      <c r="F551" s="58"/>
      <c r="G551" s="199">
        <f t="shared" si="128"/>
        <v>0</v>
      </c>
      <c r="H551" s="58"/>
      <c r="I551" s="198">
        <f>_xlfn.IFNA(IF(I$7="Fixed",1,IF(AND($D80="yes",I$7="Block"),INDEX($O722:$Q722,1,MATCH(I$5,$I45:$K45,0)),INDEX(Movements!$G722:$M722,1,MATCH(I$7,Movements!$G$716:$M$716,0))))
*I1196*I$8,0)</f>
        <v>0</v>
      </c>
      <c r="J551" s="198">
        <f>_xlfn.IFNA(IF(J$7="Fixed",1,IF(AND($D80="yes",J$7="Block"),INDEX($O722:$Q722,1,MATCH(J$5,$I45:$K45,0)),INDEX(Movements!$G722:$M722,1,MATCH(J$7,Movements!$G$716:$M$716,0))))
*J1196*J$8,0)</f>
        <v>0</v>
      </c>
      <c r="K551" s="198">
        <f>_xlfn.IFNA(IF(K$7="Fixed",1,IF(AND($D80="yes",K$7="Block"),INDEX($O722:$Q722,1,MATCH(K$5,$I45:$K45,0)),INDEX(Movements!$G722:$M722,1,MATCH(K$7,Movements!$G$716:$M$716,0))))
*K1196*K$8,0)</f>
        <v>0</v>
      </c>
      <c r="L551" s="198">
        <f>_xlfn.IFNA(IF(L$7="Fixed",1,IF(AND($D80="yes",L$7="Block"),INDEX($O722:$Q722,1,MATCH(L$5,$I45:$K45,0)),INDEX(Movements!$G722:$M722,1,MATCH(L$7,Movements!$G$716:$M$716,0))))
*L1196*L$8,0)</f>
        <v>0</v>
      </c>
      <c r="M551" s="198">
        <f>_xlfn.IFNA(IF(M$7="Fixed",1,IF(AND($D80="yes",M$7="Block"),INDEX($O722:$Q722,1,MATCH(M$5,$I45:$K45,0)),INDEX(Movements!$G722:$M722,1,MATCH(M$7,Movements!$G$716:$M$716,0))))
*M1196*M$8,0)</f>
        <v>0</v>
      </c>
      <c r="N551" s="198">
        <f>_xlfn.IFNA(IF(N$7="Fixed",1,IF(AND($D80="yes",N$7="Block"),INDEX($O722:$Q722,1,MATCH(N$5,$I45:$K45,0)),INDEX(Movements!$G722:$M722,1,MATCH(N$7,Movements!$G$716:$M$716,0))))
*N1196*N$8,0)</f>
        <v>0</v>
      </c>
      <c r="O551" s="198">
        <f>_xlfn.IFNA(IF(O$7="Fixed",1,IF(AND($D80="yes",O$7="Block"),INDEX($O722:$Q722,1,MATCH(O$5,$I45:$K45,0)),INDEX(Movements!$G722:$M722,1,MATCH(O$7,Movements!$G$716:$M$716,0))))
*O1196*O$8,0)</f>
        <v>0</v>
      </c>
      <c r="P551" s="198">
        <f>_xlfn.IFNA(IF(P$7="Fixed",1,IF(AND($D80="yes",P$7="Block"),INDEX($O722:$Q722,1,MATCH(P$5,$I45:$K45,0)),INDEX(Movements!$G722:$M722,1,MATCH(P$7,Movements!$G$716:$M$716,0))))
*P1196*P$8,0)</f>
        <v>0</v>
      </c>
      <c r="Q551" s="198">
        <f>_xlfn.IFNA(IF(Q$7="Fixed",1,IF(AND($D80="yes",Q$7="Block"),INDEX($O722:$Q722,1,MATCH(Q$5,$I45:$K45,0)),INDEX(Movements!$G722:$M722,1,MATCH(Q$7,Movements!$G$716:$M$716,0))))
*Q1196*Q$8,0)</f>
        <v>0</v>
      </c>
      <c r="R551" s="198">
        <f>_xlfn.IFNA(IF(R$7="Fixed",1,IF(AND($D80="yes",R$7="Block"),INDEX($O722:$Q722,1,MATCH(R$5,$I45:$K45,0)),INDEX(Movements!$G722:$M722,1,MATCH(R$7,Movements!$G$716:$M$716,0))))
*R1196*R$8,0)</f>
        <v>0</v>
      </c>
      <c r="S551" s="198">
        <f>_xlfn.IFNA(IF(S$7="Fixed",1,IF(AND($D80="yes",S$7="Block"),INDEX($O722:$Q722,1,MATCH(S$5,$I45:$K45,0)),INDEX(Movements!$G722:$M722,1,MATCH(S$7,Movements!$G$716:$M$716,0))))
*S1196*S$8,0)</f>
        <v>0</v>
      </c>
      <c r="T551" s="198">
        <f>_xlfn.IFNA(IF(T$7="Fixed",1,IF(AND($D80="yes",T$7="Block"),INDEX($O722:$Q722,1,MATCH(T$5,$I45:$K45,0)),INDEX(Movements!$G722:$M722,1,MATCH(T$7,Movements!$G$716:$M$716,0))))
*T1196*T$8,0)</f>
        <v>0</v>
      </c>
      <c r="U551" s="198">
        <f>_xlfn.IFNA(IF(U$7="Fixed",1,IF(AND($D80="yes",U$7="Block"),INDEX($O722:$Q722,1,MATCH(U$5,$I45:$K45,0)),INDEX(Movements!$G722:$M722,1,MATCH(U$7,Movements!$G$716:$M$716,0))))
*U1196*U$8,0)</f>
        <v>0</v>
      </c>
      <c r="V551" s="198">
        <f>_xlfn.IFNA(IF(V$7="Fixed",1,IF(AND($D80="yes",V$7="Block"),INDEX($O722:$Q722,1,MATCH(V$5,$I45:$K45,0)),INDEX(Movements!$G722:$M722,1,MATCH(V$7,Movements!$G$716:$M$716,0))))
*V1196*V$8,0)</f>
        <v>0</v>
      </c>
      <c r="W551" s="198">
        <f>_xlfn.IFNA(IF(W$7="Fixed",1,IF(AND($D80="yes",W$7="Block"),INDEX($O722:$Q722,1,MATCH(W$5,$I45:$K45,0)),INDEX(Movements!$G722:$M722,1,MATCH(W$7,Movements!$G$716:$M$716,0))))
*W1196*W$8,0)</f>
        <v>0</v>
      </c>
      <c r="X551" s="198">
        <f>_xlfn.IFNA(IF(X$7="Fixed",1,IF(AND($D80="yes",X$7="Block"),INDEX($O722:$Q722,1,MATCH(X$5,$I45:$K45,0)),INDEX(Movements!$G722:$M722,1,MATCH(X$7,Movements!$G$716:$M$716,0))))
*X1196*X$8,0)</f>
        <v>0</v>
      </c>
      <c r="Y551" s="198">
        <f>_xlfn.IFNA(IF(Y$7="Fixed",1,IF(AND($D80="yes",Y$7="Block"),INDEX($O722:$Q722,1,MATCH(Y$5,$I45:$K45,0)),INDEX(Movements!$G722:$M722,1,MATCH(Y$7,Movements!$G$716:$M$716,0))))
*Y1196*Y$8,0)</f>
        <v>0</v>
      </c>
      <c r="Z551" s="198">
        <f>_xlfn.IFNA(IF(Z$7="Fixed",1,IF(AND($D80="yes",Z$7="Block"),INDEX($O722:$Q722,1,MATCH(Z$5,$I45:$K45,0)),INDEX(Movements!$G722:$M722,1,MATCH(Z$7,Movements!$G$716:$M$716,0))))
*Z1196*Z$8,0)</f>
        <v>0</v>
      </c>
      <c r="AA551" s="198">
        <f>_xlfn.IFNA(IF(AA$7="Fixed",1,IF(AND($D80="yes",AA$7="Block"),INDEX($O722:$Q722,1,MATCH(AA$5,$I45:$K45,0)),INDEX(Movements!$G722:$M722,1,MATCH(AA$7,Movements!$G$716:$M$716,0))))
*AA1196*AA$8,0)</f>
        <v>0</v>
      </c>
      <c r="AB551" s="198">
        <f>_xlfn.IFNA(IF(AB$7="Fixed",1,IF(AND($D80="yes",AB$7="Block"),INDEX($O722:$Q722,1,MATCH(AB$5,$I45:$K45,0)),INDEX(Movements!$G722:$M722,1,MATCH(AB$7,Movements!$G$716:$M$716,0))))
*AB1196*AB$8,0)</f>
        <v>0</v>
      </c>
      <c r="AC551" s="70"/>
      <c r="AD551" s="19"/>
      <c r="AE551" s="19"/>
      <c r="AF551" s="19"/>
      <c r="AG551" s="19"/>
    </row>
    <row r="552" spans="1:33" hidden="1" outlineLevel="3" x14ac:dyDescent="0.2">
      <c r="A552" s="19"/>
      <c r="B552" s="19"/>
      <c r="C552" s="506">
        <f t="shared" si="127"/>
        <v>0</v>
      </c>
      <c r="D552" s="505">
        <f t="shared" si="127"/>
        <v>0</v>
      </c>
      <c r="E552" s="505">
        <f t="shared" si="127"/>
        <v>0</v>
      </c>
      <c r="F552" s="58"/>
      <c r="G552" s="199">
        <f t="shared" si="128"/>
        <v>0</v>
      </c>
      <c r="H552" s="58"/>
      <c r="I552" s="198">
        <f>_xlfn.IFNA(IF(I$7="Fixed",1,IF(AND($D81="yes",I$7="Block"),INDEX($O723:$Q723,1,MATCH(I$5,$I46:$K46,0)),INDEX(Movements!$G723:$M723,1,MATCH(I$7,Movements!$G$716:$M$716,0))))
*I1197*I$8,0)</f>
        <v>0</v>
      </c>
      <c r="J552" s="198">
        <f>_xlfn.IFNA(IF(J$7="Fixed",1,IF(AND($D81="yes",J$7="Block"),INDEX($O723:$Q723,1,MATCH(J$5,$I46:$K46,0)),INDEX(Movements!$G723:$M723,1,MATCH(J$7,Movements!$G$716:$M$716,0))))
*J1197*J$8,0)</f>
        <v>0</v>
      </c>
      <c r="K552" s="198">
        <f>_xlfn.IFNA(IF(K$7="Fixed",1,IF(AND($D81="yes",K$7="Block"),INDEX($O723:$Q723,1,MATCH(K$5,$I46:$K46,0)),INDEX(Movements!$G723:$M723,1,MATCH(K$7,Movements!$G$716:$M$716,0))))
*K1197*K$8,0)</f>
        <v>0</v>
      </c>
      <c r="L552" s="198">
        <f>_xlfn.IFNA(IF(L$7="Fixed",1,IF(AND($D81="yes",L$7="Block"),INDEX($O723:$Q723,1,MATCH(L$5,$I46:$K46,0)),INDEX(Movements!$G723:$M723,1,MATCH(L$7,Movements!$G$716:$M$716,0))))
*L1197*L$8,0)</f>
        <v>0</v>
      </c>
      <c r="M552" s="198">
        <f>_xlfn.IFNA(IF(M$7="Fixed",1,IF(AND($D81="yes",M$7="Block"),INDEX($O723:$Q723,1,MATCH(M$5,$I46:$K46,0)),INDEX(Movements!$G723:$M723,1,MATCH(M$7,Movements!$G$716:$M$716,0))))
*M1197*M$8,0)</f>
        <v>0</v>
      </c>
      <c r="N552" s="198">
        <f>_xlfn.IFNA(IF(N$7="Fixed",1,IF(AND($D81="yes",N$7="Block"),INDEX($O723:$Q723,1,MATCH(N$5,$I46:$K46,0)),INDEX(Movements!$G723:$M723,1,MATCH(N$7,Movements!$G$716:$M$716,0))))
*N1197*N$8,0)</f>
        <v>0</v>
      </c>
      <c r="O552" s="198">
        <f>_xlfn.IFNA(IF(O$7="Fixed",1,IF(AND($D81="yes",O$7="Block"),INDEX($O723:$Q723,1,MATCH(O$5,$I46:$K46,0)),INDEX(Movements!$G723:$M723,1,MATCH(O$7,Movements!$G$716:$M$716,0))))
*O1197*O$8,0)</f>
        <v>0</v>
      </c>
      <c r="P552" s="198">
        <f>_xlfn.IFNA(IF(P$7="Fixed",1,IF(AND($D81="yes",P$7="Block"),INDEX($O723:$Q723,1,MATCH(P$5,$I46:$K46,0)),INDEX(Movements!$G723:$M723,1,MATCH(P$7,Movements!$G$716:$M$716,0))))
*P1197*P$8,0)</f>
        <v>0</v>
      </c>
      <c r="Q552" s="198">
        <f>_xlfn.IFNA(IF(Q$7="Fixed",1,IF(AND($D81="yes",Q$7="Block"),INDEX($O723:$Q723,1,MATCH(Q$5,$I46:$K46,0)),INDEX(Movements!$G723:$M723,1,MATCH(Q$7,Movements!$G$716:$M$716,0))))
*Q1197*Q$8,0)</f>
        <v>0</v>
      </c>
      <c r="R552" s="198">
        <f>_xlfn.IFNA(IF(R$7="Fixed",1,IF(AND($D81="yes",R$7="Block"),INDEX($O723:$Q723,1,MATCH(R$5,$I46:$K46,0)),INDEX(Movements!$G723:$M723,1,MATCH(R$7,Movements!$G$716:$M$716,0))))
*R1197*R$8,0)</f>
        <v>0</v>
      </c>
      <c r="S552" s="198">
        <f>_xlfn.IFNA(IF(S$7="Fixed",1,IF(AND($D81="yes",S$7="Block"),INDEX($O723:$Q723,1,MATCH(S$5,$I46:$K46,0)),INDEX(Movements!$G723:$M723,1,MATCH(S$7,Movements!$G$716:$M$716,0))))
*S1197*S$8,0)</f>
        <v>0</v>
      </c>
      <c r="T552" s="198">
        <f>_xlfn.IFNA(IF(T$7="Fixed",1,IF(AND($D81="yes",T$7="Block"),INDEX($O723:$Q723,1,MATCH(T$5,$I46:$K46,0)),INDEX(Movements!$G723:$M723,1,MATCH(T$7,Movements!$G$716:$M$716,0))))
*T1197*T$8,0)</f>
        <v>0</v>
      </c>
      <c r="U552" s="198">
        <f>_xlfn.IFNA(IF(U$7="Fixed",1,IF(AND($D81="yes",U$7="Block"),INDEX($O723:$Q723,1,MATCH(U$5,$I46:$K46,0)),INDEX(Movements!$G723:$M723,1,MATCH(U$7,Movements!$G$716:$M$716,0))))
*U1197*U$8,0)</f>
        <v>0</v>
      </c>
      <c r="V552" s="198">
        <f>_xlfn.IFNA(IF(V$7="Fixed",1,IF(AND($D81="yes",V$7="Block"),INDEX($O723:$Q723,1,MATCH(V$5,$I46:$K46,0)),INDEX(Movements!$G723:$M723,1,MATCH(V$7,Movements!$G$716:$M$716,0))))
*V1197*V$8,0)</f>
        <v>0</v>
      </c>
      <c r="W552" s="198">
        <f>_xlfn.IFNA(IF(W$7="Fixed",1,IF(AND($D81="yes",W$7="Block"),INDEX($O723:$Q723,1,MATCH(W$5,$I46:$K46,0)),INDEX(Movements!$G723:$M723,1,MATCH(W$7,Movements!$G$716:$M$716,0))))
*W1197*W$8,0)</f>
        <v>0</v>
      </c>
      <c r="X552" s="198">
        <f>_xlfn.IFNA(IF(X$7="Fixed",1,IF(AND($D81="yes",X$7="Block"),INDEX($O723:$Q723,1,MATCH(X$5,$I46:$K46,0)),INDEX(Movements!$G723:$M723,1,MATCH(X$7,Movements!$G$716:$M$716,0))))
*X1197*X$8,0)</f>
        <v>0</v>
      </c>
      <c r="Y552" s="198">
        <f>_xlfn.IFNA(IF(Y$7="Fixed",1,IF(AND($D81="yes",Y$7="Block"),INDEX($O723:$Q723,1,MATCH(Y$5,$I46:$K46,0)),INDEX(Movements!$G723:$M723,1,MATCH(Y$7,Movements!$G$716:$M$716,0))))
*Y1197*Y$8,0)</f>
        <v>0</v>
      </c>
      <c r="Z552" s="198">
        <f>_xlfn.IFNA(IF(Z$7="Fixed",1,IF(AND($D81="yes",Z$7="Block"),INDEX($O723:$Q723,1,MATCH(Z$5,$I46:$K46,0)),INDEX(Movements!$G723:$M723,1,MATCH(Z$7,Movements!$G$716:$M$716,0))))
*Z1197*Z$8,0)</f>
        <v>0</v>
      </c>
      <c r="AA552" s="198">
        <f>_xlfn.IFNA(IF(AA$7="Fixed",1,IF(AND($D81="yes",AA$7="Block"),INDEX($O723:$Q723,1,MATCH(AA$5,$I46:$K46,0)),INDEX(Movements!$G723:$M723,1,MATCH(AA$7,Movements!$G$716:$M$716,0))))
*AA1197*AA$8,0)</f>
        <v>0</v>
      </c>
      <c r="AB552" s="198">
        <f>_xlfn.IFNA(IF(AB$7="Fixed",1,IF(AND($D81="yes",AB$7="Block"),INDEX($O723:$Q723,1,MATCH(AB$5,$I46:$K46,0)),INDEX(Movements!$G723:$M723,1,MATCH(AB$7,Movements!$G$716:$M$716,0))))
*AB1197*AB$8,0)</f>
        <v>0</v>
      </c>
      <c r="AC552" s="70"/>
      <c r="AD552" s="19"/>
      <c r="AE552" s="19"/>
      <c r="AF552" s="19"/>
      <c r="AG552" s="19"/>
    </row>
    <row r="553" spans="1:33" hidden="1" outlineLevel="3" x14ac:dyDescent="0.2">
      <c r="A553" s="19"/>
      <c r="B553" s="19"/>
      <c r="C553" s="506">
        <f t="shared" si="127"/>
        <v>0</v>
      </c>
      <c r="D553" s="505">
        <f t="shared" si="127"/>
        <v>0</v>
      </c>
      <c r="E553" s="505">
        <f t="shared" si="127"/>
        <v>0</v>
      </c>
      <c r="F553" s="58"/>
      <c r="G553" s="199">
        <f t="shared" si="128"/>
        <v>0</v>
      </c>
      <c r="H553" s="58"/>
      <c r="I553" s="198">
        <f>_xlfn.IFNA(IF(I$7="Fixed",1,IF(AND($D82="yes",I$7="Block"),INDEX($O724:$Q724,1,MATCH(I$5,$I47:$K47,0)),INDEX(Movements!$G724:$M724,1,MATCH(I$7,Movements!$G$716:$M$716,0))))
*I1198*I$8,0)</f>
        <v>0</v>
      </c>
      <c r="J553" s="198">
        <f>_xlfn.IFNA(IF(J$7="Fixed",1,IF(AND($D82="yes",J$7="Block"),INDEX($O724:$Q724,1,MATCH(J$5,$I47:$K47,0)),INDEX(Movements!$G724:$M724,1,MATCH(J$7,Movements!$G$716:$M$716,0))))
*J1198*J$8,0)</f>
        <v>0</v>
      </c>
      <c r="K553" s="198">
        <f>_xlfn.IFNA(IF(K$7="Fixed",1,IF(AND($D82="yes",K$7="Block"),INDEX($O724:$Q724,1,MATCH(K$5,$I47:$K47,0)),INDEX(Movements!$G724:$M724,1,MATCH(K$7,Movements!$G$716:$M$716,0))))
*K1198*K$8,0)</f>
        <v>0</v>
      </c>
      <c r="L553" s="198">
        <f>_xlfn.IFNA(IF(L$7="Fixed",1,IF(AND($D82="yes",L$7="Block"),INDEX($O724:$Q724,1,MATCH(L$5,$I47:$K47,0)),INDEX(Movements!$G724:$M724,1,MATCH(L$7,Movements!$G$716:$M$716,0))))
*L1198*L$8,0)</f>
        <v>0</v>
      </c>
      <c r="M553" s="198">
        <f>_xlfn.IFNA(IF(M$7="Fixed",1,IF(AND($D82="yes",M$7="Block"),INDEX($O724:$Q724,1,MATCH(M$5,$I47:$K47,0)),INDEX(Movements!$G724:$M724,1,MATCH(M$7,Movements!$G$716:$M$716,0))))
*M1198*M$8,0)</f>
        <v>0</v>
      </c>
      <c r="N553" s="198">
        <f>_xlfn.IFNA(IF(N$7="Fixed",1,IF(AND($D82="yes",N$7="Block"),INDEX($O724:$Q724,1,MATCH(N$5,$I47:$K47,0)),INDEX(Movements!$G724:$M724,1,MATCH(N$7,Movements!$G$716:$M$716,0))))
*N1198*N$8,0)</f>
        <v>0</v>
      </c>
      <c r="O553" s="198">
        <f>_xlfn.IFNA(IF(O$7="Fixed",1,IF(AND($D82="yes",O$7="Block"),INDEX($O724:$Q724,1,MATCH(O$5,$I47:$K47,0)),INDEX(Movements!$G724:$M724,1,MATCH(O$7,Movements!$G$716:$M$716,0))))
*O1198*O$8,0)</f>
        <v>0</v>
      </c>
      <c r="P553" s="198">
        <f>_xlfn.IFNA(IF(P$7="Fixed",1,IF(AND($D82="yes",P$7="Block"),INDEX($O724:$Q724,1,MATCH(P$5,$I47:$K47,0)),INDEX(Movements!$G724:$M724,1,MATCH(P$7,Movements!$G$716:$M$716,0))))
*P1198*P$8,0)</f>
        <v>0</v>
      </c>
      <c r="Q553" s="198">
        <f>_xlfn.IFNA(IF(Q$7="Fixed",1,IF(AND($D82="yes",Q$7="Block"),INDEX($O724:$Q724,1,MATCH(Q$5,$I47:$K47,0)),INDEX(Movements!$G724:$M724,1,MATCH(Q$7,Movements!$G$716:$M$716,0))))
*Q1198*Q$8,0)</f>
        <v>0</v>
      </c>
      <c r="R553" s="198">
        <f>_xlfn.IFNA(IF(R$7="Fixed",1,IF(AND($D82="yes",R$7="Block"),INDEX($O724:$Q724,1,MATCH(R$5,$I47:$K47,0)),INDEX(Movements!$G724:$M724,1,MATCH(R$7,Movements!$G$716:$M$716,0))))
*R1198*R$8,0)</f>
        <v>0</v>
      </c>
      <c r="S553" s="198">
        <f>_xlfn.IFNA(IF(S$7="Fixed",1,IF(AND($D82="yes",S$7="Block"),INDEX($O724:$Q724,1,MATCH(S$5,$I47:$K47,0)),INDEX(Movements!$G724:$M724,1,MATCH(S$7,Movements!$G$716:$M$716,0))))
*S1198*S$8,0)</f>
        <v>0</v>
      </c>
      <c r="T553" s="198">
        <f>_xlfn.IFNA(IF(T$7="Fixed",1,IF(AND($D82="yes",T$7="Block"),INDEX($O724:$Q724,1,MATCH(T$5,$I47:$K47,0)),INDEX(Movements!$G724:$M724,1,MATCH(T$7,Movements!$G$716:$M$716,0))))
*T1198*T$8,0)</f>
        <v>0</v>
      </c>
      <c r="U553" s="198">
        <f>_xlfn.IFNA(IF(U$7="Fixed",1,IF(AND($D82="yes",U$7="Block"),INDEX($O724:$Q724,1,MATCH(U$5,$I47:$K47,0)),INDEX(Movements!$G724:$M724,1,MATCH(U$7,Movements!$G$716:$M$716,0))))
*U1198*U$8,0)</f>
        <v>0</v>
      </c>
      <c r="V553" s="198">
        <f>_xlfn.IFNA(IF(V$7="Fixed",1,IF(AND($D82="yes",V$7="Block"),INDEX($O724:$Q724,1,MATCH(V$5,$I47:$K47,0)),INDEX(Movements!$G724:$M724,1,MATCH(V$7,Movements!$G$716:$M$716,0))))
*V1198*V$8,0)</f>
        <v>0</v>
      </c>
      <c r="W553" s="198">
        <f>_xlfn.IFNA(IF(W$7="Fixed",1,IF(AND($D82="yes",W$7="Block"),INDEX($O724:$Q724,1,MATCH(W$5,$I47:$K47,0)),INDEX(Movements!$G724:$M724,1,MATCH(W$7,Movements!$G$716:$M$716,0))))
*W1198*W$8,0)</f>
        <v>0</v>
      </c>
      <c r="X553" s="198">
        <f>_xlfn.IFNA(IF(X$7="Fixed",1,IF(AND($D82="yes",X$7="Block"),INDEX($O724:$Q724,1,MATCH(X$5,$I47:$K47,0)),INDEX(Movements!$G724:$M724,1,MATCH(X$7,Movements!$G$716:$M$716,0))))
*X1198*X$8,0)</f>
        <v>0</v>
      </c>
      <c r="Y553" s="198">
        <f>_xlfn.IFNA(IF(Y$7="Fixed",1,IF(AND($D82="yes",Y$7="Block"),INDEX($O724:$Q724,1,MATCH(Y$5,$I47:$K47,0)),INDEX(Movements!$G724:$M724,1,MATCH(Y$7,Movements!$G$716:$M$716,0))))
*Y1198*Y$8,0)</f>
        <v>0</v>
      </c>
      <c r="Z553" s="198">
        <f>_xlfn.IFNA(IF(Z$7="Fixed",1,IF(AND($D82="yes",Z$7="Block"),INDEX($O724:$Q724,1,MATCH(Z$5,$I47:$K47,0)),INDEX(Movements!$G724:$M724,1,MATCH(Z$7,Movements!$G$716:$M$716,0))))
*Z1198*Z$8,0)</f>
        <v>0</v>
      </c>
      <c r="AA553" s="198">
        <f>_xlfn.IFNA(IF(AA$7="Fixed",1,IF(AND($D82="yes",AA$7="Block"),INDEX($O724:$Q724,1,MATCH(AA$5,$I47:$K47,0)),INDEX(Movements!$G724:$M724,1,MATCH(AA$7,Movements!$G$716:$M$716,0))))
*AA1198*AA$8,0)</f>
        <v>0</v>
      </c>
      <c r="AB553" s="198">
        <f>_xlfn.IFNA(IF(AB$7="Fixed",1,IF(AND($D82="yes",AB$7="Block"),INDEX($O724:$Q724,1,MATCH(AB$5,$I47:$K47,0)),INDEX(Movements!$G724:$M724,1,MATCH(AB$7,Movements!$G$716:$M$716,0))))
*AB1198*AB$8,0)</f>
        <v>0</v>
      </c>
      <c r="AC553" s="70"/>
      <c r="AD553" s="19"/>
      <c r="AE553" s="19"/>
      <c r="AF553" s="19"/>
      <c r="AG553" s="19"/>
    </row>
    <row r="554" spans="1:33" hidden="1" outlineLevel="3" x14ac:dyDescent="0.2">
      <c r="A554" s="19"/>
      <c r="B554" s="19"/>
      <c r="C554" s="506">
        <f t="shared" si="127"/>
        <v>0</v>
      </c>
      <c r="D554" s="505">
        <f t="shared" si="127"/>
        <v>0</v>
      </c>
      <c r="E554" s="505">
        <f t="shared" si="127"/>
        <v>0</v>
      </c>
      <c r="F554" s="58"/>
      <c r="G554" s="199">
        <f t="shared" si="128"/>
        <v>0</v>
      </c>
      <c r="H554" s="58"/>
      <c r="I554" s="198">
        <f>_xlfn.IFNA(IF(I$7="Fixed",1,IF(AND($D83="yes",I$7="Block"),INDEX($O725:$Q725,1,MATCH(I$5,$I48:$K48,0)),INDEX(Movements!$G725:$M725,1,MATCH(I$7,Movements!$G$716:$M$716,0))))
*I1199*I$8,0)</f>
        <v>0</v>
      </c>
      <c r="J554" s="198">
        <f>_xlfn.IFNA(IF(J$7="Fixed",1,IF(AND($D83="yes",J$7="Block"),INDEX($O725:$Q725,1,MATCH(J$5,$I48:$K48,0)),INDEX(Movements!$G725:$M725,1,MATCH(J$7,Movements!$G$716:$M$716,0))))
*J1199*J$8,0)</f>
        <v>0</v>
      </c>
      <c r="K554" s="198">
        <f>_xlfn.IFNA(IF(K$7="Fixed",1,IF(AND($D83="yes",K$7="Block"),INDEX($O725:$Q725,1,MATCH(K$5,$I48:$K48,0)),INDEX(Movements!$G725:$M725,1,MATCH(K$7,Movements!$G$716:$M$716,0))))
*K1199*K$8,0)</f>
        <v>0</v>
      </c>
      <c r="L554" s="198">
        <f>_xlfn.IFNA(IF(L$7="Fixed",1,IF(AND($D83="yes",L$7="Block"),INDEX($O725:$Q725,1,MATCH(L$5,$I48:$K48,0)),INDEX(Movements!$G725:$M725,1,MATCH(L$7,Movements!$G$716:$M$716,0))))
*L1199*L$8,0)</f>
        <v>0</v>
      </c>
      <c r="M554" s="198">
        <f>_xlfn.IFNA(IF(M$7="Fixed",1,IF(AND($D83="yes",M$7="Block"),INDEX($O725:$Q725,1,MATCH(M$5,$I48:$K48,0)),INDEX(Movements!$G725:$M725,1,MATCH(M$7,Movements!$G$716:$M$716,0))))
*M1199*M$8,0)</f>
        <v>0</v>
      </c>
      <c r="N554" s="198">
        <f>_xlfn.IFNA(IF(N$7="Fixed",1,IF(AND($D83="yes",N$7="Block"),INDEX($O725:$Q725,1,MATCH(N$5,$I48:$K48,0)),INDEX(Movements!$G725:$M725,1,MATCH(N$7,Movements!$G$716:$M$716,0))))
*N1199*N$8,0)</f>
        <v>0</v>
      </c>
      <c r="O554" s="198">
        <f>_xlfn.IFNA(IF(O$7="Fixed",1,IF(AND($D83="yes",O$7="Block"),INDEX($O725:$Q725,1,MATCH(O$5,$I48:$K48,0)),INDEX(Movements!$G725:$M725,1,MATCH(O$7,Movements!$G$716:$M$716,0))))
*O1199*O$8,0)</f>
        <v>0</v>
      </c>
      <c r="P554" s="198">
        <f>_xlfn.IFNA(IF(P$7="Fixed",1,IF(AND($D83="yes",P$7="Block"),INDEX($O725:$Q725,1,MATCH(P$5,$I48:$K48,0)),INDEX(Movements!$G725:$M725,1,MATCH(P$7,Movements!$G$716:$M$716,0))))
*P1199*P$8,0)</f>
        <v>0</v>
      </c>
      <c r="Q554" s="198">
        <f>_xlfn.IFNA(IF(Q$7="Fixed",1,IF(AND($D83="yes",Q$7="Block"),INDEX($O725:$Q725,1,MATCH(Q$5,$I48:$K48,0)),INDEX(Movements!$G725:$M725,1,MATCH(Q$7,Movements!$G$716:$M$716,0))))
*Q1199*Q$8,0)</f>
        <v>0</v>
      </c>
      <c r="R554" s="198">
        <f>_xlfn.IFNA(IF(R$7="Fixed",1,IF(AND($D83="yes",R$7="Block"),INDEX($O725:$Q725,1,MATCH(R$5,$I48:$K48,0)),INDEX(Movements!$G725:$M725,1,MATCH(R$7,Movements!$G$716:$M$716,0))))
*R1199*R$8,0)</f>
        <v>0</v>
      </c>
      <c r="S554" s="198">
        <f>_xlfn.IFNA(IF(S$7="Fixed",1,IF(AND($D83="yes",S$7="Block"),INDEX($O725:$Q725,1,MATCH(S$5,$I48:$K48,0)),INDEX(Movements!$G725:$M725,1,MATCH(S$7,Movements!$G$716:$M$716,0))))
*S1199*S$8,0)</f>
        <v>0</v>
      </c>
      <c r="T554" s="198">
        <f>_xlfn.IFNA(IF(T$7="Fixed",1,IF(AND($D83="yes",T$7="Block"),INDEX($O725:$Q725,1,MATCH(T$5,$I48:$K48,0)),INDEX(Movements!$G725:$M725,1,MATCH(T$7,Movements!$G$716:$M$716,0))))
*T1199*T$8,0)</f>
        <v>0</v>
      </c>
      <c r="U554" s="198">
        <f>_xlfn.IFNA(IF(U$7="Fixed",1,IF(AND($D83="yes",U$7="Block"),INDEX($O725:$Q725,1,MATCH(U$5,$I48:$K48,0)),INDEX(Movements!$G725:$M725,1,MATCH(U$7,Movements!$G$716:$M$716,0))))
*U1199*U$8,0)</f>
        <v>0</v>
      </c>
      <c r="V554" s="198">
        <f>_xlfn.IFNA(IF(V$7="Fixed",1,IF(AND($D83="yes",V$7="Block"),INDEX($O725:$Q725,1,MATCH(V$5,$I48:$K48,0)),INDEX(Movements!$G725:$M725,1,MATCH(V$7,Movements!$G$716:$M$716,0))))
*V1199*V$8,0)</f>
        <v>0</v>
      </c>
      <c r="W554" s="198">
        <f>_xlfn.IFNA(IF(W$7="Fixed",1,IF(AND($D83="yes",W$7="Block"),INDEX($O725:$Q725,1,MATCH(W$5,$I48:$K48,0)),INDEX(Movements!$G725:$M725,1,MATCH(W$7,Movements!$G$716:$M$716,0))))
*W1199*W$8,0)</f>
        <v>0</v>
      </c>
      <c r="X554" s="198">
        <f>_xlfn.IFNA(IF(X$7="Fixed",1,IF(AND($D83="yes",X$7="Block"),INDEX($O725:$Q725,1,MATCH(X$5,$I48:$K48,0)),INDEX(Movements!$G725:$M725,1,MATCH(X$7,Movements!$G$716:$M$716,0))))
*X1199*X$8,0)</f>
        <v>0</v>
      </c>
      <c r="Y554" s="198">
        <f>_xlfn.IFNA(IF(Y$7="Fixed",1,IF(AND($D83="yes",Y$7="Block"),INDEX($O725:$Q725,1,MATCH(Y$5,$I48:$K48,0)),INDEX(Movements!$G725:$M725,1,MATCH(Y$7,Movements!$G$716:$M$716,0))))
*Y1199*Y$8,0)</f>
        <v>0</v>
      </c>
      <c r="Z554" s="198">
        <f>_xlfn.IFNA(IF(Z$7="Fixed",1,IF(AND($D83="yes",Z$7="Block"),INDEX($O725:$Q725,1,MATCH(Z$5,$I48:$K48,0)),INDEX(Movements!$G725:$M725,1,MATCH(Z$7,Movements!$G$716:$M$716,0))))
*Z1199*Z$8,0)</f>
        <v>0</v>
      </c>
      <c r="AA554" s="198">
        <f>_xlfn.IFNA(IF(AA$7="Fixed",1,IF(AND($D83="yes",AA$7="Block"),INDEX($O725:$Q725,1,MATCH(AA$5,$I48:$K48,0)),INDEX(Movements!$G725:$M725,1,MATCH(AA$7,Movements!$G$716:$M$716,0))))
*AA1199*AA$8,0)</f>
        <v>0</v>
      </c>
      <c r="AB554" s="198">
        <f>_xlfn.IFNA(IF(AB$7="Fixed",1,IF(AND($D83="yes",AB$7="Block"),INDEX($O725:$Q725,1,MATCH(AB$5,$I48:$K48,0)),INDEX(Movements!$G725:$M725,1,MATCH(AB$7,Movements!$G$716:$M$716,0))))
*AB1199*AB$8,0)</f>
        <v>0</v>
      </c>
      <c r="AC554" s="70"/>
      <c r="AD554" s="19"/>
      <c r="AE554" s="19"/>
      <c r="AF554" s="19"/>
      <c r="AG554" s="19"/>
    </row>
    <row r="555" spans="1:33" hidden="1" outlineLevel="3" x14ac:dyDescent="0.2">
      <c r="A555" s="19"/>
      <c r="B555" s="19"/>
      <c r="C555" s="506">
        <f t="shared" si="127"/>
        <v>0</v>
      </c>
      <c r="D555" s="505">
        <f t="shared" si="127"/>
        <v>0</v>
      </c>
      <c r="E555" s="505">
        <f t="shared" si="127"/>
        <v>0</v>
      </c>
      <c r="F555" s="58"/>
      <c r="G555" s="199">
        <f t="shared" si="128"/>
        <v>0</v>
      </c>
      <c r="H555" s="58"/>
      <c r="I555" s="198">
        <f>_xlfn.IFNA(IF(I$7="Fixed",1,IF(AND($D84="yes",I$7="Block"),INDEX($O726:$Q726,1,MATCH(I$5,$I49:$K49,0)),INDEX(Movements!$G726:$M726,1,MATCH(I$7,Movements!$G$716:$M$716,0))))
*I1200*I$8,0)</f>
        <v>0</v>
      </c>
      <c r="J555" s="198">
        <f>_xlfn.IFNA(IF(J$7="Fixed",1,IF(AND($D84="yes",J$7="Block"),INDEX($O726:$Q726,1,MATCH(J$5,$I49:$K49,0)),INDEX(Movements!$G726:$M726,1,MATCH(J$7,Movements!$G$716:$M$716,0))))
*J1200*J$8,0)</f>
        <v>0</v>
      </c>
      <c r="K555" s="198">
        <f>_xlfn.IFNA(IF(K$7="Fixed",1,IF(AND($D84="yes",K$7="Block"),INDEX($O726:$Q726,1,MATCH(K$5,$I49:$K49,0)),INDEX(Movements!$G726:$M726,1,MATCH(K$7,Movements!$G$716:$M$716,0))))
*K1200*K$8,0)</f>
        <v>0</v>
      </c>
      <c r="L555" s="198">
        <f>_xlfn.IFNA(IF(L$7="Fixed",1,IF(AND($D84="yes",L$7="Block"),INDEX($O726:$Q726,1,MATCH(L$5,$I49:$K49,0)),INDEX(Movements!$G726:$M726,1,MATCH(L$7,Movements!$G$716:$M$716,0))))
*L1200*L$8,0)</f>
        <v>0</v>
      </c>
      <c r="M555" s="198">
        <f>_xlfn.IFNA(IF(M$7="Fixed",1,IF(AND($D84="yes",M$7="Block"),INDEX($O726:$Q726,1,MATCH(M$5,$I49:$K49,0)),INDEX(Movements!$G726:$M726,1,MATCH(M$7,Movements!$G$716:$M$716,0))))
*M1200*M$8,0)</f>
        <v>0</v>
      </c>
      <c r="N555" s="198">
        <f>_xlfn.IFNA(IF(N$7="Fixed",1,IF(AND($D84="yes",N$7="Block"),INDEX($O726:$Q726,1,MATCH(N$5,$I49:$K49,0)),INDEX(Movements!$G726:$M726,1,MATCH(N$7,Movements!$G$716:$M$716,0))))
*N1200*N$8,0)</f>
        <v>0</v>
      </c>
      <c r="O555" s="198">
        <f>_xlfn.IFNA(IF(O$7="Fixed",1,IF(AND($D84="yes",O$7="Block"),INDEX($O726:$Q726,1,MATCH(O$5,$I49:$K49,0)),INDEX(Movements!$G726:$M726,1,MATCH(O$7,Movements!$G$716:$M$716,0))))
*O1200*O$8,0)</f>
        <v>0</v>
      </c>
      <c r="P555" s="198">
        <f>_xlfn.IFNA(IF(P$7="Fixed",1,IF(AND($D84="yes",P$7="Block"),INDEX($O726:$Q726,1,MATCH(P$5,$I49:$K49,0)),INDEX(Movements!$G726:$M726,1,MATCH(P$7,Movements!$G$716:$M$716,0))))
*P1200*P$8,0)</f>
        <v>0</v>
      </c>
      <c r="Q555" s="198">
        <f>_xlfn.IFNA(IF(Q$7="Fixed",1,IF(AND($D84="yes",Q$7="Block"),INDEX($O726:$Q726,1,MATCH(Q$5,$I49:$K49,0)),INDEX(Movements!$G726:$M726,1,MATCH(Q$7,Movements!$G$716:$M$716,0))))
*Q1200*Q$8,0)</f>
        <v>0</v>
      </c>
      <c r="R555" s="198">
        <f>_xlfn.IFNA(IF(R$7="Fixed",1,IF(AND($D84="yes",R$7="Block"),INDEX($O726:$Q726,1,MATCH(R$5,$I49:$K49,0)),INDEX(Movements!$G726:$M726,1,MATCH(R$7,Movements!$G$716:$M$716,0))))
*R1200*R$8,0)</f>
        <v>0</v>
      </c>
      <c r="S555" s="198">
        <f>_xlfn.IFNA(IF(S$7="Fixed",1,IF(AND($D84="yes",S$7="Block"),INDEX($O726:$Q726,1,MATCH(S$5,$I49:$K49,0)),INDEX(Movements!$G726:$M726,1,MATCH(S$7,Movements!$G$716:$M$716,0))))
*S1200*S$8,0)</f>
        <v>0</v>
      </c>
      <c r="T555" s="198">
        <f>_xlfn.IFNA(IF(T$7="Fixed",1,IF(AND($D84="yes",T$7="Block"),INDEX($O726:$Q726,1,MATCH(T$5,$I49:$K49,0)),INDEX(Movements!$G726:$M726,1,MATCH(T$7,Movements!$G$716:$M$716,0))))
*T1200*T$8,0)</f>
        <v>0</v>
      </c>
      <c r="U555" s="198">
        <f>_xlfn.IFNA(IF(U$7="Fixed",1,IF(AND($D84="yes",U$7="Block"),INDEX($O726:$Q726,1,MATCH(U$5,$I49:$K49,0)),INDEX(Movements!$G726:$M726,1,MATCH(U$7,Movements!$G$716:$M$716,0))))
*U1200*U$8,0)</f>
        <v>0</v>
      </c>
      <c r="V555" s="198">
        <f>_xlfn.IFNA(IF(V$7="Fixed",1,IF(AND($D84="yes",V$7="Block"),INDEX($O726:$Q726,1,MATCH(V$5,$I49:$K49,0)),INDEX(Movements!$G726:$M726,1,MATCH(V$7,Movements!$G$716:$M$716,0))))
*V1200*V$8,0)</f>
        <v>0</v>
      </c>
      <c r="W555" s="198">
        <f>_xlfn.IFNA(IF(W$7="Fixed",1,IF(AND($D84="yes",W$7="Block"),INDEX($O726:$Q726,1,MATCH(W$5,$I49:$K49,0)),INDEX(Movements!$G726:$M726,1,MATCH(W$7,Movements!$G$716:$M$716,0))))
*W1200*W$8,0)</f>
        <v>0</v>
      </c>
      <c r="X555" s="198">
        <f>_xlfn.IFNA(IF(X$7="Fixed",1,IF(AND($D84="yes",X$7="Block"),INDEX($O726:$Q726,1,MATCH(X$5,$I49:$K49,0)),INDEX(Movements!$G726:$M726,1,MATCH(X$7,Movements!$G$716:$M$716,0))))
*X1200*X$8,0)</f>
        <v>0</v>
      </c>
      <c r="Y555" s="198">
        <f>_xlfn.IFNA(IF(Y$7="Fixed",1,IF(AND($D84="yes",Y$7="Block"),INDEX($O726:$Q726,1,MATCH(Y$5,$I49:$K49,0)),INDEX(Movements!$G726:$M726,1,MATCH(Y$7,Movements!$G$716:$M$716,0))))
*Y1200*Y$8,0)</f>
        <v>0</v>
      </c>
      <c r="Z555" s="198">
        <f>_xlfn.IFNA(IF(Z$7="Fixed",1,IF(AND($D84="yes",Z$7="Block"),INDEX($O726:$Q726,1,MATCH(Z$5,$I49:$K49,0)),INDEX(Movements!$G726:$M726,1,MATCH(Z$7,Movements!$G$716:$M$716,0))))
*Z1200*Z$8,0)</f>
        <v>0</v>
      </c>
      <c r="AA555" s="198">
        <f>_xlfn.IFNA(IF(AA$7="Fixed",1,IF(AND($D84="yes",AA$7="Block"),INDEX($O726:$Q726,1,MATCH(AA$5,$I49:$K49,0)),INDEX(Movements!$G726:$M726,1,MATCH(AA$7,Movements!$G$716:$M$716,0))))
*AA1200*AA$8,0)</f>
        <v>0</v>
      </c>
      <c r="AB555" s="198">
        <f>_xlfn.IFNA(IF(AB$7="Fixed",1,IF(AND($D84="yes",AB$7="Block"),INDEX($O726:$Q726,1,MATCH(AB$5,$I49:$K49,0)),INDEX(Movements!$G726:$M726,1,MATCH(AB$7,Movements!$G$716:$M$716,0))))
*AB1200*AB$8,0)</f>
        <v>0</v>
      </c>
      <c r="AC555" s="70"/>
      <c r="AD555" s="19"/>
      <c r="AE555" s="19"/>
      <c r="AF555" s="19"/>
      <c r="AG555" s="19"/>
    </row>
    <row r="556" spans="1:33" hidden="1" outlineLevel="3" x14ac:dyDescent="0.2">
      <c r="A556" s="19"/>
      <c r="B556" s="19"/>
      <c r="C556" s="506">
        <f t="shared" si="127"/>
        <v>0</v>
      </c>
      <c r="D556" s="505">
        <f t="shared" si="127"/>
        <v>0</v>
      </c>
      <c r="E556" s="505">
        <f t="shared" si="127"/>
        <v>0</v>
      </c>
      <c r="F556" s="58"/>
      <c r="G556" s="199">
        <f t="shared" si="128"/>
        <v>0</v>
      </c>
      <c r="H556" s="58"/>
      <c r="I556" s="198">
        <f>_xlfn.IFNA(IF(I$7="Fixed",1,IF(AND($D85="yes",I$7="Block"),INDEX($O727:$Q727,1,MATCH(I$5,$I50:$K50,0)),INDEX(Movements!$G727:$M727,1,MATCH(I$7,Movements!$G$716:$M$716,0))))
*I1201*I$8,0)</f>
        <v>0</v>
      </c>
      <c r="J556" s="198">
        <f>_xlfn.IFNA(IF(J$7="Fixed",1,IF(AND($D85="yes",J$7="Block"),INDEX($O727:$Q727,1,MATCH(J$5,$I50:$K50,0)),INDEX(Movements!$G727:$M727,1,MATCH(J$7,Movements!$G$716:$M$716,0))))
*J1201*J$8,0)</f>
        <v>0</v>
      </c>
      <c r="K556" s="198">
        <f>_xlfn.IFNA(IF(K$7="Fixed",1,IF(AND($D85="yes",K$7="Block"),INDEX($O727:$Q727,1,MATCH(K$5,$I50:$K50,0)),INDEX(Movements!$G727:$M727,1,MATCH(K$7,Movements!$G$716:$M$716,0))))
*K1201*K$8,0)</f>
        <v>0</v>
      </c>
      <c r="L556" s="198">
        <f>_xlfn.IFNA(IF(L$7="Fixed",1,IF(AND($D85="yes",L$7="Block"),INDEX($O727:$Q727,1,MATCH(L$5,$I50:$K50,0)),INDEX(Movements!$G727:$M727,1,MATCH(L$7,Movements!$G$716:$M$716,0))))
*L1201*L$8,0)</f>
        <v>0</v>
      </c>
      <c r="M556" s="198">
        <f>_xlfn.IFNA(IF(M$7="Fixed",1,IF(AND($D85="yes",M$7="Block"),INDEX($O727:$Q727,1,MATCH(M$5,$I50:$K50,0)),INDEX(Movements!$G727:$M727,1,MATCH(M$7,Movements!$G$716:$M$716,0))))
*M1201*M$8,0)</f>
        <v>0</v>
      </c>
      <c r="N556" s="198">
        <f>_xlfn.IFNA(IF(N$7="Fixed",1,IF(AND($D85="yes",N$7="Block"),INDEX($O727:$Q727,1,MATCH(N$5,$I50:$K50,0)),INDEX(Movements!$G727:$M727,1,MATCH(N$7,Movements!$G$716:$M$716,0))))
*N1201*N$8,0)</f>
        <v>0</v>
      </c>
      <c r="O556" s="198">
        <f>_xlfn.IFNA(IF(O$7="Fixed",1,IF(AND($D85="yes",O$7="Block"),INDEX($O727:$Q727,1,MATCH(O$5,$I50:$K50,0)),INDEX(Movements!$G727:$M727,1,MATCH(O$7,Movements!$G$716:$M$716,0))))
*O1201*O$8,0)</f>
        <v>0</v>
      </c>
      <c r="P556" s="198">
        <f>_xlfn.IFNA(IF(P$7="Fixed",1,IF(AND($D85="yes",P$7="Block"),INDEX($O727:$Q727,1,MATCH(P$5,$I50:$K50,0)),INDEX(Movements!$G727:$M727,1,MATCH(P$7,Movements!$G$716:$M$716,0))))
*P1201*P$8,0)</f>
        <v>0</v>
      </c>
      <c r="Q556" s="198">
        <f>_xlfn.IFNA(IF(Q$7="Fixed",1,IF(AND($D85="yes",Q$7="Block"),INDEX($O727:$Q727,1,MATCH(Q$5,$I50:$K50,0)),INDEX(Movements!$G727:$M727,1,MATCH(Q$7,Movements!$G$716:$M$716,0))))
*Q1201*Q$8,0)</f>
        <v>0</v>
      </c>
      <c r="R556" s="198">
        <f>_xlfn.IFNA(IF(R$7="Fixed",1,IF(AND($D85="yes",R$7="Block"),INDEX($O727:$Q727,1,MATCH(R$5,$I50:$K50,0)),INDEX(Movements!$G727:$M727,1,MATCH(R$7,Movements!$G$716:$M$716,0))))
*R1201*R$8,0)</f>
        <v>0</v>
      </c>
      <c r="S556" s="198">
        <f>_xlfn.IFNA(IF(S$7="Fixed",1,IF(AND($D85="yes",S$7="Block"),INDEX($O727:$Q727,1,MATCH(S$5,$I50:$K50,0)),INDEX(Movements!$G727:$M727,1,MATCH(S$7,Movements!$G$716:$M$716,0))))
*S1201*S$8,0)</f>
        <v>0</v>
      </c>
      <c r="T556" s="198">
        <f>_xlfn.IFNA(IF(T$7="Fixed",1,IF(AND($D85="yes",T$7="Block"),INDEX($O727:$Q727,1,MATCH(T$5,$I50:$K50,0)),INDEX(Movements!$G727:$M727,1,MATCH(T$7,Movements!$G$716:$M$716,0))))
*T1201*T$8,0)</f>
        <v>0</v>
      </c>
      <c r="U556" s="198">
        <f>_xlfn.IFNA(IF(U$7="Fixed",1,IF(AND($D85="yes",U$7="Block"),INDEX($O727:$Q727,1,MATCH(U$5,$I50:$K50,0)),INDEX(Movements!$G727:$M727,1,MATCH(U$7,Movements!$G$716:$M$716,0))))
*U1201*U$8,0)</f>
        <v>0</v>
      </c>
      <c r="V556" s="198">
        <f>_xlfn.IFNA(IF(V$7="Fixed",1,IF(AND($D85="yes",V$7="Block"),INDEX($O727:$Q727,1,MATCH(V$5,$I50:$K50,0)),INDEX(Movements!$G727:$M727,1,MATCH(V$7,Movements!$G$716:$M$716,0))))
*V1201*V$8,0)</f>
        <v>0</v>
      </c>
      <c r="W556" s="198">
        <f>_xlfn.IFNA(IF(W$7="Fixed",1,IF(AND($D85="yes",W$7="Block"),INDEX($O727:$Q727,1,MATCH(W$5,$I50:$K50,0)),INDEX(Movements!$G727:$M727,1,MATCH(W$7,Movements!$G$716:$M$716,0))))
*W1201*W$8,0)</f>
        <v>0</v>
      </c>
      <c r="X556" s="198">
        <f>_xlfn.IFNA(IF(X$7="Fixed",1,IF(AND($D85="yes",X$7="Block"),INDEX($O727:$Q727,1,MATCH(X$5,$I50:$K50,0)),INDEX(Movements!$G727:$M727,1,MATCH(X$7,Movements!$G$716:$M$716,0))))
*X1201*X$8,0)</f>
        <v>0</v>
      </c>
      <c r="Y556" s="198">
        <f>_xlfn.IFNA(IF(Y$7="Fixed",1,IF(AND($D85="yes",Y$7="Block"),INDEX($O727:$Q727,1,MATCH(Y$5,$I50:$K50,0)),INDEX(Movements!$G727:$M727,1,MATCH(Y$7,Movements!$G$716:$M$716,0))))
*Y1201*Y$8,0)</f>
        <v>0</v>
      </c>
      <c r="Z556" s="198">
        <f>_xlfn.IFNA(IF(Z$7="Fixed",1,IF(AND($D85="yes",Z$7="Block"),INDEX($O727:$Q727,1,MATCH(Z$5,$I50:$K50,0)),INDEX(Movements!$G727:$M727,1,MATCH(Z$7,Movements!$G$716:$M$716,0))))
*Z1201*Z$8,0)</f>
        <v>0</v>
      </c>
      <c r="AA556" s="198">
        <f>_xlfn.IFNA(IF(AA$7="Fixed",1,IF(AND($D85="yes",AA$7="Block"),INDEX($O727:$Q727,1,MATCH(AA$5,$I50:$K50,0)),INDEX(Movements!$G727:$M727,1,MATCH(AA$7,Movements!$G$716:$M$716,0))))
*AA1201*AA$8,0)</f>
        <v>0</v>
      </c>
      <c r="AB556" s="198">
        <f>_xlfn.IFNA(IF(AB$7="Fixed",1,IF(AND($D85="yes",AB$7="Block"),INDEX($O727:$Q727,1,MATCH(AB$5,$I50:$K50,0)),INDEX(Movements!$G727:$M727,1,MATCH(AB$7,Movements!$G$716:$M$716,0))))
*AB1201*AB$8,0)</f>
        <v>0</v>
      </c>
      <c r="AC556" s="70"/>
      <c r="AD556" s="19"/>
      <c r="AE556" s="19"/>
      <c r="AF556" s="19"/>
      <c r="AG556" s="19"/>
    </row>
    <row r="557" spans="1:33" hidden="1" outlineLevel="3" x14ac:dyDescent="0.2">
      <c r="A557" s="19"/>
      <c r="B557" s="19"/>
      <c r="C557" s="506">
        <f t="shared" si="127"/>
        <v>0</v>
      </c>
      <c r="D557" s="505">
        <f t="shared" si="127"/>
        <v>0</v>
      </c>
      <c r="E557" s="505">
        <f t="shared" si="127"/>
        <v>0</v>
      </c>
      <c r="F557" s="58"/>
      <c r="G557" s="199">
        <f t="shared" si="128"/>
        <v>0</v>
      </c>
      <c r="H557" s="58"/>
      <c r="I557" s="198">
        <f>_xlfn.IFNA(IF(I$7="Fixed",1,IF(AND($D86="yes",I$7="Block"),INDEX($O728:$Q728,1,MATCH(I$5,$I51:$K51,0)),INDEX(Movements!$G728:$M728,1,MATCH(I$7,Movements!$G$716:$M$716,0))))
*I1202*I$8,0)</f>
        <v>0</v>
      </c>
      <c r="J557" s="198">
        <f>_xlfn.IFNA(IF(J$7="Fixed",1,IF(AND($D86="yes",J$7="Block"),INDEX($O728:$Q728,1,MATCH(J$5,$I51:$K51,0)),INDEX(Movements!$G728:$M728,1,MATCH(J$7,Movements!$G$716:$M$716,0))))
*J1202*J$8,0)</f>
        <v>0</v>
      </c>
      <c r="K557" s="198">
        <f>_xlfn.IFNA(IF(K$7="Fixed",1,IF(AND($D86="yes",K$7="Block"),INDEX($O728:$Q728,1,MATCH(K$5,$I51:$K51,0)),INDEX(Movements!$G728:$M728,1,MATCH(K$7,Movements!$G$716:$M$716,0))))
*K1202*K$8,0)</f>
        <v>0</v>
      </c>
      <c r="L557" s="198">
        <f>_xlfn.IFNA(IF(L$7="Fixed",1,IF(AND($D86="yes",L$7="Block"),INDEX($O728:$Q728,1,MATCH(L$5,$I51:$K51,0)),INDEX(Movements!$G728:$M728,1,MATCH(L$7,Movements!$G$716:$M$716,0))))
*L1202*L$8,0)</f>
        <v>0</v>
      </c>
      <c r="M557" s="198">
        <f>_xlfn.IFNA(IF(M$7="Fixed",1,IF(AND($D86="yes",M$7="Block"),INDEX($O728:$Q728,1,MATCH(M$5,$I51:$K51,0)),INDEX(Movements!$G728:$M728,1,MATCH(M$7,Movements!$G$716:$M$716,0))))
*M1202*M$8,0)</f>
        <v>0</v>
      </c>
      <c r="N557" s="198">
        <f>_xlfn.IFNA(IF(N$7="Fixed",1,IF(AND($D86="yes",N$7="Block"),INDEX($O728:$Q728,1,MATCH(N$5,$I51:$K51,0)),INDEX(Movements!$G728:$M728,1,MATCH(N$7,Movements!$G$716:$M$716,0))))
*N1202*N$8,0)</f>
        <v>0</v>
      </c>
      <c r="O557" s="198">
        <f>_xlfn.IFNA(IF(O$7="Fixed",1,IF(AND($D86="yes",O$7="Block"),INDEX($O728:$Q728,1,MATCH(O$5,$I51:$K51,0)),INDEX(Movements!$G728:$M728,1,MATCH(O$7,Movements!$G$716:$M$716,0))))
*O1202*O$8,0)</f>
        <v>0</v>
      </c>
      <c r="P557" s="198">
        <f>_xlfn.IFNA(IF(P$7="Fixed",1,IF(AND($D86="yes",P$7="Block"),INDEX($O728:$Q728,1,MATCH(P$5,$I51:$K51,0)),INDEX(Movements!$G728:$M728,1,MATCH(P$7,Movements!$G$716:$M$716,0))))
*P1202*P$8,0)</f>
        <v>0</v>
      </c>
      <c r="Q557" s="198">
        <f>_xlfn.IFNA(IF(Q$7="Fixed",1,IF(AND($D86="yes",Q$7="Block"),INDEX($O728:$Q728,1,MATCH(Q$5,$I51:$K51,0)),INDEX(Movements!$G728:$M728,1,MATCH(Q$7,Movements!$G$716:$M$716,0))))
*Q1202*Q$8,0)</f>
        <v>0</v>
      </c>
      <c r="R557" s="198">
        <f>_xlfn.IFNA(IF(R$7="Fixed",1,IF(AND($D86="yes",R$7="Block"),INDEX($O728:$Q728,1,MATCH(R$5,$I51:$K51,0)),INDEX(Movements!$G728:$M728,1,MATCH(R$7,Movements!$G$716:$M$716,0))))
*R1202*R$8,0)</f>
        <v>0</v>
      </c>
      <c r="S557" s="198">
        <f>_xlfn.IFNA(IF(S$7="Fixed",1,IF(AND($D86="yes",S$7="Block"),INDEX($O728:$Q728,1,MATCH(S$5,$I51:$K51,0)),INDEX(Movements!$G728:$M728,1,MATCH(S$7,Movements!$G$716:$M$716,0))))
*S1202*S$8,0)</f>
        <v>0</v>
      </c>
      <c r="T557" s="198">
        <f>_xlfn.IFNA(IF(T$7="Fixed",1,IF(AND($D86="yes",T$7="Block"),INDEX($O728:$Q728,1,MATCH(T$5,$I51:$K51,0)),INDEX(Movements!$G728:$M728,1,MATCH(T$7,Movements!$G$716:$M$716,0))))
*T1202*T$8,0)</f>
        <v>0</v>
      </c>
      <c r="U557" s="198">
        <f>_xlfn.IFNA(IF(U$7="Fixed",1,IF(AND($D86="yes",U$7="Block"),INDEX($O728:$Q728,1,MATCH(U$5,$I51:$K51,0)),INDEX(Movements!$G728:$M728,1,MATCH(U$7,Movements!$G$716:$M$716,0))))
*U1202*U$8,0)</f>
        <v>0</v>
      </c>
      <c r="V557" s="198">
        <f>_xlfn.IFNA(IF(V$7="Fixed",1,IF(AND($D86="yes",V$7="Block"),INDEX($O728:$Q728,1,MATCH(V$5,$I51:$K51,0)),INDEX(Movements!$G728:$M728,1,MATCH(V$7,Movements!$G$716:$M$716,0))))
*V1202*V$8,0)</f>
        <v>0</v>
      </c>
      <c r="W557" s="198">
        <f>_xlfn.IFNA(IF(W$7="Fixed",1,IF(AND($D86="yes",W$7="Block"),INDEX($O728:$Q728,1,MATCH(W$5,$I51:$K51,0)),INDEX(Movements!$G728:$M728,1,MATCH(W$7,Movements!$G$716:$M$716,0))))
*W1202*W$8,0)</f>
        <v>0</v>
      </c>
      <c r="X557" s="198">
        <f>_xlfn.IFNA(IF(X$7="Fixed",1,IF(AND($D86="yes",X$7="Block"),INDEX($O728:$Q728,1,MATCH(X$5,$I51:$K51,0)),INDEX(Movements!$G728:$M728,1,MATCH(X$7,Movements!$G$716:$M$716,0))))
*X1202*X$8,0)</f>
        <v>0</v>
      </c>
      <c r="Y557" s="198">
        <f>_xlfn.IFNA(IF(Y$7="Fixed",1,IF(AND($D86="yes",Y$7="Block"),INDEX($O728:$Q728,1,MATCH(Y$5,$I51:$K51,0)),INDEX(Movements!$G728:$M728,1,MATCH(Y$7,Movements!$G$716:$M$716,0))))
*Y1202*Y$8,0)</f>
        <v>0</v>
      </c>
      <c r="Z557" s="198">
        <f>_xlfn.IFNA(IF(Z$7="Fixed",1,IF(AND($D86="yes",Z$7="Block"),INDEX($O728:$Q728,1,MATCH(Z$5,$I51:$K51,0)),INDEX(Movements!$G728:$M728,1,MATCH(Z$7,Movements!$G$716:$M$716,0))))
*Z1202*Z$8,0)</f>
        <v>0</v>
      </c>
      <c r="AA557" s="198">
        <f>_xlfn.IFNA(IF(AA$7="Fixed",1,IF(AND($D86="yes",AA$7="Block"),INDEX($O728:$Q728,1,MATCH(AA$5,$I51:$K51,0)),INDEX(Movements!$G728:$M728,1,MATCH(AA$7,Movements!$G$716:$M$716,0))))
*AA1202*AA$8,0)</f>
        <v>0</v>
      </c>
      <c r="AB557" s="198">
        <f>_xlfn.IFNA(IF(AB$7="Fixed",1,IF(AND($D86="yes",AB$7="Block"),INDEX($O728:$Q728,1,MATCH(AB$5,$I51:$K51,0)),INDEX(Movements!$G728:$M728,1,MATCH(AB$7,Movements!$G$716:$M$716,0))))
*AB1202*AB$8,0)</f>
        <v>0</v>
      </c>
      <c r="AC557" s="70"/>
      <c r="AD557" s="19"/>
      <c r="AE557" s="19"/>
      <c r="AF557" s="19"/>
      <c r="AG557" s="19"/>
    </row>
    <row r="558" spans="1:33" hidden="1" outlineLevel="3" x14ac:dyDescent="0.2">
      <c r="A558" s="19"/>
      <c r="B558" s="19"/>
      <c r="C558" s="506">
        <f t="shared" si="127"/>
        <v>0</v>
      </c>
      <c r="D558" s="505">
        <f t="shared" si="127"/>
        <v>0</v>
      </c>
      <c r="E558" s="505">
        <f t="shared" si="127"/>
        <v>0</v>
      </c>
      <c r="F558" s="58"/>
      <c r="G558" s="199">
        <f t="shared" si="128"/>
        <v>0</v>
      </c>
      <c r="H558" s="58"/>
      <c r="I558" s="198">
        <f>_xlfn.IFNA(IF(I$7="Fixed",1,IF(AND($D87="yes",I$7="Block"),INDEX($O729:$Q729,1,MATCH(I$5,$I52:$K52,0)),INDEX(Movements!$G729:$M729,1,MATCH(I$7,Movements!$G$716:$M$716,0))))
*I1203*I$8,0)</f>
        <v>0</v>
      </c>
      <c r="J558" s="198">
        <f>_xlfn.IFNA(IF(J$7="Fixed",1,IF(AND($D87="yes",J$7="Block"),INDEX($O729:$Q729,1,MATCH(J$5,$I52:$K52,0)),INDEX(Movements!$G729:$M729,1,MATCH(J$7,Movements!$G$716:$M$716,0))))
*J1203*J$8,0)</f>
        <v>0</v>
      </c>
      <c r="K558" s="198">
        <f>_xlfn.IFNA(IF(K$7="Fixed",1,IF(AND($D87="yes",K$7="Block"),INDEX($O729:$Q729,1,MATCH(K$5,$I52:$K52,0)),INDEX(Movements!$G729:$M729,1,MATCH(K$7,Movements!$G$716:$M$716,0))))
*K1203*K$8,0)</f>
        <v>0</v>
      </c>
      <c r="L558" s="198">
        <f>_xlfn.IFNA(IF(L$7="Fixed",1,IF(AND($D87="yes",L$7="Block"),INDEX($O729:$Q729,1,MATCH(L$5,$I52:$K52,0)),INDEX(Movements!$G729:$M729,1,MATCH(L$7,Movements!$G$716:$M$716,0))))
*L1203*L$8,0)</f>
        <v>0</v>
      </c>
      <c r="M558" s="198">
        <f>_xlfn.IFNA(IF(M$7="Fixed",1,IF(AND($D87="yes",M$7="Block"),INDEX($O729:$Q729,1,MATCH(M$5,$I52:$K52,0)),INDEX(Movements!$G729:$M729,1,MATCH(M$7,Movements!$G$716:$M$716,0))))
*M1203*M$8,0)</f>
        <v>0</v>
      </c>
      <c r="N558" s="198">
        <f>_xlfn.IFNA(IF(N$7="Fixed",1,IF(AND($D87="yes",N$7="Block"),INDEX($O729:$Q729,1,MATCH(N$5,$I52:$K52,0)),INDEX(Movements!$G729:$M729,1,MATCH(N$7,Movements!$G$716:$M$716,0))))
*N1203*N$8,0)</f>
        <v>0</v>
      </c>
      <c r="O558" s="198">
        <f>_xlfn.IFNA(IF(O$7="Fixed",1,IF(AND($D87="yes",O$7="Block"),INDEX($O729:$Q729,1,MATCH(O$5,$I52:$K52,0)),INDEX(Movements!$G729:$M729,1,MATCH(O$7,Movements!$G$716:$M$716,0))))
*O1203*O$8,0)</f>
        <v>0</v>
      </c>
      <c r="P558" s="198">
        <f>_xlfn.IFNA(IF(P$7="Fixed",1,IF(AND($D87="yes",P$7="Block"),INDEX($O729:$Q729,1,MATCH(P$5,$I52:$K52,0)),INDEX(Movements!$G729:$M729,1,MATCH(P$7,Movements!$G$716:$M$716,0))))
*P1203*P$8,0)</f>
        <v>0</v>
      </c>
      <c r="Q558" s="198">
        <f>_xlfn.IFNA(IF(Q$7="Fixed",1,IF(AND($D87="yes",Q$7="Block"),INDEX($O729:$Q729,1,MATCH(Q$5,$I52:$K52,0)),INDEX(Movements!$G729:$M729,1,MATCH(Q$7,Movements!$G$716:$M$716,0))))
*Q1203*Q$8,0)</f>
        <v>0</v>
      </c>
      <c r="R558" s="198">
        <f>_xlfn.IFNA(IF(R$7="Fixed",1,IF(AND($D87="yes",R$7="Block"),INDEX($O729:$Q729,1,MATCH(R$5,$I52:$K52,0)),INDEX(Movements!$G729:$M729,1,MATCH(R$7,Movements!$G$716:$M$716,0))))
*R1203*R$8,0)</f>
        <v>0</v>
      </c>
      <c r="S558" s="198">
        <f>_xlfn.IFNA(IF(S$7="Fixed",1,IF(AND($D87="yes",S$7="Block"),INDEX($O729:$Q729,1,MATCH(S$5,$I52:$K52,0)),INDEX(Movements!$G729:$M729,1,MATCH(S$7,Movements!$G$716:$M$716,0))))
*S1203*S$8,0)</f>
        <v>0</v>
      </c>
      <c r="T558" s="198">
        <f>_xlfn.IFNA(IF(T$7="Fixed",1,IF(AND($D87="yes",T$7="Block"),INDEX($O729:$Q729,1,MATCH(T$5,$I52:$K52,0)),INDEX(Movements!$G729:$M729,1,MATCH(T$7,Movements!$G$716:$M$716,0))))
*T1203*T$8,0)</f>
        <v>0</v>
      </c>
      <c r="U558" s="198">
        <f>_xlfn.IFNA(IF(U$7="Fixed",1,IF(AND($D87="yes",U$7="Block"),INDEX($O729:$Q729,1,MATCH(U$5,$I52:$K52,0)),INDEX(Movements!$G729:$M729,1,MATCH(U$7,Movements!$G$716:$M$716,0))))
*U1203*U$8,0)</f>
        <v>0</v>
      </c>
      <c r="V558" s="198">
        <f>_xlfn.IFNA(IF(V$7="Fixed",1,IF(AND($D87="yes",V$7="Block"),INDEX($O729:$Q729,1,MATCH(V$5,$I52:$K52,0)),INDEX(Movements!$G729:$M729,1,MATCH(V$7,Movements!$G$716:$M$716,0))))
*V1203*V$8,0)</f>
        <v>0</v>
      </c>
      <c r="W558" s="198">
        <f>_xlfn.IFNA(IF(W$7="Fixed",1,IF(AND($D87="yes",W$7="Block"),INDEX($O729:$Q729,1,MATCH(W$5,$I52:$K52,0)),INDEX(Movements!$G729:$M729,1,MATCH(W$7,Movements!$G$716:$M$716,0))))
*W1203*W$8,0)</f>
        <v>0</v>
      </c>
      <c r="X558" s="198">
        <f>_xlfn.IFNA(IF(X$7="Fixed",1,IF(AND($D87="yes",X$7="Block"),INDEX($O729:$Q729,1,MATCH(X$5,$I52:$K52,0)),INDEX(Movements!$G729:$M729,1,MATCH(X$7,Movements!$G$716:$M$716,0))))
*X1203*X$8,0)</f>
        <v>0</v>
      </c>
      <c r="Y558" s="198">
        <f>_xlfn.IFNA(IF(Y$7="Fixed",1,IF(AND($D87="yes",Y$7="Block"),INDEX($O729:$Q729,1,MATCH(Y$5,$I52:$K52,0)),INDEX(Movements!$G729:$M729,1,MATCH(Y$7,Movements!$G$716:$M$716,0))))
*Y1203*Y$8,0)</f>
        <v>0</v>
      </c>
      <c r="Z558" s="198">
        <f>_xlfn.IFNA(IF(Z$7="Fixed",1,IF(AND($D87="yes",Z$7="Block"),INDEX($O729:$Q729,1,MATCH(Z$5,$I52:$K52,0)),INDEX(Movements!$G729:$M729,1,MATCH(Z$7,Movements!$G$716:$M$716,0))))
*Z1203*Z$8,0)</f>
        <v>0</v>
      </c>
      <c r="AA558" s="198">
        <f>_xlfn.IFNA(IF(AA$7="Fixed",1,IF(AND($D87="yes",AA$7="Block"),INDEX($O729:$Q729,1,MATCH(AA$5,$I52:$K52,0)),INDEX(Movements!$G729:$M729,1,MATCH(AA$7,Movements!$G$716:$M$716,0))))
*AA1203*AA$8,0)</f>
        <v>0</v>
      </c>
      <c r="AB558" s="198">
        <f>_xlfn.IFNA(IF(AB$7="Fixed",1,IF(AND($D87="yes",AB$7="Block"),INDEX($O729:$Q729,1,MATCH(AB$5,$I52:$K52,0)),INDEX(Movements!$G729:$M729,1,MATCH(AB$7,Movements!$G$716:$M$716,0))))
*AB1203*AB$8,0)</f>
        <v>0</v>
      </c>
      <c r="AC558" s="70"/>
      <c r="AD558" s="19"/>
      <c r="AE558" s="19"/>
      <c r="AF558" s="19"/>
      <c r="AG558" s="19"/>
    </row>
    <row r="559" spans="1:33" hidden="1" outlineLevel="3" x14ac:dyDescent="0.2">
      <c r="A559" s="19"/>
      <c r="B559" s="19"/>
      <c r="C559" s="506">
        <f t="shared" si="127"/>
        <v>0</v>
      </c>
      <c r="D559" s="505">
        <f t="shared" si="127"/>
        <v>0</v>
      </c>
      <c r="E559" s="505">
        <f t="shared" si="127"/>
        <v>0</v>
      </c>
      <c r="F559" s="58"/>
      <c r="G559" s="199">
        <f t="shared" si="128"/>
        <v>0</v>
      </c>
      <c r="H559" s="58"/>
      <c r="I559" s="198">
        <f>_xlfn.IFNA(IF(I$7="Fixed",1,IF(AND($D88="yes",I$7="Block"),INDEX($O730:$Q730,1,MATCH(I$5,$I53:$K53,0)),INDEX(Movements!$G730:$M730,1,MATCH(I$7,Movements!$G$716:$M$716,0))))
*I1204*I$8,0)</f>
        <v>0</v>
      </c>
      <c r="J559" s="198">
        <f>_xlfn.IFNA(IF(J$7="Fixed",1,IF(AND($D88="yes",J$7="Block"),INDEX($O730:$Q730,1,MATCH(J$5,$I53:$K53,0)),INDEX(Movements!$G730:$M730,1,MATCH(J$7,Movements!$G$716:$M$716,0))))
*J1204*J$8,0)</f>
        <v>0</v>
      </c>
      <c r="K559" s="198">
        <f>_xlfn.IFNA(IF(K$7="Fixed",1,IF(AND($D88="yes",K$7="Block"),INDEX($O730:$Q730,1,MATCH(K$5,$I53:$K53,0)),INDEX(Movements!$G730:$M730,1,MATCH(K$7,Movements!$G$716:$M$716,0))))
*K1204*K$8,0)</f>
        <v>0</v>
      </c>
      <c r="L559" s="198">
        <f>_xlfn.IFNA(IF(L$7="Fixed",1,IF(AND($D88="yes",L$7="Block"),INDEX($O730:$Q730,1,MATCH(L$5,$I53:$K53,0)),INDEX(Movements!$G730:$M730,1,MATCH(L$7,Movements!$G$716:$M$716,0))))
*L1204*L$8,0)</f>
        <v>0</v>
      </c>
      <c r="M559" s="198">
        <f>_xlfn.IFNA(IF(M$7="Fixed",1,IF(AND($D88="yes",M$7="Block"),INDEX($O730:$Q730,1,MATCH(M$5,$I53:$K53,0)),INDEX(Movements!$G730:$M730,1,MATCH(M$7,Movements!$G$716:$M$716,0))))
*M1204*M$8,0)</f>
        <v>0</v>
      </c>
      <c r="N559" s="198">
        <f>_xlfn.IFNA(IF(N$7="Fixed",1,IF(AND($D88="yes",N$7="Block"),INDEX($O730:$Q730,1,MATCH(N$5,$I53:$K53,0)),INDEX(Movements!$G730:$M730,1,MATCH(N$7,Movements!$G$716:$M$716,0))))
*N1204*N$8,0)</f>
        <v>0</v>
      </c>
      <c r="O559" s="198">
        <f>_xlfn.IFNA(IF(O$7="Fixed",1,IF(AND($D88="yes",O$7="Block"),INDEX($O730:$Q730,1,MATCH(O$5,$I53:$K53,0)),INDEX(Movements!$G730:$M730,1,MATCH(O$7,Movements!$G$716:$M$716,0))))
*O1204*O$8,0)</f>
        <v>0</v>
      </c>
      <c r="P559" s="198">
        <f>_xlfn.IFNA(IF(P$7="Fixed",1,IF(AND($D88="yes",P$7="Block"),INDEX($O730:$Q730,1,MATCH(P$5,$I53:$K53,0)),INDEX(Movements!$G730:$M730,1,MATCH(P$7,Movements!$G$716:$M$716,0))))
*P1204*P$8,0)</f>
        <v>0</v>
      </c>
      <c r="Q559" s="198">
        <f>_xlfn.IFNA(IF(Q$7="Fixed",1,IF(AND($D88="yes",Q$7="Block"),INDEX($O730:$Q730,1,MATCH(Q$5,$I53:$K53,0)),INDEX(Movements!$G730:$M730,1,MATCH(Q$7,Movements!$G$716:$M$716,0))))
*Q1204*Q$8,0)</f>
        <v>0</v>
      </c>
      <c r="R559" s="198">
        <f>_xlfn.IFNA(IF(R$7="Fixed",1,IF(AND($D88="yes",R$7="Block"),INDEX($O730:$Q730,1,MATCH(R$5,$I53:$K53,0)),INDEX(Movements!$G730:$M730,1,MATCH(R$7,Movements!$G$716:$M$716,0))))
*R1204*R$8,0)</f>
        <v>0</v>
      </c>
      <c r="S559" s="198">
        <f>_xlfn.IFNA(IF(S$7="Fixed",1,IF(AND($D88="yes",S$7="Block"),INDEX($O730:$Q730,1,MATCH(S$5,$I53:$K53,0)),INDEX(Movements!$G730:$M730,1,MATCH(S$7,Movements!$G$716:$M$716,0))))
*S1204*S$8,0)</f>
        <v>0</v>
      </c>
      <c r="T559" s="198">
        <f>_xlfn.IFNA(IF(T$7="Fixed",1,IF(AND($D88="yes",T$7="Block"),INDEX($O730:$Q730,1,MATCH(T$5,$I53:$K53,0)),INDEX(Movements!$G730:$M730,1,MATCH(T$7,Movements!$G$716:$M$716,0))))
*T1204*T$8,0)</f>
        <v>0</v>
      </c>
      <c r="U559" s="198">
        <f>_xlfn.IFNA(IF(U$7="Fixed",1,IF(AND($D88="yes",U$7="Block"),INDEX($O730:$Q730,1,MATCH(U$5,$I53:$K53,0)),INDEX(Movements!$G730:$M730,1,MATCH(U$7,Movements!$G$716:$M$716,0))))
*U1204*U$8,0)</f>
        <v>0</v>
      </c>
      <c r="V559" s="198">
        <f>_xlfn.IFNA(IF(V$7="Fixed",1,IF(AND($D88="yes",V$7="Block"),INDEX($O730:$Q730,1,MATCH(V$5,$I53:$K53,0)),INDEX(Movements!$G730:$M730,1,MATCH(V$7,Movements!$G$716:$M$716,0))))
*V1204*V$8,0)</f>
        <v>0</v>
      </c>
      <c r="W559" s="198">
        <f>_xlfn.IFNA(IF(W$7="Fixed",1,IF(AND($D88="yes",W$7="Block"),INDEX($O730:$Q730,1,MATCH(W$5,$I53:$K53,0)),INDEX(Movements!$G730:$M730,1,MATCH(W$7,Movements!$G$716:$M$716,0))))
*W1204*W$8,0)</f>
        <v>0</v>
      </c>
      <c r="X559" s="198">
        <f>_xlfn.IFNA(IF(X$7="Fixed",1,IF(AND($D88="yes",X$7="Block"),INDEX($O730:$Q730,1,MATCH(X$5,$I53:$K53,0)),INDEX(Movements!$G730:$M730,1,MATCH(X$7,Movements!$G$716:$M$716,0))))
*X1204*X$8,0)</f>
        <v>0</v>
      </c>
      <c r="Y559" s="198">
        <f>_xlfn.IFNA(IF(Y$7="Fixed",1,IF(AND($D88="yes",Y$7="Block"),INDEX($O730:$Q730,1,MATCH(Y$5,$I53:$K53,0)),INDEX(Movements!$G730:$M730,1,MATCH(Y$7,Movements!$G$716:$M$716,0))))
*Y1204*Y$8,0)</f>
        <v>0</v>
      </c>
      <c r="Z559" s="198">
        <f>_xlfn.IFNA(IF(Z$7="Fixed",1,IF(AND($D88="yes",Z$7="Block"),INDEX($O730:$Q730,1,MATCH(Z$5,$I53:$K53,0)),INDEX(Movements!$G730:$M730,1,MATCH(Z$7,Movements!$G$716:$M$716,0))))
*Z1204*Z$8,0)</f>
        <v>0</v>
      </c>
      <c r="AA559" s="198">
        <f>_xlfn.IFNA(IF(AA$7="Fixed",1,IF(AND($D88="yes",AA$7="Block"),INDEX($O730:$Q730,1,MATCH(AA$5,$I53:$K53,0)),INDEX(Movements!$G730:$M730,1,MATCH(AA$7,Movements!$G$716:$M$716,0))))
*AA1204*AA$8,0)</f>
        <v>0</v>
      </c>
      <c r="AB559" s="198">
        <f>_xlfn.IFNA(IF(AB$7="Fixed",1,IF(AND($D88="yes",AB$7="Block"),INDEX($O730:$Q730,1,MATCH(AB$5,$I53:$K53,0)),INDEX(Movements!$G730:$M730,1,MATCH(AB$7,Movements!$G$716:$M$716,0))))
*AB1204*AB$8,0)</f>
        <v>0</v>
      </c>
      <c r="AC559" s="70"/>
      <c r="AD559" s="19"/>
      <c r="AE559" s="19"/>
      <c r="AF559" s="19"/>
      <c r="AG559" s="19"/>
    </row>
    <row r="560" spans="1:33" hidden="1" outlineLevel="3" x14ac:dyDescent="0.2">
      <c r="A560" s="19"/>
      <c r="B560" s="19"/>
      <c r="C560" s="506">
        <f t="shared" si="127"/>
        <v>0</v>
      </c>
      <c r="D560" s="505">
        <f t="shared" si="127"/>
        <v>0</v>
      </c>
      <c r="E560" s="505">
        <f t="shared" si="127"/>
        <v>0</v>
      </c>
      <c r="F560" s="58"/>
      <c r="G560" s="199">
        <f t="shared" si="128"/>
        <v>0</v>
      </c>
      <c r="H560" s="58"/>
      <c r="I560" s="198">
        <f>_xlfn.IFNA(IF(I$7="Fixed",1,IF(AND($D89="yes",I$7="Block"),INDEX($O731:$Q731,1,MATCH(I$5,$I54:$K54,0)),INDEX(Movements!$G731:$M731,1,MATCH(I$7,Movements!$G$716:$M$716,0))))
*I1205*I$8,0)</f>
        <v>0</v>
      </c>
      <c r="J560" s="198">
        <f>_xlfn.IFNA(IF(J$7="Fixed",1,IF(AND($D89="yes",J$7="Block"),INDEX($O731:$Q731,1,MATCH(J$5,$I54:$K54,0)),INDEX(Movements!$G731:$M731,1,MATCH(J$7,Movements!$G$716:$M$716,0))))
*J1205*J$8,0)</f>
        <v>0</v>
      </c>
      <c r="K560" s="198">
        <f>_xlfn.IFNA(IF(K$7="Fixed",1,IF(AND($D89="yes",K$7="Block"),INDEX($O731:$Q731,1,MATCH(K$5,$I54:$K54,0)),INDEX(Movements!$G731:$M731,1,MATCH(K$7,Movements!$G$716:$M$716,0))))
*K1205*K$8,0)</f>
        <v>0</v>
      </c>
      <c r="L560" s="198">
        <f>_xlfn.IFNA(IF(L$7="Fixed",1,IF(AND($D89="yes",L$7="Block"),INDEX($O731:$Q731,1,MATCH(L$5,$I54:$K54,0)),INDEX(Movements!$G731:$M731,1,MATCH(L$7,Movements!$G$716:$M$716,0))))
*L1205*L$8,0)</f>
        <v>0</v>
      </c>
      <c r="M560" s="198">
        <f>_xlfn.IFNA(IF(M$7="Fixed",1,IF(AND($D89="yes",M$7="Block"),INDEX($O731:$Q731,1,MATCH(M$5,$I54:$K54,0)),INDEX(Movements!$G731:$M731,1,MATCH(M$7,Movements!$G$716:$M$716,0))))
*M1205*M$8,0)</f>
        <v>0</v>
      </c>
      <c r="N560" s="198">
        <f>_xlfn.IFNA(IF(N$7="Fixed",1,IF(AND($D89="yes",N$7="Block"),INDEX($O731:$Q731,1,MATCH(N$5,$I54:$K54,0)),INDEX(Movements!$G731:$M731,1,MATCH(N$7,Movements!$G$716:$M$716,0))))
*N1205*N$8,0)</f>
        <v>0</v>
      </c>
      <c r="O560" s="198">
        <f>_xlfn.IFNA(IF(O$7="Fixed",1,IF(AND($D89="yes",O$7="Block"),INDEX($O731:$Q731,1,MATCH(O$5,$I54:$K54,0)),INDEX(Movements!$G731:$M731,1,MATCH(O$7,Movements!$G$716:$M$716,0))))
*O1205*O$8,0)</f>
        <v>0</v>
      </c>
      <c r="P560" s="198">
        <f>_xlfn.IFNA(IF(P$7="Fixed",1,IF(AND($D89="yes",P$7="Block"),INDEX($O731:$Q731,1,MATCH(P$5,$I54:$K54,0)),INDEX(Movements!$G731:$M731,1,MATCH(P$7,Movements!$G$716:$M$716,0))))
*P1205*P$8,0)</f>
        <v>0</v>
      </c>
      <c r="Q560" s="198">
        <f>_xlfn.IFNA(IF(Q$7="Fixed",1,IF(AND($D89="yes",Q$7="Block"),INDEX($O731:$Q731,1,MATCH(Q$5,$I54:$K54,0)),INDEX(Movements!$G731:$M731,1,MATCH(Q$7,Movements!$G$716:$M$716,0))))
*Q1205*Q$8,0)</f>
        <v>0</v>
      </c>
      <c r="R560" s="198">
        <f>_xlfn.IFNA(IF(R$7="Fixed",1,IF(AND($D89="yes",R$7="Block"),INDEX($O731:$Q731,1,MATCH(R$5,$I54:$K54,0)),INDEX(Movements!$G731:$M731,1,MATCH(R$7,Movements!$G$716:$M$716,0))))
*R1205*R$8,0)</f>
        <v>0</v>
      </c>
      <c r="S560" s="198">
        <f>_xlfn.IFNA(IF(S$7="Fixed",1,IF(AND($D89="yes",S$7="Block"),INDEX($O731:$Q731,1,MATCH(S$5,$I54:$K54,0)),INDEX(Movements!$G731:$M731,1,MATCH(S$7,Movements!$G$716:$M$716,0))))
*S1205*S$8,0)</f>
        <v>0</v>
      </c>
      <c r="T560" s="198">
        <f>_xlfn.IFNA(IF(T$7="Fixed",1,IF(AND($D89="yes",T$7="Block"),INDEX($O731:$Q731,1,MATCH(T$5,$I54:$K54,0)),INDEX(Movements!$G731:$M731,1,MATCH(T$7,Movements!$G$716:$M$716,0))))
*T1205*T$8,0)</f>
        <v>0</v>
      </c>
      <c r="U560" s="198">
        <f>_xlfn.IFNA(IF(U$7="Fixed",1,IF(AND($D89="yes",U$7="Block"),INDEX($O731:$Q731,1,MATCH(U$5,$I54:$K54,0)),INDEX(Movements!$G731:$M731,1,MATCH(U$7,Movements!$G$716:$M$716,0))))
*U1205*U$8,0)</f>
        <v>0</v>
      </c>
      <c r="V560" s="198">
        <f>_xlfn.IFNA(IF(V$7="Fixed",1,IF(AND($D89="yes",V$7="Block"),INDEX($O731:$Q731,1,MATCH(V$5,$I54:$K54,0)),INDEX(Movements!$G731:$M731,1,MATCH(V$7,Movements!$G$716:$M$716,0))))
*V1205*V$8,0)</f>
        <v>0</v>
      </c>
      <c r="W560" s="198">
        <f>_xlfn.IFNA(IF(W$7="Fixed",1,IF(AND($D89="yes",W$7="Block"),INDEX($O731:$Q731,1,MATCH(W$5,$I54:$K54,0)),INDEX(Movements!$G731:$M731,1,MATCH(W$7,Movements!$G$716:$M$716,0))))
*W1205*W$8,0)</f>
        <v>0</v>
      </c>
      <c r="X560" s="198">
        <f>_xlfn.IFNA(IF(X$7="Fixed",1,IF(AND($D89="yes",X$7="Block"),INDEX($O731:$Q731,1,MATCH(X$5,$I54:$K54,0)),INDEX(Movements!$G731:$M731,1,MATCH(X$7,Movements!$G$716:$M$716,0))))
*X1205*X$8,0)</f>
        <v>0</v>
      </c>
      <c r="Y560" s="198">
        <f>_xlfn.IFNA(IF(Y$7="Fixed",1,IF(AND($D89="yes",Y$7="Block"),INDEX($O731:$Q731,1,MATCH(Y$5,$I54:$K54,0)),INDEX(Movements!$G731:$M731,1,MATCH(Y$7,Movements!$G$716:$M$716,0))))
*Y1205*Y$8,0)</f>
        <v>0</v>
      </c>
      <c r="Z560" s="198">
        <f>_xlfn.IFNA(IF(Z$7="Fixed",1,IF(AND($D89="yes",Z$7="Block"),INDEX($O731:$Q731,1,MATCH(Z$5,$I54:$K54,0)),INDEX(Movements!$G731:$M731,1,MATCH(Z$7,Movements!$G$716:$M$716,0))))
*Z1205*Z$8,0)</f>
        <v>0</v>
      </c>
      <c r="AA560" s="198">
        <f>_xlfn.IFNA(IF(AA$7="Fixed",1,IF(AND($D89="yes",AA$7="Block"),INDEX($O731:$Q731,1,MATCH(AA$5,$I54:$K54,0)),INDEX(Movements!$G731:$M731,1,MATCH(AA$7,Movements!$G$716:$M$716,0))))
*AA1205*AA$8,0)</f>
        <v>0</v>
      </c>
      <c r="AB560" s="198">
        <f>_xlfn.IFNA(IF(AB$7="Fixed",1,IF(AND($D89="yes",AB$7="Block"),INDEX($O731:$Q731,1,MATCH(AB$5,$I54:$K54,0)),INDEX(Movements!$G731:$M731,1,MATCH(AB$7,Movements!$G$716:$M$716,0))))
*AB1205*AB$8,0)</f>
        <v>0</v>
      </c>
      <c r="AC560" s="70"/>
      <c r="AD560" s="19"/>
      <c r="AE560" s="19"/>
      <c r="AF560" s="19"/>
      <c r="AG560" s="19"/>
    </row>
    <row r="561" spans="1:33" hidden="1" outlineLevel="3" x14ac:dyDescent="0.2">
      <c r="A561" s="19"/>
      <c r="B561" s="19"/>
      <c r="C561" s="506">
        <f t="shared" si="127"/>
        <v>0</v>
      </c>
      <c r="D561" s="505">
        <f t="shared" si="127"/>
        <v>0</v>
      </c>
      <c r="E561" s="505">
        <f t="shared" si="127"/>
        <v>0</v>
      </c>
      <c r="F561" s="58"/>
      <c r="G561" s="199">
        <f t="shared" si="128"/>
        <v>0</v>
      </c>
      <c r="H561" s="58"/>
      <c r="I561" s="198">
        <f>_xlfn.IFNA(IF(I$7="Fixed",1,IF(AND($D90="yes",I$7="Block"),INDEX($O732:$Q732,1,MATCH(I$5,$I55:$K55,0)),INDEX(Movements!$G732:$M732,1,MATCH(I$7,Movements!$G$716:$M$716,0))))
*I1206*I$8,0)</f>
        <v>0</v>
      </c>
      <c r="J561" s="198">
        <f>_xlfn.IFNA(IF(J$7="Fixed",1,IF(AND($D90="yes",J$7="Block"),INDEX($O732:$Q732,1,MATCH(J$5,$I55:$K55,0)),INDEX(Movements!$G732:$M732,1,MATCH(J$7,Movements!$G$716:$M$716,0))))
*J1206*J$8,0)</f>
        <v>0</v>
      </c>
      <c r="K561" s="198">
        <f>_xlfn.IFNA(IF(K$7="Fixed",1,IF(AND($D90="yes",K$7="Block"),INDEX($O732:$Q732,1,MATCH(K$5,$I55:$K55,0)),INDEX(Movements!$G732:$M732,1,MATCH(K$7,Movements!$G$716:$M$716,0))))
*K1206*K$8,0)</f>
        <v>0</v>
      </c>
      <c r="L561" s="198">
        <f>_xlfn.IFNA(IF(L$7="Fixed",1,IF(AND($D90="yes",L$7="Block"),INDEX($O732:$Q732,1,MATCH(L$5,$I55:$K55,0)),INDEX(Movements!$G732:$M732,1,MATCH(L$7,Movements!$G$716:$M$716,0))))
*L1206*L$8,0)</f>
        <v>0</v>
      </c>
      <c r="M561" s="198">
        <f>_xlfn.IFNA(IF(M$7="Fixed",1,IF(AND($D90="yes",M$7="Block"),INDEX($O732:$Q732,1,MATCH(M$5,$I55:$K55,0)),INDEX(Movements!$G732:$M732,1,MATCH(M$7,Movements!$G$716:$M$716,0))))
*M1206*M$8,0)</f>
        <v>0</v>
      </c>
      <c r="N561" s="198">
        <f>_xlfn.IFNA(IF(N$7="Fixed",1,IF(AND($D90="yes",N$7="Block"),INDEX($O732:$Q732,1,MATCH(N$5,$I55:$K55,0)),INDEX(Movements!$G732:$M732,1,MATCH(N$7,Movements!$G$716:$M$716,0))))
*N1206*N$8,0)</f>
        <v>0</v>
      </c>
      <c r="O561" s="198">
        <f>_xlfn.IFNA(IF(O$7="Fixed",1,IF(AND($D90="yes",O$7="Block"),INDEX($O732:$Q732,1,MATCH(O$5,$I55:$K55,0)),INDEX(Movements!$G732:$M732,1,MATCH(O$7,Movements!$G$716:$M$716,0))))
*O1206*O$8,0)</f>
        <v>0</v>
      </c>
      <c r="P561" s="198">
        <f>_xlfn.IFNA(IF(P$7="Fixed",1,IF(AND($D90="yes",P$7="Block"),INDEX($O732:$Q732,1,MATCH(P$5,$I55:$K55,0)),INDEX(Movements!$G732:$M732,1,MATCH(P$7,Movements!$G$716:$M$716,0))))
*P1206*P$8,0)</f>
        <v>0</v>
      </c>
      <c r="Q561" s="198">
        <f>_xlfn.IFNA(IF(Q$7="Fixed",1,IF(AND($D90="yes",Q$7="Block"),INDEX($O732:$Q732,1,MATCH(Q$5,$I55:$K55,0)),INDEX(Movements!$G732:$M732,1,MATCH(Q$7,Movements!$G$716:$M$716,0))))
*Q1206*Q$8,0)</f>
        <v>0</v>
      </c>
      <c r="R561" s="198">
        <f>_xlfn.IFNA(IF(R$7="Fixed",1,IF(AND($D90="yes",R$7="Block"),INDEX($O732:$Q732,1,MATCH(R$5,$I55:$K55,0)),INDEX(Movements!$G732:$M732,1,MATCH(R$7,Movements!$G$716:$M$716,0))))
*R1206*R$8,0)</f>
        <v>0</v>
      </c>
      <c r="S561" s="198">
        <f>_xlfn.IFNA(IF(S$7="Fixed",1,IF(AND($D90="yes",S$7="Block"),INDEX($O732:$Q732,1,MATCH(S$5,$I55:$K55,0)),INDEX(Movements!$G732:$M732,1,MATCH(S$7,Movements!$G$716:$M$716,0))))
*S1206*S$8,0)</f>
        <v>0</v>
      </c>
      <c r="T561" s="198">
        <f>_xlfn.IFNA(IF(T$7="Fixed",1,IF(AND($D90="yes",T$7="Block"),INDEX($O732:$Q732,1,MATCH(T$5,$I55:$K55,0)),INDEX(Movements!$G732:$M732,1,MATCH(T$7,Movements!$G$716:$M$716,0))))
*T1206*T$8,0)</f>
        <v>0</v>
      </c>
      <c r="U561" s="198">
        <f>_xlfn.IFNA(IF(U$7="Fixed",1,IF(AND($D90="yes",U$7="Block"),INDEX($O732:$Q732,1,MATCH(U$5,$I55:$K55,0)),INDEX(Movements!$G732:$M732,1,MATCH(U$7,Movements!$G$716:$M$716,0))))
*U1206*U$8,0)</f>
        <v>0</v>
      </c>
      <c r="V561" s="198">
        <f>_xlfn.IFNA(IF(V$7="Fixed",1,IF(AND($D90="yes",V$7="Block"),INDEX($O732:$Q732,1,MATCH(V$5,$I55:$K55,0)),INDEX(Movements!$G732:$M732,1,MATCH(V$7,Movements!$G$716:$M$716,0))))
*V1206*V$8,0)</f>
        <v>0</v>
      </c>
      <c r="W561" s="198">
        <f>_xlfn.IFNA(IF(W$7="Fixed",1,IF(AND($D90="yes",W$7="Block"),INDEX($O732:$Q732,1,MATCH(W$5,$I55:$K55,0)),INDEX(Movements!$G732:$M732,1,MATCH(W$7,Movements!$G$716:$M$716,0))))
*W1206*W$8,0)</f>
        <v>0</v>
      </c>
      <c r="X561" s="198">
        <f>_xlfn.IFNA(IF(X$7="Fixed",1,IF(AND($D90="yes",X$7="Block"),INDEX($O732:$Q732,1,MATCH(X$5,$I55:$K55,0)),INDEX(Movements!$G732:$M732,1,MATCH(X$7,Movements!$G$716:$M$716,0))))
*X1206*X$8,0)</f>
        <v>0</v>
      </c>
      <c r="Y561" s="198">
        <f>_xlfn.IFNA(IF(Y$7="Fixed",1,IF(AND($D90="yes",Y$7="Block"),INDEX($O732:$Q732,1,MATCH(Y$5,$I55:$K55,0)),INDEX(Movements!$G732:$M732,1,MATCH(Y$7,Movements!$G$716:$M$716,0))))
*Y1206*Y$8,0)</f>
        <v>0</v>
      </c>
      <c r="Z561" s="198">
        <f>_xlfn.IFNA(IF(Z$7="Fixed",1,IF(AND($D90="yes",Z$7="Block"),INDEX($O732:$Q732,1,MATCH(Z$5,$I55:$K55,0)),INDEX(Movements!$G732:$M732,1,MATCH(Z$7,Movements!$G$716:$M$716,0))))
*Z1206*Z$8,0)</f>
        <v>0</v>
      </c>
      <c r="AA561" s="198">
        <f>_xlfn.IFNA(IF(AA$7="Fixed",1,IF(AND($D90="yes",AA$7="Block"),INDEX($O732:$Q732,1,MATCH(AA$5,$I55:$K55,0)),INDEX(Movements!$G732:$M732,1,MATCH(AA$7,Movements!$G$716:$M$716,0))))
*AA1206*AA$8,0)</f>
        <v>0</v>
      </c>
      <c r="AB561" s="198">
        <f>_xlfn.IFNA(IF(AB$7="Fixed",1,IF(AND($D90="yes",AB$7="Block"),INDEX($O732:$Q732,1,MATCH(AB$5,$I55:$K55,0)),INDEX(Movements!$G732:$M732,1,MATCH(AB$7,Movements!$G$716:$M$716,0))))
*AB1206*AB$8,0)</f>
        <v>0</v>
      </c>
      <c r="AC561" s="70"/>
      <c r="AD561" s="19"/>
      <c r="AE561" s="19"/>
      <c r="AF561" s="19"/>
      <c r="AG561" s="19"/>
    </row>
    <row r="562" spans="1:33" hidden="1" outlineLevel="3" x14ac:dyDescent="0.2">
      <c r="A562" s="19"/>
      <c r="B562" s="19"/>
      <c r="C562" s="506">
        <f t="shared" si="127"/>
        <v>0</v>
      </c>
      <c r="D562" s="505">
        <f t="shared" si="127"/>
        <v>0</v>
      </c>
      <c r="E562" s="505">
        <f t="shared" si="127"/>
        <v>0</v>
      </c>
      <c r="F562" s="58"/>
      <c r="G562" s="199">
        <f t="shared" si="128"/>
        <v>0</v>
      </c>
      <c r="H562" s="58"/>
      <c r="I562" s="198">
        <f>_xlfn.IFNA(IF(I$7="Fixed",1,IF(AND($D91="yes",I$7="Block"),INDEX($O733:$Q733,1,MATCH(I$5,$I56:$K56,0)),INDEX(Movements!$G733:$M733,1,MATCH(I$7,Movements!$G$716:$M$716,0))))
*I1207*I$8,0)</f>
        <v>0</v>
      </c>
      <c r="J562" s="198">
        <f>_xlfn.IFNA(IF(J$7="Fixed",1,IF(AND($D91="yes",J$7="Block"),INDEX($O733:$Q733,1,MATCH(J$5,$I56:$K56,0)),INDEX(Movements!$G733:$M733,1,MATCH(J$7,Movements!$G$716:$M$716,0))))
*J1207*J$8,0)</f>
        <v>0</v>
      </c>
      <c r="K562" s="198">
        <f>_xlfn.IFNA(IF(K$7="Fixed",1,IF(AND($D91="yes",K$7="Block"),INDEX($O733:$Q733,1,MATCH(K$5,$I56:$K56,0)),INDEX(Movements!$G733:$M733,1,MATCH(K$7,Movements!$G$716:$M$716,0))))
*K1207*K$8,0)</f>
        <v>0</v>
      </c>
      <c r="L562" s="198">
        <f>_xlfn.IFNA(IF(L$7="Fixed",1,IF(AND($D91="yes",L$7="Block"),INDEX($O733:$Q733,1,MATCH(L$5,$I56:$K56,0)),INDEX(Movements!$G733:$M733,1,MATCH(L$7,Movements!$G$716:$M$716,0))))
*L1207*L$8,0)</f>
        <v>0</v>
      </c>
      <c r="M562" s="198">
        <f>_xlfn.IFNA(IF(M$7="Fixed",1,IF(AND($D91="yes",M$7="Block"),INDEX($O733:$Q733,1,MATCH(M$5,$I56:$K56,0)),INDEX(Movements!$G733:$M733,1,MATCH(M$7,Movements!$G$716:$M$716,0))))
*M1207*M$8,0)</f>
        <v>0</v>
      </c>
      <c r="N562" s="198">
        <f>_xlfn.IFNA(IF(N$7="Fixed",1,IF(AND($D91="yes",N$7="Block"),INDEX($O733:$Q733,1,MATCH(N$5,$I56:$K56,0)),INDEX(Movements!$G733:$M733,1,MATCH(N$7,Movements!$G$716:$M$716,0))))
*N1207*N$8,0)</f>
        <v>0</v>
      </c>
      <c r="O562" s="198">
        <f>_xlfn.IFNA(IF(O$7="Fixed",1,IF(AND($D91="yes",O$7="Block"),INDEX($O733:$Q733,1,MATCH(O$5,$I56:$K56,0)),INDEX(Movements!$G733:$M733,1,MATCH(O$7,Movements!$G$716:$M$716,0))))
*O1207*O$8,0)</f>
        <v>0</v>
      </c>
      <c r="P562" s="198">
        <f>_xlfn.IFNA(IF(P$7="Fixed",1,IF(AND($D91="yes",P$7="Block"),INDEX($O733:$Q733,1,MATCH(P$5,$I56:$K56,0)),INDEX(Movements!$G733:$M733,1,MATCH(P$7,Movements!$G$716:$M$716,0))))
*P1207*P$8,0)</f>
        <v>0</v>
      </c>
      <c r="Q562" s="198">
        <f>_xlfn.IFNA(IF(Q$7="Fixed",1,IF(AND($D91="yes",Q$7="Block"),INDEX($O733:$Q733,1,MATCH(Q$5,$I56:$K56,0)),INDEX(Movements!$G733:$M733,1,MATCH(Q$7,Movements!$G$716:$M$716,0))))
*Q1207*Q$8,0)</f>
        <v>0</v>
      </c>
      <c r="R562" s="198">
        <f>_xlfn.IFNA(IF(R$7="Fixed",1,IF(AND($D91="yes",R$7="Block"),INDEX($O733:$Q733,1,MATCH(R$5,$I56:$K56,0)),INDEX(Movements!$G733:$M733,1,MATCH(R$7,Movements!$G$716:$M$716,0))))
*R1207*R$8,0)</f>
        <v>0</v>
      </c>
      <c r="S562" s="198">
        <f>_xlfn.IFNA(IF(S$7="Fixed",1,IF(AND($D91="yes",S$7="Block"),INDEX($O733:$Q733,1,MATCH(S$5,$I56:$K56,0)),INDEX(Movements!$G733:$M733,1,MATCH(S$7,Movements!$G$716:$M$716,0))))
*S1207*S$8,0)</f>
        <v>0</v>
      </c>
      <c r="T562" s="198">
        <f>_xlfn.IFNA(IF(T$7="Fixed",1,IF(AND($D91="yes",T$7="Block"),INDEX($O733:$Q733,1,MATCH(T$5,$I56:$K56,0)),INDEX(Movements!$G733:$M733,1,MATCH(T$7,Movements!$G$716:$M$716,0))))
*T1207*T$8,0)</f>
        <v>0</v>
      </c>
      <c r="U562" s="198">
        <f>_xlfn.IFNA(IF(U$7="Fixed",1,IF(AND($D91="yes",U$7="Block"),INDEX($O733:$Q733,1,MATCH(U$5,$I56:$K56,0)),INDEX(Movements!$G733:$M733,1,MATCH(U$7,Movements!$G$716:$M$716,0))))
*U1207*U$8,0)</f>
        <v>0</v>
      </c>
      <c r="V562" s="198">
        <f>_xlfn.IFNA(IF(V$7="Fixed",1,IF(AND($D91="yes",V$7="Block"),INDEX($O733:$Q733,1,MATCH(V$5,$I56:$K56,0)),INDEX(Movements!$G733:$M733,1,MATCH(V$7,Movements!$G$716:$M$716,0))))
*V1207*V$8,0)</f>
        <v>0</v>
      </c>
      <c r="W562" s="198">
        <f>_xlfn.IFNA(IF(W$7="Fixed",1,IF(AND($D91="yes",W$7="Block"),INDEX($O733:$Q733,1,MATCH(W$5,$I56:$K56,0)),INDEX(Movements!$G733:$M733,1,MATCH(W$7,Movements!$G$716:$M$716,0))))
*W1207*W$8,0)</f>
        <v>0</v>
      </c>
      <c r="X562" s="198">
        <f>_xlfn.IFNA(IF(X$7="Fixed",1,IF(AND($D91="yes",X$7="Block"),INDEX($O733:$Q733,1,MATCH(X$5,$I56:$K56,0)),INDEX(Movements!$G733:$M733,1,MATCH(X$7,Movements!$G$716:$M$716,0))))
*X1207*X$8,0)</f>
        <v>0</v>
      </c>
      <c r="Y562" s="198">
        <f>_xlfn.IFNA(IF(Y$7="Fixed",1,IF(AND($D91="yes",Y$7="Block"),INDEX($O733:$Q733,1,MATCH(Y$5,$I56:$K56,0)),INDEX(Movements!$G733:$M733,1,MATCH(Y$7,Movements!$G$716:$M$716,0))))
*Y1207*Y$8,0)</f>
        <v>0</v>
      </c>
      <c r="Z562" s="198">
        <f>_xlfn.IFNA(IF(Z$7="Fixed",1,IF(AND($D91="yes",Z$7="Block"),INDEX($O733:$Q733,1,MATCH(Z$5,$I56:$K56,0)),INDEX(Movements!$G733:$M733,1,MATCH(Z$7,Movements!$G$716:$M$716,0))))
*Z1207*Z$8,0)</f>
        <v>0</v>
      </c>
      <c r="AA562" s="198">
        <f>_xlfn.IFNA(IF(AA$7="Fixed",1,IF(AND($D91="yes",AA$7="Block"),INDEX($O733:$Q733,1,MATCH(AA$5,$I56:$K56,0)),INDEX(Movements!$G733:$M733,1,MATCH(AA$7,Movements!$G$716:$M$716,0))))
*AA1207*AA$8,0)</f>
        <v>0</v>
      </c>
      <c r="AB562" s="198">
        <f>_xlfn.IFNA(IF(AB$7="Fixed",1,IF(AND($D91="yes",AB$7="Block"),INDEX($O733:$Q733,1,MATCH(AB$5,$I56:$K56,0)),INDEX(Movements!$G733:$M733,1,MATCH(AB$7,Movements!$G$716:$M$716,0))))
*AB1207*AB$8,0)</f>
        <v>0</v>
      </c>
      <c r="AC562" s="70"/>
      <c r="AD562" s="19"/>
      <c r="AE562" s="19"/>
      <c r="AF562" s="19"/>
      <c r="AG562" s="19"/>
    </row>
    <row r="563" spans="1:33" hidden="1" outlineLevel="3" x14ac:dyDescent="0.2">
      <c r="A563" s="19"/>
      <c r="B563" s="19"/>
      <c r="C563" s="506">
        <f t="shared" si="127"/>
        <v>0</v>
      </c>
      <c r="D563" s="505">
        <f t="shared" si="127"/>
        <v>0</v>
      </c>
      <c r="E563" s="505">
        <f t="shared" si="127"/>
        <v>0</v>
      </c>
      <c r="F563" s="58"/>
      <c r="G563" s="199">
        <f t="shared" si="128"/>
        <v>0</v>
      </c>
      <c r="H563" s="58"/>
      <c r="I563" s="198">
        <f>_xlfn.IFNA(IF(I$7="Fixed",1,IF(AND($D92="yes",I$7="Block"),INDEX($O734:$Q734,1,MATCH(I$5,$I57:$K57,0)),INDEX(Movements!$G734:$M734,1,MATCH(I$7,Movements!$G$716:$M$716,0))))
*I1208*I$8,0)</f>
        <v>0</v>
      </c>
      <c r="J563" s="198">
        <f>_xlfn.IFNA(IF(J$7="Fixed",1,IF(AND($D92="yes",J$7="Block"),INDEX($O734:$Q734,1,MATCH(J$5,$I57:$K57,0)),INDEX(Movements!$G734:$M734,1,MATCH(J$7,Movements!$G$716:$M$716,0))))
*J1208*J$8,0)</f>
        <v>0</v>
      </c>
      <c r="K563" s="198">
        <f>_xlfn.IFNA(IF(K$7="Fixed",1,IF(AND($D92="yes",K$7="Block"),INDEX($O734:$Q734,1,MATCH(K$5,$I57:$K57,0)),INDEX(Movements!$G734:$M734,1,MATCH(K$7,Movements!$G$716:$M$716,0))))
*K1208*K$8,0)</f>
        <v>0</v>
      </c>
      <c r="L563" s="198">
        <f>_xlfn.IFNA(IF(L$7="Fixed",1,IF(AND($D92="yes",L$7="Block"),INDEX($O734:$Q734,1,MATCH(L$5,$I57:$K57,0)),INDEX(Movements!$G734:$M734,1,MATCH(L$7,Movements!$G$716:$M$716,0))))
*L1208*L$8,0)</f>
        <v>0</v>
      </c>
      <c r="M563" s="198">
        <f>_xlfn.IFNA(IF(M$7="Fixed",1,IF(AND($D92="yes",M$7="Block"),INDEX($O734:$Q734,1,MATCH(M$5,$I57:$K57,0)),INDEX(Movements!$G734:$M734,1,MATCH(M$7,Movements!$G$716:$M$716,0))))
*M1208*M$8,0)</f>
        <v>0</v>
      </c>
      <c r="N563" s="198">
        <f>_xlfn.IFNA(IF(N$7="Fixed",1,IF(AND($D92="yes",N$7="Block"),INDEX($O734:$Q734,1,MATCH(N$5,$I57:$K57,0)),INDEX(Movements!$G734:$M734,1,MATCH(N$7,Movements!$G$716:$M$716,0))))
*N1208*N$8,0)</f>
        <v>0</v>
      </c>
      <c r="O563" s="198">
        <f>_xlfn.IFNA(IF(O$7="Fixed",1,IF(AND($D92="yes",O$7="Block"),INDEX($O734:$Q734,1,MATCH(O$5,$I57:$K57,0)),INDEX(Movements!$G734:$M734,1,MATCH(O$7,Movements!$G$716:$M$716,0))))
*O1208*O$8,0)</f>
        <v>0</v>
      </c>
      <c r="P563" s="198">
        <f>_xlfn.IFNA(IF(P$7="Fixed",1,IF(AND($D92="yes",P$7="Block"),INDEX($O734:$Q734,1,MATCH(P$5,$I57:$K57,0)),INDEX(Movements!$G734:$M734,1,MATCH(P$7,Movements!$G$716:$M$716,0))))
*P1208*P$8,0)</f>
        <v>0</v>
      </c>
      <c r="Q563" s="198">
        <f>_xlfn.IFNA(IF(Q$7="Fixed",1,IF(AND($D92="yes",Q$7="Block"),INDEX($O734:$Q734,1,MATCH(Q$5,$I57:$K57,0)),INDEX(Movements!$G734:$M734,1,MATCH(Q$7,Movements!$G$716:$M$716,0))))
*Q1208*Q$8,0)</f>
        <v>0</v>
      </c>
      <c r="R563" s="198">
        <f>_xlfn.IFNA(IF(R$7="Fixed",1,IF(AND($D92="yes",R$7="Block"),INDEX($O734:$Q734,1,MATCH(R$5,$I57:$K57,0)),INDEX(Movements!$G734:$M734,1,MATCH(R$7,Movements!$G$716:$M$716,0))))
*R1208*R$8,0)</f>
        <v>0</v>
      </c>
      <c r="S563" s="198">
        <f>_xlfn.IFNA(IF(S$7="Fixed",1,IF(AND($D92="yes",S$7="Block"),INDEX($O734:$Q734,1,MATCH(S$5,$I57:$K57,0)),INDEX(Movements!$G734:$M734,1,MATCH(S$7,Movements!$G$716:$M$716,0))))
*S1208*S$8,0)</f>
        <v>0</v>
      </c>
      <c r="T563" s="198">
        <f>_xlfn.IFNA(IF(T$7="Fixed",1,IF(AND($D92="yes",T$7="Block"),INDEX($O734:$Q734,1,MATCH(T$5,$I57:$K57,0)),INDEX(Movements!$G734:$M734,1,MATCH(T$7,Movements!$G$716:$M$716,0))))
*T1208*T$8,0)</f>
        <v>0</v>
      </c>
      <c r="U563" s="198">
        <f>_xlfn.IFNA(IF(U$7="Fixed",1,IF(AND($D92="yes",U$7="Block"),INDEX($O734:$Q734,1,MATCH(U$5,$I57:$K57,0)),INDEX(Movements!$G734:$M734,1,MATCH(U$7,Movements!$G$716:$M$716,0))))
*U1208*U$8,0)</f>
        <v>0</v>
      </c>
      <c r="V563" s="198">
        <f>_xlfn.IFNA(IF(V$7="Fixed",1,IF(AND($D92="yes",V$7="Block"),INDEX($O734:$Q734,1,MATCH(V$5,$I57:$K57,0)),INDEX(Movements!$G734:$M734,1,MATCH(V$7,Movements!$G$716:$M$716,0))))
*V1208*V$8,0)</f>
        <v>0</v>
      </c>
      <c r="W563" s="198">
        <f>_xlfn.IFNA(IF(W$7="Fixed",1,IF(AND($D92="yes",W$7="Block"),INDEX($O734:$Q734,1,MATCH(W$5,$I57:$K57,0)),INDEX(Movements!$G734:$M734,1,MATCH(W$7,Movements!$G$716:$M$716,0))))
*W1208*W$8,0)</f>
        <v>0</v>
      </c>
      <c r="X563" s="198">
        <f>_xlfn.IFNA(IF(X$7="Fixed",1,IF(AND($D92="yes",X$7="Block"),INDEX($O734:$Q734,1,MATCH(X$5,$I57:$K57,0)),INDEX(Movements!$G734:$M734,1,MATCH(X$7,Movements!$G$716:$M$716,0))))
*X1208*X$8,0)</f>
        <v>0</v>
      </c>
      <c r="Y563" s="198">
        <f>_xlfn.IFNA(IF(Y$7="Fixed",1,IF(AND($D92="yes",Y$7="Block"),INDEX($O734:$Q734,1,MATCH(Y$5,$I57:$K57,0)),INDEX(Movements!$G734:$M734,1,MATCH(Y$7,Movements!$G$716:$M$716,0))))
*Y1208*Y$8,0)</f>
        <v>0</v>
      </c>
      <c r="Z563" s="198">
        <f>_xlfn.IFNA(IF(Z$7="Fixed",1,IF(AND($D92="yes",Z$7="Block"),INDEX($O734:$Q734,1,MATCH(Z$5,$I57:$K57,0)),INDEX(Movements!$G734:$M734,1,MATCH(Z$7,Movements!$G$716:$M$716,0))))
*Z1208*Z$8,0)</f>
        <v>0</v>
      </c>
      <c r="AA563" s="198">
        <f>_xlfn.IFNA(IF(AA$7="Fixed",1,IF(AND($D92="yes",AA$7="Block"),INDEX($O734:$Q734,1,MATCH(AA$5,$I57:$K57,0)),INDEX(Movements!$G734:$M734,1,MATCH(AA$7,Movements!$G$716:$M$716,0))))
*AA1208*AA$8,0)</f>
        <v>0</v>
      </c>
      <c r="AB563" s="198">
        <f>_xlfn.IFNA(IF(AB$7="Fixed",1,IF(AND($D92="yes",AB$7="Block"),INDEX($O734:$Q734,1,MATCH(AB$5,$I57:$K57,0)),INDEX(Movements!$G734:$M734,1,MATCH(AB$7,Movements!$G$716:$M$716,0))))
*AB1208*AB$8,0)</f>
        <v>0</v>
      </c>
      <c r="AC563" s="70"/>
      <c r="AD563" s="19"/>
      <c r="AE563" s="19"/>
      <c r="AF563" s="19"/>
      <c r="AG563" s="19"/>
    </row>
    <row r="564" spans="1:33" hidden="1" outlineLevel="3" x14ac:dyDescent="0.2">
      <c r="A564" s="19"/>
      <c r="B564" s="19"/>
      <c r="C564" s="506">
        <f t="shared" si="127"/>
        <v>0</v>
      </c>
      <c r="D564" s="505">
        <f t="shared" si="127"/>
        <v>0</v>
      </c>
      <c r="E564" s="505">
        <f t="shared" si="127"/>
        <v>0</v>
      </c>
      <c r="F564" s="58"/>
      <c r="G564" s="199">
        <f t="shared" si="128"/>
        <v>0</v>
      </c>
      <c r="H564" s="58"/>
      <c r="I564" s="198">
        <f>_xlfn.IFNA(IF(I$7="Fixed",1,IF(AND($D93="yes",I$7="Block"),INDEX($O735:$Q735,1,MATCH(I$5,$I58:$K58,0)),INDEX(Movements!$G735:$M735,1,MATCH(I$7,Movements!$G$716:$M$716,0))))
*I1209*I$8,0)</f>
        <v>0</v>
      </c>
      <c r="J564" s="198">
        <f>_xlfn.IFNA(IF(J$7="Fixed",1,IF(AND($D93="yes",J$7="Block"),INDEX($O735:$Q735,1,MATCH(J$5,$I58:$K58,0)),INDEX(Movements!$G735:$M735,1,MATCH(J$7,Movements!$G$716:$M$716,0))))
*J1209*J$8,0)</f>
        <v>0</v>
      </c>
      <c r="K564" s="198">
        <f>_xlfn.IFNA(IF(K$7="Fixed",1,IF(AND($D93="yes",K$7="Block"),INDEX($O735:$Q735,1,MATCH(K$5,$I58:$K58,0)),INDEX(Movements!$G735:$M735,1,MATCH(K$7,Movements!$G$716:$M$716,0))))
*K1209*K$8,0)</f>
        <v>0</v>
      </c>
      <c r="L564" s="198">
        <f>_xlfn.IFNA(IF(L$7="Fixed",1,IF(AND($D93="yes",L$7="Block"),INDEX($O735:$Q735,1,MATCH(L$5,$I58:$K58,0)),INDEX(Movements!$G735:$M735,1,MATCH(L$7,Movements!$G$716:$M$716,0))))
*L1209*L$8,0)</f>
        <v>0</v>
      </c>
      <c r="M564" s="198">
        <f>_xlfn.IFNA(IF(M$7="Fixed",1,IF(AND($D93="yes",M$7="Block"),INDEX($O735:$Q735,1,MATCH(M$5,$I58:$K58,0)),INDEX(Movements!$G735:$M735,1,MATCH(M$7,Movements!$G$716:$M$716,0))))
*M1209*M$8,0)</f>
        <v>0</v>
      </c>
      <c r="N564" s="198">
        <f>_xlfn.IFNA(IF(N$7="Fixed",1,IF(AND($D93="yes",N$7="Block"),INDEX($O735:$Q735,1,MATCH(N$5,$I58:$K58,0)),INDEX(Movements!$G735:$M735,1,MATCH(N$7,Movements!$G$716:$M$716,0))))
*N1209*N$8,0)</f>
        <v>0</v>
      </c>
      <c r="O564" s="198">
        <f>_xlfn.IFNA(IF(O$7="Fixed",1,IF(AND($D93="yes",O$7="Block"),INDEX($O735:$Q735,1,MATCH(O$5,$I58:$K58,0)),INDEX(Movements!$G735:$M735,1,MATCH(O$7,Movements!$G$716:$M$716,0))))
*O1209*O$8,0)</f>
        <v>0</v>
      </c>
      <c r="P564" s="198">
        <f>_xlfn.IFNA(IF(P$7="Fixed",1,IF(AND($D93="yes",P$7="Block"),INDEX($O735:$Q735,1,MATCH(P$5,$I58:$K58,0)),INDEX(Movements!$G735:$M735,1,MATCH(P$7,Movements!$G$716:$M$716,0))))
*P1209*P$8,0)</f>
        <v>0</v>
      </c>
      <c r="Q564" s="198">
        <f>_xlfn.IFNA(IF(Q$7="Fixed",1,IF(AND($D93="yes",Q$7="Block"),INDEX($O735:$Q735,1,MATCH(Q$5,$I58:$K58,0)),INDEX(Movements!$G735:$M735,1,MATCH(Q$7,Movements!$G$716:$M$716,0))))
*Q1209*Q$8,0)</f>
        <v>0</v>
      </c>
      <c r="R564" s="198">
        <f>_xlfn.IFNA(IF(R$7="Fixed",1,IF(AND($D93="yes",R$7="Block"),INDEX($O735:$Q735,1,MATCH(R$5,$I58:$K58,0)),INDEX(Movements!$G735:$M735,1,MATCH(R$7,Movements!$G$716:$M$716,0))))
*R1209*R$8,0)</f>
        <v>0</v>
      </c>
      <c r="S564" s="198">
        <f>_xlfn.IFNA(IF(S$7="Fixed",1,IF(AND($D93="yes",S$7="Block"),INDEX($O735:$Q735,1,MATCH(S$5,$I58:$K58,0)),INDEX(Movements!$G735:$M735,1,MATCH(S$7,Movements!$G$716:$M$716,0))))
*S1209*S$8,0)</f>
        <v>0</v>
      </c>
      <c r="T564" s="198">
        <f>_xlfn.IFNA(IF(T$7="Fixed",1,IF(AND($D93="yes",T$7="Block"),INDEX($O735:$Q735,1,MATCH(T$5,$I58:$K58,0)),INDEX(Movements!$G735:$M735,1,MATCH(T$7,Movements!$G$716:$M$716,0))))
*T1209*T$8,0)</f>
        <v>0</v>
      </c>
      <c r="U564" s="198">
        <f>_xlfn.IFNA(IF(U$7="Fixed",1,IF(AND($D93="yes",U$7="Block"),INDEX($O735:$Q735,1,MATCH(U$5,$I58:$K58,0)),INDEX(Movements!$G735:$M735,1,MATCH(U$7,Movements!$G$716:$M$716,0))))
*U1209*U$8,0)</f>
        <v>0</v>
      </c>
      <c r="V564" s="198">
        <f>_xlfn.IFNA(IF(V$7="Fixed",1,IF(AND($D93="yes",V$7="Block"),INDEX($O735:$Q735,1,MATCH(V$5,$I58:$K58,0)),INDEX(Movements!$G735:$M735,1,MATCH(V$7,Movements!$G$716:$M$716,0))))
*V1209*V$8,0)</f>
        <v>0</v>
      </c>
      <c r="W564" s="198">
        <f>_xlfn.IFNA(IF(W$7="Fixed",1,IF(AND($D93="yes",W$7="Block"),INDEX($O735:$Q735,1,MATCH(W$5,$I58:$K58,0)),INDEX(Movements!$G735:$M735,1,MATCH(W$7,Movements!$G$716:$M$716,0))))
*W1209*W$8,0)</f>
        <v>0</v>
      </c>
      <c r="X564" s="198">
        <f>_xlfn.IFNA(IF(X$7="Fixed",1,IF(AND($D93="yes",X$7="Block"),INDEX($O735:$Q735,1,MATCH(X$5,$I58:$K58,0)),INDEX(Movements!$G735:$M735,1,MATCH(X$7,Movements!$G$716:$M$716,0))))
*X1209*X$8,0)</f>
        <v>0</v>
      </c>
      <c r="Y564" s="198">
        <f>_xlfn.IFNA(IF(Y$7="Fixed",1,IF(AND($D93="yes",Y$7="Block"),INDEX($O735:$Q735,1,MATCH(Y$5,$I58:$K58,0)),INDEX(Movements!$G735:$M735,1,MATCH(Y$7,Movements!$G$716:$M$716,0))))
*Y1209*Y$8,0)</f>
        <v>0</v>
      </c>
      <c r="Z564" s="198">
        <f>_xlfn.IFNA(IF(Z$7="Fixed",1,IF(AND($D93="yes",Z$7="Block"),INDEX($O735:$Q735,1,MATCH(Z$5,$I58:$K58,0)),INDEX(Movements!$G735:$M735,1,MATCH(Z$7,Movements!$G$716:$M$716,0))))
*Z1209*Z$8,0)</f>
        <v>0</v>
      </c>
      <c r="AA564" s="198">
        <f>_xlfn.IFNA(IF(AA$7="Fixed",1,IF(AND($D93="yes",AA$7="Block"),INDEX($O735:$Q735,1,MATCH(AA$5,$I58:$K58,0)),INDEX(Movements!$G735:$M735,1,MATCH(AA$7,Movements!$G$716:$M$716,0))))
*AA1209*AA$8,0)</f>
        <v>0</v>
      </c>
      <c r="AB564" s="198">
        <f>_xlfn.IFNA(IF(AB$7="Fixed",1,IF(AND($D93="yes",AB$7="Block"),INDEX($O735:$Q735,1,MATCH(AB$5,$I58:$K58,0)),INDEX(Movements!$G735:$M735,1,MATCH(AB$7,Movements!$G$716:$M$716,0))))
*AB1209*AB$8,0)</f>
        <v>0</v>
      </c>
      <c r="AC564" s="70"/>
      <c r="AD564" s="19"/>
      <c r="AE564" s="19"/>
      <c r="AF564" s="19"/>
      <c r="AG564" s="19"/>
    </row>
    <row r="565" spans="1:33" hidden="1" outlineLevel="3" x14ac:dyDescent="0.2">
      <c r="A565" s="19"/>
      <c r="B565" s="19"/>
      <c r="C565" s="506">
        <f t="shared" si="127"/>
        <v>0</v>
      </c>
      <c r="D565" s="505">
        <f t="shared" si="127"/>
        <v>0</v>
      </c>
      <c r="E565" s="505">
        <f t="shared" si="127"/>
        <v>0</v>
      </c>
      <c r="F565" s="58"/>
      <c r="G565" s="199">
        <f t="shared" si="128"/>
        <v>0</v>
      </c>
      <c r="H565" s="58"/>
      <c r="I565" s="198">
        <f>_xlfn.IFNA(IF(I$7="Fixed",1,IF(AND($D94="yes",I$7="Block"),INDEX($O736:$Q736,1,MATCH(I$5,$I59:$K59,0)),INDEX(Movements!$G736:$M736,1,MATCH(I$7,Movements!$G$716:$M$716,0))))
*I1210*I$8,0)</f>
        <v>0</v>
      </c>
      <c r="J565" s="198">
        <f>_xlfn.IFNA(IF(J$7="Fixed",1,IF(AND($D94="yes",J$7="Block"),INDEX($O736:$Q736,1,MATCH(J$5,$I59:$K59,0)),INDEX(Movements!$G736:$M736,1,MATCH(J$7,Movements!$G$716:$M$716,0))))
*J1210*J$8,0)</f>
        <v>0</v>
      </c>
      <c r="K565" s="198">
        <f>_xlfn.IFNA(IF(K$7="Fixed",1,IF(AND($D94="yes",K$7="Block"),INDEX($O736:$Q736,1,MATCH(K$5,$I59:$K59,0)),INDEX(Movements!$G736:$M736,1,MATCH(K$7,Movements!$G$716:$M$716,0))))
*K1210*K$8,0)</f>
        <v>0</v>
      </c>
      <c r="L565" s="198">
        <f>_xlfn.IFNA(IF(L$7="Fixed",1,IF(AND($D94="yes",L$7="Block"),INDEX($O736:$Q736,1,MATCH(L$5,$I59:$K59,0)),INDEX(Movements!$G736:$M736,1,MATCH(L$7,Movements!$G$716:$M$716,0))))
*L1210*L$8,0)</f>
        <v>0</v>
      </c>
      <c r="M565" s="198">
        <f>_xlfn.IFNA(IF(M$7="Fixed",1,IF(AND($D94="yes",M$7="Block"),INDEX($O736:$Q736,1,MATCH(M$5,$I59:$K59,0)),INDEX(Movements!$G736:$M736,1,MATCH(M$7,Movements!$G$716:$M$716,0))))
*M1210*M$8,0)</f>
        <v>0</v>
      </c>
      <c r="N565" s="198">
        <f>_xlfn.IFNA(IF(N$7="Fixed",1,IF(AND($D94="yes",N$7="Block"),INDEX($O736:$Q736,1,MATCH(N$5,$I59:$K59,0)),INDEX(Movements!$G736:$M736,1,MATCH(N$7,Movements!$G$716:$M$716,0))))
*N1210*N$8,0)</f>
        <v>0</v>
      </c>
      <c r="O565" s="198">
        <f>_xlfn.IFNA(IF(O$7="Fixed",1,IF(AND($D94="yes",O$7="Block"),INDEX($O736:$Q736,1,MATCH(O$5,$I59:$K59,0)),INDEX(Movements!$G736:$M736,1,MATCH(O$7,Movements!$G$716:$M$716,0))))
*O1210*O$8,0)</f>
        <v>0</v>
      </c>
      <c r="P565" s="198">
        <f>_xlfn.IFNA(IF(P$7="Fixed",1,IF(AND($D94="yes",P$7="Block"),INDEX($O736:$Q736,1,MATCH(P$5,$I59:$K59,0)),INDEX(Movements!$G736:$M736,1,MATCH(P$7,Movements!$G$716:$M$716,0))))
*P1210*P$8,0)</f>
        <v>0</v>
      </c>
      <c r="Q565" s="198">
        <f>_xlfn.IFNA(IF(Q$7="Fixed",1,IF(AND($D94="yes",Q$7="Block"),INDEX($O736:$Q736,1,MATCH(Q$5,$I59:$K59,0)),INDEX(Movements!$G736:$M736,1,MATCH(Q$7,Movements!$G$716:$M$716,0))))
*Q1210*Q$8,0)</f>
        <v>0</v>
      </c>
      <c r="R565" s="198">
        <f>_xlfn.IFNA(IF(R$7="Fixed",1,IF(AND($D94="yes",R$7="Block"),INDEX($O736:$Q736,1,MATCH(R$5,$I59:$K59,0)),INDEX(Movements!$G736:$M736,1,MATCH(R$7,Movements!$G$716:$M$716,0))))
*R1210*R$8,0)</f>
        <v>0</v>
      </c>
      <c r="S565" s="198">
        <f>_xlfn.IFNA(IF(S$7="Fixed",1,IF(AND($D94="yes",S$7="Block"),INDEX($O736:$Q736,1,MATCH(S$5,$I59:$K59,0)),INDEX(Movements!$G736:$M736,1,MATCH(S$7,Movements!$G$716:$M$716,0))))
*S1210*S$8,0)</f>
        <v>0</v>
      </c>
      <c r="T565" s="198">
        <f>_xlfn.IFNA(IF(T$7="Fixed",1,IF(AND($D94="yes",T$7="Block"),INDEX($O736:$Q736,1,MATCH(T$5,$I59:$K59,0)),INDEX(Movements!$G736:$M736,1,MATCH(T$7,Movements!$G$716:$M$716,0))))
*T1210*T$8,0)</f>
        <v>0</v>
      </c>
      <c r="U565" s="198">
        <f>_xlfn.IFNA(IF(U$7="Fixed",1,IF(AND($D94="yes",U$7="Block"),INDEX($O736:$Q736,1,MATCH(U$5,$I59:$K59,0)),INDEX(Movements!$G736:$M736,1,MATCH(U$7,Movements!$G$716:$M$716,0))))
*U1210*U$8,0)</f>
        <v>0</v>
      </c>
      <c r="V565" s="198">
        <f>_xlfn.IFNA(IF(V$7="Fixed",1,IF(AND($D94="yes",V$7="Block"),INDEX($O736:$Q736,1,MATCH(V$5,$I59:$K59,0)),INDEX(Movements!$G736:$M736,1,MATCH(V$7,Movements!$G$716:$M$716,0))))
*V1210*V$8,0)</f>
        <v>0</v>
      </c>
      <c r="W565" s="198">
        <f>_xlfn.IFNA(IF(W$7="Fixed",1,IF(AND($D94="yes",W$7="Block"),INDEX($O736:$Q736,1,MATCH(W$5,$I59:$K59,0)),INDEX(Movements!$G736:$M736,1,MATCH(W$7,Movements!$G$716:$M$716,0))))
*W1210*W$8,0)</f>
        <v>0</v>
      </c>
      <c r="X565" s="198">
        <f>_xlfn.IFNA(IF(X$7="Fixed",1,IF(AND($D94="yes",X$7="Block"),INDEX($O736:$Q736,1,MATCH(X$5,$I59:$K59,0)),INDEX(Movements!$G736:$M736,1,MATCH(X$7,Movements!$G$716:$M$716,0))))
*X1210*X$8,0)</f>
        <v>0</v>
      </c>
      <c r="Y565" s="198">
        <f>_xlfn.IFNA(IF(Y$7="Fixed",1,IF(AND($D94="yes",Y$7="Block"),INDEX($O736:$Q736,1,MATCH(Y$5,$I59:$K59,0)),INDEX(Movements!$G736:$M736,1,MATCH(Y$7,Movements!$G$716:$M$716,0))))
*Y1210*Y$8,0)</f>
        <v>0</v>
      </c>
      <c r="Z565" s="198">
        <f>_xlfn.IFNA(IF(Z$7="Fixed",1,IF(AND($D94="yes",Z$7="Block"),INDEX($O736:$Q736,1,MATCH(Z$5,$I59:$K59,0)),INDEX(Movements!$G736:$M736,1,MATCH(Z$7,Movements!$G$716:$M$716,0))))
*Z1210*Z$8,0)</f>
        <v>0</v>
      </c>
      <c r="AA565" s="198">
        <f>_xlfn.IFNA(IF(AA$7="Fixed",1,IF(AND($D94="yes",AA$7="Block"),INDEX($O736:$Q736,1,MATCH(AA$5,$I59:$K59,0)),INDEX(Movements!$G736:$M736,1,MATCH(AA$7,Movements!$G$716:$M$716,0))))
*AA1210*AA$8,0)</f>
        <v>0</v>
      </c>
      <c r="AB565" s="198">
        <f>_xlfn.IFNA(IF(AB$7="Fixed",1,IF(AND($D94="yes",AB$7="Block"),INDEX($O736:$Q736,1,MATCH(AB$5,$I59:$K59,0)),INDEX(Movements!$G736:$M736,1,MATCH(AB$7,Movements!$G$716:$M$716,0))))
*AB1210*AB$8,0)</f>
        <v>0</v>
      </c>
      <c r="AC565" s="70"/>
      <c r="AD565" s="19"/>
      <c r="AE565" s="19"/>
      <c r="AF565" s="19"/>
      <c r="AG565" s="19"/>
    </row>
    <row r="566" spans="1:33" hidden="1" outlineLevel="3" x14ac:dyDescent="0.2">
      <c r="A566" s="19"/>
      <c r="B566" s="19"/>
      <c r="C566" s="506">
        <f t="shared" si="127"/>
        <v>0</v>
      </c>
      <c r="D566" s="505">
        <f t="shared" si="127"/>
        <v>0</v>
      </c>
      <c r="E566" s="505">
        <f t="shared" si="127"/>
        <v>0</v>
      </c>
      <c r="F566" s="58"/>
      <c r="G566" s="199">
        <f t="shared" si="128"/>
        <v>0</v>
      </c>
      <c r="H566" s="58"/>
      <c r="I566" s="198">
        <f>_xlfn.IFNA(IF(I$7="Fixed",1,IF(AND($D95="yes",I$7="Block"),INDEX($O737:$Q737,1,MATCH(I$5,$I60:$K60,0)),INDEX(Movements!$G737:$M737,1,MATCH(I$7,Movements!$G$716:$M$716,0))))
*I1211*I$8,0)</f>
        <v>0</v>
      </c>
      <c r="J566" s="198">
        <f>_xlfn.IFNA(IF(J$7="Fixed",1,IF(AND($D95="yes",J$7="Block"),INDEX($O737:$Q737,1,MATCH(J$5,$I60:$K60,0)),INDEX(Movements!$G737:$M737,1,MATCH(J$7,Movements!$G$716:$M$716,0))))
*J1211*J$8,0)</f>
        <v>0</v>
      </c>
      <c r="K566" s="198">
        <f>_xlfn.IFNA(IF(K$7="Fixed",1,IF(AND($D95="yes",K$7="Block"),INDEX($O737:$Q737,1,MATCH(K$5,$I60:$K60,0)),INDEX(Movements!$G737:$M737,1,MATCH(K$7,Movements!$G$716:$M$716,0))))
*K1211*K$8,0)</f>
        <v>0</v>
      </c>
      <c r="L566" s="198">
        <f>_xlfn.IFNA(IF(L$7="Fixed",1,IF(AND($D95="yes",L$7="Block"),INDEX($O737:$Q737,1,MATCH(L$5,$I60:$K60,0)),INDEX(Movements!$G737:$M737,1,MATCH(L$7,Movements!$G$716:$M$716,0))))
*L1211*L$8,0)</f>
        <v>0</v>
      </c>
      <c r="M566" s="198">
        <f>_xlfn.IFNA(IF(M$7="Fixed",1,IF(AND($D95="yes",M$7="Block"),INDEX($O737:$Q737,1,MATCH(M$5,$I60:$K60,0)),INDEX(Movements!$G737:$M737,1,MATCH(M$7,Movements!$G$716:$M$716,0))))
*M1211*M$8,0)</f>
        <v>0</v>
      </c>
      <c r="N566" s="198">
        <f>_xlfn.IFNA(IF(N$7="Fixed",1,IF(AND($D95="yes",N$7="Block"),INDEX($O737:$Q737,1,MATCH(N$5,$I60:$K60,0)),INDEX(Movements!$G737:$M737,1,MATCH(N$7,Movements!$G$716:$M$716,0))))
*N1211*N$8,0)</f>
        <v>0</v>
      </c>
      <c r="O566" s="198">
        <f>_xlfn.IFNA(IF(O$7="Fixed",1,IF(AND($D95="yes",O$7="Block"),INDEX($O737:$Q737,1,MATCH(O$5,$I60:$K60,0)),INDEX(Movements!$G737:$M737,1,MATCH(O$7,Movements!$G$716:$M$716,0))))
*O1211*O$8,0)</f>
        <v>0</v>
      </c>
      <c r="P566" s="198">
        <f>_xlfn.IFNA(IF(P$7="Fixed",1,IF(AND($D95="yes",P$7="Block"),INDEX($O737:$Q737,1,MATCH(P$5,$I60:$K60,0)),INDEX(Movements!$G737:$M737,1,MATCH(P$7,Movements!$G$716:$M$716,0))))
*P1211*P$8,0)</f>
        <v>0</v>
      </c>
      <c r="Q566" s="198">
        <f>_xlfn.IFNA(IF(Q$7="Fixed",1,IF(AND($D95="yes",Q$7="Block"),INDEX($O737:$Q737,1,MATCH(Q$5,$I60:$K60,0)),INDEX(Movements!$G737:$M737,1,MATCH(Q$7,Movements!$G$716:$M$716,0))))
*Q1211*Q$8,0)</f>
        <v>0</v>
      </c>
      <c r="R566" s="198">
        <f>_xlfn.IFNA(IF(R$7="Fixed",1,IF(AND($D95="yes",R$7="Block"),INDEX($O737:$Q737,1,MATCH(R$5,$I60:$K60,0)),INDEX(Movements!$G737:$M737,1,MATCH(R$7,Movements!$G$716:$M$716,0))))
*R1211*R$8,0)</f>
        <v>0</v>
      </c>
      <c r="S566" s="198">
        <f>_xlfn.IFNA(IF(S$7="Fixed",1,IF(AND($D95="yes",S$7="Block"),INDEX($O737:$Q737,1,MATCH(S$5,$I60:$K60,0)),INDEX(Movements!$G737:$M737,1,MATCH(S$7,Movements!$G$716:$M$716,0))))
*S1211*S$8,0)</f>
        <v>0</v>
      </c>
      <c r="T566" s="198">
        <f>_xlfn.IFNA(IF(T$7="Fixed",1,IF(AND($D95="yes",T$7="Block"),INDEX($O737:$Q737,1,MATCH(T$5,$I60:$K60,0)),INDEX(Movements!$G737:$M737,1,MATCH(T$7,Movements!$G$716:$M$716,0))))
*T1211*T$8,0)</f>
        <v>0</v>
      </c>
      <c r="U566" s="198">
        <f>_xlfn.IFNA(IF(U$7="Fixed",1,IF(AND($D95="yes",U$7="Block"),INDEX($O737:$Q737,1,MATCH(U$5,$I60:$K60,0)),INDEX(Movements!$G737:$M737,1,MATCH(U$7,Movements!$G$716:$M$716,0))))
*U1211*U$8,0)</f>
        <v>0</v>
      </c>
      <c r="V566" s="198">
        <f>_xlfn.IFNA(IF(V$7="Fixed",1,IF(AND($D95="yes",V$7="Block"),INDEX($O737:$Q737,1,MATCH(V$5,$I60:$K60,0)),INDEX(Movements!$G737:$M737,1,MATCH(V$7,Movements!$G$716:$M$716,0))))
*V1211*V$8,0)</f>
        <v>0</v>
      </c>
      <c r="W566" s="198">
        <f>_xlfn.IFNA(IF(W$7="Fixed",1,IF(AND($D95="yes",W$7="Block"),INDEX($O737:$Q737,1,MATCH(W$5,$I60:$K60,0)),INDEX(Movements!$G737:$M737,1,MATCH(W$7,Movements!$G$716:$M$716,0))))
*W1211*W$8,0)</f>
        <v>0</v>
      </c>
      <c r="X566" s="198">
        <f>_xlfn.IFNA(IF(X$7="Fixed",1,IF(AND($D95="yes",X$7="Block"),INDEX($O737:$Q737,1,MATCH(X$5,$I60:$K60,0)),INDEX(Movements!$G737:$M737,1,MATCH(X$7,Movements!$G$716:$M$716,0))))
*X1211*X$8,0)</f>
        <v>0</v>
      </c>
      <c r="Y566" s="198">
        <f>_xlfn.IFNA(IF(Y$7="Fixed",1,IF(AND($D95="yes",Y$7="Block"),INDEX($O737:$Q737,1,MATCH(Y$5,$I60:$K60,0)),INDEX(Movements!$G737:$M737,1,MATCH(Y$7,Movements!$G$716:$M$716,0))))
*Y1211*Y$8,0)</f>
        <v>0</v>
      </c>
      <c r="Z566" s="198">
        <f>_xlfn.IFNA(IF(Z$7="Fixed",1,IF(AND($D95="yes",Z$7="Block"),INDEX($O737:$Q737,1,MATCH(Z$5,$I60:$K60,0)),INDEX(Movements!$G737:$M737,1,MATCH(Z$7,Movements!$G$716:$M$716,0))))
*Z1211*Z$8,0)</f>
        <v>0</v>
      </c>
      <c r="AA566" s="198">
        <f>_xlfn.IFNA(IF(AA$7="Fixed",1,IF(AND($D95="yes",AA$7="Block"),INDEX($O737:$Q737,1,MATCH(AA$5,$I60:$K60,0)),INDEX(Movements!$G737:$M737,1,MATCH(AA$7,Movements!$G$716:$M$716,0))))
*AA1211*AA$8,0)</f>
        <v>0</v>
      </c>
      <c r="AB566" s="198">
        <f>_xlfn.IFNA(IF(AB$7="Fixed",1,IF(AND($D95="yes",AB$7="Block"),INDEX($O737:$Q737,1,MATCH(AB$5,$I60:$K60,0)),INDEX(Movements!$G737:$M737,1,MATCH(AB$7,Movements!$G$716:$M$716,0))))
*AB1211*AB$8,0)</f>
        <v>0</v>
      </c>
      <c r="AC566" s="70"/>
      <c r="AD566" s="19"/>
      <c r="AE566" s="19"/>
      <c r="AF566" s="19"/>
      <c r="AG566" s="19"/>
    </row>
    <row r="567" spans="1:33" hidden="1" outlineLevel="3" x14ac:dyDescent="0.2">
      <c r="A567" s="19"/>
      <c r="B567" s="19"/>
      <c r="C567" s="506">
        <f t="shared" si="127"/>
        <v>0</v>
      </c>
      <c r="D567" s="505">
        <f t="shared" si="127"/>
        <v>0</v>
      </c>
      <c r="E567" s="505">
        <f t="shared" si="127"/>
        <v>0</v>
      </c>
      <c r="F567" s="58"/>
      <c r="G567" s="199">
        <f t="shared" si="128"/>
        <v>0</v>
      </c>
      <c r="H567" s="58"/>
      <c r="I567" s="198">
        <f>_xlfn.IFNA(IF(I$7="Fixed",1,IF(AND($D96="yes",I$7="Block"),INDEX($O738:$Q738,1,MATCH(I$5,$I61:$K61,0)),INDEX(Movements!$G738:$M738,1,MATCH(I$7,Movements!$G$716:$M$716,0))))
*I1212*I$8,0)</f>
        <v>0</v>
      </c>
      <c r="J567" s="198">
        <f>_xlfn.IFNA(IF(J$7="Fixed",1,IF(AND($D96="yes",J$7="Block"),INDEX($O738:$Q738,1,MATCH(J$5,$I61:$K61,0)),INDEX(Movements!$G738:$M738,1,MATCH(J$7,Movements!$G$716:$M$716,0))))
*J1212*J$8,0)</f>
        <v>0</v>
      </c>
      <c r="K567" s="198">
        <f>_xlfn.IFNA(IF(K$7="Fixed",1,IF(AND($D96="yes",K$7="Block"),INDEX($O738:$Q738,1,MATCH(K$5,$I61:$K61,0)),INDEX(Movements!$G738:$M738,1,MATCH(K$7,Movements!$G$716:$M$716,0))))
*K1212*K$8,0)</f>
        <v>0</v>
      </c>
      <c r="L567" s="198">
        <f>_xlfn.IFNA(IF(L$7="Fixed",1,IF(AND($D96="yes",L$7="Block"),INDEX($O738:$Q738,1,MATCH(L$5,$I61:$K61,0)),INDEX(Movements!$G738:$M738,1,MATCH(L$7,Movements!$G$716:$M$716,0))))
*L1212*L$8,0)</f>
        <v>0</v>
      </c>
      <c r="M567" s="198">
        <f>_xlfn.IFNA(IF(M$7="Fixed",1,IF(AND($D96="yes",M$7="Block"),INDEX($O738:$Q738,1,MATCH(M$5,$I61:$K61,0)),INDEX(Movements!$G738:$M738,1,MATCH(M$7,Movements!$G$716:$M$716,0))))
*M1212*M$8,0)</f>
        <v>0</v>
      </c>
      <c r="N567" s="198">
        <f>_xlfn.IFNA(IF(N$7="Fixed",1,IF(AND($D96="yes",N$7="Block"),INDEX($O738:$Q738,1,MATCH(N$5,$I61:$K61,0)),INDEX(Movements!$G738:$M738,1,MATCH(N$7,Movements!$G$716:$M$716,0))))
*N1212*N$8,0)</f>
        <v>0</v>
      </c>
      <c r="O567" s="198">
        <f>_xlfn.IFNA(IF(O$7="Fixed",1,IF(AND($D96="yes",O$7="Block"),INDEX($O738:$Q738,1,MATCH(O$5,$I61:$K61,0)),INDEX(Movements!$G738:$M738,1,MATCH(O$7,Movements!$G$716:$M$716,0))))
*O1212*O$8,0)</f>
        <v>0</v>
      </c>
      <c r="P567" s="198">
        <f>_xlfn.IFNA(IF(P$7="Fixed",1,IF(AND($D96="yes",P$7="Block"),INDEX($O738:$Q738,1,MATCH(P$5,$I61:$K61,0)),INDEX(Movements!$G738:$M738,1,MATCH(P$7,Movements!$G$716:$M$716,0))))
*P1212*P$8,0)</f>
        <v>0</v>
      </c>
      <c r="Q567" s="198">
        <f>_xlfn.IFNA(IF(Q$7="Fixed",1,IF(AND($D96="yes",Q$7="Block"),INDEX($O738:$Q738,1,MATCH(Q$5,$I61:$K61,0)),INDEX(Movements!$G738:$M738,1,MATCH(Q$7,Movements!$G$716:$M$716,0))))
*Q1212*Q$8,0)</f>
        <v>0</v>
      </c>
      <c r="R567" s="198">
        <f>_xlfn.IFNA(IF(R$7="Fixed",1,IF(AND($D96="yes",R$7="Block"),INDEX($O738:$Q738,1,MATCH(R$5,$I61:$K61,0)),INDEX(Movements!$G738:$M738,1,MATCH(R$7,Movements!$G$716:$M$716,0))))
*R1212*R$8,0)</f>
        <v>0</v>
      </c>
      <c r="S567" s="198">
        <f>_xlfn.IFNA(IF(S$7="Fixed",1,IF(AND($D96="yes",S$7="Block"),INDEX($O738:$Q738,1,MATCH(S$5,$I61:$K61,0)),INDEX(Movements!$G738:$M738,1,MATCH(S$7,Movements!$G$716:$M$716,0))))
*S1212*S$8,0)</f>
        <v>0</v>
      </c>
      <c r="T567" s="198">
        <f>_xlfn.IFNA(IF(T$7="Fixed",1,IF(AND($D96="yes",T$7="Block"),INDEX($O738:$Q738,1,MATCH(T$5,$I61:$K61,0)),INDEX(Movements!$G738:$M738,1,MATCH(T$7,Movements!$G$716:$M$716,0))))
*T1212*T$8,0)</f>
        <v>0</v>
      </c>
      <c r="U567" s="198">
        <f>_xlfn.IFNA(IF(U$7="Fixed",1,IF(AND($D96="yes",U$7="Block"),INDEX($O738:$Q738,1,MATCH(U$5,$I61:$K61,0)),INDEX(Movements!$G738:$M738,1,MATCH(U$7,Movements!$G$716:$M$716,0))))
*U1212*U$8,0)</f>
        <v>0</v>
      </c>
      <c r="V567" s="198">
        <f>_xlfn.IFNA(IF(V$7="Fixed",1,IF(AND($D96="yes",V$7="Block"),INDEX($O738:$Q738,1,MATCH(V$5,$I61:$K61,0)),INDEX(Movements!$G738:$M738,1,MATCH(V$7,Movements!$G$716:$M$716,0))))
*V1212*V$8,0)</f>
        <v>0</v>
      </c>
      <c r="W567" s="198">
        <f>_xlfn.IFNA(IF(W$7="Fixed",1,IF(AND($D96="yes",W$7="Block"),INDEX($O738:$Q738,1,MATCH(W$5,$I61:$K61,0)),INDEX(Movements!$G738:$M738,1,MATCH(W$7,Movements!$G$716:$M$716,0))))
*W1212*W$8,0)</f>
        <v>0</v>
      </c>
      <c r="X567" s="198">
        <f>_xlfn.IFNA(IF(X$7="Fixed",1,IF(AND($D96="yes",X$7="Block"),INDEX($O738:$Q738,1,MATCH(X$5,$I61:$K61,0)),INDEX(Movements!$G738:$M738,1,MATCH(X$7,Movements!$G$716:$M$716,0))))
*X1212*X$8,0)</f>
        <v>0</v>
      </c>
      <c r="Y567" s="198">
        <f>_xlfn.IFNA(IF(Y$7="Fixed",1,IF(AND($D96="yes",Y$7="Block"),INDEX($O738:$Q738,1,MATCH(Y$5,$I61:$K61,0)),INDEX(Movements!$G738:$M738,1,MATCH(Y$7,Movements!$G$716:$M$716,0))))
*Y1212*Y$8,0)</f>
        <v>0</v>
      </c>
      <c r="Z567" s="198">
        <f>_xlfn.IFNA(IF(Z$7="Fixed",1,IF(AND($D96="yes",Z$7="Block"),INDEX($O738:$Q738,1,MATCH(Z$5,$I61:$K61,0)),INDEX(Movements!$G738:$M738,1,MATCH(Z$7,Movements!$G$716:$M$716,0))))
*Z1212*Z$8,0)</f>
        <v>0</v>
      </c>
      <c r="AA567" s="198">
        <f>_xlfn.IFNA(IF(AA$7="Fixed",1,IF(AND($D96="yes",AA$7="Block"),INDEX($O738:$Q738,1,MATCH(AA$5,$I61:$K61,0)),INDEX(Movements!$G738:$M738,1,MATCH(AA$7,Movements!$G$716:$M$716,0))))
*AA1212*AA$8,0)</f>
        <v>0</v>
      </c>
      <c r="AB567" s="198">
        <f>_xlfn.IFNA(IF(AB$7="Fixed",1,IF(AND($D96="yes",AB$7="Block"),INDEX($O738:$Q738,1,MATCH(AB$5,$I61:$K61,0)),INDEX(Movements!$G738:$M738,1,MATCH(AB$7,Movements!$G$716:$M$716,0))))
*AB1212*AB$8,0)</f>
        <v>0</v>
      </c>
      <c r="AC567" s="70"/>
      <c r="AD567" s="19"/>
      <c r="AE567" s="19"/>
      <c r="AF567" s="19"/>
      <c r="AG567" s="19"/>
    </row>
    <row r="568" spans="1:33" hidden="1" outlineLevel="3" x14ac:dyDescent="0.2">
      <c r="A568" s="19"/>
      <c r="B568" s="19"/>
      <c r="C568" s="506">
        <f t="shared" si="127"/>
        <v>0</v>
      </c>
      <c r="D568" s="505">
        <f t="shared" si="127"/>
        <v>0</v>
      </c>
      <c r="E568" s="505">
        <f t="shared" si="127"/>
        <v>0</v>
      </c>
      <c r="F568" s="58"/>
      <c r="G568" s="199">
        <f t="shared" si="128"/>
        <v>0</v>
      </c>
      <c r="H568" s="58"/>
      <c r="I568" s="198">
        <f>_xlfn.IFNA(IF(I$7="Fixed",1,IF(AND($D97="yes",I$7="Block"),INDEX($O739:$Q739,1,MATCH(I$5,$I62:$K62,0)),INDEX(Movements!$G739:$M739,1,MATCH(I$7,Movements!$G$716:$M$716,0))))
*I1213*I$8,0)</f>
        <v>0</v>
      </c>
      <c r="J568" s="198">
        <f>_xlfn.IFNA(IF(J$7="Fixed",1,IF(AND($D97="yes",J$7="Block"),INDEX($O739:$Q739,1,MATCH(J$5,$I62:$K62,0)),INDEX(Movements!$G739:$M739,1,MATCH(J$7,Movements!$G$716:$M$716,0))))
*J1213*J$8,0)</f>
        <v>0</v>
      </c>
      <c r="K568" s="198">
        <f>_xlfn.IFNA(IF(K$7="Fixed",1,IF(AND($D97="yes",K$7="Block"),INDEX($O739:$Q739,1,MATCH(K$5,$I62:$K62,0)),INDEX(Movements!$G739:$M739,1,MATCH(K$7,Movements!$G$716:$M$716,0))))
*K1213*K$8,0)</f>
        <v>0</v>
      </c>
      <c r="L568" s="198">
        <f>_xlfn.IFNA(IF(L$7="Fixed",1,IF(AND($D97="yes",L$7="Block"),INDEX($O739:$Q739,1,MATCH(L$5,$I62:$K62,0)),INDEX(Movements!$G739:$M739,1,MATCH(L$7,Movements!$G$716:$M$716,0))))
*L1213*L$8,0)</f>
        <v>0</v>
      </c>
      <c r="M568" s="198">
        <f>_xlfn.IFNA(IF(M$7="Fixed",1,IF(AND($D97="yes",M$7="Block"),INDEX($O739:$Q739,1,MATCH(M$5,$I62:$K62,0)),INDEX(Movements!$G739:$M739,1,MATCH(M$7,Movements!$G$716:$M$716,0))))
*M1213*M$8,0)</f>
        <v>0</v>
      </c>
      <c r="N568" s="198">
        <f>_xlfn.IFNA(IF(N$7="Fixed",1,IF(AND($D97="yes",N$7="Block"),INDEX($O739:$Q739,1,MATCH(N$5,$I62:$K62,0)),INDEX(Movements!$G739:$M739,1,MATCH(N$7,Movements!$G$716:$M$716,0))))
*N1213*N$8,0)</f>
        <v>0</v>
      </c>
      <c r="O568" s="198">
        <f>_xlfn.IFNA(IF(O$7="Fixed",1,IF(AND($D97="yes",O$7="Block"),INDEX($O739:$Q739,1,MATCH(O$5,$I62:$K62,0)),INDEX(Movements!$G739:$M739,1,MATCH(O$7,Movements!$G$716:$M$716,0))))
*O1213*O$8,0)</f>
        <v>0</v>
      </c>
      <c r="P568" s="198">
        <f>_xlfn.IFNA(IF(P$7="Fixed",1,IF(AND($D97="yes",P$7="Block"),INDEX($O739:$Q739,1,MATCH(P$5,$I62:$K62,0)),INDEX(Movements!$G739:$M739,1,MATCH(P$7,Movements!$G$716:$M$716,0))))
*P1213*P$8,0)</f>
        <v>0</v>
      </c>
      <c r="Q568" s="198">
        <f>_xlfn.IFNA(IF(Q$7="Fixed",1,IF(AND($D97="yes",Q$7="Block"),INDEX($O739:$Q739,1,MATCH(Q$5,$I62:$K62,0)),INDEX(Movements!$G739:$M739,1,MATCH(Q$7,Movements!$G$716:$M$716,0))))
*Q1213*Q$8,0)</f>
        <v>0</v>
      </c>
      <c r="R568" s="198">
        <f>_xlfn.IFNA(IF(R$7="Fixed",1,IF(AND($D97="yes",R$7="Block"),INDEX($O739:$Q739,1,MATCH(R$5,$I62:$K62,0)),INDEX(Movements!$G739:$M739,1,MATCH(R$7,Movements!$G$716:$M$716,0))))
*R1213*R$8,0)</f>
        <v>0</v>
      </c>
      <c r="S568" s="198">
        <f>_xlfn.IFNA(IF(S$7="Fixed",1,IF(AND($D97="yes",S$7="Block"),INDEX($O739:$Q739,1,MATCH(S$5,$I62:$K62,0)),INDEX(Movements!$G739:$M739,1,MATCH(S$7,Movements!$G$716:$M$716,0))))
*S1213*S$8,0)</f>
        <v>0</v>
      </c>
      <c r="T568" s="198">
        <f>_xlfn.IFNA(IF(T$7="Fixed",1,IF(AND($D97="yes",T$7="Block"),INDEX($O739:$Q739,1,MATCH(T$5,$I62:$K62,0)),INDEX(Movements!$G739:$M739,1,MATCH(T$7,Movements!$G$716:$M$716,0))))
*T1213*T$8,0)</f>
        <v>0</v>
      </c>
      <c r="U568" s="198">
        <f>_xlfn.IFNA(IF(U$7="Fixed",1,IF(AND($D97="yes",U$7="Block"),INDEX($O739:$Q739,1,MATCH(U$5,$I62:$K62,0)),INDEX(Movements!$G739:$M739,1,MATCH(U$7,Movements!$G$716:$M$716,0))))
*U1213*U$8,0)</f>
        <v>0</v>
      </c>
      <c r="V568" s="198">
        <f>_xlfn.IFNA(IF(V$7="Fixed",1,IF(AND($D97="yes",V$7="Block"),INDEX($O739:$Q739,1,MATCH(V$5,$I62:$K62,0)),INDEX(Movements!$G739:$M739,1,MATCH(V$7,Movements!$G$716:$M$716,0))))
*V1213*V$8,0)</f>
        <v>0</v>
      </c>
      <c r="W568" s="198">
        <f>_xlfn.IFNA(IF(W$7="Fixed",1,IF(AND($D97="yes",W$7="Block"),INDEX($O739:$Q739,1,MATCH(W$5,$I62:$K62,0)),INDEX(Movements!$G739:$M739,1,MATCH(W$7,Movements!$G$716:$M$716,0))))
*W1213*W$8,0)</f>
        <v>0</v>
      </c>
      <c r="X568" s="198">
        <f>_xlfn.IFNA(IF(X$7="Fixed",1,IF(AND($D97="yes",X$7="Block"),INDEX($O739:$Q739,1,MATCH(X$5,$I62:$K62,0)),INDEX(Movements!$G739:$M739,1,MATCH(X$7,Movements!$G$716:$M$716,0))))
*X1213*X$8,0)</f>
        <v>0</v>
      </c>
      <c r="Y568" s="198">
        <f>_xlfn.IFNA(IF(Y$7="Fixed",1,IF(AND($D97="yes",Y$7="Block"),INDEX($O739:$Q739,1,MATCH(Y$5,$I62:$K62,0)),INDEX(Movements!$G739:$M739,1,MATCH(Y$7,Movements!$G$716:$M$716,0))))
*Y1213*Y$8,0)</f>
        <v>0</v>
      </c>
      <c r="Z568" s="198">
        <f>_xlfn.IFNA(IF(Z$7="Fixed",1,IF(AND($D97="yes",Z$7="Block"),INDEX($O739:$Q739,1,MATCH(Z$5,$I62:$K62,0)),INDEX(Movements!$G739:$M739,1,MATCH(Z$7,Movements!$G$716:$M$716,0))))
*Z1213*Z$8,0)</f>
        <v>0</v>
      </c>
      <c r="AA568" s="198">
        <f>_xlfn.IFNA(IF(AA$7="Fixed",1,IF(AND($D97="yes",AA$7="Block"),INDEX($O739:$Q739,1,MATCH(AA$5,$I62:$K62,0)),INDEX(Movements!$G739:$M739,1,MATCH(AA$7,Movements!$G$716:$M$716,0))))
*AA1213*AA$8,0)</f>
        <v>0</v>
      </c>
      <c r="AB568" s="198">
        <f>_xlfn.IFNA(IF(AB$7="Fixed",1,IF(AND($D97="yes",AB$7="Block"),INDEX($O739:$Q739,1,MATCH(AB$5,$I62:$K62,0)),INDEX(Movements!$G739:$M739,1,MATCH(AB$7,Movements!$G$716:$M$716,0))))
*AB1213*AB$8,0)</f>
        <v>0</v>
      </c>
      <c r="AC568" s="70"/>
      <c r="AD568" s="19"/>
      <c r="AE568" s="19"/>
      <c r="AF568" s="19"/>
      <c r="AG568" s="19"/>
    </row>
    <row r="569" spans="1:33" hidden="1" outlineLevel="3" x14ac:dyDescent="0.2">
      <c r="A569" s="19"/>
      <c r="B569" s="19"/>
      <c r="C569" s="506">
        <f t="shared" si="127"/>
        <v>0</v>
      </c>
      <c r="D569" s="505">
        <f t="shared" si="127"/>
        <v>0</v>
      </c>
      <c r="E569" s="505">
        <f t="shared" si="127"/>
        <v>0</v>
      </c>
      <c r="F569" s="58"/>
      <c r="G569" s="199">
        <f t="shared" si="128"/>
        <v>0</v>
      </c>
      <c r="H569" s="58"/>
      <c r="I569" s="198">
        <f>_xlfn.IFNA(IF(I$7="Fixed",1,IF(AND($D98="yes",I$7="Block"),INDEX($O740:$Q740,1,MATCH(I$5,$I63:$K63,0)),INDEX(Movements!$G740:$M740,1,MATCH(I$7,Movements!$G$716:$M$716,0))))
*I1214*I$8,0)</f>
        <v>0</v>
      </c>
      <c r="J569" s="198">
        <f>_xlfn.IFNA(IF(J$7="Fixed",1,IF(AND($D98="yes",J$7="Block"),INDEX($O740:$Q740,1,MATCH(J$5,$I63:$K63,0)),INDEX(Movements!$G740:$M740,1,MATCH(J$7,Movements!$G$716:$M$716,0))))
*J1214*J$8,0)</f>
        <v>0</v>
      </c>
      <c r="K569" s="198">
        <f>_xlfn.IFNA(IF(K$7="Fixed",1,IF(AND($D98="yes",K$7="Block"),INDEX($O740:$Q740,1,MATCH(K$5,$I63:$K63,0)),INDEX(Movements!$G740:$M740,1,MATCH(K$7,Movements!$G$716:$M$716,0))))
*K1214*K$8,0)</f>
        <v>0</v>
      </c>
      <c r="L569" s="198">
        <f>_xlfn.IFNA(IF(L$7="Fixed",1,IF(AND($D98="yes",L$7="Block"),INDEX($O740:$Q740,1,MATCH(L$5,$I63:$K63,0)),INDEX(Movements!$G740:$M740,1,MATCH(L$7,Movements!$G$716:$M$716,0))))
*L1214*L$8,0)</f>
        <v>0</v>
      </c>
      <c r="M569" s="198">
        <f>_xlfn.IFNA(IF(M$7="Fixed",1,IF(AND($D98="yes",M$7="Block"),INDEX($O740:$Q740,1,MATCH(M$5,$I63:$K63,0)),INDEX(Movements!$G740:$M740,1,MATCH(M$7,Movements!$G$716:$M$716,0))))
*M1214*M$8,0)</f>
        <v>0</v>
      </c>
      <c r="N569" s="198">
        <f>_xlfn.IFNA(IF(N$7="Fixed",1,IF(AND($D98="yes",N$7="Block"),INDEX($O740:$Q740,1,MATCH(N$5,$I63:$K63,0)),INDEX(Movements!$G740:$M740,1,MATCH(N$7,Movements!$G$716:$M$716,0))))
*N1214*N$8,0)</f>
        <v>0</v>
      </c>
      <c r="O569" s="198">
        <f>_xlfn.IFNA(IF(O$7="Fixed",1,IF(AND($D98="yes",O$7="Block"),INDEX($O740:$Q740,1,MATCH(O$5,$I63:$K63,0)),INDEX(Movements!$G740:$M740,1,MATCH(O$7,Movements!$G$716:$M$716,0))))
*O1214*O$8,0)</f>
        <v>0</v>
      </c>
      <c r="P569" s="198">
        <f>_xlfn.IFNA(IF(P$7="Fixed",1,IF(AND($D98="yes",P$7="Block"),INDEX($O740:$Q740,1,MATCH(P$5,$I63:$K63,0)),INDEX(Movements!$G740:$M740,1,MATCH(P$7,Movements!$G$716:$M$716,0))))
*P1214*P$8,0)</f>
        <v>0</v>
      </c>
      <c r="Q569" s="198">
        <f>_xlfn.IFNA(IF(Q$7="Fixed",1,IF(AND($D98="yes",Q$7="Block"),INDEX($O740:$Q740,1,MATCH(Q$5,$I63:$K63,0)),INDEX(Movements!$G740:$M740,1,MATCH(Q$7,Movements!$G$716:$M$716,0))))
*Q1214*Q$8,0)</f>
        <v>0</v>
      </c>
      <c r="R569" s="198">
        <f>_xlfn.IFNA(IF(R$7="Fixed",1,IF(AND($D98="yes",R$7="Block"),INDEX($O740:$Q740,1,MATCH(R$5,$I63:$K63,0)),INDEX(Movements!$G740:$M740,1,MATCH(R$7,Movements!$G$716:$M$716,0))))
*R1214*R$8,0)</f>
        <v>0</v>
      </c>
      <c r="S569" s="198">
        <f>_xlfn.IFNA(IF(S$7="Fixed",1,IF(AND($D98="yes",S$7="Block"),INDEX($O740:$Q740,1,MATCH(S$5,$I63:$K63,0)),INDEX(Movements!$G740:$M740,1,MATCH(S$7,Movements!$G$716:$M$716,0))))
*S1214*S$8,0)</f>
        <v>0</v>
      </c>
      <c r="T569" s="198">
        <f>_xlfn.IFNA(IF(T$7="Fixed",1,IF(AND($D98="yes",T$7="Block"),INDEX($O740:$Q740,1,MATCH(T$5,$I63:$K63,0)),INDEX(Movements!$G740:$M740,1,MATCH(T$7,Movements!$G$716:$M$716,0))))
*T1214*T$8,0)</f>
        <v>0</v>
      </c>
      <c r="U569" s="198">
        <f>_xlfn.IFNA(IF(U$7="Fixed",1,IF(AND($D98="yes",U$7="Block"),INDEX($O740:$Q740,1,MATCH(U$5,$I63:$K63,0)),INDEX(Movements!$G740:$M740,1,MATCH(U$7,Movements!$G$716:$M$716,0))))
*U1214*U$8,0)</f>
        <v>0</v>
      </c>
      <c r="V569" s="198">
        <f>_xlfn.IFNA(IF(V$7="Fixed",1,IF(AND($D98="yes",V$7="Block"),INDEX($O740:$Q740,1,MATCH(V$5,$I63:$K63,0)),INDEX(Movements!$G740:$M740,1,MATCH(V$7,Movements!$G$716:$M$716,0))))
*V1214*V$8,0)</f>
        <v>0</v>
      </c>
      <c r="W569" s="198">
        <f>_xlfn.IFNA(IF(W$7="Fixed",1,IF(AND($D98="yes",W$7="Block"),INDEX($O740:$Q740,1,MATCH(W$5,$I63:$K63,0)),INDEX(Movements!$G740:$M740,1,MATCH(W$7,Movements!$G$716:$M$716,0))))
*W1214*W$8,0)</f>
        <v>0</v>
      </c>
      <c r="X569" s="198">
        <f>_xlfn.IFNA(IF(X$7="Fixed",1,IF(AND($D98="yes",X$7="Block"),INDEX($O740:$Q740,1,MATCH(X$5,$I63:$K63,0)),INDEX(Movements!$G740:$M740,1,MATCH(X$7,Movements!$G$716:$M$716,0))))
*X1214*X$8,0)</f>
        <v>0</v>
      </c>
      <c r="Y569" s="198">
        <f>_xlfn.IFNA(IF(Y$7="Fixed",1,IF(AND($D98="yes",Y$7="Block"),INDEX($O740:$Q740,1,MATCH(Y$5,$I63:$K63,0)),INDEX(Movements!$G740:$M740,1,MATCH(Y$7,Movements!$G$716:$M$716,0))))
*Y1214*Y$8,0)</f>
        <v>0</v>
      </c>
      <c r="Z569" s="198">
        <f>_xlfn.IFNA(IF(Z$7="Fixed",1,IF(AND($D98="yes",Z$7="Block"),INDEX($O740:$Q740,1,MATCH(Z$5,$I63:$K63,0)),INDEX(Movements!$G740:$M740,1,MATCH(Z$7,Movements!$G$716:$M$716,0))))
*Z1214*Z$8,0)</f>
        <v>0</v>
      </c>
      <c r="AA569" s="198">
        <f>_xlfn.IFNA(IF(AA$7="Fixed",1,IF(AND($D98="yes",AA$7="Block"),INDEX($O740:$Q740,1,MATCH(AA$5,$I63:$K63,0)),INDEX(Movements!$G740:$M740,1,MATCH(AA$7,Movements!$G$716:$M$716,0))))
*AA1214*AA$8,0)</f>
        <v>0</v>
      </c>
      <c r="AB569" s="198">
        <f>_xlfn.IFNA(IF(AB$7="Fixed",1,IF(AND($D98="yes",AB$7="Block"),INDEX($O740:$Q740,1,MATCH(AB$5,$I63:$K63,0)),INDEX(Movements!$G740:$M740,1,MATCH(AB$7,Movements!$G$716:$M$716,0))))
*AB1214*AB$8,0)</f>
        <v>0</v>
      </c>
      <c r="AC569" s="70"/>
      <c r="AD569" s="19"/>
      <c r="AE569" s="19"/>
      <c r="AF569" s="19"/>
      <c r="AG569" s="19"/>
    </row>
    <row r="570" spans="1:33" hidden="1" outlineLevel="3" x14ac:dyDescent="0.2">
      <c r="A570" s="19"/>
      <c r="B570" s="19"/>
      <c r="C570" s="506">
        <f t="shared" si="127"/>
        <v>0</v>
      </c>
      <c r="D570" s="505">
        <f t="shared" si="127"/>
        <v>0</v>
      </c>
      <c r="E570" s="505">
        <f t="shared" si="127"/>
        <v>0</v>
      </c>
      <c r="F570" s="58"/>
      <c r="G570" s="199">
        <f t="shared" si="128"/>
        <v>0</v>
      </c>
      <c r="H570" s="58"/>
      <c r="I570" s="198">
        <f>_xlfn.IFNA(IF(I$7="Fixed",1,IF(AND($D99="yes",I$7="Block"),INDEX($O741:$Q741,1,MATCH(I$5,$I64:$K64,0)),INDEX(Movements!$G741:$M741,1,MATCH(I$7,Movements!$G$716:$M$716,0))))
*I1215*I$8,0)</f>
        <v>0</v>
      </c>
      <c r="J570" s="198">
        <f>_xlfn.IFNA(IF(J$7="Fixed",1,IF(AND($D99="yes",J$7="Block"),INDEX($O741:$Q741,1,MATCH(J$5,$I64:$K64,0)),INDEX(Movements!$G741:$M741,1,MATCH(J$7,Movements!$G$716:$M$716,0))))
*J1215*J$8,0)</f>
        <v>0</v>
      </c>
      <c r="K570" s="198">
        <f>_xlfn.IFNA(IF(K$7="Fixed",1,IF(AND($D99="yes",K$7="Block"),INDEX($O741:$Q741,1,MATCH(K$5,$I64:$K64,0)),INDEX(Movements!$G741:$M741,1,MATCH(K$7,Movements!$G$716:$M$716,0))))
*K1215*K$8,0)</f>
        <v>0</v>
      </c>
      <c r="L570" s="198">
        <f>_xlfn.IFNA(IF(L$7="Fixed",1,IF(AND($D99="yes",L$7="Block"),INDEX($O741:$Q741,1,MATCH(L$5,$I64:$K64,0)),INDEX(Movements!$G741:$M741,1,MATCH(L$7,Movements!$G$716:$M$716,0))))
*L1215*L$8,0)</f>
        <v>0</v>
      </c>
      <c r="M570" s="198">
        <f>_xlfn.IFNA(IF(M$7="Fixed",1,IF(AND($D99="yes",M$7="Block"),INDEX($O741:$Q741,1,MATCH(M$5,$I64:$K64,0)),INDEX(Movements!$G741:$M741,1,MATCH(M$7,Movements!$G$716:$M$716,0))))
*M1215*M$8,0)</f>
        <v>0</v>
      </c>
      <c r="N570" s="198">
        <f>_xlfn.IFNA(IF(N$7="Fixed",1,IF(AND($D99="yes",N$7="Block"),INDEX($O741:$Q741,1,MATCH(N$5,$I64:$K64,0)),INDEX(Movements!$G741:$M741,1,MATCH(N$7,Movements!$G$716:$M$716,0))))
*N1215*N$8,0)</f>
        <v>0</v>
      </c>
      <c r="O570" s="198">
        <f>_xlfn.IFNA(IF(O$7="Fixed",1,IF(AND($D99="yes",O$7="Block"),INDEX($O741:$Q741,1,MATCH(O$5,$I64:$K64,0)),INDEX(Movements!$G741:$M741,1,MATCH(O$7,Movements!$G$716:$M$716,0))))
*O1215*O$8,0)</f>
        <v>0</v>
      </c>
      <c r="P570" s="198">
        <f>_xlfn.IFNA(IF(P$7="Fixed",1,IF(AND($D99="yes",P$7="Block"),INDEX($O741:$Q741,1,MATCH(P$5,$I64:$K64,0)),INDEX(Movements!$G741:$M741,1,MATCH(P$7,Movements!$G$716:$M$716,0))))
*P1215*P$8,0)</f>
        <v>0</v>
      </c>
      <c r="Q570" s="198">
        <f>_xlfn.IFNA(IF(Q$7="Fixed",1,IF(AND($D99="yes",Q$7="Block"),INDEX($O741:$Q741,1,MATCH(Q$5,$I64:$K64,0)),INDEX(Movements!$G741:$M741,1,MATCH(Q$7,Movements!$G$716:$M$716,0))))
*Q1215*Q$8,0)</f>
        <v>0</v>
      </c>
      <c r="R570" s="198">
        <f>_xlfn.IFNA(IF(R$7="Fixed",1,IF(AND($D99="yes",R$7="Block"),INDEX($O741:$Q741,1,MATCH(R$5,$I64:$K64,0)),INDEX(Movements!$G741:$M741,1,MATCH(R$7,Movements!$G$716:$M$716,0))))
*R1215*R$8,0)</f>
        <v>0</v>
      </c>
      <c r="S570" s="198">
        <f>_xlfn.IFNA(IF(S$7="Fixed",1,IF(AND($D99="yes",S$7="Block"),INDEX($O741:$Q741,1,MATCH(S$5,$I64:$K64,0)),INDEX(Movements!$G741:$M741,1,MATCH(S$7,Movements!$G$716:$M$716,0))))
*S1215*S$8,0)</f>
        <v>0</v>
      </c>
      <c r="T570" s="198">
        <f>_xlfn.IFNA(IF(T$7="Fixed",1,IF(AND($D99="yes",T$7="Block"),INDEX($O741:$Q741,1,MATCH(T$5,$I64:$K64,0)),INDEX(Movements!$G741:$M741,1,MATCH(T$7,Movements!$G$716:$M$716,0))))
*T1215*T$8,0)</f>
        <v>0</v>
      </c>
      <c r="U570" s="198">
        <f>_xlfn.IFNA(IF(U$7="Fixed",1,IF(AND($D99="yes",U$7="Block"),INDEX($O741:$Q741,1,MATCH(U$5,$I64:$K64,0)),INDEX(Movements!$G741:$M741,1,MATCH(U$7,Movements!$G$716:$M$716,0))))
*U1215*U$8,0)</f>
        <v>0</v>
      </c>
      <c r="V570" s="198">
        <f>_xlfn.IFNA(IF(V$7="Fixed",1,IF(AND($D99="yes",V$7="Block"),INDEX($O741:$Q741,1,MATCH(V$5,$I64:$K64,0)),INDEX(Movements!$G741:$M741,1,MATCH(V$7,Movements!$G$716:$M$716,0))))
*V1215*V$8,0)</f>
        <v>0</v>
      </c>
      <c r="W570" s="198">
        <f>_xlfn.IFNA(IF(W$7="Fixed",1,IF(AND($D99="yes",W$7="Block"),INDEX($O741:$Q741,1,MATCH(W$5,$I64:$K64,0)),INDEX(Movements!$G741:$M741,1,MATCH(W$7,Movements!$G$716:$M$716,0))))
*W1215*W$8,0)</f>
        <v>0</v>
      </c>
      <c r="X570" s="198">
        <f>_xlfn.IFNA(IF(X$7="Fixed",1,IF(AND($D99="yes",X$7="Block"),INDEX($O741:$Q741,1,MATCH(X$5,$I64:$K64,0)),INDEX(Movements!$G741:$M741,1,MATCH(X$7,Movements!$G$716:$M$716,0))))
*X1215*X$8,0)</f>
        <v>0</v>
      </c>
      <c r="Y570" s="198">
        <f>_xlfn.IFNA(IF(Y$7="Fixed",1,IF(AND($D99="yes",Y$7="Block"),INDEX($O741:$Q741,1,MATCH(Y$5,$I64:$K64,0)),INDEX(Movements!$G741:$M741,1,MATCH(Y$7,Movements!$G$716:$M$716,0))))
*Y1215*Y$8,0)</f>
        <v>0</v>
      </c>
      <c r="Z570" s="198">
        <f>_xlfn.IFNA(IF(Z$7="Fixed",1,IF(AND($D99="yes",Z$7="Block"),INDEX($O741:$Q741,1,MATCH(Z$5,$I64:$K64,0)),INDEX(Movements!$G741:$M741,1,MATCH(Z$7,Movements!$G$716:$M$716,0))))
*Z1215*Z$8,0)</f>
        <v>0</v>
      </c>
      <c r="AA570" s="198">
        <f>_xlfn.IFNA(IF(AA$7="Fixed",1,IF(AND($D99="yes",AA$7="Block"),INDEX($O741:$Q741,1,MATCH(AA$5,$I64:$K64,0)),INDEX(Movements!$G741:$M741,1,MATCH(AA$7,Movements!$G$716:$M$716,0))))
*AA1215*AA$8,0)</f>
        <v>0</v>
      </c>
      <c r="AB570" s="198">
        <f>_xlfn.IFNA(IF(AB$7="Fixed",1,IF(AND($D99="yes",AB$7="Block"),INDEX($O741:$Q741,1,MATCH(AB$5,$I64:$K64,0)),INDEX(Movements!$G741:$M741,1,MATCH(AB$7,Movements!$G$716:$M$716,0))))
*AB1215*AB$8,0)</f>
        <v>0</v>
      </c>
      <c r="AC570" s="70"/>
      <c r="AD570" s="19"/>
      <c r="AE570" s="19"/>
      <c r="AF570" s="19"/>
      <c r="AG570" s="19"/>
    </row>
    <row r="571" spans="1:33" hidden="1" outlineLevel="3" x14ac:dyDescent="0.2">
      <c r="A571" s="19"/>
      <c r="B571" s="19"/>
      <c r="C571" s="506">
        <f t="shared" si="127"/>
        <v>0</v>
      </c>
      <c r="D571" s="505">
        <f t="shared" si="127"/>
        <v>0</v>
      </c>
      <c r="E571" s="505">
        <f t="shared" si="127"/>
        <v>0</v>
      </c>
      <c r="F571" s="58"/>
      <c r="G571" s="199">
        <f t="shared" si="128"/>
        <v>0</v>
      </c>
      <c r="H571" s="58"/>
      <c r="I571" s="198">
        <f>_xlfn.IFNA(IF(I$7="Fixed",1,IF(AND($D100="yes",I$7="Block"),INDEX($O742:$Q742,1,MATCH(I$5,$I65:$K65,0)),INDEX(Movements!$G742:$M742,1,MATCH(I$7,Movements!$G$716:$M$716,0))))
*I1216*I$8,0)</f>
        <v>0</v>
      </c>
      <c r="J571" s="198">
        <f>_xlfn.IFNA(IF(J$7="Fixed",1,IF(AND($D100="yes",J$7="Block"),INDEX($O742:$Q742,1,MATCH(J$5,$I65:$K65,0)),INDEX(Movements!$G742:$M742,1,MATCH(J$7,Movements!$G$716:$M$716,0))))
*J1216*J$8,0)</f>
        <v>0</v>
      </c>
      <c r="K571" s="198">
        <f>_xlfn.IFNA(IF(K$7="Fixed",1,IF(AND($D100="yes",K$7="Block"),INDEX($O742:$Q742,1,MATCH(K$5,$I65:$K65,0)),INDEX(Movements!$G742:$M742,1,MATCH(K$7,Movements!$G$716:$M$716,0))))
*K1216*K$8,0)</f>
        <v>0</v>
      </c>
      <c r="L571" s="198">
        <f>_xlfn.IFNA(IF(L$7="Fixed",1,IF(AND($D100="yes",L$7="Block"),INDEX($O742:$Q742,1,MATCH(L$5,$I65:$K65,0)),INDEX(Movements!$G742:$M742,1,MATCH(L$7,Movements!$G$716:$M$716,0))))
*L1216*L$8,0)</f>
        <v>0</v>
      </c>
      <c r="M571" s="198">
        <f>_xlfn.IFNA(IF(M$7="Fixed",1,IF(AND($D100="yes",M$7="Block"),INDEX($O742:$Q742,1,MATCH(M$5,$I65:$K65,0)),INDEX(Movements!$G742:$M742,1,MATCH(M$7,Movements!$G$716:$M$716,0))))
*M1216*M$8,0)</f>
        <v>0</v>
      </c>
      <c r="N571" s="198">
        <f>_xlfn.IFNA(IF(N$7="Fixed",1,IF(AND($D100="yes",N$7="Block"),INDEX($O742:$Q742,1,MATCH(N$5,$I65:$K65,0)),INDEX(Movements!$G742:$M742,1,MATCH(N$7,Movements!$G$716:$M$716,0))))
*N1216*N$8,0)</f>
        <v>0</v>
      </c>
      <c r="O571" s="198">
        <f>_xlfn.IFNA(IF(O$7="Fixed",1,IF(AND($D100="yes",O$7="Block"),INDEX($O742:$Q742,1,MATCH(O$5,$I65:$K65,0)),INDEX(Movements!$G742:$M742,1,MATCH(O$7,Movements!$G$716:$M$716,0))))
*O1216*O$8,0)</f>
        <v>0</v>
      </c>
      <c r="P571" s="198">
        <f>_xlfn.IFNA(IF(P$7="Fixed",1,IF(AND($D100="yes",P$7="Block"),INDEX($O742:$Q742,1,MATCH(P$5,$I65:$K65,0)),INDEX(Movements!$G742:$M742,1,MATCH(P$7,Movements!$G$716:$M$716,0))))
*P1216*P$8,0)</f>
        <v>0</v>
      </c>
      <c r="Q571" s="198">
        <f>_xlfn.IFNA(IF(Q$7="Fixed",1,IF(AND($D100="yes",Q$7="Block"),INDEX($O742:$Q742,1,MATCH(Q$5,$I65:$K65,0)),INDEX(Movements!$G742:$M742,1,MATCH(Q$7,Movements!$G$716:$M$716,0))))
*Q1216*Q$8,0)</f>
        <v>0</v>
      </c>
      <c r="R571" s="198">
        <f>_xlfn.IFNA(IF(R$7="Fixed",1,IF(AND($D100="yes",R$7="Block"),INDEX($O742:$Q742,1,MATCH(R$5,$I65:$K65,0)),INDEX(Movements!$G742:$M742,1,MATCH(R$7,Movements!$G$716:$M$716,0))))
*R1216*R$8,0)</f>
        <v>0</v>
      </c>
      <c r="S571" s="198">
        <f>_xlfn.IFNA(IF(S$7="Fixed",1,IF(AND($D100="yes",S$7="Block"),INDEX($O742:$Q742,1,MATCH(S$5,$I65:$K65,0)),INDEX(Movements!$G742:$M742,1,MATCH(S$7,Movements!$G$716:$M$716,0))))
*S1216*S$8,0)</f>
        <v>0</v>
      </c>
      <c r="T571" s="198">
        <f>_xlfn.IFNA(IF(T$7="Fixed",1,IF(AND($D100="yes",T$7="Block"),INDEX($O742:$Q742,1,MATCH(T$5,$I65:$K65,0)),INDEX(Movements!$G742:$M742,1,MATCH(T$7,Movements!$G$716:$M$716,0))))
*T1216*T$8,0)</f>
        <v>0</v>
      </c>
      <c r="U571" s="198">
        <f>_xlfn.IFNA(IF(U$7="Fixed",1,IF(AND($D100="yes",U$7="Block"),INDEX($O742:$Q742,1,MATCH(U$5,$I65:$K65,0)),INDEX(Movements!$G742:$M742,1,MATCH(U$7,Movements!$G$716:$M$716,0))))
*U1216*U$8,0)</f>
        <v>0</v>
      </c>
      <c r="V571" s="198">
        <f>_xlfn.IFNA(IF(V$7="Fixed",1,IF(AND($D100="yes",V$7="Block"),INDEX($O742:$Q742,1,MATCH(V$5,$I65:$K65,0)),INDEX(Movements!$G742:$M742,1,MATCH(V$7,Movements!$G$716:$M$716,0))))
*V1216*V$8,0)</f>
        <v>0</v>
      </c>
      <c r="W571" s="198">
        <f>_xlfn.IFNA(IF(W$7="Fixed",1,IF(AND($D100="yes",W$7="Block"),INDEX($O742:$Q742,1,MATCH(W$5,$I65:$K65,0)),INDEX(Movements!$G742:$M742,1,MATCH(W$7,Movements!$G$716:$M$716,0))))
*W1216*W$8,0)</f>
        <v>0</v>
      </c>
      <c r="X571" s="198">
        <f>_xlfn.IFNA(IF(X$7="Fixed",1,IF(AND($D100="yes",X$7="Block"),INDEX($O742:$Q742,1,MATCH(X$5,$I65:$K65,0)),INDEX(Movements!$G742:$M742,1,MATCH(X$7,Movements!$G$716:$M$716,0))))
*X1216*X$8,0)</f>
        <v>0</v>
      </c>
      <c r="Y571" s="198">
        <f>_xlfn.IFNA(IF(Y$7="Fixed",1,IF(AND($D100="yes",Y$7="Block"),INDEX($O742:$Q742,1,MATCH(Y$5,$I65:$K65,0)),INDEX(Movements!$G742:$M742,1,MATCH(Y$7,Movements!$G$716:$M$716,0))))
*Y1216*Y$8,0)</f>
        <v>0</v>
      </c>
      <c r="Z571" s="198">
        <f>_xlfn.IFNA(IF(Z$7="Fixed",1,IF(AND($D100="yes",Z$7="Block"),INDEX($O742:$Q742,1,MATCH(Z$5,$I65:$K65,0)),INDEX(Movements!$G742:$M742,1,MATCH(Z$7,Movements!$G$716:$M$716,0))))
*Z1216*Z$8,0)</f>
        <v>0</v>
      </c>
      <c r="AA571" s="198">
        <f>_xlfn.IFNA(IF(AA$7="Fixed",1,IF(AND($D100="yes",AA$7="Block"),INDEX($O742:$Q742,1,MATCH(AA$5,$I65:$K65,0)),INDEX(Movements!$G742:$M742,1,MATCH(AA$7,Movements!$G$716:$M$716,0))))
*AA1216*AA$8,0)</f>
        <v>0</v>
      </c>
      <c r="AB571" s="198">
        <f>_xlfn.IFNA(IF(AB$7="Fixed",1,IF(AND($D100="yes",AB$7="Block"),INDEX($O742:$Q742,1,MATCH(AB$5,$I65:$K65,0)),INDEX(Movements!$G742:$M742,1,MATCH(AB$7,Movements!$G$716:$M$716,0))))
*AB1216*AB$8,0)</f>
        <v>0</v>
      </c>
      <c r="AC571" s="70"/>
      <c r="AD571" s="19"/>
      <c r="AE571" s="19"/>
      <c r="AF571" s="19"/>
      <c r="AG571" s="19"/>
    </row>
    <row r="572" spans="1:33" hidden="1" outlineLevel="3" x14ac:dyDescent="0.2">
      <c r="A572" s="19"/>
      <c r="B572" s="19"/>
      <c r="C572" s="506">
        <f t="shared" si="127"/>
        <v>0</v>
      </c>
      <c r="D572" s="505">
        <f t="shared" si="127"/>
        <v>0</v>
      </c>
      <c r="E572" s="505">
        <f t="shared" si="127"/>
        <v>0</v>
      </c>
      <c r="F572" s="58"/>
      <c r="G572" s="199">
        <f t="shared" si="128"/>
        <v>0</v>
      </c>
      <c r="H572" s="58"/>
      <c r="I572" s="198">
        <f>_xlfn.IFNA(IF(I$7="Fixed",1,IF(AND($D101="yes",I$7="Block"),INDEX($O743:$Q743,1,MATCH(I$5,$I66:$K66,0)),INDEX(Movements!$G743:$M743,1,MATCH(I$7,Movements!$G$716:$M$716,0))))
*I1217*I$8,0)</f>
        <v>0</v>
      </c>
      <c r="J572" s="198">
        <f>_xlfn.IFNA(IF(J$7="Fixed",1,IF(AND($D101="yes",J$7="Block"),INDEX($O743:$Q743,1,MATCH(J$5,$I66:$K66,0)),INDEX(Movements!$G743:$M743,1,MATCH(J$7,Movements!$G$716:$M$716,0))))
*J1217*J$8,0)</f>
        <v>0</v>
      </c>
      <c r="K572" s="198">
        <f>_xlfn.IFNA(IF(K$7="Fixed",1,IF(AND($D101="yes",K$7="Block"),INDEX($O743:$Q743,1,MATCH(K$5,$I66:$K66,0)),INDEX(Movements!$G743:$M743,1,MATCH(K$7,Movements!$G$716:$M$716,0))))
*K1217*K$8,0)</f>
        <v>0</v>
      </c>
      <c r="L572" s="198">
        <f>_xlfn.IFNA(IF(L$7="Fixed",1,IF(AND($D101="yes",L$7="Block"),INDEX($O743:$Q743,1,MATCH(L$5,$I66:$K66,0)),INDEX(Movements!$G743:$M743,1,MATCH(L$7,Movements!$G$716:$M$716,0))))
*L1217*L$8,0)</f>
        <v>0</v>
      </c>
      <c r="M572" s="198">
        <f>_xlfn.IFNA(IF(M$7="Fixed",1,IF(AND($D101="yes",M$7="Block"),INDEX($O743:$Q743,1,MATCH(M$5,$I66:$K66,0)),INDEX(Movements!$G743:$M743,1,MATCH(M$7,Movements!$G$716:$M$716,0))))
*M1217*M$8,0)</f>
        <v>0</v>
      </c>
      <c r="N572" s="198">
        <f>_xlfn.IFNA(IF(N$7="Fixed",1,IF(AND($D101="yes",N$7="Block"),INDEX($O743:$Q743,1,MATCH(N$5,$I66:$K66,0)),INDEX(Movements!$G743:$M743,1,MATCH(N$7,Movements!$G$716:$M$716,0))))
*N1217*N$8,0)</f>
        <v>0</v>
      </c>
      <c r="O572" s="198">
        <f>_xlfn.IFNA(IF(O$7="Fixed",1,IF(AND($D101="yes",O$7="Block"),INDEX($O743:$Q743,1,MATCH(O$5,$I66:$K66,0)),INDEX(Movements!$G743:$M743,1,MATCH(O$7,Movements!$G$716:$M$716,0))))
*O1217*O$8,0)</f>
        <v>0</v>
      </c>
      <c r="P572" s="198">
        <f>_xlfn.IFNA(IF(P$7="Fixed",1,IF(AND($D101="yes",P$7="Block"),INDEX($O743:$Q743,1,MATCH(P$5,$I66:$K66,0)),INDEX(Movements!$G743:$M743,1,MATCH(P$7,Movements!$G$716:$M$716,0))))
*P1217*P$8,0)</f>
        <v>0</v>
      </c>
      <c r="Q572" s="198">
        <f>_xlfn.IFNA(IF(Q$7="Fixed",1,IF(AND($D101="yes",Q$7="Block"),INDEX($O743:$Q743,1,MATCH(Q$5,$I66:$K66,0)),INDEX(Movements!$G743:$M743,1,MATCH(Q$7,Movements!$G$716:$M$716,0))))
*Q1217*Q$8,0)</f>
        <v>0</v>
      </c>
      <c r="R572" s="198">
        <f>_xlfn.IFNA(IF(R$7="Fixed",1,IF(AND($D101="yes",R$7="Block"),INDEX($O743:$Q743,1,MATCH(R$5,$I66:$K66,0)),INDEX(Movements!$G743:$M743,1,MATCH(R$7,Movements!$G$716:$M$716,0))))
*R1217*R$8,0)</f>
        <v>0</v>
      </c>
      <c r="S572" s="198">
        <f>_xlfn.IFNA(IF(S$7="Fixed",1,IF(AND($D101="yes",S$7="Block"),INDEX($O743:$Q743,1,MATCH(S$5,$I66:$K66,0)),INDEX(Movements!$G743:$M743,1,MATCH(S$7,Movements!$G$716:$M$716,0))))
*S1217*S$8,0)</f>
        <v>0</v>
      </c>
      <c r="T572" s="198">
        <f>_xlfn.IFNA(IF(T$7="Fixed",1,IF(AND($D101="yes",T$7="Block"),INDEX($O743:$Q743,1,MATCH(T$5,$I66:$K66,0)),INDEX(Movements!$G743:$M743,1,MATCH(T$7,Movements!$G$716:$M$716,0))))
*T1217*T$8,0)</f>
        <v>0</v>
      </c>
      <c r="U572" s="198">
        <f>_xlfn.IFNA(IF(U$7="Fixed",1,IF(AND($D101="yes",U$7="Block"),INDEX($O743:$Q743,1,MATCH(U$5,$I66:$K66,0)),INDEX(Movements!$G743:$M743,1,MATCH(U$7,Movements!$G$716:$M$716,0))))
*U1217*U$8,0)</f>
        <v>0</v>
      </c>
      <c r="V572" s="198">
        <f>_xlfn.IFNA(IF(V$7="Fixed",1,IF(AND($D101="yes",V$7="Block"),INDEX($O743:$Q743,1,MATCH(V$5,$I66:$K66,0)),INDEX(Movements!$G743:$M743,1,MATCH(V$7,Movements!$G$716:$M$716,0))))
*V1217*V$8,0)</f>
        <v>0</v>
      </c>
      <c r="W572" s="198">
        <f>_xlfn.IFNA(IF(W$7="Fixed",1,IF(AND($D101="yes",W$7="Block"),INDEX($O743:$Q743,1,MATCH(W$5,$I66:$K66,0)),INDEX(Movements!$G743:$M743,1,MATCH(W$7,Movements!$G$716:$M$716,0))))
*W1217*W$8,0)</f>
        <v>0</v>
      </c>
      <c r="X572" s="198">
        <f>_xlfn.IFNA(IF(X$7="Fixed",1,IF(AND($D101="yes",X$7="Block"),INDEX($O743:$Q743,1,MATCH(X$5,$I66:$K66,0)),INDEX(Movements!$G743:$M743,1,MATCH(X$7,Movements!$G$716:$M$716,0))))
*X1217*X$8,0)</f>
        <v>0</v>
      </c>
      <c r="Y572" s="198">
        <f>_xlfn.IFNA(IF(Y$7="Fixed",1,IF(AND($D101="yes",Y$7="Block"),INDEX($O743:$Q743,1,MATCH(Y$5,$I66:$K66,0)),INDEX(Movements!$G743:$M743,1,MATCH(Y$7,Movements!$G$716:$M$716,0))))
*Y1217*Y$8,0)</f>
        <v>0</v>
      </c>
      <c r="Z572" s="198">
        <f>_xlfn.IFNA(IF(Z$7="Fixed",1,IF(AND($D101="yes",Z$7="Block"),INDEX($O743:$Q743,1,MATCH(Z$5,$I66:$K66,0)),INDEX(Movements!$G743:$M743,1,MATCH(Z$7,Movements!$G$716:$M$716,0))))
*Z1217*Z$8,0)</f>
        <v>0</v>
      </c>
      <c r="AA572" s="198">
        <f>_xlfn.IFNA(IF(AA$7="Fixed",1,IF(AND($D101="yes",AA$7="Block"),INDEX($O743:$Q743,1,MATCH(AA$5,$I66:$K66,0)),INDEX(Movements!$G743:$M743,1,MATCH(AA$7,Movements!$G$716:$M$716,0))))
*AA1217*AA$8,0)</f>
        <v>0</v>
      </c>
      <c r="AB572" s="198">
        <f>_xlfn.IFNA(IF(AB$7="Fixed",1,IF(AND($D101="yes",AB$7="Block"),INDEX($O743:$Q743,1,MATCH(AB$5,$I66:$K66,0)),INDEX(Movements!$G743:$M743,1,MATCH(AB$7,Movements!$G$716:$M$716,0))))
*AB1217*AB$8,0)</f>
        <v>0</v>
      </c>
      <c r="AC572" s="70"/>
      <c r="AD572" s="19"/>
      <c r="AE572" s="19"/>
      <c r="AF572" s="19"/>
      <c r="AG572" s="19"/>
    </row>
    <row r="573" spans="1:33" hidden="1" outlineLevel="3" x14ac:dyDescent="0.2">
      <c r="A573" s="19"/>
      <c r="B573" s="19"/>
      <c r="C573" s="506">
        <f t="shared" si="127"/>
        <v>0</v>
      </c>
      <c r="D573" s="505">
        <f t="shared" si="127"/>
        <v>0</v>
      </c>
      <c r="E573" s="505">
        <f t="shared" si="127"/>
        <v>0</v>
      </c>
      <c r="F573" s="58"/>
      <c r="G573" s="199">
        <f t="shared" si="128"/>
        <v>0</v>
      </c>
      <c r="H573" s="58"/>
      <c r="I573" s="198">
        <f>_xlfn.IFNA(IF(I$7="Fixed",1,IF(AND($D102="yes",I$7="Block"),INDEX($O744:$Q744,1,MATCH(I$5,$I67:$K67,0)),INDEX(Movements!$G744:$M744,1,MATCH(I$7,Movements!$G$716:$M$716,0))))
*I1218*I$8,0)</f>
        <v>0</v>
      </c>
      <c r="J573" s="198">
        <f>_xlfn.IFNA(IF(J$7="Fixed",1,IF(AND($D102="yes",J$7="Block"),INDEX($O744:$Q744,1,MATCH(J$5,$I67:$K67,0)),INDEX(Movements!$G744:$M744,1,MATCH(J$7,Movements!$G$716:$M$716,0))))
*J1218*J$8,0)</f>
        <v>0</v>
      </c>
      <c r="K573" s="198">
        <f>_xlfn.IFNA(IF(K$7="Fixed",1,IF(AND($D102="yes",K$7="Block"),INDEX($O744:$Q744,1,MATCH(K$5,$I67:$K67,0)),INDEX(Movements!$G744:$M744,1,MATCH(K$7,Movements!$G$716:$M$716,0))))
*K1218*K$8,0)</f>
        <v>0</v>
      </c>
      <c r="L573" s="198">
        <f>_xlfn.IFNA(IF(L$7="Fixed",1,IF(AND($D102="yes",L$7="Block"),INDEX($O744:$Q744,1,MATCH(L$5,$I67:$K67,0)),INDEX(Movements!$G744:$M744,1,MATCH(L$7,Movements!$G$716:$M$716,0))))
*L1218*L$8,0)</f>
        <v>0</v>
      </c>
      <c r="M573" s="198">
        <f>_xlfn.IFNA(IF(M$7="Fixed",1,IF(AND($D102="yes",M$7="Block"),INDEX($O744:$Q744,1,MATCH(M$5,$I67:$K67,0)),INDEX(Movements!$G744:$M744,1,MATCH(M$7,Movements!$G$716:$M$716,0))))
*M1218*M$8,0)</f>
        <v>0</v>
      </c>
      <c r="N573" s="198">
        <f>_xlfn.IFNA(IF(N$7="Fixed",1,IF(AND($D102="yes",N$7="Block"),INDEX($O744:$Q744,1,MATCH(N$5,$I67:$K67,0)),INDEX(Movements!$G744:$M744,1,MATCH(N$7,Movements!$G$716:$M$716,0))))
*N1218*N$8,0)</f>
        <v>0</v>
      </c>
      <c r="O573" s="198">
        <f>_xlfn.IFNA(IF(O$7="Fixed",1,IF(AND($D102="yes",O$7="Block"),INDEX($O744:$Q744,1,MATCH(O$5,$I67:$K67,0)),INDEX(Movements!$G744:$M744,1,MATCH(O$7,Movements!$G$716:$M$716,0))))
*O1218*O$8,0)</f>
        <v>0</v>
      </c>
      <c r="P573" s="198">
        <f>_xlfn.IFNA(IF(P$7="Fixed",1,IF(AND($D102="yes",P$7="Block"),INDEX($O744:$Q744,1,MATCH(P$5,$I67:$K67,0)),INDEX(Movements!$G744:$M744,1,MATCH(P$7,Movements!$G$716:$M$716,0))))
*P1218*P$8,0)</f>
        <v>0</v>
      </c>
      <c r="Q573" s="198">
        <f>_xlfn.IFNA(IF(Q$7="Fixed",1,IF(AND($D102="yes",Q$7="Block"),INDEX($O744:$Q744,1,MATCH(Q$5,$I67:$K67,0)),INDEX(Movements!$G744:$M744,1,MATCH(Q$7,Movements!$G$716:$M$716,0))))
*Q1218*Q$8,0)</f>
        <v>0</v>
      </c>
      <c r="R573" s="198">
        <f>_xlfn.IFNA(IF(R$7="Fixed",1,IF(AND($D102="yes",R$7="Block"),INDEX($O744:$Q744,1,MATCH(R$5,$I67:$K67,0)),INDEX(Movements!$G744:$M744,1,MATCH(R$7,Movements!$G$716:$M$716,0))))
*R1218*R$8,0)</f>
        <v>0</v>
      </c>
      <c r="S573" s="198">
        <f>_xlfn.IFNA(IF(S$7="Fixed",1,IF(AND($D102="yes",S$7="Block"),INDEX($O744:$Q744,1,MATCH(S$5,$I67:$K67,0)),INDEX(Movements!$G744:$M744,1,MATCH(S$7,Movements!$G$716:$M$716,0))))
*S1218*S$8,0)</f>
        <v>0</v>
      </c>
      <c r="T573" s="198">
        <f>_xlfn.IFNA(IF(T$7="Fixed",1,IF(AND($D102="yes",T$7="Block"),INDEX($O744:$Q744,1,MATCH(T$5,$I67:$K67,0)),INDEX(Movements!$G744:$M744,1,MATCH(T$7,Movements!$G$716:$M$716,0))))
*T1218*T$8,0)</f>
        <v>0</v>
      </c>
      <c r="U573" s="198">
        <f>_xlfn.IFNA(IF(U$7="Fixed",1,IF(AND($D102="yes",U$7="Block"),INDEX($O744:$Q744,1,MATCH(U$5,$I67:$K67,0)),INDEX(Movements!$G744:$M744,1,MATCH(U$7,Movements!$G$716:$M$716,0))))
*U1218*U$8,0)</f>
        <v>0</v>
      </c>
      <c r="V573" s="198">
        <f>_xlfn.IFNA(IF(V$7="Fixed",1,IF(AND($D102="yes",V$7="Block"),INDEX($O744:$Q744,1,MATCH(V$5,$I67:$K67,0)),INDEX(Movements!$G744:$M744,1,MATCH(V$7,Movements!$G$716:$M$716,0))))
*V1218*V$8,0)</f>
        <v>0</v>
      </c>
      <c r="W573" s="198">
        <f>_xlfn.IFNA(IF(W$7="Fixed",1,IF(AND($D102="yes",W$7="Block"),INDEX($O744:$Q744,1,MATCH(W$5,$I67:$K67,0)),INDEX(Movements!$G744:$M744,1,MATCH(W$7,Movements!$G$716:$M$716,0))))
*W1218*W$8,0)</f>
        <v>0</v>
      </c>
      <c r="X573" s="198">
        <f>_xlfn.IFNA(IF(X$7="Fixed",1,IF(AND($D102="yes",X$7="Block"),INDEX($O744:$Q744,1,MATCH(X$5,$I67:$K67,0)),INDEX(Movements!$G744:$M744,1,MATCH(X$7,Movements!$G$716:$M$716,0))))
*X1218*X$8,0)</f>
        <v>0</v>
      </c>
      <c r="Y573" s="198">
        <f>_xlfn.IFNA(IF(Y$7="Fixed",1,IF(AND($D102="yes",Y$7="Block"),INDEX($O744:$Q744,1,MATCH(Y$5,$I67:$K67,0)),INDEX(Movements!$G744:$M744,1,MATCH(Y$7,Movements!$G$716:$M$716,0))))
*Y1218*Y$8,0)</f>
        <v>0</v>
      </c>
      <c r="Z573" s="198">
        <f>_xlfn.IFNA(IF(Z$7="Fixed",1,IF(AND($D102="yes",Z$7="Block"),INDEX($O744:$Q744,1,MATCH(Z$5,$I67:$K67,0)),INDEX(Movements!$G744:$M744,1,MATCH(Z$7,Movements!$G$716:$M$716,0))))
*Z1218*Z$8,0)</f>
        <v>0</v>
      </c>
      <c r="AA573" s="198">
        <f>_xlfn.IFNA(IF(AA$7="Fixed",1,IF(AND($D102="yes",AA$7="Block"),INDEX($O744:$Q744,1,MATCH(AA$5,$I67:$K67,0)),INDEX(Movements!$G744:$M744,1,MATCH(AA$7,Movements!$G$716:$M$716,0))))
*AA1218*AA$8,0)</f>
        <v>0</v>
      </c>
      <c r="AB573" s="198">
        <f>_xlfn.IFNA(IF(AB$7="Fixed",1,IF(AND($D102="yes",AB$7="Block"),INDEX($O744:$Q744,1,MATCH(AB$5,$I67:$K67,0)),INDEX(Movements!$G744:$M744,1,MATCH(AB$7,Movements!$G$716:$M$716,0))))
*AB1218*AB$8,0)</f>
        <v>0</v>
      </c>
      <c r="AC573" s="70"/>
      <c r="AD573" s="19"/>
      <c r="AE573" s="19"/>
      <c r="AF573" s="19"/>
      <c r="AG573" s="19"/>
    </row>
    <row r="574" spans="1:33" hidden="1" outlineLevel="3" x14ac:dyDescent="0.2">
      <c r="A574" s="19"/>
      <c r="B574" s="19"/>
      <c r="C574" s="506">
        <f t="shared" si="127"/>
        <v>0</v>
      </c>
      <c r="D574" s="505">
        <f t="shared" si="127"/>
        <v>0</v>
      </c>
      <c r="E574" s="505">
        <f t="shared" si="127"/>
        <v>0</v>
      </c>
      <c r="F574" s="58"/>
      <c r="G574" s="199">
        <f t="shared" si="128"/>
        <v>0</v>
      </c>
      <c r="H574" s="58"/>
      <c r="I574" s="198">
        <f>_xlfn.IFNA(IF(I$7="Fixed",1,IF(AND($D103="yes",I$7="Block"),INDEX($O745:$Q745,1,MATCH(I$5,$I68:$K68,0)),INDEX(Movements!$G745:$M745,1,MATCH(I$7,Movements!$G$716:$M$716,0))))
*I1219*I$8,0)</f>
        <v>0</v>
      </c>
      <c r="J574" s="198">
        <f>_xlfn.IFNA(IF(J$7="Fixed",1,IF(AND($D103="yes",J$7="Block"),INDEX($O745:$Q745,1,MATCH(J$5,$I68:$K68,0)),INDEX(Movements!$G745:$M745,1,MATCH(J$7,Movements!$G$716:$M$716,0))))
*J1219*J$8,0)</f>
        <v>0</v>
      </c>
      <c r="K574" s="198">
        <f>_xlfn.IFNA(IF(K$7="Fixed",1,IF(AND($D103="yes",K$7="Block"),INDEX($O745:$Q745,1,MATCH(K$5,$I68:$K68,0)),INDEX(Movements!$G745:$M745,1,MATCH(K$7,Movements!$G$716:$M$716,0))))
*K1219*K$8,0)</f>
        <v>0</v>
      </c>
      <c r="L574" s="198">
        <f>_xlfn.IFNA(IF(L$7="Fixed",1,IF(AND($D103="yes",L$7="Block"),INDEX($O745:$Q745,1,MATCH(L$5,$I68:$K68,0)),INDEX(Movements!$G745:$M745,1,MATCH(L$7,Movements!$G$716:$M$716,0))))
*L1219*L$8,0)</f>
        <v>0</v>
      </c>
      <c r="M574" s="198">
        <f>_xlfn.IFNA(IF(M$7="Fixed",1,IF(AND($D103="yes",M$7="Block"),INDEX($O745:$Q745,1,MATCH(M$5,$I68:$K68,0)),INDEX(Movements!$G745:$M745,1,MATCH(M$7,Movements!$G$716:$M$716,0))))
*M1219*M$8,0)</f>
        <v>0</v>
      </c>
      <c r="N574" s="198">
        <f>_xlfn.IFNA(IF(N$7="Fixed",1,IF(AND($D103="yes",N$7="Block"),INDEX($O745:$Q745,1,MATCH(N$5,$I68:$K68,0)),INDEX(Movements!$G745:$M745,1,MATCH(N$7,Movements!$G$716:$M$716,0))))
*N1219*N$8,0)</f>
        <v>0</v>
      </c>
      <c r="O574" s="198">
        <f>_xlfn.IFNA(IF(O$7="Fixed",1,IF(AND($D103="yes",O$7="Block"),INDEX($O745:$Q745,1,MATCH(O$5,$I68:$K68,0)),INDEX(Movements!$G745:$M745,1,MATCH(O$7,Movements!$G$716:$M$716,0))))
*O1219*O$8,0)</f>
        <v>0</v>
      </c>
      <c r="P574" s="198">
        <f>_xlfn.IFNA(IF(P$7="Fixed",1,IF(AND($D103="yes",P$7="Block"),INDEX($O745:$Q745,1,MATCH(P$5,$I68:$K68,0)),INDEX(Movements!$G745:$M745,1,MATCH(P$7,Movements!$G$716:$M$716,0))))
*P1219*P$8,0)</f>
        <v>0</v>
      </c>
      <c r="Q574" s="198">
        <f>_xlfn.IFNA(IF(Q$7="Fixed",1,IF(AND($D103="yes",Q$7="Block"),INDEX($O745:$Q745,1,MATCH(Q$5,$I68:$K68,0)),INDEX(Movements!$G745:$M745,1,MATCH(Q$7,Movements!$G$716:$M$716,0))))
*Q1219*Q$8,0)</f>
        <v>0</v>
      </c>
      <c r="R574" s="198">
        <f>_xlfn.IFNA(IF(R$7="Fixed",1,IF(AND($D103="yes",R$7="Block"),INDEX($O745:$Q745,1,MATCH(R$5,$I68:$K68,0)),INDEX(Movements!$G745:$M745,1,MATCH(R$7,Movements!$G$716:$M$716,0))))
*R1219*R$8,0)</f>
        <v>0</v>
      </c>
      <c r="S574" s="198">
        <f>_xlfn.IFNA(IF(S$7="Fixed",1,IF(AND($D103="yes",S$7="Block"),INDEX($O745:$Q745,1,MATCH(S$5,$I68:$K68,0)),INDEX(Movements!$G745:$M745,1,MATCH(S$7,Movements!$G$716:$M$716,0))))
*S1219*S$8,0)</f>
        <v>0</v>
      </c>
      <c r="T574" s="198">
        <f>_xlfn.IFNA(IF(T$7="Fixed",1,IF(AND($D103="yes",T$7="Block"),INDEX($O745:$Q745,1,MATCH(T$5,$I68:$K68,0)),INDEX(Movements!$G745:$M745,1,MATCH(T$7,Movements!$G$716:$M$716,0))))
*T1219*T$8,0)</f>
        <v>0</v>
      </c>
      <c r="U574" s="198">
        <f>_xlfn.IFNA(IF(U$7="Fixed",1,IF(AND($D103="yes",U$7="Block"),INDEX($O745:$Q745,1,MATCH(U$5,$I68:$K68,0)),INDEX(Movements!$G745:$M745,1,MATCH(U$7,Movements!$G$716:$M$716,0))))
*U1219*U$8,0)</f>
        <v>0</v>
      </c>
      <c r="V574" s="198">
        <f>_xlfn.IFNA(IF(V$7="Fixed",1,IF(AND($D103="yes",V$7="Block"),INDEX($O745:$Q745,1,MATCH(V$5,$I68:$K68,0)),INDEX(Movements!$G745:$M745,1,MATCH(V$7,Movements!$G$716:$M$716,0))))
*V1219*V$8,0)</f>
        <v>0</v>
      </c>
      <c r="W574" s="198">
        <f>_xlfn.IFNA(IF(W$7="Fixed",1,IF(AND($D103="yes",W$7="Block"),INDEX($O745:$Q745,1,MATCH(W$5,$I68:$K68,0)),INDEX(Movements!$G745:$M745,1,MATCH(W$7,Movements!$G$716:$M$716,0))))
*W1219*W$8,0)</f>
        <v>0</v>
      </c>
      <c r="X574" s="198">
        <f>_xlfn.IFNA(IF(X$7="Fixed",1,IF(AND($D103="yes",X$7="Block"),INDEX($O745:$Q745,1,MATCH(X$5,$I68:$K68,0)),INDEX(Movements!$G745:$M745,1,MATCH(X$7,Movements!$G$716:$M$716,0))))
*X1219*X$8,0)</f>
        <v>0</v>
      </c>
      <c r="Y574" s="198">
        <f>_xlfn.IFNA(IF(Y$7="Fixed",1,IF(AND($D103="yes",Y$7="Block"),INDEX($O745:$Q745,1,MATCH(Y$5,$I68:$K68,0)),INDEX(Movements!$G745:$M745,1,MATCH(Y$7,Movements!$G$716:$M$716,0))))
*Y1219*Y$8,0)</f>
        <v>0</v>
      </c>
      <c r="Z574" s="198">
        <f>_xlfn.IFNA(IF(Z$7="Fixed",1,IF(AND($D103="yes",Z$7="Block"),INDEX($O745:$Q745,1,MATCH(Z$5,$I68:$K68,0)),INDEX(Movements!$G745:$M745,1,MATCH(Z$7,Movements!$G$716:$M$716,0))))
*Z1219*Z$8,0)</f>
        <v>0</v>
      </c>
      <c r="AA574" s="198">
        <f>_xlfn.IFNA(IF(AA$7="Fixed",1,IF(AND($D103="yes",AA$7="Block"),INDEX($O745:$Q745,1,MATCH(AA$5,$I68:$K68,0)),INDEX(Movements!$G745:$M745,1,MATCH(AA$7,Movements!$G$716:$M$716,0))))
*AA1219*AA$8,0)</f>
        <v>0</v>
      </c>
      <c r="AB574" s="198">
        <f>_xlfn.IFNA(IF(AB$7="Fixed",1,IF(AND($D103="yes",AB$7="Block"),INDEX($O745:$Q745,1,MATCH(AB$5,$I68:$K68,0)),INDEX(Movements!$G745:$M745,1,MATCH(AB$7,Movements!$G$716:$M$716,0))))
*AB1219*AB$8,0)</f>
        <v>0</v>
      </c>
      <c r="AC574" s="70"/>
      <c r="AD574" s="19"/>
      <c r="AE574" s="19"/>
      <c r="AF574" s="19"/>
      <c r="AG574" s="19"/>
    </row>
    <row r="575" spans="1:33" hidden="1" outlineLevel="3" x14ac:dyDescent="0.2">
      <c r="A575" s="19"/>
      <c r="B575" s="19"/>
      <c r="C575" s="506">
        <f t="shared" si="127"/>
        <v>0</v>
      </c>
      <c r="D575" s="505">
        <f t="shared" si="127"/>
        <v>0</v>
      </c>
      <c r="E575" s="505">
        <f t="shared" si="127"/>
        <v>0</v>
      </c>
      <c r="F575" s="58"/>
      <c r="G575" s="199">
        <f t="shared" si="128"/>
        <v>0</v>
      </c>
      <c r="H575" s="58"/>
      <c r="I575" s="198">
        <f>_xlfn.IFNA(IF(I$7="Fixed",1,IF(AND($D104="yes",I$7="Block"),INDEX($O746:$Q746,1,MATCH(I$5,$I69:$K69,0)),INDEX(Movements!$G746:$M746,1,MATCH(I$7,Movements!$G$716:$M$716,0))))
*I1220*I$8,0)</f>
        <v>0</v>
      </c>
      <c r="J575" s="198">
        <f>_xlfn.IFNA(IF(J$7="Fixed",1,IF(AND($D104="yes",J$7="Block"),INDEX($O746:$Q746,1,MATCH(J$5,$I69:$K69,0)),INDEX(Movements!$G746:$M746,1,MATCH(J$7,Movements!$G$716:$M$716,0))))
*J1220*J$8,0)</f>
        <v>0</v>
      </c>
      <c r="K575" s="198">
        <f>_xlfn.IFNA(IF(K$7="Fixed",1,IF(AND($D104="yes",K$7="Block"),INDEX($O746:$Q746,1,MATCH(K$5,$I69:$K69,0)),INDEX(Movements!$G746:$M746,1,MATCH(K$7,Movements!$G$716:$M$716,0))))
*K1220*K$8,0)</f>
        <v>0</v>
      </c>
      <c r="L575" s="198">
        <f>_xlfn.IFNA(IF(L$7="Fixed",1,IF(AND($D104="yes",L$7="Block"),INDEX($O746:$Q746,1,MATCH(L$5,$I69:$K69,0)),INDEX(Movements!$G746:$M746,1,MATCH(L$7,Movements!$G$716:$M$716,0))))
*L1220*L$8,0)</f>
        <v>0</v>
      </c>
      <c r="M575" s="198">
        <f>_xlfn.IFNA(IF(M$7="Fixed",1,IF(AND($D104="yes",M$7="Block"),INDEX($O746:$Q746,1,MATCH(M$5,$I69:$K69,0)),INDEX(Movements!$G746:$M746,1,MATCH(M$7,Movements!$G$716:$M$716,0))))
*M1220*M$8,0)</f>
        <v>0</v>
      </c>
      <c r="N575" s="198">
        <f>_xlfn.IFNA(IF(N$7="Fixed",1,IF(AND($D104="yes",N$7="Block"),INDEX($O746:$Q746,1,MATCH(N$5,$I69:$K69,0)),INDEX(Movements!$G746:$M746,1,MATCH(N$7,Movements!$G$716:$M$716,0))))
*N1220*N$8,0)</f>
        <v>0</v>
      </c>
      <c r="O575" s="198">
        <f>_xlfn.IFNA(IF(O$7="Fixed",1,IF(AND($D104="yes",O$7="Block"),INDEX($O746:$Q746,1,MATCH(O$5,$I69:$K69,0)),INDEX(Movements!$G746:$M746,1,MATCH(O$7,Movements!$G$716:$M$716,0))))
*O1220*O$8,0)</f>
        <v>0</v>
      </c>
      <c r="P575" s="198">
        <f>_xlfn.IFNA(IF(P$7="Fixed",1,IF(AND($D104="yes",P$7="Block"),INDEX($O746:$Q746,1,MATCH(P$5,$I69:$K69,0)),INDEX(Movements!$G746:$M746,1,MATCH(P$7,Movements!$G$716:$M$716,0))))
*P1220*P$8,0)</f>
        <v>0</v>
      </c>
      <c r="Q575" s="198">
        <f>_xlfn.IFNA(IF(Q$7="Fixed",1,IF(AND($D104="yes",Q$7="Block"),INDEX($O746:$Q746,1,MATCH(Q$5,$I69:$K69,0)),INDEX(Movements!$G746:$M746,1,MATCH(Q$7,Movements!$G$716:$M$716,0))))
*Q1220*Q$8,0)</f>
        <v>0</v>
      </c>
      <c r="R575" s="198">
        <f>_xlfn.IFNA(IF(R$7="Fixed",1,IF(AND($D104="yes",R$7="Block"),INDEX($O746:$Q746,1,MATCH(R$5,$I69:$K69,0)),INDEX(Movements!$G746:$M746,1,MATCH(R$7,Movements!$G$716:$M$716,0))))
*R1220*R$8,0)</f>
        <v>0</v>
      </c>
      <c r="S575" s="198">
        <f>_xlfn.IFNA(IF(S$7="Fixed",1,IF(AND($D104="yes",S$7="Block"),INDEX($O746:$Q746,1,MATCH(S$5,$I69:$K69,0)),INDEX(Movements!$G746:$M746,1,MATCH(S$7,Movements!$G$716:$M$716,0))))
*S1220*S$8,0)</f>
        <v>0</v>
      </c>
      <c r="T575" s="198">
        <f>_xlfn.IFNA(IF(T$7="Fixed",1,IF(AND($D104="yes",T$7="Block"),INDEX($O746:$Q746,1,MATCH(T$5,$I69:$K69,0)),INDEX(Movements!$G746:$M746,1,MATCH(T$7,Movements!$G$716:$M$716,0))))
*T1220*T$8,0)</f>
        <v>0</v>
      </c>
      <c r="U575" s="198">
        <f>_xlfn.IFNA(IF(U$7="Fixed",1,IF(AND($D104="yes",U$7="Block"),INDEX($O746:$Q746,1,MATCH(U$5,$I69:$K69,0)),INDEX(Movements!$G746:$M746,1,MATCH(U$7,Movements!$G$716:$M$716,0))))
*U1220*U$8,0)</f>
        <v>0</v>
      </c>
      <c r="V575" s="198">
        <f>_xlfn.IFNA(IF(V$7="Fixed",1,IF(AND($D104="yes",V$7="Block"),INDEX($O746:$Q746,1,MATCH(V$5,$I69:$K69,0)),INDEX(Movements!$G746:$M746,1,MATCH(V$7,Movements!$G$716:$M$716,0))))
*V1220*V$8,0)</f>
        <v>0</v>
      </c>
      <c r="W575" s="198">
        <f>_xlfn.IFNA(IF(W$7="Fixed",1,IF(AND($D104="yes",W$7="Block"),INDEX($O746:$Q746,1,MATCH(W$5,$I69:$K69,0)),INDEX(Movements!$G746:$M746,1,MATCH(W$7,Movements!$G$716:$M$716,0))))
*W1220*W$8,0)</f>
        <v>0</v>
      </c>
      <c r="X575" s="198">
        <f>_xlfn.IFNA(IF(X$7="Fixed",1,IF(AND($D104="yes",X$7="Block"),INDEX($O746:$Q746,1,MATCH(X$5,$I69:$K69,0)),INDEX(Movements!$G746:$M746,1,MATCH(X$7,Movements!$G$716:$M$716,0))))
*X1220*X$8,0)</f>
        <v>0</v>
      </c>
      <c r="Y575" s="198">
        <f>_xlfn.IFNA(IF(Y$7="Fixed",1,IF(AND($D104="yes",Y$7="Block"),INDEX($O746:$Q746,1,MATCH(Y$5,$I69:$K69,0)),INDEX(Movements!$G746:$M746,1,MATCH(Y$7,Movements!$G$716:$M$716,0))))
*Y1220*Y$8,0)</f>
        <v>0</v>
      </c>
      <c r="Z575" s="198">
        <f>_xlfn.IFNA(IF(Z$7="Fixed",1,IF(AND($D104="yes",Z$7="Block"),INDEX($O746:$Q746,1,MATCH(Z$5,$I69:$K69,0)),INDEX(Movements!$G746:$M746,1,MATCH(Z$7,Movements!$G$716:$M$716,0))))
*Z1220*Z$8,0)</f>
        <v>0</v>
      </c>
      <c r="AA575" s="198">
        <f>_xlfn.IFNA(IF(AA$7="Fixed",1,IF(AND($D104="yes",AA$7="Block"),INDEX($O746:$Q746,1,MATCH(AA$5,$I69:$K69,0)),INDEX(Movements!$G746:$M746,1,MATCH(AA$7,Movements!$G$716:$M$716,0))))
*AA1220*AA$8,0)</f>
        <v>0</v>
      </c>
      <c r="AB575" s="198">
        <f>_xlfn.IFNA(IF(AB$7="Fixed",1,IF(AND($D104="yes",AB$7="Block"),INDEX($O746:$Q746,1,MATCH(AB$5,$I69:$K69,0)),INDEX(Movements!$G746:$M746,1,MATCH(AB$7,Movements!$G$716:$M$716,0))))
*AB1220*AB$8,0)</f>
        <v>0</v>
      </c>
      <c r="AC575" s="70"/>
      <c r="AD575" s="19"/>
      <c r="AE575" s="19"/>
      <c r="AF575" s="19"/>
      <c r="AG575" s="19"/>
    </row>
    <row r="576" spans="1:33" hidden="1" outlineLevel="3" x14ac:dyDescent="0.2">
      <c r="A576" s="19"/>
      <c r="B576" s="19"/>
      <c r="C576" s="506">
        <f t="shared" si="127"/>
        <v>0</v>
      </c>
      <c r="D576" s="505">
        <f t="shared" si="127"/>
        <v>0</v>
      </c>
      <c r="E576" s="505">
        <f t="shared" si="127"/>
        <v>0</v>
      </c>
      <c r="F576" s="58"/>
      <c r="G576" s="199">
        <f t="shared" si="128"/>
        <v>0</v>
      </c>
      <c r="H576" s="58"/>
      <c r="I576" s="198">
        <f>_xlfn.IFNA(IF(I$7="Fixed",1,IF(AND($D105="yes",I$7="Block"),INDEX($O747:$Q747,1,MATCH(I$5,$I70:$K70,0)),INDEX(Movements!$G747:$M747,1,MATCH(I$7,Movements!$G$716:$M$716,0))))
*I1221*I$8,0)</f>
        <v>0</v>
      </c>
      <c r="J576" s="198">
        <f>_xlfn.IFNA(IF(J$7="Fixed",1,IF(AND($D105="yes",J$7="Block"),INDEX($O747:$Q747,1,MATCH(J$5,$I70:$K70,0)),INDEX(Movements!$G747:$M747,1,MATCH(J$7,Movements!$G$716:$M$716,0))))
*J1221*J$8,0)</f>
        <v>0</v>
      </c>
      <c r="K576" s="198">
        <f>_xlfn.IFNA(IF(K$7="Fixed",1,IF(AND($D105="yes",K$7="Block"),INDEX($O747:$Q747,1,MATCH(K$5,$I70:$K70,0)),INDEX(Movements!$G747:$M747,1,MATCH(K$7,Movements!$G$716:$M$716,0))))
*K1221*K$8,0)</f>
        <v>0</v>
      </c>
      <c r="L576" s="198">
        <f>_xlfn.IFNA(IF(L$7="Fixed",1,IF(AND($D105="yes",L$7="Block"),INDEX($O747:$Q747,1,MATCH(L$5,$I70:$K70,0)),INDEX(Movements!$G747:$M747,1,MATCH(L$7,Movements!$G$716:$M$716,0))))
*L1221*L$8,0)</f>
        <v>0</v>
      </c>
      <c r="M576" s="198">
        <f>_xlfn.IFNA(IF(M$7="Fixed",1,IF(AND($D105="yes",M$7="Block"),INDEX($O747:$Q747,1,MATCH(M$5,$I70:$K70,0)),INDEX(Movements!$G747:$M747,1,MATCH(M$7,Movements!$G$716:$M$716,0))))
*M1221*M$8,0)</f>
        <v>0</v>
      </c>
      <c r="N576" s="198">
        <f>_xlfn.IFNA(IF(N$7="Fixed",1,IF(AND($D105="yes",N$7="Block"),INDEX($O747:$Q747,1,MATCH(N$5,$I70:$K70,0)),INDEX(Movements!$G747:$M747,1,MATCH(N$7,Movements!$G$716:$M$716,0))))
*N1221*N$8,0)</f>
        <v>0</v>
      </c>
      <c r="O576" s="198">
        <f>_xlfn.IFNA(IF(O$7="Fixed",1,IF(AND($D105="yes",O$7="Block"),INDEX($O747:$Q747,1,MATCH(O$5,$I70:$K70,0)),INDEX(Movements!$G747:$M747,1,MATCH(O$7,Movements!$G$716:$M$716,0))))
*O1221*O$8,0)</f>
        <v>0</v>
      </c>
      <c r="P576" s="198">
        <f>_xlfn.IFNA(IF(P$7="Fixed",1,IF(AND($D105="yes",P$7="Block"),INDEX($O747:$Q747,1,MATCH(P$5,$I70:$K70,0)),INDEX(Movements!$G747:$M747,1,MATCH(P$7,Movements!$G$716:$M$716,0))))
*P1221*P$8,0)</f>
        <v>0</v>
      </c>
      <c r="Q576" s="198">
        <f>_xlfn.IFNA(IF(Q$7="Fixed",1,IF(AND($D105="yes",Q$7="Block"),INDEX($O747:$Q747,1,MATCH(Q$5,$I70:$K70,0)),INDEX(Movements!$G747:$M747,1,MATCH(Q$7,Movements!$G$716:$M$716,0))))
*Q1221*Q$8,0)</f>
        <v>0</v>
      </c>
      <c r="R576" s="198">
        <f>_xlfn.IFNA(IF(R$7="Fixed",1,IF(AND($D105="yes",R$7="Block"),INDEX($O747:$Q747,1,MATCH(R$5,$I70:$K70,0)),INDEX(Movements!$G747:$M747,1,MATCH(R$7,Movements!$G$716:$M$716,0))))
*R1221*R$8,0)</f>
        <v>0</v>
      </c>
      <c r="S576" s="198">
        <f>_xlfn.IFNA(IF(S$7="Fixed",1,IF(AND($D105="yes",S$7="Block"),INDEX($O747:$Q747,1,MATCH(S$5,$I70:$K70,0)),INDEX(Movements!$G747:$M747,1,MATCH(S$7,Movements!$G$716:$M$716,0))))
*S1221*S$8,0)</f>
        <v>0</v>
      </c>
      <c r="T576" s="198">
        <f>_xlfn.IFNA(IF(T$7="Fixed",1,IF(AND($D105="yes",T$7="Block"),INDEX($O747:$Q747,1,MATCH(T$5,$I70:$K70,0)),INDEX(Movements!$G747:$M747,1,MATCH(T$7,Movements!$G$716:$M$716,0))))
*T1221*T$8,0)</f>
        <v>0</v>
      </c>
      <c r="U576" s="198">
        <f>_xlfn.IFNA(IF(U$7="Fixed",1,IF(AND($D105="yes",U$7="Block"),INDEX($O747:$Q747,1,MATCH(U$5,$I70:$K70,0)),INDEX(Movements!$G747:$M747,1,MATCH(U$7,Movements!$G$716:$M$716,0))))
*U1221*U$8,0)</f>
        <v>0</v>
      </c>
      <c r="V576" s="198">
        <f>_xlfn.IFNA(IF(V$7="Fixed",1,IF(AND($D105="yes",V$7="Block"),INDEX($O747:$Q747,1,MATCH(V$5,$I70:$K70,0)),INDEX(Movements!$G747:$M747,1,MATCH(V$7,Movements!$G$716:$M$716,0))))
*V1221*V$8,0)</f>
        <v>0</v>
      </c>
      <c r="W576" s="198">
        <f>_xlfn.IFNA(IF(W$7="Fixed",1,IF(AND($D105="yes",W$7="Block"),INDEX($O747:$Q747,1,MATCH(W$5,$I70:$K70,0)),INDEX(Movements!$G747:$M747,1,MATCH(W$7,Movements!$G$716:$M$716,0))))
*W1221*W$8,0)</f>
        <v>0</v>
      </c>
      <c r="X576" s="198">
        <f>_xlfn.IFNA(IF(X$7="Fixed",1,IF(AND($D105="yes",X$7="Block"),INDEX($O747:$Q747,1,MATCH(X$5,$I70:$K70,0)),INDEX(Movements!$G747:$M747,1,MATCH(X$7,Movements!$G$716:$M$716,0))))
*X1221*X$8,0)</f>
        <v>0</v>
      </c>
      <c r="Y576" s="198">
        <f>_xlfn.IFNA(IF(Y$7="Fixed",1,IF(AND($D105="yes",Y$7="Block"),INDEX($O747:$Q747,1,MATCH(Y$5,$I70:$K70,0)),INDEX(Movements!$G747:$M747,1,MATCH(Y$7,Movements!$G$716:$M$716,0))))
*Y1221*Y$8,0)</f>
        <v>0</v>
      </c>
      <c r="Z576" s="198">
        <f>_xlfn.IFNA(IF(Z$7="Fixed",1,IF(AND($D105="yes",Z$7="Block"),INDEX($O747:$Q747,1,MATCH(Z$5,$I70:$K70,0)),INDEX(Movements!$G747:$M747,1,MATCH(Z$7,Movements!$G$716:$M$716,0))))
*Z1221*Z$8,0)</f>
        <v>0</v>
      </c>
      <c r="AA576" s="198">
        <f>_xlfn.IFNA(IF(AA$7="Fixed",1,IF(AND($D105="yes",AA$7="Block"),INDEX($O747:$Q747,1,MATCH(AA$5,$I70:$K70,0)),INDEX(Movements!$G747:$M747,1,MATCH(AA$7,Movements!$G$716:$M$716,0))))
*AA1221*AA$8,0)</f>
        <v>0</v>
      </c>
      <c r="AB576" s="198">
        <f>_xlfn.IFNA(IF(AB$7="Fixed",1,IF(AND($D105="yes",AB$7="Block"),INDEX($O747:$Q747,1,MATCH(AB$5,$I70:$K70,0)),INDEX(Movements!$G747:$M747,1,MATCH(AB$7,Movements!$G$716:$M$716,0))))
*AB1221*AB$8,0)</f>
        <v>0</v>
      </c>
      <c r="AC576" s="70"/>
      <c r="AD576" s="19"/>
      <c r="AE576" s="19"/>
      <c r="AF576" s="19"/>
      <c r="AG576" s="19"/>
    </row>
    <row r="577" spans="1:33" hidden="1" outlineLevel="3" x14ac:dyDescent="0.2">
      <c r="A577" s="19"/>
      <c r="B577" s="19"/>
      <c r="C577" s="506">
        <f t="shared" si="127"/>
        <v>0</v>
      </c>
      <c r="D577" s="505">
        <f t="shared" si="127"/>
        <v>0</v>
      </c>
      <c r="E577" s="505">
        <f t="shared" si="127"/>
        <v>0</v>
      </c>
      <c r="F577" s="58"/>
      <c r="G577" s="199">
        <f t="shared" si="128"/>
        <v>0</v>
      </c>
      <c r="H577" s="58"/>
      <c r="I577" s="198">
        <f>_xlfn.IFNA(IF(I$7="Fixed",1,IF(AND($D106="yes",I$7="Block"),INDEX($O748:$Q748,1,MATCH(I$5,$I71:$K71,0)),INDEX(Movements!$G748:$M748,1,MATCH(I$7,Movements!$G$716:$M$716,0))))
*I1222*I$8,0)</f>
        <v>0</v>
      </c>
      <c r="J577" s="198">
        <f>_xlfn.IFNA(IF(J$7="Fixed",1,IF(AND($D106="yes",J$7="Block"),INDEX($O748:$Q748,1,MATCH(J$5,$I71:$K71,0)),INDEX(Movements!$G748:$M748,1,MATCH(J$7,Movements!$G$716:$M$716,0))))
*J1222*J$8,0)</f>
        <v>0</v>
      </c>
      <c r="K577" s="198">
        <f>_xlfn.IFNA(IF(K$7="Fixed",1,IF(AND($D106="yes",K$7="Block"),INDEX($O748:$Q748,1,MATCH(K$5,$I71:$K71,0)),INDEX(Movements!$G748:$M748,1,MATCH(K$7,Movements!$G$716:$M$716,0))))
*K1222*K$8,0)</f>
        <v>0</v>
      </c>
      <c r="L577" s="198">
        <f>_xlfn.IFNA(IF(L$7="Fixed",1,IF(AND($D106="yes",L$7="Block"),INDEX($O748:$Q748,1,MATCH(L$5,$I71:$K71,0)),INDEX(Movements!$G748:$M748,1,MATCH(L$7,Movements!$G$716:$M$716,0))))
*L1222*L$8,0)</f>
        <v>0</v>
      </c>
      <c r="M577" s="198">
        <f>_xlfn.IFNA(IF(M$7="Fixed",1,IF(AND($D106="yes",M$7="Block"),INDEX($O748:$Q748,1,MATCH(M$5,$I71:$K71,0)),INDEX(Movements!$G748:$M748,1,MATCH(M$7,Movements!$G$716:$M$716,0))))
*M1222*M$8,0)</f>
        <v>0</v>
      </c>
      <c r="N577" s="198">
        <f>_xlfn.IFNA(IF(N$7="Fixed",1,IF(AND($D106="yes",N$7="Block"),INDEX($O748:$Q748,1,MATCH(N$5,$I71:$K71,0)),INDEX(Movements!$G748:$M748,1,MATCH(N$7,Movements!$G$716:$M$716,0))))
*N1222*N$8,0)</f>
        <v>0</v>
      </c>
      <c r="O577" s="198">
        <f>_xlfn.IFNA(IF(O$7="Fixed",1,IF(AND($D106="yes",O$7="Block"),INDEX($O748:$Q748,1,MATCH(O$5,$I71:$K71,0)),INDEX(Movements!$G748:$M748,1,MATCH(O$7,Movements!$G$716:$M$716,0))))
*O1222*O$8,0)</f>
        <v>0</v>
      </c>
      <c r="P577" s="198">
        <f>_xlfn.IFNA(IF(P$7="Fixed",1,IF(AND($D106="yes",P$7="Block"),INDEX($O748:$Q748,1,MATCH(P$5,$I71:$K71,0)),INDEX(Movements!$G748:$M748,1,MATCH(P$7,Movements!$G$716:$M$716,0))))
*P1222*P$8,0)</f>
        <v>0</v>
      </c>
      <c r="Q577" s="198">
        <f>_xlfn.IFNA(IF(Q$7="Fixed",1,IF(AND($D106="yes",Q$7="Block"),INDEX($O748:$Q748,1,MATCH(Q$5,$I71:$K71,0)),INDEX(Movements!$G748:$M748,1,MATCH(Q$7,Movements!$G$716:$M$716,0))))
*Q1222*Q$8,0)</f>
        <v>0</v>
      </c>
      <c r="R577" s="198">
        <f>_xlfn.IFNA(IF(R$7="Fixed",1,IF(AND($D106="yes",R$7="Block"),INDEX($O748:$Q748,1,MATCH(R$5,$I71:$K71,0)),INDEX(Movements!$G748:$M748,1,MATCH(R$7,Movements!$G$716:$M$716,0))))
*R1222*R$8,0)</f>
        <v>0</v>
      </c>
      <c r="S577" s="198">
        <f>_xlfn.IFNA(IF(S$7="Fixed",1,IF(AND($D106="yes",S$7="Block"),INDEX($O748:$Q748,1,MATCH(S$5,$I71:$K71,0)),INDEX(Movements!$G748:$M748,1,MATCH(S$7,Movements!$G$716:$M$716,0))))
*S1222*S$8,0)</f>
        <v>0</v>
      </c>
      <c r="T577" s="198">
        <f>_xlfn.IFNA(IF(T$7="Fixed",1,IF(AND($D106="yes",T$7="Block"),INDEX($O748:$Q748,1,MATCH(T$5,$I71:$K71,0)),INDEX(Movements!$G748:$M748,1,MATCH(T$7,Movements!$G$716:$M$716,0))))
*T1222*T$8,0)</f>
        <v>0</v>
      </c>
      <c r="U577" s="198">
        <f>_xlfn.IFNA(IF(U$7="Fixed",1,IF(AND($D106="yes",U$7="Block"),INDEX($O748:$Q748,1,MATCH(U$5,$I71:$K71,0)),INDEX(Movements!$G748:$M748,1,MATCH(U$7,Movements!$G$716:$M$716,0))))
*U1222*U$8,0)</f>
        <v>0</v>
      </c>
      <c r="V577" s="198">
        <f>_xlfn.IFNA(IF(V$7="Fixed",1,IF(AND($D106="yes",V$7="Block"),INDEX($O748:$Q748,1,MATCH(V$5,$I71:$K71,0)),INDEX(Movements!$G748:$M748,1,MATCH(V$7,Movements!$G$716:$M$716,0))))
*V1222*V$8,0)</f>
        <v>0</v>
      </c>
      <c r="W577" s="198">
        <f>_xlfn.IFNA(IF(W$7="Fixed",1,IF(AND($D106="yes",W$7="Block"),INDEX($O748:$Q748,1,MATCH(W$5,$I71:$K71,0)),INDEX(Movements!$G748:$M748,1,MATCH(W$7,Movements!$G$716:$M$716,0))))
*W1222*W$8,0)</f>
        <v>0</v>
      </c>
      <c r="X577" s="198">
        <f>_xlfn.IFNA(IF(X$7="Fixed",1,IF(AND($D106="yes",X$7="Block"),INDEX($O748:$Q748,1,MATCH(X$5,$I71:$K71,0)),INDEX(Movements!$G748:$M748,1,MATCH(X$7,Movements!$G$716:$M$716,0))))
*X1222*X$8,0)</f>
        <v>0</v>
      </c>
      <c r="Y577" s="198">
        <f>_xlfn.IFNA(IF(Y$7="Fixed",1,IF(AND($D106="yes",Y$7="Block"),INDEX($O748:$Q748,1,MATCH(Y$5,$I71:$K71,0)),INDEX(Movements!$G748:$M748,1,MATCH(Y$7,Movements!$G$716:$M$716,0))))
*Y1222*Y$8,0)</f>
        <v>0</v>
      </c>
      <c r="Z577" s="198">
        <f>_xlfn.IFNA(IF(Z$7="Fixed",1,IF(AND($D106="yes",Z$7="Block"),INDEX($O748:$Q748,1,MATCH(Z$5,$I71:$K71,0)),INDEX(Movements!$G748:$M748,1,MATCH(Z$7,Movements!$G$716:$M$716,0))))
*Z1222*Z$8,0)</f>
        <v>0</v>
      </c>
      <c r="AA577" s="198">
        <f>_xlfn.IFNA(IF(AA$7="Fixed",1,IF(AND($D106="yes",AA$7="Block"),INDEX($O748:$Q748,1,MATCH(AA$5,$I71:$K71,0)),INDEX(Movements!$G748:$M748,1,MATCH(AA$7,Movements!$G$716:$M$716,0))))
*AA1222*AA$8,0)</f>
        <v>0</v>
      </c>
      <c r="AB577" s="198">
        <f>_xlfn.IFNA(IF(AB$7="Fixed",1,IF(AND($D106="yes",AB$7="Block"),INDEX($O748:$Q748,1,MATCH(AB$5,$I71:$K71,0)),INDEX(Movements!$G748:$M748,1,MATCH(AB$7,Movements!$G$716:$M$716,0))))
*AB1222*AB$8,0)</f>
        <v>0</v>
      </c>
      <c r="AC577" s="70"/>
      <c r="AD577" s="19"/>
      <c r="AE577" s="19"/>
      <c r="AF577" s="19"/>
      <c r="AG577" s="19"/>
    </row>
    <row r="578" spans="1:33" hidden="1" outlineLevel="2" collapsed="1" x14ac:dyDescent="0.2">
      <c r="A578" s="19"/>
      <c r="B578" s="19"/>
      <c r="C578" s="538"/>
      <c r="D578" s="217"/>
      <c r="E578" s="536"/>
      <c r="F578" s="58"/>
      <c r="G578" s="58"/>
      <c r="H578" s="58"/>
      <c r="I578" s="137"/>
      <c r="J578" s="137"/>
      <c r="K578" s="138"/>
      <c r="L578" s="138"/>
      <c r="M578" s="138"/>
      <c r="N578" s="139"/>
      <c r="O578" s="139"/>
      <c r="P578" s="139"/>
      <c r="Q578" s="139"/>
      <c r="R578" s="139"/>
      <c r="S578" s="138"/>
      <c r="T578" s="138"/>
      <c r="U578" s="138"/>
      <c r="V578" s="70"/>
      <c r="W578" s="70"/>
      <c r="X578" s="70"/>
      <c r="Y578" s="70"/>
      <c r="Z578" s="70"/>
      <c r="AA578" s="70"/>
      <c r="AB578" s="70"/>
      <c r="AC578" s="70"/>
      <c r="AD578" s="19"/>
      <c r="AE578" s="19"/>
      <c r="AF578" s="19"/>
      <c r="AG578" s="19"/>
    </row>
    <row r="579" spans="1:33" outlineLevel="1" collapsed="1" x14ac:dyDescent="0.2">
      <c r="A579" s="19"/>
      <c r="B579" s="19"/>
      <c r="C579" s="217"/>
      <c r="D579" s="217"/>
      <c r="E579" s="536"/>
      <c r="F579" s="58"/>
      <c r="G579" s="58"/>
      <c r="H579" s="58"/>
      <c r="I579" s="71"/>
      <c r="J579" s="71"/>
      <c r="K579" s="70"/>
      <c r="L579" s="70"/>
      <c r="M579" s="70"/>
      <c r="N579" s="72"/>
      <c r="O579" s="72"/>
      <c r="P579" s="72"/>
      <c r="Q579" s="72"/>
      <c r="R579" s="72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19"/>
      <c r="AE579" s="19"/>
      <c r="AF579" s="19"/>
      <c r="AG579" s="19"/>
    </row>
    <row r="580" spans="1:33" outlineLevel="1" x14ac:dyDescent="0.2">
      <c r="A580" s="19"/>
      <c r="B580" s="19"/>
      <c r="C580" s="167" t="str">
        <f>C445</f>
        <v>Total</v>
      </c>
      <c r="D580" s="167"/>
      <c r="E580" s="512"/>
      <c r="F580" s="20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19"/>
      <c r="AD580" s="19"/>
      <c r="AE580" s="19"/>
      <c r="AF580" s="19"/>
      <c r="AG580" s="19"/>
    </row>
    <row r="581" spans="1:33" outlineLevel="2" x14ac:dyDescent="0.2">
      <c r="A581" s="19"/>
      <c r="B581" s="97">
        <v>1</v>
      </c>
      <c r="C581" s="506" t="str">
        <f t="shared" ref="C581:E610" si="129">C482</f>
        <v>Small business time of use consumption</v>
      </c>
      <c r="D581" s="505">
        <f t="shared" si="129"/>
        <v>0</v>
      </c>
      <c r="E581" s="505" t="str">
        <f t="shared" si="129"/>
        <v>yes</v>
      </c>
      <c r="F581" s="20"/>
      <c r="G581" s="199">
        <f t="shared" ref="G581:G610" si="130">SUM(I581:AB581)</f>
        <v>4290.6843122477876</v>
      </c>
      <c r="H581" s="22"/>
      <c r="I581" s="198">
        <f>SUM(I482,I515,I548)</f>
        <v>251.51785000000001</v>
      </c>
      <c r="J581" s="198">
        <f t="shared" ref="J581:AB581" si="131">SUM(J482,J515,J548)</f>
        <v>0</v>
      </c>
      <c r="K581" s="198">
        <f t="shared" si="131"/>
        <v>3298.3028168409955</v>
      </c>
      <c r="L581" s="198">
        <f t="shared" si="131"/>
        <v>496.68703539795263</v>
      </c>
      <c r="M581" s="198">
        <f t="shared" si="131"/>
        <v>244.17661000883936</v>
      </c>
      <c r="N581" s="198">
        <f t="shared" si="131"/>
        <v>0</v>
      </c>
      <c r="O581" s="198">
        <f t="shared" si="131"/>
        <v>0</v>
      </c>
      <c r="P581" s="198">
        <f t="shared" si="131"/>
        <v>0</v>
      </c>
      <c r="Q581" s="198">
        <f t="shared" si="131"/>
        <v>0</v>
      </c>
      <c r="R581" s="198">
        <f t="shared" si="131"/>
        <v>0</v>
      </c>
      <c r="S581" s="198">
        <f t="shared" si="131"/>
        <v>0</v>
      </c>
      <c r="T581" s="198">
        <f t="shared" si="131"/>
        <v>0</v>
      </c>
      <c r="U581" s="198">
        <f t="shared" si="131"/>
        <v>0</v>
      </c>
      <c r="V581" s="198">
        <f t="shared" si="131"/>
        <v>0</v>
      </c>
      <c r="W581" s="198">
        <f t="shared" si="131"/>
        <v>0</v>
      </c>
      <c r="X581" s="198">
        <f t="shared" si="131"/>
        <v>0</v>
      </c>
      <c r="Y581" s="198">
        <f t="shared" si="131"/>
        <v>0</v>
      </c>
      <c r="Z581" s="198">
        <f t="shared" si="131"/>
        <v>0</v>
      </c>
      <c r="AA581" s="198">
        <f t="shared" si="131"/>
        <v>0</v>
      </c>
      <c r="AB581" s="198">
        <f t="shared" si="131"/>
        <v>0</v>
      </c>
      <c r="AC581" s="70"/>
      <c r="AD581" s="19"/>
      <c r="AE581" s="19"/>
      <c r="AF581" s="19"/>
      <c r="AG581" s="19"/>
    </row>
    <row r="582" spans="1:33" s="59" customFormat="1" outlineLevel="2" x14ac:dyDescent="0.2">
      <c r="A582" s="57"/>
      <c r="B582" s="98">
        <v>2</v>
      </c>
      <c r="C582" s="506" t="str">
        <f t="shared" si="129"/>
        <v>Small business general light and power</v>
      </c>
      <c r="D582" s="505">
        <f t="shared" si="129"/>
        <v>0</v>
      </c>
      <c r="E582" s="505" t="str">
        <f t="shared" si="129"/>
        <v>no</v>
      </c>
      <c r="F582" s="58"/>
      <c r="G582" s="199">
        <f t="shared" si="130"/>
        <v>1013.3102009113534</v>
      </c>
      <c r="H582" s="58"/>
      <c r="I582" s="198">
        <f t="shared" ref="I582:AB582" si="132">SUM(I483,I516,I549)</f>
        <v>191.21619999999999</v>
      </c>
      <c r="J582" s="198">
        <f t="shared" si="132"/>
        <v>822.09400091135342</v>
      </c>
      <c r="K582" s="198">
        <f t="shared" si="132"/>
        <v>0</v>
      </c>
      <c r="L582" s="198">
        <f t="shared" si="132"/>
        <v>0</v>
      </c>
      <c r="M582" s="198">
        <f t="shared" si="132"/>
        <v>0</v>
      </c>
      <c r="N582" s="198">
        <f t="shared" si="132"/>
        <v>0</v>
      </c>
      <c r="O582" s="198">
        <f t="shared" si="132"/>
        <v>0</v>
      </c>
      <c r="P582" s="198">
        <f t="shared" si="132"/>
        <v>0</v>
      </c>
      <c r="Q582" s="198">
        <f t="shared" si="132"/>
        <v>0</v>
      </c>
      <c r="R582" s="198">
        <f t="shared" si="132"/>
        <v>0</v>
      </c>
      <c r="S582" s="198">
        <f t="shared" si="132"/>
        <v>0</v>
      </c>
      <c r="T582" s="198">
        <f t="shared" si="132"/>
        <v>0</v>
      </c>
      <c r="U582" s="198">
        <f t="shared" si="132"/>
        <v>0</v>
      </c>
      <c r="V582" s="198">
        <f t="shared" si="132"/>
        <v>0</v>
      </c>
      <c r="W582" s="198">
        <f t="shared" si="132"/>
        <v>0</v>
      </c>
      <c r="X582" s="198">
        <f t="shared" si="132"/>
        <v>0</v>
      </c>
      <c r="Y582" s="198">
        <f t="shared" si="132"/>
        <v>0</v>
      </c>
      <c r="Z582" s="198">
        <f t="shared" si="132"/>
        <v>0</v>
      </c>
      <c r="AA582" s="198">
        <f t="shared" si="132"/>
        <v>0</v>
      </c>
      <c r="AB582" s="198">
        <f t="shared" si="132"/>
        <v>0</v>
      </c>
      <c r="AC582" s="70"/>
      <c r="AD582" s="57"/>
      <c r="AE582" s="57"/>
      <c r="AF582" s="57"/>
      <c r="AG582" s="57"/>
    </row>
    <row r="583" spans="1:33" outlineLevel="2" x14ac:dyDescent="0.2">
      <c r="A583" s="19"/>
      <c r="B583" s="97">
        <v>3</v>
      </c>
      <c r="C583" s="506">
        <f t="shared" si="129"/>
        <v>0</v>
      </c>
      <c r="D583" s="505">
        <f t="shared" si="129"/>
        <v>0</v>
      </c>
      <c r="E583" s="505">
        <f t="shared" si="129"/>
        <v>0</v>
      </c>
      <c r="F583" s="58"/>
      <c r="G583" s="199">
        <f t="shared" si="130"/>
        <v>0</v>
      </c>
      <c r="H583" s="58"/>
      <c r="I583" s="198">
        <f t="shared" ref="I583:AB583" si="133">SUM(I484,I517,I550)</f>
        <v>0</v>
      </c>
      <c r="J583" s="198">
        <f t="shared" si="133"/>
        <v>0</v>
      </c>
      <c r="K583" s="198">
        <f t="shared" si="133"/>
        <v>0</v>
      </c>
      <c r="L583" s="198">
        <f t="shared" si="133"/>
        <v>0</v>
      </c>
      <c r="M583" s="198">
        <f t="shared" si="133"/>
        <v>0</v>
      </c>
      <c r="N583" s="198">
        <f t="shared" si="133"/>
        <v>0</v>
      </c>
      <c r="O583" s="198">
        <f t="shared" si="133"/>
        <v>0</v>
      </c>
      <c r="P583" s="198">
        <f t="shared" si="133"/>
        <v>0</v>
      </c>
      <c r="Q583" s="198">
        <f t="shared" si="133"/>
        <v>0</v>
      </c>
      <c r="R583" s="198">
        <f t="shared" si="133"/>
        <v>0</v>
      </c>
      <c r="S583" s="198">
        <f t="shared" si="133"/>
        <v>0</v>
      </c>
      <c r="T583" s="198">
        <f t="shared" si="133"/>
        <v>0</v>
      </c>
      <c r="U583" s="198">
        <f t="shared" si="133"/>
        <v>0</v>
      </c>
      <c r="V583" s="198">
        <f t="shared" si="133"/>
        <v>0</v>
      </c>
      <c r="W583" s="198">
        <f t="shared" si="133"/>
        <v>0</v>
      </c>
      <c r="X583" s="198">
        <f t="shared" si="133"/>
        <v>0</v>
      </c>
      <c r="Y583" s="198">
        <f t="shared" si="133"/>
        <v>0</v>
      </c>
      <c r="Z583" s="198">
        <f t="shared" si="133"/>
        <v>0</v>
      </c>
      <c r="AA583" s="198">
        <f t="shared" si="133"/>
        <v>0</v>
      </c>
      <c r="AB583" s="198">
        <f t="shared" si="133"/>
        <v>0</v>
      </c>
      <c r="AC583" s="70"/>
      <c r="AD583" s="19"/>
      <c r="AE583" s="19"/>
      <c r="AF583" s="19"/>
      <c r="AG583" s="19"/>
    </row>
    <row r="584" spans="1:33" hidden="1" outlineLevel="3" x14ac:dyDescent="0.2">
      <c r="A584" s="19"/>
      <c r="B584" s="97">
        <v>4</v>
      </c>
      <c r="C584" s="506">
        <f t="shared" si="129"/>
        <v>0</v>
      </c>
      <c r="D584" s="505">
        <f t="shared" si="129"/>
        <v>0</v>
      </c>
      <c r="E584" s="505">
        <f t="shared" si="129"/>
        <v>0</v>
      </c>
      <c r="F584" s="58"/>
      <c r="G584" s="199">
        <f t="shared" si="130"/>
        <v>0</v>
      </c>
      <c r="H584" s="58"/>
      <c r="I584" s="198">
        <f t="shared" ref="I584:AB584" si="134">SUM(I485,I518,I551)</f>
        <v>0</v>
      </c>
      <c r="J584" s="198">
        <f t="shared" si="134"/>
        <v>0</v>
      </c>
      <c r="K584" s="198">
        <f t="shared" si="134"/>
        <v>0</v>
      </c>
      <c r="L584" s="198">
        <f t="shared" si="134"/>
        <v>0</v>
      </c>
      <c r="M584" s="198">
        <f t="shared" si="134"/>
        <v>0</v>
      </c>
      <c r="N584" s="198">
        <f t="shared" si="134"/>
        <v>0</v>
      </c>
      <c r="O584" s="198">
        <f t="shared" si="134"/>
        <v>0</v>
      </c>
      <c r="P584" s="198">
        <f t="shared" si="134"/>
        <v>0</v>
      </c>
      <c r="Q584" s="198">
        <f t="shared" si="134"/>
        <v>0</v>
      </c>
      <c r="R584" s="198">
        <f t="shared" si="134"/>
        <v>0</v>
      </c>
      <c r="S584" s="198">
        <f t="shared" si="134"/>
        <v>0</v>
      </c>
      <c r="T584" s="198">
        <f t="shared" si="134"/>
        <v>0</v>
      </c>
      <c r="U584" s="198">
        <f t="shared" si="134"/>
        <v>0</v>
      </c>
      <c r="V584" s="198">
        <f t="shared" si="134"/>
        <v>0</v>
      </c>
      <c r="W584" s="198">
        <f t="shared" si="134"/>
        <v>0</v>
      </c>
      <c r="X584" s="198">
        <f t="shared" si="134"/>
        <v>0</v>
      </c>
      <c r="Y584" s="198">
        <f t="shared" si="134"/>
        <v>0</v>
      </c>
      <c r="Z584" s="198">
        <f t="shared" si="134"/>
        <v>0</v>
      </c>
      <c r="AA584" s="198">
        <f t="shared" si="134"/>
        <v>0</v>
      </c>
      <c r="AB584" s="198">
        <f t="shared" si="134"/>
        <v>0</v>
      </c>
      <c r="AC584" s="70"/>
      <c r="AD584" s="19"/>
      <c r="AE584" s="19"/>
      <c r="AF584" s="19"/>
      <c r="AG584" s="19"/>
    </row>
    <row r="585" spans="1:33" hidden="1" outlineLevel="3" x14ac:dyDescent="0.2">
      <c r="A585" s="19"/>
      <c r="B585" s="97">
        <v>5</v>
      </c>
      <c r="C585" s="506">
        <f t="shared" si="129"/>
        <v>0</v>
      </c>
      <c r="D585" s="505">
        <f t="shared" si="129"/>
        <v>0</v>
      </c>
      <c r="E585" s="505">
        <f t="shared" si="129"/>
        <v>0</v>
      </c>
      <c r="F585" s="58"/>
      <c r="G585" s="199">
        <f t="shared" si="130"/>
        <v>0</v>
      </c>
      <c r="H585" s="58"/>
      <c r="I585" s="198">
        <f t="shared" ref="I585:AB585" si="135">SUM(I486,I519,I552)</f>
        <v>0</v>
      </c>
      <c r="J585" s="198">
        <f t="shared" si="135"/>
        <v>0</v>
      </c>
      <c r="K585" s="198">
        <f t="shared" si="135"/>
        <v>0</v>
      </c>
      <c r="L585" s="198">
        <f t="shared" si="135"/>
        <v>0</v>
      </c>
      <c r="M585" s="198">
        <f t="shared" si="135"/>
        <v>0</v>
      </c>
      <c r="N585" s="198">
        <f t="shared" si="135"/>
        <v>0</v>
      </c>
      <c r="O585" s="198">
        <f t="shared" si="135"/>
        <v>0</v>
      </c>
      <c r="P585" s="198">
        <f t="shared" si="135"/>
        <v>0</v>
      </c>
      <c r="Q585" s="198">
        <f t="shared" si="135"/>
        <v>0</v>
      </c>
      <c r="R585" s="198">
        <f t="shared" si="135"/>
        <v>0</v>
      </c>
      <c r="S585" s="198">
        <f t="shared" si="135"/>
        <v>0</v>
      </c>
      <c r="T585" s="198">
        <f t="shared" si="135"/>
        <v>0</v>
      </c>
      <c r="U585" s="198">
        <f t="shared" si="135"/>
        <v>0</v>
      </c>
      <c r="V585" s="198">
        <f t="shared" si="135"/>
        <v>0</v>
      </c>
      <c r="W585" s="198">
        <f t="shared" si="135"/>
        <v>0</v>
      </c>
      <c r="X585" s="198">
        <f t="shared" si="135"/>
        <v>0</v>
      </c>
      <c r="Y585" s="198">
        <f t="shared" si="135"/>
        <v>0</v>
      </c>
      <c r="Z585" s="198">
        <f t="shared" si="135"/>
        <v>0</v>
      </c>
      <c r="AA585" s="198">
        <f t="shared" si="135"/>
        <v>0</v>
      </c>
      <c r="AB585" s="198">
        <f t="shared" si="135"/>
        <v>0</v>
      </c>
      <c r="AC585" s="70"/>
      <c r="AD585" s="19"/>
      <c r="AE585" s="19"/>
      <c r="AF585" s="19"/>
      <c r="AG585" s="19"/>
    </row>
    <row r="586" spans="1:33" hidden="1" outlineLevel="3" x14ac:dyDescent="0.2">
      <c r="A586" s="19"/>
      <c r="B586" s="97">
        <v>6</v>
      </c>
      <c r="C586" s="506">
        <f t="shared" si="129"/>
        <v>0</v>
      </c>
      <c r="D586" s="505">
        <f t="shared" si="129"/>
        <v>0</v>
      </c>
      <c r="E586" s="505">
        <f t="shared" si="129"/>
        <v>0</v>
      </c>
      <c r="F586" s="58"/>
      <c r="G586" s="199">
        <f t="shared" si="130"/>
        <v>0</v>
      </c>
      <c r="H586" s="58"/>
      <c r="I586" s="198">
        <f t="shared" ref="I586:AB586" si="136">SUM(I487,I520,I553)</f>
        <v>0</v>
      </c>
      <c r="J586" s="198">
        <f t="shared" si="136"/>
        <v>0</v>
      </c>
      <c r="K586" s="198">
        <f t="shared" si="136"/>
        <v>0</v>
      </c>
      <c r="L586" s="198">
        <f t="shared" si="136"/>
        <v>0</v>
      </c>
      <c r="M586" s="198">
        <f t="shared" si="136"/>
        <v>0</v>
      </c>
      <c r="N586" s="198">
        <f t="shared" si="136"/>
        <v>0</v>
      </c>
      <c r="O586" s="198">
        <f t="shared" si="136"/>
        <v>0</v>
      </c>
      <c r="P586" s="198">
        <f t="shared" si="136"/>
        <v>0</v>
      </c>
      <c r="Q586" s="198">
        <f t="shared" si="136"/>
        <v>0</v>
      </c>
      <c r="R586" s="198">
        <f t="shared" si="136"/>
        <v>0</v>
      </c>
      <c r="S586" s="198">
        <f t="shared" si="136"/>
        <v>0</v>
      </c>
      <c r="T586" s="198">
        <f t="shared" si="136"/>
        <v>0</v>
      </c>
      <c r="U586" s="198">
        <f t="shared" si="136"/>
        <v>0</v>
      </c>
      <c r="V586" s="198">
        <f t="shared" si="136"/>
        <v>0</v>
      </c>
      <c r="W586" s="198">
        <f t="shared" si="136"/>
        <v>0</v>
      </c>
      <c r="X586" s="198">
        <f t="shared" si="136"/>
        <v>0</v>
      </c>
      <c r="Y586" s="198">
        <f t="shared" si="136"/>
        <v>0</v>
      </c>
      <c r="Z586" s="198">
        <f t="shared" si="136"/>
        <v>0</v>
      </c>
      <c r="AA586" s="198">
        <f t="shared" si="136"/>
        <v>0</v>
      </c>
      <c r="AB586" s="198">
        <f t="shared" si="136"/>
        <v>0</v>
      </c>
      <c r="AC586" s="70"/>
      <c r="AD586" s="19"/>
      <c r="AE586" s="19"/>
      <c r="AF586" s="19"/>
      <c r="AG586" s="19"/>
    </row>
    <row r="587" spans="1:33" hidden="1" outlineLevel="3" x14ac:dyDescent="0.2">
      <c r="A587" s="19"/>
      <c r="B587" s="97">
        <v>7</v>
      </c>
      <c r="C587" s="506">
        <f t="shared" si="129"/>
        <v>0</v>
      </c>
      <c r="D587" s="505">
        <f t="shared" si="129"/>
        <v>0</v>
      </c>
      <c r="E587" s="505">
        <f t="shared" si="129"/>
        <v>0</v>
      </c>
      <c r="F587" s="58"/>
      <c r="G587" s="199">
        <f t="shared" si="130"/>
        <v>0</v>
      </c>
      <c r="H587" s="58"/>
      <c r="I587" s="198">
        <f t="shared" ref="I587:AB587" si="137">SUM(I488,I521,I554)</f>
        <v>0</v>
      </c>
      <c r="J587" s="198">
        <f t="shared" si="137"/>
        <v>0</v>
      </c>
      <c r="K587" s="198">
        <f t="shared" si="137"/>
        <v>0</v>
      </c>
      <c r="L587" s="198">
        <f t="shared" si="137"/>
        <v>0</v>
      </c>
      <c r="M587" s="198">
        <f t="shared" si="137"/>
        <v>0</v>
      </c>
      <c r="N587" s="198">
        <f t="shared" si="137"/>
        <v>0</v>
      </c>
      <c r="O587" s="198">
        <f t="shared" si="137"/>
        <v>0</v>
      </c>
      <c r="P587" s="198">
        <f t="shared" si="137"/>
        <v>0</v>
      </c>
      <c r="Q587" s="198">
        <f t="shared" si="137"/>
        <v>0</v>
      </c>
      <c r="R587" s="198">
        <f t="shared" si="137"/>
        <v>0</v>
      </c>
      <c r="S587" s="198">
        <f t="shared" si="137"/>
        <v>0</v>
      </c>
      <c r="T587" s="198">
        <f t="shared" si="137"/>
        <v>0</v>
      </c>
      <c r="U587" s="198">
        <f t="shared" si="137"/>
        <v>0</v>
      </c>
      <c r="V587" s="198">
        <f t="shared" si="137"/>
        <v>0</v>
      </c>
      <c r="W587" s="198">
        <f t="shared" si="137"/>
        <v>0</v>
      </c>
      <c r="X587" s="198">
        <f t="shared" si="137"/>
        <v>0</v>
      </c>
      <c r="Y587" s="198">
        <f t="shared" si="137"/>
        <v>0</v>
      </c>
      <c r="Z587" s="198">
        <f t="shared" si="137"/>
        <v>0</v>
      </c>
      <c r="AA587" s="198">
        <f t="shared" si="137"/>
        <v>0</v>
      </c>
      <c r="AB587" s="198">
        <f t="shared" si="137"/>
        <v>0</v>
      </c>
      <c r="AC587" s="70"/>
      <c r="AD587" s="19"/>
      <c r="AE587" s="19"/>
      <c r="AF587" s="19"/>
      <c r="AG587" s="19"/>
    </row>
    <row r="588" spans="1:33" hidden="1" outlineLevel="3" x14ac:dyDescent="0.2">
      <c r="A588" s="19"/>
      <c r="B588" s="97">
        <v>8</v>
      </c>
      <c r="C588" s="506">
        <f t="shared" si="129"/>
        <v>0</v>
      </c>
      <c r="D588" s="505">
        <f t="shared" si="129"/>
        <v>0</v>
      </c>
      <c r="E588" s="505">
        <f t="shared" si="129"/>
        <v>0</v>
      </c>
      <c r="F588" s="58"/>
      <c r="G588" s="199">
        <f t="shared" si="130"/>
        <v>0</v>
      </c>
      <c r="H588" s="58"/>
      <c r="I588" s="198">
        <f t="shared" ref="I588:AB588" si="138">SUM(I489,I522,I555)</f>
        <v>0</v>
      </c>
      <c r="J588" s="198">
        <f t="shared" si="138"/>
        <v>0</v>
      </c>
      <c r="K588" s="198">
        <f t="shared" si="138"/>
        <v>0</v>
      </c>
      <c r="L588" s="198">
        <f t="shared" si="138"/>
        <v>0</v>
      </c>
      <c r="M588" s="198">
        <f t="shared" si="138"/>
        <v>0</v>
      </c>
      <c r="N588" s="198">
        <f t="shared" si="138"/>
        <v>0</v>
      </c>
      <c r="O588" s="198">
        <f t="shared" si="138"/>
        <v>0</v>
      </c>
      <c r="P588" s="198">
        <f t="shared" si="138"/>
        <v>0</v>
      </c>
      <c r="Q588" s="198">
        <f t="shared" si="138"/>
        <v>0</v>
      </c>
      <c r="R588" s="198">
        <f t="shared" si="138"/>
        <v>0</v>
      </c>
      <c r="S588" s="198">
        <f t="shared" si="138"/>
        <v>0</v>
      </c>
      <c r="T588" s="198">
        <f t="shared" si="138"/>
        <v>0</v>
      </c>
      <c r="U588" s="198">
        <f t="shared" si="138"/>
        <v>0</v>
      </c>
      <c r="V588" s="198">
        <f t="shared" si="138"/>
        <v>0</v>
      </c>
      <c r="W588" s="198">
        <f t="shared" si="138"/>
        <v>0</v>
      </c>
      <c r="X588" s="198">
        <f t="shared" si="138"/>
        <v>0</v>
      </c>
      <c r="Y588" s="198">
        <f t="shared" si="138"/>
        <v>0</v>
      </c>
      <c r="Z588" s="198">
        <f t="shared" si="138"/>
        <v>0</v>
      </c>
      <c r="AA588" s="198">
        <f t="shared" si="138"/>
        <v>0</v>
      </c>
      <c r="AB588" s="198">
        <f t="shared" si="138"/>
        <v>0</v>
      </c>
      <c r="AC588" s="70"/>
      <c r="AD588" s="19"/>
      <c r="AE588" s="19"/>
      <c r="AF588" s="19"/>
      <c r="AG588" s="19"/>
    </row>
    <row r="589" spans="1:33" hidden="1" outlineLevel="3" x14ac:dyDescent="0.2">
      <c r="A589" s="19"/>
      <c r="B589" s="98">
        <v>9</v>
      </c>
      <c r="C589" s="506">
        <f t="shared" si="129"/>
        <v>0</v>
      </c>
      <c r="D589" s="505">
        <f t="shared" si="129"/>
        <v>0</v>
      </c>
      <c r="E589" s="505">
        <f t="shared" si="129"/>
        <v>0</v>
      </c>
      <c r="F589" s="58"/>
      <c r="G589" s="199">
        <f t="shared" si="130"/>
        <v>0</v>
      </c>
      <c r="H589" s="58"/>
      <c r="I589" s="198">
        <f t="shared" ref="I589:AB589" si="139">SUM(I490,I523,I556)</f>
        <v>0</v>
      </c>
      <c r="J589" s="198">
        <f t="shared" si="139"/>
        <v>0</v>
      </c>
      <c r="K589" s="198">
        <f t="shared" si="139"/>
        <v>0</v>
      </c>
      <c r="L589" s="198">
        <f t="shared" si="139"/>
        <v>0</v>
      </c>
      <c r="M589" s="198">
        <f t="shared" si="139"/>
        <v>0</v>
      </c>
      <c r="N589" s="198">
        <f t="shared" si="139"/>
        <v>0</v>
      </c>
      <c r="O589" s="198">
        <f t="shared" si="139"/>
        <v>0</v>
      </c>
      <c r="P589" s="198">
        <f t="shared" si="139"/>
        <v>0</v>
      </c>
      <c r="Q589" s="198">
        <f t="shared" si="139"/>
        <v>0</v>
      </c>
      <c r="R589" s="198">
        <f t="shared" si="139"/>
        <v>0</v>
      </c>
      <c r="S589" s="198">
        <f t="shared" si="139"/>
        <v>0</v>
      </c>
      <c r="T589" s="198">
        <f t="shared" si="139"/>
        <v>0</v>
      </c>
      <c r="U589" s="198">
        <f t="shared" si="139"/>
        <v>0</v>
      </c>
      <c r="V589" s="198">
        <f t="shared" si="139"/>
        <v>0</v>
      </c>
      <c r="W589" s="198">
        <f t="shared" si="139"/>
        <v>0</v>
      </c>
      <c r="X589" s="198">
        <f t="shared" si="139"/>
        <v>0</v>
      </c>
      <c r="Y589" s="198">
        <f t="shared" si="139"/>
        <v>0</v>
      </c>
      <c r="Z589" s="198">
        <f t="shared" si="139"/>
        <v>0</v>
      </c>
      <c r="AA589" s="198">
        <f t="shared" si="139"/>
        <v>0</v>
      </c>
      <c r="AB589" s="198">
        <f t="shared" si="139"/>
        <v>0</v>
      </c>
      <c r="AC589" s="70"/>
      <c r="AD589" s="19"/>
      <c r="AE589" s="19"/>
      <c r="AF589" s="19"/>
      <c r="AG589" s="19"/>
    </row>
    <row r="590" spans="1:33" hidden="1" outlineLevel="3" x14ac:dyDescent="0.2">
      <c r="A590" s="19"/>
      <c r="B590" s="97">
        <v>10</v>
      </c>
      <c r="C590" s="506">
        <f t="shared" si="129"/>
        <v>0</v>
      </c>
      <c r="D590" s="505">
        <f t="shared" si="129"/>
        <v>0</v>
      </c>
      <c r="E590" s="505">
        <f t="shared" si="129"/>
        <v>0</v>
      </c>
      <c r="F590" s="58"/>
      <c r="G590" s="199">
        <f t="shared" si="130"/>
        <v>0</v>
      </c>
      <c r="H590" s="58"/>
      <c r="I590" s="198">
        <f t="shared" ref="I590:AB590" si="140">SUM(I491,I524,I557)</f>
        <v>0</v>
      </c>
      <c r="J590" s="198">
        <f t="shared" si="140"/>
        <v>0</v>
      </c>
      <c r="K590" s="198">
        <f t="shared" si="140"/>
        <v>0</v>
      </c>
      <c r="L590" s="198">
        <f t="shared" si="140"/>
        <v>0</v>
      </c>
      <c r="M590" s="198">
        <f t="shared" si="140"/>
        <v>0</v>
      </c>
      <c r="N590" s="198">
        <f t="shared" si="140"/>
        <v>0</v>
      </c>
      <c r="O590" s="198">
        <f t="shared" si="140"/>
        <v>0</v>
      </c>
      <c r="P590" s="198">
        <f t="shared" si="140"/>
        <v>0</v>
      </c>
      <c r="Q590" s="198">
        <f t="shared" si="140"/>
        <v>0</v>
      </c>
      <c r="R590" s="198">
        <f t="shared" si="140"/>
        <v>0</v>
      </c>
      <c r="S590" s="198">
        <f t="shared" si="140"/>
        <v>0</v>
      </c>
      <c r="T590" s="198">
        <f t="shared" si="140"/>
        <v>0</v>
      </c>
      <c r="U590" s="198">
        <f t="shared" si="140"/>
        <v>0</v>
      </c>
      <c r="V590" s="198">
        <f t="shared" si="140"/>
        <v>0</v>
      </c>
      <c r="W590" s="198">
        <f t="shared" si="140"/>
        <v>0</v>
      </c>
      <c r="X590" s="198">
        <f t="shared" si="140"/>
        <v>0</v>
      </c>
      <c r="Y590" s="198">
        <f t="shared" si="140"/>
        <v>0</v>
      </c>
      <c r="Z590" s="198">
        <f t="shared" si="140"/>
        <v>0</v>
      </c>
      <c r="AA590" s="198">
        <f t="shared" si="140"/>
        <v>0</v>
      </c>
      <c r="AB590" s="198">
        <f t="shared" si="140"/>
        <v>0</v>
      </c>
      <c r="AC590" s="70"/>
      <c r="AD590" s="19"/>
      <c r="AE590" s="19"/>
      <c r="AF590" s="19"/>
      <c r="AG590" s="19"/>
    </row>
    <row r="591" spans="1:33" hidden="1" outlineLevel="3" x14ac:dyDescent="0.2">
      <c r="A591" s="19"/>
      <c r="B591" s="97">
        <v>11</v>
      </c>
      <c r="C591" s="506">
        <f t="shared" si="129"/>
        <v>0</v>
      </c>
      <c r="D591" s="505">
        <f t="shared" si="129"/>
        <v>0</v>
      </c>
      <c r="E591" s="505">
        <f t="shared" si="129"/>
        <v>0</v>
      </c>
      <c r="F591" s="58"/>
      <c r="G591" s="199">
        <f t="shared" si="130"/>
        <v>0</v>
      </c>
      <c r="H591" s="58"/>
      <c r="I591" s="198">
        <f t="shared" ref="I591:AB591" si="141">SUM(I492,I525,I558)</f>
        <v>0</v>
      </c>
      <c r="J591" s="198">
        <f t="shared" si="141"/>
        <v>0</v>
      </c>
      <c r="K591" s="198">
        <f t="shared" si="141"/>
        <v>0</v>
      </c>
      <c r="L591" s="198">
        <f t="shared" si="141"/>
        <v>0</v>
      </c>
      <c r="M591" s="198">
        <f t="shared" si="141"/>
        <v>0</v>
      </c>
      <c r="N591" s="198">
        <f t="shared" si="141"/>
        <v>0</v>
      </c>
      <c r="O591" s="198">
        <f t="shared" si="141"/>
        <v>0</v>
      </c>
      <c r="P591" s="198">
        <f t="shared" si="141"/>
        <v>0</v>
      </c>
      <c r="Q591" s="198">
        <f t="shared" si="141"/>
        <v>0</v>
      </c>
      <c r="R591" s="198">
        <f t="shared" si="141"/>
        <v>0</v>
      </c>
      <c r="S591" s="198">
        <f t="shared" si="141"/>
        <v>0</v>
      </c>
      <c r="T591" s="198">
        <f t="shared" si="141"/>
        <v>0</v>
      </c>
      <c r="U591" s="198">
        <f t="shared" si="141"/>
        <v>0</v>
      </c>
      <c r="V591" s="198">
        <f t="shared" si="141"/>
        <v>0</v>
      </c>
      <c r="W591" s="198">
        <f t="shared" si="141"/>
        <v>0</v>
      </c>
      <c r="X591" s="198">
        <f t="shared" si="141"/>
        <v>0</v>
      </c>
      <c r="Y591" s="198">
        <f t="shared" si="141"/>
        <v>0</v>
      </c>
      <c r="Z591" s="198">
        <f t="shared" si="141"/>
        <v>0</v>
      </c>
      <c r="AA591" s="198">
        <f t="shared" si="141"/>
        <v>0</v>
      </c>
      <c r="AB591" s="198">
        <f t="shared" si="141"/>
        <v>0</v>
      </c>
      <c r="AC591" s="70"/>
      <c r="AD591" s="19"/>
      <c r="AE591" s="19"/>
      <c r="AF591" s="19"/>
      <c r="AG591" s="19"/>
    </row>
    <row r="592" spans="1:33" hidden="1" outlineLevel="3" x14ac:dyDescent="0.2">
      <c r="A592" s="19"/>
      <c r="B592" s="97">
        <v>12</v>
      </c>
      <c r="C592" s="506">
        <f t="shared" si="129"/>
        <v>0</v>
      </c>
      <c r="D592" s="505">
        <f t="shared" si="129"/>
        <v>0</v>
      </c>
      <c r="E592" s="505">
        <f t="shared" si="129"/>
        <v>0</v>
      </c>
      <c r="F592" s="58"/>
      <c r="G592" s="199">
        <f t="shared" si="130"/>
        <v>0</v>
      </c>
      <c r="H592" s="58"/>
      <c r="I592" s="198">
        <f t="shared" ref="I592:AB592" si="142">SUM(I493,I526,I559)</f>
        <v>0</v>
      </c>
      <c r="J592" s="198">
        <f t="shared" si="142"/>
        <v>0</v>
      </c>
      <c r="K592" s="198">
        <f t="shared" si="142"/>
        <v>0</v>
      </c>
      <c r="L592" s="198">
        <f t="shared" si="142"/>
        <v>0</v>
      </c>
      <c r="M592" s="198">
        <f t="shared" si="142"/>
        <v>0</v>
      </c>
      <c r="N592" s="198">
        <f t="shared" si="142"/>
        <v>0</v>
      </c>
      <c r="O592" s="198">
        <f t="shared" si="142"/>
        <v>0</v>
      </c>
      <c r="P592" s="198">
        <f t="shared" si="142"/>
        <v>0</v>
      </c>
      <c r="Q592" s="198">
        <f t="shared" si="142"/>
        <v>0</v>
      </c>
      <c r="R592" s="198">
        <f t="shared" si="142"/>
        <v>0</v>
      </c>
      <c r="S592" s="198">
        <f t="shared" si="142"/>
        <v>0</v>
      </c>
      <c r="T592" s="198">
        <f t="shared" si="142"/>
        <v>0</v>
      </c>
      <c r="U592" s="198">
        <f t="shared" si="142"/>
        <v>0</v>
      </c>
      <c r="V592" s="198">
        <f t="shared" si="142"/>
        <v>0</v>
      </c>
      <c r="W592" s="198">
        <f t="shared" si="142"/>
        <v>0</v>
      </c>
      <c r="X592" s="198">
        <f t="shared" si="142"/>
        <v>0</v>
      </c>
      <c r="Y592" s="198">
        <f t="shared" si="142"/>
        <v>0</v>
      </c>
      <c r="Z592" s="198">
        <f t="shared" si="142"/>
        <v>0</v>
      </c>
      <c r="AA592" s="198">
        <f t="shared" si="142"/>
        <v>0</v>
      </c>
      <c r="AB592" s="198">
        <f t="shared" si="142"/>
        <v>0</v>
      </c>
      <c r="AC592" s="70"/>
      <c r="AD592" s="19"/>
      <c r="AE592" s="19"/>
      <c r="AF592" s="19"/>
      <c r="AG592" s="19"/>
    </row>
    <row r="593" spans="1:33" hidden="1" outlineLevel="3" x14ac:dyDescent="0.2">
      <c r="A593" s="19"/>
      <c r="B593" s="97">
        <v>13</v>
      </c>
      <c r="C593" s="506">
        <f t="shared" si="129"/>
        <v>0</v>
      </c>
      <c r="D593" s="505">
        <f t="shared" si="129"/>
        <v>0</v>
      </c>
      <c r="E593" s="505">
        <f t="shared" si="129"/>
        <v>0</v>
      </c>
      <c r="F593" s="58"/>
      <c r="G593" s="199">
        <f t="shared" si="130"/>
        <v>0</v>
      </c>
      <c r="H593" s="58"/>
      <c r="I593" s="198">
        <f t="shared" ref="I593:AB593" si="143">SUM(I494,I527,I560)</f>
        <v>0</v>
      </c>
      <c r="J593" s="198">
        <f t="shared" si="143"/>
        <v>0</v>
      </c>
      <c r="K593" s="198">
        <f t="shared" si="143"/>
        <v>0</v>
      </c>
      <c r="L593" s="198">
        <f t="shared" si="143"/>
        <v>0</v>
      </c>
      <c r="M593" s="198">
        <f t="shared" si="143"/>
        <v>0</v>
      </c>
      <c r="N593" s="198">
        <f t="shared" si="143"/>
        <v>0</v>
      </c>
      <c r="O593" s="198">
        <f t="shared" si="143"/>
        <v>0</v>
      </c>
      <c r="P593" s="198">
        <f t="shared" si="143"/>
        <v>0</v>
      </c>
      <c r="Q593" s="198">
        <f t="shared" si="143"/>
        <v>0</v>
      </c>
      <c r="R593" s="198">
        <f t="shared" si="143"/>
        <v>0</v>
      </c>
      <c r="S593" s="198">
        <f t="shared" si="143"/>
        <v>0</v>
      </c>
      <c r="T593" s="198">
        <f t="shared" si="143"/>
        <v>0</v>
      </c>
      <c r="U593" s="198">
        <f t="shared" si="143"/>
        <v>0</v>
      </c>
      <c r="V593" s="198">
        <f t="shared" si="143"/>
        <v>0</v>
      </c>
      <c r="W593" s="198">
        <f t="shared" si="143"/>
        <v>0</v>
      </c>
      <c r="X593" s="198">
        <f t="shared" si="143"/>
        <v>0</v>
      </c>
      <c r="Y593" s="198">
        <f t="shared" si="143"/>
        <v>0</v>
      </c>
      <c r="Z593" s="198">
        <f t="shared" si="143"/>
        <v>0</v>
      </c>
      <c r="AA593" s="198">
        <f t="shared" si="143"/>
        <v>0</v>
      </c>
      <c r="AB593" s="198">
        <f t="shared" si="143"/>
        <v>0</v>
      </c>
      <c r="AC593" s="70"/>
      <c r="AD593" s="19"/>
      <c r="AE593" s="19"/>
      <c r="AF593" s="19"/>
      <c r="AG593" s="19"/>
    </row>
    <row r="594" spans="1:33" hidden="1" outlineLevel="3" x14ac:dyDescent="0.2">
      <c r="A594" s="19"/>
      <c r="B594" s="97">
        <v>14</v>
      </c>
      <c r="C594" s="506">
        <f t="shared" si="129"/>
        <v>0</v>
      </c>
      <c r="D594" s="505">
        <f t="shared" si="129"/>
        <v>0</v>
      </c>
      <c r="E594" s="505">
        <f t="shared" si="129"/>
        <v>0</v>
      </c>
      <c r="F594" s="58"/>
      <c r="G594" s="199">
        <f t="shared" si="130"/>
        <v>0</v>
      </c>
      <c r="H594" s="58"/>
      <c r="I594" s="198">
        <f t="shared" ref="I594:AB594" si="144">SUM(I495,I528,I561)</f>
        <v>0</v>
      </c>
      <c r="J594" s="198">
        <f t="shared" si="144"/>
        <v>0</v>
      </c>
      <c r="K594" s="198">
        <f t="shared" si="144"/>
        <v>0</v>
      </c>
      <c r="L594" s="198">
        <f t="shared" si="144"/>
        <v>0</v>
      </c>
      <c r="M594" s="198">
        <f t="shared" si="144"/>
        <v>0</v>
      </c>
      <c r="N594" s="198">
        <f t="shared" si="144"/>
        <v>0</v>
      </c>
      <c r="O594" s="198">
        <f t="shared" si="144"/>
        <v>0</v>
      </c>
      <c r="P594" s="198">
        <f t="shared" si="144"/>
        <v>0</v>
      </c>
      <c r="Q594" s="198">
        <f t="shared" si="144"/>
        <v>0</v>
      </c>
      <c r="R594" s="198">
        <f t="shared" si="144"/>
        <v>0</v>
      </c>
      <c r="S594" s="198">
        <f t="shared" si="144"/>
        <v>0</v>
      </c>
      <c r="T594" s="198">
        <f t="shared" si="144"/>
        <v>0</v>
      </c>
      <c r="U594" s="198">
        <f t="shared" si="144"/>
        <v>0</v>
      </c>
      <c r="V594" s="198">
        <f t="shared" si="144"/>
        <v>0</v>
      </c>
      <c r="W594" s="198">
        <f t="shared" si="144"/>
        <v>0</v>
      </c>
      <c r="X594" s="198">
        <f t="shared" si="144"/>
        <v>0</v>
      </c>
      <c r="Y594" s="198">
        <f t="shared" si="144"/>
        <v>0</v>
      </c>
      <c r="Z594" s="198">
        <f t="shared" si="144"/>
        <v>0</v>
      </c>
      <c r="AA594" s="198">
        <f t="shared" si="144"/>
        <v>0</v>
      </c>
      <c r="AB594" s="198">
        <f t="shared" si="144"/>
        <v>0</v>
      </c>
      <c r="AC594" s="70"/>
      <c r="AD594" s="19"/>
      <c r="AE594" s="19"/>
      <c r="AF594" s="19"/>
      <c r="AG594" s="19"/>
    </row>
    <row r="595" spans="1:33" hidden="1" outlineLevel="3" x14ac:dyDescent="0.2">
      <c r="A595" s="19"/>
      <c r="B595" s="97">
        <v>15</v>
      </c>
      <c r="C595" s="506">
        <f t="shared" si="129"/>
        <v>0</v>
      </c>
      <c r="D595" s="505">
        <f t="shared" si="129"/>
        <v>0</v>
      </c>
      <c r="E595" s="505">
        <f t="shared" si="129"/>
        <v>0</v>
      </c>
      <c r="F595" s="58"/>
      <c r="G595" s="199">
        <f t="shared" si="130"/>
        <v>0</v>
      </c>
      <c r="H595" s="58"/>
      <c r="I595" s="198">
        <f t="shared" ref="I595:AB595" si="145">SUM(I496,I529,I562)</f>
        <v>0</v>
      </c>
      <c r="J595" s="198">
        <f t="shared" si="145"/>
        <v>0</v>
      </c>
      <c r="K595" s="198">
        <f t="shared" si="145"/>
        <v>0</v>
      </c>
      <c r="L595" s="198">
        <f t="shared" si="145"/>
        <v>0</v>
      </c>
      <c r="M595" s="198">
        <f t="shared" si="145"/>
        <v>0</v>
      </c>
      <c r="N595" s="198">
        <f t="shared" si="145"/>
        <v>0</v>
      </c>
      <c r="O595" s="198">
        <f t="shared" si="145"/>
        <v>0</v>
      </c>
      <c r="P595" s="198">
        <f t="shared" si="145"/>
        <v>0</v>
      </c>
      <c r="Q595" s="198">
        <f t="shared" si="145"/>
        <v>0</v>
      </c>
      <c r="R595" s="198">
        <f t="shared" si="145"/>
        <v>0</v>
      </c>
      <c r="S595" s="198">
        <f t="shared" si="145"/>
        <v>0</v>
      </c>
      <c r="T595" s="198">
        <f t="shared" si="145"/>
        <v>0</v>
      </c>
      <c r="U595" s="198">
        <f t="shared" si="145"/>
        <v>0</v>
      </c>
      <c r="V595" s="198">
        <f t="shared" si="145"/>
        <v>0</v>
      </c>
      <c r="W595" s="198">
        <f t="shared" si="145"/>
        <v>0</v>
      </c>
      <c r="X595" s="198">
        <f t="shared" si="145"/>
        <v>0</v>
      </c>
      <c r="Y595" s="198">
        <f t="shared" si="145"/>
        <v>0</v>
      </c>
      <c r="Z595" s="198">
        <f t="shared" si="145"/>
        <v>0</v>
      </c>
      <c r="AA595" s="198">
        <f t="shared" si="145"/>
        <v>0</v>
      </c>
      <c r="AB595" s="198">
        <f t="shared" si="145"/>
        <v>0</v>
      </c>
      <c r="AC595" s="70"/>
      <c r="AD595" s="19"/>
      <c r="AE595" s="19"/>
      <c r="AF595" s="19"/>
      <c r="AG595" s="19"/>
    </row>
    <row r="596" spans="1:33" hidden="1" outlineLevel="3" x14ac:dyDescent="0.2">
      <c r="A596" s="19"/>
      <c r="B596" s="98">
        <v>16</v>
      </c>
      <c r="C596" s="506">
        <f t="shared" si="129"/>
        <v>0</v>
      </c>
      <c r="D596" s="505">
        <f t="shared" si="129"/>
        <v>0</v>
      </c>
      <c r="E596" s="505">
        <f t="shared" si="129"/>
        <v>0</v>
      </c>
      <c r="F596" s="58"/>
      <c r="G596" s="199">
        <f t="shared" si="130"/>
        <v>0</v>
      </c>
      <c r="H596" s="58"/>
      <c r="I596" s="198">
        <f t="shared" ref="I596:AB596" si="146">SUM(I497,I530,I563)</f>
        <v>0</v>
      </c>
      <c r="J596" s="198">
        <f t="shared" si="146"/>
        <v>0</v>
      </c>
      <c r="K596" s="198">
        <f t="shared" si="146"/>
        <v>0</v>
      </c>
      <c r="L596" s="198">
        <f t="shared" si="146"/>
        <v>0</v>
      </c>
      <c r="M596" s="198">
        <f t="shared" si="146"/>
        <v>0</v>
      </c>
      <c r="N596" s="198">
        <f t="shared" si="146"/>
        <v>0</v>
      </c>
      <c r="O596" s="198">
        <f t="shared" si="146"/>
        <v>0</v>
      </c>
      <c r="P596" s="198">
        <f t="shared" si="146"/>
        <v>0</v>
      </c>
      <c r="Q596" s="198">
        <f t="shared" si="146"/>
        <v>0</v>
      </c>
      <c r="R596" s="198">
        <f t="shared" si="146"/>
        <v>0</v>
      </c>
      <c r="S596" s="198">
        <f t="shared" si="146"/>
        <v>0</v>
      </c>
      <c r="T596" s="198">
        <f t="shared" si="146"/>
        <v>0</v>
      </c>
      <c r="U596" s="198">
        <f t="shared" si="146"/>
        <v>0</v>
      </c>
      <c r="V596" s="198">
        <f t="shared" si="146"/>
        <v>0</v>
      </c>
      <c r="W596" s="198">
        <f t="shared" si="146"/>
        <v>0</v>
      </c>
      <c r="X596" s="198">
        <f t="shared" si="146"/>
        <v>0</v>
      </c>
      <c r="Y596" s="198">
        <f t="shared" si="146"/>
        <v>0</v>
      </c>
      <c r="Z596" s="198">
        <f t="shared" si="146"/>
        <v>0</v>
      </c>
      <c r="AA596" s="198">
        <f t="shared" si="146"/>
        <v>0</v>
      </c>
      <c r="AB596" s="198">
        <f t="shared" si="146"/>
        <v>0</v>
      </c>
      <c r="AC596" s="70"/>
      <c r="AD596" s="19"/>
      <c r="AE596" s="19"/>
      <c r="AF596" s="19"/>
      <c r="AG596" s="19"/>
    </row>
    <row r="597" spans="1:33" hidden="1" outlineLevel="3" x14ac:dyDescent="0.2">
      <c r="A597" s="19"/>
      <c r="B597" s="97">
        <v>17</v>
      </c>
      <c r="C597" s="506">
        <f t="shared" si="129"/>
        <v>0</v>
      </c>
      <c r="D597" s="505">
        <f t="shared" si="129"/>
        <v>0</v>
      </c>
      <c r="E597" s="505">
        <f t="shared" si="129"/>
        <v>0</v>
      </c>
      <c r="F597" s="58"/>
      <c r="G597" s="199">
        <f t="shared" si="130"/>
        <v>0</v>
      </c>
      <c r="H597" s="58"/>
      <c r="I597" s="198">
        <f t="shared" ref="I597:AB597" si="147">SUM(I498,I531,I564)</f>
        <v>0</v>
      </c>
      <c r="J597" s="198">
        <f t="shared" si="147"/>
        <v>0</v>
      </c>
      <c r="K597" s="198">
        <f t="shared" si="147"/>
        <v>0</v>
      </c>
      <c r="L597" s="198">
        <f t="shared" si="147"/>
        <v>0</v>
      </c>
      <c r="M597" s="198">
        <f t="shared" si="147"/>
        <v>0</v>
      </c>
      <c r="N597" s="198">
        <f t="shared" si="147"/>
        <v>0</v>
      </c>
      <c r="O597" s="198">
        <f t="shared" si="147"/>
        <v>0</v>
      </c>
      <c r="P597" s="198">
        <f t="shared" si="147"/>
        <v>0</v>
      </c>
      <c r="Q597" s="198">
        <f t="shared" si="147"/>
        <v>0</v>
      </c>
      <c r="R597" s="198">
        <f t="shared" si="147"/>
        <v>0</v>
      </c>
      <c r="S597" s="198">
        <f t="shared" si="147"/>
        <v>0</v>
      </c>
      <c r="T597" s="198">
        <f t="shared" si="147"/>
        <v>0</v>
      </c>
      <c r="U597" s="198">
        <f t="shared" si="147"/>
        <v>0</v>
      </c>
      <c r="V597" s="198">
        <f t="shared" si="147"/>
        <v>0</v>
      </c>
      <c r="W597" s="198">
        <f t="shared" si="147"/>
        <v>0</v>
      </c>
      <c r="X597" s="198">
        <f t="shared" si="147"/>
        <v>0</v>
      </c>
      <c r="Y597" s="198">
        <f t="shared" si="147"/>
        <v>0</v>
      </c>
      <c r="Z597" s="198">
        <f t="shared" si="147"/>
        <v>0</v>
      </c>
      <c r="AA597" s="198">
        <f t="shared" si="147"/>
        <v>0</v>
      </c>
      <c r="AB597" s="198">
        <f t="shared" si="147"/>
        <v>0</v>
      </c>
      <c r="AC597" s="70"/>
      <c r="AD597" s="19"/>
      <c r="AE597" s="19"/>
      <c r="AF597" s="19"/>
      <c r="AG597" s="19"/>
    </row>
    <row r="598" spans="1:33" hidden="1" outlineLevel="3" x14ac:dyDescent="0.2">
      <c r="A598" s="19"/>
      <c r="B598" s="97">
        <v>18</v>
      </c>
      <c r="C598" s="506">
        <f t="shared" si="129"/>
        <v>0</v>
      </c>
      <c r="D598" s="505">
        <f t="shared" si="129"/>
        <v>0</v>
      </c>
      <c r="E598" s="505">
        <f t="shared" si="129"/>
        <v>0</v>
      </c>
      <c r="F598" s="58"/>
      <c r="G598" s="199">
        <f t="shared" si="130"/>
        <v>0</v>
      </c>
      <c r="H598" s="58"/>
      <c r="I598" s="198">
        <f t="shared" ref="I598:AB598" si="148">SUM(I499,I532,I565)</f>
        <v>0</v>
      </c>
      <c r="J598" s="198">
        <f t="shared" si="148"/>
        <v>0</v>
      </c>
      <c r="K598" s="198">
        <f t="shared" si="148"/>
        <v>0</v>
      </c>
      <c r="L598" s="198">
        <f t="shared" si="148"/>
        <v>0</v>
      </c>
      <c r="M598" s="198">
        <f t="shared" si="148"/>
        <v>0</v>
      </c>
      <c r="N598" s="198">
        <f t="shared" si="148"/>
        <v>0</v>
      </c>
      <c r="O598" s="198">
        <f t="shared" si="148"/>
        <v>0</v>
      </c>
      <c r="P598" s="198">
        <f t="shared" si="148"/>
        <v>0</v>
      </c>
      <c r="Q598" s="198">
        <f t="shared" si="148"/>
        <v>0</v>
      </c>
      <c r="R598" s="198">
        <f t="shared" si="148"/>
        <v>0</v>
      </c>
      <c r="S598" s="198">
        <f t="shared" si="148"/>
        <v>0</v>
      </c>
      <c r="T598" s="198">
        <f t="shared" si="148"/>
        <v>0</v>
      </c>
      <c r="U598" s="198">
        <f t="shared" si="148"/>
        <v>0</v>
      </c>
      <c r="V598" s="198">
        <f t="shared" si="148"/>
        <v>0</v>
      </c>
      <c r="W598" s="198">
        <f t="shared" si="148"/>
        <v>0</v>
      </c>
      <c r="X598" s="198">
        <f t="shared" si="148"/>
        <v>0</v>
      </c>
      <c r="Y598" s="198">
        <f t="shared" si="148"/>
        <v>0</v>
      </c>
      <c r="Z598" s="198">
        <f t="shared" si="148"/>
        <v>0</v>
      </c>
      <c r="AA598" s="198">
        <f t="shared" si="148"/>
        <v>0</v>
      </c>
      <c r="AB598" s="198">
        <f t="shared" si="148"/>
        <v>0</v>
      </c>
      <c r="AC598" s="70"/>
      <c r="AD598" s="19"/>
      <c r="AE598" s="19"/>
      <c r="AF598" s="19"/>
      <c r="AG598" s="19"/>
    </row>
    <row r="599" spans="1:33" hidden="1" outlineLevel="3" x14ac:dyDescent="0.2">
      <c r="A599" s="19"/>
      <c r="B599" s="97">
        <v>19</v>
      </c>
      <c r="C599" s="506">
        <f t="shared" si="129"/>
        <v>0</v>
      </c>
      <c r="D599" s="505">
        <f t="shared" si="129"/>
        <v>0</v>
      </c>
      <c r="E599" s="505">
        <f t="shared" si="129"/>
        <v>0</v>
      </c>
      <c r="F599" s="58"/>
      <c r="G599" s="199">
        <f t="shared" si="130"/>
        <v>0</v>
      </c>
      <c r="H599" s="58"/>
      <c r="I599" s="198">
        <f t="shared" ref="I599:AB599" si="149">SUM(I500,I533,I566)</f>
        <v>0</v>
      </c>
      <c r="J599" s="198">
        <f t="shared" si="149"/>
        <v>0</v>
      </c>
      <c r="K599" s="198">
        <f t="shared" si="149"/>
        <v>0</v>
      </c>
      <c r="L599" s="198">
        <f t="shared" si="149"/>
        <v>0</v>
      </c>
      <c r="M599" s="198">
        <f t="shared" si="149"/>
        <v>0</v>
      </c>
      <c r="N599" s="198">
        <f t="shared" si="149"/>
        <v>0</v>
      </c>
      <c r="O599" s="198">
        <f t="shared" si="149"/>
        <v>0</v>
      </c>
      <c r="P599" s="198">
        <f t="shared" si="149"/>
        <v>0</v>
      </c>
      <c r="Q599" s="198">
        <f t="shared" si="149"/>
        <v>0</v>
      </c>
      <c r="R599" s="198">
        <f t="shared" si="149"/>
        <v>0</v>
      </c>
      <c r="S599" s="198">
        <f t="shared" si="149"/>
        <v>0</v>
      </c>
      <c r="T599" s="198">
        <f t="shared" si="149"/>
        <v>0</v>
      </c>
      <c r="U599" s="198">
        <f t="shared" si="149"/>
        <v>0</v>
      </c>
      <c r="V599" s="198">
        <f t="shared" si="149"/>
        <v>0</v>
      </c>
      <c r="W599" s="198">
        <f t="shared" si="149"/>
        <v>0</v>
      </c>
      <c r="X599" s="198">
        <f t="shared" si="149"/>
        <v>0</v>
      </c>
      <c r="Y599" s="198">
        <f t="shared" si="149"/>
        <v>0</v>
      </c>
      <c r="Z599" s="198">
        <f t="shared" si="149"/>
        <v>0</v>
      </c>
      <c r="AA599" s="198">
        <f t="shared" si="149"/>
        <v>0</v>
      </c>
      <c r="AB599" s="198">
        <f t="shared" si="149"/>
        <v>0</v>
      </c>
      <c r="AC599" s="70"/>
      <c r="AD599" s="19"/>
      <c r="AE599" s="19"/>
      <c r="AF599" s="19"/>
      <c r="AG599" s="19"/>
    </row>
    <row r="600" spans="1:33" hidden="1" outlineLevel="3" x14ac:dyDescent="0.2">
      <c r="A600" s="19"/>
      <c r="B600" s="97">
        <v>20</v>
      </c>
      <c r="C600" s="506">
        <f t="shared" si="129"/>
        <v>0</v>
      </c>
      <c r="D600" s="505">
        <f t="shared" si="129"/>
        <v>0</v>
      </c>
      <c r="E600" s="505">
        <f t="shared" si="129"/>
        <v>0</v>
      </c>
      <c r="F600" s="58"/>
      <c r="G600" s="199">
        <f t="shared" si="130"/>
        <v>0</v>
      </c>
      <c r="H600" s="58"/>
      <c r="I600" s="198">
        <f t="shared" ref="I600:AB600" si="150">SUM(I501,I534,I567)</f>
        <v>0</v>
      </c>
      <c r="J600" s="198">
        <f t="shared" si="150"/>
        <v>0</v>
      </c>
      <c r="K600" s="198">
        <f t="shared" si="150"/>
        <v>0</v>
      </c>
      <c r="L600" s="198">
        <f t="shared" si="150"/>
        <v>0</v>
      </c>
      <c r="M600" s="198">
        <f t="shared" si="150"/>
        <v>0</v>
      </c>
      <c r="N600" s="198">
        <f t="shared" si="150"/>
        <v>0</v>
      </c>
      <c r="O600" s="198">
        <f t="shared" si="150"/>
        <v>0</v>
      </c>
      <c r="P600" s="198">
        <f t="shared" si="150"/>
        <v>0</v>
      </c>
      <c r="Q600" s="198">
        <f t="shared" si="150"/>
        <v>0</v>
      </c>
      <c r="R600" s="198">
        <f t="shared" si="150"/>
        <v>0</v>
      </c>
      <c r="S600" s="198">
        <f t="shared" si="150"/>
        <v>0</v>
      </c>
      <c r="T600" s="198">
        <f t="shared" si="150"/>
        <v>0</v>
      </c>
      <c r="U600" s="198">
        <f t="shared" si="150"/>
        <v>0</v>
      </c>
      <c r="V600" s="198">
        <f t="shared" si="150"/>
        <v>0</v>
      </c>
      <c r="W600" s="198">
        <f t="shared" si="150"/>
        <v>0</v>
      </c>
      <c r="X600" s="198">
        <f t="shared" si="150"/>
        <v>0</v>
      </c>
      <c r="Y600" s="198">
        <f t="shared" si="150"/>
        <v>0</v>
      </c>
      <c r="Z600" s="198">
        <f t="shared" si="150"/>
        <v>0</v>
      </c>
      <c r="AA600" s="198">
        <f t="shared" si="150"/>
        <v>0</v>
      </c>
      <c r="AB600" s="198">
        <f t="shared" si="150"/>
        <v>0</v>
      </c>
      <c r="AC600" s="70"/>
      <c r="AD600" s="19"/>
      <c r="AE600" s="19"/>
      <c r="AF600" s="19"/>
      <c r="AG600" s="19"/>
    </row>
    <row r="601" spans="1:33" hidden="1" outlineLevel="3" x14ac:dyDescent="0.2">
      <c r="A601" s="19"/>
      <c r="B601" s="97">
        <v>21</v>
      </c>
      <c r="C601" s="506">
        <f t="shared" si="129"/>
        <v>0</v>
      </c>
      <c r="D601" s="505">
        <f t="shared" si="129"/>
        <v>0</v>
      </c>
      <c r="E601" s="505">
        <f t="shared" si="129"/>
        <v>0</v>
      </c>
      <c r="F601" s="58"/>
      <c r="G601" s="199">
        <f t="shared" si="130"/>
        <v>0</v>
      </c>
      <c r="H601" s="58"/>
      <c r="I601" s="198">
        <f t="shared" ref="I601:AB601" si="151">SUM(I502,I535,I568)</f>
        <v>0</v>
      </c>
      <c r="J601" s="198">
        <f t="shared" si="151"/>
        <v>0</v>
      </c>
      <c r="K601" s="198">
        <f t="shared" si="151"/>
        <v>0</v>
      </c>
      <c r="L601" s="198">
        <f t="shared" si="151"/>
        <v>0</v>
      </c>
      <c r="M601" s="198">
        <f t="shared" si="151"/>
        <v>0</v>
      </c>
      <c r="N601" s="198">
        <f t="shared" si="151"/>
        <v>0</v>
      </c>
      <c r="O601" s="198">
        <f t="shared" si="151"/>
        <v>0</v>
      </c>
      <c r="P601" s="198">
        <f t="shared" si="151"/>
        <v>0</v>
      </c>
      <c r="Q601" s="198">
        <f t="shared" si="151"/>
        <v>0</v>
      </c>
      <c r="R601" s="198">
        <f t="shared" si="151"/>
        <v>0</v>
      </c>
      <c r="S601" s="198">
        <f t="shared" si="151"/>
        <v>0</v>
      </c>
      <c r="T601" s="198">
        <f t="shared" si="151"/>
        <v>0</v>
      </c>
      <c r="U601" s="198">
        <f t="shared" si="151"/>
        <v>0</v>
      </c>
      <c r="V601" s="198">
        <f t="shared" si="151"/>
        <v>0</v>
      </c>
      <c r="W601" s="198">
        <f t="shared" si="151"/>
        <v>0</v>
      </c>
      <c r="X601" s="198">
        <f t="shared" si="151"/>
        <v>0</v>
      </c>
      <c r="Y601" s="198">
        <f t="shared" si="151"/>
        <v>0</v>
      </c>
      <c r="Z601" s="198">
        <f t="shared" si="151"/>
        <v>0</v>
      </c>
      <c r="AA601" s="198">
        <f t="shared" si="151"/>
        <v>0</v>
      </c>
      <c r="AB601" s="198">
        <f t="shared" si="151"/>
        <v>0</v>
      </c>
      <c r="AC601" s="70"/>
      <c r="AD601" s="19"/>
      <c r="AE601" s="19"/>
      <c r="AF601" s="19"/>
      <c r="AG601" s="19"/>
    </row>
    <row r="602" spans="1:33" hidden="1" outlineLevel="3" x14ac:dyDescent="0.2">
      <c r="A602" s="19"/>
      <c r="B602" s="97">
        <v>22</v>
      </c>
      <c r="C602" s="506">
        <f t="shared" si="129"/>
        <v>0</v>
      </c>
      <c r="D602" s="505">
        <f t="shared" si="129"/>
        <v>0</v>
      </c>
      <c r="E602" s="505">
        <f t="shared" si="129"/>
        <v>0</v>
      </c>
      <c r="F602" s="58"/>
      <c r="G602" s="199">
        <f t="shared" si="130"/>
        <v>0</v>
      </c>
      <c r="H602" s="58"/>
      <c r="I602" s="198">
        <f t="shared" ref="I602:AB602" si="152">SUM(I503,I536,I569)</f>
        <v>0</v>
      </c>
      <c r="J602" s="198">
        <f t="shared" si="152"/>
        <v>0</v>
      </c>
      <c r="K602" s="198">
        <f t="shared" si="152"/>
        <v>0</v>
      </c>
      <c r="L602" s="198">
        <f t="shared" si="152"/>
        <v>0</v>
      </c>
      <c r="M602" s="198">
        <f t="shared" si="152"/>
        <v>0</v>
      </c>
      <c r="N602" s="198">
        <f t="shared" si="152"/>
        <v>0</v>
      </c>
      <c r="O602" s="198">
        <f t="shared" si="152"/>
        <v>0</v>
      </c>
      <c r="P602" s="198">
        <f t="shared" si="152"/>
        <v>0</v>
      </c>
      <c r="Q602" s="198">
        <f t="shared" si="152"/>
        <v>0</v>
      </c>
      <c r="R602" s="198">
        <f t="shared" si="152"/>
        <v>0</v>
      </c>
      <c r="S602" s="198">
        <f t="shared" si="152"/>
        <v>0</v>
      </c>
      <c r="T602" s="198">
        <f t="shared" si="152"/>
        <v>0</v>
      </c>
      <c r="U602" s="198">
        <f t="shared" si="152"/>
        <v>0</v>
      </c>
      <c r="V602" s="198">
        <f t="shared" si="152"/>
        <v>0</v>
      </c>
      <c r="W602" s="198">
        <f t="shared" si="152"/>
        <v>0</v>
      </c>
      <c r="X602" s="198">
        <f t="shared" si="152"/>
        <v>0</v>
      </c>
      <c r="Y602" s="198">
        <f t="shared" si="152"/>
        <v>0</v>
      </c>
      <c r="Z602" s="198">
        <f t="shared" si="152"/>
        <v>0</v>
      </c>
      <c r="AA602" s="198">
        <f t="shared" si="152"/>
        <v>0</v>
      </c>
      <c r="AB602" s="198">
        <f t="shared" si="152"/>
        <v>0</v>
      </c>
      <c r="AC602" s="70"/>
      <c r="AD602" s="19"/>
      <c r="AE602" s="19"/>
      <c r="AF602" s="19"/>
      <c r="AG602" s="19"/>
    </row>
    <row r="603" spans="1:33" hidden="1" outlineLevel="3" x14ac:dyDescent="0.2">
      <c r="A603" s="19"/>
      <c r="B603" s="98">
        <v>23</v>
      </c>
      <c r="C603" s="506">
        <f t="shared" si="129"/>
        <v>0</v>
      </c>
      <c r="D603" s="505">
        <f t="shared" si="129"/>
        <v>0</v>
      </c>
      <c r="E603" s="505">
        <f t="shared" si="129"/>
        <v>0</v>
      </c>
      <c r="F603" s="58"/>
      <c r="G603" s="199">
        <f t="shared" si="130"/>
        <v>0</v>
      </c>
      <c r="H603" s="58"/>
      <c r="I603" s="198">
        <f t="shared" ref="I603:AB603" si="153">SUM(I504,I537,I570)</f>
        <v>0</v>
      </c>
      <c r="J603" s="198">
        <f t="shared" si="153"/>
        <v>0</v>
      </c>
      <c r="K603" s="198">
        <f t="shared" si="153"/>
        <v>0</v>
      </c>
      <c r="L603" s="198">
        <f t="shared" si="153"/>
        <v>0</v>
      </c>
      <c r="M603" s="198">
        <f t="shared" si="153"/>
        <v>0</v>
      </c>
      <c r="N603" s="198">
        <f t="shared" si="153"/>
        <v>0</v>
      </c>
      <c r="O603" s="198">
        <f t="shared" si="153"/>
        <v>0</v>
      </c>
      <c r="P603" s="198">
        <f t="shared" si="153"/>
        <v>0</v>
      </c>
      <c r="Q603" s="198">
        <f t="shared" si="153"/>
        <v>0</v>
      </c>
      <c r="R603" s="198">
        <f t="shared" si="153"/>
        <v>0</v>
      </c>
      <c r="S603" s="198">
        <f t="shared" si="153"/>
        <v>0</v>
      </c>
      <c r="T603" s="198">
        <f t="shared" si="153"/>
        <v>0</v>
      </c>
      <c r="U603" s="198">
        <f t="shared" si="153"/>
        <v>0</v>
      </c>
      <c r="V603" s="198">
        <f t="shared" si="153"/>
        <v>0</v>
      </c>
      <c r="W603" s="198">
        <f t="shared" si="153"/>
        <v>0</v>
      </c>
      <c r="X603" s="198">
        <f t="shared" si="153"/>
        <v>0</v>
      </c>
      <c r="Y603" s="198">
        <f t="shared" si="153"/>
        <v>0</v>
      </c>
      <c r="Z603" s="198">
        <f t="shared" si="153"/>
        <v>0</v>
      </c>
      <c r="AA603" s="198">
        <f t="shared" si="153"/>
        <v>0</v>
      </c>
      <c r="AB603" s="198">
        <f t="shared" si="153"/>
        <v>0</v>
      </c>
      <c r="AC603" s="70"/>
      <c r="AD603" s="19"/>
      <c r="AE603" s="19"/>
      <c r="AF603" s="19"/>
      <c r="AG603" s="19"/>
    </row>
    <row r="604" spans="1:33" hidden="1" outlineLevel="3" x14ac:dyDescent="0.2">
      <c r="A604" s="19"/>
      <c r="B604" s="97">
        <v>24</v>
      </c>
      <c r="C604" s="506">
        <f t="shared" si="129"/>
        <v>0</v>
      </c>
      <c r="D604" s="505">
        <f t="shared" si="129"/>
        <v>0</v>
      </c>
      <c r="E604" s="505">
        <f t="shared" si="129"/>
        <v>0</v>
      </c>
      <c r="F604" s="58"/>
      <c r="G604" s="199">
        <f t="shared" si="130"/>
        <v>0</v>
      </c>
      <c r="H604" s="58"/>
      <c r="I604" s="198">
        <f t="shared" ref="I604:AB604" si="154">SUM(I505,I538,I571)</f>
        <v>0</v>
      </c>
      <c r="J604" s="198">
        <f t="shared" si="154"/>
        <v>0</v>
      </c>
      <c r="K604" s="198">
        <f t="shared" si="154"/>
        <v>0</v>
      </c>
      <c r="L604" s="198">
        <f t="shared" si="154"/>
        <v>0</v>
      </c>
      <c r="M604" s="198">
        <f t="shared" si="154"/>
        <v>0</v>
      </c>
      <c r="N604" s="198">
        <f t="shared" si="154"/>
        <v>0</v>
      </c>
      <c r="O604" s="198">
        <f t="shared" si="154"/>
        <v>0</v>
      </c>
      <c r="P604" s="198">
        <f t="shared" si="154"/>
        <v>0</v>
      </c>
      <c r="Q604" s="198">
        <f t="shared" si="154"/>
        <v>0</v>
      </c>
      <c r="R604" s="198">
        <f t="shared" si="154"/>
        <v>0</v>
      </c>
      <c r="S604" s="198">
        <f t="shared" si="154"/>
        <v>0</v>
      </c>
      <c r="T604" s="198">
        <f t="shared" si="154"/>
        <v>0</v>
      </c>
      <c r="U604" s="198">
        <f t="shared" si="154"/>
        <v>0</v>
      </c>
      <c r="V604" s="198">
        <f t="shared" si="154"/>
        <v>0</v>
      </c>
      <c r="W604" s="198">
        <f t="shared" si="154"/>
        <v>0</v>
      </c>
      <c r="X604" s="198">
        <f t="shared" si="154"/>
        <v>0</v>
      </c>
      <c r="Y604" s="198">
        <f t="shared" si="154"/>
        <v>0</v>
      </c>
      <c r="Z604" s="198">
        <f t="shared" si="154"/>
        <v>0</v>
      </c>
      <c r="AA604" s="198">
        <f t="shared" si="154"/>
        <v>0</v>
      </c>
      <c r="AB604" s="198">
        <f t="shared" si="154"/>
        <v>0</v>
      </c>
      <c r="AC604" s="70"/>
      <c r="AD604" s="19"/>
      <c r="AE604" s="19"/>
      <c r="AF604" s="19"/>
      <c r="AG604" s="19"/>
    </row>
    <row r="605" spans="1:33" hidden="1" outlineLevel="3" x14ac:dyDescent="0.2">
      <c r="A605" s="19"/>
      <c r="B605" s="97">
        <v>25</v>
      </c>
      <c r="C605" s="506">
        <f t="shared" si="129"/>
        <v>0</v>
      </c>
      <c r="D605" s="505">
        <f t="shared" si="129"/>
        <v>0</v>
      </c>
      <c r="E605" s="505">
        <f t="shared" si="129"/>
        <v>0</v>
      </c>
      <c r="F605" s="58"/>
      <c r="G605" s="199">
        <f t="shared" si="130"/>
        <v>0</v>
      </c>
      <c r="H605" s="58"/>
      <c r="I605" s="198">
        <f t="shared" ref="I605:AB605" si="155">SUM(I506,I539,I572)</f>
        <v>0</v>
      </c>
      <c r="J605" s="198">
        <f t="shared" si="155"/>
        <v>0</v>
      </c>
      <c r="K605" s="198">
        <f t="shared" si="155"/>
        <v>0</v>
      </c>
      <c r="L605" s="198">
        <f t="shared" si="155"/>
        <v>0</v>
      </c>
      <c r="M605" s="198">
        <f t="shared" si="155"/>
        <v>0</v>
      </c>
      <c r="N605" s="198">
        <f t="shared" si="155"/>
        <v>0</v>
      </c>
      <c r="O605" s="198">
        <f t="shared" si="155"/>
        <v>0</v>
      </c>
      <c r="P605" s="198">
        <f t="shared" si="155"/>
        <v>0</v>
      </c>
      <c r="Q605" s="198">
        <f t="shared" si="155"/>
        <v>0</v>
      </c>
      <c r="R605" s="198">
        <f t="shared" si="155"/>
        <v>0</v>
      </c>
      <c r="S605" s="198">
        <f t="shared" si="155"/>
        <v>0</v>
      </c>
      <c r="T605" s="198">
        <f t="shared" si="155"/>
        <v>0</v>
      </c>
      <c r="U605" s="198">
        <f t="shared" si="155"/>
        <v>0</v>
      </c>
      <c r="V605" s="198">
        <f t="shared" si="155"/>
        <v>0</v>
      </c>
      <c r="W605" s="198">
        <f t="shared" si="155"/>
        <v>0</v>
      </c>
      <c r="X605" s="198">
        <f t="shared" si="155"/>
        <v>0</v>
      </c>
      <c r="Y605" s="198">
        <f t="shared" si="155"/>
        <v>0</v>
      </c>
      <c r="Z605" s="198">
        <f t="shared" si="155"/>
        <v>0</v>
      </c>
      <c r="AA605" s="198">
        <f t="shared" si="155"/>
        <v>0</v>
      </c>
      <c r="AB605" s="198">
        <f t="shared" si="155"/>
        <v>0</v>
      </c>
      <c r="AC605" s="70"/>
      <c r="AD605" s="19"/>
      <c r="AE605" s="19"/>
      <c r="AF605" s="19"/>
      <c r="AG605" s="19"/>
    </row>
    <row r="606" spans="1:33" hidden="1" outlineLevel="3" x14ac:dyDescent="0.2">
      <c r="A606" s="19"/>
      <c r="B606" s="97">
        <v>26</v>
      </c>
      <c r="C606" s="506">
        <f t="shared" si="129"/>
        <v>0</v>
      </c>
      <c r="D606" s="505">
        <f t="shared" si="129"/>
        <v>0</v>
      </c>
      <c r="E606" s="505">
        <f t="shared" si="129"/>
        <v>0</v>
      </c>
      <c r="F606" s="58"/>
      <c r="G606" s="199">
        <f t="shared" si="130"/>
        <v>0</v>
      </c>
      <c r="H606" s="58"/>
      <c r="I606" s="198">
        <f t="shared" ref="I606:AB606" si="156">SUM(I507,I540,I573)</f>
        <v>0</v>
      </c>
      <c r="J606" s="198">
        <f t="shared" si="156"/>
        <v>0</v>
      </c>
      <c r="K606" s="198">
        <f t="shared" si="156"/>
        <v>0</v>
      </c>
      <c r="L606" s="198">
        <f t="shared" si="156"/>
        <v>0</v>
      </c>
      <c r="M606" s="198">
        <f t="shared" si="156"/>
        <v>0</v>
      </c>
      <c r="N606" s="198">
        <f t="shared" si="156"/>
        <v>0</v>
      </c>
      <c r="O606" s="198">
        <f t="shared" si="156"/>
        <v>0</v>
      </c>
      <c r="P606" s="198">
        <f t="shared" si="156"/>
        <v>0</v>
      </c>
      <c r="Q606" s="198">
        <f t="shared" si="156"/>
        <v>0</v>
      </c>
      <c r="R606" s="198">
        <f t="shared" si="156"/>
        <v>0</v>
      </c>
      <c r="S606" s="198">
        <f t="shared" si="156"/>
        <v>0</v>
      </c>
      <c r="T606" s="198">
        <f t="shared" si="156"/>
        <v>0</v>
      </c>
      <c r="U606" s="198">
        <f t="shared" si="156"/>
        <v>0</v>
      </c>
      <c r="V606" s="198">
        <f t="shared" si="156"/>
        <v>0</v>
      </c>
      <c r="W606" s="198">
        <f t="shared" si="156"/>
        <v>0</v>
      </c>
      <c r="X606" s="198">
        <f t="shared" si="156"/>
        <v>0</v>
      </c>
      <c r="Y606" s="198">
        <f t="shared" si="156"/>
        <v>0</v>
      </c>
      <c r="Z606" s="198">
        <f t="shared" si="156"/>
        <v>0</v>
      </c>
      <c r="AA606" s="198">
        <f t="shared" si="156"/>
        <v>0</v>
      </c>
      <c r="AB606" s="198">
        <f t="shared" si="156"/>
        <v>0</v>
      </c>
      <c r="AC606" s="70"/>
      <c r="AD606" s="19"/>
      <c r="AE606" s="19"/>
      <c r="AF606" s="19"/>
      <c r="AG606" s="19"/>
    </row>
    <row r="607" spans="1:33" hidden="1" outlineLevel="3" x14ac:dyDescent="0.2">
      <c r="A607" s="19"/>
      <c r="B607" s="97">
        <v>27</v>
      </c>
      <c r="C607" s="506">
        <f t="shared" si="129"/>
        <v>0</v>
      </c>
      <c r="D607" s="505">
        <f t="shared" si="129"/>
        <v>0</v>
      </c>
      <c r="E607" s="505">
        <f t="shared" si="129"/>
        <v>0</v>
      </c>
      <c r="F607" s="58"/>
      <c r="G607" s="199">
        <f t="shared" si="130"/>
        <v>0</v>
      </c>
      <c r="H607" s="58"/>
      <c r="I607" s="198">
        <f t="shared" ref="I607:AB607" si="157">SUM(I508,I541,I574)</f>
        <v>0</v>
      </c>
      <c r="J607" s="198">
        <f t="shared" si="157"/>
        <v>0</v>
      </c>
      <c r="K607" s="198">
        <f t="shared" si="157"/>
        <v>0</v>
      </c>
      <c r="L607" s="198">
        <f t="shared" si="157"/>
        <v>0</v>
      </c>
      <c r="M607" s="198">
        <f t="shared" si="157"/>
        <v>0</v>
      </c>
      <c r="N607" s="198">
        <f t="shared" si="157"/>
        <v>0</v>
      </c>
      <c r="O607" s="198">
        <f t="shared" si="157"/>
        <v>0</v>
      </c>
      <c r="P607" s="198">
        <f t="shared" si="157"/>
        <v>0</v>
      </c>
      <c r="Q607" s="198">
        <f t="shared" si="157"/>
        <v>0</v>
      </c>
      <c r="R607" s="198">
        <f t="shared" si="157"/>
        <v>0</v>
      </c>
      <c r="S607" s="198">
        <f t="shared" si="157"/>
        <v>0</v>
      </c>
      <c r="T607" s="198">
        <f t="shared" si="157"/>
        <v>0</v>
      </c>
      <c r="U607" s="198">
        <f t="shared" si="157"/>
        <v>0</v>
      </c>
      <c r="V607" s="198">
        <f t="shared" si="157"/>
        <v>0</v>
      </c>
      <c r="W607" s="198">
        <f t="shared" si="157"/>
        <v>0</v>
      </c>
      <c r="X607" s="198">
        <f t="shared" si="157"/>
        <v>0</v>
      </c>
      <c r="Y607" s="198">
        <f t="shared" si="157"/>
        <v>0</v>
      </c>
      <c r="Z607" s="198">
        <f t="shared" si="157"/>
        <v>0</v>
      </c>
      <c r="AA607" s="198">
        <f t="shared" si="157"/>
        <v>0</v>
      </c>
      <c r="AB607" s="198">
        <f t="shared" si="157"/>
        <v>0</v>
      </c>
      <c r="AC607" s="70"/>
      <c r="AD607" s="19"/>
      <c r="AE607" s="19"/>
      <c r="AF607" s="19"/>
      <c r="AG607" s="19"/>
    </row>
    <row r="608" spans="1:33" hidden="1" outlineLevel="3" x14ac:dyDescent="0.2">
      <c r="A608" s="19"/>
      <c r="B608" s="97">
        <v>28</v>
      </c>
      <c r="C608" s="506">
        <f t="shared" si="129"/>
        <v>0</v>
      </c>
      <c r="D608" s="505">
        <f t="shared" si="129"/>
        <v>0</v>
      </c>
      <c r="E608" s="505">
        <f t="shared" si="129"/>
        <v>0</v>
      </c>
      <c r="F608" s="58"/>
      <c r="G608" s="199">
        <f t="shared" si="130"/>
        <v>0</v>
      </c>
      <c r="H608" s="58"/>
      <c r="I608" s="198">
        <f t="shared" ref="I608:AB608" si="158">SUM(I509,I542,I575)</f>
        <v>0</v>
      </c>
      <c r="J608" s="198">
        <f t="shared" si="158"/>
        <v>0</v>
      </c>
      <c r="K608" s="198">
        <f t="shared" si="158"/>
        <v>0</v>
      </c>
      <c r="L608" s="198">
        <f t="shared" si="158"/>
        <v>0</v>
      </c>
      <c r="M608" s="198">
        <f t="shared" si="158"/>
        <v>0</v>
      </c>
      <c r="N608" s="198">
        <f t="shared" si="158"/>
        <v>0</v>
      </c>
      <c r="O608" s="198">
        <f t="shared" si="158"/>
        <v>0</v>
      </c>
      <c r="P608" s="198">
        <f t="shared" si="158"/>
        <v>0</v>
      </c>
      <c r="Q608" s="198">
        <f t="shared" si="158"/>
        <v>0</v>
      </c>
      <c r="R608" s="198">
        <f t="shared" si="158"/>
        <v>0</v>
      </c>
      <c r="S608" s="198">
        <f t="shared" si="158"/>
        <v>0</v>
      </c>
      <c r="T608" s="198">
        <f t="shared" si="158"/>
        <v>0</v>
      </c>
      <c r="U608" s="198">
        <f t="shared" si="158"/>
        <v>0</v>
      </c>
      <c r="V608" s="198">
        <f t="shared" si="158"/>
        <v>0</v>
      </c>
      <c r="W608" s="198">
        <f t="shared" si="158"/>
        <v>0</v>
      </c>
      <c r="X608" s="198">
        <f t="shared" si="158"/>
        <v>0</v>
      </c>
      <c r="Y608" s="198">
        <f t="shared" si="158"/>
        <v>0</v>
      </c>
      <c r="Z608" s="198">
        <f t="shared" si="158"/>
        <v>0</v>
      </c>
      <c r="AA608" s="198">
        <f t="shared" si="158"/>
        <v>0</v>
      </c>
      <c r="AB608" s="198">
        <f t="shared" si="158"/>
        <v>0</v>
      </c>
      <c r="AC608" s="70"/>
      <c r="AD608" s="19"/>
      <c r="AE608" s="19"/>
      <c r="AF608" s="19"/>
      <c r="AG608" s="19"/>
    </row>
    <row r="609" spans="1:33" hidden="1" outlineLevel="3" x14ac:dyDescent="0.2">
      <c r="A609" s="19"/>
      <c r="B609" s="97">
        <v>29</v>
      </c>
      <c r="C609" s="506">
        <f t="shared" si="129"/>
        <v>0</v>
      </c>
      <c r="D609" s="505">
        <f t="shared" si="129"/>
        <v>0</v>
      </c>
      <c r="E609" s="505">
        <f t="shared" si="129"/>
        <v>0</v>
      </c>
      <c r="F609" s="58"/>
      <c r="G609" s="199">
        <f t="shared" si="130"/>
        <v>0</v>
      </c>
      <c r="H609" s="58"/>
      <c r="I609" s="198">
        <f t="shared" ref="I609:AB609" si="159">SUM(I510,I543,I576)</f>
        <v>0</v>
      </c>
      <c r="J609" s="198">
        <f t="shared" si="159"/>
        <v>0</v>
      </c>
      <c r="K609" s="198">
        <f t="shared" si="159"/>
        <v>0</v>
      </c>
      <c r="L609" s="198">
        <f t="shared" si="159"/>
        <v>0</v>
      </c>
      <c r="M609" s="198">
        <f t="shared" si="159"/>
        <v>0</v>
      </c>
      <c r="N609" s="198">
        <f t="shared" si="159"/>
        <v>0</v>
      </c>
      <c r="O609" s="198">
        <f t="shared" si="159"/>
        <v>0</v>
      </c>
      <c r="P609" s="198">
        <f t="shared" si="159"/>
        <v>0</v>
      </c>
      <c r="Q609" s="198">
        <f t="shared" si="159"/>
        <v>0</v>
      </c>
      <c r="R609" s="198">
        <f t="shared" si="159"/>
        <v>0</v>
      </c>
      <c r="S609" s="198">
        <f t="shared" si="159"/>
        <v>0</v>
      </c>
      <c r="T609" s="198">
        <f t="shared" si="159"/>
        <v>0</v>
      </c>
      <c r="U609" s="198">
        <f t="shared" si="159"/>
        <v>0</v>
      </c>
      <c r="V609" s="198">
        <f t="shared" si="159"/>
        <v>0</v>
      </c>
      <c r="W609" s="198">
        <f t="shared" si="159"/>
        <v>0</v>
      </c>
      <c r="X609" s="198">
        <f t="shared" si="159"/>
        <v>0</v>
      </c>
      <c r="Y609" s="198">
        <f t="shared" si="159"/>
        <v>0</v>
      </c>
      <c r="Z609" s="198">
        <f t="shared" si="159"/>
        <v>0</v>
      </c>
      <c r="AA609" s="198">
        <f t="shared" si="159"/>
        <v>0</v>
      </c>
      <c r="AB609" s="198">
        <f t="shared" si="159"/>
        <v>0</v>
      </c>
      <c r="AC609" s="70"/>
      <c r="AD609" s="19"/>
      <c r="AE609" s="19"/>
      <c r="AF609" s="19"/>
      <c r="AG609" s="19"/>
    </row>
    <row r="610" spans="1:33" hidden="1" outlineLevel="3" x14ac:dyDescent="0.2">
      <c r="A610" s="19"/>
      <c r="B610" s="98">
        <v>30</v>
      </c>
      <c r="C610" s="506">
        <f t="shared" si="129"/>
        <v>0</v>
      </c>
      <c r="D610" s="505">
        <f t="shared" si="129"/>
        <v>0</v>
      </c>
      <c r="E610" s="505">
        <f t="shared" si="129"/>
        <v>0</v>
      </c>
      <c r="F610" s="58"/>
      <c r="G610" s="199">
        <f t="shared" si="130"/>
        <v>0</v>
      </c>
      <c r="H610" s="58"/>
      <c r="I610" s="198">
        <f t="shared" ref="I610:AB610" si="160">SUM(I511,I544,I577)</f>
        <v>0</v>
      </c>
      <c r="J610" s="198">
        <f t="shared" si="160"/>
        <v>0</v>
      </c>
      <c r="K610" s="198">
        <f t="shared" si="160"/>
        <v>0</v>
      </c>
      <c r="L610" s="198">
        <f t="shared" si="160"/>
        <v>0</v>
      </c>
      <c r="M610" s="198">
        <f t="shared" si="160"/>
        <v>0</v>
      </c>
      <c r="N610" s="198">
        <f t="shared" si="160"/>
        <v>0</v>
      </c>
      <c r="O610" s="198">
        <f t="shared" si="160"/>
        <v>0</v>
      </c>
      <c r="P610" s="198">
        <f t="shared" si="160"/>
        <v>0</v>
      </c>
      <c r="Q610" s="198">
        <f t="shared" si="160"/>
        <v>0</v>
      </c>
      <c r="R610" s="198">
        <f t="shared" si="160"/>
        <v>0</v>
      </c>
      <c r="S610" s="198">
        <f t="shared" si="160"/>
        <v>0</v>
      </c>
      <c r="T610" s="198">
        <f t="shared" si="160"/>
        <v>0</v>
      </c>
      <c r="U610" s="198">
        <f t="shared" si="160"/>
        <v>0</v>
      </c>
      <c r="V610" s="198">
        <f t="shared" si="160"/>
        <v>0</v>
      </c>
      <c r="W610" s="198">
        <f t="shared" si="160"/>
        <v>0</v>
      </c>
      <c r="X610" s="198">
        <f t="shared" si="160"/>
        <v>0</v>
      </c>
      <c r="Y610" s="198">
        <f t="shared" si="160"/>
        <v>0</v>
      </c>
      <c r="Z610" s="198">
        <f t="shared" si="160"/>
        <v>0</v>
      </c>
      <c r="AA610" s="198">
        <f t="shared" si="160"/>
        <v>0</v>
      </c>
      <c r="AB610" s="198">
        <f t="shared" si="160"/>
        <v>0</v>
      </c>
      <c r="AC610" s="70"/>
      <c r="AD610" s="19"/>
      <c r="AE610" s="19"/>
      <c r="AF610" s="19"/>
      <c r="AG610" s="19"/>
    </row>
    <row r="611" spans="1:33" outlineLevel="2" collapsed="1" x14ac:dyDescent="0.2">
      <c r="A611" s="19"/>
      <c r="B611" s="19"/>
      <c r="C611" s="560"/>
      <c r="D611" s="558"/>
      <c r="E611" s="559"/>
      <c r="F611" s="58"/>
      <c r="G611" s="58"/>
      <c r="H611" s="58"/>
      <c r="I611" s="137"/>
      <c r="J611" s="137"/>
      <c r="K611" s="138"/>
      <c r="L611" s="138"/>
      <c r="M611" s="138"/>
      <c r="N611" s="139"/>
      <c r="O611" s="139"/>
      <c r="P611" s="139"/>
      <c r="Q611" s="139"/>
      <c r="R611" s="139"/>
      <c r="S611" s="138"/>
      <c r="T611" s="138"/>
      <c r="U611" s="138"/>
      <c r="V611" s="70"/>
      <c r="W611" s="70"/>
      <c r="X611" s="70"/>
      <c r="Y611" s="70"/>
      <c r="Z611" s="70"/>
      <c r="AA611" s="70"/>
      <c r="AB611" s="70"/>
      <c r="AC611" s="70"/>
      <c r="AD611" s="19"/>
      <c r="AE611" s="19"/>
      <c r="AF611" s="19"/>
      <c r="AG611" s="19"/>
    </row>
    <row r="612" spans="1:33" outlineLevel="1" x14ac:dyDescent="0.2">
      <c r="A612" s="19"/>
      <c r="B612" s="19"/>
      <c r="C612" s="66"/>
      <c r="D612" s="66"/>
      <c r="E612" s="58"/>
      <c r="F612" s="58"/>
      <c r="G612" s="58"/>
      <c r="H612" s="58"/>
      <c r="I612" s="137"/>
      <c r="J612" s="137"/>
      <c r="K612" s="138"/>
      <c r="L612" s="138"/>
      <c r="M612" s="138"/>
      <c r="N612" s="139"/>
      <c r="O612" s="139"/>
      <c r="P612" s="139"/>
      <c r="Q612" s="139"/>
      <c r="R612" s="139"/>
      <c r="S612" s="138"/>
      <c r="T612" s="138"/>
      <c r="U612" s="138"/>
      <c r="V612" s="70"/>
      <c r="W612" s="70"/>
      <c r="X612" s="70"/>
      <c r="Y612" s="70"/>
      <c r="Z612" s="70"/>
      <c r="AA612" s="70"/>
      <c r="AB612" s="70"/>
      <c r="AC612" s="70"/>
      <c r="AD612" s="19"/>
      <c r="AE612" s="19"/>
      <c r="AF612" s="19"/>
      <c r="AG612" s="19"/>
    </row>
    <row r="613" spans="1:33" x14ac:dyDescent="0.2">
      <c r="A613" s="19"/>
      <c r="B613" s="19"/>
      <c r="C613" s="36"/>
      <c r="D613" s="36"/>
      <c r="E613" s="20"/>
      <c r="F613" s="20"/>
      <c r="G613" s="22"/>
      <c r="H613" s="22"/>
      <c r="I613" s="22"/>
      <c r="J613" s="20"/>
      <c r="K613" s="20"/>
      <c r="L613" s="20"/>
      <c r="M613" s="20"/>
      <c r="N613" s="37"/>
      <c r="O613" s="37"/>
      <c r="P613" s="37"/>
      <c r="Q613" s="37"/>
      <c r="R613" s="37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</row>
    <row r="614" spans="1:33" ht="12.75" x14ac:dyDescent="0.2">
      <c r="A614" s="11"/>
      <c r="B614" s="12" t="s">
        <v>563</v>
      </c>
      <c r="C614" s="11"/>
      <c r="D614" s="32" t="str">
        <f>D5</f>
        <v>Block?</v>
      </c>
      <c r="E614" s="32" t="str">
        <f>E5</f>
        <v>TOU?</v>
      </c>
      <c r="F614" s="32"/>
      <c r="G614" s="33" t="s">
        <v>209</v>
      </c>
      <c r="H614" s="33"/>
      <c r="I614" s="33" t="str">
        <f>S614</f>
        <v>Peak</v>
      </c>
      <c r="J614" s="33" t="str">
        <f>T614</f>
        <v>Shoulder</v>
      </c>
      <c r="K614" s="33" t="str">
        <f>U614</f>
        <v>Off-peak</v>
      </c>
      <c r="L614" s="33"/>
      <c r="M614" s="33" t="s">
        <v>215</v>
      </c>
      <c r="N614" s="33"/>
      <c r="O614" s="33" t="s">
        <v>210</v>
      </c>
      <c r="P614" s="33" t="s">
        <v>211</v>
      </c>
      <c r="Q614" s="33" t="s">
        <v>387</v>
      </c>
      <c r="R614" s="33"/>
      <c r="S614" s="33" t="s">
        <v>212</v>
      </c>
      <c r="T614" s="33" t="s">
        <v>213</v>
      </c>
      <c r="U614" s="33" t="s">
        <v>214</v>
      </c>
      <c r="V614" s="33"/>
      <c r="W614" s="33"/>
      <c r="X614" s="33"/>
      <c r="Y614" s="33"/>
      <c r="Z614" s="33"/>
      <c r="AA614" s="33"/>
      <c r="AB614" s="33"/>
      <c r="AC614" s="64"/>
      <c r="AD614" s="15"/>
      <c r="AE614" s="15"/>
      <c r="AF614" s="15"/>
      <c r="AG614" s="15"/>
    </row>
    <row r="615" spans="1:33" outlineLevel="1" x14ac:dyDescent="0.2">
      <c r="A615" s="19"/>
      <c r="B615" s="19"/>
      <c r="C615" s="36"/>
      <c r="D615" s="36"/>
      <c r="E615" s="20"/>
      <c r="F615" s="20"/>
      <c r="G615" s="22" t="str">
        <f>consprofile</f>
        <v>kWh</v>
      </c>
      <c r="H615" s="22"/>
      <c r="I615" s="22" t="str">
        <f>G615</f>
        <v>kWh</v>
      </c>
      <c r="J615" s="22" t="str">
        <f>G615</f>
        <v>kWh</v>
      </c>
      <c r="K615" s="22" t="str">
        <f>G615</f>
        <v>kWh</v>
      </c>
      <c r="L615" s="22"/>
      <c r="M615" s="22" t="str">
        <f>G615</f>
        <v>kWh</v>
      </c>
      <c r="N615" s="22"/>
      <c r="O615" s="22" t="str">
        <f>G615</f>
        <v>kWh</v>
      </c>
      <c r="P615" s="22" t="str">
        <f>G615</f>
        <v>kWh</v>
      </c>
      <c r="Q615" s="22" t="str">
        <f>G615</f>
        <v>kWh</v>
      </c>
      <c r="R615" s="22"/>
      <c r="S615" s="22" t="s">
        <v>315</v>
      </c>
      <c r="T615" s="22" t="s">
        <v>315</v>
      </c>
      <c r="U615" s="22" t="s">
        <v>315</v>
      </c>
      <c r="V615" s="22"/>
      <c r="W615" s="22"/>
      <c r="X615" s="22"/>
      <c r="Y615" s="22"/>
      <c r="Z615" s="22"/>
      <c r="AA615" s="22"/>
      <c r="AB615" s="22"/>
      <c r="AC615" s="19"/>
      <c r="AD615" s="19"/>
      <c r="AE615" s="19"/>
      <c r="AF615" s="19"/>
      <c r="AG615" s="19"/>
    </row>
    <row r="616" spans="1:33" outlineLevel="1" x14ac:dyDescent="0.2">
      <c r="A616" s="19"/>
      <c r="B616" s="19"/>
      <c r="C616" s="167" t="s">
        <v>391</v>
      </c>
      <c r="D616" s="167"/>
      <c r="E616" s="512"/>
      <c r="F616" s="20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19"/>
      <c r="AD616" s="19"/>
      <c r="AE616" s="19"/>
      <c r="AF616" s="19"/>
      <c r="AG616" s="19"/>
    </row>
    <row r="617" spans="1:33" outlineLevel="2" x14ac:dyDescent="0.2">
      <c r="A617" s="19"/>
      <c r="B617" s="97"/>
      <c r="C617" s="506" t="str">
        <f t="shared" ref="C617:E646" si="161">C77</f>
        <v>Residential time of use consumption</v>
      </c>
      <c r="D617" s="505">
        <f t="shared" si="161"/>
        <v>0</v>
      </c>
      <c r="E617" s="505" t="str">
        <f t="shared" si="161"/>
        <v>yes</v>
      </c>
      <c r="F617" s="246">
        <f>IF(General!$F$39="Forecast",Movements!F650,Movements!F683)</f>
        <v>1</v>
      </c>
      <c r="G617" s="198">
        <f>IF(General!$F$37&lt;&gt;0,General!$F$37,IF(General!$F$39="Forecast",Movements!G650,IF(G683=0,G650,Movements!G683)))</f>
        <v>7982.6994219645512</v>
      </c>
      <c r="H617" s="221"/>
      <c r="I617" s="206">
        <f>$G617*S617</f>
        <v>2445.7421104974392</v>
      </c>
      <c r="J617" s="206">
        <f>$G617*T617</f>
        <v>0</v>
      </c>
      <c r="K617" s="206">
        <f>$G617*U617</f>
        <v>5536.9573114671111</v>
      </c>
      <c r="L617" s="178"/>
      <c r="M617" s="198">
        <f>IF(General!$F$39="Forecast",Movements!M650,IF(M683=0,M650,Movements!M683))</f>
        <v>0</v>
      </c>
      <c r="N617" s="252">
        <f>IF(General!$F$39="Forecast",Movements!N650,Movements!N683)</f>
        <v>1</v>
      </c>
      <c r="O617" s="198">
        <f>IF(General!$F$39="Forecast",Movements!O650,IF(O683=0,O650,Movements!O683))</f>
        <v>0</v>
      </c>
      <c r="P617" s="198">
        <f>IF(General!$F$39="Forecast",Movements!P650,IF(P683=0,P650,Movements!P683))</f>
        <v>0</v>
      </c>
      <c r="Q617" s="198">
        <f>IF(General!$F$39="Forecast",Movements!Q650,IF(Q683=0,Q650,Movements!Q683))</f>
        <v>0</v>
      </c>
      <c r="R617" s="207"/>
      <c r="S617" s="219">
        <f>IF(General!$F$40&lt;&gt;0,General!$F$40,IF(General!$F$39="Forecast",Movements!S650,IF(S683=0,S650,Movements!S683)))</f>
        <v>0.3063803334205385</v>
      </c>
      <c r="T617" s="219">
        <f>IF(General!$F$42&lt;&gt;0,General!$F$42,IF(General!$F$39="Forecast",Movements!T650,IF(T683=0,T650,Movements!T683)))</f>
        <v>0</v>
      </c>
      <c r="U617" s="219">
        <f>IF(General!$F$41&lt;&gt;0,General!$F$41,IF(General!$F$39="Forecast",Movements!U650,IF(U683=0,U650,Movements!U683)))</f>
        <v>0.69361966657946139</v>
      </c>
      <c r="V617" s="220"/>
      <c r="W617" s="220"/>
      <c r="X617" s="220"/>
      <c r="Y617" s="220"/>
      <c r="Z617" s="220"/>
      <c r="AA617" s="220"/>
      <c r="AB617" s="220"/>
      <c r="AC617" s="70"/>
      <c r="AD617" s="19"/>
      <c r="AE617" s="19"/>
      <c r="AF617" s="19"/>
      <c r="AG617" s="19"/>
    </row>
    <row r="618" spans="1:33" s="59" customFormat="1" outlineLevel="2" x14ac:dyDescent="0.2">
      <c r="A618" s="57"/>
      <c r="B618" s="98"/>
      <c r="C618" s="506" t="str">
        <f t="shared" si="161"/>
        <v>Residential general light and power</v>
      </c>
      <c r="D618" s="505">
        <f t="shared" si="161"/>
        <v>0</v>
      </c>
      <c r="E618" s="505" t="str">
        <f t="shared" si="161"/>
        <v>no</v>
      </c>
      <c r="F618" s="246">
        <f>IF(General!$F$39="Forecast",Movements!F651,Movements!F684)</f>
        <v>0</v>
      </c>
      <c r="G618" s="198">
        <f>IF(General!$F$37&lt;&gt;0,General!$F$37,IF(General!$F$39="Forecast",Movements!G651,IF(G684=0,G651,Movements!G684)))</f>
        <v>3514.7340719355702</v>
      </c>
      <c r="H618" s="221"/>
      <c r="I618" s="206">
        <f t="shared" ref="I618:I646" si="162">$G618*S618</f>
        <v>0</v>
      </c>
      <c r="J618" s="206">
        <f t="shared" ref="J618:J646" si="163">$G618*T618</f>
        <v>0</v>
      </c>
      <c r="K618" s="206">
        <f t="shared" ref="K618:K646" si="164">$G618*U618</f>
        <v>0</v>
      </c>
      <c r="L618" s="178"/>
      <c r="M618" s="198">
        <f>IF(General!$F$39="Forecast",Movements!M651,IF(M684=0,M651,Movements!M684))</f>
        <v>0</v>
      </c>
      <c r="N618" s="252">
        <f>IF(General!$F$39="Forecast",Movements!N651,Movements!N684)</f>
        <v>2</v>
      </c>
      <c r="O618" s="198">
        <f>IF(General!$F$39="Forecast",Movements!O651,IF(O684=0,O651,Movements!O684))</f>
        <v>0</v>
      </c>
      <c r="P618" s="198">
        <f>IF(General!$F$39="Forecast",Movements!P651,IF(P684=0,P651,Movements!P684))</f>
        <v>0</v>
      </c>
      <c r="Q618" s="198">
        <f>IF(General!$F$39="Forecast",Movements!Q651,IF(Q684=0,Q651,Movements!Q684))</f>
        <v>0</v>
      </c>
      <c r="R618" s="207"/>
      <c r="S618" s="219">
        <f>IF(General!$F$40&lt;&gt;0,General!$F$40,IF(General!$F$39="Forecast",Movements!S651,IF(S684=0,S651,Movements!S684)))</f>
        <v>0</v>
      </c>
      <c r="T618" s="219">
        <f>IF(General!$F$42&lt;&gt;0,General!$F$42,IF(General!$F$39="Forecast",Movements!T651,IF(T684=0,T651,Movements!T684)))</f>
        <v>0</v>
      </c>
      <c r="U618" s="219">
        <f>IF(General!$F$41&lt;&gt;0,General!$F$41,IF(General!$F$39="Forecast",Movements!U651,IF(U684=0,U651,Movements!U684)))</f>
        <v>0</v>
      </c>
      <c r="V618" s="138"/>
      <c r="W618" s="138"/>
      <c r="X618" s="138"/>
      <c r="Y618" s="138"/>
      <c r="Z618" s="138"/>
      <c r="AA618" s="138"/>
      <c r="AB618" s="138"/>
      <c r="AC618" s="70"/>
      <c r="AD618" s="57"/>
      <c r="AE618" s="57"/>
      <c r="AF618" s="57"/>
      <c r="AG618" s="57"/>
    </row>
    <row r="619" spans="1:33" outlineLevel="2" x14ac:dyDescent="0.2">
      <c r="A619" s="19"/>
      <c r="B619" s="97"/>
      <c r="C619" s="506" t="str">
        <f t="shared" si="161"/>
        <v>Residential pay as you go</v>
      </c>
      <c r="D619" s="505">
        <f t="shared" si="161"/>
        <v>0</v>
      </c>
      <c r="E619" s="505" t="str">
        <f t="shared" si="161"/>
        <v>no</v>
      </c>
      <c r="F619" s="246">
        <f>IF(General!$F$39="Forecast",Movements!F652,Movements!F685)</f>
        <v>0</v>
      </c>
      <c r="G619" s="198">
        <f>IF(General!$F$37&lt;&gt;0,General!$F$37,IF(General!$F$39="Forecast",Movements!G652,IF(G685=0,G652,Movements!G685)))</f>
        <v>0</v>
      </c>
      <c r="H619" s="221"/>
      <c r="I619" s="206">
        <f t="shared" si="162"/>
        <v>0</v>
      </c>
      <c r="J619" s="206">
        <f t="shared" si="163"/>
        <v>0</v>
      </c>
      <c r="K619" s="206">
        <f t="shared" si="164"/>
        <v>0</v>
      </c>
      <c r="L619" s="178"/>
      <c r="M619" s="198">
        <f>IF(General!$F$39="Forecast",Movements!M652,IF(M685=0,M652,Movements!M685))</f>
        <v>0</v>
      </c>
      <c r="N619" s="252">
        <f>IF(General!$F$39="Forecast",Movements!N652,Movements!N685)</f>
        <v>5</v>
      </c>
      <c r="O619" s="198">
        <f>IF(General!$F$39="Forecast",Movements!O652,IF(O685=0,O652,Movements!O685))</f>
        <v>0</v>
      </c>
      <c r="P619" s="198">
        <f>IF(General!$F$39="Forecast",Movements!P652,IF(P685=0,P652,Movements!P685))</f>
        <v>0</v>
      </c>
      <c r="Q619" s="198">
        <f>IF(General!$F$39="Forecast",Movements!Q652,IF(Q685=0,Q652,Movements!Q685))</f>
        <v>0</v>
      </c>
      <c r="R619" s="207"/>
      <c r="S619" s="219">
        <f>IF(General!$F$40&lt;&gt;0,General!$F$40,IF(General!$F$39="Forecast",Movements!S652,IF(S685=0,S652,Movements!S685)))</f>
        <v>0</v>
      </c>
      <c r="T619" s="219">
        <f>IF(General!$F$42&lt;&gt;0,General!$F$42,IF(General!$F$39="Forecast",Movements!T652,IF(T685=0,T652,Movements!T685)))</f>
        <v>0</v>
      </c>
      <c r="U619" s="219">
        <f>IF(General!$F$41&lt;&gt;0,General!$F$41,IF(General!$F$39="Forecast",Movements!U652,IF(U685=0,U652,Movements!U685)))</f>
        <v>0</v>
      </c>
      <c r="V619" s="138"/>
      <c r="W619" s="138"/>
      <c r="X619" s="138"/>
      <c r="Y619" s="138"/>
      <c r="Z619" s="138"/>
      <c r="AA619" s="138"/>
      <c r="AB619" s="138"/>
      <c r="AC619" s="70"/>
      <c r="AD619" s="19"/>
      <c r="AE619" s="19"/>
      <c r="AF619" s="19"/>
      <c r="AG619" s="19"/>
    </row>
    <row r="620" spans="1:33" outlineLevel="2" x14ac:dyDescent="0.2">
      <c r="A620" s="19"/>
      <c r="B620" s="97"/>
      <c r="C620" s="506" t="str">
        <f t="shared" si="161"/>
        <v>Residential pay as you go time of use</v>
      </c>
      <c r="D620" s="505">
        <f t="shared" si="161"/>
        <v>0</v>
      </c>
      <c r="E620" s="505" t="str">
        <f t="shared" si="161"/>
        <v>no</v>
      </c>
      <c r="F620" s="246">
        <f>IF(General!$F$39="Forecast",Movements!F653,Movements!F686)</f>
        <v>0</v>
      </c>
      <c r="G620" s="198">
        <f>IF(General!$F$37&lt;&gt;0,General!$F$37,IF(General!$F$39="Forecast",Movements!G653,IF(G686=0,G653,Movements!G686)))</f>
        <v>0</v>
      </c>
      <c r="H620" s="221"/>
      <c r="I620" s="206">
        <f t="shared" si="162"/>
        <v>0</v>
      </c>
      <c r="J620" s="206">
        <f t="shared" si="163"/>
        <v>0</v>
      </c>
      <c r="K620" s="206">
        <f t="shared" si="164"/>
        <v>0</v>
      </c>
      <c r="L620" s="178"/>
      <c r="M620" s="198">
        <f>IF(General!$F$39="Forecast",Movements!M653,IF(M686=0,M653,Movements!M686))</f>
        <v>0</v>
      </c>
      <c r="N620" s="252">
        <f>IF(General!$F$39="Forecast",Movements!N653,Movements!N686)</f>
        <v>6</v>
      </c>
      <c r="O620" s="198">
        <f>IF(General!$F$39="Forecast",Movements!O653,IF(O686=0,O653,Movements!O686))</f>
        <v>0</v>
      </c>
      <c r="P620" s="198">
        <f>IF(General!$F$39="Forecast",Movements!P653,IF(P686=0,P653,Movements!P686))</f>
        <v>0</v>
      </c>
      <c r="Q620" s="198">
        <f>IF(General!$F$39="Forecast",Movements!Q653,IF(Q686=0,Q653,Movements!Q686))</f>
        <v>0</v>
      </c>
      <c r="R620" s="207"/>
      <c r="S620" s="219">
        <f>IF(General!$F$40&lt;&gt;0,General!$F$40,IF(General!$F$39="Forecast",Movements!S653,IF(S686=0,S653,Movements!S686)))</f>
        <v>0</v>
      </c>
      <c r="T620" s="219">
        <f>IF(General!$F$42&lt;&gt;0,General!$F$42,IF(General!$F$39="Forecast",Movements!T653,IF(T686=0,T653,Movements!T686)))</f>
        <v>0</v>
      </c>
      <c r="U620" s="219">
        <f>IF(General!$F$41&lt;&gt;0,General!$F$41,IF(General!$F$39="Forecast",Movements!U653,IF(U686=0,U653,Movements!U686)))</f>
        <v>0</v>
      </c>
      <c r="V620" s="138"/>
      <c r="W620" s="138"/>
      <c r="X620" s="138"/>
      <c r="Y620" s="138"/>
      <c r="Z620" s="138"/>
      <c r="AA620" s="138"/>
      <c r="AB620" s="138"/>
      <c r="AC620" s="70"/>
      <c r="AD620" s="19"/>
      <c r="AE620" s="19"/>
      <c r="AF620" s="19"/>
      <c r="AG620" s="19"/>
    </row>
    <row r="621" spans="1:33" outlineLevel="2" x14ac:dyDescent="0.2">
      <c r="A621" s="19"/>
      <c r="B621" s="97"/>
      <c r="C621" s="506">
        <f t="shared" si="161"/>
        <v>0</v>
      </c>
      <c r="D621" s="505">
        <f t="shared" si="161"/>
        <v>0</v>
      </c>
      <c r="E621" s="505">
        <f t="shared" si="161"/>
        <v>0</v>
      </c>
      <c r="F621" s="246">
        <f>IF(General!$F$39="Forecast",Movements!F654,Movements!F687)</f>
        <v>0</v>
      </c>
      <c r="G621" s="198">
        <f>IF(General!$F$37&lt;&gt;0,General!$F$37,IF(General!$F$39="Forecast",Movements!G654,IF(G687=0,G654,Movements!G687)))</f>
        <v>0</v>
      </c>
      <c r="H621" s="221"/>
      <c r="I621" s="206">
        <f t="shared" si="162"/>
        <v>0</v>
      </c>
      <c r="J621" s="206">
        <f t="shared" si="163"/>
        <v>0</v>
      </c>
      <c r="K621" s="206">
        <f t="shared" si="164"/>
        <v>0</v>
      </c>
      <c r="L621" s="178"/>
      <c r="M621" s="198">
        <f>IF(General!$F$39="Forecast",Movements!M654,IF(M687=0,M654,Movements!M687))</f>
        <v>0</v>
      </c>
      <c r="N621" s="252">
        <f>IF(General!$F$39="Forecast",Movements!N654,Movements!N687)</f>
        <v>0</v>
      </c>
      <c r="O621" s="198">
        <f>IF(General!$F$39="Forecast",Movements!O654,IF(O687=0,O654,Movements!O687))</f>
        <v>0</v>
      </c>
      <c r="P621" s="198">
        <f>IF(General!$F$39="Forecast",Movements!P654,IF(P687=0,P654,Movements!P687))</f>
        <v>0</v>
      </c>
      <c r="Q621" s="198">
        <f>IF(General!$F$39="Forecast",Movements!Q654,IF(Q687=0,Q654,Movements!Q687))</f>
        <v>0</v>
      </c>
      <c r="R621" s="207"/>
      <c r="S621" s="219">
        <f>IF(General!$F$40&lt;&gt;0,General!$F$40,IF(General!$F$39="Forecast",Movements!S654,IF(S687=0,S654,Movements!S687)))</f>
        <v>0</v>
      </c>
      <c r="T621" s="219">
        <f>IF(General!$F$42&lt;&gt;0,General!$F$42,IF(General!$F$39="Forecast",Movements!T654,IF(T687=0,T654,Movements!T687)))</f>
        <v>0</v>
      </c>
      <c r="U621" s="219">
        <f>IF(General!$F$41&lt;&gt;0,General!$F$41,IF(General!$F$39="Forecast",Movements!U654,IF(U687=0,U654,Movements!U687)))</f>
        <v>0</v>
      </c>
      <c r="V621" s="138"/>
      <c r="W621" s="138"/>
      <c r="X621" s="138"/>
      <c r="Y621" s="138"/>
      <c r="Z621" s="138"/>
      <c r="AA621" s="138"/>
      <c r="AB621" s="138"/>
      <c r="AC621" s="70"/>
      <c r="AD621" s="19"/>
      <c r="AE621" s="19"/>
      <c r="AF621" s="19"/>
      <c r="AG621" s="19"/>
    </row>
    <row r="622" spans="1:33" outlineLevel="3" x14ac:dyDescent="0.2">
      <c r="A622" s="19"/>
      <c r="B622" s="97"/>
      <c r="C622" s="506">
        <f t="shared" si="161"/>
        <v>0</v>
      </c>
      <c r="D622" s="505">
        <f t="shared" si="161"/>
        <v>0</v>
      </c>
      <c r="E622" s="505">
        <f t="shared" si="161"/>
        <v>0</v>
      </c>
      <c r="F622" s="246">
        <f>IF(General!$F$39="Forecast",Movements!F655,Movements!F688)</f>
        <v>0</v>
      </c>
      <c r="G622" s="198">
        <f>IF(General!$F$37&lt;&gt;0,General!$F$37,IF(General!$F$39="Forecast",Movements!G655,IF(G688=0,G655,Movements!G688)))</f>
        <v>0</v>
      </c>
      <c r="H622" s="221"/>
      <c r="I622" s="206">
        <f t="shared" si="162"/>
        <v>0</v>
      </c>
      <c r="J622" s="206">
        <f t="shared" si="163"/>
        <v>0</v>
      </c>
      <c r="K622" s="206">
        <f t="shared" si="164"/>
        <v>0</v>
      </c>
      <c r="L622" s="178"/>
      <c r="M622" s="198">
        <f>IF(General!$F$39="Forecast",Movements!M655,IF(M688=0,M655,Movements!M688))</f>
        <v>0</v>
      </c>
      <c r="N622" s="252">
        <f>IF(General!$F$39="Forecast",Movements!N655,Movements!N688)</f>
        <v>0</v>
      </c>
      <c r="O622" s="198">
        <f>IF(General!$F$39="Forecast",Movements!O655,IF(O688=0,O655,Movements!O688))</f>
        <v>0</v>
      </c>
      <c r="P622" s="198">
        <f>IF(General!$F$39="Forecast",Movements!P655,IF(P688=0,P655,Movements!P688))</f>
        <v>0</v>
      </c>
      <c r="Q622" s="198">
        <f>IF(General!$F$39="Forecast",Movements!Q655,IF(Q688=0,Q655,Movements!Q688))</f>
        <v>0</v>
      </c>
      <c r="R622" s="207"/>
      <c r="S622" s="219">
        <f>IF(General!$F$40&lt;&gt;0,General!$F$40,IF(General!$F$39="Forecast",Movements!S655,IF(S688=0,S655,Movements!S688)))</f>
        <v>0</v>
      </c>
      <c r="T622" s="219">
        <f>IF(General!$F$42&lt;&gt;0,General!$F$42,IF(General!$F$39="Forecast",Movements!T655,IF(T688=0,T655,Movements!T688)))</f>
        <v>0</v>
      </c>
      <c r="U622" s="219">
        <f>IF(General!$F$41&lt;&gt;0,General!$F$41,IF(General!$F$39="Forecast",Movements!U655,IF(U688=0,U655,Movements!U688)))</f>
        <v>0</v>
      </c>
      <c r="V622" s="138"/>
      <c r="W622" s="138"/>
      <c r="X622" s="138"/>
      <c r="Y622" s="138"/>
      <c r="Z622" s="138"/>
      <c r="AA622" s="138"/>
      <c r="AB622" s="138"/>
      <c r="AC622" s="70"/>
      <c r="AD622" s="19"/>
      <c r="AE622" s="19"/>
      <c r="AF622" s="19"/>
      <c r="AG622" s="19"/>
    </row>
    <row r="623" spans="1:33" outlineLevel="3" x14ac:dyDescent="0.2">
      <c r="A623" s="19"/>
      <c r="B623" s="97"/>
      <c r="C623" s="506">
        <f t="shared" si="161"/>
        <v>0</v>
      </c>
      <c r="D623" s="505">
        <f t="shared" si="161"/>
        <v>0</v>
      </c>
      <c r="E623" s="505">
        <f t="shared" si="161"/>
        <v>0</v>
      </c>
      <c r="F623" s="246">
        <f>IF(General!$F$39="Forecast",Movements!F656,Movements!F689)</f>
        <v>0</v>
      </c>
      <c r="G623" s="198">
        <f>IF(General!$F$37&lt;&gt;0,General!$F$37,IF(General!$F$39="Forecast",Movements!G656,IF(G689=0,G656,Movements!G689)))</f>
        <v>0</v>
      </c>
      <c r="H623" s="221"/>
      <c r="I623" s="206">
        <f t="shared" si="162"/>
        <v>0</v>
      </c>
      <c r="J623" s="206">
        <f t="shared" si="163"/>
        <v>0</v>
      </c>
      <c r="K623" s="206">
        <f t="shared" si="164"/>
        <v>0</v>
      </c>
      <c r="L623" s="178"/>
      <c r="M623" s="198">
        <f>IF(General!$F$39="Forecast",Movements!M656,IF(M689=0,M656,Movements!M689))</f>
        <v>0</v>
      </c>
      <c r="N623" s="252">
        <f>IF(General!$F$39="Forecast",Movements!N656,Movements!N689)</f>
        <v>0</v>
      </c>
      <c r="O623" s="198">
        <f>IF(General!$F$39="Forecast",Movements!O656,IF(O689=0,O656,Movements!O689))</f>
        <v>0</v>
      </c>
      <c r="P623" s="198">
        <f>IF(General!$F$39="Forecast",Movements!P656,IF(P689=0,P656,Movements!P689))</f>
        <v>0</v>
      </c>
      <c r="Q623" s="198">
        <f>IF(General!$F$39="Forecast",Movements!Q656,IF(Q689=0,Q656,Movements!Q689))</f>
        <v>0</v>
      </c>
      <c r="R623" s="207"/>
      <c r="S623" s="219">
        <f>IF(General!$F$40&lt;&gt;0,General!$F$40,IF(General!$F$39="Forecast",Movements!S656,IF(S689=0,S656,Movements!S689)))</f>
        <v>0</v>
      </c>
      <c r="T623" s="219">
        <f>IF(General!$F$42&lt;&gt;0,General!$F$42,IF(General!$F$39="Forecast",Movements!T656,IF(T689=0,T656,Movements!T689)))</f>
        <v>0</v>
      </c>
      <c r="U623" s="219">
        <f>IF(General!$F$41&lt;&gt;0,General!$F$41,IF(General!$F$39="Forecast",Movements!U656,IF(U689=0,U656,Movements!U689)))</f>
        <v>0</v>
      </c>
      <c r="V623" s="138"/>
      <c r="W623" s="138"/>
      <c r="X623" s="138"/>
      <c r="Y623" s="138"/>
      <c r="Z623" s="138"/>
      <c r="AA623" s="138"/>
      <c r="AB623" s="138"/>
      <c r="AC623" s="70"/>
      <c r="AD623" s="19"/>
      <c r="AE623" s="19"/>
      <c r="AF623" s="19"/>
      <c r="AG623" s="19"/>
    </row>
    <row r="624" spans="1:33" outlineLevel="3" x14ac:dyDescent="0.2">
      <c r="A624" s="19"/>
      <c r="B624" s="97"/>
      <c r="C624" s="506">
        <f t="shared" si="161"/>
        <v>0</v>
      </c>
      <c r="D624" s="505">
        <f t="shared" si="161"/>
        <v>0</v>
      </c>
      <c r="E624" s="505">
        <f t="shared" si="161"/>
        <v>0</v>
      </c>
      <c r="F624" s="246">
        <f>IF(General!$F$39="Forecast",Movements!F657,Movements!F690)</f>
        <v>0</v>
      </c>
      <c r="G624" s="198">
        <f>IF(General!$F$37&lt;&gt;0,General!$F$37,IF(General!$F$39="Forecast",Movements!G657,IF(G690=0,G657,Movements!G690)))</f>
        <v>0</v>
      </c>
      <c r="H624" s="221"/>
      <c r="I624" s="206">
        <f t="shared" si="162"/>
        <v>0</v>
      </c>
      <c r="J624" s="206">
        <f t="shared" si="163"/>
        <v>0</v>
      </c>
      <c r="K624" s="206">
        <f t="shared" si="164"/>
        <v>0</v>
      </c>
      <c r="L624" s="178"/>
      <c r="M624" s="198">
        <f>IF(General!$F$39="Forecast",Movements!M657,IF(M690=0,M657,Movements!M690))</f>
        <v>0</v>
      </c>
      <c r="N624" s="252">
        <f>IF(General!$F$39="Forecast",Movements!N657,Movements!N690)</f>
        <v>0</v>
      </c>
      <c r="O624" s="198">
        <f>IF(General!$F$39="Forecast",Movements!O657,IF(O690=0,O657,Movements!O690))</f>
        <v>0</v>
      </c>
      <c r="P624" s="198">
        <f>IF(General!$F$39="Forecast",Movements!P657,IF(P690=0,P657,Movements!P690))</f>
        <v>0</v>
      </c>
      <c r="Q624" s="198">
        <f>IF(General!$F$39="Forecast",Movements!Q657,IF(Q690=0,Q657,Movements!Q690))</f>
        <v>0</v>
      </c>
      <c r="R624" s="207"/>
      <c r="S624" s="219">
        <f>IF(General!$F$40&lt;&gt;0,General!$F$40,IF(General!$F$39="Forecast",Movements!S657,IF(S690=0,S657,Movements!S690)))</f>
        <v>0</v>
      </c>
      <c r="T624" s="219">
        <f>IF(General!$F$42&lt;&gt;0,General!$F$42,IF(General!$F$39="Forecast",Movements!T657,IF(T690=0,T657,Movements!T690)))</f>
        <v>0</v>
      </c>
      <c r="U624" s="219">
        <f>IF(General!$F$41&lt;&gt;0,General!$F$41,IF(General!$F$39="Forecast",Movements!U657,IF(U690=0,U657,Movements!U690)))</f>
        <v>0</v>
      </c>
      <c r="V624" s="138"/>
      <c r="W624" s="138"/>
      <c r="X624" s="138"/>
      <c r="Y624" s="138"/>
      <c r="Z624" s="138"/>
      <c r="AA624" s="138"/>
      <c r="AB624" s="138"/>
      <c r="AC624" s="70"/>
      <c r="AD624" s="19"/>
      <c r="AE624" s="19"/>
      <c r="AF624" s="19"/>
      <c r="AG624" s="19"/>
    </row>
    <row r="625" spans="1:33" outlineLevel="3" x14ac:dyDescent="0.2">
      <c r="A625" s="19"/>
      <c r="B625" s="98"/>
      <c r="C625" s="506">
        <f t="shared" si="161"/>
        <v>0</v>
      </c>
      <c r="D625" s="505">
        <f t="shared" si="161"/>
        <v>0</v>
      </c>
      <c r="E625" s="505">
        <f t="shared" si="161"/>
        <v>0</v>
      </c>
      <c r="F625" s="246">
        <f>IF(General!$F$39="Forecast",Movements!F658,Movements!F691)</f>
        <v>0</v>
      </c>
      <c r="G625" s="198">
        <f>IF(General!$F$37&lt;&gt;0,General!$F$37,IF(General!$F$39="Forecast",Movements!G658,IF(G691=0,G658,Movements!G691)))</f>
        <v>0</v>
      </c>
      <c r="H625" s="221"/>
      <c r="I625" s="206">
        <f t="shared" si="162"/>
        <v>0</v>
      </c>
      <c r="J625" s="206">
        <f t="shared" si="163"/>
        <v>0</v>
      </c>
      <c r="K625" s="206">
        <f t="shared" si="164"/>
        <v>0</v>
      </c>
      <c r="L625" s="178"/>
      <c r="M625" s="198">
        <f>IF(General!$F$39="Forecast",Movements!M658,IF(M691=0,M658,Movements!M691))</f>
        <v>0</v>
      </c>
      <c r="N625" s="252">
        <f>IF(General!$F$39="Forecast",Movements!N658,Movements!N691)</f>
        <v>0</v>
      </c>
      <c r="O625" s="198">
        <f>IF(General!$F$39="Forecast",Movements!O658,IF(O691=0,O658,Movements!O691))</f>
        <v>0</v>
      </c>
      <c r="P625" s="198">
        <f>IF(General!$F$39="Forecast",Movements!P658,IF(P691=0,P658,Movements!P691))</f>
        <v>0</v>
      </c>
      <c r="Q625" s="198">
        <f>IF(General!$F$39="Forecast",Movements!Q658,IF(Q691=0,Q658,Movements!Q691))</f>
        <v>0</v>
      </c>
      <c r="R625" s="207"/>
      <c r="S625" s="219">
        <f>IF(General!$F$40&lt;&gt;0,General!$F$40,IF(General!$F$39="Forecast",Movements!S658,IF(S691=0,S658,Movements!S691)))</f>
        <v>0</v>
      </c>
      <c r="T625" s="219">
        <f>IF(General!$F$42&lt;&gt;0,General!$F$42,IF(General!$F$39="Forecast",Movements!T658,IF(T691=0,T658,Movements!T691)))</f>
        <v>0</v>
      </c>
      <c r="U625" s="219">
        <f>IF(General!$F$41&lt;&gt;0,General!$F$41,IF(General!$F$39="Forecast",Movements!U658,IF(U691=0,U658,Movements!U691)))</f>
        <v>0</v>
      </c>
      <c r="V625" s="138"/>
      <c r="W625" s="138"/>
      <c r="X625" s="138"/>
      <c r="Y625" s="138"/>
      <c r="Z625" s="138"/>
      <c r="AA625" s="138"/>
      <c r="AB625" s="138"/>
      <c r="AC625" s="70"/>
      <c r="AD625" s="19"/>
      <c r="AE625" s="19"/>
      <c r="AF625" s="19"/>
      <c r="AG625" s="19"/>
    </row>
    <row r="626" spans="1:33" outlineLevel="3" x14ac:dyDescent="0.2">
      <c r="A626" s="19"/>
      <c r="B626" s="97"/>
      <c r="C626" s="506">
        <f t="shared" si="161"/>
        <v>0</v>
      </c>
      <c r="D626" s="505">
        <f t="shared" si="161"/>
        <v>0</v>
      </c>
      <c r="E626" s="505">
        <f t="shared" si="161"/>
        <v>0</v>
      </c>
      <c r="F626" s="246">
        <f>IF(General!$F$39="Forecast",Movements!F659,Movements!F692)</f>
        <v>0</v>
      </c>
      <c r="G626" s="198">
        <f>IF(General!$F$37&lt;&gt;0,General!$F$37,IF(General!$F$39="Forecast",Movements!G659,IF(G692=0,G659,Movements!G692)))</f>
        <v>0</v>
      </c>
      <c r="H626" s="221"/>
      <c r="I626" s="206">
        <f t="shared" si="162"/>
        <v>0</v>
      </c>
      <c r="J626" s="206">
        <f t="shared" si="163"/>
        <v>0</v>
      </c>
      <c r="K626" s="206">
        <f t="shared" si="164"/>
        <v>0</v>
      </c>
      <c r="L626" s="178"/>
      <c r="M626" s="198">
        <f>IF(General!$F$39="Forecast",Movements!M659,IF(M692=0,M659,Movements!M692))</f>
        <v>0</v>
      </c>
      <c r="N626" s="252">
        <f>IF(General!$F$39="Forecast",Movements!N659,Movements!N692)</f>
        <v>0</v>
      </c>
      <c r="O626" s="198">
        <f>IF(General!$F$39="Forecast",Movements!O659,IF(O692=0,O659,Movements!O692))</f>
        <v>0</v>
      </c>
      <c r="P626" s="198">
        <f>IF(General!$F$39="Forecast",Movements!P659,IF(P692=0,P659,Movements!P692))</f>
        <v>0</v>
      </c>
      <c r="Q626" s="198">
        <f>IF(General!$F$39="Forecast",Movements!Q659,IF(Q692=0,Q659,Movements!Q692))</f>
        <v>0</v>
      </c>
      <c r="R626" s="207"/>
      <c r="S626" s="219">
        <f>IF(General!$F$40&lt;&gt;0,General!$F$40,IF(General!$F$39="Forecast",Movements!S659,IF(S692=0,S659,Movements!S692)))</f>
        <v>0</v>
      </c>
      <c r="T626" s="219">
        <f>IF(General!$F$42&lt;&gt;0,General!$F$42,IF(General!$F$39="Forecast",Movements!T659,IF(T692=0,T659,Movements!T692)))</f>
        <v>0</v>
      </c>
      <c r="U626" s="219">
        <f>IF(General!$F$41&lt;&gt;0,General!$F$41,IF(General!$F$39="Forecast",Movements!U659,IF(U692=0,U659,Movements!U692)))</f>
        <v>0</v>
      </c>
      <c r="V626" s="138"/>
      <c r="W626" s="138"/>
      <c r="X626" s="138"/>
      <c r="Y626" s="138"/>
      <c r="Z626" s="138"/>
      <c r="AA626" s="138"/>
      <c r="AB626" s="138"/>
      <c r="AC626" s="70"/>
      <c r="AD626" s="19"/>
      <c r="AE626" s="19"/>
      <c r="AF626" s="19"/>
      <c r="AG626" s="19"/>
    </row>
    <row r="627" spans="1:33" outlineLevel="3" x14ac:dyDescent="0.2">
      <c r="A627" s="19"/>
      <c r="B627" s="97"/>
      <c r="C627" s="506">
        <f t="shared" si="161"/>
        <v>0</v>
      </c>
      <c r="D627" s="505">
        <f t="shared" si="161"/>
        <v>0</v>
      </c>
      <c r="E627" s="505">
        <f t="shared" si="161"/>
        <v>0</v>
      </c>
      <c r="F627" s="246">
        <f>IF(General!$F$39="Forecast",Movements!F660,Movements!F693)</f>
        <v>0</v>
      </c>
      <c r="G627" s="198">
        <f>IF(General!$F$37&lt;&gt;0,General!$F$37,IF(General!$F$39="Forecast",Movements!G660,IF(G693=0,G660,Movements!G693)))</f>
        <v>0</v>
      </c>
      <c r="H627" s="221"/>
      <c r="I627" s="206">
        <f t="shared" si="162"/>
        <v>0</v>
      </c>
      <c r="J627" s="206">
        <f t="shared" si="163"/>
        <v>0</v>
      </c>
      <c r="K627" s="206">
        <f t="shared" si="164"/>
        <v>0</v>
      </c>
      <c r="L627" s="178"/>
      <c r="M627" s="198">
        <f>IF(General!$F$39="Forecast",Movements!M660,IF(M693=0,M660,Movements!M693))</f>
        <v>0</v>
      </c>
      <c r="N627" s="252">
        <f>IF(General!$F$39="Forecast",Movements!N660,Movements!N693)</f>
        <v>0</v>
      </c>
      <c r="O627" s="198">
        <f>IF(General!$F$39="Forecast",Movements!O660,IF(O693=0,O660,Movements!O693))</f>
        <v>0</v>
      </c>
      <c r="P627" s="198">
        <f>IF(General!$F$39="Forecast",Movements!P660,IF(P693=0,P660,Movements!P693))</f>
        <v>0</v>
      </c>
      <c r="Q627" s="198">
        <f>IF(General!$F$39="Forecast",Movements!Q660,IF(Q693=0,Q660,Movements!Q693))</f>
        <v>0</v>
      </c>
      <c r="R627" s="207"/>
      <c r="S627" s="219">
        <f>IF(General!$F$40&lt;&gt;0,General!$F$40,IF(General!$F$39="Forecast",Movements!S660,IF(S693=0,S660,Movements!S693)))</f>
        <v>0</v>
      </c>
      <c r="T627" s="219">
        <f>IF(General!$F$42&lt;&gt;0,General!$F$42,IF(General!$F$39="Forecast",Movements!T660,IF(T693=0,T660,Movements!T693)))</f>
        <v>0</v>
      </c>
      <c r="U627" s="219">
        <f>IF(General!$F$41&lt;&gt;0,General!$F$41,IF(General!$F$39="Forecast",Movements!U660,IF(U693=0,U660,Movements!U693)))</f>
        <v>0</v>
      </c>
      <c r="V627" s="138"/>
      <c r="W627" s="138"/>
      <c r="X627" s="138"/>
      <c r="Y627" s="138"/>
      <c r="Z627" s="138"/>
      <c r="AA627" s="138"/>
      <c r="AB627" s="138"/>
      <c r="AC627" s="70"/>
      <c r="AD627" s="19"/>
      <c r="AE627" s="19"/>
      <c r="AF627" s="19"/>
      <c r="AG627" s="19"/>
    </row>
    <row r="628" spans="1:33" outlineLevel="3" x14ac:dyDescent="0.2">
      <c r="A628" s="19"/>
      <c r="B628" s="97"/>
      <c r="C628" s="506">
        <f t="shared" si="161"/>
        <v>0</v>
      </c>
      <c r="D628" s="505">
        <f t="shared" si="161"/>
        <v>0</v>
      </c>
      <c r="E628" s="505">
        <f t="shared" si="161"/>
        <v>0</v>
      </c>
      <c r="F628" s="246">
        <f>IF(General!$F$39="Forecast",Movements!F661,Movements!F694)</f>
        <v>0</v>
      </c>
      <c r="G628" s="198">
        <f>IF(General!$F$37&lt;&gt;0,General!$F$37,IF(General!$F$39="Forecast",Movements!G661,IF(G694=0,G661,Movements!G694)))</f>
        <v>0</v>
      </c>
      <c r="H628" s="221"/>
      <c r="I628" s="206">
        <f t="shared" si="162"/>
        <v>0</v>
      </c>
      <c r="J628" s="206">
        <f t="shared" si="163"/>
        <v>0</v>
      </c>
      <c r="K628" s="206">
        <f t="shared" si="164"/>
        <v>0</v>
      </c>
      <c r="L628" s="178"/>
      <c r="M628" s="198">
        <f>IF(General!$F$39="Forecast",Movements!M661,IF(M694=0,M661,Movements!M694))</f>
        <v>0</v>
      </c>
      <c r="N628" s="252">
        <f>IF(General!$F$39="Forecast",Movements!N661,Movements!N694)</f>
        <v>0</v>
      </c>
      <c r="O628" s="198">
        <f>IF(General!$F$39="Forecast",Movements!O661,IF(O694=0,O661,Movements!O694))</f>
        <v>0</v>
      </c>
      <c r="P628" s="198">
        <f>IF(General!$F$39="Forecast",Movements!P661,IF(P694=0,P661,Movements!P694))</f>
        <v>0</v>
      </c>
      <c r="Q628" s="198">
        <f>IF(General!$F$39="Forecast",Movements!Q661,IF(Q694=0,Q661,Movements!Q694))</f>
        <v>0</v>
      </c>
      <c r="R628" s="207"/>
      <c r="S628" s="219">
        <f>IF(General!$F$40&lt;&gt;0,General!$F$40,IF(General!$F$39="Forecast",Movements!S661,IF(S694=0,S661,Movements!S694)))</f>
        <v>0</v>
      </c>
      <c r="T628" s="219">
        <f>IF(General!$F$42&lt;&gt;0,General!$F$42,IF(General!$F$39="Forecast",Movements!T661,IF(T694=0,T661,Movements!T694)))</f>
        <v>0</v>
      </c>
      <c r="U628" s="219">
        <f>IF(General!$F$41&lt;&gt;0,General!$F$41,IF(General!$F$39="Forecast",Movements!U661,IF(U694=0,U661,Movements!U694)))</f>
        <v>0</v>
      </c>
      <c r="V628" s="138"/>
      <c r="W628" s="138"/>
      <c r="X628" s="138"/>
      <c r="Y628" s="138"/>
      <c r="Z628" s="138"/>
      <c r="AA628" s="138"/>
      <c r="AB628" s="138"/>
      <c r="AC628" s="70"/>
      <c r="AD628" s="19"/>
      <c r="AE628" s="19"/>
      <c r="AF628" s="19"/>
      <c r="AG628" s="19"/>
    </row>
    <row r="629" spans="1:33" outlineLevel="3" x14ac:dyDescent="0.2">
      <c r="A629" s="19"/>
      <c r="B629" s="97"/>
      <c r="C629" s="506">
        <f t="shared" si="161"/>
        <v>0</v>
      </c>
      <c r="D629" s="505">
        <f t="shared" si="161"/>
        <v>0</v>
      </c>
      <c r="E629" s="505">
        <f t="shared" si="161"/>
        <v>0</v>
      </c>
      <c r="F629" s="246">
        <f>IF(General!$F$39="Forecast",Movements!F662,Movements!F695)</f>
        <v>0</v>
      </c>
      <c r="G629" s="198">
        <f>IF(General!$F$37&lt;&gt;0,General!$F$37,IF(General!$F$39="Forecast",Movements!G662,IF(G695=0,G662,Movements!G695)))</f>
        <v>0</v>
      </c>
      <c r="H629" s="221"/>
      <c r="I629" s="206">
        <f t="shared" si="162"/>
        <v>0</v>
      </c>
      <c r="J629" s="206">
        <f t="shared" si="163"/>
        <v>0</v>
      </c>
      <c r="K629" s="206">
        <f t="shared" si="164"/>
        <v>0</v>
      </c>
      <c r="L629" s="178"/>
      <c r="M629" s="198">
        <f>IF(General!$F$39="Forecast",Movements!M662,IF(M695=0,M662,Movements!M695))</f>
        <v>0</v>
      </c>
      <c r="N629" s="252">
        <f>IF(General!$F$39="Forecast",Movements!N662,Movements!N695)</f>
        <v>0</v>
      </c>
      <c r="O629" s="198">
        <f>IF(General!$F$39="Forecast",Movements!O662,IF(O695=0,O662,Movements!O695))</f>
        <v>0</v>
      </c>
      <c r="P629" s="198">
        <f>IF(General!$F$39="Forecast",Movements!P662,IF(P695=0,P662,Movements!P695))</f>
        <v>0</v>
      </c>
      <c r="Q629" s="198">
        <f>IF(General!$F$39="Forecast",Movements!Q662,IF(Q695=0,Q662,Movements!Q695))</f>
        <v>0</v>
      </c>
      <c r="R629" s="207"/>
      <c r="S629" s="219">
        <f>IF(General!$F$40&lt;&gt;0,General!$F$40,IF(General!$F$39="Forecast",Movements!S662,IF(S695=0,S662,Movements!S695)))</f>
        <v>0</v>
      </c>
      <c r="T629" s="219">
        <f>IF(General!$F$42&lt;&gt;0,General!$F$42,IF(General!$F$39="Forecast",Movements!T662,IF(T695=0,T662,Movements!T695)))</f>
        <v>0</v>
      </c>
      <c r="U629" s="219">
        <f>IF(General!$F$41&lt;&gt;0,General!$F$41,IF(General!$F$39="Forecast",Movements!U662,IF(U695=0,U662,Movements!U695)))</f>
        <v>0</v>
      </c>
      <c r="V629" s="138"/>
      <c r="W629" s="138"/>
      <c r="X629" s="138"/>
      <c r="Y629" s="138"/>
      <c r="Z629" s="138"/>
      <c r="AA629" s="138"/>
      <c r="AB629" s="138"/>
      <c r="AC629" s="70"/>
      <c r="AD629" s="19"/>
      <c r="AE629" s="19"/>
      <c r="AF629" s="19"/>
      <c r="AG629" s="19"/>
    </row>
    <row r="630" spans="1:33" outlineLevel="3" x14ac:dyDescent="0.2">
      <c r="A630" s="19"/>
      <c r="B630" s="97"/>
      <c r="C630" s="506">
        <f t="shared" si="161"/>
        <v>0</v>
      </c>
      <c r="D630" s="505">
        <f t="shared" si="161"/>
        <v>0</v>
      </c>
      <c r="E630" s="505">
        <f t="shared" si="161"/>
        <v>0</v>
      </c>
      <c r="F630" s="246">
        <f>IF(General!$F$39="Forecast",Movements!F663,Movements!F696)</f>
        <v>0</v>
      </c>
      <c r="G630" s="198">
        <f>IF(General!$F$37&lt;&gt;0,General!$F$37,IF(General!$F$39="Forecast",Movements!G663,IF(G696=0,G663,Movements!G696)))</f>
        <v>0</v>
      </c>
      <c r="H630" s="221"/>
      <c r="I630" s="206">
        <f t="shared" si="162"/>
        <v>0</v>
      </c>
      <c r="J630" s="206">
        <f t="shared" si="163"/>
        <v>0</v>
      </c>
      <c r="K630" s="206">
        <f t="shared" si="164"/>
        <v>0</v>
      </c>
      <c r="L630" s="178"/>
      <c r="M630" s="198">
        <f>IF(General!$F$39="Forecast",Movements!M663,IF(M696=0,M663,Movements!M696))</f>
        <v>0</v>
      </c>
      <c r="N630" s="252">
        <f>IF(General!$F$39="Forecast",Movements!N663,Movements!N696)</f>
        <v>0</v>
      </c>
      <c r="O630" s="198">
        <f>IF(General!$F$39="Forecast",Movements!O663,IF(O696=0,O663,Movements!O696))</f>
        <v>0</v>
      </c>
      <c r="P630" s="198">
        <f>IF(General!$F$39="Forecast",Movements!P663,IF(P696=0,P663,Movements!P696))</f>
        <v>0</v>
      </c>
      <c r="Q630" s="198">
        <f>IF(General!$F$39="Forecast",Movements!Q663,IF(Q696=0,Q663,Movements!Q696))</f>
        <v>0</v>
      </c>
      <c r="R630" s="207"/>
      <c r="S630" s="219">
        <f>IF(General!$F$40&lt;&gt;0,General!$F$40,IF(General!$F$39="Forecast",Movements!S663,IF(S696=0,S663,Movements!S696)))</f>
        <v>0</v>
      </c>
      <c r="T630" s="219">
        <f>IF(General!$F$42&lt;&gt;0,General!$F$42,IF(General!$F$39="Forecast",Movements!T663,IF(T696=0,T663,Movements!T696)))</f>
        <v>0</v>
      </c>
      <c r="U630" s="219">
        <f>IF(General!$F$41&lt;&gt;0,General!$F$41,IF(General!$F$39="Forecast",Movements!U663,IF(U696=0,U663,Movements!U696)))</f>
        <v>0</v>
      </c>
      <c r="V630" s="138"/>
      <c r="W630" s="138"/>
      <c r="X630" s="138"/>
      <c r="Y630" s="138"/>
      <c r="Z630" s="138"/>
      <c r="AA630" s="138"/>
      <c r="AB630" s="138"/>
      <c r="AC630" s="70"/>
      <c r="AD630" s="19"/>
      <c r="AE630" s="19"/>
      <c r="AF630" s="19"/>
      <c r="AG630" s="19"/>
    </row>
    <row r="631" spans="1:33" outlineLevel="3" x14ac:dyDescent="0.2">
      <c r="A631" s="19"/>
      <c r="B631" s="97"/>
      <c r="C631" s="506">
        <f t="shared" si="161"/>
        <v>0</v>
      </c>
      <c r="D631" s="505">
        <f t="shared" si="161"/>
        <v>0</v>
      </c>
      <c r="E631" s="505">
        <f t="shared" si="161"/>
        <v>0</v>
      </c>
      <c r="F631" s="246">
        <f>IF(General!$F$39="Forecast",Movements!F664,Movements!F697)</f>
        <v>0</v>
      </c>
      <c r="G631" s="198">
        <f>IF(General!$F$37&lt;&gt;0,General!$F$37,IF(General!$F$39="Forecast",Movements!G664,IF(G697=0,G664,Movements!G697)))</f>
        <v>0</v>
      </c>
      <c r="H631" s="221"/>
      <c r="I631" s="206">
        <f t="shared" si="162"/>
        <v>0</v>
      </c>
      <c r="J631" s="206">
        <f t="shared" si="163"/>
        <v>0</v>
      </c>
      <c r="K631" s="206">
        <f t="shared" si="164"/>
        <v>0</v>
      </c>
      <c r="L631" s="178"/>
      <c r="M631" s="198">
        <f>IF(General!$F$39="Forecast",Movements!M664,IF(M697=0,M664,Movements!M697))</f>
        <v>0</v>
      </c>
      <c r="N631" s="252">
        <f>IF(General!$F$39="Forecast",Movements!N664,Movements!N697)</f>
        <v>0</v>
      </c>
      <c r="O631" s="198">
        <f>IF(General!$F$39="Forecast",Movements!O664,IF(O697=0,O664,Movements!O697))</f>
        <v>0</v>
      </c>
      <c r="P631" s="198">
        <f>IF(General!$F$39="Forecast",Movements!P664,IF(P697=0,P664,Movements!P697))</f>
        <v>0</v>
      </c>
      <c r="Q631" s="198">
        <f>IF(General!$F$39="Forecast",Movements!Q664,IF(Q697=0,Q664,Movements!Q697))</f>
        <v>0</v>
      </c>
      <c r="R631" s="207"/>
      <c r="S631" s="219">
        <f>IF(General!$F$40&lt;&gt;0,General!$F$40,IF(General!$F$39="Forecast",Movements!S664,IF(S697=0,S664,Movements!S697)))</f>
        <v>0</v>
      </c>
      <c r="T631" s="219">
        <f>IF(General!$F$42&lt;&gt;0,General!$F$42,IF(General!$F$39="Forecast",Movements!T664,IF(T697=0,T664,Movements!T697)))</f>
        <v>0</v>
      </c>
      <c r="U631" s="219">
        <f>IF(General!$F$41&lt;&gt;0,General!$F$41,IF(General!$F$39="Forecast",Movements!U664,IF(U697=0,U664,Movements!U697)))</f>
        <v>0</v>
      </c>
      <c r="V631" s="138"/>
      <c r="W631" s="138"/>
      <c r="X631" s="138"/>
      <c r="Y631" s="138"/>
      <c r="Z631" s="138"/>
      <c r="AA631" s="138"/>
      <c r="AB631" s="138"/>
      <c r="AC631" s="70"/>
      <c r="AD631" s="19"/>
      <c r="AE631" s="19"/>
      <c r="AF631" s="19"/>
      <c r="AG631" s="19"/>
    </row>
    <row r="632" spans="1:33" outlineLevel="3" x14ac:dyDescent="0.2">
      <c r="A632" s="19"/>
      <c r="B632" s="98"/>
      <c r="C632" s="506">
        <f t="shared" si="161"/>
        <v>0</v>
      </c>
      <c r="D632" s="505">
        <f t="shared" si="161"/>
        <v>0</v>
      </c>
      <c r="E632" s="505">
        <f t="shared" si="161"/>
        <v>0</v>
      </c>
      <c r="F632" s="246">
        <f>IF(General!$F$39="Forecast",Movements!F665,Movements!F698)</f>
        <v>0</v>
      </c>
      <c r="G632" s="198">
        <f>IF(General!$F$37&lt;&gt;0,General!$F$37,IF(General!$F$39="Forecast",Movements!G665,IF(G698=0,G665,Movements!G698)))</f>
        <v>0</v>
      </c>
      <c r="H632" s="221"/>
      <c r="I632" s="206">
        <f t="shared" si="162"/>
        <v>0</v>
      </c>
      <c r="J632" s="206">
        <f t="shared" si="163"/>
        <v>0</v>
      </c>
      <c r="K632" s="206">
        <f t="shared" si="164"/>
        <v>0</v>
      </c>
      <c r="L632" s="178"/>
      <c r="M632" s="198">
        <f>IF(General!$F$39="Forecast",Movements!M665,IF(M698=0,M665,Movements!M698))</f>
        <v>0</v>
      </c>
      <c r="N632" s="252">
        <f>IF(General!$F$39="Forecast",Movements!N665,Movements!N698)</f>
        <v>0</v>
      </c>
      <c r="O632" s="198">
        <f>IF(General!$F$39="Forecast",Movements!O665,IF(O698=0,O665,Movements!O698))</f>
        <v>0</v>
      </c>
      <c r="P632" s="198">
        <f>IF(General!$F$39="Forecast",Movements!P665,IF(P698=0,P665,Movements!P698))</f>
        <v>0</v>
      </c>
      <c r="Q632" s="198">
        <f>IF(General!$F$39="Forecast",Movements!Q665,IF(Q698=0,Q665,Movements!Q698))</f>
        <v>0</v>
      </c>
      <c r="R632" s="207"/>
      <c r="S632" s="219">
        <f>IF(General!$F$40&lt;&gt;0,General!$F$40,IF(General!$F$39="Forecast",Movements!S665,IF(S698=0,S665,Movements!S698)))</f>
        <v>0</v>
      </c>
      <c r="T632" s="219">
        <f>IF(General!$F$42&lt;&gt;0,General!$F$42,IF(General!$F$39="Forecast",Movements!T665,IF(T698=0,T665,Movements!T698)))</f>
        <v>0</v>
      </c>
      <c r="U632" s="219">
        <f>IF(General!$F$41&lt;&gt;0,General!$F$41,IF(General!$F$39="Forecast",Movements!U665,IF(U698=0,U665,Movements!U698)))</f>
        <v>0</v>
      </c>
      <c r="V632" s="138"/>
      <c r="W632" s="138"/>
      <c r="X632" s="138"/>
      <c r="Y632" s="138"/>
      <c r="Z632" s="138"/>
      <c r="AA632" s="138"/>
      <c r="AB632" s="138"/>
      <c r="AC632" s="70"/>
      <c r="AD632" s="19"/>
      <c r="AE632" s="19"/>
      <c r="AF632" s="19"/>
      <c r="AG632" s="19"/>
    </row>
    <row r="633" spans="1:33" outlineLevel="3" x14ac:dyDescent="0.2">
      <c r="A633" s="19"/>
      <c r="B633" s="97"/>
      <c r="C633" s="506">
        <f t="shared" si="161"/>
        <v>0</v>
      </c>
      <c r="D633" s="505">
        <f t="shared" si="161"/>
        <v>0</v>
      </c>
      <c r="E633" s="505">
        <f t="shared" si="161"/>
        <v>0</v>
      </c>
      <c r="F633" s="246">
        <f>IF(General!$F$39="Forecast",Movements!F666,Movements!F699)</f>
        <v>0</v>
      </c>
      <c r="G633" s="198">
        <f>IF(General!$F$37&lt;&gt;0,General!$F$37,IF(General!$F$39="Forecast",Movements!G666,IF(G699=0,G666,Movements!G699)))</f>
        <v>0</v>
      </c>
      <c r="H633" s="221"/>
      <c r="I633" s="206">
        <f t="shared" si="162"/>
        <v>0</v>
      </c>
      <c r="J633" s="206">
        <f t="shared" si="163"/>
        <v>0</v>
      </c>
      <c r="K633" s="206">
        <f t="shared" si="164"/>
        <v>0</v>
      </c>
      <c r="L633" s="178"/>
      <c r="M633" s="198">
        <f>IF(General!$F$39="Forecast",Movements!M666,IF(M699=0,M666,Movements!M699))</f>
        <v>0</v>
      </c>
      <c r="N633" s="252">
        <f>IF(General!$F$39="Forecast",Movements!N666,Movements!N699)</f>
        <v>0</v>
      </c>
      <c r="O633" s="198">
        <f>IF(General!$F$39="Forecast",Movements!O666,IF(O699=0,O666,Movements!O699))</f>
        <v>0</v>
      </c>
      <c r="P633" s="198">
        <f>IF(General!$F$39="Forecast",Movements!P666,IF(P699=0,P666,Movements!P699))</f>
        <v>0</v>
      </c>
      <c r="Q633" s="198">
        <f>IF(General!$F$39="Forecast",Movements!Q666,IF(Q699=0,Q666,Movements!Q699))</f>
        <v>0</v>
      </c>
      <c r="R633" s="207"/>
      <c r="S633" s="219">
        <f>IF(General!$F$40&lt;&gt;0,General!$F$40,IF(General!$F$39="Forecast",Movements!S666,IF(S699=0,S666,Movements!S699)))</f>
        <v>0</v>
      </c>
      <c r="T633" s="219">
        <f>IF(General!$F$42&lt;&gt;0,General!$F$42,IF(General!$F$39="Forecast",Movements!T666,IF(T699=0,T666,Movements!T699)))</f>
        <v>0</v>
      </c>
      <c r="U633" s="219">
        <f>IF(General!$F$41&lt;&gt;0,General!$F$41,IF(General!$F$39="Forecast",Movements!U666,IF(U699=0,U666,Movements!U699)))</f>
        <v>0</v>
      </c>
      <c r="V633" s="138"/>
      <c r="W633" s="138"/>
      <c r="X633" s="138"/>
      <c r="Y633" s="138"/>
      <c r="Z633" s="138"/>
      <c r="AA633" s="138"/>
      <c r="AB633" s="138"/>
      <c r="AC633" s="70"/>
      <c r="AD633" s="19"/>
      <c r="AE633" s="19"/>
      <c r="AF633" s="19"/>
      <c r="AG633" s="19"/>
    </row>
    <row r="634" spans="1:33" outlineLevel="3" x14ac:dyDescent="0.2">
      <c r="A634" s="19"/>
      <c r="B634" s="97"/>
      <c r="C634" s="506">
        <f t="shared" si="161"/>
        <v>0</v>
      </c>
      <c r="D634" s="505">
        <f t="shared" si="161"/>
        <v>0</v>
      </c>
      <c r="E634" s="505">
        <f t="shared" si="161"/>
        <v>0</v>
      </c>
      <c r="F634" s="246">
        <f>IF(General!$F$39="Forecast",Movements!F667,Movements!F700)</f>
        <v>0</v>
      </c>
      <c r="G634" s="198">
        <f>IF(General!$F$37&lt;&gt;0,General!$F$37,IF(General!$F$39="Forecast",Movements!G667,IF(G700=0,G667,Movements!G700)))</f>
        <v>0</v>
      </c>
      <c r="H634" s="221"/>
      <c r="I634" s="206">
        <f t="shared" si="162"/>
        <v>0</v>
      </c>
      <c r="J634" s="206">
        <f t="shared" si="163"/>
        <v>0</v>
      </c>
      <c r="K634" s="206">
        <f t="shared" si="164"/>
        <v>0</v>
      </c>
      <c r="L634" s="178"/>
      <c r="M634" s="198">
        <f>IF(General!$F$39="Forecast",Movements!M667,IF(M700=0,M667,Movements!M700))</f>
        <v>0</v>
      </c>
      <c r="N634" s="252">
        <f>IF(General!$F$39="Forecast",Movements!N667,Movements!N700)</f>
        <v>0</v>
      </c>
      <c r="O634" s="198">
        <f>IF(General!$F$39="Forecast",Movements!O667,IF(O700=0,O667,Movements!O700))</f>
        <v>0</v>
      </c>
      <c r="P634" s="198">
        <f>IF(General!$F$39="Forecast",Movements!P667,IF(P700=0,P667,Movements!P700))</f>
        <v>0</v>
      </c>
      <c r="Q634" s="198">
        <f>IF(General!$F$39="Forecast",Movements!Q667,IF(Q700=0,Q667,Movements!Q700))</f>
        <v>0</v>
      </c>
      <c r="R634" s="207"/>
      <c r="S634" s="219">
        <f>IF(General!$F$40&lt;&gt;0,General!$F$40,IF(General!$F$39="Forecast",Movements!S667,IF(S700=0,S667,Movements!S700)))</f>
        <v>0</v>
      </c>
      <c r="T634" s="219">
        <f>IF(General!$F$42&lt;&gt;0,General!$F$42,IF(General!$F$39="Forecast",Movements!T667,IF(T700=0,T667,Movements!T700)))</f>
        <v>0</v>
      </c>
      <c r="U634" s="219">
        <f>IF(General!$F$41&lt;&gt;0,General!$F$41,IF(General!$F$39="Forecast",Movements!U667,IF(U700=0,U667,Movements!U700)))</f>
        <v>0</v>
      </c>
      <c r="V634" s="138"/>
      <c r="W634" s="138"/>
      <c r="X634" s="138"/>
      <c r="Y634" s="138"/>
      <c r="Z634" s="138"/>
      <c r="AA634" s="138"/>
      <c r="AB634" s="138"/>
      <c r="AC634" s="70"/>
      <c r="AD634" s="19"/>
      <c r="AE634" s="19"/>
      <c r="AF634" s="19"/>
      <c r="AG634" s="19"/>
    </row>
    <row r="635" spans="1:33" outlineLevel="3" x14ac:dyDescent="0.2">
      <c r="A635" s="19"/>
      <c r="B635" s="97"/>
      <c r="C635" s="506">
        <f t="shared" si="161"/>
        <v>0</v>
      </c>
      <c r="D635" s="505">
        <f t="shared" si="161"/>
        <v>0</v>
      </c>
      <c r="E635" s="505">
        <f t="shared" si="161"/>
        <v>0</v>
      </c>
      <c r="F635" s="246">
        <f>IF(General!$F$39="Forecast",Movements!F668,Movements!F701)</f>
        <v>0</v>
      </c>
      <c r="G635" s="198">
        <f>IF(General!$F$37&lt;&gt;0,General!$F$37,IF(General!$F$39="Forecast",Movements!G668,IF(G701=0,G668,Movements!G701)))</f>
        <v>0</v>
      </c>
      <c r="H635" s="221"/>
      <c r="I635" s="206">
        <f t="shared" si="162"/>
        <v>0</v>
      </c>
      <c r="J635" s="206">
        <f t="shared" si="163"/>
        <v>0</v>
      </c>
      <c r="K635" s="206">
        <f t="shared" si="164"/>
        <v>0</v>
      </c>
      <c r="L635" s="178"/>
      <c r="M635" s="198">
        <f>IF(General!$F$39="Forecast",Movements!M668,IF(M701=0,M668,Movements!M701))</f>
        <v>0</v>
      </c>
      <c r="N635" s="252">
        <f>IF(General!$F$39="Forecast",Movements!N668,Movements!N701)</f>
        <v>0</v>
      </c>
      <c r="O635" s="198">
        <f>IF(General!$F$39="Forecast",Movements!O668,IF(O701=0,O668,Movements!O701))</f>
        <v>0</v>
      </c>
      <c r="P635" s="198">
        <f>IF(General!$F$39="Forecast",Movements!P668,IF(P701=0,P668,Movements!P701))</f>
        <v>0</v>
      </c>
      <c r="Q635" s="198">
        <f>IF(General!$F$39="Forecast",Movements!Q668,IF(Q701=0,Q668,Movements!Q701))</f>
        <v>0</v>
      </c>
      <c r="R635" s="207"/>
      <c r="S635" s="219">
        <f>IF(General!$F$40&lt;&gt;0,General!$F$40,IF(General!$F$39="Forecast",Movements!S668,IF(S701=0,S668,Movements!S701)))</f>
        <v>0</v>
      </c>
      <c r="T635" s="219">
        <f>IF(General!$F$42&lt;&gt;0,General!$F$42,IF(General!$F$39="Forecast",Movements!T668,IF(T701=0,T668,Movements!T701)))</f>
        <v>0</v>
      </c>
      <c r="U635" s="219">
        <f>IF(General!$F$41&lt;&gt;0,General!$F$41,IF(General!$F$39="Forecast",Movements!U668,IF(U701=0,U668,Movements!U701)))</f>
        <v>0</v>
      </c>
      <c r="V635" s="138"/>
      <c r="W635" s="138"/>
      <c r="X635" s="138"/>
      <c r="Y635" s="138"/>
      <c r="Z635" s="138"/>
      <c r="AA635" s="138"/>
      <c r="AB635" s="138"/>
      <c r="AC635" s="70"/>
      <c r="AD635" s="19"/>
      <c r="AE635" s="19"/>
      <c r="AF635" s="19"/>
      <c r="AG635" s="19"/>
    </row>
    <row r="636" spans="1:33" outlineLevel="3" x14ac:dyDescent="0.2">
      <c r="A636" s="19"/>
      <c r="B636" s="97"/>
      <c r="C636" s="506">
        <f t="shared" si="161"/>
        <v>0</v>
      </c>
      <c r="D636" s="505">
        <f t="shared" si="161"/>
        <v>0</v>
      </c>
      <c r="E636" s="505">
        <f t="shared" si="161"/>
        <v>0</v>
      </c>
      <c r="F636" s="246">
        <f>IF(General!$F$39="Forecast",Movements!F669,Movements!F702)</f>
        <v>0</v>
      </c>
      <c r="G636" s="198">
        <f>IF(General!$F$37&lt;&gt;0,General!$F$37,IF(General!$F$39="Forecast",Movements!G669,IF(G702=0,G669,Movements!G702)))</f>
        <v>0</v>
      </c>
      <c r="H636" s="221"/>
      <c r="I636" s="206">
        <f t="shared" si="162"/>
        <v>0</v>
      </c>
      <c r="J636" s="206">
        <f t="shared" si="163"/>
        <v>0</v>
      </c>
      <c r="K636" s="206">
        <f t="shared" si="164"/>
        <v>0</v>
      </c>
      <c r="L636" s="178"/>
      <c r="M636" s="198">
        <f>IF(General!$F$39="Forecast",Movements!M669,IF(M702=0,M669,Movements!M702))</f>
        <v>0</v>
      </c>
      <c r="N636" s="252">
        <f>IF(General!$F$39="Forecast",Movements!N669,Movements!N702)</f>
        <v>0</v>
      </c>
      <c r="O636" s="198">
        <f>IF(General!$F$39="Forecast",Movements!O669,IF(O702=0,O669,Movements!O702))</f>
        <v>0</v>
      </c>
      <c r="P636" s="198">
        <f>IF(General!$F$39="Forecast",Movements!P669,IF(P702=0,P669,Movements!P702))</f>
        <v>0</v>
      </c>
      <c r="Q636" s="198">
        <f>IF(General!$F$39="Forecast",Movements!Q669,IF(Q702=0,Q669,Movements!Q702))</f>
        <v>0</v>
      </c>
      <c r="R636" s="207"/>
      <c r="S636" s="219">
        <f>IF(General!$F$40&lt;&gt;0,General!$F$40,IF(General!$F$39="Forecast",Movements!S669,IF(S702=0,S669,Movements!S702)))</f>
        <v>0</v>
      </c>
      <c r="T636" s="219">
        <f>IF(General!$F$42&lt;&gt;0,General!$F$42,IF(General!$F$39="Forecast",Movements!T669,IF(T702=0,T669,Movements!T702)))</f>
        <v>0</v>
      </c>
      <c r="U636" s="219">
        <f>IF(General!$F$41&lt;&gt;0,General!$F$41,IF(General!$F$39="Forecast",Movements!U669,IF(U702=0,U669,Movements!U702)))</f>
        <v>0</v>
      </c>
      <c r="V636" s="138"/>
      <c r="W636" s="138"/>
      <c r="X636" s="138"/>
      <c r="Y636" s="138"/>
      <c r="Z636" s="138"/>
      <c r="AA636" s="138"/>
      <c r="AB636" s="138"/>
      <c r="AC636" s="70"/>
      <c r="AD636" s="19"/>
      <c r="AE636" s="19"/>
      <c r="AF636" s="19"/>
      <c r="AG636" s="19"/>
    </row>
    <row r="637" spans="1:33" outlineLevel="3" x14ac:dyDescent="0.2">
      <c r="A637" s="19"/>
      <c r="B637" s="97"/>
      <c r="C637" s="506">
        <f t="shared" si="161"/>
        <v>0</v>
      </c>
      <c r="D637" s="505">
        <f t="shared" si="161"/>
        <v>0</v>
      </c>
      <c r="E637" s="505">
        <f t="shared" si="161"/>
        <v>0</v>
      </c>
      <c r="F637" s="246">
        <f>IF(General!$F$39="Forecast",Movements!F670,Movements!F703)</f>
        <v>0</v>
      </c>
      <c r="G637" s="198">
        <f>IF(General!$F$37&lt;&gt;0,General!$F$37,IF(General!$F$39="Forecast",Movements!G670,IF(G703=0,G670,Movements!G703)))</f>
        <v>0</v>
      </c>
      <c r="H637" s="221"/>
      <c r="I637" s="206">
        <f t="shared" si="162"/>
        <v>0</v>
      </c>
      <c r="J637" s="206">
        <f t="shared" si="163"/>
        <v>0</v>
      </c>
      <c r="K637" s="206">
        <f t="shared" si="164"/>
        <v>0</v>
      </c>
      <c r="L637" s="178"/>
      <c r="M637" s="198">
        <f>IF(General!$F$39="Forecast",Movements!M670,IF(M703=0,M670,Movements!M703))</f>
        <v>0</v>
      </c>
      <c r="N637" s="252">
        <f>IF(General!$F$39="Forecast",Movements!N670,Movements!N703)</f>
        <v>0</v>
      </c>
      <c r="O637" s="198">
        <f>IF(General!$F$39="Forecast",Movements!O670,IF(O703=0,O670,Movements!O703))</f>
        <v>0</v>
      </c>
      <c r="P637" s="198">
        <f>IF(General!$F$39="Forecast",Movements!P670,IF(P703=0,P670,Movements!P703))</f>
        <v>0</v>
      </c>
      <c r="Q637" s="198">
        <f>IF(General!$F$39="Forecast",Movements!Q670,IF(Q703=0,Q670,Movements!Q703))</f>
        <v>0</v>
      </c>
      <c r="R637" s="207"/>
      <c r="S637" s="219">
        <f>IF(General!$F$40&lt;&gt;0,General!$F$40,IF(General!$F$39="Forecast",Movements!S670,IF(S703=0,S670,Movements!S703)))</f>
        <v>0</v>
      </c>
      <c r="T637" s="219">
        <f>IF(General!$F$42&lt;&gt;0,General!$F$42,IF(General!$F$39="Forecast",Movements!T670,IF(T703=0,T670,Movements!T703)))</f>
        <v>0</v>
      </c>
      <c r="U637" s="219">
        <f>IF(General!$F$41&lt;&gt;0,General!$F$41,IF(General!$F$39="Forecast",Movements!U670,IF(U703=0,U670,Movements!U703)))</f>
        <v>0</v>
      </c>
      <c r="V637" s="138"/>
      <c r="W637" s="138"/>
      <c r="X637" s="138"/>
      <c r="Y637" s="138"/>
      <c r="Z637" s="138"/>
      <c r="AA637" s="138"/>
      <c r="AB637" s="138"/>
      <c r="AC637" s="70"/>
      <c r="AD637" s="19"/>
      <c r="AE637" s="19"/>
      <c r="AF637" s="19"/>
      <c r="AG637" s="19"/>
    </row>
    <row r="638" spans="1:33" outlineLevel="3" x14ac:dyDescent="0.2">
      <c r="A638" s="19"/>
      <c r="B638" s="97"/>
      <c r="C638" s="506">
        <f t="shared" si="161"/>
        <v>0</v>
      </c>
      <c r="D638" s="505">
        <f t="shared" si="161"/>
        <v>0</v>
      </c>
      <c r="E638" s="505">
        <f t="shared" si="161"/>
        <v>0</v>
      </c>
      <c r="F638" s="246">
        <f>IF(General!$F$39="Forecast",Movements!F671,Movements!F704)</f>
        <v>0</v>
      </c>
      <c r="G638" s="198">
        <f>IF(General!$F$37&lt;&gt;0,General!$F$37,IF(General!$F$39="Forecast",Movements!G671,IF(G704=0,G671,Movements!G704)))</f>
        <v>0</v>
      </c>
      <c r="H638" s="221"/>
      <c r="I638" s="206">
        <f t="shared" si="162"/>
        <v>0</v>
      </c>
      <c r="J638" s="206">
        <f t="shared" si="163"/>
        <v>0</v>
      </c>
      <c r="K638" s="206">
        <f t="shared" si="164"/>
        <v>0</v>
      </c>
      <c r="L638" s="178"/>
      <c r="M638" s="198">
        <f>IF(General!$F$39="Forecast",Movements!M671,IF(M704=0,M671,Movements!M704))</f>
        <v>0</v>
      </c>
      <c r="N638" s="252">
        <f>IF(General!$F$39="Forecast",Movements!N671,Movements!N704)</f>
        <v>0</v>
      </c>
      <c r="O638" s="198">
        <f>IF(General!$F$39="Forecast",Movements!O671,IF(O704=0,O671,Movements!O704))</f>
        <v>0</v>
      </c>
      <c r="P638" s="198">
        <f>IF(General!$F$39="Forecast",Movements!P671,IF(P704=0,P671,Movements!P704))</f>
        <v>0</v>
      </c>
      <c r="Q638" s="198">
        <f>IF(General!$F$39="Forecast",Movements!Q671,IF(Q704=0,Q671,Movements!Q704))</f>
        <v>0</v>
      </c>
      <c r="R638" s="207"/>
      <c r="S638" s="219">
        <f>IF(General!$F$40&lt;&gt;0,General!$F$40,IF(General!$F$39="Forecast",Movements!S671,IF(S704=0,S671,Movements!S704)))</f>
        <v>0</v>
      </c>
      <c r="T638" s="219">
        <f>IF(General!$F$42&lt;&gt;0,General!$F$42,IF(General!$F$39="Forecast",Movements!T671,IF(T704=0,T671,Movements!T704)))</f>
        <v>0</v>
      </c>
      <c r="U638" s="219">
        <f>IF(General!$F$41&lt;&gt;0,General!$F$41,IF(General!$F$39="Forecast",Movements!U671,IF(U704=0,U671,Movements!U704)))</f>
        <v>0</v>
      </c>
      <c r="V638" s="138"/>
      <c r="W638" s="138"/>
      <c r="X638" s="138"/>
      <c r="Y638" s="138"/>
      <c r="Z638" s="138"/>
      <c r="AA638" s="138"/>
      <c r="AB638" s="138"/>
      <c r="AC638" s="70"/>
      <c r="AD638" s="19"/>
      <c r="AE638" s="19"/>
      <c r="AF638" s="19"/>
      <c r="AG638" s="19"/>
    </row>
    <row r="639" spans="1:33" outlineLevel="3" x14ac:dyDescent="0.2">
      <c r="A639" s="19"/>
      <c r="B639" s="98"/>
      <c r="C639" s="506">
        <f t="shared" si="161"/>
        <v>0</v>
      </c>
      <c r="D639" s="505">
        <f t="shared" si="161"/>
        <v>0</v>
      </c>
      <c r="E639" s="505">
        <f t="shared" si="161"/>
        <v>0</v>
      </c>
      <c r="F639" s="246">
        <f>IF(General!$F$39="Forecast",Movements!F672,Movements!F705)</f>
        <v>0</v>
      </c>
      <c r="G639" s="198">
        <f>IF(General!$F$37&lt;&gt;0,General!$F$37,IF(General!$F$39="Forecast",Movements!G672,IF(G705=0,G672,Movements!G705)))</f>
        <v>0</v>
      </c>
      <c r="H639" s="221"/>
      <c r="I639" s="206">
        <f t="shared" si="162"/>
        <v>0</v>
      </c>
      <c r="J639" s="206">
        <f t="shared" si="163"/>
        <v>0</v>
      </c>
      <c r="K639" s="206">
        <f t="shared" si="164"/>
        <v>0</v>
      </c>
      <c r="L639" s="178"/>
      <c r="M639" s="198">
        <f>IF(General!$F$39="Forecast",Movements!M672,IF(M705=0,M672,Movements!M705))</f>
        <v>0</v>
      </c>
      <c r="N639" s="252">
        <f>IF(General!$F$39="Forecast",Movements!N672,Movements!N705)</f>
        <v>0</v>
      </c>
      <c r="O639" s="198">
        <f>IF(General!$F$39="Forecast",Movements!O672,IF(O705=0,O672,Movements!O705))</f>
        <v>0</v>
      </c>
      <c r="P639" s="198">
        <f>IF(General!$F$39="Forecast",Movements!P672,IF(P705=0,P672,Movements!P705))</f>
        <v>0</v>
      </c>
      <c r="Q639" s="198">
        <f>IF(General!$F$39="Forecast",Movements!Q672,IF(Q705=0,Q672,Movements!Q705))</f>
        <v>0</v>
      </c>
      <c r="R639" s="207"/>
      <c r="S639" s="219">
        <f>IF(General!$F$40&lt;&gt;0,General!$F$40,IF(General!$F$39="Forecast",Movements!S672,IF(S705=0,S672,Movements!S705)))</f>
        <v>0</v>
      </c>
      <c r="T639" s="219">
        <f>IF(General!$F$42&lt;&gt;0,General!$F$42,IF(General!$F$39="Forecast",Movements!T672,IF(T705=0,T672,Movements!T705)))</f>
        <v>0</v>
      </c>
      <c r="U639" s="219">
        <f>IF(General!$F$41&lt;&gt;0,General!$F$41,IF(General!$F$39="Forecast",Movements!U672,IF(U705=0,U672,Movements!U705)))</f>
        <v>0</v>
      </c>
      <c r="V639" s="138"/>
      <c r="W639" s="138"/>
      <c r="X639" s="138"/>
      <c r="Y639" s="138"/>
      <c r="Z639" s="138"/>
      <c r="AA639" s="138"/>
      <c r="AB639" s="138"/>
      <c r="AC639" s="70"/>
      <c r="AD639" s="19"/>
      <c r="AE639" s="19"/>
      <c r="AF639" s="19"/>
      <c r="AG639" s="19"/>
    </row>
    <row r="640" spans="1:33" outlineLevel="3" x14ac:dyDescent="0.2">
      <c r="A640" s="19"/>
      <c r="B640" s="97"/>
      <c r="C640" s="506">
        <f t="shared" si="161"/>
        <v>0</v>
      </c>
      <c r="D640" s="505">
        <f t="shared" si="161"/>
        <v>0</v>
      </c>
      <c r="E640" s="505">
        <f t="shared" si="161"/>
        <v>0</v>
      </c>
      <c r="F640" s="246">
        <f>IF(General!$F$39="Forecast",Movements!F673,Movements!F706)</f>
        <v>0</v>
      </c>
      <c r="G640" s="198">
        <f>IF(General!$F$37&lt;&gt;0,General!$F$37,IF(General!$F$39="Forecast",Movements!G673,IF(G706=0,G673,Movements!G706)))</f>
        <v>0</v>
      </c>
      <c r="H640" s="221"/>
      <c r="I640" s="206">
        <f t="shared" si="162"/>
        <v>0</v>
      </c>
      <c r="J640" s="206">
        <f t="shared" si="163"/>
        <v>0</v>
      </c>
      <c r="K640" s="206">
        <f t="shared" si="164"/>
        <v>0</v>
      </c>
      <c r="L640" s="178"/>
      <c r="M640" s="198">
        <f>IF(General!$F$39="Forecast",Movements!M673,IF(M706=0,M673,Movements!M706))</f>
        <v>0</v>
      </c>
      <c r="N640" s="252">
        <f>IF(General!$F$39="Forecast",Movements!N673,Movements!N706)</f>
        <v>0</v>
      </c>
      <c r="O640" s="198">
        <f>IF(General!$F$39="Forecast",Movements!O673,IF(O706=0,O673,Movements!O706))</f>
        <v>0</v>
      </c>
      <c r="P640" s="198">
        <f>IF(General!$F$39="Forecast",Movements!P673,IF(P706=0,P673,Movements!P706))</f>
        <v>0</v>
      </c>
      <c r="Q640" s="198">
        <f>IF(General!$F$39="Forecast",Movements!Q673,IF(Q706=0,Q673,Movements!Q706))</f>
        <v>0</v>
      </c>
      <c r="R640" s="207"/>
      <c r="S640" s="219">
        <f>IF(General!$F$40&lt;&gt;0,General!$F$40,IF(General!$F$39="Forecast",Movements!S673,IF(S706=0,S673,Movements!S706)))</f>
        <v>0</v>
      </c>
      <c r="T640" s="219">
        <f>IF(General!$F$42&lt;&gt;0,General!$F$42,IF(General!$F$39="Forecast",Movements!T673,IF(T706=0,T673,Movements!T706)))</f>
        <v>0</v>
      </c>
      <c r="U640" s="219">
        <f>IF(General!$F$41&lt;&gt;0,General!$F$41,IF(General!$F$39="Forecast",Movements!U673,IF(U706=0,U673,Movements!U706)))</f>
        <v>0</v>
      </c>
      <c r="V640" s="138"/>
      <c r="W640" s="138"/>
      <c r="X640" s="138"/>
      <c r="Y640" s="138"/>
      <c r="Z640" s="138"/>
      <c r="AA640" s="138"/>
      <c r="AB640" s="138"/>
      <c r="AC640" s="70"/>
      <c r="AD640" s="19"/>
      <c r="AE640" s="19"/>
      <c r="AF640" s="19"/>
      <c r="AG640" s="19"/>
    </row>
    <row r="641" spans="1:33" outlineLevel="3" x14ac:dyDescent="0.2">
      <c r="A641" s="19"/>
      <c r="B641" s="97"/>
      <c r="C641" s="506">
        <f t="shared" si="161"/>
        <v>0</v>
      </c>
      <c r="D641" s="505">
        <f t="shared" si="161"/>
        <v>0</v>
      </c>
      <c r="E641" s="505">
        <f t="shared" si="161"/>
        <v>0</v>
      </c>
      <c r="F641" s="246">
        <f>IF(General!$F$39="Forecast",Movements!F674,Movements!F707)</f>
        <v>0</v>
      </c>
      <c r="G641" s="198">
        <f>IF(General!$F$37&lt;&gt;0,General!$F$37,IF(General!$F$39="Forecast",Movements!G674,IF(G707=0,G674,Movements!G707)))</f>
        <v>0</v>
      </c>
      <c r="H641" s="221"/>
      <c r="I641" s="206">
        <f t="shared" si="162"/>
        <v>0</v>
      </c>
      <c r="J641" s="206">
        <f t="shared" si="163"/>
        <v>0</v>
      </c>
      <c r="K641" s="206">
        <f t="shared" si="164"/>
        <v>0</v>
      </c>
      <c r="L641" s="178"/>
      <c r="M641" s="198">
        <f>IF(General!$F$39="Forecast",Movements!M674,IF(M707=0,M674,Movements!M707))</f>
        <v>0</v>
      </c>
      <c r="N641" s="252">
        <f>IF(General!$F$39="Forecast",Movements!N674,Movements!N707)</f>
        <v>0</v>
      </c>
      <c r="O641" s="198">
        <f>IF(General!$F$39="Forecast",Movements!O674,IF(O707=0,O674,Movements!O707))</f>
        <v>0</v>
      </c>
      <c r="P641" s="198">
        <f>IF(General!$F$39="Forecast",Movements!P674,IF(P707=0,P674,Movements!P707))</f>
        <v>0</v>
      </c>
      <c r="Q641" s="198">
        <f>IF(General!$F$39="Forecast",Movements!Q674,IF(Q707=0,Q674,Movements!Q707))</f>
        <v>0</v>
      </c>
      <c r="R641" s="207"/>
      <c r="S641" s="219">
        <f>IF(General!$F$40&lt;&gt;0,General!$F$40,IF(General!$F$39="Forecast",Movements!S674,IF(S707=0,S674,Movements!S707)))</f>
        <v>0</v>
      </c>
      <c r="T641" s="219">
        <f>IF(General!$F$42&lt;&gt;0,General!$F$42,IF(General!$F$39="Forecast",Movements!T674,IF(T707=0,T674,Movements!T707)))</f>
        <v>0</v>
      </c>
      <c r="U641" s="219">
        <f>IF(General!$F$41&lt;&gt;0,General!$F$41,IF(General!$F$39="Forecast",Movements!U674,IF(U707=0,U674,Movements!U707)))</f>
        <v>0</v>
      </c>
      <c r="V641" s="138"/>
      <c r="W641" s="138"/>
      <c r="X641" s="138"/>
      <c r="Y641" s="138"/>
      <c r="Z641" s="138"/>
      <c r="AA641" s="138"/>
      <c r="AB641" s="138"/>
      <c r="AC641" s="70"/>
      <c r="AD641" s="19"/>
      <c r="AE641" s="19"/>
      <c r="AF641" s="19"/>
      <c r="AG641" s="19"/>
    </row>
    <row r="642" spans="1:33" outlineLevel="3" x14ac:dyDescent="0.2">
      <c r="A642" s="19"/>
      <c r="B642" s="97"/>
      <c r="C642" s="506">
        <f t="shared" si="161"/>
        <v>0</v>
      </c>
      <c r="D642" s="505">
        <f t="shared" si="161"/>
        <v>0</v>
      </c>
      <c r="E642" s="505">
        <f t="shared" si="161"/>
        <v>0</v>
      </c>
      <c r="F642" s="246">
        <f>IF(General!$F$39="Forecast",Movements!F675,Movements!F708)</f>
        <v>0</v>
      </c>
      <c r="G642" s="198">
        <f>IF(General!$F$37&lt;&gt;0,General!$F$37,IF(General!$F$39="Forecast",Movements!G675,IF(G708=0,G675,Movements!G708)))</f>
        <v>0</v>
      </c>
      <c r="H642" s="221"/>
      <c r="I642" s="206">
        <f t="shared" si="162"/>
        <v>0</v>
      </c>
      <c r="J642" s="206">
        <f t="shared" si="163"/>
        <v>0</v>
      </c>
      <c r="K642" s="206">
        <f t="shared" si="164"/>
        <v>0</v>
      </c>
      <c r="L642" s="178"/>
      <c r="M642" s="198">
        <f>IF(General!$F$39="Forecast",Movements!M675,IF(M708=0,M675,Movements!M708))</f>
        <v>0</v>
      </c>
      <c r="N642" s="252">
        <f>IF(General!$F$39="Forecast",Movements!N675,Movements!N708)</f>
        <v>0</v>
      </c>
      <c r="O642" s="198">
        <f>IF(General!$F$39="Forecast",Movements!O675,IF(O708=0,O675,Movements!O708))</f>
        <v>0</v>
      </c>
      <c r="P642" s="198">
        <f>IF(General!$F$39="Forecast",Movements!P675,IF(P708=0,P675,Movements!P708))</f>
        <v>0</v>
      </c>
      <c r="Q642" s="198">
        <f>IF(General!$F$39="Forecast",Movements!Q675,IF(Q708=0,Q675,Movements!Q708))</f>
        <v>0</v>
      </c>
      <c r="R642" s="207"/>
      <c r="S642" s="219">
        <f>IF(General!$F$40&lt;&gt;0,General!$F$40,IF(General!$F$39="Forecast",Movements!S675,IF(S708=0,S675,Movements!S708)))</f>
        <v>0</v>
      </c>
      <c r="T642" s="219">
        <f>IF(General!$F$42&lt;&gt;0,General!$F$42,IF(General!$F$39="Forecast",Movements!T675,IF(T708=0,T675,Movements!T708)))</f>
        <v>0</v>
      </c>
      <c r="U642" s="219">
        <f>IF(General!$F$41&lt;&gt;0,General!$F$41,IF(General!$F$39="Forecast",Movements!U675,IF(U708=0,U675,Movements!U708)))</f>
        <v>0</v>
      </c>
      <c r="V642" s="138"/>
      <c r="W642" s="138"/>
      <c r="X642" s="138"/>
      <c r="Y642" s="138"/>
      <c r="Z642" s="138"/>
      <c r="AA642" s="138"/>
      <c r="AB642" s="138"/>
      <c r="AC642" s="70"/>
      <c r="AD642" s="19"/>
      <c r="AE642" s="19"/>
      <c r="AF642" s="19"/>
      <c r="AG642" s="19"/>
    </row>
    <row r="643" spans="1:33" outlineLevel="3" x14ac:dyDescent="0.2">
      <c r="A643" s="19"/>
      <c r="B643" s="97"/>
      <c r="C643" s="506">
        <f t="shared" si="161"/>
        <v>0</v>
      </c>
      <c r="D643" s="505">
        <f t="shared" si="161"/>
        <v>0</v>
      </c>
      <c r="E643" s="505">
        <f t="shared" si="161"/>
        <v>0</v>
      </c>
      <c r="F643" s="246">
        <f>IF(General!$F$39="Forecast",Movements!F676,Movements!F709)</f>
        <v>0</v>
      </c>
      <c r="G643" s="198">
        <f>IF(General!$F$37&lt;&gt;0,General!$F$37,IF(General!$F$39="Forecast",Movements!G676,IF(G709=0,G676,Movements!G709)))</f>
        <v>0</v>
      </c>
      <c r="H643" s="221"/>
      <c r="I643" s="206">
        <f t="shared" si="162"/>
        <v>0</v>
      </c>
      <c r="J643" s="206">
        <f t="shared" si="163"/>
        <v>0</v>
      </c>
      <c r="K643" s="206">
        <f t="shared" si="164"/>
        <v>0</v>
      </c>
      <c r="L643" s="178"/>
      <c r="M643" s="198">
        <f>IF(General!$F$39="Forecast",Movements!M676,IF(M709=0,M676,Movements!M709))</f>
        <v>0</v>
      </c>
      <c r="N643" s="252">
        <f>IF(General!$F$39="Forecast",Movements!N676,Movements!N709)</f>
        <v>0</v>
      </c>
      <c r="O643" s="198">
        <f>IF(General!$F$39="Forecast",Movements!O676,IF(O709=0,O676,Movements!O709))</f>
        <v>0</v>
      </c>
      <c r="P643" s="198">
        <f>IF(General!$F$39="Forecast",Movements!P676,IF(P709=0,P676,Movements!P709))</f>
        <v>0</v>
      </c>
      <c r="Q643" s="198">
        <f>IF(General!$F$39="Forecast",Movements!Q676,IF(Q709=0,Q676,Movements!Q709))</f>
        <v>0</v>
      </c>
      <c r="R643" s="207"/>
      <c r="S643" s="219">
        <f>IF(General!$F$40&lt;&gt;0,General!$F$40,IF(General!$F$39="Forecast",Movements!S676,IF(S709=0,S676,Movements!S709)))</f>
        <v>0</v>
      </c>
      <c r="T643" s="219">
        <f>IF(General!$F$42&lt;&gt;0,General!$F$42,IF(General!$F$39="Forecast",Movements!T676,IF(T709=0,T676,Movements!T709)))</f>
        <v>0</v>
      </c>
      <c r="U643" s="219">
        <f>IF(General!$F$41&lt;&gt;0,General!$F$41,IF(General!$F$39="Forecast",Movements!U676,IF(U709=0,U676,Movements!U709)))</f>
        <v>0</v>
      </c>
      <c r="V643" s="138"/>
      <c r="W643" s="138"/>
      <c r="X643" s="138"/>
      <c r="Y643" s="138"/>
      <c r="Z643" s="138"/>
      <c r="AA643" s="138"/>
      <c r="AB643" s="138"/>
      <c r="AC643" s="70"/>
      <c r="AD643" s="19"/>
      <c r="AE643" s="19"/>
      <c r="AF643" s="19"/>
      <c r="AG643" s="19"/>
    </row>
    <row r="644" spans="1:33" outlineLevel="3" x14ac:dyDescent="0.2">
      <c r="A644" s="19"/>
      <c r="B644" s="97"/>
      <c r="C644" s="506">
        <f t="shared" si="161"/>
        <v>0</v>
      </c>
      <c r="D644" s="505">
        <f t="shared" si="161"/>
        <v>0</v>
      </c>
      <c r="E644" s="505">
        <f t="shared" si="161"/>
        <v>0</v>
      </c>
      <c r="F644" s="246">
        <f>IF(General!$F$39="Forecast",Movements!F677,Movements!F710)</f>
        <v>0</v>
      </c>
      <c r="G644" s="198">
        <f>IF(General!$F$37&lt;&gt;0,General!$F$37,IF(General!$F$39="Forecast",Movements!G677,IF(G710=0,G677,Movements!G710)))</f>
        <v>0</v>
      </c>
      <c r="H644" s="221"/>
      <c r="I644" s="206">
        <f t="shared" si="162"/>
        <v>0</v>
      </c>
      <c r="J644" s="206">
        <f t="shared" si="163"/>
        <v>0</v>
      </c>
      <c r="K644" s="206">
        <f t="shared" si="164"/>
        <v>0</v>
      </c>
      <c r="L644" s="178"/>
      <c r="M644" s="198">
        <f>IF(General!$F$39="Forecast",Movements!M677,IF(M710=0,M677,Movements!M710))</f>
        <v>0</v>
      </c>
      <c r="N644" s="252">
        <f>IF(General!$F$39="Forecast",Movements!N677,Movements!N710)</f>
        <v>0</v>
      </c>
      <c r="O644" s="198">
        <f>IF(General!$F$39="Forecast",Movements!O677,IF(O710=0,O677,Movements!O710))</f>
        <v>0</v>
      </c>
      <c r="P644" s="198">
        <f>IF(General!$F$39="Forecast",Movements!P677,IF(P710=0,P677,Movements!P710))</f>
        <v>0</v>
      </c>
      <c r="Q644" s="198">
        <f>IF(General!$F$39="Forecast",Movements!Q677,IF(Q710=0,Q677,Movements!Q710))</f>
        <v>0</v>
      </c>
      <c r="R644" s="207"/>
      <c r="S644" s="219">
        <f>IF(General!$F$40&lt;&gt;0,General!$F$40,IF(General!$F$39="Forecast",Movements!S677,IF(S710=0,S677,Movements!S710)))</f>
        <v>0</v>
      </c>
      <c r="T644" s="219">
        <f>IF(General!$F$42&lt;&gt;0,General!$F$42,IF(General!$F$39="Forecast",Movements!T677,IF(T710=0,T677,Movements!T710)))</f>
        <v>0</v>
      </c>
      <c r="U644" s="219">
        <f>IF(General!$F$41&lt;&gt;0,General!$F$41,IF(General!$F$39="Forecast",Movements!U677,IF(U710=0,U677,Movements!U710)))</f>
        <v>0</v>
      </c>
      <c r="V644" s="138"/>
      <c r="W644" s="138"/>
      <c r="X644" s="138"/>
      <c r="Y644" s="138"/>
      <c r="Z644" s="138"/>
      <c r="AA644" s="138"/>
      <c r="AB644" s="138"/>
      <c r="AC644" s="70"/>
      <c r="AD644" s="19"/>
      <c r="AE644" s="19"/>
      <c r="AF644" s="19"/>
      <c r="AG644" s="19"/>
    </row>
    <row r="645" spans="1:33" outlineLevel="3" x14ac:dyDescent="0.2">
      <c r="A645" s="19"/>
      <c r="B645" s="97"/>
      <c r="C645" s="506">
        <f t="shared" si="161"/>
        <v>0</v>
      </c>
      <c r="D645" s="505">
        <f t="shared" si="161"/>
        <v>0</v>
      </c>
      <c r="E645" s="505">
        <f t="shared" si="161"/>
        <v>0</v>
      </c>
      <c r="F645" s="246">
        <f>IF(General!$F$39="Forecast",Movements!F678,Movements!F711)</f>
        <v>0</v>
      </c>
      <c r="G645" s="198">
        <f>IF(General!$F$37&lt;&gt;0,General!$F$37,IF(General!$F$39="Forecast",Movements!G678,IF(G711=0,G678,Movements!G711)))</f>
        <v>0</v>
      </c>
      <c r="H645" s="221"/>
      <c r="I645" s="206">
        <f t="shared" si="162"/>
        <v>0</v>
      </c>
      <c r="J645" s="206">
        <f t="shared" si="163"/>
        <v>0</v>
      </c>
      <c r="K645" s="206">
        <f t="shared" si="164"/>
        <v>0</v>
      </c>
      <c r="L645" s="178"/>
      <c r="M645" s="198">
        <f>IF(General!$F$39="Forecast",Movements!M678,IF(M711=0,M678,Movements!M711))</f>
        <v>0</v>
      </c>
      <c r="N645" s="252">
        <f>IF(General!$F$39="Forecast",Movements!N678,Movements!N711)</f>
        <v>0</v>
      </c>
      <c r="O645" s="198">
        <f>IF(General!$F$39="Forecast",Movements!O678,IF(O711=0,O678,Movements!O711))</f>
        <v>0</v>
      </c>
      <c r="P645" s="198">
        <f>IF(General!$F$39="Forecast",Movements!P678,IF(P711=0,P678,Movements!P711))</f>
        <v>0</v>
      </c>
      <c r="Q645" s="198">
        <f>IF(General!$F$39="Forecast",Movements!Q678,IF(Q711=0,Q678,Movements!Q711))</f>
        <v>0</v>
      </c>
      <c r="R645" s="207"/>
      <c r="S645" s="219">
        <f>IF(General!$F$40&lt;&gt;0,General!$F$40,IF(General!$F$39="Forecast",Movements!S678,IF(S711=0,S678,Movements!S711)))</f>
        <v>0</v>
      </c>
      <c r="T645" s="219">
        <f>IF(General!$F$42&lt;&gt;0,General!$F$42,IF(General!$F$39="Forecast",Movements!T678,IF(T711=0,T678,Movements!T711)))</f>
        <v>0</v>
      </c>
      <c r="U645" s="219">
        <f>IF(General!$F$41&lt;&gt;0,General!$F$41,IF(General!$F$39="Forecast",Movements!U678,IF(U711=0,U678,Movements!U711)))</f>
        <v>0</v>
      </c>
      <c r="V645" s="138"/>
      <c r="W645" s="138"/>
      <c r="X645" s="138"/>
      <c r="Y645" s="138"/>
      <c r="Z645" s="138"/>
      <c r="AA645" s="138"/>
      <c r="AB645" s="138"/>
      <c r="AC645" s="70"/>
      <c r="AD645" s="19"/>
      <c r="AE645" s="19"/>
      <c r="AF645" s="19"/>
      <c r="AG645" s="19"/>
    </row>
    <row r="646" spans="1:33" outlineLevel="3" x14ac:dyDescent="0.2">
      <c r="A646" s="19"/>
      <c r="B646" s="98"/>
      <c r="C646" s="506">
        <f t="shared" si="161"/>
        <v>0</v>
      </c>
      <c r="D646" s="505">
        <f t="shared" si="161"/>
        <v>0</v>
      </c>
      <c r="E646" s="505">
        <f t="shared" si="161"/>
        <v>0</v>
      </c>
      <c r="F646" s="246">
        <f>IF(General!$F$39="Forecast",Movements!F679,Movements!F712)</f>
        <v>0</v>
      </c>
      <c r="G646" s="198">
        <f>IF(General!$F$37&lt;&gt;0,General!$F$37,IF(General!$F$39="Forecast",Movements!G679,IF(G712=0,G679,Movements!G712)))</f>
        <v>0</v>
      </c>
      <c r="H646" s="221"/>
      <c r="I646" s="206">
        <f t="shared" si="162"/>
        <v>0</v>
      </c>
      <c r="J646" s="206">
        <f t="shared" si="163"/>
        <v>0</v>
      </c>
      <c r="K646" s="206">
        <f t="shared" si="164"/>
        <v>0</v>
      </c>
      <c r="L646" s="178"/>
      <c r="M646" s="198">
        <f>IF(General!$F$39="Forecast",Movements!M679,IF(M712=0,M679,Movements!M712))</f>
        <v>0</v>
      </c>
      <c r="N646" s="252">
        <f>IF(General!$F$39="Forecast",Movements!N679,Movements!N712)</f>
        <v>0</v>
      </c>
      <c r="O646" s="198">
        <f>IF(General!$F$39="Forecast",Movements!O679,IF(O712=0,O679,Movements!O712))</f>
        <v>0</v>
      </c>
      <c r="P646" s="198">
        <f>IF(General!$F$39="Forecast",Movements!P679,IF(P712=0,P679,Movements!P712))</f>
        <v>0</v>
      </c>
      <c r="Q646" s="198">
        <f>IF(General!$F$39="Forecast",Movements!Q679,IF(Q712=0,Q679,Movements!Q712))</f>
        <v>0</v>
      </c>
      <c r="R646" s="207"/>
      <c r="S646" s="219">
        <f>IF(General!$F$40&lt;&gt;0,General!$F$40,IF(General!$F$39="Forecast",Movements!S679,IF(S712=0,S679,Movements!S712)))</f>
        <v>0</v>
      </c>
      <c r="T646" s="219">
        <f>IF(General!$F$42&lt;&gt;0,General!$F$42,IF(General!$F$39="Forecast",Movements!T679,IF(T712=0,T679,Movements!T712)))</f>
        <v>0</v>
      </c>
      <c r="U646" s="219">
        <f>IF(General!$F$41&lt;&gt;0,General!$F$41,IF(General!$F$39="Forecast",Movements!U679,IF(U712=0,U679,Movements!U712)))</f>
        <v>0</v>
      </c>
      <c r="V646" s="138"/>
      <c r="W646" s="138"/>
      <c r="X646" s="138"/>
      <c r="Y646" s="138"/>
      <c r="Z646" s="138"/>
      <c r="AA646" s="138"/>
      <c r="AB646" s="138"/>
      <c r="AC646" s="70"/>
      <c r="AD646" s="19"/>
      <c r="AE646" s="19"/>
      <c r="AF646" s="19"/>
      <c r="AG646" s="19"/>
    </row>
    <row r="647" spans="1:33" outlineLevel="2" x14ac:dyDescent="0.2">
      <c r="A647" s="19"/>
      <c r="B647" s="19"/>
      <c r="C647" s="560"/>
      <c r="D647" s="558"/>
      <c r="E647" s="559"/>
      <c r="F647" s="246"/>
      <c r="G647" s="177"/>
      <c r="H647" s="179"/>
      <c r="I647" s="179"/>
      <c r="J647" s="179"/>
      <c r="K647" s="178"/>
      <c r="L647" s="178"/>
      <c r="M647" s="179"/>
      <c r="N647" s="179"/>
      <c r="O647" s="70"/>
      <c r="P647" s="70"/>
      <c r="Q647" s="70"/>
      <c r="R647" s="177"/>
      <c r="S647" s="220"/>
      <c r="T647" s="220"/>
      <c r="U647" s="220"/>
      <c r="V647" s="70"/>
      <c r="W647" s="70"/>
      <c r="X647" s="70"/>
      <c r="Y647" s="70"/>
      <c r="Z647" s="70"/>
      <c r="AA647" s="70"/>
      <c r="AB647" s="70"/>
      <c r="AC647" s="70"/>
      <c r="AD647" s="19"/>
      <c r="AE647" s="19"/>
      <c r="AF647" s="19"/>
      <c r="AG647" s="19"/>
    </row>
    <row r="648" spans="1:33" outlineLevel="1" x14ac:dyDescent="0.2">
      <c r="A648" s="19"/>
      <c r="B648" s="19"/>
      <c r="C648" s="217"/>
      <c r="D648" s="217"/>
      <c r="E648" s="536"/>
      <c r="F648" s="246"/>
      <c r="G648" s="177"/>
      <c r="H648" s="179"/>
      <c r="I648" s="179"/>
      <c r="J648" s="179"/>
      <c r="K648" s="178"/>
      <c r="L648" s="178"/>
      <c r="M648" s="179"/>
      <c r="N648" s="179"/>
      <c r="O648" s="70"/>
      <c r="P648" s="70"/>
      <c r="Q648" s="70"/>
      <c r="R648" s="177"/>
      <c r="S648" s="220"/>
      <c r="T648" s="220"/>
      <c r="U648" s="220"/>
      <c r="V648" s="70"/>
      <c r="W648" s="70"/>
      <c r="X648" s="70"/>
      <c r="Y648" s="70"/>
      <c r="Z648" s="70"/>
      <c r="AA648" s="70"/>
      <c r="AB648" s="70"/>
      <c r="AC648" s="70"/>
      <c r="AD648" s="19"/>
      <c r="AE648" s="19"/>
      <c r="AF648" s="19"/>
      <c r="AG648" s="19"/>
    </row>
    <row r="649" spans="1:33" outlineLevel="1" x14ac:dyDescent="0.2">
      <c r="A649" s="19"/>
      <c r="B649" s="19"/>
      <c r="C649" s="167" t="str">
        <f>'Total qty'!C52</f>
        <v>Forecast 2022–23</v>
      </c>
      <c r="D649" s="167"/>
      <c r="E649" s="512"/>
      <c r="F649" s="20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19"/>
      <c r="AD649" s="19"/>
      <c r="AE649" s="19"/>
      <c r="AF649" s="19"/>
      <c r="AG649" s="19"/>
    </row>
    <row r="650" spans="1:33" outlineLevel="2" x14ac:dyDescent="0.2">
      <c r="A650" s="19"/>
      <c r="B650" s="97"/>
      <c r="C650" s="506" t="str">
        <f t="shared" ref="C650:E679" si="165">C110</f>
        <v>Residential time of use consumption</v>
      </c>
      <c r="D650" s="505">
        <f t="shared" si="165"/>
        <v>0</v>
      </c>
      <c r="E650" s="505" t="str">
        <f t="shared" si="165"/>
        <v>yes</v>
      </c>
      <c r="F650" s="246">
        <f>IF(E650="yes",1,0)</f>
        <v>1</v>
      </c>
      <c r="G650" s="198">
        <f>IFERROR(INDEX('Total qty'!$O$53:$O$127,MATCH(Movements!C650,'Total qty'!$C$53:$C$127,0))*consprofilemultiplier/IF(General!$F$35="Customers",INDEX(Qty!$I$8:$I$82,MATCH(Movements!C650,Qty!$C$8:$C$82,0)),INDEX(Qty!$K$8:$K$82,MATCH(Movements!C650,Qty!$C$8:$C$82,0))),0)</f>
        <v>7982.6994219645512</v>
      </c>
      <c r="H650" s="221"/>
      <c r="I650" s="206">
        <f t="shared" ref="I650:I679" si="166">$G650*S650</f>
        <v>2445.7421104974392</v>
      </c>
      <c r="J650" s="206">
        <f t="shared" ref="J650:J679" si="167">$G650*T650</f>
        <v>0</v>
      </c>
      <c r="K650" s="206">
        <f t="shared" ref="K650:K679" si="168">$G650*U650</f>
        <v>5536.9573114671111</v>
      </c>
      <c r="L650" s="178"/>
      <c r="M650" s="198">
        <f>IFERROR(INDEX('Total qty'!$Q$53:$Q$127,MATCH(C650,'Total qty'!$C$53:$C$127,0))*consprofilemultiplier/IF(General!F76="Customers",INDEX(Qty!$I$8:$I$82,MATCH(Movements!C650,Qty!$C$8:$C$82,0)),INDEX(Qty!$K$8:$K$82,MATCH(Movements!C650,Qty!$C$8:$C$82,0))),0)</f>
        <v>0</v>
      </c>
      <c r="N650" s="252">
        <f>_xlfn.IFNA(MATCH(C650,Tariffs!$C$46:$C$120,0),0)</f>
        <v>1</v>
      </c>
      <c r="O650" s="206" cm="1">
        <f t="array" ref="O650">IF(N650=0,0,IF(D650="yes",IF(Movements!$G650&gt;INDEX(Tariffs!$T$46:$T$120,$N650),INDEX(Tariffs!$T$46:$T$120,$N650),Movements!$G650),0))</f>
        <v>0</v>
      </c>
      <c r="P650" s="206" cm="1">
        <f t="array" ref="P650">IF(N650=0,0,IF(D650="yes",IF($G650=$O650,0,IF(AND(Movements!$G650&gt;INDEX(Tariffs!$U$46:$U$120,$N650),INDEX(Tariffs!$U$46:$U$120,$N650)&lt;&gt;0),INDEX(Tariffs!$U$46:$U$120,$N650)-INDEX(Tariffs!$T$46:$T$120,$N650),Movements!$G650-Movements!$O650)),0))</f>
        <v>0</v>
      </c>
      <c r="Q650" s="206">
        <f>IF(N650=0,0,IF(D650="yes",IF($G650=$O650+$P650,0,$G650-($O650+$P650)),0))</f>
        <v>0</v>
      </c>
      <c r="R650" s="207"/>
      <c r="S650" s="219">
        <f>IFERROR(INDEX('Total qty'!$L$53:$N$127,MATCH(Movements!$C650,'Total qty'!$C$53:$C$127,0),MATCH(Movements!S$614,'Total qty'!$L$5:$N$5,0))/INDEX('Total qty'!$O$53:$O$127,MATCH(Movements!$C650,'Total qty'!$C$53:$C$127,0)),0)*$F650</f>
        <v>0.3063803334205385</v>
      </c>
      <c r="T650" s="219">
        <f>IFERROR(INDEX('Total qty'!$L$53:$N$127,MATCH(Movements!$C650,'Total qty'!$C$53:$C$127,0),MATCH(Movements!T$614,'Total qty'!$L$5:$N$5,0))/INDEX('Total qty'!$O$53:$O$127,MATCH(Movements!$C650,'Total qty'!$C$53:$C$127,0)),0)*$F650</f>
        <v>0</v>
      </c>
      <c r="U650" s="219">
        <f>IFERROR(INDEX('Total qty'!$L$53:$N$127,MATCH(Movements!$C650,'Total qty'!$C$53:$C$127,0),MATCH(Movements!U$614,'Total qty'!$L$5:$N$5,0))/INDEX('Total qty'!$O$53:$O$127,MATCH(Movements!$C650,'Total qty'!$C$53:$C$127,0)),0)*$F650</f>
        <v>0.69361966657946139</v>
      </c>
      <c r="V650" s="138"/>
      <c r="W650" s="138"/>
      <c r="X650" s="138"/>
      <c r="Y650" s="138"/>
      <c r="Z650" s="138"/>
      <c r="AA650" s="138"/>
      <c r="AB650" s="138"/>
      <c r="AC650" s="70"/>
      <c r="AD650" s="19"/>
      <c r="AE650" s="19"/>
      <c r="AF650" s="19"/>
      <c r="AG650" s="19"/>
    </row>
    <row r="651" spans="1:33" s="59" customFormat="1" outlineLevel="2" x14ac:dyDescent="0.2">
      <c r="A651" s="57"/>
      <c r="B651" s="98"/>
      <c r="C651" s="506" t="str">
        <f t="shared" si="165"/>
        <v>Residential general light and power</v>
      </c>
      <c r="D651" s="505">
        <f t="shared" si="165"/>
        <v>0</v>
      </c>
      <c r="E651" s="505" t="str">
        <f t="shared" si="165"/>
        <v>no</v>
      </c>
      <c r="F651" s="246">
        <f t="shared" ref="F651:F712" si="169">IF(E651="yes",1,0)</f>
        <v>0</v>
      </c>
      <c r="G651" s="198">
        <f>IFERROR(INDEX('Total qty'!$O$53:$O$127,MATCH(Movements!C651,'Total qty'!$C$53:$C$127,0))*consprofilemultiplier/IF(General!$F$35="Customers",INDEX(Qty!$I$8:$I$82,MATCH(Movements!C651,Qty!$C$8:$C$82,0)),INDEX(Qty!$K$8:$K$82,MATCH(Movements!C651,Qty!$C$8:$C$82,0))),0)</f>
        <v>3514.7340719355702</v>
      </c>
      <c r="H651" s="221"/>
      <c r="I651" s="206">
        <f t="shared" si="166"/>
        <v>0</v>
      </c>
      <c r="J651" s="206">
        <f t="shared" si="167"/>
        <v>0</v>
      </c>
      <c r="K651" s="206">
        <f t="shared" si="168"/>
        <v>0</v>
      </c>
      <c r="L651" s="178"/>
      <c r="M651" s="198">
        <f>IFERROR(INDEX('Total qty'!$Q$53:$Q$127,MATCH(C651,'Total qty'!$C$53:$C$127,0))*consprofilemultiplier/IF(General!F77="Customers",INDEX(Qty!$I$8:$I$82,MATCH(Movements!C651,Qty!$C$8:$C$82,0)),INDEX(Qty!$K$8:$K$82,MATCH(Movements!C651,Qty!$C$8:$C$82,0))),0)</f>
        <v>0</v>
      </c>
      <c r="N651" s="252">
        <f>_xlfn.IFNA(MATCH(C651,Tariffs!$C$46:$C$120,0),0)</f>
        <v>2</v>
      </c>
      <c r="O651" s="206" cm="1">
        <f t="array" ref="O651">IF(N651=0,0,IF(D651="yes",IF(Movements!$G651&gt;INDEX(Tariffs!$T$46:$T$120,$N651),INDEX(Tariffs!$T$46:$T$120,$N651),Movements!$G651),0))</f>
        <v>0</v>
      </c>
      <c r="P651" s="206" cm="1">
        <f t="array" ref="P651">IF(N651=0,0,IF(D651="yes",IF($G651=$O651,0,IF(AND(Movements!$G651&gt;INDEX(Tariffs!$U$46:$U$120,$N651),INDEX(Tariffs!$U$46:$U$120,$N651)&lt;&gt;0),INDEX(Tariffs!$U$46:$U$120,$N651)-INDEX(Tariffs!$T$46:$T$120,$N651),Movements!$G651-Movements!$O651)),0))</f>
        <v>0</v>
      </c>
      <c r="Q651" s="206">
        <f t="shared" ref="Q651:Q679" si="170">IF(N651=0,0,IF(D651="yes",IF($G651=$O651+$P651,0,$G651-($O651+$P651)),0))</f>
        <v>0</v>
      </c>
      <c r="R651" s="207"/>
      <c r="S651" s="219">
        <f>IFERROR(INDEX('Total qty'!$L$53:$N$127,MATCH(Movements!$C651,'Total qty'!$C$53:$C$127,0),MATCH(Movements!S$614,'Total qty'!$L$5:$N$5,0))/INDEX('Total qty'!$O$53:$O$127,MATCH(Movements!$C651,'Total qty'!$C$53:$C$127,0)),0)*$F651</f>
        <v>0</v>
      </c>
      <c r="T651" s="219">
        <f>IFERROR(INDEX('Total qty'!$L$53:$N$127,MATCH(Movements!$C651,'Total qty'!$C$53:$C$127,0),MATCH(Movements!T$614,'Total qty'!$L$5:$N$5,0))/INDEX('Total qty'!$O$53:$O$127,MATCH(Movements!$C651,'Total qty'!$C$53:$C$127,0)),0)*$F651</f>
        <v>0</v>
      </c>
      <c r="U651" s="219">
        <f>IFERROR(INDEX('Total qty'!$L$53:$N$127,MATCH(Movements!$C651,'Total qty'!$C$53:$C$127,0),MATCH(Movements!U$614,'Total qty'!$L$5:$N$5,0))/INDEX('Total qty'!$O$53:$O$127,MATCH(Movements!$C651,'Total qty'!$C$53:$C$127,0)),0)*$F651</f>
        <v>0</v>
      </c>
      <c r="V651" s="138"/>
      <c r="W651" s="138"/>
      <c r="X651" s="138"/>
      <c r="Y651" s="138"/>
      <c r="Z651" s="138"/>
      <c r="AA651" s="138"/>
      <c r="AB651" s="138"/>
      <c r="AC651" s="70"/>
      <c r="AD651" s="57"/>
      <c r="AE651" s="57"/>
      <c r="AF651" s="57"/>
      <c r="AG651" s="57"/>
    </row>
    <row r="652" spans="1:33" outlineLevel="2" x14ac:dyDescent="0.2">
      <c r="A652" s="19"/>
      <c r="B652" s="97"/>
      <c r="C652" s="506" t="str">
        <f t="shared" si="165"/>
        <v>Residential pay as you go</v>
      </c>
      <c r="D652" s="505">
        <f t="shared" si="165"/>
        <v>0</v>
      </c>
      <c r="E652" s="505" t="str">
        <f t="shared" si="165"/>
        <v>no</v>
      </c>
      <c r="F652" s="246">
        <f t="shared" si="169"/>
        <v>0</v>
      </c>
      <c r="G652" s="198">
        <f>IFERROR(INDEX('Total qty'!$O$53:$O$127,MATCH(Movements!C652,'Total qty'!$C$53:$C$127,0))*consprofilemultiplier/IF(General!$F$35="Customers",INDEX(Qty!$I$8:$I$82,MATCH(Movements!C652,Qty!$C$8:$C$82,0)),INDEX(Qty!$K$8:$K$82,MATCH(Movements!C652,Qty!$C$8:$C$82,0))),0)</f>
        <v>0</v>
      </c>
      <c r="H652" s="221"/>
      <c r="I652" s="206">
        <f t="shared" si="166"/>
        <v>0</v>
      </c>
      <c r="J652" s="206">
        <f t="shared" si="167"/>
        <v>0</v>
      </c>
      <c r="K652" s="206">
        <f t="shared" si="168"/>
        <v>0</v>
      </c>
      <c r="L652" s="178"/>
      <c r="M652" s="198">
        <f>IFERROR(INDEX('Total qty'!$Q$53:$Q$127,MATCH(C652,'Total qty'!$C$53:$C$127,0))*consprofilemultiplier/IF(General!F78="Customers",INDEX(Qty!$I$8:$I$82,MATCH(Movements!C652,Qty!$C$8:$C$82,0)),INDEX(Qty!$K$8:$K$82,MATCH(Movements!C652,Qty!$C$8:$C$82,0))),0)</f>
        <v>0</v>
      </c>
      <c r="N652" s="252">
        <f>_xlfn.IFNA(MATCH(C652,Tariffs!$C$46:$C$120,0),0)</f>
        <v>5</v>
      </c>
      <c r="O652" s="206" cm="1">
        <f t="array" ref="O652">IF(N652=0,0,IF(D652="yes",IF(Movements!$G652&gt;INDEX(Tariffs!$T$46:$T$120,$N652),INDEX(Tariffs!$T$46:$T$120,$N652),Movements!$G652),0))</f>
        <v>0</v>
      </c>
      <c r="P652" s="206" cm="1">
        <f t="array" ref="P652">IF(N652=0,0,IF(D652="yes",IF($G652=$O652,0,IF(AND(Movements!$G652&gt;INDEX(Tariffs!$U$46:$U$120,$N652),INDEX(Tariffs!$U$46:$U$120,$N652)&lt;&gt;0),INDEX(Tariffs!$U$46:$U$120,$N652)-INDEX(Tariffs!$T$46:$T$120,$N652),Movements!$G652-Movements!$O652)),0))</f>
        <v>0</v>
      </c>
      <c r="Q652" s="206">
        <f t="shared" si="170"/>
        <v>0</v>
      </c>
      <c r="R652" s="207"/>
      <c r="S652" s="219">
        <f>IFERROR(INDEX('Total qty'!$L$53:$N$127,MATCH(Movements!$C652,'Total qty'!$C$53:$C$127,0),MATCH(Movements!S$614,'Total qty'!$L$5:$N$5,0))/INDEX('Total qty'!$O$53:$O$127,MATCH(Movements!$C652,'Total qty'!$C$53:$C$127,0)),0)*$F652</f>
        <v>0</v>
      </c>
      <c r="T652" s="219">
        <f>IFERROR(INDEX('Total qty'!$L$53:$N$127,MATCH(Movements!$C652,'Total qty'!$C$53:$C$127,0),MATCH(Movements!T$614,'Total qty'!$L$5:$N$5,0))/INDEX('Total qty'!$O$53:$O$127,MATCH(Movements!$C652,'Total qty'!$C$53:$C$127,0)),0)*$F652</f>
        <v>0</v>
      </c>
      <c r="U652" s="219">
        <f>IFERROR(INDEX('Total qty'!$L$53:$N$127,MATCH(Movements!$C652,'Total qty'!$C$53:$C$127,0),MATCH(Movements!U$614,'Total qty'!$L$5:$N$5,0))/INDEX('Total qty'!$O$53:$O$127,MATCH(Movements!$C652,'Total qty'!$C$53:$C$127,0)),0)*$F652</f>
        <v>0</v>
      </c>
      <c r="V652" s="138"/>
      <c r="W652" s="138"/>
      <c r="X652" s="138"/>
      <c r="Y652" s="138"/>
      <c r="Z652" s="138"/>
      <c r="AA652" s="138"/>
      <c r="AB652" s="138"/>
      <c r="AC652" s="70"/>
      <c r="AD652" s="19"/>
      <c r="AE652" s="19"/>
      <c r="AF652" s="19"/>
      <c r="AG652" s="19"/>
    </row>
    <row r="653" spans="1:33" outlineLevel="2" x14ac:dyDescent="0.2">
      <c r="A653" s="19"/>
      <c r="B653" s="97"/>
      <c r="C653" s="506" t="str">
        <f t="shared" si="165"/>
        <v>Residential pay as you go time of use</v>
      </c>
      <c r="D653" s="505">
        <f t="shared" si="165"/>
        <v>0</v>
      </c>
      <c r="E653" s="505" t="str">
        <f t="shared" si="165"/>
        <v>no</v>
      </c>
      <c r="F653" s="246">
        <f t="shared" si="169"/>
        <v>0</v>
      </c>
      <c r="G653" s="198">
        <f>IFERROR(INDEX('Total qty'!$O$53:$O$127,MATCH(Movements!C653,'Total qty'!$C$53:$C$127,0))*consprofilemultiplier/IF(General!$F$35="Customers",INDEX(Qty!$I$8:$I$82,MATCH(Movements!C653,Qty!$C$8:$C$82,0)),INDEX(Qty!$K$8:$K$82,MATCH(Movements!C653,Qty!$C$8:$C$82,0))),0)</f>
        <v>0</v>
      </c>
      <c r="H653" s="221"/>
      <c r="I653" s="206">
        <f t="shared" si="166"/>
        <v>0</v>
      </c>
      <c r="J653" s="206">
        <f t="shared" si="167"/>
        <v>0</v>
      </c>
      <c r="K653" s="206">
        <f t="shared" si="168"/>
        <v>0</v>
      </c>
      <c r="L653" s="178"/>
      <c r="M653" s="198">
        <f>IFERROR(INDEX('Total qty'!$Q$53:$Q$127,MATCH(C653,'Total qty'!$C$53:$C$127,0))*consprofilemultiplier/IF(General!F79="Customers",INDEX(Qty!$I$8:$I$82,MATCH(Movements!C653,Qty!$C$8:$C$82,0)),INDEX(Qty!$K$8:$K$82,MATCH(Movements!C653,Qty!$C$8:$C$82,0))),0)</f>
        <v>0</v>
      </c>
      <c r="N653" s="252">
        <f>_xlfn.IFNA(MATCH(C653,Tariffs!$C$46:$C$120,0),0)</f>
        <v>6</v>
      </c>
      <c r="O653" s="206" cm="1">
        <f t="array" ref="O653">IF(N653=0,0,IF(D653="yes",IF(Movements!$G653&gt;INDEX(Tariffs!$T$46:$T$120,$N653),INDEX(Tariffs!$T$46:$T$120,$N653),Movements!$G653),0))</f>
        <v>0</v>
      </c>
      <c r="P653" s="206" cm="1">
        <f t="array" ref="P653">IF(N653=0,0,IF(D653="yes",IF($G653=$O653,0,IF(AND(Movements!$G653&gt;INDEX(Tariffs!$U$46:$U$120,$N653),INDEX(Tariffs!$U$46:$U$120,$N653)&lt;&gt;0),INDEX(Tariffs!$U$46:$U$120,$N653)-INDEX(Tariffs!$T$46:$T$120,$N653),Movements!$G653-Movements!$O653)),0))</f>
        <v>0</v>
      </c>
      <c r="Q653" s="206">
        <f t="shared" si="170"/>
        <v>0</v>
      </c>
      <c r="R653" s="207"/>
      <c r="S653" s="219">
        <f>IFERROR(INDEX('Total qty'!$L$53:$N$127,MATCH(Movements!$C653,'Total qty'!$C$53:$C$127,0),MATCH(Movements!S$614,'Total qty'!$L$5:$N$5,0))/INDEX('Total qty'!$O$53:$O$127,MATCH(Movements!$C653,'Total qty'!$C$53:$C$127,0)),0)*$F653</f>
        <v>0</v>
      </c>
      <c r="T653" s="219">
        <f>IFERROR(INDEX('Total qty'!$L$53:$N$127,MATCH(Movements!$C653,'Total qty'!$C$53:$C$127,0),MATCH(Movements!T$614,'Total qty'!$L$5:$N$5,0))/INDEX('Total qty'!$O$53:$O$127,MATCH(Movements!$C653,'Total qty'!$C$53:$C$127,0)),0)*$F653</f>
        <v>0</v>
      </c>
      <c r="U653" s="219">
        <f>IFERROR(INDEX('Total qty'!$L$53:$N$127,MATCH(Movements!$C653,'Total qty'!$C$53:$C$127,0),MATCH(Movements!U$614,'Total qty'!$L$5:$N$5,0))/INDEX('Total qty'!$O$53:$O$127,MATCH(Movements!$C653,'Total qty'!$C$53:$C$127,0)),0)*$F653</f>
        <v>0</v>
      </c>
      <c r="V653" s="138"/>
      <c r="W653" s="138"/>
      <c r="X653" s="138"/>
      <c r="Y653" s="138"/>
      <c r="Z653" s="138"/>
      <c r="AA653" s="138"/>
      <c r="AB653" s="138"/>
      <c r="AC653" s="70"/>
      <c r="AD653" s="19"/>
      <c r="AE653" s="19"/>
      <c r="AF653" s="19"/>
      <c r="AG653" s="19"/>
    </row>
    <row r="654" spans="1:33" outlineLevel="2" x14ac:dyDescent="0.2">
      <c r="A654" s="19"/>
      <c r="B654" s="97"/>
      <c r="C654" s="506">
        <f t="shared" si="165"/>
        <v>0</v>
      </c>
      <c r="D654" s="505">
        <f t="shared" si="165"/>
        <v>0</v>
      </c>
      <c r="E654" s="505">
        <f t="shared" si="165"/>
        <v>0</v>
      </c>
      <c r="F654" s="246">
        <f t="shared" si="169"/>
        <v>0</v>
      </c>
      <c r="G654" s="198">
        <f>IFERROR(INDEX('Total qty'!$O$53:$O$127,MATCH(Movements!C654,'Total qty'!$C$53:$C$127,0))*consprofilemultiplier/IF(General!$F$35="Customers",INDEX(Qty!$I$8:$I$82,MATCH(Movements!C654,Qty!$C$8:$C$82,0)),INDEX(Qty!$K$8:$K$82,MATCH(Movements!C654,Qty!$C$8:$C$82,0))),0)</f>
        <v>0</v>
      </c>
      <c r="H654" s="221"/>
      <c r="I654" s="206">
        <f t="shared" si="166"/>
        <v>0</v>
      </c>
      <c r="J654" s="206">
        <f t="shared" si="167"/>
        <v>0</v>
      </c>
      <c r="K654" s="206">
        <f t="shared" si="168"/>
        <v>0</v>
      </c>
      <c r="L654" s="178"/>
      <c r="M654" s="198">
        <f>IFERROR(INDEX('Total qty'!$Q$53:$Q$127,MATCH(C654,'Total qty'!$C$53:$C$127,0))*consprofilemultiplier/IF(General!F80="Customers",INDEX(Qty!$I$8:$I$82,MATCH(Movements!C654,Qty!$C$8:$C$82,0)),INDEX(Qty!$K$8:$K$82,MATCH(Movements!C654,Qty!$C$8:$C$82,0))),0)</f>
        <v>0</v>
      </c>
      <c r="N654" s="252">
        <f>_xlfn.IFNA(MATCH(C654,Tariffs!$C$46:$C$120,0),0)</f>
        <v>0</v>
      </c>
      <c r="O654" s="206" cm="1">
        <f t="array" ref="O654">IF(N654=0,0,IF(D654="yes",IF(Movements!$G654&gt;INDEX(Tariffs!$T$46:$T$120,$N654),INDEX(Tariffs!$T$46:$T$120,$N654),Movements!$G654),0))</f>
        <v>0</v>
      </c>
      <c r="P654" s="206" cm="1">
        <f t="array" ref="P654">IF(N654=0,0,IF(D654="yes",IF($G654=$O654,0,IF(AND(Movements!$G654&gt;INDEX(Tariffs!$U$46:$U$120,$N654),INDEX(Tariffs!$U$46:$U$120,$N654)&lt;&gt;0),INDEX(Tariffs!$U$46:$U$120,$N654)-INDEX(Tariffs!$T$46:$T$120,$N654),Movements!$G654-Movements!$O654)),0))</f>
        <v>0</v>
      </c>
      <c r="Q654" s="206">
        <f t="shared" si="170"/>
        <v>0</v>
      </c>
      <c r="R654" s="207"/>
      <c r="S654" s="219">
        <f>IFERROR(INDEX('Total qty'!$L$53:$N$127,MATCH(Movements!$C654,'Total qty'!$C$53:$C$127,0),MATCH(Movements!S$614,'Total qty'!$L$5:$N$5,0))/INDEX('Total qty'!$O$53:$O$127,MATCH(Movements!$C654,'Total qty'!$C$53:$C$127,0)),0)*$F654</f>
        <v>0</v>
      </c>
      <c r="T654" s="219">
        <f>IFERROR(INDEX('Total qty'!$L$53:$N$127,MATCH(Movements!$C654,'Total qty'!$C$53:$C$127,0),MATCH(Movements!T$614,'Total qty'!$L$5:$N$5,0))/INDEX('Total qty'!$O$53:$O$127,MATCH(Movements!$C654,'Total qty'!$C$53:$C$127,0)),0)*$F654</f>
        <v>0</v>
      </c>
      <c r="U654" s="219">
        <f>IFERROR(INDEX('Total qty'!$L$53:$N$127,MATCH(Movements!$C654,'Total qty'!$C$53:$C$127,0),MATCH(Movements!U$614,'Total qty'!$L$5:$N$5,0))/INDEX('Total qty'!$O$53:$O$127,MATCH(Movements!$C654,'Total qty'!$C$53:$C$127,0)),0)*$F654</f>
        <v>0</v>
      </c>
      <c r="V654" s="138"/>
      <c r="W654" s="138"/>
      <c r="X654" s="138"/>
      <c r="Y654" s="138"/>
      <c r="Z654" s="138"/>
      <c r="AA654" s="138"/>
      <c r="AB654" s="138"/>
      <c r="AC654" s="70"/>
      <c r="AD654" s="19"/>
      <c r="AE654" s="19"/>
      <c r="AF654" s="19"/>
      <c r="AG654" s="19"/>
    </row>
    <row r="655" spans="1:33" hidden="1" outlineLevel="3" x14ac:dyDescent="0.2">
      <c r="A655" s="19"/>
      <c r="B655" s="97"/>
      <c r="C655" s="506">
        <f t="shared" si="165"/>
        <v>0</v>
      </c>
      <c r="D655" s="505">
        <f t="shared" si="165"/>
        <v>0</v>
      </c>
      <c r="E655" s="505">
        <f t="shared" si="165"/>
        <v>0</v>
      </c>
      <c r="F655" s="246">
        <f t="shared" si="169"/>
        <v>0</v>
      </c>
      <c r="G655" s="198">
        <f>IFERROR(INDEX('Total qty'!$O$53:$O$127,MATCH(Movements!C655,'Total qty'!$C$53:$C$127,0))*consprofilemultiplier/IF(General!$F$35="Customers",INDEX(Qty!$I$8:$I$82,MATCH(Movements!C655,Qty!$C$8:$C$82,0)),INDEX(Qty!$K$8:$K$82,MATCH(Movements!C655,Qty!$C$8:$C$82,0))),0)</f>
        <v>0</v>
      </c>
      <c r="H655" s="221"/>
      <c r="I655" s="206">
        <f t="shared" si="166"/>
        <v>0</v>
      </c>
      <c r="J655" s="206">
        <f t="shared" si="167"/>
        <v>0</v>
      </c>
      <c r="K655" s="206">
        <f t="shared" si="168"/>
        <v>0</v>
      </c>
      <c r="L655" s="178"/>
      <c r="M655" s="198">
        <f>IFERROR(INDEX('Total qty'!$Q$53:$Q$127,MATCH(C655,'Total qty'!$C$53:$C$127,0))*consprofilemultiplier/IF(General!F81="Customers",INDEX(Qty!$I$8:$I$82,MATCH(Movements!C655,Qty!$C$8:$C$82,0)),INDEX(Qty!$K$8:$K$82,MATCH(Movements!C655,Qty!$C$8:$C$82,0))),0)</f>
        <v>0</v>
      </c>
      <c r="N655" s="252">
        <f>_xlfn.IFNA(MATCH(C655,Tariffs!$C$46:$C$120,0),0)</f>
        <v>0</v>
      </c>
      <c r="O655" s="206" cm="1">
        <f t="array" ref="O655">IF(N655=0,0,IF(D655="yes",IF(Movements!$G655&gt;INDEX(Tariffs!$T$46:$T$120,$N655),INDEX(Tariffs!$T$46:$T$120,$N655),Movements!$G655),0))</f>
        <v>0</v>
      </c>
      <c r="P655" s="206" cm="1">
        <f t="array" ref="P655">IF(N655=0,0,IF(D655="yes",IF($G655=$O655,0,IF(AND(Movements!$G655&gt;INDEX(Tariffs!$U$46:$U$120,$N655),INDEX(Tariffs!$U$46:$U$120,$N655)&lt;&gt;0),INDEX(Tariffs!$U$46:$U$120,$N655)-INDEX(Tariffs!$T$46:$T$120,$N655),Movements!$G655-Movements!$O655)),0))</f>
        <v>0</v>
      </c>
      <c r="Q655" s="206">
        <f t="shared" si="170"/>
        <v>0</v>
      </c>
      <c r="R655" s="207"/>
      <c r="S655" s="219">
        <f>IFERROR(INDEX('Total qty'!$L$53:$N$127,MATCH(Movements!$C655,'Total qty'!$C$53:$C$127,0),MATCH(Movements!S$614,'Total qty'!$L$5:$N$5,0))/INDEX('Total qty'!$O$53:$O$127,MATCH(Movements!$C655,'Total qty'!$C$53:$C$127,0)),0)*$F655</f>
        <v>0</v>
      </c>
      <c r="T655" s="219">
        <f>IFERROR(INDEX('Total qty'!$L$53:$N$127,MATCH(Movements!$C655,'Total qty'!$C$53:$C$127,0),MATCH(Movements!T$614,'Total qty'!$L$5:$N$5,0))/INDEX('Total qty'!$O$53:$O$127,MATCH(Movements!$C655,'Total qty'!$C$53:$C$127,0)),0)*$F655</f>
        <v>0</v>
      </c>
      <c r="U655" s="219">
        <f>IFERROR(INDEX('Total qty'!$L$53:$N$127,MATCH(Movements!$C655,'Total qty'!$C$53:$C$127,0),MATCH(Movements!U$614,'Total qty'!$L$5:$N$5,0))/INDEX('Total qty'!$O$53:$O$127,MATCH(Movements!$C655,'Total qty'!$C$53:$C$127,0)),0)*$F655</f>
        <v>0</v>
      </c>
      <c r="V655" s="138"/>
      <c r="W655" s="138"/>
      <c r="X655" s="138"/>
      <c r="Y655" s="138"/>
      <c r="Z655" s="138"/>
      <c r="AA655" s="138"/>
      <c r="AB655" s="138"/>
      <c r="AC655" s="70"/>
      <c r="AD655" s="19"/>
      <c r="AE655" s="19"/>
      <c r="AF655" s="19"/>
      <c r="AG655" s="19"/>
    </row>
    <row r="656" spans="1:33" hidden="1" outlineLevel="3" x14ac:dyDescent="0.2">
      <c r="A656" s="19"/>
      <c r="B656" s="97"/>
      <c r="C656" s="506">
        <f t="shared" si="165"/>
        <v>0</v>
      </c>
      <c r="D656" s="505">
        <f t="shared" si="165"/>
        <v>0</v>
      </c>
      <c r="E656" s="505">
        <f t="shared" si="165"/>
        <v>0</v>
      </c>
      <c r="F656" s="246">
        <f t="shared" si="169"/>
        <v>0</v>
      </c>
      <c r="G656" s="198">
        <f>IFERROR(INDEX('Total qty'!$O$53:$O$127,MATCH(Movements!C656,'Total qty'!$C$53:$C$127,0))*consprofilemultiplier/IF(General!$F$35="Customers",INDEX(Qty!$I$8:$I$82,MATCH(Movements!C656,Qty!$C$8:$C$82,0)),INDEX(Qty!$K$8:$K$82,MATCH(Movements!C656,Qty!$C$8:$C$82,0))),0)</f>
        <v>0</v>
      </c>
      <c r="H656" s="221"/>
      <c r="I656" s="206">
        <f t="shared" si="166"/>
        <v>0</v>
      </c>
      <c r="J656" s="206">
        <f t="shared" si="167"/>
        <v>0</v>
      </c>
      <c r="K656" s="206">
        <f t="shared" si="168"/>
        <v>0</v>
      </c>
      <c r="L656" s="178"/>
      <c r="M656" s="198">
        <f>IFERROR(INDEX('Total qty'!$Q$53:$Q$127,MATCH(C656,'Total qty'!$C$53:$C$127,0))*consprofilemultiplier/IF(General!F82="Customers",INDEX(Qty!$I$8:$I$82,MATCH(Movements!C656,Qty!$C$8:$C$82,0)),INDEX(Qty!$K$8:$K$82,MATCH(Movements!C656,Qty!$C$8:$C$82,0))),0)</f>
        <v>0</v>
      </c>
      <c r="N656" s="252">
        <f>_xlfn.IFNA(MATCH(C656,Tariffs!$C$46:$C$120,0),0)</f>
        <v>0</v>
      </c>
      <c r="O656" s="206" cm="1">
        <f t="array" ref="O656">IF(N656=0,0,IF(D656="yes",IF(Movements!$G656&gt;INDEX(Tariffs!$T$46:$T$120,$N656),INDEX(Tariffs!$T$46:$T$120,$N656),Movements!$G656),0))</f>
        <v>0</v>
      </c>
      <c r="P656" s="206" cm="1">
        <f t="array" ref="P656">IF(N656=0,0,IF(D656="yes",IF($G656=$O656,0,IF(AND(Movements!$G656&gt;INDEX(Tariffs!$U$46:$U$120,$N656),INDEX(Tariffs!$U$46:$U$120,$N656)&lt;&gt;0),INDEX(Tariffs!$U$46:$U$120,$N656)-INDEX(Tariffs!$T$46:$T$120,$N656),Movements!$G656-Movements!$O656)),0))</f>
        <v>0</v>
      </c>
      <c r="Q656" s="206">
        <f t="shared" si="170"/>
        <v>0</v>
      </c>
      <c r="R656" s="207"/>
      <c r="S656" s="219">
        <f>IFERROR(INDEX('Total qty'!$L$53:$N$127,MATCH(Movements!$C656,'Total qty'!$C$53:$C$127,0),MATCH(Movements!S$614,'Total qty'!$L$5:$N$5,0))/INDEX('Total qty'!$O$53:$O$127,MATCH(Movements!$C656,'Total qty'!$C$53:$C$127,0)),0)*$F656</f>
        <v>0</v>
      </c>
      <c r="T656" s="219">
        <f>IFERROR(INDEX('Total qty'!$L$53:$N$127,MATCH(Movements!$C656,'Total qty'!$C$53:$C$127,0),MATCH(Movements!T$614,'Total qty'!$L$5:$N$5,0))/INDEX('Total qty'!$O$53:$O$127,MATCH(Movements!$C656,'Total qty'!$C$53:$C$127,0)),0)*$F656</f>
        <v>0</v>
      </c>
      <c r="U656" s="219">
        <f>IFERROR(INDEX('Total qty'!$L$53:$N$127,MATCH(Movements!$C656,'Total qty'!$C$53:$C$127,0),MATCH(Movements!U$614,'Total qty'!$L$5:$N$5,0))/INDEX('Total qty'!$O$53:$O$127,MATCH(Movements!$C656,'Total qty'!$C$53:$C$127,0)),0)*$F656</f>
        <v>0</v>
      </c>
      <c r="V656" s="138"/>
      <c r="W656" s="138"/>
      <c r="X656" s="138"/>
      <c r="Y656" s="138"/>
      <c r="Z656" s="138"/>
      <c r="AA656" s="138"/>
      <c r="AB656" s="138"/>
      <c r="AC656" s="70"/>
      <c r="AD656" s="19"/>
      <c r="AE656" s="19"/>
      <c r="AF656" s="19"/>
      <c r="AG656" s="19"/>
    </row>
    <row r="657" spans="1:33" hidden="1" outlineLevel="3" x14ac:dyDescent="0.2">
      <c r="A657" s="19"/>
      <c r="B657" s="97"/>
      <c r="C657" s="506">
        <f t="shared" si="165"/>
        <v>0</v>
      </c>
      <c r="D657" s="505">
        <f t="shared" si="165"/>
        <v>0</v>
      </c>
      <c r="E657" s="505">
        <f t="shared" si="165"/>
        <v>0</v>
      </c>
      <c r="F657" s="246">
        <f t="shared" si="169"/>
        <v>0</v>
      </c>
      <c r="G657" s="198">
        <f>IFERROR(INDEX('Total qty'!$O$53:$O$127,MATCH(Movements!C657,'Total qty'!$C$53:$C$127,0))*consprofilemultiplier/IF(General!$F$35="Customers",INDEX(Qty!$I$8:$I$82,MATCH(Movements!C657,Qty!$C$8:$C$82,0)),INDEX(Qty!$K$8:$K$82,MATCH(Movements!C657,Qty!$C$8:$C$82,0))),0)</f>
        <v>0</v>
      </c>
      <c r="H657" s="221"/>
      <c r="I657" s="206">
        <f t="shared" si="166"/>
        <v>0</v>
      </c>
      <c r="J657" s="206">
        <f t="shared" si="167"/>
        <v>0</v>
      </c>
      <c r="K657" s="206">
        <f t="shared" si="168"/>
        <v>0</v>
      </c>
      <c r="L657" s="178"/>
      <c r="M657" s="198">
        <f>IFERROR(INDEX('Total qty'!$Q$53:$Q$127,MATCH(C657,'Total qty'!$C$53:$C$127,0))*consprofilemultiplier/IF(General!F83="Customers",INDEX(Qty!$I$8:$I$82,MATCH(Movements!C657,Qty!$C$8:$C$82,0)),INDEX(Qty!$K$8:$K$82,MATCH(Movements!C657,Qty!$C$8:$C$82,0))),0)</f>
        <v>0</v>
      </c>
      <c r="N657" s="252">
        <f>_xlfn.IFNA(MATCH(C657,Tariffs!$C$46:$C$120,0),0)</f>
        <v>0</v>
      </c>
      <c r="O657" s="206" cm="1">
        <f t="array" ref="O657">IF(N657=0,0,IF(D657="yes",IF(Movements!$G657&gt;INDEX(Tariffs!$T$46:$T$120,$N657),INDEX(Tariffs!$T$46:$T$120,$N657),Movements!$G657),0))</f>
        <v>0</v>
      </c>
      <c r="P657" s="206" cm="1">
        <f t="array" ref="P657">IF(N657=0,0,IF(D657="yes",IF($G657=$O657,0,IF(AND(Movements!$G657&gt;INDEX(Tariffs!$U$46:$U$120,$N657),INDEX(Tariffs!$U$46:$U$120,$N657)&lt;&gt;0),INDEX(Tariffs!$U$46:$U$120,$N657)-INDEX(Tariffs!$T$46:$T$120,$N657),Movements!$G657-Movements!$O657)),0))</f>
        <v>0</v>
      </c>
      <c r="Q657" s="206">
        <f t="shared" si="170"/>
        <v>0</v>
      </c>
      <c r="R657" s="207"/>
      <c r="S657" s="219">
        <f>IFERROR(INDEX('Total qty'!$L$53:$N$127,MATCH(Movements!$C657,'Total qty'!$C$53:$C$127,0),MATCH(Movements!S$614,'Total qty'!$L$5:$N$5,0))/INDEX('Total qty'!$O$53:$O$127,MATCH(Movements!$C657,'Total qty'!$C$53:$C$127,0)),0)*$F657</f>
        <v>0</v>
      </c>
      <c r="T657" s="219">
        <f>IFERROR(INDEX('Total qty'!$L$53:$N$127,MATCH(Movements!$C657,'Total qty'!$C$53:$C$127,0),MATCH(Movements!T$614,'Total qty'!$L$5:$N$5,0))/INDEX('Total qty'!$O$53:$O$127,MATCH(Movements!$C657,'Total qty'!$C$53:$C$127,0)),0)*$F657</f>
        <v>0</v>
      </c>
      <c r="U657" s="219">
        <f>IFERROR(INDEX('Total qty'!$L$53:$N$127,MATCH(Movements!$C657,'Total qty'!$C$53:$C$127,0),MATCH(Movements!U$614,'Total qty'!$L$5:$N$5,0))/INDEX('Total qty'!$O$53:$O$127,MATCH(Movements!$C657,'Total qty'!$C$53:$C$127,0)),0)*$F657</f>
        <v>0</v>
      </c>
      <c r="V657" s="138"/>
      <c r="W657" s="138"/>
      <c r="X657" s="138"/>
      <c r="Y657" s="138"/>
      <c r="Z657" s="138"/>
      <c r="AA657" s="138"/>
      <c r="AB657" s="138"/>
      <c r="AC657" s="70"/>
      <c r="AD657" s="19"/>
      <c r="AE657" s="19"/>
      <c r="AF657" s="19"/>
      <c r="AG657" s="19"/>
    </row>
    <row r="658" spans="1:33" hidden="1" outlineLevel="3" x14ac:dyDescent="0.2">
      <c r="A658" s="19"/>
      <c r="B658" s="98"/>
      <c r="C658" s="506">
        <f t="shared" si="165"/>
        <v>0</v>
      </c>
      <c r="D658" s="505">
        <f t="shared" si="165"/>
        <v>0</v>
      </c>
      <c r="E658" s="505">
        <f t="shared" si="165"/>
        <v>0</v>
      </c>
      <c r="F658" s="246">
        <f t="shared" si="169"/>
        <v>0</v>
      </c>
      <c r="G658" s="198">
        <f>IFERROR(INDEX('Total qty'!$O$53:$O$127,MATCH(Movements!C658,'Total qty'!$C$53:$C$127,0))*consprofilemultiplier/IF(General!$F$35="Customers",INDEX(Qty!$I$8:$I$82,MATCH(Movements!C658,Qty!$C$8:$C$82,0)),INDEX(Qty!$K$8:$K$82,MATCH(Movements!C658,Qty!$C$8:$C$82,0))),0)</f>
        <v>0</v>
      </c>
      <c r="H658" s="221"/>
      <c r="I658" s="206">
        <f t="shared" si="166"/>
        <v>0</v>
      </c>
      <c r="J658" s="206">
        <f t="shared" si="167"/>
        <v>0</v>
      </c>
      <c r="K658" s="206">
        <f t="shared" si="168"/>
        <v>0</v>
      </c>
      <c r="L658" s="178"/>
      <c r="M658" s="198">
        <f>IFERROR(INDEX('Total qty'!$Q$53:$Q$127,MATCH(C658,'Total qty'!$C$53:$C$127,0))*consprofilemultiplier/IF(General!F84="Customers",INDEX(Qty!$I$8:$I$82,MATCH(Movements!C658,Qty!$C$8:$C$82,0)),INDEX(Qty!$K$8:$K$82,MATCH(Movements!C658,Qty!$C$8:$C$82,0))),0)</f>
        <v>0</v>
      </c>
      <c r="N658" s="252">
        <f>_xlfn.IFNA(MATCH(C658,Tariffs!$C$46:$C$120,0),0)</f>
        <v>0</v>
      </c>
      <c r="O658" s="206" cm="1">
        <f t="array" ref="O658">IF(N658=0,0,IF(D658="yes",IF(Movements!$G658&gt;INDEX(Tariffs!$T$46:$T$120,$N658),INDEX(Tariffs!$T$46:$T$120,$N658),Movements!$G658),0))</f>
        <v>0</v>
      </c>
      <c r="P658" s="206" cm="1">
        <f t="array" ref="P658">IF(N658=0,0,IF(D658="yes",IF($G658=$O658,0,IF(AND(Movements!$G658&gt;INDEX(Tariffs!$U$46:$U$120,$N658),INDEX(Tariffs!$U$46:$U$120,$N658)&lt;&gt;0),INDEX(Tariffs!$U$46:$U$120,$N658)-INDEX(Tariffs!$T$46:$T$120,$N658),Movements!$G658-Movements!$O658)),0))</f>
        <v>0</v>
      </c>
      <c r="Q658" s="206">
        <f t="shared" si="170"/>
        <v>0</v>
      </c>
      <c r="R658" s="207"/>
      <c r="S658" s="219">
        <f>IFERROR(INDEX('Total qty'!$L$53:$N$127,MATCH(Movements!$C658,'Total qty'!$C$53:$C$127,0),MATCH(Movements!S$614,'Total qty'!$L$5:$N$5,0))/INDEX('Total qty'!$O$53:$O$127,MATCH(Movements!$C658,'Total qty'!$C$53:$C$127,0)),0)*$F658</f>
        <v>0</v>
      </c>
      <c r="T658" s="219">
        <f>IFERROR(INDEX('Total qty'!$L$53:$N$127,MATCH(Movements!$C658,'Total qty'!$C$53:$C$127,0),MATCH(Movements!T$614,'Total qty'!$L$5:$N$5,0))/INDEX('Total qty'!$O$53:$O$127,MATCH(Movements!$C658,'Total qty'!$C$53:$C$127,0)),0)*$F658</f>
        <v>0</v>
      </c>
      <c r="U658" s="219">
        <f>IFERROR(INDEX('Total qty'!$L$53:$N$127,MATCH(Movements!$C658,'Total qty'!$C$53:$C$127,0),MATCH(Movements!U$614,'Total qty'!$L$5:$N$5,0))/INDEX('Total qty'!$O$53:$O$127,MATCH(Movements!$C658,'Total qty'!$C$53:$C$127,0)),0)*$F658</f>
        <v>0</v>
      </c>
      <c r="V658" s="138"/>
      <c r="W658" s="138"/>
      <c r="X658" s="138"/>
      <c r="Y658" s="138"/>
      <c r="Z658" s="138"/>
      <c r="AA658" s="138"/>
      <c r="AB658" s="138"/>
      <c r="AC658" s="70"/>
      <c r="AD658" s="19"/>
      <c r="AE658" s="19"/>
      <c r="AF658" s="19"/>
      <c r="AG658" s="19"/>
    </row>
    <row r="659" spans="1:33" hidden="1" outlineLevel="3" x14ac:dyDescent="0.2">
      <c r="A659" s="19"/>
      <c r="B659" s="97"/>
      <c r="C659" s="506">
        <f t="shared" si="165"/>
        <v>0</v>
      </c>
      <c r="D659" s="505">
        <f t="shared" si="165"/>
        <v>0</v>
      </c>
      <c r="E659" s="505">
        <f t="shared" si="165"/>
        <v>0</v>
      </c>
      <c r="F659" s="246">
        <f t="shared" si="169"/>
        <v>0</v>
      </c>
      <c r="G659" s="198">
        <f>IFERROR(INDEX('Total qty'!$O$53:$O$127,MATCH(Movements!C659,'Total qty'!$C$53:$C$127,0))*consprofilemultiplier/IF(General!$F$35="Customers",INDEX(Qty!$I$8:$I$82,MATCH(Movements!C659,Qty!$C$8:$C$82,0)),INDEX(Qty!$K$8:$K$82,MATCH(Movements!C659,Qty!$C$8:$C$82,0))),0)</f>
        <v>0</v>
      </c>
      <c r="H659" s="221"/>
      <c r="I659" s="206">
        <f t="shared" si="166"/>
        <v>0</v>
      </c>
      <c r="J659" s="206">
        <f t="shared" si="167"/>
        <v>0</v>
      </c>
      <c r="K659" s="206">
        <f t="shared" si="168"/>
        <v>0</v>
      </c>
      <c r="L659" s="178"/>
      <c r="M659" s="198">
        <f>IFERROR(INDEX('Total qty'!$Q$53:$Q$127,MATCH(C659,'Total qty'!$C$53:$C$127,0))*consprofilemultiplier/IF(General!F85="Customers",INDEX(Qty!$I$8:$I$82,MATCH(Movements!C659,Qty!$C$8:$C$82,0)),INDEX(Qty!$K$8:$K$82,MATCH(Movements!C659,Qty!$C$8:$C$82,0))),0)</f>
        <v>0</v>
      </c>
      <c r="N659" s="252">
        <f>_xlfn.IFNA(MATCH(C659,Tariffs!$C$46:$C$120,0),0)</f>
        <v>0</v>
      </c>
      <c r="O659" s="206" cm="1">
        <f t="array" ref="O659">IF(N659=0,0,IF(D659="yes",IF(Movements!$G659&gt;INDEX(Tariffs!$T$46:$T$120,$N659),INDEX(Tariffs!$T$46:$T$120,$N659),Movements!$G659),0))</f>
        <v>0</v>
      </c>
      <c r="P659" s="206" cm="1">
        <f t="array" ref="P659">IF(N659=0,0,IF(D659="yes",IF($G659=$O659,0,IF(AND(Movements!$G659&gt;INDEX(Tariffs!$U$46:$U$120,$N659),INDEX(Tariffs!$U$46:$U$120,$N659)&lt;&gt;0),INDEX(Tariffs!$U$46:$U$120,$N659)-INDEX(Tariffs!$T$46:$T$120,$N659),Movements!$G659-Movements!$O659)),0))</f>
        <v>0</v>
      </c>
      <c r="Q659" s="206">
        <f t="shared" si="170"/>
        <v>0</v>
      </c>
      <c r="R659" s="207"/>
      <c r="S659" s="219">
        <f>IFERROR(INDEX('Total qty'!$L$53:$N$127,MATCH(Movements!$C659,'Total qty'!$C$53:$C$127,0),MATCH(Movements!S$614,'Total qty'!$L$5:$N$5,0))/INDEX('Total qty'!$O$53:$O$127,MATCH(Movements!$C659,'Total qty'!$C$53:$C$127,0)),0)*$F659</f>
        <v>0</v>
      </c>
      <c r="T659" s="219">
        <f>IFERROR(INDEX('Total qty'!$L$53:$N$127,MATCH(Movements!$C659,'Total qty'!$C$53:$C$127,0),MATCH(Movements!T$614,'Total qty'!$L$5:$N$5,0))/INDEX('Total qty'!$O$53:$O$127,MATCH(Movements!$C659,'Total qty'!$C$53:$C$127,0)),0)*$F659</f>
        <v>0</v>
      </c>
      <c r="U659" s="219">
        <f>IFERROR(INDEX('Total qty'!$L$53:$N$127,MATCH(Movements!$C659,'Total qty'!$C$53:$C$127,0),MATCH(Movements!U$614,'Total qty'!$L$5:$N$5,0))/INDEX('Total qty'!$O$53:$O$127,MATCH(Movements!$C659,'Total qty'!$C$53:$C$127,0)),0)*$F659</f>
        <v>0</v>
      </c>
      <c r="V659" s="138"/>
      <c r="W659" s="138"/>
      <c r="X659" s="138"/>
      <c r="Y659" s="138"/>
      <c r="Z659" s="138"/>
      <c r="AA659" s="138"/>
      <c r="AB659" s="138"/>
      <c r="AC659" s="70"/>
      <c r="AD659" s="19"/>
      <c r="AE659" s="19"/>
      <c r="AF659" s="19"/>
      <c r="AG659" s="19"/>
    </row>
    <row r="660" spans="1:33" hidden="1" outlineLevel="3" x14ac:dyDescent="0.2">
      <c r="A660" s="19"/>
      <c r="B660" s="97"/>
      <c r="C660" s="506">
        <f t="shared" si="165"/>
        <v>0</v>
      </c>
      <c r="D660" s="505">
        <f t="shared" si="165"/>
        <v>0</v>
      </c>
      <c r="E660" s="505">
        <f t="shared" si="165"/>
        <v>0</v>
      </c>
      <c r="F660" s="246">
        <f t="shared" si="169"/>
        <v>0</v>
      </c>
      <c r="G660" s="198">
        <f>IFERROR(INDEX('Total qty'!$O$53:$O$127,MATCH(Movements!C660,'Total qty'!$C$53:$C$127,0))*consprofilemultiplier/IF(General!$F$35="Customers",INDEX(Qty!$I$8:$I$82,MATCH(Movements!C660,Qty!$C$8:$C$82,0)),INDEX(Qty!$K$8:$K$82,MATCH(Movements!C660,Qty!$C$8:$C$82,0))),0)</f>
        <v>0</v>
      </c>
      <c r="H660" s="221"/>
      <c r="I660" s="206">
        <f t="shared" si="166"/>
        <v>0</v>
      </c>
      <c r="J660" s="206">
        <f t="shared" si="167"/>
        <v>0</v>
      </c>
      <c r="K660" s="206">
        <f t="shared" si="168"/>
        <v>0</v>
      </c>
      <c r="L660" s="178"/>
      <c r="M660" s="198">
        <f>IFERROR(INDEX('Total qty'!$Q$53:$Q$127,MATCH(C660,'Total qty'!$C$53:$C$127,0))*consprofilemultiplier/IF(General!F86="Customers",INDEX(Qty!$I$8:$I$82,MATCH(Movements!C660,Qty!$C$8:$C$82,0)),INDEX(Qty!$K$8:$K$82,MATCH(Movements!C660,Qty!$C$8:$C$82,0))),0)</f>
        <v>0</v>
      </c>
      <c r="N660" s="252">
        <f>_xlfn.IFNA(MATCH(C660,Tariffs!$C$46:$C$120,0),0)</f>
        <v>0</v>
      </c>
      <c r="O660" s="206" cm="1">
        <f t="array" ref="O660">IF(N660=0,0,IF(D660="yes",IF(Movements!$G660&gt;INDEX(Tariffs!$T$46:$T$120,$N660),INDEX(Tariffs!$T$46:$T$120,$N660),Movements!$G660),0))</f>
        <v>0</v>
      </c>
      <c r="P660" s="206" cm="1">
        <f t="array" ref="P660">IF(N660=0,0,IF(D660="yes",IF($G660=$O660,0,IF(AND(Movements!$G660&gt;INDEX(Tariffs!$U$46:$U$120,$N660),INDEX(Tariffs!$U$46:$U$120,$N660)&lt;&gt;0),INDEX(Tariffs!$U$46:$U$120,$N660)-INDEX(Tariffs!$T$46:$T$120,$N660),Movements!$G660-Movements!$O660)),0))</f>
        <v>0</v>
      </c>
      <c r="Q660" s="206">
        <f t="shared" si="170"/>
        <v>0</v>
      </c>
      <c r="R660" s="207"/>
      <c r="S660" s="219">
        <f>IFERROR(INDEX('Total qty'!$L$53:$N$127,MATCH(Movements!$C660,'Total qty'!$C$53:$C$127,0),MATCH(Movements!S$614,'Total qty'!$L$5:$N$5,0))/INDEX('Total qty'!$O$53:$O$127,MATCH(Movements!$C660,'Total qty'!$C$53:$C$127,0)),0)*$F660</f>
        <v>0</v>
      </c>
      <c r="T660" s="219">
        <f>IFERROR(INDEX('Total qty'!$L$53:$N$127,MATCH(Movements!$C660,'Total qty'!$C$53:$C$127,0),MATCH(Movements!T$614,'Total qty'!$L$5:$N$5,0))/INDEX('Total qty'!$O$53:$O$127,MATCH(Movements!$C660,'Total qty'!$C$53:$C$127,0)),0)*$F660</f>
        <v>0</v>
      </c>
      <c r="U660" s="219">
        <f>IFERROR(INDEX('Total qty'!$L$53:$N$127,MATCH(Movements!$C660,'Total qty'!$C$53:$C$127,0),MATCH(Movements!U$614,'Total qty'!$L$5:$N$5,0))/INDEX('Total qty'!$O$53:$O$127,MATCH(Movements!$C660,'Total qty'!$C$53:$C$127,0)),0)*$F660</f>
        <v>0</v>
      </c>
      <c r="V660" s="138"/>
      <c r="W660" s="138"/>
      <c r="X660" s="138"/>
      <c r="Y660" s="138"/>
      <c r="Z660" s="138"/>
      <c r="AA660" s="138"/>
      <c r="AB660" s="138"/>
      <c r="AC660" s="70"/>
      <c r="AD660" s="19"/>
      <c r="AE660" s="19"/>
      <c r="AF660" s="19"/>
      <c r="AG660" s="19"/>
    </row>
    <row r="661" spans="1:33" hidden="1" outlineLevel="3" x14ac:dyDescent="0.2">
      <c r="A661" s="19"/>
      <c r="B661" s="97"/>
      <c r="C661" s="506">
        <f t="shared" si="165"/>
        <v>0</v>
      </c>
      <c r="D661" s="505">
        <f t="shared" si="165"/>
        <v>0</v>
      </c>
      <c r="E661" s="505">
        <f t="shared" si="165"/>
        <v>0</v>
      </c>
      <c r="F661" s="246">
        <f t="shared" si="169"/>
        <v>0</v>
      </c>
      <c r="G661" s="198">
        <f>IFERROR(INDEX('Total qty'!$O$53:$O$127,MATCH(Movements!C661,'Total qty'!$C$53:$C$127,0))*consprofilemultiplier/IF(General!$F$35="Customers",INDEX(Qty!$I$8:$I$82,MATCH(Movements!C661,Qty!$C$8:$C$82,0)),INDEX(Qty!$K$8:$K$82,MATCH(Movements!C661,Qty!$C$8:$C$82,0))),0)</f>
        <v>0</v>
      </c>
      <c r="H661" s="221"/>
      <c r="I661" s="206">
        <f t="shared" si="166"/>
        <v>0</v>
      </c>
      <c r="J661" s="206">
        <f t="shared" si="167"/>
        <v>0</v>
      </c>
      <c r="K661" s="206">
        <f t="shared" si="168"/>
        <v>0</v>
      </c>
      <c r="L661" s="178"/>
      <c r="M661" s="198">
        <f>IFERROR(INDEX('Total qty'!$Q$53:$Q$127,MATCH(C661,'Total qty'!$C$53:$C$127,0))*consprofilemultiplier/IF(General!F87="Customers",INDEX(Qty!$I$8:$I$82,MATCH(Movements!C661,Qty!$C$8:$C$82,0)),INDEX(Qty!$K$8:$K$82,MATCH(Movements!C661,Qty!$C$8:$C$82,0))),0)</f>
        <v>0</v>
      </c>
      <c r="N661" s="252">
        <f>_xlfn.IFNA(MATCH(C661,Tariffs!$C$46:$C$120,0),0)</f>
        <v>0</v>
      </c>
      <c r="O661" s="206" cm="1">
        <f t="array" ref="O661">IF(N661=0,0,IF(D661="yes",IF(Movements!$G661&gt;INDEX(Tariffs!$T$46:$T$120,$N661),INDEX(Tariffs!$T$46:$T$120,$N661),Movements!$G661),0))</f>
        <v>0</v>
      </c>
      <c r="P661" s="206" cm="1">
        <f t="array" ref="P661">IF(N661=0,0,IF(D661="yes",IF($G661=$O661,0,IF(AND(Movements!$G661&gt;INDEX(Tariffs!$U$46:$U$120,$N661),INDEX(Tariffs!$U$46:$U$120,$N661)&lt;&gt;0),INDEX(Tariffs!$U$46:$U$120,$N661)-INDEX(Tariffs!$T$46:$T$120,$N661),Movements!$G661-Movements!$O661)),0))</f>
        <v>0</v>
      </c>
      <c r="Q661" s="206">
        <f t="shared" si="170"/>
        <v>0</v>
      </c>
      <c r="R661" s="207"/>
      <c r="S661" s="219">
        <f>IFERROR(INDEX('Total qty'!$L$53:$N$127,MATCH(Movements!$C661,'Total qty'!$C$53:$C$127,0),MATCH(Movements!S$614,'Total qty'!$L$5:$N$5,0))/INDEX('Total qty'!$O$53:$O$127,MATCH(Movements!$C661,'Total qty'!$C$53:$C$127,0)),0)*$F661</f>
        <v>0</v>
      </c>
      <c r="T661" s="219">
        <f>IFERROR(INDEX('Total qty'!$L$53:$N$127,MATCH(Movements!$C661,'Total qty'!$C$53:$C$127,0),MATCH(Movements!T$614,'Total qty'!$L$5:$N$5,0))/INDEX('Total qty'!$O$53:$O$127,MATCH(Movements!$C661,'Total qty'!$C$53:$C$127,0)),0)*$F661</f>
        <v>0</v>
      </c>
      <c r="U661" s="219">
        <f>IFERROR(INDEX('Total qty'!$L$53:$N$127,MATCH(Movements!$C661,'Total qty'!$C$53:$C$127,0),MATCH(Movements!U$614,'Total qty'!$L$5:$N$5,0))/INDEX('Total qty'!$O$53:$O$127,MATCH(Movements!$C661,'Total qty'!$C$53:$C$127,0)),0)*$F661</f>
        <v>0</v>
      </c>
      <c r="V661" s="138"/>
      <c r="W661" s="138"/>
      <c r="X661" s="138"/>
      <c r="Y661" s="138"/>
      <c r="Z661" s="138"/>
      <c r="AA661" s="138"/>
      <c r="AB661" s="138"/>
      <c r="AC661" s="70"/>
      <c r="AD661" s="19"/>
      <c r="AE661" s="19"/>
      <c r="AF661" s="19"/>
      <c r="AG661" s="19"/>
    </row>
    <row r="662" spans="1:33" hidden="1" outlineLevel="3" x14ac:dyDescent="0.2">
      <c r="A662" s="19"/>
      <c r="B662" s="97"/>
      <c r="C662" s="506">
        <f t="shared" si="165"/>
        <v>0</v>
      </c>
      <c r="D662" s="505">
        <f t="shared" si="165"/>
        <v>0</v>
      </c>
      <c r="E662" s="505">
        <f t="shared" si="165"/>
        <v>0</v>
      </c>
      <c r="F662" s="246">
        <f t="shared" si="169"/>
        <v>0</v>
      </c>
      <c r="G662" s="198">
        <f>IFERROR(INDEX('Total qty'!$O$53:$O$127,MATCH(Movements!C662,'Total qty'!$C$53:$C$127,0))*consprofilemultiplier/IF(General!$F$35="Customers",INDEX(Qty!$I$8:$I$82,MATCH(Movements!C662,Qty!$C$8:$C$82,0)),INDEX(Qty!$K$8:$K$82,MATCH(Movements!C662,Qty!$C$8:$C$82,0))),0)</f>
        <v>0</v>
      </c>
      <c r="H662" s="221"/>
      <c r="I662" s="206">
        <f t="shared" si="166"/>
        <v>0</v>
      </c>
      <c r="J662" s="206">
        <f t="shared" si="167"/>
        <v>0</v>
      </c>
      <c r="K662" s="206">
        <f t="shared" si="168"/>
        <v>0</v>
      </c>
      <c r="L662" s="178"/>
      <c r="M662" s="198">
        <f>IFERROR(INDEX('Total qty'!$Q$53:$Q$127,MATCH(C662,'Total qty'!$C$53:$C$127,0))*consprofilemultiplier/IF(General!F88="Customers",INDEX(Qty!$I$8:$I$82,MATCH(Movements!C662,Qty!$C$8:$C$82,0)),INDEX(Qty!$K$8:$K$82,MATCH(Movements!C662,Qty!$C$8:$C$82,0))),0)</f>
        <v>0</v>
      </c>
      <c r="N662" s="252">
        <f>_xlfn.IFNA(MATCH(C662,Tariffs!$C$46:$C$120,0),0)</f>
        <v>0</v>
      </c>
      <c r="O662" s="206" cm="1">
        <f t="array" ref="O662">IF(N662=0,0,IF(D662="yes",IF(Movements!$G662&gt;INDEX(Tariffs!$T$46:$T$120,$N662),INDEX(Tariffs!$T$46:$T$120,$N662),Movements!$G662),0))</f>
        <v>0</v>
      </c>
      <c r="P662" s="206" cm="1">
        <f t="array" ref="P662">IF(N662=0,0,IF(D662="yes",IF($G662=$O662,0,IF(AND(Movements!$G662&gt;INDEX(Tariffs!$U$46:$U$120,$N662),INDEX(Tariffs!$U$46:$U$120,$N662)&lt;&gt;0),INDEX(Tariffs!$U$46:$U$120,$N662)-INDEX(Tariffs!$T$46:$T$120,$N662),Movements!$G662-Movements!$O662)),0))</f>
        <v>0</v>
      </c>
      <c r="Q662" s="206">
        <f t="shared" si="170"/>
        <v>0</v>
      </c>
      <c r="R662" s="207"/>
      <c r="S662" s="219">
        <f>IFERROR(INDEX('Total qty'!$L$53:$N$127,MATCH(Movements!$C662,'Total qty'!$C$53:$C$127,0),MATCH(Movements!S$614,'Total qty'!$L$5:$N$5,0))/INDEX('Total qty'!$O$53:$O$127,MATCH(Movements!$C662,'Total qty'!$C$53:$C$127,0)),0)*$F662</f>
        <v>0</v>
      </c>
      <c r="T662" s="219">
        <f>IFERROR(INDEX('Total qty'!$L$53:$N$127,MATCH(Movements!$C662,'Total qty'!$C$53:$C$127,0),MATCH(Movements!T$614,'Total qty'!$L$5:$N$5,0))/INDEX('Total qty'!$O$53:$O$127,MATCH(Movements!$C662,'Total qty'!$C$53:$C$127,0)),0)*$F662</f>
        <v>0</v>
      </c>
      <c r="U662" s="219">
        <f>IFERROR(INDEX('Total qty'!$L$53:$N$127,MATCH(Movements!$C662,'Total qty'!$C$53:$C$127,0),MATCH(Movements!U$614,'Total qty'!$L$5:$N$5,0))/INDEX('Total qty'!$O$53:$O$127,MATCH(Movements!$C662,'Total qty'!$C$53:$C$127,0)),0)*$F662</f>
        <v>0</v>
      </c>
      <c r="V662" s="138"/>
      <c r="W662" s="138"/>
      <c r="X662" s="138"/>
      <c r="Y662" s="138"/>
      <c r="Z662" s="138"/>
      <c r="AA662" s="138"/>
      <c r="AB662" s="138"/>
      <c r="AC662" s="70"/>
      <c r="AD662" s="19"/>
      <c r="AE662" s="19"/>
      <c r="AF662" s="19"/>
      <c r="AG662" s="19"/>
    </row>
    <row r="663" spans="1:33" hidden="1" outlineLevel="3" x14ac:dyDescent="0.2">
      <c r="A663" s="19"/>
      <c r="B663" s="97"/>
      <c r="C663" s="506">
        <f t="shared" si="165"/>
        <v>0</v>
      </c>
      <c r="D663" s="505">
        <f t="shared" si="165"/>
        <v>0</v>
      </c>
      <c r="E663" s="505">
        <f t="shared" si="165"/>
        <v>0</v>
      </c>
      <c r="F663" s="246">
        <f t="shared" si="169"/>
        <v>0</v>
      </c>
      <c r="G663" s="198">
        <f>IFERROR(INDEX('Total qty'!$O$53:$O$127,MATCH(Movements!C663,'Total qty'!$C$53:$C$127,0))*consprofilemultiplier/IF(General!$F$35="Customers",INDEX(Qty!$I$8:$I$82,MATCH(Movements!C663,Qty!$C$8:$C$82,0)),INDEX(Qty!$K$8:$K$82,MATCH(Movements!C663,Qty!$C$8:$C$82,0))),0)</f>
        <v>0</v>
      </c>
      <c r="H663" s="221"/>
      <c r="I663" s="206">
        <f t="shared" si="166"/>
        <v>0</v>
      </c>
      <c r="J663" s="206">
        <f t="shared" si="167"/>
        <v>0</v>
      </c>
      <c r="K663" s="206">
        <f t="shared" si="168"/>
        <v>0</v>
      </c>
      <c r="L663" s="178"/>
      <c r="M663" s="198">
        <f>IFERROR(INDEX('Total qty'!$Q$53:$Q$127,MATCH(C663,'Total qty'!$C$53:$C$127,0))*consprofilemultiplier/IF(General!F89="Customers",INDEX(Qty!$I$8:$I$82,MATCH(Movements!C663,Qty!$C$8:$C$82,0)),INDEX(Qty!$K$8:$K$82,MATCH(Movements!C663,Qty!$C$8:$C$82,0))),0)</f>
        <v>0</v>
      </c>
      <c r="N663" s="252">
        <f>_xlfn.IFNA(MATCH(C663,Tariffs!$C$46:$C$120,0),0)</f>
        <v>0</v>
      </c>
      <c r="O663" s="206" cm="1">
        <f t="array" ref="O663">IF(N663=0,0,IF(D663="yes",IF(Movements!$G663&gt;INDEX(Tariffs!$T$46:$T$120,$N663),INDEX(Tariffs!$T$46:$T$120,$N663),Movements!$G663),0))</f>
        <v>0</v>
      </c>
      <c r="P663" s="206" cm="1">
        <f t="array" ref="P663">IF(N663=0,0,IF(D663="yes",IF($G663=$O663,0,IF(AND(Movements!$G663&gt;INDEX(Tariffs!$U$46:$U$120,$N663),INDEX(Tariffs!$U$46:$U$120,$N663)&lt;&gt;0),INDEX(Tariffs!$U$46:$U$120,$N663)-INDEX(Tariffs!$T$46:$T$120,$N663),Movements!$G663-Movements!$O663)),0))</f>
        <v>0</v>
      </c>
      <c r="Q663" s="206">
        <f t="shared" si="170"/>
        <v>0</v>
      </c>
      <c r="R663" s="207"/>
      <c r="S663" s="219">
        <f>IFERROR(INDEX('Total qty'!$L$53:$N$127,MATCH(Movements!$C663,'Total qty'!$C$53:$C$127,0),MATCH(Movements!S$614,'Total qty'!$L$5:$N$5,0))/INDEX('Total qty'!$O$53:$O$127,MATCH(Movements!$C663,'Total qty'!$C$53:$C$127,0)),0)*$F663</f>
        <v>0</v>
      </c>
      <c r="T663" s="219">
        <f>IFERROR(INDEX('Total qty'!$L$53:$N$127,MATCH(Movements!$C663,'Total qty'!$C$53:$C$127,0),MATCH(Movements!T$614,'Total qty'!$L$5:$N$5,0))/INDEX('Total qty'!$O$53:$O$127,MATCH(Movements!$C663,'Total qty'!$C$53:$C$127,0)),0)*$F663</f>
        <v>0</v>
      </c>
      <c r="U663" s="219">
        <f>IFERROR(INDEX('Total qty'!$L$53:$N$127,MATCH(Movements!$C663,'Total qty'!$C$53:$C$127,0),MATCH(Movements!U$614,'Total qty'!$L$5:$N$5,0))/INDEX('Total qty'!$O$53:$O$127,MATCH(Movements!$C663,'Total qty'!$C$53:$C$127,0)),0)*$F663</f>
        <v>0</v>
      </c>
      <c r="V663" s="138"/>
      <c r="W663" s="138"/>
      <c r="X663" s="138"/>
      <c r="Y663" s="138"/>
      <c r="Z663" s="138"/>
      <c r="AA663" s="138"/>
      <c r="AB663" s="138"/>
      <c r="AC663" s="70"/>
      <c r="AD663" s="19"/>
      <c r="AE663" s="19"/>
      <c r="AF663" s="19"/>
      <c r="AG663" s="19"/>
    </row>
    <row r="664" spans="1:33" hidden="1" outlineLevel="3" x14ac:dyDescent="0.2">
      <c r="A664" s="19"/>
      <c r="B664" s="97"/>
      <c r="C664" s="506">
        <f t="shared" si="165"/>
        <v>0</v>
      </c>
      <c r="D664" s="505">
        <f t="shared" si="165"/>
        <v>0</v>
      </c>
      <c r="E664" s="505">
        <f t="shared" si="165"/>
        <v>0</v>
      </c>
      <c r="F664" s="246">
        <f t="shared" si="169"/>
        <v>0</v>
      </c>
      <c r="G664" s="198">
        <f>IFERROR(INDEX('Total qty'!$O$53:$O$127,MATCH(Movements!C664,'Total qty'!$C$53:$C$127,0))*consprofilemultiplier/IF(General!$F$35="Customers",INDEX(Qty!$I$8:$I$82,MATCH(Movements!C664,Qty!$C$8:$C$82,0)),INDEX(Qty!$K$8:$K$82,MATCH(Movements!C664,Qty!$C$8:$C$82,0))),0)</f>
        <v>0</v>
      </c>
      <c r="H664" s="221"/>
      <c r="I664" s="206">
        <f t="shared" si="166"/>
        <v>0</v>
      </c>
      <c r="J664" s="206">
        <f t="shared" si="167"/>
        <v>0</v>
      </c>
      <c r="K664" s="206">
        <f t="shared" si="168"/>
        <v>0</v>
      </c>
      <c r="L664" s="178"/>
      <c r="M664" s="198">
        <f>IFERROR(INDEX('Total qty'!$Q$53:$Q$127,MATCH(C664,'Total qty'!$C$53:$C$127,0))*consprofilemultiplier/IF(General!F90="Customers",INDEX(Qty!$I$8:$I$82,MATCH(Movements!C664,Qty!$C$8:$C$82,0)),INDEX(Qty!$K$8:$K$82,MATCH(Movements!C664,Qty!$C$8:$C$82,0))),0)</f>
        <v>0</v>
      </c>
      <c r="N664" s="252">
        <f>_xlfn.IFNA(MATCH(C664,Tariffs!$C$46:$C$120,0),0)</f>
        <v>0</v>
      </c>
      <c r="O664" s="206" cm="1">
        <f t="array" ref="O664">IF(N664=0,0,IF(D664="yes",IF(Movements!$G664&gt;INDEX(Tariffs!$T$46:$T$120,$N664),INDEX(Tariffs!$T$46:$T$120,$N664),Movements!$G664),0))</f>
        <v>0</v>
      </c>
      <c r="P664" s="206" cm="1">
        <f t="array" ref="P664">IF(N664=0,0,IF(D664="yes",IF($G664=$O664,0,IF(AND(Movements!$G664&gt;INDEX(Tariffs!$U$46:$U$120,$N664),INDEX(Tariffs!$U$46:$U$120,$N664)&lt;&gt;0),INDEX(Tariffs!$U$46:$U$120,$N664)-INDEX(Tariffs!$T$46:$T$120,$N664),Movements!$G664-Movements!$O664)),0))</f>
        <v>0</v>
      </c>
      <c r="Q664" s="206">
        <f t="shared" si="170"/>
        <v>0</v>
      </c>
      <c r="R664" s="207"/>
      <c r="S664" s="219">
        <f>IFERROR(INDEX('Total qty'!$L$53:$N$127,MATCH(Movements!$C664,'Total qty'!$C$53:$C$127,0),MATCH(Movements!S$614,'Total qty'!$L$5:$N$5,0))/INDEX('Total qty'!$O$53:$O$127,MATCH(Movements!$C664,'Total qty'!$C$53:$C$127,0)),0)*$F664</f>
        <v>0</v>
      </c>
      <c r="T664" s="219">
        <f>IFERROR(INDEX('Total qty'!$L$53:$N$127,MATCH(Movements!$C664,'Total qty'!$C$53:$C$127,0),MATCH(Movements!T$614,'Total qty'!$L$5:$N$5,0))/INDEX('Total qty'!$O$53:$O$127,MATCH(Movements!$C664,'Total qty'!$C$53:$C$127,0)),0)*$F664</f>
        <v>0</v>
      </c>
      <c r="U664" s="219">
        <f>IFERROR(INDEX('Total qty'!$L$53:$N$127,MATCH(Movements!$C664,'Total qty'!$C$53:$C$127,0),MATCH(Movements!U$614,'Total qty'!$L$5:$N$5,0))/INDEX('Total qty'!$O$53:$O$127,MATCH(Movements!$C664,'Total qty'!$C$53:$C$127,0)),0)*$F664</f>
        <v>0</v>
      </c>
      <c r="V664" s="138"/>
      <c r="W664" s="138"/>
      <c r="X664" s="138"/>
      <c r="Y664" s="138"/>
      <c r="Z664" s="138"/>
      <c r="AA664" s="138"/>
      <c r="AB664" s="138"/>
      <c r="AC664" s="70"/>
      <c r="AD664" s="19"/>
      <c r="AE664" s="19"/>
      <c r="AF664" s="19"/>
      <c r="AG664" s="19"/>
    </row>
    <row r="665" spans="1:33" hidden="1" outlineLevel="3" x14ac:dyDescent="0.2">
      <c r="A665" s="19"/>
      <c r="B665" s="98"/>
      <c r="C665" s="506">
        <f t="shared" si="165"/>
        <v>0</v>
      </c>
      <c r="D665" s="505">
        <f t="shared" si="165"/>
        <v>0</v>
      </c>
      <c r="E665" s="505">
        <f t="shared" si="165"/>
        <v>0</v>
      </c>
      <c r="F665" s="246">
        <f t="shared" si="169"/>
        <v>0</v>
      </c>
      <c r="G665" s="198">
        <f>IFERROR(INDEX('Total qty'!$O$53:$O$127,MATCH(Movements!C665,'Total qty'!$C$53:$C$127,0))*consprofilemultiplier/IF(General!$F$35="Customers",INDEX(Qty!$I$8:$I$82,MATCH(Movements!C665,Qty!$C$8:$C$82,0)),INDEX(Qty!$K$8:$K$82,MATCH(Movements!C665,Qty!$C$8:$C$82,0))),0)</f>
        <v>0</v>
      </c>
      <c r="H665" s="221"/>
      <c r="I665" s="206">
        <f t="shared" si="166"/>
        <v>0</v>
      </c>
      <c r="J665" s="206">
        <f t="shared" si="167"/>
        <v>0</v>
      </c>
      <c r="K665" s="206">
        <f t="shared" si="168"/>
        <v>0</v>
      </c>
      <c r="L665" s="178"/>
      <c r="M665" s="198">
        <f>IFERROR(INDEX('Total qty'!$Q$53:$Q$127,MATCH(C665,'Total qty'!$C$53:$C$127,0))*consprofilemultiplier/IF(General!F91="Customers",INDEX(Qty!$I$8:$I$82,MATCH(Movements!C665,Qty!$C$8:$C$82,0)),INDEX(Qty!$K$8:$K$82,MATCH(Movements!C665,Qty!$C$8:$C$82,0))),0)</f>
        <v>0</v>
      </c>
      <c r="N665" s="252">
        <f>_xlfn.IFNA(MATCH(C665,Tariffs!$C$46:$C$120,0),0)</f>
        <v>0</v>
      </c>
      <c r="O665" s="206" cm="1">
        <f t="array" ref="O665">IF(N665=0,0,IF(D665="yes",IF(Movements!$G665&gt;INDEX(Tariffs!$T$46:$T$120,$N665),INDEX(Tariffs!$T$46:$T$120,$N665),Movements!$G665),0))</f>
        <v>0</v>
      </c>
      <c r="P665" s="206" cm="1">
        <f t="array" ref="P665">IF(N665=0,0,IF(D665="yes",IF($G665=$O665,0,IF(AND(Movements!$G665&gt;INDEX(Tariffs!$U$46:$U$120,$N665),INDEX(Tariffs!$U$46:$U$120,$N665)&lt;&gt;0),INDEX(Tariffs!$U$46:$U$120,$N665)-INDEX(Tariffs!$T$46:$T$120,$N665),Movements!$G665-Movements!$O665)),0))</f>
        <v>0</v>
      </c>
      <c r="Q665" s="206">
        <f t="shared" si="170"/>
        <v>0</v>
      </c>
      <c r="R665" s="207"/>
      <c r="S665" s="219">
        <f>IFERROR(INDEX('Total qty'!$L$53:$N$127,MATCH(Movements!$C665,'Total qty'!$C$53:$C$127,0),MATCH(Movements!S$614,'Total qty'!$L$5:$N$5,0))/INDEX('Total qty'!$O$53:$O$127,MATCH(Movements!$C665,'Total qty'!$C$53:$C$127,0)),0)*$F665</f>
        <v>0</v>
      </c>
      <c r="T665" s="219">
        <f>IFERROR(INDEX('Total qty'!$L$53:$N$127,MATCH(Movements!$C665,'Total qty'!$C$53:$C$127,0),MATCH(Movements!T$614,'Total qty'!$L$5:$N$5,0))/INDEX('Total qty'!$O$53:$O$127,MATCH(Movements!$C665,'Total qty'!$C$53:$C$127,0)),0)*$F665</f>
        <v>0</v>
      </c>
      <c r="U665" s="219">
        <f>IFERROR(INDEX('Total qty'!$L$53:$N$127,MATCH(Movements!$C665,'Total qty'!$C$53:$C$127,0),MATCH(Movements!U$614,'Total qty'!$L$5:$N$5,0))/INDEX('Total qty'!$O$53:$O$127,MATCH(Movements!$C665,'Total qty'!$C$53:$C$127,0)),0)*$F665</f>
        <v>0</v>
      </c>
      <c r="V665" s="138"/>
      <c r="W665" s="138"/>
      <c r="X665" s="138"/>
      <c r="Y665" s="138"/>
      <c r="Z665" s="138"/>
      <c r="AA665" s="138"/>
      <c r="AB665" s="138"/>
      <c r="AC665" s="70"/>
      <c r="AD665" s="19"/>
      <c r="AE665" s="19"/>
      <c r="AF665" s="19"/>
      <c r="AG665" s="19"/>
    </row>
    <row r="666" spans="1:33" hidden="1" outlineLevel="3" x14ac:dyDescent="0.2">
      <c r="A666" s="19"/>
      <c r="B666" s="97"/>
      <c r="C666" s="506">
        <f t="shared" si="165"/>
        <v>0</v>
      </c>
      <c r="D666" s="505">
        <f t="shared" si="165"/>
        <v>0</v>
      </c>
      <c r="E666" s="505">
        <f t="shared" si="165"/>
        <v>0</v>
      </c>
      <c r="F666" s="246">
        <f t="shared" si="169"/>
        <v>0</v>
      </c>
      <c r="G666" s="198">
        <f>IFERROR(INDEX('Total qty'!$O$53:$O$127,MATCH(Movements!C666,'Total qty'!$C$53:$C$127,0))*consprofilemultiplier/IF(General!$F$35="Customers",INDEX(Qty!$I$8:$I$82,MATCH(Movements!C666,Qty!$C$8:$C$82,0)),INDEX(Qty!$K$8:$K$82,MATCH(Movements!C666,Qty!$C$8:$C$82,0))),0)</f>
        <v>0</v>
      </c>
      <c r="H666" s="221"/>
      <c r="I666" s="206">
        <f t="shared" si="166"/>
        <v>0</v>
      </c>
      <c r="J666" s="206">
        <f t="shared" si="167"/>
        <v>0</v>
      </c>
      <c r="K666" s="206">
        <f t="shared" si="168"/>
        <v>0</v>
      </c>
      <c r="L666" s="178"/>
      <c r="M666" s="198">
        <f>IFERROR(INDEX('Total qty'!$Q$53:$Q$127,MATCH(C666,'Total qty'!$C$53:$C$127,0))*consprofilemultiplier/IF(General!F92="Customers",INDEX(Qty!$I$8:$I$82,MATCH(Movements!C666,Qty!$C$8:$C$82,0)),INDEX(Qty!$K$8:$K$82,MATCH(Movements!C666,Qty!$C$8:$C$82,0))),0)</f>
        <v>0</v>
      </c>
      <c r="N666" s="252">
        <f>_xlfn.IFNA(MATCH(C666,Tariffs!$C$46:$C$120,0),0)</f>
        <v>0</v>
      </c>
      <c r="O666" s="206" cm="1">
        <f t="array" ref="O666">IF(N666=0,0,IF(D666="yes",IF(Movements!$G666&gt;INDEX(Tariffs!$T$46:$T$120,$N666),INDEX(Tariffs!$T$46:$T$120,$N666),Movements!$G666),0))</f>
        <v>0</v>
      </c>
      <c r="P666" s="206" cm="1">
        <f t="array" ref="P666">IF(N666=0,0,IF(D666="yes",IF($G666=$O666,0,IF(AND(Movements!$G666&gt;INDEX(Tariffs!$U$46:$U$120,$N666),INDEX(Tariffs!$U$46:$U$120,$N666)&lt;&gt;0),INDEX(Tariffs!$U$46:$U$120,$N666)-INDEX(Tariffs!$T$46:$T$120,$N666),Movements!$G666-Movements!$O666)),0))</f>
        <v>0</v>
      </c>
      <c r="Q666" s="206">
        <f t="shared" si="170"/>
        <v>0</v>
      </c>
      <c r="R666" s="207"/>
      <c r="S666" s="219">
        <f>IFERROR(INDEX('Total qty'!$L$53:$N$127,MATCH(Movements!$C666,'Total qty'!$C$53:$C$127,0),MATCH(Movements!S$614,'Total qty'!$L$5:$N$5,0))/INDEX('Total qty'!$O$53:$O$127,MATCH(Movements!$C666,'Total qty'!$C$53:$C$127,0)),0)*$F666</f>
        <v>0</v>
      </c>
      <c r="T666" s="219">
        <f>IFERROR(INDEX('Total qty'!$L$53:$N$127,MATCH(Movements!$C666,'Total qty'!$C$53:$C$127,0),MATCH(Movements!T$614,'Total qty'!$L$5:$N$5,0))/INDEX('Total qty'!$O$53:$O$127,MATCH(Movements!$C666,'Total qty'!$C$53:$C$127,0)),0)*$F666</f>
        <v>0</v>
      </c>
      <c r="U666" s="219">
        <f>IFERROR(INDEX('Total qty'!$L$53:$N$127,MATCH(Movements!$C666,'Total qty'!$C$53:$C$127,0),MATCH(Movements!U$614,'Total qty'!$L$5:$N$5,0))/INDEX('Total qty'!$O$53:$O$127,MATCH(Movements!$C666,'Total qty'!$C$53:$C$127,0)),0)*$F666</f>
        <v>0</v>
      </c>
      <c r="V666" s="138"/>
      <c r="W666" s="138"/>
      <c r="X666" s="138"/>
      <c r="Y666" s="138"/>
      <c r="Z666" s="138"/>
      <c r="AA666" s="138"/>
      <c r="AB666" s="138"/>
      <c r="AC666" s="70"/>
      <c r="AD666" s="19"/>
      <c r="AE666" s="19"/>
      <c r="AF666" s="19"/>
      <c r="AG666" s="19"/>
    </row>
    <row r="667" spans="1:33" hidden="1" outlineLevel="3" x14ac:dyDescent="0.2">
      <c r="A667" s="19"/>
      <c r="B667" s="97"/>
      <c r="C667" s="506">
        <f t="shared" si="165"/>
        <v>0</v>
      </c>
      <c r="D667" s="505">
        <f t="shared" si="165"/>
        <v>0</v>
      </c>
      <c r="E667" s="505">
        <f t="shared" si="165"/>
        <v>0</v>
      </c>
      <c r="F667" s="246">
        <f t="shared" si="169"/>
        <v>0</v>
      </c>
      <c r="G667" s="198">
        <f>IFERROR(INDEX('Total qty'!$O$53:$O$127,MATCH(Movements!C667,'Total qty'!$C$53:$C$127,0))*consprofilemultiplier/IF(General!$F$35="Customers",INDEX(Qty!$I$8:$I$82,MATCH(Movements!C667,Qty!$C$8:$C$82,0)),INDEX(Qty!$K$8:$K$82,MATCH(Movements!C667,Qty!$C$8:$C$82,0))),0)</f>
        <v>0</v>
      </c>
      <c r="H667" s="221"/>
      <c r="I667" s="206">
        <f t="shared" si="166"/>
        <v>0</v>
      </c>
      <c r="J667" s="206">
        <f t="shared" si="167"/>
        <v>0</v>
      </c>
      <c r="K667" s="206">
        <f t="shared" si="168"/>
        <v>0</v>
      </c>
      <c r="L667" s="178"/>
      <c r="M667" s="198">
        <f>IFERROR(INDEX('Total qty'!$Q$53:$Q$127,MATCH(C667,'Total qty'!$C$53:$C$127,0))*consprofilemultiplier/IF(General!F93="Customers",INDEX(Qty!$I$8:$I$82,MATCH(Movements!C667,Qty!$C$8:$C$82,0)),INDEX(Qty!$K$8:$K$82,MATCH(Movements!C667,Qty!$C$8:$C$82,0))),0)</f>
        <v>0</v>
      </c>
      <c r="N667" s="252">
        <f>_xlfn.IFNA(MATCH(C667,Tariffs!$C$46:$C$120,0),0)</f>
        <v>0</v>
      </c>
      <c r="O667" s="206" cm="1">
        <f t="array" ref="O667">IF(N667=0,0,IF(D667="yes",IF(Movements!$G667&gt;INDEX(Tariffs!$T$46:$T$120,$N667),INDEX(Tariffs!$T$46:$T$120,$N667),Movements!$G667),0))</f>
        <v>0</v>
      </c>
      <c r="P667" s="206" cm="1">
        <f t="array" ref="P667">IF(N667=0,0,IF(D667="yes",IF($G667=$O667,0,IF(AND(Movements!$G667&gt;INDEX(Tariffs!$U$46:$U$120,$N667),INDEX(Tariffs!$U$46:$U$120,$N667)&lt;&gt;0),INDEX(Tariffs!$U$46:$U$120,$N667)-INDEX(Tariffs!$T$46:$T$120,$N667),Movements!$G667-Movements!$O667)),0))</f>
        <v>0</v>
      </c>
      <c r="Q667" s="206">
        <f t="shared" si="170"/>
        <v>0</v>
      </c>
      <c r="R667" s="207"/>
      <c r="S667" s="219">
        <f>IFERROR(INDEX('Total qty'!$L$53:$N$127,MATCH(Movements!$C667,'Total qty'!$C$53:$C$127,0),MATCH(Movements!S$614,'Total qty'!$L$5:$N$5,0))/INDEX('Total qty'!$O$53:$O$127,MATCH(Movements!$C667,'Total qty'!$C$53:$C$127,0)),0)*$F667</f>
        <v>0</v>
      </c>
      <c r="T667" s="219">
        <f>IFERROR(INDEX('Total qty'!$L$53:$N$127,MATCH(Movements!$C667,'Total qty'!$C$53:$C$127,0),MATCH(Movements!T$614,'Total qty'!$L$5:$N$5,0))/INDEX('Total qty'!$O$53:$O$127,MATCH(Movements!$C667,'Total qty'!$C$53:$C$127,0)),0)*$F667</f>
        <v>0</v>
      </c>
      <c r="U667" s="219">
        <f>IFERROR(INDEX('Total qty'!$L$53:$N$127,MATCH(Movements!$C667,'Total qty'!$C$53:$C$127,0),MATCH(Movements!U$614,'Total qty'!$L$5:$N$5,0))/INDEX('Total qty'!$O$53:$O$127,MATCH(Movements!$C667,'Total qty'!$C$53:$C$127,0)),0)*$F667</f>
        <v>0</v>
      </c>
      <c r="V667" s="138"/>
      <c r="W667" s="138"/>
      <c r="X667" s="138"/>
      <c r="Y667" s="138"/>
      <c r="Z667" s="138"/>
      <c r="AA667" s="138"/>
      <c r="AB667" s="138"/>
      <c r="AC667" s="70"/>
      <c r="AD667" s="19"/>
      <c r="AE667" s="19"/>
      <c r="AF667" s="19"/>
      <c r="AG667" s="19"/>
    </row>
    <row r="668" spans="1:33" hidden="1" outlineLevel="3" x14ac:dyDescent="0.2">
      <c r="A668" s="19"/>
      <c r="B668" s="97"/>
      <c r="C668" s="506">
        <f t="shared" si="165"/>
        <v>0</v>
      </c>
      <c r="D668" s="505">
        <f t="shared" si="165"/>
        <v>0</v>
      </c>
      <c r="E668" s="505">
        <f t="shared" si="165"/>
        <v>0</v>
      </c>
      <c r="F668" s="246">
        <f t="shared" si="169"/>
        <v>0</v>
      </c>
      <c r="G668" s="198">
        <f>IFERROR(INDEX('Total qty'!$O$53:$O$127,MATCH(Movements!C668,'Total qty'!$C$53:$C$127,0))*consprofilemultiplier/IF(General!$F$35="Customers",INDEX(Qty!$I$8:$I$82,MATCH(Movements!C668,Qty!$C$8:$C$82,0)),INDEX(Qty!$K$8:$K$82,MATCH(Movements!C668,Qty!$C$8:$C$82,0))),0)</f>
        <v>0</v>
      </c>
      <c r="H668" s="221"/>
      <c r="I668" s="206">
        <f t="shared" si="166"/>
        <v>0</v>
      </c>
      <c r="J668" s="206">
        <f t="shared" si="167"/>
        <v>0</v>
      </c>
      <c r="K668" s="206">
        <f t="shared" si="168"/>
        <v>0</v>
      </c>
      <c r="L668" s="178"/>
      <c r="M668" s="198">
        <f>IFERROR(INDEX('Total qty'!$Q$53:$Q$127,MATCH(C668,'Total qty'!$C$53:$C$127,0))*consprofilemultiplier/IF(General!F94="Customers",INDEX(Qty!$I$8:$I$82,MATCH(Movements!C668,Qty!$C$8:$C$82,0)),INDEX(Qty!$K$8:$K$82,MATCH(Movements!C668,Qty!$C$8:$C$82,0))),0)</f>
        <v>0</v>
      </c>
      <c r="N668" s="252">
        <f>_xlfn.IFNA(MATCH(C668,Tariffs!$C$46:$C$120,0),0)</f>
        <v>0</v>
      </c>
      <c r="O668" s="206" cm="1">
        <f t="array" ref="O668">IF(N668=0,0,IF(D668="yes",IF(Movements!$G668&gt;INDEX(Tariffs!$T$46:$T$120,$N668),INDEX(Tariffs!$T$46:$T$120,$N668),Movements!$G668),0))</f>
        <v>0</v>
      </c>
      <c r="P668" s="206" cm="1">
        <f t="array" ref="P668">IF(N668=0,0,IF(D668="yes",IF($G668=$O668,0,IF(AND(Movements!$G668&gt;INDEX(Tariffs!$U$46:$U$120,$N668),INDEX(Tariffs!$U$46:$U$120,$N668)&lt;&gt;0),INDEX(Tariffs!$U$46:$U$120,$N668)-INDEX(Tariffs!$T$46:$T$120,$N668),Movements!$G668-Movements!$O668)),0))</f>
        <v>0</v>
      </c>
      <c r="Q668" s="206">
        <f t="shared" si="170"/>
        <v>0</v>
      </c>
      <c r="R668" s="207"/>
      <c r="S668" s="219">
        <f>IFERROR(INDEX('Total qty'!$L$53:$N$127,MATCH(Movements!$C668,'Total qty'!$C$53:$C$127,0),MATCH(Movements!S$614,'Total qty'!$L$5:$N$5,0))/INDEX('Total qty'!$O$53:$O$127,MATCH(Movements!$C668,'Total qty'!$C$53:$C$127,0)),0)*$F668</f>
        <v>0</v>
      </c>
      <c r="T668" s="219">
        <f>IFERROR(INDEX('Total qty'!$L$53:$N$127,MATCH(Movements!$C668,'Total qty'!$C$53:$C$127,0),MATCH(Movements!T$614,'Total qty'!$L$5:$N$5,0))/INDEX('Total qty'!$O$53:$O$127,MATCH(Movements!$C668,'Total qty'!$C$53:$C$127,0)),0)*$F668</f>
        <v>0</v>
      </c>
      <c r="U668" s="219">
        <f>IFERROR(INDEX('Total qty'!$L$53:$N$127,MATCH(Movements!$C668,'Total qty'!$C$53:$C$127,0),MATCH(Movements!U$614,'Total qty'!$L$5:$N$5,0))/INDEX('Total qty'!$O$53:$O$127,MATCH(Movements!$C668,'Total qty'!$C$53:$C$127,0)),0)*$F668</f>
        <v>0</v>
      </c>
      <c r="V668" s="138"/>
      <c r="W668" s="138"/>
      <c r="X668" s="138"/>
      <c r="Y668" s="138"/>
      <c r="Z668" s="138"/>
      <c r="AA668" s="138"/>
      <c r="AB668" s="138"/>
      <c r="AC668" s="70"/>
      <c r="AD668" s="19"/>
      <c r="AE668" s="19"/>
      <c r="AF668" s="19"/>
      <c r="AG668" s="19"/>
    </row>
    <row r="669" spans="1:33" hidden="1" outlineLevel="3" x14ac:dyDescent="0.2">
      <c r="A669" s="19"/>
      <c r="B669" s="97"/>
      <c r="C669" s="506">
        <f t="shared" si="165"/>
        <v>0</v>
      </c>
      <c r="D669" s="505">
        <f t="shared" si="165"/>
        <v>0</v>
      </c>
      <c r="E669" s="505">
        <f t="shared" si="165"/>
        <v>0</v>
      </c>
      <c r="F669" s="246">
        <f t="shared" si="169"/>
        <v>0</v>
      </c>
      <c r="G669" s="198">
        <f>IFERROR(INDEX('Total qty'!$O$53:$O$127,MATCH(Movements!C669,'Total qty'!$C$53:$C$127,0))*consprofilemultiplier/IF(General!$F$35="Customers",INDEX(Qty!$I$8:$I$82,MATCH(Movements!C669,Qty!$C$8:$C$82,0)),INDEX(Qty!$K$8:$K$82,MATCH(Movements!C669,Qty!$C$8:$C$82,0))),0)</f>
        <v>0</v>
      </c>
      <c r="H669" s="221"/>
      <c r="I669" s="206">
        <f t="shared" si="166"/>
        <v>0</v>
      </c>
      <c r="J669" s="206">
        <f t="shared" si="167"/>
        <v>0</v>
      </c>
      <c r="K669" s="206">
        <f t="shared" si="168"/>
        <v>0</v>
      </c>
      <c r="L669" s="178"/>
      <c r="M669" s="198">
        <f>IFERROR(INDEX('Total qty'!$Q$53:$Q$127,MATCH(C669,'Total qty'!$C$53:$C$127,0))*consprofilemultiplier/IF(General!F95="Customers",INDEX(Qty!$I$8:$I$82,MATCH(Movements!C669,Qty!$C$8:$C$82,0)),INDEX(Qty!$K$8:$K$82,MATCH(Movements!C669,Qty!$C$8:$C$82,0))),0)</f>
        <v>0</v>
      </c>
      <c r="N669" s="252">
        <f>_xlfn.IFNA(MATCH(C669,Tariffs!$C$46:$C$120,0),0)</f>
        <v>0</v>
      </c>
      <c r="O669" s="206" cm="1">
        <f t="array" ref="O669">IF(N669=0,0,IF(D669="yes",IF(Movements!$G669&gt;INDEX(Tariffs!$T$46:$T$120,$N669),INDEX(Tariffs!$T$46:$T$120,$N669),Movements!$G669),0))</f>
        <v>0</v>
      </c>
      <c r="P669" s="206" cm="1">
        <f t="array" ref="P669">IF(N669=0,0,IF(D669="yes",IF($G669=$O669,0,IF(AND(Movements!$G669&gt;INDEX(Tariffs!$U$46:$U$120,$N669),INDEX(Tariffs!$U$46:$U$120,$N669)&lt;&gt;0),INDEX(Tariffs!$U$46:$U$120,$N669)-INDEX(Tariffs!$T$46:$T$120,$N669),Movements!$G669-Movements!$O669)),0))</f>
        <v>0</v>
      </c>
      <c r="Q669" s="206">
        <f t="shared" si="170"/>
        <v>0</v>
      </c>
      <c r="R669" s="207"/>
      <c r="S669" s="219">
        <f>IFERROR(INDEX('Total qty'!$L$53:$N$127,MATCH(Movements!$C669,'Total qty'!$C$53:$C$127,0),MATCH(Movements!S$614,'Total qty'!$L$5:$N$5,0))/INDEX('Total qty'!$O$53:$O$127,MATCH(Movements!$C669,'Total qty'!$C$53:$C$127,0)),0)*$F669</f>
        <v>0</v>
      </c>
      <c r="T669" s="219">
        <f>IFERROR(INDEX('Total qty'!$L$53:$N$127,MATCH(Movements!$C669,'Total qty'!$C$53:$C$127,0),MATCH(Movements!T$614,'Total qty'!$L$5:$N$5,0))/INDEX('Total qty'!$O$53:$O$127,MATCH(Movements!$C669,'Total qty'!$C$53:$C$127,0)),0)*$F669</f>
        <v>0</v>
      </c>
      <c r="U669" s="219">
        <f>IFERROR(INDEX('Total qty'!$L$53:$N$127,MATCH(Movements!$C669,'Total qty'!$C$53:$C$127,0),MATCH(Movements!U$614,'Total qty'!$L$5:$N$5,0))/INDEX('Total qty'!$O$53:$O$127,MATCH(Movements!$C669,'Total qty'!$C$53:$C$127,0)),0)*$F669</f>
        <v>0</v>
      </c>
      <c r="V669" s="138"/>
      <c r="W669" s="138"/>
      <c r="X669" s="138"/>
      <c r="Y669" s="138"/>
      <c r="Z669" s="138"/>
      <c r="AA669" s="138"/>
      <c r="AB669" s="138"/>
      <c r="AC669" s="70"/>
      <c r="AD669" s="19"/>
      <c r="AE669" s="19"/>
      <c r="AF669" s="19"/>
      <c r="AG669" s="19"/>
    </row>
    <row r="670" spans="1:33" hidden="1" outlineLevel="3" x14ac:dyDescent="0.2">
      <c r="A670" s="19"/>
      <c r="B670" s="97"/>
      <c r="C670" s="506">
        <f t="shared" si="165"/>
        <v>0</v>
      </c>
      <c r="D670" s="505">
        <f t="shared" si="165"/>
        <v>0</v>
      </c>
      <c r="E670" s="505">
        <f t="shared" si="165"/>
        <v>0</v>
      </c>
      <c r="F670" s="246">
        <f t="shared" si="169"/>
        <v>0</v>
      </c>
      <c r="G670" s="198">
        <f>IFERROR(INDEX('Total qty'!$O$53:$O$127,MATCH(Movements!C670,'Total qty'!$C$53:$C$127,0))*consprofilemultiplier/IF(General!$F$35="Customers",INDEX(Qty!$I$8:$I$82,MATCH(Movements!C670,Qty!$C$8:$C$82,0)),INDEX(Qty!$K$8:$K$82,MATCH(Movements!C670,Qty!$C$8:$C$82,0))),0)</f>
        <v>0</v>
      </c>
      <c r="H670" s="221"/>
      <c r="I670" s="206">
        <f t="shared" si="166"/>
        <v>0</v>
      </c>
      <c r="J670" s="206">
        <f t="shared" si="167"/>
        <v>0</v>
      </c>
      <c r="K670" s="206">
        <f t="shared" si="168"/>
        <v>0</v>
      </c>
      <c r="L670" s="178"/>
      <c r="M670" s="198">
        <f>IFERROR(INDEX('Total qty'!$Q$53:$Q$127,MATCH(C670,'Total qty'!$C$53:$C$127,0))*consprofilemultiplier/IF(General!F96="Customers",INDEX(Qty!$I$8:$I$82,MATCH(Movements!C670,Qty!$C$8:$C$82,0)),INDEX(Qty!$K$8:$K$82,MATCH(Movements!C670,Qty!$C$8:$C$82,0))),0)</f>
        <v>0</v>
      </c>
      <c r="N670" s="252">
        <f>_xlfn.IFNA(MATCH(C670,Tariffs!$C$46:$C$120,0),0)</f>
        <v>0</v>
      </c>
      <c r="O670" s="206" cm="1">
        <f t="array" ref="O670">IF(N670=0,0,IF(D670="yes",IF(Movements!$G670&gt;INDEX(Tariffs!$T$46:$T$120,$N670),INDEX(Tariffs!$T$46:$T$120,$N670),Movements!$G670),0))</f>
        <v>0</v>
      </c>
      <c r="P670" s="206" cm="1">
        <f t="array" ref="P670">IF(N670=0,0,IF(D670="yes",IF($G670=$O670,0,IF(AND(Movements!$G670&gt;INDEX(Tariffs!$U$46:$U$120,$N670),INDEX(Tariffs!$U$46:$U$120,$N670)&lt;&gt;0),INDEX(Tariffs!$U$46:$U$120,$N670)-INDEX(Tariffs!$T$46:$T$120,$N670),Movements!$G670-Movements!$O670)),0))</f>
        <v>0</v>
      </c>
      <c r="Q670" s="206">
        <f t="shared" si="170"/>
        <v>0</v>
      </c>
      <c r="R670" s="207"/>
      <c r="S670" s="219">
        <f>IFERROR(INDEX('Total qty'!$L$53:$N$127,MATCH(Movements!$C670,'Total qty'!$C$53:$C$127,0),MATCH(Movements!S$614,'Total qty'!$L$5:$N$5,0))/INDEX('Total qty'!$O$53:$O$127,MATCH(Movements!$C670,'Total qty'!$C$53:$C$127,0)),0)*$F670</f>
        <v>0</v>
      </c>
      <c r="T670" s="219">
        <f>IFERROR(INDEX('Total qty'!$L$53:$N$127,MATCH(Movements!$C670,'Total qty'!$C$53:$C$127,0),MATCH(Movements!T$614,'Total qty'!$L$5:$N$5,0))/INDEX('Total qty'!$O$53:$O$127,MATCH(Movements!$C670,'Total qty'!$C$53:$C$127,0)),0)*$F670</f>
        <v>0</v>
      </c>
      <c r="U670" s="219">
        <f>IFERROR(INDEX('Total qty'!$L$53:$N$127,MATCH(Movements!$C670,'Total qty'!$C$53:$C$127,0),MATCH(Movements!U$614,'Total qty'!$L$5:$N$5,0))/INDEX('Total qty'!$O$53:$O$127,MATCH(Movements!$C670,'Total qty'!$C$53:$C$127,0)),0)*$F670</f>
        <v>0</v>
      </c>
      <c r="V670" s="138"/>
      <c r="W670" s="138"/>
      <c r="X670" s="138"/>
      <c r="Y670" s="138"/>
      <c r="Z670" s="138"/>
      <c r="AA670" s="138"/>
      <c r="AB670" s="138"/>
      <c r="AC670" s="70"/>
      <c r="AD670" s="19"/>
      <c r="AE670" s="19"/>
      <c r="AF670" s="19"/>
      <c r="AG670" s="19"/>
    </row>
    <row r="671" spans="1:33" hidden="1" outlineLevel="3" x14ac:dyDescent="0.2">
      <c r="A671" s="19"/>
      <c r="B671" s="97"/>
      <c r="C671" s="506">
        <f t="shared" si="165"/>
        <v>0</v>
      </c>
      <c r="D671" s="505">
        <f t="shared" si="165"/>
        <v>0</v>
      </c>
      <c r="E671" s="505">
        <f t="shared" si="165"/>
        <v>0</v>
      </c>
      <c r="F671" s="246">
        <f t="shared" si="169"/>
        <v>0</v>
      </c>
      <c r="G671" s="198">
        <f>IFERROR(INDEX('Total qty'!$O$53:$O$127,MATCH(Movements!C671,'Total qty'!$C$53:$C$127,0))*consprofilemultiplier/IF(General!$F$35="Customers",INDEX(Qty!$I$8:$I$82,MATCH(Movements!C671,Qty!$C$8:$C$82,0)),INDEX(Qty!$K$8:$K$82,MATCH(Movements!C671,Qty!$C$8:$C$82,0))),0)</f>
        <v>0</v>
      </c>
      <c r="H671" s="221"/>
      <c r="I671" s="206">
        <f t="shared" si="166"/>
        <v>0</v>
      </c>
      <c r="J671" s="206">
        <f t="shared" si="167"/>
        <v>0</v>
      </c>
      <c r="K671" s="206">
        <f t="shared" si="168"/>
        <v>0</v>
      </c>
      <c r="L671" s="178"/>
      <c r="M671" s="198">
        <f>IFERROR(INDEX('Total qty'!$Q$53:$Q$127,MATCH(C671,'Total qty'!$C$53:$C$127,0))*consprofilemultiplier/IF(General!F97="Customers",INDEX(Qty!$I$8:$I$82,MATCH(Movements!C671,Qty!$C$8:$C$82,0)),INDEX(Qty!$K$8:$K$82,MATCH(Movements!C671,Qty!$C$8:$C$82,0))),0)</f>
        <v>0</v>
      </c>
      <c r="N671" s="252">
        <f>_xlfn.IFNA(MATCH(C671,Tariffs!$C$46:$C$120,0),0)</f>
        <v>0</v>
      </c>
      <c r="O671" s="206" cm="1">
        <f t="array" ref="O671">IF(N671=0,0,IF(D671="yes",IF(Movements!$G671&gt;INDEX(Tariffs!$T$46:$T$120,$N671),INDEX(Tariffs!$T$46:$T$120,$N671),Movements!$G671),0))</f>
        <v>0</v>
      </c>
      <c r="P671" s="206" cm="1">
        <f t="array" ref="P671">IF(N671=0,0,IF(D671="yes",IF($G671=$O671,0,IF(AND(Movements!$G671&gt;INDEX(Tariffs!$U$46:$U$120,$N671),INDEX(Tariffs!$U$46:$U$120,$N671)&lt;&gt;0),INDEX(Tariffs!$U$46:$U$120,$N671)-INDEX(Tariffs!$T$46:$T$120,$N671),Movements!$G671-Movements!$O671)),0))</f>
        <v>0</v>
      </c>
      <c r="Q671" s="206">
        <f t="shared" si="170"/>
        <v>0</v>
      </c>
      <c r="R671" s="207"/>
      <c r="S671" s="219">
        <f>IFERROR(INDEX('Total qty'!$L$53:$N$127,MATCH(Movements!$C671,'Total qty'!$C$53:$C$127,0),MATCH(Movements!S$614,'Total qty'!$L$5:$N$5,0))/INDEX('Total qty'!$O$53:$O$127,MATCH(Movements!$C671,'Total qty'!$C$53:$C$127,0)),0)*$F671</f>
        <v>0</v>
      </c>
      <c r="T671" s="219">
        <f>IFERROR(INDEX('Total qty'!$L$53:$N$127,MATCH(Movements!$C671,'Total qty'!$C$53:$C$127,0),MATCH(Movements!T$614,'Total qty'!$L$5:$N$5,0))/INDEX('Total qty'!$O$53:$O$127,MATCH(Movements!$C671,'Total qty'!$C$53:$C$127,0)),0)*$F671</f>
        <v>0</v>
      </c>
      <c r="U671" s="219">
        <f>IFERROR(INDEX('Total qty'!$L$53:$N$127,MATCH(Movements!$C671,'Total qty'!$C$53:$C$127,0),MATCH(Movements!U$614,'Total qty'!$L$5:$N$5,0))/INDEX('Total qty'!$O$53:$O$127,MATCH(Movements!$C671,'Total qty'!$C$53:$C$127,0)),0)*$F671</f>
        <v>0</v>
      </c>
      <c r="V671" s="138"/>
      <c r="W671" s="138"/>
      <c r="X671" s="138"/>
      <c r="Y671" s="138"/>
      <c r="Z671" s="138"/>
      <c r="AA671" s="138"/>
      <c r="AB671" s="138"/>
      <c r="AC671" s="70"/>
      <c r="AD671" s="19"/>
      <c r="AE671" s="19"/>
      <c r="AF671" s="19"/>
      <c r="AG671" s="19"/>
    </row>
    <row r="672" spans="1:33" hidden="1" outlineLevel="3" x14ac:dyDescent="0.2">
      <c r="A672" s="19"/>
      <c r="B672" s="98"/>
      <c r="C672" s="506">
        <f t="shared" si="165"/>
        <v>0</v>
      </c>
      <c r="D672" s="505">
        <f t="shared" si="165"/>
        <v>0</v>
      </c>
      <c r="E672" s="505">
        <f t="shared" si="165"/>
        <v>0</v>
      </c>
      <c r="F672" s="246">
        <f t="shared" si="169"/>
        <v>0</v>
      </c>
      <c r="G672" s="198">
        <f>IFERROR(INDEX('Total qty'!$O$53:$O$127,MATCH(Movements!C672,'Total qty'!$C$53:$C$127,0))*consprofilemultiplier/IF(General!$F$35="Customers",INDEX(Qty!$I$8:$I$82,MATCH(Movements!C672,Qty!$C$8:$C$82,0)),INDEX(Qty!$K$8:$K$82,MATCH(Movements!C672,Qty!$C$8:$C$82,0))),0)</f>
        <v>0</v>
      </c>
      <c r="H672" s="221"/>
      <c r="I672" s="206">
        <f t="shared" si="166"/>
        <v>0</v>
      </c>
      <c r="J672" s="206">
        <f t="shared" si="167"/>
        <v>0</v>
      </c>
      <c r="K672" s="206">
        <f t="shared" si="168"/>
        <v>0</v>
      </c>
      <c r="L672" s="178"/>
      <c r="M672" s="198">
        <f>IFERROR(INDEX('Total qty'!$Q$53:$Q$127,MATCH(C672,'Total qty'!$C$53:$C$127,0))*consprofilemultiplier/IF(General!F98="Customers",INDEX(Qty!$I$8:$I$82,MATCH(Movements!C672,Qty!$C$8:$C$82,0)),INDEX(Qty!$K$8:$K$82,MATCH(Movements!C672,Qty!$C$8:$C$82,0))),0)</f>
        <v>0</v>
      </c>
      <c r="N672" s="252">
        <f>_xlfn.IFNA(MATCH(C672,Tariffs!$C$46:$C$120,0),0)</f>
        <v>0</v>
      </c>
      <c r="O672" s="206" cm="1">
        <f t="array" ref="O672">IF(N672=0,0,IF(D672="yes",IF(Movements!$G672&gt;INDEX(Tariffs!$T$46:$T$120,$N672),INDEX(Tariffs!$T$46:$T$120,$N672),Movements!$G672),0))</f>
        <v>0</v>
      </c>
      <c r="P672" s="206" cm="1">
        <f t="array" ref="P672">IF(N672=0,0,IF(D672="yes",IF($G672=$O672,0,IF(AND(Movements!$G672&gt;INDEX(Tariffs!$U$46:$U$120,$N672),INDEX(Tariffs!$U$46:$U$120,$N672)&lt;&gt;0),INDEX(Tariffs!$U$46:$U$120,$N672)-INDEX(Tariffs!$T$46:$T$120,$N672),Movements!$G672-Movements!$O672)),0))</f>
        <v>0</v>
      </c>
      <c r="Q672" s="206">
        <f t="shared" si="170"/>
        <v>0</v>
      </c>
      <c r="R672" s="207"/>
      <c r="S672" s="219">
        <f>IFERROR(INDEX('Total qty'!$L$53:$N$127,MATCH(Movements!$C672,'Total qty'!$C$53:$C$127,0),MATCH(Movements!S$614,'Total qty'!$L$5:$N$5,0))/INDEX('Total qty'!$O$53:$O$127,MATCH(Movements!$C672,'Total qty'!$C$53:$C$127,0)),0)*$F672</f>
        <v>0</v>
      </c>
      <c r="T672" s="219">
        <f>IFERROR(INDEX('Total qty'!$L$53:$N$127,MATCH(Movements!$C672,'Total qty'!$C$53:$C$127,0),MATCH(Movements!T$614,'Total qty'!$L$5:$N$5,0))/INDEX('Total qty'!$O$53:$O$127,MATCH(Movements!$C672,'Total qty'!$C$53:$C$127,0)),0)*$F672</f>
        <v>0</v>
      </c>
      <c r="U672" s="219">
        <f>IFERROR(INDEX('Total qty'!$L$53:$N$127,MATCH(Movements!$C672,'Total qty'!$C$53:$C$127,0),MATCH(Movements!U$614,'Total qty'!$L$5:$N$5,0))/INDEX('Total qty'!$O$53:$O$127,MATCH(Movements!$C672,'Total qty'!$C$53:$C$127,0)),0)*$F672</f>
        <v>0</v>
      </c>
      <c r="V672" s="138"/>
      <c r="W672" s="138"/>
      <c r="X672" s="138"/>
      <c r="Y672" s="138"/>
      <c r="Z672" s="138"/>
      <c r="AA672" s="138"/>
      <c r="AB672" s="138"/>
      <c r="AC672" s="70"/>
      <c r="AD672" s="19"/>
      <c r="AE672" s="19"/>
      <c r="AF672" s="19"/>
      <c r="AG672" s="19"/>
    </row>
    <row r="673" spans="1:33" hidden="1" outlineLevel="3" x14ac:dyDescent="0.2">
      <c r="A673" s="19"/>
      <c r="B673" s="97"/>
      <c r="C673" s="506">
        <f t="shared" si="165"/>
        <v>0</v>
      </c>
      <c r="D673" s="505">
        <f t="shared" si="165"/>
        <v>0</v>
      </c>
      <c r="E673" s="505">
        <f t="shared" si="165"/>
        <v>0</v>
      </c>
      <c r="F673" s="246">
        <f t="shared" si="169"/>
        <v>0</v>
      </c>
      <c r="G673" s="198">
        <f>IFERROR(INDEX('Total qty'!$O$53:$O$127,MATCH(Movements!C673,'Total qty'!$C$53:$C$127,0))*consprofilemultiplier/IF(General!$F$35="Customers",INDEX(Qty!$I$8:$I$82,MATCH(Movements!C673,Qty!$C$8:$C$82,0)),INDEX(Qty!$K$8:$K$82,MATCH(Movements!C673,Qty!$C$8:$C$82,0))),0)</f>
        <v>0</v>
      </c>
      <c r="H673" s="221"/>
      <c r="I673" s="206">
        <f t="shared" si="166"/>
        <v>0</v>
      </c>
      <c r="J673" s="206">
        <f t="shared" si="167"/>
        <v>0</v>
      </c>
      <c r="K673" s="206">
        <f t="shared" si="168"/>
        <v>0</v>
      </c>
      <c r="L673" s="178"/>
      <c r="M673" s="198">
        <f>IFERROR(INDEX('Total qty'!$Q$53:$Q$127,MATCH(C673,'Total qty'!$C$53:$C$127,0))*consprofilemultiplier/IF(General!F99="Customers",INDEX(Qty!$I$8:$I$82,MATCH(Movements!C673,Qty!$C$8:$C$82,0)),INDEX(Qty!$K$8:$K$82,MATCH(Movements!C673,Qty!$C$8:$C$82,0))),0)</f>
        <v>0</v>
      </c>
      <c r="N673" s="252">
        <f>_xlfn.IFNA(MATCH(C673,Tariffs!$C$46:$C$120,0),0)</f>
        <v>0</v>
      </c>
      <c r="O673" s="206" cm="1">
        <f t="array" ref="O673">IF(N673=0,0,IF(D673="yes",IF(Movements!$G673&gt;INDEX(Tariffs!$T$46:$T$120,$N673),INDEX(Tariffs!$T$46:$T$120,$N673),Movements!$G673),0))</f>
        <v>0</v>
      </c>
      <c r="P673" s="206" cm="1">
        <f t="array" ref="P673">IF(N673=0,0,IF(D673="yes",IF($G673=$O673,0,IF(AND(Movements!$G673&gt;INDEX(Tariffs!$U$46:$U$120,$N673),INDEX(Tariffs!$U$46:$U$120,$N673)&lt;&gt;0),INDEX(Tariffs!$U$46:$U$120,$N673)-INDEX(Tariffs!$T$46:$T$120,$N673),Movements!$G673-Movements!$O673)),0))</f>
        <v>0</v>
      </c>
      <c r="Q673" s="206">
        <f t="shared" si="170"/>
        <v>0</v>
      </c>
      <c r="R673" s="207"/>
      <c r="S673" s="219">
        <f>IFERROR(INDEX('Total qty'!$L$53:$N$127,MATCH(Movements!$C673,'Total qty'!$C$53:$C$127,0),MATCH(Movements!S$614,'Total qty'!$L$5:$N$5,0))/INDEX('Total qty'!$O$53:$O$127,MATCH(Movements!$C673,'Total qty'!$C$53:$C$127,0)),0)*$F673</f>
        <v>0</v>
      </c>
      <c r="T673" s="219">
        <f>IFERROR(INDEX('Total qty'!$L$53:$N$127,MATCH(Movements!$C673,'Total qty'!$C$53:$C$127,0),MATCH(Movements!T$614,'Total qty'!$L$5:$N$5,0))/INDEX('Total qty'!$O$53:$O$127,MATCH(Movements!$C673,'Total qty'!$C$53:$C$127,0)),0)*$F673</f>
        <v>0</v>
      </c>
      <c r="U673" s="219">
        <f>IFERROR(INDEX('Total qty'!$L$53:$N$127,MATCH(Movements!$C673,'Total qty'!$C$53:$C$127,0),MATCH(Movements!U$614,'Total qty'!$L$5:$N$5,0))/INDEX('Total qty'!$O$53:$O$127,MATCH(Movements!$C673,'Total qty'!$C$53:$C$127,0)),0)*$F673</f>
        <v>0</v>
      </c>
      <c r="V673" s="138"/>
      <c r="W673" s="138"/>
      <c r="X673" s="138"/>
      <c r="Y673" s="138"/>
      <c r="Z673" s="138"/>
      <c r="AA673" s="138"/>
      <c r="AB673" s="138"/>
      <c r="AC673" s="70"/>
      <c r="AD673" s="19"/>
      <c r="AE673" s="19"/>
      <c r="AF673" s="19"/>
      <c r="AG673" s="19"/>
    </row>
    <row r="674" spans="1:33" hidden="1" outlineLevel="3" x14ac:dyDescent="0.2">
      <c r="A674" s="19"/>
      <c r="B674" s="97"/>
      <c r="C674" s="506">
        <f t="shared" si="165"/>
        <v>0</v>
      </c>
      <c r="D674" s="505">
        <f t="shared" si="165"/>
        <v>0</v>
      </c>
      <c r="E674" s="505">
        <f t="shared" si="165"/>
        <v>0</v>
      </c>
      <c r="F674" s="246">
        <f t="shared" si="169"/>
        <v>0</v>
      </c>
      <c r="G674" s="198">
        <f>IFERROR(INDEX('Total qty'!$O$53:$O$127,MATCH(Movements!C674,'Total qty'!$C$53:$C$127,0))*consprofilemultiplier/IF(General!$F$35="Customers",INDEX(Qty!$I$8:$I$82,MATCH(Movements!C674,Qty!$C$8:$C$82,0)),INDEX(Qty!$K$8:$K$82,MATCH(Movements!C674,Qty!$C$8:$C$82,0))),0)</f>
        <v>0</v>
      </c>
      <c r="H674" s="221"/>
      <c r="I674" s="206">
        <f t="shared" si="166"/>
        <v>0</v>
      </c>
      <c r="J674" s="206">
        <f t="shared" si="167"/>
        <v>0</v>
      </c>
      <c r="K674" s="206">
        <f t="shared" si="168"/>
        <v>0</v>
      </c>
      <c r="L674" s="178"/>
      <c r="M674" s="198">
        <f>IFERROR(INDEX('Total qty'!$Q$53:$Q$127,MATCH(C674,'Total qty'!$C$53:$C$127,0))*consprofilemultiplier/IF(General!F100="Customers",INDEX(Qty!$I$8:$I$82,MATCH(Movements!C674,Qty!$C$8:$C$82,0)),INDEX(Qty!$K$8:$K$82,MATCH(Movements!C674,Qty!$C$8:$C$82,0))),0)</f>
        <v>0</v>
      </c>
      <c r="N674" s="252">
        <f>_xlfn.IFNA(MATCH(C674,Tariffs!$C$46:$C$120,0),0)</f>
        <v>0</v>
      </c>
      <c r="O674" s="206" cm="1">
        <f t="array" ref="O674">IF(N674=0,0,IF(D674="yes",IF(Movements!$G674&gt;INDEX(Tariffs!$T$46:$T$120,$N674),INDEX(Tariffs!$T$46:$T$120,$N674),Movements!$G674),0))</f>
        <v>0</v>
      </c>
      <c r="P674" s="206" cm="1">
        <f t="array" ref="P674">IF(N674=0,0,IF(D674="yes",IF($G674=$O674,0,IF(AND(Movements!$G674&gt;INDEX(Tariffs!$U$46:$U$120,$N674),INDEX(Tariffs!$U$46:$U$120,$N674)&lt;&gt;0),INDEX(Tariffs!$U$46:$U$120,$N674)-INDEX(Tariffs!$T$46:$T$120,$N674),Movements!$G674-Movements!$O674)),0))</f>
        <v>0</v>
      </c>
      <c r="Q674" s="206">
        <f t="shared" si="170"/>
        <v>0</v>
      </c>
      <c r="R674" s="207"/>
      <c r="S674" s="219">
        <f>IFERROR(INDEX('Total qty'!$L$53:$N$127,MATCH(Movements!$C674,'Total qty'!$C$53:$C$127,0),MATCH(Movements!S$614,'Total qty'!$L$5:$N$5,0))/INDEX('Total qty'!$O$53:$O$127,MATCH(Movements!$C674,'Total qty'!$C$53:$C$127,0)),0)*$F674</f>
        <v>0</v>
      </c>
      <c r="T674" s="219">
        <f>IFERROR(INDEX('Total qty'!$L$53:$N$127,MATCH(Movements!$C674,'Total qty'!$C$53:$C$127,0),MATCH(Movements!T$614,'Total qty'!$L$5:$N$5,0))/INDEX('Total qty'!$O$53:$O$127,MATCH(Movements!$C674,'Total qty'!$C$53:$C$127,0)),0)*$F674</f>
        <v>0</v>
      </c>
      <c r="U674" s="219">
        <f>IFERROR(INDEX('Total qty'!$L$53:$N$127,MATCH(Movements!$C674,'Total qty'!$C$53:$C$127,0),MATCH(Movements!U$614,'Total qty'!$L$5:$N$5,0))/INDEX('Total qty'!$O$53:$O$127,MATCH(Movements!$C674,'Total qty'!$C$53:$C$127,0)),0)*$F674</f>
        <v>0</v>
      </c>
      <c r="V674" s="138"/>
      <c r="W674" s="138"/>
      <c r="X674" s="138"/>
      <c r="Y674" s="138"/>
      <c r="Z674" s="138"/>
      <c r="AA674" s="138"/>
      <c r="AB674" s="138"/>
      <c r="AC674" s="70"/>
      <c r="AD674" s="19"/>
      <c r="AE674" s="19"/>
      <c r="AF674" s="19"/>
      <c r="AG674" s="19"/>
    </row>
    <row r="675" spans="1:33" hidden="1" outlineLevel="3" x14ac:dyDescent="0.2">
      <c r="A675" s="19"/>
      <c r="B675" s="97"/>
      <c r="C675" s="506">
        <f t="shared" si="165"/>
        <v>0</v>
      </c>
      <c r="D675" s="505">
        <f t="shared" si="165"/>
        <v>0</v>
      </c>
      <c r="E675" s="505">
        <f t="shared" si="165"/>
        <v>0</v>
      </c>
      <c r="F675" s="246">
        <f t="shared" si="169"/>
        <v>0</v>
      </c>
      <c r="G675" s="198">
        <f>IFERROR(INDEX('Total qty'!$O$53:$O$127,MATCH(Movements!C675,'Total qty'!$C$53:$C$127,0))*consprofilemultiplier/IF(General!$F$35="Customers",INDEX(Qty!$I$8:$I$82,MATCH(Movements!C675,Qty!$C$8:$C$82,0)),INDEX(Qty!$K$8:$K$82,MATCH(Movements!C675,Qty!$C$8:$C$82,0))),0)</f>
        <v>0</v>
      </c>
      <c r="H675" s="221"/>
      <c r="I675" s="206">
        <f t="shared" si="166"/>
        <v>0</v>
      </c>
      <c r="J675" s="206">
        <f t="shared" si="167"/>
        <v>0</v>
      </c>
      <c r="K675" s="206">
        <f t="shared" si="168"/>
        <v>0</v>
      </c>
      <c r="L675" s="178"/>
      <c r="M675" s="198">
        <f>IFERROR(INDEX('Total qty'!$Q$53:$Q$127,MATCH(C675,'Total qty'!$C$53:$C$127,0))*consprofilemultiplier/IF(General!F101="Customers",INDEX(Qty!$I$8:$I$82,MATCH(Movements!C675,Qty!$C$8:$C$82,0)),INDEX(Qty!$K$8:$K$82,MATCH(Movements!C675,Qty!$C$8:$C$82,0))),0)</f>
        <v>0</v>
      </c>
      <c r="N675" s="252">
        <f>_xlfn.IFNA(MATCH(C675,Tariffs!$C$46:$C$120,0),0)</f>
        <v>0</v>
      </c>
      <c r="O675" s="206" cm="1">
        <f t="array" ref="O675">IF(N675=0,0,IF(D675="yes",IF(Movements!$G675&gt;INDEX(Tariffs!$T$46:$T$120,$N675),INDEX(Tariffs!$T$46:$T$120,$N675),Movements!$G675),0))</f>
        <v>0</v>
      </c>
      <c r="P675" s="206" cm="1">
        <f t="array" ref="P675">IF(N675=0,0,IF(D675="yes",IF($G675=$O675,0,IF(AND(Movements!$G675&gt;INDEX(Tariffs!$U$46:$U$120,$N675),INDEX(Tariffs!$U$46:$U$120,$N675)&lt;&gt;0),INDEX(Tariffs!$U$46:$U$120,$N675)-INDEX(Tariffs!$T$46:$T$120,$N675),Movements!$G675-Movements!$O675)),0))</f>
        <v>0</v>
      </c>
      <c r="Q675" s="206">
        <f t="shared" si="170"/>
        <v>0</v>
      </c>
      <c r="R675" s="207"/>
      <c r="S675" s="219">
        <f>IFERROR(INDEX('Total qty'!$L$53:$N$127,MATCH(Movements!$C675,'Total qty'!$C$53:$C$127,0),MATCH(Movements!S$614,'Total qty'!$L$5:$N$5,0))/INDEX('Total qty'!$O$53:$O$127,MATCH(Movements!$C675,'Total qty'!$C$53:$C$127,0)),0)*$F675</f>
        <v>0</v>
      </c>
      <c r="T675" s="219">
        <f>IFERROR(INDEX('Total qty'!$L$53:$N$127,MATCH(Movements!$C675,'Total qty'!$C$53:$C$127,0),MATCH(Movements!T$614,'Total qty'!$L$5:$N$5,0))/INDEX('Total qty'!$O$53:$O$127,MATCH(Movements!$C675,'Total qty'!$C$53:$C$127,0)),0)*$F675</f>
        <v>0</v>
      </c>
      <c r="U675" s="219">
        <f>IFERROR(INDEX('Total qty'!$L$53:$N$127,MATCH(Movements!$C675,'Total qty'!$C$53:$C$127,0),MATCH(Movements!U$614,'Total qty'!$L$5:$N$5,0))/INDEX('Total qty'!$O$53:$O$127,MATCH(Movements!$C675,'Total qty'!$C$53:$C$127,0)),0)*$F675</f>
        <v>0</v>
      </c>
      <c r="V675" s="138"/>
      <c r="W675" s="138"/>
      <c r="X675" s="138"/>
      <c r="Y675" s="138"/>
      <c r="Z675" s="138"/>
      <c r="AA675" s="138"/>
      <c r="AB675" s="138"/>
      <c r="AC675" s="70"/>
      <c r="AD675" s="19"/>
      <c r="AE675" s="19"/>
      <c r="AF675" s="19"/>
      <c r="AG675" s="19"/>
    </row>
    <row r="676" spans="1:33" hidden="1" outlineLevel="3" x14ac:dyDescent="0.2">
      <c r="A676" s="19"/>
      <c r="B676" s="97"/>
      <c r="C676" s="506">
        <f t="shared" si="165"/>
        <v>0</v>
      </c>
      <c r="D676" s="505">
        <f t="shared" si="165"/>
        <v>0</v>
      </c>
      <c r="E676" s="505">
        <f t="shared" si="165"/>
        <v>0</v>
      </c>
      <c r="F676" s="246">
        <f t="shared" si="169"/>
        <v>0</v>
      </c>
      <c r="G676" s="198">
        <f>IFERROR(INDEX('Total qty'!$O$53:$O$127,MATCH(Movements!C676,'Total qty'!$C$53:$C$127,0))*consprofilemultiplier/IF(General!$F$35="Customers",INDEX(Qty!$I$8:$I$82,MATCH(Movements!C676,Qty!$C$8:$C$82,0)),INDEX(Qty!$K$8:$K$82,MATCH(Movements!C676,Qty!$C$8:$C$82,0))),0)</f>
        <v>0</v>
      </c>
      <c r="H676" s="221"/>
      <c r="I676" s="206">
        <f t="shared" si="166"/>
        <v>0</v>
      </c>
      <c r="J676" s="206">
        <f t="shared" si="167"/>
        <v>0</v>
      </c>
      <c r="K676" s="206">
        <f t="shared" si="168"/>
        <v>0</v>
      </c>
      <c r="L676" s="178"/>
      <c r="M676" s="198">
        <f>IFERROR(INDEX('Total qty'!$Q$53:$Q$127,MATCH(C676,'Total qty'!$C$53:$C$127,0))*consprofilemultiplier/IF(General!F102="Customers",INDEX(Qty!$I$8:$I$82,MATCH(Movements!C676,Qty!$C$8:$C$82,0)),INDEX(Qty!$K$8:$K$82,MATCH(Movements!C676,Qty!$C$8:$C$82,0))),0)</f>
        <v>0</v>
      </c>
      <c r="N676" s="252">
        <f>_xlfn.IFNA(MATCH(C676,Tariffs!$C$46:$C$120,0),0)</f>
        <v>0</v>
      </c>
      <c r="O676" s="206" cm="1">
        <f t="array" ref="O676">IF(N676=0,0,IF(D676="yes",IF(Movements!$G676&gt;INDEX(Tariffs!$T$46:$T$120,$N676),INDEX(Tariffs!$T$46:$T$120,$N676),Movements!$G676),0))</f>
        <v>0</v>
      </c>
      <c r="P676" s="206" cm="1">
        <f t="array" ref="P676">IF(N676=0,0,IF(D676="yes",IF($G676=$O676,0,IF(AND(Movements!$G676&gt;INDEX(Tariffs!$U$46:$U$120,$N676),INDEX(Tariffs!$U$46:$U$120,$N676)&lt;&gt;0),INDEX(Tariffs!$U$46:$U$120,$N676)-INDEX(Tariffs!$T$46:$T$120,$N676),Movements!$G676-Movements!$O676)),0))</f>
        <v>0</v>
      </c>
      <c r="Q676" s="206">
        <f t="shared" si="170"/>
        <v>0</v>
      </c>
      <c r="R676" s="207"/>
      <c r="S676" s="219">
        <f>IFERROR(INDEX('Total qty'!$L$53:$N$127,MATCH(Movements!$C676,'Total qty'!$C$53:$C$127,0),MATCH(Movements!S$614,'Total qty'!$L$5:$N$5,0))/INDEX('Total qty'!$O$53:$O$127,MATCH(Movements!$C676,'Total qty'!$C$53:$C$127,0)),0)*$F676</f>
        <v>0</v>
      </c>
      <c r="T676" s="219">
        <f>IFERROR(INDEX('Total qty'!$L$53:$N$127,MATCH(Movements!$C676,'Total qty'!$C$53:$C$127,0),MATCH(Movements!T$614,'Total qty'!$L$5:$N$5,0))/INDEX('Total qty'!$O$53:$O$127,MATCH(Movements!$C676,'Total qty'!$C$53:$C$127,0)),0)*$F676</f>
        <v>0</v>
      </c>
      <c r="U676" s="219">
        <f>IFERROR(INDEX('Total qty'!$L$53:$N$127,MATCH(Movements!$C676,'Total qty'!$C$53:$C$127,0),MATCH(Movements!U$614,'Total qty'!$L$5:$N$5,0))/INDEX('Total qty'!$O$53:$O$127,MATCH(Movements!$C676,'Total qty'!$C$53:$C$127,0)),0)*$F676</f>
        <v>0</v>
      </c>
      <c r="V676" s="138"/>
      <c r="W676" s="138"/>
      <c r="X676" s="138"/>
      <c r="Y676" s="138"/>
      <c r="Z676" s="138"/>
      <c r="AA676" s="138"/>
      <c r="AB676" s="138"/>
      <c r="AC676" s="70"/>
      <c r="AD676" s="19"/>
      <c r="AE676" s="19"/>
      <c r="AF676" s="19"/>
      <c r="AG676" s="19"/>
    </row>
    <row r="677" spans="1:33" hidden="1" outlineLevel="3" x14ac:dyDescent="0.2">
      <c r="A677" s="19"/>
      <c r="B677" s="97"/>
      <c r="C677" s="506">
        <f t="shared" si="165"/>
        <v>0</v>
      </c>
      <c r="D677" s="505">
        <f t="shared" si="165"/>
        <v>0</v>
      </c>
      <c r="E677" s="505">
        <f t="shared" si="165"/>
        <v>0</v>
      </c>
      <c r="F677" s="246">
        <f t="shared" si="169"/>
        <v>0</v>
      </c>
      <c r="G677" s="198">
        <f>IFERROR(INDEX('Total qty'!$O$53:$O$127,MATCH(Movements!C677,'Total qty'!$C$53:$C$127,0))*consprofilemultiplier/IF(General!$F$35="Customers",INDEX(Qty!$I$8:$I$82,MATCH(Movements!C677,Qty!$C$8:$C$82,0)),INDEX(Qty!$K$8:$K$82,MATCH(Movements!C677,Qty!$C$8:$C$82,0))),0)</f>
        <v>0</v>
      </c>
      <c r="H677" s="221"/>
      <c r="I677" s="206">
        <f t="shared" si="166"/>
        <v>0</v>
      </c>
      <c r="J677" s="206">
        <f t="shared" si="167"/>
        <v>0</v>
      </c>
      <c r="K677" s="206">
        <f t="shared" si="168"/>
        <v>0</v>
      </c>
      <c r="L677" s="178"/>
      <c r="M677" s="198">
        <f>IFERROR(INDEX('Total qty'!$Q$53:$Q$127,MATCH(C677,'Total qty'!$C$53:$C$127,0))*consprofilemultiplier/IF(General!F103="Customers",INDEX(Qty!$I$8:$I$82,MATCH(Movements!C677,Qty!$C$8:$C$82,0)),INDEX(Qty!$K$8:$K$82,MATCH(Movements!C677,Qty!$C$8:$C$82,0))),0)</f>
        <v>0</v>
      </c>
      <c r="N677" s="252">
        <f>_xlfn.IFNA(MATCH(C677,Tariffs!$C$46:$C$120,0),0)</f>
        <v>0</v>
      </c>
      <c r="O677" s="206" cm="1">
        <f t="array" ref="O677">IF(N677=0,0,IF(D677="yes",IF(Movements!$G677&gt;INDEX(Tariffs!$T$46:$T$120,$N677),INDEX(Tariffs!$T$46:$T$120,$N677),Movements!$G677),0))</f>
        <v>0</v>
      </c>
      <c r="P677" s="206" cm="1">
        <f t="array" ref="P677">IF(N677=0,0,IF(D677="yes",IF($G677=$O677,0,IF(AND(Movements!$G677&gt;INDEX(Tariffs!$U$46:$U$120,$N677),INDEX(Tariffs!$U$46:$U$120,$N677)&lt;&gt;0),INDEX(Tariffs!$U$46:$U$120,$N677)-INDEX(Tariffs!$T$46:$T$120,$N677),Movements!$G677-Movements!$O677)),0))</f>
        <v>0</v>
      </c>
      <c r="Q677" s="206">
        <f t="shared" si="170"/>
        <v>0</v>
      </c>
      <c r="R677" s="207"/>
      <c r="S677" s="219">
        <f>IFERROR(INDEX('Total qty'!$L$53:$N$127,MATCH(Movements!$C677,'Total qty'!$C$53:$C$127,0),MATCH(Movements!S$614,'Total qty'!$L$5:$N$5,0))/INDEX('Total qty'!$O$53:$O$127,MATCH(Movements!$C677,'Total qty'!$C$53:$C$127,0)),0)*$F677</f>
        <v>0</v>
      </c>
      <c r="T677" s="219">
        <f>IFERROR(INDEX('Total qty'!$L$53:$N$127,MATCH(Movements!$C677,'Total qty'!$C$53:$C$127,0),MATCH(Movements!T$614,'Total qty'!$L$5:$N$5,0))/INDEX('Total qty'!$O$53:$O$127,MATCH(Movements!$C677,'Total qty'!$C$53:$C$127,0)),0)*$F677</f>
        <v>0</v>
      </c>
      <c r="U677" s="219">
        <f>IFERROR(INDEX('Total qty'!$L$53:$N$127,MATCH(Movements!$C677,'Total qty'!$C$53:$C$127,0),MATCH(Movements!U$614,'Total qty'!$L$5:$N$5,0))/INDEX('Total qty'!$O$53:$O$127,MATCH(Movements!$C677,'Total qty'!$C$53:$C$127,0)),0)*$F677</f>
        <v>0</v>
      </c>
      <c r="V677" s="138"/>
      <c r="W677" s="138"/>
      <c r="X677" s="138"/>
      <c r="Y677" s="138"/>
      <c r="Z677" s="138"/>
      <c r="AA677" s="138"/>
      <c r="AB677" s="138"/>
      <c r="AC677" s="70"/>
      <c r="AD677" s="19"/>
      <c r="AE677" s="19"/>
      <c r="AF677" s="19"/>
      <c r="AG677" s="19"/>
    </row>
    <row r="678" spans="1:33" hidden="1" outlineLevel="3" x14ac:dyDescent="0.2">
      <c r="A678" s="19"/>
      <c r="B678" s="97"/>
      <c r="C678" s="506">
        <f t="shared" si="165"/>
        <v>0</v>
      </c>
      <c r="D678" s="505">
        <f t="shared" si="165"/>
        <v>0</v>
      </c>
      <c r="E678" s="505">
        <f t="shared" si="165"/>
        <v>0</v>
      </c>
      <c r="F678" s="246">
        <f t="shared" si="169"/>
        <v>0</v>
      </c>
      <c r="G678" s="198">
        <f>IFERROR(INDEX('Total qty'!$O$53:$O$127,MATCH(Movements!C678,'Total qty'!$C$53:$C$127,0))*consprofilemultiplier/IF(General!$F$35="Customers",INDEX(Qty!$I$8:$I$82,MATCH(Movements!C678,Qty!$C$8:$C$82,0)),INDEX(Qty!$K$8:$K$82,MATCH(Movements!C678,Qty!$C$8:$C$82,0))),0)</f>
        <v>0</v>
      </c>
      <c r="H678" s="221"/>
      <c r="I678" s="206">
        <f t="shared" si="166"/>
        <v>0</v>
      </c>
      <c r="J678" s="206">
        <f t="shared" si="167"/>
        <v>0</v>
      </c>
      <c r="K678" s="206">
        <f t="shared" si="168"/>
        <v>0</v>
      </c>
      <c r="L678" s="178"/>
      <c r="M678" s="198">
        <f>IFERROR(INDEX('Total qty'!$Q$53:$Q$127,MATCH(C678,'Total qty'!$C$53:$C$127,0))*consprofilemultiplier/IF(General!F104="Customers",INDEX(Qty!$I$8:$I$82,MATCH(Movements!C678,Qty!$C$8:$C$82,0)),INDEX(Qty!$K$8:$K$82,MATCH(Movements!C678,Qty!$C$8:$C$82,0))),0)</f>
        <v>0</v>
      </c>
      <c r="N678" s="252">
        <f>_xlfn.IFNA(MATCH(C678,Tariffs!$C$46:$C$120,0),0)</f>
        <v>0</v>
      </c>
      <c r="O678" s="206" cm="1">
        <f t="array" ref="O678">IF(N678=0,0,IF(D678="yes",IF(Movements!$G678&gt;INDEX(Tariffs!$T$46:$T$120,$N678),INDEX(Tariffs!$T$46:$T$120,$N678),Movements!$G678),0))</f>
        <v>0</v>
      </c>
      <c r="P678" s="206" cm="1">
        <f t="array" ref="P678">IF(N678=0,0,IF(D678="yes",IF($G678=$O678,0,IF(AND(Movements!$G678&gt;INDEX(Tariffs!$U$46:$U$120,$N678),INDEX(Tariffs!$U$46:$U$120,$N678)&lt;&gt;0),INDEX(Tariffs!$U$46:$U$120,$N678)-INDEX(Tariffs!$T$46:$T$120,$N678),Movements!$G678-Movements!$O678)),0))</f>
        <v>0</v>
      </c>
      <c r="Q678" s="206">
        <f t="shared" si="170"/>
        <v>0</v>
      </c>
      <c r="R678" s="207"/>
      <c r="S678" s="219">
        <f>IFERROR(INDEX('Total qty'!$L$53:$N$127,MATCH(Movements!$C678,'Total qty'!$C$53:$C$127,0),MATCH(Movements!S$614,'Total qty'!$L$5:$N$5,0))/INDEX('Total qty'!$O$53:$O$127,MATCH(Movements!$C678,'Total qty'!$C$53:$C$127,0)),0)*$F678</f>
        <v>0</v>
      </c>
      <c r="T678" s="219">
        <f>IFERROR(INDEX('Total qty'!$L$53:$N$127,MATCH(Movements!$C678,'Total qty'!$C$53:$C$127,0),MATCH(Movements!T$614,'Total qty'!$L$5:$N$5,0))/INDEX('Total qty'!$O$53:$O$127,MATCH(Movements!$C678,'Total qty'!$C$53:$C$127,0)),0)*$F678</f>
        <v>0</v>
      </c>
      <c r="U678" s="219">
        <f>IFERROR(INDEX('Total qty'!$L$53:$N$127,MATCH(Movements!$C678,'Total qty'!$C$53:$C$127,0),MATCH(Movements!U$614,'Total qty'!$L$5:$N$5,0))/INDEX('Total qty'!$O$53:$O$127,MATCH(Movements!$C678,'Total qty'!$C$53:$C$127,0)),0)*$F678</f>
        <v>0</v>
      </c>
      <c r="V678" s="138"/>
      <c r="W678" s="138"/>
      <c r="X678" s="138"/>
      <c r="Y678" s="138"/>
      <c r="Z678" s="138"/>
      <c r="AA678" s="138"/>
      <c r="AB678" s="138"/>
      <c r="AC678" s="70"/>
      <c r="AD678" s="19"/>
      <c r="AE678" s="19"/>
      <c r="AF678" s="19"/>
      <c r="AG678" s="19"/>
    </row>
    <row r="679" spans="1:33" hidden="1" outlineLevel="3" x14ac:dyDescent="0.2">
      <c r="A679" s="19"/>
      <c r="B679" s="98"/>
      <c r="C679" s="506">
        <f t="shared" si="165"/>
        <v>0</v>
      </c>
      <c r="D679" s="505">
        <f t="shared" si="165"/>
        <v>0</v>
      </c>
      <c r="E679" s="505">
        <f t="shared" si="165"/>
        <v>0</v>
      </c>
      <c r="F679" s="246">
        <f t="shared" si="169"/>
        <v>0</v>
      </c>
      <c r="G679" s="198">
        <f>IFERROR(INDEX('Total qty'!$O$53:$O$127,MATCH(Movements!C679,'Total qty'!$C$53:$C$127,0))*consprofilemultiplier/IF(General!$F$35="Customers",INDEX(Qty!$I$8:$I$82,MATCH(Movements!C679,Qty!$C$8:$C$82,0)),INDEX(Qty!$K$8:$K$82,MATCH(Movements!C679,Qty!$C$8:$C$82,0))),0)</f>
        <v>0</v>
      </c>
      <c r="H679" s="221"/>
      <c r="I679" s="206">
        <f t="shared" si="166"/>
        <v>0</v>
      </c>
      <c r="J679" s="206">
        <f t="shared" si="167"/>
        <v>0</v>
      </c>
      <c r="K679" s="206">
        <f t="shared" si="168"/>
        <v>0</v>
      </c>
      <c r="L679" s="178"/>
      <c r="M679" s="198">
        <f>IFERROR(INDEX('Total qty'!$Q$53:$Q$127,MATCH(C679,'Total qty'!$C$53:$C$127,0))*consprofilemultiplier/IF(General!F105="Customers",INDEX(Qty!$I$8:$I$82,MATCH(Movements!C679,Qty!$C$8:$C$82,0)),INDEX(Qty!$K$8:$K$82,MATCH(Movements!C679,Qty!$C$8:$C$82,0))),0)</f>
        <v>0</v>
      </c>
      <c r="N679" s="252">
        <f>_xlfn.IFNA(MATCH(C679,Tariffs!$C$46:$C$120,0),0)</f>
        <v>0</v>
      </c>
      <c r="O679" s="206" cm="1">
        <f t="array" ref="O679">IF(N679=0,0,IF(D679="yes",IF(Movements!$G679&gt;INDEX(Tariffs!$T$46:$T$120,$N679),INDEX(Tariffs!$T$46:$T$120,$N679),Movements!$G679),0))</f>
        <v>0</v>
      </c>
      <c r="P679" s="206" cm="1">
        <f t="array" ref="P679">IF(N679=0,0,IF(D679="yes",IF($G679=$O679,0,IF(AND(Movements!$G679&gt;INDEX(Tariffs!$U$46:$U$120,$N679),INDEX(Tariffs!$U$46:$U$120,$N679)&lt;&gt;0),INDEX(Tariffs!$U$46:$U$120,$N679)-INDEX(Tariffs!$T$46:$T$120,$N679),Movements!$G679-Movements!$O679)),0))</f>
        <v>0</v>
      </c>
      <c r="Q679" s="206">
        <f t="shared" si="170"/>
        <v>0</v>
      </c>
      <c r="R679" s="207"/>
      <c r="S679" s="219">
        <f>IFERROR(INDEX('Total qty'!$L$53:$N$127,MATCH(Movements!$C679,'Total qty'!$C$53:$C$127,0),MATCH(Movements!S$614,'Total qty'!$L$5:$N$5,0))/INDEX('Total qty'!$O$53:$O$127,MATCH(Movements!$C679,'Total qty'!$C$53:$C$127,0)),0)*$F679</f>
        <v>0</v>
      </c>
      <c r="T679" s="219">
        <f>IFERROR(INDEX('Total qty'!$L$53:$N$127,MATCH(Movements!$C679,'Total qty'!$C$53:$C$127,0),MATCH(Movements!T$614,'Total qty'!$L$5:$N$5,0))/INDEX('Total qty'!$O$53:$O$127,MATCH(Movements!$C679,'Total qty'!$C$53:$C$127,0)),0)*$F679</f>
        <v>0</v>
      </c>
      <c r="U679" s="219">
        <f>IFERROR(INDEX('Total qty'!$L$53:$N$127,MATCH(Movements!$C679,'Total qty'!$C$53:$C$127,0),MATCH(Movements!U$614,'Total qty'!$L$5:$N$5,0))/INDEX('Total qty'!$O$53:$O$127,MATCH(Movements!$C679,'Total qty'!$C$53:$C$127,0)),0)*$F679</f>
        <v>0</v>
      </c>
      <c r="V679" s="138"/>
      <c r="W679" s="138"/>
      <c r="X679" s="138"/>
      <c r="Y679" s="138"/>
      <c r="Z679" s="138"/>
      <c r="AA679" s="138"/>
      <c r="AB679" s="138"/>
      <c r="AC679" s="70"/>
      <c r="AD679" s="19"/>
      <c r="AE679" s="19"/>
      <c r="AF679" s="19"/>
      <c r="AG679" s="19"/>
    </row>
    <row r="680" spans="1:33" outlineLevel="2" collapsed="1" x14ac:dyDescent="0.2">
      <c r="A680" s="19"/>
      <c r="B680" s="19"/>
      <c r="C680" s="560"/>
      <c r="D680" s="558"/>
      <c r="E680" s="559"/>
      <c r="F680" s="246"/>
      <c r="G680" s="177"/>
      <c r="H680" s="179"/>
      <c r="I680" s="179"/>
      <c r="J680" s="179"/>
      <c r="K680" s="178"/>
      <c r="L680" s="178"/>
      <c r="M680" s="179"/>
      <c r="N680" s="179"/>
      <c r="O680" s="70"/>
      <c r="P680" s="70"/>
      <c r="Q680" s="70"/>
      <c r="R680" s="177"/>
      <c r="S680" s="220"/>
      <c r="T680" s="220"/>
      <c r="U680" s="220"/>
      <c r="V680" s="70"/>
      <c r="W680" s="70"/>
      <c r="X680" s="70"/>
      <c r="Y680" s="70"/>
      <c r="Z680" s="70"/>
      <c r="AA680" s="70"/>
      <c r="AB680" s="70"/>
      <c r="AC680" s="70"/>
      <c r="AD680" s="19"/>
      <c r="AE680" s="19"/>
      <c r="AF680" s="19"/>
      <c r="AG680" s="19"/>
    </row>
    <row r="681" spans="1:33" outlineLevel="1" x14ac:dyDescent="0.2">
      <c r="A681" s="19"/>
      <c r="B681" s="19"/>
      <c r="C681" s="217"/>
      <c r="D681" s="217"/>
      <c r="E681" s="536"/>
      <c r="F681" s="246"/>
      <c r="G681" s="177"/>
      <c r="H681" s="179"/>
      <c r="I681" s="179"/>
      <c r="J681" s="179"/>
      <c r="K681" s="178"/>
      <c r="L681" s="178"/>
      <c r="M681" s="179"/>
      <c r="N681" s="179"/>
      <c r="O681" s="70"/>
      <c r="P681" s="70"/>
      <c r="Q681" s="70"/>
      <c r="R681" s="177"/>
      <c r="S681" s="220"/>
      <c r="T681" s="220"/>
      <c r="U681" s="220"/>
      <c r="V681" s="70"/>
      <c r="W681" s="70"/>
      <c r="X681" s="70"/>
      <c r="Y681" s="70"/>
      <c r="Z681" s="70"/>
      <c r="AA681" s="70"/>
      <c r="AB681" s="70"/>
      <c r="AC681" s="70"/>
      <c r="AD681" s="19"/>
      <c r="AE681" s="19"/>
      <c r="AF681" s="19"/>
      <c r="AG681" s="19"/>
    </row>
    <row r="682" spans="1:33" outlineLevel="1" x14ac:dyDescent="0.2">
      <c r="A682" s="19"/>
      <c r="B682" s="19"/>
      <c r="C682" s="167" t="str">
        <f>'Total qty'!C208</f>
        <v>Actual 2020–21</v>
      </c>
      <c r="D682" s="167"/>
      <c r="E682" s="512"/>
      <c r="F682" s="246"/>
      <c r="G682" s="178"/>
      <c r="H682" s="178"/>
      <c r="I682" s="178"/>
      <c r="J682" s="178"/>
      <c r="K682" s="178"/>
      <c r="L682" s="178"/>
      <c r="M682" s="178"/>
      <c r="N682" s="178"/>
      <c r="O682" s="70"/>
      <c r="P682" s="70"/>
      <c r="Q682" s="70"/>
      <c r="R682" s="178"/>
      <c r="S682" s="220"/>
      <c r="T682" s="220"/>
      <c r="U682" s="220"/>
      <c r="V682" s="70"/>
      <c r="W682" s="70"/>
      <c r="X682" s="70"/>
      <c r="Y682" s="70"/>
      <c r="Z682" s="70"/>
      <c r="AA682" s="70"/>
      <c r="AB682" s="70"/>
      <c r="AC682" s="70"/>
      <c r="AD682" s="19"/>
      <c r="AE682" s="19"/>
      <c r="AF682" s="19"/>
      <c r="AG682" s="19"/>
    </row>
    <row r="683" spans="1:33" outlineLevel="2" x14ac:dyDescent="0.2">
      <c r="A683" s="19"/>
      <c r="B683" s="19"/>
      <c r="C683" s="506" t="str">
        <f>C347</f>
        <v>Residential time of use consumption</v>
      </c>
      <c r="D683" s="505">
        <f t="shared" ref="D683:E712" si="171">D617</f>
        <v>0</v>
      </c>
      <c r="E683" s="505" t="str">
        <f t="shared" si="171"/>
        <v>yes</v>
      </c>
      <c r="F683" s="246">
        <f t="shared" si="169"/>
        <v>1</v>
      </c>
      <c r="G683" s="198">
        <f>IFERROR(INDEX('Total qty'!$O$131:$O$205,MATCH(Movements!C683,'Total qty'!$C$131:$C$205,0))*consprofilemultiplier/IF(General!$F$35="Customers",INDEX(Qty!$I$87:$I$161,MATCH(Movements!C683,Qty!$C$87:$C$161,0)),INDEX(Qty!$K$87:$K$161,MATCH(Movements!C683,Qty!$C$87:$C$161,0))),0)</f>
        <v>8055.0476915849731</v>
      </c>
      <c r="H683" s="221"/>
      <c r="I683" s="206">
        <f t="shared" ref="I683:I712" si="172">$G683*S683</f>
        <v>2433.2858469379598</v>
      </c>
      <c r="J683" s="206">
        <f t="shared" ref="J683:J712" si="173">$G683*T683</f>
        <v>0</v>
      </c>
      <c r="K683" s="206">
        <f t="shared" ref="K683:K712" si="174">$G683*U683</f>
        <v>5621.7618446470124</v>
      </c>
      <c r="L683" s="178"/>
      <c r="M683" s="198">
        <f>IFERROR(INDEX('Total qty'!$Q$209:$Q$283,MATCH(C683,'Total qty'!$C$209:$C$283,0))*consprofilemultiplier/IF(General!F76="Customers",INDEX(Qty!$I$87:$I$161,MATCH(Movements!C683,Qty!$C$87:$C$161,0)),INDEX(Qty!$K$87:$K$161,MATCH(Movements!C683,Qty!$C$87:$C$161,0))),0)</f>
        <v>0</v>
      </c>
      <c r="N683" s="252">
        <f>_xlfn.IFNA(MATCH(C683,IF(currentyear=RCPminus1,Tariffs!$H$46:$H$120,Tariffs!$C$46:$C$120),0),0)</f>
        <v>1</v>
      </c>
      <c r="O683" s="206" cm="1">
        <f t="array" ref="O683">IF(N683=0,0,IF(D683="yes",IF(Movements!$G683&gt;INDEX(Tariffs!$T$46:$T$120,$N683),INDEX(Tariffs!$T$46:$T$120,$N683),Movements!$G683),0))</f>
        <v>0</v>
      </c>
      <c r="P683" s="206" cm="1">
        <f t="array" ref="P683">IF(N683=0,0,IF(D683="yes",IF($G683=$O683,0,IF(AND(Movements!$G683&gt;INDEX(Tariffs!$U$46:$U$120,$N683),INDEX(Tariffs!$U$46:$U$120,$N683)&lt;&gt;0),INDEX(Tariffs!$U$46:$U$120,$N683)-INDEX(Tariffs!$T$46:$T$120,$N683),Movements!$G683-Movements!$O683)),0))</f>
        <v>0</v>
      </c>
      <c r="Q683" s="206">
        <f>IF(N683=0,0,IF(D683="yes",IF($G683=$O683+$P683,0,$G683-($O683+$P683)),0))</f>
        <v>0</v>
      </c>
      <c r="R683" s="207"/>
      <c r="S683" s="219">
        <f>IFERROR(INDEX('Total qty'!$L$209:$N$283,MATCH(Movements!$C683,'Total qty'!$C$209:$C$283,0),MATCH(Movements!S$614,'Total qty'!$L$5:$N$5,0))/INDEX('Total qty'!$O$209:$O$283,MATCH(Movements!$C683,'Total qty'!$C$209:$C$283,0)),0)*$F683</f>
        <v>0.30208211547648428</v>
      </c>
      <c r="T683" s="219">
        <f>IFERROR(INDEX('Total qty'!$L$209:$N$283,MATCH(Movements!$C683,'Total qty'!$C$209:$C$283,0),MATCH(Movements!T$614,'Total qty'!$L$5:$N$5,0))/INDEX('Total qty'!$O$209:$O$283,MATCH(Movements!$C683,'Total qty'!$C$209:$C$283,0)),0)*$F683</f>
        <v>0</v>
      </c>
      <c r="U683" s="219">
        <f>IFERROR(INDEX('Total qty'!$L$209:$N$283,MATCH(Movements!$C683,'Total qty'!$C$209:$C$283,0),MATCH(Movements!U$614,'Total qty'!$L$5:$N$5,0))/INDEX('Total qty'!$O$209:$O$283,MATCH(Movements!$C683,'Total qty'!$C$209:$C$283,0)),0)*$F683</f>
        <v>0.69791788452351566</v>
      </c>
      <c r="V683" s="138"/>
      <c r="W683" s="138"/>
      <c r="X683" s="138"/>
      <c r="Y683" s="138"/>
      <c r="Z683" s="138"/>
      <c r="AA683" s="138"/>
      <c r="AB683" s="138"/>
      <c r="AC683" s="70"/>
      <c r="AD683" s="19"/>
      <c r="AE683" s="19"/>
      <c r="AF683" s="19"/>
      <c r="AG683" s="19"/>
    </row>
    <row r="684" spans="1:33" s="59" customFormat="1" outlineLevel="2" x14ac:dyDescent="0.2">
      <c r="A684" s="57"/>
      <c r="B684" s="57"/>
      <c r="C684" s="506" t="str">
        <f t="shared" ref="C684:C712" si="175">C348</f>
        <v>Residential general light and power</v>
      </c>
      <c r="D684" s="505">
        <f t="shared" si="171"/>
        <v>0</v>
      </c>
      <c r="E684" s="505" t="str">
        <f t="shared" si="171"/>
        <v>no</v>
      </c>
      <c r="F684" s="246">
        <f t="shared" si="169"/>
        <v>0</v>
      </c>
      <c r="G684" s="198">
        <f>IFERROR(INDEX('Total qty'!$O$131:$O$205,MATCH(Movements!C684,'Total qty'!$C$131:$C$205,0))*consprofilemultiplier/IF(General!$F$35="Customers",INDEX(Qty!$I$87:$I$161,MATCH(Movements!C684,Qty!$C$87:$C$161,0)),INDEX(Qty!$K$87:$K$161,MATCH(Movements!C684,Qty!$C$87:$C$161,0))),0)</f>
        <v>3546.9857540425755</v>
      </c>
      <c r="H684" s="221"/>
      <c r="I684" s="206">
        <f t="shared" si="172"/>
        <v>0</v>
      </c>
      <c r="J684" s="206">
        <f t="shared" si="173"/>
        <v>0</v>
      </c>
      <c r="K684" s="206">
        <f t="shared" si="174"/>
        <v>0</v>
      </c>
      <c r="L684" s="178"/>
      <c r="M684" s="198">
        <f>IFERROR(INDEX('Total qty'!$Q$209:$Q$283,MATCH(C684,'Total qty'!$C$209:$C$283,0))*consprofilemultiplier/IF(General!F77="Customers",INDEX(Qty!$I$87:$I$161,MATCH(Movements!C684,Qty!$C$87:$C$161,0)),INDEX(Qty!$K$87:$K$161,MATCH(Movements!C684,Qty!$C$87:$C$161,0))),0)</f>
        <v>0</v>
      </c>
      <c r="N684" s="252">
        <f>_xlfn.IFNA(MATCH(C684,IF(currentyear=RCPminus1,Tariffs!$H$46:$H$120,Tariffs!$C$46:$C$120),0),0)</f>
        <v>2</v>
      </c>
      <c r="O684" s="206" cm="1">
        <f t="array" ref="O684">IF(N684=0,0,IF(D684="yes",IF(Movements!$G684&gt;INDEX(Tariffs!$T$46:$T$120,$N684),INDEX(Tariffs!$T$46:$T$120,$N684),Movements!$G684),0))</f>
        <v>0</v>
      </c>
      <c r="P684" s="206" cm="1">
        <f t="array" ref="P684">IF(N684=0,0,IF(D684="yes",IF($G684=$O684,0,IF(AND(Movements!$G684&gt;INDEX(Tariffs!$U$46:$U$120,$N684),INDEX(Tariffs!$U$46:$U$120,$N684)&lt;&gt;0),INDEX(Tariffs!$U$46:$U$120,$N684)-INDEX(Tariffs!$T$46:$T$120,$N684),Movements!$G684-Movements!$O684)),0))</f>
        <v>0</v>
      </c>
      <c r="Q684" s="206">
        <f t="shared" ref="Q684:Q712" si="176">IF(N684=0,0,IF(D684="yes",IF($G684=$O684+$P684,0,$G684-($O684+$P684)),0))</f>
        <v>0</v>
      </c>
      <c r="R684" s="207"/>
      <c r="S684" s="219">
        <f>IFERROR(INDEX('Total qty'!$L$209:$N$283,MATCH(Movements!$C684,'Total qty'!$C$209:$C$283,0),MATCH(Movements!S$614,'Total qty'!$L$5:$N$5,0))/INDEX('Total qty'!$O$209:$O$283,MATCH(Movements!$C684,'Total qty'!$C$209:$C$283,0)),0)*$F684</f>
        <v>0</v>
      </c>
      <c r="T684" s="219">
        <f>IFERROR(INDEX('Total qty'!$L$209:$N$283,MATCH(Movements!$C684,'Total qty'!$C$209:$C$283,0),MATCH(Movements!T$614,'Total qty'!$L$5:$N$5,0))/INDEX('Total qty'!$O$209:$O$283,MATCH(Movements!$C684,'Total qty'!$C$209:$C$283,0)),0)*$F684</f>
        <v>0</v>
      </c>
      <c r="U684" s="219">
        <f>IFERROR(INDEX('Total qty'!$L$209:$N$283,MATCH(Movements!$C684,'Total qty'!$C$209:$C$283,0),MATCH(Movements!U$614,'Total qty'!$L$5:$N$5,0))/INDEX('Total qty'!$O$209:$O$283,MATCH(Movements!$C684,'Total qty'!$C$209:$C$283,0)),0)*$F684</f>
        <v>0</v>
      </c>
      <c r="V684" s="138"/>
      <c r="W684" s="138"/>
      <c r="X684" s="138"/>
      <c r="Y684" s="138"/>
      <c r="Z684" s="138"/>
      <c r="AA684" s="138"/>
      <c r="AB684" s="138"/>
      <c r="AC684" s="70"/>
      <c r="AD684" s="57"/>
      <c r="AE684" s="57"/>
      <c r="AF684" s="57"/>
      <c r="AG684" s="57"/>
    </row>
    <row r="685" spans="1:33" outlineLevel="2" x14ac:dyDescent="0.2">
      <c r="A685" s="19"/>
      <c r="B685" s="19"/>
      <c r="C685" s="506" t="str">
        <f t="shared" si="175"/>
        <v>Residential pay as you go</v>
      </c>
      <c r="D685" s="505">
        <f t="shared" si="171"/>
        <v>0</v>
      </c>
      <c r="E685" s="505" t="str">
        <f t="shared" si="171"/>
        <v>no</v>
      </c>
      <c r="F685" s="246">
        <f t="shared" si="169"/>
        <v>0</v>
      </c>
      <c r="G685" s="198">
        <f>IFERROR(INDEX('Total qty'!$O$131:$O$205,MATCH(Movements!C685,'Total qty'!$C$131:$C$205,0))*consprofilemultiplier/IF(General!$F$35="Customers",INDEX(Qty!$I$87:$I$161,MATCH(Movements!C685,Qty!$C$87:$C$161,0)),INDEX(Qty!$K$87:$K$161,MATCH(Movements!C685,Qty!$C$87:$C$161,0))),0)</f>
        <v>7331.8050079097475</v>
      </c>
      <c r="H685" s="221"/>
      <c r="I685" s="206">
        <f t="shared" si="172"/>
        <v>0</v>
      </c>
      <c r="J685" s="206">
        <f t="shared" si="173"/>
        <v>0</v>
      </c>
      <c r="K685" s="206">
        <f t="shared" si="174"/>
        <v>0</v>
      </c>
      <c r="L685" s="178"/>
      <c r="M685" s="198">
        <f>IFERROR(INDEX('Total qty'!$Q$209:$Q$283,MATCH(C685,'Total qty'!$C$209:$C$283,0))*consprofilemultiplier/IF(General!F78="Customers",INDEX(Qty!$I$87:$I$161,MATCH(Movements!C685,Qty!$C$87:$C$161,0)),INDEX(Qty!$K$87:$K$161,MATCH(Movements!C685,Qty!$C$87:$C$161,0))),0)</f>
        <v>0</v>
      </c>
      <c r="N685" s="252">
        <f>_xlfn.IFNA(MATCH(C685,IF(currentyear=RCPminus1,Tariffs!$H$46:$H$120,Tariffs!$C$46:$C$120),0),0)</f>
        <v>5</v>
      </c>
      <c r="O685" s="206" cm="1">
        <f t="array" ref="O685">IF(N685=0,0,IF(D685="yes",IF(Movements!$G685&gt;INDEX(Tariffs!$T$46:$T$120,$N685),INDEX(Tariffs!$T$46:$T$120,$N685),Movements!$G685),0))</f>
        <v>0</v>
      </c>
      <c r="P685" s="206" cm="1">
        <f t="array" ref="P685">IF(N685=0,0,IF(D685="yes",IF($G685=$O685,0,IF(AND(Movements!$G685&gt;INDEX(Tariffs!$U$46:$U$120,$N685),INDEX(Tariffs!$U$46:$U$120,$N685)&lt;&gt;0),INDEX(Tariffs!$U$46:$U$120,$N685)-INDEX(Tariffs!$T$46:$T$120,$N685),Movements!$G685-Movements!$O685)),0))</f>
        <v>0</v>
      </c>
      <c r="Q685" s="206">
        <f t="shared" si="176"/>
        <v>0</v>
      </c>
      <c r="R685" s="207"/>
      <c r="S685" s="219">
        <f>IFERROR(INDEX('Total qty'!$L$209:$N$283,MATCH(Movements!$C685,'Total qty'!$C$209:$C$283,0),MATCH(Movements!S$614,'Total qty'!$L$5:$N$5,0))/INDEX('Total qty'!$O$209:$O$283,MATCH(Movements!$C685,'Total qty'!$C$209:$C$283,0)),0)*$F685</f>
        <v>0</v>
      </c>
      <c r="T685" s="219">
        <f>IFERROR(INDEX('Total qty'!$L$209:$N$283,MATCH(Movements!$C685,'Total qty'!$C$209:$C$283,0),MATCH(Movements!T$614,'Total qty'!$L$5:$N$5,0))/INDEX('Total qty'!$O$209:$O$283,MATCH(Movements!$C685,'Total qty'!$C$209:$C$283,0)),0)*$F685</f>
        <v>0</v>
      </c>
      <c r="U685" s="219">
        <f>IFERROR(INDEX('Total qty'!$L$209:$N$283,MATCH(Movements!$C685,'Total qty'!$C$209:$C$283,0),MATCH(Movements!U$614,'Total qty'!$L$5:$N$5,0))/INDEX('Total qty'!$O$209:$O$283,MATCH(Movements!$C685,'Total qty'!$C$209:$C$283,0)),0)*$F685</f>
        <v>0</v>
      </c>
      <c r="V685" s="138"/>
      <c r="W685" s="138"/>
      <c r="X685" s="138"/>
      <c r="Y685" s="138"/>
      <c r="Z685" s="138"/>
      <c r="AA685" s="138"/>
      <c r="AB685" s="138"/>
      <c r="AC685" s="70"/>
      <c r="AD685" s="19"/>
      <c r="AE685" s="19"/>
      <c r="AF685" s="19"/>
      <c r="AG685" s="19"/>
    </row>
    <row r="686" spans="1:33" outlineLevel="2" x14ac:dyDescent="0.2">
      <c r="A686" s="19"/>
      <c r="B686" s="19"/>
      <c r="C686" s="506" t="str">
        <f t="shared" si="175"/>
        <v>Residential pay as you go time of use</v>
      </c>
      <c r="D686" s="505">
        <f t="shared" si="171"/>
        <v>0</v>
      </c>
      <c r="E686" s="505" t="str">
        <f t="shared" si="171"/>
        <v>no</v>
      </c>
      <c r="F686" s="246">
        <f t="shared" si="169"/>
        <v>0</v>
      </c>
      <c r="G686" s="198">
        <f>IFERROR(INDEX('Total qty'!$O$131:$O$205,MATCH(Movements!C686,'Total qty'!$C$131:$C$205,0))*consprofilemultiplier/IF(General!$F$35="Customers",INDEX(Qty!$I$87:$I$161,MATCH(Movements!C686,Qty!$C$87:$C$161,0)),INDEX(Qty!$K$87:$K$161,MATCH(Movements!C686,Qty!$C$87:$C$161,0))),0)</f>
        <v>0</v>
      </c>
      <c r="H686" s="221"/>
      <c r="I686" s="206">
        <f t="shared" si="172"/>
        <v>0</v>
      </c>
      <c r="J686" s="206">
        <f t="shared" si="173"/>
        <v>0</v>
      </c>
      <c r="K686" s="206">
        <f t="shared" si="174"/>
        <v>0</v>
      </c>
      <c r="L686" s="178"/>
      <c r="M686" s="198">
        <f>IFERROR(INDEX('Total qty'!$Q$209:$Q$283,MATCH(C686,'Total qty'!$C$209:$C$283,0))*consprofilemultiplier/IF(General!F79="Customers",INDEX(Qty!$I$87:$I$161,MATCH(Movements!C686,Qty!$C$87:$C$161,0)),INDEX(Qty!$K$87:$K$161,MATCH(Movements!C686,Qty!$C$87:$C$161,0))),0)</f>
        <v>0</v>
      </c>
      <c r="N686" s="252">
        <f>_xlfn.IFNA(MATCH(C686,IF(currentyear=RCPminus1,Tariffs!$H$46:$H$120,Tariffs!$C$46:$C$120),0),0)</f>
        <v>6</v>
      </c>
      <c r="O686" s="206" cm="1">
        <f t="array" ref="O686">IF(N686=0,0,IF(D686="yes",IF(Movements!$G686&gt;INDEX(Tariffs!$T$46:$T$120,$N686),INDEX(Tariffs!$T$46:$T$120,$N686),Movements!$G686),0))</f>
        <v>0</v>
      </c>
      <c r="P686" s="206" cm="1">
        <f t="array" ref="P686">IF(N686=0,0,IF(D686="yes",IF($G686=$O686,0,IF(AND(Movements!$G686&gt;INDEX(Tariffs!$U$46:$U$120,$N686),INDEX(Tariffs!$U$46:$U$120,$N686)&lt;&gt;0),INDEX(Tariffs!$U$46:$U$120,$N686)-INDEX(Tariffs!$T$46:$T$120,$N686),Movements!$G686-Movements!$O686)),0))</f>
        <v>0</v>
      </c>
      <c r="Q686" s="206">
        <f t="shared" si="176"/>
        <v>0</v>
      </c>
      <c r="R686" s="207"/>
      <c r="S686" s="219">
        <f>IFERROR(INDEX('Total qty'!$L$209:$N$283,MATCH(Movements!$C686,'Total qty'!$C$209:$C$283,0),MATCH(Movements!S$614,'Total qty'!$L$5:$N$5,0))/INDEX('Total qty'!$O$209:$O$283,MATCH(Movements!$C686,'Total qty'!$C$209:$C$283,0)),0)*$F686</f>
        <v>0</v>
      </c>
      <c r="T686" s="219">
        <f>IFERROR(INDEX('Total qty'!$L$209:$N$283,MATCH(Movements!$C686,'Total qty'!$C$209:$C$283,0),MATCH(Movements!T$614,'Total qty'!$L$5:$N$5,0))/INDEX('Total qty'!$O$209:$O$283,MATCH(Movements!$C686,'Total qty'!$C$209:$C$283,0)),0)*$F686</f>
        <v>0</v>
      </c>
      <c r="U686" s="219">
        <f>IFERROR(INDEX('Total qty'!$L$209:$N$283,MATCH(Movements!$C686,'Total qty'!$C$209:$C$283,0),MATCH(Movements!U$614,'Total qty'!$L$5:$N$5,0))/INDEX('Total qty'!$O$209:$O$283,MATCH(Movements!$C686,'Total qty'!$C$209:$C$283,0)),0)*$F686</f>
        <v>0</v>
      </c>
      <c r="V686" s="138"/>
      <c r="W686" s="138"/>
      <c r="X686" s="138"/>
      <c r="Y686" s="138"/>
      <c r="Z686" s="138"/>
      <c r="AA686" s="138"/>
      <c r="AB686" s="138"/>
      <c r="AC686" s="70"/>
      <c r="AD686" s="19"/>
      <c r="AE686" s="19"/>
      <c r="AF686" s="19"/>
      <c r="AG686" s="19"/>
    </row>
    <row r="687" spans="1:33" outlineLevel="2" x14ac:dyDescent="0.2">
      <c r="A687" s="19"/>
      <c r="B687" s="19"/>
      <c r="C687" s="506">
        <f t="shared" si="175"/>
        <v>0</v>
      </c>
      <c r="D687" s="505">
        <f t="shared" si="171"/>
        <v>0</v>
      </c>
      <c r="E687" s="505">
        <f t="shared" si="171"/>
        <v>0</v>
      </c>
      <c r="F687" s="246">
        <f t="shared" si="169"/>
        <v>0</v>
      </c>
      <c r="G687" s="198">
        <f>IFERROR(INDEX('Total qty'!$O$131:$O$205,MATCH(Movements!C687,'Total qty'!$C$131:$C$205,0))*consprofilemultiplier/IF(General!$F$35="Customers",INDEX(Qty!$I$87:$I$161,MATCH(Movements!C687,Qty!$C$87:$C$161,0)),INDEX(Qty!$K$87:$K$161,MATCH(Movements!C687,Qty!$C$87:$C$161,0))),0)</f>
        <v>0</v>
      </c>
      <c r="H687" s="221"/>
      <c r="I687" s="206">
        <f t="shared" si="172"/>
        <v>0</v>
      </c>
      <c r="J687" s="206">
        <f t="shared" si="173"/>
        <v>0</v>
      </c>
      <c r="K687" s="206">
        <f t="shared" si="174"/>
        <v>0</v>
      </c>
      <c r="L687" s="178"/>
      <c r="M687" s="198">
        <f>IFERROR(INDEX('Total qty'!$Q$209:$Q$283,MATCH(C687,'Total qty'!$C$209:$C$283,0))*consprofilemultiplier/IF(General!F80="Customers",INDEX(Qty!$I$87:$I$161,MATCH(Movements!C687,Qty!$C$87:$C$161,0)),INDEX(Qty!$K$87:$K$161,MATCH(Movements!C687,Qty!$C$87:$C$161,0))),0)</f>
        <v>0</v>
      </c>
      <c r="N687" s="252">
        <f>_xlfn.IFNA(MATCH(C687,IF(currentyear=RCPminus1,Tariffs!$H$46:$H$120,Tariffs!$C$46:$C$120),0),0)</f>
        <v>0</v>
      </c>
      <c r="O687" s="206" cm="1">
        <f t="array" ref="O687">IF(N687=0,0,IF(D687="yes",IF(Movements!$G687&gt;INDEX(Tariffs!$T$46:$T$120,$N687),INDEX(Tariffs!$T$46:$T$120,$N687),Movements!$G687),0))</f>
        <v>0</v>
      </c>
      <c r="P687" s="206" cm="1">
        <f t="array" ref="P687">IF(N687=0,0,IF(D687="yes",IF($G687=$O687,0,IF(AND(Movements!$G687&gt;INDEX(Tariffs!$U$46:$U$120,$N687),INDEX(Tariffs!$U$46:$U$120,$N687)&lt;&gt;0),INDEX(Tariffs!$U$46:$U$120,$N687)-INDEX(Tariffs!$T$46:$T$120,$N687),Movements!$G687-Movements!$O687)),0))</f>
        <v>0</v>
      </c>
      <c r="Q687" s="206">
        <f t="shared" si="176"/>
        <v>0</v>
      </c>
      <c r="R687" s="207"/>
      <c r="S687" s="219">
        <f>IFERROR(INDEX('Total qty'!$L$209:$N$283,MATCH(Movements!$C687,'Total qty'!$C$209:$C$283,0),MATCH(Movements!S$614,'Total qty'!$L$5:$N$5,0))/INDEX('Total qty'!$O$209:$O$283,MATCH(Movements!$C687,'Total qty'!$C$209:$C$283,0)),0)*$F687</f>
        <v>0</v>
      </c>
      <c r="T687" s="219">
        <f>IFERROR(INDEX('Total qty'!$L$209:$N$283,MATCH(Movements!$C687,'Total qty'!$C$209:$C$283,0),MATCH(Movements!T$614,'Total qty'!$L$5:$N$5,0))/INDEX('Total qty'!$O$209:$O$283,MATCH(Movements!$C687,'Total qty'!$C$209:$C$283,0)),0)*$F687</f>
        <v>0</v>
      </c>
      <c r="U687" s="219">
        <f>IFERROR(INDEX('Total qty'!$L$209:$N$283,MATCH(Movements!$C687,'Total qty'!$C$209:$C$283,0),MATCH(Movements!U$614,'Total qty'!$L$5:$N$5,0))/INDEX('Total qty'!$O$209:$O$283,MATCH(Movements!$C687,'Total qty'!$C$209:$C$283,0)),0)*$F687</f>
        <v>0</v>
      </c>
      <c r="V687" s="138"/>
      <c r="W687" s="138"/>
      <c r="X687" s="138"/>
      <c r="Y687" s="138"/>
      <c r="Z687" s="138"/>
      <c r="AA687" s="138"/>
      <c r="AB687" s="138"/>
      <c r="AC687" s="70"/>
      <c r="AD687" s="19"/>
      <c r="AE687" s="19"/>
      <c r="AF687" s="19"/>
      <c r="AG687" s="19"/>
    </row>
    <row r="688" spans="1:33" hidden="1" outlineLevel="3" x14ac:dyDescent="0.2">
      <c r="A688" s="19"/>
      <c r="B688" s="19"/>
      <c r="C688" s="506">
        <f t="shared" si="175"/>
        <v>0</v>
      </c>
      <c r="D688" s="505">
        <f t="shared" si="171"/>
        <v>0</v>
      </c>
      <c r="E688" s="505">
        <f t="shared" si="171"/>
        <v>0</v>
      </c>
      <c r="F688" s="246">
        <f t="shared" si="169"/>
        <v>0</v>
      </c>
      <c r="G688" s="198">
        <f>IFERROR(INDEX('Total qty'!$O$131:$O$205,MATCH(Movements!C688,'Total qty'!$C$131:$C$205,0))*consprofilemultiplier/IF(General!$F$35="Customers",INDEX(Qty!$I$87:$I$161,MATCH(Movements!C688,Qty!$C$87:$C$161,0)),INDEX(Qty!$K$87:$K$161,MATCH(Movements!C688,Qty!$C$87:$C$161,0))),0)</f>
        <v>0</v>
      </c>
      <c r="H688" s="221"/>
      <c r="I688" s="206">
        <f t="shared" si="172"/>
        <v>0</v>
      </c>
      <c r="J688" s="206">
        <f t="shared" si="173"/>
        <v>0</v>
      </c>
      <c r="K688" s="206">
        <f t="shared" si="174"/>
        <v>0</v>
      </c>
      <c r="L688" s="178"/>
      <c r="M688" s="198">
        <f>IFERROR(INDEX('Total qty'!$Q$209:$Q$283,MATCH(C688,'Total qty'!$C$209:$C$283,0))*consprofilemultiplier/IF(General!F81="Customers",INDEX(Qty!$I$87:$I$161,MATCH(Movements!C688,Qty!$C$87:$C$161,0)),INDEX(Qty!$K$87:$K$161,MATCH(Movements!C688,Qty!$C$87:$C$161,0))),0)</f>
        <v>0</v>
      </c>
      <c r="N688" s="252">
        <f>_xlfn.IFNA(MATCH(C688,IF(currentyear=RCPminus1,Tariffs!$H$46:$H$120,Tariffs!$C$46:$C$120),0),0)</f>
        <v>0</v>
      </c>
      <c r="O688" s="206" cm="1">
        <f t="array" ref="O688">IF(N688=0,0,IF(D688="yes",IF(Movements!$G688&gt;INDEX(Tariffs!$T$46:$T$120,$N688),INDEX(Tariffs!$T$46:$T$120,$N688),Movements!$G688),0))</f>
        <v>0</v>
      </c>
      <c r="P688" s="206" cm="1">
        <f t="array" ref="P688">IF(N688=0,0,IF(D688="yes",IF($G688=$O688,0,IF(AND(Movements!$G688&gt;INDEX(Tariffs!$U$46:$U$120,$N688),INDEX(Tariffs!$U$46:$U$120,$N688)&lt;&gt;0),INDEX(Tariffs!$U$46:$U$120,$N688)-INDEX(Tariffs!$T$46:$T$120,$N688),Movements!$G688-Movements!$O688)),0))</f>
        <v>0</v>
      </c>
      <c r="Q688" s="206">
        <f t="shared" si="176"/>
        <v>0</v>
      </c>
      <c r="R688" s="207"/>
      <c r="S688" s="219">
        <f>IFERROR(INDEX('Total qty'!$L$209:$N$283,MATCH(Movements!$C688,'Total qty'!$C$209:$C$283,0),MATCH(Movements!S$614,'Total qty'!$L$5:$N$5,0))/INDEX('Total qty'!$O$209:$O$283,MATCH(Movements!$C688,'Total qty'!$C$209:$C$283,0)),0)*$F688</f>
        <v>0</v>
      </c>
      <c r="T688" s="219">
        <f>IFERROR(INDEX('Total qty'!$L$209:$N$283,MATCH(Movements!$C688,'Total qty'!$C$209:$C$283,0),MATCH(Movements!T$614,'Total qty'!$L$5:$N$5,0))/INDEX('Total qty'!$O$209:$O$283,MATCH(Movements!$C688,'Total qty'!$C$209:$C$283,0)),0)*$F688</f>
        <v>0</v>
      </c>
      <c r="U688" s="219">
        <f>IFERROR(INDEX('Total qty'!$L$209:$N$283,MATCH(Movements!$C688,'Total qty'!$C$209:$C$283,0),MATCH(Movements!U$614,'Total qty'!$L$5:$N$5,0))/INDEX('Total qty'!$O$209:$O$283,MATCH(Movements!$C688,'Total qty'!$C$209:$C$283,0)),0)*$F688</f>
        <v>0</v>
      </c>
      <c r="V688" s="138"/>
      <c r="W688" s="138"/>
      <c r="X688" s="138"/>
      <c r="Y688" s="138"/>
      <c r="Z688" s="138"/>
      <c r="AA688" s="138"/>
      <c r="AB688" s="138"/>
      <c r="AC688" s="70"/>
      <c r="AD688" s="19"/>
      <c r="AE688" s="19"/>
      <c r="AF688" s="19"/>
      <c r="AG688" s="19"/>
    </row>
    <row r="689" spans="1:33" hidden="1" outlineLevel="3" x14ac:dyDescent="0.2">
      <c r="A689" s="19"/>
      <c r="B689" s="19"/>
      <c r="C689" s="506">
        <f t="shared" si="175"/>
        <v>0</v>
      </c>
      <c r="D689" s="505">
        <f t="shared" si="171"/>
        <v>0</v>
      </c>
      <c r="E689" s="505">
        <f t="shared" si="171"/>
        <v>0</v>
      </c>
      <c r="F689" s="246">
        <f t="shared" si="169"/>
        <v>0</v>
      </c>
      <c r="G689" s="198">
        <f>IFERROR(INDEX('Total qty'!$O$131:$O$205,MATCH(Movements!C689,'Total qty'!$C$131:$C$205,0))*consprofilemultiplier/IF(General!$F$35="Customers",INDEX(Qty!$I$87:$I$161,MATCH(Movements!C689,Qty!$C$87:$C$161,0)),INDEX(Qty!$K$87:$K$161,MATCH(Movements!C689,Qty!$C$87:$C$161,0))),0)</f>
        <v>0</v>
      </c>
      <c r="H689" s="221"/>
      <c r="I689" s="206">
        <f t="shared" si="172"/>
        <v>0</v>
      </c>
      <c r="J689" s="206">
        <f t="shared" si="173"/>
        <v>0</v>
      </c>
      <c r="K689" s="206">
        <f t="shared" si="174"/>
        <v>0</v>
      </c>
      <c r="L689" s="178"/>
      <c r="M689" s="198">
        <f>IFERROR(INDEX('Total qty'!$Q$209:$Q$283,MATCH(C689,'Total qty'!$C$209:$C$283,0))*consprofilemultiplier/IF(General!F82="Customers",INDEX(Qty!$I$87:$I$161,MATCH(Movements!C689,Qty!$C$87:$C$161,0)),INDEX(Qty!$K$87:$K$161,MATCH(Movements!C689,Qty!$C$87:$C$161,0))),0)</f>
        <v>0</v>
      </c>
      <c r="N689" s="252">
        <f>_xlfn.IFNA(MATCH(C689,IF(currentyear=RCPminus1,Tariffs!$H$46:$H$120,Tariffs!$C$46:$C$120),0),0)</f>
        <v>0</v>
      </c>
      <c r="O689" s="206" cm="1">
        <f t="array" ref="O689">IF(N689=0,0,IF(D689="yes",IF(Movements!$G689&gt;INDEX(Tariffs!$T$46:$T$120,$N689),INDEX(Tariffs!$T$46:$T$120,$N689),Movements!$G689),0))</f>
        <v>0</v>
      </c>
      <c r="P689" s="206" cm="1">
        <f t="array" ref="P689">IF(N689=0,0,IF(D689="yes",IF($G689=$O689,0,IF(AND(Movements!$G689&gt;INDEX(Tariffs!$U$46:$U$120,$N689),INDEX(Tariffs!$U$46:$U$120,$N689)&lt;&gt;0),INDEX(Tariffs!$U$46:$U$120,$N689)-INDEX(Tariffs!$T$46:$T$120,$N689),Movements!$G689-Movements!$O689)),0))</f>
        <v>0</v>
      </c>
      <c r="Q689" s="206">
        <f t="shared" si="176"/>
        <v>0</v>
      </c>
      <c r="R689" s="207"/>
      <c r="S689" s="219">
        <f>IFERROR(INDEX('Total qty'!$L$209:$N$283,MATCH(Movements!$C689,'Total qty'!$C$209:$C$283,0),MATCH(Movements!S$614,'Total qty'!$L$5:$N$5,0))/INDEX('Total qty'!$O$209:$O$283,MATCH(Movements!$C689,'Total qty'!$C$209:$C$283,0)),0)*$F689</f>
        <v>0</v>
      </c>
      <c r="T689" s="219">
        <f>IFERROR(INDEX('Total qty'!$L$209:$N$283,MATCH(Movements!$C689,'Total qty'!$C$209:$C$283,0),MATCH(Movements!T$614,'Total qty'!$L$5:$N$5,0))/INDEX('Total qty'!$O$209:$O$283,MATCH(Movements!$C689,'Total qty'!$C$209:$C$283,0)),0)*$F689</f>
        <v>0</v>
      </c>
      <c r="U689" s="219">
        <f>IFERROR(INDEX('Total qty'!$L$209:$N$283,MATCH(Movements!$C689,'Total qty'!$C$209:$C$283,0),MATCH(Movements!U$614,'Total qty'!$L$5:$N$5,0))/INDEX('Total qty'!$O$209:$O$283,MATCH(Movements!$C689,'Total qty'!$C$209:$C$283,0)),0)*$F689</f>
        <v>0</v>
      </c>
      <c r="V689" s="138"/>
      <c r="W689" s="138"/>
      <c r="X689" s="138"/>
      <c r="Y689" s="138"/>
      <c r="Z689" s="138"/>
      <c r="AA689" s="138"/>
      <c r="AB689" s="138"/>
      <c r="AC689" s="70"/>
      <c r="AD689" s="19"/>
      <c r="AE689" s="19"/>
      <c r="AF689" s="19"/>
      <c r="AG689" s="19"/>
    </row>
    <row r="690" spans="1:33" hidden="1" outlineLevel="3" x14ac:dyDescent="0.2">
      <c r="A690" s="19"/>
      <c r="B690" s="19"/>
      <c r="C690" s="506">
        <f t="shared" si="175"/>
        <v>0</v>
      </c>
      <c r="D690" s="505">
        <f t="shared" si="171"/>
        <v>0</v>
      </c>
      <c r="E690" s="505">
        <f t="shared" si="171"/>
        <v>0</v>
      </c>
      <c r="F690" s="246">
        <f t="shared" si="169"/>
        <v>0</v>
      </c>
      <c r="G690" s="198">
        <f>IFERROR(INDEX('Total qty'!$O$131:$O$205,MATCH(Movements!C690,'Total qty'!$C$131:$C$205,0))*consprofilemultiplier/IF(General!$F$35="Customers",INDEX(Qty!$I$87:$I$161,MATCH(Movements!C690,Qty!$C$87:$C$161,0)),INDEX(Qty!$K$87:$K$161,MATCH(Movements!C690,Qty!$C$87:$C$161,0))),0)</f>
        <v>0</v>
      </c>
      <c r="H690" s="221"/>
      <c r="I690" s="206">
        <f t="shared" si="172"/>
        <v>0</v>
      </c>
      <c r="J690" s="206">
        <f t="shared" si="173"/>
        <v>0</v>
      </c>
      <c r="K690" s="206">
        <f t="shared" si="174"/>
        <v>0</v>
      </c>
      <c r="L690" s="178"/>
      <c r="M690" s="198">
        <f>IFERROR(INDEX('Total qty'!$Q$209:$Q$283,MATCH(C690,'Total qty'!$C$209:$C$283,0))*consprofilemultiplier/IF(General!F83="Customers",INDEX(Qty!$I$87:$I$161,MATCH(Movements!C690,Qty!$C$87:$C$161,0)),INDEX(Qty!$K$87:$K$161,MATCH(Movements!C690,Qty!$C$87:$C$161,0))),0)</f>
        <v>0</v>
      </c>
      <c r="N690" s="252">
        <f>_xlfn.IFNA(MATCH(C690,IF(currentyear=RCPminus1,Tariffs!$H$46:$H$120,Tariffs!$C$46:$C$120),0),0)</f>
        <v>0</v>
      </c>
      <c r="O690" s="206" cm="1">
        <f t="array" ref="O690">IF(N690=0,0,IF(D690="yes",IF(Movements!$G690&gt;INDEX(Tariffs!$T$46:$T$120,$N690),INDEX(Tariffs!$T$46:$T$120,$N690),Movements!$G690),0))</f>
        <v>0</v>
      </c>
      <c r="P690" s="206" cm="1">
        <f t="array" ref="P690">IF(N690=0,0,IF(D690="yes",IF($G690=$O690,0,IF(AND(Movements!$G690&gt;INDEX(Tariffs!$U$46:$U$120,$N690),INDEX(Tariffs!$U$46:$U$120,$N690)&lt;&gt;0),INDEX(Tariffs!$U$46:$U$120,$N690)-INDEX(Tariffs!$T$46:$T$120,$N690),Movements!$G690-Movements!$O690)),0))</f>
        <v>0</v>
      </c>
      <c r="Q690" s="206">
        <f t="shared" si="176"/>
        <v>0</v>
      </c>
      <c r="R690" s="207"/>
      <c r="S690" s="219">
        <f>IFERROR(INDEX('Total qty'!$L$209:$N$283,MATCH(Movements!$C690,'Total qty'!$C$209:$C$283,0),MATCH(Movements!S$614,'Total qty'!$L$5:$N$5,0))/INDEX('Total qty'!$O$209:$O$283,MATCH(Movements!$C690,'Total qty'!$C$209:$C$283,0)),0)*$F690</f>
        <v>0</v>
      </c>
      <c r="T690" s="219">
        <f>IFERROR(INDEX('Total qty'!$L$209:$N$283,MATCH(Movements!$C690,'Total qty'!$C$209:$C$283,0),MATCH(Movements!T$614,'Total qty'!$L$5:$N$5,0))/INDEX('Total qty'!$O$209:$O$283,MATCH(Movements!$C690,'Total qty'!$C$209:$C$283,0)),0)*$F690</f>
        <v>0</v>
      </c>
      <c r="U690" s="219">
        <f>IFERROR(INDEX('Total qty'!$L$209:$N$283,MATCH(Movements!$C690,'Total qty'!$C$209:$C$283,0),MATCH(Movements!U$614,'Total qty'!$L$5:$N$5,0))/INDEX('Total qty'!$O$209:$O$283,MATCH(Movements!$C690,'Total qty'!$C$209:$C$283,0)),0)*$F690</f>
        <v>0</v>
      </c>
      <c r="V690" s="138"/>
      <c r="W690" s="138"/>
      <c r="X690" s="138"/>
      <c r="Y690" s="138"/>
      <c r="Z690" s="138"/>
      <c r="AA690" s="138"/>
      <c r="AB690" s="138"/>
      <c r="AC690" s="70"/>
      <c r="AD690" s="19"/>
      <c r="AE690" s="19"/>
      <c r="AF690" s="19"/>
      <c r="AG690" s="19"/>
    </row>
    <row r="691" spans="1:33" hidden="1" outlineLevel="3" x14ac:dyDescent="0.2">
      <c r="A691" s="19"/>
      <c r="B691" s="19"/>
      <c r="C691" s="506">
        <f t="shared" si="175"/>
        <v>0</v>
      </c>
      <c r="D691" s="505">
        <f t="shared" si="171"/>
        <v>0</v>
      </c>
      <c r="E691" s="505">
        <f t="shared" si="171"/>
        <v>0</v>
      </c>
      <c r="F691" s="246">
        <f t="shared" si="169"/>
        <v>0</v>
      </c>
      <c r="G691" s="198">
        <f>IFERROR(INDEX('Total qty'!$O$131:$O$205,MATCH(Movements!C691,'Total qty'!$C$131:$C$205,0))*consprofilemultiplier/IF(General!$F$35="Customers",INDEX(Qty!$I$87:$I$161,MATCH(Movements!C691,Qty!$C$87:$C$161,0)),INDEX(Qty!$K$87:$K$161,MATCH(Movements!C691,Qty!$C$87:$C$161,0))),0)</f>
        <v>0</v>
      </c>
      <c r="H691" s="221"/>
      <c r="I691" s="206">
        <f t="shared" si="172"/>
        <v>0</v>
      </c>
      <c r="J691" s="206">
        <f t="shared" si="173"/>
        <v>0</v>
      </c>
      <c r="K691" s="206">
        <f t="shared" si="174"/>
        <v>0</v>
      </c>
      <c r="L691" s="178"/>
      <c r="M691" s="198">
        <f>IFERROR(INDEX('Total qty'!$Q$209:$Q$283,MATCH(C691,'Total qty'!$C$209:$C$283,0))*consprofilemultiplier/IF(General!F84="Customers",INDEX(Qty!$I$87:$I$161,MATCH(Movements!C691,Qty!$C$87:$C$161,0)),INDEX(Qty!$K$87:$K$161,MATCH(Movements!C691,Qty!$C$87:$C$161,0))),0)</f>
        <v>0</v>
      </c>
      <c r="N691" s="252">
        <f>_xlfn.IFNA(MATCH(C691,IF(currentyear=RCPminus1,Tariffs!$H$46:$H$120,Tariffs!$C$46:$C$120),0),0)</f>
        <v>0</v>
      </c>
      <c r="O691" s="206" cm="1">
        <f t="array" ref="O691">IF(N691=0,0,IF(D691="yes",IF(Movements!$G691&gt;INDEX(Tariffs!$T$46:$T$120,$N691),INDEX(Tariffs!$T$46:$T$120,$N691),Movements!$G691),0))</f>
        <v>0</v>
      </c>
      <c r="P691" s="206" cm="1">
        <f t="array" ref="P691">IF(N691=0,0,IF(D691="yes",IF($G691=$O691,0,IF(AND(Movements!$G691&gt;INDEX(Tariffs!$U$46:$U$120,$N691),INDEX(Tariffs!$U$46:$U$120,$N691)&lt;&gt;0),INDEX(Tariffs!$U$46:$U$120,$N691)-INDEX(Tariffs!$T$46:$T$120,$N691),Movements!$G691-Movements!$O691)),0))</f>
        <v>0</v>
      </c>
      <c r="Q691" s="206">
        <f t="shared" si="176"/>
        <v>0</v>
      </c>
      <c r="R691" s="207"/>
      <c r="S691" s="219">
        <f>IFERROR(INDEX('Total qty'!$L$209:$N$283,MATCH(Movements!$C691,'Total qty'!$C$209:$C$283,0),MATCH(Movements!S$614,'Total qty'!$L$5:$N$5,0))/INDEX('Total qty'!$O$209:$O$283,MATCH(Movements!$C691,'Total qty'!$C$209:$C$283,0)),0)*$F691</f>
        <v>0</v>
      </c>
      <c r="T691" s="219">
        <f>IFERROR(INDEX('Total qty'!$L$209:$N$283,MATCH(Movements!$C691,'Total qty'!$C$209:$C$283,0),MATCH(Movements!T$614,'Total qty'!$L$5:$N$5,0))/INDEX('Total qty'!$O$209:$O$283,MATCH(Movements!$C691,'Total qty'!$C$209:$C$283,0)),0)*$F691</f>
        <v>0</v>
      </c>
      <c r="U691" s="219">
        <f>IFERROR(INDEX('Total qty'!$L$209:$N$283,MATCH(Movements!$C691,'Total qty'!$C$209:$C$283,0),MATCH(Movements!U$614,'Total qty'!$L$5:$N$5,0))/INDEX('Total qty'!$O$209:$O$283,MATCH(Movements!$C691,'Total qty'!$C$209:$C$283,0)),0)*$F691</f>
        <v>0</v>
      </c>
      <c r="V691" s="138"/>
      <c r="W691" s="138"/>
      <c r="X691" s="138"/>
      <c r="Y691" s="138"/>
      <c r="Z691" s="138"/>
      <c r="AA691" s="138"/>
      <c r="AB691" s="138"/>
      <c r="AC691" s="70"/>
      <c r="AD691" s="19"/>
      <c r="AE691" s="19"/>
      <c r="AF691" s="19"/>
      <c r="AG691" s="19"/>
    </row>
    <row r="692" spans="1:33" hidden="1" outlineLevel="3" x14ac:dyDescent="0.2">
      <c r="A692" s="19"/>
      <c r="B692" s="19"/>
      <c r="C692" s="506">
        <f t="shared" si="175"/>
        <v>0</v>
      </c>
      <c r="D692" s="505">
        <f t="shared" si="171"/>
        <v>0</v>
      </c>
      <c r="E692" s="505">
        <f t="shared" si="171"/>
        <v>0</v>
      </c>
      <c r="F692" s="246">
        <f t="shared" si="169"/>
        <v>0</v>
      </c>
      <c r="G692" s="198">
        <f>IFERROR(INDEX('Total qty'!$O$131:$O$205,MATCH(Movements!C692,'Total qty'!$C$131:$C$205,0))*consprofilemultiplier/IF(General!$F$35="Customers",INDEX(Qty!$I$87:$I$161,MATCH(Movements!C692,Qty!$C$87:$C$161,0)),INDEX(Qty!$K$87:$K$161,MATCH(Movements!C692,Qty!$C$87:$C$161,0))),0)</f>
        <v>0</v>
      </c>
      <c r="H692" s="221"/>
      <c r="I692" s="206">
        <f t="shared" si="172"/>
        <v>0</v>
      </c>
      <c r="J692" s="206">
        <f t="shared" si="173"/>
        <v>0</v>
      </c>
      <c r="K692" s="206">
        <f t="shared" si="174"/>
        <v>0</v>
      </c>
      <c r="L692" s="178"/>
      <c r="M692" s="198">
        <f>IFERROR(INDEX('Total qty'!$Q$209:$Q$283,MATCH(C692,'Total qty'!$C$209:$C$283,0))*consprofilemultiplier/IF(General!F85="Customers",INDEX(Qty!$I$87:$I$161,MATCH(Movements!C692,Qty!$C$87:$C$161,0)),INDEX(Qty!$K$87:$K$161,MATCH(Movements!C692,Qty!$C$87:$C$161,0))),0)</f>
        <v>0</v>
      </c>
      <c r="N692" s="252">
        <f>_xlfn.IFNA(MATCH(C692,IF(currentyear=RCPminus1,Tariffs!$H$46:$H$120,Tariffs!$C$46:$C$120),0),0)</f>
        <v>0</v>
      </c>
      <c r="O692" s="206" cm="1">
        <f t="array" ref="O692">IF(N692=0,0,IF(D692="yes",IF(Movements!$G692&gt;INDEX(Tariffs!$T$46:$T$120,$N692),INDEX(Tariffs!$T$46:$T$120,$N692),Movements!$G692),0))</f>
        <v>0</v>
      </c>
      <c r="P692" s="206" cm="1">
        <f t="array" ref="P692">IF(N692=0,0,IF(D692="yes",IF($G692=$O692,0,IF(AND(Movements!$G692&gt;INDEX(Tariffs!$U$46:$U$120,$N692),INDEX(Tariffs!$U$46:$U$120,$N692)&lt;&gt;0),INDEX(Tariffs!$U$46:$U$120,$N692)-INDEX(Tariffs!$T$46:$T$120,$N692),Movements!$G692-Movements!$O692)),0))</f>
        <v>0</v>
      </c>
      <c r="Q692" s="206">
        <f t="shared" si="176"/>
        <v>0</v>
      </c>
      <c r="R692" s="207"/>
      <c r="S692" s="219">
        <f>IFERROR(INDEX('Total qty'!$L$209:$N$283,MATCH(Movements!$C692,'Total qty'!$C$209:$C$283,0),MATCH(Movements!S$614,'Total qty'!$L$5:$N$5,0))/INDEX('Total qty'!$O$209:$O$283,MATCH(Movements!$C692,'Total qty'!$C$209:$C$283,0)),0)*$F692</f>
        <v>0</v>
      </c>
      <c r="T692" s="219">
        <f>IFERROR(INDEX('Total qty'!$L$209:$N$283,MATCH(Movements!$C692,'Total qty'!$C$209:$C$283,0),MATCH(Movements!T$614,'Total qty'!$L$5:$N$5,0))/INDEX('Total qty'!$O$209:$O$283,MATCH(Movements!$C692,'Total qty'!$C$209:$C$283,0)),0)*$F692</f>
        <v>0</v>
      </c>
      <c r="U692" s="219">
        <f>IFERROR(INDEX('Total qty'!$L$209:$N$283,MATCH(Movements!$C692,'Total qty'!$C$209:$C$283,0),MATCH(Movements!U$614,'Total qty'!$L$5:$N$5,0))/INDEX('Total qty'!$O$209:$O$283,MATCH(Movements!$C692,'Total qty'!$C$209:$C$283,0)),0)*$F692</f>
        <v>0</v>
      </c>
      <c r="V692" s="138"/>
      <c r="W692" s="138"/>
      <c r="X692" s="138"/>
      <c r="Y692" s="138"/>
      <c r="Z692" s="138"/>
      <c r="AA692" s="138"/>
      <c r="AB692" s="138"/>
      <c r="AC692" s="70"/>
      <c r="AD692" s="19"/>
      <c r="AE692" s="19"/>
      <c r="AF692" s="19"/>
      <c r="AG692" s="19"/>
    </row>
    <row r="693" spans="1:33" hidden="1" outlineLevel="3" x14ac:dyDescent="0.2">
      <c r="A693" s="19"/>
      <c r="B693" s="19"/>
      <c r="C693" s="506">
        <f t="shared" si="175"/>
        <v>0</v>
      </c>
      <c r="D693" s="505">
        <f t="shared" si="171"/>
        <v>0</v>
      </c>
      <c r="E693" s="505">
        <f t="shared" si="171"/>
        <v>0</v>
      </c>
      <c r="F693" s="246">
        <f t="shared" si="169"/>
        <v>0</v>
      </c>
      <c r="G693" s="198">
        <f>IFERROR(INDEX('Total qty'!$O$131:$O$205,MATCH(Movements!C693,'Total qty'!$C$131:$C$205,0))*consprofilemultiplier/IF(General!$F$35="Customers",INDEX(Qty!$I$87:$I$161,MATCH(Movements!C693,Qty!$C$87:$C$161,0)),INDEX(Qty!$K$87:$K$161,MATCH(Movements!C693,Qty!$C$87:$C$161,0))),0)</f>
        <v>0</v>
      </c>
      <c r="H693" s="221"/>
      <c r="I693" s="206">
        <f t="shared" si="172"/>
        <v>0</v>
      </c>
      <c r="J693" s="206">
        <f t="shared" si="173"/>
        <v>0</v>
      </c>
      <c r="K693" s="206">
        <f t="shared" si="174"/>
        <v>0</v>
      </c>
      <c r="L693" s="178"/>
      <c r="M693" s="198">
        <f>IFERROR(INDEX('Total qty'!$Q$209:$Q$283,MATCH(C693,'Total qty'!$C$209:$C$283,0))*consprofilemultiplier/IF(General!F86="Customers",INDEX(Qty!$I$87:$I$161,MATCH(Movements!C693,Qty!$C$87:$C$161,0)),INDEX(Qty!$K$87:$K$161,MATCH(Movements!C693,Qty!$C$87:$C$161,0))),0)</f>
        <v>0</v>
      </c>
      <c r="N693" s="252">
        <f>_xlfn.IFNA(MATCH(C693,IF(currentyear=RCPminus1,Tariffs!$H$46:$H$120,Tariffs!$C$46:$C$120),0),0)</f>
        <v>0</v>
      </c>
      <c r="O693" s="206" cm="1">
        <f t="array" ref="O693">IF(N693=0,0,IF(D693="yes",IF(Movements!$G693&gt;INDEX(Tariffs!$T$46:$T$120,$N693),INDEX(Tariffs!$T$46:$T$120,$N693),Movements!$G693),0))</f>
        <v>0</v>
      </c>
      <c r="P693" s="206" cm="1">
        <f t="array" ref="P693">IF(N693=0,0,IF(D693="yes",IF($G693=$O693,0,IF(AND(Movements!$G693&gt;INDEX(Tariffs!$U$46:$U$120,$N693),INDEX(Tariffs!$U$46:$U$120,$N693)&lt;&gt;0),INDEX(Tariffs!$U$46:$U$120,$N693)-INDEX(Tariffs!$T$46:$T$120,$N693),Movements!$G693-Movements!$O693)),0))</f>
        <v>0</v>
      </c>
      <c r="Q693" s="206">
        <f t="shared" si="176"/>
        <v>0</v>
      </c>
      <c r="R693" s="207"/>
      <c r="S693" s="219">
        <f>IFERROR(INDEX('Total qty'!$L$209:$N$283,MATCH(Movements!$C693,'Total qty'!$C$209:$C$283,0),MATCH(Movements!S$614,'Total qty'!$L$5:$N$5,0))/INDEX('Total qty'!$O$209:$O$283,MATCH(Movements!$C693,'Total qty'!$C$209:$C$283,0)),0)*$F693</f>
        <v>0</v>
      </c>
      <c r="T693" s="219">
        <f>IFERROR(INDEX('Total qty'!$L$209:$N$283,MATCH(Movements!$C693,'Total qty'!$C$209:$C$283,0),MATCH(Movements!T$614,'Total qty'!$L$5:$N$5,0))/INDEX('Total qty'!$O$209:$O$283,MATCH(Movements!$C693,'Total qty'!$C$209:$C$283,0)),0)*$F693</f>
        <v>0</v>
      </c>
      <c r="U693" s="219">
        <f>IFERROR(INDEX('Total qty'!$L$209:$N$283,MATCH(Movements!$C693,'Total qty'!$C$209:$C$283,0),MATCH(Movements!U$614,'Total qty'!$L$5:$N$5,0))/INDEX('Total qty'!$O$209:$O$283,MATCH(Movements!$C693,'Total qty'!$C$209:$C$283,0)),0)*$F693</f>
        <v>0</v>
      </c>
      <c r="V693" s="138"/>
      <c r="W693" s="138"/>
      <c r="X693" s="138"/>
      <c r="Y693" s="138"/>
      <c r="Z693" s="138"/>
      <c r="AA693" s="138"/>
      <c r="AB693" s="138"/>
      <c r="AC693" s="70"/>
      <c r="AD693" s="19"/>
      <c r="AE693" s="19"/>
      <c r="AF693" s="19"/>
      <c r="AG693" s="19"/>
    </row>
    <row r="694" spans="1:33" hidden="1" outlineLevel="3" x14ac:dyDescent="0.2">
      <c r="A694" s="19"/>
      <c r="B694" s="19"/>
      <c r="C694" s="506">
        <f t="shared" si="175"/>
        <v>0</v>
      </c>
      <c r="D694" s="505">
        <f t="shared" si="171"/>
        <v>0</v>
      </c>
      <c r="E694" s="505">
        <f t="shared" si="171"/>
        <v>0</v>
      </c>
      <c r="F694" s="246">
        <f t="shared" si="169"/>
        <v>0</v>
      </c>
      <c r="G694" s="198">
        <f>IFERROR(INDEX('Total qty'!$O$131:$O$205,MATCH(Movements!C694,'Total qty'!$C$131:$C$205,0))*consprofilemultiplier/IF(General!$F$35="Customers",INDEX(Qty!$I$87:$I$161,MATCH(Movements!C694,Qty!$C$87:$C$161,0)),INDEX(Qty!$K$87:$K$161,MATCH(Movements!C694,Qty!$C$87:$C$161,0))),0)</f>
        <v>0</v>
      </c>
      <c r="H694" s="221"/>
      <c r="I694" s="206">
        <f t="shared" si="172"/>
        <v>0</v>
      </c>
      <c r="J694" s="206">
        <f t="shared" si="173"/>
        <v>0</v>
      </c>
      <c r="K694" s="206">
        <f t="shared" si="174"/>
        <v>0</v>
      </c>
      <c r="L694" s="178"/>
      <c r="M694" s="198">
        <f>IFERROR(INDEX('Total qty'!$Q$209:$Q$283,MATCH(C694,'Total qty'!$C$209:$C$283,0))*consprofilemultiplier/IF(General!F87="Customers",INDEX(Qty!$I$87:$I$161,MATCH(Movements!C694,Qty!$C$87:$C$161,0)),INDEX(Qty!$K$87:$K$161,MATCH(Movements!C694,Qty!$C$87:$C$161,0))),0)</f>
        <v>0</v>
      </c>
      <c r="N694" s="252">
        <f>_xlfn.IFNA(MATCH(C694,IF(currentyear=RCPminus1,Tariffs!$H$46:$H$120,Tariffs!$C$46:$C$120),0),0)</f>
        <v>0</v>
      </c>
      <c r="O694" s="206" cm="1">
        <f t="array" ref="O694">IF(N694=0,0,IF(D694="yes",IF(Movements!$G694&gt;INDEX(Tariffs!$T$46:$T$120,$N694),INDEX(Tariffs!$T$46:$T$120,$N694),Movements!$G694),0))</f>
        <v>0</v>
      </c>
      <c r="P694" s="206" cm="1">
        <f t="array" ref="P694">IF(N694=0,0,IF(D694="yes",IF($G694=$O694,0,IF(AND(Movements!$G694&gt;INDEX(Tariffs!$U$46:$U$120,$N694),INDEX(Tariffs!$U$46:$U$120,$N694)&lt;&gt;0),INDEX(Tariffs!$U$46:$U$120,$N694)-INDEX(Tariffs!$T$46:$T$120,$N694),Movements!$G694-Movements!$O694)),0))</f>
        <v>0</v>
      </c>
      <c r="Q694" s="206">
        <f t="shared" si="176"/>
        <v>0</v>
      </c>
      <c r="R694" s="207"/>
      <c r="S694" s="219">
        <f>IFERROR(INDEX('Total qty'!$L$209:$N$283,MATCH(Movements!$C694,'Total qty'!$C$209:$C$283,0),MATCH(Movements!S$614,'Total qty'!$L$5:$N$5,0))/INDEX('Total qty'!$O$209:$O$283,MATCH(Movements!$C694,'Total qty'!$C$209:$C$283,0)),0)*$F694</f>
        <v>0</v>
      </c>
      <c r="T694" s="219">
        <f>IFERROR(INDEX('Total qty'!$L$209:$N$283,MATCH(Movements!$C694,'Total qty'!$C$209:$C$283,0),MATCH(Movements!T$614,'Total qty'!$L$5:$N$5,0))/INDEX('Total qty'!$O$209:$O$283,MATCH(Movements!$C694,'Total qty'!$C$209:$C$283,0)),0)*$F694</f>
        <v>0</v>
      </c>
      <c r="U694" s="219">
        <f>IFERROR(INDEX('Total qty'!$L$209:$N$283,MATCH(Movements!$C694,'Total qty'!$C$209:$C$283,0),MATCH(Movements!U$614,'Total qty'!$L$5:$N$5,0))/INDEX('Total qty'!$O$209:$O$283,MATCH(Movements!$C694,'Total qty'!$C$209:$C$283,0)),0)*$F694</f>
        <v>0</v>
      </c>
      <c r="V694" s="138"/>
      <c r="W694" s="138"/>
      <c r="X694" s="138"/>
      <c r="Y694" s="138"/>
      <c r="Z694" s="138"/>
      <c r="AA694" s="138"/>
      <c r="AB694" s="138"/>
      <c r="AC694" s="70"/>
      <c r="AD694" s="19"/>
      <c r="AE694" s="19"/>
      <c r="AF694" s="19"/>
      <c r="AG694" s="19"/>
    </row>
    <row r="695" spans="1:33" hidden="1" outlineLevel="3" x14ac:dyDescent="0.2">
      <c r="A695" s="19"/>
      <c r="B695" s="19"/>
      <c r="C695" s="506">
        <f t="shared" si="175"/>
        <v>0</v>
      </c>
      <c r="D695" s="505">
        <f t="shared" si="171"/>
        <v>0</v>
      </c>
      <c r="E695" s="505">
        <f t="shared" si="171"/>
        <v>0</v>
      </c>
      <c r="F695" s="246">
        <f t="shared" si="169"/>
        <v>0</v>
      </c>
      <c r="G695" s="198">
        <f>IFERROR(INDEX('Total qty'!$O$131:$O$205,MATCH(Movements!C695,'Total qty'!$C$131:$C$205,0))*consprofilemultiplier/IF(General!$F$35="Customers",INDEX(Qty!$I$87:$I$161,MATCH(Movements!C695,Qty!$C$87:$C$161,0)),INDEX(Qty!$K$87:$K$161,MATCH(Movements!C695,Qty!$C$87:$C$161,0))),0)</f>
        <v>0</v>
      </c>
      <c r="H695" s="221"/>
      <c r="I695" s="206">
        <f t="shared" si="172"/>
        <v>0</v>
      </c>
      <c r="J695" s="206">
        <f t="shared" si="173"/>
        <v>0</v>
      </c>
      <c r="K695" s="206">
        <f t="shared" si="174"/>
        <v>0</v>
      </c>
      <c r="L695" s="178"/>
      <c r="M695" s="198">
        <f>IFERROR(INDEX('Total qty'!$Q$209:$Q$283,MATCH(C695,'Total qty'!$C$209:$C$283,0))*consprofilemultiplier/IF(General!F88="Customers",INDEX(Qty!$I$87:$I$161,MATCH(Movements!C695,Qty!$C$87:$C$161,0)),INDEX(Qty!$K$87:$K$161,MATCH(Movements!C695,Qty!$C$87:$C$161,0))),0)</f>
        <v>0</v>
      </c>
      <c r="N695" s="252">
        <f>_xlfn.IFNA(MATCH(C695,IF(currentyear=RCPminus1,Tariffs!$H$46:$H$120,Tariffs!$C$46:$C$120),0),0)</f>
        <v>0</v>
      </c>
      <c r="O695" s="206" cm="1">
        <f t="array" ref="O695">IF(N695=0,0,IF(D695="yes",IF(Movements!$G695&gt;INDEX(Tariffs!$T$46:$T$120,$N695),INDEX(Tariffs!$T$46:$T$120,$N695),Movements!$G695),0))</f>
        <v>0</v>
      </c>
      <c r="P695" s="206" cm="1">
        <f t="array" ref="P695">IF(N695=0,0,IF(D695="yes",IF($G695=$O695,0,IF(AND(Movements!$G695&gt;INDEX(Tariffs!$U$46:$U$120,$N695),INDEX(Tariffs!$U$46:$U$120,$N695)&lt;&gt;0),INDEX(Tariffs!$U$46:$U$120,$N695)-INDEX(Tariffs!$T$46:$T$120,$N695),Movements!$G695-Movements!$O695)),0))</f>
        <v>0</v>
      </c>
      <c r="Q695" s="206">
        <f t="shared" si="176"/>
        <v>0</v>
      </c>
      <c r="R695" s="207"/>
      <c r="S695" s="219">
        <f>IFERROR(INDEX('Total qty'!$L$209:$N$283,MATCH(Movements!$C695,'Total qty'!$C$209:$C$283,0),MATCH(Movements!S$614,'Total qty'!$L$5:$N$5,0))/INDEX('Total qty'!$O$209:$O$283,MATCH(Movements!$C695,'Total qty'!$C$209:$C$283,0)),0)*$F695</f>
        <v>0</v>
      </c>
      <c r="T695" s="219">
        <f>IFERROR(INDEX('Total qty'!$L$209:$N$283,MATCH(Movements!$C695,'Total qty'!$C$209:$C$283,0),MATCH(Movements!T$614,'Total qty'!$L$5:$N$5,0))/INDEX('Total qty'!$O$209:$O$283,MATCH(Movements!$C695,'Total qty'!$C$209:$C$283,0)),0)*$F695</f>
        <v>0</v>
      </c>
      <c r="U695" s="219">
        <f>IFERROR(INDEX('Total qty'!$L$209:$N$283,MATCH(Movements!$C695,'Total qty'!$C$209:$C$283,0),MATCH(Movements!U$614,'Total qty'!$L$5:$N$5,0))/INDEX('Total qty'!$O$209:$O$283,MATCH(Movements!$C695,'Total qty'!$C$209:$C$283,0)),0)*$F695</f>
        <v>0</v>
      </c>
      <c r="V695" s="138"/>
      <c r="W695" s="138"/>
      <c r="X695" s="138"/>
      <c r="Y695" s="138"/>
      <c r="Z695" s="138"/>
      <c r="AA695" s="138"/>
      <c r="AB695" s="138"/>
      <c r="AC695" s="70"/>
      <c r="AD695" s="19"/>
      <c r="AE695" s="19"/>
      <c r="AF695" s="19"/>
      <c r="AG695" s="19"/>
    </row>
    <row r="696" spans="1:33" hidden="1" outlineLevel="3" x14ac:dyDescent="0.2">
      <c r="A696" s="19"/>
      <c r="B696" s="19"/>
      <c r="C696" s="506">
        <f t="shared" si="175"/>
        <v>0</v>
      </c>
      <c r="D696" s="505">
        <f t="shared" si="171"/>
        <v>0</v>
      </c>
      <c r="E696" s="505">
        <f t="shared" si="171"/>
        <v>0</v>
      </c>
      <c r="F696" s="246">
        <f t="shared" si="169"/>
        <v>0</v>
      </c>
      <c r="G696" s="198">
        <f>IFERROR(INDEX('Total qty'!$O$131:$O$205,MATCH(Movements!C696,'Total qty'!$C$131:$C$205,0))*consprofilemultiplier/IF(General!$F$35="Customers",INDEX(Qty!$I$87:$I$161,MATCH(Movements!C696,Qty!$C$87:$C$161,0)),INDEX(Qty!$K$87:$K$161,MATCH(Movements!C696,Qty!$C$87:$C$161,0))),0)</f>
        <v>0</v>
      </c>
      <c r="H696" s="221"/>
      <c r="I696" s="206">
        <f t="shared" si="172"/>
        <v>0</v>
      </c>
      <c r="J696" s="206">
        <f t="shared" si="173"/>
        <v>0</v>
      </c>
      <c r="K696" s="206">
        <f t="shared" si="174"/>
        <v>0</v>
      </c>
      <c r="L696" s="178"/>
      <c r="M696" s="198">
        <f>IFERROR(INDEX('Total qty'!$Q$209:$Q$283,MATCH(C696,'Total qty'!$C$209:$C$283,0))*consprofilemultiplier/IF(General!F89="Customers",INDEX(Qty!$I$87:$I$161,MATCH(Movements!C696,Qty!$C$87:$C$161,0)),INDEX(Qty!$K$87:$K$161,MATCH(Movements!C696,Qty!$C$87:$C$161,0))),0)</f>
        <v>0</v>
      </c>
      <c r="N696" s="252">
        <f>_xlfn.IFNA(MATCH(C696,IF(currentyear=RCPminus1,Tariffs!$H$46:$H$120,Tariffs!$C$46:$C$120),0),0)</f>
        <v>0</v>
      </c>
      <c r="O696" s="206" cm="1">
        <f t="array" ref="O696">IF(N696=0,0,IF(D696="yes",IF(Movements!$G696&gt;INDEX(Tariffs!$T$46:$T$120,$N696),INDEX(Tariffs!$T$46:$T$120,$N696),Movements!$G696),0))</f>
        <v>0</v>
      </c>
      <c r="P696" s="206" cm="1">
        <f t="array" ref="P696">IF(N696=0,0,IF(D696="yes",IF($G696=$O696,0,IF(AND(Movements!$G696&gt;INDEX(Tariffs!$U$46:$U$120,$N696),INDEX(Tariffs!$U$46:$U$120,$N696)&lt;&gt;0),INDEX(Tariffs!$U$46:$U$120,$N696)-INDEX(Tariffs!$T$46:$T$120,$N696),Movements!$G696-Movements!$O696)),0))</f>
        <v>0</v>
      </c>
      <c r="Q696" s="206">
        <f t="shared" si="176"/>
        <v>0</v>
      </c>
      <c r="R696" s="207"/>
      <c r="S696" s="219">
        <f>IFERROR(INDEX('Total qty'!$L$209:$N$283,MATCH(Movements!$C696,'Total qty'!$C$209:$C$283,0),MATCH(Movements!S$614,'Total qty'!$L$5:$N$5,0))/INDEX('Total qty'!$O$209:$O$283,MATCH(Movements!$C696,'Total qty'!$C$209:$C$283,0)),0)*$F696</f>
        <v>0</v>
      </c>
      <c r="T696" s="219">
        <f>IFERROR(INDEX('Total qty'!$L$209:$N$283,MATCH(Movements!$C696,'Total qty'!$C$209:$C$283,0),MATCH(Movements!T$614,'Total qty'!$L$5:$N$5,0))/INDEX('Total qty'!$O$209:$O$283,MATCH(Movements!$C696,'Total qty'!$C$209:$C$283,0)),0)*$F696</f>
        <v>0</v>
      </c>
      <c r="U696" s="219">
        <f>IFERROR(INDEX('Total qty'!$L$209:$N$283,MATCH(Movements!$C696,'Total qty'!$C$209:$C$283,0),MATCH(Movements!U$614,'Total qty'!$L$5:$N$5,0))/INDEX('Total qty'!$O$209:$O$283,MATCH(Movements!$C696,'Total qty'!$C$209:$C$283,0)),0)*$F696</f>
        <v>0</v>
      </c>
      <c r="V696" s="138"/>
      <c r="W696" s="138"/>
      <c r="X696" s="138"/>
      <c r="Y696" s="138"/>
      <c r="Z696" s="138"/>
      <c r="AA696" s="138"/>
      <c r="AB696" s="138"/>
      <c r="AC696" s="70"/>
      <c r="AD696" s="19"/>
      <c r="AE696" s="19"/>
      <c r="AF696" s="19"/>
      <c r="AG696" s="19"/>
    </row>
    <row r="697" spans="1:33" hidden="1" outlineLevel="3" x14ac:dyDescent="0.2">
      <c r="A697" s="19"/>
      <c r="B697" s="19"/>
      <c r="C697" s="506">
        <f t="shared" si="175"/>
        <v>0</v>
      </c>
      <c r="D697" s="505">
        <f t="shared" si="171"/>
        <v>0</v>
      </c>
      <c r="E697" s="505">
        <f t="shared" si="171"/>
        <v>0</v>
      </c>
      <c r="F697" s="246">
        <f t="shared" si="169"/>
        <v>0</v>
      </c>
      <c r="G697" s="198">
        <f>IFERROR(INDEX('Total qty'!$O$131:$O$205,MATCH(Movements!C697,'Total qty'!$C$131:$C$205,0))*consprofilemultiplier/IF(General!$F$35="Customers",INDEX(Qty!$I$87:$I$161,MATCH(Movements!C697,Qty!$C$87:$C$161,0)),INDEX(Qty!$K$87:$K$161,MATCH(Movements!C697,Qty!$C$87:$C$161,0))),0)</f>
        <v>0</v>
      </c>
      <c r="H697" s="221"/>
      <c r="I697" s="206">
        <f t="shared" si="172"/>
        <v>0</v>
      </c>
      <c r="J697" s="206">
        <f t="shared" si="173"/>
        <v>0</v>
      </c>
      <c r="K697" s="206">
        <f t="shared" si="174"/>
        <v>0</v>
      </c>
      <c r="L697" s="178"/>
      <c r="M697" s="198">
        <f>IFERROR(INDEX('Total qty'!$Q$209:$Q$283,MATCH(C697,'Total qty'!$C$209:$C$283,0))*consprofilemultiplier/IF(General!F90="Customers",INDEX(Qty!$I$87:$I$161,MATCH(Movements!C697,Qty!$C$87:$C$161,0)),INDEX(Qty!$K$87:$K$161,MATCH(Movements!C697,Qty!$C$87:$C$161,0))),0)</f>
        <v>0</v>
      </c>
      <c r="N697" s="252">
        <f>_xlfn.IFNA(MATCH(C697,IF(currentyear=RCPminus1,Tariffs!$H$46:$H$120,Tariffs!$C$46:$C$120),0),0)</f>
        <v>0</v>
      </c>
      <c r="O697" s="206" cm="1">
        <f t="array" ref="O697">IF(N697=0,0,IF(D697="yes",IF(Movements!$G697&gt;INDEX(Tariffs!$T$46:$T$120,$N697),INDEX(Tariffs!$T$46:$T$120,$N697),Movements!$G697),0))</f>
        <v>0</v>
      </c>
      <c r="P697" s="206" cm="1">
        <f t="array" ref="P697">IF(N697=0,0,IF(D697="yes",IF($G697=$O697,0,IF(AND(Movements!$G697&gt;INDEX(Tariffs!$U$46:$U$120,$N697),INDEX(Tariffs!$U$46:$U$120,$N697)&lt;&gt;0),INDEX(Tariffs!$U$46:$U$120,$N697)-INDEX(Tariffs!$T$46:$T$120,$N697),Movements!$G697-Movements!$O697)),0))</f>
        <v>0</v>
      </c>
      <c r="Q697" s="206">
        <f t="shared" si="176"/>
        <v>0</v>
      </c>
      <c r="R697" s="207"/>
      <c r="S697" s="219">
        <f>IFERROR(INDEX('Total qty'!$L$209:$N$283,MATCH(Movements!$C697,'Total qty'!$C$209:$C$283,0),MATCH(Movements!S$614,'Total qty'!$L$5:$N$5,0))/INDEX('Total qty'!$O$209:$O$283,MATCH(Movements!$C697,'Total qty'!$C$209:$C$283,0)),0)*$F697</f>
        <v>0</v>
      </c>
      <c r="T697" s="219">
        <f>IFERROR(INDEX('Total qty'!$L$209:$N$283,MATCH(Movements!$C697,'Total qty'!$C$209:$C$283,0),MATCH(Movements!T$614,'Total qty'!$L$5:$N$5,0))/INDEX('Total qty'!$O$209:$O$283,MATCH(Movements!$C697,'Total qty'!$C$209:$C$283,0)),0)*$F697</f>
        <v>0</v>
      </c>
      <c r="U697" s="219">
        <f>IFERROR(INDEX('Total qty'!$L$209:$N$283,MATCH(Movements!$C697,'Total qty'!$C$209:$C$283,0),MATCH(Movements!U$614,'Total qty'!$L$5:$N$5,0))/INDEX('Total qty'!$O$209:$O$283,MATCH(Movements!$C697,'Total qty'!$C$209:$C$283,0)),0)*$F697</f>
        <v>0</v>
      </c>
      <c r="V697" s="138"/>
      <c r="W697" s="138"/>
      <c r="X697" s="138"/>
      <c r="Y697" s="138"/>
      <c r="Z697" s="138"/>
      <c r="AA697" s="138"/>
      <c r="AB697" s="138"/>
      <c r="AC697" s="70"/>
      <c r="AD697" s="19"/>
      <c r="AE697" s="19"/>
      <c r="AF697" s="19"/>
      <c r="AG697" s="19"/>
    </row>
    <row r="698" spans="1:33" hidden="1" outlineLevel="3" x14ac:dyDescent="0.2">
      <c r="A698" s="19"/>
      <c r="B698" s="19"/>
      <c r="C698" s="506">
        <f t="shared" si="175"/>
        <v>0</v>
      </c>
      <c r="D698" s="505">
        <f t="shared" si="171"/>
        <v>0</v>
      </c>
      <c r="E698" s="505">
        <f t="shared" si="171"/>
        <v>0</v>
      </c>
      <c r="F698" s="246">
        <f t="shared" si="169"/>
        <v>0</v>
      </c>
      <c r="G698" s="198">
        <f>IFERROR(INDEX('Total qty'!$O$131:$O$205,MATCH(Movements!C698,'Total qty'!$C$131:$C$205,0))*consprofilemultiplier/IF(General!$F$35="Customers",INDEX(Qty!$I$87:$I$161,MATCH(Movements!C698,Qty!$C$87:$C$161,0)),INDEX(Qty!$K$87:$K$161,MATCH(Movements!C698,Qty!$C$87:$C$161,0))),0)</f>
        <v>0</v>
      </c>
      <c r="H698" s="221"/>
      <c r="I698" s="206">
        <f t="shared" si="172"/>
        <v>0</v>
      </c>
      <c r="J698" s="206">
        <f t="shared" si="173"/>
        <v>0</v>
      </c>
      <c r="K698" s="206">
        <f t="shared" si="174"/>
        <v>0</v>
      </c>
      <c r="L698" s="178"/>
      <c r="M698" s="198">
        <f>IFERROR(INDEX('Total qty'!$Q$209:$Q$283,MATCH(C698,'Total qty'!$C$209:$C$283,0))*consprofilemultiplier/IF(General!F91="Customers",INDEX(Qty!$I$87:$I$161,MATCH(Movements!C698,Qty!$C$87:$C$161,0)),INDEX(Qty!$K$87:$K$161,MATCH(Movements!C698,Qty!$C$87:$C$161,0))),0)</f>
        <v>0</v>
      </c>
      <c r="N698" s="252">
        <f>_xlfn.IFNA(MATCH(C698,IF(currentyear=RCPminus1,Tariffs!$H$46:$H$120,Tariffs!$C$46:$C$120),0),0)</f>
        <v>0</v>
      </c>
      <c r="O698" s="206" cm="1">
        <f t="array" ref="O698">IF(N698=0,0,IF(D698="yes",IF(Movements!$G698&gt;INDEX(Tariffs!$T$46:$T$120,$N698),INDEX(Tariffs!$T$46:$T$120,$N698),Movements!$G698),0))</f>
        <v>0</v>
      </c>
      <c r="P698" s="206" cm="1">
        <f t="array" ref="P698">IF(N698=0,0,IF(D698="yes",IF($G698=$O698,0,IF(AND(Movements!$G698&gt;INDEX(Tariffs!$U$46:$U$120,$N698),INDEX(Tariffs!$U$46:$U$120,$N698)&lt;&gt;0),INDEX(Tariffs!$U$46:$U$120,$N698)-INDEX(Tariffs!$T$46:$T$120,$N698),Movements!$G698-Movements!$O698)),0))</f>
        <v>0</v>
      </c>
      <c r="Q698" s="206">
        <f t="shared" si="176"/>
        <v>0</v>
      </c>
      <c r="R698" s="207"/>
      <c r="S698" s="219">
        <f>IFERROR(INDEX('Total qty'!$L$209:$N$283,MATCH(Movements!$C698,'Total qty'!$C$209:$C$283,0),MATCH(Movements!S$614,'Total qty'!$L$5:$N$5,0))/INDEX('Total qty'!$O$209:$O$283,MATCH(Movements!$C698,'Total qty'!$C$209:$C$283,0)),0)*$F698</f>
        <v>0</v>
      </c>
      <c r="T698" s="219">
        <f>IFERROR(INDEX('Total qty'!$L$209:$N$283,MATCH(Movements!$C698,'Total qty'!$C$209:$C$283,0),MATCH(Movements!T$614,'Total qty'!$L$5:$N$5,0))/INDEX('Total qty'!$O$209:$O$283,MATCH(Movements!$C698,'Total qty'!$C$209:$C$283,0)),0)*$F698</f>
        <v>0</v>
      </c>
      <c r="U698" s="219">
        <f>IFERROR(INDEX('Total qty'!$L$209:$N$283,MATCH(Movements!$C698,'Total qty'!$C$209:$C$283,0),MATCH(Movements!U$614,'Total qty'!$L$5:$N$5,0))/INDEX('Total qty'!$O$209:$O$283,MATCH(Movements!$C698,'Total qty'!$C$209:$C$283,0)),0)*$F698</f>
        <v>0</v>
      </c>
      <c r="V698" s="138"/>
      <c r="W698" s="138"/>
      <c r="X698" s="138"/>
      <c r="Y698" s="138"/>
      <c r="Z698" s="138"/>
      <c r="AA698" s="138"/>
      <c r="AB698" s="138"/>
      <c r="AC698" s="70"/>
      <c r="AD698" s="19"/>
      <c r="AE698" s="19"/>
      <c r="AF698" s="19"/>
      <c r="AG698" s="19"/>
    </row>
    <row r="699" spans="1:33" hidden="1" outlineLevel="3" x14ac:dyDescent="0.2">
      <c r="A699" s="19"/>
      <c r="B699" s="19"/>
      <c r="C699" s="506">
        <f t="shared" si="175"/>
        <v>0</v>
      </c>
      <c r="D699" s="505">
        <f t="shared" si="171"/>
        <v>0</v>
      </c>
      <c r="E699" s="505">
        <f t="shared" si="171"/>
        <v>0</v>
      </c>
      <c r="F699" s="246">
        <f t="shared" si="169"/>
        <v>0</v>
      </c>
      <c r="G699" s="198">
        <f>IFERROR(INDEX('Total qty'!$O$131:$O$205,MATCH(Movements!C699,'Total qty'!$C$131:$C$205,0))*consprofilemultiplier/IF(General!$F$35="Customers",INDEX(Qty!$I$87:$I$161,MATCH(Movements!C699,Qty!$C$87:$C$161,0)),INDEX(Qty!$K$87:$K$161,MATCH(Movements!C699,Qty!$C$87:$C$161,0))),0)</f>
        <v>0</v>
      </c>
      <c r="H699" s="221"/>
      <c r="I699" s="206">
        <f t="shared" si="172"/>
        <v>0</v>
      </c>
      <c r="J699" s="206">
        <f t="shared" si="173"/>
        <v>0</v>
      </c>
      <c r="K699" s="206">
        <f t="shared" si="174"/>
        <v>0</v>
      </c>
      <c r="L699" s="178"/>
      <c r="M699" s="198">
        <f>IFERROR(INDEX('Total qty'!$Q$209:$Q$283,MATCH(C699,'Total qty'!$C$209:$C$283,0))*consprofilemultiplier/IF(General!F92="Customers",INDEX(Qty!$I$87:$I$161,MATCH(Movements!C699,Qty!$C$87:$C$161,0)),INDEX(Qty!$K$87:$K$161,MATCH(Movements!C699,Qty!$C$87:$C$161,0))),0)</f>
        <v>0</v>
      </c>
      <c r="N699" s="252">
        <f>_xlfn.IFNA(MATCH(C699,IF(currentyear=RCPminus1,Tariffs!$H$46:$H$120,Tariffs!$C$46:$C$120),0),0)</f>
        <v>0</v>
      </c>
      <c r="O699" s="206" cm="1">
        <f t="array" ref="O699">IF(N699=0,0,IF(D699="yes",IF(Movements!$G699&gt;INDEX(Tariffs!$T$46:$T$120,$N699),INDEX(Tariffs!$T$46:$T$120,$N699),Movements!$G699),0))</f>
        <v>0</v>
      </c>
      <c r="P699" s="206" cm="1">
        <f t="array" ref="P699">IF(N699=0,0,IF(D699="yes",IF($G699=$O699,0,IF(AND(Movements!$G699&gt;INDEX(Tariffs!$U$46:$U$120,$N699),INDEX(Tariffs!$U$46:$U$120,$N699)&lt;&gt;0),INDEX(Tariffs!$U$46:$U$120,$N699)-INDEX(Tariffs!$T$46:$T$120,$N699),Movements!$G699-Movements!$O699)),0))</f>
        <v>0</v>
      </c>
      <c r="Q699" s="206">
        <f t="shared" si="176"/>
        <v>0</v>
      </c>
      <c r="R699" s="207"/>
      <c r="S699" s="219">
        <f>IFERROR(INDEX('Total qty'!$L$209:$N$283,MATCH(Movements!$C699,'Total qty'!$C$209:$C$283,0),MATCH(Movements!S$614,'Total qty'!$L$5:$N$5,0))/INDEX('Total qty'!$O$209:$O$283,MATCH(Movements!$C699,'Total qty'!$C$209:$C$283,0)),0)*$F699</f>
        <v>0</v>
      </c>
      <c r="T699" s="219">
        <f>IFERROR(INDEX('Total qty'!$L$209:$N$283,MATCH(Movements!$C699,'Total qty'!$C$209:$C$283,0),MATCH(Movements!T$614,'Total qty'!$L$5:$N$5,0))/INDEX('Total qty'!$O$209:$O$283,MATCH(Movements!$C699,'Total qty'!$C$209:$C$283,0)),0)*$F699</f>
        <v>0</v>
      </c>
      <c r="U699" s="219">
        <f>IFERROR(INDEX('Total qty'!$L$209:$N$283,MATCH(Movements!$C699,'Total qty'!$C$209:$C$283,0),MATCH(Movements!U$614,'Total qty'!$L$5:$N$5,0))/INDEX('Total qty'!$O$209:$O$283,MATCH(Movements!$C699,'Total qty'!$C$209:$C$283,0)),0)*$F699</f>
        <v>0</v>
      </c>
      <c r="V699" s="138"/>
      <c r="W699" s="138"/>
      <c r="X699" s="138"/>
      <c r="Y699" s="138"/>
      <c r="Z699" s="138"/>
      <c r="AA699" s="138"/>
      <c r="AB699" s="138"/>
      <c r="AC699" s="70"/>
      <c r="AD699" s="19"/>
      <c r="AE699" s="19"/>
      <c r="AF699" s="19"/>
      <c r="AG699" s="19"/>
    </row>
    <row r="700" spans="1:33" hidden="1" outlineLevel="3" x14ac:dyDescent="0.2">
      <c r="A700" s="19"/>
      <c r="B700" s="19"/>
      <c r="C700" s="506">
        <f t="shared" si="175"/>
        <v>0</v>
      </c>
      <c r="D700" s="505">
        <f t="shared" si="171"/>
        <v>0</v>
      </c>
      <c r="E700" s="505">
        <f t="shared" si="171"/>
        <v>0</v>
      </c>
      <c r="F700" s="246">
        <f t="shared" si="169"/>
        <v>0</v>
      </c>
      <c r="G700" s="198">
        <f>IFERROR(INDEX('Total qty'!$O$131:$O$205,MATCH(Movements!C700,'Total qty'!$C$131:$C$205,0))*consprofilemultiplier/IF(General!$F$35="Customers",INDEX(Qty!$I$87:$I$161,MATCH(Movements!C700,Qty!$C$87:$C$161,0)),INDEX(Qty!$K$87:$K$161,MATCH(Movements!C700,Qty!$C$87:$C$161,0))),0)</f>
        <v>0</v>
      </c>
      <c r="H700" s="221"/>
      <c r="I700" s="206">
        <f t="shared" si="172"/>
        <v>0</v>
      </c>
      <c r="J700" s="206">
        <f t="shared" si="173"/>
        <v>0</v>
      </c>
      <c r="K700" s="206">
        <f t="shared" si="174"/>
        <v>0</v>
      </c>
      <c r="L700" s="178"/>
      <c r="M700" s="198">
        <f>IFERROR(INDEX('Total qty'!$Q$209:$Q$283,MATCH(C700,'Total qty'!$C$209:$C$283,0))*consprofilemultiplier/IF(General!F93="Customers",INDEX(Qty!$I$87:$I$161,MATCH(Movements!C700,Qty!$C$87:$C$161,0)),INDEX(Qty!$K$87:$K$161,MATCH(Movements!C700,Qty!$C$87:$C$161,0))),0)</f>
        <v>0</v>
      </c>
      <c r="N700" s="252">
        <f>_xlfn.IFNA(MATCH(C700,IF(currentyear=RCPminus1,Tariffs!$H$46:$H$120,Tariffs!$C$46:$C$120),0),0)</f>
        <v>0</v>
      </c>
      <c r="O700" s="206" cm="1">
        <f t="array" ref="O700">IF(N700=0,0,IF(D700="yes",IF(Movements!$G700&gt;INDEX(Tariffs!$T$46:$T$120,$N700),INDEX(Tariffs!$T$46:$T$120,$N700),Movements!$G700),0))</f>
        <v>0</v>
      </c>
      <c r="P700" s="206" cm="1">
        <f t="array" ref="P700">IF(N700=0,0,IF(D700="yes",IF($G700=$O700,0,IF(AND(Movements!$G700&gt;INDEX(Tariffs!$U$46:$U$120,$N700),INDEX(Tariffs!$U$46:$U$120,$N700)&lt;&gt;0),INDEX(Tariffs!$U$46:$U$120,$N700)-INDEX(Tariffs!$T$46:$T$120,$N700),Movements!$G700-Movements!$O700)),0))</f>
        <v>0</v>
      </c>
      <c r="Q700" s="206">
        <f t="shared" si="176"/>
        <v>0</v>
      </c>
      <c r="R700" s="207"/>
      <c r="S700" s="219">
        <f>IFERROR(INDEX('Total qty'!$L$209:$N$283,MATCH(Movements!$C700,'Total qty'!$C$209:$C$283,0),MATCH(Movements!S$614,'Total qty'!$L$5:$N$5,0))/INDEX('Total qty'!$O$209:$O$283,MATCH(Movements!$C700,'Total qty'!$C$209:$C$283,0)),0)*$F700</f>
        <v>0</v>
      </c>
      <c r="T700" s="219">
        <f>IFERROR(INDEX('Total qty'!$L$209:$N$283,MATCH(Movements!$C700,'Total qty'!$C$209:$C$283,0),MATCH(Movements!T$614,'Total qty'!$L$5:$N$5,0))/INDEX('Total qty'!$O$209:$O$283,MATCH(Movements!$C700,'Total qty'!$C$209:$C$283,0)),0)*$F700</f>
        <v>0</v>
      </c>
      <c r="U700" s="219">
        <f>IFERROR(INDEX('Total qty'!$L$209:$N$283,MATCH(Movements!$C700,'Total qty'!$C$209:$C$283,0),MATCH(Movements!U$614,'Total qty'!$L$5:$N$5,0))/INDEX('Total qty'!$O$209:$O$283,MATCH(Movements!$C700,'Total qty'!$C$209:$C$283,0)),0)*$F700</f>
        <v>0</v>
      </c>
      <c r="V700" s="138"/>
      <c r="W700" s="138"/>
      <c r="X700" s="138"/>
      <c r="Y700" s="138"/>
      <c r="Z700" s="138"/>
      <c r="AA700" s="138"/>
      <c r="AB700" s="138"/>
      <c r="AC700" s="70"/>
      <c r="AD700" s="19"/>
      <c r="AE700" s="19"/>
      <c r="AF700" s="19"/>
      <c r="AG700" s="19"/>
    </row>
    <row r="701" spans="1:33" hidden="1" outlineLevel="3" x14ac:dyDescent="0.2">
      <c r="A701" s="19"/>
      <c r="B701" s="19"/>
      <c r="C701" s="506">
        <f t="shared" si="175"/>
        <v>0</v>
      </c>
      <c r="D701" s="505">
        <f t="shared" si="171"/>
        <v>0</v>
      </c>
      <c r="E701" s="505">
        <f t="shared" si="171"/>
        <v>0</v>
      </c>
      <c r="F701" s="246">
        <f t="shared" si="169"/>
        <v>0</v>
      </c>
      <c r="G701" s="198">
        <f>IFERROR(INDEX('Total qty'!$O$131:$O$205,MATCH(Movements!C701,'Total qty'!$C$131:$C$205,0))*consprofilemultiplier/IF(General!$F$35="Customers",INDEX(Qty!$I$87:$I$161,MATCH(Movements!C701,Qty!$C$87:$C$161,0)),INDEX(Qty!$K$87:$K$161,MATCH(Movements!C701,Qty!$C$87:$C$161,0))),0)</f>
        <v>0</v>
      </c>
      <c r="H701" s="221"/>
      <c r="I701" s="206">
        <f t="shared" si="172"/>
        <v>0</v>
      </c>
      <c r="J701" s="206">
        <f t="shared" si="173"/>
        <v>0</v>
      </c>
      <c r="K701" s="206">
        <f t="shared" si="174"/>
        <v>0</v>
      </c>
      <c r="L701" s="178"/>
      <c r="M701" s="198">
        <f>IFERROR(INDEX('Total qty'!$Q$209:$Q$283,MATCH(C701,'Total qty'!$C$209:$C$283,0))*consprofilemultiplier/IF(General!F94="Customers",INDEX(Qty!$I$87:$I$161,MATCH(Movements!C701,Qty!$C$87:$C$161,0)),INDEX(Qty!$K$87:$K$161,MATCH(Movements!C701,Qty!$C$87:$C$161,0))),0)</f>
        <v>0</v>
      </c>
      <c r="N701" s="252">
        <f>_xlfn.IFNA(MATCH(C701,IF(currentyear=RCPminus1,Tariffs!$H$46:$H$120,Tariffs!$C$46:$C$120),0),0)</f>
        <v>0</v>
      </c>
      <c r="O701" s="206" cm="1">
        <f t="array" ref="O701">IF(N701=0,0,IF(D701="yes",IF(Movements!$G701&gt;INDEX(Tariffs!$T$46:$T$120,$N701),INDEX(Tariffs!$T$46:$T$120,$N701),Movements!$G701),0))</f>
        <v>0</v>
      </c>
      <c r="P701" s="206" cm="1">
        <f t="array" ref="P701">IF(N701=0,0,IF(D701="yes",IF($G701=$O701,0,IF(AND(Movements!$G701&gt;INDEX(Tariffs!$U$46:$U$120,$N701),INDEX(Tariffs!$U$46:$U$120,$N701)&lt;&gt;0),INDEX(Tariffs!$U$46:$U$120,$N701)-INDEX(Tariffs!$T$46:$T$120,$N701),Movements!$G701-Movements!$O701)),0))</f>
        <v>0</v>
      </c>
      <c r="Q701" s="206">
        <f t="shared" si="176"/>
        <v>0</v>
      </c>
      <c r="R701" s="207"/>
      <c r="S701" s="219">
        <f>IFERROR(INDEX('Total qty'!$L$209:$N$283,MATCH(Movements!$C701,'Total qty'!$C$209:$C$283,0),MATCH(Movements!S$614,'Total qty'!$L$5:$N$5,0))/INDEX('Total qty'!$O$209:$O$283,MATCH(Movements!$C701,'Total qty'!$C$209:$C$283,0)),0)*$F701</f>
        <v>0</v>
      </c>
      <c r="T701" s="219">
        <f>IFERROR(INDEX('Total qty'!$L$209:$N$283,MATCH(Movements!$C701,'Total qty'!$C$209:$C$283,0),MATCH(Movements!T$614,'Total qty'!$L$5:$N$5,0))/INDEX('Total qty'!$O$209:$O$283,MATCH(Movements!$C701,'Total qty'!$C$209:$C$283,0)),0)*$F701</f>
        <v>0</v>
      </c>
      <c r="U701" s="219">
        <f>IFERROR(INDEX('Total qty'!$L$209:$N$283,MATCH(Movements!$C701,'Total qty'!$C$209:$C$283,0),MATCH(Movements!U$614,'Total qty'!$L$5:$N$5,0))/INDEX('Total qty'!$O$209:$O$283,MATCH(Movements!$C701,'Total qty'!$C$209:$C$283,0)),0)*$F701</f>
        <v>0</v>
      </c>
      <c r="V701" s="138"/>
      <c r="W701" s="138"/>
      <c r="X701" s="138"/>
      <c r="Y701" s="138"/>
      <c r="Z701" s="138"/>
      <c r="AA701" s="138"/>
      <c r="AB701" s="138"/>
      <c r="AC701" s="70"/>
      <c r="AD701" s="19"/>
      <c r="AE701" s="19"/>
      <c r="AF701" s="19"/>
      <c r="AG701" s="19"/>
    </row>
    <row r="702" spans="1:33" hidden="1" outlineLevel="3" x14ac:dyDescent="0.2">
      <c r="A702" s="19"/>
      <c r="B702" s="19"/>
      <c r="C702" s="506">
        <f t="shared" si="175"/>
        <v>0</v>
      </c>
      <c r="D702" s="505">
        <f t="shared" si="171"/>
        <v>0</v>
      </c>
      <c r="E702" s="505">
        <f t="shared" si="171"/>
        <v>0</v>
      </c>
      <c r="F702" s="246">
        <f t="shared" si="169"/>
        <v>0</v>
      </c>
      <c r="G702" s="198">
        <f>IFERROR(INDEX('Total qty'!$O$131:$O$205,MATCH(Movements!C702,'Total qty'!$C$131:$C$205,0))*consprofilemultiplier/IF(General!$F$35="Customers",INDEX(Qty!$I$87:$I$161,MATCH(Movements!C702,Qty!$C$87:$C$161,0)),INDEX(Qty!$K$87:$K$161,MATCH(Movements!C702,Qty!$C$87:$C$161,0))),0)</f>
        <v>0</v>
      </c>
      <c r="H702" s="221"/>
      <c r="I702" s="206">
        <f t="shared" si="172"/>
        <v>0</v>
      </c>
      <c r="J702" s="206">
        <f t="shared" si="173"/>
        <v>0</v>
      </c>
      <c r="K702" s="206">
        <f t="shared" si="174"/>
        <v>0</v>
      </c>
      <c r="L702" s="178"/>
      <c r="M702" s="198">
        <f>IFERROR(INDEX('Total qty'!$Q$209:$Q$283,MATCH(C702,'Total qty'!$C$209:$C$283,0))*consprofilemultiplier/IF(General!F95="Customers",INDEX(Qty!$I$87:$I$161,MATCH(Movements!C702,Qty!$C$87:$C$161,0)),INDEX(Qty!$K$87:$K$161,MATCH(Movements!C702,Qty!$C$87:$C$161,0))),0)</f>
        <v>0</v>
      </c>
      <c r="N702" s="252">
        <f>_xlfn.IFNA(MATCH(C702,IF(currentyear=RCPminus1,Tariffs!$H$46:$H$120,Tariffs!$C$46:$C$120),0),0)</f>
        <v>0</v>
      </c>
      <c r="O702" s="206" cm="1">
        <f t="array" ref="O702">IF(N702=0,0,IF(D702="yes",IF(Movements!$G702&gt;INDEX(Tariffs!$T$46:$T$120,$N702),INDEX(Tariffs!$T$46:$T$120,$N702),Movements!$G702),0))</f>
        <v>0</v>
      </c>
      <c r="P702" s="206" cm="1">
        <f t="array" ref="P702">IF(N702=0,0,IF(D702="yes",IF($G702=$O702,0,IF(AND(Movements!$G702&gt;INDEX(Tariffs!$U$46:$U$120,$N702),INDEX(Tariffs!$U$46:$U$120,$N702)&lt;&gt;0),INDEX(Tariffs!$U$46:$U$120,$N702)-INDEX(Tariffs!$T$46:$T$120,$N702),Movements!$G702-Movements!$O702)),0))</f>
        <v>0</v>
      </c>
      <c r="Q702" s="206">
        <f t="shared" si="176"/>
        <v>0</v>
      </c>
      <c r="R702" s="207"/>
      <c r="S702" s="219">
        <f>IFERROR(INDEX('Total qty'!$L$209:$N$283,MATCH(Movements!$C702,'Total qty'!$C$209:$C$283,0),MATCH(Movements!S$614,'Total qty'!$L$5:$N$5,0))/INDEX('Total qty'!$O$209:$O$283,MATCH(Movements!$C702,'Total qty'!$C$209:$C$283,0)),0)*$F702</f>
        <v>0</v>
      </c>
      <c r="T702" s="219">
        <f>IFERROR(INDEX('Total qty'!$L$209:$N$283,MATCH(Movements!$C702,'Total qty'!$C$209:$C$283,0),MATCH(Movements!T$614,'Total qty'!$L$5:$N$5,0))/INDEX('Total qty'!$O$209:$O$283,MATCH(Movements!$C702,'Total qty'!$C$209:$C$283,0)),0)*$F702</f>
        <v>0</v>
      </c>
      <c r="U702" s="219">
        <f>IFERROR(INDEX('Total qty'!$L$209:$N$283,MATCH(Movements!$C702,'Total qty'!$C$209:$C$283,0),MATCH(Movements!U$614,'Total qty'!$L$5:$N$5,0))/INDEX('Total qty'!$O$209:$O$283,MATCH(Movements!$C702,'Total qty'!$C$209:$C$283,0)),0)*$F702</f>
        <v>0</v>
      </c>
      <c r="V702" s="138"/>
      <c r="W702" s="138"/>
      <c r="X702" s="138"/>
      <c r="Y702" s="138"/>
      <c r="Z702" s="138"/>
      <c r="AA702" s="138"/>
      <c r="AB702" s="138"/>
      <c r="AC702" s="70"/>
      <c r="AD702" s="19"/>
      <c r="AE702" s="19"/>
      <c r="AF702" s="19"/>
      <c r="AG702" s="19"/>
    </row>
    <row r="703" spans="1:33" hidden="1" outlineLevel="3" x14ac:dyDescent="0.2">
      <c r="A703" s="19"/>
      <c r="B703" s="19"/>
      <c r="C703" s="506">
        <f t="shared" si="175"/>
        <v>0</v>
      </c>
      <c r="D703" s="505">
        <f t="shared" si="171"/>
        <v>0</v>
      </c>
      <c r="E703" s="505">
        <f t="shared" si="171"/>
        <v>0</v>
      </c>
      <c r="F703" s="246">
        <f t="shared" si="169"/>
        <v>0</v>
      </c>
      <c r="G703" s="198">
        <f>IFERROR(INDEX('Total qty'!$O$131:$O$205,MATCH(Movements!C703,'Total qty'!$C$131:$C$205,0))*consprofilemultiplier/IF(General!$F$35="Customers",INDEX(Qty!$I$87:$I$161,MATCH(Movements!C703,Qty!$C$87:$C$161,0)),INDEX(Qty!$K$87:$K$161,MATCH(Movements!C703,Qty!$C$87:$C$161,0))),0)</f>
        <v>0</v>
      </c>
      <c r="H703" s="221"/>
      <c r="I703" s="206">
        <f t="shared" si="172"/>
        <v>0</v>
      </c>
      <c r="J703" s="206">
        <f t="shared" si="173"/>
        <v>0</v>
      </c>
      <c r="K703" s="206">
        <f t="shared" si="174"/>
        <v>0</v>
      </c>
      <c r="L703" s="178"/>
      <c r="M703" s="198">
        <f>IFERROR(INDEX('Total qty'!$Q$209:$Q$283,MATCH(C703,'Total qty'!$C$209:$C$283,0))*consprofilemultiplier/IF(General!F96="Customers",INDEX(Qty!$I$87:$I$161,MATCH(Movements!C703,Qty!$C$87:$C$161,0)),INDEX(Qty!$K$87:$K$161,MATCH(Movements!C703,Qty!$C$87:$C$161,0))),0)</f>
        <v>0</v>
      </c>
      <c r="N703" s="252">
        <f>_xlfn.IFNA(MATCH(C703,IF(currentyear=RCPminus1,Tariffs!$H$46:$H$120,Tariffs!$C$46:$C$120),0),0)</f>
        <v>0</v>
      </c>
      <c r="O703" s="206" cm="1">
        <f t="array" ref="O703">IF(N703=0,0,IF(D703="yes",IF(Movements!$G703&gt;INDEX(Tariffs!$T$46:$T$120,$N703),INDEX(Tariffs!$T$46:$T$120,$N703),Movements!$G703),0))</f>
        <v>0</v>
      </c>
      <c r="P703" s="206" cm="1">
        <f t="array" ref="P703">IF(N703=0,0,IF(D703="yes",IF($G703=$O703,0,IF(AND(Movements!$G703&gt;INDEX(Tariffs!$U$46:$U$120,$N703),INDEX(Tariffs!$U$46:$U$120,$N703)&lt;&gt;0),INDEX(Tariffs!$U$46:$U$120,$N703)-INDEX(Tariffs!$T$46:$T$120,$N703),Movements!$G703-Movements!$O703)),0))</f>
        <v>0</v>
      </c>
      <c r="Q703" s="206">
        <f t="shared" si="176"/>
        <v>0</v>
      </c>
      <c r="R703" s="207"/>
      <c r="S703" s="219">
        <f>IFERROR(INDEX('Total qty'!$L$209:$N$283,MATCH(Movements!$C703,'Total qty'!$C$209:$C$283,0),MATCH(Movements!S$614,'Total qty'!$L$5:$N$5,0))/INDEX('Total qty'!$O$209:$O$283,MATCH(Movements!$C703,'Total qty'!$C$209:$C$283,0)),0)*$F703</f>
        <v>0</v>
      </c>
      <c r="T703" s="219">
        <f>IFERROR(INDEX('Total qty'!$L$209:$N$283,MATCH(Movements!$C703,'Total qty'!$C$209:$C$283,0),MATCH(Movements!T$614,'Total qty'!$L$5:$N$5,0))/INDEX('Total qty'!$O$209:$O$283,MATCH(Movements!$C703,'Total qty'!$C$209:$C$283,0)),0)*$F703</f>
        <v>0</v>
      </c>
      <c r="U703" s="219">
        <f>IFERROR(INDEX('Total qty'!$L$209:$N$283,MATCH(Movements!$C703,'Total qty'!$C$209:$C$283,0),MATCH(Movements!U$614,'Total qty'!$L$5:$N$5,0))/INDEX('Total qty'!$O$209:$O$283,MATCH(Movements!$C703,'Total qty'!$C$209:$C$283,0)),0)*$F703</f>
        <v>0</v>
      </c>
      <c r="V703" s="138"/>
      <c r="W703" s="138"/>
      <c r="X703" s="138"/>
      <c r="Y703" s="138"/>
      <c r="Z703" s="138"/>
      <c r="AA703" s="138"/>
      <c r="AB703" s="138"/>
      <c r="AC703" s="70"/>
      <c r="AD703" s="19"/>
      <c r="AE703" s="19"/>
      <c r="AF703" s="19"/>
      <c r="AG703" s="19"/>
    </row>
    <row r="704" spans="1:33" hidden="1" outlineLevel="3" x14ac:dyDescent="0.2">
      <c r="A704" s="19"/>
      <c r="B704" s="19"/>
      <c r="C704" s="506">
        <f t="shared" si="175"/>
        <v>0</v>
      </c>
      <c r="D704" s="505">
        <f t="shared" si="171"/>
        <v>0</v>
      </c>
      <c r="E704" s="505">
        <f t="shared" si="171"/>
        <v>0</v>
      </c>
      <c r="F704" s="246">
        <f t="shared" si="169"/>
        <v>0</v>
      </c>
      <c r="G704" s="198">
        <f>IFERROR(INDEX('Total qty'!$O$131:$O$205,MATCH(Movements!C704,'Total qty'!$C$131:$C$205,0))*consprofilemultiplier/IF(General!$F$35="Customers",INDEX(Qty!$I$87:$I$161,MATCH(Movements!C704,Qty!$C$87:$C$161,0)),INDEX(Qty!$K$87:$K$161,MATCH(Movements!C704,Qty!$C$87:$C$161,0))),0)</f>
        <v>0</v>
      </c>
      <c r="H704" s="221"/>
      <c r="I704" s="206">
        <f t="shared" si="172"/>
        <v>0</v>
      </c>
      <c r="J704" s="206">
        <f t="shared" si="173"/>
        <v>0</v>
      </c>
      <c r="K704" s="206">
        <f t="shared" si="174"/>
        <v>0</v>
      </c>
      <c r="L704" s="178"/>
      <c r="M704" s="198">
        <f>IFERROR(INDEX('Total qty'!$Q$209:$Q$283,MATCH(C704,'Total qty'!$C$209:$C$283,0))*consprofilemultiplier/IF(General!F97="Customers",INDEX(Qty!$I$87:$I$161,MATCH(Movements!C704,Qty!$C$87:$C$161,0)),INDEX(Qty!$K$87:$K$161,MATCH(Movements!C704,Qty!$C$87:$C$161,0))),0)</f>
        <v>0</v>
      </c>
      <c r="N704" s="252">
        <f>_xlfn.IFNA(MATCH(C704,IF(currentyear=RCPminus1,Tariffs!$H$46:$H$120,Tariffs!$C$46:$C$120),0),0)</f>
        <v>0</v>
      </c>
      <c r="O704" s="206" cm="1">
        <f t="array" ref="O704">IF(N704=0,0,IF(D704="yes",IF(Movements!$G704&gt;INDEX(Tariffs!$T$46:$T$120,$N704),INDEX(Tariffs!$T$46:$T$120,$N704),Movements!$G704),0))</f>
        <v>0</v>
      </c>
      <c r="P704" s="206" cm="1">
        <f t="array" ref="P704">IF(N704=0,0,IF(D704="yes",IF($G704=$O704,0,IF(AND(Movements!$G704&gt;INDEX(Tariffs!$U$46:$U$120,$N704),INDEX(Tariffs!$U$46:$U$120,$N704)&lt;&gt;0),INDEX(Tariffs!$U$46:$U$120,$N704)-INDEX(Tariffs!$T$46:$T$120,$N704),Movements!$G704-Movements!$O704)),0))</f>
        <v>0</v>
      </c>
      <c r="Q704" s="206">
        <f t="shared" si="176"/>
        <v>0</v>
      </c>
      <c r="R704" s="207"/>
      <c r="S704" s="219">
        <f>IFERROR(INDEX('Total qty'!$L$209:$N$283,MATCH(Movements!$C704,'Total qty'!$C$209:$C$283,0),MATCH(Movements!S$614,'Total qty'!$L$5:$N$5,0))/INDEX('Total qty'!$O$209:$O$283,MATCH(Movements!$C704,'Total qty'!$C$209:$C$283,0)),0)*$F704</f>
        <v>0</v>
      </c>
      <c r="T704" s="219">
        <f>IFERROR(INDEX('Total qty'!$L$209:$N$283,MATCH(Movements!$C704,'Total qty'!$C$209:$C$283,0),MATCH(Movements!T$614,'Total qty'!$L$5:$N$5,0))/INDEX('Total qty'!$O$209:$O$283,MATCH(Movements!$C704,'Total qty'!$C$209:$C$283,0)),0)*$F704</f>
        <v>0</v>
      </c>
      <c r="U704" s="219">
        <f>IFERROR(INDEX('Total qty'!$L$209:$N$283,MATCH(Movements!$C704,'Total qty'!$C$209:$C$283,0),MATCH(Movements!U$614,'Total qty'!$L$5:$N$5,0))/INDEX('Total qty'!$O$209:$O$283,MATCH(Movements!$C704,'Total qty'!$C$209:$C$283,0)),0)*$F704</f>
        <v>0</v>
      </c>
      <c r="V704" s="138"/>
      <c r="W704" s="138"/>
      <c r="X704" s="138"/>
      <c r="Y704" s="138"/>
      <c r="Z704" s="138"/>
      <c r="AA704" s="138"/>
      <c r="AB704" s="138"/>
      <c r="AC704" s="70"/>
      <c r="AD704" s="19"/>
      <c r="AE704" s="19"/>
      <c r="AF704" s="19"/>
      <c r="AG704" s="19"/>
    </row>
    <row r="705" spans="1:33" hidden="1" outlineLevel="3" x14ac:dyDescent="0.2">
      <c r="A705" s="19"/>
      <c r="B705" s="19"/>
      <c r="C705" s="506">
        <f t="shared" si="175"/>
        <v>0</v>
      </c>
      <c r="D705" s="505">
        <f t="shared" si="171"/>
        <v>0</v>
      </c>
      <c r="E705" s="505">
        <f t="shared" si="171"/>
        <v>0</v>
      </c>
      <c r="F705" s="246">
        <f t="shared" si="169"/>
        <v>0</v>
      </c>
      <c r="G705" s="198">
        <f>IFERROR(INDEX('Total qty'!$O$131:$O$205,MATCH(Movements!C705,'Total qty'!$C$131:$C$205,0))*consprofilemultiplier/IF(General!$F$35="Customers",INDEX(Qty!$I$87:$I$161,MATCH(Movements!C705,Qty!$C$87:$C$161,0)),INDEX(Qty!$K$87:$K$161,MATCH(Movements!C705,Qty!$C$87:$C$161,0))),0)</f>
        <v>0</v>
      </c>
      <c r="H705" s="221"/>
      <c r="I705" s="206">
        <f t="shared" si="172"/>
        <v>0</v>
      </c>
      <c r="J705" s="206">
        <f t="shared" si="173"/>
        <v>0</v>
      </c>
      <c r="K705" s="206">
        <f t="shared" si="174"/>
        <v>0</v>
      </c>
      <c r="L705" s="178"/>
      <c r="M705" s="198">
        <f>IFERROR(INDEX('Total qty'!$Q$209:$Q$283,MATCH(C705,'Total qty'!$C$209:$C$283,0))*consprofilemultiplier/IF(General!F98="Customers",INDEX(Qty!$I$87:$I$161,MATCH(Movements!C705,Qty!$C$87:$C$161,0)),INDEX(Qty!$K$87:$K$161,MATCH(Movements!C705,Qty!$C$87:$C$161,0))),0)</f>
        <v>0</v>
      </c>
      <c r="N705" s="252">
        <f>_xlfn.IFNA(MATCH(C705,IF(currentyear=RCPminus1,Tariffs!$H$46:$H$120,Tariffs!$C$46:$C$120),0),0)</f>
        <v>0</v>
      </c>
      <c r="O705" s="206" cm="1">
        <f t="array" ref="O705">IF(N705=0,0,IF(D705="yes",IF(Movements!$G705&gt;INDEX(Tariffs!$T$46:$T$120,$N705),INDEX(Tariffs!$T$46:$T$120,$N705),Movements!$G705),0))</f>
        <v>0</v>
      </c>
      <c r="P705" s="206" cm="1">
        <f t="array" ref="P705">IF(N705=0,0,IF(D705="yes",IF($G705=$O705,0,IF(AND(Movements!$G705&gt;INDEX(Tariffs!$U$46:$U$120,$N705),INDEX(Tariffs!$U$46:$U$120,$N705)&lt;&gt;0),INDEX(Tariffs!$U$46:$U$120,$N705)-INDEX(Tariffs!$T$46:$T$120,$N705),Movements!$G705-Movements!$O705)),0))</f>
        <v>0</v>
      </c>
      <c r="Q705" s="206">
        <f t="shared" si="176"/>
        <v>0</v>
      </c>
      <c r="R705" s="207"/>
      <c r="S705" s="219">
        <f>IFERROR(INDEX('Total qty'!$L$209:$N$283,MATCH(Movements!$C705,'Total qty'!$C$209:$C$283,0),MATCH(Movements!S$614,'Total qty'!$L$5:$N$5,0))/INDEX('Total qty'!$O$209:$O$283,MATCH(Movements!$C705,'Total qty'!$C$209:$C$283,0)),0)*$F705</f>
        <v>0</v>
      </c>
      <c r="T705" s="219">
        <f>IFERROR(INDEX('Total qty'!$L$209:$N$283,MATCH(Movements!$C705,'Total qty'!$C$209:$C$283,0),MATCH(Movements!T$614,'Total qty'!$L$5:$N$5,0))/INDEX('Total qty'!$O$209:$O$283,MATCH(Movements!$C705,'Total qty'!$C$209:$C$283,0)),0)*$F705</f>
        <v>0</v>
      </c>
      <c r="U705" s="219">
        <f>IFERROR(INDEX('Total qty'!$L$209:$N$283,MATCH(Movements!$C705,'Total qty'!$C$209:$C$283,0),MATCH(Movements!U$614,'Total qty'!$L$5:$N$5,0))/INDEX('Total qty'!$O$209:$O$283,MATCH(Movements!$C705,'Total qty'!$C$209:$C$283,0)),0)*$F705</f>
        <v>0</v>
      </c>
      <c r="V705" s="138"/>
      <c r="W705" s="138"/>
      <c r="X705" s="138"/>
      <c r="Y705" s="138"/>
      <c r="Z705" s="138"/>
      <c r="AA705" s="138"/>
      <c r="AB705" s="138"/>
      <c r="AC705" s="70"/>
      <c r="AD705" s="19"/>
      <c r="AE705" s="19"/>
      <c r="AF705" s="19"/>
      <c r="AG705" s="19"/>
    </row>
    <row r="706" spans="1:33" hidden="1" outlineLevel="3" x14ac:dyDescent="0.2">
      <c r="A706" s="19"/>
      <c r="B706" s="19"/>
      <c r="C706" s="506">
        <f t="shared" si="175"/>
        <v>0</v>
      </c>
      <c r="D706" s="505">
        <f t="shared" si="171"/>
        <v>0</v>
      </c>
      <c r="E706" s="505">
        <f t="shared" si="171"/>
        <v>0</v>
      </c>
      <c r="F706" s="246">
        <f t="shared" si="169"/>
        <v>0</v>
      </c>
      <c r="G706" s="198">
        <f>IFERROR(INDEX('Total qty'!$O$131:$O$205,MATCH(Movements!C706,'Total qty'!$C$131:$C$205,0))*consprofilemultiplier/IF(General!$F$35="Customers",INDEX(Qty!$I$87:$I$161,MATCH(Movements!C706,Qty!$C$87:$C$161,0)),INDEX(Qty!$K$87:$K$161,MATCH(Movements!C706,Qty!$C$87:$C$161,0))),0)</f>
        <v>0</v>
      </c>
      <c r="H706" s="221"/>
      <c r="I706" s="206">
        <f t="shared" si="172"/>
        <v>0</v>
      </c>
      <c r="J706" s="206">
        <f t="shared" si="173"/>
        <v>0</v>
      </c>
      <c r="K706" s="206">
        <f t="shared" si="174"/>
        <v>0</v>
      </c>
      <c r="L706" s="178"/>
      <c r="M706" s="198">
        <f>IFERROR(INDEX('Total qty'!$Q$209:$Q$283,MATCH(C706,'Total qty'!$C$209:$C$283,0))*consprofilemultiplier/IF(General!F99="Customers",INDEX(Qty!$I$87:$I$161,MATCH(Movements!C706,Qty!$C$87:$C$161,0)),INDEX(Qty!$K$87:$K$161,MATCH(Movements!C706,Qty!$C$87:$C$161,0))),0)</f>
        <v>0</v>
      </c>
      <c r="N706" s="252">
        <f>_xlfn.IFNA(MATCH(C706,IF(currentyear=RCPminus1,Tariffs!$H$46:$H$120,Tariffs!$C$46:$C$120),0),0)</f>
        <v>0</v>
      </c>
      <c r="O706" s="206" cm="1">
        <f t="array" ref="O706">IF(N706=0,0,IF(D706="yes",IF(Movements!$G706&gt;INDEX(Tariffs!$T$46:$T$120,$N706),INDEX(Tariffs!$T$46:$T$120,$N706),Movements!$G706),0))</f>
        <v>0</v>
      </c>
      <c r="P706" s="206" cm="1">
        <f t="array" ref="P706">IF(N706=0,0,IF(D706="yes",IF($G706=$O706,0,IF(AND(Movements!$G706&gt;INDEX(Tariffs!$U$46:$U$120,$N706),INDEX(Tariffs!$U$46:$U$120,$N706)&lt;&gt;0),INDEX(Tariffs!$U$46:$U$120,$N706)-INDEX(Tariffs!$T$46:$T$120,$N706),Movements!$G706-Movements!$O706)),0))</f>
        <v>0</v>
      </c>
      <c r="Q706" s="206">
        <f t="shared" si="176"/>
        <v>0</v>
      </c>
      <c r="R706" s="207"/>
      <c r="S706" s="219">
        <f>IFERROR(INDEX('Total qty'!$L$209:$N$283,MATCH(Movements!$C706,'Total qty'!$C$209:$C$283,0),MATCH(Movements!S$614,'Total qty'!$L$5:$N$5,0))/INDEX('Total qty'!$O$209:$O$283,MATCH(Movements!$C706,'Total qty'!$C$209:$C$283,0)),0)*$F706</f>
        <v>0</v>
      </c>
      <c r="T706" s="219">
        <f>IFERROR(INDEX('Total qty'!$L$209:$N$283,MATCH(Movements!$C706,'Total qty'!$C$209:$C$283,0),MATCH(Movements!T$614,'Total qty'!$L$5:$N$5,0))/INDEX('Total qty'!$O$209:$O$283,MATCH(Movements!$C706,'Total qty'!$C$209:$C$283,0)),0)*$F706</f>
        <v>0</v>
      </c>
      <c r="U706" s="219">
        <f>IFERROR(INDEX('Total qty'!$L$209:$N$283,MATCH(Movements!$C706,'Total qty'!$C$209:$C$283,0),MATCH(Movements!U$614,'Total qty'!$L$5:$N$5,0))/INDEX('Total qty'!$O$209:$O$283,MATCH(Movements!$C706,'Total qty'!$C$209:$C$283,0)),0)*$F706</f>
        <v>0</v>
      </c>
      <c r="V706" s="138"/>
      <c r="W706" s="138"/>
      <c r="X706" s="138"/>
      <c r="Y706" s="138"/>
      <c r="Z706" s="138"/>
      <c r="AA706" s="138"/>
      <c r="AB706" s="138"/>
      <c r="AC706" s="70"/>
      <c r="AD706" s="19"/>
      <c r="AE706" s="19"/>
      <c r="AF706" s="19"/>
      <c r="AG706" s="19"/>
    </row>
    <row r="707" spans="1:33" hidden="1" outlineLevel="3" x14ac:dyDescent="0.2">
      <c r="A707" s="19"/>
      <c r="B707" s="19"/>
      <c r="C707" s="506">
        <f t="shared" si="175"/>
        <v>0</v>
      </c>
      <c r="D707" s="505">
        <f t="shared" si="171"/>
        <v>0</v>
      </c>
      <c r="E707" s="505">
        <f t="shared" si="171"/>
        <v>0</v>
      </c>
      <c r="F707" s="246">
        <f t="shared" si="169"/>
        <v>0</v>
      </c>
      <c r="G707" s="198">
        <f>IFERROR(INDEX('Total qty'!$O$131:$O$205,MATCH(Movements!C707,'Total qty'!$C$131:$C$205,0))*consprofilemultiplier/IF(General!$F$35="Customers",INDEX(Qty!$I$87:$I$161,MATCH(Movements!C707,Qty!$C$87:$C$161,0)),INDEX(Qty!$K$87:$K$161,MATCH(Movements!C707,Qty!$C$87:$C$161,0))),0)</f>
        <v>0</v>
      </c>
      <c r="H707" s="221"/>
      <c r="I707" s="206">
        <f t="shared" si="172"/>
        <v>0</v>
      </c>
      <c r="J707" s="206">
        <f t="shared" si="173"/>
        <v>0</v>
      </c>
      <c r="K707" s="206">
        <f t="shared" si="174"/>
        <v>0</v>
      </c>
      <c r="L707" s="178"/>
      <c r="M707" s="198">
        <f>IFERROR(INDEX('Total qty'!$Q$209:$Q$283,MATCH(C707,'Total qty'!$C$209:$C$283,0))*consprofilemultiplier/IF(General!F100="Customers",INDEX(Qty!$I$87:$I$161,MATCH(Movements!C707,Qty!$C$87:$C$161,0)),INDEX(Qty!$K$87:$K$161,MATCH(Movements!C707,Qty!$C$87:$C$161,0))),0)</f>
        <v>0</v>
      </c>
      <c r="N707" s="252">
        <f>_xlfn.IFNA(MATCH(C707,IF(currentyear=RCPminus1,Tariffs!$H$46:$H$120,Tariffs!$C$46:$C$120),0),0)</f>
        <v>0</v>
      </c>
      <c r="O707" s="206" cm="1">
        <f t="array" ref="O707">IF(N707=0,0,IF(D707="yes",IF(Movements!$G707&gt;INDEX(Tariffs!$T$46:$T$120,$N707),INDEX(Tariffs!$T$46:$T$120,$N707),Movements!$G707),0))</f>
        <v>0</v>
      </c>
      <c r="P707" s="206" cm="1">
        <f t="array" ref="P707">IF(N707=0,0,IF(D707="yes",IF($G707=$O707,0,IF(AND(Movements!$G707&gt;INDEX(Tariffs!$U$46:$U$120,$N707),INDEX(Tariffs!$U$46:$U$120,$N707)&lt;&gt;0),INDEX(Tariffs!$U$46:$U$120,$N707)-INDEX(Tariffs!$T$46:$T$120,$N707),Movements!$G707-Movements!$O707)),0))</f>
        <v>0</v>
      </c>
      <c r="Q707" s="206">
        <f t="shared" si="176"/>
        <v>0</v>
      </c>
      <c r="R707" s="207"/>
      <c r="S707" s="219">
        <f>IFERROR(INDEX('Total qty'!$L$209:$N$283,MATCH(Movements!$C707,'Total qty'!$C$209:$C$283,0),MATCH(Movements!S$614,'Total qty'!$L$5:$N$5,0))/INDEX('Total qty'!$O$209:$O$283,MATCH(Movements!$C707,'Total qty'!$C$209:$C$283,0)),0)*$F707</f>
        <v>0</v>
      </c>
      <c r="T707" s="219">
        <f>IFERROR(INDEX('Total qty'!$L$209:$N$283,MATCH(Movements!$C707,'Total qty'!$C$209:$C$283,0),MATCH(Movements!T$614,'Total qty'!$L$5:$N$5,0))/INDEX('Total qty'!$O$209:$O$283,MATCH(Movements!$C707,'Total qty'!$C$209:$C$283,0)),0)*$F707</f>
        <v>0</v>
      </c>
      <c r="U707" s="219">
        <f>IFERROR(INDEX('Total qty'!$L$209:$N$283,MATCH(Movements!$C707,'Total qty'!$C$209:$C$283,0),MATCH(Movements!U$614,'Total qty'!$L$5:$N$5,0))/INDEX('Total qty'!$O$209:$O$283,MATCH(Movements!$C707,'Total qty'!$C$209:$C$283,0)),0)*$F707</f>
        <v>0</v>
      </c>
      <c r="V707" s="138"/>
      <c r="W707" s="138"/>
      <c r="X707" s="138"/>
      <c r="Y707" s="138"/>
      <c r="Z707" s="138"/>
      <c r="AA707" s="138"/>
      <c r="AB707" s="138"/>
      <c r="AC707" s="70"/>
      <c r="AD707" s="19"/>
      <c r="AE707" s="19"/>
      <c r="AF707" s="19"/>
      <c r="AG707" s="19"/>
    </row>
    <row r="708" spans="1:33" hidden="1" outlineLevel="3" x14ac:dyDescent="0.2">
      <c r="A708" s="19"/>
      <c r="B708" s="19"/>
      <c r="C708" s="506">
        <f t="shared" si="175"/>
        <v>0</v>
      </c>
      <c r="D708" s="505">
        <f t="shared" si="171"/>
        <v>0</v>
      </c>
      <c r="E708" s="505">
        <f t="shared" si="171"/>
        <v>0</v>
      </c>
      <c r="F708" s="246">
        <f t="shared" si="169"/>
        <v>0</v>
      </c>
      <c r="G708" s="198">
        <f>IFERROR(INDEX('Total qty'!$O$131:$O$205,MATCH(Movements!C708,'Total qty'!$C$131:$C$205,0))*consprofilemultiplier/IF(General!$F$35="Customers",INDEX(Qty!$I$87:$I$161,MATCH(Movements!C708,Qty!$C$87:$C$161,0)),INDEX(Qty!$K$87:$K$161,MATCH(Movements!C708,Qty!$C$87:$C$161,0))),0)</f>
        <v>0</v>
      </c>
      <c r="H708" s="221"/>
      <c r="I708" s="206">
        <f t="shared" si="172"/>
        <v>0</v>
      </c>
      <c r="J708" s="206">
        <f t="shared" si="173"/>
        <v>0</v>
      </c>
      <c r="K708" s="206">
        <f t="shared" si="174"/>
        <v>0</v>
      </c>
      <c r="L708" s="178"/>
      <c r="M708" s="198">
        <f>IFERROR(INDEX('Total qty'!$Q$209:$Q$283,MATCH(C708,'Total qty'!$C$209:$C$283,0))*consprofilemultiplier/IF(General!F101="Customers",INDEX(Qty!$I$87:$I$161,MATCH(Movements!C708,Qty!$C$87:$C$161,0)),INDEX(Qty!$K$87:$K$161,MATCH(Movements!C708,Qty!$C$87:$C$161,0))),0)</f>
        <v>0</v>
      </c>
      <c r="N708" s="252">
        <f>_xlfn.IFNA(MATCH(C708,IF(currentyear=RCPminus1,Tariffs!$H$46:$H$120,Tariffs!$C$46:$C$120),0),0)</f>
        <v>0</v>
      </c>
      <c r="O708" s="206" cm="1">
        <f t="array" ref="O708">IF(N708=0,0,IF(D708="yes",IF(Movements!$G708&gt;INDEX(Tariffs!$T$46:$T$120,$N708),INDEX(Tariffs!$T$46:$T$120,$N708),Movements!$G708),0))</f>
        <v>0</v>
      </c>
      <c r="P708" s="206" cm="1">
        <f t="array" ref="P708">IF(N708=0,0,IF(D708="yes",IF($G708=$O708,0,IF(AND(Movements!$G708&gt;INDEX(Tariffs!$U$46:$U$120,$N708),INDEX(Tariffs!$U$46:$U$120,$N708)&lt;&gt;0),INDEX(Tariffs!$U$46:$U$120,$N708)-INDEX(Tariffs!$T$46:$T$120,$N708),Movements!$G708-Movements!$O708)),0))</f>
        <v>0</v>
      </c>
      <c r="Q708" s="206">
        <f t="shared" si="176"/>
        <v>0</v>
      </c>
      <c r="R708" s="207"/>
      <c r="S708" s="219">
        <f>IFERROR(INDEX('Total qty'!$L$209:$N$283,MATCH(Movements!$C708,'Total qty'!$C$209:$C$283,0),MATCH(Movements!S$614,'Total qty'!$L$5:$N$5,0))/INDEX('Total qty'!$O$209:$O$283,MATCH(Movements!$C708,'Total qty'!$C$209:$C$283,0)),0)*$F708</f>
        <v>0</v>
      </c>
      <c r="T708" s="219">
        <f>IFERROR(INDEX('Total qty'!$L$209:$N$283,MATCH(Movements!$C708,'Total qty'!$C$209:$C$283,0),MATCH(Movements!T$614,'Total qty'!$L$5:$N$5,0))/INDEX('Total qty'!$O$209:$O$283,MATCH(Movements!$C708,'Total qty'!$C$209:$C$283,0)),0)*$F708</f>
        <v>0</v>
      </c>
      <c r="U708" s="219">
        <f>IFERROR(INDEX('Total qty'!$L$209:$N$283,MATCH(Movements!$C708,'Total qty'!$C$209:$C$283,0),MATCH(Movements!U$614,'Total qty'!$L$5:$N$5,0))/INDEX('Total qty'!$O$209:$O$283,MATCH(Movements!$C708,'Total qty'!$C$209:$C$283,0)),0)*$F708</f>
        <v>0</v>
      </c>
      <c r="V708" s="138"/>
      <c r="W708" s="138"/>
      <c r="X708" s="138"/>
      <c r="Y708" s="138"/>
      <c r="Z708" s="138"/>
      <c r="AA708" s="138"/>
      <c r="AB708" s="138"/>
      <c r="AC708" s="70"/>
      <c r="AD708" s="19"/>
      <c r="AE708" s="19"/>
      <c r="AF708" s="19"/>
      <c r="AG708" s="19"/>
    </row>
    <row r="709" spans="1:33" hidden="1" outlineLevel="3" x14ac:dyDescent="0.2">
      <c r="A709" s="19"/>
      <c r="B709" s="19"/>
      <c r="C709" s="506">
        <f t="shared" si="175"/>
        <v>0</v>
      </c>
      <c r="D709" s="505">
        <f t="shared" si="171"/>
        <v>0</v>
      </c>
      <c r="E709" s="505">
        <f t="shared" si="171"/>
        <v>0</v>
      </c>
      <c r="F709" s="246">
        <f t="shared" si="169"/>
        <v>0</v>
      </c>
      <c r="G709" s="198">
        <f>IFERROR(INDEX('Total qty'!$O$131:$O$205,MATCH(Movements!C709,'Total qty'!$C$131:$C$205,0))*consprofilemultiplier/IF(General!$F$35="Customers",INDEX(Qty!$I$87:$I$161,MATCH(Movements!C709,Qty!$C$87:$C$161,0)),INDEX(Qty!$K$87:$K$161,MATCH(Movements!C709,Qty!$C$87:$C$161,0))),0)</f>
        <v>0</v>
      </c>
      <c r="H709" s="221"/>
      <c r="I709" s="206">
        <f t="shared" si="172"/>
        <v>0</v>
      </c>
      <c r="J709" s="206">
        <f t="shared" si="173"/>
        <v>0</v>
      </c>
      <c r="K709" s="206">
        <f t="shared" si="174"/>
        <v>0</v>
      </c>
      <c r="L709" s="178"/>
      <c r="M709" s="198">
        <f>IFERROR(INDEX('Total qty'!$Q$209:$Q$283,MATCH(C709,'Total qty'!$C$209:$C$283,0))*consprofilemultiplier/IF(General!F102="Customers",INDEX(Qty!$I$87:$I$161,MATCH(Movements!C709,Qty!$C$87:$C$161,0)),INDEX(Qty!$K$87:$K$161,MATCH(Movements!C709,Qty!$C$87:$C$161,0))),0)</f>
        <v>0</v>
      </c>
      <c r="N709" s="252">
        <f>_xlfn.IFNA(MATCH(C709,IF(currentyear=RCPminus1,Tariffs!$H$46:$H$120,Tariffs!$C$46:$C$120),0),0)</f>
        <v>0</v>
      </c>
      <c r="O709" s="206" cm="1">
        <f t="array" ref="O709">IF(N709=0,0,IF(D709="yes",IF(Movements!$G709&gt;INDEX(Tariffs!$T$46:$T$120,$N709),INDEX(Tariffs!$T$46:$T$120,$N709),Movements!$G709),0))</f>
        <v>0</v>
      </c>
      <c r="P709" s="206" cm="1">
        <f t="array" ref="P709">IF(N709=0,0,IF(D709="yes",IF($G709=$O709,0,IF(AND(Movements!$G709&gt;INDEX(Tariffs!$U$46:$U$120,$N709),INDEX(Tariffs!$U$46:$U$120,$N709)&lt;&gt;0),INDEX(Tariffs!$U$46:$U$120,$N709)-INDEX(Tariffs!$T$46:$T$120,$N709),Movements!$G709-Movements!$O709)),0))</f>
        <v>0</v>
      </c>
      <c r="Q709" s="206">
        <f t="shared" si="176"/>
        <v>0</v>
      </c>
      <c r="R709" s="207"/>
      <c r="S709" s="219">
        <f>IFERROR(INDEX('Total qty'!$L$209:$N$283,MATCH(Movements!$C709,'Total qty'!$C$209:$C$283,0),MATCH(Movements!S$614,'Total qty'!$L$5:$N$5,0))/INDEX('Total qty'!$O$209:$O$283,MATCH(Movements!$C709,'Total qty'!$C$209:$C$283,0)),0)*$F709</f>
        <v>0</v>
      </c>
      <c r="T709" s="219">
        <f>IFERROR(INDEX('Total qty'!$L$209:$N$283,MATCH(Movements!$C709,'Total qty'!$C$209:$C$283,0),MATCH(Movements!T$614,'Total qty'!$L$5:$N$5,0))/INDEX('Total qty'!$O$209:$O$283,MATCH(Movements!$C709,'Total qty'!$C$209:$C$283,0)),0)*$F709</f>
        <v>0</v>
      </c>
      <c r="U709" s="219">
        <f>IFERROR(INDEX('Total qty'!$L$209:$N$283,MATCH(Movements!$C709,'Total qty'!$C$209:$C$283,0),MATCH(Movements!U$614,'Total qty'!$L$5:$N$5,0))/INDEX('Total qty'!$O$209:$O$283,MATCH(Movements!$C709,'Total qty'!$C$209:$C$283,0)),0)*$F709</f>
        <v>0</v>
      </c>
      <c r="V709" s="138"/>
      <c r="W709" s="138"/>
      <c r="X709" s="138"/>
      <c r="Y709" s="138"/>
      <c r="Z709" s="138"/>
      <c r="AA709" s="138"/>
      <c r="AB709" s="138"/>
      <c r="AC709" s="70"/>
      <c r="AD709" s="19"/>
      <c r="AE709" s="19"/>
      <c r="AF709" s="19"/>
      <c r="AG709" s="19"/>
    </row>
    <row r="710" spans="1:33" hidden="1" outlineLevel="3" x14ac:dyDescent="0.2">
      <c r="A710" s="19"/>
      <c r="B710" s="19"/>
      <c r="C710" s="506">
        <f t="shared" si="175"/>
        <v>0</v>
      </c>
      <c r="D710" s="505">
        <f t="shared" si="171"/>
        <v>0</v>
      </c>
      <c r="E710" s="505">
        <f t="shared" si="171"/>
        <v>0</v>
      </c>
      <c r="F710" s="246">
        <f t="shared" si="169"/>
        <v>0</v>
      </c>
      <c r="G710" s="198">
        <f>IFERROR(INDEX('Total qty'!$O$131:$O$205,MATCH(Movements!C710,'Total qty'!$C$131:$C$205,0))*consprofilemultiplier/IF(General!$F$35="Customers",INDEX(Qty!$I$87:$I$161,MATCH(Movements!C710,Qty!$C$87:$C$161,0)),INDEX(Qty!$K$87:$K$161,MATCH(Movements!C710,Qty!$C$87:$C$161,0))),0)</f>
        <v>0</v>
      </c>
      <c r="H710" s="221"/>
      <c r="I710" s="206">
        <f t="shared" si="172"/>
        <v>0</v>
      </c>
      <c r="J710" s="206">
        <f t="shared" si="173"/>
        <v>0</v>
      </c>
      <c r="K710" s="206">
        <f t="shared" si="174"/>
        <v>0</v>
      </c>
      <c r="L710" s="178"/>
      <c r="M710" s="198">
        <f>IFERROR(INDEX('Total qty'!$Q$209:$Q$283,MATCH(C710,'Total qty'!$C$209:$C$283,0))*consprofilemultiplier/IF(General!F103="Customers",INDEX(Qty!$I$87:$I$161,MATCH(Movements!C710,Qty!$C$87:$C$161,0)),INDEX(Qty!$K$87:$K$161,MATCH(Movements!C710,Qty!$C$87:$C$161,0))),0)</f>
        <v>0</v>
      </c>
      <c r="N710" s="252">
        <f>_xlfn.IFNA(MATCH(C710,IF(currentyear=RCPminus1,Tariffs!$H$46:$H$120,Tariffs!$C$46:$C$120),0),0)</f>
        <v>0</v>
      </c>
      <c r="O710" s="206" cm="1">
        <f t="array" ref="O710">IF(N710=0,0,IF(D710="yes",IF(Movements!$G710&gt;INDEX(Tariffs!$T$46:$T$120,$N710),INDEX(Tariffs!$T$46:$T$120,$N710),Movements!$G710),0))</f>
        <v>0</v>
      </c>
      <c r="P710" s="206" cm="1">
        <f t="array" ref="P710">IF(N710=0,0,IF(D710="yes",IF($G710=$O710,0,IF(AND(Movements!$G710&gt;INDEX(Tariffs!$U$46:$U$120,$N710),INDEX(Tariffs!$U$46:$U$120,$N710)&lt;&gt;0),INDEX(Tariffs!$U$46:$U$120,$N710)-INDEX(Tariffs!$T$46:$T$120,$N710),Movements!$G710-Movements!$O710)),0))</f>
        <v>0</v>
      </c>
      <c r="Q710" s="206">
        <f t="shared" si="176"/>
        <v>0</v>
      </c>
      <c r="R710" s="207"/>
      <c r="S710" s="219">
        <f>IFERROR(INDEX('Total qty'!$L$209:$N$283,MATCH(Movements!$C710,'Total qty'!$C$209:$C$283,0),MATCH(Movements!S$614,'Total qty'!$L$5:$N$5,0))/INDEX('Total qty'!$O$209:$O$283,MATCH(Movements!$C710,'Total qty'!$C$209:$C$283,0)),0)*$F710</f>
        <v>0</v>
      </c>
      <c r="T710" s="219">
        <f>IFERROR(INDEX('Total qty'!$L$209:$N$283,MATCH(Movements!$C710,'Total qty'!$C$209:$C$283,0),MATCH(Movements!T$614,'Total qty'!$L$5:$N$5,0))/INDEX('Total qty'!$O$209:$O$283,MATCH(Movements!$C710,'Total qty'!$C$209:$C$283,0)),0)*$F710</f>
        <v>0</v>
      </c>
      <c r="U710" s="219">
        <f>IFERROR(INDEX('Total qty'!$L$209:$N$283,MATCH(Movements!$C710,'Total qty'!$C$209:$C$283,0),MATCH(Movements!U$614,'Total qty'!$L$5:$N$5,0))/INDEX('Total qty'!$O$209:$O$283,MATCH(Movements!$C710,'Total qty'!$C$209:$C$283,0)),0)*$F710</f>
        <v>0</v>
      </c>
      <c r="V710" s="138"/>
      <c r="W710" s="138"/>
      <c r="X710" s="138"/>
      <c r="Y710" s="138"/>
      <c r="Z710" s="138"/>
      <c r="AA710" s="138"/>
      <c r="AB710" s="138"/>
      <c r="AC710" s="70"/>
      <c r="AD710" s="19"/>
      <c r="AE710" s="19"/>
      <c r="AF710" s="19"/>
      <c r="AG710" s="19"/>
    </row>
    <row r="711" spans="1:33" hidden="1" outlineLevel="3" x14ac:dyDescent="0.2">
      <c r="A711" s="19"/>
      <c r="B711" s="19"/>
      <c r="C711" s="506">
        <f t="shared" si="175"/>
        <v>0</v>
      </c>
      <c r="D711" s="505">
        <f t="shared" si="171"/>
        <v>0</v>
      </c>
      <c r="E711" s="505">
        <f t="shared" si="171"/>
        <v>0</v>
      </c>
      <c r="F711" s="246">
        <f t="shared" si="169"/>
        <v>0</v>
      </c>
      <c r="G711" s="198">
        <f>IFERROR(INDEX('Total qty'!$O$131:$O$205,MATCH(Movements!C711,'Total qty'!$C$131:$C$205,0))*consprofilemultiplier/IF(General!$F$35="Customers",INDEX(Qty!$I$87:$I$161,MATCH(Movements!C711,Qty!$C$87:$C$161,0)),INDEX(Qty!$K$87:$K$161,MATCH(Movements!C711,Qty!$C$87:$C$161,0))),0)</f>
        <v>0</v>
      </c>
      <c r="H711" s="221"/>
      <c r="I711" s="206">
        <f t="shared" si="172"/>
        <v>0</v>
      </c>
      <c r="J711" s="206">
        <f t="shared" si="173"/>
        <v>0</v>
      </c>
      <c r="K711" s="206">
        <f t="shared" si="174"/>
        <v>0</v>
      </c>
      <c r="L711" s="178"/>
      <c r="M711" s="198">
        <f>IFERROR(INDEX('Total qty'!$Q$209:$Q$283,MATCH(C711,'Total qty'!$C$209:$C$283,0))*consprofilemultiplier/IF(General!F104="Customers",INDEX(Qty!$I$87:$I$161,MATCH(Movements!C711,Qty!$C$87:$C$161,0)),INDEX(Qty!$K$87:$K$161,MATCH(Movements!C711,Qty!$C$87:$C$161,0))),0)</f>
        <v>0</v>
      </c>
      <c r="N711" s="252">
        <f>_xlfn.IFNA(MATCH(C711,IF(currentyear=RCPminus1,Tariffs!$H$46:$H$120,Tariffs!$C$46:$C$120),0),0)</f>
        <v>0</v>
      </c>
      <c r="O711" s="206" cm="1">
        <f t="array" ref="O711">IF(N711=0,0,IF(D711="yes",IF(Movements!$G711&gt;INDEX(Tariffs!$T$46:$T$120,$N711),INDEX(Tariffs!$T$46:$T$120,$N711),Movements!$G711),0))</f>
        <v>0</v>
      </c>
      <c r="P711" s="206" cm="1">
        <f t="array" ref="P711">IF(N711=0,0,IF(D711="yes",IF($G711=$O711,0,IF(AND(Movements!$G711&gt;INDEX(Tariffs!$U$46:$U$120,$N711),INDEX(Tariffs!$U$46:$U$120,$N711)&lt;&gt;0),INDEX(Tariffs!$U$46:$U$120,$N711)-INDEX(Tariffs!$T$46:$T$120,$N711),Movements!$G711-Movements!$O711)),0))</f>
        <v>0</v>
      </c>
      <c r="Q711" s="206">
        <f t="shared" si="176"/>
        <v>0</v>
      </c>
      <c r="R711" s="207"/>
      <c r="S711" s="219">
        <f>IFERROR(INDEX('Total qty'!$L$209:$N$283,MATCH(Movements!$C711,'Total qty'!$C$209:$C$283,0),MATCH(Movements!S$614,'Total qty'!$L$5:$N$5,0))/INDEX('Total qty'!$O$209:$O$283,MATCH(Movements!$C711,'Total qty'!$C$209:$C$283,0)),0)*$F711</f>
        <v>0</v>
      </c>
      <c r="T711" s="219">
        <f>IFERROR(INDEX('Total qty'!$L$209:$N$283,MATCH(Movements!$C711,'Total qty'!$C$209:$C$283,0),MATCH(Movements!T$614,'Total qty'!$L$5:$N$5,0))/INDEX('Total qty'!$O$209:$O$283,MATCH(Movements!$C711,'Total qty'!$C$209:$C$283,0)),0)*$F711</f>
        <v>0</v>
      </c>
      <c r="U711" s="219">
        <f>IFERROR(INDEX('Total qty'!$L$209:$N$283,MATCH(Movements!$C711,'Total qty'!$C$209:$C$283,0),MATCH(Movements!U$614,'Total qty'!$L$5:$N$5,0))/INDEX('Total qty'!$O$209:$O$283,MATCH(Movements!$C711,'Total qty'!$C$209:$C$283,0)),0)*$F711</f>
        <v>0</v>
      </c>
      <c r="V711" s="138"/>
      <c r="W711" s="138"/>
      <c r="X711" s="138"/>
      <c r="Y711" s="138"/>
      <c r="Z711" s="138"/>
      <c r="AA711" s="138"/>
      <c r="AB711" s="138"/>
      <c r="AC711" s="70"/>
      <c r="AD711" s="19"/>
      <c r="AE711" s="19"/>
      <c r="AF711" s="19"/>
      <c r="AG711" s="19"/>
    </row>
    <row r="712" spans="1:33" hidden="1" outlineLevel="3" x14ac:dyDescent="0.2">
      <c r="A712" s="19"/>
      <c r="B712" s="19"/>
      <c r="C712" s="506">
        <f t="shared" si="175"/>
        <v>0</v>
      </c>
      <c r="D712" s="505">
        <f t="shared" si="171"/>
        <v>0</v>
      </c>
      <c r="E712" s="505">
        <f t="shared" si="171"/>
        <v>0</v>
      </c>
      <c r="F712" s="246">
        <f t="shared" si="169"/>
        <v>0</v>
      </c>
      <c r="G712" s="198">
        <f>IFERROR(INDEX('Total qty'!$O$131:$O$205,MATCH(Movements!C712,'Total qty'!$C$131:$C$205,0))*consprofilemultiplier/IF(General!$F$35="Customers",INDEX(Qty!$I$87:$I$161,MATCH(Movements!C712,Qty!$C$87:$C$161,0)),INDEX(Qty!$K$87:$K$161,MATCH(Movements!C712,Qty!$C$87:$C$161,0))),0)</f>
        <v>0</v>
      </c>
      <c r="H712" s="221"/>
      <c r="I712" s="206">
        <f t="shared" si="172"/>
        <v>0</v>
      </c>
      <c r="J712" s="206">
        <f t="shared" si="173"/>
        <v>0</v>
      </c>
      <c r="K712" s="206">
        <f t="shared" si="174"/>
        <v>0</v>
      </c>
      <c r="L712" s="178"/>
      <c r="M712" s="198">
        <f>IFERROR(INDEX('Total qty'!$Q$209:$Q$283,MATCH(C712,'Total qty'!$C$209:$C$283,0))*consprofilemultiplier/IF(General!F105="Customers",INDEX(Qty!$I$87:$I$161,MATCH(Movements!C712,Qty!$C$87:$C$161,0)),INDEX(Qty!$K$87:$K$161,MATCH(Movements!C712,Qty!$C$87:$C$161,0))),0)</f>
        <v>0</v>
      </c>
      <c r="N712" s="252">
        <f>_xlfn.IFNA(MATCH(C712,IF(currentyear=RCPminus1,Tariffs!$H$46:$H$120,Tariffs!$C$46:$C$120),0),0)</f>
        <v>0</v>
      </c>
      <c r="O712" s="206" cm="1">
        <f t="array" ref="O712">IF(N712=0,0,IF(D712="yes",IF(Movements!$G712&gt;INDEX(Tariffs!$T$46:$T$120,$N712),INDEX(Tariffs!$T$46:$T$120,$N712),Movements!$G712),0))</f>
        <v>0</v>
      </c>
      <c r="P712" s="206" cm="1">
        <f t="array" ref="P712">IF(N712=0,0,IF(D712="yes",IF($G712=$O712,0,IF(AND(Movements!$G712&gt;INDEX(Tariffs!$U$46:$U$120,$N712),INDEX(Tariffs!$U$46:$U$120,$N712)&lt;&gt;0),INDEX(Tariffs!$U$46:$U$120,$N712)-INDEX(Tariffs!$T$46:$T$120,$N712),Movements!$G712-Movements!$O712)),0))</f>
        <v>0</v>
      </c>
      <c r="Q712" s="206">
        <f t="shared" si="176"/>
        <v>0</v>
      </c>
      <c r="R712" s="207"/>
      <c r="S712" s="219">
        <f>IFERROR(INDEX('Total qty'!$L$209:$N$283,MATCH(Movements!$C712,'Total qty'!$C$209:$C$283,0),MATCH(Movements!S$614,'Total qty'!$L$5:$N$5,0))/INDEX('Total qty'!$O$209:$O$283,MATCH(Movements!$C712,'Total qty'!$C$209:$C$283,0)),0)*$F712</f>
        <v>0</v>
      </c>
      <c r="T712" s="219">
        <f>IFERROR(INDEX('Total qty'!$L$209:$N$283,MATCH(Movements!$C712,'Total qty'!$C$209:$C$283,0),MATCH(Movements!T$614,'Total qty'!$L$5:$N$5,0))/INDEX('Total qty'!$O$209:$O$283,MATCH(Movements!$C712,'Total qty'!$C$209:$C$283,0)),0)*$F712</f>
        <v>0</v>
      </c>
      <c r="U712" s="219">
        <f>IFERROR(INDEX('Total qty'!$L$209:$N$283,MATCH(Movements!$C712,'Total qty'!$C$209:$C$283,0),MATCH(Movements!U$614,'Total qty'!$L$5:$N$5,0))/INDEX('Total qty'!$O$209:$O$283,MATCH(Movements!$C712,'Total qty'!$C$209:$C$283,0)),0)*$F712</f>
        <v>0</v>
      </c>
      <c r="V712" s="138"/>
      <c r="W712" s="138"/>
      <c r="X712" s="138"/>
      <c r="Y712" s="138"/>
      <c r="Z712" s="138"/>
      <c r="AA712" s="138"/>
      <c r="AB712" s="138"/>
      <c r="AC712" s="70"/>
      <c r="AD712" s="19"/>
      <c r="AE712" s="19"/>
      <c r="AF712" s="19"/>
      <c r="AG712" s="19"/>
    </row>
    <row r="713" spans="1:33" outlineLevel="2" collapsed="1" x14ac:dyDescent="0.2">
      <c r="A713" s="19"/>
      <c r="B713" s="19"/>
      <c r="C713" s="538"/>
      <c r="D713" s="217"/>
      <c r="E713" s="536"/>
      <c r="F713" s="58"/>
      <c r="G713" s="177"/>
      <c r="H713" s="179"/>
      <c r="I713" s="179"/>
      <c r="J713" s="179"/>
      <c r="K713" s="178"/>
      <c r="L713" s="178"/>
      <c r="M713" s="179"/>
      <c r="N713" s="179"/>
      <c r="O713" s="179"/>
      <c r="P713" s="179"/>
      <c r="Q713" s="70"/>
      <c r="R713" s="177"/>
      <c r="S713" s="220"/>
      <c r="T713" s="220"/>
      <c r="U713" s="220"/>
      <c r="V713" s="70"/>
      <c r="W713" s="70"/>
      <c r="X713" s="70"/>
      <c r="Y713" s="70"/>
      <c r="Z713" s="70"/>
      <c r="AA713" s="70"/>
      <c r="AB713" s="70"/>
      <c r="AC713" s="70"/>
      <c r="AD713" s="19"/>
      <c r="AE713" s="19"/>
      <c r="AF713" s="19"/>
      <c r="AG713" s="19"/>
    </row>
    <row r="714" spans="1:33" outlineLevel="1" x14ac:dyDescent="0.2">
      <c r="A714" s="19"/>
      <c r="B714" s="19"/>
      <c r="C714" s="66"/>
      <c r="D714" s="66"/>
      <c r="E714" s="58"/>
      <c r="F714" s="58"/>
      <c r="G714" s="177"/>
      <c r="H714" s="179"/>
      <c r="I714" s="179"/>
      <c r="J714" s="179"/>
      <c r="K714" s="178"/>
      <c r="L714" s="178"/>
      <c r="M714" s="179"/>
      <c r="N714" s="179"/>
      <c r="O714" s="179"/>
      <c r="P714" s="179"/>
      <c r="Q714" s="70"/>
      <c r="R714" s="177"/>
      <c r="S714" s="178"/>
      <c r="T714" s="178"/>
      <c r="U714" s="178"/>
      <c r="V714" s="70"/>
      <c r="W714" s="70"/>
      <c r="X714" s="70"/>
      <c r="Y714" s="70"/>
      <c r="Z714" s="70"/>
      <c r="AA714" s="70"/>
      <c r="AB714" s="70"/>
      <c r="AC714" s="70"/>
      <c r="AD714" s="19"/>
      <c r="AE714" s="19"/>
      <c r="AF714" s="19"/>
      <c r="AG714" s="19"/>
    </row>
    <row r="715" spans="1:33" x14ac:dyDescent="0.2">
      <c r="A715" s="19"/>
      <c r="B715" s="19"/>
      <c r="C715" s="36"/>
      <c r="D715" s="36"/>
      <c r="E715" s="20"/>
      <c r="F715" s="20"/>
      <c r="G715" s="22"/>
      <c r="H715" s="37"/>
      <c r="I715" s="37"/>
      <c r="J715" s="37"/>
      <c r="K715" s="37"/>
      <c r="L715" s="37"/>
      <c r="M715" s="19"/>
      <c r="N715" s="19"/>
      <c r="O715" s="19"/>
      <c r="P715" s="19"/>
      <c r="Q715" s="19"/>
      <c r="R715" s="20"/>
      <c r="S715" s="20"/>
      <c r="T715" s="20"/>
      <c r="U715" s="20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</row>
    <row r="716" spans="1:33" ht="12.75" x14ac:dyDescent="0.2">
      <c r="A716" s="11"/>
      <c r="B716" s="12" t="s">
        <v>564</v>
      </c>
      <c r="C716" s="11"/>
      <c r="D716" s="32" t="str">
        <f>D5</f>
        <v>Block?</v>
      </c>
      <c r="E716" s="32" t="str">
        <f>E5</f>
        <v>TOU?</v>
      </c>
      <c r="F716" s="32"/>
      <c r="G716" s="33" t="str">
        <f>G614</f>
        <v>Anytime</v>
      </c>
      <c r="H716" s="33"/>
      <c r="I716" s="33" t="str">
        <f t="shared" ref="I716:K717" si="177">I614</f>
        <v>Peak</v>
      </c>
      <c r="J716" s="33" t="str">
        <f t="shared" si="177"/>
        <v>Shoulder</v>
      </c>
      <c r="K716" s="33" t="str">
        <f t="shared" si="177"/>
        <v>Off-peak</v>
      </c>
      <c r="L716" s="33"/>
      <c r="M716" s="33" t="str">
        <f>M614</f>
        <v>Export</v>
      </c>
      <c r="N716" s="33"/>
      <c r="O716" s="33" t="str">
        <f t="shared" ref="O716:Q717" si="178">O614</f>
        <v>Block 1</v>
      </c>
      <c r="P716" s="33" t="str">
        <f t="shared" si="178"/>
        <v>Block 2</v>
      </c>
      <c r="Q716" s="33" t="str">
        <f t="shared" si="178"/>
        <v>Block 3</v>
      </c>
      <c r="R716" s="33"/>
      <c r="S716" s="33" t="str">
        <f t="shared" ref="S716:U717" si="179">S614</f>
        <v>Peak</v>
      </c>
      <c r="T716" s="33" t="str">
        <f t="shared" si="179"/>
        <v>Shoulder</v>
      </c>
      <c r="U716" s="33" t="str">
        <f t="shared" si="179"/>
        <v>Off-peak</v>
      </c>
      <c r="V716" s="33"/>
      <c r="W716" s="33"/>
      <c r="X716" s="33"/>
      <c r="Y716" s="33"/>
      <c r="Z716" s="33"/>
      <c r="AA716" s="33"/>
      <c r="AB716" s="33"/>
      <c r="AC716" s="64"/>
      <c r="AD716" s="15"/>
      <c r="AE716" s="15"/>
      <c r="AF716" s="15"/>
      <c r="AG716" s="15"/>
    </row>
    <row r="717" spans="1:33" outlineLevel="1" x14ac:dyDescent="0.2">
      <c r="A717" s="19"/>
      <c r="B717" s="19"/>
      <c r="C717" s="36"/>
      <c r="D717" s="36"/>
      <c r="E717" s="20"/>
      <c r="F717" s="20"/>
      <c r="G717" s="22" t="str">
        <f>G615</f>
        <v>kWh</v>
      </c>
      <c r="H717" s="22"/>
      <c r="I717" s="22" t="str">
        <f t="shared" si="177"/>
        <v>kWh</v>
      </c>
      <c r="J717" s="22" t="str">
        <f t="shared" si="177"/>
        <v>kWh</v>
      </c>
      <c r="K717" s="22" t="str">
        <f t="shared" si="177"/>
        <v>kWh</v>
      </c>
      <c r="L717" s="22"/>
      <c r="M717" s="22" t="str">
        <f>M615</f>
        <v>kWh</v>
      </c>
      <c r="N717" s="22"/>
      <c r="O717" s="22" t="str">
        <f t="shared" si="178"/>
        <v>kWh</v>
      </c>
      <c r="P717" s="22" t="str">
        <f t="shared" si="178"/>
        <v>kWh</v>
      </c>
      <c r="Q717" s="22" t="str">
        <f t="shared" si="178"/>
        <v>kWh</v>
      </c>
      <c r="R717" s="22"/>
      <c r="S717" s="22" t="str">
        <f t="shared" si="179"/>
        <v>%</v>
      </c>
      <c r="T717" s="22" t="str">
        <f t="shared" si="179"/>
        <v>%</v>
      </c>
      <c r="U717" s="22" t="str">
        <f t="shared" si="179"/>
        <v>%</v>
      </c>
      <c r="V717" s="22"/>
      <c r="W717" s="22"/>
      <c r="X717" s="22"/>
      <c r="Y717" s="22"/>
      <c r="Z717" s="22"/>
      <c r="AA717" s="22"/>
      <c r="AB717" s="22"/>
      <c r="AC717" s="19"/>
      <c r="AD717" s="19"/>
      <c r="AE717" s="19"/>
      <c r="AF717" s="19"/>
      <c r="AG717" s="19"/>
    </row>
    <row r="718" spans="1:33" outlineLevel="1" x14ac:dyDescent="0.2">
      <c r="A718" s="19"/>
      <c r="B718" s="19"/>
      <c r="C718" s="167" t="str">
        <f>C616</f>
        <v>Active consumption</v>
      </c>
      <c r="D718" s="167"/>
      <c r="E718" s="512"/>
      <c r="F718" s="20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19"/>
      <c r="AD718" s="19"/>
      <c r="AE718" s="19"/>
      <c r="AF718" s="19"/>
      <c r="AG718" s="19"/>
    </row>
    <row r="719" spans="1:33" outlineLevel="2" x14ac:dyDescent="0.2">
      <c r="A719" s="19"/>
      <c r="B719" s="97"/>
      <c r="C719" s="506" t="str">
        <f t="shared" ref="C719:E748" si="180">C212</f>
        <v>Small business time of use consumption</v>
      </c>
      <c r="D719" s="505">
        <f t="shared" si="180"/>
        <v>0</v>
      </c>
      <c r="E719" s="505" t="str">
        <f t="shared" si="180"/>
        <v>yes</v>
      </c>
      <c r="F719" s="246">
        <f>IF(General!$F$39="Forecast",Movements!F752,Movements!F785)</f>
        <v>1</v>
      </c>
      <c r="G719" s="198">
        <f>IF(General!$F$38&lt;&gt;0,General!$F$38,IF(General!$F$39="Forecast",Movements!G752,IF(G785=0,G752,Movements!G785)))</f>
        <v>57226.168931615342</v>
      </c>
      <c r="H719" s="143"/>
      <c r="I719" s="206">
        <f>$G719*S719</f>
        <v>32802.613792550925</v>
      </c>
      <c r="J719" s="206">
        <f>$G719*T719</f>
        <v>8231.4722472315643</v>
      </c>
      <c r="K719" s="206">
        <f>$G719*U719</f>
        <v>16192.082891832852</v>
      </c>
      <c r="L719" s="178"/>
      <c r="M719" s="198">
        <f>IF(General!$F$39="Forecast",Movements!M752,IF(M785=0,M752,Movements!M785))</f>
        <v>0</v>
      </c>
      <c r="N719" s="252">
        <f>IF(General!$F$39="Forecast",Movements!N752,Movements!N785)</f>
        <v>7</v>
      </c>
      <c r="O719" s="198">
        <f>IF(General!$F$39="Forecast",Movements!O752,IF(O785=0,O752,Movements!O785))</f>
        <v>0</v>
      </c>
      <c r="P719" s="198">
        <f>IF(General!$F$39="Forecast",Movements!P752,IF(P785=0,P752,Movements!P785))</f>
        <v>0</v>
      </c>
      <c r="Q719" s="198">
        <f>IF(General!$F$39="Forecast",Movements!Q752,IF(Q785=0,Q752,Movements!Q785))</f>
        <v>0</v>
      </c>
      <c r="R719" s="142"/>
      <c r="S719" s="198">
        <f>IF(General!$F$40&lt;&gt;0,General!$F$40,IF(General!$F$39="Forecast",Movements!S752,IF(S785=0,S752,Movements!S785)))</f>
        <v>0.57321002619884787</v>
      </c>
      <c r="T719" s="198">
        <f>IF(General!$F$42&lt;&gt;0,General!$F$42,IF(General!$F$39="Forecast",Movements!T752,IF(T785=0,T752,Movements!T785)))</f>
        <v>0.14384105036051051</v>
      </c>
      <c r="U719" s="198">
        <f>IF(General!$F$41&lt;&gt;0,General!$F$41,IF(General!$F$39="Forecast",Movements!U752,IF(U785=0,U752,Movements!U785)))</f>
        <v>0.2829489234406416</v>
      </c>
      <c r="V719" s="138"/>
      <c r="W719" s="138"/>
      <c r="X719" s="138"/>
      <c r="Y719" s="138"/>
      <c r="Z719" s="138"/>
      <c r="AA719" s="138"/>
      <c r="AB719" s="138"/>
      <c r="AC719" s="70"/>
      <c r="AD719" s="19"/>
      <c r="AE719" s="19"/>
      <c r="AF719" s="19"/>
      <c r="AG719" s="19"/>
    </row>
    <row r="720" spans="1:33" s="59" customFormat="1" outlineLevel="2" x14ac:dyDescent="0.2">
      <c r="A720" s="57"/>
      <c r="B720" s="98"/>
      <c r="C720" s="506" t="str">
        <f t="shared" si="180"/>
        <v>Small business general light and power</v>
      </c>
      <c r="D720" s="505">
        <f t="shared" si="180"/>
        <v>0</v>
      </c>
      <c r="E720" s="505" t="str">
        <f t="shared" si="180"/>
        <v>no</v>
      </c>
      <c r="F720" s="246">
        <f>IF(General!$F$39="Forecast",Movements!F753,Movements!F786)</f>
        <v>0</v>
      </c>
      <c r="G720" s="198">
        <f>IF(General!$F$38&lt;&gt;0,General!$F$38,IF(General!$F$39="Forecast",Movements!G753,IF(G786=0,G753,Movements!G786)))</f>
        <v>9053.8986884510286</v>
      </c>
      <c r="H720" s="143"/>
      <c r="I720" s="206">
        <f t="shared" ref="I720:I748" si="181">$G720*S720</f>
        <v>0</v>
      </c>
      <c r="J720" s="206">
        <f t="shared" ref="J720:J748" si="182">$G720*T720</f>
        <v>0</v>
      </c>
      <c r="K720" s="206">
        <f t="shared" ref="K720:K748" si="183">$G720*U720</f>
        <v>0</v>
      </c>
      <c r="L720" s="178"/>
      <c r="M720" s="198">
        <f>IF(General!$F$39="Forecast",Movements!M753,IF(M786=0,M753,Movements!M786))</f>
        <v>0</v>
      </c>
      <c r="N720" s="252">
        <f>IF(General!$F$39="Forecast",Movements!N753,Movements!N786)</f>
        <v>8</v>
      </c>
      <c r="O720" s="198">
        <f>IF(General!$F$39="Forecast",Movements!O753,IF(O786=0,O753,Movements!O786))</f>
        <v>0</v>
      </c>
      <c r="P720" s="198">
        <f>IF(General!$F$39="Forecast",Movements!P753,IF(P786=0,P753,Movements!P786))</f>
        <v>0</v>
      </c>
      <c r="Q720" s="198">
        <f>IF(General!$F$39="Forecast",Movements!Q753,IF(Q786=0,Q753,Movements!Q786))</f>
        <v>0</v>
      </c>
      <c r="R720" s="142"/>
      <c r="S720" s="198">
        <f>IF(General!$F$40&lt;&gt;0,General!$F$40,IF(General!$F$39="Forecast",Movements!S753,IF(S786=0,S753,Movements!S786)))</f>
        <v>0</v>
      </c>
      <c r="T720" s="198">
        <f>IF(General!$F$42&lt;&gt;0,General!$F$42,IF(General!$F$39="Forecast",Movements!T753,IF(T786=0,T753,Movements!T786)))</f>
        <v>0</v>
      </c>
      <c r="U720" s="198">
        <f>IF(General!$F$41&lt;&gt;0,General!$F$41,IF(General!$F$39="Forecast",Movements!U753,IF(U786=0,U753,Movements!U786)))</f>
        <v>0</v>
      </c>
      <c r="V720" s="138"/>
      <c r="W720" s="138"/>
      <c r="X720" s="138"/>
      <c r="Y720" s="138"/>
      <c r="Z720" s="138"/>
      <c r="AA720" s="138"/>
      <c r="AB720" s="138"/>
      <c r="AC720" s="70"/>
      <c r="AD720" s="57"/>
      <c r="AE720" s="57"/>
      <c r="AF720" s="57"/>
      <c r="AG720" s="57"/>
    </row>
    <row r="721" spans="1:33" outlineLevel="2" x14ac:dyDescent="0.2">
      <c r="A721" s="19"/>
      <c r="B721" s="97"/>
      <c r="C721" s="506">
        <f t="shared" si="180"/>
        <v>0</v>
      </c>
      <c r="D721" s="505">
        <f t="shared" si="180"/>
        <v>0</v>
      </c>
      <c r="E721" s="505">
        <f t="shared" si="180"/>
        <v>0</v>
      </c>
      <c r="F721" s="246">
        <f>IF(General!$F$39="Forecast",Movements!F754,Movements!F787)</f>
        <v>0</v>
      </c>
      <c r="G721" s="198">
        <f>IF(General!$F$38&lt;&gt;0,General!$F$38,IF(General!$F$39="Forecast",Movements!G754,IF(G787=0,G754,Movements!G787)))</f>
        <v>0</v>
      </c>
      <c r="H721" s="143"/>
      <c r="I721" s="206">
        <f t="shared" si="181"/>
        <v>0</v>
      </c>
      <c r="J721" s="206">
        <f t="shared" si="182"/>
        <v>0</v>
      </c>
      <c r="K721" s="206">
        <f t="shared" si="183"/>
        <v>0</v>
      </c>
      <c r="L721" s="178"/>
      <c r="M721" s="198">
        <f>IF(General!$F$39="Forecast",Movements!M754,IF(M787=0,M754,Movements!M787))</f>
        <v>0</v>
      </c>
      <c r="N721" s="252">
        <f>IF(General!$F$39="Forecast",Movements!N754,Movements!N787)</f>
        <v>0</v>
      </c>
      <c r="O721" s="198">
        <f>IF(General!$F$39="Forecast",Movements!O754,IF(O787=0,O754,Movements!O787))</f>
        <v>0</v>
      </c>
      <c r="P721" s="198">
        <f>IF(General!$F$39="Forecast",Movements!P754,IF(P787=0,P754,Movements!P787))</f>
        <v>0</v>
      </c>
      <c r="Q721" s="198">
        <f>IF(General!$F$39="Forecast",Movements!Q754,IF(Q787=0,Q754,Movements!Q787))</f>
        <v>0</v>
      </c>
      <c r="R721" s="142"/>
      <c r="S721" s="198">
        <f>IF(General!$F$40&lt;&gt;0,General!$F$40,IF(General!$F$39="Forecast",Movements!S754,IF(S787=0,S754,Movements!S787)))</f>
        <v>0</v>
      </c>
      <c r="T721" s="198">
        <f>IF(General!$F$42&lt;&gt;0,General!$F$42,IF(General!$F$39="Forecast",Movements!T754,IF(T787=0,T754,Movements!T787)))</f>
        <v>0</v>
      </c>
      <c r="U721" s="198">
        <f>IF(General!$F$41&lt;&gt;0,General!$F$41,IF(General!$F$39="Forecast",Movements!U754,IF(U787=0,U754,Movements!U787)))</f>
        <v>0</v>
      </c>
      <c r="V721" s="138"/>
      <c r="W721" s="138"/>
      <c r="X721" s="138"/>
      <c r="Y721" s="138"/>
      <c r="Z721" s="138"/>
      <c r="AA721" s="138"/>
      <c r="AB721" s="138"/>
      <c r="AC721" s="70"/>
      <c r="AD721" s="19"/>
      <c r="AE721" s="19"/>
      <c r="AF721" s="19"/>
      <c r="AG721" s="19"/>
    </row>
    <row r="722" spans="1:33" hidden="1" outlineLevel="3" x14ac:dyDescent="0.2">
      <c r="A722" s="19"/>
      <c r="B722" s="97"/>
      <c r="C722" s="506">
        <f t="shared" si="180"/>
        <v>0</v>
      </c>
      <c r="D722" s="505">
        <f t="shared" si="180"/>
        <v>0</v>
      </c>
      <c r="E722" s="505">
        <f t="shared" si="180"/>
        <v>0</v>
      </c>
      <c r="F722" s="246">
        <f>IF(General!$F$39="Forecast",Movements!F755,Movements!F788)</f>
        <v>0</v>
      </c>
      <c r="G722" s="198">
        <f>IF(General!$F$38&lt;&gt;0,General!$F$38,IF(General!$F$39="Forecast",Movements!G755,IF(G788=0,G755,Movements!G788)))</f>
        <v>0</v>
      </c>
      <c r="H722" s="143"/>
      <c r="I722" s="206">
        <f t="shared" si="181"/>
        <v>0</v>
      </c>
      <c r="J722" s="206">
        <f t="shared" si="182"/>
        <v>0</v>
      </c>
      <c r="K722" s="206">
        <f t="shared" si="183"/>
        <v>0</v>
      </c>
      <c r="L722" s="178"/>
      <c r="M722" s="198">
        <f>IF(General!$F$39="Forecast",Movements!M755,IF(M788=0,M755,Movements!M788))</f>
        <v>0</v>
      </c>
      <c r="N722" s="252">
        <f>IF(General!$F$39="Forecast",Movements!N755,Movements!N788)</f>
        <v>0</v>
      </c>
      <c r="O722" s="198">
        <f>IF(General!$F$39="Forecast",Movements!O755,IF(O788=0,O755,Movements!O788))</f>
        <v>0</v>
      </c>
      <c r="P722" s="198">
        <f>IF(General!$F$39="Forecast",Movements!P755,IF(P788=0,P755,Movements!P788))</f>
        <v>0</v>
      </c>
      <c r="Q722" s="198">
        <f>IF(General!$F$39="Forecast",Movements!Q755,IF(Q788=0,Q755,Movements!Q788))</f>
        <v>0</v>
      </c>
      <c r="R722" s="142"/>
      <c r="S722" s="198">
        <f>IF(General!$F$40&lt;&gt;0,General!$F$40,IF(General!$F$39="Forecast",Movements!S755,IF(S788=0,S755,Movements!S788)))</f>
        <v>0</v>
      </c>
      <c r="T722" s="198">
        <f>IF(General!$F$42&lt;&gt;0,General!$F$42,IF(General!$F$39="Forecast",Movements!T755,IF(T788=0,T755,Movements!T788)))</f>
        <v>0</v>
      </c>
      <c r="U722" s="198">
        <f>IF(General!$F$41&lt;&gt;0,General!$F$41,IF(General!$F$39="Forecast",Movements!U755,IF(U788=0,U755,Movements!U788)))</f>
        <v>0</v>
      </c>
      <c r="V722" s="138"/>
      <c r="W722" s="138"/>
      <c r="X722" s="138"/>
      <c r="Y722" s="138"/>
      <c r="Z722" s="138"/>
      <c r="AA722" s="138"/>
      <c r="AB722" s="138"/>
      <c r="AC722" s="70"/>
      <c r="AD722" s="19"/>
      <c r="AE722" s="19"/>
      <c r="AF722" s="19"/>
      <c r="AG722" s="19"/>
    </row>
    <row r="723" spans="1:33" hidden="1" outlineLevel="3" x14ac:dyDescent="0.2">
      <c r="A723" s="19"/>
      <c r="B723" s="97"/>
      <c r="C723" s="506">
        <f t="shared" si="180"/>
        <v>0</v>
      </c>
      <c r="D723" s="505">
        <f t="shared" si="180"/>
        <v>0</v>
      </c>
      <c r="E723" s="505">
        <f t="shared" si="180"/>
        <v>0</v>
      </c>
      <c r="F723" s="246">
        <f>IF(General!$F$39="Forecast",Movements!F756,Movements!F789)</f>
        <v>0</v>
      </c>
      <c r="G723" s="198">
        <f>IF(General!$F$38&lt;&gt;0,General!$F$38,IF(General!$F$39="Forecast",Movements!G756,IF(G789=0,G756,Movements!G789)))</f>
        <v>0</v>
      </c>
      <c r="H723" s="143"/>
      <c r="I723" s="206">
        <f t="shared" si="181"/>
        <v>0</v>
      </c>
      <c r="J723" s="206">
        <f t="shared" si="182"/>
        <v>0</v>
      </c>
      <c r="K723" s="206">
        <f t="shared" si="183"/>
        <v>0</v>
      </c>
      <c r="L723" s="178"/>
      <c r="M723" s="198">
        <f>IF(General!$F$39="Forecast",Movements!M756,IF(M789=0,M756,Movements!M789))</f>
        <v>0</v>
      </c>
      <c r="N723" s="252">
        <f>IF(General!$F$39="Forecast",Movements!N756,Movements!N789)</f>
        <v>0</v>
      </c>
      <c r="O723" s="198">
        <f>IF(General!$F$39="Forecast",Movements!O756,IF(O789=0,O756,Movements!O789))</f>
        <v>0</v>
      </c>
      <c r="P723" s="198">
        <f>IF(General!$F$39="Forecast",Movements!P756,IF(P789=0,P756,Movements!P789))</f>
        <v>0</v>
      </c>
      <c r="Q723" s="198">
        <f>IF(General!$F$39="Forecast",Movements!Q756,IF(Q789=0,Q756,Movements!Q789))</f>
        <v>0</v>
      </c>
      <c r="R723" s="142"/>
      <c r="S723" s="198">
        <f>IF(General!$F$40&lt;&gt;0,General!$F$40,IF(General!$F$39="Forecast",Movements!S756,IF(S789=0,S756,Movements!S789)))</f>
        <v>0</v>
      </c>
      <c r="T723" s="198">
        <f>IF(General!$F$42&lt;&gt;0,General!$F$42,IF(General!$F$39="Forecast",Movements!T756,IF(T789=0,T756,Movements!T789)))</f>
        <v>0</v>
      </c>
      <c r="U723" s="198">
        <f>IF(General!$F$41&lt;&gt;0,General!$F$41,IF(General!$F$39="Forecast",Movements!U756,IF(U789=0,U756,Movements!U789)))</f>
        <v>0</v>
      </c>
      <c r="V723" s="138"/>
      <c r="W723" s="138"/>
      <c r="X723" s="138"/>
      <c r="Y723" s="138"/>
      <c r="Z723" s="138"/>
      <c r="AA723" s="138"/>
      <c r="AB723" s="138"/>
      <c r="AC723" s="70"/>
      <c r="AD723" s="19"/>
      <c r="AE723" s="19"/>
      <c r="AF723" s="19"/>
      <c r="AG723" s="19"/>
    </row>
    <row r="724" spans="1:33" hidden="1" outlineLevel="3" x14ac:dyDescent="0.2">
      <c r="A724" s="19"/>
      <c r="B724" s="97"/>
      <c r="C724" s="506">
        <f t="shared" si="180"/>
        <v>0</v>
      </c>
      <c r="D724" s="505">
        <f t="shared" si="180"/>
        <v>0</v>
      </c>
      <c r="E724" s="505">
        <f t="shared" si="180"/>
        <v>0</v>
      </c>
      <c r="F724" s="246">
        <f>IF(General!$F$39="Forecast",Movements!F757,Movements!F790)</f>
        <v>0</v>
      </c>
      <c r="G724" s="198">
        <f>IF(General!$F$38&lt;&gt;0,General!$F$38,IF(General!$F$39="Forecast",Movements!G757,IF(G790=0,G757,Movements!G790)))</f>
        <v>0</v>
      </c>
      <c r="H724" s="143"/>
      <c r="I724" s="206">
        <f t="shared" si="181"/>
        <v>0</v>
      </c>
      <c r="J724" s="206">
        <f t="shared" si="182"/>
        <v>0</v>
      </c>
      <c r="K724" s="206">
        <f t="shared" si="183"/>
        <v>0</v>
      </c>
      <c r="L724" s="178"/>
      <c r="M724" s="198">
        <f>IF(General!$F$39="Forecast",Movements!M757,IF(M790=0,M757,Movements!M790))</f>
        <v>0</v>
      </c>
      <c r="N724" s="252">
        <f>IF(General!$F$39="Forecast",Movements!N757,Movements!N790)</f>
        <v>0</v>
      </c>
      <c r="O724" s="198">
        <f>IF(General!$F$39="Forecast",Movements!O757,IF(O790=0,O757,Movements!O790))</f>
        <v>0</v>
      </c>
      <c r="P724" s="198">
        <f>IF(General!$F$39="Forecast",Movements!P757,IF(P790=0,P757,Movements!P790))</f>
        <v>0</v>
      </c>
      <c r="Q724" s="198">
        <f>IF(General!$F$39="Forecast",Movements!Q757,IF(Q790=0,Q757,Movements!Q790))</f>
        <v>0</v>
      </c>
      <c r="R724" s="142"/>
      <c r="S724" s="198">
        <f>IF(General!$F$40&lt;&gt;0,General!$F$40,IF(General!$F$39="Forecast",Movements!S757,IF(S790=0,S757,Movements!S790)))</f>
        <v>0</v>
      </c>
      <c r="T724" s="198">
        <f>IF(General!$F$42&lt;&gt;0,General!$F$42,IF(General!$F$39="Forecast",Movements!T757,IF(T790=0,T757,Movements!T790)))</f>
        <v>0</v>
      </c>
      <c r="U724" s="198">
        <f>IF(General!$F$41&lt;&gt;0,General!$F$41,IF(General!$F$39="Forecast",Movements!U757,IF(U790=0,U757,Movements!U790)))</f>
        <v>0</v>
      </c>
      <c r="V724" s="138"/>
      <c r="W724" s="138"/>
      <c r="X724" s="138"/>
      <c r="Y724" s="138"/>
      <c r="Z724" s="138"/>
      <c r="AA724" s="138"/>
      <c r="AB724" s="138"/>
      <c r="AC724" s="70"/>
      <c r="AD724" s="19"/>
      <c r="AE724" s="19"/>
      <c r="AF724" s="19"/>
      <c r="AG724" s="19"/>
    </row>
    <row r="725" spans="1:33" hidden="1" outlineLevel="3" x14ac:dyDescent="0.2">
      <c r="A725" s="19"/>
      <c r="B725" s="97"/>
      <c r="C725" s="506">
        <f t="shared" si="180"/>
        <v>0</v>
      </c>
      <c r="D725" s="505">
        <f t="shared" si="180"/>
        <v>0</v>
      </c>
      <c r="E725" s="505">
        <f t="shared" si="180"/>
        <v>0</v>
      </c>
      <c r="F725" s="246">
        <f>IF(General!$F$39="Forecast",Movements!F758,Movements!F791)</f>
        <v>0</v>
      </c>
      <c r="G725" s="198">
        <f>IF(General!$F$38&lt;&gt;0,General!$F$38,IF(General!$F$39="Forecast",Movements!G758,IF(G791=0,G758,Movements!G791)))</f>
        <v>0</v>
      </c>
      <c r="H725" s="143"/>
      <c r="I725" s="206">
        <f t="shared" si="181"/>
        <v>0</v>
      </c>
      <c r="J725" s="206">
        <f t="shared" si="182"/>
        <v>0</v>
      </c>
      <c r="K725" s="206">
        <f t="shared" si="183"/>
        <v>0</v>
      </c>
      <c r="L725" s="178"/>
      <c r="M725" s="198">
        <f>IF(General!$F$39="Forecast",Movements!M758,IF(M791=0,M758,Movements!M791))</f>
        <v>0</v>
      </c>
      <c r="N725" s="252">
        <f>IF(General!$F$39="Forecast",Movements!N758,Movements!N791)</f>
        <v>0</v>
      </c>
      <c r="O725" s="198">
        <f>IF(General!$F$39="Forecast",Movements!O758,IF(O791=0,O758,Movements!O791))</f>
        <v>0</v>
      </c>
      <c r="P725" s="198">
        <f>IF(General!$F$39="Forecast",Movements!P758,IF(P791=0,P758,Movements!P791))</f>
        <v>0</v>
      </c>
      <c r="Q725" s="198">
        <f>IF(General!$F$39="Forecast",Movements!Q758,IF(Q791=0,Q758,Movements!Q791))</f>
        <v>0</v>
      </c>
      <c r="R725" s="142"/>
      <c r="S725" s="198">
        <f>IF(General!$F$40&lt;&gt;0,General!$F$40,IF(General!$F$39="Forecast",Movements!S758,IF(S791=0,S758,Movements!S791)))</f>
        <v>0</v>
      </c>
      <c r="T725" s="198">
        <f>IF(General!$F$42&lt;&gt;0,General!$F$42,IF(General!$F$39="Forecast",Movements!T758,IF(T791=0,T758,Movements!T791)))</f>
        <v>0</v>
      </c>
      <c r="U725" s="198">
        <f>IF(General!$F$41&lt;&gt;0,General!$F$41,IF(General!$F$39="Forecast",Movements!U758,IF(U791=0,U758,Movements!U791)))</f>
        <v>0</v>
      </c>
      <c r="V725" s="138"/>
      <c r="W725" s="138"/>
      <c r="X725" s="138"/>
      <c r="Y725" s="138"/>
      <c r="Z725" s="138"/>
      <c r="AA725" s="138"/>
      <c r="AB725" s="138"/>
      <c r="AC725" s="70"/>
      <c r="AD725" s="19"/>
      <c r="AE725" s="19"/>
      <c r="AF725" s="19"/>
      <c r="AG725" s="19"/>
    </row>
    <row r="726" spans="1:33" hidden="1" outlineLevel="3" x14ac:dyDescent="0.2">
      <c r="A726" s="19"/>
      <c r="B726" s="97"/>
      <c r="C726" s="506">
        <f t="shared" si="180"/>
        <v>0</v>
      </c>
      <c r="D726" s="505">
        <f t="shared" si="180"/>
        <v>0</v>
      </c>
      <c r="E726" s="505">
        <f t="shared" si="180"/>
        <v>0</v>
      </c>
      <c r="F726" s="246">
        <f>IF(General!$F$39="Forecast",Movements!F759,Movements!F792)</f>
        <v>0</v>
      </c>
      <c r="G726" s="198">
        <f>IF(General!$F$38&lt;&gt;0,General!$F$38,IF(General!$F$39="Forecast",Movements!G759,IF(G792=0,G759,Movements!G792)))</f>
        <v>0</v>
      </c>
      <c r="H726" s="143"/>
      <c r="I726" s="206">
        <f t="shared" si="181"/>
        <v>0</v>
      </c>
      <c r="J726" s="206">
        <f t="shared" si="182"/>
        <v>0</v>
      </c>
      <c r="K726" s="206">
        <f t="shared" si="183"/>
        <v>0</v>
      </c>
      <c r="L726" s="178"/>
      <c r="M726" s="198">
        <f>IF(General!$F$39="Forecast",Movements!M759,IF(M792=0,M759,Movements!M792))</f>
        <v>0</v>
      </c>
      <c r="N726" s="252">
        <f>IF(General!$F$39="Forecast",Movements!N759,Movements!N792)</f>
        <v>0</v>
      </c>
      <c r="O726" s="198">
        <f>IF(General!$F$39="Forecast",Movements!O759,IF(O792=0,O759,Movements!O792))</f>
        <v>0</v>
      </c>
      <c r="P726" s="198">
        <f>IF(General!$F$39="Forecast",Movements!P759,IF(P792=0,P759,Movements!P792))</f>
        <v>0</v>
      </c>
      <c r="Q726" s="198">
        <f>IF(General!$F$39="Forecast",Movements!Q759,IF(Q792=0,Q759,Movements!Q792))</f>
        <v>0</v>
      </c>
      <c r="R726" s="142"/>
      <c r="S726" s="198">
        <f>IF(General!$F$40&lt;&gt;0,General!$F$40,IF(General!$F$39="Forecast",Movements!S759,IF(S792=0,S759,Movements!S792)))</f>
        <v>0</v>
      </c>
      <c r="T726" s="198">
        <f>IF(General!$F$42&lt;&gt;0,General!$F$42,IF(General!$F$39="Forecast",Movements!T759,IF(T792=0,T759,Movements!T792)))</f>
        <v>0</v>
      </c>
      <c r="U726" s="198">
        <f>IF(General!$F$41&lt;&gt;0,General!$F$41,IF(General!$F$39="Forecast",Movements!U759,IF(U792=0,U759,Movements!U792)))</f>
        <v>0</v>
      </c>
      <c r="V726" s="138"/>
      <c r="W726" s="138"/>
      <c r="X726" s="138"/>
      <c r="Y726" s="138"/>
      <c r="Z726" s="138"/>
      <c r="AA726" s="138"/>
      <c r="AB726" s="138"/>
      <c r="AC726" s="70"/>
      <c r="AD726" s="19"/>
      <c r="AE726" s="19"/>
      <c r="AF726" s="19"/>
      <c r="AG726" s="19"/>
    </row>
    <row r="727" spans="1:33" hidden="1" outlineLevel="3" x14ac:dyDescent="0.2">
      <c r="A727" s="19"/>
      <c r="B727" s="98"/>
      <c r="C727" s="506">
        <f t="shared" si="180"/>
        <v>0</v>
      </c>
      <c r="D727" s="505">
        <f t="shared" si="180"/>
        <v>0</v>
      </c>
      <c r="E727" s="505">
        <f t="shared" si="180"/>
        <v>0</v>
      </c>
      <c r="F727" s="246">
        <f>IF(General!$F$39="Forecast",Movements!F760,Movements!F793)</f>
        <v>0</v>
      </c>
      <c r="G727" s="198">
        <f>IF(General!$F$38&lt;&gt;0,General!$F$38,IF(General!$F$39="Forecast",Movements!G760,IF(G793=0,G760,Movements!G793)))</f>
        <v>0</v>
      </c>
      <c r="H727" s="143"/>
      <c r="I727" s="206">
        <f t="shared" si="181"/>
        <v>0</v>
      </c>
      <c r="J727" s="206">
        <f t="shared" si="182"/>
        <v>0</v>
      </c>
      <c r="K727" s="206">
        <f t="shared" si="183"/>
        <v>0</v>
      </c>
      <c r="L727" s="178"/>
      <c r="M727" s="198">
        <f>IF(General!$F$39="Forecast",Movements!M760,IF(M793=0,M760,Movements!M793))</f>
        <v>0</v>
      </c>
      <c r="N727" s="252">
        <f>IF(General!$F$39="Forecast",Movements!N760,Movements!N793)</f>
        <v>0</v>
      </c>
      <c r="O727" s="198">
        <f>IF(General!$F$39="Forecast",Movements!O760,IF(O793=0,O760,Movements!O793))</f>
        <v>0</v>
      </c>
      <c r="P727" s="198">
        <f>IF(General!$F$39="Forecast",Movements!P760,IF(P793=0,P760,Movements!P793))</f>
        <v>0</v>
      </c>
      <c r="Q727" s="198">
        <f>IF(General!$F$39="Forecast",Movements!Q760,IF(Q793=0,Q760,Movements!Q793))</f>
        <v>0</v>
      </c>
      <c r="R727" s="142"/>
      <c r="S727" s="198">
        <f>IF(General!$F$40&lt;&gt;0,General!$F$40,IF(General!$F$39="Forecast",Movements!S760,IF(S793=0,S760,Movements!S793)))</f>
        <v>0</v>
      </c>
      <c r="T727" s="198">
        <f>IF(General!$F$42&lt;&gt;0,General!$F$42,IF(General!$F$39="Forecast",Movements!T760,IF(T793=0,T760,Movements!T793)))</f>
        <v>0</v>
      </c>
      <c r="U727" s="198">
        <f>IF(General!$F$41&lt;&gt;0,General!$F$41,IF(General!$F$39="Forecast",Movements!U760,IF(U793=0,U760,Movements!U793)))</f>
        <v>0</v>
      </c>
      <c r="V727" s="138"/>
      <c r="W727" s="138"/>
      <c r="X727" s="138"/>
      <c r="Y727" s="138"/>
      <c r="Z727" s="138"/>
      <c r="AA727" s="138"/>
      <c r="AB727" s="138"/>
      <c r="AC727" s="70"/>
      <c r="AD727" s="19"/>
      <c r="AE727" s="19"/>
      <c r="AF727" s="19"/>
      <c r="AG727" s="19"/>
    </row>
    <row r="728" spans="1:33" hidden="1" outlineLevel="3" x14ac:dyDescent="0.2">
      <c r="A728" s="19"/>
      <c r="B728" s="97"/>
      <c r="C728" s="506">
        <f t="shared" si="180"/>
        <v>0</v>
      </c>
      <c r="D728" s="505">
        <f t="shared" si="180"/>
        <v>0</v>
      </c>
      <c r="E728" s="505">
        <f t="shared" si="180"/>
        <v>0</v>
      </c>
      <c r="F728" s="246">
        <f>IF(General!$F$39="Forecast",Movements!F761,Movements!F794)</f>
        <v>0</v>
      </c>
      <c r="G728" s="198">
        <f>IF(General!$F$38&lt;&gt;0,General!$F$38,IF(General!$F$39="Forecast",Movements!G761,IF(G794=0,G761,Movements!G794)))</f>
        <v>0</v>
      </c>
      <c r="H728" s="143"/>
      <c r="I728" s="206">
        <f t="shared" si="181"/>
        <v>0</v>
      </c>
      <c r="J728" s="206">
        <f t="shared" si="182"/>
        <v>0</v>
      </c>
      <c r="K728" s="206">
        <f t="shared" si="183"/>
        <v>0</v>
      </c>
      <c r="L728" s="178"/>
      <c r="M728" s="198">
        <f>IF(General!$F$39="Forecast",Movements!M761,IF(M794=0,M761,Movements!M794))</f>
        <v>0</v>
      </c>
      <c r="N728" s="252">
        <f>IF(General!$F$39="Forecast",Movements!N761,Movements!N794)</f>
        <v>0</v>
      </c>
      <c r="O728" s="198">
        <f>IF(General!$F$39="Forecast",Movements!O761,IF(O794=0,O761,Movements!O794))</f>
        <v>0</v>
      </c>
      <c r="P728" s="198">
        <f>IF(General!$F$39="Forecast",Movements!P761,IF(P794=0,P761,Movements!P794))</f>
        <v>0</v>
      </c>
      <c r="Q728" s="198">
        <f>IF(General!$F$39="Forecast",Movements!Q761,IF(Q794=0,Q761,Movements!Q794))</f>
        <v>0</v>
      </c>
      <c r="R728" s="142"/>
      <c r="S728" s="198">
        <f>IF(General!$F$40&lt;&gt;0,General!$F$40,IF(General!$F$39="Forecast",Movements!S761,IF(S794=0,S761,Movements!S794)))</f>
        <v>0</v>
      </c>
      <c r="T728" s="198">
        <f>IF(General!$F$42&lt;&gt;0,General!$F$42,IF(General!$F$39="Forecast",Movements!T761,IF(T794=0,T761,Movements!T794)))</f>
        <v>0</v>
      </c>
      <c r="U728" s="198">
        <f>IF(General!$F$41&lt;&gt;0,General!$F$41,IF(General!$F$39="Forecast",Movements!U761,IF(U794=0,U761,Movements!U794)))</f>
        <v>0</v>
      </c>
      <c r="V728" s="138"/>
      <c r="W728" s="138"/>
      <c r="X728" s="138"/>
      <c r="Y728" s="138"/>
      <c r="Z728" s="138"/>
      <c r="AA728" s="138"/>
      <c r="AB728" s="138"/>
      <c r="AC728" s="70"/>
      <c r="AD728" s="19"/>
      <c r="AE728" s="19"/>
      <c r="AF728" s="19"/>
      <c r="AG728" s="19"/>
    </row>
    <row r="729" spans="1:33" hidden="1" outlineLevel="3" x14ac:dyDescent="0.2">
      <c r="A729" s="19"/>
      <c r="B729" s="97"/>
      <c r="C729" s="506">
        <f t="shared" si="180"/>
        <v>0</v>
      </c>
      <c r="D729" s="505">
        <f t="shared" si="180"/>
        <v>0</v>
      </c>
      <c r="E729" s="505">
        <f t="shared" si="180"/>
        <v>0</v>
      </c>
      <c r="F729" s="246">
        <f>IF(General!$F$39="Forecast",Movements!F762,Movements!F795)</f>
        <v>0</v>
      </c>
      <c r="G729" s="198">
        <f>IF(General!$F$38&lt;&gt;0,General!$F$38,IF(General!$F$39="Forecast",Movements!G762,IF(G795=0,G762,Movements!G795)))</f>
        <v>0</v>
      </c>
      <c r="H729" s="143"/>
      <c r="I729" s="206">
        <f t="shared" si="181"/>
        <v>0</v>
      </c>
      <c r="J729" s="206">
        <f t="shared" si="182"/>
        <v>0</v>
      </c>
      <c r="K729" s="206">
        <f t="shared" si="183"/>
        <v>0</v>
      </c>
      <c r="L729" s="178"/>
      <c r="M729" s="198">
        <f>IF(General!$F$39="Forecast",Movements!M762,IF(M795=0,M762,Movements!M795))</f>
        <v>0</v>
      </c>
      <c r="N729" s="252">
        <f>IF(General!$F$39="Forecast",Movements!N762,Movements!N795)</f>
        <v>0</v>
      </c>
      <c r="O729" s="198">
        <f>IF(General!$F$39="Forecast",Movements!O762,IF(O795=0,O762,Movements!O795))</f>
        <v>0</v>
      </c>
      <c r="P729" s="198">
        <f>IF(General!$F$39="Forecast",Movements!P762,IF(P795=0,P762,Movements!P795))</f>
        <v>0</v>
      </c>
      <c r="Q729" s="198">
        <f>IF(General!$F$39="Forecast",Movements!Q762,IF(Q795=0,Q762,Movements!Q795))</f>
        <v>0</v>
      </c>
      <c r="R729" s="142"/>
      <c r="S729" s="198">
        <f>IF(General!$F$40&lt;&gt;0,General!$F$40,IF(General!$F$39="Forecast",Movements!S762,IF(S795=0,S762,Movements!S795)))</f>
        <v>0</v>
      </c>
      <c r="T729" s="198">
        <f>IF(General!$F$42&lt;&gt;0,General!$F$42,IF(General!$F$39="Forecast",Movements!T762,IF(T795=0,T762,Movements!T795)))</f>
        <v>0</v>
      </c>
      <c r="U729" s="198">
        <f>IF(General!$F$41&lt;&gt;0,General!$F$41,IF(General!$F$39="Forecast",Movements!U762,IF(U795=0,U762,Movements!U795)))</f>
        <v>0</v>
      </c>
      <c r="V729" s="138"/>
      <c r="W729" s="138"/>
      <c r="X729" s="138"/>
      <c r="Y729" s="138"/>
      <c r="Z729" s="138"/>
      <c r="AA729" s="138"/>
      <c r="AB729" s="138"/>
      <c r="AC729" s="70"/>
      <c r="AD729" s="19"/>
      <c r="AE729" s="19"/>
      <c r="AF729" s="19"/>
      <c r="AG729" s="19"/>
    </row>
    <row r="730" spans="1:33" hidden="1" outlineLevel="3" x14ac:dyDescent="0.2">
      <c r="A730" s="19"/>
      <c r="B730" s="97"/>
      <c r="C730" s="506">
        <f t="shared" si="180"/>
        <v>0</v>
      </c>
      <c r="D730" s="505">
        <f t="shared" si="180"/>
        <v>0</v>
      </c>
      <c r="E730" s="505">
        <f t="shared" si="180"/>
        <v>0</v>
      </c>
      <c r="F730" s="246">
        <f>IF(General!$F$39="Forecast",Movements!F763,Movements!F796)</f>
        <v>0</v>
      </c>
      <c r="G730" s="198">
        <f>IF(General!$F$38&lt;&gt;0,General!$F$38,IF(General!$F$39="Forecast",Movements!G763,IF(G796=0,G763,Movements!G796)))</f>
        <v>0</v>
      </c>
      <c r="H730" s="143"/>
      <c r="I730" s="206">
        <f t="shared" si="181"/>
        <v>0</v>
      </c>
      <c r="J730" s="206">
        <f t="shared" si="182"/>
        <v>0</v>
      </c>
      <c r="K730" s="206">
        <f t="shared" si="183"/>
        <v>0</v>
      </c>
      <c r="L730" s="178"/>
      <c r="M730" s="198">
        <f>IF(General!$F$39="Forecast",Movements!M763,IF(M796=0,M763,Movements!M796))</f>
        <v>0</v>
      </c>
      <c r="N730" s="252">
        <f>IF(General!$F$39="Forecast",Movements!N763,Movements!N796)</f>
        <v>0</v>
      </c>
      <c r="O730" s="198">
        <f>IF(General!$F$39="Forecast",Movements!O763,IF(O796=0,O763,Movements!O796))</f>
        <v>0</v>
      </c>
      <c r="P730" s="198">
        <f>IF(General!$F$39="Forecast",Movements!P763,IF(P796=0,P763,Movements!P796))</f>
        <v>0</v>
      </c>
      <c r="Q730" s="198">
        <f>IF(General!$F$39="Forecast",Movements!Q763,IF(Q796=0,Q763,Movements!Q796))</f>
        <v>0</v>
      </c>
      <c r="R730" s="142"/>
      <c r="S730" s="198">
        <f>IF(General!$F$40&lt;&gt;0,General!$F$40,IF(General!$F$39="Forecast",Movements!S763,IF(S796=0,S763,Movements!S796)))</f>
        <v>0</v>
      </c>
      <c r="T730" s="198">
        <f>IF(General!$F$42&lt;&gt;0,General!$F$42,IF(General!$F$39="Forecast",Movements!T763,IF(T796=0,T763,Movements!T796)))</f>
        <v>0</v>
      </c>
      <c r="U730" s="198">
        <f>IF(General!$F$41&lt;&gt;0,General!$F$41,IF(General!$F$39="Forecast",Movements!U763,IF(U796=0,U763,Movements!U796)))</f>
        <v>0</v>
      </c>
      <c r="V730" s="138"/>
      <c r="W730" s="138"/>
      <c r="X730" s="138"/>
      <c r="Y730" s="138"/>
      <c r="Z730" s="138"/>
      <c r="AA730" s="138"/>
      <c r="AB730" s="138"/>
      <c r="AC730" s="70"/>
      <c r="AD730" s="19"/>
      <c r="AE730" s="19"/>
      <c r="AF730" s="19"/>
      <c r="AG730" s="19"/>
    </row>
    <row r="731" spans="1:33" hidden="1" outlineLevel="3" x14ac:dyDescent="0.2">
      <c r="A731" s="19"/>
      <c r="B731" s="97"/>
      <c r="C731" s="506">
        <f t="shared" si="180"/>
        <v>0</v>
      </c>
      <c r="D731" s="505">
        <f t="shared" si="180"/>
        <v>0</v>
      </c>
      <c r="E731" s="505">
        <f t="shared" si="180"/>
        <v>0</v>
      </c>
      <c r="F731" s="246">
        <f>IF(General!$F$39="Forecast",Movements!F764,Movements!F797)</f>
        <v>0</v>
      </c>
      <c r="G731" s="198">
        <f>IF(General!$F$38&lt;&gt;0,General!$F$38,IF(General!$F$39="Forecast",Movements!G764,IF(G797=0,G764,Movements!G797)))</f>
        <v>0</v>
      </c>
      <c r="H731" s="143"/>
      <c r="I731" s="206">
        <f t="shared" si="181"/>
        <v>0</v>
      </c>
      <c r="J731" s="206">
        <f t="shared" si="182"/>
        <v>0</v>
      </c>
      <c r="K731" s="206">
        <f t="shared" si="183"/>
        <v>0</v>
      </c>
      <c r="L731" s="178"/>
      <c r="M731" s="198">
        <f>IF(General!$F$39="Forecast",Movements!M764,IF(M797=0,M764,Movements!M797))</f>
        <v>0</v>
      </c>
      <c r="N731" s="252">
        <f>IF(General!$F$39="Forecast",Movements!N764,Movements!N797)</f>
        <v>0</v>
      </c>
      <c r="O731" s="198">
        <f>IF(General!$F$39="Forecast",Movements!O764,IF(O797=0,O764,Movements!O797))</f>
        <v>0</v>
      </c>
      <c r="P731" s="198">
        <f>IF(General!$F$39="Forecast",Movements!P764,IF(P797=0,P764,Movements!P797))</f>
        <v>0</v>
      </c>
      <c r="Q731" s="198">
        <f>IF(General!$F$39="Forecast",Movements!Q764,IF(Q797=0,Q764,Movements!Q797))</f>
        <v>0</v>
      </c>
      <c r="R731" s="142"/>
      <c r="S731" s="198">
        <f>IF(General!$F$40&lt;&gt;0,General!$F$40,IF(General!$F$39="Forecast",Movements!S764,IF(S797=0,S764,Movements!S797)))</f>
        <v>0</v>
      </c>
      <c r="T731" s="198">
        <f>IF(General!$F$42&lt;&gt;0,General!$F$42,IF(General!$F$39="Forecast",Movements!T764,IF(T797=0,T764,Movements!T797)))</f>
        <v>0</v>
      </c>
      <c r="U731" s="198">
        <f>IF(General!$F$41&lt;&gt;0,General!$F$41,IF(General!$F$39="Forecast",Movements!U764,IF(U797=0,U764,Movements!U797)))</f>
        <v>0</v>
      </c>
      <c r="V731" s="138"/>
      <c r="W731" s="138"/>
      <c r="X731" s="138"/>
      <c r="Y731" s="138"/>
      <c r="Z731" s="138"/>
      <c r="AA731" s="138"/>
      <c r="AB731" s="138"/>
      <c r="AC731" s="70"/>
      <c r="AD731" s="19"/>
      <c r="AE731" s="19"/>
      <c r="AF731" s="19"/>
      <c r="AG731" s="19"/>
    </row>
    <row r="732" spans="1:33" hidden="1" outlineLevel="3" x14ac:dyDescent="0.2">
      <c r="A732" s="19"/>
      <c r="B732" s="97"/>
      <c r="C732" s="506">
        <f t="shared" si="180"/>
        <v>0</v>
      </c>
      <c r="D732" s="505">
        <f t="shared" si="180"/>
        <v>0</v>
      </c>
      <c r="E732" s="505">
        <f t="shared" si="180"/>
        <v>0</v>
      </c>
      <c r="F732" s="246">
        <f>IF(General!$F$39="Forecast",Movements!F765,Movements!F798)</f>
        <v>0</v>
      </c>
      <c r="G732" s="198">
        <f>IF(General!$F$38&lt;&gt;0,General!$F$38,IF(General!$F$39="Forecast",Movements!G765,IF(G798=0,G765,Movements!G798)))</f>
        <v>0</v>
      </c>
      <c r="H732" s="143"/>
      <c r="I732" s="206">
        <f t="shared" si="181"/>
        <v>0</v>
      </c>
      <c r="J732" s="206">
        <f t="shared" si="182"/>
        <v>0</v>
      </c>
      <c r="K732" s="206">
        <f t="shared" si="183"/>
        <v>0</v>
      </c>
      <c r="L732" s="178"/>
      <c r="M732" s="198">
        <f>IF(General!$F$39="Forecast",Movements!M765,IF(M798=0,M765,Movements!M798))</f>
        <v>0</v>
      </c>
      <c r="N732" s="252">
        <f>IF(General!$F$39="Forecast",Movements!N765,Movements!N798)</f>
        <v>0</v>
      </c>
      <c r="O732" s="198">
        <f>IF(General!$F$39="Forecast",Movements!O765,IF(O798=0,O765,Movements!O798))</f>
        <v>0</v>
      </c>
      <c r="P732" s="198">
        <f>IF(General!$F$39="Forecast",Movements!P765,IF(P798=0,P765,Movements!P798))</f>
        <v>0</v>
      </c>
      <c r="Q732" s="198">
        <f>IF(General!$F$39="Forecast",Movements!Q765,IF(Q798=0,Q765,Movements!Q798))</f>
        <v>0</v>
      </c>
      <c r="R732" s="142"/>
      <c r="S732" s="198">
        <f>IF(General!$F$40&lt;&gt;0,General!$F$40,IF(General!$F$39="Forecast",Movements!S765,IF(S798=0,S765,Movements!S798)))</f>
        <v>0</v>
      </c>
      <c r="T732" s="198">
        <f>IF(General!$F$42&lt;&gt;0,General!$F$42,IF(General!$F$39="Forecast",Movements!T765,IF(T798=0,T765,Movements!T798)))</f>
        <v>0</v>
      </c>
      <c r="U732" s="198">
        <f>IF(General!$F$41&lt;&gt;0,General!$F$41,IF(General!$F$39="Forecast",Movements!U765,IF(U798=0,U765,Movements!U798)))</f>
        <v>0</v>
      </c>
      <c r="V732" s="138"/>
      <c r="W732" s="138"/>
      <c r="X732" s="138"/>
      <c r="Y732" s="138"/>
      <c r="Z732" s="138"/>
      <c r="AA732" s="138"/>
      <c r="AB732" s="138"/>
      <c r="AC732" s="70"/>
      <c r="AD732" s="19"/>
      <c r="AE732" s="19"/>
      <c r="AF732" s="19"/>
      <c r="AG732" s="19"/>
    </row>
    <row r="733" spans="1:33" hidden="1" outlineLevel="3" x14ac:dyDescent="0.2">
      <c r="A733" s="19"/>
      <c r="B733" s="97"/>
      <c r="C733" s="506">
        <f t="shared" si="180"/>
        <v>0</v>
      </c>
      <c r="D733" s="505">
        <f t="shared" si="180"/>
        <v>0</v>
      </c>
      <c r="E733" s="505">
        <f t="shared" si="180"/>
        <v>0</v>
      </c>
      <c r="F733" s="246">
        <f>IF(General!$F$39="Forecast",Movements!F766,Movements!F799)</f>
        <v>0</v>
      </c>
      <c r="G733" s="198">
        <f>IF(General!$F$38&lt;&gt;0,General!$F$38,IF(General!$F$39="Forecast",Movements!G766,IF(G799=0,G766,Movements!G799)))</f>
        <v>0</v>
      </c>
      <c r="H733" s="143"/>
      <c r="I733" s="206">
        <f t="shared" si="181"/>
        <v>0</v>
      </c>
      <c r="J733" s="206">
        <f t="shared" si="182"/>
        <v>0</v>
      </c>
      <c r="K733" s="206">
        <f t="shared" si="183"/>
        <v>0</v>
      </c>
      <c r="L733" s="178"/>
      <c r="M733" s="198">
        <f>IF(General!$F$39="Forecast",Movements!M766,IF(M799=0,M766,Movements!M799))</f>
        <v>0</v>
      </c>
      <c r="N733" s="252">
        <f>IF(General!$F$39="Forecast",Movements!N766,Movements!N799)</f>
        <v>0</v>
      </c>
      <c r="O733" s="198">
        <f>IF(General!$F$39="Forecast",Movements!O766,IF(O799=0,O766,Movements!O799))</f>
        <v>0</v>
      </c>
      <c r="P733" s="198">
        <f>IF(General!$F$39="Forecast",Movements!P766,IF(P799=0,P766,Movements!P799))</f>
        <v>0</v>
      </c>
      <c r="Q733" s="198">
        <f>IF(General!$F$39="Forecast",Movements!Q766,IF(Q799=0,Q766,Movements!Q799))</f>
        <v>0</v>
      </c>
      <c r="R733" s="142"/>
      <c r="S733" s="198">
        <f>IF(General!$F$40&lt;&gt;0,General!$F$40,IF(General!$F$39="Forecast",Movements!S766,IF(S799=0,S766,Movements!S799)))</f>
        <v>0</v>
      </c>
      <c r="T733" s="198">
        <f>IF(General!$F$42&lt;&gt;0,General!$F$42,IF(General!$F$39="Forecast",Movements!T766,IF(T799=0,T766,Movements!T799)))</f>
        <v>0</v>
      </c>
      <c r="U733" s="198">
        <f>IF(General!$F$41&lt;&gt;0,General!$F$41,IF(General!$F$39="Forecast",Movements!U766,IF(U799=0,U766,Movements!U799)))</f>
        <v>0</v>
      </c>
      <c r="V733" s="138"/>
      <c r="W733" s="138"/>
      <c r="X733" s="138"/>
      <c r="Y733" s="138"/>
      <c r="Z733" s="138"/>
      <c r="AA733" s="138"/>
      <c r="AB733" s="138"/>
      <c r="AC733" s="70"/>
      <c r="AD733" s="19"/>
      <c r="AE733" s="19"/>
      <c r="AF733" s="19"/>
      <c r="AG733" s="19"/>
    </row>
    <row r="734" spans="1:33" hidden="1" outlineLevel="3" x14ac:dyDescent="0.2">
      <c r="A734" s="19"/>
      <c r="B734" s="98"/>
      <c r="C734" s="506">
        <f t="shared" si="180"/>
        <v>0</v>
      </c>
      <c r="D734" s="505">
        <f t="shared" si="180"/>
        <v>0</v>
      </c>
      <c r="E734" s="505">
        <f t="shared" si="180"/>
        <v>0</v>
      </c>
      <c r="F734" s="246">
        <f>IF(General!$F$39="Forecast",Movements!F767,Movements!F800)</f>
        <v>0</v>
      </c>
      <c r="G734" s="198">
        <f>IF(General!$F$38&lt;&gt;0,General!$F$38,IF(General!$F$39="Forecast",Movements!G767,IF(G800=0,G767,Movements!G800)))</f>
        <v>0</v>
      </c>
      <c r="H734" s="143"/>
      <c r="I734" s="206">
        <f t="shared" si="181"/>
        <v>0</v>
      </c>
      <c r="J734" s="206">
        <f t="shared" si="182"/>
        <v>0</v>
      </c>
      <c r="K734" s="206">
        <f t="shared" si="183"/>
        <v>0</v>
      </c>
      <c r="L734" s="178"/>
      <c r="M734" s="198">
        <f>IF(General!$F$39="Forecast",Movements!M767,IF(M800=0,M767,Movements!M800))</f>
        <v>0</v>
      </c>
      <c r="N734" s="252">
        <f>IF(General!$F$39="Forecast",Movements!N767,Movements!N800)</f>
        <v>0</v>
      </c>
      <c r="O734" s="198">
        <f>IF(General!$F$39="Forecast",Movements!O767,IF(O800=0,O767,Movements!O800))</f>
        <v>0</v>
      </c>
      <c r="P734" s="198">
        <f>IF(General!$F$39="Forecast",Movements!P767,IF(P800=0,P767,Movements!P800))</f>
        <v>0</v>
      </c>
      <c r="Q734" s="198">
        <f>IF(General!$F$39="Forecast",Movements!Q767,IF(Q800=0,Q767,Movements!Q800))</f>
        <v>0</v>
      </c>
      <c r="R734" s="142"/>
      <c r="S734" s="198">
        <f>IF(General!$F$40&lt;&gt;0,General!$F$40,IF(General!$F$39="Forecast",Movements!S767,IF(S800=0,S767,Movements!S800)))</f>
        <v>0</v>
      </c>
      <c r="T734" s="198">
        <f>IF(General!$F$42&lt;&gt;0,General!$F$42,IF(General!$F$39="Forecast",Movements!T767,IF(T800=0,T767,Movements!T800)))</f>
        <v>0</v>
      </c>
      <c r="U734" s="198">
        <f>IF(General!$F$41&lt;&gt;0,General!$F$41,IF(General!$F$39="Forecast",Movements!U767,IF(U800=0,U767,Movements!U800)))</f>
        <v>0</v>
      </c>
      <c r="V734" s="138"/>
      <c r="W734" s="138"/>
      <c r="X734" s="138"/>
      <c r="Y734" s="138"/>
      <c r="Z734" s="138"/>
      <c r="AA734" s="138"/>
      <c r="AB734" s="138"/>
      <c r="AC734" s="70"/>
      <c r="AD734" s="19"/>
      <c r="AE734" s="19"/>
      <c r="AF734" s="19"/>
      <c r="AG734" s="19"/>
    </row>
    <row r="735" spans="1:33" hidden="1" outlineLevel="3" x14ac:dyDescent="0.2">
      <c r="A735" s="19"/>
      <c r="B735" s="97"/>
      <c r="C735" s="506">
        <f t="shared" si="180"/>
        <v>0</v>
      </c>
      <c r="D735" s="505">
        <f t="shared" si="180"/>
        <v>0</v>
      </c>
      <c r="E735" s="505">
        <f t="shared" si="180"/>
        <v>0</v>
      </c>
      <c r="F735" s="246">
        <f>IF(General!$F$39="Forecast",Movements!F768,Movements!F801)</f>
        <v>0</v>
      </c>
      <c r="G735" s="198">
        <f>IF(General!$F$38&lt;&gt;0,General!$F$38,IF(General!$F$39="Forecast",Movements!G768,IF(G801=0,G768,Movements!G801)))</f>
        <v>0</v>
      </c>
      <c r="H735" s="143"/>
      <c r="I735" s="206">
        <f t="shared" si="181"/>
        <v>0</v>
      </c>
      <c r="J735" s="206">
        <f t="shared" si="182"/>
        <v>0</v>
      </c>
      <c r="K735" s="206">
        <f t="shared" si="183"/>
        <v>0</v>
      </c>
      <c r="L735" s="178"/>
      <c r="M735" s="198">
        <f>IF(General!$F$39="Forecast",Movements!M768,IF(M801=0,M768,Movements!M801))</f>
        <v>0</v>
      </c>
      <c r="N735" s="252">
        <f>IF(General!$F$39="Forecast",Movements!N768,Movements!N801)</f>
        <v>0</v>
      </c>
      <c r="O735" s="198">
        <f>IF(General!$F$39="Forecast",Movements!O768,IF(O801=0,O768,Movements!O801))</f>
        <v>0</v>
      </c>
      <c r="P735" s="198">
        <f>IF(General!$F$39="Forecast",Movements!P768,IF(P801=0,P768,Movements!P801))</f>
        <v>0</v>
      </c>
      <c r="Q735" s="198">
        <f>IF(General!$F$39="Forecast",Movements!Q768,IF(Q801=0,Q768,Movements!Q801))</f>
        <v>0</v>
      </c>
      <c r="R735" s="142"/>
      <c r="S735" s="198">
        <f>IF(General!$F$40&lt;&gt;0,General!$F$40,IF(General!$F$39="Forecast",Movements!S768,IF(S801=0,S768,Movements!S801)))</f>
        <v>0</v>
      </c>
      <c r="T735" s="198">
        <f>IF(General!$F$42&lt;&gt;0,General!$F$42,IF(General!$F$39="Forecast",Movements!T768,IF(T801=0,T768,Movements!T801)))</f>
        <v>0</v>
      </c>
      <c r="U735" s="198">
        <f>IF(General!$F$41&lt;&gt;0,General!$F$41,IF(General!$F$39="Forecast",Movements!U768,IF(U801=0,U768,Movements!U801)))</f>
        <v>0</v>
      </c>
      <c r="V735" s="138"/>
      <c r="W735" s="138"/>
      <c r="X735" s="138"/>
      <c r="Y735" s="138"/>
      <c r="Z735" s="138"/>
      <c r="AA735" s="138"/>
      <c r="AB735" s="138"/>
      <c r="AC735" s="70"/>
      <c r="AD735" s="19"/>
      <c r="AE735" s="19"/>
      <c r="AF735" s="19"/>
      <c r="AG735" s="19"/>
    </row>
    <row r="736" spans="1:33" hidden="1" outlineLevel="3" x14ac:dyDescent="0.2">
      <c r="A736" s="19"/>
      <c r="B736" s="97"/>
      <c r="C736" s="506">
        <f t="shared" si="180"/>
        <v>0</v>
      </c>
      <c r="D736" s="505">
        <f t="shared" si="180"/>
        <v>0</v>
      </c>
      <c r="E736" s="505">
        <f t="shared" si="180"/>
        <v>0</v>
      </c>
      <c r="F736" s="246">
        <f>IF(General!$F$39="Forecast",Movements!F769,Movements!F802)</f>
        <v>0</v>
      </c>
      <c r="G736" s="198">
        <f>IF(General!$F$38&lt;&gt;0,General!$F$38,IF(General!$F$39="Forecast",Movements!G769,IF(G802=0,G769,Movements!G802)))</f>
        <v>0</v>
      </c>
      <c r="H736" s="143"/>
      <c r="I736" s="206">
        <f t="shared" si="181"/>
        <v>0</v>
      </c>
      <c r="J736" s="206">
        <f t="shared" si="182"/>
        <v>0</v>
      </c>
      <c r="K736" s="206">
        <f t="shared" si="183"/>
        <v>0</v>
      </c>
      <c r="L736" s="178"/>
      <c r="M736" s="198">
        <f>IF(General!$F$39="Forecast",Movements!M769,IF(M802=0,M769,Movements!M802))</f>
        <v>0</v>
      </c>
      <c r="N736" s="252">
        <f>IF(General!$F$39="Forecast",Movements!N769,Movements!N802)</f>
        <v>0</v>
      </c>
      <c r="O736" s="198">
        <f>IF(General!$F$39="Forecast",Movements!O769,IF(O802=0,O769,Movements!O802))</f>
        <v>0</v>
      </c>
      <c r="P736" s="198">
        <f>IF(General!$F$39="Forecast",Movements!P769,IF(P802=0,P769,Movements!P802))</f>
        <v>0</v>
      </c>
      <c r="Q736" s="198">
        <f>IF(General!$F$39="Forecast",Movements!Q769,IF(Q802=0,Q769,Movements!Q802))</f>
        <v>0</v>
      </c>
      <c r="R736" s="142"/>
      <c r="S736" s="198">
        <f>IF(General!$F$40&lt;&gt;0,General!$F$40,IF(General!$F$39="Forecast",Movements!S769,IF(S802=0,S769,Movements!S802)))</f>
        <v>0</v>
      </c>
      <c r="T736" s="198">
        <f>IF(General!$F$42&lt;&gt;0,General!$F$42,IF(General!$F$39="Forecast",Movements!T769,IF(T802=0,T769,Movements!T802)))</f>
        <v>0</v>
      </c>
      <c r="U736" s="198">
        <f>IF(General!$F$41&lt;&gt;0,General!$F$41,IF(General!$F$39="Forecast",Movements!U769,IF(U802=0,U769,Movements!U802)))</f>
        <v>0</v>
      </c>
      <c r="V736" s="138"/>
      <c r="W736" s="138"/>
      <c r="X736" s="138"/>
      <c r="Y736" s="138"/>
      <c r="Z736" s="138"/>
      <c r="AA736" s="138"/>
      <c r="AB736" s="138"/>
      <c r="AC736" s="70"/>
      <c r="AD736" s="19"/>
      <c r="AE736" s="19"/>
      <c r="AF736" s="19"/>
      <c r="AG736" s="19"/>
    </row>
    <row r="737" spans="1:33" hidden="1" outlineLevel="3" x14ac:dyDescent="0.2">
      <c r="A737" s="19"/>
      <c r="B737" s="97"/>
      <c r="C737" s="506">
        <f t="shared" si="180"/>
        <v>0</v>
      </c>
      <c r="D737" s="505">
        <f t="shared" si="180"/>
        <v>0</v>
      </c>
      <c r="E737" s="505">
        <f t="shared" si="180"/>
        <v>0</v>
      </c>
      <c r="F737" s="246">
        <f>IF(General!$F$39="Forecast",Movements!F770,Movements!F803)</f>
        <v>0</v>
      </c>
      <c r="G737" s="198">
        <f>IF(General!$F$38&lt;&gt;0,General!$F$38,IF(General!$F$39="Forecast",Movements!G770,IF(G803=0,G770,Movements!G803)))</f>
        <v>0</v>
      </c>
      <c r="H737" s="143"/>
      <c r="I737" s="206">
        <f t="shared" si="181"/>
        <v>0</v>
      </c>
      <c r="J737" s="206">
        <f t="shared" si="182"/>
        <v>0</v>
      </c>
      <c r="K737" s="206">
        <f t="shared" si="183"/>
        <v>0</v>
      </c>
      <c r="L737" s="178"/>
      <c r="M737" s="198">
        <f>IF(General!$F$39="Forecast",Movements!M770,IF(M803=0,M770,Movements!M803))</f>
        <v>0</v>
      </c>
      <c r="N737" s="252">
        <f>IF(General!$F$39="Forecast",Movements!N770,Movements!N803)</f>
        <v>0</v>
      </c>
      <c r="O737" s="198">
        <f>IF(General!$F$39="Forecast",Movements!O770,IF(O803=0,O770,Movements!O803))</f>
        <v>0</v>
      </c>
      <c r="P737" s="198">
        <f>IF(General!$F$39="Forecast",Movements!P770,IF(P803=0,P770,Movements!P803))</f>
        <v>0</v>
      </c>
      <c r="Q737" s="198">
        <f>IF(General!$F$39="Forecast",Movements!Q770,IF(Q803=0,Q770,Movements!Q803))</f>
        <v>0</v>
      </c>
      <c r="R737" s="142"/>
      <c r="S737" s="198">
        <f>IF(General!$F$40&lt;&gt;0,General!$F$40,IF(General!$F$39="Forecast",Movements!S770,IF(S803=0,S770,Movements!S803)))</f>
        <v>0</v>
      </c>
      <c r="T737" s="198">
        <f>IF(General!$F$42&lt;&gt;0,General!$F$42,IF(General!$F$39="Forecast",Movements!T770,IF(T803=0,T770,Movements!T803)))</f>
        <v>0</v>
      </c>
      <c r="U737" s="198">
        <f>IF(General!$F$41&lt;&gt;0,General!$F$41,IF(General!$F$39="Forecast",Movements!U770,IF(U803=0,U770,Movements!U803)))</f>
        <v>0</v>
      </c>
      <c r="V737" s="138"/>
      <c r="W737" s="138"/>
      <c r="X737" s="138"/>
      <c r="Y737" s="138"/>
      <c r="Z737" s="138"/>
      <c r="AA737" s="138"/>
      <c r="AB737" s="138"/>
      <c r="AC737" s="70"/>
      <c r="AD737" s="19"/>
      <c r="AE737" s="19"/>
      <c r="AF737" s="19"/>
      <c r="AG737" s="19"/>
    </row>
    <row r="738" spans="1:33" hidden="1" outlineLevel="3" x14ac:dyDescent="0.2">
      <c r="A738" s="19"/>
      <c r="B738" s="97"/>
      <c r="C738" s="506">
        <f t="shared" si="180"/>
        <v>0</v>
      </c>
      <c r="D738" s="505">
        <f t="shared" si="180"/>
        <v>0</v>
      </c>
      <c r="E738" s="505">
        <f t="shared" si="180"/>
        <v>0</v>
      </c>
      <c r="F738" s="246">
        <f>IF(General!$F$39="Forecast",Movements!F771,Movements!F804)</f>
        <v>0</v>
      </c>
      <c r="G738" s="198">
        <f>IF(General!$F$38&lt;&gt;0,General!$F$38,IF(General!$F$39="Forecast",Movements!G771,IF(G804=0,G771,Movements!G804)))</f>
        <v>0</v>
      </c>
      <c r="H738" s="143"/>
      <c r="I738" s="206">
        <f t="shared" si="181"/>
        <v>0</v>
      </c>
      <c r="J738" s="206">
        <f t="shared" si="182"/>
        <v>0</v>
      </c>
      <c r="K738" s="206">
        <f t="shared" si="183"/>
        <v>0</v>
      </c>
      <c r="L738" s="178"/>
      <c r="M738" s="198">
        <f>IF(General!$F$39="Forecast",Movements!M771,IF(M804=0,M771,Movements!M804))</f>
        <v>0</v>
      </c>
      <c r="N738" s="252">
        <f>IF(General!$F$39="Forecast",Movements!N771,Movements!N804)</f>
        <v>0</v>
      </c>
      <c r="O738" s="198">
        <f>IF(General!$F$39="Forecast",Movements!O771,IF(O804=0,O771,Movements!O804))</f>
        <v>0</v>
      </c>
      <c r="P738" s="198">
        <f>IF(General!$F$39="Forecast",Movements!P771,IF(P804=0,P771,Movements!P804))</f>
        <v>0</v>
      </c>
      <c r="Q738" s="198">
        <f>IF(General!$F$39="Forecast",Movements!Q771,IF(Q804=0,Q771,Movements!Q804))</f>
        <v>0</v>
      </c>
      <c r="R738" s="142"/>
      <c r="S738" s="198">
        <f>IF(General!$F$40&lt;&gt;0,General!$F$40,IF(General!$F$39="Forecast",Movements!S771,IF(S804=0,S771,Movements!S804)))</f>
        <v>0</v>
      </c>
      <c r="T738" s="198">
        <f>IF(General!$F$42&lt;&gt;0,General!$F$42,IF(General!$F$39="Forecast",Movements!T771,IF(T804=0,T771,Movements!T804)))</f>
        <v>0</v>
      </c>
      <c r="U738" s="198">
        <f>IF(General!$F$41&lt;&gt;0,General!$F$41,IF(General!$F$39="Forecast",Movements!U771,IF(U804=0,U771,Movements!U804)))</f>
        <v>0</v>
      </c>
      <c r="V738" s="138"/>
      <c r="W738" s="138"/>
      <c r="X738" s="138"/>
      <c r="Y738" s="138"/>
      <c r="Z738" s="138"/>
      <c r="AA738" s="138"/>
      <c r="AB738" s="138"/>
      <c r="AC738" s="70"/>
      <c r="AD738" s="19"/>
      <c r="AE738" s="19"/>
      <c r="AF738" s="19"/>
      <c r="AG738" s="19"/>
    </row>
    <row r="739" spans="1:33" hidden="1" outlineLevel="3" x14ac:dyDescent="0.2">
      <c r="A739" s="19"/>
      <c r="B739" s="97"/>
      <c r="C739" s="506">
        <f t="shared" si="180"/>
        <v>0</v>
      </c>
      <c r="D739" s="505">
        <f t="shared" si="180"/>
        <v>0</v>
      </c>
      <c r="E739" s="505">
        <f t="shared" si="180"/>
        <v>0</v>
      </c>
      <c r="F739" s="246">
        <f>IF(General!$F$39="Forecast",Movements!F772,Movements!F805)</f>
        <v>0</v>
      </c>
      <c r="G739" s="198">
        <f>IF(General!$F$38&lt;&gt;0,General!$F$38,IF(General!$F$39="Forecast",Movements!G772,IF(G805=0,G772,Movements!G805)))</f>
        <v>0</v>
      </c>
      <c r="H739" s="143"/>
      <c r="I739" s="206">
        <f t="shared" si="181"/>
        <v>0</v>
      </c>
      <c r="J739" s="206">
        <f t="shared" si="182"/>
        <v>0</v>
      </c>
      <c r="K739" s="206">
        <f t="shared" si="183"/>
        <v>0</v>
      </c>
      <c r="L739" s="178"/>
      <c r="M739" s="198">
        <f>IF(General!$F$39="Forecast",Movements!M772,IF(M805=0,M772,Movements!M805))</f>
        <v>0</v>
      </c>
      <c r="N739" s="252">
        <f>IF(General!$F$39="Forecast",Movements!N772,Movements!N805)</f>
        <v>0</v>
      </c>
      <c r="O739" s="198">
        <f>IF(General!$F$39="Forecast",Movements!O772,IF(O805=0,O772,Movements!O805))</f>
        <v>0</v>
      </c>
      <c r="P739" s="198">
        <f>IF(General!$F$39="Forecast",Movements!P772,IF(P805=0,P772,Movements!P805))</f>
        <v>0</v>
      </c>
      <c r="Q739" s="198">
        <f>IF(General!$F$39="Forecast",Movements!Q772,IF(Q805=0,Q772,Movements!Q805))</f>
        <v>0</v>
      </c>
      <c r="R739" s="142"/>
      <c r="S739" s="198">
        <f>IF(General!$F$40&lt;&gt;0,General!$F$40,IF(General!$F$39="Forecast",Movements!S772,IF(S805=0,S772,Movements!S805)))</f>
        <v>0</v>
      </c>
      <c r="T739" s="198">
        <f>IF(General!$F$42&lt;&gt;0,General!$F$42,IF(General!$F$39="Forecast",Movements!T772,IF(T805=0,T772,Movements!T805)))</f>
        <v>0</v>
      </c>
      <c r="U739" s="198">
        <f>IF(General!$F$41&lt;&gt;0,General!$F$41,IF(General!$F$39="Forecast",Movements!U772,IF(U805=0,U772,Movements!U805)))</f>
        <v>0</v>
      </c>
      <c r="V739" s="138"/>
      <c r="W739" s="138"/>
      <c r="X739" s="138"/>
      <c r="Y739" s="138"/>
      <c r="Z739" s="138"/>
      <c r="AA739" s="138"/>
      <c r="AB739" s="138"/>
      <c r="AC739" s="70"/>
      <c r="AD739" s="19"/>
      <c r="AE739" s="19"/>
      <c r="AF739" s="19"/>
      <c r="AG739" s="19"/>
    </row>
    <row r="740" spans="1:33" hidden="1" outlineLevel="3" x14ac:dyDescent="0.2">
      <c r="A740" s="19"/>
      <c r="B740" s="97"/>
      <c r="C740" s="506">
        <f t="shared" si="180"/>
        <v>0</v>
      </c>
      <c r="D740" s="505">
        <f t="shared" si="180"/>
        <v>0</v>
      </c>
      <c r="E740" s="505">
        <f t="shared" si="180"/>
        <v>0</v>
      </c>
      <c r="F740" s="246">
        <f>IF(General!$F$39="Forecast",Movements!F773,Movements!F806)</f>
        <v>0</v>
      </c>
      <c r="G740" s="198">
        <f>IF(General!$F$38&lt;&gt;0,General!$F$38,IF(General!$F$39="Forecast",Movements!G773,IF(G806=0,G773,Movements!G806)))</f>
        <v>0</v>
      </c>
      <c r="H740" s="143"/>
      <c r="I740" s="206">
        <f t="shared" si="181"/>
        <v>0</v>
      </c>
      <c r="J740" s="206">
        <f t="shared" si="182"/>
        <v>0</v>
      </c>
      <c r="K740" s="206">
        <f t="shared" si="183"/>
        <v>0</v>
      </c>
      <c r="L740" s="178"/>
      <c r="M740" s="198">
        <f>IF(General!$F$39="Forecast",Movements!M773,IF(M806=0,M773,Movements!M806))</f>
        <v>0</v>
      </c>
      <c r="N740" s="252">
        <f>IF(General!$F$39="Forecast",Movements!N773,Movements!N806)</f>
        <v>0</v>
      </c>
      <c r="O740" s="198">
        <f>IF(General!$F$39="Forecast",Movements!O773,IF(O806=0,O773,Movements!O806))</f>
        <v>0</v>
      </c>
      <c r="P740" s="198">
        <f>IF(General!$F$39="Forecast",Movements!P773,IF(P806=0,P773,Movements!P806))</f>
        <v>0</v>
      </c>
      <c r="Q740" s="198">
        <f>IF(General!$F$39="Forecast",Movements!Q773,IF(Q806=0,Q773,Movements!Q806))</f>
        <v>0</v>
      </c>
      <c r="R740" s="142"/>
      <c r="S740" s="198">
        <f>IF(General!$F$40&lt;&gt;0,General!$F$40,IF(General!$F$39="Forecast",Movements!S773,IF(S806=0,S773,Movements!S806)))</f>
        <v>0</v>
      </c>
      <c r="T740" s="198">
        <f>IF(General!$F$42&lt;&gt;0,General!$F$42,IF(General!$F$39="Forecast",Movements!T773,IF(T806=0,T773,Movements!T806)))</f>
        <v>0</v>
      </c>
      <c r="U740" s="198">
        <f>IF(General!$F$41&lt;&gt;0,General!$F$41,IF(General!$F$39="Forecast",Movements!U773,IF(U806=0,U773,Movements!U806)))</f>
        <v>0</v>
      </c>
      <c r="V740" s="138"/>
      <c r="W740" s="138"/>
      <c r="X740" s="138"/>
      <c r="Y740" s="138"/>
      <c r="Z740" s="138"/>
      <c r="AA740" s="138"/>
      <c r="AB740" s="138"/>
      <c r="AC740" s="70"/>
      <c r="AD740" s="19"/>
      <c r="AE740" s="19"/>
      <c r="AF740" s="19"/>
      <c r="AG740" s="19"/>
    </row>
    <row r="741" spans="1:33" hidden="1" outlineLevel="3" x14ac:dyDescent="0.2">
      <c r="A741" s="19"/>
      <c r="B741" s="98"/>
      <c r="C741" s="506">
        <f t="shared" si="180"/>
        <v>0</v>
      </c>
      <c r="D741" s="505">
        <f t="shared" si="180"/>
        <v>0</v>
      </c>
      <c r="E741" s="505">
        <f t="shared" si="180"/>
        <v>0</v>
      </c>
      <c r="F741" s="246">
        <f>IF(General!$F$39="Forecast",Movements!F774,Movements!F807)</f>
        <v>0</v>
      </c>
      <c r="G741" s="198">
        <f>IF(General!$F$38&lt;&gt;0,General!$F$38,IF(General!$F$39="Forecast",Movements!G774,IF(G807=0,G774,Movements!G807)))</f>
        <v>0</v>
      </c>
      <c r="H741" s="143"/>
      <c r="I741" s="206">
        <f t="shared" si="181"/>
        <v>0</v>
      </c>
      <c r="J741" s="206">
        <f t="shared" si="182"/>
        <v>0</v>
      </c>
      <c r="K741" s="206">
        <f t="shared" si="183"/>
        <v>0</v>
      </c>
      <c r="L741" s="178"/>
      <c r="M741" s="198">
        <f>IF(General!$F$39="Forecast",Movements!M774,IF(M807=0,M774,Movements!M807))</f>
        <v>0</v>
      </c>
      <c r="N741" s="252">
        <f>IF(General!$F$39="Forecast",Movements!N774,Movements!N807)</f>
        <v>0</v>
      </c>
      <c r="O741" s="198">
        <f>IF(General!$F$39="Forecast",Movements!O774,IF(O807=0,O774,Movements!O807))</f>
        <v>0</v>
      </c>
      <c r="P741" s="198">
        <f>IF(General!$F$39="Forecast",Movements!P774,IF(P807=0,P774,Movements!P807))</f>
        <v>0</v>
      </c>
      <c r="Q741" s="198">
        <f>IF(General!$F$39="Forecast",Movements!Q774,IF(Q807=0,Q774,Movements!Q807))</f>
        <v>0</v>
      </c>
      <c r="R741" s="142"/>
      <c r="S741" s="198">
        <f>IF(General!$F$40&lt;&gt;0,General!$F$40,IF(General!$F$39="Forecast",Movements!S774,IF(S807=0,S774,Movements!S807)))</f>
        <v>0</v>
      </c>
      <c r="T741" s="198">
        <f>IF(General!$F$42&lt;&gt;0,General!$F$42,IF(General!$F$39="Forecast",Movements!T774,IF(T807=0,T774,Movements!T807)))</f>
        <v>0</v>
      </c>
      <c r="U741" s="198">
        <f>IF(General!$F$41&lt;&gt;0,General!$F$41,IF(General!$F$39="Forecast",Movements!U774,IF(U807=0,U774,Movements!U807)))</f>
        <v>0</v>
      </c>
      <c r="V741" s="138"/>
      <c r="W741" s="138"/>
      <c r="X741" s="138"/>
      <c r="Y741" s="138"/>
      <c r="Z741" s="138"/>
      <c r="AA741" s="138"/>
      <c r="AB741" s="138"/>
      <c r="AC741" s="70"/>
      <c r="AD741" s="19"/>
      <c r="AE741" s="19"/>
      <c r="AF741" s="19"/>
      <c r="AG741" s="19"/>
    </row>
    <row r="742" spans="1:33" hidden="1" outlineLevel="3" x14ac:dyDescent="0.2">
      <c r="A742" s="19"/>
      <c r="B742" s="97"/>
      <c r="C742" s="506">
        <f t="shared" si="180"/>
        <v>0</v>
      </c>
      <c r="D742" s="505">
        <f t="shared" si="180"/>
        <v>0</v>
      </c>
      <c r="E742" s="505">
        <f t="shared" si="180"/>
        <v>0</v>
      </c>
      <c r="F742" s="246">
        <f>IF(General!$F$39="Forecast",Movements!F775,Movements!F808)</f>
        <v>0</v>
      </c>
      <c r="G742" s="198">
        <f>IF(General!$F$38&lt;&gt;0,General!$F$38,IF(General!$F$39="Forecast",Movements!G775,IF(G808=0,G775,Movements!G808)))</f>
        <v>0</v>
      </c>
      <c r="H742" s="143"/>
      <c r="I742" s="206">
        <f t="shared" si="181"/>
        <v>0</v>
      </c>
      <c r="J742" s="206">
        <f t="shared" si="182"/>
        <v>0</v>
      </c>
      <c r="K742" s="206">
        <f t="shared" si="183"/>
        <v>0</v>
      </c>
      <c r="L742" s="178"/>
      <c r="M742" s="198">
        <f>IF(General!$F$39="Forecast",Movements!M775,IF(M808=0,M775,Movements!M808))</f>
        <v>0</v>
      </c>
      <c r="N742" s="252">
        <f>IF(General!$F$39="Forecast",Movements!N775,Movements!N808)</f>
        <v>0</v>
      </c>
      <c r="O742" s="198">
        <f>IF(General!$F$39="Forecast",Movements!O775,IF(O808=0,O775,Movements!O808))</f>
        <v>0</v>
      </c>
      <c r="P742" s="198">
        <f>IF(General!$F$39="Forecast",Movements!P775,IF(P808=0,P775,Movements!P808))</f>
        <v>0</v>
      </c>
      <c r="Q742" s="198">
        <f>IF(General!$F$39="Forecast",Movements!Q775,IF(Q808=0,Q775,Movements!Q808))</f>
        <v>0</v>
      </c>
      <c r="R742" s="142"/>
      <c r="S742" s="198">
        <f>IF(General!$F$40&lt;&gt;0,General!$F$40,IF(General!$F$39="Forecast",Movements!S775,IF(S808=0,S775,Movements!S808)))</f>
        <v>0</v>
      </c>
      <c r="T742" s="198">
        <f>IF(General!$F$42&lt;&gt;0,General!$F$42,IF(General!$F$39="Forecast",Movements!T775,IF(T808=0,T775,Movements!T808)))</f>
        <v>0</v>
      </c>
      <c r="U742" s="198">
        <f>IF(General!$F$41&lt;&gt;0,General!$F$41,IF(General!$F$39="Forecast",Movements!U775,IF(U808=0,U775,Movements!U808)))</f>
        <v>0</v>
      </c>
      <c r="V742" s="138"/>
      <c r="W742" s="138"/>
      <c r="X742" s="138"/>
      <c r="Y742" s="138"/>
      <c r="Z742" s="138"/>
      <c r="AA742" s="138"/>
      <c r="AB742" s="138"/>
      <c r="AC742" s="70"/>
      <c r="AD742" s="19"/>
      <c r="AE742" s="19"/>
      <c r="AF742" s="19"/>
      <c r="AG742" s="19"/>
    </row>
    <row r="743" spans="1:33" hidden="1" outlineLevel="3" x14ac:dyDescent="0.2">
      <c r="A743" s="19"/>
      <c r="B743" s="97"/>
      <c r="C743" s="506">
        <f t="shared" si="180"/>
        <v>0</v>
      </c>
      <c r="D743" s="505">
        <f t="shared" si="180"/>
        <v>0</v>
      </c>
      <c r="E743" s="505">
        <f t="shared" si="180"/>
        <v>0</v>
      </c>
      <c r="F743" s="246">
        <f>IF(General!$F$39="Forecast",Movements!F776,Movements!F809)</f>
        <v>0</v>
      </c>
      <c r="G743" s="198">
        <f>IF(General!$F$38&lt;&gt;0,General!$F$38,IF(General!$F$39="Forecast",Movements!G776,IF(G809=0,G776,Movements!G809)))</f>
        <v>0</v>
      </c>
      <c r="H743" s="143"/>
      <c r="I743" s="206">
        <f t="shared" si="181"/>
        <v>0</v>
      </c>
      <c r="J743" s="206">
        <f t="shared" si="182"/>
        <v>0</v>
      </c>
      <c r="K743" s="206">
        <f t="shared" si="183"/>
        <v>0</v>
      </c>
      <c r="L743" s="178"/>
      <c r="M743" s="198">
        <f>IF(General!$F$39="Forecast",Movements!M776,IF(M809=0,M776,Movements!M809))</f>
        <v>0</v>
      </c>
      <c r="N743" s="252">
        <f>IF(General!$F$39="Forecast",Movements!N776,Movements!N809)</f>
        <v>0</v>
      </c>
      <c r="O743" s="198">
        <f>IF(General!$F$39="Forecast",Movements!O776,IF(O809=0,O776,Movements!O809))</f>
        <v>0</v>
      </c>
      <c r="P743" s="198">
        <f>IF(General!$F$39="Forecast",Movements!P776,IF(P809=0,P776,Movements!P809))</f>
        <v>0</v>
      </c>
      <c r="Q743" s="198">
        <f>IF(General!$F$39="Forecast",Movements!Q776,IF(Q809=0,Q776,Movements!Q809))</f>
        <v>0</v>
      </c>
      <c r="R743" s="142"/>
      <c r="S743" s="198">
        <f>IF(General!$F$40&lt;&gt;0,General!$F$40,IF(General!$F$39="Forecast",Movements!S776,IF(S809=0,S776,Movements!S809)))</f>
        <v>0</v>
      </c>
      <c r="T743" s="198">
        <f>IF(General!$F$42&lt;&gt;0,General!$F$42,IF(General!$F$39="Forecast",Movements!T776,IF(T809=0,T776,Movements!T809)))</f>
        <v>0</v>
      </c>
      <c r="U743" s="198">
        <f>IF(General!$F$41&lt;&gt;0,General!$F$41,IF(General!$F$39="Forecast",Movements!U776,IF(U809=0,U776,Movements!U809)))</f>
        <v>0</v>
      </c>
      <c r="V743" s="138"/>
      <c r="W743" s="138"/>
      <c r="X743" s="138"/>
      <c r="Y743" s="138"/>
      <c r="Z743" s="138"/>
      <c r="AA743" s="138"/>
      <c r="AB743" s="138"/>
      <c r="AC743" s="70"/>
      <c r="AD743" s="19"/>
      <c r="AE743" s="19"/>
      <c r="AF743" s="19"/>
      <c r="AG743" s="19"/>
    </row>
    <row r="744" spans="1:33" hidden="1" outlineLevel="3" x14ac:dyDescent="0.2">
      <c r="A744" s="19"/>
      <c r="B744" s="97"/>
      <c r="C744" s="506">
        <f t="shared" si="180"/>
        <v>0</v>
      </c>
      <c r="D744" s="505">
        <f t="shared" si="180"/>
        <v>0</v>
      </c>
      <c r="E744" s="505">
        <f t="shared" si="180"/>
        <v>0</v>
      </c>
      <c r="F744" s="246">
        <f>IF(General!$F$39="Forecast",Movements!F777,Movements!F810)</f>
        <v>0</v>
      </c>
      <c r="G744" s="198">
        <f>IF(General!$F$38&lt;&gt;0,General!$F$38,IF(General!$F$39="Forecast",Movements!G777,IF(G810=0,G777,Movements!G810)))</f>
        <v>0</v>
      </c>
      <c r="H744" s="143"/>
      <c r="I744" s="206">
        <f t="shared" si="181"/>
        <v>0</v>
      </c>
      <c r="J744" s="206">
        <f t="shared" si="182"/>
        <v>0</v>
      </c>
      <c r="K744" s="206">
        <f t="shared" si="183"/>
        <v>0</v>
      </c>
      <c r="L744" s="178"/>
      <c r="M744" s="198">
        <f>IF(General!$F$39="Forecast",Movements!M777,IF(M810=0,M777,Movements!M810))</f>
        <v>0</v>
      </c>
      <c r="N744" s="252">
        <f>IF(General!$F$39="Forecast",Movements!N777,Movements!N810)</f>
        <v>0</v>
      </c>
      <c r="O744" s="198">
        <f>IF(General!$F$39="Forecast",Movements!O777,IF(O810=0,O777,Movements!O810))</f>
        <v>0</v>
      </c>
      <c r="P744" s="198">
        <f>IF(General!$F$39="Forecast",Movements!P777,IF(P810=0,P777,Movements!P810))</f>
        <v>0</v>
      </c>
      <c r="Q744" s="198">
        <f>IF(General!$F$39="Forecast",Movements!Q777,IF(Q810=0,Q777,Movements!Q810))</f>
        <v>0</v>
      </c>
      <c r="R744" s="142"/>
      <c r="S744" s="198">
        <f>IF(General!$F$40&lt;&gt;0,General!$F$40,IF(General!$F$39="Forecast",Movements!S777,IF(S810=0,S777,Movements!S810)))</f>
        <v>0</v>
      </c>
      <c r="T744" s="198">
        <f>IF(General!$F$42&lt;&gt;0,General!$F$42,IF(General!$F$39="Forecast",Movements!T777,IF(T810=0,T777,Movements!T810)))</f>
        <v>0</v>
      </c>
      <c r="U744" s="198">
        <f>IF(General!$F$41&lt;&gt;0,General!$F$41,IF(General!$F$39="Forecast",Movements!U777,IF(U810=0,U777,Movements!U810)))</f>
        <v>0</v>
      </c>
      <c r="V744" s="138"/>
      <c r="W744" s="138"/>
      <c r="X744" s="138"/>
      <c r="Y744" s="138"/>
      <c r="Z744" s="138"/>
      <c r="AA744" s="138"/>
      <c r="AB744" s="138"/>
      <c r="AC744" s="70"/>
      <c r="AD744" s="19"/>
      <c r="AE744" s="19"/>
      <c r="AF744" s="19"/>
      <c r="AG744" s="19"/>
    </row>
    <row r="745" spans="1:33" hidden="1" outlineLevel="3" x14ac:dyDescent="0.2">
      <c r="A745" s="19"/>
      <c r="B745" s="97"/>
      <c r="C745" s="506">
        <f t="shared" si="180"/>
        <v>0</v>
      </c>
      <c r="D745" s="505">
        <f t="shared" si="180"/>
        <v>0</v>
      </c>
      <c r="E745" s="505">
        <f t="shared" si="180"/>
        <v>0</v>
      </c>
      <c r="F745" s="246">
        <f>IF(General!$F$39="Forecast",Movements!F778,Movements!F811)</f>
        <v>0</v>
      </c>
      <c r="G745" s="198">
        <f>IF(General!$F$38&lt;&gt;0,General!$F$38,IF(General!$F$39="Forecast",Movements!G778,IF(G811=0,G778,Movements!G811)))</f>
        <v>0</v>
      </c>
      <c r="H745" s="143"/>
      <c r="I745" s="206">
        <f t="shared" si="181"/>
        <v>0</v>
      </c>
      <c r="J745" s="206">
        <f t="shared" si="182"/>
        <v>0</v>
      </c>
      <c r="K745" s="206">
        <f t="shared" si="183"/>
        <v>0</v>
      </c>
      <c r="L745" s="178"/>
      <c r="M745" s="198">
        <f>IF(General!$F$39="Forecast",Movements!M778,IF(M811=0,M778,Movements!M811))</f>
        <v>0</v>
      </c>
      <c r="N745" s="252">
        <f>IF(General!$F$39="Forecast",Movements!N778,Movements!N811)</f>
        <v>0</v>
      </c>
      <c r="O745" s="198">
        <f>IF(General!$F$39="Forecast",Movements!O778,IF(O811=0,O778,Movements!O811))</f>
        <v>0</v>
      </c>
      <c r="P745" s="198">
        <f>IF(General!$F$39="Forecast",Movements!P778,IF(P811=0,P778,Movements!P811))</f>
        <v>0</v>
      </c>
      <c r="Q745" s="198">
        <f>IF(General!$F$39="Forecast",Movements!Q778,IF(Q811=0,Q778,Movements!Q811))</f>
        <v>0</v>
      </c>
      <c r="R745" s="142"/>
      <c r="S745" s="198">
        <f>IF(General!$F$40&lt;&gt;0,General!$F$40,IF(General!$F$39="Forecast",Movements!S778,IF(S811=0,S778,Movements!S811)))</f>
        <v>0</v>
      </c>
      <c r="T745" s="198">
        <f>IF(General!$F$42&lt;&gt;0,General!$F$42,IF(General!$F$39="Forecast",Movements!T778,IF(T811=0,T778,Movements!T811)))</f>
        <v>0</v>
      </c>
      <c r="U745" s="198">
        <f>IF(General!$F$41&lt;&gt;0,General!$F$41,IF(General!$F$39="Forecast",Movements!U778,IF(U811=0,U778,Movements!U811)))</f>
        <v>0</v>
      </c>
      <c r="V745" s="138"/>
      <c r="W745" s="138"/>
      <c r="X745" s="138"/>
      <c r="Y745" s="138"/>
      <c r="Z745" s="138"/>
      <c r="AA745" s="138"/>
      <c r="AB745" s="138"/>
      <c r="AC745" s="70"/>
      <c r="AD745" s="19"/>
      <c r="AE745" s="19"/>
      <c r="AF745" s="19"/>
      <c r="AG745" s="19"/>
    </row>
    <row r="746" spans="1:33" hidden="1" outlineLevel="3" x14ac:dyDescent="0.2">
      <c r="A746" s="19"/>
      <c r="B746" s="97"/>
      <c r="C746" s="506">
        <f t="shared" si="180"/>
        <v>0</v>
      </c>
      <c r="D746" s="505">
        <f t="shared" si="180"/>
        <v>0</v>
      </c>
      <c r="E746" s="505">
        <f t="shared" si="180"/>
        <v>0</v>
      </c>
      <c r="F746" s="246">
        <f>IF(General!$F$39="Forecast",Movements!F779,Movements!F812)</f>
        <v>0</v>
      </c>
      <c r="G746" s="198">
        <f>IF(General!$F$38&lt;&gt;0,General!$F$38,IF(General!$F$39="Forecast",Movements!G779,IF(G812=0,G779,Movements!G812)))</f>
        <v>0</v>
      </c>
      <c r="H746" s="143"/>
      <c r="I746" s="206">
        <f t="shared" si="181"/>
        <v>0</v>
      </c>
      <c r="J746" s="206">
        <f t="shared" si="182"/>
        <v>0</v>
      </c>
      <c r="K746" s="206">
        <f t="shared" si="183"/>
        <v>0</v>
      </c>
      <c r="L746" s="178"/>
      <c r="M746" s="198">
        <f>IF(General!$F$39="Forecast",Movements!M779,IF(M812=0,M779,Movements!M812))</f>
        <v>0</v>
      </c>
      <c r="N746" s="252">
        <f>IF(General!$F$39="Forecast",Movements!N779,Movements!N812)</f>
        <v>0</v>
      </c>
      <c r="O746" s="198">
        <f>IF(General!$F$39="Forecast",Movements!O779,IF(O812=0,O779,Movements!O812))</f>
        <v>0</v>
      </c>
      <c r="P746" s="198">
        <f>IF(General!$F$39="Forecast",Movements!P779,IF(P812=0,P779,Movements!P812))</f>
        <v>0</v>
      </c>
      <c r="Q746" s="198">
        <f>IF(General!$F$39="Forecast",Movements!Q779,IF(Q812=0,Q779,Movements!Q812))</f>
        <v>0</v>
      </c>
      <c r="R746" s="142"/>
      <c r="S746" s="198">
        <f>IF(General!$F$40&lt;&gt;0,General!$F$40,IF(General!$F$39="Forecast",Movements!S779,IF(S812=0,S779,Movements!S812)))</f>
        <v>0</v>
      </c>
      <c r="T746" s="198">
        <f>IF(General!$F$42&lt;&gt;0,General!$F$42,IF(General!$F$39="Forecast",Movements!T779,IF(T812=0,T779,Movements!T812)))</f>
        <v>0</v>
      </c>
      <c r="U746" s="198">
        <f>IF(General!$F$41&lt;&gt;0,General!$F$41,IF(General!$F$39="Forecast",Movements!U779,IF(U812=0,U779,Movements!U812)))</f>
        <v>0</v>
      </c>
      <c r="V746" s="138"/>
      <c r="W746" s="138"/>
      <c r="X746" s="138"/>
      <c r="Y746" s="138"/>
      <c r="Z746" s="138"/>
      <c r="AA746" s="138"/>
      <c r="AB746" s="138"/>
      <c r="AC746" s="70"/>
      <c r="AD746" s="19"/>
      <c r="AE746" s="19"/>
      <c r="AF746" s="19"/>
      <c r="AG746" s="19"/>
    </row>
    <row r="747" spans="1:33" hidden="1" outlineLevel="3" x14ac:dyDescent="0.2">
      <c r="A747" s="19"/>
      <c r="B747" s="97"/>
      <c r="C747" s="506">
        <f t="shared" si="180"/>
        <v>0</v>
      </c>
      <c r="D747" s="505">
        <f t="shared" si="180"/>
        <v>0</v>
      </c>
      <c r="E747" s="505">
        <f t="shared" si="180"/>
        <v>0</v>
      </c>
      <c r="F747" s="246">
        <f>IF(General!$F$39="Forecast",Movements!F780,Movements!F813)</f>
        <v>0</v>
      </c>
      <c r="G747" s="198">
        <f>IF(General!$F$38&lt;&gt;0,General!$F$38,IF(General!$F$39="Forecast",Movements!G780,IF(G813=0,G780,Movements!G813)))</f>
        <v>0</v>
      </c>
      <c r="H747" s="143"/>
      <c r="I747" s="206">
        <f t="shared" si="181"/>
        <v>0</v>
      </c>
      <c r="J747" s="206">
        <f t="shared" si="182"/>
        <v>0</v>
      </c>
      <c r="K747" s="206">
        <f t="shared" si="183"/>
        <v>0</v>
      </c>
      <c r="L747" s="178"/>
      <c r="M747" s="198">
        <f>IF(General!$F$39="Forecast",Movements!M780,IF(M813=0,M780,Movements!M813))</f>
        <v>0</v>
      </c>
      <c r="N747" s="252">
        <f>IF(General!$F$39="Forecast",Movements!N780,Movements!N813)</f>
        <v>0</v>
      </c>
      <c r="O747" s="198">
        <f>IF(General!$F$39="Forecast",Movements!O780,IF(O813=0,O780,Movements!O813))</f>
        <v>0</v>
      </c>
      <c r="P747" s="198">
        <f>IF(General!$F$39="Forecast",Movements!P780,IF(P813=0,P780,Movements!P813))</f>
        <v>0</v>
      </c>
      <c r="Q747" s="198">
        <f>IF(General!$F$39="Forecast",Movements!Q780,IF(Q813=0,Q780,Movements!Q813))</f>
        <v>0</v>
      </c>
      <c r="R747" s="142"/>
      <c r="S747" s="198">
        <f>IF(General!$F$40&lt;&gt;0,General!$F$40,IF(General!$F$39="Forecast",Movements!S780,IF(S813=0,S780,Movements!S813)))</f>
        <v>0</v>
      </c>
      <c r="T747" s="198">
        <f>IF(General!$F$42&lt;&gt;0,General!$F$42,IF(General!$F$39="Forecast",Movements!T780,IF(T813=0,T780,Movements!T813)))</f>
        <v>0</v>
      </c>
      <c r="U747" s="198">
        <f>IF(General!$F$41&lt;&gt;0,General!$F$41,IF(General!$F$39="Forecast",Movements!U780,IF(U813=0,U780,Movements!U813)))</f>
        <v>0</v>
      </c>
      <c r="V747" s="138"/>
      <c r="W747" s="138"/>
      <c r="X747" s="138"/>
      <c r="Y747" s="138"/>
      <c r="Z747" s="138"/>
      <c r="AA747" s="138"/>
      <c r="AB747" s="138"/>
      <c r="AC747" s="70"/>
      <c r="AD747" s="19"/>
      <c r="AE747" s="19"/>
      <c r="AF747" s="19"/>
      <c r="AG747" s="19"/>
    </row>
    <row r="748" spans="1:33" hidden="1" outlineLevel="3" x14ac:dyDescent="0.2">
      <c r="A748" s="19"/>
      <c r="B748" s="98"/>
      <c r="C748" s="506">
        <f t="shared" si="180"/>
        <v>0</v>
      </c>
      <c r="D748" s="505">
        <f t="shared" si="180"/>
        <v>0</v>
      </c>
      <c r="E748" s="505">
        <f t="shared" si="180"/>
        <v>0</v>
      </c>
      <c r="F748" s="246">
        <f>IF(General!$F$39="Forecast",Movements!F781,Movements!F814)</f>
        <v>0</v>
      </c>
      <c r="G748" s="198">
        <f>IF(General!$F$38&lt;&gt;0,General!$F$38,IF(General!$F$39="Forecast",Movements!G781,IF(G814=0,G781,Movements!G814)))</f>
        <v>0</v>
      </c>
      <c r="H748" s="143"/>
      <c r="I748" s="206">
        <f t="shared" si="181"/>
        <v>0</v>
      </c>
      <c r="J748" s="206">
        <f t="shared" si="182"/>
        <v>0</v>
      </c>
      <c r="K748" s="206">
        <f t="shared" si="183"/>
        <v>0</v>
      </c>
      <c r="L748" s="178"/>
      <c r="M748" s="198">
        <f>IF(General!$F$39="Forecast",Movements!M781,IF(M814=0,M781,Movements!M814))</f>
        <v>0</v>
      </c>
      <c r="N748" s="252">
        <f>IF(General!$F$39="Forecast",Movements!N781,Movements!N814)</f>
        <v>0</v>
      </c>
      <c r="O748" s="198">
        <f>IF(General!$F$39="Forecast",Movements!O781,IF(O814=0,O781,Movements!O814))</f>
        <v>0</v>
      </c>
      <c r="P748" s="198">
        <f>IF(General!$F$39="Forecast",Movements!P781,IF(P814=0,P781,Movements!P814))</f>
        <v>0</v>
      </c>
      <c r="Q748" s="198">
        <f>IF(General!$F$39="Forecast",Movements!Q781,IF(Q814=0,Q781,Movements!Q814))</f>
        <v>0</v>
      </c>
      <c r="R748" s="142"/>
      <c r="S748" s="198">
        <f>IF(General!$F$40&lt;&gt;0,General!$F$40,IF(General!$F$39="Forecast",Movements!S781,IF(S814=0,S781,Movements!S814)))</f>
        <v>0</v>
      </c>
      <c r="T748" s="198">
        <f>IF(General!$F$42&lt;&gt;0,General!$F$42,IF(General!$F$39="Forecast",Movements!T781,IF(T814=0,T781,Movements!T814)))</f>
        <v>0</v>
      </c>
      <c r="U748" s="198">
        <f>IF(General!$F$41&lt;&gt;0,General!$F$41,IF(General!$F$39="Forecast",Movements!U781,IF(U814=0,U781,Movements!U814)))</f>
        <v>0</v>
      </c>
      <c r="V748" s="138"/>
      <c r="W748" s="138"/>
      <c r="X748" s="138"/>
      <c r="Y748" s="138"/>
      <c r="Z748" s="138"/>
      <c r="AA748" s="138"/>
      <c r="AB748" s="138"/>
      <c r="AC748" s="70"/>
      <c r="AD748" s="19"/>
      <c r="AE748" s="19"/>
      <c r="AF748" s="19"/>
      <c r="AG748" s="19"/>
    </row>
    <row r="749" spans="1:33" outlineLevel="2" collapsed="1" x14ac:dyDescent="0.2">
      <c r="A749" s="19"/>
      <c r="B749" s="19"/>
      <c r="C749" s="560"/>
      <c r="D749" s="558"/>
      <c r="E749" s="559"/>
      <c r="F749" s="246"/>
      <c r="G749" s="177"/>
      <c r="H749" s="72"/>
      <c r="I749" s="179"/>
      <c r="J749" s="179"/>
      <c r="K749" s="179"/>
      <c r="L749" s="179"/>
      <c r="M749" s="178"/>
      <c r="N749" s="70"/>
      <c r="O749" s="70"/>
      <c r="P749" s="70"/>
      <c r="Q749" s="70"/>
      <c r="R749" s="71"/>
      <c r="S749" s="220"/>
      <c r="T749" s="220"/>
      <c r="U749" s="220"/>
      <c r="V749" s="70"/>
      <c r="W749" s="70"/>
      <c r="X749" s="70"/>
      <c r="Y749" s="70"/>
      <c r="Z749" s="70"/>
      <c r="AA749" s="70"/>
      <c r="AB749" s="70"/>
      <c r="AC749" s="70"/>
      <c r="AD749" s="19"/>
      <c r="AE749" s="19"/>
      <c r="AF749" s="19"/>
      <c r="AG749" s="19"/>
    </row>
    <row r="750" spans="1:33" outlineLevel="1" x14ac:dyDescent="0.2">
      <c r="A750" s="19"/>
      <c r="B750" s="19"/>
      <c r="C750" s="217"/>
      <c r="D750" s="217"/>
      <c r="E750" s="536"/>
      <c r="F750" s="246"/>
      <c r="G750" s="177"/>
      <c r="H750" s="72"/>
      <c r="I750" s="179"/>
      <c r="J750" s="179"/>
      <c r="K750" s="179"/>
      <c r="L750" s="179"/>
      <c r="M750" s="178"/>
      <c r="N750" s="70"/>
      <c r="O750" s="70"/>
      <c r="P750" s="70"/>
      <c r="Q750" s="70"/>
      <c r="R750" s="71"/>
      <c r="S750" s="220"/>
      <c r="T750" s="220"/>
      <c r="U750" s="220"/>
      <c r="V750" s="70"/>
      <c r="W750" s="70"/>
      <c r="X750" s="70"/>
      <c r="Y750" s="70"/>
      <c r="Z750" s="70"/>
      <c r="AA750" s="70"/>
      <c r="AB750" s="70"/>
      <c r="AC750" s="70"/>
      <c r="AD750" s="19"/>
      <c r="AE750" s="19"/>
      <c r="AF750" s="19"/>
      <c r="AG750" s="19"/>
    </row>
    <row r="751" spans="1:33" outlineLevel="1" x14ac:dyDescent="0.2">
      <c r="A751" s="19"/>
      <c r="B751" s="19"/>
      <c r="C751" s="167" t="str">
        <f>C649</f>
        <v>Forecast 2022–23</v>
      </c>
      <c r="D751" s="167"/>
      <c r="E751" s="512"/>
      <c r="F751" s="20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19"/>
      <c r="AD751" s="19"/>
      <c r="AE751" s="19"/>
      <c r="AF751" s="19"/>
      <c r="AG751" s="19"/>
    </row>
    <row r="752" spans="1:33" outlineLevel="2" x14ac:dyDescent="0.2">
      <c r="A752" s="19"/>
      <c r="B752" s="97"/>
      <c r="C752" s="506" t="str">
        <f t="shared" ref="C752:E781" si="184">C245</f>
        <v>Small business time of use consumption</v>
      </c>
      <c r="D752" s="505">
        <f t="shared" si="184"/>
        <v>0</v>
      </c>
      <c r="E752" s="505" t="str">
        <f t="shared" si="184"/>
        <v>yes</v>
      </c>
      <c r="F752" s="246">
        <f>IF(E752="yes",1,0)</f>
        <v>1</v>
      </c>
      <c r="G752" s="198">
        <f>IFERROR(INDEX('Total qty'!$O$53:$O$127,MATCH(Movements!C752,'Total qty'!$C$53:$C$127,0))*consprofilemultiplier/IF(General!$F$35="Customers",INDEX(Qty!$I$8:$I$82,MATCH(Movements!C752,Qty!$C$8:$C$82,0)),INDEX(Qty!$K$8:$K$82,MATCH(Movements!C752,Qty!$C$8:$C$82,0))),0)</f>
        <v>57226.168931615342</v>
      </c>
      <c r="H752" s="143"/>
      <c r="I752" s="206">
        <f t="shared" ref="I752:I781" si="185">$G752*S752</f>
        <v>32802.613792550925</v>
      </c>
      <c r="J752" s="206">
        <f t="shared" ref="J752:J781" si="186">$G752*T752</f>
        <v>8231.4722472315643</v>
      </c>
      <c r="K752" s="206">
        <f t="shared" ref="K752:K781" si="187">$G752*U752</f>
        <v>16192.082891832852</v>
      </c>
      <c r="L752" s="178"/>
      <c r="M752" s="198">
        <f>IFERROR(INDEX('Total qty'!$Q$53:$Q$127,MATCH(C752,'Total qty'!$C$53:$C$127,0))*consprofilemultiplier/IF(General!$F$35="Customers",INDEX(Qty!$I$8:$I$82,MATCH(Movements!C752,Qty!$C$8:$C$82,0)),INDEX(Qty!$K$8:$K$82,MATCH(Movements!C752,Qty!$C$8:$C$82,0))),0)</f>
        <v>0</v>
      </c>
      <c r="N752" s="252">
        <f>_xlfn.IFNA(MATCH(C752,Tariffs!$C$46:$C$120,0),0)</f>
        <v>7</v>
      </c>
      <c r="O752" s="206" cm="1">
        <f t="array" ref="O752">IF(N752=0,0,IF(D752="yes",IF(Movements!$G752&gt;INDEX(Tariffs!$T$46:$T$120,$N752),INDEX(Tariffs!$T$46:$T$120,$N752),Movements!$G752),0))</f>
        <v>0</v>
      </c>
      <c r="P752" s="206" cm="1">
        <f t="array" ref="P752">IF(N752=0,0,IF(D752="yes",IF($G752=$O752,0,IF(AND(Movements!$G752&gt;INDEX(Tariffs!$U$46:$U$120,$N752),INDEX(Tariffs!$U$46:$U$120,$N752)&lt;&gt;0),INDEX(Tariffs!$U$46:$U$120,$N752)-INDEX(Tariffs!$T$46:$T$120,$N752),Movements!$G752-Movements!$O752)),0))</f>
        <v>0</v>
      </c>
      <c r="Q752" s="206">
        <f>IF(N752=0,0,IF(D752="yes",IF($G752=$O752+$P752,0,$G752-($O752+$P752)),0))</f>
        <v>0</v>
      </c>
      <c r="R752" s="142"/>
      <c r="S752" s="219">
        <f>IFERROR(INDEX('Total qty'!$L$53:$N$127,MATCH(Movements!$C752,'Total qty'!$C$53:$C$127,0),MATCH(Movements!S$716,'Total qty'!$L$5:$N$5,0))/INDEX('Total qty'!$O$53:$O$127,MATCH(Movements!$C752,'Total qty'!$C$53:$C$127,0)),0)</f>
        <v>0.57321002619884787</v>
      </c>
      <c r="T752" s="219">
        <f>IFERROR(INDEX('Total qty'!$L$53:$N$127,MATCH(Movements!$C752,'Total qty'!$C$53:$C$127,0),MATCH(Movements!T$716,'Total qty'!$L$5:$N$5,0))/INDEX('Total qty'!$O$53:$O$127,MATCH(Movements!$C752,'Total qty'!$C$53:$C$127,0)),0)</f>
        <v>0.14384105036051051</v>
      </c>
      <c r="U752" s="219">
        <f>IFERROR(INDEX('Total qty'!$L$53:$N$127,MATCH(Movements!$C752,'Total qty'!$C$53:$C$127,0),MATCH(Movements!U$716,'Total qty'!$L$5:$N$5,0))/INDEX('Total qty'!$O$53:$O$127,MATCH(Movements!$C752,'Total qty'!$C$53:$C$127,0)),0)</f>
        <v>0.2829489234406416</v>
      </c>
      <c r="V752" s="138"/>
      <c r="W752" s="138"/>
      <c r="X752" s="138"/>
      <c r="Y752" s="138"/>
      <c r="Z752" s="138"/>
      <c r="AA752" s="138"/>
      <c r="AB752" s="138"/>
      <c r="AC752" s="70"/>
      <c r="AD752" s="19"/>
      <c r="AE752" s="19"/>
      <c r="AF752" s="19"/>
      <c r="AG752" s="19"/>
    </row>
    <row r="753" spans="1:33" s="59" customFormat="1" outlineLevel="2" x14ac:dyDescent="0.2">
      <c r="A753" s="57"/>
      <c r="B753" s="98"/>
      <c r="C753" s="506" t="str">
        <f t="shared" si="184"/>
        <v>Small business general light and power</v>
      </c>
      <c r="D753" s="505">
        <f t="shared" si="184"/>
        <v>0</v>
      </c>
      <c r="E753" s="505" t="str">
        <f t="shared" si="184"/>
        <v>no</v>
      </c>
      <c r="F753" s="246">
        <f t="shared" ref="F753:F814" si="188">IF(E753="yes",1,0)</f>
        <v>0</v>
      </c>
      <c r="G753" s="198">
        <f>IFERROR(INDEX('Total qty'!$O$53:$O$127,MATCH(Movements!C753,'Total qty'!$C$53:$C$127,0))*consprofilemultiplier/IF(General!$F$35="Customers",INDEX(Qty!$I$8:$I$82,MATCH(Movements!C753,Qty!$C$8:$C$82,0)),INDEX(Qty!$K$8:$K$82,MATCH(Movements!C753,Qty!$C$8:$C$82,0))),0)</f>
        <v>9053.8986884510286</v>
      </c>
      <c r="H753" s="143"/>
      <c r="I753" s="206">
        <f t="shared" si="185"/>
        <v>0</v>
      </c>
      <c r="J753" s="206">
        <f t="shared" si="186"/>
        <v>0</v>
      </c>
      <c r="K753" s="206">
        <f t="shared" si="187"/>
        <v>0</v>
      </c>
      <c r="L753" s="178"/>
      <c r="M753" s="198">
        <f>IFERROR(INDEX('Total qty'!$Q$53:$Q$127,MATCH(C753,'Total qty'!$C$53:$C$127,0))*consprofilemultiplier/IF(General!$F$35="Customers",INDEX(Qty!$I$8:$I$82,MATCH(Movements!C753,Qty!$C$8:$C$82,0)),INDEX(Qty!$K$8:$K$82,MATCH(Movements!C753,Qty!$C$8:$C$82,0))),0)</f>
        <v>0</v>
      </c>
      <c r="N753" s="252">
        <f>_xlfn.IFNA(MATCH(C753,Tariffs!$C$46:$C$120,0),0)</f>
        <v>8</v>
      </c>
      <c r="O753" s="206" cm="1">
        <f t="array" ref="O753">IF(N753=0,0,IF(D753="yes",IF(Movements!$G753&gt;INDEX(Tariffs!$T$46:$T$120,$N753),INDEX(Tariffs!$T$46:$T$120,$N753),Movements!$G753),0))</f>
        <v>0</v>
      </c>
      <c r="P753" s="206" cm="1">
        <f t="array" ref="P753">IF(N753=0,0,IF(D753="yes",IF($G753=$O753,0,IF(AND(Movements!$G753&gt;INDEX(Tariffs!$U$46:$U$120,$N753),INDEX(Tariffs!$U$46:$U$120,$N753)&lt;&gt;0),INDEX(Tariffs!$U$46:$U$120,$N753)-INDEX(Tariffs!$T$46:$T$120,$N753),Movements!$G753-Movements!$O753)),0))</f>
        <v>0</v>
      </c>
      <c r="Q753" s="206">
        <f t="shared" ref="Q753:Q781" si="189">IF(N753=0,0,IF(D753="yes",IF($G753=$O753+$P753,0,$G753-($O753+$P753)),0))</f>
        <v>0</v>
      </c>
      <c r="R753" s="142"/>
      <c r="S753" s="219">
        <f>IFERROR(INDEX('Total qty'!$L$53:$N$127,MATCH(Movements!$C753,'Total qty'!$C$53:$C$127,0),MATCH(Movements!S$716,'Total qty'!$L$5:$N$5,0))/INDEX('Total qty'!$O$53:$O$127,MATCH(Movements!$C753,'Total qty'!$C$53:$C$127,0)),0)</f>
        <v>0</v>
      </c>
      <c r="T753" s="219">
        <f>IFERROR(INDEX('Total qty'!$L$53:$N$127,MATCH(Movements!$C753,'Total qty'!$C$53:$C$127,0),MATCH(Movements!T$716,'Total qty'!$L$5:$N$5,0))/INDEX('Total qty'!$O$53:$O$127,MATCH(Movements!$C753,'Total qty'!$C$53:$C$127,0)),0)</f>
        <v>0</v>
      </c>
      <c r="U753" s="219">
        <f>IFERROR(INDEX('Total qty'!$L$53:$N$127,MATCH(Movements!$C753,'Total qty'!$C$53:$C$127,0),MATCH(Movements!U$716,'Total qty'!$L$5:$N$5,0))/INDEX('Total qty'!$O$53:$O$127,MATCH(Movements!$C753,'Total qty'!$C$53:$C$127,0)),0)</f>
        <v>0</v>
      </c>
      <c r="V753" s="138"/>
      <c r="W753" s="138"/>
      <c r="X753" s="138"/>
      <c r="Y753" s="138"/>
      <c r="Z753" s="138"/>
      <c r="AA753" s="138"/>
      <c r="AB753" s="138"/>
      <c r="AC753" s="70"/>
      <c r="AD753" s="57"/>
      <c r="AE753" s="57"/>
      <c r="AF753" s="57"/>
      <c r="AG753" s="57"/>
    </row>
    <row r="754" spans="1:33" outlineLevel="2" x14ac:dyDescent="0.2">
      <c r="A754" s="19"/>
      <c r="B754" s="97"/>
      <c r="C754" s="506">
        <f t="shared" si="184"/>
        <v>0</v>
      </c>
      <c r="D754" s="505">
        <f t="shared" si="184"/>
        <v>0</v>
      </c>
      <c r="E754" s="505">
        <f t="shared" si="184"/>
        <v>0</v>
      </c>
      <c r="F754" s="246">
        <f t="shared" si="188"/>
        <v>0</v>
      </c>
      <c r="G754" s="198">
        <f>IFERROR(INDEX('Total qty'!$O$53:$O$127,MATCH(Movements!C754,'Total qty'!$C$53:$C$127,0))*consprofilemultiplier/IF(General!$F$35="Customers",INDEX(Qty!$I$8:$I$82,MATCH(Movements!C754,Qty!$C$8:$C$82,0)),INDEX(Qty!$K$8:$K$82,MATCH(Movements!C754,Qty!$C$8:$C$82,0))),0)</f>
        <v>0</v>
      </c>
      <c r="H754" s="143"/>
      <c r="I754" s="206">
        <f t="shared" si="185"/>
        <v>0</v>
      </c>
      <c r="J754" s="206">
        <f t="shared" si="186"/>
        <v>0</v>
      </c>
      <c r="K754" s="206">
        <f t="shared" si="187"/>
        <v>0</v>
      </c>
      <c r="L754" s="178"/>
      <c r="M754" s="198">
        <f>IFERROR(INDEX('Total qty'!$Q$53:$Q$127,MATCH(C754,'Total qty'!$C$53:$C$127,0))*consprofilemultiplier/IF(General!$F$35="Customers",INDEX(Qty!$I$8:$I$82,MATCH(Movements!C754,Qty!$C$8:$C$82,0)),INDEX(Qty!$K$8:$K$82,MATCH(Movements!C754,Qty!$C$8:$C$82,0))),0)</f>
        <v>0</v>
      </c>
      <c r="N754" s="252">
        <f>_xlfn.IFNA(MATCH(C754,Tariffs!$C$46:$C$120,0),0)</f>
        <v>0</v>
      </c>
      <c r="O754" s="206" cm="1">
        <f t="array" ref="O754">IF(N754=0,0,IF(D754="yes",IF(Movements!$G754&gt;INDEX(Tariffs!$T$46:$T$120,$N754),INDEX(Tariffs!$T$46:$T$120,$N754),Movements!$G754),0))</f>
        <v>0</v>
      </c>
      <c r="P754" s="206" cm="1">
        <f t="array" ref="P754">IF(N754=0,0,IF(D754="yes",IF($G754=$O754,0,IF(AND(Movements!$G754&gt;INDEX(Tariffs!$U$46:$U$120,$N754),INDEX(Tariffs!$U$46:$U$120,$N754)&lt;&gt;0),INDEX(Tariffs!$U$46:$U$120,$N754)-INDEX(Tariffs!$T$46:$T$120,$N754),Movements!$G754-Movements!$O754)),0))</f>
        <v>0</v>
      </c>
      <c r="Q754" s="206">
        <f t="shared" si="189"/>
        <v>0</v>
      </c>
      <c r="R754" s="142"/>
      <c r="S754" s="219">
        <f>IFERROR(INDEX('Total qty'!$L$53:$N$127,MATCH(Movements!$C754,'Total qty'!$C$53:$C$127,0),MATCH(Movements!S$716,'Total qty'!$L$5:$N$5,0))/INDEX('Total qty'!$O$53:$O$127,MATCH(Movements!$C754,'Total qty'!$C$53:$C$127,0)),0)</f>
        <v>0</v>
      </c>
      <c r="T754" s="219">
        <f>IFERROR(INDEX('Total qty'!$L$53:$N$127,MATCH(Movements!$C754,'Total qty'!$C$53:$C$127,0),MATCH(Movements!T$716,'Total qty'!$L$5:$N$5,0))/INDEX('Total qty'!$O$53:$O$127,MATCH(Movements!$C754,'Total qty'!$C$53:$C$127,0)),0)</f>
        <v>0</v>
      </c>
      <c r="U754" s="219">
        <f>IFERROR(INDEX('Total qty'!$L$53:$N$127,MATCH(Movements!$C754,'Total qty'!$C$53:$C$127,0),MATCH(Movements!U$716,'Total qty'!$L$5:$N$5,0))/INDEX('Total qty'!$O$53:$O$127,MATCH(Movements!$C754,'Total qty'!$C$53:$C$127,0)),0)</f>
        <v>0</v>
      </c>
      <c r="V754" s="138"/>
      <c r="W754" s="138"/>
      <c r="X754" s="138"/>
      <c r="Y754" s="138"/>
      <c r="Z754" s="138"/>
      <c r="AA754" s="138"/>
      <c r="AB754" s="138"/>
      <c r="AC754" s="70"/>
      <c r="AD754" s="19"/>
      <c r="AE754" s="19"/>
      <c r="AF754" s="19"/>
      <c r="AG754" s="19"/>
    </row>
    <row r="755" spans="1:33" hidden="1" outlineLevel="3" x14ac:dyDescent="0.2">
      <c r="A755" s="19"/>
      <c r="B755" s="97"/>
      <c r="C755" s="506">
        <f t="shared" si="184"/>
        <v>0</v>
      </c>
      <c r="D755" s="505">
        <f t="shared" si="184"/>
        <v>0</v>
      </c>
      <c r="E755" s="505">
        <f t="shared" si="184"/>
        <v>0</v>
      </c>
      <c r="F755" s="246">
        <f t="shared" si="188"/>
        <v>0</v>
      </c>
      <c r="G755" s="198">
        <f>IFERROR(INDEX('Total qty'!$O$53:$O$127,MATCH(Movements!C755,'Total qty'!$C$53:$C$127,0))*consprofilemultiplier/IF(General!$F$35="Customers",INDEX(Qty!$I$8:$I$82,MATCH(Movements!C755,Qty!$C$8:$C$82,0)),INDEX(Qty!$K$8:$K$82,MATCH(Movements!C755,Qty!$C$8:$C$82,0))),0)</f>
        <v>0</v>
      </c>
      <c r="H755" s="143"/>
      <c r="I755" s="206">
        <f t="shared" si="185"/>
        <v>0</v>
      </c>
      <c r="J755" s="206">
        <f t="shared" si="186"/>
        <v>0</v>
      </c>
      <c r="K755" s="206">
        <f t="shared" si="187"/>
        <v>0</v>
      </c>
      <c r="L755" s="178"/>
      <c r="M755" s="198">
        <f>IFERROR(INDEX('Total qty'!$Q$53:$Q$127,MATCH(C755,'Total qty'!$C$53:$C$127,0))*consprofilemultiplier/IF(General!$F$35="Customers",INDEX(Qty!$I$8:$I$82,MATCH(Movements!C755,Qty!$C$8:$C$82,0)),INDEX(Qty!$K$8:$K$82,MATCH(Movements!C755,Qty!$C$8:$C$82,0))),0)</f>
        <v>0</v>
      </c>
      <c r="N755" s="252">
        <f>_xlfn.IFNA(MATCH(C755,Tariffs!$C$46:$C$120,0),0)</f>
        <v>0</v>
      </c>
      <c r="O755" s="206" cm="1">
        <f t="array" ref="O755">IF(N755=0,0,IF(D755="yes",IF(Movements!$G755&gt;INDEX(Tariffs!$T$46:$T$120,$N755),INDEX(Tariffs!$T$46:$T$120,$N755),Movements!$G755),0))</f>
        <v>0</v>
      </c>
      <c r="P755" s="206" cm="1">
        <f t="array" ref="P755">IF(N755=0,0,IF(D755="yes",IF($G755=$O755,0,IF(AND(Movements!$G755&gt;INDEX(Tariffs!$U$46:$U$120,$N755),INDEX(Tariffs!$U$46:$U$120,$N755)&lt;&gt;0),INDEX(Tariffs!$U$46:$U$120,$N755)-INDEX(Tariffs!$T$46:$T$120,$N755),Movements!$G755-Movements!$O755)),0))</f>
        <v>0</v>
      </c>
      <c r="Q755" s="206">
        <f t="shared" si="189"/>
        <v>0</v>
      </c>
      <c r="R755" s="142"/>
      <c r="S755" s="219">
        <f>IFERROR(INDEX('Total qty'!$L$53:$N$127,MATCH(Movements!$C755,'Total qty'!$C$53:$C$127,0),MATCH(Movements!S$716,'Total qty'!$L$5:$N$5,0))/INDEX('Total qty'!$O$53:$O$127,MATCH(Movements!$C755,'Total qty'!$C$53:$C$127,0)),0)</f>
        <v>0</v>
      </c>
      <c r="T755" s="219">
        <f>IFERROR(INDEX('Total qty'!$L$53:$N$127,MATCH(Movements!$C755,'Total qty'!$C$53:$C$127,0),MATCH(Movements!T$716,'Total qty'!$L$5:$N$5,0))/INDEX('Total qty'!$O$53:$O$127,MATCH(Movements!$C755,'Total qty'!$C$53:$C$127,0)),0)</f>
        <v>0</v>
      </c>
      <c r="U755" s="219">
        <f>IFERROR(INDEX('Total qty'!$L$53:$N$127,MATCH(Movements!$C755,'Total qty'!$C$53:$C$127,0),MATCH(Movements!U$716,'Total qty'!$L$5:$N$5,0))/INDEX('Total qty'!$O$53:$O$127,MATCH(Movements!$C755,'Total qty'!$C$53:$C$127,0)),0)</f>
        <v>0</v>
      </c>
      <c r="V755" s="138"/>
      <c r="W755" s="138"/>
      <c r="X755" s="138"/>
      <c r="Y755" s="138"/>
      <c r="Z755" s="138"/>
      <c r="AA755" s="138"/>
      <c r="AB755" s="138"/>
      <c r="AC755" s="70"/>
      <c r="AD755" s="19"/>
      <c r="AE755" s="19"/>
      <c r="AF755" s="19"/>
      <c r="AG755" s="19"/>
    </row>
    <row r="756" spans="1:33" hidden="1" outlineLevel="3" x14ac:dyDescent="0.2">
      <c r="A756" s="19"/>
      <c r="B756" s="97"/>
      <c r="C756" s="506">
        <f t="shared" si="184"/>
        <v>0</v>
      </c>
      <c r="D756" s="505">
        <f t="shared" si="184"/>
        <v>0</v>
      </c>
      <c r="E756" s="505">
        <f t="shared" si="184"/>
        <v>0</v>
      </c>
      <c r="F756" s="246">
        <f t="shared" si="188"/>
        <v>0</v>
      </c>
      <c r="G756" s="198">
        <f>IFERROR(INDEX('Total qty'!$O$53:$O$127,MATCH(Movements!C756,'Total qty'!$C$53:$C$127,0))*consprofilemultiplier/IF(General!$F$35="Customers",INDEX(Qty!$I$8:$I$82,MATCH(Movements!C756,Qty!$C$8:$C$82,0)),INDEX(Qty!$K$8:$K$82,MATCH(Movements!C756,Qty!$C$8:$C$82,0))),0)</f>
        <v>0</v>
      </c>
      <c r="H756" s="143"/>
      <c r="I756" s="206">
        <f t="shared" si="185"/>
        <v>0</v>
      </c>
      <c r="J756" s="206">
        <f t="shared" si="186"/>
        <v>0</v>
      </c>
      <c r="K756" s="206">
        <f t="shared" si="187"/>
        <v>0</v>
      </c>
      <c r="L756" s="178"/>
      <c r="M756" s="198">
        <f>IFERROR(INDEX('Total qty'!$Q$53:$Q$127,MATCH(C756,'Total qty'!$C$53:$C$127,0))*consprofilemultiplier/IF(General!$F$35="Customers",INDEX(Qty!$I$8:$I$82,MATCH(Movements!C756,Qty!$C$8:$C$82,0)),INDEX(Qty!$K$8:$K$82,MATCH(Movements!C756,Qty!$C$8:$C$82,0))),0)</f>
        <v>0</v>
      </c>
      <c r="N756" s="252">
        <f>_xlfn.IFNA(MATCH(C756,Tariffs!$C$46:$C$120,0),0)</f>
        <v>0</v>
      </c>
      <c r="O756" s="206" cm="1">
        <f t="array" ref="O756">IF(N756=0,0,IF(D756="yes",IF(Movements!$G756&gt;INDEX(Tariffs!$T$46:$T$120,$N756),INDEX(Tariffs!$T$46:$T$120,$N756),Movements!$G756),0))</f>
        <v>0</v>
      </c>
      <c r="P756" s="206" cm="1">
        <f t="array" ref="P756">IF(N756=0,0,IF(D756="yes",IF($G756=$O756,0,IF(AND(Movements!$G756&gt;INDEX(Tariffs!$U$46:$U$120,$N756),INDEX(Tariffs!$U$46:$U$120,$N756)&lt;&gt;0),INDEX(Tariffs!$U$46:$U$120,$N756)-INDEX(Tariffs!$T$46:$T$120,$N756),Movements!$G756-Movements!$O756)),0))</f>
        <v>0</v>
      </c>
      <c r="Q756" s="206">
        <f t="shared" si="189"/>
        <v>0</v>
      </c>
      <c r="R756" s="142"/>
      <c r="S756" s="219">
        <f>IFERROR(INDEX('Total qty'!$L$53:$N$127,MATCH(Movements!$C756,'Total qty'!$C$53:$C$127,0),MATCH(Movements!S$716,'Total qty'!$L$5:$N$5,0))/INDEX('Total qty'!$O$53:$O$127,MATCH(Movements!$C756,'Total qty'!$C$53:$C$127,0)),0)</f>
        <v>0</v>
      </c>
      <c r="T756" s="219">
        <f>IFERROR(INDEX('Total qty'!$L$53:$N$127,MATCH(Movements!$C756,'Total qty'!$C$53:$C$127,0),MATCH(Movements!T$716,'Total qty'!$L$5:$N$5,0))/INDEX('Total qty'!$O$53:$O$127,MATCH(Movements!$C756,'Total qty'!$C$53:$C$127,0)),0)</f>
        <v>0</v>
      </c>
      <c r="U756" s="219">
        <f>IFERROR(INDEX('Total qty'!$L$53:$N$127,MATCH(Movements!$C756,'Total qty'!$C$53:$C$127,0),MATCH(Movements!U$716,'Total qty'!$L$5:$N$5,0))/INDEX('Total qty'!$O$53:$O$127,MATCH(Movements!$C756,'Total qty'!$C$53:$C$127,0)),0)</f>
        <v>0</v>
      </c>
      <c r="V756" s="138"/>
      <c r="W756" s="138"/>
      <c r="X756" s="138"/>
      <c r="Y756" s="138"/>
      <c r="Z756" s="138"/>
      <c r="AA756" s="138"/>
      <c r="AB756" s="138"/>
      <c r="AC756" s="70"/>
      <c r="AD756" s="19"/>
      <c r="AE756" s="19"/>
      <c r="AF756" s="19"/>
      <c r="AG756" s="19"/>
    </row>
    <row r="757" spans="1:33" hidden="1" outlineLevel="3" x14ac:dyDescent="0.2">
      <c r="A757" s="19"/>
      <c r="B757" s="97"/>
      <c r="C757" s="506">
        <f t="shared" si="184"/>
        <v>0</v>
      </c>
      <c r="D757" s="505">
        <f t="shared" si="184"/>
        <v>0</v>
      </c>
      <c r="E757" s="505">
        <f t="shared" si="184"/>
        <v>0</v>
      </c>
      <c r="F757" s="246">
        <f t="shared" si="188"/>
        <v>0</v>
      </c>
      <c r="G757" s="198">
        <f>IFERROR(INDEX('Total qty'!$O$53:$O$127,MATCH(Movements!C757,'Total qty'!$C$53:$C$127,0))*consprofilemultiplier/IF(General!$F$35="Customers",INDEX(Qty!$I$8:$I$82,MATCH(Movements!C757,Qty!$C$8:$C$82,0)),INDEX(Qty!$K$8:$K$82,MATCH(Movements!C757,Qty!$C$8:$C$82,0))),0)</f>
        <v>0</v>
      </c>
      <c r="H757" s="143"/>
      <c r="I757" s="206">
        <f t="shared" si="185"/>
        <v>0</v>
      </c>
      <c r="J757" s="206">
        <f t="shared" si="186"/>
        <v>0</v>
      </c>
      <c r="K757" s="206">
        <f t="shared" si="187"/>
        <v>0</v>
      </c>
      <c r="L757" s="178"/>
      <c r="M757" s="198">
        <f>IFERROR(INDEX('Total qty'!$Q$53:$Q$127,MATCH(C757,'Total qty'!$C$53:$C$127,0))*consprofilemultiplier/IF(General!$F$35="Customers",INDEX(Qty!$I$8:$I$82,MATCH(Movements!C757,Qty!$C$8:$C$82,0)),INDEX(Qty!$K$8:$K$82,MATCH(Movements!C757,Qty!$C$8:$C$82,0))),0)</f>
        <v>0</v>
      </c>
      <c r="N757" s="252">
        <f>_xlfn.IFNA(MATCH(C757,Tariffs!$C$46:$C$120,0),0)</f>
        <v>0</v>
      </c>
      <c r="O757" s="206" cm="1">
        <f t="array" ref="O757">IF(N757=0,0,IF(D757="yes",IF(Movements!$G757&gt;INDEX(Tariffs!$T$46:$T$120,$N757),INDEX(Tariffs!$T$46:$T$120,$N757),Movements!$G757),0))</f>
        <v>0</v>
      </c>
      <c r="P757" s="206" cm="1">
        <f t="array" ref="P757">IF(N757=0,0,IF(D757="yes",IF($G757=$O757,0,IF(AND(Movements!$G757&gt;INDEX(Tariffs!$U$46:$U$120,$N757),INDEX(Tariffs!$U$46:$U$120,$N757)&lt;&gt;0),INDEX(Tariffs!$U$46:$U$120,$N757)-INDEX(Tariffs!$T$46:$T$120,$N757),Movements!$G757-Movements!$O757)),0))</f>
        <v>0</v>
      </c>
      <c r="Q757" s="206">
        <f t="shared" si="189"/>
        <v>0</v>
      </c>
      <c r="R757" s="142"/>
      <c r="S757" s="219">
        <f>IFERROR(INDEX('Total qty'!$L$53:$N$127,MATCH(Movements!$C757,'Total qty'!$C$53:$C$127,0),MATCH(Movements!S$716,'Total qty'!$L$5:$N$5,0))/INDEX('Total qty'!$O$53:$O$127,MATCH(Movements!$C757,'Total qty'!$C$53:$C$127,0)),0)</f>
        <v>0</v>
      </c>
      <c r="T757" s="219">
        <f>IFERROR(INDEX('Total qty'!$L$53:$N$127,MATCH(Movements!$C757,'Total qty'!$C$53:$C$127,0),MATCH(Movements!T$716,'Total qty'!$L$5:$N$5,0))/INDEX('Total qty'!$O$53:$O$127,MATCH(Movements!$C757,'Total qty'!$C$53:$C$127,0)),0)</f>
        <v>0</v>
      </c>
      <c r="U757" s="219">
        <f>IFERROR(INDEX('Total qty'!$L$53:$N$127,MATCH(Movements!$C757,'Total qty'!$C$53:$C$127,0),MATCH(Movements!U$716,'Total qty'!$L$5:$N$5,0))/INDEX('Total qty'!$O$53:$O$127,MATCH(Movements!$C757,'Total qty'!$C$53:$C$127,0)),0)</f>
        <v>0</v>
      </c>
      <c r="V757" s="138"/>
      <c r="W757" s="138"/>
      <c r="X757" s="138"/>
      <c r="Y757" s="138"/>
      <c r="Z757" s="138"/>
      <c r="AA757" s="138"/>
      <c r="AB757" s="138"/>
      <c r="AC757" s="70"/>
      <c r="AD757" s="19"/>
      <c r="AE757" s="19"/>
      <c r="AF757" s="19"/>
      <c r="AG757" s="19"/>
    </row>
    <row r="758" spans="1:33" hidden="1" outlineLevel="3" x14ac:dyDescent="0.2">
      <c r="A758" s="19"/>
      <c r="B758" s="97"/>
      <c r="C758" s="506">
        <f t="shared" si="184"/>
        <v>0</v>
      </c>
      <c r="D758" s="505">
        <f t="shared" si="184"/>
        <v>0</v>
      </c>
      <c r="E758" s="505">
        <f t="shared" si="184"/>
        <v>0</v>
      </c>
      <c r="F758" s="246">
        <f t="shared" si="188"/>
        <v>0</v>
      </c>
      <c r="G758" s="198">
        <f>IFERROR(INDEX('Total qty'!$O$53:$O$127,MATCH(Movements!C758,'Total qty'!$C$53:$C$127,0))*consprofilemultiplier/IF(General!$F$35="Customers",INDEX(Qty!$I$8:$I$82,MATCH(Movements!C758,Qty!$C$8:$C$82,0)),INDEX(Qty!$K$8:$K$82,MATCH(Movements!C758,Qty!$C$8:$C$82,0))),0)</f>
        <v>0</v>
      </c>
      <c r="H758" s="143"/>
      <c r="I758" s="206">
        <f t="shared" si="185"/>
        <v>0</v>
      </c>
      <c r="J758" s="206">
        <f t="shared" si="186"/>
        <v>0</v>
      </c>
      <c r="K758" s="206">
        <f t="shared" si="187"/>
        <v>0</v>
      </c>
      <c r="L758" s="178"/>
      <c r="M758" s="198">
        <f>IFERROR(INDEX('Total qty'!$Q$53:$Q$127,MATCH(C758,'Total qty'!$C$53:$C$127,0))*consprofilemultiplier/IF(General!$F$35="Customers",INDEX(Qty!$I$8:$I$82,MATCH(Movements!C758,Qty!$C$8:$C$82,0)),INDEX(Qty!$K$8:$K$82,MATCH(Movements!C758,Qty!$C$8:$C$82,0))),0)</f>
        <v>0</v>
      </c>
      <c r="N758" s="252">
        <f>_xlfn.IFNA(MATCH(C758,Tariffs!$C$46:$C$120,0),0)</f>
        <v>0</v>
      </c>
      <c r="O758" s="206" cm="1">
        <f t="array" ref="O758">IF(N758=0,0,IF(D758="yes",IF(Movements!$G758&gt;INDEX(Tariffs!$T$46:$T$120,$N758),INDEX(Tariffs!$T$46:$T$120,$N758),Movements!$G758),0))</f>
        <v>0</v>
      </c>
      <c r="P758" s="206" cm="1">
        <f t="array" ref="P758">IF(N758=0,0,IF(D758="yes",IF($G758=$O758,0,IF(AND(Movements!$G758&gt;INDEX(Tariffs!$U$46:$U$120,$N758),INDEX(Tariffs!$U$46:$U$120,$N758)&lt;&gt;0),INDEX(Tariffs!$U$46:$U$120,$N758)-INDEX(Tariffs!$T$46:$T$120,$N758),Movements!$G758-Movements!$O758)),0))</f>
        <v>0</v>
      </c>
      <c r="Q758" s="206">
        <f t="shared" si="189"/>
        <v>0</v>
      </c>
      <c r="R758" s="142"/>
      <c r="S758" s="219">
        <f>IFERROR(INDEX('Total qty'!$L$53:$N$127,MATCH(Movements!$C758,'Total qty'!$C$53:$C$127,0),MATCH(Movements!S$716,'Total qty'!$L$5:$N$5,0))/INDEX('Total qty'!$O$53:$O$127,MATCH(Movements!$C758,'Total qty'!$C$53:$C$127,0)),0)</f>
        <v>0</v>
      </c>
      <c r="T758" s="219">
        <f>IFERROR(INDEX('Total qty'!$L$53:$N$127,MATCH(Movements!$C758,'Total qty'!$C$53:$C$127,0),MATCH(Movements!T$716,'Total qty'!$L$5:$N$5,0))/INDEX('Total qty'!$O$53:$O$127,MATCH(Movements!$C758,'Total qty'!$C$53:$C$127,0)),0)</f>
        <v>0</v>
      </c>
      <c r="U758" s="219">
        <f>IFERROR(INDEX('Total qty'!$L$53:$N$127,MATCH(Movements!$C758,'Total qty'!$C$53:$C$127,0),MATCH(Movements!U$716,'Total qty'!$L$5:$N$5,0))/INDEX('Total qty'!$O$53:$O$127,MATCH(Movements!$C758,'Total qty'!$C$53:$C$127,0)),0)</f>
        <v>0</v>
      </c>
      <c r="V758" s="138"/>
      <c r="W758" s="138"/>
      <c r="X758" s="138"/>
      <c r="Y758" s="138"/>
      <c r="Z758" s="138"/>
      <c r="AA758" s="138"/>
      <c r="AB758" s="138"/>
      <c r="AC758" s="70"/>
      <c r="AD758" s="19"/>
      <c r="AE758" s="19"/>
      <c r="AF758" s="19"/>
      <c r="AG758" s="19"/>
    </row>
    <row r="759" spans="1:33" hidden="1" outlineLevel="3" x14ac:dyDescent="0.2">
      <c r="A759" s="19"/>
      <c r="B759" s="97"/>
      <c r="C759" s="506">
        <f t="shared" si="184"/>
        <v>0</v>
      </c>
      <c r="D759" s="505">
        <f t="shared" si="184"/>
        <v>0</v>
      </c>
      <c r="E759" s="505">
        <f t="shared" si="184"/>
        <v>0</v>
      </c>
      <c r="F759" s="246">
        <f t="shared" si="188"/>
        <v>0</v>
      </c>
      <c r="G759" s="198">
        <f>IFERROR(INDEX('Total qty'!$O$53:$O$127,MATCH(Movements!C759,'Total qty'!$C$53:$C$127,0))*consprofilemultiplier/IF(General!$F$35="Customers",INDEX(Qty!$I$8:$I$82,MATCH(Movements!C759,Qty!$C$8:$C$82,0)),INDEX(Qty!$K$8:$K$82,MATCH(Movements!C759,Qty!$C$8:$C$82,0))),0)</f>
        <v>0</v>
      </c>
      <c r="H759" s="143"/>
      <c r="I759" s="206">
        <f t="shared" si="185"/>
        <v>0</v>
      </c>
      <c r="J759" s="206">
        <f t="shared" si="186"/>
        <v>0</v>
      </c>
      <c r="K759" s="206">
        <f t="shared" si="187"/>
        <v>0</v>
      </c>
      <c r="L759" s="178"/>
      <c r="M759" s="198">
        <f>IFERROR(INDEX('Total qty'!$Q$53:$Q$127,MATCH(C759,'Total qty'!$C$53:$C$127,0))*consprofilemultiplier/IF(General!$F$35="Customers",INDEX(Qty!$I$8:$I$82,MATCH(Movements!C759,Qty!$C$8:$C$82,0)),INDEX(Qty!$K$8:$K$82,MATCH(Movements!C759,Qty!$C$8:$C$82,0))),0)</f>
        <v>0</v>
      </c>
      <c r="N759" s="252">
        <f>_xlfn.IFNA(MATCH(C759,Tariffs!$C$46:$C$120,0),0)</f>
        <v>0</v>
      </c>
      <c r="O759" s="206" cm="1">
        <f t="array" ref="O759">IF(N759=0,0,IF(D759="yes",IF(Movements!$G759&gt;INDEX(Tariffs!$T$46:$T$120,$N759),INDEX(Tariffs!$T$46:$T$120,$N759),Movements!$G759),0))</f>
        <v>0</v>
      </c>
      <c r="P759" s="206" cm="1">
        <f t="array" ref="P759">IF(N759=0,0,IF(D759="yes",IF($G759=$O759,0,IF(AND(Movements!$G759&gt;INDEX(Tariffs!$U$46:$U$120,$N759),INDEX(Tariffs!$U$46:$U$120,$N759)&lt;&gt;0),INDEX(Tariffs!$U$46:$U$120,$N759)-INDEX(Tariffs!$T$46:$T$120,$N759),Movements!$G759-Movements!$O759)),0))</f>
        <v>0</v>
      </c>
      <c r="Q759" s="206">
        <f t="shared" si="189"/>
        <v>0</v>
      </c>
      <c r="R759" s="142"/>
      <c r="S759" s="219">
        <f>IFERROR(INDEX('Total qty'!$L$53:$N$127,MATCH(Movements!$C759,'Total qty'!$C$53:$C$127,0),MATCH(Movements!S$716,'Total qty'!$L$5:$N$5,0))/INDEX('Total qty'!$O$53:$O$127,MATCH(Movements!$C759,'Total qty'!$C$53:$C$127,0)),0)</f>
        <v>0</v>
      </c>
      <c r="T759" s="219">
        <f>IFERROR(INDEX('Total qty'!$L$53:$N$127,MATCH(Movements!$C759,'Total qty'!$C$53:$C$127,0),MATCH(Movements!T$716,'Total qty'!$L$5:$N$5,0))/INDEX('Total qty'!$O$53:$O$127,MATCH(Movements!$C759,'Total qty'!$C$53:$C$127,0)),0)</f>
        <v>0</v>
      </c>
      <c r="U759" s="219">
        <f>IFERROR(INDEX('Total qty'!$L$53:$N$127,MATCH(Movements!$C759,'Total qty'!$C$53:$C$127,0),MATCH(Movements!U$716,'Total qty'!$L$5:$N$5,0))/INDEX('Total qty'!$O$53:$O$127,MATCH(Movements!$C759,'Total qty'!$C$53:$C$127,0)),0)</f>
        <v>0</v>
      </c>
      <c r="V759" s="138"/>
      <c r="W759" s="138"/>
      <c r="X759" s="138"/>
      <c r="Y759" s="138"/>
      <c r="Z759" s="138"/>
      <c r="AA759" s="138"/>
      <c r="AB759" s="138"/>
      <c r="AC759" s="70"/>
      <c r="AD759" s="19"/>
      <c r="AE759" s="19"/>
      <c r="AF759" s="19"/>
      <c r="AG759" s="19"/>
    </row>
    <row r="760" spans="1:33" hidden="1" outlineLevel="3" x14ac:dyDescent="0.2">
      <c r="A760" s="19"/>
      <c r="B760" s="98"/>
      <c r="C760" s="506">
        <f t="shared" si="184"/>
        <v>0</v>
      </c>
      <c r="D760" s="505">
        <f t="shared" si="184"/>
        <v>0</v>
      </c>
      <c r="E760" s="505">
        <f t="shared" si="184"/>
        <v>0</v>
      </c>
      <c r="F760" s="246">
        <f t="shared" si="188"/>
        <v>0</v>
      </c>
      <c r="G760" s="198">
        <f>IFERROR(INDEX('Total qty'!$O$53:$O$127,MATCH(Movements!C760,'Total qty'!$C$53:$C$127,0))*consprofilemultiplier/IF(General!$F$35="Customers",INDEX(Qty!$I$8:$I$82,MATCH(Movements!C760,Qty!$C$8:$C$82,0)),INDEX(Qty!$K$8:$K$82,MATCH(Movements!C760,Qty!$C$8:$C$82,0))),0)</f>
        <v>0</v>
      </c>
      <c r="H760" s="143"/>
      <c r="I760" s="206">
        <f t="shared" si="185"/>
        <v>0</v>
      </c>
      <c r="J760" s="206">
        <f t="shared" si="186"/>
        <v>0</v>
      </c>
      <c r="K760" s="206">
        <f t="shared" si="187"/>
        <v>0</v>
      </c>
      <c r="L760" s="178"/>
      <c r="M760" s="198">
        <f>IFERROR(INDEX('Total qty'!$Q$53:$Q$127,MATCH(C760,'Total qty'!$C$53:$C$127,0))*consprofilemultiplier/IF(General!$F$35="Customers",INDEX(Qty!$I$8:$I$82,MATCH(Movements!C760,Qty!$C$8:$C$82,0)),INDEX(Qty!$K$8:$K$82,MATCH(Movements!C760,Qty!$C$8:$C$82,0))),0)</f>
        <v>0</v>
      </c>
      <c r="N760" s="252">
        <f>_xlfn.IFNA(MATCH(C760,Tariffs!$C$46:$C$120,0),0)</f>
        <v>0</v>
      </c>
      <c r="O760" s="206" cm="1">
        <f t="array" ref="O760">IF(N760=0,0,IF(D760="yes",IF(Movements!$G760&gt;INDEX(Tariffs!$T$46:$T$120,$N760),INDEX(Tariffs!$T$46:$T$120,$N760),Movements!$G760),0))</f>
        <v>0</v>
      </c>
      <c r="P760" s="206" cm="1">
        <f t="array" ref="P760">IF(N760=0,0,IF(D760="yes",IF($G760=$O760,0,IF(AND(Movements!$G760&gt;INDEX(Tariffs!$U$46:$U$120,$N760),INDEX(Tariffs!$U$46:$U$120,$N760)&lt;&gt;0),INDEX(Tariffs!$U$46:$U$120,$N760)-INDEX(Tariffs!$T$46:$T$120,$N760),Movements!$G760-Movements!$O760)),0))</f>
        <v>0</v>
      </c>
      <c r="Q760" s="206">
        <f t="shared" si="189"/>
        <v>0</v>
      </c>
      <c r="R760" s="142"/>
      <c r="S760" s="219">
        <f>IFERROR(INDEX('Total qty'!$L$53:$N$127,MATCH(Movements!$C760,'Total qty'!$C$53:$C$127,0),MATCH(Movements!S$716,'Total qty'!$L$5:$N$5,0))/INDEX('Total qty'!$O$53:$O$127,MATCH(Movements!$C760,'Total qty'!$C$53:$C$127,0)),0)</f>
        <v>0</v>
      </c>
      <c r="T760" s="219">
        <f>IFERROR(INDEX('Total qty'!$L$53:$N$127,MATCH(Movements!$C760,'Total qty'!$C$53:$C$127,0),MATCH(Movements!T$716,'Total qty'!$L$5:$N$5,0))/INDEX('Total qty'!$O$53:$O$127,MATCH(Movements!$C760,'Total qty'!$C$53:$C$127,0)),0)</f>
        <v>0</v>
      </c>
      <c r="U760" s="219">
        <f>IFERROR(INDEX('Total qty'!$L$53:$N$127,MATCH(Movements!$C760,'Total qty'!$C$53:$C$127,0),MATCH(Movements!U$716,'Total qty'!$L$5:$N$5,0))/INDEX('Total qty'!$O$53:$O$127,MATCH(Movements!$C760,'Total qty'!$C$53:$C$127,0)),0)</f>
        <v>0</v>
      </c>
      <c r="V760" s="138"/>
      <c r="W760" s="138"/>
      <c r="X760" s="138"/>
      <c r="Y760" s="138"/>
      <c r="Z760" s="138"/>
      <c r="AA760" s="138"/>
      <c r="AB760" s="138"/>
      <c r="AC760" s="70"/>
      <c r="AD760" s="19"/>
      <c r="AE760" s="19"/>
      <c r="AF760" s="19"/>
      <c r="AG760" s="19"/>
    </row>
    <row r="761" spans="1:33" hidden="1" outlineLevel="3" x14ac:dyDescent="0.2">
      <c r="A761" s="19"/>
      <c r="B761" s="97"/>
      <c r="C761" s="506">
        <f t="shared" si="184"/>
        <v>0</v>
      </c>
      <c r="D761" s="505">
        <f t="shared" si="184"/>
        <v>0</v>
      </c>
      <c r="E761" s="505">
        <f t="shared" si="184"/>
        <v>0</v>
      </c>
      <c r="F761" s="246">
        <f t="shared" si="188"/>
        <v>0</v>
      </c>
      <c r="G761" s="198">
        <f>IFERROR(INDEX('Total qty'!$O$53:$O$127,MATCH(Movements!C761,'Total qty'!$C$53:$C$127,0))*consprofilemultiplier/IF(General!$F$35="Customers",INDEX(Qty!$I$8:$I$82,MATCH(Movements!C761,Qty!$C$8:$C$82,0)),INDEX(Qty!$K$8:$K$82,MATCH(Movements!C761,Qty!$C$8:$C$82,0))),0)</f>
        <v>0</v>
      </c>
      <c r="H761" s="143"/>
      <c r="I761" s="206">
        <f t="shared" si="185"/>
        <v>0</v>
      </c>
      <c r="J761" s="206">
        <f t="shared" si="186"/>
        <v>0</v>
      </c>
      <c r="K761" s="206">
        <f t="shared" si="187"/>
        <v>0</v>
      </c>
      <c r="L761" s="178"/>
      <c r="M761" s="198">
        <f>IFERROR(INDEX('Total qty'!$Q$53:$Q$127,MATCH(C761,'Total qty'!$C$53:$C$127,0))*consprofilemultiplier/IF(General!$F$35="Customers",INDEX(Qty!$I$8:$I$82,MATCH(Movements!C761,Qty!$C$8:$C$82,0)),INDEX(Qty!$K$8:$K$82,MATCH(Movements!C761,Qty!$C$8:$C$82,0))),0)</f>
        <v>0</v>
      </c>
      <c r="N761" s="252">
        <f>_xlfn.IFNA(MATCH(C761,Tariffs!$C$46:$C$120,0),0)</f>
        <v>0</v>
      </c>
      <c r="O761" s="206" cm="1">
        <f t="array" ref="O761">IF(N761=0,0,IF(D761="yes",IF(Movements!$G761&gt;INDEX(Tariffs!$T$46:$T$120,$N761),INDEX(Tariffs!$T$46:$T$120,$N761),Movements!$G761),0))</f>
        <v>0</v>
      </c>
      <c r="P761" s="206" cm="1">
        <f t="array" ref="P761">IF(N761=0,0,IF(D761="yes",IF($G761=$O761,0,IF(AND(Movements!$G761&gt;INDEX(Tariffs!$U$46:$U$120,$N761),INDEX(Tariffs!$U$46:$U$120,$N761)&lt;&gt;0),INDEX(Tariffs!$U$46:$U$120,$N761)-INDEX(Tariffs!$T$46:$T$120,$N761),Movements!$G761-Movements!$O761)),0))</f>
        <v>0</v>
      </c>
      <c r="Q761" s="206">
        <f t="shared" si="189"/>
        <v>0</v>
      </c>
      <c r="R761" s="142"/>
      <c r="S761" s="219">
        <f>IFERROR(INDEX('Total qty'!$L$53:$N$127,MATCH(Movements!$C761,'Total qty'!$C$53:$C$127,0),MATCH(Movements!S$716,'Total qty'!$L$5:$N$5,0))/INDEX('Total qty'!$O$53:$O$127,MATCH(Movements!$C761,'Total qty'!$C$53:$C$127,0)),0)</f>
        <v>0</v>
      </c>
      <c r="T761" s="219">
        <f>IFERROR(INDEX('Total qty'!$L$53:$N$127,MATCH(Movements!$C761,'Total qty'!$C$53:$C$127,0),MATCH(Movements!T$716,'Total qty'!$L$5:$N$5,0))/INDEX('Total qty'!$O$53:$O$127,MATCH(Movements!$C761,'Total qty'!$C$53:$C$127,0)),0)</f>
        <v>0</v>
      </c>
      <c r="U761" s="219">
        <f>IFERROR(INDEX('Total qty'!$L$53:$N$127,MATCH(Movements!$C761,'Total qty'!$C$53:$C$127,0),MATCH(Movements!U$716,'Total qty'!$L$5:$N$5,0))/INDEX('Total qty'!$O$53:$O$127,MATCH(Movements!$C761,'Total qty'!$C$53:$C$127,0)),0)</f>
        <v>0</v>
      </c>
      <c r="V761" s="138"/>
      <c r="W761" s="138"/>
      <c r="X761" s="138"/>
      <c r="Y761" s="138"/>
      <c r="Z761" s="138"/>
      <c r="AA761" s="138"/>
      <c r="AB761" s="138"/>
      <c r="AC761" s="70"/>
      <c r="AD761" s="19"/>
      <c r="AE761" s="19"/>
      <c r="AF761" s="19"/>
      <c r="AG761" s="19"/>
    </row>
    <row r="762" spans="1:33" hidden="1" outlineLevel="3" x14ac:dyDescent="0.2">
      <c r="A762" s="19"/>
      <c r="B762" s="97"/>
      <c r="C762" s="506">
        <f t="shared" si="184"/>
        <v>0</v>
      </c>
      <c r="D762" s="505">
        <f t="shared" si="184"/>
        <v>0</v>
      </c>
      <c r="E762" s="505">
        <f t="shared" si="184"/>
        <v>0</v>
      </c>
      <c r="F762" s="246">
        <f t="shared" si="188"/>
        <v>0</v>
      </c>
      <c r="G762" s="198">
        <f>IFERROR(INDEX('Total qty'!$O$53:$O$127,MATCH(Movements!C762,'Total qty'!$C$53:$C$127,0))*consprofilemultiplier/IF(General!$F$35="Customers",INDEX(Qty!$I$8:$I$82,MATCH(Movements!C762,Qty!$C$8:$C$82,0)),INDEX(Qty!$K$8:$K$82,MATCH(Movements!C762,Qty!$C$8:$C$82,0))),0)</f>
        <v>0</v>
      </c>
      <c r="H762" s="143"/>
      <c r="I762" s="206">
        <f t="shared" si="185"/>
        <v>0</v>
      </c>
      <c r="J762" s="206">
        <f t="shared" si="186"/>
        <v>0</v>
      </c>
      <c r="K762" s="206">
        <f t="shared" si="187"/>
        <v>0</v>
      </c>
      <c r="L762" s="178"/>
      <c r="M762" s="198">
        <f>IFERROR(INDEX('Total qty'!$Q$53:$Q$127,MATCH(C762,'Total qty'!$C$53:$C$127,0))*consprofilemultiplier/IF(General!$F$35="Customers",INDEX(Qty!$I$8:$I$82,MATCH(Movements!C762,Qty!$C$8:$C$82,0)),INDEX(Qty!$K$8:$K$82,MATCH(Movements!C762,Qty!$C$8:$C$82,0))),0)</f>
        <v>0</v>
      </c>
      <c r="N762" s="252">
        <f>_xlfn.IFNA(MATCH(C762,Tariffs!$C$46:$C$120,0),0)</f>
        <v>0</v>
      </c>
      <c r="O762" s="206" cm="1">
        <f t="array" ref="O762">IF(N762=0,0,IF(D762="yes",IF(Movements!$G762&gt;INDEX(Tariffs!$T$46:$T$120,$N762),INDEX(Tariffs!$T$46:$T$120,$N762),Movements!$G762),0))</f>
        <v>0</v>
      </c>
      <c r="P762" s="206" cm="1">
        <f t="array" ref="P762">IF(N762=0,0,IF(D762="yes",IF($G762=$O762,0,IF(AND(Movements!$G762&gt;INDEX(Tariffs!$U$46:$U$120,$N762),INDEX(Tariffs!$U$46:$U$120,$N762)&lt;&gt;0),INDEX(Tariffs!$U$46:$U$120,$N762)-INDEX(Tariffs!$T$46:$T$120,$N762),Movements!$G762-Movements!$O762)),0))</f>
        <v>0</v>
      </c>
      <c r="Q762" s="206">
        <f t="shared" si="189"/>
        <v>0</v>
      </c>
      <c r="R762" s="142"/>
      <c r="S762" s="219">
        <f>IFERROR(INDEX('Total qty'!$L$53:$N$127,MATCH(Movements!$C762,'Total qty'!$C$53:$C$127,0),MATCH(Movements!S$716,'Total qty'!$L$5:$N$5,0))/INDEX('Total qty'!$O$53:$O$127,MATCH(Movements!$C762,'Total qty'!$C$53:$C$127,0)),0)</f>
        <v>0</v>
      </c>
      <c r="T762" s="219">
        <f>IFERROR(INDEX('Total qty'!$L$53:$N$127,MATCH(Movements!$C762,'Total qty'!$C$53:$C$127,0),MATCH(Movements!T$716,'Total qty'!$L$5:$N$5,0))/INDEX('Total qty'!$O$53:$O$127,MATCH(Movements!$C762,'Total qty'!$C$53:$C$127,0)),0)</f>
        <v>0</v>
      </c>
      <c r="U762" s="219">
        <f>IFERROR(INDEX('Total qty'!$L$53:$N$127,MATCH(Movements!$C762,'Total qty'!$C$53:$C$127,0),MATCH(Movements!U$716,'Total qty'!$L$5:$N$5,0))/INDEX('Total qty'!$O$53:$O$127,MATCH(Movements!$C762,'Total qty'!$C$53:$C$127,0)),0)</f>
        <v>0</v>
      </c>
      <c r="V762" s="138"/>
      <c r="W762" s="138"/>
      <c r="X762" s="138"/>
      <c r="Y762" s="138"/>
      <c r="Z762" s="138"/>
      <c r="AA762" s="138"/>
      <c r="AB762" s="138"/>
      <c r="AC762" s="70"/>
      <c r="AD762" s="19"/>
      <c r="AE762" s="19"/>
      <c r="AF762" s="19"/>
      <c r="AG762" s="19"/>
    </row>
    <row r="763" spans="1:33" hidden="1" outlineLevel="3" x14ac:dyDescent="0.2">
      <c r="A763" s="19"/>
      <c r="B763" s="97"/>
      <c r="C763" s="506">
        <f t="shared" si="184"/>
        <v>0</v>
      </c>
      <c r="D763" s="505">
        <f t="shared" si="184"/>
        <v>0</v>
      </c>
      <c r="E763" s="505">
        <f t="shared" si="184"/>
        <v>0</v>
      </c>
      <c r="F763" s="246">
        <f t="shared" si="188"/>
        <v>0</v>
      </c>
      <c r="G763" s="198">
        <f>IFERROR(INDEX('Total qty'!$O$53:$O$127,MATCH(Movements!C763,'Total qty'!$C$53:$C$127,0))*consprofilemultiplier/IF(General!$F$35="Customers",INDEX(Qty!$I$8:$I$82,MATCH(Movements!C763,Qty!$C$8:$C$82,0)),INDEX(Qty!$K$8:$K$82,MATCH(Movements!C763,Qty!$C$8:$C$82,0))),0)</f>
        <v>0</v>
      </c>
      <c r="H763" s="143"/>
      <c r="I763" s="206">
        <f t="shared" si="185"/>
        <v>0</v>
      </c>
      <c r="J763" s="206">
        <f t="shared" si="186"/>
        <v>0</v>
      </c>
      <c r="K763" s="206">
        <f t="shared" si="187"/>
        <v>0</v>
      </c>
      <c r="L763" s="178"/>
      <c r="M763" s="198">
        <f>IFERROR(INDEX('Total qty'!$Q$53:$Q$127,MATCH(C763,'Total qty'!$C$53:$C$127,0))*consprofilemultiplier/IF(General!$F$35="Customers",INDEX(Qty!$I$8:$I$82,MATCH(Movements!C763,Qty!$C$8:$C$82,0)),INDEX(Qty!$K$8:$K$82,MATCH(Movements!C763,Qty!$C$8:$C$82,0))),0)</f>
        <v>0</v>
      </c>
      <c r="N763" s="252">
        <f>_xlfn.IFNA(MATCH(C763,Tariffs!$C$46:$C$120,0),0)</f>
        <v>0</v>
      </c>
      <c r="O763" s="206" cm="1">
        <f t="array" ref="O763">IF(N763=0,0,IF(D763="yes",IF(Movements!$G763&gt;INDEX(Tariffs!$T$46:$T$120,$N763),INDEX(Tariffs!$T$46:$T$120,$N763),Movements!$G763),0))</f>
        <v>0</v>
      </c>
      <c r="P763" s="206" cm="1">
        <f t="array" ref="P763">IF(N763=0,0,IF(D763="yes",IF($G763=$O763,0,IF(AND(Movements!$G763&gt;INDEX(Tariffs!$U$46:$U$120,$N763),INDEX(Tariffs!$U$46:$U$120,$N763)&lt;&gt;0),INDEX(Tariffs!$U$46:$U$120,$N763)-INDEX(Tariffs!$T$46:$T$120,$N763),Movements!$G763-Movements!$O763)),0))</f>
        <v>0</v>
      </c>
      <c r="Q763" s="206">
        <f t="shared" si="189"/>
        <v>0</v>
      </c>
      <c r="R763" s="142"/>
      <c r="S763" s="219">
        <f>IFERROR(INDEX('Total qty'!$L$53:$N$127,MATCH(Movements!$C763,'Total qty'!$C$53:$C$127,0),MATCH(Movements!S$716,'Total qty'!$L$5:$N$5,0))/INDEX('Total qty'!$O$53:$O$127,MATCH(Movements!$C763,'Total qty'!$C$53:$C$127,0)),0)</f>
        <v>0</v>
      </c>
      <c r="T763" s="219">
        <f>IFERROR(INDEX('Total qty'!$L$53:$N$127,MATCH(Movements!$C763,'Total qty'!$C$53:$C$127,0),MATCH(Movements!T$716,'Total qty'!$L$5:$N$5,0))/INDEX('Total qty'!$O$53:$O$127,MATCH(Movements!$C763,'Total qty'!$C$53:$C$127,0)),0)</f>
        <v>0</v>
      </c>
      <c r="U763" s="219">
        <f>IFERROR(INDEX('Total qty'!$L$53:$N$127,MATCH(Movements!$C763,'Total qty'!$C$53:$C$127,0),MATCH(Movements!U$716,'Total qty'!$L$5:$N$5,0))/INDEX('Total qty'!$O$53:$O$127,MATCH(Movements!$C763,'Total qty'!$C$53:$C$127,0)),0)</f>
        <v>0</v>
      </c>
      <c r="V763" s="138"/>
      <c r="W763" s="138"/>
      <c r="X763" s="138"/>
      <c r="Y763" s="138"/>
      <c r="Z763" s="138"/>
      <c r="AA763" s="138"/>
      <c r="AB763" s="138"/>
      <c r="AC763" s="70"/>
      <c r="AD763" s="19"/>
      <c r="AE763" s="19"/>
      <c r="AF763" s="19"/>
      <c r="AG763" s="19"/>
    </row>
    <row r="764" spans="1:33" hidden="1" outlineLevel="3" x14ac:dyDescent="0.2">
      <c r="A764" s="19"/>
      <c r="B764" s="97"/>
      <c r="C764" s="506">
        <f t="shared" si="184"/>
        <v>0</v>
      </c>
      <c r="D764" s="505">
        <f t="shared" si="184"/>
        <v>0</v>
      </c>
      <c r="E764" s="505">
        <f t="shared" si="184"/>
        <v>0</v>
      </c>
      <c r="F764" s="246">
        <f t="shared" si="188"/>
        <v>0</v>
      </c>
      <c r="G764" s="198">
        <f>IFERROR(INDEX('Total qty'!$O$53:$O$127,MATCH(Movements!C764,'Total qty'!$C$53:$C$127,0))*consprofilemultiplier/IF(General!$F$35="Customers",INDEX(Qty!$I$8:$I$82,MATCH(Movements!C764,Qty!$C$8:$C$82,0)),INDEX(Qty!$K$8:$K$82,MATCH(Movements!C764,Qty!$C$8:$C$82,0))),0)</f>
        <v>0</v>
      </c>
      <c r="H764" s="143"/>
      <c r="I764" s="206">
        <f t="shared" si="185"/>
        <v>0</v>
      </c>
      <c r="J764" s="206">
        <f t="shared" si="186"/>
        <v>0</v>
      </c>
      <c r="K764" s="206">
        <f t="shared" si="187"/>
        <v>0</v>
      </c>
      <c r="L764" s="178"/>
      <c r="M764" s="198">
        <f>IFERROR(INDEX('Total qty'!$Q$53:$Q$127,MATCH(C764,'Total qty'!$C$53:$C$127,0))*consprofilemultiplier/IF(General!$F$35="Customers",INDEX(Qty!$I$8:$I$82,MATCH(Movements!C764,Qty!$C$8:$C$82,0)),INDEX(Qty!$K$8:$K$82,MATCH(Movements!C764,Qty!$C$8:$C$82,0))),0)</f>
        <v>0</v>
      </c>
      <c r="N764" s="252">
        <f>_xlfn.IFNA(MATCH(C764,Tariffs!$C$46:$C$120,0),0)</f>
        <v>0</v>
      </c>
      <c r="O764" s="206" cm="1">
        <f t="array" ref="O764">IF(N764=0,0,IF(D764="yes",IF(Movements!$G764&gt;INDEX(Tariffs!$T$46:$T$120,$N764),INDEX(Tariffs!$T$46:$T$120,$N764),Movements!$G764),0))</f>
        <v>0</v>
      </c>
      <c r="P764" s="206" cm="1">
        <f t="array" ref="P764">IF(N764=0,0,IF(D764="yes",IF($G764=$O764,0,IF(AND(Movements!$G764&gt;INDEX(Tariffs!$U$46:$U$120,$N764),INDEX(Tariffs!$U$46:$U$120,$N764)&lt;&gt;0),INDEX(Tariffs!$U$46:$U$120,$N764)-INDEX(Tariffs!$T$46:$T$120,$N764),Movements!$G764-Movements!$O764)),0))</f>
        <v>0</v>
      </c>
      <c r="Q764" s="206">
        <f t="shared" si="189"/>
        <v>0</v>
      </c>
      <c r="R764" s="142"/>
      <c r="S764" s="219">
        <f>IFERROR(INDEX('Total qty'!$L$53:$N$127,MATCH(Movements!$C764,'Total qty'!$C$53:$C$127,0),MATCH(Movements!S$716,'Total qty'!$L$5:$N$5,0))/INDEX('Total qty'!$O$53:$O$127,MATCH(Movements!$C764,'Total qty'!$C$53:$C$127,0)),0)</f>
        <v>0</v>
      </c>
      <c r="T764" s="219">
        <f>IFERROR(INDEX('Total qty'!$L$53:$N$127,MATCH(Movements!$C764,'Total qty'!$C$53:$C$127,0),MATCH(Movements!T$716,'Total qty'!$L$5:$N$5,0))/INDEX('Total qty'!$O$53:$O$127,MATCH(Movements!$C764,'Total qty'!$C$53:$C$127,0)),0)</f>
        <v>0</v>
      </c>
      <c r="U764" s="219">
        <f>IFERROR(INDEX('Total qty'!$L$53:$N$127,MATCH(Movements!$C764,'Total qty'!$C$53:$C$127,0),MATCH(Movements!U$716,'Total qty'!$L$5:$N$5,0))/INDEX('Total qty'!$O$53:$O$127,MATCH(Movements!$C764,'Total qty'!$C$53:$C$127,0)),0)</f>
        <v>0</v>
      </c>
      <c r="V764" s="138"/>
      <c r="W764" s="138"/>
      <c r="X764" s="138"/>
      <c r="Y764" s="138"/>
      <c r="Z764" s="138"/>
      <c r="AA764" s="138"/>
      <c r="AB764" s="138"/>
      <c r="AC764" s="70"/>
      <c r="AD764" s="19"/>
      <c r="AE764" s="19"/>
      <c r="AF764" s="19"/>
      <c r="AG764" s="19"/>
    </row>
    <row r="765" spans="1:33" hidden="1" outlineLevel="3" x14ac:dyDescent="0.2">
      <c r="A765" s="19"/>
      <c r="B765" s="97"/>
      <c r="C765" s="506">
        <f t="shared" si="184"/>
        <v>0</v>
      </c>
      <c r="D765" s="505">
        <f t="shared" si="184"/>
        <v>0</v>
      </c>
      <c r="E765" s="505">
        <f t="shared" si="184"/>
        <v>0</v>
      </c>
      <c r="F765" s="246">
        <f t="shared" si="188"/>
        <v>0</v>
      </c>
      <c r="G765" s="198">
        <f>IFERROR(INDEX('Total qty'!$O$53:$O$127,MATCH(Movements!C765,'Total qty'!$C$53:$C$127,0))*consprofilemultiplier/IF(General!$F$35="Customers",INDEX(Qty!$I$8:$I$82,MATCH(Movements!C765,Qty!$C$8:$C$82,0)),INDEX(Qty!$K$8:$K$82,MATCH(Movements!C765,Qty!$C$8:$C$82,0))),0)</f>
        <v>0</v>
      </c>
      <c r="H765" s="143"/>
      <c r="I765" s="206">
        <f t="shared" si="185"/>
        <v>0</v>
      </c>
      <c r="J765" s="206">
        <f t="shared" si="186"/>
        <v>0</v>
      </c>
      <c r="K765" s="206">
        <f t="shared" si="187"/>
        <v>0</v>
      </c>
      <c r="L765" s="178"/>
      <c r="M765" s="198">
        <f>IFERROR(INDEX('Total qty'!$Q$53:$Q$127,MATCH(C765,'Total qty'!$C$53:$C$127,0))*consprofilemultiplier/IF(General!$F$35="Customers",INDEX(Qty!$I$8:$I$82,MATCH(Movements!C765,Qty!$C$8:$C$82,0)),INDEX(Qty!$K$8:$K$82,MATCH(Movements!C765,Qty!$C$8:$C$82,0))),0)</f>
        <v>0</v>
      </c>
      <c r="N765" s="252">
        <f>_xlfn.IFNA(MATCH(C765,Tariffs!$C$46:$C$120,0),0)</f>
        <v>0</v>
      </c>
      <c r="O765" s="206" cm="1">
        <f t="array" ref="O765">IF(N765=0,0,IF(D765="yes",IF(Movements!$G765&gt;INDEX(Tariffs!$T$46:$T$120,$N765),INDEX(Tariffs!$T$46:$T$120,$N765),Movements!$G765),0))</f>
        <v>0</v>
      </c>
      <c r="P765" s="206" cm="1">
        <f t="array" ref="P765">IF(N765=0,0,IF(D765="yes",IF($G765=$O765,0,IF(AND(Movements!$G765&gt;INDEX(Tariffs!$U$46:$U$120,$N765),INDEX(Tariffs!$U$46:$U$120,$N765)&lt;&gt;0),INDEX(Tariffs!$U$46:$U$120,$N765)-INDEX(Tariffs!$T$46:$T$120,$N765),Movements!$G765-Movements!$O765)),0))</f>
        <v>0</v>
      </c>
      <c r="Q765" s="206">
        <f t="shared" si="189"/>
        <v>0</v>
      </c>
      <c r="R765" s="142"/>
      <c r="S765" s="219">
        <f>IFERROR(INDEX('Total qty'!$L$53:$N$127,MATCH(Movements!$C765,'Total qty'!$C$53:$C$127,0),MATCH(Movements!S$716,'Total qty'!$L$5:$N$5,0))/INDEX('Total qty'!$O$53:$O$127,MATCH(Movements!$C765,'Total qty'!$C$53:$C$127,0)),0)</f>
        <v>0</v>
      </c>
      <c r="T765" s="219">
        <f>IFERROR(INDEX('Total qty'!$L$53:$N$127,MATCH(Movements!$C765,'Total qty'!$C$53:$C$127,0),MATCH(Movements!T$716,'Total qty'!$L$5:$N$5,0))/INDEX('Total qty'!$O$53:$O$127,MATCH(Movements!$C765,'Total qty'!$C$53:$C$127,0)),0)</f>
        <v>0</v>
      </c>
      <c r="U765" s="219">
        <f>IFERROR(INDEX('Total qty'!$L$53:$N$127,MATCH(Movements!$C765,'Total qty'!$C$53:$C$127,0),MATCH(Movements!U$716,'Total qty'!$L$5:$N$5,0))/INDEX('Total qty'!$O$53:$O$127,MATCH(Movements!$C765,'Total qty'!$C$53:$C$127,0)),0)</f>
        <v>0</v>
      </c>
      <c r="V765" s="138"/>
      <c r="W765" s="138"/>
      <c r="X765" s="138"/>
      <c r="Y765" s="138"/>
      <c r="Z765" s="138"/>
      <c r="AA765" s="138"/>
      <c r="AB765" s="138"/>
      <c r="AC765" s="70"/>
      <c r="AD765" s="19"/>
      <c r="AE765" s="19"/>
      <c r="AF765" s="19"/>
      <c r="AG765" s="19"/>
    </row>
    <row r="766" spans="1:33" hidden="1" outlineLevel="3" x14ac:dyDescent="0.2">
      <c r="A766" s="19"/>
      <c r="B766" s="97"/>
      <c r="C766" s="506">
        <f t="shared" si="184"/>
        <v>0</v>
      </c>
      <c r="D766" s="505">
        <f t="shared" si="184"/>
        <v>0</v>
      </c>
      <c r="E766" s="505">
        <f t="shared" si="184"/>
        <v>0</v>
      </c>
      <c r="F766" s="246">
        <f t="shared" si="188"/>
        <v>0</v>
      </c>
      <c r="G766" s="198">
        <f>IFERROR(INDEX('Total qty'!$O$53:$O$127,MATCH(Movements!C766,'Total qty'!$C$53:$C$127,0))*consprofilemultiplier/IF(General!$F$35="Customers",INDEX(Qty!$I$8:$I$82,MATCH(Movements!C766,Qty!$C$8:$C$82,0)),INDEX(Qty!$K$8:$K$82,MATCH(Movements!C766,Qty!$C$8:$C$82,0))),0)</f>
        <v>0</v>
      </c>
      <c r="H766" s="143"/>
      <c r="I766" s="206">
        <f t="shared" si="185"/>
        <v>0</v>
      </c>
      <c r="J766" s="206">
        <f t="shared" si="186"/>
        <v>0</v>
      </c>
      <c r="K766" s="206">
        <f t="shared" si="187"/>
        <v>0</v>
      </c>
      <c r="L766" s="178"/>
      <c r="M766" s="198">
        <f>IFERROR(INDEX('Total qty'!$Q$53:$Q$127,MATCH(C766,'Total qty'!$C$53:$C$127,0))*consprofilemultiplier/IF(General!$F$35="Customers",INDEX(Qty!$I$8:$I$82,MATCH(Movements!C766,Qty!$C$8:$C$82,0)),INDEX(Qty!$K$8:$K$82,MATCH(Movements!C766,Qty!$C$8:$C$82,0))),0)</f>
        <v>0</v>
      </c>
      <c r="N766" s="252">
        <f>_xlfn.IFNA(MATCH(C766,Tariffs!$C$46:$C$120,0),0)</f>
        <v>0</v>
      </c>
      <c r="O766" s="206" cm="1">
        <f t="array" ref="O766">IF(N766=0,0,IF(D766="yes",IF(Movements!$G766&gt;INDEX(Tariffs!$T$46:$T$120,$N766),INDEX(Tariffs!$T$46:$T$120,$N766),Movements!$G766),0))</f>
        <v>0</v>
      </c>
      <c r="P766" s="206" cm="1">
        <f t="array" ref="P766">IF(N766=0,0,IF(D766="yes",IF($G766=$O766,0,IF(AND(Movements!$G766&gt;INDEX(Tariffs!$U$46:$U$120,$N766),INDEX(Tariffs!$U$46:$U$120,$N766)&lt;&gt;0),INDEX(Tariffs!$U$46:$U$120,$N766)-INDEX(Tariffs!$T$46:$T$120,$N766),Movements!$G766-Movements!$O766)),0))</f>
        <v>0</v>
      </c>
      <c r="Q766" s="206">
        <f t="shared" si="189"/>
        <v>0</v>
      </c>
      <c r="R766" s="142"/>
      <c r="S766" s="219">
        <f>IFERROR(INDEX('Total qty'!$L$53:$N$127,MATCH(Movements!$C766,'Total qty'!$C$53:$C$127,0),MATCH(Movements!S$716,'Total qty'!$L$5:$N$5,0))/INDEX('Total qty'!$O$53:$O$127,MATCH(Movements!$C766,'Total qty'!$C$53:$C$127,0)),0)</f>
        <v>0</v>
      </c>
      <c r="T766" s="219">
        <f>IFERROR(INDEX('Total qty'!$L$53:$N$127,MATCH(Movements!$C766,'Total qty'!$C$53:$C$127,0),MATCH(Movements!T$716,'Total qty'!$L$5:$N$5,0))/INDEX('Total qty'!$O$53:$O$127,MATCH(Movements!$C766,'Total qty'!$C$53:$C$127,0)),0)</f>
        <v>0</v>
      </c>
      <c r="U766" s="219">
        <f>IFERROR(INDEX('Total qty'!$L$53:$N$127,MATCH(Movements!$C766,'Total qty'!$C$53:$C$127,0),MATCH(Movements!U$716,'Total qty'!$L$5:$N$5,0))/INDEX('Total qty'!$O$53:$O$127,MATCH(Movements!$C766,'Total qty'!$C$53:$C$127,0)),0)</f>
        <v>0</v>
      </c>
      <c r="V766" s="138"/>
      <c r="W766" s="138"/>
      <c r="X766" s="138"/>
      <c r="Y766" s="138"/>
      <c r="Z766" s="138"/>
      <c r="AA766" s="138"/>
      <c r="AB766" s="138"/>
      <c r="AC766" s="70"/>
      <c r="AD766" s="19"/>
      <c r="AE766" s="19"/>
      <c r="AF766" s="19"/>
      <c r="AG766" s="19"/>
    </row>
    <row r="767" spans="1:33" hidden="1" outlineLevel="3" x14ac:dyDescent="0.2">
      <c r="A767" s="19"/>
      <c r="B767" s="98"/>
      <c r="C767" s="506">
        <f t="shared" si="184"/>
        <v>0</v>
      </c>
      <c r="D767" s="505">
        <f t="shared" si="184"/>
        <v>0</v>
      </c>
      <c r="E767" s="505">
        <f t="shared" si="184"/>
        <v>0</v>
      </c>
      <c r="F767" s="246">
        <f t="shared" si="188"/>
        <v>0</v>
      </c>
      <c r="G767" s="198">
        <f>IFERROR(INDEX('Total qty'!$O$53:$O$127,MATCH(Movements!C767,'Total qty'!$C$53:$C$127,0))*consprofilemultiplier/IF(General!$F$35="Customers",INDEX(Qty!$I$8:$I$82,MATCH(Movements!C767,Qty!$C$8:$C$82,0)),INDEX(Qty!$K$8:$K$82,MATCH(Movements!C767,Qty!$C$8:$C$82,0))),0)</f>
        <v>0</v>
      </c>
      <c r="H767" s="143"/>
      <c r="I767" s="206">
        <f t="shared" si="185"/>
        <v>0</v>
      </c>
      <c r="J767" s="206">
        <f t="shared" si="186"/>
        <v>0</v>
      </c>
      <c r="K767" s="206">
        <f t="shared" si="187"/>
        <v>0</v>
      </c>
      <c r="L767" s="178"/>
      <c r="M767" s="198">
        <f>IFERROR(INDEX('Total qty'!$Q$53:$Q$127,MATCH(C767,'Total qty'!$C$53:$C$127,0))*consprofilemultiplier/IF(General!$F$35="Customers",INDEX(Qty!$I$8:$I$82,MATCH(Movements!C767,Qty!$C$8:$C$82,0)),INDEX(Qty!$K$8:$K$82,MATCH(Movements!C767,Qty!$C$8:$C$82,0))),0)</f>
        <v>0</v>
      </c>
      <c r="N767" s="252">
        <f>_xlfn.IFNA(MATCH(C767,Tariffs!$C$46:$C$120,0),0)</f>
        <v>0</v>
      </c>
      <c r="O767" s="206" cm="1">
        <f t="array" ref="O767">IF(N767=0,0,IF(D767="yes",IF(Movements!$G767&gt;INDEX(Tariffs!$T$46:$T$120,$N767),INDEX(Tariffs!$T$46:$T$120,$N767),Movements!$G767),0))</f>
        <v>0</v>
      </c>
      <c r="P767" s="206" cm="1">
        <f t="array" ref="P767">IF(N767=0,0,IF(D767="yes",IF($G767=$O767,0,IF(AND(Movements!$G767&gt;INDEX(Tariffs!$U$46:$U$120,$N767),INDEX(Tariffs!$U$46:$U$120,$N767)&lt;&gt;0),INDEX(Tariffs!$U$46:$U$120,$N767)-INDEX(Tariffs!$T$46:$T$120,$N767),Movements!$G767-Movements!$O767)),0))</f>
        <v>0</v>
      </c>
      <c r="Q767" s="206">
        <f t="shared" si="189"/>
        <v>0</v>
      </c>
      <c r="R767" s="142"/>
      <c r="S767" s="219">
        <f>IFERROR(INDEX('Total qty'!$L$53:$N$127,MATCH(Movements!$C767,'Total qty'!$C$53:$C$127,0),MATCH(Movements!S$716,'Total qty'!$L$5:$N$5,0))/INDEX('Total qty'!$O$53:$O$127,MATCH(Movements!$C767,'Total qty'!$C$53:$C$127,0)),0)</f>
        <v>0</v>
      </c>
      <c r="T767" s="219">
        <f>IFERROR(INDEX('Total qty'!$L$53:$N$127,MATCH(Movements!$C767,'Total qty'!$C$53:$C$127,0),MATCH(Movements!T$716,'Total qty'!$L$5:$N$5,0))/INDEX('Total qty'!$O$53:$O$127,MATCH(Movements!$C767,'Total qty'!$C$53:$C$127,0)),0)</f>
        <v>0</v>
      </c>
      <c r="U767" s="219">
        <f>IFERROR(INDEX('Total qty'!$L$53:$N$127,MATCH(Movements!$C767,'Total qty'!$C$53:$C$127,0),MATCH(Movements!U$716,'Total qty'!$L$5:$N$5,0))/INDEX('Total qty'!$O$53:$O$127,MATCH(Movements!$C767,'Total qty'!$C$53:$C$127,0)),0)</f>
        <v>0</v>
      </c>
      <c r="V767" s="138"/>
      <c r="W767" s="138"/>
      <c r="X767" s="138"/>
      <c r="Y767" s="138"/>
      <c r="Z767" s="138"/>
      <c r="AA767" s="138"/>
      <c r="AB767" s="138"/>
      <c r="AC767" s="70"/>
      <c r="AD767" s="19"/>
      <c r="AE767" s="19"/>
      <c r="AF767" s="19"/>
      <c r="AG767" s="19"/>
    </row>
    <row r="768" spans="1:33" hidden="1" outlineLevel="3" x14ac:dyDescent="0.2">
      <c r="A768" s="19"/>
      <c r="B768" s="97"/>
      <c r="C768" s="506">
        <f t="shared" si="184"/>
        <v>0</v>
      </c>
      <c r="D768" s="505">
        <f t="shared" si="184"/>
        <v>0</v>
      </c>
      <c r="E768" s="505">
        <f t="shared" si="184"/>
        <v>0</v>
      </c>
      <c r="F768" s="246">
        <f t="shared" si="188"/>
        <v>0</v>
      </c>
      <c r="G768" s="198">
        <f>IFERROR(INDEX('Total qty'!$O$53:$O$127,MATCH(Movements!C768,'Total qty'!$C$53:$C$127,0))*consprofilemultiplier/IF(General!$F$35="Customers",INDEX(Qty!$I$8:$I$82,MATCH(Movements!C768,Qty!$C$8:$C$82,0)),INDEX(Qty!$K$8:$K$82,MATCH(Movements!C768,Qty!$C$8:$C$82,0))),0)</f>
        <v>0</v>
      </c>
      <c r="H768" s="143"/>
      <c r="I768" s="206">
        <f t="shared" si="185"/>
        <v>0</v>
      </c>
      <c r="J768" s="206">
        <f t="shared" si="186"/>
        <v>0</v>
      </c>
      <c r="K768" s="206">
        <f t="shared" si="187"/>
        <v>0</v>
      </c>
      <c r="L768" s="178"/>
      <c r="M768" s="198">
        <f>IFERROR(INDEX('Total qty'!$Q$53:$Q$127,MATCH(C768,'Total qty'!$C$53:$C$127,0))*consprofilemultiplier/IF(General!$F$35="Customers",INDEX(Qty!$I$8:$I$82,MATCH(Movements!C768,Qty!$C$8:$C$82,0)),INDEX(Qty!$K$8:$K$82,MATCH(Movements!C768,Qty!$C$8:$C$82,0))),0)</f>
        <v>0</v>
      </c>
      <c r="N768" s="252">
        <f>_xlfn.IFNA(MATCH(C768,Tariffs!$C$46:$C$120,0),0)</f>
        <v>0</v>
      </c>
      <c r="O768" s="206" cm="1">
        <f t="array" ref="O768">IF(N768=0,0,IF(D768="yes",IF(Movements!$G768&gt;INDEX(Tariffs!$T$46:$T$120,$N768),INDEX(Tariffs!$T$46:$T$120,$N768),Movements!$G768),0))</f>
        <v>0</v>
      </c>
      <c r="P768" s="206" cm="1">
        <f t="array" ref="P768">IF(N768=0,0,IF(D768="yes",IF($G768=$O768,0,IF(AND(Movements!$G768&gt;INDEX(Tariffs!$U$46:$U$120,$N768),INDEX(Tariffs!$U$46:$U$120,$N768)&lt;&gt;0),INDEX(Tariffs!$U$46:$U$120,$N768)-INDEX(Tariffs!$T$46:$T$120,$N768),Movements!$G768-Movements!$O768)),0))</f>
        <v>0</v>
      </c>
      <c r="Q768" s="206">
        <f t="shared" si="189"/>
        <v>0</v>
      </c>
      <c r="R768" s="142"/>
      <c r="S768" s="219">
        <f>IFERROR(INDEX('Total qty'!$L$53:$N$127,MATCH(Movements!$C768,'Total qty'!$C$53:$C$127,0),MATCH(Movements!S$716,'Total qty'!$L$5:$N$5,0))/INDEX('Total qty'!$O$53:$O$127,MATCH(Movements!$C768,'Total qty'!$C$53:$C$127,0)),0)</f>
        <v>0</v>
      </c>
      <c r="T768" s="219">
        <f>IFERROR(INDEX('Total qty'!$L$53:$N$127,MATCH(Movements!$C768,'Total qty'!$C$53:$C$127,0),MATCH(Movements!T$716,'Total qty'!$L$5:$N$5,0))/INDEX('Total qty'!$O$53:$O$127,MATCH(Movements!$C768,'Total qty'!$C$53:$C$127,0)),0)</f>
        <v>0</v>
      </c>
      <c r="U768" s="219">
        <f>IFERROR(INDEX('Total qty'!$L$53:$N$127,MATCH(Movements!$C768,'Total qty'!$C$53:$C$127,0),MATCH(Movements!U$716,'Total qty'!$L$5:$N$5,0))/INDEX('Total qty'!$O$53:$O$127,MATCH(Movements!$C768,'Total qty'!$C$53:$C$127,0)),0)</f>
        <v>0</v>
      </c>
      <c r="V768" s="138"/>
      <c r="W768" s="138"/>
      <c r="X768" s="138"/>
      <c r="Y768" s="138"/>
      <c r="Z768" s="138"/>
      <c r="AA768" s="138"/>
      <c r="AB768" s="138"/>
      <c r="AC768" s="70"/>
      <c r="AD768" s="19"/>
      <c r="AE768" s="19"/>
      <c r="AF768" s="19"/>
      <c r="AG768" s="19"/>
    </row>
    <row r="769" spans="1:33" hidden="1" outlineLevel="3" x14ac:dyDescent="0.2">
      <c r="A769" s="19"/>
      <c r="B769" s="97"/>
      <c r="C769" s="506">
        <f t="shared" si="184"/>
        <v>0</v>
      </c>
      <c r="D769" s="505">
        <f t="shared" si="184"/>
        <v>0</v>
      </c>
      <c r="E769" s="505">
        <f t="shared" si="184"/>
        <v>0</v>
      </c>
      <c r="F769" s="246">
        <f t="shared" si="188"/>
        <v>0</v>
      </c>
      <c r="G769" s="198">
        <f>IFERROR(INDEX('Total qty'!$O$53:$O$127,MATCH(Movements!C769,'Total qty'!$C$53:$C$127,0))*consprofilemultiplier/IF(General!$F$35="Customers",INDEX(Qty!$I$8:$I$82,MATCH(Movements!C769,Qty!$C$8:$C$82,0)),INDEX(Qty!$K$8:$K$82,MATCH(Movements!C769,Qty!$C$8:$C$82,0))),0)</f>
        <v>0</v>
      </c>
      <c r="H769" s="143"/>
      <c r="I769" s="206">
        <f t="shared" si="185"/>
        <v>0</v>
      </c>
      <c r="J769" s="206">
        <f t="shared" si="186"/>
        <v>0</v>
      </c>
      <c r="K769" s="206">
        <f t="shared" si="187"/>
        <v>0</v>
      </c>
      <c r="L769" s="178"/>
      <c r="M769" s="198">
        <f>IFERROR(INDEX('Total qty'!$Q$53:$Q$127,MATCH(C769,'Total qty'!$C$53:$C$127,0))*consprofilemultiplier/IF(General!$F$35="Customers",INDEX(Qty!$I$8:$I$82,MATCH(Movements!C769,Qty!$C$8:$C$82,0)),INDEX(Qty!$K$8:$K$82,MATCH(Movements!C769,Qty!$C$8:$C$82,0))),0)</f>
        <v>0</v>
      </c>
      <c r="N769" s="252">
        <f>_xlfn.IFNA(MATCH(C769,Tariffs!$C$46:$C$120,0),0)</f>
        <v>0</v>
      </c>
      <c r="O769" s="206" cm="1">
        <f t="array" ref="O769">IF(N769=0,0,IF(D769="yes",IF(Movements!$G769&gt;INDEX(Tariffs!$T$46:$T$120,$N769),INDEX(Tariffs!$T$46:$T$120,$N769),Movements!$G769),0))</f>
        <v>0</v>
      </c>
      <c r="P769" s="206" cm="1">
        <f t="array" ref="P769">IF(N769=0,0,IF(D769="yes",IF($G769=$O769,0,IF(AND(Movements!$G769&gt;INDEX(Tariffs!$U$46:$U$120,$N769),INDEX(Tariffs!$U$46:$U$120,$N769)&lt;&gt;0),INDEX(Tariffs!$U$46:$U$120,$N769)-INDEX(Tariffs!$T$46:$T$120,$N769),Movements!$G769-Movements!$O769)),0))</f>
        <v>0</v>
      </c>
      <c r="Q769" s="206">
        <f t="shared" si="189"/>
        <v>0</v>
      </c>
      <c r="R769" s="142"/>
      <c r="S769" s="219">
        <f>IFERROR(INDEX('Total qty'!$L$53:$N$127,MATCH(Movements!$C769,'Total qty'!$C$53:$C$127,0),MATCH(Movements!S$716,'Total qty'!$L$5:$N$5,0))/INDEX('Total qty'!$O$53:$O$127,MATCH(Movements!$C769,'Total qty'!$C$53:$C$127,0)),0)</f>
        <v>0</v>
      </c>
      <c r="T769" s="219">
        <f>IFERROR(INDEX('Total qty'!$L$53:$N$127,MATCH(Movements!$C769,'Total qty'!$C$53:$C$127,0),MATCH(Movements!T$716,'Total qty'!$L$5:$N$5,0))/INDEX('Total qty'!$O$53:$O$127,MATCH(Movements!$C769,'Total qty'!$C$53:$C$127,0)),0)</f>
        <v>0</v>
      </c>
      <c r="U769" s="219">
        <f>IFERROR(INDEX('Total qty'!$L$53:$N$127,MATCH(Movements!$C769,'Total qty'!$C$53:$C$127,0),MATCH(Movements!U$716,'Total qty'!$L$5:$N$5,0))/INDEX('Total qty'!$O$53:$O$127,MATCH(Movements!$C769,'Total qty'!$C$53:$C$127,0)),0)</f>
        <v>0</v>
      </c>
      <c r="V769" s="138"/>
      <c r="W769" s="138"/>
      <c r="X769" s="138"/>
      <c r="Y769" s="138"/>
      <c r="Z769" s="138"/>
      <c r="AA769" s="138"/>
      <c r="AB769" s="138"/>
      <c r="AC769" s="70"/>
      <c r="AD769" s="19"/>
      <c r="AE769" s="19"/>
      <c r="AF769" s="19"/>
      <c r="AG769" s="19"/>
    </row>
    <row r="770" spans="1:33" hidden="1" outlineLevel="3" x14ac:dyDescent="0.2">
      <c r="A770" s="19"/>
      <c r="B770" s="97"/>
      <c r="C770" s="506">
        <f t="shared" si="184"/>
        <v>0</v>
      </c>
      <c r="D770" s="505">
        <f t="shared" si="184"/>
        <v>0</v>
      </c>
      <c r="E770" s="505">
        <f t="shared" si="184"/>
        <v>0</v>
      </c>
      <c r="F770" s="246">
        <f t="shared" si="188"/>
        <v>0</v>
      </c>
      <c r="G770" s="198">
        <f>IFERROR(INDEX('Total qty'!$O$53:$O$127,MATCH(Movements!C770,'Total qty'!$C$53:$C$127,0))*consprofilemultiplier/IF(General!$F$35="Customers",INDEX(Qty!$I$8:$I$82,MATCH(Movements!C770,Qty!$C$8:$C$82,0)),INDEX(Qty!$K$8:$K$82,MATCH(Movements!C770,Qty!$C$8:$C$82,0))),0)</f>
        <v>0</v>
      </c>
      <c r="H770" s="143"/>
      <c r="I770" s="206">
        <f t="shared" si="185"/>
        <v>0</v>
      </c>
      <c r="J770" s="206">
        <f t="shared" si="186"/>
        <v>0</v>
      </c>
      <c r="K770" s="206">
        <f t="shared" si="187"/>
        <v>0</v>
      </c>
      <c r="L770" s="178"/>
      <c r="M770" s="198">
        <f>IFERROR(INDEX('Total qty'!$Q$53:$Q$127,MATCH(C770,'Total qty'!$C$53:$C$127,0))*consprofilemultiplier/IF(General!$F$35="Customers",INDEX(Qty!$I$8:$I$82,MATCH(Movements!C770,Qty!$C$8:$C$82,0)),INDEX(Qty!$K$8:$K$82,MATCH(Movements!C770,Qty!$C$8:$C$82,0))),0)</f>
        <v>0</v>
      </c>
      <c r="N770" s="252">
        <f>_xlfn.IFNA(MATCH(C770,Tariffs!$C$46:$C$120,0),0)</f>
        <v>0</v>
      </c>
      <c r="O770" s="206" cm="1">
        <f t="array" ref="O770">IF(N770=0,0,IF(D770="yes",IF(Movements!$G770&gt;INDEX(Tariffs!$T$46:$T$120,$N770),INDEX(Tariffs!$T$46:$T$120,$N770),Movements!$G770),0))</f>
        <v>0</v>
      </c>
      <c r="P770" s="206" cm="1">
        <f t="array" ref="P770">IF(N770=0,0,IF(D770="yes",IF($G770=$O770,0,IF(AND(Movements!$G770&gt;INDEX(Tariffs!$U$46:$U$120,$N770),INDEX(Tariffs!$U$46:$U$120,$N770)&lt;&gt;0),INDEX(Tariffs!$U$46:$U$120,$N770)-INDEX(Tariffs!$T$46:$T$120,$N770),Movements!$G770-Movements!$O770)),0))</f>
        <v>0</v>
      </c>
      <c r="Q770" s="206">
        <f t="shared" si="189"/>
        <v>0</v>
      </c>
      <c r="R770" s="142"/>
      <c r="S770" s="219">
        <f>IFERROR(INDEX('Total qty'!$L$53:$N$127,MATCH(Movements!$C770,'Total qty'!$C$53:$C$127,0),MATCH(Movements!S$716,'Total qty'!$L$5:$N$5,0))/INDEX('Total qty'!$O$53:$O$127,MATCH(Movements!$C770,'Total qty'!$C$53:$C$127,0)),0)</f>
        <v>0</v>
      </c>
      <c r="T770" s="219">
        <f>IFERROR(INDEX('Total qty'!$L$53:$N$127,MATCH(Movements!$C770,'Total qty'!$C$53:$C$127,0),MATCH(Movements!T$716,'Total qty'!$L$5:$N$5,0))/INDEX('Total qty'!$O$53:$O$127,MATCH(Movements!$C770,'Total qty'!$C$53:$C$127,0)),0)</f>
        <v>0</v>
      </c>
      <c r="U770" s="219">
        <f>IFERROR(INDEX('Total qty'!$L$53:$N$127,MATCH(Movements!$C770,'Total qty'!$C$53:$C$127,0),MATCH(Movements!U$716,'Total qty'!$L$5:$N$5,0))/INDEX('Total qty'!$O$53:$O$127,MATCH(Movements!$C770,'Total qty'!$C$53:$C$127,0)),0)</f>
        <v>0</v>
      </c>
      <c r="V770" s="138"/>
      <c r="W770" s="138"/>
      <c r="X770" s="138"/>
      <c r="Y770" s="138"/>
      <c r="Z770" s="138"/>
      <c r="AA770" s="138"/>
      <c r="AB770" s="138"/>
      <c r="AC770" s="70"/>
      <c r="AD770" s="19"/>
      <c r="AE770" s="19"/>
      <c r="AF770" s="19"/>
      <c r="AG770" s="19"/>
    </row>
    <row r="771" spans="1:33" hidden="1" outlineLevel="3" x14ac:dyDescent="0.2">
      <c r="A771" s="19"/>
      <c r="B771" s="97"/>
      <c r="C771" s="506">
        <f t="shared" si="184"/>
        <v>0</v>
      </c>
      <c r="D771" s="505">
        <f t="shared" si="184"/>
        <v>0</v>
      </c>
      <c r="E771" s="505">
        <f t="shared" si="184"/>
        <v>0</v>
      </c>
      <c r="F771" s="246">
        <f t="shared" si="188"/>
        <v>0</v>
      </c>
      <c r="G771" s="198">
        <f>IFERROR(INDEX('Total qty'!$O$53:$O$127,MATCH(Movements!C771,'Total qty'!$C$53:$C$127,0))*consprofilemultiplier/IF(General!$F$35="Customers",INDEX(Qty!$I$8:$I$82,MATCH(Movements!C771,Qty!$C$8:$C$82,0)),INDEX(Qty!$K$8:$K$82,MATCH(Movements!C771,Qty!$C$8:$C$82,0))),0)</f>
        <v>0</v>
      </c>
      <c r="H771" s="143"/>
      <c r="I771" s="206">
        <f t="shared" si="185"/>
        <v>0</v>
      </c>
      <c r="J771" s="206">
        <f t="shared" si="186"/>
        <v>0</v>
      </c>
      <c r="K771" s="206">
        <f t="shared" si="187"/>
        <v>0</v>
      </c>
      <c r="L771" s="178"/>
      <c r="M771" s="198">
        <f>IFERROR(INDEX('Total qty'!$Q$53:$Q$127,MATCH(C771,'Total qty'!$C$53:$C$127,0))*consprofilemultiplier/IF(General!$F$35="Customers",INDEX(Qty!$I$8:$I$82,MATCH(Movements!C771,Qty!$C$8:$C$82,0)),INDEX(Qty!$K$8:$K$82,MATCH(Movements!C771,Qty!$C$8:$C$82,0))),0)</f>
        <v>0</v>
      </c>
      <c r="N771" s="252">
        <f>_xlfn.IFNA(MATCH(C771,Tariffs!$C$46:$C$120,0),0)</f>
        <v>0</v>
      </c>
      <c r="O771" s="206" cm="1">
        <f t="array" ref="O771">IF(N771=0,0,IF(D771="yes",IF(Movements!$G771&gt;INDEX(Tariffs!$T$46:$T$120,$N771),INDEX(Tariffs!$T$46:$T$120,$N771),Movements!$G771),0))</f>
        <v>0</v>
      </c>
      <c r="P771" s="206" cm="1">
        <f t="array" ref="P771">IF(N771=0,0,IF(D771="yes",IF($G771=$O771,0,IF(AND(Movements!$G771&gt;INDEX(Tariffs!$U$46:$U$120,$N771),INDEX(Tariffs!$U$46:$U$120,$N771)&lt;&gt;0),INDEX(Tariffs!$U$46:$U$120,$N771)-INDEX(Tariffs!$T$46:$T$120,$N771),Movements!$G771-Movements!$O771)),0))</f>
        <v>0</v>
      </c>
      <c r="Q771" s="206">
        <f t="shared" si="189"/>
        <v>0</v>
      </c>
      <c r="R771" s="142"/>
      <c r="S771" s="219">
        <f>IFERROR(INDEX('Total qty'!$L$53:$N$127,MATCH(Movements!$C771,'Total qty'!$C$53:$C$127,0),MATCH(Movements!S$716,'Total qty'!$L$5:$N$5,0))/INDEX('Total qty'!$O$53:$O$127,MATCH(Movements!$C771,'Total qty'!$C$53:$C$127,0)),0)</f>
        <v>0</v>
      </c>
      <c r="T771" s="219">
        <f>IFERROR(INDEX('Total qty'!$L$53:$N$127,MATCH(Movements!$C771,'Total qty'!$C$53:$C$127,0),MATCH(Movements!T$716,'Total qty'!$L$5:$N$5,0))/INDEX('Total qty'!$O$53:$O$127,MATCH(Movements!$C771,'Total qty'!$C$53:$C$127,0)),0)</f>
        <v>0</v>
      </c>
      <c r="U771" s="219">
        <f>IFERROR(INDEX('Total qty'!$L$53:$N$127,MATCH(Movements!$C771,'Total qty'!$C$53:$C$127,0),MATCH(Movements!U$716,'Total qty'!$L$5:$N$5,0))/INDEX('Total qty'!$O$53:$O$127,MATCH(Movements!$C771,'Total qty'!$C$53:$C$127,0)),0)</f>
        <v>0</v>
      </c>
      <c r="V771" s="138"/>
      <c r="W771" s="138"/>
      <c r="X771" s="138"/>
      <c r="Y771" s="138"/>
      <c r="Z771" s="138"/>
      <c r="AA771" s="138"/>
      <c r="AB771" s="138"/>
      <c r="AC771" s="70"/>
      <c r="AD771" s="19"/>
      <c r="AE771" s="19"/>
      <c r="AF771" s="19"/>
      <c r="AG771" s="19"/>
    </row>
    <row r="772" spans="1:33" hidden="1" outlineLevel="3" x14ac:dyDescent="0.2">
      <c r="A772" s="19"/>
      <c r="B772" s="97"/>
      <c r="C772" s="506">
        <f t="shared" si="184"/>
        <v>0</v>
      </c>
      <c r="D772" s="505">
        <f t="shared" si="184"/>
        <v>0</v>
      </c>
      <c r="E772" s="505">
        <f t="shared" si="184"/>
        <v>0</v>
      </c>
      <c r="F772" s="246">
        <f t="shared" si="188"/>
        <v>0</v>
      </c>
      <c r="G772" s="198">
        <f>IFERROR(INDEX('Total qty'!$O$53:$O$127,MATCH(Movements!C772,'Total qty'!$C$53:$C$127,0))*consprofilemultiplier/IF(General!$F$35="Customers",INDEX(Qty!$I$8:$I$82,MATCH(Movements!C772,Qty!$C$8:$C$82,0)),INDEX(Qty!$K$8:$K$82,MATCH(Movements!C772,Qty!$C$8:$C$82,0))),0)</f>
        <v>0</v>
      </c>
      <c r="H772" s="143"/>
      <c r="I772" s="206">
        <f t="shared" si="185"/>
        <v>0</v>
      </c>
      <c r="J772" s="206">
        <f t="shared" si="186"/>
        <v>0</v>
      </c>
      <c r="K772" s="206">
        <f t="shared" si="187"/>
        <v>0</v>
      </c>
      <c r="L772" s="178"/>
      <c r="M772" s="198">
        <f>IFERROR(INDEX('Total qty'!$Q$53:$Q$127,MATCH(C772,'Total qty'!$C$53:$C$127,0))*consprofilemultiplier/IF(General!$F$35="Customers",INDEX(Qty!$I$8:$I$82,MATCH(Movements!C772,Qty!$C$8:$C$82,0)),INDEX(Qty!$K$8:$K$82,MATCH(Movements!C772,Qty!$C$8:$C$82,0))),0)</f>
        <v>0</v>
      </c>
      <c r="N772" s="252">
        <f>_xlfn.IFNA(MATCH(C772,Tariffs!$C$46:$C$120,0),0)</f>
        <v>0</v>
      </c>
      <c r="O772" s="206" cm="1">
        <f t="array" ref="O772">IF(N772=0,0,IF(D772="yes",IF(Movements!$G772&gt;INDEX(Tariffs!$T$46:$T$120,$N772),INDEX(Tariffs!$T$46:$T$120,$N772),Movements!$G772),0))</f>
        <v>0</v>
      </c>
      <c r="P772" s="206" cm="1">
        <f t="array" ref="P772">IF(N772=0,0,IF(D772="yes",IF($G772=$O772,0,IF(AND(Movements!$G772&gt;INDEX(Tariffs!$U$46:$U$120,$N772),INDEX(Tariffs!$U$46:$U$120,$N772)&lt;&gt;0),INDEX(Tariffs!$U$46:$U$120,$N772)-INDEX(Tariffs!$T$46:$T$120,$N772),Movements!$G772-Movements!$O772)),0))</f>
        <v>0</v>
      </c>
      <c r="Q772" s="206">
        <f t="shared" si="189"/>
        <v>0</v>
      </c>
      <c r="R772" s="142"/>
      <c r="S772" s="219">
        <f>IFERROR(INDEX('Total qty'!$L$53:$N$127,MATCH(Movements!$C772,'Total qty'!$C$53:$C$127,0),MATCH(Movements!S$716,'Total qty'!$L$5:$N$5,0))/INDEX('Total qty'!$O$53:$O$127,MATCH(Movements!$C772,'Total qty'!$C$53:$C$127,0)),0)</f>
        <v>0</v>
      </c>
      <c r="T772" s="219">
        <f>IFERROR(INDEX('Total qty'!$L$53:$N$127,MATCH(Movements!$C772,'Total qty'!$C$53:$C$127,0),MATCH(Movements!T$716,'Total qty'!$L$5:$N$5,0))/INDEX('Total qty'!$O$53:$O$127,MATCH(Movements!$C772,'Total qty'!$C$53:$C$127,0)),0)</f>
        <v>0</v>
      </c>
      <c r="U772" s="219">
        <f>IFERROR(INDEX('Total qty'!$L$53:$N$127,MATCH(Movements!$C772,'Total qty'!$C$53:$C$127,0),MATCH(Movements!U$716,'Total qty'!$L$5:$N$5,0))/INDEX('Total qty'!$O$53:$O$127,MATCH(Movements!$C772,'Total qty'!$C$53:$C$127,0)),0)</f>
        <v>0</v>
      </c>
      <c r="V772" s="138"/>
      <c r="W772" s="138"/>
      <c r="X772" s="138"/>
      <c r="Y772" s="138"/>
      <c r="Z772" s="138"/>
      <c r="AA772" s="138"/>
      <c r="AB772" s="138"/>
      <c r="AC772" s="70"/>
      <c r="AD772" s="19"/>
      <c r="AE772" s="19"/>
      <c r="AF772" s="19"/>
      <c r="AG772" s="19"/>
    </row>
    <row r="773" spans="1:33" hidden="1" outlineLevel="3" x14ac:dyDescent="0.2">
      <c r="A773" s="19"/>
      <c r="B773" s="97"/>
      <c r="C773" s="506">
        <f t="shared" si="184"/>
        <v>0</v>
      </c>
      <c r="D773" s="505">
        <f t="shared" si="184"/>
        <v>0</v>
      </c>
      <c r="E773" s="505">
        <f t="shared" si="184"/>
        <v>0</v>
      </c>
      <c r="F773" s="246">
        <f t="shared" si="188"/>
        <v>0</v>
      </c>
      <c r="G773" s="198">
        <f>IFERROR(INDEX('Total qty'!$O$53:$O$127,MATCH(Movements!C773,'Total qty'!$C$53:$C$127,0))*consprofilemultiplier/IF(General!$F$35="Customers",INDEX(Qty!$I$8:$I$82,MATCH(Movements!C773,Qty!$C$8:$C$82,0)),INDEX(Qty!$K$8:$K$82,MATCH(Movements!C773,Qty!$C$8:$C$82,0))),0)</f>
        <v>0</v>
      </c>
      <c r="H773" s="143"/>
      <c r="I773" s="206">
        <f t="shared" si="185"/>
        <v>0</v>
      </c>
      <c r="J773" s="206">
        <f t="shared" si="186"/>
        <v>0</v>
      </c>
      <c r="K773" s="206">
        <f t="shared" si="187"/>
        <v>0</v>
      </c>
      <c r="L773" s="178"/>
      <c r="M773" s="198">
        <f>IFERROR(INDEX('Total qty'!$Q$53:$Q$127,MATCH(C773,'Total qty'!$C$53:$C$127,0))*consprofilemultiplier/IF(General!$F$35="Customers",INDEX(Qty!$I$8:$I$82,MATCH(Movements!C773,Qty!$C$8:$C$82,0)),INDEX(Qty!$K$8:$K$82,MATCH(Movements!C773,Qty!$C$8:$C$82,0))),0)</f>
        <v>0</v>
      </c>
      <c r="N773" s="252">
        <f>_xlfn.IFNA(MATCH(C773,Tariffs!$C$46:$C$120,0),0)</f>
        <v>0</v>
      </c>
      <c r="O773" s="206" cm="1">
        <f t="array" ref="O773">IF(N773=0,0,IF(D773="yes",IF(Movements!$G773&gt;INDEX(Tariffs!$T$46:$T$120,$N773),INDEX(Tariffs!$T$46:$T$120,$N773),Movements!$G773),0))</f>
        <v>0</v>
      </c>
      <c r="P773" s="206" cm="1">
        <f t="array" ref="P773">IF(N773=0,0,IF(D773="yes",IF($G773=$O773,0,IF(AND(Movements!$G773&gt;INDEX(Tariffs!$U$46:$U$120,$N773),INDEX(Tariffs!$U$46:$U$120,$N773)&lt;&gt;0),INDEX(Tariffs!$U$46:$U$120,$N773)-INDEX(Tariffs!$T$46:$T$120,$N773),Movements!$G773-Movements!$O773)),0))</f>
        <v>0</v>
      </c>
      <c r="Q773" s="206">
        <f t="shared" si="189"/>
        <v>0</v>
      </c>
      <c r="R773" s="142"/>
      <c r="S773" s="219">
        <f>IFERROR(INDEX('Total qty'!$L$53:$N$127,MATCH(Movements!$C773,'Total qty'!$C$53:$C$127,0),MATCH(Movements!S$716,'Total qty'!$L$5:$N$5,0))/INDEX('Total qty'!$O$53:$O$127,MATCH(Movements!$C773,'Total qty'!$C$53:$C$127,0)),0)</f>
        <v>0</v>
      </c>
      <c r="T773" s="219">
        <f>IFERROR(INDEX('Total qty'!$L$53:$N$127,MATCH(Movements!$C773,'Total qty'!$C$53:$C$127,0),MATCH(Movements!T$716,'Total qty'!$L$5:$N$5,0))/INDEX('Total qty'!$O$53:$O$127,MATCH(Movements!$C773,'Total qty'!$C$53:$C$127,0)),0)</f>
        <v>0</v>
      </c>
      <c r="U773" s="219">
        <f>IFERROR(INDEX('Total qty'!$L$53:$N$127,MATCH(Movements!$C773,'Total qty'!$C$53:$C$127,0),MATCH(Movements!U$716,'Total qty'!$L$5:$N$5,0))/INDEX('Total qty'!$O$53:$O$127,MATCH(Movements!$C773,'Total qty'!$C$53:$C$127,0)),0)</f>
        <v>0</v>
      </c>
      <c r="V773" s="138"/>
      <c r="W773" s="138"/>
      <c r="X773" s="138"/>
      <c r="Y773" s="138"/>
      <c r="Z773" s="138"/>
      <c r="AA773" s="138"/>
      <c r="AB773" s="138"/>
      <c r="AC773" s="70"/>
      <c r="AD773" s="19"/>
      <c r="AE773" s="19"/>
      <c r="AF773" s="19"/>
      <c r="AG773" s="19"/>
    </row>
    <row r="774" spans="1:33" hidden="1" outlineLevel="3" x14ac:dyDescent="0.2">
      <c r="A774" s="19"/>
      <c r="B774" s="98"/>
      <c r="C774" s="506">
        <f t="shared" si="184"/>
        <v>0</v>
      </c>
      <c r="D774" s="505">
        <f t="shared" si="184"/>
        <v>0</v>
      </c>
      <c r="E774" s="505">
        <f t="shared" si="184"/>
        <v>0</v>
      </c>
      <c r="F774" s="246">
        <f t="shared" si="188"/>
        <v>0</v>
      </c>
      <c r="G774" s="198">
        <f>IFERROR(INDEX('Total qty'!$O$53:$O$127,MATCH(Movements!C774,'Total qty'!$C$53:$C$127,0))*consprofilemultiplier/IF(General!$F$35="Customers",INDEX(Qty!$I$8:$I$82,MATCH(Movements!C774,Qty!$C$8:$C$82,0)),INDEX(Qty!$K$8:$K$82,MATCH(Movements!C774,Qty!$C$8:$C$82,0))),0)</f>
        <v>0</v>
      </c>
      <c r="H774" s="143"/>
      <c r="I774" s="206">
        <f t="shared" si="185"/>
        <v>0</v>
      </c>
      <c r="J774" s="206">
        <f t="shared" si="186"/>
        <v>0</v>
      </c>
      <c r="K774" s="206">
        <f t="shared" si="187"/>
        <v>0</v>
      </c>
      <c r="L774" s="178"/>
      <c r="M774" s="198">
        <f>IFERROR(INDEX('Total qty'!$Q$53:$Q$127,MATCH(C774,'Total qty'!$C$53:$C$127,0))*consprofilemultiplier/IF(General!$F$35="Customers",INDEX(Qty!$I$8:$I$82,MATCH(Movements!C774,Qty!$C$8:$C$82,0)),INDEX(Qty!$K$8:$K$82,MATCH(Movements!C774,Qty!$C$8:$C$82,0))),0)</f>
        <v>0</v>
      </c>
      <c r="N774" s="252">
        <f>_xlfn.IFNA(MATCH(C774,Tariffs!$C$46:$C$120,0),0)</f>
        <v>0</v>
      </c>
      <c r="O774" s="206" cm="1">
        <f t="array" ref="O774">IF(N774=0,0,IF(D774="yes",IF(Movements!$G774&gt;INDEX(Tariffs!$T$46:$T$120,$N774),INDEX(Tariffs!$T$46:$T$120,$N774),Movements!$G774),0))</f>
        <v>0</v>
      </c>
      <c r="P774" s="206" cm="1">
        <f t="array" ref="P774">IF(N774=0,0,IF(D774="yes",IF($G774=$O774,0,IF(AND(Movements!$G774&gt;INDEX(Tariffs!$U$46:$U$120,$N774),INDEX(Tariffs!$U$46:$U$120,$N774)&lt;&gt;0),INDEX(Tariffs!$U$46:$U$120,$N774)-INDEX(Tariffs!$T$46:$T$120,$N774),Movements!$G774-Movements!$O774)),0))</f>
        <v>0</v>
      </c>
      <c r="Q774" s="206">
        <f t="shared" si="189"/>
        <v>0</v>
      </c>
      <c r="R774" s="142"/>
      <c r="S774" s="219">
        <f>IFERROR(INDEX('Total qty'!$L$53:$N$127,MATCH(Movements!$C774,'Total qty'!$C$53:$C$127,0),MATCH(Movements!S$716,'Total qty'!$L$5:$N$5,0))/INDEX('Total qty'!$O$53:$O$127,MATCH(Movements!$C774,'Total qty'!$C$53:$C$127,0)),0)</f>
        <v>0</v>
      </c>
      <c r="T774" s="219">
        <f>IFERROR(INDEX('Total qty'!$L$53:$N$127,MATCH(Movements!$C774,'Total qty'!$C$53:$C$127,0),MATCH(Movements!T$716,'Total qty'!$L$5:$N$5,0))/INDEX('Total qty'!$O$53:$O$127,MATCH(Movements!$C774,'Total qty'!$C$53:$C$127,0)),0)</f>
        <v>0</v>
      </c>
      <c r="U774" s="219">
        <f>IFERROR(INDEX('Total qty'!$L$53:$N$127,MATCH(Movements!$C774,'Total qty'!$C$53:$C$127,0),MATCH(Movements!U$716,'Total qty'!$L$5:$N$5,0))/INDEX('Total qty'!$O$53:$O$127,MATCH(Movements!$C774,'Total qty'!$C$53:$C$127,0)),0)</f>
        <v>0</v>
      </c>
      <c r="V774" s="138"/>
      <c r="W774" s="138"/>
      <c r="X774" s="138"/>
      <c r="Y774" s="138"/>
      <c r="Z774" s="138"/>
      <c r="AA774" s="138"/>
      <c r="AB774" s="138"/>
      <c r="AC774" s="70"/>
      <c r="AD774" s="19"/>
      <c r="AE774" s="19"/>
      <c r="AF774" s="19"/>
      <c r="AG774" s="19"/>
    </row>
    <row r="775" spans="1:33" hidden="1" outlineLevel="3" x14ac:dyDescent="0.2">
      <c r="A775" s="19"/>
      <c r="B775" s="97"/>
      <c r="C775" s="506">
        <f t="shared" si="184"/>
        <v>0</v>
      </c>
      <c r="D775" s="505">
        <f t="shared" si="184"/>
        <v>0</v>
      </c>
      <c r="E775" s="505">
        <f t="shared" si="184"/>
        <v>0</v>
      </c>
      <c r="F775" s="246">
        <f t="shared" si="188"/>
        <v>0</v>
      </c>
      <c r="G775" s="198">
        <f>IFERROR(INDEX('Total qty'!$O$53:$O$127,MATCH(Movements!C775,'Total qty'!$C$53:$C$127,0))*consprofilemultiplier/IF(General!$F$35="Customers",INDEX(Qty!$I$8:$I$82,MATCH(Movements!C775,Qty!$C$8:$C$82,0)),INDEX(Qty!$K$8:$K$82,MATCH(Movements!C775,Qty!$C$8:$C$82,0))),0)</f>
        <v>0</v>
      </c>
      <c r="H775" s="143"/>
      <c r="I775" s="206">
        <f t="shared" si="185"/>
        <v>0</v>
      </c>
      <c r="J775" s="206">
        <f t="shared" si="186"/>
        <v>0</v>
      </c>
      <c r="K775" s="206">
        <f t="shared" si="187"/>
        <v>0</v>
      </c>
      <c r="L775" s="178"/>
      <c r="M775" s="198">
        <f>IFERROR(INDEX('Total qty'!$Q$53:$Q$127,MATCH(C775,'Total qty'!$C$53:$C$127,0))*consprofilemultiplier/IF(General!$F$35="Customers",INDEX(Qty!$I$8:$I$82,MATCH(Movements!C775,Qty!$C$8:$C$82,0)),INDEX(Qty!$K$8:$K$82,MATCH(Movements!C775,Qty!$C$8:$C$82,0))),0)</f>
        <v>0</v>
      </c>
      <c r="N775" s="252">
        <f>_xlfn.IFNA(MATCH(C775,Tariffs!$C$46:$C$120,0),0)</f>
        <v>0</v>
      </c>
      <c r="O775" s="206" cm="1">
        <f t="array" ref="O775">IF(N775=0,0,IF(D775="yes",IF(Movements!$G775&gt;INDEX(Tariffs!$T$46:$T$120,$N775),INDEX(Tariffs!$T$46:$T$120,$N775),Movements!$G775),0))</f>
        <v>0</v>
      </c>
      <c r="P775" s="206" cm="1">
        <f t="array" ref="P775">IF(N775=0,0,IF(D775="yes",IF($G775=$O775,0,IF(AND(Movements!$G775&gt;INDEX(Tariffs!$U$46:$U$120,$N775),INDEX(Tariffs!$U$46:$U$120,$N775)&lt;&gt;0),INDEX(Tariffs!$U$46:$U$120,$N775)-INDEX(Tariffs!$T$46:$T$120,$N775),Movements!$G775-Movements!$O775)),0))</f>
        <v>0</v>
      </c>
      <c r="Q775" s="206">
        <f t="shared" si="189"/>
        <v>0</v>
      </c>
      <c r="R775" s="142"/>
      <c r="S775" s="219">
        <f>IFERROR(INDEX('Total qty'!$L$53:$N$127,MATCH(Movements!$C775,'Total qty'!$C$53:$C$127,0),MATCH(Movements!S$716,'Total qty'!$L$5:$N$5,0))/INDEX('Total qty'!$O$53:$O$127,MATCH(Movements!$C775,'Total qty'!$C$53:$C$127,0)),0)</f>
        <v>0</v>
      </c>
      <c r="T775" s="219">
        <f>IFERROR(INDEX('Total qty'!$L$53:$N$127,MATCH(Movements!$C775,'Total qty'!$C$53:$C$127,0),MATCH(Movements!T$716,'Total qty'!$L$5:$N$5,0))/INDEX('Total qty'!$O$53:$O$127,MATCH(Movements!$C775,'Total qty'!$C$53:$C$127,0)),0)</f>
        <v>0</v>
      </c>
      <c r="U775" s="219">
        <f>IFERROR(INDEX('Total qty'!$L$53:$N$127,MATCH(Movements!$C775,'Total qty'!$C$53:$C$127,0),MATCH(Movements!U$716,'Total qty'!$L$5:$N$5,0))/INDEX('Total qty'!$O$53:$O$127,MATCH(Movements!$C775,'Total qty'!$C$53:$C$127,0)),0)</f>
        <v>0</v>
      </c>
      <c r="V775" s="138"/>
      <c r="W775" s="138"/>
      <c r="X775" s="138"/>
      <c r="Y775" s="138"/>
      <c r="Z775" s="138"/>
      <c r="AA775" s="138"/>
      <c r="AB775" s="138"/>
      <c r="AC775" s="70"/>
      <c r="AD775" s="19"/>
      <c r="AE775" s="19"/>
      <c r="AF775" s="19"/>
      <c r="AG775" s="19"/>
    </row>
    <row r="776" spans="1:33" hidden="1" outlineLevel="3" x14ac:dyDescent="0.2">
      <c r="A776" s="19"/>
      <c r="B776" s="97"/>
      <c r="C776" s="506">
        <f t="shared" si="184"/>
        <v>0</v>
      </c>
      <c r="D776" s="505">
        <f t="shared" si="184"/>
        <v>0</v>
      </c>
      <c r="E776" s="505">
        <f t="shared" si="184"/>
        <v>0</v>
      </c>
      <c r="F776" s="246">
        <f t="shared" si="188"/>
        <v>0</v>
      </c>
      <c r="G776" s="198">
        <f>IFERROR(INDEX('Total qty'!$O$53:$O$127,MATCH(Movements!C776,'Total qty'!$C$53:$C$127,0))*consprofilemultiplier/IF(General!$F$35="Customers",INDEX(Qty!$I$8:$I$82,MATCH(Movements!C776,Qty!$C$8:$C$82,0)),INDEX(Qty!$K$8:$K$82,MATCH(Movements!C776,Qty!$C$8:$C$82,0))),0)</f>
        <v>0</v>
      </c>
      <c r="H776" s="143"/>
      <c r="I776" s="206">
        <f t="shared" si="185"/>
        <v>0</v>
      </c>
      <c r="J776" s="206">
        <f t="shared" si="186"/>
        <v>0</v>
      </c>
      <c r="K776" s="206">
        <f t="shared" si="187"/>
        <v>0</v>
      </c>
      <c r="L776" s="178"/>
      <c r="M776" s="198">
        <f>IFERROR(INDEX('Total qty'!$Q$53:$Q$127,MATCH(C776,'Total qty'!$C$53:$C$127,0))*consprofilemultiplier/IF(General!$F$35="Customers",INDEX(Qty!$I$8:$I$82,MATCH(Movements!C776,Qty!$C$8:$C$82,0)),INDEX(Qty!$K$8:$K$82,MATCH(Movements!C776,Qty!$C$8:$C$82,0))),0)</f>
        <v>0</v>
      </c>
      <c r="N776" s="252">
        <f>_xlfn.IFNA(MATCH(C776,Tariffs!$C$46:$C$120,0),0)</f>
        <v>0</v>
      </c>
      <c r="O776" s="206" cm="1">
        <f t="array" ref="O776">IF(N776=0,0,IF(D776="yes",IF(Movements!$G776&gt;INDEX(Tariffs!$T$46:$T$120,$N776),INDEX(Tariffs!$T$46:$T$120,$N776),Movements!$G776),0))</f>
        <v>0</v>
      </c>
      <c r="P776" s="206" cm="1">
        <f t="array" ref="P776">IF(N776=0,0,IF(D776="yes",IF($G776=$O776,0,IF(AND(Movements!$G776&gt;INDEX(Tariffs!$U$46:$U$120,$N776),INDEX(Tariffs!$U$46:$U$120,$N776)&lt;&gt;0),INDEX(Tariffs!$U$46:$U$120,$N776)-INDEX(Tariffs!$T$46:$T$120,$N776),Movements!$G776-Movements!$O776)),0))</f>
        <v>0</v>
      </c>
      <c r="Q776" s="206">
        <f t="shared" si="189"/>
        <v>0</v>
      </c>
      <c r="R776" s="142"/>
      <c r="S776" s="219">
        <f>IFERROR(INDEX('Total qty'!$L$53:$N$127,MATCH(Movements!$C776,'Total qty'!$C$53:$C$127,0),MATCH(Movements!S$716,'Total qty'!$L$5:$N$5,0))/INDEX('Total qty'!$O$53:$O$127,MATCH(Movements!$C776,'Total qty'!$C$53:$C$127,0)),0)</f>
        <v>0</v>
      </c>
      <c r="T776" s="219">
        <f>IFERROR(INDEX('Total qty'!$L$53:$N$127,MATCH(Movements!$C776,'Total qty'!$C$53:$C$127,0),MATCH(Movements!T$716,'Total qty'!$L$5:$N$5,0))/INDEX('Total qty'!$O$53:$O$127,MATCH(Movements!$C776,'Total qty'!$C$53:$C$127,0)),0)</f>
        <v>0</v>
      </c>
      <c r="U776" s="219">
        <f>IFERROR(INDEX('Total qty'!$L$53:$N$127,MATCH(Movements!$C776,'Total qty'!$C$53:$C$127,0),MATCH(Movements!U$716,'Total qty'!$L$5:$N$5,0))/INDEX('Total qty'!$O$53:$O$127,MATCH(Movements!$C776,'Total qty'!$C$53:$C$127,0)),0)</f>
        <v>0</v>
      </c>
      <c r="V776" s="138"/>
      <c r="W776" s="138"/>
      <c r="X776" s="138"/>
      <c r="Y776" s="138"/>
      <c r="Z776" s="138"/>
      <c r="AA776" s="138"/>
      <c r="AB776" s="138"/>
      <c r="AC776" s="70"/>
      <c r="AD776" s="19"/>
      <c r="AE776" s="19"/>
      <c r="AF776" s="19"/>
      <c r="AG776" s="19"/>
    </row>
    <row r="777" spans="1:33" hidden="1" outlineLevel="3" x14ac:dyDescent="0.2">
      <c r="A777" s="19"/>
      <c r="B777" s="97"/>
      <c r="C777" s="506">
        <f t="shared" si="184"/>
        <v>0</v>
      </c>
      <c r="D777" s="505">
        <f t="shared" si="184"/>
        <v>0</v>
      </c>
      <c r="E777" s="505">
        <f t="shared" si="184"/>
        <v>0</v>
      </c>
      <c r="F777" s="246">
        <f t="shared" si="188"/>
        <v>0</v>
      </c>
      <c r="G777" s="198">
        <f>IFERROR(INDEX('Total qty'!$O$53:$O$127,MATCH(Movements!C777,'Total qty'!$C$53:$C$127,0))*consprofilemultiplier/IF(General!$F$35="Customers",INDEX(Qty!$I$8:$I$82,MATCH(Movements!C777,Qty!$C$8:$C$82,0)),INDEX(Qty!$K$8:$K$82,MATCH(Movements!C777,Qty!$C$8:$C$82,0))),0)</f>
        <v>0</v>
      </c>
      <c r="H777" s="143"/>
      <c r="I777" s="206">
        <f t="shared" si="185"/>
        <v>0</v>
      </c>
      <c r="J777" s="206">
        <f t="shared" si="186"/>
        <v>0</v>
      </c>
      <c r="K777" s="206">
        <f t="shared" si="187"/>
        <v>0</v>
      </c>
      <c r="L777" s="178"/>
      <c r="M777" s="198">
        <f>IFERROR(INDEX('Total qty'!$Q$53:$Q$127,MATCH(C777,'Total qty'!$C$53:$C$127,0))*consprofilemultiplier/IF(General!$F$35="Customers",INDEX(Qty!$I$8:$I$82,MATCH(Movements!C777,Qty!$C$8:$C$82,0)),INDEX(Qty!$K$8:$K$82,MATCH(Movements!C777,Qty!$C$8:$C$82,0))),0)</f>
        <v>0</v>
      </c>
      <c r="N777" s="252">
        <f>_xlfn.IFNA(MATCH(C777,Tariffs!$C$46:$C$120,0),0)</f>
        <v>0</v>
      </c>
      <c r="O777" s="206" cm="1">
        <f t="array" ref="O777">IF(N777=0,0,IF(D777="yes",IF(Movements!$G777&gt;INDEX(Tariffs!$T$46:$T$120,$N777),INDEX(Tariffs!$T$46:$T$120,$N777),Movements!$G777),0))</f>
        <v>0</v>
      </c>
      <c r="P777" s="206" cm="1">
        <f t="array" ref="P777">IF(N777=0,0,IF(D777="yes",IF($G777=$O777,0,IF(AND(Movements!$G777&gt;INDEX(Tariffs!$U$46:$U$120,$N777),INDEX(Tariffs!$U$46:$U$120,$N777)&lt;&gt;0),INDEX(Tariffs!$U$46:$U$120,$N777)-INDEX(Tariffs!$T$46:$T$120,$N777),Movements!$G777-Movements!$O777)),0))</f>
        <v>0</v>
      </c>
      <c r="Q777" s="206">
        <f t="shared" si="189"/>
        <v>0</v>
      </c>
      <c r="R777" s="142"/>
      <c r="S777" s="219">
        <f>IFERROR(INDEX('Total qty'!$L$53:$N$127,MATCH(Movements!$C777,'Total qty'!$C$53:$C$127,0),MATCH(Movements!S$716,'Total qty'!$L$5:$N$5,0))/INDEX('Total qty'!$O$53:$O$127,MATCH(Movements!$C777,'Total qty'!$C$53:$C$127,0)),0)</f>
        <v>0</v>
      </c>
      <c r="T777" s="219">
        <f>IFERROR(INDEX('Total qty'!$L$53:$N$127,MATCH(Movements!$C777,'Total qty'!$C$53:$C$127,0),MATCH(Movements!T$716,'Total qty'!$L$5:$N$5,0))/INDEX('Total qty'!$O$53:$O$127,MATCH(Movements!$C777,'Total qty'!$C$53:$C$127,0)),0)</f>
        <v>0</v>
      </c>
      <c r="U777" s="219">
        <f>IFERROR(INDEX('Total qty'!$L$53:$N$127,MATCH(Movements!$C777,'Total qty'!$C$53:$C$127,0),MATCH(Movements!U$716,'Total qty'!$L$5:$N$5,0))/INDEX('Total qty'!$O$53:$O$127,MATCH(Movements!$C777,'Total qty'!$C$53:$C$127,0)),0)</f>
        <v>0</v>
      </c>
      <c r="V777" s="138"/>
      <c r="W777" s="138"/>
      <c r="X777" s="138"/>
      <c r="Y777" s="138"/>
      <c r="Z777" s="138"/>
      <c r="AA777" s="138"/>
      <c r="AB777" s="138"/>
      <c r="AC777" s="70"/>
      <c r="AD777" s="19"/>
      <c r="AE777" s="19"/>
      <c r="AF777" s="19"/>
      <c r="AG777" s="19"/>
    </row>
    <row r="778" spans="1:33" hidden="1" outlineLevel="3" x14ac:dyDescent="0.2">
      <c r="A778" s="19"/>
      <c r="B778" s="97"/>
      <c r="C778" s="506">
        <f t="shared" si="184"/>
        <v>0</v>
      </c>
      <c r="D778" s="505">
        <f t="shared" si="184"/>
        <v>0</v>
      </c>
      <c r="E778" s="505">
        <f t="shared" si="184"/>
        <v>0</v>
      </c>
      <c r="F778" s="246">
        <f t="shared" si="188"/>
        <v>0</v>
      </c>
      <c r="G778" s="198">
        <f>IFERROR(INDEX('Total qty'!$O$53:$O$127,MATCH(Movements!C778,'Total qty'!$C$53:$C$127,0))*consprofilemultiplier/IF(General!$F$35="Customers",INDEX(Qty!$I$8:$I$82,MATCH(Movements!C778,Qty!$C$8:$C$82,0)),INDEX(Qty!$K$8:$K$82,MATCH(Movements!C778,Qty!$C$8:$C$82,0))),0)</f>
        <v>0</v>
      </c>
      <c r="H778" s="143"/>
      <c r="I778" s="206">
        <f t="shared" si="185"/>
        <v>0</v>
      </c>
      <c r="J778" s="206">
        <f t="shared" si="186"/>
        <v>0</v>
      </c>
      <c r="K778" s="206">
        <f t="shared" si="187"/>
        <v>0</v>
      </c>
      <c r="L778" s="178"/>
      <c r="M778" s="198">
        <f>IFERROR(INDEX('Total qty'!$Q$53:$Q$127,MATCH(C778,'Total qty'!$C$53:$C$127,0))*consprofilemultiplier/IF(General!$F$35="Customers",INDEX(Qty!$I$8:$I$82,MATCH(Movements!C778,Qty!$C$8:$C$82,0)),INDEX(Qty!$K$8:$K$82,MATCH(Movements!C778,Qty!$C$8:$C$82,0))),0)</f>
        <v>0</v>
      </c>
      <c r="N778" s="252">
        <f>_xlfn.IFNA(MATCH(C778,Tariffs!$C$46:$C$120,0),0)</f>
        <v>0</v>
      </c>
      <c r="O778" s="206" cm="1">
        <f t="array" ref="O778">IF(N778=0,0,IF(D778="yes",IF(Movements!$G778&gt;INDEX(Tariffs!$T$46:$T$120,$N778),INDEX(Tariffs!$T$46:$T$120,$N778),Movements!$G778),0))</f>
        <v>0</v>
      </c>
      <c r="P778" s="206" cm="1">
        <f t="array" ref="P778">IF(N778=0,0,IF(D778="yes",IF($G778=$O778,0,IF(AND(Movements!$G778&gt;INDEX(Tariffs!$U$46:$U$120,$N778),INDEX(Tariffs!$U$46:$U$120,$N778)&lt;&gt;0),INDEX(Tariffs!$U$46:$U$120,$N778)-INDEX(Tariffs!$T$46:$T$120,$N778),Movements!$G778-Movements!$O778)),0))</f>
        <v>0</v>
      </c>
      <c r="Q778" s="206">
        <f t="shared" si="189"/>
        <v>0</v>
      </c>
      <c r="R778" s="142"/>
      <c r="S778" s="219">
        <f>IFERROR(INDEX('Total qty'!$L$53:$N$127,MATCH(Movements!$C778,'Total qty'!$C$53:$C$127,0),MATCH(Movements!S$716,'Total qty'!$L$5:$N$5,0))/INDEX('Total qty'!$O$53:$O$127,MATCH(Movements!$C778,'Total qty'!$C$53:$C$127,0)),0)</f>
        <v>0</v>
      </c>
      <c r="T778" s="219">
        <f>IFERROR(INDEX('Total qty'!$L$53:$N$127,MATCH(Movements!$C778,'Total qty'!$C$53:$C$127,0),MATCH(Movements!T$716,'Total qty'!$L$5:$N$5,0))/INDEX('Total qty'!$O$53:$O$127,MATCH(Movements!$C778,'Total qty'!$C$53:$C$127,0)),0)</f>
        <v>0</v>
      </c>
      <c r="U778" s="219">
        <f>IFERROR(INDEX('Total qty'!$L$53:$N$127,MATCH(Movements!$C778,'Total qty'!$C$53:$C$127,0),MATCH(Movements!U$716,'Total qty'!$L$5:$N$5,0))/INDEX('Total qty'!$O$53:$O$127,MATCH(Movements!$C778,'Total qty'!$C$53:$C$127,0)),0)</f>
        <v>0</v>
      </c>
      <c r="V778" s="138"/>
      <c r="W778" s="138"/>
      <c r="X778" s="138"/>
      <c r="Y778" s="138"/>
      <c r="Z778" s="138"/>
      <c r="AA778" s="138"/>
      <c r="AB778" s="138"/>
      <c r="AC778" s="70"/>
      <c r="AD778" s="19"/>
      <c r="AE778" s="19"/>
      <c r="AF778" s="19"/>
      <c r="AG778" s="19"/>
    </row>
    <row r="779" spans="1:33" hidden="1" outlineLevel="3" x14ac:dyDescent="0.2">
      <c r="A779" s="19"/>
      <c r="B779" s="97"/>
      <c r="C779" s="506">
        <f t="shared" si="184"/>
        <v>0</v>
      </c>
      <c r="D779" s="505">
        <f t="shared" si="184"/>
        <v>0</v>
      </c>
      <c r="E779" s="505">
        <f t="shared" si="184"/>
        <v>0</v>
      </c>
      <c r="F779" s="246">
        <f t="shared" si="188"/>
        <v>0</v>
      </c>
      <c r="G779" s="198">
        <f>IFERROR(INDEX('Total qty'!$O$53:$O$127,MATCH(Movements!C779,'Total qty'!$C$53:$C$127,0))*consprofilemultiplier/IF(General!$F$35="Customers",INDEX(Qty!$I$8:$I$82,MATCH(Movements!C779,Qty!$C$8:$C$82,0)),INDEX(Qty!$K$8:$K$82,MATCH(Movements!C779,Qty!$C$8:$C$82,0))),0)</f>
        <v>0</v>
      </c>
      <c r="H779" s="143"/>
      <c r="I779" s="206">
        <f t="shared" si="185"/>
        <v>0</v>
      </c>
      <c r="J779" s="206">
        <f t="shared" si="186"/>
        <v>0</v>
      </c>
      <c r="K779" s="206">
        <f t="shared" si="187"/>
        <v>0</v>
      </c>
      <c r="L779" s="178"/>
      <c r="M779" s="198">
        <f>IFERROR(INDEX('Total qty'!$Q$53:$Q$127,MATCH(C779,'Total qty'!$C$53:$C$127,0))*consprofilemultiplier/IF(General!$F$35="Customers",INDEX(Qty!$I$8:$I$82,MATCH(Movements!C779,Qty!$C$8:$C$82,0)),INDEX(Qty!$K$8:$K$82,MATCH(Movements!C779,Qty!$C$8:$C$82,0))),0)</f>
        <v>0</v>
      </c>
      <c r="N779" s="252">
        <f>_xlfn.IFNA(MATCH(C779,Tariffs!$C$46:$C$120,0),0)</f>
        <v>0</v>
      </c>
      <c r="O779" s="206" cm="1">
        <f t="array" ref="O779">IF(N779=0,0,IF(D779="yes",IF(Movements!$G779&gt;INDEX(Tariffs!$T$46:$T$120,$N779),INDEX(Tariffs!$T$46:$T$120,$N779),Movements!$G779),0))</f>
        <v>0</v>
      </c>
      <c r="P779" s="206" cm="1">
        <f t="array" ref="P779">IF(N779=0,0,IF(D779="yes",IF($G779=$O779,0,IF(AND(Movements!$G779&gt;INDEX(Tariffs!$U$46:$U$120,$N779),INDEX(Tariffs!$U$46:$U$120,$N779)&lt;&gt;0),INDEX(Tariffs!$U$46:$U$120,$N779)-INDEX(Tariffs!$T$46:$T$120,$N779),Movements!$G779-Movements!$O779)),0))</f>
        <v>0</v>
      </c>
      <c r="Q779" s="206">
        <f t="shared" si="189"/>
        <v>0</v>
      </c>
      <c r="R779" s="142"/>
      <c r="S779" s="219">
        <f>IFERROR(INDEX('Total qty'!$L$53:$N$127,MATCH(Movements!$C779,'Total qty'!$C$53:$C$127,0),MATCH(Movements!S$716,'Total qty'!$L$5:$N$5,0))/INDEX('Total qty'!$O$53:$O$127,MATCH(Movements!$C779,'Total qty'!$C$53:$C$127,0)),0)</f>
        <v>0</v>
      </c>
      <c r="T779" s="219">
        <f>IFERROR(INDEX('Total qty'!$L$53:$N$127,MATCH(Movements!$C779,'Total qty'!$C$53:$C$127,0),MATCH(Movements!T$716,'Total qty'!$L$5:$N$5,0))/INDEX('Total qty'!$O$53:$O$127,MATCH(Movements!$C779,'Total qty'!$C$53:$C$127,0)),0)</f>
        <v>0</v>
      </c>
      <c r="U779" s="219">
        <f>IFERROR(INDEX('Total qty'!$L$53:$N$127,MATCH(Movements!$C779,'Total qty'!$C$53:$C$127,0),MATCH(Movements!U$716,'Total qty'!$L$5:$N$5,0))/INDEX('Total qty'!$O$53:$O$127,MATCH(Movements!$C779,'Total qty'!$C$53:$C$127,0)),0)</f>
        <v>0</v>
      </c>
      <c r="V779" s="138"/>
      <c r="W779" s="138"/>
      <c r="X779" s="138"/>
      <c r="Y779" s="138"/>
      <c r="Z779" s="138"/>
      <c r="AA779" s="138"/>
      <c r="AB779" s="138"/>
      <c r="AC779" s="70"/>
      <c r="AD779" s="19"/>
      <c r="AE779" s="19"/>
      <c r="AF779" s="19"/>
      <c r="AG779" s="19"/>
    </row>
    <row r="780" spans="1:33" hidden="1" outlineLevel="3" x14ac:dyDescent="0.2">
      <c r="A780" s="19"/>
      <c r="B780" s="97"/>
      <c r="C780" s="506">
        <f t="shared" si="184"/>
        <v>0</v>
      </c>
      <c r="D780" s="505">
        <f t="shared" si="184"/>
        <v>0</v>
      </c>
      <c r="E780" s="505">
        <f t="shared" si="184"/>
        <v>0</v>
      </c>
      <c r="F780" s="246">
        <f t="shared" si="188"/>
        <v>0</v>
      </c>
      <c r="G780" s="198">
        <f>IFERROR(INDEX('Total qty'!$O$53:$O$127,MATCH(Movements!C780,'Total qty'!$C$53:$C$127,0))*consprofilemultiplier/IF(General!$F$35="Customers",INDEX(Qty!$I$8:$I$82,MATCH(Movements!C780,Qty!$C$8:$C$82,0)),INDEX(Qty!$K$8:$K$82,MATCH(Movements!C780,Qty!$C$8:$C$82,0))),0)</f>
        <v>0</v>
      </c>
      <c r="H780" s="143"/>
      <c r="I780" s="206">
        <f t="shared" si="185"/>
        <v>0</v>
      </c>
      <c r="J780" s="206">
        <f t="shared" si="186"/>
        <v>0</v>
      </c>
      <c r="K780" s="206">
        <f t="shared" si="187"/>
        <v>0</v>
      </c>
      <c r="L780" s="178"/>
      <c r="M780" s="198">
        <f>IFERROR(INDEX('Total qty'!$Q$53:$Q$127,MATCH(C780,'Total qty'!$C$53:$C$127,0))*consprofilemultiplier/IF(General!$F$35="Customers",INDEX(Qty!$I$8:$I$82,MATCH(Movements!C780,Qty!$C$8:$C$82,0)),INDEX(Qty!$K$8:$K$82,MATCH(Movements!C780,Qty!$C$8:$C$82,0))),0)</f>
        <v>0</v>
      </c>
      <c r="N780" s="252">
        <f>_xlfn.IFNA(MATCH(C780,Tariffs!$C$46:$C$120,0),0)</f>
        <v>0</v>
      </c>
      <c r="O780" s="206" cm="1">
        <f t="array" ref="O780">IF(N780=0,0,IF(D780="yes",IF(Movements!$G780&gt;INDEX(Tariffs!$T$46:$T$120,$N780),INDEX(Tariffs!$T$46:$T$120,$N780),Movements!$G780),0))</f>
        <v>0</v>
      </c>
      <c r="P780" s="206" cm="1">
        <f t="array" ref="P780">IF(N780=0,0,IF(D780="yes",IF($G780=$O780,0,IF(AND(Movements!$G780&gt;INDEX(Tariffs!$U$46:$U$120,$N780),INDEX(Tariffs!$U$46:$U$120,$N780)&lt;&gt;0),INDEX(Tariffs!$U$46:$U$120,$N780)-INDEX(Tariffs!$T$46:$T$120,$N780),Movements!$G780-Movements!$O780)),0))</f>
        <v>0</v>
      </c>
      <c r="Q780" s="206">
        <f t="shared" si="189"/>
        <v>0</v>
      </c>
      <c r="R780" s="142"/>
      <c r="S780" s="219">
        <f>IFERROR(INDEX('Total qty'!$L$53:$N$127,MATCH(Movements!$C780,'Total qty'!$C$53:$C$127,0),MATCH(Movements!S$716,'Total qty'!$L$5:$N$5,0))/INDEX('Total qty'!$O$53:$O$127,MATCH(Movements!$C780,'Total qty'!$C$53:$C$127,0)),0)</f>
        <v>0</v>
      </c>
      <c r="T780" s="219">
        <f>IFERROR(INDEX('Total qty'!$L$53:$N$127,MATCH(Movements!$C780,'Total qty'!$C$53:$C$127,0),MATCH(Movements!T$716,'Total qty'!$L$5:$N$5,0))/INDEX('Total qty'!$O$53:$O$127,MATCH(Movements!$C780,'Total qty'!$C$53:$C$127,0)),0)</f>
        <v>0</v>
      </c>
      <c r="U780" s="219">
        <f>IFERROR(INDEX('Total qty'!$L$53:$N$127,MATCH(Movements!$C780,'Total qty'!$C$53:$C$127,0),MATCH(Movements!U$716,'Total qty'!$L$5:$N$5,0))/INDEX('Total qty'!$O$53:$O$127,MATCH(Movements!$C780,'Total qty'!$C$53:$C$127,0)),0)</f>
        <v>0</v>
      </c>
      <c r="V780" s="138"/>
      <c r="W780" s="138"/>
      <c r="X780" s="138"/>
      <c r="Y780" s="138"/>
      <c r="Z780" s="138"/>
      <c r="AA780" s="138"/>
      <c r="AB780" s="138"/>
      <c r="AC780" s="70"/>
      <c r="AD780" s="19"/>
      <c r="AE780" s="19"/>
      <c r="AF780" s="19"/>
      <c r="AG780" s="19"/>
    </row>
    <row r="781" spans="1:33" hidden="1" outlineLevel="3" x14ac:dyDescent="0.2">
      <c r="A781" s="19"/>
      <c r="B781" s="98"/>
      <c r="C781" s="506">
        <f t="shared" si="184"/>
        <v>0</v>
      </c>
      <c r="D781" s="505">
        <f t="shared" si="184"/>
        <v>0</v>
      </c>
      <c r="E781" s="505">
        <f t="shared" si="184"/>
        <v>0</v>
      </c>
      <c r="F781" s="246">
        <f t="shared" si="188"/>
        <v>0</v>
      </c>
      <c r="G781" s="198">
        <f>IFERROR(INDEX('Total qty'!$O$53:$O$127,MATCH(Movements!C781,'Total qty'!$C$53:$C$127,0))*consprofilemultiplier/IF(General!$F$35="Customers",INDEX(Qty!$I$8:$I$82,MATCH(Movements!C781,Qty!$C$8:$C$82,0)),INDEX(Qty!$K$8:$K$82,MATCH(Movements!C781,Qty!$C$8:$C$82,0))),0)</f>
        <v>0</v>
      </c>
      <c r="H781" s="143"/>
      <c r="I781" s="206">
        <f t="shared" si="185"/>
        <v>0</v>
      </c>
      <c r="J781" s="206">
        <f t="shared" si="186"/>
        <v>0</v>
      </c>
      <c r="K781" s="206">
        <f t="shared" si="187"/>
        <v>0</v>
      </c>
      <c r="L781" s="178"/>
      <c r="M781" s="198">
        <f>IFERROR(INDEX('Total qty'!$Q$53:$Q$127,MATCH(C781,'Total qty'!$C$53:$C$127,0))*consprofilemultiplier/IF(General!$F$35="Customers",INDEX(Qty!$I$8:$I$82,MATCH(Movements!C781,Qty!$C$8:$C$82,0)),INDEX(Qty!$K$8:$K$82,MATCH(Movements!C781,Qty!$C$8:$C$82,0))),0)</f>
        <v>0</v>
      </c>
      <c r="N781" s="252">
        <f>_xlfn.IFNA(MATCH(C781,Tariffs!$C$46:$C$120,0),0)</f>
        <v>0</v>
      </c>
      <c r="O781" s="206" cm="1">
        <f t="array" ref="O781">IF(N781=0,0,IF(D781="yes",IF(Movements!$G781&gt;INDEX(Tariffs!$T$46:$T$120,$N781),INDEX(Tariffs!$T$46:$T$120,$N781),Movements!$G781),0))</f>
        <v>0</v>
      </c>
      <c r="P781" s="206" cm="1">
        <f t="array" ref="P781">IF(N781=0,0,IF(D781="yes",IF($G781=$O781,0,IF(AND(Movements!$G781&gt;INDEX(Tariffs!$U$46:$U$120,$N781),INDEX(Tariffs!$U$46:$U$120,$N781)&lt;&gt;0),INDEX(Tariffs!$U$46:$U$120,$N781)-INDEX(Tariffs!$T$46:$T$120,$N781),Movements!$G781-Movements!$O781)),0))</f>
        <v>0</v>
      </c>
      <c r="Q781" s="206">
        <f t="shared" si="189"/>
        <v>0</v>
      </c>
      <c r="R781" s="142"/>
      <c r="S781" s="219">
        <f>IFERROR(INDEX('Total qty'!$L$53:$N$127,MATCH(Movements!$C781,'Total qty'!$C$53:$C$127,0),MATCH(Movements!S$716,'Total qty'!$L$5:$N$5,0))/INDEX('Total qty'!$O$53:$O$127,MATCH(Movements!$C781,'Total qty'!$C$53:$C$127,0)),0)</f>
        <v>0</v>
      </c>
      <c r="T781" s="219">
        <f>IFERROR(INDEX('Total qty'!$L$53:$N$127,MATCH(Movements!$C781,'Total qty'!$C$53:$C$127,0),MATCH(Movements!T$716,'Total qty'!$L$5:$N$5,0))/INDEX('Total qty'!$O$53:$O$127,MATCH(Movements!$C781,'Total qty'!$C$53:$C$127,0)),0)</f>
        <v>0</v>
      </c>
      <c r="U781" s="219">
        <f>IFERROR(INDEX('Total qty'!$L$53:$N$127,MATCH(Movements!$C781,'Total qty'!$C$53:$C$127,0),MATCH(Movements!U$716,'Total qty'!$L$5:$N$5,0))/INDEX('Total qty'!$O$53:$O$127,MATCH(Movements!$C781,'Total qty'!$C$53:$C$127,0)),0)</f>
        <v>0</v>
      </c>
      <c r="V781" s="138"/>
      <c r="W781" s="138"/>
      <c r="X781" s="138"/>
      <c r="Y781" s="138"/>
      <c r="Z781" s="138"/>
      <c r="AA781" s="138"/>
      <c r="AB781" s="138"/>
      <c r="AC781" s="70"/>
      <c r="AD781" s="19"/>
      <c r="AE781" s="19"/>
      <c r="AF781" s="19"/>
      <c r="AG781" s="19"/>
    </row>
    <row r="782" spans="1:33" outlineLevel="2" collapsed="1" x14ac:dyDescent="0.2">
      <c r="A782" s="19"/>
      <c r="B782" s="19"/>
      <c r="C782" s="560"/>
      <c r="D782" s="558"/>
      <c r="E782" s="559"/>
      <c r="F782" s="246"/>
      <c r="G782" s="177"/>
      <c r="H782" s="72"/>
      <c r="I782" s="179"/>
      <c r="J782" s="179"/>
      <c r="K782" s="179"/>
      <c r="L782" s="179"/>
      <c r="M782" s="178"/>
      <c r="N782" s="70"/>
      <c r="O782" s="70"/>
      <c r="P782" s="70"/>
      <c r="Q782" s="70"/>
      <c r="R782" s="71"/>
      <c r="S782" s="220"/>
      <c r="T782" s="220"/>
      <c r="U782" s="220"/>
      <c r="V782" s="70"/>
      <c r="W782" s="70"/>
      <c r="X782" s="70"/>
      <c r="Y782" s="70"/>
      <c r="Z782" s="70"/>
      <c r="AA782" s="70"/>
      <c r="AB782" s="70"/>
      <c r="AC782" s="70"/>
      <c r="AD782" s="19"/>
      <c r="AE782" s="19"/>
      <c r="AF782" s="19"/>
      <c r="AG782" s="19"/>
    </row>
    <row r="783" spans="1:33" outlineLevel="1" x14ac:dyDescent="0.2">
      <c r="A783" s="19"/>
      <c r="B783" s="19"/>
      <c r="C783" s="217"/>
      <c r="D783" s="217"/>
      <c r="E783" s="536"/>
      <c r="F783" s="246"/>
      <c r="G783" s="177"/>
      <c r="H783" s="72"/>
      <c r="I783" s="179"/>
      <c r="J783" s="179"/>
      <c r="K783" s="179"/>
      <c r="L783" s="179"/>
      <c r="M783" s="178"/>
      <c r="N783" s="70"/>
      <c r="O783" s="70"/>
      <c r="P783" s="70"/>
      <c r="Q783" s="70"/>
      <c r="R783" s="71"/>
      <c r="S783" s="220"/>
      <c r="T783" s="220"/>
      <c r="U783" s="220"/>
      <c r="V783" s="70"/>
      <c r="W783" s="70"/>
      <c r="X783" s="70"/>
      <c r="Y783" s="70"/>
      <c r="Z783" s="70"/>
      <c r="AA783" s="70"/>
      <c r="AB783" s="70"/>
      <c r="AC783" s="70"/>
      <c r="AD783" s="19"/>
      <c r="AE783" s="19"/>
      <c r="AF783" s="19"/>
      <c r="AG783" s="19"/>
    </row>
    <row r="784" spans="1:33" outlineLevel="1" x14ac:dyDescent="0.2">
      <c r="A784" s="19"/>
      <c r="B784" s="19"/>
      <c r="C784" s="167" t="str">
        <f>C682</f>
        <v>Actual 2020–21</v>
      </c>
      <c r="D784" s="167"/>
      <c r="E784" s="512"/>
      <c r="F784" s="246"/>
      <c r="G784" s="178"/>
      <c r="H784" s="70"/>
      <c r="I784" s="178"/>
      <c r="J784" s="178"/>
      <c r="K784" s="178"/>
      <c r="L784" s="178"/>
      <c r="M784" s="178"/>
      <c r="N784" s="70"/>
      <c r="O784" s="70"/>
      <c r="P784" s="70"/>
      <c r="Q784" s="70"/>
      <c r="R784" s="70"/>
      <c r="S784" s="220"/>
      <c r="T784" s="220"/>
      <c r="U784" s="220"/>
      <c r="V784" s="70"/>
      <c r="W784" s="70"/>
      <c r="X784" s="70"/>
      <c r="Y784" s="70"/>
      <c r="Z784" s="70"/>
      <c r="AA784" s="70"/>
      <c r="AB784" s="70"/>
      <c r="AC784" s="70"/>
      <c r="AD784" s="19"/>
      <c r="AE784" s="19"/>
      <c r="AF784" s="19"/>
      <c r="AG784" s="19"/>
    </row>
    <row r="785" spans="1:33" outlineLevel="2" x14ac:dyDescent="0.2">
      <c r="A785" s="19"/>
      <c r="B785" s="19"/>
      <c r="C785" s="506" t="str">
        <f>C482</f>
        <v>Small business time of use consumption</v>
      </c>
      <c r="D785" s="505">
        <f t="shared" ref="D785:E814" si="190">D719</f>
        <v>0</v>
      </c>
      <c r="E785" s="505" t="str">
        <f t="shared" si="190"/>
        <v>yes</v>
      </c>
      <c r="F785" s="246">
        <f t="shared" si="188"/>
        <v>1</v>
      </c>
      <c r="G785" s="198">
        <f>IFERROR(INDEX('Total qty'!$O$131:$O$205,MATCH(Movements!C785,'Total qty'!$C$131:$C$205,0))*consprofilemultiplier/IF(General!$F$35="Customers",INDEX(Qty!$I$87:$I$161,MATCH(Movements!C785,Qty!$C$87:$C$161,0)),INDEX(Qty!$K$87:$K$161,MATCH(Movements!C785,Qty!$C$87:$C$161,0))),0)</f>
        <v>60451.816340606929</v>
      </c>
      <c r="H785" s="143"/>
      <c r="I785" s="206">
        <f t="shared" ref="I785:I814" si="191">$G785*S785</f>
        <v>34593.553476044697</v>
      </c>
      <c r="J785" s="206">
        <f t="shared" ref="J785:J814" si="192">$G785*T785</f>
        <v>8677.674553284196</v>
      </c>
      <c r="K785" s="206">
        <f t="shared" ref="K785:K814" si="193">$G785*U785</f>
        <v>17180.588311278036</v>
      </c>
      <c r="L785" s="178"/>
      <c r="M785" s="198">
        <f>IFERROR(INDEX('Total qty'!$Q$209:$Q$283,MATCH(C785,'Total qty'!$C$209:$C$283,0))*consprofilemultiplier/IF(General!$F$35="Customers",INDEX(Qty!$I$87:$I$161,MATCH(Movements!C785,Qty!$C$87:$C$161,0)),INDEX(Qty!$K$87:$K$161,MATCH(Movements!C785,Qty!$C$87:$C$161,0))),0)</f>
        <v>0</v>
      </c>
      <c r="N785" s="252">
        <f>_xlfn.IFNA(MATCH(C785,IF(currentyear=RCPminus1,Tariffs!$H$46:$H$120,Tariffs!$C$46:$C$120),0),0)</f>
        <v>7</v>
      </c>
      <c r="O785" s="206" cm="1">
        <f t="array" ref="O785">IF(N785=0,0,IF(D785="yes",IF(Movements!$G785&gt;INDEX(Tariffs!$T$46:$T$120,$N785),INDEX(Tariffs!$T$46:$T$120,$N785),Movements!$G785),0))</f>
        <v>0</v>
      </c>
      <c r="P785" s="206" cm="1">
        <f t="array" ref="P785">IF(N785=0,0,IF(D785="yes",IF($G785=$O785,0,IF(AND(Movements!$G785&gt;INDEX(Tariffs!$U$46:$U$120,$N785),INDEX(Tariffs!$U$46:$U$120,$N785)&lt;&gt;0),INDEX(Tariffs!$U$46:$U$120,$N785)-INDEX(Tariffs!$T$46:$T$120,$N785),Movements!$G785-Movements!$O785)),0))</f>
        <v>0</v>
      </c>
      <c r="Q785" s="206">
        <f>IF(N785=0,0,IF(D785="yes",IF($G785=$O785+$P785,0,$G785-($O785+$P785)),0))</f>
        <v>0</v>
      </c>
      <c r="R785" s="142"/>
      <c r="S785" s="219">
        <f>IFERROR(INDEX('Total qty'!$L$209:$N$283,MATCH(Movements!$C785,'Total qty'!$C$209:$C$283,0),MATCH(Movements!S$716,'Total qty'!$L$5:$N$5,0))/INDEX('Total qty'!$O$209:$O$283,MATCH(Movements!$C785,'Total qty'!$C$209:$C$283,0)),0)</f>
        <v>0.57225002605599762</v>
      </c>
      <c r="T785" s="219">
        <f>IFERROR(INDEX('Total qty'!$L$209:$N$283,MATCH(Movements!$C785,'Total qty'!$C$209:$C$283,0),MATCH(Movements!T$716,'Total qty'!$L$5:$N$5,0))/INDEX('Total qty'!$O$209:$O$283,MATCH(Movements!$C785,'Total qty'!$C$209:$C$283,0)),0)</f>
        <v>0.14354696150717963</v>
      </c>
      <c r="U785" s="219">
        <f>IFERROR(INDEX('Total qty'!$L$209:$N$283,MATCH(Movements!$C785,'Total qty'!$C$209:$C$283,0),MATCH(Movements!U$716,'Total qty'!$L$5:$N$5,0))/INDEX('Total qty'!$O$209:$O$283,MATCH(Movements!$C785,'Total qty'!$C$209:$C$283,0)),0)</f>
        <v>0.28420301243682278</v>
      </c>
      <c r="V785" s="582">
        <f>IFERROR(INDEX('Total qty'!$L$209:$N$283,MATCH(Movements!$C785,'Total qty'!$C$209:$C$283,0),MATCH(Movements!V$716,'Total qty'!$L$5:$N$5,0))/INDEX('Total qty'!$O$209:$O$283,MATCH(Movements!$C785,'Total qty'!$C$209:$C$283,0)),0)</f>
        <v>0</v>
      </c>
      <c r="W785" s="220">
        <f>IFERROR(INDEX('Total qty'!$L$209:$N$283,MATCH(Movements!$C785,'Total qty'!$C$209:$C$283,0),MATCH(Movements!W$716,'Total qty'!$L$5:$N$5,0))/INDEX('Total qty'!$O$209:$O$283,MATCH(Movements!$C785,'Total qty'!$C$209:$C$283,0)),0)</f>
        <v>0</v>
      </c>
      <c r="X785" s="220">
        <f>IFERROR(INDEX('Total qty'!$L$209:$N$283,MATCH(Movements!$C785,'Total qty'!$C$209:$C$283,0),MATCH(Movements!X$716,'Total qty'!$L$5:$N$5,0))/INDEX('Total qty'!$O$209:$O$283,MATCH(Movements!$C785,'Total qty'!$C$209:$C$283,0)),0)</f>
        <v>0</v>
      </c>
      <c r="Y785" s="220">
        <f>IFERROR(INDEX('Total qty'!$L$209:$N$283,MATCH(Movements!$C785,'Total qty'!$C$209:$C$283,0),MATCH(Movements!Y$716,'Total qty'!$L$5:$N$5,0))/INDEX('Total qty'!$O$209:$O$283,MATCH(Movements!$C785,'Total qty'!$C$209:$C$283,0)),0)</f>
        <v>0</v>
      </c>
      <c r="Z785" s="220">
        <f>IFERROR(INDEX('Total qty'!$L$209:$N$283,MATCH(Movements!$C785,'Total qty'!$C$209:$C$283,0),MATCH(Movements!Z$716,'Total qty'!$L$5:$N$5,0))/INDEX('Total qty'!$O$209:$O$283,MATCH(Movements!$C785,'Total qty'!$C$209:$C$283,0)),0)</f>
        <v>0</v>
      </c>
      <c r="AA785" s="220">
        <f>IFERROR(INDEX('Total qty'!$L$209:$N$283,MATCH(Movements!$C785,'Total qty'!$C$209:$C$283,0),MATCH(Movements!AA$716,'Total qty'!$L$5:$N$5,0))/INDEX('Total qty'!$O$209:$O$283,MATCH(Movements!$C785,'Total qty'!$C$209:$C$283,0)),0)</f>
        <v>0</v>
      </c>
      <c r="AB785" s="220">
        <f>IFERROR(INDEX('Total qty'!$L$209:$N$283,MATCH(Movements!$C785,'Total qty'!$C$209:$C$283,0),MATCH(Movements!AB$716,'Total qty'!$L$5:$N$5,0))/INDEX('Total qty'!$O$209:$O$283,MATCH(Movements!$C785,'Total qty'!$C$209:$C$283,0)),0)</f>
        <v>0</v>
      </c>
      <c r="AC785" s="70"/>
      <c r="AD785" s="19"/>
      <c r="AE785" s="19"/>
      <c r="AF785" s="19"/>
      <c r="AG785" s="19"/>
    </row>
    <row r="786" spans="1:33" s="59" customFormat="1" outlineLevel="2" x14ac:dyDescent="0.2">
      <c r="A786" s="57"/>
      <c r="B786" s="57"/>
      <c r="C786" s="506" t="str">
        <f t="shared" ref="C786:C814" si="194">C483</f>
        <v>Small business general light and power</v>
      </c>
      <c r="D786" s="505">
        <f t="shared" si="190"/>
        <v>0</v>
      </c>
      <c r="E786" s="505" t="str">
        <f t="shared" si="190"/>
        <v>no</v>
      </c>
      <c r="F786" s="246">
        <f t="shared" si="188"/>
        <v>0</v>
      </c>
      <c r="G786" s="198">
        <f>IFERROR(INDEX('Total qty'!$O$131:$O$205,MATCH(Movements!C786,'Total qty'!$C$131:$C$205,0))*consprofilemultiplier/IF(General!$F$35="Customers",INDEX(Qty!$I$87:$I$161,MATCH(Movements!C786,Qty!$C$87:$C$161,0)),INDEX(Qty!$K$87:$K$161,MATCH(Movements!C786,Qty!$C$87:$C$161,0))),0)</f>
        <v>9221.1203661586624</v>
      </c>
      <c r="H786" s="143"/>
      <c r="I786" s="206">
        <f t="shared" si="191"/>
        <v>0</v>
      </c>
      <c r="J786" s="206">
        <f t="shared" si="192"/>
        <v>0</v>
      </c>
      <c r="K786" s="206">
        <f t="shared" si="193"/>
        <v>0</v>
      </c>
      <c r="L786" s="178"/>
      <c r="M786" s="198">
        <f>IFERROR(INDEX('Total qty'!$Q$209:$Q$283,MATCH(C786,'Total qty'!$C$209:$C$283,0))*consprofilemultiplier/IF(General!$F$35="Customers",INDEX(Qty!$I$87:$I$161,MATCH(Movements!C786,Qty!$C$87:$C$161,0)),INDEX(Qty!$K$87:$K$161,MATCH(Movements!C786,Qty!$C$87:$C$161,0))),0)</f>
        <v>0</v>
      </c>
      <c r="N786" s="252">
        <f>_xlfn.IFNA(MATCH(C786,IF(currentyear=RCPminus1,Tariffs!$H$46:$H$120,Tariffs!$C$46:$C$120),0),0)</f>
        <v>8</v>
      </c>
      <c r="O786" s="206" cm="1">
        <f t="array" ref="O786">IF(N786=0,0,IF(D786="yes",IF(Movements!$G786&gt;INDEX(Tariffs!$T$46:$T$120,$N786),INDEX(Tariffs!$T$46:$T$120,$N786),Movements!$G786),0))</f>
        <v>0</v>
      </c>
      <c r="P786" s="206" cm="1">
        <f t="array" ref="P786">IF(N786=0,0,IF(D786="yes",IF($G786=$O786,0,IF(AND(Movements!$G786&gt;INDEX(Tariffs!$U$46:$U$120,$N786),INDEX(Tariffs!$U$46:$U$120,$N786)&lt;&gt;0),INDEX(Tariffs!$U$46:$U$120,$N786)-INDEX(Tariffs!$T$46:$T$120,$N786),Movements!$G786-Movements!$O786)),0))</f>
        <v>0</v>
      </c>
      <c r="Q786" s="206">
        <f t="shared" ref="Q786:Q814" si="195">IF(N786=0,0,IF(D786="yes",IF($G786=$O786+$P786,0,$G786-($O786+$P786)),0))</f>
        <v>0</v>
      </c>
      <c r="R786" s="142"/>
      <c r="S786" s="219">
        <f>IFERROR(INDEX('Total qty'!$L$209:$N$283,MATCH(Movements!$C786,'Total qty'!$C$209:$C$283,0),MATCH(Movements!S$716,'Total qty'!$L$5:$N$5,0))/INDEX('Total qty'!$O$209:$O$283,MATCH(Movements!$C786,'Total qty'!$C$209:$C$283,0)),0)</f>
        <v>0</v>
      </c>
      <c r="T786" s="219">
        <f>IFERROR(INDEX('Total qty'!$L$209:$N$283,MATCH(Movements!$C786,'Total qty'!$C$209:$C$283,0),MATCH(Movements!T$716,'Total qty'!$L$5:$N$5,0))/INDEX('Total qty'!$O$209:$O$283,MATCH(Movements!$C786,'Total qty'!$C$209:$C$283,0)),0)</f>
        <v>0</v>
      </c>
      <c r="U786" s="219">
        <f>IFERROR(INDEX('Total qty'!$L$209:$N$283,MATCH(Movements!$C786,'Total qty'!$C$209:$C$283,0),MATCH(Movements!U$716,'Total qty'!$L$5:$N$5,0))/INDEX('Total qty'!$O$209:$O$283,MATCH(Movements!$C786,'Total qty'!$C$209:$C$283,0)),0)</f>
        <v>0</v>
      </c>
      <c r="V786" s="138"/>
      <c r="W786" s="138"/>
      <c r="X786" s="138"/>
      <c r="Y786" s="138"/>
      <c r="Z786" s="138"/>
      <c r="AA786" s="138"/>
      <c r="AB786" s="138"/>
      <c r="AC786" s="70"/>
      <c r="AD786" s="57"/>
      <c r="AE786" s="57"/>
      <c r="AF786" s="57"/>
      <c r="AG786" s="57"/>
    </row>
    <row r="787" spans="1:33" outlineLevel="2" x14ac:dyDescent="0.2">
      <c r="A787" s="19"/>
      <c r="B787" s="19"/>
      <c r="C787" s="506">
        <f t="shared" si="194"/>
        <v>0</v>
      </c>
      <c r="D787" s="505">
        <f t="shared" si="190"/>
        <v>0</v>
      </c>
      <c r="E787" s="505">
        <f t="shared" si="190"/>
        <v>0</v>
      </c>
      <c r="F787" s="246">
        <f t="shared" si="188"/>
        <v>0</v>
      </c>
      <c r="G787" s="198">
        <f>IFERROR(INDEX('Total qty'!$O$131:$O$205,MATCH(Movements!C787,'Total qty'!$C$131:$C$205,0))*consprofilemultiplier/IF(General!$F$35="Customers",INDEX(Qty!$I$87:$I$161,MATCH(Movements!C787,Qty!$C$87:$C$161,0)),INDEX(Qty!$K$87:$K$161,MATCH(Movements!C787,Qty!$C$87:$C$161,0))),0)</f>
        <v>0</v>
      </c>
      <c r="H787" s="143"/>
      <c r="I787" s="206">
        <f t="shared" si="191"/>
        <v>0</v>
      </c>
      <c r="J787" s="206">
        <f t="shared" si="192"/>
        <v>0</v>
      </c>
      <c r="K787" s="206">
        <f t="shared" si="193"/>
        <v>0</v>
      </c>
      <c r="L787" s="178"/>
      <c r="M787" s="198">
        <f>IFERROR(INDEX('Total qty'!$Q$209:$Q$283,MATCH(C787,'Total qty'!$C$209:$C$283,0))*consprofilemultiplier/IF(General!$F$35="Customers",INDEX(Qty!$I$87:$I$161,MATCH(Movements!C787,Qty!$C$87:$C$161,0)),INDEX(Qty!$K$87:$K$161,MATCH(Movements!C787,Qty!$C$87:$C$161,0))),0)</f>
        <v>0</v>
      </c>
      <c r="N787" s="252">
        <f>_xlfn.IFNA(MATCH(C787,IF(currentyear=RCPminus1,Tariffs!$H$46:$H$120,Tariffs!$C$46:$C$120),0),0)</f>
        <v>0</v>
      </c>
      <c r="O787" s="206" cm="1">
        <f t="array" ref="O787">IF(N787=0,0,IF(D787="yes",IF(Movements!$G787&gt;INDEX(Tariffs!$T$46:$T$120,$N787),INDEX(Tariffs!$T$46:$T$120,$N787),Movements!$G787),0))</f>
        <v>0</v>
      </c>
      <c r="P787" s="206" cm="1">
        <f t="array" ref="P787">IF(N787=0,0,IF(D787="yes",IF($G787=$O787,0,IF(AND(Movements!$G787&gt;INDEX(Tariffs!$U$46:$U$120,$N787),INDEX(Tariffs!$U$46:$U$120,$N787)&lt;&gt;0),INDEX(Tariffs!$U$46:$U$120,$N787)-INDEX(Tariffs!$T$46:$T$120,$N787),Movements!$G787-Movements!$O787)),0))</f>
        <v>0</v>
      </c>
      <c r="Q787" s="206">
        <f t="shared" si="195"/>
        <v>0</v>
      </c>
      <c r="R787" s="142"/>
      <c r="S787" s="219">
        <f>IFERROR(INDEX('Total qty'!$L$209:$N$283,MATCH(Movements!$C787,'Total qty'!$C$209:$C$283,0),MATCH(Movements!S$716,'Total qty'!$L$5:$N$5,0))/INDEX('Total qty'!$O$209:$O$283,MATCH(Movements!$C787,'Total qty'!$C$209:$C$283,0)),0)</f>
        <v>0</v>
      </c>
      <c r="T787" s="219">
        <f>IFERROR(INDEX('Total qty'!$L$209:$N$283,MATCH(Movements!$C787,'Total qty'!$C$209:$C$283,0),MATCH(Movements!T$716,'Total qty'!$L$5:$N$5,0))/INDEX('Total qty'!$O$209:$O$283,MATCH(Movements!$C787,'Total qty'!$C$209:$C$283,0)),0)</f>
        <v>0</v>
      </c>
      <c r="U787" s="219">
        <f>IFERROR(INDEX('Total qty'!$L$209:$N$283,MATCH(Movements!$C787,'Total qty'!$C$209:$C$283,0),MATCH(Movements!U$716,'Total qty'!$L$5:$N$5,0))/INDEX('Total qty'!$O$209:$O$283,MATCH(Movements!$C787,'Total qty'!$C$209:$C$283,0)),0)</f>
        <v>0</v>
      </c>
      <c r="V787" s="138"/>
      <c r="W787" s="138"/>
      <c r="X787" s="138"/>
      <c r="Y787" s="138"/>
      <c r="Z787" s="138"/>
      <c r="AA787" s="138"/>
      <c r="AB787" s="138"/>
      <c r="AC787" s="70"/>
      <c r="AD787" s="19"/>
      <c r="AE787" s="19"/>
      <c r="AF787" s="19"/>
      <c r="AG787" s="19"/>
    </row>
    <row r="788" spans="1:33" hidden="1" outlineLevel="3" x14ac:dyDescent="0.2">
      <c r="A788" s="19"/>
      <c r="B788" s="19"/>
      <c r="C788" s="506">
        <f t="shared" si="194"/>
        <v>0</v>
      </c>
      <c r="D788" s="505">
        <f t="shared" si="190"/>
        <v>0</v>
      </c>
      <c r="E788" s="505">
        <f t="shared" si="190"/>
        <v>0</v>
      </c>
      <c r="F788" s="246">
        <f t="shared" si="188"/>
        <v>0</v>
      </c>
      <c r="G788" s="198">
        <f>IFERROR(INDEX('Total qty'!$O$131:$O$205,MATCH(Movements!C788,'Total qty'!$C$131:$C$205,0))*consprofilemultiplier/IF(General!$F$35="Customers",INDEX(Qty!$I$87:$I$161,MATCH(Movements!C788,Qty!$C$87:$C$161,0)),INDEX(Qty!$K$87:$K$161,MATCH(Movements!C788,Qty!$C$87:$C$161,0))),0)</f>
        <v>0</v>
      </c>
      <c r="H788" s="143"/>
      <c r="I788" s="206">
        <f t="shared" si="191"/>
        <v>0</v>
      </c>
      <c r="J788" s="206">
        <f t="shared" si="192"/>
        <v>0</v>
      </c>
      <c r="K788" s="206">
        <f t="shared" si="193"/>
        <v>0</v>
      </c>
      <c r="L788" s="178"/>
      <c r="M788" s="198">
        <f>IFERROR(INDEX('Total qty'!$Q$209:$Q$283,MATCH(C788,'Total qty'!$C$209:$C$283,0))*consprofilemultiplier/IF(General!$F$35="Customers",INDEX(Qty!$I$87:$I$161,MATCH(Movements!C788,Qty!$C$87:$C$161,0)),INDEX(Qty!$K$87:$K$161,MATCH(Movements!C788,Qty!$C$87:$C$161,0))),0)</f>
        <v>0</v>
      </c>
      <c r="N788" s="252">
        <f>_xlfn.IFNA(MATCH(C788,IF(currentyear=RCPminus1,Tariffs!$H$46:$H$120,Tariffs!$C$46:$C$120),0),0)</f>
        <v>0</v>
      </c>
      <c r="O788" s="206" cm="1">
        <f t="array" ref="O788">IF(N788=0,0,IF(D788="yes",IF(Movements!$G788&gt;INDEX(Tariffs!$T$46:$T$120,$N788),INDEX(Tariffs!$T$46:$T$120,$N788),Movements!$G788),0))</f>
        <v>0</v>
      </c>
      <c r="P788" s="206" cm="1">
        <f t="array" ref="P788">IF(N788=0,0,IF(D788="yes",IF($G788=$O788,0,IF(AND(Movements!$G788&gt;INDEX(Tariffs!$U$46:$U$120,$N788),INDEX(Tariffs!$U$46:$U$120,$N788)&lt;&gt;0),INDEX(Tariffs!$U$46:$U$120,$N788)-INDEX(Tariffs!$T$46:$T$120,$N788),Movements!$G788-Movements!$O788)),0))</f>
        <v>0</v>
      </c>
      <c r="Q788" s="206">
        <f t="shared" si="195"/>
        <v>0</v>
      </c>
      <c r="R788" s="142"/>
      <c r="S788" s="219">
        <f>IFERROR(INDEX('Total qty'!$L$209:$N$283,MATCH(Movements!$C788,'Total qty'!$C$209:$C$283,0),MATCH(Movements!S$716,'Total qty'!$L$5:$N$5,0))/INDEX('Total qty'!$O$209:$O$283,MATCH(Movements!$C788,'Total qty'!$C$209:$C$283,0)),0)</f>
        <v>0</v>
      </c>
      <c r="T788" s="219">
        <f>IFERROR(INDEX('Total qty'!$L$209:$N$283,MATCH(Movements!$C788,'Total qty'!$C$209:$C$283,0),MATCH(Movements!T$716,'Total qty'!$L$5:$N$5,0))/INDEX('Total qty'!$O$209:$O$283,MATCH(Movements!$C788,'Total qty'!$C$209:$C$283,0)),0)</f>
        <v>0</v>
      </c>
      <c r="U788" s="219">
        <f>IFERROR(INDEX('Total qty'!$L$209:$N$283,MATCH(Movements!$C788,'Total qty'!$C$209:$C$283,0),MATCH(Movements!U$716,'Total qty'!$L$5:$N$5,0))/INDEX('Total qty'!$O$209:$O$283,MATCH(Movements!$C788,'Total qty'!$C$209:$C$283,0)),0)</f>
        <v>0</v>
      </c>
      <c r="V788" s="138"/>
      <c r="W788" s="138"/>
      <c r="X788" s="138"/>
      <c r="Y788" s="138"/>
      <c r="Z788" s="138"/>
      <c r="AA788" s="138"/>
      <c r="AB788" s="138"/>
      <c r="AC788" s="70"/>
      <c r="AD788" s="19"/>
      <c r="AE788" s="19"/>
      <c r="AF788" s="19"/>
      <c r="AG788" s="19"/>
    </row>
    <row r="789" spans="1:33" hidden="1" outlineLevel="3" x14ac:dyDescent="0.2">
      <c r="A789" s="19"/>
      <c r="B789" s="19"/>
      <c r="C789" s="506">
        <f t="shared" si="194"/>
        <v>0</v>
      </c>
      <c r="D789" s="505">
        <f t="shared" si="190"/>
        <v>0</v>
      </c>
      <c r="E789" s="505">
        <f t="shared" si="190"/>
        <v>0</v>
      </c>
      <c r="F789" s="246">
        <f t="shared" si="188"/>
        <v>0</v>
      </c>
      <c r="G789" s="198">
        <f>IFERROR(INDEX('Total qty'!$O$131:$O$205,MATCH(Movements!C789,'Total qty'!$C$131:$C$205,0))*consprofilemultiplier/IF(General!$F$35="Customers",INDEX(Qty!$I$87:$I$161,MATCH(Movements!C789,Qty!$C$87:$C$161,0)),INDEX(Qty!$K$87:$K$161,MATCH(Movements!C789,Qty!$C$87:$C$161,0))),0)</f>
        <v>0</v>
      </c>
      <c r="H789" s="143"/>
      <c r="I789" s="206">
        <f t="shared" si="191"/>
        <v>0</v>
      </c>
      <c r="J789" s="206">
        <f t="shared" si="192"/>
        <v>0</v>
      </c>
      <c r="K789" s="206">
        <f t="shared" si="193"/>
        <v>0</v>
      </c>
      <c r="L789" s="178"/>
      <c r="M789" s="198">
        <f>IFERROR(INDEX('Total qty'!$Q$209:$Q$283,MATCH(C789,'Total qty'!$C$209:$C$283,0))*consprofilemultiplier/IF(General!$F$35="Customers",INDEX(Qty!$I$87:$I$161,MATCH(Movements!C789,Qty!$C$87:$C$161,0)),INDEX(Qty!$K$87:$K$161,MATCH(Movements!C789,Qty!$C$87:$C$161,0))),0)</f>
        <v>0</v>
      </c>
      <c r="N789" s="252">
        <f>_xlfn.IFNA(MATCH(C789,IF(currentyear=RCPminus1,Tariffs!$H$46:$H$120,Tariffs!$C$46:$C$120),0),0)</f>
        <v>0</v>
      </c>
      <c r="O789" s="206" cm="1">
        <f t="array" ref="O789">IF(N789=0,0,IF(D789="yes",IF(Movements!$G789&gt;INDEX(Tariffs!$T$46:$T$120,$N789),INDEX(Tariffs!$T$46:$T$120,$N789),Movements!$G789),0))</f>
        <v>0</v>
      </c>
      <c r="P789" s="206" cm="1">
        <f t="array" ref="P789">IF(N789=0,0,IF(D789="yes",IF($G789=$O789,0,IF(AND(Movements!$G789&gt;INDEX(Tariffs!$U$46:$U$120,$N789),INDEX(Tariffs!$U$46:$U$120,$N789)&lt;&gt;0),INDEX(Tariffs!$U$46:$U$120,$N789)-INDEX(Tariffs!$T$46:$T$120,$N789),Movements!$G789-Movements!$O789)),0))</f>
        <v>0</v>
      </c>
      <c r="Q789" s="206">
        <f t="shared" si="195"/>
        <v>0</v>
      </c>
      <c r="R789" s="142"/>
      <c r="S789" s="219">
        <f>IFERROR(INDEX('Total qty'!$L$209:$N$283,MATCH(Movements!$C789,'Total qty'!$C$209:$C$283,0),MATCH(Movements!S$716,'Total qty'!$L$5:$N$5,0))/INDEX('Total qty'!$O$209:$O$283,MATCH(Movements!$C789,'Total qty'!$C$209:$C$283,0)),0)</f>
        <v>0</v>
      </c>
      <c r="T789" s="219">
        <f>IFERROR(INDEX('Total qty'!$L$209:$N$283,MATCH(Movements!$C789,'Total qty'!$C$209:$C$283,0),MATCH(Movements!T$716,'Total qty'!$L$5:$N$5,0))/INDEX('Total qty'!$O$209:$O$283,MATCH(Movements!$C789,'Total qty'!$C$209:$C$283,0)),0)</f>
        <v>0</v>
      </c>
      <c r="U789" s="219">
        <f>IFERROR(INDEX('Total qty'!$L$209:$N$283,MATCH(Movements!$C789,'Total qty'!$C$209:$C$283,0),MATCH(Movements!U$716,'Total qty'!$L$5:$N$5,0))/INDEX('Total qty'!$O$209:$O$283,MATCH(Movements!$C789,'Total qty'!$C$209:$C$283,0)),0)</f>
        <v>0</v>
      </c>
      <c r="V789" s="138"/>
      <c r="W789" s="138"/>
      <c r="X789" s="138"/>
      <c r="Y789" s="138"/>
      <c r="Z789" s="138"/>
      <c r="AA789" s="138"/>
      <c r="AB789" s="138"/>
      <c r="AC789" s="70"/>
      <c r="AD789" s="19"/>
      <c r="AE789" s="19"/>
      <c r="AF789" s="19"/>
      <c r="AG789" s="19"/>
    </row>
    <row r="790" spans="1:33" hidden="1" outlineLevel="3" x14ac:dyDescent="0.2">
      <c r="A790" s="19"/>
      <c r="B790" s="19"/>
      <c r="C790" s="506">
        <f t="shared" si="194"/>
        <v>0</v>
      </c>
      <c r="D790" s="505">
        <f t="shared" si="190"/>
        <v>0</v>
      </c>
      <c r="E790" s="505">
        <f t="shared" si="190"/>
        <v>0</v>
      </c>
      <c r="F790" s="246">
        <f t="shared" si="188"/>
        <v>0</v>
      </c>
      <c r="G790" s="198">
        <f>IFERROR(INDEX('Total qty'!$O$131:$O$205,MATCH(Movements!C790,'Total qty'!$C$131:$C$205,0))*consprofilemultiplier/IF(General!$F$35="Customers",INDEX(Qty!$I$87:$I$161,MATCH(Movements!C790,Qty!$C$87:$C$161,0)),INDEX(Qty!$K$87:$K$161,MATCH(Movements!C790,Qty!$C$87:$C$161,0))),0)</f>
        <v>0</v>
      </c>
      <c r="H790" s="143"/>
      <c r="I790" s="206">
        <f t="shared" si="191"/>
        <v>0</v>
      </c>
      <c r="J790" s="206">
        <f t="shared" si="192"/>
        <v>0</v>
      </c>
      <c r="K790" s="206">
        <f t="shared" si="193"/>
        <v>0</v>
      </c>
      <c r="L790" s="178"/>
      <c r="M790" s="198">
        <f>IFERROR(INDEX('Total qty'!$Q$209:$Q$283,MATCH(C790,'Total qty'!$C$209:$C$283,0))*consprofilemultiplier/IF(General!$F$35="Customers",INDEX(Qty!$I$87:$I$161,MATCH(Movements!C790,Qty!$C$87:$C$161,0)),INDEX(Qty!$K$87:$K$161,MATCH(Movements!C790,Qty!$C$87:$C$161,0))),0)</f>
        <v>0</v>
      </c>
      <c r="N790" s="252">
        <f>_xlfn.IFNA(MATCH(C790,IF(currentyear=RCPminus1,Tariffs!$H$46:$H$120,Tariffs!$C$46:$C$120),0),0)</f>
        <v>0</v>
      </c>
      <c r="O790" s="206" cm="1">
        <f t="array" ref="O790">IF(N790=0,0,IF(D790="yes",IF(Movements!$G790&gt;INDEX(Tariffs!$T$46:$T$120,$N790),INDEX(Tariffs!$T$46:$T$120,$N790),Movements!$G790),0))</f>
        <v>0</v>
      </c>
      <c r="P790" s="206" cm="1">
        <f t="array" ref="P790">IF(N790=0,0,IF(D790="yes",IF($G790=$O790,0,IF(AND(Movements!$G790&gt;INDEX(Tariffs!$U$46:$U$120,$N790),INDEX(Tariffs!$U$46:$U$120,$N790)&lt;&gt;0),INDEX(Tariffs!$U$46:$U$120,$N790)-INDEX(Tariffs!$T$46:$T$120,$N790),Movements!$G790-Movements!$O790)),0))</f>
        <v>0</v>
      </c>
      <c r="Q790" s="206">
        <f t="shared" si="195"/>
        <v>0</v>
      </c>
      <c r="R790" s="142"/>
      <c r="S790" s="219">
        <f>IFERROR(INDEX('Total qty'!$L$209:$N$283,MATCH(Movements!$C790,'Total qty'!$C$209:$C$283,0),MATCH(Movements!S$716,'Total qty'!$L$5:$N$5,0))/INDEX('Total qty'!$O$209:$O$283,MATCH(Movements!$C790,'Total qty'!$C$209:$C$283,0)),0)</f>
        <v>0</v>
      </c>
      <c r="T790" s="219">
        <f>IFERROR(INDEX('Total qty'!$L$209:$N$283,MATCH(Movements!$C790,'Total qty'!$C$209:$C$283,0),MATCH(Movements!T$716,'Total qty'!$L$5:$N$5,0))/INDEX('Total qty'!$O$209:$O$283,MATCH(Movements!$C790,'Total qty'!$C$209:$C$283,0)),0)</f>
        <v>0</v>
      </c>
      <c r="U790" s="219">
        <f>IFERROR(INDEX('Total qty'!$L$209:$N$283,MATCH(Movements!$C790,'Total qty'!$C$209:$C$283,0),MATCH(Movements!U$716,'Total qty'!$L$5:$N$5,0))/INDEX('Total qty'!$O$209:$O$283,MATCH(Movements!$C790,'Total qty'!$C$209:$C$283,0)),0)</f>
        <v>0</v>
      </c>
      <c r="V790" s="138"/>
      <c r="W790" s="138"/>
      <c r="X790" s="138"/>
      <c r="Y790" s="138"/>
      <c r="Z790" s="138"/>
      <c r="AA790" s="138"/>
      <c r="AB790" s="138"/>
      <c r="AC790" s="70"/>
      <c r="AD790" s="19"/>
      <c r="AE790" s="19"/>
      <c r="AF790" s="19"/>
      <c r="AG790" s="19"/>
    </row>
    <row r="791" spans="1:33" hidden="1" outlineLevel="3" x14ac:dyDescent="0.2">
      <c r="A791" s="19"/>
      <c r="B791" s="19"/>
      <c r="C791" s="506">
        <f t="shared" si="194"/>
        <v>0</v>
      </c>
      <c r="D791" s="505">
        <f t="shared" si="190"/>
        <v>0</v>
      </c>
      <c r="E791" s="505">
        <f t="shared" si="190"/>
        <v>0</v>
      </c>
      <c r="F791" s="246">
        <f t="shared" si="188"/>
        <v>0</v>
      </c>
      <c r="G791" s="198">
        <f>IFERROR(INDEX('Total qty'!$O$131:$O$205,MATCH(Movements!C791,'Total qty'!$C$131:$C$205,0))*consprofilemultiplier/IF(General!$F$35="Customers",INDEX(Qty!$I$87:$I$161,MATCH(Movements!C791,Qty!$C$87:$C$161,0)),INDEX(Qty!$K$87:$K$161,MATCH(Movements!C791,Qty!$C$87:$C$161,0))),0)</f>
        <v>0</v>
      </c>
      <c r="H791" s="143"/>
      <c r="I791" s="206">
        <f t="shared" si="191"/>
        <v>0</v>
      </c>
      <c r="J791" s="206">
        <f t="shared" si="192"/>
        <v>0</v>
      </c>
      <c r="K791" s="206">
        <f t="shared" si="193"/>
        <v>0</v>
      </c>
      <c r="L791" s="178"/>
      <c r="M791" s="198">
        <f>IFERROR(INDEX('Total qty'!$Q$209:$Q$283,MATCH(C791,'Total qty'!$C$209:$C$283,0))*consprofilemultiplier/IF(General!$F$35="Customers",INDEX(Qty!$I$87:$I$161,MATCH(Movements!C791,Qty!$C$87:$C$161,0)),INDEX(Qty!$K$87:$K$161,MATCH(Movements!C791,Qty!$C$87:$C$161,0))),0)</f>
        <v>0</v>
      </c>
      <c r="N791" s="252">
        <f>_xlfn.IFNA(MATCH(C791,IF(currentyear=RCPminus1,Tariffs!$H$46:$H$120,Tariffs!$C$46:$C$120),0),0)</f>
        <v>0</v>
      </c>
      <c r="O791" s="206" cm="1">
        <f t="array" ref="O791">IF(N791=0,0,IF(D791="yes",IF(Movements!$G791&gt;INDEX(Tariffs!$T$46:$T$120,$N791),INDEX(Tariffs!$T$46:$T$120,$N791),Movements!$G791),0))</f>
        <v>0</v>
      </c>
      <c r="P791" s="206" cm="1">
        <f t="array" ref="P791">IF(N791=0,0,IF(D791="yes",IF($G791=$O791,0,IF(AND(Movements!$G791&gt;INDEX(Tariffs!$U$46:$U$120,$N791),INDEX(Tariffs!$U$46:$U$120,$N791)&lt;&gt;0),INDEX(Tariffs!$U$46:$U$120,$N791)-INDEX(Tariffs!$T$46:$T$120,$N791),Movements!$G791-Movements!$O791)),0))</f>
        <v>0</v>
      </c>
      <c r="Q791" s="206">
        <f t="shared" si="195"/>
        <v>0</v>
      </c>
      <c r="R791" s="142"/>
      <c r="S791" s="219">
        <f>IFERROR(INDEX('Total qty'!$L$209:$N$283,MATCH(Movements!$C791,'Total qty'!$C$209:$C$283,0),MATCH(Movements!S$716,'Total qty'!$L$5:$N$5,0))/INDEX('Total qty'!$O$209:$O$283,MATCH(Movements!$C791,'Total qty'!$C$209:$C$283,0)),0)</f>
        <v>0</v>
      </c>
      <c r="T791" s="219">
        <f>IFERROR(INDEX('Total qty'!$L$209:$N$283,MATCH(Movements!$C791,'Total qty'!$C$209:$C$283,0),MATCH(Movements!T$716,'Total qty'!$L$5:$N$5,0))/INDEX('Total qty'!$O$209:$O$283,MATCH(Movements!$C791,'Total qty'!$C$209:$C$283,0)),0)</f>
        <v>0</v>
      </c>
      <c r="U791" s="219">
        <f>IFERROR(INDEX('Total qty'!$L$209:$N$283,MATCH(Movements!$C791,'Total qty'!$C$209:$C$283,0),MATCH(Movements!U$716,'Total qty'!$L$5:$N$5,0))/INDEX('Total qty'!$O$209:$O$283,MATCH(Movements!$C791,'Total qty'!$C$209:$C$283,0)),0)</f>
        <v>0</v>
      </c>
      <c r="V791" s="138"/>
      <c r="W791" s="138"/>
      <c r="X791" s="138"/>
      <c r="Y791" s="138"/>
      <c r="Z791" s="138"/>
      <c r="AA791" s="138"/>
      <c r="AB791" s="138"/>
      <c r="AC791" s="70"/>
      <c r="AD791" s="19"/>
      <c r="AE791" s="19"/>
      <c r="AF791" s="19"/>
      <c r="AG791" s="19"/>
    </row>
    <row r="792" spans="1:33" hidden="1" outlineLevel="3" x14ac:dyDescent="0.2">
      <c r="A792" s="19"/>
      <c r="B792" s="19"/>
      <c r="C792" s="506">
        <f t="shared" si="194"/>
        <v>0</v>
      </c>
      <c r="D792" s="505">
        <f t="shared" si="190"/>
        <v>0</v>
      </c>
      <c r="E792" s="505">
        <f t="shared" si="190"/>
        <v>0</v>
      </c>
      <c r="F792" s="246">
        <f t="shared" si="188"/>
        <v>0</v>
      </c>
      <c r="G792" s="198">
        <f>IFERROR(INDEX('Total qty'!$O$131:$O$205,MATCH(Movements!C792,'Total qty'!$C$131:$C$205,0))*consprofilemultiplier/IF(General!$F$35="Customers",INDEX(Qty!$I$87:$I$161,MATCH(Movements!C792,Qty!$C$87:$C$161,0)),INDEX(Qty!$K$87:$K$161,MATCH(Movements!C792,Qty!$C$87:$C$161,0))),0)</f>
        <v>0</v>
      </c>
      <c r="H792" s="143"/>
      <c r="I792" s="206">
        <f t="shared" si="191"/>
        <v>0</v>
      </c>
      <c r="J792" s="206">
        <f t="shared" si="192"/>
        <v>0</v>
      </c>
      <c r="K792" s="206">
        <f t="shared" si="193"/>
        <v>0</v>
      </c>
      <c r="L792" s="178"/>
      <c r="M792" s="198">
        <f>IFERROR(INDEX('Total qty'!$Q$209:$Q$283,MATCH(C792,'Total qty'!$C$209:$C$283,0))*consprofilemultiplier/IF(General!$F$35="Customers",INDEX(Qty!$I$87:$I$161,MATCH(Movements!C792,Qty!$C$87:$C$161,0)),INDEX(Qty!$K$87:$K$161,MATCH(Movements!C792,Qty!$C$87:$C$161,0))),0)</f>
        <v>0</v>
      </c>
      <c r="N792" s="252">
        <f>_xlfn.IFNA(MATCH(C792,IF(currentyear=RCPminus1,Tariffs!$H$46:$H$120,Tariffs!$C$46:$C$120),0),0)</f>
        <v>0</v>
      </c>
      <c r="O792" s="206" cm="1">
        <f t="array" ref="O792">IF(N792=0,0,IF(D792="yes",IF(Movements!$G792&gt;INDEX(Tariffs!$T$46:$T$120,$N792),INDEX(Tariffs!$T$46:$T$120,$N792),Movements!$G792),0))</f>
        <v>0</v>
      </c>
      <c r="P792" s="206" cm="1">
        <f t="array" ref="P792">IF(N792=0,0,IF(D792="yes",IF($G792=$O792,0,IF(AND(Movements!$G792&gt;INDEX(Tariffs!$U$46:$U$120,$N792),INDEX(Tariffs!$U$46:$U$120,$N792)&lt;&gt;0),INDEX(Tariffs!$U$46:$U$120,$N792)-INDEX(Tariffs!$T$46:$T$120,$N792),Movements!$G792-Movements!$O792)),0))</f>
        <v>0</v>
      </c>
      <c r="Q792" s="206">
        <f t="shared" si="195"/>
        <v>0</v>
      </c>
      <c r="R792" s="142"/>
      <c r="S792" s="219">
        <f>IFERROR(INDEX('Total qty'!$L$209:$N$283,MATCH(Movements!$C792,'Total qty'!$C$209:$C$283,0),MATCH(Movements!S$716,'Total qty'!$L$5:$N$5,0))/INDEX('Total qty'!$O$209:$O$283,MATCH(Movements!$C792,'Total qty'!$C$209:$C$283,0)),0)</f>
        <v>0</v>
      </c>
      <c r="T792" s="219">
        <f>IFERROR(INDEX('Total qty'!$L$209:$N$283,MATCH(Movements!$C792,'Total qty'!$C$209:$C$283,0),MATCH(Movements!T$716,'Total qty'!$L$5:$N$5,0))/INDEX('Total qty'!$O$209:$O$283,MATCH(Movements!$C792,'Total qty'!$C$209:$C$283,0)),0)</f>
        <v>0</v>
      </c>
      <c r="U792" s="219">
        <f>IFERROR(INDEX('Total qty'!$L$209:$N$283,MATCH(Movements!$C792,'Total qty'!$C$209:$C$283,0),MATCH(Movements!U$716,'Total qty'!$L$5:$N$5,0))/INDEX('Total qty'!$O$209:$O$283,MATCH(Movements!$C792,'Total qty'!$C$209:$C$283,0)),0)</f>
        <v>0</v>
      </c>
      <c r="V792" s="138"/>
      <c r="W792" s="138"/>
      <c r="X792" s="138"/>
      <c r="Y792" s="138"/>
      <c r="Z792" s="138"/>
      <c r="AA792" s="138"/>
      <c r="AB792" s="138"/>
      <c r="AC792" s="70"/>
      <c r="AD792" s="19"/>
      <c r="AE792" s="19"/>
      <c r="AF792" s="19"/>
      <c r="AG792" s="19"/>
    </row>
    <row r="793" spans="1:33" hidden="1" outlineLevel="3" x14ac:dyDescent="0.2">
      <c r="A793" s="19"/>
      <c r="B793" s="19"/>
      <c r="C793" s="506">
        <f t="shared" si="194"/>
        <v>0</v>
      </c>
      <c r="D793" s="505">
        <f t="shared" si="190"/>
        <v>0</v>
      </c>
      <c r="E793" s="505">
        <f t="shared" si="190"/>
        <v>0</v>
      </c>
      <c r="F793" s="246">
        <f t="shared" si="188"/>
        <v>0</v>
      </c>
      <c r="G793" s="198">
        <f>IFERROR(INDEX('Total qty'!$O$131:$O$205,MATCH(Movements!C793,'Total qty'!$C$131:$C$205,0))*consprofilemultiplier/IF(General!$F$35="Customers",INDEX(Qty!$I$87:$I$161,MATCH(Movements!C793,Qty!$C$87:$C$161,0)),INDEX(Qty!$K$87:$K$161,MATCH(Movements!C793,Qty!$C$87:$C$161,0))),0)</f>
        <v>0</v>
      </c>
      <c r="H793" s="143"/>
      <c r="I793" s="206">
        <f t="shared" si="191"/>
        <v>0</v>
      </c>
      <c r="J793" s="206">
        <f t="shared" si="192"/>
        <v>0</v>
      </c>
      <c r="K793" s="206">
        <f t="shared" si="193"/>
        <v>0</v>
      </c>
      <c r="L793" s="178"/>
      <c r="M793" s="198">
        <f>IFERROR(INDEX('Total qty'!$Q$209:$Q$283,MATCH(C793,'Total qty'!$C$209:$C$283,0))*consprofilemultiplier/IF(General!$F$35="Customers",INDEX(Qty!$I$87:$I$161,MATCH(Movements!C793,Qty!$C$87:$C$161,0)),INDEX(Qty!$K$87:$K$161,MATCH(Movements!C793,Qty!$C$87:$C$161,0))),0)</f>
        <v>0</v>
      </c>
      <c r="N793" s="252">
        <f>_xlfn.IFNA(MATCH(C793,IF(currentyear=RCPminus1,Tariffs!$H$46:$H$120,Tariffs!$C$46:$C$120),0),0)</f>
        <v>0</v>
      </c>
      <c r="O793" s="206" cm="1">
        <f t="array" ref="O793">IF(N793=0,0,IF(D793="yes",IF(Movements!$G793&gt;INDEX(Tariffs!$T$46:$T$120,$N793),INDEX(Tariffs!$T$46:$T$120,$N793),Movements!$G793),0))</f>
        <v>0</v>
      </c>
      <c r="P793" s="206" cm="1">
        <f t="array" ref="P793">IF(N793=0,0,IF(D793="yes",IF($G793=$O793,0,IF(AND(Movements!$G793&gt;INDEX(Tariffs!$U$46:$U$120,$N793),INDEX(Tariffs!$U$46:$U$120,$N793)&lt;&gt;0),INDEX(Tariffs!$U$46:$U$120,$N793)-INDEX(Tariffs!$T$46:$T$120,$N793),Movements!$G793-Movements!$O793)),0))</f>
        <v>0</v>
      </c>
      <c r="Q793" s="206">
        <f t="shared" si="195"/>
        <v>0</v>
      </c>
      <c r="R793" s="142"/>
      <c r="S793" s="219">
        <f>IFERROR(INDEX('Total qty'!$L$209:$N$283,MATCH(Movements!$C793,'Total qty'!$C$209:$C$283,0),MATCH(Movements!S$716,'Total qty'!$L$5:$N$5,0))/INDEX('Total qty'!$O$209:$O$283,MATCH(Movements!$C793,'Total qty'!$C$209:$C$283,0)),0)</f>
        <v>0</v>
      </c>
      <c r="T793" s="219">
        <f>IFERROR(INDEX('Total qty'!$L$209:$N$283,MATCH(Movements!$C793,'Total qty'!$C$209:$C$283,0),MATCH(Movements!T$716,'Total qty'!$L$5:$N$5,0))/INDEX('Total qty'!$O$209:$O$283,MATCH(Movements!$C793,'Total qty'!$C$209:$C$283,0)),0)</f>
        <v>0</v>
      </c>
      <c r="U793" s="219">
        <f>IFERROR(INDEX('Total qty'!$L$209:$N$283,MATCH(Movements!$C793,'Total qty'!$C$209:$C$283,0),MATCH(Movements!U$716,'Total qty'!$L$5:$N$5,0))/INDEX('Total qty'!$O$209:$O$283,MATCH(Movements!$C793,'Total qty'!$C$209:$C$283,0)),0)</f>
        <v>0</v>
      </c>
      <c r="V793" s="138"/>
      <c r="W793" s="138"/>
      <c r="X793" s="138"/>
      <c r="Y793" s="138"/>
      <c r="Z793" s="138"/>
      <c r="AA793" s="138"/>
      <c r="AB793" s="138"/>
      <c r="AC793" s="70"/>
      <c r="AD793" s="19"/>
      <c r="AE793" s="19"/>
      <c r="AF793" s="19"/>
      <c r="AG793" s="19"/>
    </row>
    <row r="794" spans="1:33" hidden="1" outlineLevel="3" x14ac:dyDescent="0.2">
      <c r="A794" s="19"/>
      <c r="B794" s="19"/>
      <c r="C794" s="506">
        <f t="shared" si="194"/>
        <v>0</v>
      </c>
      <c r="D794" s="505">
        <f t="shared" si="190"/>
        <v>0</v>
      </c>
      <c r="E794" s="505">
        <f t="shared" si="190"/>
        <v>0</v>
      </c>
      <c r="F794" s="246">
        <f t="shared" si="188"/>
        <v>0</v>
      </c>
      <c r="G794" s="198">
        <f>IFERROR(INDEX('Total qty'!$O$131:$O$205,MATCH(Movements!C794,'Total qty'!$C$131:$C$205,0))*consprofilemultiplier/IF(General!$F$35="Customers",INDEX(Qty!$I$87:$I$161,MATCH(Movements!C794,Qty!$C$87:$C$161,0)),INDEX(Qty!$K$87:$K$161,MATCH(Movements!C794,Qty!$C$87:$C$161,0))),0)</f>
        <v>0</v>
      </c>
      <c r="H794" s="143"/>
      <c r="I794" s="206">
        <f t="shared" si="191"/>
        <v>0</v>
      </c>
      <c r="J794" s="206">
        <f t="shared" si="192"/>
        <v>0</v>
      </c>
      <c r="K794" s="206">
        <f t="shared" si="193"/>
        <v>0</v>
      </c>
      <c r="L794" s="178"/>
      <c r="M794" s="198">
        <f>IFERROR(INDEX('Total qty'!$Q$209:$Q$283,MATCH(C794,'Total qty'!$C$209:$C$283,0))*consprofilemultiplier/IF(General!$F$35="Customers",INDEX(Qty!$I$87:$I$161,MATCH(Movements!C794,Qty!$C$87:$C$161,0)),INDEX(Qty!$K$87:$K$161,MATCH(Movements!C794,Qty!$C$87:$C$161,0))),0)</f>
        <v>0</v>
      </c>
      <c r="N794" s="252">
        <f>_xlfn.IFNA(MATCH(C794,IF(currentyear=RCPminus1,Tariffs!$H$46:$H$120,Tariffs!$C$46:$C$120),0),0)</f>
        <v>0</v>
      </c>
      <c r="O794" s="206" cm="1">
        <f t="array" ref="O794">IF(N794=0,0,IF(D794="yes",IF(Movements!$G794&gt;INDEX(Tariffs!$T$46:$T$120,$N794),INDEX(Tariffs!$T$46:$T$120,$N794),Movements!$G794),0))</f>
        <v>0</v>
      </c>
      <c r="P794" s="206" cm="1">
        <f t="array" ref="P794">IF(N794=0,0,IF(D794="yes",IF($G794=$O794,0,IF(AND(Movements!$G794&gt;INDEX(Tariffs!$U$46:$U$120,$N794),INDEX(Tariffs!$U$46:$U$120,$N794)&lt;&gt;0),INDEX(Tariffs!$U$46:$U$120,$N794)-INDEX(Tariffs!$T$46:$T$120,$N794),Movements!$G794-Movements!$O794)),0))</f>
        <v>0</v>
      </c>
      <c r="Q794" s="206">
        <f t="shared" si="195"/>
        <v>0</v>
      </c>
      <c r="R794" s="142"/>
      <c r="S794" s="219">
        <f>IFERROR(INDEX('Total qty'!$L$209:$N$283,MATCH(Movements!$C794,'Total qty'!$C$209:$C$283,0),MATCH(Movements!S$716,'Total qty'!$L$5:$N$5,0))/INDEX('Total qty'!$O$209:$O$283,MATCH(Movements!$C794,'Total qty'!$C$209:$C$283,0)),0)</f>
        <v>0</v>
      </c>
      <c r="T794" s="219">
        <f>IFERROR(INDEX('Total qty'!$L$209:$N$283,MATCH(Movements!$C794,'Total qty'!$C$209:$C$283,0),MATCH(Movements!T$716,'Total qty'!$L$5:$N$5,0))/INDEX('Total qty'!$O$209:$O$283,MATCH(Movements!$C794,'Total qty'!$C$209:$C$283,0)),0)</f>
        <v>0</v>
      </c>
      <c r="U794" s="219">
        <f>IFERROR(INDEX('Total qty'!$L$209:$N$283,MATCH(Movements!$C794,'Total qty'!$C$209:$C$283,0),MATCH(Movements!U$716,'Total qty'!$L$5:$N$5,0))/INDEX('Total qty'!$O$209:$O$283,MATCH(Movements!$C794,'Total qty'!$C$209:$C$283,0)),0)</f>
        <v>0</v>
      </c>
      <c r="V794" s="138"/>
      <c r="W794" s="138"/>
      <c r="X794" s="138"/>
      <c r="Y794" s="138"/>
      <c r="Z794" s="138"/>
      <c r="AA794" s="138"/>
      <c r="AB794" s="138"/>
      <c r="AC794" s="70"/>
      <c r="AD794" s="19"/>
      <c r="AE794" s="19"/>
      <c r="AF794" s="19"/>
      <c r="AG794" s="19"/>
    </row>
    <row r="795" spans="1:33" hidden="1" outlineLevel="3" x14ac:dyDescent="0.2">
      <c r="A795" s="19"/>
      <c r="B795" s="19"/>
      <c r="C795" s="506">
        <f t="shared" si="194"/>
        <v>0</v>
      </c>
      <c r="D795" s="505">
        <f t="shared" si="190"/>
        <v>0</v>
      </c>
      <c r="E795" s="505">
        <f t="shared" si="190"/>
        <v>0</v>
      </c>
      <c r="F795" s="246">
        <f t="shared" si="188"/>
        <v>0</v>
      </c>
      <c r="G795" s="198">
        <f>IFERROR(INDEX('Total qty'!$O$131:$O$205,MATCH(Movements!C795,'Total qty'!$C$131:$C$205,0))*consprofilemultiplier/IF(General!$F$35="Customers",INDEX(Qty!$I$87:$I$161,MATCH(Movements!C795,Qty!$C$87:$C$161,0)),INDEX(Qty!$K$87:$K$161,MATCH(Movements!C795,Qty!$C$87:$C$161,0))),0)</f>
        <v>0</v>
      </c>
      <c r="H795" s="143"/>
      <c r="I795" s="206">
        <f t="shared" si="191"/>
        <v>0</v>
      </c>
      <c r="J795" s="206">
        <f t="shared" si="192"/>
        <v>0</v>
      </c>
      <c r="K795" s="206">
        <f t="shared" si="193"/>
        <v>0</v>
      </c>
      <c r="L795" s="178"/>
      <c r="M795" s="198">
        <f>IFERROR(INDEX('Total qty'!$Q$209:$Q$283,MATCH(C795,'Total qty'!$C$209:$C$283,0))*consprofilemultiplier/IF(General!$F$35="Customers",INDEX(Qty!$I$87:$I$161,MATCH(Movements!C795,Qty!$C$87:$C$161,0)),INDEX(Qty!$K$87:$K$161,MATCH(Movements!C795,Qty!$C$87:$C$161,0))),0)</f>
        <v>0</v>
      </c>
      <c r="N795" s="252">
        <f>_xlfn.IFNA(MATCH(C795,IF(currentyear=RCPminus1,Tariffs!$H$46:$H$120,Tariffs!$C$46:$C$120),0),0)</f>
        <v>0</v>
      </c>
      <c r="O795" s="206" cm="1">
        <f t="array" ref="O795">IF(N795=0,0,IF(D795="yes",IF(Movements!$G795&gt;INDEX(Tariffs!$T$46:$T$120,$N795),INDEX(Tariffs!$T$46:$T$120,$N795),Movements!$G795),0))</f>
        <v>0</v>
      </c>
      <c r="P795" s="206" cm="1">
        <f t="array" ref="P795">IF(N795=0,0,IF(D795="yes",IF($G795=$O795,0,IF(AND(Movements!$G795&gt;INDEX(Tariffs!$U$46:$U$120,$N795),INDEX(Tariffs!$U$46:$U$120,$N795)&lt;&gt;0),INDEX(Tariffs!$U$46:$U$120,$N795)-INDEX(Tariffs!$T$46:$T$120,$N795),Movements!$G795-Movements!$O795)),0))</f>
        <v>0</v>
      </c>
      <c r="Q795" s="206">
        <f t="shared" si="195"/>
        <v>0</v>
      </c>
      <c r="R795" s="142"/>
      <c r="S795" s="219">
        <f>IFERROR(INDEX('Total qty'!$L$209:$N$283,MATCH(Movements!$C795,'Total qty'!$C$209:$C$283,0),MATCH(Movements!S$716,'Total qty'!$L$5:$N$5,0))/INDEX('Total qty'!$O$209:$O$283,MATCH(Movements!$C795,'Total qty'!$C$209:$C$283,0)),0)</f>
        <v>0</v>
      </c>
      <c r="T795" s="219">
        <f>IFERROR(INDEX('Total qty'!$L$209:$N$283,MATCH(Movements!$C795,'Total qty'!$C$209:$C$283,0),MATCH(Movements!T$716,'Total qty'!$L$5:$N$5,0))/INDEX('Total qty'!$O$209:$O$283,MATCH(Movements!$C795,'Total qty'!$C$209:$C$283,0)),0)</f>
        <v>0</v>
      </c>
      <c r="U795" s="219">
        <f>IFERROR(INDEX('Total qty'!$L$209:$N$283,MATCH(Movements!$C795,'Total qty'!$C$209:$C$283,0),MATCH(Movements!U$716,'Total qty'!$L$5:$N$5,0))/INDEX('Total qty'!$O$209:$O$283,MATCH(Movements!$C795,'Total qty'!$C$209:$C$283,0)),0)</f>
        <v>0</v>
      </c>
      <c r="V795" s="138"/>
      <c r="W795" s="138"/>
      <c r="X795" s="138"/>
      <c r="Y795" s="138"/>
      <c r="Z795" s="138"/>
      <c r="AA795" s="138"/>
      <c r="AB795" s="138"/>
      <c r="AC795" s="70"/>
      <c r="AD795" s="19"/>
      <c r="AE795" s="19"/>
      <c r="AF795" s="19"/>
      <c r="AG795" s="19"/>
    </row>
    <row r="796" spans="1:33" hidden="1" outlineLevel="3" x14ac:dyDescent="0.2">
      <c r="A796" s="19"/>
      <c r="B796" s="19"/>
      <c r="C796" s="506">
        <f t="shared" si="194"/>
        <v>0</v>
      </c>
      <c r="D796" s="505">
        <f t="shared" si="190"/>
        <v>0</v>
      </c>
      <c r="E796" s="505">
        <f t="shared" si="190"/>
        <v>0</v>
      </c>
      <c r="F796" s="246">
        <f t="shared" si="188"/>
        <v>0</v>
      </c>
      <c r="G796" s="198">
        <f>IFERROR(INDEX('Total qty'!$O$131:$O$205,MATCH(Movements!C796,'Total qty'!$C$131:$C$205,0))*consprofilemultiplier/IF(General!$F$35="Customers",INDEX(Qty!$I$87:$I$161,MATCH(Movements!C796,Qty!$C$87:$C$161,0)),INDEX(Qty!$K$87:$K$161,MATCH(Movements!C796,Qty!$C$87:$C$161,0))),0)</f>
        <v>0</v>
      </c>
      <c r="H796" s="143"/>
      <c r="I796" s="206">
        <f t="shared" si="191"/>
        <v>0</v>
      </c>
      <c r="J796" s="206">
        <f t="shared" si="192"/>
        <v>0</v>
      </c>
      <c r="K796" s="206">
        <f t="shared" si="193"/>
        <v>0</v>
      </c>
      <c r="L796" s="178"/>
      <c r="M796" s="198">
        <f>IFERROR(INDEX('Total qty'!$Q$209:$Q$283,MATCH(C796,'Total qty'!$C$209:$C$283,0))*consprofilemultiplier/IF(General!$F$35="Customers",INDEX(Qty!$I$87:$I$161,MATCH(Movements!C796,Qty!$C$87:$C$161,0)),INDEX(Qty!$K$87:$K$161,MATCH(Movements!C796,Qty!$C$87:$C$161,0))),0)</f>
        <v>0</v>
      </c>
      <c r="N796" s="252">
        <f>_xlfn.IFNA(MATCH(C796,IF(currentyear=RCPminus1,Tariffs!$H$46:$H$120,Tariffs!$C$46:$C$120),0),0)</f>
        <v>0</v>
      </c>
      <c r="O796" s="206" cm="1">
        <f t="array" ref="O796">IF(N796=0,0,IF(D796="yes",IF(Movements!$G796&gt;INDEX(Tariffs!$T$46:$T$120,$N796),INDEX(Tariffs!$T$46:$T$120,$N796),Movements!$G796),0))</f>
        <v>0</v>
      </c>
      <c r="P796" s="206" cm="1">
        <f t="array" ref="P796">IF(N796=0,0,IF(D796="yes",IF($G796=$O796,0,IF(AND(Movements!$G796&gt;INDEX(Tariffs!$U$46:$U$120,$N796),INDEX(Tariffs!$U$46:$U$120,$N796)&lt;&gt;0),INDEX(Tariffs!$U$46:$U$120,$N796)-INDEX(Tariffs!$T$46:$T$120,$N796),Movements!$G796-Movements!$O796)),0))</f>
        <v>0</v>
      </c>
      <c r="Q796" s="206">
        <f t="shared" si="195"/>
        <v>0</v>
      </c>
      <c r="R796" s="142"/>
      <c r="S796" s="219">
        <f>IFERROR(INDEX('Total qty'!$L$209:$N$283,MATCH(Movements!$C796,'Total qty'!$C$209:$C$283,0),MATCH(Movements!S$716,'Total qty'!$L$5:$N$5,0))/INDEX('Total qty'!$O$209:$O$283,MATCH(Movements!$C796,'Total qty'!$C$209:$C$283,0)),0)</f>
        <v>0</v>
      </c>
      <c r="T796" s="219">
        <f>IFERROR(INDEX('Total qty'!$L$209:$N$283,MATCH(Movements!$C796,'Total qty'!$C$209:$C$283,0),MATCH(Movements!T$716,'Total qty'!$L$5:$N$5,0))/INDEX('Total qty'!$O$209:$O$283,MATCH(Movements!$C796,'Total qty'!$C$209:$C$283,0)),0)</f>
        <v>0</v>
      </c>
      <c r="U796" s="219">
        <f>IFERROR(INDEX('Total qty'!$L$209:$N$283,MATCH(Movements!$C796,'Total qty'!$C$209:$C$283,0),MATCH(Movements!U$716,'Total qty'!$L$5:$N$5,0))/INDEX('Total qty'!$O$209:$O$283,MATCH(Movements!$C796,'Total qty'!$C$209:$C$283,0)),0)</f>
        <v>0</v>
      </c>
      <c r="V796" s="138"/>
      <c r="W796" s="138"/>
      <c r="X796" s="138"/>
      <c r="Y796" s="138"/>
      <c r="Z796" s="138"/>
      <c r="AA796" s="138"/>
      <c r="AB796" s="138"/>
      <c r="AC796" s="70"/>
      <c r="AD796" s="19"/>
      <c r="AE796" s="19"/>
      <c r="AF796" s="19"/>
      <c r="AG796" s="19"/>
    </row>
    <row r="797" spans="1:33" hidden="1" outlineLevel="3" x14ac:dyDescent="0.2">
      <c r="A797" s="19"/>
      <c r="B797" s="19"/>
      <c r="C797" s="506">
        <f t="shared" si="194"/>
        <v>0</v>
      </c>
      <c r="D797" s="505">
        <f t="shared" si="190"/>
        <v>0</v>
      </c>
      <c r="E797" s="505">
        <f t="shared" si="190"/>
        <v>0</v>
      </c>
      <c r="F797" s="246">
        <f t="shared" si="188"/>
        <v>0</v>
      </c>
      <c r="G797" s="198">
        <f>IFERROR(INDEX('Total qty'!$O$131:$O$205,MATCH(Movements!C797,'Total qty'!$C$131:$C$205,0))*consprofilemultiplier/IF(General!$F$35="Customers",INDEX(Qty!$I$87:$I$161,MATCH(Movements!C797,Qty!$C$87:$C$161,0)),INDEX(Qty!$K$87:$K$161,MATCH(Movements!C797,Qty!$C$87:$C$161,0))),0)</f>
        <v>0</v>
      </c>
      <c r="H797" s="143"/>
      <c r="I797" s="206">
        <f t="shared" si="191"/>
        <v>0</v>
      </c>
      <c r="J797" s="206">
        <f t="shared" si="192"/>
        <v>0</v>
      </c>
      <c r="K797" s="206">
        <f t="shared" si="193"/>
        <v>0</v>
      </c>
      <c r="L797" s="178"/>
      <c r="M797" s="198">
        <f>IFERROR(INDEX('Total qty'!$Q$209:$Q$283,MATCH(C797,'Total qty'!$C$209:$C$283,0))*consprofilemultiplier/IF(General!$F$35="Customers",INDEX(Qty!$I$87:$I$161,MATCH(Movements!C797,Qty!$C$87:$C$161,0)),INDEX(Qty!$K$87:$K$161,MATCH(Movements!C797,Qty!$C$87:$C$161,0))),0)</f>
        <v>0</v>
      </c>
      <c r="N797" s="252">
        <f>_xlfn.IFNA(MATCH(C797,IF(currentyear=RCPminus1,Tariffs!$H$46:$H$120,Tariffs!$C$46:$C$120),0),0)</f>
        <v>0</v>
      </c>
      <c r="O797" s="206" cm="1">
        <f t="array" ref="O797">IF(N797=0,0,IF(D797="yes",IF(Movements!$G797&gt;INDEX(Tariffs!$T$46:$T$120,$N797),INDEX(Tariffs!$T$46:$T$120,$N797),Movements!$G797),0))</f>
        <v>0</v>
      </c>
      <c r="P797" s="206" cm="1">
        <f t="array" ref="P797">IF(N797=0,0,IF(D797="yes",IF($G797=$O797,0,IF(AND(Movements!$G797&gt;INDEX(Tariffs!$U$46:$U$120,$N797),INDEX(Tariffs!$U$46:$U$120,$N797)&lt;&gt;0),INDEX(Tariffs!$U$46:$U$120,$N797)-INDEX(Tariffs!$T$46:$T$120,$N797),Movements!$G797-Movements!$O797)),0))</f>
        <v>0</v>
      </c>
      <c r="Q797" s="206">
        <f t="shared" si="195"/>
        <v>0</v>
      </c>
      <c r="R797" s="142"/>
      <c r="S797" s="219">
        <f>IFERROR(INDEX('Total qty'!$L$209:$N$283,MATCH(Movements!$C797,'Total qty'!$C$209:$C$283,0),MATCH(Movements!S$716,'Total qty'!$L$5:$N$5,0))/INDEX('Total qty'!$O$209:$O$283,MATCH(Movements!$C797,'Total qty'!$C$209:$C$283,0)),0)</f>
        <v>0</v>
      </c>
      <c r="T797" s="219">
        <f>IFERROR(INDEX('Total qty'!$L$209:$N$283,MATCH(Movements!$C797,'Total qty'!$C$209:$C$283,0),MATCH(Movements!T$716,'Total qty'!$L$5:$N$5,0))/INDEX('Total qty'!$O$209:$O$283,MATCH(Movements!$C797,'Total qty'!$C$209:$C$283,0)),0)</f>
        <v>0</v>
      </c>
      <c r="U797" s="219">
        <f>IFERROR(INDEX('Total qty'!$L$209:$N$283,MATCH(Movements!$C797,'Total qty'!$C$209:$C$283,0),MATCH(Movements!U$716,'Total qty'!$L$5:$N$5,0))/INDEX('Total qty'!$O$209:$O$283,MATCH(Movements!$C797,'Total qty'!$C$209:$C$283,0)),0)</f>
        <v>0</v>
      </c>
      <c r="V797" s="138"/>
      <c r="W797" s="138"/>
      <c r="X797" s="138"/>
      <c r="Y797" s="138"/>
      <c r="Z797" s="138"/>
      <c r="AA797" s="138"/>
      <c r="AB797" s="138"/>
      <c r="AC797" s="70"/>
      <c r="AD797" s="19"/>
      <c r="AE797" s="19"/>
      <c r="AF797" s="19"/>
      <c r="AG797" s="19"/>
    </row>
    <row r="798" spans="1:33" hidden="1" outlineLevel="3" x14ac:dyDescent="0.2">
      <c r="A798" s="19"/>
      <c r="B798" s="19"/>
      <c r="C798" s="506">
        <f t="shared" si="194"/>
        <v>0</v>
      </c>
      <c r="D798" s="505">
        <f t="shared" si="190"/>
        <v>0</v>
      </c>
      <c r="E798" s="505">
        <f t="shared" si="190"/>
        <v>0</v>
      </c>
      <c r="F798" s="246">
        <f t="shared" si="188"/>
        <v>0</v>
      </c>
      <c r="G798" s="198">
        <f>IFERROR(INDEX('Total qty'!$O$131:$O$205,MATCH(Movements!C798,'Total qty'!$C$131:$C$205,0))*consprofilemultiplier/IF(General!$F$35="Customers",INDEX(Qty!$I$87:$I$161,MATCH(Movements!C798,Qty!$C$87:$C$161,0)),INDEX(Qty!$K$87:$K$161,MATCH(Movements!C798,Qty!$C$87:$C$161,0))),0)</f>
        <v>0</v>
      </c>
      <c r="H798" s="143"/>
      <c r="I798" s="206">
        <f t="shared" si="191"/>
        <v>0</v>
      </c>
      <c r="J798" s="206">
        <f t="shared" si="192"/>
        <v>0</v>
      </c>
      <c r="K798" s="206">
        <f t="shared" si="193"/>
        <v>0</v>
      </c>
      <c r="L798" s="178"/>
      <c r="M798" s="198">
        <f>IFERROR(INDEX('Total qty'!$Q$209:$Q$283,MATCH(C798,'Total qty'!$C$209:$C$283,0))*consprofilemultiplier/IF(General!$F$35="Customers",INDEX(Qty!$I$87:$I$161,MATCH(Movements!C798,Qty!$C$87:$C$161,0)),INDEX(Qty!$K$87:$K$161,MATCH(Movements!C798,Qty!$C$87:$C$161,0))),0)</f>
        <v>0</v>
      </c>
      <c r="N798" s="252">
        <f>_xlfn.IFNA(MATCH(C798,IF(currentyear=RCPminus1,Tariffs!$H$46:$H$120,Tariffs!$C$46:$C$120),0),0)</f>
        <v>0</v>
      </c>
      <c r="O798" s="206" cm="1">
        <f t="array" ref="O798">IF(N798=0,0,IF(D798="yes",IF(Movements!$G798&gt;INDEX(Tariffs!$T$46:$T$120,$N798),INDEX(Tariffs!$T$46:$T$120,$N798),Movements!$G798),0))</f>
        <v>0</v>
      </c>
      <c r="P798" s="206" cm="1">
        <f t="array" ref="P798">IF(N798=0,0,IF(D798="yes",IF($G798=$O798,0,IF(AND(Movements!$G798&gt;INDEX(Tariffs!$U$46:$U$120,$N798),INDEX(Tariffs!$U$46:$U$120,$N798)&lt;&gt;0),INDEX(Tariffs!$U$46:$U$120,$N798)-INDEX(Tariffs!$T$46:$T$120,$N798),Movements!$G798-Movements!$O798)),0))</f>
        <v>0</v>
      </c>
      <c r="Q798" s="206">
        <f t="shared" si="195"/>
        <v>0</v>
      </c>
      <c r="R798" s="142"/>
      <c r="S798" s="219">
        <f>IFERROR(INDEX('Total qty'!$L$209:$N$283,MATCH(Movements!$C798,'Total qty'!$C$209:$C$283,0),MATCH(Movements!S$716,'Total qty'!$L$5:$N$5,0))/INDEX('Total qty'!$O$209:$O$283,MATCH(Movements!$C798,'Total qty'!$C$209:$C$283,0)),0)</f>
        <v>0</v>
      </c>
      <c r="T798" s="219">
        <f>IFERROR(INDEX('Total qty'!$L$209:$N$283,MATCH(Movements!$C798,'Total qty'!$C$209:$C$283,0),MATCH(Movements!T$716,'Total qty'!$L$5:$N$5,0))/INDEX('Total qty'!$O$209:$O$283,MATCH(Movements!$C798,'Total qty'!$C$209:$C$283,0)),0)</f>
        <v>0</v>
      </c>
      <c r="U798" s="219">
        <f>IFERROR(INDEX('Total qty'!$L$209:$N$283,MATCH(Movements!$C798,'Total qty'!$C$209:$C$283,0),MATCH(Movements!U$716,'Total qty'!$L$5:$N$5,0))/INDEX('Total qty'!$O$209:$O$283,MATCH(Movements!$C798,'Total qty'!$C$209:$C$283,0)),0)</f>
        <v>0</v>
      </c>
      <c r="V798" s="138"/>
      <c r="W798" s="138"/>
      <c r="X798" s="138"/>
      <c r="Y798" s="138"/>
      <c r="Z798" s="138"/>
      <c r="AA798" s="138"/>
      <c r="AB798" s="138"/>
      <c r="AC798" s="70"/>
      <c r="AD798" s="19"/>
      <c r="AE798" s="19"/>
      <c r="AF798" s="19"/>
      <c r="AG798" s="19"/>
    </row>
    <row r="799" spans="1:33" hidden="1" outlineLevel="3" x14ac:dyDescent="0.2">
      <c r="A799" s="19"/>
      <c r="B799" s="19"/>
      <c r="C799" s="506">
        <f t="shared" si="194"/>
        <v>0</v>
      </c>
      <c r="D799" s="505">
        <f t="shared" si="190"/>
        <v>0</v>
      </c>
      <c r="E799" s="505">
        <f t="shared" si="190"/>
        <v>0</v>
      </c>
      <c r="F799" s="246">
        <f t="shared" si="188"/>
        <v>0</v>
      </c>
      <c r="G799" s="198">
        <f>IFERROR(INDEX('Total qty'!$O$131:$O$205,MATCH(Movements!C799,'Total qty'!$C$131:$C$205,0))*consprofilemultiplier/IF(General!$F$35="Customers",INDEX(Qty!$I$87:$I$161,MATCH(Movements!C799,Qty!$C$87:$C$161,0)),INDEX(Qty!$K$87:$K$161,MATCH(Movements!C799,Qty!$C$87:$C$161,0))),0)</f>
        <v>0</v>
      </c>
      <c r="H799" s="143"/>
      <c r="I799" s="206">
        <f t="shared" si="191"/>
        <v>0</v>
      </c>
      <c r="J799" s="206">
        <f t="shared" si="192"/>
        <v>0</v>
      </c>
      <c r="K799" s="206">
        <f t="shared" si="193"/>
        <v>0</v>
      </c>
      <c r="L799" s="178"/>
      <c r="M799" s="198">
        <f>IFERROR(INDEX('Total qty'!$Q$209:$Q$283,MATCH(C799,'Total qty'!$C$209:$C$283,0))*consprofilemultiplier/IF(General!$F$35="Customers",INDEX(Qty!$I$87:$I$161,MATCH(Movements!C799,Qty!$C$87:$C$161,0)),INDEX(Qty!$K$87:$K$161,MATCH(Movements!C799,Qty!$C$87:$C$161,0))),0)</f>
        <v>0</v>
      </c>
      <c r="N799" s="252">
        <f>_xlfn.IFNA(MATCH(C799,IF(currentyear=RCPminus1,Tariffs!$H$46:$H$120,Tariffs!$C$46:$C$120),0),0)</f>
        <v>0</v>
      </c>
      <c r="O799" s="206" cm="1">
        <f t="array" ref="O799">IF(N799=0,0,IF(D799="yes",IF(Movements!$G799&gt;INDEX(Tariffs!$T$46:$T$120,$N799),INDEX(Tariffs!$T$46:$T$120,$N799),Movements!$G799),0))</f>
        <v>0</v>
      </c>
      <c r="P799" s="206" cm="1">
        <f t="array" ref="P799">IF(N799=0,0,IF(D799="yes",IF($G799=$O799,0,IF(AND(Movements!$G799&gt;INDEX(Tariffs!$U$46:$U$120,$N799),INDEX(Tariffs!$U$46:$U$120,$N799)&lt;&gt;0),INDEX(Tariffs!$U$46:$U$120,$N799)-INDEX(Tariffs!$T$46:$T$120,$N799),Movements!$G799-Movements!$O799)),0))</f>
        <v>0</v>
      </c>
      <c r="Q799" s="206">
        <f t="shared" si="195"/>
        <v>0</v>
      </c>
      <c r="R799" s="142"/>
      <c r="S799" s="219">
        <f>IFERROR(INDEX('Total qty'!$L$209:$N$283,MATCH(Movements!$C799,'Total qty'!$C$209:$C$283,0),MATCH(Movements!S$716,'Total qty'!$L$5:$N$5,0))/INDEX('Total qty'!$O$209:$O$283,MATCH(Movements!$C799,'Total qty'!$C$209:$C$283,0)),0)</f>
        <v>0</v>
      </c>
      <c r="T799" s="219">
        <f>IFERROR(INDEX('Total qty'!$L$209:$N$283,MATCH(Movements!$C799,'Total qty'!$C$209:$C$283,0),MATCH(Movements!T$716,'Total qty'!$L$5:$N$5,0))/INDEX('Total qty'!$O$209:$O$283,MATCH(Movements!$C799,'Total qty'!$C$209:$C$283,0)),0)</f>
        <v>0</v>
      </c>
      <c r="U799" s="219">
        <f>IFERROR(INDEX('Total qty'!$L$209:$N$283,MATCH(Movements!$C799,'Total qty'!$C$209:$C$283,0),MATCH(Movements!U$716,'Total qty'!$L$5:$N$5,0))/INDEX('Total qty'!$O$209:$O$283,MATCH(Movements!$C799,'Total qty'!$C$209:$C$283,0)),0)</f>
        <v>0</v>
      </c>
      <c r="V799" s="138"/>
      <c r="W799" s="138"/>
      <c r="X799" s="138"/>
      <c r="Y799" s="138"/>
      <c r="Z799" s="138"/>
      <c r="AA799" s="138"/>
      <c r="AB799" s="138"/>
      <c r="AC799" s="70"/>
      <c r="AD799" s="19"/>
      <c r="AE799" s="19"/>
      <c r="AF799" s="19"/>
      <c r="AG799" s="19"/>
    </row>
    <row r="800" spans="1:33" hidden="1" outlineLevel="3" x14ac:dyDescent="0.2">
      <c r="A800" s="19"/>
      <c r="B800" s="19"/>
      <c r="C800" s="506">
        <f t="shared" si="194"/>
        <v>0</v>
      </c>
      <c r="D800" s="505">
        <f t="shared" si="190"/>
        <v>0</v>
      </c>
      <c r="E800" s="505">
        <f t="shared" si="190"/>
        <v>0</v>
      </c>
      <c r="F800" s="246">
        <f t="shared" si="188"/>
        <v>0</v>
      </c>
      <c r="G800" s="198">
        <f>IFERROR(INDEX('Total qty'!$O$131:$O$205,MATCH(Movements!C800,'Total qty'!$C$131:$C$205,0))*consprofilemultiplier/IF(General!$F$35="Customers",INDEX(Qty!$I$87:$I$161,MATCH(Movements!C800,Qty!$C$87:$C$161,0)),INDEX(Qty!$K$87:$K$161,MATCH(Movements!C800,Qty!$C$87:$C$161,0))),0)</f>
        <v>0</v>
      </c>
      <c r="H800" s="143"/>
      <c r="I800" s="206">
        <f t="shared" si="191"/>
        <v>0</v>
      </c>
      <c r="J800" s="206">
        <f t="shared" si="192"/>
        <v>0</v>
      </c>
      <c r="K800" s="206">
        <f t="shared" si="193"/>
        <v>0</v>
      </c>
      <c r="L800" s="178"/>
      <c r="M800" s="198">
        <f>IFERROR(INDEX('Total qty'!$Q$209:$Q$283,MATCH(C800,'Total qty'!$C$209:$C$283,0))*consprofilemultiplier/IF(General!$F$35="Customers",INDEX(Qty!$I$87:$I$161,MATCH(Movements!C800,Qty!$C$87:$C$161,0)),INDEX(Qty!$K$87:$K$161,MATCH(Movements!C800,Qty!$C$87:$C$161,0))),0)</f>
        <v>0</v>
      </c>
      <c r="N800" s="252">
        <f>_xlfn.IFNA(MATCH(C800,IF(currentyear=RCPminus1,Tariffs!$H$46:$H$120,Tariffs!$C$46:$C$120),0),0)</f>
        <v>0</v>
      </c>
      <c r="O800" s="206" cm="1">
        <f t="array" ref="O800">IF(N800=0,0,IF(D800="yes",IF(Movements!$G800&gt;INDEX(Tariffs!$T$46:$T$120,$N800),INDEX(Tariffs!$T$46:$T$120,$N800),Movements!$G800),0))</f>
        <v>0</v>
      </c>
      <c r="P800" s="206" cm="1">
        <f t="array" ref="P800">IF(N800=0,0,IF(D800="yes",IF($G800=$O800,0,IF(AND(Movements!$G800&gt;INDEX(Tariffs!$U$46:$U$120,$N800),INDEX(Tariffs!$U$46:$U$120,$N800)&lt;&gt;0),INDEX(Tariffs!$U$46:$U$120,$N800)-INDEX(Tariffs!$T$46:$T$120,$N800),Movements!$G800-Movements!$O800)),0))</f>
        <v>0</v>
      </c>
      <c r="Q800" s="206">
        <f t="shared" si="195"/>
        <v>0</v>
      </c>
      <c r="R800" s="142"/>
      <c r="S800" s="219">
        <f>IFERROR(INDEX('Total qty'!$L$209:$N$283,MATCH(Movements!$C800,'Total qty'!$C$209:$C$283,0),MATCH(Movements!S$716,'Total qty'!$L$5:$N$5,0))/INDEX('Total qty'!$O$209:$O$283,MATCH(Movements!$C800,'Total qty'!$C$209:$C$283,0)),0)</f>
        <v>0</v>
      </c>
      <c r="T800" s="219">
        <f>IFERROR(INDEX('Total qty'!$L$209:$N$283,MATCH(Movements!$C800,'Total qty'!$C$209:$C$283,0),MATCH(Movements!T$716,'Total qty'!$L$5:$N$5,0))/INDEX('Total qty'!$O$209:$O$283,MATCH(Movements!$C800,'Total qty'!$C$209:$C$283,0)),0)</f>
        <v>0</v>
      </c>
      <c r="U800" s="219">
        <f>IFERROR(INDEX('Total qty'!$L$209:$N$283,MATCH(Movements!$C800,'Total qty'!$C$209:$C$283,0),MATCH(Movements!U$716,'Total qty'!$L$5:$N$5,0))/INDEX('Total qty'!$O$209:$O$283,MATCH(Movements!$C800,'Total qty'!$C$209:$C$283,0)),0)</f>
        <v>0</v>
      </c>
      <c r="V800" s="138"/>
      <c r="W800" s="138"/>
      <c r="X800" s="138"/>
      <c r="Y800" s="138"/>
      <c r="Z800" s="138"/>
      <c r="AA800" s="138"/>
      <c r="AB800" s="138"/>
      <c r="AC800" s="70"/>
      <c r="AD800" s="19"/>
      <c r="AE800" s="19"/>
      <c r="AF800" s="19"/>
      <c r="AG800" s="19"/>
    </row>
    <row r="801" spans="1:33" hidden="1" outlineLevel="3" x14ac:dyDescent="0.2">
      <c r="A801" s="19"/>
      <c r="B801" s="19"/>
      <c r="C801" s="506">
        <f t="shared" si="194"/>
        <v>0</v>
      </c>
      <c r="D801" s="505">
        <f t="shared" si="190"/>
        <v>0</v>
      </c>
      <c r="E801" s="505">
        <f t="shared" si="190"/>
        <v>0</v>
      </c>
      <c r="F801" s="246">
        <f t="shared" si="188"/>
        <v>0</v>
      </c>
      <c r="G801" s="198">
        <f>IFERROR(INDEX('Total qty'!$O$131:$O$205,MATCH(Movements!C801,'Total qty'!$C$131:$C$205,0))*consprofilemultiplier/IF(General!$F$35="Customers",INDEX(Qty!$I$87:$I$161,MATCH(Movements!C801,Qty!$C$87:$C$161,0)),INDEX(Qty!$K$87:$K$161,MATCH(Movements!C801,Qty!$C$87:$C$161,0))),0)</f>
        <v>0</v>
      </c>
      <c r="H801" s="143"/>
      <c r="I801" s="206">
        <f t="shared" si="191"/>
        <v>0</v>
      </c>
      <c r="J801" s="206">
        <f t="shared" si="192"/>
        <v>0</v>
      </c>
      <c r="K801" s="206">
        <f t="shared" si="193"/>
        <v>0</v>
      </c>
      <c r="L801" s="178"/>
      <c r="M801" s="198">
        <f>IFERROR(INDEX('Total qty'!$Q$209:$Q$283,MATCH(C801,'Total qty'!$C$209:$C$283,0))*consprofilemultiplier/IF(General!$F$35="Customers",INDEX(Qty!$I$87:$I$161,MATCH(Movements!C801,Qty!$C$87:$C$161,0)),INDEX(Qty!$K$87:$K$161,MATCH(Movements!C801,Qty!$C$87:$C$161,0))),0)</f>
        <v>0</v>
      </c>
      <c r="N801" s="252">
        <f>_xlfn.IFNA(MATCH(C801,IF(currentyear=RCPminus1,Tariffs!$H$46:$H$120,Tariffs!$C$46:$C$120),0),0)</f>
        <v>0</v>
      </c>
      <c r="O801" s="206" cm="1">
        <f t="array" ref="O801">IF(N801=0,0,IF(D801="yes",IF(Movements!$G801&gt;INDEX(Tariffs!$T$46:$T$120,$N801),INDEX(Tariffs!$T$46:$T$120,$N801),Movements!$G801),0))</f>
        <v>0</v>
      </c>
      <c r="P801" s="206" cm="1">
        <f t="array" ref="P801">IF(N801=0,0,IF(D801="yes",IF($G801=$O801,0,IF(AND(Movements!$G801&gt;INDEX(Tariffs!$U$46:$U$120,$N801),INDEX(Tariffs!$U$46:$U$120,$N801)&lt;&gt;0),INDEX(Tariffs!$U$46:$U$120,$N801)-INDEX(Tariffs!$T$46:$T$120,$N801),Movements!$G801-Movements!$O801)),0))</f>
        <v>0</v>
      </c>
      <c r="Q801" s="206">
        <f t="shared" si="195"/>
        <v>0</v>
      </c>
      <c r="R801" s="142"/>
      <c r="S801" s="219">
        <f>IFERROR(INDEX('Total qty'!$L$209:$N$283,MATCH(Movements!$C801,'Total qty'!$C$209:$C$283,0),MATCH(Movements!S$716,'Total qty'!$L$5:$N$5,0))/INDEX('Total qty'!$O$209:$O$283,MATCH(Movements!$C801,'Total qty'!$C$209:$C$283,0)),0)</f>
        <v>0</v>
      </c>
      <c r="T801" s="219">
        <f>IFERROR(INDEX('Total qty'!$L$209:$N$283,MATCH(Movements!$C801,'Total qty'!$C$209:$C$283,0),MATCH(Movements!T$716,'Total qty'!$L$5:$N$5,0))/INDEX('Total qty'!$O$209:$O$283,MATCH(Movements!$C801,'Total qty'!$C$209:$C$283,0)),0)</f>
        <v>0</v>
      </c>
      <c r="U801" s="219">
        <f>IFERROR(INDEX('Total qty'!$L$209:$N$283,MATCH(Movements!$C801,'Total qty'!$C$209:$C$283,0),MATCH(Movements!U$716,'Total qty'!$L$5:$N$5,0))/INDEX('Total qty'!$O$209:$O$283,MATCH(Movements!$C801,'Total qty'!$C$209:$C$283,0)),0)</f>
        <v>0</v>
      </c>
      <c r="V801" s="138"/>
      <c r="W801" s="138"/>
      <c r="X801" s="138"/>
      <c r="Y801" s="138"/>
      <c r="Z801" s="138"/>
      <c r="AA801" s="138"/>
      <c r="AB801" s="138"/>
      <c r="AC801" s="70"/>
      <c r="AD801" s="19"/>
      <c r="AE801" s="19"/>
      <c r="AF801" s="19"/>
      <c r="AG801" s="19"/>
    </row>
    <row r="802" spans="1:33" hidden="1" outlineLevel="3" x14ac:dyDescent="0.2">
      <c r="A802" s="19"/>
      <c r="B802" s="19"/>
      <c r="C802" s="506">
        <f t="shared" si="194"/>
        <v>0</v>
      </c>
      <c r="D802" s="505">
        <f t="shared" si="190"/>
        <v>0</v>
      </c>
      <c r="E802" s="505">
        <f t="shared" si="190"/>
        <v>0</v>
      </c>
      <c r="F802" s="246">
        <f t="shared" si="188"/>
        <v>0</v>
      </c>
      <c r="G802" s="198">
        <f>IFERROR(INDEX('Total qty'!$O$131:$O$205,MATCH(Movements!C802,'Total qty'!$C$131:$C$205,0))*consprofilemultiplier/IF(General!$F$35="Customers",INDEX(Qty!$I$87:$I$161,MATCH(Movements!C802,Qty!$C$87:$C$161,0)),INDEX(Qty!$K$87:$K$161,MATCH(Movements!C802,Qty!$C$87:$C$161,0))),0)</f>
        <v>0</v>
      </c>
      <c r="H802" s="143"/>
      <c r="I802" s="206">
        <f t="shared" si="191"/>
        <v>0</v>
      </c>
      <c r="J802" s="206">
        <f t="shared" si="192"/>
        <v>0</v>
      </c>
      <c r="K802" s="206">
        <f t="shared" si="193"/>
        <v>0</v>
      </c>
      <c r="L802" s="178"/>
      <c r="M802" s="198">
        <f>IFERROR(INDEX('Total qty'!$Q$209:$Q$283,MATCH(C802,'Total qty'!$C$209:$C$283,0))*consprofilemultiplier/IF(General!$F$35="Customers",INDEX(Qty!$I$87:$I$161,MATCH(Movements!C802,Qty!$C$87:$C$161,0)),INDEX(Qty!$K$87:$K$161,MATCH(Movements!C802,Qty!$C$87:$C$161,0))),0)</f>
        <v>0</v>
      </c>
      <c r="N802" s="252">
        <f>_xlfn.IFNA(MATCH(C802,IF(currentyear=RCPminus1,Tariffs!$H$46:$H$120,Tariffs!$C$46:$C$120),0),0)</f>
        <v>0</v>
      </c>
      <c r="O802" s="206" cm="1">
        <f t="array" ref="O802">IF(N802=0,0,IF(D802="yes",IF(Movements!$G802&gt;INDEX(Tariffs!$T$46:$T$120,$N802),INDEX(Tariffs!$T$46:$T$120,$N802),Movements!$G802),0))</f>
        <v>0</v>
      </c>
      <c r="P802" s="206" cm="1">
        <f t="array" ref="P802">IF(N802=0,0,IF(D802="yes",IF($G802=$O802,0,IF(AND(Movements!$G802&gt;INDEX(Tariffs!$U$46:$U$120,$N802),INDEX(Tariffs!$U$46:$U$120,$N802)&lt;&gt;0),INDEX(Tariffs!$U$46:$U$120,$N802)-INDEX(Tariffs!$T$46:$T$120,$N802),Movements!$G802-Movements!$O802)),0))</f>
        <v>0</v>
      </c>
      <c r="Q802" s="206">
        <f t="shared" si="195"/>
        <v>0</v>
      </c>
      <c r="R802" s="142"/>
      <c r="S802" s="219">
        <f>IFERROR(INDEX('Total qty'!$L$209:$N$283,MATCH(Movements!$C802,'Total qty'!$C$209:$C$283,0),MATCH(Movements!S$716,'Total qty'!$L$5:$N$5,0))/INDEX('Total qty'!$O$209:$O$283,MATCH(Movements!$C802,'Total qty'!$C$209:$C$283,0)),0)</f>
        <v>0</v>
      </c>
      <c r="T802" s="219">
        <f>IFERROR(INDEX('Total qty'!$L$209:$N$283,MATCH(Movements!$C802,'Total qty'!$C$209:$C$283,0),MATCH(Movements!T$716,'Total qty'!$L$5:$N$5,0))/INDEX('Total qty'!$O$209:$O$283,MATCH(Movements!$C802,'Total qty'!$C$209:$C$283,0)),0)</f>
        <v>0</v>
      </c>
      <c r="U802" s="219">
        <f>IFERROR(INDEX('Total qty'!$L$209:$N$283,MATCH(Movements!$C802,'Total qty'!$C$209:$C$283,0),MATCH(Movements!U$716,'Total qty'!$L$5:$N$5,0))/INDEX('Total qty'!$O$209:$O$283,MATCH(Movements!$C802,'Total qty'!$C$209:$C$283,0)),0)</f>
        <v>0</v>
      </c>
      <c r="V802" s="138"/>
      <c r="W802" s="138"/>
      <c r="X802" s="138"/>
      <c r="Y802" s="138"/>
      <c r="Z802" s="138"/>
      <c r="AA802" s="138"/>
      <c r="AB802" s="138"/>
      <c r="AC802" s="70"/>
      <c r="AD802" s="19"/>
      <c r="AE802" s="19"/>
      <c r="AF802" s="19"/>
      <c r="AG802" s="19"/>
    </row>
    <row r="803" spans="1:33" hidden="1" outlineLevel="3" x14ac:dyDescent="0.2">
      <c r="A803" s="19"/>
      <c r="B803" s="19"/>
      <c r="C803" s="506">
        <f t="shared" si="194"/>
        <v>0</v>
      </c>
      <c r="D803" s="505">
        <f t="shared" si="190"/>
        <v>0</v>
      </c>
      <c r="E803" s="505">
        <f t="shared" si="190"/>
        <v>0</v>
      </c>
      <c r="F803" s="246">
        <f t="shared" si="188"/>
        <v>0</v>
      </c>
      <c r="G803" s="198">
        <f>IFERROR(INDEX('Total qty'!$O$131:$O$205,MATCH(Movements!C803,'Total qty'!$C$131:$C$205,0))*consprofilemultiplier/IF(General!$F$35="Customers",INDEX(Qty!$I$87:$I$161,MATCH(Movements!C803,Qty!$C$87:$C$161,0)),INDEX(Qty!$K$87:$K$161,MATCH(Movements!C803,Qty!$C$87:$C$161,0))),0)</f>
        <v>0</v>
      </c>
      <c r="H803" s="143"/>
      <c r="I803" s="206">
        <f t="shared" si="191"/>
        <v>0</v>
      </c>
      <c r="J803" s="206">
        <f t="shared" si="192"/>
        <v>0</v>
      </c>
      <c r="K803" s="206">
        <f t="shared" si="193"/>
        <v>0</v>
      </c>
      <c r="L803" s="178"/>
      <c r="M803" s="198">
        <f>IFERROR(INDEX('Total qty'!$Q$209:$Q$283,MATCH(C803,'Total qty'!$C$209:$C$283,0))*consprofilemultiplier/IF(General!$F$35="Customers",INDEX(Qty!$I$87:$I$161,MATCH(Movements!C803,Qty!$C$87:$C$161,0)),INDEX(Qty!$K$87:$K$161,MATCH(Movements!C803,Qty!$C$87:$C$161,0))),0)</f>
        <v>0</v>
      </c>
      <c r="N803" s="252">
        <f>_xlfn.IFNA(MATCH(C803,IF(currentyear=RCPminus1,Tariffs!$H$46:$H$120,Tariffs!$C$46:$C$120),0),0)</f>
        <v>0</v>
      </c>
      <c r="O803" s="206" cm="1">
        <f t="array" ref="O803">IF(N803=0,0,IF(D803="yes",IF(Movements!$G803&gt;INDEX(Tariffs!$T$46:$T$120,$N803),INDEX(Tariffs!$T$46:$T$120,$N803),Movements!$G803),0))</f>
        <v>0</v>
      </c>
      <c r="P803" s="206" cm="1">
        <f t="array" ref="P803">IF(N803=0,0,IF(D803="yes",IF($G803=$O803,0,IF(AND(Movements!$G803&gt;INDEX(Tariffs!$U$46:$U$120,$N803),INDEX(Tariffs!$U$46:$U$120,$N803)&lt;&gt;0),INDEX(Tariffs!$U$46:$U$120,$N803)-INDEX(Tariffs!$T$46:$T$120,$N803),Movements!$G803-Movements!$O803)),0))</f>
        <v>0</v>
      </c>
      <c r="Q803" s="206">
        <f t="shared" si="195"/>
        <v>0</v>
      </c>
      <c r="R803" s="142"/>
      <c r="S803" s="219">
        <f>IFERROR(INDEX('Total qty'!$L$209:$N$283,MATCH(Movements!$C803,'Total qty'!$C$209:$C$283,0),MATCH(Movements!S$716,'Total qty'!$L$5:$N$5,0))/INDEX('Total qty'!$O$209:$O$283,MATCH(Movements!$C803,'Total qty'!$C$209:$C$283,0)),0)</f>
        <v>0</v>
      </c>
      <c r="T803" s="219">
        <f>IFERROR(INDEX('Total qty'!$L$209:$N$283,MATCH(Movements!$C803,'Total qty'!$C$209:$C$283,0),MATCH(Movements!T$716,'Total qty'!$L$5:$N$5,0))/INDEX('Total qty'!$O$209:$O$283,MATCH(Movements!$C803,'Total qty'!$C$209:$C$283,0)),0)</f>
        <v>0</v>
      </c>
      <c r="U803" s="219">
        <f>IFERROR(INDEX('Total qty'!$L$209:$N$283,MATCH(Movements!$C803,'Total qty'!$C$209:$C$283,0),MATCH(Movements!U$716,'Total qty'!$L$5:$N$5,0))/INDEX('Total qty'!$O$209:$O$283,MATCH(Movements!$C803,'Total qty'!$C$209:$C$283,0)),0)</f>
        <v>0</v>
      </c>
      <c r="V803" s="138"/>
      <c r="W803" s="138"/>
      <c r="X803" s="138"/>
      <c r="Y803" s="138"/>
      <c r="Z803" s="138"/>
      <c r="AA803" s="138"/>
      <c r="AB803" s="138"/>
      <c r="AC803" s="70"/>
      <c r="AD803" s="19"/>
      <c r="AE803" s="19"/>
      <c r="AF803" s="19"/>
      <c r="AG803" s="19"/>
    </row>
    <row r="804" spans="1:33" hidden="1" outlineLevel="3" x14ac:dyDescent="0.2">
      <c r="A804" s="19"/>
      <c r="B804" s="19"/>
      <c r="C804" s="506">
        <f t="shared" si="194"/>
        <v>0</v>
      </c>
      <c r="D804" s="505">
        <f t="shared" si="190"/>
        <v>0</v>
      </c>
      <c r="E804" s="505">
        <f t="shared" si="190"/>
        <v>0</v>
      </c>
      <c r="F804" s="246">
        <f t="shared" si="188"/>
        <v>0</v>
      </c>
      <c r="G804" s="198">
        <f>IFERROR(INDEX('Total qty'!$O$131:$O$205,MATCH(Movements!C804,'Total qty'!$C$131:$C$205,0))*consprofilemultiplier/IF(General!$F$35="Customers",INDEX(Qty!$I$87:$I$161,MATCH(Movements!C804,Qty!$C$87:$C$161,0)),INDEX(Qty!$K$87:$K$161,MATCH(Movements!C804,Qty!$C$87:$C$161,0))),0)</f>
        <v>0</v>
      </c>
      <c r="H804" s="143"/>
      <c r="I804" s="206">
        <f t="shared" si="191"/>
        <v>0</v>
      </c>
      <c r="J804" s="206">
        <f t="shared" si="192"/>
        <v>0</v>
      </c>
      <c r="K804" s="206">
        <f t="shared" si="193"/>
        <v>0</v>
      </c>
      <c r="L804" s="178"/>
      <c r="M804" s="198">
        <f>IFERROR(INDEX('Total qty'!$Q$209:$Q$283,MATCH(C804,'Total qty'!$C$209:$C$283,0))*consprofilemultiplier/IF(General!$F$35="Customers",INDEX(Qty!$I$87:$I$161,MATCH(Movements!C804,Qty!$C$87:$C$161,0)),INDEX(Qty!$K$87:$K$161,MATCH(Movements!C804,Qty!$C$87:$C$161,0))),0)</f>
        <v>0</v>
      </c>
      <c r="N804" s="252">
        <f>_xlfn.IFNA(MATCH(C804,IF(currentyear=RCPminus1,Tariffs!$H$46:$H$120,Tariffs!$C$46:$C$120),0),0)</f>
        <v>0</v>
      </c>
      <c r="O804" s="206" cm="1">
        <f t="array" ref="O804">IF(N804=0,0,IF(D804="yes",IF(Movements!$G804&gt;INDEX(Tariffs!$T$46:$T$120,$N804),INDEX(Tariffs!$T$46:$T$120,$N804),Movements!$G804),0))</f>
        <v>0</v>
      </c>
      <c r="P804" s="206" cm="1">
        <f t="array" ref="P804">IF(N804=0,0,IF(D804="yes",IF($G804=$O804,0,IF(AND(Movements!$G804&gt;INDEX(Tariffs!$U$46:$U$120,$N804),INDEX(Tariffs!$U$46:$U$120,$N804)&lt;&gt;0),INDEX(Tariffs!$U$46:$U$120,$N804)-INDEX(Tariffs!$T$46:$T$120,$N804),Movements!$G804-Movements!$O804)),0))</f>
        <v>0</v>
      </c>
      <c r="Q804" s="206">
        <f t="shared" si="195"/>
        <v>0</v>
      </c>
      <c r="R804" s="142"/>
      <c r="S804" s="219">
        <f>IFERROR(INDEX('Total qty'!$L$209:$N$283,MATCH(Movements!$C804,'Total qty'!$C$209:$C$283,0),MATCH(Movements!S$716,'Total qty'!$L$5:$N$5,0))/INDEX('Total qty'!$O$209:$O$283,MATCH(Movements!$C804,'Total qty'!$C$209:$C$283,0)),0)</f>
        <v>0</v>
      </c>
      <c r="T804" s="219">
        <f>IFERROR(INDEX('Total qty'!$L$209:$N$283,MATCH(Movements!$C804,'Total qty'!$C$209:$C$283,0),MATCH(Movements!T$716,'Total qty'!$L$5:$N$5,0))/INDEX('Total qty'!$O$209:$O$283,MATCH(Movements!$C804,'Total qty'!$C$209:$C$283,0)),0)</f>
        <v>0</v>
      </c>
      <c r="U804" s="219">
        <f>IFERROR(INDEX('Total qty'!$L$209:$N$283,MATCH(Movements!$C804,'Total qty'!$C$209:$C$283,0),MATCH(Movements!U$716,'Total qty'!$L$5:$N$5,0))/INDEX('Total qty'!$O$209:$O$283,MATCH(Movements!$C804,'Total qty'!$C$209:$C$283,0)),0)</f>
        <v>0</v>
      </c>
      <c r="V804" s="138"/>
      <c r="W804" s="138"/>
      <c r="X804" s="138"/>
      <c r="Y804" s="138"/>
      <c r="Z804" s="138"/>
      <c r="AA804" s="138"/>
      <c r="AB804" s="138"/>
      <c r="AC804" s="70"/>
      <c r="AD804" s="19"/>
      <c r="AE804" s="19"/>
      <c r="AF804" s="19"/>
      <c r="AG804" s="19"/>
    </row>
    <row r="805" spans="1:33" hidden="1" outlineLevel="3" x14ac:dyDescent="0.2">
      <c r="A805" s="19"/>
      <c r="B805" s="19"/>
      <c r="C805" s="506">
        <f t="shared" si="194"/>
        <v>0</v>
      </c>
      <c r="D805" s="505">
        <f t="shared" si="190"/>
        <v>0</v>
      </c>
      <c r="E805" s="505">
        <f t="shared" si="190"/>
        <v>0</v>
      </c>
      <c r="F805" s="246">
        <f t="shared" si="188"/>
        <v>0</v>
      </c>
      <c r="G805" s="198">
        <f>IFERROR(INDEX('Total qty'!$O$131:$O$205,MATCH(Movements!C805,'Total qty'!$C$131:$C$205,0))*consprofilemultiplier/IF(General!$F$35="Customers",INDEX(Qty!$I$87:$I$161,MATCH(Movements!C805,Qty!$C$87:$C$161,0)),INDEX(Qty!$K$87:$K$161,MATCH(Movements!C805,Qty!$C$87:$C$161,0))),0)</f>
        <v>0</v>
      </c>
      <c r="H805" s="143"/>
      <c r="I805" s="206">
        <f t="shared" si="191"/>
        <v>0</v>
      </c>
      <c r="J805" s="206">
        <f t="shared" si="192"/>
        <v>0</v>
      </c>
      <c r="K805" s="206">
        <f t="shared" si="193"/>
        <v>0</v>
      </c>
      <c r="L805" s="178"/>
      <c r="M805" s="198">
        <f>IFERROR(INDEX('Total qty'!$Q$209:$Q$283,MATCH(C805,'Total qty'!$C$209:$C$283,0))*consprofilemultiplier/IF(General!$F$35="Customers",INDEX(Qty!$I$87:$I$161,MATCH(Movements!C805,Qty!$C$87:$C$161,0)),INDEX(Qty!$K$87:$K$161,MATCH(Movements!C805,Qty!$C$87:$C$161,0))),0)</f>
        <v>0</v>
      </c>
      <c r="N805" s="252">
        <f>_xlfn.IFNA(MATCH(C805,IF(currentyear=RCPminus1,Tariffs!$H$46:$H$120,Tariffs!$C$46:$C$120),0),0)</f>
        <v>0</v>
      </c>
      <c r="O805" s="206" cm="1">
        <f t="array" ref="O805">IF(N805=0,0,IF(D805="yes",IF(Movements!$G805&gt;INDEX(Tariffs!$T$46:$T$120,$N805),INDEX(Tariffs!$T$46:$T$120,$N805),Movements!$G805),0))</f>
        <v>0</v>
      </c>
      <c r="P805" s="206" cm="1">
        <f t="array" ref="P805">IF(N805=0,0,IF(D805="yes",IF($G805=$O805,0,IF(AND(Movements!$G805&gt;INDEX(Tariffs!$U$46:$U$120,$N805),INDEX(Tariffs!$U$46:$U$120,$N805)&lt;&gt;0),INDEX(Tariffs!$U$46:$U$120,$N805)-INDEX(Tariffs!$T$46:$T$120,$N805),Movements!$G805-Movements!$O805)),0))</f>
        <v>0</v>
      </c>
      <c r="Q805" s="206">
        <f t="shared" si="195"/>
        <v>0</v>
      </c>
      <c r="R805" s="142"/>
      <c r="S805" s="219">
        <f>IFERROR(INDEX('Total qty'!$L$209:$N$283,MATCH(Movements!$C805,'Total qty'!$C$209:$C$283,0),MATCH(Movements!S$716,'Total qty'!$L$5:$N$5,0))/INDEX('Total qty'!$O$209:$O$283,MATCH(Movements!$C805,'Total qty'!$C$209:$C$283,0)),0)</f>
        <v>0</v>
      </c>
      <c r="T805" s="219">
        <f>IFERROR(INDEX('Total qty'!$L$209:$N$283,MATCH(Movements!$C805,'Total qty'!$C$209:$C$283,0),MATCH(Movements!T$716,'Total qty'!$L$5:$N$5,0))/INDEX('Total qty'!$O$209:$O$283,MATCH(Movements!$C805,'Total qty'!$C$209:$C$283,0)),0)</f>
        <v>0</v>
      </c>
      <c r="U805" s="219">
        <f>IFERROR(INDEX('Total qty'!$L$209:$N$283,MATCH(Movements!$C805,'Total qty'!$C$209:$C$283,0),MATCH(Movements!U$716,'Total qty'!$L$5:$N$5,0))/INDEX('Total qty'!$O$209:$O$283,MATCH(Movements!$C805,'Total qty'!$C$209:$C$283,0)),0)</f>
        <v>0</v>
      </c>
      <c r="V805" s="138"/>
      <c r="W805" s="138"/>
      <c r="X805" s="138"/>
      <c r="Y805" s="138"/>
      <c r="Z805" s="138"/>
      <c r="AA805" s="138"/>
      <c r="AB805" s="138"/>
      <c r="AC805" s="70"/>
      <c r="AD805" s="19"/>
      <c r="AE805" s="19"/>
      <c r="AF805" s="19"/>
      <c r="AG805" s="19"/>
    </row>
    <row r="806" spans="1:33" hidden="1" outlineLevel="3" x14ac:dyDescent="0.2">
      <c r="A806" s="19"/>
      <c r="B806" s="19"/>
      <c r="C806" s="506">
        <f t="shared" si="194"/>
        <v>0</v>
      </c>
      <c r="D806" s="505">
        <f t="shared" si="190"/>
        <v>0</v>
      </c>
      <c r="E806" s="505">
        <f t="shared" si="190"/>
        <v>0</v>
      </c>
      <c r="F806" s="246">
        <f t="shared" si="188"/>
        <v>0</v>
      </c>
      <c r="G806" s="198">
        <f>IFERROR(INDEX('Total qty'!$O$131:$O$205,MATCH(Movements!C806,'Total qty'!$C$131:$C$205,0))*consprofilemultiplier/IF(General!$F$35="Customers",INDEX(Qty!$I$87:$I$161,MATCH(Movements!C806,Qty!$C$87:$C$161,0)),INDEX(Qty!$K$87:$K$161,MATCH(Movements!C806,Qty!$C$87:$C$161,0))),0)</f>
        <v>0</v>
      </c>
      <c r="H806" s="143"/>
      <c r="I806" s="206">
        <f t="shared" si="191"/>
        <v>0</v>
      </c>
      <c r="J806" s="206">
        <f t="shared" si="192"/>
        <v>0</v>
      </c>
      <c r="K806" s="206">
        <f t="shared" si="193"/>
        <v>0</v>
      </c>
      <c r="L806" s="178"/>
      <c r="M806" s="198">
        <f>IFERROR(INDEX('Total qty'!$Q$209:$Q$283,MATCH(C806,'Total qty'!$C$209:$C$283,0))*consprofilemultiplier/IF(General!$F$35="Customers",INDEX(Qty!$I$87:$I$161,MATCH(Movements!C806,Qty!$C$87:$C$161,0)),INDEX(Qty!$K$87:$K$161,MATCH(Movements!C806,Qty!$C$87:$C$161,0))),0)</f>
        <v>0</v>
      </c>
      <c r="N806" s="252">
        <f>_xlfn.IFNA(MATCH(C806,IF(currentyear=RCPminus1,Tariffs!$H$46:$H$120,Tariffs!$C$46:$C$120),0),0)</f>
        <v>0</v>
      </c>
      <c r="O806" s="206" cm="1">
        <f t="array" ref="O806">IF(N806=0,0,IF(D806="yes",IF(Movements!$G806&gt;INDEX(Tariffs!$T$46:$T$120,$N806),INDEX(Tariffs!$T$46:$T$120,$N806),Movements!$G806),0))</f>
        <v>0</v>
      </c>
      <c r="P806" s="206" cm="1">
        <f t="array" ref="P806">IF(N806=0,0,IF(D806="yes",IF($G806=$O806,0,IF(AND(Movements!$G806&gt;INDEX(Tariffs!$U$46:$U$120,$N806),INDEX(Tariffs!$U$46:$U$120,$N806)&lt;&gt;0),INDEX(Tariffs!$U$46:$U$120,$N806)-INDEX(Tariffs!$T$46:$T$120,$N806),Movements!$G806-Movements!$O806)),0))</f>
        <v>0</v>
      </c>
      <c r="Q806" s="206">
        <f t="shared" si="195"/>
        <v>0</v>
      </c>
      <c r="R806" s="142"/>
      <c r="S806" s="219">
        <f>IFERROR(INDEX('Total qty'!$L$209:$N$283,MATCH(Movements!$C806,'Total qty'!$C$209:$C$283,0),MATCH(Movements!S$716,'Total qty'!$L$5:$N$5,0))/INDEX('Total qty'!$O$209:$O$283,MATCH(Movements!$C806,'Total qty'!$C$209:$C$283,0)),0)</f>
        <v>0</v>
      </c>
      <c r="T806" s="219">
        <f>IFERROR(INDEX('Total qty'!$L$209:$N$283,MATCH(Movements!$C806,'Total qty'!$C$209:$C$283,0),MATCH(Movements!T$716,'Total qty'!$L$5:$N$5,0))/INDEX('Total qty'!$O$209:$O$283,MATCH(Movements!$C806,'Total qty'!$C$209:$C$283,0)),0)</f>
        <v>0</v>
      </c>
      <c r="U806" s="219">
        <f>IFERROR(INDEX('Total qty'!$L$209:$N$283,MATCH(Movements!$C806,'Total qty'!$C$209:$C$283,0),MATCH(Movements!U$716,'Total qty'!$L$5:$N$5,0))/INDEX('Total qty'!$O$209:$O$283,MATCH(Movements!$C806,'Total qty'!$C$209:$C$283,0)),0)</f>
        <v>0</v>
      </c>
      <c r="V806" s="138"/>
      <c r="W806" s="138"/>
      <c r="X806" s="138"/>
      <c r="Y806" s="138"/>
      <c r="Z806" s="138"/>
      <c r="AA806" s="138"/>
      <c r="AB806" s="138"/>
      <c r="AC806" s="70"/>
      <c r="AD806" s="19"/>
      <c r="AE806" s="19"/>
      <c r="AF806" s="19"/>
      <c r="AG806" s="19"/>
    </row>
    <row r="807" spans="1:33" hidden="1" outlineLevel="3" x14ac:dyDescent="0.2">
      <c r="A807" s="19"/>
      <c r="B807" s="19"/>
      <c r="C807" s="506">
        <f t="shared" si="194"/>
        <v>0</v>
      </c>
      <c r="D807" s="505">
        <f t="shared" si="190"/>
        <v>0</v>
      </c>
      <c r="E807" s="505">
        <f t="shared" si="190"/>
        <v>0</v>
      </c>
      <c r="F807" s="246">
        <f t="shared" si="188"/>
        <v>0</v>
      </c>
      <c r="G807" s="198">
        <f>IFERROR(INDEX('Total qty'!$O$131:$O$205,MATCH(Movements!C807,'Total qty'!$C$131:$C$205,0))*consprofilemultiplier/IF(General!$F$35="Customers",INDEX(Qty!$I$87:$I$161,MATCH(Movements!C807,Qty!$C$87:$C$161,0)),INDEX(Qty!$K$87:$K$161,MATCH(Movements!C807,Qty!$C$87:$C$161,0))),0)</f>
        <v>0</v>
      </c>
      <c r="H807" s="143"/>
      <c r="I807" s="206">
        <f t="shared" si="191"/>
        <v>0</v>
      </c>
      <c r="J807" s="206">
        <f t="shared" si="192"/>
        <v>0</v>
      </c>
      <c r="K807" s="206">
        <f t="shared" si="193"/>
        <v>0</v>
      </c>
      <c r="L807" s="178"/>
      <c r="M807" s="198">
        <f>IFERROR(INDEX('Total qty'!$Q$209:$Q$283,MATCH(C807,'Total qty'!$C$209:$C$283,0))*consprofilemultiplier/IF(General!$F$35="Customers",INDEX(Qty!$I$87:$I$161,MATCH(Movements!C807,Qty!$C$87:$C$161,0)),INDEX(Qty!$K$87:$K$161,MATCH(Movements!C807,Qty!$C$87:$C$161,0))),0)</f>
        <v>0</v>
      </c>
      <c r="N807" s="252">
        <f>_xlfn.IFNA(MATCH(C807,IF(currentyear=RCPminus1,Tariffs!$H$46:$H$120,Tariffs!$C$46:$C$120),0),0)</f>
        <v>0</v>
      </c>
      <c r="O807" s="206" cm="1">
        <f t="array" ref="O807">IF(N807=0,0,IF(D807="yes",IF(Movements!$G807&gt;INDEX(Tariffs!$T$46:$T$120,$N807),INDEX(Tariffs!$T$46:$T$120,$N807),Movements!$G807),0))</f>
        <v>0</v>
      </c>
      <c r="P807" s="206" cm="1">
        <f t="array" ref="P807">IF(N807=0,0,IF(D807="yes",IF($G807=$O807,0,IF(AND(Movements!$G807&gt;INDEX(Tariffs!$U$46:$U$120,$N807),INDEX(Tariffs!$U$46:$U$120,$N807)&lt;&gt;0),INDEX(Tariffs!$U$46:$U$120,$N807)-INDEX(Tariffs!$T$46:$T$120,$N807),Movements!$G807-Movements!$O807)),0))</f>
        <v>0</v>
      </c>
      <c r="Q807" s="206">
        <f t="shared" si="195"/>
        <v>0</v>
      </c>
      <c r="R807" s="142"/>
      <c r="S807" s="219">
        <f>IFERROR(INDEX('Total qty'!$L$209:$N$283,MATCH(Movements!$C807,'Total qty'!$C$209:$C$283,0),MATCH(Movements!S$716,'Total qty'!$L$5:$N$5,0))/INDEX('Total qty'!$O$209:$O$283,MATCH(Movements!$C807,'Total qty'!$C$209:$C$283,0)),0)</f>
        <v>0</v>
      </c>
      <c r="T807" s="219">
        <f>IFERROR(INDEX('Total qty'!$L$209:$N$283,MATCH(Movements!$C807,'Total qty'!$C$209:$C$283,0),MATCH(Movements!T$716,'Total qty'!$L$5:$N$5,0))/INDEX('Total qty'!$O$209:$O$283,MATCH(Movements!$C807,'Total qty'!$C$209:$C$283,0)),0)</f>
        <v>0</v>
      </c>
      <c r="U807" s="219">
        <f>IFERROR(INDEX('Total qty'!$L$209:$N$283,MATCH(Movements!$C807,'Total qty'!$C$209:$C$283,0),MATCH(Movements!U$716,'Total qty'!$L$5:$N$5,0))/INDEX('Total qty'!$O$209:$O$283,MATCH(Movements!$C807,'Total qty'!$C$209:$C$283,0)),0)</f>
        <v>0</v>
      </c>
      <c r="V807" s="138"/>
      <c r="W807" s="138"/>
      <c r="X807" s="138"/>
      <c r="Y807" s="138"/>
      <c r="Z807" s="138"/>
      <c r="AA807" s="138"/>
      <c r="AB807" s="138"/>
      <c r="AC807" s="70"/>
      <c r="AD807" s="19"/>
      <c r="AE807" s="19"/>
      <c r="AF807" s="19"/>
      <c r="AG807" s="19"/>
    </row>
    <row r="808" spans="1:33" hidden="1" outlineLevel="3" x14ac:dyDescent="0.2">
      <c r="A808" s="19"/>
      <c r="B808" s="19"/>
      <c r="C808" s="506">
        <f t="shared" si="194"/>
        <v>0</v>
      </c>
      <c r="D808" s="505">
        <f t="shared" si="190"/>
        <v>0</v>
      </c>
      <c r="E808" s="505">
        <f t="shared" si="190"/>
        <v>0</v>
      </c>
      <c r="F808" s="246">
        <f t="shared" si="188"/>
        <v>0</v>
      </c>
      <c r="G808" s="198">
        <f>IFERROR(INDEX('Total qty'!$O$131:$O$205,MATCH(Movements!C808,'Total qty'!$C$131:$C$205,0))*consprofilemultiplier/IF(General!$F$35="Customers",INDEX(Qty!$I$87:$I$161,MATCH(Movements!C808,Qty!$C$87:$C$161,0)),INDEX(Qty!$K$87:$K$161,MATCH(Movements!C808,Qty!$C$87:$C$161,0))),0)</f>
        <v>0</v>
      </c>
      <c r="H808" s="143"/>
      <c r="I808" s="206">
        <f t="shared" si="191"/>
        <v>0</v>
      </c>
      <c r="J808" s="206">
        <f t="shared" si="192"/>
        <v>0</v>
      </c>
      <c r="K808" s="206">
        <f t="shared" si="193"/>
        <v>0</v>
      </c>
      <c r="L808" s="178"/>
      <c r="M808" s="198">
        <f>IFERROR(INDEX('Total qty'!$Q$209:$Q$283,MATCH(C808,'Total qty'!$C$209:$C$283,0))*consprofilemultiplier/IF(General!$F$35="Customers",INDEX(Qty!$I$87:$I$161,MATCH(Movements!C808,Qty!$C$87:$C$161,0)),INDEX(Qty!$K$87:$K$161,MATCH(Movements!C808,Qty!$C$87:$C$161,0))),0)</f>
        <v>0</v>
      </c>
      <c r="N808" s="252">
        <f>_xlfn.IFNA(MATCH(C808,IF(currentyear=RCPminus1,Tariffs!$H$46:$H$120,Tariffs!$C$46:$C$120),0),0)</f>
        <v>0</v>
      </c>
      <c r="O808" s="206" cm="1">
        <f t="array" ref="O808">IF(N808=0,0,IF(D808="yes",IF(Movements!$G808&gt;INDEX(Tariffs!$T$46:$T$120,$N808),INDEX(Tariffs!$T$46:$T$120,$N808),Movements!$G808),0))</f>
        <v>0</v>
      </c>
      <c r="P808" s="206" cm="1">
        <f t="array" ref="P808">IF(N808=0,0,IF(D808="yes",IF($G808=$O808,0,IF(AND(Movements!$G808&gt;INDEX(Tariffs!$U$46:$U$120,$N808),INDEX(Tariffs!$U$46:$U$120,$N808)&lt;&gt;0),INDEX(Tariffs!$U$46:$U$120,$N808)-INDEX(Tariffs!$T$46:$T$120,$N808),Movements!$G808-Movements!$O808)),0))</f>
        <v>0</v>
      </c>
      <c r="Q808" s="206">
        <f t="shared" si="195"/>
        <v>0</v>
      </c>
      <c r="R808" s="142"/>
      <c r="S808" s="219">
        <f>IFERROR(INDEX('Total qty'!$L$209:$N$283,MATCH(Movements!$C808,'Total qty'!$C$209:$C$283,0),MATCH(Movements!S$716,'Total qty'!$L$5:$N$5,0))/INDEX('Total qty'!$O$209:$O$283,MATCH(Movements!$C808,'Total qty'!$C$209:$C$283,0)),0)</f>
        <v>0</v>
      </c>
      <c r="T808" s="219">
        <f>IFERROR(INDEX('Total qty'!$L$209:$N$283,MATCH(Movements!$C808,'Total qty'!$C$209:$C$283,0),MATCH(Movements!T$716,'Total qty'!$L$5:$N$5,0))/INDEX('Total qty'!$O$209:$O$283,MATCH(Movements!$C808,'Total qty'!$C$209:$C$283,0)),0)</f>
        <v>0</v>
      </c>
      <c r="U808" s="219">
        <f>IFERROR(INDEX('Total qty'!$L$209:$N$283,MATCH(Movements!$C808,'Total qty'!$C$209:$C$283,0),MATCH(Movements!U$716,'Total qty'!$L$5:$N$5,0))/INDEX('Total qty'!$O$209:$O$283,MATCH(Movements!$C808,'Total qty'!$C$209:$C$283,0)),0)</f>
        <v>0</v>
      </c>
      <c r="V808" s="138"/>
      <c r="W808" s="138"/>
      <c r="X808" s="138"/>
      <c r="Y808" s="138"/>
      <c r="Z808" s="138"/>
      <c r="AA808" s="138"/>
      <c r="AB808" s="138"/>
      <c r="AC808" s="70"/>
      <c r="AD808" s="19"/>
      <c r="AE808" s="19"/>
      <c r="AF808" s="19"/>
      <c r="AG808" s="19"/>
    </row>
    <row r="809" spans="1:33" hidden="1" outlineLevel="3" x14ac:dyDescent="0.2">
      <c r="A809" s="19"/>
      <c r="B809" s="19"/>
      <c r="C809" s="506">
        <f t="shared" si="194"/>
        <v>0</v>
      </c>
      <c r="D809" s="505">
        <f t="shared" si="190"/>
        <v>0</v>
      </c>
      <c r="E809" s="505">
        <f t="shared" si="190"/>
        <v>0</v>
      </c>
      <c r="F809" s="246">
        <f t="shared" si="188"/>
        <v>0</v>
      </c>
      <c r="G809" s="198">
        <f>IFERROR(INDEX('Total qty'!$O$131:$O$205,MATCH(Movements!C809,'Total qty'!$C$131:$C$205,0))*consprofilemultiplier/IF(General!$F$35="Customers",INDEX(Qty!$I$87:$I$161,MATCH(Movements!C809,Qty!$C$87:$C$161,0)),INDEX(Qty!$K$87:$K$161,MATCH(Movements!C809,Qty!$C$87:$C$161,0))),0)</f>
        <v>0</v>
      </c>
      <c r="H809" s="143"/>
      <c r="I809" s="206">
        <f t="shared" si="191"/>
        <v>0</v>
      </c>
      <c r="J809" s="206">
        <f t="shared" si="192"/>
        <v>0</v>
      </c>
      <c r="K809" s="206">
        <f t="shared" si="193"/>
        <v>0</v>
      </c>
      <c r="L809" s="178"/>
      <c r="M809" s="198">
        <f>IFERROR(INDEX('Total qty'!$Q$209:$Q$283,MATCH(C809,'Total qty'!$C$209:$C$283,0))*consprofilemultiplier/IF(General!$F$35="Customers",INDEX(Qty!$I$87:$I$161,MATCH(Movements!C809,Qty!$C$87:$C$161,0)),INDEX(Qty!$K$87:$K$161,MATCH(Movements!C809,Qty!$C$87:$C$161,0))),0)</f>
        <v>0</v>
      </c>
      <c r="N809" s="252">
        <f>_xlfn.IFNA(MATCH(C809,IF(currentyear=RCPminus1,Tariffs!$H$46:$H$120,Tariffs!$C$46:$C$120),0),0)</f>
        <v>0</v>
      </c>
      <c r="O809" s="206" cm="1">
        <f t="array" ref="O809">IF(N809=0,0,IF(D809="yes",IF(Movements!$G809&gt;INDEX(Tariffs!$T$46:$T$120,$N809),INDEX(Tariffs!$T$46:$T$120,$N809),Movements!$G809),0))</f>
        <v>0</v>
      </c>
      <c r="P809" s="206" cm="1">
        <f t="array" ref="P809">IF(N809=0,0,IF(D809="yes",IF($G809=$O809,0,IF(AND(Movements!$G809&gt;INDEX(Tariffs!$U$46:$U$120,$N809),INDEX(Tariffs!$U$46:$U$120,$N809)&lt;&gt;0),INDEX(Tariffs!$U$46:$U$120,$N809)-INDEX(Tariffs!$T$46:$T$120,$N809),Movements!$G809-Movements!$O809)),0))</f>
        <v>0</v>
      </c>
      <c r="Q809" s="206">
        <f t="shared" si="195"/>
        <v>0</v>
      </c>
      <c r="R809" s="142"/>
      <c r="S809" s="219">
        <f>IFERROR(INDEX('Total qty'!$L$209:$N$283,MATCH(Movements!$C809,'Total qty'!$C$209:$C$283,0),MATCH(Movements!S$716,'Total qty'!$L$5:$N$5,0))/INDEX('Total qty'!$O$209:$O$283,MATCH(Movements!$C809,'Total qty'!$C$209:$C$283,0)),0)</f>
        <v>0</v>
      </c>
      <c r="T809" s="219">
        <f>IFERROR(INDEX('Total qty'!$L$209:$N$283,MATCH(Movements!$C809,'Total qty'!$C$209:$C$283,0),MATCH(Movements!T$716,'Total qty'!$L$5:$N$5,0))/INDEX('Total qty'!$O$209:$O$283,MATCH(Movements!$C809,'Total qty'!$C$209:$C$283,0)),0)</f>
        <v>0</v>
      </c>
      <c r="U809" s="219">
        <f>IFERROR(INDEX('Total qty'!$L$209:$N$283,MATCH(Movements!$C809,'Total qty'!$C$209:$C$283,0),MATCH(Movements!U$716,'Total qty'!$L$5:$N$5,0))/INDEX('Total qty'!$O$209:$O$283,MATCH(Movements!$C809,'Total qty'!$C$209:$C$283,0)),0)</f>
        <v>0</v>
      </c>
      <c r="V809" s="138"/>
      <c r="W809" s="138"/>
      <c r="X809" s="138"/>
      <c r="Y809" s="138"/>
      <c r="Z809" s="138"/>
      <c r="AA809" s="138"/>
      <c r="AB809" s="138"/>
      <c r="AC809" s="70"/>
      <c r="AD809" s="19"/>
      <c r="AE809" s="19"/>
      <c r="AF809" s="19"/>
      <c r="AG809" s="19"/>
    </row>
    <row r="810" spans="1:33" hidden="1" outlineLevel="3" x14ac:dyDescent="0.2">
      <c r="A810" s="19"/>
      <c r="B810" s="19"/>
      <c r="C810" s="506">
        <f t="shared" si="194"/>
        <v>0</v>
      </c>
      <c r="D810" s="505">
        <f t="shared" si="190"/>
        <v>0</v>
      </c>
      <c r="E810" s="505">
        <f t="shared" si="190"/>
        <v>0</v>
      </c>
      <c r="F810" s="246">
        <f t="shared" si="188"/>
        <v>0</v>
      </c>
      <c r="G810" s="198">
        <f>IFERROR(INDEX('Total qty'!$O$131:$O$205,MATCH(Movements!C810,'Total qty'!$C$131:$C$205,0))*consprofilemultiplier/IF(General!$F$35="Customers",INDEX(Qty!$I$87:$I$161,MATCH(Movements!C810,Qty!$C$87:$C$161,0)),INDEX(Qty!$K$87:$K$161,MATCH(Movements!C810,Qty!$C$87:$C$161,0))),0)</f>
        <v>0</v>
      </c>
      <c r="H810" s="143"/>
      <c r="I810" s="206">
        <f t="shared" si="191"/>
        <v>0</v>
      </c>
      <c r="J810" s="206">
        <f t="shared" si="192"/>
        <v>0</v>
      </c>
      <c r="K810" s="206">
        <f t="shared" si="193"/>
        <v>0</v>
      </c>
      <c r="L810" s="178"/>
      <c r="M810" s="198">
        <f>IFERROR(INDEX('Total qty'!$Q$209:$Q$283,MATCH(C810,'Total qty'!$C$209:$C$283,0))*consprofilemultiplier/IF(General!$F$35="Customers",INDEX(Qty!$I$87:$I$161,MATCH(Movements!C810,Qty!$C$87:$C$161,0)),INDEX(Qty!$K$87:$K$161,MATCH(Movements!C810,Qty!$C$87:$C$161,0))),0)</f>
        <v>0</v>
      </c>
      <c r="N810" s="252">
        <f>_xlfn.IFNA(MATCH(C810,IF(currentyear=RCPminus1,Tariffs!$H$46:$H$120,Tariffs!$C$46:$C$120),0),0)</f>
        <v>0</v>
      </c>
      <c r="O810" s="206" cm="1">
        <f t="array" ref="O810">IF(N810=0,0,IF(D810="yes",IF(Movements!$G810&gt;INDEX(Tariffs!$T$46:$T$120,$N810),INDEX(Tariffs!$T$46:$T$120,$N810),Movements!$G810),0))</f>
        <v>0</v>
      </c>
      <c r="P810" s="206" cm="1">
        <f t="array" ref="P810">IF(N810=0,0,IF(D810="yes",IF($G810=$O810,0,IF(AND(Movements!$G810&gt;INDEX(Tariffs!$U$46:$U$120,$N810),INDEX(Tariffs!$U$46:$U$120,$N810)&lt;&gt;0),INDEX(Tariffs!$U$46:$U$120,$N810)-INDEX(Tariffs!$T$46:$T$120,$N810),Movements!$G810-Movements!$O810)),0))</f>
        <v>0</v>
      </c>
      <c r="Q810" s="206">
        <f t="shared" si="195"/>
        <v>0</v>
      </c>
      <c r="R810" s="142"/>
      <c r="S810" s="219">
        <f>IFERROR(INDEX('Total qty'!$L$209:$N$283,MATCH(Movements!$C810,'Total qty'!$C$209:$C$283,0),MATCH(Movements!S$716,'Total qty'!$L$5:$N$5,0))/INDEX('Total qty'!$O$209:$O$283,MATCH(Movements!$C810,'Total qty'!$C$209:$C$283,0)),0)</f>
        <v>0</v>
      </c>
      <c r="T810" s="219">
        <f>IFERROR(INDEX('Total qty'!$L$209:$N$283,MATCH(Movements!$C810,'Total qty'!$C$209:$C$283,0),MATCH(Movements!T$716,'Total qty'!$L$5:$N$5,0))/INDEX('Total qty'!$O$209:$O$283,MATCH(Movements!$C810,'Total qty'!$C$209:$C$283,0)),0)</f>
        <v>0</v>
      </c>
      <c r="U810" s="219">
        <f>IFERROR(INDEX('Total qty'!$L$209:$N$283,MATCH(Movements!$C810,'Total qty'!$C$209:$C$283,0),MATCH(Movements!U$716,'Total qty'!$L$5:$N$5,0))/INDEX('Total qty'!$O$209:$O$283,MATCH(Movements!$C810,'Total qty'!$C$209:$C$283,0)),0)</f>
        <v>0</v>
      </c>
      <c r="V810" s="138"/>
      <c r="W810" s="138"/>
      <c r="X810" s="138"/>
      <c r="Y810" s="138"/>
      <c r="Z810" s="138"/>
      <c r="AA810" s="138"/>
      <c r="AB810" s="138"/>
      <c r="AC810" s="70"/>
      <c r="AD810" s="19"/>
      <c r="AE810" s="19"/>
      <c r="AF810" s="19"/>
      <c r="AG810" s="19"/>
    </row>
    <row r="811" spans="1:33" hidden="1" outlineLevel="3" x14ac:dyDescent="0.2">
      <c r="A811" s="19"/>
      <c r="B811" s="19"/>
      <c r="C811" s="506">
        <f t="shared" si="194"/>
        <v>0</v>
      </c>
      <c r="D811" s="505">
        <f t="shared" si="190"/>
        <v>0</v>
      </c>
      <c r="E811" s="505">
        <f t="shared" si="190"/>
        <v>0</v>
      </c>
      <c r="F811" s="246">
        <f t="shared" si="188"/>
        <v>0</v>
      </c>
      <c r="G811" s="198">
        <f>IFERROR(INDEX('Total qty'!$O$131:$O$205,MATCH(Movements!C811,'Total qty'!$C$131:$C$205,0))*consprofilemultiplier/IF(General!$F$35="Customers",INDEX(Qty!$I$87:$I$161,MATCH(Movements!C811,Qty!$C$87:$C$161,0)),INDEX(Qty!$K$87:$K$161,MATCH(Movements!C811,Qty!$C$87:$C$161,0))),0)</f>
        <v>0</v>
      </c>
      <c r="H811" s="143"/>
      <c r="I811" s="206">
        <f t="shared" si="191"/>
        <v>0</v>
      </c>
      <c r="J811" s="206">
        <f t="shared" si="192"/>
        <v>0</v>
      </c>
      <c r="K811" s="206">
        <f t="shared" si="193"/>
        <v>0</v>
      </c>
      <c r="L811" s="178"/>
      <c r="M811" s="198">
        <f>IFERROR(INDEX('Total qty'!$Q$209:$Q$283,MATCH(C811,'Total qty'!$C$209:$C$283,0))*consprofilemultiplier/IF(General!$F$35="Customers",INDEX(Qty!$I$87:$I$161,MATCH(Movements!C811,Qty!$C$87:$C$161,0)),INDEX(Qty!$K$87:$K$161,MATCH(Movements!C811,Qty!$C$87:$C$161,0))),0)</f>
        <v>0</v>
      </c>
      <c r="N811" s="252">
        <f>_xlfn.IFNA(MATCH(C811,IF(currentyear=RCPminus1,Tariffs!$H$46:$H$120,Tariffs!$C$46:$C$120),0),0)</f>
        <v>0</v>
      </c>
      <c r="O811" s="206" cm="1">
        <f t="array" ref="O811">IF(N811=0,0,IF(D811="yes",IF(Movements!$G811&gt;INDEX(Tariffs!$T$46:$T$120,$N811),INDEX(Tariffs!$T$46:$T$120,$N811),Movements!$G811),0))</f>
        <v>0</v>
      </c>
      <c r="P811" s="206" cm="1">
        <f t="array" ref="P811">IF(N811=0,0,IF(D811="yes",IF($G811=$O811,0,IF(AND(Movements!$G811&gt;INDEX(Tariffs!$U$46:$U$120,$N811),INDEX(Tariffs!$U$46:$U$120,$N811)&lt;&gt;0),INDEX(Tariffs!$U$46:$U$120,$N811)-INDEX(Tariffs!$T$46:$T$120,$N811),Movements!$G811-Movements!$O811)),0))</f>
        <v>0</v>
      </c>
      <c r="Q811" s="206">
        <f t="shared" si="195"/>
        <v>0</v>
      </c>
      <c r="R811" s="142"/>
      <c r="S811" s="219">
        <f>IFERROR(INDEX('Total qty'!$L$209:$N$283,MATCH(Movements!$C811,'Total qty'!$C$209:$C$283,0),MATCH(Movements!S$716,'Total qty'!$L$5:$N$5,0))/INDEX('Total qty'!$O$209:$O$283,MATCH(Movements!$C811,'Total qty'!$C$209:$C$283,0)),0)</f>
        <v>0</v>
      </c>
      <c r="T811" s="219">
        <f>IFERROR(INDEX('Total qty'!$L$209:$N$283,MATCH(Movements!$C811,'Total qty'!$C$209:$C$283,0),MATCH(Movements!T$716,'Total qty'!$L$5:$N$5,0))/INDEX('Total qty'!$O$209:$O$283,MATCH(Movements!$C811,'Total qty'!$C$209:$C$283,0)),0)</f>
        <v>0</v>
      </c>
      <c r="U811" s="219">
        <f>IFERROR(INDEX('Total qty'!$L$209:$N$283,MATCH(Movements!$C811,'Total qty'!$C$209:$C$283,0),MATCH(Movements!U$716,'Total qty'!$L$5:$N$5,0))/INDEX('Total qty'!$O$209:$O$283,MATCH(Movements!$C811,'Total qty'!$C$209:$C$283,0)),0)</f>
        <v>0</v>
      </c>
      <c r="V811" s="138"/>
      <c r="W811" s="138"/>
      <c r="X811" s="138"/>
      <c r="Y811" s="138"/>
      <c r="Z811" s="138"/>
      <c r="AA811" s="138"/>
      <c r="AB811" s="138"/>
      <c r="AC811" s="70"/>
      <c r="AD811" s="19"/>
      <c r="AE811" s="19"/>
      <c r="AF811" s="19"/>
      <c r="AG811" s="19"/>
    </row>
    <row r="812" spans="1:33" hidden="1" outlineLevel="3" x14ac:dyDescent="0.2">
      <c r="A812" s="19"/>
      <c r="B812" s="19"/>
      <c r="C812" s="506">
        <f t="shared" si="194"/>
        <v>0</v>
      </c>
      <c r="D812" s="505">
        <f t="shared" si="190"/>
        <v>0</v>
      </c>
      <c r="E812" s="505">
        <f t="shared" si="190"/>
        <v>0</v>
      </c>
      <c r="F812" s="246">
        <f t="shared" si="188"/>
        <v>0</v>
      </c>
      <c r="G812" s="198">
        <f>IFERROR(INDEX('Total qty'!$O$131:$O$205,MATCH(Movements!C812,'Total qty'!$C$131:$C$205,0))*consprofilemultiplier/IF(General!$F$35="Customers",INDEX(Qty!$I$87:$I$161,MATCH(Movements!C812,Qty!$C$87:$C$161,0)),INDEX(Qty!$K$87:$K$161,MATCH(Movements!C812,Qty!$C$87:$C$161,0))),0)</f>
        <v>0</v>
      </c>
      <c r="H812" s="143"/>
      <c r="I812" s="206">
        <f t="shared" si="191"/>
        <v>0</v>
      </c>
      <c r="J812" s="206">
        <f t="shared" si="192"/>
        <v>0</v>
      </c>
      <c r="K812" s="206">
        <f t="shared" si="193"/>
        <v>0</v>
      </c>
      <c r="L812" s="178"/>
      <c r="M812" s="198">
        <f>IFERROR(INDEX('Total qty'!$Q$209:$Q$283,MATCH(C812,'Total qty'!$C$209:$C$283,0))*consprofilemultiplier/IF(General!$F$35="Customers",INDEX(Qty!$I$87:$I$161,MATCH(Movements!C812,Qty!$C$87:$C$161,0)),INDEX(Qty!$K$87:$K$161,MATCH(Movements!C812,Qty!$C$87:$C$161,0))),0)</f>
        <v>0</v>
      </c>
      <c r="N812" s="252">
        <f>_xlfn.IFNA(MATCH(C812,IF(currentyear=RCPminus1,Tariffs!$H$46:$H$120,Tariffs!$C$46:$C$120),0),0)</f>
        <v>0</v>
      </c>
      <c r="O812" s="206" cm="1">
        <f t="array" ref="O812">IF(N812=0,0,IF(D812="yes",IF(Movements!$G812&gt;INDEX(Tariffs!$T$46:$T$120,$N812),INDEX(Tariffs!$T$46:$T$120,$N812),Movements!$G812),0))</f>
        <v>0</v>
      </c>
      <c r="P812" s="206" cm="1">
        <f t="array" ref="P812">IF(N812=0,0,IF(D812="yes",IF($G812=$O812,0,IF(AND(Movements!$G812&gt;INDEX(Tariffs!$U$46:$U$120,$N812),INDEX(Tariffs!$U$46:$U$120,$N812)&lt;&gt;0),INDEX(Tariffs!$U$46:$U$120,$N812)-INDEX(Tariffs!$T$46:$T$120,$N812),Movements!$G812-Movements!$O812)),0))</f>
        <v>0</v>
      </c>
      <c r="Q812" s="206">
        <f t="shared" si="195"/>
        <v>0</v>
      </c>
      <c r="R812" s="142"/>
      <c r="S812" s="219">
        <f>IFERROR(INDEX('Total qty'!$L$209:$N$283,MATCH(Movements!$C812,'Total qty'!$C$209:$C$283,0),MATCH(Movements!S$716,'Total qty'!$L$5:$N$5,0))/INDEX('Total qty'!$O$209:$O$283,MATCH(Movements!$C812,'Total qty'!$C$209:$C$283,0)),0)</f>
        <v>0</v>
      </c>
      <c r="T812" s="219">
        <f>IFERROR(INDEX('Total qty'!$L$209:$N$283,MATCH(Movements!$C812,'Total qty'!$C$209:$C$283,0),MATCH(Movements!T$716,'Total qty'!$L$5:$N$5,0))/INDEX('Total qty'!$O$209:$O$283,MATCH(Movements!$C812,'Total qty'!$C$209:$C$283,0)),0)</f>
        <v>0</v>
      </c>
      <c r="U812" s="219">
        <f>IFERROR(INDEX('Total qty'!$L$209:$N$283,MATCH(Movements!$C812,'Total qty'!$C$209:$C$283,0),MATCH(Movements!U$716,'Total qty'!$L$5:$N$5,0))/INDEX('Total qty'!$O$209:$O$283,MATCH(Movements!$C812,'Total qty'!$C$209:$C$283,0)),0)</f>
        <v>0</v>
      </c>
      <c r="V812" s="138"/>
      <c r="W812" s="138"/>
      <c r="X812" s="138"/>
      <c r="Y812" s="138"/>
      <c r="Z812" s="138"/>
      <c r="AA812" s="138"/>
      <c r="AB812" s="138"/>
      <c r="AC812" s="70"/>
      <c r="AD812" s="19"/>
      <c r="AE812" s="19"/>
      <c r="AF812" s="19"/>
      <c r="AG812" s="19"/>
    </row>
    <row r="813" spans="1:33" hidden="1" outlineLevel="3" x14ac:dyDescent="0.2">
      <c r="A813" s="19"/>
      <c r="B813" s="19"/>
      <c r="C813" s="506">
        <f t="shared" si="194"/>
        <v>0</v>
      </c>
      <c r="D813" s="505">
        <f t="shared" si="190"/>
        <v>0</v>
      </c>
      <c r="E813" s="505">
        <f t="shared" si="190"/>
        <v>0</v>
      </c>
      <c r="F813" s="246">
        <f t="shared" si="188"/>
        <v>0</v>
      </c>
      <c r="G813" s="198">
        <f>IFERROR(INDEX('Total qty'!$O$131:$O$205,MATCH(Movements!C813,'Total qty'!$C$131:$C$205,0))*consprofilemultiplier/IF(General!$F$35="Customers",INDEX(Qty!$I$87:$I$161,MATCH(Movements!C813,Qty!$C$87:$C$161,0)),INDEX(Qty!$K$87:$K$161,MATCH(Movements!C813,Qty!$C$87:$C$161,0))),0)</f>
        <v>0</v>
      </c>
      <c r="H813" s="143"/>
      <c r="I813" s="206">
        <f t="shared" si="191"/>
        <v>0</v>
      </c>
      <c r="J813" s="206">
        <f t="shared" si="192"/>
        <v>0</v>
      </c>
      <c r="K813" s="206">
        <f t="shared" si="193"/>
        <v>0</v>
      </c>
      <c r="L813" s="178"/>
      <c r="M813" s="198">
        <f>IFERROR(INDEX('Total qty'!$Q$209:$Q$283,MATCH(C813,'Total qty'!$C$209:$C$283,0))*consprofilemultiplier/IF(General!$F$35="Customers",INDEX(Qty!$I$87:$I$161,MATCH(Movements!C813,Qty!$C$87:$C$161,0)),INDEX(Qty!$K$87:$K$161,MATCH(Movements!C813,Qty!$C$87:$C$161,0))),0)</f>
        <v>0</v>
      </c>
      <c r="N813" s="252">
        <f>_xlfn.IFNA(MATCH(C813,IF(currentyear=RCPminus1,Tariffs!$H$46:$H$120,Tariffs!$C$46:$C$120),0),0)</f>
        <v>0</v>
      </c>
      <c r="O813" s="206" cm="1">
        <f t="array" ref="O813">IF(N813=0,0,IF(D813="yes",IF(Movements!$G813&gt;INDEX(Tariffs!$T$46:$T$120,$N813),INDEX(Tariffs!$T$46:$T$120,$N813),Movements!$G813),0))</f>
        <v>0</v>
      </c>
      <c r="P813" s="206" cm="1">
        <f t="array" ref="P813">IF(N813=0,0,IF(D813="yes",IF($G813=$O813,0,IF(AND(Movements!$G813&gt;INDEX(Tariffs!$U$46:$U$120,$N813),INDEX(Tariffs!$U$46:$U$120,$N813)&lt;&gt;0),INDEX(Tariffs!$U$46:$U$120,$N813)-INDEX(Tariffs!$T$46:$T$120,$N813),Movements!$G813-Movements!$O813)),0))</f>
        <v>0</v>
      </c>
      <c r="Q813" s="206">
        <f t="shared" si="195"/>
        <v>0</v>
      </c>
      <c r="R813" s="142"/>
      <c r="S813" s="219">
        <f>IFERROR(INDEX('Total qty'!$L$209:$N$283,MATCH(Movements!$C813,'Total qty'!$C$209:$C$283,0),MATCH(Movements!S$716,'Total qty'!$L$5:$N$5,0))/INDEX('Total qty'!$O$209:$O$283,MATCH(Movements!$C813,'Total qty'!$C$209:$C$283,0)),0)</f>
        <v>0</v>
      </c>
      <c r="T813" s="219">
        <f>IFERROR(INDEX('Total qty'!$L$209:$N$283,MATCH(Movements!$C813,'Total qty'!$C$209:$C$283,0),MATCH(Movements!T$716,'Total qty'!$L$5:$N$5,0))/INDEX('Total qty'!$O$209:$O$283,MATCH(Movements!$C813,'Total qty'!$C$209:$C$283,0)),0)</f>
        <v>0</v>
      </c>
      <c r="U813" s="219">
        <f>IFERROR(INDEX('Total qty'!$L$209:$N$283,MATCH(Movements!$C813,'Total qty'!$C$209:$C$283,0),MATCH(Movements!U$716,'Total qty'!$L$5:$N$5,0))/INDEX('Total qty'!$O$209:$O$283,MATCH(Movements!$C813,'Total qty'!$C$209:$C$283,0)),0)</f>
        <v>0</v>
      </c>
      <c r="V813" s="138"/>
      <c r="W813" s="138"/>
      <c r="X813" s="138"/>
      <c r="Y813" s="138"/>
      <c r="Z813" s="138"/>
      <c r="AA813" s="138"/>
      <c r="AB813" s="138"/>
      <c r="AC813" s="70"/>
      <c r="AD813" s="19"/>
      <c r="AE813" s="19"/>
      <c r="AF813" s="19"/>
      <c r="AG813" s="19"/>
    </row>
    <row r="814" spans="1:33" hidden="1" outlineLevel="3" x14ac:dyDescent="0.2">
      <c r="A814" s="19"/>
      <c r="B814" s="19"/>
      <c r="C814" s="506">
        <f t="shared" si="194"/>
        <v>0</v>
      </c>
      <c r="D814" s="505">
        <f t="shared" si="190"/>
        <v>0</v>
      </c>
      <c r="E814" s="505">
        <f t="shared" si="190"/>
        <v>0</v>
      </c>
      <c r="F814" s="246">
        <f t="shared" si="188"/>
        <v>0</v>
      </c>
      <c r="G814" s="198">
        <f>IFERROR(INDEX('Total qty'!$O$131:$O$205,MATCH(Movements!C814,'Total qty'!$C$131:$C$205,0))*consprofilemultiplier/IF(General!$F$35="Customers",INDEX(Qty!$I$87:$I$161,MATCH(Movements!C814,Qty!$C$87:$C$161,0)),INDEX(Qty!$K$87:$K$161,MATCH(Movements!C814,Qty!$C$87:$C$161,0))),0)</f>
        <v>0</v>
      </c>
      <c r="H814" s="143"/>
      <c r="I814" s="206">
        <f t="shared" si="191"/>
        <v>0</v>
      </c>
      <c r="J814" s="206">
        <f t="shared" si="192"/>
        <v>0</v>
      </c>
      <c r="K814" s="206">
        <f t="shared" si="193"/>
        <v>0</v>
      </c>
      <c r="L814" s="178"/>
      <c r="M814" s="198">
        <f>IFERROR(INDEX('Total qty'!$Q$209:$Q$283,MATCH(C814,'Total qty'!$C$209:$C$283,0))*consprofilemultiplier/IF(General!$F$35="Customers",INDEX(Qty!$I$87:$I$161,MATCH(Movements!C814,Qty!$C$87:$C$161,0)),INDEX(Qty!$K$87:$K$161,MATCH(Movements!C814,Qty!$C$87:$C$161,0))),0)</f>
        <v>0</v>
      </c>
      <c r="N814" s="252">
        <f>_xlfn.IFNA(MATCH(C814,IF(currentyear=RCPminus1,Tariffs!$H$46:$H$120,Tariffs!$C$46:$C$120),0),0)</f>
        <v>0</v>
      </c>
      <c r="O814" s="206" cm="1">
        <f t="array" ref="O814">IF(N814=0,0,IF(D814="yes",IF(Movements!$G814&gt;INDEX(Tariffs!$T$46:$T$120,$N814),INDEX(Tariffs!$T$46:$T$120,$N814),Movements!$G814),0))</f>
        <v>0</v>
      </c>
      <c r="P814" s="206" cm="1">
        <f t="array" ref="P814">IF(N814=0,0,IF(D814="yes",IF($G814=$O814,0,IF(AND(Movements!$G814&gt;INDEX(Tariffs!$U$46:$U$120,$N814),INDEX(Tariffs!$U$46:$U$120,$N814)&lt;&gt;0),INDEX(Tariffs!$U$46:$U$120,$N814)-INDEX(Tariffs!$T$46:$T$120,$N814),Movements!$G814-Movements!$O814)),0))</f>
        <v>0</v>
      </c>
      <c r="Q814" s="206">
        <f t="shared" si="195"/>
        <v>0</v>
      </c>
      <c r="R814" s="142"/>
      <c r="S814" s="219">
        <f>IFERROR(INDEX('Total qty'!$L$209:$N$283,MATCH(Movements!$C814,'Total qty'!$C$209:$C$283,0),MATCH(Movements!S$716,'Total qty'!$L$5:$N$5,0))/INDEX('Total qty'!$O$209:$O$283,MATCH(Movements!$C814,'Total qty'!$C$209:$C$283,0)),0)</f>
        <v>0</v>
      </c>
      <c r="T814" s="219">
        <f>IFERROR(INDEX('Total qty'!$L$209:$N$283,MATCH(Movements!$C814,'Total qty'!$C$209:$C$283,0),MATCH(Movements!T$716,'Total qty'!$L$5:$N$5,0))/INDEX('Total qty'!$O$209:$O$283,MATCH(Movements!$C814,'Total qty'!$C$209:$C$283,0)),0)</f>
        <v>0</v>
      </c>
      <c r="U814" s="219">
        <f>IFERROR(INDEX('Total qty'!$L$209:$N$283,MATCH(Movements!$C814,'Total qty'!$C$209:$C$283,0),MATCH(Movements!U$716,'Total qty'!$L$5:$N$5,0))/INDEX('Total qty'!$O$209:$O$283,MATCH(Movements!$C814,'Total qty'!$C$209:$C$283,0)),0)</f>
        <v>0</v>
      </c>
      <c r="V814" s="138"/>
      <c r="W814" s="138"/>
      <c r="X814" s="138"/>
      <c r="Y814" s="138"/>
      <c r="Z814" s="138"/>
      <c r="AA814" s="138"/>
      <c r="AB814" s="138"/>
      <c r="AC814" s="70"/>
      <c r="AD814" s="19"/>
      <c r="AE814" s="19"/>
      <c r="AF814" s="19"/>
      <c r="AG814" s="19"/>
    </row>
    <row r="815" spans="1:33" outlineLevel="2" collapsed="1" x14ac:dyDescent="0.2">
      <c r="A815" s="19"/>
      <c r="B815" s="19"/>
      <c r="C815" s="538"/>
      <c r="D815" s="217"/>
      <c r="E815" s="536"/>
      <c r="F815" s="246"/>
      <c r="G815" s="177"/>
      <c r="H815" s="72"/>
      <c r="I815" s="179"/>
      <c r="J815" s="179"/>
      <c r="K815" s="179"/>
      <c r="L815" s="179"/>
      <c r="M815" s="178"/>
      <c r="N815" s="70"/>
      <c r="O815" s="70"/>
      <c r="P815" s="70"/>
      <c r="Q815" s="70"/>
      <c r="R815" s="71"/>
      <c r="S815" s="220"/>
      <c r="T815" s="220"/>
      <c r="U815" s="220"/>
      <c r="V815" s="70"/>
      <c r="W815" s="70"/>
      <c r="X815" s="70"/>
      <c r="Y815" s="70"/>
      <c r="Z815" s="70"/>
      <c r="AA815" s="70"/>
      <c r="AB815" s="70"/>
      <c r="AC815" s="70"/>
      <c r="AD815" s="19"/>
      <c r="AE815" s="19"/>
      <c r="AF815" s="19"/>
      <c r="AG815" s="19"/>
    </row>
    <row r="816" spans="1:33" outlineLevel="1" x14ac:dyDescent="0.2">
      <c r="A816" s="19"/>
      <c r="B816" s="19"/>
      <c r="C816" s="66"/>
      <c r="D816" s="66"/>
      <c r="E816" s="58"/>
      <c r="F816" s="58"/>
      <c r="G816" s="58"/>
      <c r="H816" s="58"/>
      <c r="I816" s="177"/>
      <c r="J816" s="71"/>
      <c r="K816" s="70"/>
      <c r="L816" s="70"/>
      <c r="M816" s="70"/>
      <c r="N816" s="72"/>
      <c r="O816" s="72"/>
      <c r="P816" s="72"/>
      <c r="Q816" s="72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19"/>
      <c r="AE816" s="19"/>
      <c r="AF816" s="19"/>
      <c r="AG816" s="19"/>
    </row>
    <row r="817" spans="1:33" x14ac:dyDescent="0.2">
      <c r="A817" s="19"/>
      <c r="B817" s="19"/>
      <c r="C817" s="36"/>
      <c r="D817" s="36"/>
      <c r="E817" s="20"/>
      <c r="F817" s="20"/>
      <c r="G817" s="22"/>
      <c r="H817" s="22"/>
      <c r="I817" s="22"/>
      <c r="J817" s="20"/>
      <c r="K817" s="20"/>
      <c r="L817" s="20"/>
      <c r="M817" s="20"/>
      <c r="N817" s="37"/>
      <c r="O817" s="37"/>
      <c r="P817" s="37"/>
      <c r="Q817" s="37"/>
      <c r="R817" s="37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</row>
    <row r="818" spans="1:33" ht="12.75" x14ac:dyDescent="0.2">
      <c r="A818" s="11"/>
      <c r="B818" s="12" t="s">
        <v>565</v>
      </c>
      <c r="C818" s="11"/>
      <c r="D818" s="32" t="s">
        <v>258</v>
      </c>
      <c r="E818" s="32"/>
      <c r="F818" s="11"/>
      <c r="G818" s="63"/>
      <c r="H818" s="33"/>
      <c r="I818" s="169" t="str">
        <f t="shared" ref="I818:AB818" si="196">I5</f>
        <v>Service</v>
      </c>
      <c r="J818" s="169" t="str">
        <f t="shared" si="196"/>
        <v>All energy</v>
      </c>
      <c r="K818" s="169" t="str">
        <f t="shared" si="196"/>
        <v>Peak energy</v>
      </c>
      <c r="L818" s="169" t="str">
        <f t="shared" si="196"/>
        <v>Shoulder energy</v>
      </c>
      <c r="M818" s="169" t="str">
        <f t="shared" si="196"/>
        <v>Off-peak energy</v>
      </c>
      <c r="N818" s="169">
        <f t="shared" si="196"/>
        <v>0</v>
      </c>
      <c r="O818" s="169">
        <f t="shared" si="196"/>
        <v>0</v>
      </c>
      <c r="P818" s="169">
        <f t="shared" si="196"/>
        <v>0</v>
      </c>
      <c r="Q818" s="169">
        <f t="shared" si="196"/>
        <v>0</v>
      </c>
      <c r="R818" s="169">
        <f t="shared" si="196"/>
        <v>0</v>
      </c>
      <c r="S818" s="169">
        <f t="shared" si="196"/>
        <v>0</v>
      </c>
      <c r="T818" s="169">
        <f t="shared" si="196"/>
        <v>0</v>
      </c>
      <c r="U818" s="169">
        <f t="shared" si="196"/>
        <v>0</v>
      </c>
      <c r="V818" s="169">
        <f t="shared" si="196"/>
        <v>0</v>
      </c>
      <c r="W818" s="169">
        <f t="shared" si="196"/>
        <v>0</v>
      </c>
      <c r="X818" s="169">
        <f t="shared" si="196"/>
        <v>0</v>
      </c>
      <c r="Y818" s="169">
        <f t="shared" si="196"/>
        <v>0</v>
      </c>
      <c r="Z818" s="169">
        <f t="shared" si="196"/>
        <v>0</v>
      </c>
      <c r="AA818" s="169">
        <f t="shared" si="196"/>
        <v>0</v>
      </c>
      <c r="AB818" s="169">
        <f t="shared" si="196"/>
        <v>0</v>
      </c>
      <c r="AC818" s="64"/>
      <c r="AD818" s="15"/>
      <c r="AE818" s="15"/>
      <c r="AF818" s="15"/>
      <c r="AG818" s="15"/>
    </row>
    <row r="819" spans="1:33" outlineLevel="1" x14ac:dyDescent="0.2">
      <c r="A819" s="19"/>
      <c r="B819" s="19"/>
      <c r="C819" s="36"/>
      <c r="D819" s="20"/>
      <c r="E819" s="20"/>
      <c r="F819" s="36"/>
      <c r="G819" s="22"/>
      <c r="H819" s="22"/>
      <c r="I819" s="170" t="str">
        <f>_xlfn.IFNA(INDEX(Tariffs!$S$22:$S$41,MATCH(I818,Tariffs!$J$22:$J$41,0)),0)</f>
        <v>cents/day</v>
      </c>
      <c r="J819" s="170" t="str">
        <f>_xlfn.IFNA(INDEX(Tariffs!$S$22:$S$41,MATCH(J818,Tariffs!$J$22:$J$41,0)),0)</f>
        <v>cents/kWh</v>
      </c>
      <c r="K819" s="170" t="str">
        <f>_xlfn.IFNA(INDEX(Tariffs!$S$22:$S$41,MATCH(K818,Tariffs!$J$22:$J$41,0)),0)</f>
        <v>cents/kWh</v>
      </c>
      <c r="L819" s="170" t="str">
        <f>_xlfn.IFNA(INDEX(Tariffs!$S$22:$S$41,MATCH(L818,Tariffs!$J$22:$J$41,0)),0)</f>
        <v>cents/kWh</v>
      </c>
      <c r="M819" s="170" t="str">
        <f>_xlfn.IFNA(INDEX(Tariffs!$S$22:$S$41,MATCH(M818,Tariffs!$J$22:$J$41,0)),0)</f>
        <v>cents/kWh</v>
      </c>
      <c r="N819" s="170">
        <f>_xlfn.IFNA(INDEX(Tariffs!$S$22:$S$41,MATCH(N818,Tariffs!$J$22:$J$41,0)),0)</f>
        <v>0</v>
      </c>
      <c r="O819" s="170">
        <f>_xlfn.IFNA(INDEX(Tariffs!$S$22:$S$41,MATCH(O818,Tariffs!$J$22:$J$41,0)),0)</f>
        <v>0</v>
      </c>
      <c r="P819" s="170">
        <f>_xlfn.IFNA(INDEX(Tariffs!$S$22:$S$41,MATCH(P818,Tariffs!$J$22:$J$41,0)),0)</f>
        <v>0</v>
      </c>
      <c r="Q819" s="170">
        <f>_xlfn.IFNA(INDEX(Tariffs!$S$22:$S$41,MATCH(Q818,Tariffs!$J$22:$J$41,0)),0)</f>
        <v>0</v>
      </c>
      <c r="R819" s="170">
        <f>_xlfn.IFNA(INDEX(Tariffs!$S$22:$S$41,MATCH(R818,Tariffs!$J$22:$J$41,0)),0)</f>
        <v>0</v>
      </c>
      <c r="S819" s="170">
        <f>_xlfn.IFNA(INDEX(Tariffs!$S$22:$S$41,MATCH(S818,Tariffs!$J$22:$J$41,0)),0)</f>
        <v>0</v>
      </c>
      <c r="T819" s="170">
        <f>_xlfn.IFNA(INDEX(Tariffs!$S$22:$S$41,MATCH(T818,Tariffs!$J$22:$J$41,0)),0)</f>
        <v>0</v>
      </c>
      <c r="U819" s="170">
        <f>_xlfn.IFNA(INDEX(Tariffs!$S$22:$S$41,MATCH(U818,Tariffs!$J$22:$J$41,0)),0)</f>
        <v>0</v>
      </c>
      <c r="V819" s="170">
        <f>_xlfn.IFNA(INDEX(Tariffs!$S$22:$S$41,MATCH(V818,Tariffs!$J$22:$J$41,0)),0)</f>
        <v>0</v>
      </c>
      <c r="W819" s="170">
        <f>_xlfn.IFNA(INDEX(Tariffs!$S$22:$S$41,MATCH(W818,Tariffs!$J$22:$J$41,0)),0)</f>
        <v>0</v>
      </c>
      <c r="X819" s="170">
        <f>_xlfn.IFNA(INDEX(Tariffs!$S$22:$S$41,MATCH(X818,Tariffs!$J$22:$J$41,0)),0)</f>
        <v>0</v>
      </c>
      <c r="Y819" s="170">
        <f>_xlfn.IFNA(INDEX(Tariffs!$S$22:$S$41,MATCH(Y818,Tariffs!$J$22:$J$41,0)),0)</f>
        <v>0</v>
      </c>
      <c r="Z819" s="170">
        <f>_xlfn.IFNA(INDEX(Tariffs!$S$22:$S$41,MATCH(Z818,Tariffs!$J$22:$J$41,0)),0)</f>
        <v>0</v>
      </c>
      <c r="AA819" s="170">
        <f>_xlfn.IFNA(INDEX(Tariffs!$S$22:$S$41,MATCH(AA818,Tariffs!$J$22:$J$41,0)),0)</f>
        <v>0</v>
      </c>
      <c r="AB819" s="170">
        <f>_xlfn.IFNA(INDEX(Tariffs!$S$22:$S$41,MATCH(AB818,Tariffs!$J$22:$J$41,0)),0)</f>
        <v>0</v>
      </c>
      <c r="AC819" s="19"/>
      <c r="AD819" s="19"/>
      <c r="AE819" s="19"/>
      <c r="AF819" s="19"/>
      <c r="AG819" s="19"/>
    </row>
    <row r="820" spans="1:33" outlineLevel="1" x14ac:dyDescent="0.2">
      <c r="A820" s="19"/>
      <c r="B820" s="19"/>
      <c r="C820" s="167" t="s">
        <v>136</v>
      </c>
      <c r="D820" s="20"/>
      <c r="E820" s="20"/>
      <c r="F820" s="167"/>
      <c r="G820" s="22"/>
      <c r="H820" s="22"/>
      <c r="I820" s="22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  <c r="AC820" s="19"/>
      <c r="AD820" s="19"/>
      <c r="AE820" s="19"/>
      <c r="AF820" s="19"/>
      <c r="AG820" s="19"/>
    </row>
    <row r="821" spans="1:33" outlineLevel="2" x14ac:dyDescent="0.2">
      <c r="A821" s="19"/>
      <c r="B821" s="97"/>
      <c r="C821" s="506" t="str">
        <f t="shared" ref="C821:C850" si="197">C77</f>
        <v>Residential time of use consumption</v>
      </c>
      <c r="D821" s="505" t="str">
        <f t="shared" ref="D821:D850" si="198">E77</f>
        <v>yes</v>
      </c>
      <c r="E821" s="20"/>
      <c r="F821" s="223"/>
      <c r="G821" s="22"/>
      <c r="H821" s="22"/>
      <c r="I821" s="218">
        <f>INDEX('Prop. prices'!$I$8:$AB$82,MATCH($C821,'Prop. prices'!$C$8:$C$82,0),MATCH(I$818,'Prop. prices'!$I$5:$AB$5,0))</f>
        <v>59.329000000000001</v>
      </c>
      <c r="J821" s="218">
        <f>INDEX('Prop. prices'!$I$8:$AB$82,MATCH($C821,'Prop. prices'!$C$8:$C$82,0),MATCH(J$818,'Prop. prices'!$I$5:$AB$5,0))</f>
        <v>0</v>
      </c>
      <c r="K821" s="218">
        <f>INDEX('Prop. prices'!$I$8:$AB$82,MATCH($C821,'Prop. prices'!$C$8:$C$82,0),MATCH(K$818,'Prop. prices'!$I$5:$AB$5,0))</f>
        <v>10.872</v>
      </c>
      <c r="L821" s="218">
        <f>INDEX('Prop. prices'!$I$8:$AB$82,MATCH($C821,'Prop. prices'!$C$8:$C$82,0),MATCH(L$818,'Prop. prices'!$I$5:$AB$5,0))</f>
        <v>0</v>
      </c>
      <c r="M821" s="218">
        <f>INDEX('Prop. prices'!$I$8:$AB$82,MATCH($C821,'Prop. prices'!$C$8:$C$82,0),MATCH(M$818,'Prop. prices'!$I$5:$AB$5,0))</f>
        <v>2.1739999999999999</v>
      </c>
      <c r="N821" s="218">
        <f>INDEX('Prop. prices'!$I$8:$AB$82,MATCH($C821,'Prop. prices'!$C$8:$C$82,0),MATCH(N$818,'Prop. prices'!$I$5:$AB$5,0))</f>
        <v>0</v>
      </c>
      <c r="O821" s="218">
        <f>INDEX('Prop. prices'!$I$8:$AB$82,MATCH($C821,'Prop. prices'!$C$8:$C$82,0),MATCH(O$818,'Prop. prices'!$I$5:$AB$5,0))</f>
        <v>0</v>
      </c>
      <c r="P821" s="218">
        <f>INDEX('Prop. prices'!$I$8:$AB$82,MATCH($C821,'Prop. prices'!$C$8:$C$82,0),MATCH(P$818,'Prop. prices'!$I$5:$AB$5,0))</f>
        <v>0</v>
      </c>
      <c r="Q821" s="218">
        <f>INDEX('Prop. prices'!$I$8:$AB$82,MATCH($C821,'Prop. prices'!$C$8:$C$82,0),MATCH(Q$818,'Prop. prices'!$I$5:$AB$5,0))</f>
        <v>0</v>
      </c>
      <c r="R821" s="218">
        <f>INDEX('Prop. prices'!$I$8:$AB$82,MATCH($C821,'Prop. prices'!$C$8:$C$82,0),MATCH(R$818,'Prop. prices'!$I$5:$AB$5,0))</f>
        <v>0</v>
      </c>
      <c r="S821" s="218">
        <f>INDEX('Prop. prices'!$I$8:$AB$82,MATCH($C821,'Prop. prices'!$C$8:$C$82,0),MATCH(S$818,'Prop. prices'!$I$5:$AB$5,0))</f>
        <v>0</v>
      </c>
      <c r="T821" s="218">
        <f>INDEX('Prop. prices'!$I$8:$AB$82,MATCH($C821,'Prop. prices'!$C$8:$C$82,0),MATCH(T$818,'Prop. prices'!$I$5:$AB$5,0))</f>
        <v>0</v>
      </c>
      <c r="U821" s="218">
        <f>INDEX('Prop. prices'!$I$8:$AB$82,MATCH($C821,'Prop. prices'!$C$8:$C$82,0),MATCH(U$818,'Prop. prices'!$I$5:$AB$5,0))</f>
        <v>0</v>
      </c>
      <c r="V821" s="218">
        <f>INDEX('Prop. prices'!$I$8:$AB$82,MATCH($C821,'Prop. prices'!$C$8:$C$82,0),MATCH(V$818,'Prop. prices'!$I$5:$AB$5,0))</f>
        <v>0</v>
      </c>
      <c r="W821" s="218">
        <f>INDEX('Prop. prices'!$I$8:$AB$82,MATCH($C821,'Prop. prices'!$C$8:$C$82,0),MATCH(W$818,'Prop. prices'!$I$5:$AB$5,0))</f>
        <v>0</v>
      </c>
      <c r="X821" s="218">
        <f>INDEX('Prop. prices'!$I$8:$AB$82,MATCH($C821,'Prop. prices'!$C$8:$C$82,0),MATCH(X$818,'Prop. prices'!$I$5:$AB$5,0))</f>
        <v>0</v>
      </c>
      <c r="Y821" s="218">
        <f>INDEX('Prop. prices'!$I$8:$AB$82,MATCH($C821,'Prop. prices'!$C$8:$C$82,0),MATCH(Y$818,'Prop. prices'!$I$5:$AB$5,0))</f>
        <v>0</v>
      </c>
      <c r="Z821" s="218">
        <f>INDEX('Prop. prices'!$I$8:$AB$82,MATCH($C821,'Prop. prices'!$C$8:$C$82,0),MATCH(Z$818,'Prop. prices'!$I$5:$AB$5,0))</f>
        <v>0</v>
      </c>
      <c r="AA821" s="218">
        <f>INDEX('Prop. prices'!$I$8:$AB$82,MATCH($C821,'Prop. prices'!$C$8:$C$82,0),MATCH(AA$818,'Prop. prices'!$I$5:$AB$5,0))</f>
        <v>0</v>
      </c>
      <c r="AB821" s="218">
        <f>INDEX('Prop. prices'!$I$8:$AB$82,MATCH($C821,'Prop. prices'!$C$8:$C$82,0),MATCH(AB$818,'Prop. prices'!$I$5:$AB$5,0))</f>
        <v>0</v>
      </c>
      <c r="AC821" s="187"/>
      <c r="AD821" s="19"/>
      <c r="AE821" s="19"/>
      <c r="AF821" s="19"/>
      <c r="AG821" s="19"/>
    </row>
    <row r="822" spans="1:33" s="59" customFormat="1" outlineLevel="2" x14ac:dyDescent="0.2">
      <c r="A822" s="57"/>
      <c r="B822" s="98"/>
      <c r="C822" s="506" t="str">
        <f t="shared" si="197"/>
        <v>Residential general light and power</v>
      </c>
      <c r="D822" s="505" t="str">
        <f t="shared" si="198"/>
        <v>no</v>
      </c>
      <c r="E822" s="58"/>
      <c r="F822" s="223"/>
      <c r="G822" s="58"/>
      <c r="H822" s="58"/>
      <c r="I822" s="218">
        <f>INDEX('Prop. prices'!$I$8:$AB$82,MATCH($C822,'Prop. prices'!$C$8:$C$82,0),MATCH(I$818,'Prop. prices'!$I$5:$AB$5,0))</f>
        <v>54.268999999999998</v>
      </c>
      <c r="J822" s="218">
        <f>INDEX('Prop. prices'!$I$8:$AB$82,MATCH($C822,'Prop. prices'!$C$8:$C$82,0),MATCH(J$818,'Prop. prices'!$I$5:$AB$5,0))</f>
        <v>5.9669999999999996</v>
      </c>
      <c r="K822" s="218">
        <f>INDEX('Prop. prices'!$I$8:$AB$82,MATCH($C822,'Prop. prices'!$C$8:$C$82,0),MATCH(K$818,'Prop. prices'!$I$5:$AB$5,0))</f>
        <v>0</v>
      </c>
      <c r="L822" s="218">
        <f>INDEX('Prop. prices'!$I$8:$AB$82,MATCH($C822,'Prop. prices'!$C$8:$C$82,0),MATCH(L$818,'Prop. prices'!$I$5:$AB$5,0))</f>
        <v>0</v>
      </c>
      <c r="M822" s="218">
        <f>INDEX('Prop. prices'!$I$8:$AB$82,MATCH($C822,'Prop. prices'!$C$8:$C$82,0),MATCH(M$818,'Prop. prices'!$I$5:$AB$5,0))</f>
        <v>0</v>
      </c>
      <c r="N822" s="218">
        <f>INDEX('Prop. prices'!$I$8:$AB$82,MATCH($C822,'Prop. prices'!$C$8:$C$82,0),MATCH(N$818,'Prop. prices'!$I$5:$AB$5,0))</f>
        <v>0</v>
      </c>
      <c r="O822" s="218">
        <f>INDEX('Prop. prices'!$I$8:$AB$82,MATCH($C822,'Prop. prices'!$C$8:$C$82,0),MATCH(O$818,'Prop. prices'!$I$5:$AB$5,0))</f>
        <v>0</v>
      </c>
      <c r="P822" s="218">
        <f>INDEX('Prop. prices'!$I$8:$AB$82,MATCH($C822,'Prop. prices'!$C$8:$C$82,0),MATCH(P$818,'Prop. prices'!$I$5:$AB$5,0))</f>
        <v>0</v>
      </c>
      <c r="Q822" s="218">
        <f>INDEX('Prop. prices'!$I$8:$AB$82,MATCH($C822,'Prop. prices'!$C$8:$C$82,0),MATCH(Q$818,'Prop. prices'!$I$5:$AB$5,0))</f>
        <v>0</v>
      </c>
      <c r="R822" s="218">
        <f>INDEX('Prop. prices'!$I$8:$AB$82,MATCH($C822,'Prop. prices'!$C$8:$C$82,0),MATCH(R$818,'Prop. prices'!$I$5:$AB$5,0))</f>
        <v>0</v>
      </c>
      <c r="S822" s="218">
        <f>INDEX('Prop. prices'!$I$8:$AB$82,MATCH($C822,'Prop. prices'!$C$8:$C$82,0),MATCH(S$818,'Prop. prices'!$I$5:$AB$5,0))</f>
        <v>0</v>
      </c>
      <c r="T822" s="218">
        <f>INDEX('Prop. prices'!$I$8:$AB$82,MATCH($C822,'Prop. prices'!$C$8:$C$82,0),MATCH(T$818,'Prop. prices'!$I$5:$AB$5,0))</f>
        <v>0</v>
      </c>
      <c r="U822" s="218">
        <f>INDEX('Prop. prices'!$I$8:$AB$82,MATCH($C822,'Prop. prices'!$C$8:$C$82,0),MATCH(U$818,'Prop. prices'!$I$5:$AB$5,0))</f>
        <v>0</v>
      </c>
      <c r="V822" s="218">
        <f>INDEX('Prop. prices'!$I$8:$AB$82,MATCH($C822,'Prop. prices'!$C$8:$C$82,0),MATCH(V$818,'Prop. prices'!$I$5:$AB$5,0))</f>
        <v>0</v>
      </c>
      <c r="W822" s="218">
        <f>INDEX('Prop. prices'!$I$8:$AB$82,MATCH($C822,'Prop. prices'!$C$8:$C$82,0),MATCH(W$818,'Prop. prices'!$I$5:$AB$5,0))</f>
        <v>0</v>
      </c>
      <c r="X822" s="218">
        <f>INDEX('Prop. prices'!$I$8:$AB$82,MATCH($C822,'Prop. prices'!$C$8:$C$82,0),MATCH(X$818,'Prop. prices'!$I$5:$AB$5,0))</f>
        <v>0</v>
      </c>
      <c r="Y822" s="218">
        <f>INDEX('Prop. prices'!$I$8:$AB$82,MATCH($C822,'Prop. prices'!$C$8:$C$82,0),MATCH(Y$818,'Prop. prices'!$I$5:$AB$5,0))</f>
        <v>0</v>
      </c>
      <c r="Z822" s="218">
        <f>INDEX('Prop. prices'!$I$8:$AB$82,MATCH($C822,'Prop. prices'!$C$8:$C$82,0),MATCH(Z$818,'Prop. prices'!$I$5:$AB$5,0))</f>
        <v>0</v>
      </c>
      <c r="AA822" s="218">
        <f>INDEX('Prop. prices'!$I$8:$AB$82,MATCH($C822,'Prop. prices'!$C$8:$C$82,0),MATCH(AA$818,'Prop. prices'!$I$5:$AB$5,0))</f>
        <v>0</v>
      </c>
      <c r="AB822" s="218">
        <f>INDEX('Prop. prices'!$I$8:$AB$82,MATCH($C822,'Prop. prices'!$C$8:$C$82,0),MATCH(AB$818,'Prop. prices'!$I$5:$AB$5,0))</f>
        <v>0</v>
      </c>
      <c r="AC822" s="187"/>
      <c r="AD822" s="57"/>
      <c r="AE822" s="57"/>
      <c r="AF822" s="57"/>
      <c r="AG822" s="57"/>
    </row>
    <row r="823" spans="1:33" outlineLevel="2" x14ac:dyDescent="0.2">
      <c r="A823" s="19"/>
      <c r="B823" s="97"/>
      <c r="C823" s="506" t="str">
        <f t="shared" si="197"/>
        <v>Residential pay as you go</v>
      </c>
      <c r="D823" s="505" t="str">
        <f t="shared" si="198"/>
        <v>no</v>
      </c>
      <c r="E823" s="58"/>
      <c r="F823" s="223"/>
      <c r="G823" s="58"/>
      <c r="H823" s="58"/>
      <c r="I823" s="218">
        <f>INDEX('Prop. prices'!$I$8:$AB$82,MATCH($C823,'Prop. prices'!$C$8:$C$82,0),MATCH(I$818,'Prop. prices'!$I$5:$AB$5,0))</f>
        <v>54.712000000000003</v>
      </c>
      <c r="J823" s="218">
        <f>INDEX('Prop. prices'!$I$8:$AB$82,MATCH($C823,'Prop. prices'!$C$8:$C$82,0),MATCH(J$818,'Prop. prices'!$I$5:$AB$5,0))</f>
        <v>5.8890000000000002</v>
      </c>
      <c r="K823" s="218">
        <f>INDEX('Prop. prices'!$I$8:$AB$82,MATCH($C823,'Prop. prices'!$C$8:$C$82,0),MATCH(K$818,'Prop. prices'!$I$5:$AB$5,0))</f>
        <v>0</v>
      </c>
      <c r="L823" s="218">
        <f>INDEX('Prop. prices'!$I$8:$AB$82,MATCH($C823,'Prop. prices'!$C$8:$C$82,0),MATCH(L$818,'Prop. prices'!$I$5:$AB$5,0))</f>
        <v>0</v>
      </c>
      <c r="M823" s="218">
        <f>INDEX('Prop. prices'!$I$8:$AB$82,MATCH($C823,'Prop. prices'!$C$8:$C$82,0),MATCH(M$818,'Prop. prices'!$I$5:$AB$5,0))</f>
        <v>0</v>
      </c>
      <c r="N823" s="218">
        <f>INDEX('Prop. prices'!$I$8:$AB$82,MATCH($C823,'Prop. prices'!$C$8:$C$82,0),MATCH(N$818,'Prop. prices'!$I$5:$AB$5,0))</f>
        <v>0</v>
      </c>
      <c r="O823" s="218">
        <f>INDEX('Prop. prices'!$I$8:$AB$82,MATCH($C823,'Prop. prices'!$C$8:$C$82,0),MATCH(O$818,'Prop. prices'!$I$5:$AB$5,0))</f>
        <v>0</v>
      </c>
      <c r="P823" s="218">
        <f>INDEX('Prop. prices'!$I$8:$AB$82,MATCH($C823,'Prop. prices'!$C$8:$C$82,0),MATCH(P$818,'Prop. prices'!$I$5:$AB$5,0))</f>
        <v>0</v>
      </c>
      <c r="Q823" s="218">
        <f>INDEX('Prop. prices'!$I$8:$AB$82,MATCH($C823,'Prop. prices'!$C$8:$C$82,0),MATCH(Q$818,'Prop. prices'!$I$5:$AB$5,0))</f>
        <v>0</v>
      </c>
      <c r="R823" s="218">
        <f>INDEX('Prop. prices'!$I$8:$AB$82,MATCH($C823,'Prop. prices'!$C$8:$C$82,0),MATCH(R$818,'Prop. prices'!$I$5:$AB$5,0))</f>
        <v>0</v>
      </c>
      <c r="S823" s="218">
        <f>INDEX('Prop. prices'!$I$8:$AB$82,MATCH($C823,'Prop. prices'!$C$8:$C$82,0),MATCH(S$818,'Prop. prices'!$I$5:$AB$5,0))</f>
        <v>0</v>
      </c>
      <c r="T823" s="218">
        <f>INDEX('Prop. prices'!$I$8:$AB$82,MATCH($C823,'Prop. prices'!$C$8:$C$82,0),MATCH(T$818,'Prop. prices'!$I$5:$AB$5,0))</f>
        <v>0</v>
      </c>
      <c r="U823" s="218">
        <f>INDEX('Prop. prices'!$I$8:$AB$82,MATCH($C823,'Prop. prices'!$C$8:$C$82,0),MATCH(U$818,'Prop. prices'!$I$5:$AB$5,0))</f>
        <v>0</v>
      </c>
      <c r="V823" s="218">
        <f>INDEX('Prop. prices'!$I$8:$AB$82,MATCH($C823,'Prop. prices'!$C$8:$C$82,0),MATCH(V$818,'Prop. prices'!$I$5:$AB$5,0))</f>
        <v>0</v>
      </c>
      <c r="W823" s="218">
        <f>INDEX('Prop. prices'!$I$8:$AB$82,MATCH($C823,'Prop. prices'!$C$8:$C$82,0),MATCH(W$818,'Prop. prices'!$I$5:$AB$5,0))</f>
        <v>0</v>
      </c>
      <c r="X823" s="218">
        <f>INDEX('Prop. prices'!$I$8:$AB$82,MATCH($C823,'Prop. prices'!$C$8:$C$82,0),MATCH(X$818,'Prop. prices'!$I$5:$AB$5,0))</f>
        <v>0</v>
      </c>
      <c r="Y823" s="218">
        <f>INDEX('Prop. prices'!$I$8:$AB$82,MATCH($C823,'Prop. prices'!$C$8:$C$82,0),MATCH(Y$818,'Prop. prices'!$I$5:$AB$5,0))</f>
        <v>0</v>
      </c>
      <c r="Z823" s="218">
        <f>INDEX('Prop. prices'!$I$8:$AB$82,MATCH($C823,'Prop. prices'!$C$8:$C$82,0),MATCH(Z$818,'Prop. prices'!$I$5:$AB$5,0))</f>
        <v>0</v>
      </c>
      <c r="AA823" s="218">
        <f>INDEX('Prop. prices'!$I$8:$AB$82,MATCH($C823,'Prop. prices'!$C$8:$C$82,0),MATCH(AA$818,'Prop. prices'!$I$5:$AB$5,0))</f>
        <v>0</v>
      </c>
      <c r="AB823" s="218">
        <f>INDEX('Prop. prices'!$I$8:$AB$82,MATCH($C823,'Prop. prices'!$C$8:$C$82,0),MATCH(AB$818,'Prop. prices'!$I$5:$AB$5,0))</f>
        <v>0</v>
      </c>
      <c r="AC823" s="187"/>
      <c r="AD823" s="19"/>
      <c r="AE823" s="19"/>
      <c r="AF823" s="19"/>
      <c r="AG823" s="19"/>
    </row>
    <row r="824" spans="1:33" outlineLevel="2" x14ac:dyDescent="0.2">
      <c r="A824" s="19"/>
      <c r="B824" s="97"/>
      <c r="C824" s="506" t="str">
        <f t="shared" si="197"/>
        <v>Residential pay as you go time of use</v>
      </c>
      <c r="D824" s="505" t="str">
        <f t="shared" si="198"/>
        <v>no</v>
      </c>
      <c r="E824" s="58"/>
      <c r="F824" s="223"/>
      <c r="G824" s="58"/>
      <c r="H824" s="58"/>
      <c r="I824" s="218">
        <f>INDEX('Prop. prices'!$I$8:$AB$82,MATCH($C824,'Prop. prices'!$C$8:$C$82,0),MATCH(I$818,'Prop. prices'!$I$5:$AB$5,0))</f>
        <v>59.329000000000001</v>
      </c>
      <c r="J824" s="218">
        <f>INDEX('Prop. prices'!$I$8:$AB$82,MATCH($C824,'Prop. prices'!$C$8:$C$82,0),MATCH(J$818,'Prop. prices'!$I$5:$AB$5,0))</f>
        <v>0</v>
      </c>
      <c r="K824" s="218">
        <f>INDEX('Prop. prices'!$I$8:$AB$82,MATCH($C824,'Prop. prices'!$C$8:$C$82,0),MATCH(K$818,'Prop. prices'!$I$5:$AB$5,0))</f>
        <v>10.872</v>
      </c>
      <c r="L824" s="218">
        <f>INDEX('Prop. prices'!$I$8:$AB$82,MATCH($C824,'Prop. prices'!$C$8:$C$82,0),MATCH(L$818,'Prop. prices'!$I$5:$AB$5,0))</f>
        <v>0</v>
      </c>
      <c r="M824" s="218">
        <f>INDEX('Prop. prices'!$I$8:$AB$82,MATCH($C824,'Prop. prices'!$C$8:$C$82,0),MATCH(M$818,'Prop. prices'!$I$5:$AB$5,0))</f>
        <v>2.1739999999999999</v>
      </c>
      <c r="N824" s="218">
        <f>INDEX('Prop. prices'!$I$8:$AB$82,MATCH($C824,'Prop. prices'!$C$8:$C$82,0),MATCH(N$818,'Prop. prices'!$I$5:$AB$5,0))</f>
        <v>0</v>
      </c>
      <c r="O824" s="218">
        <f>INDEX('Prop. prices'!$I$8:$AB$82,MATCH($C824,'Prop. prices'!$C$8:$C$82,0),MATCH(O$818,'Prop. prices'!$I$5:$AB$5,0))</f>
        <v>0</v>
      </c>
      <c r="P824" s="218">
        <f>INDEX('Prop. prices'!$I$8:$AB$82,MATCH($C824,'Prop. prices'!$C$8:$C$82,0),MATCH(P$818,'Prop. prices'!$I$5:$AB$5,0))</f>
        <v>0</v>
      </c>
      <c r="Q824" s="218">
        <f>INDEX('Prop. prices'!$I$8:$AB$82,MATCH($C824,'Prop. prices'!$C$8:$C$82,0),MATCH(Q$818,'Prop. prices'!$I$5:$AB$5,0))</f>
        <v>0</v>
      </c>
      <c r="R824" s="218">
        <f>INDEX('Prop. prices'!$I$8:$AB$82,MATCH($C824,'Prop. prices'!$C$8:$C$82,0),MATCH(R$818,'Prop. prices'!$I$5:$AB$5,0))</f>
        <v>0</v>
      </c>
      <c r="S824" s="218">
        <f>INDEX('Prop. prices'!$I$8:$AB$82,MATCH($C824,'Prop. prices'!$C$8:$C$82,0),MATCH(S$818,'Prop. prices'!$I$5:$AB$5,0))</f>
        <v>0</v>
      </c>
      <c r="T824" s="218">
        <f>INDEX('Prop. prices'!$I$8:$AB$82,MATCH($C824,'Prop. prices'!$C$8:$C$82,0),MATCH(T$818,'Prop. prices'!$I$5:$AB$5,0))</f>
        <v>0</v>
      </c>
      <c r="U824" s="218">
        <f>INDEX('Prop. prices'!$I$8:$AB$82,MATCH($C824,'Prop. prices'!$C$8:$C$82,0),MATCH(U$818,'Prop. prices'!$I$5:$AB$5,0))</f>
        <v>0</v>
      </c>
      <c r="V824" s="218">
        <f>INDEX('Prop. prices'!$I$8:$AB$82,MATCH($C824,'Prop. prices'!$C$8:$C$82,0),MATCH(V$818,'Prop. prices'!$I$5:$AB$5,0))</f>
        <v>0</v>
      </c>
      <c r="W824" s="218">
        <f>INDEX('Prop. prices'!$I$8:$AB$82,MATCH($C824,'Prop. prices'!$C$8:$C$82,0),MATCH(W$818,'Prop. prices'!$I$5:$AB$5,0))</f>
        <v>0</v>
      </c>
      <c r="X824" s="218">
        <f>INDEX('Prop. prices'!$I$8:$AB$82,MATCH($C824,'Prop. prices'!$C$8:$C$82,0),MATCH(X$818,'Prop. prices'!$I$5:$AB$5,0))</f>
        <v>0</v>
      </c>
      <c r="Y824" s="218">
        <f>INDEX('Prop. prices'!$I$8:$AB$82,MATCH($C824,'Prop. prices'!$C$8:$C$82,0),MATCH(Y$818,'Prop. prices'!$I$5:$AB$5,0))</f>
        <v>0</v>
      </c>
      <c r="Z824" s="218">
        <f>INDEX('Prop. prices'!$I$8:$AB$82,MATCH($C824,'Prop. prices'!$C$8:$C$82,0),MATCH(Z$818,'Prop. prices'!$I$5:$AB$5,0))</f>
        <v>0</v>
      </c>
      <c r="AA824" s="218">
        <f>INDEX('Prop. prices'!$I$8:$AB$82,MATCH($C824,'Prop. prices'!$C$8:$C$82,0),MATCH(AA$818,'Prop. prices'!$I$5:$AB$5,0))</f>
        <v>0</v>
      </c>
      <c r="AB824" s="218">
        <f>INDEX('Prop. prices'!$I$8:$AB$82,MATCH($C824,'Prop. prices'!$C$8:$C$82,0),MATCH(AB$818,'Prop. prices'!$I$5:$AB$5,0))</f>
        <v>0</v>
      </c>
      <c r="AC824" s="187"/>
      <c r="AD824" s="19"/>
      <c r="AE824" s="19"/>
      <c r="AF824" s="19"/>
      <c r="AG824" s="19"/>
    </row>
    <row r="825" spans="1:33" outlineLevel="2" x14ac:dyDescent="0.2">
      <c r="A825" s="19"/>
      <c r="B825" s="97"/>
      <c r="C825" s="506">
        <f t="shared" si="197"/>
        <v>0</v>
      </c>
      <c r="D825" s="505">
        <f t="shared" si="198"/>
        <v>0</v>
      </c>
      <c r="E825" s="58"/>
      <c r="F825" s="223"/>
      <c r="G825" s="58"/>
      <c r="H825" s="58"/>
      <c r="I825" s="218">
        <f>INDEX('Prop. prices'!$I$8:$AB$82,MATCH($C825,'Prop. prices'!$C$8:$C$82,0),MATCH(I$818,'Prop. prices'!$I$5:$AB$5,0))</f>
        <v>0</v>
      </c>
      <c r="J825" s="218">
        <f>INDEX('Prop. prices'!$I$8:$AB$82,MATCH($C825,'Prop. prices'!$C$8:$C$82,0),MATCH(J$818,'Prop. prices'!$I$5:$AB$5,0))</f>
        <v>0</v>
      </c>
      <c r="K825" s="218">
        <f>INDEX('Prop. prices'!$I$8:$AB$82,MATCH($C825,'Prop. prices'!$C$8:$C$82,0),MATCH(K$818,'Prop. prices'!$I$5:$AB$5,0))</f>
        <v>0</v>
      </c>
      <c r="L825" s="218">
        <f>INDEX('Prop. prices'!$I$8:$AB$82,MATCH($C825,'Prop. prices'!$C$8:$C$82,0),MATCH(L$818,'Prop. prices'!$I$5:$AB$5,0))</f>
        <v>0</v>
      </c>
      <c r="M825" s="218">
        <f>INDEX('Prop. prices'!$I$8:$AB$82,MATCH($C825,'Prop. prices'!$C$8:$C$82,0),MATCH(M$818,'Prop. prices'!$I$5:$AB$5,0))</f>
        <v>0</v>
      </c>
      <c r="N825" s="218">
        <f>INDEX('Prop. prices'!$I$8:$AB$82,MATCH($C825,'Prop. prices'!$C$8:$C$82,0),MATCH(N$818,'Prop. prices'!$I$5:$AB$5,0))</f>
        <v>0</v>
      </c>
      <c r="O825" s="218">
        <f>INDEX('Prop. prices'!$I$8:$AB$82,MATCH($C825,'Prop. prices'!$C$8:$C$82,0),MATCH(O$818,'Prop. prices'!$I$5:$AB$5,0))</f>
        <v>0</v>
      </c>
      <c r="P825" s="218">
        <f>INDEX('Prop. prices'!$I$8:$AB$82,MATCH($C825,'Prop. prices'!$C$8:$C$82,0),MATCH(P$818,'Prop. prices'!$I$5:$AB$5,0))</f>
        <v>0</v>
      </c>
      <c r="Q825" s="218">
        <f>INDEX('Prop. prices'!$I$8:$AB$82,MATCH($C825,'Prop. prices'!$C$8:$C$82,0),MATCH(Q$818,'Prop. prices'!$I$5:$AB$5,0))</f>
        <v>0</v>
      </c>
      <c r="R825" s="218">
        <f>INDEX('Prop. prices'!$I$8:$AB$82,MATCH($C825,'Prop. prices'!$C$8:$C$82,0),MATCH(R$818,'Prop. prices'!$I$5:$AB$5,0))</f>
        <v>0</v>
      </c>
      <c r="S825" s="218">
        <f>INDEX('Prop. prices'!$I$8:$AB$82,MATCH($C825,'Prop. prices'!$C$8:$C$82,0),MATCH(S$818,'Prop. prices'!$I$5:$AB$5,0))</f>
        <v>0</v>
      </c>
      <c r="T825" s="218">
        <f>INDEX('Prop. prices'!$I$8:$AB$82,MATCH($C825,'Prop. prices'!$C$8:$C$82,0),MATCH(T$818,'Prop. prices'!$I$5:$AB$5,0))</f>
        <v>0</v>
      </c>
      <c r="U825" s="218">
        <f>INDEX('Prop. prices'!$I$8:$AB$82,MATCH($C825,'Prop. prices'!$C$8:$C$82,0),MATCH(U$818,'Prop. prices'!$I$5:$AB$5,0))</f>
        <v>0</v>
      </c>
      <c r="V825" s="218">
        <f>INDEX('Prop. prices'!$I$8:$AB$82,MATCH($C825,'Prop. prices'!$C$8:$C$82,0),MATCH(V$818,'Prop. prices'!$I$5:$AB$5,0))</f>
        <v>0</v>
      </c>
      <c r="W825" s="218">
        <f>INDEX('Prop. prices'!$I$8:$AB$82,MATCH($C825,'Prop. prices'!$C$8:$C$82,0),MATCH(W$818,'Prop. prices'!$I$5:$AB$5,0))</f>
        <v>0</v>
      </c>
      <c r="X825" s="218">
        <f>INDEX('Prop. prices'!$I$8:$AB$82,MATCH($C825,'Prop. prices'!$C$8:$C$82,0),MATCH(X$818,'Prop. prices'!$I$5:$AB$5,0))</f>
        <v>0</v>
      </c>
      <c r="Y825" s="218">
        <f>INDEX('Prop. prices'!$I$8:$AB$82,MATCH($C825,'Prop. prices'!$C$8:$C$82,0),MATCH(Y$818,'Prop. prices'!$I$5:$AB$5,0))</f>
        <v>0</v>
      </c>
      <c r="Z825" s="218">
        <f>INDEX('Prop. prices'!$I$8:$AB$82,MATCH($C825,'Prop. prices'!$C$8:$C$82,0),MATCH(Z$818,'Prop. prices'!$I$5:$AB$5,0))</f>
        <v>0</v>
      </c>
      <c r="AA825" s="218">
        <f>INDEX('Prop. prices'!$I$8:$AB$82,MATCH($C825,'Prop. prices'!$C$8:$C$82,0),MATCH(AA$818,'Prop. prices'!$I$5:$AB$5,0))</f>
        <v>0</v>
      </c>
      <c r="AB825" s="218">
        <f>INDEX('Prop. prices'!$I$8:$AB$82,MATCH($C825,'Prop. prices'!$C$8:$C$82,0),MATCH(AB$818,'Prop. prices'!$I$5:$AB$5,0))</f>
        <v>0</v>
      </c>
      <c r="AC825" s="187"/>
      <c r="AD825" s="19"/>
      <c r="AE825" s="19"/>
      <c r="AF825" s="19"/>
      <c r="AG825" s="19"/>
    </row>
    <row r="826" spans="1:33" hidden="1" outlineLevel="3" x14ac:dyDescent="0.2">
      <c r="A826" s="19"/>
      <c r="B826" s="97"/>
      <c r="C826" s="506">
        <f t="shared" si="197"/>
        <v>0</v>
      </c>
      <c r="D826" s="505">
        <f t="shared" si="198"/>
        <v>0</v>
      </c>
      <c r="E826" s="58"/>
      <c r="F826" s="223"/>
      <c r="G826" s="58"/>
      <c r="H826" s="58"/>
      <c r="I826" s="218">
        <f>INDEX('Prop. prices'!$I$8:$AB$82,MATCH($C826,'Prop. prices'!$C$8:$C$82,0),MATCH(I$818,'Prop. prices'!$I$5:$AB$5,0))</f>
        <v>0</v>
      </c>
      <c r="J826" s="218">
        <f>INDEX('Prop. prices'!$I$8:$AB$82,MATCH($C826,'Prop. prices'!$C$8:$C$82,0),MATCH(J$818,'Prop. prices'!$I$5:$AB$5,0))</f>
        <v>0</v>
      </c>
      <c r="K826" s="218">
        <f>INDEX('Prop. prices'!$I$8:$AB$82,MATCH($C826,'Prop. prices'!$C$8:$C$82,0),MATCH(K$818,'Prop. prices'!$I$5:$AB$5,0))</f>
        <v>0</v>
      </c>
      <c r="L826" s="218">
        <f>INDEX('Prop. prices'!$I$8:$AB$82,MATCH($C826,'Prop. prices'!$C$8:$C$82,0),MATCH(L$818,'Prop. prices'!$I$5:$AB$5,0))</f>
        <v>0</v>
      </c>
      <c r="M826" s="218">
        <f>INDEX('Prop. prices'!$I$8:$AB$82,MATCH($C826,'Prop. prices'!$C$8:$C$82,0),MATCH(M$818,'Prop. prices'!$I$5:$AB$5,0))</f>
        <v>0</v>
      </c>
      <c r="N826" s="218">
        <f>INDEX('Prop. prices'!$I$8:$AB$82,MATCH($C826,'Prop. prices'!$C$8:$C$82,0),MATCH(N$818,'Prop. prices'!$I$5:$AB$5,0))</f>
        <v>0</v>
      </c>
      <c r="O826" s="218">
        <f>INDEX('Prop. prices'!$I$8:$AB$82,MATCH($C826,'Prop. prices'!$C$8:$C$82,0),MATCH(O$818,'Prop. prices'!$I$5:$AB$5,0))</f>
        <v>0</v>
      </c>
      <c r="P826" s="218">
        <f>INDEX('Prop. prices'!$I$8:$AB$82,MATCH($C826,'Prop. prices'!$C$8:$C$82,0),MATCH(P$818,'Prop. prices'!$I$5:$AB$5,0))</f>
        <v>0</v>
      </c>
      <c r="Q826" s="218">
        <f>INDEX('Prop. prices'!$I$8:$AB$82,MATCH($C826,'Prop. prices'!$C$8:$C$82,0),MATCH(Q$818,'Prop. prices'!$I$5:$AB$5,0))</f>
        <v>0</v>
      </c>
      <c r="R826" s="218">
        <f>INDEX('Prop. prices'!$I$8:$AB$82,MATCH($C826,'Prop. prices'!$C$8:$C$82,0),MATCH(R$818,'Prop. prices'!$I$5:$AB$5,0))</f>
        <v>0</v>
      </c>
      <c r="S826" s="218">
        <f>INDEX('Prop. prices'!$I$8:$AB$82,MATCH($C826,'Prop. prices'!$C$8:$C$82,0),MATCH(S$818,'Prop. prices'!$I$5:$AB$5,0))</f>
        <v>0</v>
      </c>
      <c r="T826" s="218">
        <f>INDEX('Prop. prices'!$I$8:$AB$82,MATCH($C826,'Prop. prices'!$C$8:$C$82,0),MATCH(T$818,'Prop. prices'!$I$5:$AB$5,0))</f>
        <v>0</v>
      </c>
      <c r="U826" s="218">
        <f>INDEX('Prop. prices'!$I$8:$AB$82,MATCH($C826,'Prop. prices'!$C$8:$C$82,0),MATCH(U$818,'Prop. prices'!$I$5:$AB$5,0))</f>
        <v>0</v>
      </c>
      <c r="V826" s="218">
        <f>INDEX('Prop. prices'!$I$8:$AB$82,MATCH($C826,'Prop. prices'!$C$8:$C$82,0),MATCH(V$818,'Prop. prices'!$I$5:$AB$5,0))</f>
        <v>0</v>
      </c>
      <c r="W826" s="218">
        <f>INDEX('Prop. prices'!$I$8:$AB$82,MATCH($C826,'Prop. prices'!$C$8:$C$82,0),MATCH(W$818,'Prop. prices'!$I$5:$AB$5,0))</f>
        <v>0</v>
      </c>
      <c r="X826" s="218">
        <f>INDEX('Prop. prices'!$I$8:$AB$82,MATCH($C826,'Prop. prices'!$C$8:$C$82,0),MATCH(X$818,'Prop. prices'!$I$5:$AB$5,0))</f>
        <v>0</v>
      </c>
      <c r="Y826" s="218">
        <f>INDEX('Prop. prices'!$I$8:$AB$82,MATCH($C826,'Prop. prices'!$C$8:$C$82,0),MATCH(Y$818,'Prop. prices'!$I$5:$AB$5,0))</f>
        <v>0</v>
      </c>
      <c r="Z826" s="218">
        <f>INDEX('Prop. prices'!$I$8:$AB$82,MATCH($C826,'Prop. prices'!$C$8:$C$82,0),MATCH(Z$818,'Prop. prices'!$I$5:$AB$5,0))</f>
        <v>0</v>
      </c>
      <c r="AA826" s="218">
        <f>INDEX('Prop. prices'!$I$8:$AB$82,MATCH($C826,'Prop. prices'!$C$8:$C$82,0),MATCH(AA$818,'Prop. prices'!$I$5:$AB$5,0))</f>
        <v>0</v>
      </c>
      <c r="AB826" s="218">
        <f>INDEX('Prop. prices'!$I$8:$AB$82,MATCH($C826,'Prop. prices'!$C$8:$C$82,0),MATCH(AB$818,'Prop. prices'!$I$5:$AB$5,0))</f>
        <v>0</v>
      </c>
      <c r="AC826" s="187"/>
      <c r="AD826" s="19"/>
      <c r="AE826" s="19"/>
      <c r="AF826" s="19"/>
      <c r="AG826" s="19"/>
    </row>
    <row r="827" spans="1:33" hidden="1" outlineLevel="3" x14ac:dyDescent="0.2">
      <c r="A827" s="19"/>
      <c r="B827" s="97"/>
      <c r="C827" s="506">
        <f t="shared" si="197"/>
        <v>0</v>
      </c>
      <c r="D827" s="505">
        <f t="shared" si="198"/>
        <v>0</v>
      </c>
      <c r="E827" s="58"/>
      <c r="F827" s="223"/>
      <c r="G827" s="58"/>
      <c r="H827" s="58"/>
      <c r="I827" s="218">
        <f>INDEX('Prop. prices'!$I$8:$AB$82,MATCH($C827,'Prop. prices'!$C$8:$C$82,0),MATCH(I$818,'Prop. prices'!$I$5:$AB$5,0))</f>
        <v>0</v>
      </c>
      <c r="J827" s="218">
        <f>INDEX('Prop. prices'!$I$8:$AB$82,MATCH($C827,'Prop. prices'!$C$8:$C$82,0),MATCH(J$818,'Prop. prices'!$I$5:$AB$5,0))</f>
        <v>0</v>
      </c>
      <c r="K827" s="218">
        <f>INDEX('Prop. prices'!$I$8:$AB$82,MATCH($C827,'Prop. prices'!$C$8:$C$82,0),MATCH(K$818,'Prop. prices'!$I$5:$AB$5,0))</f>
        <v>0</v>
      </c>
      <c r="L827" s="218">
        <f>INDEX('Prop. prices'!$I$8:$AB$82,MATCH($C827,'Prop. prices'!$C$8:$C$82,0),MATCH(L$818,'Prop. prices'!$I$5:$AB$5,0))</f>
        <v>0</v>
      </c>
      <c r="M827" s="218">
        <f>INDEX('Prop. prices'!$I$8:$AB$82,MATCH($C827,'Prop. prices'!$C$8:$C$82,0),MATCH(M$818,'Prop. prices'!$I$5:$AB$5,0))</f>
        <v>0</v>
      </c>
      <c r="N827" s="218">
        <f>INDEX('Prop. prices'!$I$8:$AB$82,MATCH($C827,'Prop. prices'!$C$8:$C$82,0),MATCH(N$818,'Prop. prices'!$I$5:$AB$5,0))</f>
        <v>0</v>
      </c>
      <c r="O827" s="218">
        <f>INDEX('Prop. prices'!$I$8:$AB$82,MATCH($C827,'Prop. prices'!$C$8:$C$82,0),MATCH(O$818,'Prop. prices'!$I$5:$AB$5,0))</f>
        <v>0</v>
      </c>
      <c r="P827" s="218">
        <f>INDEX('Prop. prices'!$I$8:$AB$82,MATCH($C827,'Prop. prices'!$C$8:$C$82,0),MATCH(P$818,'Prop. prices'!$I$5:$AB$5,0))</f>
        <v>0</v>
      </c>
      <c r="Q827" s="218">
        <f>INDEX('Prop. prices'!$I$8:$AB$82,MATCH($C827,'Prop. prices'!$C$8:$C$82,0),MATCH(Q$818,'Prop. prices'!$I$5:$AB$5,0))</f>
        <v>0</v>
      </c>
      <c r="R827" s="218">
        <f>INDEX('Prop. prices'!$I$8:$AB$82,MATCH($C827,'Prop. prices'!$C$8:$C$82,0),MATCH(R$818,'Prop. prices'!$I$5:$AB$5,0))</f>
        <v>0</v>
      </c>
      <c r="S827" s="218">
        <f>INDEX('Prop. prices'!$I$8:$AB$82,MATCH($C827,'Prop. prices'!$C$8:$C$82,0),MATCH(S$818,'Prop. prices'!$I$5:$AB$5,0))</f>
        <v>0</v>
      </c>
      <c r="T827" s="218">
        <f>INDEX('Prop. prices'!$I$8:$AB$82,MATCH($C827,'Prop. prices'!$C$8:$C$82,0),MATCH(T$818,'Prop. prices'!$I$5:$AB$5,0))</f>
        <v>0</v>
      </c>
      <c r="U827" s="218">
        <f>INDEX('Prop. prices'!$I$8:$AB$82,MATCH($C827,'Prop. prices'!$C$8:$C$82,0),MATCH(U$818,'Prop. prices'!$I$5:$AB$5,0))</f>
        <v>0</v>
      </c>
      <c r="V827" s="218">
        <f>INDEX('Prop. prices'!$I$8:$AB$82,MATCH($C827,'Prop. prices'!$C$8:$C$82,0),MATCH(V$818,'Prop. prices'!$I$5:$AB$5,0))</f>
        <v>0</v>
      </c>
      <c r="W827" s="218">
        <f>INDEX('Prop. prices'!$I$8:$AB$82,MATCH($C827,'Prop. prices'!$C$8:$C$82,0),MATCH(W$818,'Prop. prices'!$I$5:$AB$5,0))</f>
        <v>0</v>
      </c>
      <c r="X827" s="218">
        <f>INDEX('Prop. prices'!$I$8:$AB$82,MATCH($C827,'Prop. prices'!$C$8:$C$82,0),MATCH(X$818,'Prop. prices'!$I$5:$AB$5,0))</f>
        <v>0</v>
      </c>
      <c r="Y827" s="218">
        <f>INDEX('Prop. prices'!$I$8:$AB$82,MATCH($C827,'Prop. prices'!$C$8:$C$82,0),MATCH(Y$818,'Prop. prices'!$I$5:$AB$5,0))</f>
        <v>0</v>
      </c>
      <c r="Z827" s="218">
        <f>INDEX('Prop. prices'!$I$8:$AB$82,MATCH($C827,'Prop. prices'!$C$8:$C$82,0),MATCH(Z$818,'Prop. prices'!$I$5:$AB$5,0))</f>
        <v>0</v>
      </c>
      <c r="AA827" s="218">
        <f>INDEX('Prop. prices'!$I$8:$AB$82,MATCH($C827,'Prop. prices'!$C$8:$C$82,0),MATCH(AA$818,'Prop. prices'!$I$5:$AB$5,0))</f>
        <v>0</v>
      </c>
      <c r="AB827" s="218">
        <f>INDEX('Prop. prices'!$I$8:$AB$82,MATCH($C827,'Prop. prices'!$C$8:$C$82,0),MATCH(AB$818,'Prop. prices'!$I$5:$AB$5,0))</f>
        <v>0</v>
      </c>
      <c r="AC827" s="187"/>
      <c r="AD827" s="19"/>
      <c r="AE827" s="19"/>
      <c r="AF827" s="19"/>
      <c r="AG827" s="19"/>
    </row>
    <row r="828" spans="1:33" hidden="1" outlineLevel="3" x14ac:dyDescent="0.2">
      <c r="A828" s="19"/>
      <c r="B828" s="97"/>
      <c r="C828" s="506">
        <f t="shared" si="197"/>
        <v>0</v>
      </c>
      <c r="D828" s="505">
        <f t="shared" si="198"/>
        <v>0</v>
      </c>
      <c r="E828" s="58"/>
      <c r="F828" s="223"/>
      <c r="G828" s="58"/>
      <c r="H828" s="58"/>
      <c r="I828" s="218">
        <f>INDEX('Prop. prices'!$I$8:$AB$82,MATCH($C828,'Prop. prices'!$C$8:$C$82,0),MATCH(I$818,'Prop. prices'!$I$5:$AB$5,0))</f>
        <v>0</v>
      </c>
      <c r="J828" s="218">
        <f>INDEX('Prop. prices'!$I$8:$AB$82,MATCH($C828,'Prop. prices'!$C$8:$C$82,0),MATCH(J$818,'Prop. prices'!$I$5:$AB$5,0))</f>
        <v>0</v>
      </c>
      <c r="K828" s="218">
        <f>INDEX('Prop. prices'!$I$8:$AB$82,MATCH($C828,'Prop. prices'!$C$8:$C$82,0),MATCH(K$818,'Prop. prices'!$I$5:$AB$5,0))</f>
        <v>0</v>
      </c>
      <c r="L828" s="218">
        <f>INDEX('Prop. prices'!$I$8:$AB$82,MATCH($C828,'Prop. prices'!$C$8:$C$82,0),MATCH(L$818,'Prop. prices'!$I$5:$AB$5,0))</f>
        <v>0</v>
      </c>
      <c r="M828" s="218">
        <f>INDEX('Prop. prices'!$I$8:$AB$82,MATCH($C828,'Prop. prices'!$C$8:$C$82,0),MATCH(M$818,'Prop. prices'!$I$5:$AB$5,0))</f>
        <v>0</v>
      </c>
      <c r="N828" s="218">
        <f>INDEX('Prop. prices'!$I$8:$AB$82,MATCH($C828,'Prop. prices'!$C$8:$C$82,0),MATCH(N$818,'Prop. prices'!$I$5:$AB$5,0))</f>
        <v>0</v>
      </c>
      <c r="O828" s="218">
        <f>INDEX('Prop. prices'!$I$8:$AB$82,MATCH($C828,'Prop. prices'!$C$8:$C$82,0),MATCH(O$818,'Prop. prices'!$I$5:$AB$5,0))</f>
        <v>0</v>
      </c>
      <c r="P828" s="218">
        <f>INDEX('Prop. prices'!$I$8:$AB$82,MATCH($C828,'Prop. prices'!$C$8:$C$82,0),MATCH(P$818,'Prop. prices'!$I$5:$AB$5,0))</f>
        <v>0</v>
      </c>
      <c r="Q828" s="218">
        <f>INDEX('Prop. prices'!$I$8:$AB$82,MATCH($C828,'Prop. prices'!$C$8:$C$82,0),MATCH(Q$818,'Prop. prices'!$I$5:$AB$5,0))</f>
        <v>0</v>
      </c>
      <c r="R828" s="218">
        <f>INDEX('Prop. prices'!$I$8:$AB$82,MATCH($C828,'Prop. prices'!$C$8:$C$82,0),MATCH(R$818,'Prop. prices'!$I$5:$AB$5,0))</f>
        <v>0</v>
      </c>
      <c r="S828" s="218">
        <f>INDEX('Prop. prices'!$I$8:$AB$82,MATCH($C828,'Prop. prices'!$C$8:$C$82,0),MATCH(S$818,'Prop. prices'!$I$5:$AB$5,0))</f>
        <v>0</v>
      </c>
      <c r="T828" s="218">
        <f>INDEX('Prop. prices'!$I$8:$AB$82,MATCH($C828,'Prop. prices'!$C$8:$C$82,0),MATCH(T$818,'Prop. prices'!$I$5:$AB$5,0))</f>
        <v>0</v>
      </c>
      <c r="U828" s="218">
        <f>INDEX('Prop. prices'!$I$8:$AB$82,MATCH($C828,'Prop. prices'!$C$8:$C$82,0),MATCH(U$818,'Prop. prices'!$I$5:$AB$5,0))</f>
        <v>0</v>
      </c>
      <c r="V828" s="218">
        <f>INDEX('Prop. prices'!$I$8:$AB$82,MATCH($C828,'Prop. prices'!$C$8:$C$82,0),MATCH(V$818,'Prop. prices'!$I$5:$AB$5,0))</f>
        <v>0</v>
      </c>
      <c r="W828" s="218">
        <f>INDEX('Prop. prices'!$I$8:$AB$82,MATCH($C828,'Prop. prices'!$C$8:$C$82,0),MATCH(W$818,'Prop. prices'!$I$5:$AB$5,0))</f>
        <v>0</v>
      </c>
      <c r="X828" s="218">
        <f>INDEX('Prop. prices'!$I$8:$AB$82,MATCH($C828,'Prop. prices'!$C$8:$C$82,0),MATCH(X$818,'Prop. prices'!$I$5:$AB$5,0))</f>
        <v>0</v>
      </c>
      <c r="Y828" s="218">
        <f>INDEX('Prop. prices'!$I$8:$AB$82,MATCH($C828,'Prop. prices'!$C$8:$C$82,0),MATCH(Y$818,'Prop. prices'!$I$5:$AB$5,0))</f>
        <v>0</v>
      </c>
      <c r="Z828" s="218">
        <f>INDEX('Prop. prices'!$I$8:$AB$82,MATCH($C828,'Prop. prices'!$C$8:$C$82,0),MATCH(Z$818,'Prop. prices'!$I$5:$AB$5,0))</f>
        <v>0</v>
      </c>
      <c r="AA828" s="218">
        <f>INDEX('Prop. prices'!$I$8:$AB$82,MATCH($C828,'Prop. prices'!$C$8:$C$82,0),MATCH(AA$818,'Prop. prices'!$I$5:$AB$5,0))</f>
        <v>0</v>
      </c>
      <c r="AB828" s="218">
        <f>INDEX('Prop. prices'!$I$8:$AB$82,MATCH($C828,'Prop. prices'!$C$8:$C$82,0),MATCH(AB$818,'Prop. prices'!$I$5:$AB$5,0))</f>
        <v>0</v>
      </c>
      <c r="AC828" s="187"/>
      <c r="AD828" s="19"/>
      <c r="AE828" s="19"/>
      <c r="AF828" s="19"/>
      <c r="AG828" s="19"/>
    </row>
    <row r="829" spans="1:33" hidden="1" outlineLevel="3" x14ac:dyDescent="0.2">
      <c r="A829" s="19"/>
      <c r="B829" s="98"/>
      <c r="C829" s="506">
        <f t="shared" si="197"/>
        <v>0</v>
      </c>
      <c r="D829" s="505">
        <f t="shared" si="198"/>
        <v>0</v>
      </c>
      <c r="E829" s="58"/>
      <c r="F829" s="223"/>
      <c r="G829" s="58"/>
      <c r="H829" s="58"/>
      <c r="I829" s="218">
        <f>INDEX('Prop. prices'!$I$8:$AB$82,MATCH($C829,'Prop. prices'!$C$8:$C$82,0),MATCH(I$818,'Prop. prices'!$I$5:$AB$5,0))</f>
        <v>0</v>
      </c>
      <c r="J829" s="218">
        <f>INDEX('Prop. prices'!$I$8:$AB$82,MATCH($C829,'Prop. prices'!$C$8:$C$82,0),MATCH(J$818,'Prop. prices'!$I$5:$AB$5,0))</f>
        <v>0</v>
      </c>
      <c r="K829" s="218">
        <f>INDEX('Prop. prices'!$I$8:$AB$82,MATCH($C829,'Prop. prices'!$C$8:$C$82,0),MATCH(K$818,'Prop. prices'!$I$5:$AB$5,0))</f>
        <v>0</v>
      </c>
      <c r="L829" s="218">
        <f>INDEX('Prop. prices'!$I$8:$AB$82,MATCH($C829,'Prop. prices'!$C$8:$C$82,0),MATCH(L$818,'Prop. prices'!$I$5:$AB$5,0))</f>
        <v>0</v>
      </c>
      <c r="M829" s="218">
        <f>INDEX('Prop. prices'!$I$8:$AB$82,MATCH($C829,'Prop. prices'!$C$8:$C$82,0),MATCH(M$818,'Prop. prices'!$I$5:$AB$5,0))</f>
        <v>0</v>
      </c>
      <c r="N829" s="218">
        <f>INDEX('Prop. prices'!$I$8:$AB$82,MATCH($C829,'Prop. prices'!$C$8:$C$82,0),MATCH(N$818,'Prop. prices'!$I$5:$AB$5,0))</f>
        <v>0</v>
      </c>
      <c r="O829" s="218">
        <f>INDEX('Prop. prices'!$I$8:$AB$82,MATCH($C829,'Prop. prices'!$C$8:$C$82,0),MATCH(O$818,'Prop. prices'!$I$5:$AB$5,0))</f>
        <v>0</v>
      </c>
      <c r="P829" s="218">
        <f>INDEX('Prop. prices'!$I$8:$AB$82,MATCH($C829,'Prop. prices'!$C$8:$C$82,0),MATCH(P$818,'Prop. prices'!$I$5:$AB$5,0))</f>
        <v>0</v>
      </c>
      <c r="Q829" s="218">
        <f>INDEX('Prop. prices'!$I$8:$AB$82,MATCH($C829,'Prop. prices'!$C$8:$C$82,0),MATCH(Q$818,'Prop. prices'!$I$5:$AB$5,0))</f>
        <v>0</v>
      </c>
      <c r="R829" s="218">
        <f>INDEX('Prop. prices'!$I$8:$AB$82,MATCH($C829,'Prop. prices'!$C$8:$C$82,0),MATCH(R$818,'Prop. prices'!$I$5:$AB$5,0))</f>
        <v>0</v>
      </c>
      <c r="S829" s="218">
        <f>INDEX('Prop. prices'!$I$8:$AB$82,MATCH($C829,'Prop. prices'!$C$8:$C$82,0),MATCH(S$818,'Prop. prices'!$I$5:$AB$5,0))</f>
        <v>0</v>
      </c>
      <c r="T829" s="218">
        <f>INDEX('Prop. prices'!$I$8:$AB$82,MATCH($C829,'Prop. prices'!$C$8:$C$82,0),MATCH(T$818,'Prop. prices'!$I$5:$AB$5,0))</f>
        <v>0</v>
      </c>
      <c r="U829" s="218">
        <f>INDEX('Prop. prices'!$I$8:$AB$82,MATCH($C829,'Prop. prices'!$C$8:$C$82,0),MATCH(U$818,'Prop. prices'!$I$5:$AB$5,0))</f>
        <v>0</v>
      </c>
      <c r="V829" s="218">
        <f>INDEX('Prop. prices'!$I$8:$AB$82,MATCH($C829,'Prop. prices'!$C$8:$C$82,0),MATCH(V$818,'Prop. prices'!$I$5:$AB$5,0))</f>
        <v>0</v>
      </c>
      <c r="W829" s="218">
        <f>INDEX('Prop. prices'!$I$8:$AB$82,MATCH($C829,'Prop. prices'!$C$8:$C$82,0),MATCH(W$818,'Prop. prices'!$I$5:$AB$5,0))</f>
        <v>0</v>
      </c>
      <c r="X829" s="218">
        <f>INDEX('Prop. prices'!$I$8:$AB$82,MATCH($C829,'Prop. prices'!$C$8:$C$82,0),MATCH(X$818,'Prop. prices'!$I$5:$AB$5,0))</f>
        <v>0</v>
      </c>
      <c r="Y829" s="218">
        <f>INDEX('Prop. prices'!$I$8:$AB$82,MATCH($C829,'Prop. prices'!$C$8:$C$82,0),MATCH(Y$818,'Prop. prices'!$I$5:$AB$5,0))</f>
        <v>0</v>
      </c>
      <c r="Z829" s="218">
        <f>INDEX('Prop. prices'!$I$8:$AB$82,MATCH($C829,'Prop. prices'!$C$8:$C$82,0),MATCH(Z$818,'Prop. prices'!$I$5:$AB$5,0))</f>
        <v>0</v>
      </c>
      <c r="AA829" s="218">
        <f>INDEX('Prop. prices'!$I$8:$AB$82,MATCH($C829,'Prop. prices'!$C$8:$C$82,0),MATCH(AA$818,'Prop. prices'!$I$5:$AB$5,0))</f>
        <v>0</v>
      </c>
      <c r="AB829" s="218">
        <f>INDEX('Prop. prices'!$I$8:$AB$82,MATCH($C829,'Prop. prices'!$C$8:$C$82,0),MATCH(AB$818,'Prop. prices'!$I$5:$AB$5,0))</f>
        <v>0</v>
      </c>
      <c r="AC829" s="187"/>
      <c r="AD829" s="19"/>
      <c r="AE829" s="19"/>
      <c r="AF829" s="19"/>
      <c r="AG829" s="19"/>
    </row>
    <row r="830" spans="1:33" hidden="1" outlineLevel="3" x14ac:dyDescent="0.2">
      <c r="A830" s="19"/>
      <c r="B830" s="97"/>
      <c r="C830" s="506">
        <f t="shared" si="197"/>
        <v>0</v>
      </c>
      <c r="D830" s="505">
        <f t="shared" si="198"/>
        <v>0</v>
      </c>
      <c r="E830" s="58"/>
      <c r="F830" s="223"/>
      <c r="G830" s="58"/>
      <c r="H830" s="58"/>
      <c r="I830" s="218">
        <f>INDEX('Prop. prices'!$I$8:$AB$82,MATCH($C830,'Prop. prices'!$C$8:$C$82,0),MATCH(I$818,'Prop. prices'!$I$5:$AB$5,0))</f>
        <v>0</v>
      </c>
      <c r="J830" s="218">
        <f>INDEX('Prop. prices'!$I$8:$AB$82,MATCH($C830,'Prop. prices'!$C$8:$C$82,0),MATCH(J$818,'Prop. prices'!$I$5:$AB$5,0))</f>
        <v>0</v>
      </c>
      <c r="K830" s="218">
        <f>INDEX('Prop. prices'!$I$8:$AB$82,MATCH($C830,'Prop. prices'!$C$8:$C$82,0),MATCH(K$818,'Prop. prices'!$I$5:$AB$5,0))</f>
        <v>0</v>
      </c>
      <c r="L830" s="218">
        <f>INDEX('Prop. prices'!$I$8:$AB$82,MATCH($C830,'Prop. prices'!$C$8:$C$82,0),MATCH(L$818,'Prop. prices'!$I$5:$AB$5,0))</f>
        <v>0</v>
      </c>
      <c r="M830" s="218">
        <f>INDEX('Prop. prices'!$I$8:$AB$82,MATCH($C830,'Prop. prices'!$C$8:$C$82,0),MATCH(M$818,'Prop. prices'!$I$5:$AB$5,0))</f>
        <v>0</v>
      </c>
      <c r="N830" s="218">
        <f>INDEX('Prop. prices'!$I$8:$AB$82,MATCH($C830,'Prop. prices'!$C$8:$C$82,0),MATCH(N$818,'Prop. prices'!$I$5:$AB$5,0))</f>
        <v>0</v>
      </c>
      <c r="O830" s="218">
        <f>INDEX('Prop. prices'!$I$8:$AB$82,MATCH($C830,'Prop. prices'!$C$8:$C$82,0),MATCH(O$818,'Prop. prices'!$I$5:$AB$5,0))</f>
        <v>0</v>
      </c>
      <c r="P830" s="218">
        <f>INDEX('Prop. prices'!$I$8:$AB$82,MATCH($C830,'Prop. prices'!$C$8:$C$82,0),MATCH(P$818,'Prop. prices'!$I$5:$AB$5,0))</f>
        <v>0</v>
      </c>
      <c r="Q830" s="218">
        <f>INDEX('Prop. prices'!$I$8:$AB$82,MATCH($C830,'Prop. prices'!$C$8:$C$82,0),MATCH(Q$818,'Prop. prices'!$I$5:$AB$5,0))</f>
        <v>0</v>
      </c>
      <c r="R830" s="218">
        <f>INDEX('Prop. prices'!$I$8:$AB$82,MATCH($C830,'Prop. prices'!$C$8:$C$82,0),MATCH(R$818,'Prop. prices'!$I$5:$AB$5,0))</f>
        <v>0</v>
      </c>
      <c r="S830" s="218">
        <f>INDEX('Prop. prices'!$I$8:$AB$82,MATCH($C830,'Prop. prices'!$C$8:$C$82,0),MATCH(S$818,'Prop. prices'!$I$5:$AB$5,0))</f>
        <v>0</v>
      </c>
      <c r="T830" s="218">
        <f>INDEX('Prop. prices'!$I$8:$AB$82,MATCH($C830,'Prop. prices'!$C$8:$C$82,0),MATCH(T$818,'Prop. prices'!$I$5:$AB$5,0))</f>
        <v>0</v>
      </c>
      <c r="U830" s="218">
        <f>INDEX('Prop. prices'!$I$8:$AB$82,MATCH($C830,'Prop. prices'!$C$8:$C$82,0),MATCH(U$818,'Prop. prices'!$I$5:$AB$5,0))</f>
        <v>0</v>
      </c>
      <c r="V830" s="218">
        <f>INDEX('Prop. prices'!$I$8:$AB$82,MATCH($C830,'Prop. prices'!$C$8:$C$82,0),MATCH(V$818,'Prop. prices'!$I$5:$AB$5,0))</f>
        <v>0</v>
      </c>
      <c r="W830" s="218">
        <f>INDEX('Prop. prices'!$I$8:$AB$82,MATCH($C830,'Prop. prices'!$C$8:$C$82,0),MATCH(W$818,'Prop. prices'!$I$5:$AB$5,0))</f>
        <v>0</v>
      </c>
      <c r="X830" s="218">
        <f>INDEX('Prop. prices'!$I$8:$AB$82,MATCH($C830,'Prop. prices'!$C$8:$C$82,0),MATCH(X$818,'Prop. prices'!$I$5:$AB$5,0))</f>
        <v>0</v>
      </c>
      <c r="Y830" s="218">
        <f>INDEX('Prop. prices'!$I$8:$AB$82,MATCH($C830,'Prop. prices'!$C$8:$C$82,0),MATCH(Y$818,'Prop. prices'!$I$5:$AB$5,0))</f>
        <v>0</v>
      </c>
      <c r="Z830" s="218">
        <f>INDEX('Prop. prices'!$I$8:$AB$82,MATCH($C830,'Prop. prices'!$C$8:$C$82,0),MATCH(Z$818,'Prop. prices'!$I$5:$AB$5,0))</f>
        <v>0</v>
      </c>
      <c r="AA830" s="218">
        <f>INDEX('Prop. prices'!$I$8:$AB$82,MATCH($C830,'Prop. prices'!$C$8:$C$82,0),MATCH(AA$818,'Prop. prices'!$I$5:$AB$5,0))</f>
        <v>0</v>
      </c>
      <c r="AB830" s="218">
        <f>INDEX('Prop. prices'!$I$8:$AB$82,MATCH($C830,'Prop. prices'!$C$8:$C$82,0),MATCH(AB$818,'Prop. prices'!$I$5:$AB$5,0))</f>
        <v>0</v>
      </c>
      <c r="AC830" s="187"/>
      <c r="AD830" s="19"/>
      <c r="AE830" s="19"/>
      <c r="AF830" s="19"/>
      <c r="AG830" s="19"/>
    </row>
    <row r="831" spans="1:33" hidden="1" outlineLevel="3" x14ac:dyDescent="0.2">
      <c r="A831" s="19"/>
      <c r="B831" s="97"/>
      <c r="C831" s="506">
        <f t="shared" si="197"/>
        <v>0</v>
      </c>
      <c r="D831" s="505">
        <f t="shared" si="198"/>
        <v>0</v>
      </c>
      <c r="E831" s="58"/>
      <c r="F831" s="223"/>
      <c r="G831" s="58"/>
      <c r="H831" s="58"/>
      <c r="I831" s="218">
        <f>INDEX('Prop. prices'!$I$8:$AB$82,MATCH($C831,'Prop. prices'!$C$8:$C$82,0),MATCH(I$818,'Prop. prices'!$I$5:$AB$5,0))</f>
        <v>0</v>
      </c>
      <c r="J831" s="218">
        <f>INDEX('Prop. prices'!$I$8:$AB$82,MATCH($C831,'Prop. prices'!$C$8:$C$82,0),MATCH(J$818,'Prop. prices'!$I$5:$AB$5,0))</f>
        <v>0</v>
      </c>
      <c r="K831" s="218">
        <f>INDEX('Prop. prices'!$I$8:$AB$82,MATCH($C831,'Prop. prices'!$C$8:$C$82,0),MATCH(K$818,'Prop. prices'!$I$5:$AB$5,0))</f>
        <v>0</v>
      </c>
      <c r="L831" s="218">
        <f>INDEX('Prop. prices'!$I$8:$AB$82,MATCH($C831,'Prop. prices'!$C$8:$C$82,0),MATCH(L$818,'Prop. prices'!$I$5:$AB$5,0))</f>
        <v>0</v>
      </c>
      <c r="M831" s="218">
        <f>INDEX('Prop. prices'!$I$8:$AB$82,MATCH($C831,'Prop. prices'!$C$8:$C$82,0),MATCH(M$818,'Prop. prices'!$I$5:$AB$5,0))</f>
        <v>0</v>
      </c>
      <c r="N831" s="218">
        <f>INDEX('Prop. prices'!$I$8:$AB$82,MATCH($C831,'Prop. prices'!$C$8:$C$82,0),MATCH(N$818,'Prop. prices'!$I$5:$AB$5,0))</f>
        <v>0</v>
      </c>
      <c r="O831" s="218">
        <f>INDEX('Prop. prices'!$I$8:$AB$82,MATCH($C831,'Prop. prices'!$C$8:$C$82,0),MATCH(O$818,'Prop. prices'!$I$5:$AB$5,0))</f>
        <v>0</v>
      </c>
      <c r="P831" s="218">
        <f>INDEX('Prop. prices'!$I$8:$AB$82,MATCH($C831,'Prop. prices'!$C$8:$C$82,0),MATCH(P$818,'Prop. prices'!$I$5:$AB$5,0))</f>
        <v>0</v>
      </c>
      <c r="Q831" s="218">
        <f>INDEX('Prop. prices'!$I$8:$AB$82,MATCH($C831,'Prop. prices'!$C$8:$C$82,0),MATCH(Q$818,'Prop. prices'!$I$5:$AB$5,0))</f>
        <v>0</v>
      </c>
      <c r="R831" s="218">
        <f>INDEX('Prop. prices'!$I$8:$AB$82,MATCH($C831,'Prop. prices'!$C$8:$C$82,0),MATCH(R$818,'Prop. prices'!$I$5:$AB$5,0))</f>
        <v>0</v>
      </c>
      <c r="S831" s="218">
        <f>INDEX('Prop. prices'!$I$8:$AB$82,MATCH($C831,'Prop. prices'!$C$8:$C$82,0),MATCH(S$818,'Prop. prices'!$I$5:$AB$5,0))</f>
        <v>0</v>
      </c>
      <c r="T831" s="218">
        <f>INDEX('Prop. prices'!$I$8:$AB$82,MATCH($C831,'Prop. prices'!$C$8:$C$82,0),MATCH(T$818,'Prop. prices'!$I$5:$AB$5,0))</f>
        <v>0</v>
      </c>
      <c r="U831" s="218">
        <f>INDEX('Prop. prices'!$I$8:$AB$82,MATCH($C831,'Prop. prices'!$C$8:$C$82,0),MATCH(U$818,'Prop. prices'!$I$5:$AB$5,0))</f>
        <v>0</v>
      </c>
      <c r="V831" s="218">
        <f>INDEX('Prop. prices'!$I$8:$AB$82,MATCH($C831,'Prop. prices'!$C$8:$C$82,0),MATCH(V$818,'Prop. prices'!$I$5:$AB$5,0))</f>
        <v>0</v>
      </c>
      <c r="W831" s="218">
        <f>INDEX('Prop. prices'!$I$8:$AB$82,MATCH($C831,'Prop. prices'!$C$8:$C$82,0),MATCH(W$818,'Prop. prices'!$I$5:$AB$5,0))</f>
        <v>0</v>
      </c>
      <c r="X831" s="218">
        <f>INDEX('Prop. prices'!$I$8:$AB$82,MATCH($C831,'Prop. prices'!$C$8:$C$82,0),MATCH(X$818,'Prop. prices'!$I$5:$AB$5,0))</f>
        <v>0</v>
      </c>
      <c r="Y831" s="218">
        <f>INDEX('Prop. prices'!$I$8:$AB$82,MATCH($C831,'Prop. prices'!$C$8:$C$82,0),MATCH(Y$818,'Prop. prices'!$I$5:$AB$5,0))</f>
        <v>0</v>
      </c>
      <c r="Z831" s="218">
        <f>INDEX('Prop. prices'!$I$8:$AB$82,MATCH($C831,'Prop. prices'!$C$8:$C$82,0),MATCH(Z$818,'Prop. prices'!$I$5:$AB$5,0))</f>
        <v>0</v>
      </c>
      <c r="AA831" s="218">
        <f>INDEX('Prop. prices'!$I$8:$AB$82,MATCH($C831,'Prop. prices'!$C$8:$C$82,0),MATCH(AA$818,'Prop. prices'!$I$5:$AB$5,0))</f>
        <v>0</v>
      </c>
      <c r="AB831" s="218">
        <f>INDEX('Prop. prices'!$I$8:$AB$82,MATCH($C831,'Prop. prices'!$C$8:$C$82,0),MATCH(AB$818,'Prop. prices'!$I$5:$AB$5,0))</f>
        <v>0</v>
      </c>
      <c r="AC831" s="187"/>
      <c r="AD831" s="19"/>
      <c r="AE831" s="19"/>
      <c r="AF831" s="19"/>
      <c r="AG831" s="19"/>
    </row>
    <row r="832" spans="1:33" hidden="1" outlineLevel="3" x14ac:dyDescent="0.2">
      <c r="A832" s="19"/>
      <c r="B832" s="97"/>
      <c r="C832" s="506">
        <f t="shared" si="197"/>
        <v>0</v>
      </c>
      <c r="D832" s="505">
        <f t="shared" si="198"/>
        <v>0</v>
      </c>
      <c r="E832" s="58"/>
      <c r="F832" s="223"/>
      <c r="G832" s="58"/>
      <c r="H832" s="58"/>
      <c r="I832" s="218">
        <f>INDEX('Prop. prices'!$I$8:$AB$82,MATCH($C832,'Prop. prices'!$C$8:$C$82,0),MATCH(I$818,'Prop. prices'!$I$5:$AB$5,0))</f>
        <v>0</v>
      </c>
      <c r="J832" s="218">
        <f>INDEX('Prop. prices'!$I$8:$AB$82,MATCH($C832,'Prop. prices'!$C$8:$C$82,0),MATCH(J$818,'Prop. prices'!$I$5:$AB$5,0))</f>
        <v>0</v>
      </c>
      <c r="K832" s="218">
        <f>INDEX('Prop. prices'!$I$8:$AB$82,MATCH($C832,'Prop. prices'!$C$8:$C$82,0),MATCH(K$818,'Prop. prices'!$I$5:$AB$5,0))</f>
        <v>0</v>
      </c>
      <c r="L832" s="218">
        <f>INDEX('Prop. prices'!$I$8:$AB$82,MATCH($C832,'Prop. prices'!$C$8:$C$82,0),MATCH(L$818,'Prop. prices'!$I$5:$AB$5,0))</f>
        <v>0</v>
      </c>
      <c r="M832" s="218">
        <f>INDEX('Prop. prices'!$I$8:$AB$82,MATCH($C832,'Prop. prices'!$C$8:$C$82,0),MATCH(M$818,'Prop. prices'!$I$5:$AB$5,0))</f>
        <v>0</v>
      </c>
      <c r="N832" s="218">
        <f>INDEX('Prop. prices'!$I$8:$AB$82,MATCH($C832,'Prop. prices'!$C$8:$C$82,0),MATCH(N$818,'Prop. prices'!$I$5:$AB$5,0))</f>
        <v>0</v>
      </c>
      <c r="O832" s="218">
        <f>INDEX('Prop. prices'!$I$8:$AB$82,MATCH($C832,'Prop. prices'!$C$8:$C$82,0),MATCH(O$818,'Prop. prices'!$I$5:$AB$5,0))</f>
        <v>0</v>
      </c>
      <c r="P832" s="218">
        <f>INDEX('Prop. prices'!$I$8:$AB$82,MATCH($C832,'Prop. prices'!$C$8:$C$82,0),MATCH(P$818,'Prop. prices'!$I$5:$AB$5,0))</f>
        <v>0</v>
      </c>
      <c r="Q832" s="218">
        <f>INDEX('Prop. prices'!$I$8:$AB$82,MATCH($C832,'Prop. prices'!$C$8:$C$82,0),MATCH(Q$818,'Prop. prices'!$I$5:$AB$5,0))</f>
        <v>0</v>
      </c>
      <c r="R832" s="218">
        <f>INDEX('Prop. prices'!$I$8:$AB$82,MATCH($C832,'Prop. prices'!$C$8:$C$82,0),MATCH(R$818,'Prop. prices'!$I$5:$AB$5,0))</f>
        <v>0</v>
      </c>
      <c r="S832" s="218">
        <f>INDEX('Prop. prices'!$I$8:$AB$82,MATCH($C832,'Prop. prices'!$C$8:$C$82,0),MATCH(S$818,'Prop. prices'!$I$5:$AB$5,0))</f>
        <v>0</v>
      </c>
      <c r="T832" s="218">
        <f>INDEX('Prop. prices'!$I$8:$AB$82,MATCH($C832,'Prop. prices'!$C$8:$C$82,0),MATCH(T$818,'Prop. prices'!$I$5:$AB$5,0))</f>
        <v>0</v>
      </c>
      <c r="U832" s="218">
        <f>INDEX('Prop. prices'!$I$8:$AB$82,MATCH($C832,'Prop. prices'!$C$8:$C$82,0),MATCH(U$818,'Prop. prices'!$I$5:$AB$5,0))</f>
        <v>0</v>
      </c>
      <c r="V832" s="218">
        <f>INDEX('Prop. prices'!$I$8:$AB$82,MATCH($C832,'Prop. prices'!$C$8:$C$82,0),MATCH(V$818,'Prop. prices'!$I$5:$AB$5,0))</f>
        <v>0</v>
      </c>
      <c r="W832" s="218">
        <f>INDEX('Prop. prices'!$I$8:$AB$82,MATCH($C832,'Prop. prices'!$C$8:$C$82,0),MATCH(W$818,'Prop. prices'!$I$5:$AB$5,0))</f>
        <v>0</v>
      </c>
      <c r="X832" s="218">
        <f>INDEX('Prop. prices'!$I$8:$AB$82,MATCH($C832,'Prop. prices'!$C$8:$C$82,0),MATCH(X$818,'Prop. prices'!$I$5:$AB$5,0))</f>
        <v>0</v>
      </c>
      <c r="Y832" s="218">
        <f>INDEX('Prop. prices'!$I$8:$AB$82,MATCH($C832,'Prop. prices'!$C$8:$C$82,0),MATCH(Y$818,'Prop. prices'!$I$5:$AB$5,0))</f>
        <v>0</v>
      </c>
      <c r="Z832" s="218">
        <f>INDEX('Prop. prices'!$I$8:$AB$82,MATCH($C832,'Prop. prices'!$C$8:$C$82,0),MATCH(Z$818,'Prop. prices'!$I$5:$AB$5,0))</f>
        <v>0</v>
      </c>
      <c r="AA832" s="218">
        <f>INDEX('Prop. prices'!$I$8:$AB$82,MATCH($C832,'Prop. prices'!$C$8:$C$82,0),MATCH(AA$818,'Prop. prices'!$I$5:$AB$5,0))</f>
        <v>0</v>
      </c>
      <c r="AB832" s="218">
        <f>INDEX('Prop. prices'!$I$8:$AB$82,MATCH($C832,'Prop. prices'!$C$8:$C$82,0),MATCH(AB$818,'Prop. prices'!$I$5:$AB$5,0))</f>
        <v>0</v>
      </c>
      <c r="AC832" s="187"/>
      <c r="AD832" s="19"/>
      <c r="AE832" s="19"/>
      <c r="AF832" s="19"/>
      <c r="AG832" s="19"/>
    </row>
    <row r="833" spans="1:33" hidden="1" outlineLevel="3" x14ac:dyDescent="0.2">
      <c r="A833" s="19"/>
      <c r="B833" s="97"/>
      <c r="C833" s="506">
        <f t="shared" si="197"/>
        <v>0</v>
      </c>
      <c r="D833" s="505">
        <f t="shared" si="198"/>
        <v>0</v>
      </c>
      <c r="E833" s="58"/>
      <c r="F833" s="223"/>
      <c r="G833" s="58"/>
      <c r="H833" s="58"/>
      <c r="I833" s="218">
        <f>INDEX('Prop. prices'!$I$8:$AB$82,MATCH($C833,'Prop. prices'!$C$8:$C$82,0),MATCH(I$818,'Prop. prices'!$I$5:$AB$5,0))</f>
        <v>0</v>
      </c>
      <c r="J833" s="218">
        <f>INDEX('Prop. prices'!$I$8:$AB$82,MATCH($C833,'Prop. prices'!$C$8:$C$82,0),MATCH(J$818,'Prop. prices'!$I$5:$AB$5,0))</f>
        <v>0</v>
      </c>
      <c r="K833" s="218">
        <f>INDEX('Prop. prices'!$I$8:$AB$82,MATCH($C833,'Prop. prices'!$C$8:$C$82,0),MATCH(K$818,'Prop. prices'!$I$5:$AB$5,0))</f>
        <v>0</v>
      </c>
      <c r="L833" s="218">
        <f>INDEX('Prop. prices'!$I$8:$AB$82,MATCH($C833,'Prop. prices'!$C$8:$C$82,0),MATCH(L$818,'Prop. prices'!$I$5:$AB$5,0))</f>
        <v>0</v>
      </c>
      <c r="M833" s="218">
        <f>INDEX('Prop. prices'!$I$8:$AB$82,MATCH($C833,'Prop. prices'!$C$8:$C$82,0),MATCH(M$818,'Prop. prices'!$I$5:$AB$5,0))</f>
        <v>0</v>
      </c>
      <c r="N833" s="218">
        <f>INDEX('Prop. prices'!$I$8:$AB$82,MATCH($C833,'Prop. prices'!$C$8:$C$82,0),MATCH(N$818,'Prop. prices'!$I$5:$AB$5,0))</f>
        <v>0</v>
      </c>
      <c r="O833" s="218">
        <f>INDEX('Prop. prices'!$I$8:$AB$82,MATCH($C833,'Prop. prices'!$C$8:$C$82,0),MATCH(O$818,'Prop. prices'!$I$5:$AB$5,0))</f>
        <v>0</v>
      </c>
      <c r="P833" s="218">
        <f>INDEX('Prop. prices'!$I$8:$AB$82,MATCH($C833,'Prop. prices'!$C$8:$C$82,0),MATCH(P$818,'Prop. prices'!$I$5:$AB$5,0))</f>
        <v>0</v>
      </c>
      <c r="Q833" s="218">
        <f>INDEX('Prop. prices'!$I$8:$AB$82,MATCH($C833,'Prop. prices'!$C$8:$C$82,0),MATCH(Q$818,'Prop. prices'!$I$5:$AB$5,0))</f>
        <v>0</v>
      </c>
      <c r="R833" s="218">
        <f>INDEX('Prop. prices'!$I$8:$AB$82,MATCH($C833,'Prop. prices'!$C$8:$C$82,0),MATCH(R$818,'Prop. prices'!$I$5:$AB$5,0))</f>
        <v>0</v>
      </c>
      <c r="S833" s="218">
        <f>INDEX('Prop. prices'!$I$8:$AB$82,MATCH($C833,'Prop. prices'!$C$8:$C$82,0),MATCH(S$818,'Prop. prices'!$I$5:$AB$5,0))</f>
        <v>0</v>
      </c>
      <c r="T833" s="218">
        <f>INDEX('Prop. prices'!$I$8:$AB$82,MATCH($C833,'Prop. prices'!$C$8:$C$82,0),MATCH(T$818,'Prop. prices'!$I$5:$AB$5,0))</f>
        <v>0</v>
      </c>
      <c r="U833" s="218">
        <f>INDEX('Prop. prices'!$I$8:$AB$82,MATCH($C833,'Prop. prices'!$C$8:$C$82,0),MATCH(U$818,'Prop. prices'!$I$5:$AB$5,0))</f>
        <v>0</v>
      </c>
      <c r="V833" s="218">
        <f>INDEX('Prop. prices'!$I$8:$AB$82,MATCH($C833,'Prop. prices'!$C$8:$C$82,0),MATCH(V$818,'Prop. prices'!$I$5:$AB$5,0))</f>
        <v>0</v>
      </c>
      <c r="W833" s="218">
        <f>INDEX('Prop. prices'!$I$8:$AB$82,MATCH($C833,'Prop. prices'!$C$8:$C$82,0),MATCH(W$818,'Prop. prices'!$I$5:$AB$5,0))</f>
        <v>0</v>
      </c>
      <c r="X833" s="218">
        <f>INDEX('Prop. prices'!$I$8:$AB$82,MATCH($C833,'Prop. prices'!$C$8:$C$82,0),MATCH(X$818,'Prop. prices'!$I$5:$AB$5,0))</f>
        <v>0</v>
      </c>
      <c r="Y833" s="218">
        <f>INDEX('Prop. prices'!$I$8:$AB$82,MATCH($C833,'Prop. prices'!$C$8:$C$82,0),MATCH(Y$818,'Prop. prices'!$I$5:$AB$5,0))</f>
        <v>0</v>
      </c>
      <c r="Z833" s="218">
        <f>INDEX('Prop. prices'!$I$8:$AB$82,MATCH($C833,'Prop. prices'!$C$8:$C$82,0),MATCH(Z$818,'Prop. prices'!$I$5:$AB$5,0))</f>
        <v>0</v>
      </c>
      <c r="AA833" s="218">
        <f>INDEX('Prop. prices'!$I$8:$AB$82,MATCH($C833,'Prop. prices'!$C$8:$C$82,0),MATCH(AA$818,'Prop. prices'!$I$5:$AB$5,0))</f>
        <v>0</v>
      </c>
      <c r="AB833" s="218">
        <f>INDEX('Prop. prices'!$I$8:$AB$82,MATCH($C833,'Prop. prices'!$C$8:$C$82,0),MATCH(AB$818,'Prop. prices'!$I$5:$AB$5,0))</f>
        <v>0</v>
      </c>
      <c r="AC833" s="187"/>
      <c r="AD833" s="19"/>
      <c r="AE833" s="19"/>
      <c r="AF833" s="19"/>
      <c r="AG833" s="19"/>
    </row>
    <row r="834" spans="1:33" hidden="1" outlineLevel="3" x14ac:dyDescent="0.2">
      <c r="A834" s="19"/>
      <c r="B834" s="97"/>
      <c r="C834" s="506">
        <f t="shared" si="197"/>
        <v>0</v>
      </c>
      <c r="D834" s="505">
        <f t="shared" si="198"/>
        <v>0</v>
      </c>
      <c r="E834" s="58"/>
      <c r="F834" s="223"/>
      <c r="G834" s="58"/>
      <c r="H834" s="58"/>
      <c r="I834" s="218">
        <f>INDEX('Prop. prices'!$I$8:$AB$82,MATCH($C834,'Prop. prices'!$C$8:$C$82,0),MATCH(I$818,'Prop. prices'!$I$5:$AB$5,0))</f>
        <v>0</v>
      </c>
      <c r="J834" s="218">
        <f>INDEX('Prop. prices'!$I$8:$AB$82,MATCH($C834,'Prop. prices'!$C$8:$C$82,0),MATCH(J$818,'Prop. prices'!$I$5:$AB$5,0))</f>
        <v>0</v>
      </c>
      <c r="K834" s="218">
        <f>INDEX('Prop. prices'!$I$8:$AB$82,MATCH($C834,'Prop. prices'!$C$8:$C$82,0),MATCH(K$818,'Prop. prices'!$I$5:$AB$5,0))</f>
        <v>0</v>
      </c>
      <c r="L834" s="218">
        <f>INDEX('Prop. prices'!$I$8:$AB$82,MATCH($C834,'Prop. prices'!$C$8:$C$82,0),MATCH(L$818,'Prop. prices'!$I$5:$AB$5,0))</f>
        <v>0</v>
      </c>
      <c r="M834" s="218">
        <f>INDEX('Prop. prices'!$I$8:$AB$82,MATCH($C834,'Prop. prices'!$C$8:$C$82,0),MATCH(M$818,'Prop. prices'!$I$5:$AB$5,0))</f>
        <v>0</v>
      </c>
      <c r="N834" s="218">
        <f>INDEX('Prop. prices'!$I$8:$AB$82,MATCH($C834,'Prop. prices'!$C$8:$C$82,0),MATCH(N$818,'Prop. prices'!$I$5:$AB$5,0))</f>
        <v>0</v>
      </c>
      <c r="O834" s="218">
        <f>INDEX('Prop. prices'!$I$8:$AB$82,MATCH($C834,'Prop. prices'!$C$8:$C$82,0),MATCH(O$818,'Prop. prices'!$I$5:$AB$5,0))</f>
        <v>0</v>
      </c>
      <c r="P834" s="218">
        <f>INDEX('Prop. prices'!$I$8:$AB$82,MATCH($C834,'Prop. prices'!$C$8:$C$82,0),MATCH(P$818,'Prop. prices'!$I$5:$AB$5,0))</f>
        <v>0</v>
      </c>
      <c r="Q834" s="218">
        <f>INDEX('Prop. prices'!$I$8:$AB$82,MATCH($C834,'Prop. prices'!$C$8:$C$82,0),MATCH(Q$818,'Prop. prices'!$I$5:$AB$5,0))</f>
        <v>0</v>
      </c>
      <c r="R834" s="218">
        <f>INDEX('Prop. prices'!$I$8:$AB$82,MATCH($C834,'Prop. prices'!$C$8:$C$82,0),MATCH(R$818,'Prop. prices'!$I$5:$AB$5,0))</f>
        <v>0</v>
      </c>
      <c r="S834" s="218">
        <f>INDEX('Prop. prices'!$I$8:$AB$82,MATCH($C834,'Prop. prices'!$C$8:$C$82,0),MATCH(S$818,'Prop. prices'!$I$5:$AB$5,0))</f>
        <v>0</v>
      </c>
      <c r="T834" s="218">
        <f>INDEX('Prop. prices'!$I$8:$AB$82,MATCH($C834,'Prop. prices'!$C$8:$C$82,0),MATCH(T$818,'Prop. prices'!$I$5:$AB$5,0))</f>
        <v>0</v>
      </c>
      <c r="U834" s="218">
        <f>INDEX('Prop. prices'!$I$8:$AB$82,MATCH($C834,'Prop. prices'!$C$8:$C$82,0),MATCH(U$818,'Prop. prices'!$I$5:$AB$5,0))</f>
        <v>0</v>
      </c>
      <c r="V834" s="218">
        <f>INDEX('Prop. prices'!$I$8:$AB$82,MATCH($C834,'Prop. prices'!$C$8:$C$82,0),MATCH(V$818,'Prop. prices'!$I$5:$AB$5,0))</f>
        <v>0</v>
      </c>
      <c r="W834" s="218">
        <f>INDEX('Prop. prices'!$I$8:$AB$82,MATCH($C834,'Prop. prices'!$C$8:$C$82,0),MATCH(W$818,'Prop. prices'!$I$5:$AB$5,0))</f>
        <v>0</v>
      </c>
      <c r="X834" s="218">
        <f>INDEX('Prop. prices'!$I$8:$AB$82,MATCH($C834,'Prop. prices'!$C$8:$C$82,0),MATCH(X$818,'Prop. prices'!$I$5:$AB$5,0))</f>
        <v>0</v>
      </c>
      <c r="Y834" s="218">
        <f>INDEX('Prop. prices'!$I$8:$AB$82,MATCH($C834,'Prop. prices'!$C$8:$C$82,0),MATCH(Y$818,'Prop. prices'!$I$5:$AB$5,0))</f>
        <v>0</v>
      </c>
      <c r="Z834" s="218">
        <f>INDEX('Prop. prices'!$I$8:$AB$82,MATCH($C834,'Prop. prices'!$C$8:$C$82,0),MATCH(Z$818,'Prop. prices'!$I$5:$AB$5,0))</f>
        <v>0</v>
      </c>
      <c r="AA834" s="218">
        <f>INDEX('Prop. prices'!$I$8:$AB$82,MATCH($C834,'Prop. prices'!$C$8:$C$82,0),MATCH(AA$818,'Prop. prices'!$I$5:$AB$5,0))</f>
        <v>0</v>
      </c>
      <c r="AB834" s="218">
        <f>INDEX('Prop. prices'!$I$8:$AB$82,MATCH($C834,'Prop. prices'!$C$8:$C$82,0),MATCH(AB$818,'Prop. prices'!$I$5:$AB$5,0))</f>
        <v>0</v>
      </c>
      <c r="AC834" s="187"/>
      <c r="AD834" s="19"/>
      <c r="AE834" s="19"/>
      <c r="AF834" s="19"/>
      <c r="AG834" s="19"/>
    </row>
    <row r="835" spans="1:33" hidden="1" outlineLevel="3" x14ac:dyDescent="0.2">
      <c r="A835" s="19"/>
      <c r="B835" s="97"/>
      <c r="C835" s="506">
        <f t="shared" si="197"/>
        <v>0</v>
      </c>
      <c r="D835" s="505">
        <f t="shared" si="198"/>
        <v>0</v>
      </c>
      <c r="E835" s="58"/>
      <c r="F835" s="223"/>
      <c r="G835" s="58"/>
      <c r="H835" s="58"/>
      <c r="I835" s="218">
        <f>INDEX('Prop. prices'!$I$8:$AB$82,MATCH($C835,'Prop. prices'!$C$8:$C$82,0),MATCH(I$818,'Prop. prices'!$I$5:$AB$5,0))</f>
        <v>0</v>
      </c>
      <c r="J835" s="218">
        <f>INDEX('Prop. prices'!$I$8:$AB$82,MATCH($C835,'Prop. prices'!$C$8:$C$82,0),MATCH(J$818,'Prop. prices'!$I$5:$AB$5,0))</f>
        <v>0</v>
      </c>
      <c r="K835" s="218">
        <f>INDEX('Prop. prices'!$I$8:$AB$82,MATCH($C835,'Prop. prices'!$C$8:$C$82,0),MATCH(K$818,'Prop. prices'!$I$5:$AB$5,0))</f>
        <v>0</v>
      </c>
      <c r="L835" s="218">
        <f>INDEX('Prop. prices'!$I$8:$AB$82,MATCH($C835,'Prop. prices'!$C$8:$C$82,0),MATCH(L$818,'Prop. prices'!$I$5:$AB$5,0))</f>
        <v>0</v>
      </c>
      <c r="M835" s="218">
        <f>INDEX('Prop. prices'!$I$8:$AB$82,MATCH($C835,'Prop. prices'!$C$8:$C$82,0),MATCH(M$818,'Prop. prices'!$I$5:$AB$5,0))</f>
        <v>0</v>
      </c>
      <c r="N835" s="218">
        <f>INDEX('Prop. prices'!$I$8:$AB$82,MATCH($C835,'Prop. prices'!$C$8:$C$82,0),MATCH(N$818,'Prop. prices'!$I$5:$AB$5,0))</f>
        <v>0</v>
      </c>
      <c r="O835" s="218">
        <f>INDEX('Prop. prices'!$I$8:$AB$82,MATCH($C835,'Prop. prices'!$C$8:$C$82,0),MATCH(O$818,'Prop. prices'!$I$5:$AB$5,0))</f>
        <v>0</v>
      </c>
      <c r="P835" s="218">
        <f>INDEX('Prop. prices'!$I$8:$AB$82,MATCH($C835,'Prop. prices'!$C$8:$C$82,0),MATCH(P$818,'Prop. prices'!$I$5:$AB$5,0))</f>
        <v>0</v>
      </c>
      <c r="Q835" s="218">
        <f>INDEX('Prop. prices'!$I$8:$AB$82,MATCH($C835,'Prop. prices'!$C$8:$C$82,0),MATCH(Q$818,'Prop. prices'!$I$5:$AB$5,0))</f>
        <v>0</v>
      </c>
      <c r="R835" s="218">
        <f>INDEX('Prop. prices'!$I$8:$AB$82,MATCH($C835,'Prop. prices'!$C$8:$C$82,0),MATCH(R$818,'Prop. prices'!$I$5:$AB$5,0))</f>
        <v>0</v>
      </c>
      <c r="S835" s="218">
        <f>INDEX('Prop. prices'!$I$8:$AB$82,MATCH($C835,'Prop. prices'!$C$8:$C$82,0),MATCH(S$818,'Prop. prices'!$I$5:$AB$5,0))</f>
        <v>0</v>
      </c>
      <c r="T835" s="218">
        <f>INDEX('Prop. prices'!$I$8:$AB$82,MATCH($C835,'Prop. prices'!$C$8:$C$82,0),MATCH(T$818,'Prop. prices'!$I$5:$AB$5,0))</f>
        <v>0</v>
      </c>
      <c r="U835" s="218">
        <f>INDEX('Prop. prices'!$I$8:$AB$82,MATCH($C835,'Prop. prices'!$C$8:$C$82,0),MATCH(U$818,'Prop. prices'!$I$5:$AB$5,0))</f>
        <v>0</v>
      </c>
      <c r="V835" s="218">
        <f>INDEX('Prop. prices'!$I$8:$AB$82,MATCH($C835,'Prop. prices'!$C$8:$C$82,0),MATCH(V$818,'Prop. prices'!$I$5:$AB$5,0))</f>
        <v>0</v>
      </c>
      <c r="W835" s="218">
        <f>INDEX('Prop. prices'!$I$8:$AB$82,MATCH($C835,'Prop. prices'!$C$8:$C$82,0),MATCH(W$818,'Prop. prices'!$I$5:$AB$5,0))</f>
        <v>0</v>
      </c>
      <c r="X835" s="218">
        <f>INDEX('Prop. prices'!$I$8:$AB$82,MATCH($C835,'Prop. prices'!$C$8:$C$82,0),MATCH(X$818,'Prop. prices'!$I$5:$AB$5,0))</f>
        <v>0</v>
      </c>
      <c r="Y835" s="218">
        <f>INDEX('Prop. prices'!$I$8:$AB$82,MATCH($C835,'Prop. prices'!$C$8:$C$82,0),MATCH(Y$818,'Prop. prices'!$I$5:$AB$5,0))</f>
        <v>0</v>
      </c>
      <c r="Z835" s="218">
        <f>INDEX('Prop. prices'!$I$8:$AB$82,MATCH($C835,'Prop. prices'!$C$8:$C$82,0),MATCH(Z$818,'Prop. prices'!$I$5:$AB$5,0))</f>
        <v>0</v>
      </c>
      <c r="AA835" s="218">
        <f>INDEX('Prop. prices'!$I$8:$AB$82,MATCH($C835,'Prop. prices'!$C$8:$C$82,0),MATCH(AA$818,'Prop. prices'!$I$5:$AB$5,0))</f>
        <v>0</v>
      </c>
      <c r="AB835" s="218">
        <f>INDEX('Prop. prices'!$I$8:$AB$82,MATCH($C835,'Prop. prices'!$C$8:$C$82,0),MATCH(AB$818,'Prop. prices'!$I$5:$AB$5,0))</f>
        <v>0</v>
      </c>
      <c r="AC835" s="187"/>
      <c r="AD835" s="19"/>
      <c r="AE835" s="19"/>
      <c r="AF835" s="19"/>
      <c r="AG835" s="19"/>
    </row>
    <row r="836" spans="1:33" hidden="1" outlineLevel="3" x14ac:dyDescent="0.2">
      <c r="A836" s="19"/>
      <c r="B836" s="98"/>
      <c r="C836" s="506">
        <f t="shared" si="197"/>
        <v>0</v>
      </c>
      <c r="D836" s="505">
        <f t="shared" si="198"/>
        <v>0</v>
      </c>
      <c r="E836" s="58"/>
      <c r="F836" s="223"/>
      <c r="G836" s="58"/>
      <c r="H836" s="58"/>
      <c r="I836" s="218">
        <f>INDEX('Prop. prices'!$I$8:$AB$82,MATCH($C836,'Prop. prices'!$C$8:$C$82,0),MATCH(I$818,'Prop. prices'!$I$5:$AB$5,0))</f>
        <v>0</v>
      </c>
      <c r="J836" s="218">
        <f>INDEX('Prop. prices'!$I$8:$AB$82,MATCH($C836,'Prop. prices'!$C$8:$C$82,0),MATCH(J$818,'Prop. prices'!$I$5:$AB$5,0))</f>
        <v>0</v>
      </c>
      <c r="K836" s="218">
        <f>INDEX('Prop. prices'!$I$8:$AB$82,MATCH($C836,'Prop. prices'!$C$8:$C$82,0),MATCH(K$818,'Prop. prices'!$I$5:$AB$5,0))</f>
        <v>0</v>
      </c>
      <c r="L836" s="218">
        <f>INDEX('Prop. prices'!$I$8:$AB$82,MATCH($C836,'Prop. prices'!$C$8:$C$82,0),MATCH(L$818,'Prop. prices'!$I$5:$AB$5,0))</f>
        <v>0</v>
      </c>
      <c r="M836" s="218">
        <f>INDEX('Prop. prices'!$I$8:$AB$82,MATCH($C836,'Prop. prices'!$C$8:$C$82,0),MATCH(M$818,'Prop. prices'!$I$5:$AB$5,0))</f>
        <v>0</v>
      </c>
      <c r="N836" s="218">
        <f>INDEX('Prop. prices'!$I$8:$AB$82,MATCH($C836,'Prop. prices'!$C$8:$C$82,0),MATCH(N$818,'Prop. prices'!$I$5:$AB$5,0))</f>
        <v>0</v>
      </c>
      <c r="O836" s="218">
        <f>INDEX('Prop. prices'!$I$8:$AB$82,MATCH($C836,'Prop. prices'!$C$8:$C$82,0),MATCH(O$818,'Prop. prices'!$I$5:$AB$5,0))</f>
        <v>0</v>
      </c>
      <c r="P836" s="218">
        <f>INDEX('Prop. prices'!$I$8:$AB$82,MATCH($C836,'Prop. prices'!$C$8:$C$82,0),MATCH(P$818,'Prop. prices'!$I$5:$AB$5,0))</f>
        <v>0</v>
      </c>
      <c r="Q836" s="218">
        <f>INDEX('Prop. prices'!$I$8:$AB$82,MATCH($C836,'Prop. prices'!$C$8:$C$82,0),MATCH(Q$818,'Prop. prices'!$I$5:$AB$5,0))</f>
        <v>0</v>
      </c>
      <c r="R836" s="218">
        <f>INDEX('Prop. prices'!$I$8:$AB$82,MATCH($C836,'Prop. prices'!$C$8:$C$82,0),MATCH(R$818,'Prop. prices'!$I$5:$AB$5,0))</f>
        <v>0</v>
      </c>
      <c r="S836" s="218">
        <f>INDEX('Prop. prices'!$I$8:$AB$82,MATCH($C836,'Prop. prices'!$C$8:$C$82,0),MATCH(S$818,'Prop. prices'!$I$5:$AB$5,0))</f>
        <v>0</v>
      </c>
      <c r="T836" s="218">
        <f>INDEX('Prop. prices'!$I$8:$AB$82,MATCH($C836,'Prop. prices'!$C$8:$C$82,0),MATCH(T$818,'Prop. prices'!$I$5:$AB$5,0))</f>
        <v>0</v>
      </c>
      <c r="U836" s="218">
        <f>INDEX('Prop. prices'!$I$8:$AB$82,MATCH($C836,'Prop. prices'!$C$8:$C$82,0),MATCH(U$818,'Prop. prices'!$I$5:$AB$5,0))</f>
        <v>0</v>
      </c>
      <c r="V836" s="218">
        <f>INDEX('Prop. prices'!$I$8:$AB$82,MATCH($C836,'Prop. prices'!$C$8:$C$82,0),MATCH(V$818,'Prop. prices'!$I$5:$AB$5,0))</f>
        <v>0</v>
      </c>
      <c r="W836" s="218">
        <f>INDEX('Prop. prices'!$I$8:$AB$82,MATCH($C836,'Prop. prices'!$C$8:$C$82,0),MATCH(W$818,'Prop. prices'!$I$5:$AB$5,0))</f>
        <v>0</v>
      </c>
      <c r="X836" s="218">
        <f>INDEX('Prop. prices'!$I$8:$AB$82,MATCH($C836,'Prop. prices'!$C$8:$C$82,0),MATCH(X$818,'Prop. prices'!$I$5:$AB$5,0))</f>
        <v>0</v>
      </c>
      <c r="Y836" s="218">
        <f>INDEX('Prop. prices'!$I$8:$AB$82,MATCH($C836,'Prop. prices'!$C$8:$C$82,0),MATCH(Y$818,'Prop. prices'!$I$5:$AB$5,0))</f>
        <v>0</v>
      </c>
      <c r="Z836" s="218">
        <f>INDEX('Prop. prices'!$I$8:$AB$82,MATCH($C836,'Prop. prices'!$C$8:$C$82,0),MATCH(Z$818,'Prop. prices'!$I$5:$AB$5,0))</f>
        <v>0</v>
      </c>
      <c r="AA836" s="218">
        <f>INDEX('Prop. prices'!$I$8:$AB$82,MATCH($C836,'Prop. prices'!$C$8:$C$82,0),MATCH(AA$818,'Prop. prices'!$I$5:$AB$5,0))</f>
        <v>0</v>
      </c>
      <c r="AB836" s="218">
        <f>INDEX('Prop. prices'!$I$8:$AB$82,MATCH($C836,'Prop. prices'!$C$8:$C$82,0),MATCH(AB$818,'Prop. prices'!$I$5:$AB$5,0))</f>
        <v>0</v>
      </c>
      <c r="AC836" s="187"/>
      <c r="AD836" s="19"/>
      <c r="AE836" s="19"/>
      <c r="AF836" s="19"/>
      <c r="AG836" s="19"/>
    </row>
    <row r="837" spans="1:33" hidden="1" outlineLevel="3" x14ac:dyDescent="0.2">
      <c r="A837" s="19"/>
      <c r="B837" s="97"/>
      <c r="C837" s="506">
        <f t="shared" si="197"/>
        <v>0</v>
      </c>
      <c r="D837" s="505">
        <f t="shared" si="198"/>
        <v>0</v>
      </c>
      <c r="E837" s="58"/>
      <c r="F837" s="223"/>
      <c r="G837" s="58"/>
      <c r="H837" s="58"/>
      <c r="I837" s="218">
        <f>INDEX('Prop. prices'!$I$8:$AB$82,MATCH($C837,'Prop. prices'!$C$8:$C$82,0),MATCH(I$818,'Prop. prices'!$I$5:$AB$5,0))</f>
        <v>0</v>
      </c>
      <c r="J837" s="218">
        <f>INDEX('Prop. prices'!$I$8:$AB$82,MATCH($C837,'Prop. prices'!$C$8:$C$82,0),MATCH(J$818,'Prop. prices'!$I$5:$AB$5,0))</f>
        <v>0</v>
      </c>
      <c r="K837" s="218">
        <f>INDEX('Prop. prices'!$I$8:$AB$82,MATCH($C837,'Prop. prices'!$C$8:$C$82,0),MATCH(K$818,'Prop. prices'!$I$5:$AB$5,0))</f>
        <v>0</v>
      </c>
      <c r="L837" s="218">
        <f>INDEX('Prop. prices'!$I$8:$AB$82,MATCH($C837,'Prop. prices'!$C$8:$C$82,0),MATCH(L$818,'Prop. prices'!$I$5:$AB$5,0))</f>
        <v>0</v>
      </c>
      <c r="M837" s="218">
        <f>INDEX('Prop. prices'!$I$8:$AB$82,MATCH($C837,'Prop. prices'!$C$8:$C$82,0),MATCH(M$818,'Prop. prices'!$I$5:$AB$5,0))</f>
        <v>0</v>
      </c>
      <c r="N837" s="218">
        <f>INDEX('Prop. prices'!$I$8:$AB$82,MATCH($C837,'Prop. prices'!$C$8:$C$82,0),MATCH(N$818,'Prop. prices'!$I$5:$AB$5,0))</f>
        <v>0</v>
      </c>
      <c r="O837" s="218">
        <f>INDEX('Prop. prices'!$I$8:$AB$82,MATCH($C837,'Prop. prices'!$C$8:$C$82,0),MATCH(O$818,'Prop. prices'!$I$5:$AB$5,0))</f>
        <v>0</v>
      </c>
      <c r="P837" s="218">
        <f>INDEX('Prop. prices'!$I$8:$AB$82,MATCH($C837,'Prop. prices'!$C$8:$C$82,0),MATCH(P$818,'Prop. prices'!$I$5:$AB$5,0))</f>
        <v>0</v>
      </c>
      <c r="Q837" s="218">
        <f>INDEX('Prop. prices'!$I$8:$AB$82,MATCH($C837,'Prop. prices'!$C$8:$C$82,0),MATCH(Q$818,'Prop. prices'!$I$5:$AB$5,0))</f>
        <v>0</v>
      </c>
      <c r="R837" s="218">
        <f>INDEX('Prop. prices'!$I$8:$AB$82,MATCH($C837,'Prop. prices'!$C$8:$C$82,0),MATCH(R$818,'Prop. prices'!$I$5:$AB$5,0))</f>
        <v>0</v>
      </c>
      <c r="S837" s="218">
        <f>INDEX('Prop. prices'!$I$8:$AB$82,MATCH($C837,'Prop. prices'!$C$8:$C$82,0),MATCH(S$818,'Prop. prices'!$I$5:$AB$5,0))</f>
        <v>0</v>
      </c>
      <c r="T837" s="218">
        <f>INDEX('Prop. prices'!$I$8:$AB$82,MATCH($C837,'Prop. prices'!$C$8:$C$82,0),MATCH(T$818,'Prop. prices'!$I$5:$AB$5,0))</f>
        <v>0</v>
      </c>
      <c r="U837" s="218">
        <f>INDEX('Prop. prices'!$I$8:$AB$82,MATCH($C837,'Prop. prices'!$C$8:$C$82,0),MATCH(U$818,'Prop. prices'!$I$5:$AB$5,0))</f>
        <v>0</v>
      </c>
      <c r="V837" s="218">
        <f>INDEX('Prop. prices'!$I$8:$AB$82,MATCH($C837,'Prop. prices'!$C$8:$C$82,0),MATCH(V$818,'Prop. prices'!$I$5:$AB$5,0))</f>
        <v>0</v>
      </c>
      <c r="W837" s="218">
        <f>INDEX('Prop. prices'!$I$8:$AB$82,MATCH($C837,'Prop. prices'!$C$8:$C$82,0),MATCH(W$818,'Prop. prices'!$I$5:$AB$5,0))</f>
        <v>0</v>
      </c>
      <c r="X837" s="218">
        <f>INDEX('Prop. prices'!$I$8:$AB$82,MATCH($C837,'Prop. prices'!$C$8:$C$82,0),MATCH(X$818,'Prop. prices'!$I$5:$AB$5,0))</f>
        <v>0</v>
      </c>
      <c r="Y837" s="218">
        <f>INDEX('Prop. prices'!$I$8:$AB$82,MATCH($C837,'Prop. prices'!$C$8:$C$82,0),MATCH(Y$818,'Prop. prices'!$I$5:$AB$5,0))</f>
        <v>0</v>
      </c>
      <c r="Z837" s="218">
        <f>INDEX('Prop. prices'!$I$8:$AB$82,MATCH($C837,'Prop. prices'!$C$8:$C$82,0),MATCH(Z$818,'Prop. prices'!$I$5:$AB$5,0))</f>
        <v>0</v>
      </c>
      <c r="AA837" s="218">
        <f>INDEX('Prop. prices'!$I$8:$AB$82,MATCH($C837,'Prop. prices'!$C$8:$C$82,0),MATCH(AA$818,'Prop. prices'!$I$5:$AB$5,0))</f>
        <v>0</v>
      </c>
      <c r="AB837" s="218">
        <f>INDEX('Prop. prices'!$I$8:$AB$82,MATCH($C837,'Prop. prices'!$C$8:$C$82,0),MATCH(AB$818,'Prop. prices'!$I$5:$AB$5,0))</f>
        <v>0</v>
      </c>
      <c r="AC837" s="187"/>
      <c r="AD837" s="19"/>
      <c r="AE837" s="19"/>
      <c r="AF837" s="19"/>
      <c r="AG837" s="19"/>
    </row>
    <row r="838" spans="1:33" hidden="1" outlineLevel="3" x14ac:dyDescent="0.2">
      <c r="A838" s="19"/>
      <c r="B838" s="97"/>
      <c r="C838" s="506">
        <f t="shared" si="197"/>
        <v>0</v>
      </c>
      <c r="D838" s="505">
        <f t="shared" si="198"/>
        <v>0</v>
      </c>
      <c r="E838" s="58"/>
      <c r="F838" s="223"/>
      <c r="G838" s="58"/>
      <c r="H838" s="58"/>
      <c r="I838" s="218">
        <f>INDEX('Prop. prices'!$I$8:$AB$82,MATCH($C838,'Prop. prices'!$C$8:$C$82,0),MATCH(I$818,'Prop. prices'!$I$5:$AB$5,0))</f>
        <v>0</v>
      </c>
      <c r="J838" s="218">
        <f>INDEX('Prop. prices'!$I$8:$AB$82,MATCH($C838,'Prop. prices'!$C$8:$C$82,0),MATCH(J$818,'Prop. prices'!$I$5:$AB$5,0))</f>
        <v>0</v>
      </c>
      <c r="K838" s="218">
        <f>INDEX('Prop. prices'!$I$8:$AB$82,MATCH($C838,'Prop. prices'!$C$8:$C$82,0),MATCH(K$818,'Prop. prices'!$I$5:$AB$5,0))</f>
        <v>0</v>
      </c>
      <c r="L838" s="218">
        <f>INDEX('Prop. prices'!$I$8:$AB$82,MATCH($C838,'Prop. prices'!$C$8:$C$82,0),MATCH(L$818,'Prop. prices'!$I$5:$AB$5,0))</f>
        <v>0</v>
      </c>
      <c r="M838" s="218">
        <f>INDEX('Prop. prices'!$I$8:$AB$82,MATCH($C838,'Prop. prices'!$C$8:$C$82,0),MATCH(M$818,'Prop. prices'!$I$5:$AB$5,0))</f>
        <v>0</v>
      </c>
      <c r="N838" s="218">
        <f>INDEX('Prop. prices'!$I$8:$AB$82,MATCH($C838,'Prop. prices'!$C$8:$C$82,0),MATCH(N$818,'Prop. prices'!$I$5:$AB$5,0))</f>
        <v>0</v>
      </c>
      <c r="O838" s="218">
        <f>INDEX('Prop. prices'!$I$8:$AB$82,MATCH($C838,'Prop. prices'!$C$8:$C$82,0),MATCH(O$818,'Prop. prices'!$I$5:$AB$5,0))</f>
        <v>0</v>
      </c>
      <c r="P838" s="218">
        <f>INDEX('Prop. prices'!$I$8:$AB$82,MATCH($C838,'Prop. prices'!$C$8:$C$82,0),MATCH(P$818,'Prop. prices'!$I$5:$AB$5,0))</f>
        <v>0</v>
      </c>
      <c r="Q838" s="218">
        <f>INDEX('Prop. prices'!$I$8:$AB$82,MATCH($C838,'Prop. prices'!$C$8:$C$82,0),MATCH(Q$818,'Prop. prices'!$I$5:$AB$5,0))</f>
        <v>0</v>
      </c>
      <c r="R838" s="218">
        <f>INDEX('Prop. prices'!$I$8:$AB$82,MATCH($C838,'Prop. prices'!$C$8:$C$82,0),MATCH(R$818,'Prop. prices'!$I$5:$AB$5,0))</f>
        <v>0</v>
      </c>
      <c r="S838" s="218">
        <f>INDEX('Prop. prices'!$I$8:$AB$82,MATCH($C838,'Prop. prices'!$C$8:$C$82,0),MATCH(S$818,'Prop. prices'!$I$5:$AB$5,0))</f>
        <v>0</v>
      </c>
      <c r="T838" s="218">
        <f>INDEX('Prop. prices'!$I$8:$AB$82,MATCH($C838,'Prop. prices'!$C$8:$C$82,0),MATCH(T$818,'Prop. prices'!$I$5:$AB$5,0))</f>
        <v>0</v>
      </c>
      <c r="U838" s="218">
        <f>INDEX('Prop. prices'!$I$8:$AB$82,MATCH($C838,'Prop. prices'!$C$8:$C$82,0),MATCH(U$818,'Prop. prices'!$I$5:$AB$5,0))</f>
        <v>0</v>
      </c>
      <c r="V838" s="218">
        <f>INDEX('Prop. prices'!$I$8:$AB$82,MATCH($C838,'Prop. prices'!$C$8:$C$82,0),MATCH(V$818,'Prop. prices'!$I$5:$AB$5,0))</f>
        <v>0</v>
      </c>
      <c r="W838" s="218">
        <f>INDEX('Prop. prices'!$I$8:$AB$82,MATCH($C838,'Prop. prices'!$C$8:$C$82,0),MATCH(W$818,'Prop. prices'!$I$5:$AB$5,0))</f>
        <v>0</v>
      </c>
      <c r="X838" s="218">
        <f>INDEX('Prop. prices'!$I$8:$AB$82,MATCH($C838,'Prop. prices'!$C$8:$C$82,0),MATCH(X$818,'Prop. prices'!$I$5:$AB$5,0))</f>
        <v>0</v>
      </c>
      <c r="Y838" s="218">
        <f>INDEX('Prop. prices'!$I$8:$AB$82,MATCH($C838,'Prop. prices'!$C$8:$C$82,0),MATCH(Y$818,'Prop. prices'!$I$5:$AB$5,0))</f>
        <v>0</v>
      </c>
      <c r="Z838" s="218">
        <f>INDEX('Prop. prices'!$I$8:$AB$82,MATCH($C838,'Prop. prices'!$C$8:$C$82,0),MATCH(Z$818,'Prop. prices'!$I$5:$AB$5,0))</f>
        <v>0</v>
      </c>
      <c r="AA838" s="218">
        <f>INDEX('Prop. prices'!$I$8:$AB$82,MATCH($C838,'Prop. prices'!$C$8:$C$82,0),MATCH(AA$818,'Prop. prices'!$I$5:$AB$5,0))</f>
        <v>0</v>
      </c>
      <c r="AB838" s="218">
        <f>INDEX('Prop. prices'!$I$8:$AB$82,MATCH($C838,'Prop. prices'!$C$8:$C$82,0),MATCH(AB$818,'Prop. prices'!$I$5:$AB$5,0))</f>
        <v>0</v>
      </c>
      <c r="AC838" s="187"/>
      <c r="AD838" s="19"/>
      <c r="AE838" s="19"/>
      <c r="AF838" s="19"/>
      <c r="AG838" s="19"/>
    </row>
    <row r="839" spans="1:33" hidden="1" outlineLevel="3" x14ac:dyDescent="0.2">
      <c r="A839" s="19"/>
      <c r="B839" s="97"/>
      <c r="C839" s="506">
        <f t="shared" si="197"/>
        <v>0</v>
      </c>
      <c r="D839" s="505">
        <f t="shared" si="198"/>
        <v>0</v>
      </c>
      <c r="E839" s="58"/>
      <c r="F839" s="223"/>
      <c r="G839" s="58"/>
      <c r="H839" s="58"/>
      <c r="I839" s="218">
        <f>INDEX('Prop. prices'!$I$8:$AB$82,MATCH($C839,'Prop. prices'!$C$8:$C$82,0),MATCH(I$818,'Prop. prices'!$I$5:$AB$5,0))</f>
        <v>0</v>
      </c>
      <c r="J839" s="218">
        <f>INDEX('Prop. prices'!$I$8:$AB$82,MATCH($C839,'Prop. prices'!$C$8:$C$82,0),MATCH(J$818,'Prop. prices'!$I$5:$AB$5,0))</f>
        <v>0</v>
      </c>
      <c r="K839" s="218">
        <f>INDEX('Prop. prices'!$I$8:$AB$82,MATCH($C839,'Prop. prices'!$C$8:$C$82,0),MATCH(K$818,'Prop. prices'!$I$5:$AB$5,0))</f>
        <v>0</v>
      </c>
      <c r="L839" s="218">
        <f>INDEX('Prop. prices'!$I$8:$AB$82,MATCH($C839,'Prop. prices'!$C$8:$C$82,0),MATCH(L$818,'Prop. prices'!$I$5:$AB$5,0))</f>
        <v>0</v>
      </c>
      <c r="M839" s="218">
        <f>INDEX('Prop. prices'!$I$8:$AB$82,MATCH($C839,'Prop. prices'!$C$8:$C$82,0),MATCH(M$818,'Prop. prices'!$I$5:$AB$5,0))</f>
        <v>0</v>
      </c>
      <c r="N839" s="218">
        <f>INDEX('Prop. prices'!$I$8:$AB$82,MATCH($C839,'Prop. prices'!$C$8:$C$82,0),MATCH(N$818,'Prop. prices'!$I$5:$AB$5,0))</f>
        <v>0</v>
      </c>
      <c r="O839" s="218">
        <f>INDEX('Prop. prices'!$I$8:$AB$82,MATCH($C839,'Prop. prices'!$C$8:$C$82,0),MATCH(O$818,'Prop. prices'!$I$5:$AB$5,0))</f>
        <v>0</v>
      </c>
      <c r="P839" s="218">
        <f>INDEX('Prop. prices'!$I$8:$AB$82,MATCH($C839,'Prop. prices'!$C$8:$C$82,0),MATCH(P$818,'Prop. prices'!$I$5:$AB$5,0))</f>
        <v>0</v>
      </c>
      <c r="Q839" s="218">
        <f>INDEX('Prop. prices'!$I$8:$AB$82,MATCH($C839,'Prop. prices'!$C$8:$C$82,0),MATCH(Q$818,'Prop. prices'!$I$5:$AB$5,0))</f>
        <v>0</v>
      </c>
      <c r="R839" s="218">
        <f>INDEX('Prop. prices'!$I$8:$AB$82,MATCH($C839,'Prop. prices'!$C$8:$C$82,0),MATCH(R$818,'Prop. prices'!$I$5:$AB$5,0))</f>
        <v>0</v>
      </c>
      <c r="S839" s="218">
        <f>INDEX('Prop. prices'!$I$8:$AB$82,MATCH($C839,'Prop. prices'!$C$8:$C$82,0),MATCH(S$818,'Prop. prices'!$I$5:$AB$5,0))</f>
        <v>0</v>
      </c>
      <c r="T839" s="218">
        <f>INDEX('Prop. prices'!$I$8:$AB$82,MATCH($C839,'Prop. prices'!$C$8:$C$82,0),MATCH(T$818,'Prop. prices'!$I$5:$AB$5,0))</f>
        <v>0</v>
      </c>
      <c r="U839" s="218">
        <f>INDEX('Prop. prices'!$I$8:$AB$82,MATCH($C839,'Prop. prices'!$C$8:$C$82,0),MATCH(U$818,'Prop. prices'!$I$5:$AB$5,0))</f>
        <v>0</v>
      </c>
      <c r="V839" s="218">
        <f>INDEX('Prop. prices'!$I$8:$AB$82,MATCH($C839,'Prop. prices'!$C$8:$C$82,0),MATCH(V$818,'Prop. prices'!$I$5:$AB$5,0))</f>
        <v>0</v>
      </c>
      <c r="W839" s="218">
        <f>INDEX('Prop. prices'!$I$8:$AB$82,MATCH($C839,'Prop. prices'!$C$8:$C$82,0),MATCH(W$818,'Prop. prices'!$I$5:$AB$5,0))</f>
        <v>0</v>
      </c>
      <c r="X839" s="218">
        <f>INDEX('Prop. prices'!$I$8:$AB$82,MATCH($C839,'Prop. prices'!$C$8:$C$82,0),MATCH(X$818,'Prop. prices'!$I$5:$AB$5,0))</f>
        <v>0</v>
      </c>
      <c r="Y839" s="218">
        <f>INDEX('Prop. prices'!$I$8:$AB$82,MATCH($C839,'Prop. prices'!$C$8:$C$82,0),MATCH(Y$818,'Prop. prices'!$I$5:$AB$5,0))</f>
        <v>0</v>
      </c>
      <c r="Z839" s="218">
        <f>INDEX('Prop. prices'!$I$8:$AB$82,MATCH($C839,'Prop. prices'!$C$8:$C$82,0),MATCH(Z$818,'Prop. prices'!$I$5:$AB$5,0))</f>
        <v>0</v>
      </c>
      <c r="AA839" s="218">
        <f>INDEX('Prop. prices'!$I$8:$AB$82,MATCH($C839,'Prop. prices'!$C$8:$C$82,0),MATCH(AA$818,'Prop. prices'!$I$5:$AB$5,0))</f>
        <v>0</v>
      </c>
      <c r="AB839" s="218">
        <f>INDEX('Prop. prices'!$I$8:$AB$82,MATCH($C839,'Prop. prices'!$C$8:$C$82,0),MATCH(AB$818,'Prop. prices'!$I$5:$AB$5,0))</f>
        <v>0</v>
      </c>
      <c r="AC839" s="187"/>
      <c r="AD839" s="19"/>
      <c r="AE839" s="19"/>
      <c r="AF839" s="19"/>
      <c r="AG839" s="19"/>
    </row>
    <row r="840" spans="1:33" hidden="1" outlineLevel="3" x14ac:dyDescent="0.2">
      <c r="A840" s="19"/>
      <c r="B840" s="97"/>
      <c r="C840" s="506">
        <f t="shared" si="197"/>
        <v>0</v>
      </c>
      <c r="D840" s="505">
        <f t="shared" si="198"/>
        <v>0</v>
      </c>
      <c r="E840" s="58"/>
      <c r="F840" s="223"/>
      <c r="G840" s="58"/>
      <c r="H840" s="58"/>
      <c r="I840" s="218">
        <f>INDEX('Prop. prices'!$I$8:$AB$82,MATCH($C840,'Prop. prices'!$C$8:$C$82,0),MATCH(I$818,'Prop. prices'!$I$5:$AB$5,0))</f>
        <v>0</v>
      </c>
      <c r="J840" s="218">
        <f>INDEX('Prop. prices'!$I$8:$AB$82,MATCH($C840,'Prop. prices'!$C$8:$C$82,0),MATCH(J$818,'Prop. prices'!$I$5:$AB$5,0))</f>
        <v>0</v>
      </c>
      <c r="K840" s="218">
        <f>INDEX('Prop. prices'!$I$8:$AB$82,MATCH($C840,'Prop. prices'!$C$8:$C$82,0),MATCH(K$818,'Prop. prices'!$I$5:$AB$5,0))</f>
        <v>0</v>
      </c>
      <c r="L840" s="218">
        <f>INDEX('Prop. prices'!$I$8:$AB$82,MATCH($C840,'Prop. prices'!$C$8:$C$82,0),MATCH(L$818,'Prop. prices'!$I$5:$AB$5,0))</f>
        <v>0</v>
      </c>
      <c r="M840" s="218">
        <f>INDEX('Prop. prices'!$I$8:$AB$82,MATCH($C840,'Prop. prices'!$C$8:$C$82,0),MATCH(M$818,'Prop. prices'!$I$5:$AB$5,0))</f>
        <v>0</v>
      </c>
      <c r="N840" s="218">
        <f>INDEX('Prop. prices'!$I$8:$AB$82,MATCH($C840,'Prop. prices'!$C$8:$C$82,0),MATCH(N$818,'Prop. prices'!$I$5:$AB$5,0))</f>
        <v>0</v>
      </c>
      <c r="O840" s="218">
        <f>INDEX('Prop. prices'!$I$8:$AB$82,MATCH($C840,'Prop. prices'!$C$8:$C$82,0),MATCH(O$818,'Prop. prices'!$I$5:$AB$5,0))</f>
        <v>0</v>
      </c>
      <c r="P840" s="218">
        <f>INDEX('Prop. prices'!$I$8:$AB$82,MATCH($C840,'Prop. prices'!$C$8:$C$82,0),MATCH(P$818,'Prop. prices'!$I$5:$AB$5,0))</f>
        <v>0</v>
      </c>
      <c r="Q840" s="218">
        <f>INDEX('Prop. prices'!$I$8:$AB$82,MATCH($C840,'Prop. prices'!$C$8:$C$82,0),MATCH(Q$818,'Prop. prices'!$I$5:$AB$5,0))</f>
        <v>0</v>
      </c>
      <c r="R840" s="218">
        <f>INDEX('Prop. prices'!$I$8:$AB$82,MATCH($C840,'Prop. prices'!$C$8:$C$82,0),MATCH(R$818,'Prop. prices'!$I$5:$AB$5,0))</f>
        <v>0</v>
      </c>
      <c r="S840" s="218">
        <f>INDEX('Prop. prices'!$I$8:$AB$82,MATCH($C840,'Prop. prices'!$C$8:$C$82,0),MATCH(S$818,'Prop. prices'!$I$5:$AB$5,0))</f>
        <v>0</v>
      </c>
      <c r="T840" s="218">
        <f>INDEX('Prop. prices'!$I$8:$AB$82,MATCH($C840,'Prop. prices'!$C$8:$C$82,0),MATCH(T$818,'Prop. prices'!$I$5:$AB$5,0))</f>
        <v>0</v>
      </c>
      <c r="U840" s="218">
        <f>INDEX('Prop. prices'!$I$8:$AB$82,MATCH($C840,'Prop. prices'!$C$8:$C$82,0),MATCH(U$818,'Prop. prices'!$I$5:$AB$5,0))</f>
        <v>0</v>
      </c>
      <c r="V840" s="218">
        <f>INDEX('Prop. prices'!$I$8:$AB$82,MATCH($C840,'Prop. prices'!$C$8:$C$82,0),MATCH(V$818,'Prop. prices'!$I$5:$AB$5,0))</f>
        <v>0</v>
      </c>
      <c r="W840" s="218">
        <f>INDEX('Prop. prices'!$I$8:$AB$82,MATCH($C840,'Prop. prices'!$C$8:$C$82,0),MATCH(W$818,'Prop. prices'!$I$5:$AB$5,0))</f>
        <v>0</v>
      </c>
      <c r="X840" s="218">
        <f>INDEX('Prop. prices'!$I$8:$AB$82,MATCH($C840,'Prop. prices'!$C$8:$C$82,0),MATCH(X$818,'Prop. prices'!$I$5:$AB$5,0))</f>
        <v>0</v>
      </c>
      <c r="Y840" s="218">
        <f>INDEX('Prop. prices'!$I$8:$AB$82,MATCH($C840,'Prop. prices'!$C$8:$C$82,0),MATCH(Y$818,'Prop. prices'!$I$5:$AB$5,0))</f>
        <v>0</v>
      </c>
      <c r="Z840" s="218">
        <f>INDEX('Prop. prices'!$I$8:$AB$82,MATCH($C840,'Prop. prices'!$C$8:$C$82,0),MATCH(Z$818,'Prop. prices'!$I$5:$AB$5,0))</f>
        <v>0</v>
      </c>
      <c r="AA840" s="218">
        <f>INDEX('Prop. prices'!$I$8:$AB$82,MATCH($C840,'Prop. prices'!$C$8:$C$82,0),MATCH(AA$818,'Prop. prices'!$I$5:$AB$5,0))</f>
        <v>0</v>
      </c>
      <c r="AB840" s="218">
        <f>INDEX('Prop. prices'!$I$8:$AB$82,MATCH($C840,'Prop. prices'!$C$8:$C$82,0),MATCH(AB$818,'Prop. prices'!$I$5:$AB$5,0))</f>
        <v>0</v>
      </c>
      <c r="AC840" s="187"/>
      <c r="AD840" s="19"/>
      <c r="AE840" s="19"/>
      <c r="AF840" s="19"/>
      <c r="AG840" s="19"/>
    </row>
    <row r="841" spans="1:33" hidden="1" outlineLevel="3" x14ac:dyDescent="0.2">
      <c r="A841" s="19"/>
      <c r="B841" s="97"/>
      <c r="C841" s="506">
        <f t="shared" si="197"/>
        <v>0</v>
      </c>
      <c r="D841" s="505">
        <f t="shared" si="198"/>
        <v>0</v>
      </c>
      <c r="E841" s="58"/>
      <c r="F841" s="223"/>
      <c r="G841" s="58"/>
      <c r="H841" s="58"/>
      <c r="I841" s="218">
        <f>INDEX('Prop. prices'!$I$8:$AB$82,MATCH($C841,'Prop. prices'!$C$8:$C$82,0),MATCH(I$818,'Prop. prices'!$I$5:$AB$5,0))</f>
        <v>0</v>
      </c>
      <c r="J841" s="218">
        <f>INDEX('Prop. prices'!$I$8:$AB$82,MATCH($C841,'Prop. prices'!$C$8:$C$82,0),MATCH(J$818,'Prop. prices'!$I$5:$AB$5,0))</f>
        <v>0</v>
      </c>
      <c r="K841" s="218">
        <f>INDEX('Prop. prices'!$I$8:$AB$82,MATCH($C841,'Prop. prices'!$C$8:$C$82,0),MATCH(K$818,'Prop. prices'!$I$5:$AB$5,0))</f>
        <v>0</v>
      </c>
      <c r="L841" s="218">
        <f>INDEX('Prop. prices'!$I$8:$AB$82,MATCH($C841,'Prop. prices'!$C$8:$C$82,0),MATCH(L$818,'Prop. prices'!$I$5:$AB$5,0))</f>
        <v>0</v>
      </c>
      <c r="M841" s="218">
        <f>INDEX('Prop. prices'!$I$8:$AB$82,MATCH($C841,'Prop. prices'!$C$8:$C$82,0),MATCH(M$818,'Prop. prices'!$I$5:$AB$5,0))</f>
        <v>0</v>
      </c>
      <c r="N841" s="218">
        <f>INDEX('Prop. prices'!$I$8:$AB$82,MATCH($C841,'Prop. prices'!$C$8:$C$82,0),MATCH(N$818,'Prop. prices'!$I$5:$AB$5,0))</f>
        <v>0</v>
      </c>
      <c r="O841" s="218">
        <f>INDEX('Prop. prices'!$I$8:$AB$82,MATCH($C841,'Prop. prices'!$C$8:$C$82,0),MATCH(O$818,'Prop. prices'!$I$5:$AB$5,0))</f>
        <v>0</v>
      </c>
      <c r="P841" s="218">
        <f>INDEX('Prop. prices'!$I$8:$AB$82,MATCH($C841,'Prop. prices'!$C$8:$C$82,0),MATCH(P$818,'Prop. prices'!$I$5:$AB$5,0))</f>
        <v>0</v>
      </c>
      <c r="Q841" s="218">
        <f>INDEX('Prop. prices'!$I$8:$AB$82,MATCH($C841,'Prop. prices'!$C$8:$C$82,0),MATCH(Q$818,'Prop. prices'!$I$5:$AB$5,0))</f>
        <v>0</v>
      </c>
      <c r="R841" s="218">
        <f>INDEX('Prop. prices'!$I$8:$AB$82,MATCH($C841,'Prop. prices'!$C$8:$C$82,0),MATCH(R$818,'Prop. prices'!$I$5:$AB$5,0))</f>
        <v>0</v>
      </c>
      <c r="S841" s="218">
        <f>INDEX('Prop. prices'!$I$8:$AB$82,MATCH($C841,'Prop. prices'!$C$8:$C$82,0),MATCH(S$818,'Prop. prices'!$I$5:$AB$5,0))</f>
        <v>0</v>
      </c>
      <c r="T841" s="218">
        <f>INDEX('Prop. prices'!$I$8:$AB$82,MATCH($C841,'Prop. prices'!$C$8:$C$82,0),MATCH(T$818,'Prop. prices'!$I$5:$AB$5,0))</f>
        <v>0</v>
      </c>
      <c r="U841" s="218">
        <f>INDEX('Prop. prices'!$I$8:$AB$82,MATCH($C841,'Prop. prices'!$C$8:$C$82,0),MATCH(U$818,'Prop. prices'!$I$5:$AB$5,0))</f>
        <v>0</v>
      </c>
      <c r="V841" s="218">
        <f>INDEX('Prop. prices'!$I$8:$AB$82,MATCH($C841,'Prop. prices'!$C$8:$C$82,0),MATCH(V$818,'Prop. prices'!$I$5:$AB$5,0))</f>
        <v>0</v>
      </c>
      <c r="W841" s="218">
        <f>INDEX('Prop. prices'!$I$8:$AB$82,MATCH($C841,'Prop. prices'!$C$8:$C$82,0),MATCH(W$818,'Prop. prices'!$I$5:$AB$5,0))</f>
        <v>0</v>
      </c>
      <c r="X841" s="218">
        <f>INDEX('Prop. prices'!$I$8:$AB$82,MATCH($C841,'Prop. prices'!$C$8:$C$82,0),MATCH(X$818,'Prop. prices'!$I$5:$AB$5,0))</f>
        <v>0</v>
      </c>
      <c r="Y841" s="218">
        <f>INDEX('Prop. prices'!$I$8:$AB$82,MATCH($C841,'Prop. prices'!$C$8:$C$82,0),MATCH(Y$818,'Prop. prices'!$I$5:$AB$5,0))</f>
        <v>0</v>
      </c>
      <c r="Z841" s="218">
        <f>INDEX('Prop. prices'!$I$8:$AB$82,MATCH($C841,'Prop. prices'!$C$8:$C$82,0),MATCH(Z$818,'Prop. prices'!$I$5:$AB$5,0))</f>
        <v>0</v>
      </c>
      <c r="AA841" s="218">
        <f>INDEX('Prop. prices'!$I$8:$AB$82,MATCH($C841,'Prop. prices'!$C$8:$C$82,0),MATCH(AA$818,'Prop. prices'!$I$5:$AB$5,0))</f>
        <v>0</v>
      </c>
      <c r="AB841" s="218">
        <f>INDEX('Prop. prices'!$I$8:$AB$82,MATCH($C841,'Prop. prices'!$C$8:$C$82,0),MATCH(AB$818,'Prop. prices'!$I$5:$AB$5,0))</f>
        <v>0</v>
      </c>
      <c r="AC841" s="187"/>
      <c r="AD841" s="19"/>
      <c r="AE841" s="19"/>
      <c r="AF841" s="19"/>
      <c r="AG841" s="19"/>
    </row>
    <row r="842" spans="1:33" hidden="1" outlineLevel="3" x14ac:dyDescent="0.2">
      <c r="A842" s="19"/>
      <c r="B842" s="97"/>
      <c r="C842" s="506">
        <f t="shared" si="197"/>
        <v>0</v>
      </c>
      <c r="D842" s="505">
        <f t="shared" si="198"/>
        <v>0</v>
      </c>
      <c r="E842" s="58"/>
      <c r="F842" s="223"/>
      <c r="G842" s="58"/>
      <c r="H842" s="58"/>
      <c r="I842" s="218">
        <f>INDEX('Prop. prices'!$I$8:$AB$82,MATCH($C842,'Prop. prices'!$C$8:$C$82,0),MATCH(I$818,'Prop. prices'!$I$5:$AB$5,0))</f>
        <v>0</v>
      </c>
      <c r="J842" s="218">
        <f>INDEX('Prop. prices'!$I$8:$AB$82,MATCH($C842,'Prop. prices'!$C$8:$C$82,0),MATCH(J$818,'Prop. prices'!$I$5:$AB$5,0))</f>
        <v>0</v>
      </c>
      <c r="K842" s="218">
        <f>INDEX('Prop. prices'!$I$8:$AB$82,MATCH($C842,'Prop. prices'!$C$8:$C$82,0),MATCH(K$818,'Prop. prices'!$I$5:$AB$5,0))</f>
        <v>0</v>
      </c>
      <c r="L842" s="218">
        <f>INDEX('Prop. prices'!$I$8:$AB$82,MATCH($C842,'Prop. prices'!$C$8:$C$82,0),MATCH(L$818,'Prop. prices'!$I$5:$AB$5,0))</f>
        <v>0</v>
      </c>
      <c r="M842" s="218">
        <f>INDEX('Prop. prices'!$I$8:$AB$82,MATCH($C842,'Prop. prices'!$C$8:$C$82,0),MATCH(M$818,'Prop. prices'!$I$5:$AB$5,0))</f>
        <v>0</v>
      </c>
      <c r="N842" s="218">
        <f>INDEX('Prop. prices'!$I$8:$AB$82,MATCH($C842,'Prop. prices'!$C$8:$C$82,0),MATCH(N$818,'Prop. prices'!$I$5:$AB$5,0))</f>
        <v>0</v>
      </c>
      <c r="O842" s="218">
        <f>INDEX('Prop. prices'!$I$8:$AB$82,MATCH($C842,'Prop. prices'!$C$8:$C$82,0),MATCH(O$818,'Prop. prices'!$I$5:$AB$5,0))</f>
        <v>0</v>
      </c>
      <c r="P842" s="218">
        <f>INDEX('Prop. prices'!$I$8:$AB$82,MATCH($C842,'Prop. prices'!$C$8:$C$82,0),MATCH(P$818,'Prop. prices'!$I$5:$AB$5,0))</f>
        <v>0</v>
      </c>
      <c r="Q842" s="218">
        <f>INDEX('Prop. prices'!$I$8:$AB$82,MATCH($C842,'Prop. prices'!$C$8:$C$82,0),MATCH(Q$818,'Prop. prices'!$I$5:$AB$5,0))</f>
        <v>0</v>
      </c>
      <c r="R842" s="218">
        <f>INDEX('Prop. prices'!$I$8:$AB$82,MATCH($C842,'Prop. prices'!$C$8:$C$82,0),MATCH(R$818,'Prop. prices'!$I$5:$AB$5,0))</f>
        <v>0</v>
      </c>
      <c r="S842" s="218">
        <f>INDEX('Prop. prices'!$I$8:$AB$82,MATCH($C842,'Prop. prices'!$C$8:$C$82,0),MATCH(S$818,'Prop. prices'!$I$5:$AB$5,0))</f>
        <v>0</v>
      </c>
      <c r="T842" s="218">
        <f>INDEX('Prop. prices'!$I$8:$AB$82,MATCH($C842,'Prop. prices'!$C$8:$C$82,0),MATCH(T$818,'Prop. prices'!$I$5:$AB$5,0))</f>
        <v>0</v>
      </c>
      <c r="U842" s="218">
        <f>INDEX('Prop. prices'!$I$8:$AB$82,MATCH($C842,'Prop. prices'!$C$8:$C$82,0),MATCH(U$818,'Prop. prices'!$I$5:$AB$5,0))</f>
        <v>0</v>
      </c>
      <c r="V842" s="218">
        <f>INDEX('Prop. prices'!$I$8:$AB$82,MATCH($C842,'Prop. prices'!$C$8:$C$82,0),MATCH(V$818,'Prop. prices'!$I$5:$AB$5,0))</f>
        <v>0</v>
      </c>
      <c r="W842" s="218">
        <f>INDEX('Prop. prices'!$I$8:$AB$82,MATCH($C842,'Prop. prices'!$C$8:$C$82,0),MATCH(W$818,'Prop. prices'!$I$5:$AB$5,0))</f>
        <v>0</v>
      </c>
      <c r="X842" s="218">
        <f>INDEX('Prop. prices'!$I$8:$AB$82,MATCH($C842,'Prop. prices'!$C$8:$C$82,0),MATCH(X$818,'Prop. prices'!$I$5:$AB$5,0))</f>
        <v>0</v>
      </c>
      <c r="Y842" s="218">
        <f>INDEX('Prop. prices'!$I$8:$AB$82,MATCH($C842,'Prop. prices'!$C$8:$C$82,0),MATCH(Y$818,'Prop. prices'!$I$5:$AB$5,0))</f>
        <v>0</v>
      </c>
      <c r="Z842" s="218">
        <f>INDEX('Prop. prices'!$I$8:$AB$82,MATCH($C842,'Prop. prices'!$C$8:$C$82,0),MATCH(Z$818,'Prop. prices'!$I$5:$AB$5,0))</f>
        <v>0</v>
      </c>
      <c r="AA842" s="218">
        <f>INDEX('Prop. prices'!$I$8:$AB$82,MATCH($C842,'Prop. prices'!$C$8:$C$82,0),MATCH(AA$818,'Prop. prices'!$I$5:$AB$5,0))</f>
        <v>0</v>
      </c>
      <c r="AB842" s="218">
        <f>INDEX('Prop. prices'!$I$8:$AB$82,MATCH($C842,'Prop. prices'!$C$8:$C$82,0),MATCH(AB$818,'Prop. prices'!$I$5:$AB$5,0))</f>
        <v>0</v>
      </c>
      <c r="AC842" s="187"/>
      <c r="AD842" s="19"/>
      <c r="AE842" s="19"/>
      <c r="AF842" s="19"/>
      <c r="AG842" s="19"/>
    </row>
    <row r="843" spans="1:33" hidden="1" outlineLevel="3" x14ac:dyDescent="0.2">
      <c r="A843" s="19"/>
      <c r="B843" s="98"/>
      <c r="C843" s="506">
        <f t="shared" si="197"/>
        <v>0</v>
      </c>
      <c r="D843" s="505">
        <f t="shared" si="198"/>
        <v>0</v>
      </c>
      <c r="E843" s="58"/>
      <c r="F843" s="223"/>
      <c r="G843" s="58"/>
      <c r="H843" s="58"/>
      <c r="I843" s="218">
        <f>INDEX('Prop. prices'!$I$8:$AB$82,MATCH($C843,'Prop. prices'!$C$8:$C$82,0),MATCH(I$818,'Prop. prices'!$I$5:$AB$5,0))</f>
        <v>0</v>
      </c>
      <c r="J843" s="218">
        <f>INDEX('Prop. prices'!$I$8:$AB$82,MATCH($C843,'Prop. prices'!$C$8:$C$82,0),MATCH(J$818,'Prop. prices'!$I$5:$AB$5,0))</f>
        <v>0</v>
      </c>
      <c r="K843" s="218">
        <f>INDEX('Prop. prices'!$I$8:$AB$82,MATCH($C843,'Prop. prices'!$C$8:$C$82,0),MATCH(K$818,'Prop. prices'!$I$5:$AB$5,0))</f>
        <v>0</v>
      </c>
      <c r="L843" s="218">
        <f>INDEX('Prop. prices'!$I$8:$AB$82,MATCH($C843,'Prop. prices'!$C$8:$C$82,0),MATCH(L$818,'Prop. prices'!$I$5:$AB$5,0))</f>
        <v>0</v>
      </c>
      <c r="M843" s="218">
        <f>INDEX('Prop. prices'!$I$8:$AB$82,MATCH($C843,'Prop. prices'!$C$8:$C$82,0),MATCH(M$818,'Prop. prices'!$I$5:$AB$5,0))</f>
        <v>0</v>
      </c>
      <c r="N843" s="218">
        <f>INDEX('Prop. prices'!$I$8:$AB$82,MATCH($C843,'Prop. prices'!$C$8:$C$82,0),MATCH(N$818,'Prop. prices'!$I$5:$AB$5,0))</f>
        <v>0</v>
      </c>
      <c r="O843" s="218">
        <f>INDEX('Prop. prices'!$I$8:$AB$82,MATCH($C843,'Prop. prices'!$C$8:$C$82,0),MATCH(O$818,'Prop. prices'!$I$5:$AB$5,0))</f>
        <v>0</v>
      </c>
      <c r="P843" s="218">
        <f>INDEX('Prop. prices'!$I$8:$AB$82,MATCH($C843,'Prop. prices'!$C$8:$C$82,0),MATCH(P$818,'Prop. prices'!$I$5:$AB$5,0))</f>
        <v>0</v>
      </c>
      <c r="Q843" s="218">
        <f>INDEX('Prop. prices'!$I$8:$AB$82,MATCH($C843,'Prop. prices'!$C$8:$C$82,0),MATCH(Q$818,'Prop. prices'!$I$5:$AB$5,0))</f>
        <v>0</v>
      </c>
      <c r="R843" s="218">
        <f>INDEX('Prop. prices'!$I$8:$AB$82,MATCH($C843,'Prop. prices'!$C$8:$C$82,0),MATCH(R$818,'Prop. prices'!$I$5:$AB$5,0))</f>
        <v>0</v>
      </c>
      <c r="S843" s="218">
        <f>INDEX('Prop. prices'!$I$8:$AB$82,MATCH($C843,'Prop. prices'!$C$8:$C$82,0),MATCH(S$818,'Prop. prices'!$I$5:$AB$5,0))</f>
        <v>0</v>
      </c>
      <c r="T843" s="218">
        <f>INDEX('Prop. prices'!$I$8:$AB$82,MATCH($C843,'Prop. prices'!$C$8:$C$82,0),MATCH(T$818,'Prop. prices'!$I$5:$AB$5,0))</f>
        <v>0</v>
      </c>
      <c r="U843" s="218">
        <f>INDEX('Prop. prices'!$I$8:$AB$82,MATCH($C843,'Prop. prices'!$C$8:$C$82,0),MATCH(U$818,'Prop. prices'!$I$5:$AB$5,0))</f>
        <v>0</v>
      </c>
      <c r="V843" s="218">
        <f>INDEX('Prop. prices'!$I$8:$AB$82,MATCH($C843,'Prop. prices'!$C$8:$C$82,0),MATCH(V$818,'Prop. prices'!$I$5:$AB$5,0))</f>
        <v>0</v>
      </c>
      <c r="W843" s="218">
        <f>INDEX('Prop. prices'!$I$8:$AB$82,MATCH($C843,'Prop. prices'!$C$8:$C$82,0),MATCH(W$818,'Prop. prices'!$I$5:$AB$5,0))</f>
        <v>0</v>
      </c>
      <c r="X843" s="218">
        <f>INDEX('Prop. prices'!$I$8:$AB$82,MATCH($C843,'Prop. prices'!$C$8:$C$82,0),MATCH(X$818,'Prop. prices'!$I$5:$AB$5,0))</f>
        <v>0</v>
      </c>
      <c r="Y843" s="218">
        <f>INDEX('Prop. prices'!$I$8:$AB$82,MATCH($C843,'Prop. prices'!$C$8:$C$82,0),MATCH(Y$818,'Prop. prices'!$I$5:$AB$5,0))</f>
        <v>0</v>
      </c>
      <c r="Z843" s="218">
        <f>INDEX('Prop. prices'!$I$8:$AB$82,MATCH($C843,'Prop. prices'!$C$8:$C$82,0),MATCH(Z$818,'Prop. prices'!$I$5:$AB$5,0))</f>
        <v>0</v>
      </c>
      <c r="AA843" s="218">
        <f>INDEX('Prop. prices'!$I$8:$AB$82,MATCH($C843,'Prop. prices'!$C$8:$C$82,0),MATCH(AA$818,'Prop. prices'!$I$5:$AB$5,0))</f>
        <v>0</v>
      </c>
      <c r="AB843" s="218">
        <f>INDEX('Prop. prices'!$I$8:$AB$82,MATCH($C843,'Prop. prices'!$C$8:$C$82,0),MATCH(AB$818,'Prop. prices'!$I$5:$AB$5,0))</f>
        <v>0</v>
      </c>
      <c r="AC843" s="187"/>
      <c r="AD843" s="19"/>
      <c r="AE843" s="19"/>
      <c r="AF843" s="19"/>
      <c r="AG843" s="19"/>
    </row>
    <row r="844" spans="1:33" hidden="1" outlineLevel="3" x14ac:dyDescent="0.2">
      <c r="A844" s="19"/>
      <c r="B844" s="97"/>
      <c r="C844" s="506">
        <f t="shared" si="197"/>
        <v>0</v>
      </c>
      <c r="D844" s="505">
        <f t="shared" si="198"/>
        <v>0</v>
      </c>
      <c r="E844" s="58"/>
      <c r="F844" s="223"/>
      <c r="G844" s="58"/>
      <c r="H844" s="58"/>
      <c r="I844" s="218">
        <f>INDEX('Prop. prices'!$I$8:$AB$82,MATCH($C844,'Prop. prices'!$C$8:$C$82,0),MATCH(I$818,'Prop. prices'!$I$5:$AB$5,0))</f>
        <v>0</v>
      </c>
      <c r="J844" s="218">
        <f>INDEX('Prop. prices'!$I$8:$AB$82,MATCH($C844,'Prop. prices'!$C$8:$C$82,0),MATCH(J$818,'Prop. prices'!$I$5:$AB$5,0))</f>
        <v>0</v>
      </c>
      <c r="K844" s="218">
        <f>INDEX('Prop. prices'!$I$8:$AB$82,MATCH($C844,'Prop. prices'!$C$8:$C$82,0),MATCH(K$818,'Prop. prices'!$I$5:$AB$5,0))</f>
        <v>0</v>
      </c>
      <c r="L844" s="218">
        <f>INDEX('Prop. prices'!$I$8:$AB$82,MATCH($C844,'Prop. prices'!$C$8:$C$82,0),MATCH(L$818,'Prop. prices'!$I$5:$AB$5,0))</f>
        <v>0</v>
      </c>
      <c r="M844" s="218">
        <f>INDEX('Prop. prices'!$I$8:$AB$82,MATCH($C844,'Prop. prices'!$C$8:$C$82,0),MATCH(M$818,'Prop. prices'!$I$5:$AB$5,0))</f>
        <v>0</v>
      </c>
      <c r="N844" s="218">
        <f>INDEX('Prop. prices'!$I$8:$AB$82,MATCH($C844,'Prop. prices'!$C$8:$C$82,0),MATCH(N$818,'Prop. prices'!$I$5:$AB$5,0))</f>
        <v>0</v>
      </c>
      <c r="O844" s="218">
        <f>INDEX('Prop. prices'!$I$8:$AB$82,MATCH($C844,'Prop. prices'!$C$8:$C$82,0),MATCH(O$818,'Prop. prices'!$I$5:$AB$5,0))</f>
        <v>0</v>
      </c>
      <c r="P844" s="218">
        <f>INDEX('Prop. prices'!$I$8:$AB$82,MATCH($C844,'Prop. prices'!$C$8:$C$82,0),MATCH(P$818,'Prop. prices'!$I$5:$AB$5,0))</f>
        <v>0</v>
      </c>
      <c r="Q844" s="218">
        <f>INDEX('Prop. prices'!$I$8:$AB$82,MATCH($C844,'Prop. prices'!$C$8:$C$82,0),MATCH(Q$818,'Prop. prices'!$I$5:$AB$5,0))</f>
        <v>0</v>
      </c>
      <c r="R844" s="218">
        <f>INDEX('Prop. prices'!$I$8:$AB$82,MATCH($C844,'Prop. prices'!$C$8:$C$82,0),MATCH(R$818,'Prop. prices'!$I$5:$AB$5,0))</f>
        <v>0</v>
      </c>
      <c r="S844" s="218">
        <f>INDEX('Prop. prices'!$I$8:$AB$82,MATCH($C844,'Prop. prices'!$C$8:$C$82,0),MATCH(S$818,'Prop. prices'!$I$5:$AB$5,0))</f>
        <v>0</v>
      </c>
      <c r="T844" s="218">
        <f>INDEX('Prop. prices'!$I$8:$AB$82,MATCH($C844,'Prop. prices'!$C$8:$C$82,0),MATCH(T$818,'Prop. prices'!$I$5:$AB$5,0))</f>
        <v>0</v>
      </c>
      <c r="U844" s="218">
        <f>INDEX('Prop. prices'!$I$8:$AB$82,MATCH($C844,'Prop. prices'!$C$8:$C$82,0),MATCH(U$818,'Prop. prices'!$I$5:$AB$5,0))</f>
        <v>0</v>
      </c>
      <c r="V844" s="218">
        <f>INDEX('Prop. prices'!$I$8:$AB$82,MATCH($C844,'Prop. prices'!$C$8:$C$82,0),MATCH(V$818,'Prop. prices'!$I$5:$AB$5,0))</f>
        <v>0</v>
      </c>
      <c r="W844" s="218">
        <f>INDEX('Prop. prices'!$I$8:$AB$82,MATCH($C844,'Prop. prices'!$C$8:$C$82,0),MATCH(W$818,'Prop. prices'!$I$5:$AB$5,0))</f>
        <v>0</v>
      </c>
      <c r="X844" s="218">
        <f>INDEX('Prop. prices'!$I$8:$AB$82,MATCH($C844,'Prop. prices'!$C$8:$C$82,0),MATCH(X$818,'Prop. prices'!$I$5:$AB$5,0))</f>
        <v>0</v>
      </c>
      <c r="Y844" s="218">
        <f>INDEX('Prop. prices'!$I$8:$AB$82,MATCH($C844,'Prop. prices'!$C$8:$C$82,0),MATCH(Y$818,'Prop. prices'!$I$5:$AB$5,0))</f>
        <v>0</v>
      </c>
      <c r="Z844" s="218">
        <f>INDEX('Prop. prices'!$I$8:$AB$82,MATCH($C844,'Prop. prices'!$C$8:$C$82,0),MATCH(Z$818,'Prop. prices'!$I$5:$AB$5,0))</f>
        <v>0</v>
      </c>
      <c r="AA844" s="218">
        <f>INDEX('Prop. prices'!$I$8:$AB$82,MATCH($C844,'Prop. prices'!$C$8:$C$82,0),MATCH(AA$818,'Prop. prices'!$I$5:$AB$5,0))</f>
        <v>0</v>
      </c>
      <c r="AB844" s="218">
        <f>INDEX('Prop. prices'!$I$8:$AB$82,MATCH($C844,'Prop. prices'!$C$8:$C$82,0),MATCH(AB$818,'Prop. prices'!$I$5:$AB$5,0))</f>
        <v>0</v>
      </c>
      <c r="AC844" s="187"/>
      <c r="AD844" s="19"/>
      <c r="AE844" s="19"/>
      <c r="AF844" s="19"/>
      <c r="AG844" s="19"/>
    </row>
    <row r="845" spans="1:33" hidden="1" outlineLevel="3" x14ac:dyDescent="0.2">
      <c r="A845" s="19"/>
      <c r="B845" s="97"/>
      <c r="C845" s="506">
        <f t="shared" si="197"/>
        <v>0</v>
      </c>
      <c r="D845" s="505">
        <f t="shared" si="198"/>
        <v>0</v>
      </c>
      <c r="E845" s="58"/>
      <c r="F845" s="223"/>
      <c r="G845" s="58"/>
      <c r="H845" s="58"/>
      <c r="I845" s="218">
        <f>INDEX('Prop. prices'!$I$8:$AB$82,MATCH($C845,'Prop. prices'!$C$8:$C$82,0),MATCH(I$818,'Prop. prices'!$I$5:$AB$5,0))</f>
        <v>0</v>
      </c>
      <c r="J845" s="218">
        <f>INDEX('Prop. prices'!$I$8:$AB$82,MATCH($C845,'Prop. prices'!$C$8:$C$82,0),MATCH(J$818,'Prop. prices'!$I$5:$AB$5,0))</f>
        <v>0</v>
      </c>
      <c r="K845" s="218">
        <f>INDEX('Prop. prices'!$I$8:$AB$82,MATCH($C845,'Prop. prices'!$C$8:$C$82,0),MATCH(K$818,'Prop. prices'!$I$5:$AB$5,0))</f>
        <v>0</v>
      </c>
      <c r="L845" s="218">
        <f>INDEX('Prop. prices'!$I$8:$AB$82,MATCH($C845,'Prop. prices'!$C$8:$C$82,0),MATCH(L$818,'Prop. prices'!$I$5:$AB$5,0))</f>
        <v>0</v>
      </c>
      <c r="M845" s="218">
        <f>INDEX('Prop. prices'!$I$8:$AB$82,MATCH($C845,'Prop. prices'!$C$8:$C$82,0),MATCH(M$818,'Prop. prices'!$I$5:$AB$5,0))</f>
        <v>0</v>
      </c>
      <c r="N845" s="218">
        <f>INDEX('Prop. prices'!$I$8:$AB$82,MATCH($C845,'Prop. prices'!$C$8:$C$82,0),MATCH(N$818,'Prop. prices'!$I$5:$AB$5,0))</f>
        <v>0</v>
      </c>
      <c r="O845" s="218">
        <f>INDEX('Prop. prices'!$I$8:$AB$82,MATCH($C845,'Prop. prices'!$C$8:$C$82,0),MATCH(O$818,'Prop. prices'!$I$5:$AB$5,0))</f>
        <v>0</v>
      </c>
      <c r="P845" s="218">
        <f>INDEX('Prop. prices'!$I$8:$AB$82,MATCH($C845,'Prop. prices'!$C$8:$C$82,0),MATCH(P$818,'Prop. prices'!$I$5:$AB$5,0))</f>
        <v>0</v>
      </c>
      <c r="Q845" s="218">
        <f>INDEX('Prop. prices'!$I$8:$AB$82,MATCH($C845,'Prop. prices'!$C$8:$C$82,0),MATCH(Q$818,'Prop. prices'!$I$5:$AB$5,0))</f>
        <v>0</v>
      </c>
      <c r="R845" s="218">
        <f>INDEX('Prop. prices'!$I$8:$AB$82,MATCH($C845,'Prop. prices'!$C$8:$C$82,0),MATCH(R$818,'Prop. prices'!$I$5:$AB$5,0))</f>
        <v>0</v>
      </c>
      <c r="S845" s="218">
        <f>INDEX('Prop. prices'!$I$8:$AB$82,MATCH($C845,'Prop. prices'!$C$8:$C$82,0),MATCH(S$818,'Prop. prices'!$I$5:$AB$5,0))</f>
        <v>0</v>
      </c>
      <c r="T845" s="218">
        <f>INDEX('Prop. prices'!$I$8:$AB$82,MATCH($C845,'Prop. prices'!$C$8:$C$82,0),MATCH(T$818,'Prop. prices'!$I$5:$AB$5,0))</f>
        <v>0</v>
      </c>
      <c r="U845" s="218">
        <f>INDEX('Prop. prices'!$I$8:$AB$82,MATCH($C845,'Prop. prices'!$C$8:$C$82,0),MATCH(U$818,'Prop. prices'!$I$5:$AB$5,0))</f>
        <v>0</v>
      </c>
      <c r="V845" s="218">
        <f>INDEX('Prop. prices'!$I$8:$AB$82,MATCH($C845,'Prop. prices'!$C$8:$C$82,0),MATCH(V$818,'Prop. prices'!$I$5:$AB$5,0))</f>
        <v>0</v>
      </c>
      <c r="W845" s="218">
        <f>INDEX('Prop. prices'!$I$8:$AB$82,MATCH($C845,'Prop. prices'!$C$8:$C$82,0),MATCH(W$818,'Prop. prices'!$I$5:$AB$5,0))</f>
        <v>0</v>
      </c>
      <c r="X845" s="218">
        <f>INDEX('Prop. prices'!$I$8:$AB$82,MATCH($C845,'Prop. prices'!$C$8:$C$82,0),MATCH(X$818,'Prop. prices'!$I$5:$AB$5,0))</f>
        <v>0</v>
      </c>
      <c r="Y845" s="218">
        <f>INDEX('Prop. prices'!$I$8:$AB$82,MATCH($C845,'Prop. prices'!$C$8:$C$82,0),MATCH(Y$818,'Prop. prices'!$I$5:$AB$5,0))</f>
        <v>0</v>
      </c>
      <c r="Z845" s="218">
        <f>INDEX('Prop. prices'!$I$8:$AB$82,MATCH($C845,'Prop. prices'!$C$8:$C$82,0),MATCH(Z$818,'Prop. prices'!$I$5:$AB$5,0))</f>
        <v>0</v>
      </c>
      <c r="AA845" s="218">
        <f>INDEX('Prop. prices'!$I$8:$AB$82,MATCH($C845,'Prop. prices'!$C$8:$C$82,0),MATCH(AA$818,'Prop. prices'!$I$5:$AB$5,0))</f>
        <v>0</v>
      </c>
      <c r="AB845" s="218">
        <f>INDEX('Prop. prices'!$I$8:$AB$82,MATCH($C845,'Prop. prices'!$C$8:$C$82,0),MATCH(AB$818,'Prop. prices'!$I$5:$AB$5,0))</f>
        <v>0</v>
      </c>
      <c r="AC845" s="187"/>
      <c r="AD845" s="19"/>
      <c r="AE845" s="19"/>
      <c r="AF845" s="19"/>
      <c r="AG845" s="19"/>
    </row>
    <row r="846" spans="1:33" hidden="1" outlineLevel="3" x14ac:dyDescent="0.2">
      <c r="A846" s="19"/>
      <c r="B846" s="97"/>
      <c r="C846" s="506">
        <f t="shared" si="197"/>
        <v>0</v>
      </c>
      <c r="D846" s="505">
        <f t="shared" si="198"/>
        <v>0</v>
      </c>
      <c r="E846" s="58"/>
      <c r="F846" s="223"/>
      <c r="G846" s="58"/>
      <c r="H846" s="58"/>
      <c r="I846" s="218">
        <f>INDEX('Prop. prices'!$I$8:$AB$82,MATCH($C846,'Prop. prices'!$C$8:$C$82,0),MATCH(I$818,'Prop. prices'!$I$5:$AB$5,0))</f>
        <v>0</v>
      </c>
      <c r="J846" s="218">
        <f>INDEX('Prop. prices'!$I$8:$AB$82,MATCH($C846,'Prop. prices'!$C$8:$C$82,0),MATCH(J$818,'Prop. prices'!$I$5:$AB$5,0))</f>
        <v>0</v>
      </c>
      <c r="K846" s="218">
        <f>INDEX('Prop. prices'!$I$8:$AB$82,MATCH($C846,'Prop. prices'!$C$8:$C$82,0),MATCH(K$818,'Prop. prices'!$I$5:$AB$5,0))</f>
        <v>0</v>
      </c>
      <c r="L846" s="218">
        <f>INDEX('Prop. prices'!$I$8:$AB$82,MATCH($C846,'Prop. prices'!$C$8:$C$82,0),MATCH(L$818,'Prop. prices'!$I$5:$AB$5,0))</f>
        <v>0</v>
      </c>
      <c r="M846" s="218">
        <f>INDEX('Prop. prices'!$I$8:$AB$82,MATCH($C846,'Prop. prices'!$C$8:$C$82,0),MATCH(M$818,'Prop. prices'!$I$5:$AB$5,0))</f>
        <v>0</v>
      </c>
      <c r="N846" s="218">
        <f>INDEX('Prop. prices'!$I$8:$AB$82,MATCH($C846,'Prop. prices'!$C$8:$C$82,0),MATCH(N$818,'Prop. prices'!$I$5:$AB$5,0))</f>
        <v>0</v>
      </c>
      <c r="O846" s="218">
        <f>INDEX('Prop. prices'!$I$8:$AB$82,MATCH($C846,'Prop. prices'!$C$8:$C$82,0),MATCH(O$818,'Prop. prices'!$I$5:$AB$5,0))</f>
        <v>0</v>
      </c>
      <c r="P846" s="218">
        <f>INDEX('Prop. prices'!$I$8:$AB$82,MATCH($C846,'Prop. prices'!$C$8:$C$82,0),MATCH(P$818,'Prop. prices'!$I$5:$AB$5,0))</f>
        <v>0</v>
      </c>
      <c r="Q846" s="218">
        <f>INDEX('Prop. prices'!$I$8:$AB$82,MATCH($C846,'Prop. prices'!$C$8:$C$82,0),MATCH(Q$818,'Prop. prices'!$I$5:$AB$5,0))</f>
        <v>0</v>
      </c>
      <c r="R846" s="218">
        <f>INDEX('Prop. prices'!$I$8:$AB$82,MATCH($C846,'Prop. prices'!$C$8:$C$82,0),MATCH(R$818,'Prop. prices'!$I$5:$AB$5,0))</f>
        <v>0</v>
      </c>
      <c r="S846" s="218">
        <f>INDEX('Prop. prices'!$I$8:$AB$82,MATCH($C846,'Prop. prices'!$C$8:$C$82,0),MATCH(S$818,'Prop. prices'!$I$5:$AB$5,0))</f>
        <v>0</v>
      </c>
      <c r="T846" s="218">
        <f>INDEX('Prop. prices'!$I$8:$AB$82,MATCH($C846,'Prop. prices'!$C$8:$C$82,0),MATCH(T$818,'Prop. prices'!$I$5:$AB$5,0))</f>
        <v>0</v>
      </c>
      <c r="U846" s="218">
        <f>INDEX('Prop. prices'!$I$8:$AB$82,MATCH($C846,'Prop. prices'!$C$8:$C$82,0),MATCH(U$818,'Prop. prices'!$I$5:$AB$5,0))</f>
        <v>0</v>
      </c>
      <c r="V846" s="218">
        <f>INDEX('Prop. prices'!$I$8:$AB$82,MATCH($C846,'Prop. prices'!$C$8:$C$82,0),MATCH(V$818,'Prop. prices'!$I$5:$AB$5,0))</f>
        <v>0</v>
      </c>
      <c r="W846" s="218">
        <f>INDEX('Prop. prices'!$I$8:$AB$82,MATCH($C846,'Prop. prices'!$C$8:$C$82,0),MATCH(W$818,'Prop. prices'!$I$5:$AB$5,0))</f>
        <v>0</v>
      </c>
      <c r="X846" s="218">
        <f>INDEX('Prop. prices'!$I$8:$AB$82,MATCH($C846,'Prop. prices'!$C$8:$C$82,0),MATCH(X$818,'Prop. prices'!$I$5:$AB$5,0))</f>
        <v>0</v>
      </c>
      <c r="Y846" s="218">
        <f>INDEX('Prop. prices'!$I$8:$AB$82,MATCH($C846,'Prop. prices'!$C$8:$C$82,0),MATCH(Y$818,'Prop. prices'!$I$5:$AB$5,0))</f>
        <v>0</v>
      </c>
      <c r="Z846" s="218">
        <f>INDEX('Prop. prices'!$I$8:$AB$82,MATCH($C846,'Prop. prices'!$C$8:$C$82,0),MATCH(Z$818,'Prop. prices'!$I$5:$AB$5,0))</f>
        <v>0</v>
      </c>
      <c r="AA846" s="218">
        <f>INDEX('Prop. prices'!$I$8:$AB$82,MATCH($C846,'Prop. prices'!$C$8:$C$82,0),MATCH(AA$818,'Prop. prices'!$I$5:$AB$5,0))</f>
        <v>0</v>
      </c>
      <c r="AB846" s="218">
        <f>INDEX('Prop. prices'!$I$8:$AB$82,MATCH($C846,'Prop. prices'!$C$8:$C$82,0),MATCH(AB$818,'Prop. prices'!$I$5:$AB$5,0))</f>
        <v>0</v>
      </c>
      <c r="AC846" s="187"/>
      <c r="AD846" s="19"/>
      <c r="AE846" s="19"/>
      <c r="AF846" s="19"/>
      <c r="AG846" s="19"/>
    </row>
    <row r="847" spans="1:33" hidden="1" outlineLevel="3" x14ac:dyDescent="0.2">
      <c r="A847" s="19"/>
      <c r="B847" s="97"/>
      <c r="C847" s="506">
        <f t="shared" si="197"/>
        <v>0</v>
      </c>
      <c r="D847" s="505">
        <f t="shared" si="198"/>
        <v>0</v>
      </c>
      <c r="E847" s="58"/>
      <c r="F847" s="223"/>
      <c r="G847" s="58"/>
      <c r="H847" s="58"/>
      <c r="I847" s="218">
        <f>INDEX('Prop. prices'!$I$8:$AB$82,MATCH($C847,'Prop. prices'!$C$8:$C$82,0),MATCH(I$818,'Prop. prices'!$I$5:$AB$5,0))</f>
        <v>0</v>
      </c>
      <c r="J847" s="218">
        <f>INDEX('Prop. prices'!$I$8:$AB$82,MATCH($C847,'Prop. prices'!$C$8:$C$82,0),MATCH(J$818,'Prop. prices'!$I$5:$AB$5,0))</f>
        <v>0</v>
      </c>
      <c r="K847" s="218">
        <f>INDEX('Prop. prices'!$I$8:$AB$82,MATCH($C847,'Prop. prices'!$C$8:$C$82,0),MATCH(K$818,'Prop. prices'!$I$5:$AB$5,0))</f>
        <v>0</v>
      </c>
      <c r="L847" s="218">
        <f>INDEX('Prop. prices'!$I$8:$AB$82,MATCH($C847,'Prop. prices'!$C$8:$C$82,0),MATCH(L$818,'Prop. prices'!$I$5:$AB$5,0))</f>
        <v>0</v>
      </c>
      <c r="M847" s="218">
        <f>INDEX('Prop. prices'!$I$8:$AB$82,MATCH($C847,'Prop. prices'!$C$8:$C$82,0),MATCH(M$818,'Prop. prices'!$I$5:$AB$5,0))</f>
        <v>0</v>
      </c>
      <c r="N847" s="218">
        <f>INDEX('Prop. prices'!$I$8:$AB$82,MATCH($C847,'Prop. prices'!$C$8:$C$82,0),MATCH(N$818,'Prop. prices'!$I$5:$AB$5,0))</f>
        <v>0</v>
      </c>
      <c r="O847" s="218">
        <f>INDEX('Prop. prices'!$I$8:$AB$82,MATCH($C847,'Prop. prices'!$C$8:$C$82,0),MATCH(O$818,'Prop. prices'!$I$5:$AB$5,0))</f>
        <v>0</v>
      </c>
      <c r="P847" s="218">
        <f>INDEX('Prop. prices'!$I$8:$AB$82,MATCH($C847,'Prop. prices'!$C$8:$C$82,0),MATCH(P$818,'Prop. prices'!$I$5:$AB$5,0))</f>
        <v>0</v>
      </c>
      <c r="Q847" s="218">
        <f>INDEX('Prop. prices'!$I$8:$AB$82,MATCH($C847,'Prop. prices'!$C$8:$C$82,0),MATCH(Q$818,'Prop. prices'!$I$5:$AB$5,0))</f>
        <v>0</v>
      </c>
      <c r="R847" s="218">
        <f>INDEX('Prop. prices'!$I$8:$AB$82,MATCH($C847,'Prop. prices'!$C$8:$C$82,0),MATCH(R$818,'Prop. prices'!$I$5:$AB$5,0))</f>
        <v>0</v>
      </c>
      <c r="S847" s="218">
        <f>INDEX('Prop. prices'!$I$8:$AB$82,MATCH($C847,'Prop. prices'!$C$8:$C$82,0),MATCH(S$818,'Prop. prices'!$I$5:$AB$5,0))</f>
        <v>0</v>
      </c>
      <c r="T847" s="218">
        <f>INDEX('Prop. prices'!$I$8:$AB$82,MATCH($C847,'Prop. prices'!$C$8:$C$82,0),MATCH(T$818,'Prop. prices'!$I$5:$AB$5,0))</f>
        <v>0</v>
      </c>
      <c r="U847" s="218">
        <f>INDEX('Prop. prices'!$I$8:$AB$82,MATCH($C847,'Prop. prices'!$C$8:$C$82,0),MATCH(U$818,'Prop. prices'!$I$5:$AB$5,0))</f>
        <v>0</v>
      </c>
      <c r="V847" s="218">
        <f>INDEX('Prop. prices'!$I$8:$AB$82,MATCH($C847,'Prop. prices'!$C$8:$C$82,0),MATCH(V$818,'Prop. prices'!$I$5:$AB$5,0))</f>
        <v>0</v>
      </c>
      <c r="W847" s="218">
        <f>INDEX('Prop. prices'!$I$8:$AB$82,MATCH($C847,'Prop. prices'!$C$8:$C$82,0),MATCH(W$818,'Prop. prices'!$I$5:$AB$5,0))</f>
        <v>0</v>
      </c>
      <c r="X847" s="218">
        <f>INDEX('Prop. prices'!$I$8:$AB$82,MATCH($C847,'Prop. prices'!$C$8:$C$82,0),MATCH(X$818,'Prop. prices'!$I$5:$AB$5,0))</f>
        <v>0</v>
      </c>
      <c r="Y847" s="218">
        <f>INDEX('Prop. prices'!$I$8:$AB$82,MATCH($C847,'Prop. prices'!$C$8:$C$82,0),MATCH(Y$818,'Prop. prices'!$I$5:$AB$5,0))</f>
        <v>0</v>
      </c>
      <c r="Z847" s="218">
        <f>INDEX('Prop. prices'!$I$8:$AB$82,MATCH($C847,'Prop. prices'!$C$8:$C$82,0),MATCH(Z$818,'Prop. prices'!$I$5:$AB$5,0))</f>
        <v>0</v>
      </c>
      <c r="AA847" s="218">
        <f>INDEX('Prop. prices'!$I$8:$AB$82,MATCH($C847,'Prop. prices'!$C$8:$C$82,0),MATCH(AA$818,'Prop. prices'!$I$5:$AB$5,0))</f>
        <v>0</v>
      </c>
      <c r="AB847" s="218">
        <f>INDEX('Prop. prices'!$I$8:$AB$82,MATCH($C847,'Prop. prices'!$C$8:$C$82,0),MATCH(AB$818,'Prop. prices'!$I$5:$AB$5,0))</f>
        <v>0</v>
      </c>
      <c r="AC847" s="187"/>
      <c r="AD847" s="19"/>
      <c r="AE847" s="19"/>
      <c r="AF847" s="19"/>
      <c r="AG847" s="19"/>
    </row>
    <row r="848" spans="1:33" hidden="1" outlineLevel="3" x14ac:dyDescent="0.2">
      <c r="A848" s="19"/>
      <c r="B848" s="97"/>
      <c r="C848" s="506">
        <f t="shared" si="197"/>
        <v>0</v>
      </c>
      <c r="D848" s="505">
        <f t="shared" si="198"/>
        <v>0</v>
      </c>
      <c r="E848" s="58"/>
      <c r="F848" s="223"/>
      <c r="G848" s="58"/>
      <c r="H848" s="58"/>
      <c r="I848" s="218">
        <f>INDEX('Prop. prices'!$I$8:$AB$82,MATCH($C848,'Prop. prices'!$C$8:$C$82,0),MATCH(I$818,'Prop. prices'!$I$5:$AB$5,0))</f>
        <v>0</v>
      </c>
      <c r="J848" s="218">
        <f>INDEX('Prop. prices'!$I$8:$AB$82,MATCH($C848,'Prop. prices'!$C$8:$C$82,0),MATCH(J$818,'Prop. prices'!$I$5:$AB$5,0))</f>
        <v>0</v>
      </c>
      <c r="K848" s="218">
        <f>INDEX('Prop. prices'!$I$8:$AB$82,MATCH($C848,'Prop. prices'!$C$8:$C$82,0),MATCH(K$818,'Prop. prices'!$I$5:$AB$5,0))</f>
        <v>0</v>
      </c>
      <c r="L848" s="218">
        <f>INDEX('Prop. prices'!$I$8:$AB$82,MATCH($C848,'Prop. prices'!$C$8:$C$82,0),MATCH(L$818,'Prop. prices'!$I$5:$AB$5,0))</f>
        <v>0</v>
      </c>
      <c r="M848" s="218">
        <f>INDEX('Prop. prices'!$I$8:$AB$82,MATCH($C848,'Prop. prices'!$C$8:$C$82,0),MATCH(M$818,'Prop. prices'!$I$5:$AB$5,0))</f>
        <v>0</v>
      </c>
      <c r="N848" s="218">
        <f>INDEX('Prop. prices'!$I$8:$AB$82,MATCH($C848,'Prop. prices'!$C$8:$C$82,0),MATCH(N$818,'Prop. prices'!$I$5:$AB$5,0))</f>
        <v>0</v>
      </c>
      <c r="O848" s="218">
        <f>INDEX('Prop. prices'!$I$8:$AB$82,MATCH($C848,'Prop. prices'!$C$8:$C$82,0),MATCH(O$818,'Prop. prices'!$I$5:$AB$5,0))</f>
        <v>0</v>
      </c>
      <c r="P848" s="218">
        <f>INDEX('Prop. prices'!$I$8:$AB$82,MATCH($C848,'Prop. prices'!$C$8:$C$82,0),MATCH(P$818,'Prop. prices'!$I$5:$AB$5,0))</f>
        <v>0</v>
      </c>
      <c r="Q848" s="218">
        <f>INDEX('Prop. prices'!$I$8:$AB$82,MATCH($C848,'Prop. prices'!$C$8:$C$82,0),MATCH(Q$818,'Prop. prices'!$I$5:$AB$5,0))</f>
        <v>0</v>
      </c>
      <c r="R848" s="218">
        <f>INDEX('Prop. prices'!$I$8:$AB$82,MATCH($C848,'Prop. prices'!$C$8:$C$82,0),MATCH(R$818,'Prop. prices'!$I$5:$AB$5,0))</f>
        <v>0</v>
      </c>
      <c r="S848" s="218">
        <f>INDEX('Prop. prices'!$I$8:$AB$82,MATCH($C848,'Prop. prices'!$C$8:$C$82,0),MATCH(S$818,'Prop. prices'!$I$5:$AB$5,0))</f>
        <v>0</v>
      </c>
      <c r="T848" s="218">
        <f>INDEX('Prop. prices'!$I$8:$AB$82,MATCH($C848,'Prop. prices'!$C$8:$C$82,0),MATCH(T$818,'Prop. prices'!$I$5:$AB$5,0))</f>
        <v>0</v>
      </c>
      <c r="U848" s="218">
        <f>INDEX('Prop. prices'!$I$8:$AB$82,MATCH($C848,'Prop. prices'!$C$8:$C$82,0),MATCH(U$818,'Prop. prices'!$I$5:$AB$5,0))</f>
        <v>0</v>
      </c>
      <c r="V848" s="218">
        <f>INDEX('Prop. prices'!$I$8:$AB$82,MATCH($C848,'Prop. prices'!$C$8:$C$82,0),MATCH(V$818,'Prop. prices'!$I$5:$AB$5,0))</f>
        <v>0</v>
      </c>
      <c r="W848" s="218">
        <f>INDEX('Prop. prices'!$I$8:$AB$82,MATCH($C848,'Prop. prices'!$C$8:$C$82,0),MATCH(W$818,'Prop. prices'!$I$5:$AB$5,0))</f>
        <v>0</v>
      </c>
      <c r="X848" s="218">
        <f>INDEX('Prop. prices'!$I$8:$AB$82,MATCH($C848,'Prop. prices'!$C$8:$C$82,0),MATCH(X$818,'Prop. prices'!$I$5:$AB$5,0))</f>
        <v>0</v>
      </c>
      <c r="Y848" s="218">
        <f>INDEX('Prop. prices'!$I$8:$AB$82,MATCH($C848,'Prop. prices'!$C$8:$C$82,0),MATCH(Y$818,'Prop. prices'!$I$5:$AB$5,0))</f>
        <v>0</v>
      </c>
      <c r="Z848" s="218">
        <f>INDEX('Prop. prices'!$I$8:$AB$82,MATCH($C848,'Prop. prices'!$C$8:$C$82,0),MATCH(Z$818,'Prop. prices'!$I$5:$AB$5,0))</f>
        <v>0</v>
      </c>
      <c r="AA848" s="218">
        <f>INDEX('Prop. prices'!$I$8:$AB$82,MATCH($C848,'Prop. prices'!$C$8:$C$82,0),MATCH(AA$818,'Prop. prices'!$I$5:$AB$5,0))</f>
        <v>0</v>
      </c>
      <c r="AB848" s="218">
        <f>INDEX('Prop. prices'!$I$8:$AB$82,MATCH($C848,'Prop. prices'!$C$8:$C$82,0),MATCH(AB$818,'Prop. prices'!$I$5:$AB$5,0))</f>
        <v>0</v>
      </c>
      <c r="AC848" s="187"/>
      <c r="AD848" s="19"/>
      <c r="AE848" s="19"/>
      <c r="AF848" s="19"/>
      <c r="AG848" s="19"/>
    </row>
    <row r="849" spans="1:33" hidden="1" outlineLevel="3" x14ac:dyDescent="0.2">
      <c r="A849" s="19"/>
      <c r="B849" s="97"/>
      <c r="C849" s="506">
        <f t="shared" si="197"/>
        <v>0</v>
      </c>
      <c r="D849" s="505">
        <f t="shared" si="198"/>
        <v>0</v>
      </c>
      <c r="E849" s="58"/>
      <c r="F849" s="223"/>
      <c r="G849" s="58"/>
      <c r="H849" s="58"/>
      <c r="I849" s="218">
        <f>INDEX('Prop. prices'!$I$8:$AB$82,MATCH($C849,'Prop. prices'!$C$8:$C$82,0),MATCH(I$818,'Prop. prices'!$I$5:$AB$5,0))</f>
        <v>0</v>
      </c>
      <c r="J849" s="218">
        <f>INDEX('Prop. prices'!$I$8:$AB$82,MATCH($C849,'Prop. prices'!$C$8:$C$82,0),MATCH(J$818,'Prop. prices'!$I$5:$AB$5,0))</f>
        <v>0</v>
      </c>
      <c r="K849" s="218">
        <f>INDEX('Prop. prices'!$I$8:$AB$82,MATCH($C849,'Prop. prices'!$C$8:$C$82,0),MATCH(K$818,'Prop. prices'!$I$5:$AB$5,0))</f>
        <v>0</v>
      </c>
      <c r="L849" s="218">
        <f>INDEX('Prop. prices'!$I$8:$AB$82,MATCH($C849,'Prop. prices'!$C$8:$C$82,0),MATCH(L$818,'Prop. prices'!$I$5:$AB$5,0))</f>
        <v>0</v>
      </c>
      <c r="M849" s="218">
        <f>INDEX('Prop. prices'!$I$8:$AB$82,MATCH($C849,'Prop. prices'!$C$8:$C$82,0),MATCH(M$818,'Prop. prices'!$I$5:$AB$5,0))</f>
        <v>0</v>
      </c>
      <c r="N849" s="218">
        <f>INDEX('Prop. prices'!$I$8:$AB$82,MATCH($C849,'Prop. prices'!$C$8:$C$82,0),MATCH(N$818,'Prop. prices'!$I$5:$AB$5,0))</f>
        <v>0</v>
      </c>
      <c r="O849" s="218">
        <f>INDEX('Prop. prices'!$I$8:$AB$82,MATCH($C849,'Prop. prices'!$C$8:$C$82,0),MATCH(O$818,'Prop. prices'!$I$5:$AB$5,0))</f>
        <v>0</v>
      </c>
      <c r="P849" s="218">
        <f>INDEX('Prop. prices'!$I$8:$AB$82,MATCH($C849,'Prop. prices'!$C$8:$C$82,0),MATCH(P$818,'Prop. prices'!$I$5:$AB$5,0))</f>
        <v>0</v>
      </c>
      <c r="Q849" s="218">
        <f>INDEX('Prop. prices'!$I$8:$AB$82,MATCH($C849,'Prop. prices'!$C$8:$C$82,0),MATCH(Q$818,'Prop. prices'!$I$5:$AB$5,0))</f>
        <v>0</v>
      </c>
      <c r="R849" s="218">
        <f>INDEX('Prop. prices'!$I$8:$AB$82,MATCH($C849,'Prop. prices'!$C$8:$C$82,0),MATCH(R$818,'Prop. prices'!$I$5:$AB$5,0))</f>
        <v>0</v>
      </c>
      <c r="S849" s="218">
        <f>INDEX('Prop. prices'!$I$8:$AB$82,MATCH($C849,'Prop. prices'!$C$8:$C$82,0),MATCH(S$818,'Prop. prices'!$I$5:$AB$5,0))</f>
        <v>0</v>
      </c>
      <c r="T849" s="218">
        <f>INDEX('Prop. prices'!$I$8:$AB$82,MATCH($C849,'Prop. prices'!$C$8:$C$82,0),MATCH(T$818,'Prop. prices'!$I$5:$AB$5,0))</f>
        <v>0</v>
      </c>
      <c r="U849" s="218">
        <f>INDEX('Prop. prices'!$I$8:$AB$82,MATCH($C849,'Prop. prices'!$C$8:$C$82,0),MATCH(U$818,'Prop. prices'!$I$5:$AB$5,0))</f>
        <v>0</v>
      </c>
      <c r="V849" s="218">
        <f>INDEX('Prop. prices'!$I$8:$AB$82,MATCH($C849,'Prop. prices'!$C$8:$C$82,0),MATCH(V$818,'Prop. prices'!$I$5:$AB$5,0))</f>
        <v>0</v>
      </c>
      <c r="W849" s="218">
        <f>INDEX('Prop. prices'!$I$8:$AB$82,MATCH($C849,'Prop. prices'!$C$8:$C$82,0),MATCH(W$818,'Prop. prices'!$I$5:$AB$5,0))</f>
        <v>0</v>
      </c>
      <c r="X849" s="218">
        <f>INDEX('Prop. prices'!$I$8:$AB$82,MATCH($C849,'Prop. prices'!$C$8:$C$82,0),MATCH(X$818,'Prop. prices'!$I$5:$AB$5,0))</f>
        <v>0</v>
      </c>
      <c r="Y849" s="218">
        <f>INDEX('Prop. prices'!$I$8:$AB$82,MATCH($C849,'Prop. prices'!$C$8:$C$82,0),MATCH(Y$818,'Prop. prices'!$I$5:$AB$5,0))</f>
        <v>0</v>
      </c>
      <c r="Z849" s="218">
        <f>INDEX('Prop. prices'!$I$8:$AB$82,MATCH($C849,'Prop. prices'!$C$8:$C$82,0),MATCH(Z$818,'Prop. prices'!$I$5:$AB$5,0))</f>
        <v>0</v>
      </c>
      <c r="AA849" s="218">
        <f>INDEX('Prop. prices'!$I$8:$AB$82,MATCH($C849,'Prop. prices'!$C$8:$C$82,0),MATCH(AA$818,'Prop. prices'!$I$5:$AB$5,0))</f>
        <v>0</v>
      </c>
      <c r="AB849" s="218">
        <f>INDEX('Prop. prices'!$I$8:$AB$82,MATCH($C849,'Prop. prices'!$C$8:$C$82,0),MATCH(AB$818,'Prop. prices'!$I$5:$AB$5,0))</f>
        <v>0</v>
      </c>
      <c r="AC849" s="187"/>
      <c r="AD849" s="19"/>
      <c r="AE849" s="19"/>
      <c r="AF849" s="19"/>
      <c r="AG849" s="19"/>
    </row>
    <row r="850" spans="1:33" hidden="1" outlineLevel="3" x14ac:dyDescent="0.2">
      <c r="A850" s="19"/>
      <c r="B850" s="98"/>
      <c r="C850" s="506">
        <f t="shared" si="197"/>
        <v>0</v>
      </c>
      <c r="D850" s="505">
        <f t="shared" si="198"/>
        <v>0</v>
      </c>
      <c r="E850" s="58"/>
      <c r="F850" s="223"/>
      <c r="G850" s="58"/>
      <c r="H850" s="58"/>
      <c r="I850" s="218">
        <f>INDEX('Prop. prices'!$I$8:$AB$82,MATCH($C850,'Prop. prices'!$C$8:$C$82,0),MATCH(I$818,'Prop. prices'!$I$5:$AB$5,0))</f>
        <v>0</v>
      </c>
      <c r="J850" s="218">
        <f>INDEX('Prop. prices'!$I$8:$AB$82,MATCH($C850,'Prop. prices'!$C$8:$C$82,0),MATCH(J$818,'Prop. prices'!$I$5:$AB$5,0))</f>
        <v>0</v>
      </c>
      <c r="K850" s="218">
        <f>INDEX('Prop. prices'!$I$8:$AB$82,MATCH($C850,'Prop. prices'!$C$8:$C$82,0),MATCH(K$818,'Prop. prices'!$I$5:$AB$5,0))</f>
        <v>0</v>
      </c>
      <c r="L850" s="218">
        <f>INDEX('Prop. prices'!$I$8:$AB$82,MATCH($C850,'Prop. prices'!$C$8:$C$82,0),MATCH(L$818,'Prop. prices'!$I$5:$AB$5,0))</f>
        <v>0</v>
      </c>
      <c r="M850" s="218">
        <f>INDEX('Prop. prices'!$I$8:$AB$82,MATCH($C850,'Prop. prices'!$C$8:$C$82,0),MATCH(M$818,'Prop. prices'!$I$5:$AB$5,0))</f>
        <v>0</v>
      </c>
      <c r="N850" s="218">
        <f>INDEX('Prop. prices'!$I$8:$AB$82,MATCH($C850,'Prop. prices'!$C$8:$C$82,0),MATCH(N$818,'Prop. prices'!$I$5:$AB$5,0))</f>
        <v>0</v>
      </c>
      <c r="O850" s="218">
        <f>INDEX('Prop. prices'!$I$8:$AB$82,MATCH($C850,'Prop. prices'!$C$8:$C$82,0),MATCH(O$818,'Prop. prices'!$I$5:$AB$5,0))</f>
        <v>0</v>
      </c>
      <c r="P850" s="218">
        <f>INDEX('Prop. prices'!$I$8:$AB$82,MATCH($C850,'Prop. prices'!$C$8:$C$82,0),MATCH(P$818,'Prop. prices'!$I$5:$AB$5,0))</f>
        <v>0</v>
      </c>
      <c r="Q850" s="218">
        <f>INDEX('Prop. prices'!$I$8:$AB$82,MATCH($C850,'Prop. prices'!$C$8:$C$82,0),MATCH(Q$818,'Prop. prices'!$I$5:$AB$5,0))</f>
        <v>0</v>
      </c>
      <c r="R850" s="218">
        <f>INDEX('Prop. prices'!$I$8:$AB$82,MATCH($C850,'Prop. prices'!$C$8:$C$82,0),MATCH(R$818,'Prop. prices'!$I$5:$AB$5,0))</f>
        <v>0</v>
      </c>
      <c r="S850" s="218">
        <f>INDEX('Prop. prices'!$I$8:$AB$82,MATCH($C850,'Prop. prices'!$C$8:$C$82,0),MATCH(S$818,'Prop. prices'!$I$5:$AB$5,0))</f>
        <v>0</v>
      </c>
      <c r="T850" s="218">
        <f>INDEX('Prop. prices'!$I$8:$AB$82,MATCH($C850,'Prop. prices'!$C$8:$C$82,0),MATCH(T$818,'Prop. prices'!$I$5:$AB$5,0))</f>
        <v>0</v>
      </c>
      <c r="U850" s="218">
        <f>INDEX('Prop. prices'!$I$8:$AB$82,MATCH($C850,'Prop. prices'!$C$8:$C$82,0),MATCH(U$818,'Prop. prices'!$I$5:$AB$5,0))</f>
        <v>0</v>
      </c>
      <c r="V850" s="218">
        <f>INDEX('Prop. prices'!$I$8:$AB$82,MATCH($C850,'Prop. prices'!$C$8:$C$82,0),MATCH(V$818,'Prop. prices'!$I$5:$AB$5,0))</f>
        <v>0</v>
      </c>
      <c r="W850" s="218">
        <f>INDEX('Prop. prices'!$I$8:$AB$82,MATCH($C850,'Prop. prices'!$C$8:$C$82,0),MATCH(W$818,'Prop. prices'!$I$5:$AB$5,0))</f>
        <v>0</v>
      </c>
      <c r="X850" s="218">
        <f>INDEX('Prop. prices'!$I$8:$AB$82,MATCH($C850,'Prop. prices'!$C$8:$C$82,0),MATCH(X$818,'Prop. prices'!$I$5:$AB$5,0))</f>
        <v>0</v>
      </c>
      <c r="Y850" s="218">
        <f>INDEX('Prop. prices'!$I$8:$AB$82,MATCH($C850,'Prop. prices'!$C$8:$C$82,0),MATCH(Y$818,'Prop. prices'!$I$5:$AB$5,0))</f>
        <v>0</v>
      </c>
      <c r="Z850" s="218">
        <f>INDEX('Prop. prices'!$I$8:$AB$82,MATCH($C850,'Prop. prices'!$C$8:$C$82,0),MATCH(Z$818,'Prop. prices'!$I$5:$AB$5,0))</f>
        <v>0</v>
      </c>
      <c r="AA850" s="218">
        <f>INDEX('Prop. prices'!$I$8:$AB$82,MATCH($C850,'Prop. prices'!$C$8:$C$82,0),MATCH(AA$818,'Prop. prices'!$I$5:$AB$5,0))</f>
        <v>0</v>
      </c>
      <c r="AB850" s="218">
        <f>INDEX('Prop. prices'!$I$8:$AB$82,MATCH($C850,'Prop. prices'!$C$8:$C$82,0),MATCH(AB$818,'Prop. prices'!$I$5:$AB$5,0))</f>
        <v>0</v>
      </c>
      <c r="AC850" s="187"/>
      <c r="AD850" s="19"/>
      <c r="AE850" s="19"/>
      <c r="AF850" s="19"/>
      <c r="AG850" s="19"/>
    </row>
    <row r="851" spans="1:33" outlineLevel="2" collapsed="1" x14ac:dyDescent="0.2">
      <c r="A851" s="19"/>
      <c r="B851" s="19"/>
      <c r="C851" s="560"/>
      <c r="D851" s="559"/>
      <c r="E851" s="58"/>
      <c r="F851" s="66"/>
      <c r="G851" s="58"/>
      <c r="H851" s="58"/>
      <c r="I851" s="186"/>
      <c r="J851" s="186"/>
      <c r="K851" s="187"/>
      <c r="L851" s="187"/>
      <c r="M851" s="187"/>
      <c r="N851" s="188"/>
      <c r="O851" s="188"/>
      <c r="P851" s="188"/>
      <c r="Q851" s="188"/>
      <c r="R851" s="188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9"/>
      <c r="AE851" s="19"/>
      <c r="AF851" s="19"/>
      <c r="AG851" s="19"/>
    </row>
    <row r="852" spans="1:33" outlineLevel="1" x14ac:dyDescent="0.2">
      <c r="A852" s="19"/>
      <c r="B852" s="19"/>
      <c r="C852" s="217"/>
      <c r="D852" s="536"/>
      <c r="E852" s="58"/>
      <c r="F852" s="66"/>
      <c r="G852" s="58"/>
      <c r="H852" s="58"/>
      <c r="I852" s="186"/>
      <c r="J852" s="186"/>
      <c r="K852" s="187"/>
      <c r="L852" s="187"/>
      <c r="M852" s="187"/>
      <c r="N852" s="188"/>
      <c r="O852" s="188"/>
      <c r="P852" s="188"/>
      <c r="Q852" s="188"/>
      <c r="R852" s="188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9"/>
      <c r="AE852" s="19"/>
      <c r="AF852" s="19"/>
      <c r="AG852" s="19"/>
    </row>
    <row r="853" spans="1:33" outlineLevel="1" x14ac:dyDescent="0.2">
      <c r="A853" s="19"/>
      <c r="B853" s="19"/>
      <c r="C853" s="167" t="s">
        <v>219</v>
      </c>
      <c r="D853" s="512"/>
      <c r="E853" s="20"/>
      <c r="F853" s="167"/>
      <c r="G853" s="22"/>
      <c r="H853" s="22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9"/>
      <c r="AE853" s="19"/>
      <c r="AF853" s="19"/>
      <c r="AG853" s="19"/>
    </row>
    <row r="854" spans="1:33" outlineLevel="2" x14ac:dyDescent="0.2">
      <c r="A854" s="19"/>
      <c r="B854" s="19"/>
      <c r="C854" s="506" t="str">
        <f t="shared" ref="C854:D883" si="199">C821</f>
        <v>Residential time of use consumption</v>
      </c>
      <c r="D854" s="505" t="str">
        <f t="shared" si="199"/>
        <v>yes</v>
      </c>
      <c r="E854" s="20"/>
      <c r="F854" s="223"/>
      <c r="G854" s="22"/>
      <c r="H854" s="22"/>
      <c r="I854" s="218">
        <f>INDEX('Prop. prices'!$I$86:$AB$160,MATCH($C854,'Prop. prices'!$C$86:$C$160,0),MATCH(I$818,'Prop. prices'!$I$5:$AB$5,0))</f>
        <v>0</v>
      </c>
      <c r="J854" s="218">
        <f>INDEX('Prop. prices'!$I$86:$AB$160,MATCH($C854,'Prop. prices'!$C$86:$C$160,0),MATCH(J$818,'Prop. prices'!$I$5:$AB$5,0))</f>
        <v>0</v>
      </c>
      <c r="K854" s="218">
        <f>INDEX('Prop. prices'!$I$86:$AB$160,MATCH($C854,'Prop. prices'!$C$86:$C$160,0),MATCH(K$818,'Prop. prices'!$I$5:$AB$5,0))</f>
        <v>3.7160000000000002</v>
      </c>
      <c r="L854" s="218">
        <f>INDEX('Prop. prices'!$I$86:$AB$160,MATCH($C854,'Prop. prices'!$C$86:$C$160,0),MATCH(L$818,'Prop. prices'!$I$5:$AB$5,0))</f>
        <v>0</v>
      </c>
      <c r="M854" s="218">
        <f>INDEX('Prop. prices'!$I$86:$AB$160,MATCH($C854,'Prop. prices'!$C$86:$C$160,0),MATCH(M$818,'Prop. prices'!$I$5:$AB$5,0))</f>
        <v>0.74299999999999999</v>
      </c>
      <c r="N854" s="218">
        <f>INDEX('Prop. prices'!$I$86:$AB$160,MATCH($C854,'Prop. prices'!$C$86:$C$160,0),MATCH(N$818,'Prop. prices'!$I$5:$AB$5,0))</f>
        <v>0</v>
      </c>
      <c r="O854" s="218">
        <f>INDEX('Prop. prices'!$I$86:$AB$160,MATCH($C854,'Prop. prices'!$C$86:$C$160,0),MATCH(O$818,'Prop. prices'!$I$5:$AB$5,0))</f>
        <v>0</v>
      </c>
      <c r="P854" s="218">
        <f>INDEX('Prop. prices'!$I$86:$AB$160,MATCH($C854,'Prop. prices'!$C$86:$C$160,0),MATCH(P$818,'Prop. prices'!$I$5:$AB$5,0))</f>
        <v>0</v>
      </c>
      <c r="Q854" s="218">
        <f>INDEX('Prop. prices'!$I$86:$AB$160,MATCH($C854,'Prop. prices'!$C$86:$C$160,0),MATCH(Q$818,'Prop. prices'!$I$5:$AB$5,0))</f>
        <v>0</v>
      </c>
      <c r="R854" s="218">
        <f>INDEX('Prop. prices'!$I$86:$AB$160,MATCH($C854,'Prop. prices'!$C$86:$C$160,0),MATCH(R$818,'Prop. prices'!$I$5:$AB$5,0))</f>
        <v>0</v>
      </c>
      <c r="S854" s="218">
        <f>INDEX('Prop. prices'!$I$86:$AB$160,MATCH($C854,'Prop. prices'!$C$86:$C$160,0),MATCH(S$818,'Prop. prices'!$I$5:$AB$5,0))</f>
        <v>0</v>
      </c>
      <c r="T854" s="218">
        <f>INDEX('Prop. prices'!$I$86:$AB$160,MATCH($C854,'Prop. prices'!$C$86:$C$160,0),MATCH(T$818,'Prop. prices'!$I$5:$AB$5,0))</f>
        <v>0</v>
      </c>
      <c r="U854" s="218">
        <f>INDEX('Prop. prices'!$I$86:$AB$160,MATCH($C854,'Prop. prices'!$C$86:$C$160,0),MATCH(U$818,'Prop. prices'!$I$5:$AB$5,0))</f>
        <v>0</v>
      </c>
      <c r="V854" s="218">
        <f>INDEX('Prop. prices'!$I$86:$AB$160,MATCH($C854,'Prop. prices'!$C$86:$C$160,0),MATCH(V$818,'Prop. prices'!$I$5:$AB$5,0))</f>
        <v>0</v>
      </c>
      <c r="W854" s="218">
        <f>INDEX('Prop. prices'!$I$86:$AB$160,MATCH($C854,'Prop. prices'!$C$86:$C$160,0),MATCH(W$818,'Prop. prices'!$I$5:$AB$5,0))</f>
        <v>0</v>
      </c>
      <c r="X854" s="218">
        <f>INDEX('Prop. prices'!$I$86:$AB$160,MATCH($C854,'Prop. prices'!$C$86:$C$160,0),MATCH(X$818,'Prop. prices'!$I$5:$AB$5,0))</f>
        <v>0</v>
      </c>
      <c r="Y854" s="218">
        <f>INDEX('Prop. prices'!$I$86:$AB$160,MATCH($C854,'Prop. prices'!$C$86:$C$160,0),MATCH(Y$818,'Prop. prices'!$I$5:$AB$5,0))</f>
        <v>0</v>
      </c>
      <c r="Z854" s="218">
        <f>INDEX('Prop. prices'!$I$86:$AB$160,MATCH($C854,'Prop. prices'!$C$86:$C$160,0),MATCH(Z$818,'Prop. prices'!$I$5:$AB$5,0))</f>
        <v>0</v>
      </c>
      <c r="AA854" s="218">
        <f>INDEX('Prop. prices'!$I$86:$AB$160,MATCH($C854,'Prop. prices'!$C$86:$C$160,0),MATCH(AA$818,'Prop. prices'!$I$5:$AB$5,0))</f>
        <v>0</v>
      </c>
      <c r="AB854" s="218">
        <f>INDEX('Prop. prices'!$I$86:$AB$160,MATCH($C854,'Prop. prices'!$C$86:$C$160,0),MATCH(AB$818,'Prop. prices'!$I$5:$AB$5,0))</f>
        <v>0</v>
      </c>
      <c r="AC854" s="187"/>
      <c r="AD854" s="19"/>
      <c r="AE854" s="19"/>
      <c r="AF854" s="19"/>
      <c r="AG854" s="19"/>
    </row>
    <row r="855" spans="1:33" s="59" customFormat="1" outlineLevel="2" x14ac:dyDescent="0.2">
      <c r="A855" s="57"/>
      <c r="B855" s="57"/>
      <c r="C855" s="506" t="str">
        <f t="shared" si="199"/>
        <v>Residential general light and power</v>
      </c>
      <c r="D855" s="505" t="str">
        <f t="shared" si="199"/>
        <v>no</v>
      </c>
      <c r="E855" s="58"/>
      <c r="F855" s="223"/>
      <c r="G855" s="58"/>
      <c r="H855" s="58"/>
      <c r="I855" s="218">
        <f>INDEX('Prop. prices'!$I$86:$AB$160,MATCH($C855,'Prop. prices'!$C$86:$C$160,0),MATCH(I$818,'Prop. prices'!$I$5:$AB$5,0))</f>
        <v>0</v>
      </c>
      <c r="J855" s="218">
        <f>INDEX('Prop. prices'!$I$86:$AB$160,MATCH($C855,'Prop. prices'!$C$86:$C$160,0),MATCH(J$818,'Prop. prices'!$I$5:$AB$5,0))</f>
        <v>1.964</v>
      </c>
      <c r="K855" s="218">
        <f>INDEX('Prop. prices'!$I$86:$AB$160,MATCH($C855,'Prop. prices'!$C$86:$C$160,0),MATCH(K$818,'Prop. prices'!$I$5:$AB$5,0))</f>
        <v>0</v>
      </c>
      <c r="L855" s="218">
        <f>INDEX('Prop. prices'!$I$86:$AB$160,MATCH($C855,'Prop. prices'!$C$86:$C$160,0),MATCH(L$818,'Prop. prices'!$I$5:$AB$5,0))</f>
        <v>0</v>
      </c>
      <c r="M855" s="218">
        <f>INDEX('Prop. prices'!$I$86:$AB$160,MATCH($C855,'Prop. prices'!$C$86:$C$160,0),MATCH(M$818,'Prop. prices'!$I$5:$AB$5,0))</f>
        <v>0</v>
      </c>
      <c r="N855" s="218">
        <f>INDEX('Prop. prices'!$I$86:$AB$160,MATCH($C855,'Prop. prices'!$C$86:$C$160,0),MATCH(N$818,'Prop. prices'!$I$5:$AB$5,0))</f>
        <v>0</v>
      </c>
      <c r="O855" s="218">
        <f>INDEX('Prop. prices'!$I$86:$AB$160,MATCH($C855,'Prop. prices'!$C$86:$C$160,0),MATCH(O$818,'Prop. prices'!$I$5:$AB$5,0))</f>
        <v>0</v>
      </c>
      <c r="P855" s="218">
        <f>INDEX('Prop. prices'!$I$86:$AB$160,MATCH($C855,'Prop. prices'!$C$86:$C$160,0),MATCH(P$818,'Prop. prices'!$I$5:$AB$5,0))</f>
        <v>0</v>
      </c>
      <c r="Q855" s="218">
        <f>INDEX('Prop. prices'!$I$86:$AB$160,MATCH($C855,'Prop. prices'!$C$86:$C$160,0),MATCH(Q$818,'Prop. prices'!$I$5:$AB$5,0))</f>
        <v>0</v>
      </c>
      <c r="R855" s="218">
        <f>INDEX('Prop. prices'!$I$86:$AB$160,MATCH($C855,'Prop. prices'!$C$86:$C$160,0),MATCH(R$818,'Prop. prices'!$I$5:$AB$5,0))</f>
        <v>0</v>
      </c>
      <c r="S855" s="218">
        <f>INDEX('Prop. prices'!$I$86:$AB$160,MATCH($C855,'Prop. prices'!$C$86:$C$160,0),MATCH(S$818,'Prop. prices'!$I$5:$AB$5,0))</f>
        <v>0</v>
      </c>
      <c r="T855" s="218">
        <f>INDEX('Prop. prices'!$I$86:$AB$160,MATCH($C855,'Prop. prices'!$C$86:$C$160,0),MATCH(T$818,'Prop. prices'!$I$5:$AB$5,0))</f>
        <v>0</v>
      </c>
      <c r="U855" s="218">
        <f>INDEX('Prop. prices'!$I$86:$AB$160,MATCH($C855,'Prop. prices'!$C$86:$C$160,0),MATCH(U$818,'Prop. prices'!$I$5:$AB$5,0))</f>
        <v>0</v>
      </c>
      <c r="V855" s="218">
        <f>INDEX('Prop. prices'!$I$86:$AB$160,MATCH($C855,'Prop. prices'!$C$86:$C$160,0),MATCH(V$818,'Prop. prices'!$I$5:$AB$5,0))</f>
        <v>0</v>
      </c>
      <c r="W855" s="218">
        <f>INDEX('Prop. prices'!$I$86:$AB$160,MATCH($C855,'Prop. prices'!$C$86:$C$160,0),MATCH(W$818,'Prop. prices'!$I$5:$AB$5,0))</f>
        <v>0</v>
      </c>
      <c r="X855" s="218">
        <f>INDEX('Prop. prices'!$I$86:$AB$160,MATCH($C855,'Prop. prices'!$C$86:$C$160,0),MATCH(X$818,'Prop. prices'!$I$5:$AB$5,0))</f>
        <v>0</v>
      </c>
      <c r="Y855" s="218">
        <f>INDEX('Prop. prices'!$I$86:$AB$160,MATCH($C855,'Prop. prices'!$C$86:$C$160,0),MATCH(Y$818,'Prop. prices'!$I$5:$AB$5,0))</f>
        <v>0</v>
      </c>
      <c r="Z855" s="218">
        <f>INDEX('Prop. prices'!$I$86:$AB$160,MATCH($C855,'Prop. prices'!$C$86:$C$160,0),MATCH(Z$818,'Prop. prices'!$I$5:$AB$5,0))</f>
        <v>0</v>
      </c>
      <c r="AA855" s="218">
        <f>INDEX('Prop. prices'!$I$86:$AB$160,MATCH($C855,'Prop. prices'!$C$86:$C$160,0),MATCH(AA$818,'Prop. prices'!$I$5:$AB$5,0))</f>
        <v>0</v>
      </c>
      <c r="AB855" s="218">
        <f>INDEX('Prop. prices'!$I$86:$AB$160,MATCH($C855,'Prop. prices'!$C$86:$C$160,0),MATCH(AB$818,'Prop. prices'!$I$5:$AB$5,0))</f>
        <v>0</v>
      </c>
      <c r="AC855" s="187"/>
      <c r="AD855" s="57"/>
      <c r="AE855" s="57"/>
      <c r="AF855" s="57"/>
      <c r="AG855" s="57"/>
    </row>
    <row r="856" spans="1:33" outlineLevel="2" x14ac:dyDescent="0.2">
      <c r="A856" s="19"/>
      <c r="B856" s="19"/>
      <c r="C856" s="506" t="str">
        <f t="shared" si="199"/>
        <v>Residential pay as you go</v>
      </c>
      <c r="D856" s="505" t="str">
        <f t="shared" si="199"/>
        <v>no</v>
      </c>
      <c r="E856" s="58"/>
      <c r="F856" s="223"/>
      <c r="G856" s="58"/>
      <c r="H856" s="58"/>
      <c r="I856" s="218">
        <f>INDEX('Prop. prices'!$I$86:$AB$160,MATCH($C856,'Prop. prices'!$C$86:$C$160,0),MATCH(I$818,'Prop. prices'!$I$5:$AB$5,0))</f>
        <v>0</v>
      </c>
      <c r="J856" s="218">
        <f>INDEX('Prop. prices'!$I$86:$AB$160,MATCH($C856,'Prop. prices'!$C$86:$C$160,0),MATCH(J$818,'Prop. prices'!$I$5:$AB$5,0))</f>
        <v>1.403</v>
      </c>
      <c r="K856" s="218">
        <f>INDEX('Prop. prices'!$I$86:$AB$160,MATCH($C856,'Prop. prices'!$C$86:$C$160,0),MATCH(K$818,'Prop. prices'!$I$5:$AB$5,0))</f>
        <v>0</v>
      </c>
      <c r="L856" s="218">
        <f>INDEX('Prop. prices'!$I$86:$AB$160,MATCH($C856,'Prop. prices'!$C$86:$C$160,0),MATCH(L$818,'Prop. prices'!$I$5:$AB$5,0))</f>
        <v>0</v>
      </c>
      <c r="M856" s="218">
        <f>INDEX('Prop. prices'!$I$86:$AB$160,MATCH($C856,'Prop. prices'!$C$86:$C$160,0),MATCH(M$818,'Prop. prices'!$I$5:$AB$5,0))</f>
        <v>0</v>
      </c>
      <c r="N856" s="218">
        <f>INDEX('Prop. prices'!$I$86:$AB$160,MATCH($C856,'Prop. prices'!$C$86:$C$160,0),MATCH(N$818,'Prop. prices'!$I$5:$AB$5,0))</f>
        <v>0</v>
      </c>
      <c r="O856" s="218">
        <f>INDEX('Prop. prices'!$I$86:$AB$160,MATCH($C856,'Prop. prices'!$C$86:$C$160,0),MATCH(O$818,'Prop. prices'!$I$5:$AB$5,0))</f>
        <v>0</v>
      </c>
      <c r="P856" s="218">
        <f>INDEX('Prop. prices'!$I$86:$AB$160,MATCH($C856,'Prop. prices'!$C$86:$C$160,0),MATCH(P$818,'Prop. prices'!$I$5:$AB$5,0))</f>
        <v>0</v>
      </c>
      <c r="Q856" s="218">
        <f>INDEX('Prop. prices'!$I$86:$AB$160,MATCH($C856,'Prop. prices'!$C$86:$C$160,0),MATCH(Q$818,'Prop. prices'!$I$5:$AB$5,0))</f>
        <v>0</v>
      </c>
      <c r="R856" s="218">
        <f>INDEX('Prop. prices'!$I$86:$AB$160,MATCH($C856,'Prop. prices'!$C$86:$C$160,0),MATCH(R$818,'Prop. prices'!$I$5:$AB$5,0))</f>
        <v>0</v>
      </c>
      <c r="S856" s="218">
        <f>INDEX('Prop. prices'!$I$86:$AB$160,MATCH($C856,'Prop. prices'!$C$86:$C$160,0),MATCH(S$818,'Prop. prices'!$I$5:$AB$5,0))</f>
        <v>0</v>
      </c>
      <c r="T856" s="218">
        <f>INDEX('Prop. prices'!$I$86:$AB$160,MATCH($C856,'Prop. prices'!$C$86:$C$160,0),MATCH(T$818,'Prop. prices'!$I$5:$AB$5,0))</f>
        <v>0</v>
      </c>
      <c r="U856" s="218">
        <f>INDEX('Prop. prices'!$I$86:$AB$160,MATCH($C856,'Prop. prices'!$C$86:$C$160,0),MATCH(U$818,'Prop. prices'!$I$5:$AB$5,0))</f>
        <v>0</v>
      </c>
      <c r="V856" s="218">
        <f>INDEX('Prop. prices'!$I$86:$AB$160,MATCH($C856,'Prop. prices'!$C$86:$C$160,0),MATCH(V$818,'Prop. prices'!$I$5:$AB$5,0))</f>
        <v>0</v>
      </c>
      <c r="W856" s="218">
        <f>INDEX('Prop. prices'!$I$86:$AB$160,MATCH($C856,'Prop. prices'!$C$86:$C$160,0),MATCH(W$818,'Prop. prices'!$I$5:$AB$5,0))</f>
        <v>0</v>
      </c>
      <c r="X856" s="218">
        <f>INDEX('Prop. prices'!$I$86:$AB$160,MATCH($C856,'Prop. prices'!$C$86:$C$160,0),MATCH(X$818,'Prop. prices'!$I$5:$AB$5,0))</f>
        <v>0</v>
      </c>
      <c r="Y856" s="218">
        <f>INDEX('Prop. prices'!$I$86:$AB$160,MATCH($C856,'Prop. prices'!$C$86:$C$160,0),MATCH(Y$818,'Prop. prices'!$I$5:$AB$5,0))</f>
        <v>0</v>
      </c>
      <c r="Z856" s="218">
        <f>INDEX('Prop. prices'!$I$86:$AB$160,MATCH($C856,'Prop. prices'!$C$86:$C$160,0),MATCH(Z$818,'Prop. prices'!$I$5:$AB$5,0))</f>
        <v>0</v>
      </c>
      <c r="AA856" s="218">
        <f>INDEX('Prop. prices'!$I$86:$AB$160,MATCH($C856,'Prop. prices'!$C$86:$C$160,0),MATCH(AA$818,'Prop. prices'!$I$5:$AB$5,0))</f>
        <v>0</v>
      </c>
      <c r="AB856" s="218">
        <f>INDEX('Prop. prices'!$I$86:$AB$160,MATCH($C856,'Prop. prices'!$C$86:$C$160,0),MATCH(AB$818,'Prop. prices'!$I$5:$AB$5,0))</f>
        <v>0</v>
      </c>
      <c r="AC856" s="187"/>
      <c r="AD856" s="19"/>
      <c r="AE856" s="19"/>
      <c r="AF856" s="19"/>
      <c r="AG856" s="19"/>
    </row>
    <row r="857" spans="1:33" outlineLevel="2" x14ac:dyDescent="0.2">
      <c r="A857" s="19"/>
      <c r="B857" s="19"/>
      <c r="C857" s="506" t="str">
        <f t="shared" si="199"/>
        <v>Residential pay as you go time of use</v>
      </c>
      <c r="D857" s="505" t="str">
        <f t="shared" si="199"/>
        <v>no</v>
      </c>
      <c r="E857" s="58"/>
      <c r="F857" s="223"/>
      <c r="G857" s="58"/>
      <c r="H857" s="58"/>
      <c r="I857" s="218">
        <f>INDEX('Prop. prices'!$I$86:$AB$160,MATCH($C857,'Prop. prices'!$C$86:$C$160,0),MATCH(I$818,'Prop. prices'!$I$5:$AB$5,0))</f>
        <v>0</v>
      </c>
      <c r="J857" s="218">
        <f>INDEX('Prop. prices'!$I$86:$AB$160,MATCH($C857,'Prop. prices'!$C$86:$C$160,0),MATCH(J$818,'Prop. prices'!$I$5:$AB$5,0))</f>
        <v>0</v>
      </c>
      <c r="K857" s="218">
        <f>INDEX('Prop. prices'!$I$86:$AB$160,MATCH($C857,'Prop. prices'!$C$86:$C$160,0),MATCH(K$818,'Prop. prices'!$I$5:$AB$5,0))</f>
        <v>3.7160000000000002</v>
      </c>
      <c r="L857" s="218">
        <f>INDEX('Prop. prices'!$I$86:$AB$160,MATCH($C857,'Prop. prices'!$C$86:$C$160,0),MATCH(L$818,'Prop. prices'!$I$5:$AB$5,0))</f>
        <v>0</v>
      </c>
      <c r="M857" s="218">
        <f>INDEX('Prop. prices'!$I$86:$AB$160,MATCH($C857,'Prop. prices'!$C$86:$C$160,0),MATCH(M$818,'Prop. prices'!$I$5:$AB$5,0))</f>
        <v>0.74299999999999999</v>
      </c>
      <c r="N857" s="218">
        <f>INDEX('Prop. prices'!$I$86:$AB$160,MATCH($C857,'Prop. prices'!$C$86:$C$160,0),MATCH(N$818,'Prop. prices'!$I$5:$AB$5,0))</f>
        <v>0</v>
      </c>
      <c r="O857" s="218">
        <f>INDEX('Prop. prices'!$I$86:$AB$160,MATCH($C857,'Prop. prices'!$C$86:$C$160,0),MATCH(O$818,'Prop. prices'!$I$5:$AB$5,0))</f>
        <v>0</v>
      </c>
      <c r="P857" s="218">
        <f>INDEX('Prop. prices'!$I$86:$AB$160,MATCH($C857,'Prop. prices'!$C$86:$C$160,0),MATCH(P$818,'Prop. prices'!$I$5:$AB$5,0))</f>
        <v>0</v>
      </c>
      <c r="Q857" s="218">
        <f>INDEX('Prop. prices'!$I$86:$AB$160,MATCH($C857,'Prop. prices'!$C$86:$C$160,0),MATCH(Q$818,'Prop. prices'!$I$5:$AB$5,0))</f>
        <v>0</v>
      </c>
      <c r="R857" s="218">
        <f>INDEX('Prop. prices'!$I$86:$AB$160,MATCH($C857,'Prop. prices'!$C$86:$C$160,0),MATCH(R$818,'Prop. prices'!$I$5:$AB$5,0))</f>
        <v>0</v>
      </c>
      <c r="S857" s="218">
        <f>INDEX('Prop. prices'!$I$86:$AB$160,MATCH($C857,'Prop. prices'!$C$86:$C$160,0),MATCH(S$818,'Prop. prices'!$I$5:$AB$5,0))</f>
        <v>0</v>
      </c>
      <c r="T857" s="218">
        <f>INDEX('Prop. prices'!$I$86:$AB$160,MATCH($C857,'Prop. prices'!$C$86:$C$160,0),MATCH(T$818,'Prop. prices'!$I$5:$AB$5,0))</f>
        <v>0</v>
      </c>
      <c r="U857" s="218">
        <f>INDEX('Prop. prices'!$I$86:$AB$160,MATCH($C857,'Prop. prices'!$C$86:$C$160,0),MATCH(U$818,'Prop. prices'!$I$5:$AB$5,0))</f>
        <v>0</v>
      </c>
      <c r="V857" s="218">
        <f>INDEX('Prop. prices'!$I$86:$AB$160,MATCH($C857,'Prop. prices'!$C$86:$C$160,0),MATCH(V$818,'Prop. prices'!$I$5:$AB$5,0))</f>
        <v>0</v>
      </c>
      <c r="W857" s="218">
        <f>INDEX('Prop. prices'!$I$86:$AB$160,MATCH($C857,'Prop. prices'!$C$86:$C$160,0),MATCH(W$818,'Prop. prices'!$I$5:$AB$5,0))</f>
        <v>0</v>
      </c>
      <c r="X857" s="218">
        <f>INDEX('Prop. prices'!$I$86:$AB$160,MATCH($C857,'Prop. prices'!$C$86:$C$160,0),MATCH(X$818,'Prop. prices'!$I$5:$AB$5,0))</f>
        <v>0</v>
      </c>
      <c r="Y857" s="218">
        <f>INDEX('Prop. prices'!$I$86:$AB$160,MATCH($C857,'Prop. prices'!$C$86:$C$160,0),MATCH(Y$818,'Prop. prices'!$I$5:$AB$5,0))</f>
        <v>0</v>
      </c>
      <c r="Z857" s="218">
        <f>INDEX('Prop. prices'!$I$86:$AB$160,MATCH($C857,'Prop. prices'!$C$86:$C$160,0),MATCH(Z$818,'Prop. prices'!$I$5:$AB$5,0))</f>
        <v>0</v>
      </c>
      <c r="AA857" s="218">
        <f>INDEX('Prop. prices'!$I$86:$AB$160,MATCH($C857,'Prop. prices'!$C$86:$C$160,0),MATCH(AA$818,'Prop. prices'!$I$5:$AB$5,0))</f>
        <v>0</v>
      </c>
      <c r="AB857" s="218">
        <f>INDEX('Prop. prices'!$I$86:$AB$160,MATCH($C857,'Prop. prices'!$C$86:$C$160,0),MATCH(AB$818,'Prop. prices'!$I$5:$AB$5,0))</f>
        <v>0</v>
      </c>
      <c r="AC857" s="187"/>
      <c r="AD857" s="19"/>
      <c r="AE857" s="19"/>
      <c r="AF857" s="19"/>
      <c r="AG857" s="19"/>
    </row>
    <row r="858" spans="1:33" outlineLevel="2" x14ac:dyDescent="0.2">
      <c r="A858" s="19"/>
      <c r="B858" s="19"/>
      <c r="C858" s="506">
        <f t="shared" si="199"/>
        <v>0</v>
      </c>
      <c r="D858" s="505">
        <f t="shared" si="199"/>
        <v>0</v>
      </c>
      <c r="E858" s="58"/>
      <c r="F858" s="223"/>
      <c r="G858" s="58"/>
      <c r="H858" s="58"/>
      <c r="I858" s="218">
        <f>INDEX('Prop. prices'!$I$86:$AB$160,MATCH($C858,'Prop. prices'!$C$86:$C$160,0),MATCH(I$818,'Prop. prices'!$I$5:$AB$5,0))</f>
        <v>0</v>
      </c>
      <c r="J858" s="218">
        <f>INDEX('Prop. prices'!$I$86:$AB$160,MATCH($C858,'Prop. prices'!$C$86:$C$160,0),MATCH(J$818,'Prop. prices'!$I$5:$AB$5,0))</f>
        <v>0</v>
      </c>
      <c r="K858" s="218">
        <f>INDEX('Prop. prices'!$I$86:$AB$160,MATCH($C858,'Prop. prices'!$C$86:$C$160,0),MATCH(K$818,'Prop. prices'!$I$5:$AB$5,0))</f>
        <v>0</v>
      </c>
      <c r="L858" s="218">
        <f>INDEX('Prop. prices'!$I$86:$AB$160,MATCH($C858,'Prop. prices'!$C$86:$C$160,0),MATCH(L$818,'Prop. prices'!$I$5:$AB$5,0))</f>
        <v>0</v>
      </c>
      <c r="M858" s="218">
        <f>INDEX('Prop. prices'!$I$86:$AB$160,MATCH($C858,'Prop. prices'!$C$86:$C$160,0),MATCH(M$818,'Prop. prices'!$I$5:$AB$5,0))</f>
        <v>0</v>
      </c>
      <c r="N858" s="218">
        <f>INDEX('Prop. prices'!$I$86:$AB$160,MATCH($C858,'Prop. prices'!$C$86:$C$160,0),MATCH(N$818,'Prop. prices'!$I$5:$AB$5,0))</f>
        <v>0</v>
      </c>
      <c r="O858" s="218">
        <f>INDEX('Prop. prices'!$I$86:$AB$160,MATCH($C858,'Prop. prices'!$C$86:$C$160,0),MATCH(O$818,'Prop. prices'!$I$5:$AB$5,0))</f>
        <v>0</v>
      </c>
      <c r="P858" s="218">
        <f>INDEX('Prop. prices'!$I$86:$AB$160,MATCH($C858,'Prop. prices'!$C$86:$C$160,0),MATCH(P$818,'Prop. prices'!$I$5:$AB$5,0))</f>
        <v>0</v>
      </c>
      <c r="Q858" s="218">
        <f>INDEX('Prop. prices'!$I$86:$AB$160,MATCH($C858,'Prop. prices'!$C$86:$C$160,0),MATCH(Q$818,'Prop. prices'!$I$5:$AB$5,0))</f>
        <v>0</v>
      </c>
      <c r="R858" s="218">
        <f>INDEX('Prop. prices'!$I$86:$AB$160,MATCH($C858,'Prop. prices'!$C$86:$C$160,0),MATCH(R$818,'Prop. prices'!$I$5:$AB$5,0))</f>
        <v>0</v>
      </c>
      <c r="S858" s="218">
        <f>INDEX('Prop. prices'!$I$86:$AB$160,MATCH($C858,'Prop. prices'!$C$86:$C$160,0),MATCH(S$818,'Prop. prices'!$I$5:$AB$5,0))</f>
        <v>0</v>
      </c>
      <c r="T858" s="218">
        <f>INDEX('Prop. prices'!$I$86:$AB$160,MATCH($C858,'Prop. prices'!$C$86:$C$160,0),MATCH(T$818,'Prop. prices'!$I$5:$AB$5,0))</f>
        <v>0</v>
      </c>
      <c r="U858" s="218">
        <f>INDEX('Prop. prices'!$I$86:$AB$160,MATCH($C858,'Prop. prices'!$C$86:$C$160,0),MATCH(U$818,'Prop. prices'!$I$5:$AB$5,0))</f>
        <v>0</v>
      </c>
      <c r="V858" s="218">
        <f>INDEX('Prop. prices'!$I$86:$AB$160,MATCH($C858,'Prop. prices'!$C$86:$C$160,0),MATCH(V$818,'Prop. prices'!$I$5:$AB$5,0))</f>
        <v>0</v>
      </c>
      <c r="W858" s="218">
        <f>INDEX('Prop. prices'!$I$86:$AB$160,MATCH($C858,'Prop. prices'!$C$86:$C$160,0),MATCH(W$818,'Prop. prices'!$I$5:$AB$5,0))</f>
        <v>0</v>
      </c>
      <c r="X858" s="218">
        <f>INDEX('Prop. prices'!$I$86:$AB$160,MATCH($C858,'Prop. prices'!$C$86:$C$160,0),MATCH(X$818,'Prop. prices'!$I$5:$AB$5,0))</f>
        <v>0</v>
      </c>
      <c r="Y858" s="218">
        <f>INDEX('Prop. prices'!$I$86:$AB$160,MATCH($C858,'Prop. prices'!$C$86:$C$160,0),MATCH(Y$818,'Prop. prices'!$I$5:$AB$5,0))</f>
        <v>0</v>
      </c>
      <c r="Z858" s="218">
        <f>INDEX('Prop. prices'!$I$86:$AB$160,MATCH($C858,'Prop. prices'!$C$86:$C$160,0),MATCH(Z$818,'Prop. prices'!$I$5:$AB$5,0))</f>
        <v>0</v>
      </c>
      <c r="AA858" s="218">
        <f>INDEX('Prop. prices'!$I$86:$AB$160,MATCH($C858,'Prop. prices'!$C$86:$C$160,0),MATCH(AA$818,'Prop. prices'!$I$5:$AB$5,0))</f>
        <v>0</v>
      </c>
      <c r="AB858" s="218">
        <f>INDEX('Prop. prices'!$I$86:$AB$160,MATCH($C858,'Prop. prices'!$C$86:$C$160,0),MATCH(AB$818,'Prop. prices'!$I$5:$AB$5,0))</f>
        <v>0</v>
      </c>
      <c r="AC858" s="187"/>
      <c r="AD858" s="19"/>
      <c r="AE858" s="19"/>
      <c r="AF858" s="19"/>
      <c r="AG858" s="19"/>
    </row>
    <row r="859" spans="1:33" hidden="1" outlineLevel="3" x14ac:dyDescent="0.2">
      <c r="A859" s="19"/>
      <c r="B859" s="19"/>
      <c r="C859" s="506">
        <f t="shared" si="199"/>
        <v>0</v>
      </c>
      <c r="D859" s="505">
        <f t="shared" si="199"/>
        <v>0</v>
      </c>
      <c r="E859" s="58"/>
      <c r="F859" s="223"/>
      <c r="G859" s="58"/>
      <c r="H859" s="58"/>
      <c r="I859" s="218">
        <f>INDEX('Prop. prices'!$I$86:$AB$160,MATCH($C859,'Prop. prices'!$C$86:$C$160,0),MATCH(I$818,'Prop. prices'!$I$5:$AB$5,0))</f>
        <v>0</v>
      </c>
      <c r="J859" s="218">
        <f>INDEX('Prop. prices'!$I$86:$AB$160,MATCH($C859,'Prop. prices'!$C$86:$C$160,0),MATCH(J$818,'Prop. prices'!$I$5:$AB$5,0))</f>
        <v>0</v>
      </c>
      <c r="K859" s="218">
        <f>INDEX('Prop. prices'!$I$86:$AB$160,MATCH($C859,'Prop. prices'!$C$86:$C$160,0),MATCH(K$818,'Prop. prices'!$I$5:$AB$5,0))</f>
        <v>0</v>
      </c>
      <c r="L859" s="218">
        <f>INDEX('Prop. prices'!$I$86:$AB$160,MATCH($C859,'Prop. prices'!$C$86:$C$160,0),MATCH(L$818,'Prop. prices'!$I$5:$AB$5,0))</f>
        <v>0</v>
      </c>
      <c r="M859" s="218">
        <f>INDEX('Prop. prices'!$I$86:$AB$160,MATCH($C859,'Prop. prices'!$C$86:$C$160,0),MATCH(M$818,'Prop. prices'!$I$5:$AB$5,0))</f>
        <v>0</v>
      </c>
      <c r="N859" s="218">
        <f>INDEX('Prop. prices'!$I$86:$AB$160,MATCH($C859,'Prop. prices'!$C$86:$C$160,0),MATCH(N$818,'Prop. prices'!$I$5:$AB$5,0))</f>
        <v>0</v>
      </c>
      <c r="O859" s="218">
        <f>INDEX('Prop. prices'!$I$86:$AB$160,MATCH($C859,'Prop. prices'!$C$86:$C$160,0),MATCH(O$818,'Prop. prices'!$I$5:$AB$5,0))</f>
        <v>0</v>
      </c>
      <c r="P859" s="218">
        <f>INDEX('Prop. prices'!$I$86:$AB$160,MATCH($C859,'Prop. prices'!$C$86:$C$160,0),MATCH(P$818,'Prop. prices'!$I$5:$AB$5,0))</f>
        <v>0</v>
      </c>
      <c r="Q859" s="218">
        <f>INDEX('Prop. prices'!$I$86:$AB$160,MATCH($C859,'Prop. prices'!$C$86:$C$160,0),MATCH(Q$818,'Prop. prices'!$I$5:$AB$5,0))</f>
        <v>0</v>
      </c>
      <c r="R859" s="218">
        <f>INDEX('Prop. prices'!$I$86:$AB$160,MATCH($C859,'Prop. prices'!$C$86:$C$160,0),MATCH(R$818,'Prop. prices'!$I$5:$AB$5,0))</f>
        <v>0</v>
      </c>
      <c r="S859" s="218">
        <f>INDEX('Prop. prices'!$I$86:$AB$160,MATCH($C859,'Prop. prices'!$C$86:$C$160,0),MATCH(S$818,'Prop. prices'!$I$5:$AB$5,0))</f>
        <v>0</v>
      </c>
      <c r="T859" s="218">
        <f>INDEX('Prop. prices'!$I$86:$AB$160,MATCH($C859,'Prop. prices'!$C$86:$C$160,0),MATCH(T$818,'Prop. prices'!$I$5:$AB$5,0))</f>
        <v>0</v>
      </c>
      <c r="U859" s="218">
        <f>INDEX('Prop. prices'!$I$86:$AB$160,MATCH($C859,'Prop. prices'!$C$86:$C$160,0),MATCH(U$818,'Prop. prices'!$I$5:$AB$5,0))</f>
        <v>0</v>
      </c>
      <c r="V859" s="218">
        <f>INDEX('Prop. prices'!$I$86:$AB$160,MATCH($C859,'Prop. prices'!$C$86:$C$160,0),MATCH(V$818,'Prop. prices'!$I$5:$AB$5,0))</f>
        <v>0</v>
      </c>
      <c r="W859" s="218">
        <f>INDEX('Prop. prices'!$I$86:$AB$160,MATCH($C859,'Prop. prices'!$C$86:$C$160,0),MATCH(W$818,'Prop. prices'!$I$5:$AB$5,0))</f>
        <v>0</v>
      </c>
      <c r="X859" s="218">
        <f>INDEX('Prop. prices'!$I$86:$AB$160,MATCH($C859,'Prop. prices'!$C$86:$C$160,0),MATCH(X$818,'Prop. prices'!$I$5:$AB$5,0))</f>
        <v>0</v>
      </c>
      <c r="Y859" s="218">
        <f>INDEX('Prop. prices'!$I$86:$AB$160,MATCH($C859,'Prop. prices'!$C$86:$C$160,0),MATCH(Y$818,'Prop. prices'!$I$5:$AB$5,0))</f>
        <v>0</v>
      </c>
      <c r="Z859" s="218">
        <f>INDEX('Prop. prices'!$I$86:$AB$160,MATCH($C859,'Prop. prices'!$C$86:$C$160,0),MATCH(Z$818,'Prop. prices'!$I$5:$AB$5,0))</f>
        <v>0</v>
      </c>
      <c r="AA859" s="218">
        <f>INDEX('Prop. prices'!$I$86:$AB$160,MATCH($C859,'Prop. prices'!$C$86:$C$160,0),MATCH(AA$818,'Prop. prices'!$I$5:$AB$5,0))</f>
        <v>0</v>
      </c>
      <c r="AB859" s="218">
        <f>INDEX('Prop. prices'!$I$86:$AB$160,MATCH($C859,'Prop. prices'!$C$86:$C$160,0),MATCH(AB$818,'Prop. prices'!$I$5:$AB$5,0))</f>
        <v>0</v>
      </c>
      <c r="AC859" s="187"/>
      <c r="AD859" s="19"/>
      <c r="AE859" s="19"/>
      <c r="AF859" s="19"/>
      <c r="AG859" s="19"/>
    </row>
    <row r="860" spans="1:33" hidden="1" outlineLevel="3" x14ac:dyDescent="0.2">
      <c r="A860" s="19"/>
      <c r="B860" s="19"/>
      <c r="C860" s="506">
        <f t="shared" si="199"/>
        <v>0</v>
      </c>
      <c r="D860" s="505">
        <f t="shared" si="199"/>
        <v>0</v>
      </c>
      <c r="E860" s="58"/>
      <c r="F860" s="223"/>
      <c r="G860" s="58"/>
      <c r="H860" s="58"/>
      <c r="I860" s="218">
        <f>INDEX('Prop. prices'!$I$86:$AB$160,MATCH($C860,'Prop. prices'!$C$86:$C$160,0),MATCH(I$818,'Prop. prices'!$I$5:$AB$5,0))</f>
        <v>0</v>
      </c>
      <c r="J860" s="218">
        <f>INDEX('Prop. prices'!$I$86:$AB$160,MATCH($C860,'Prop. prices'!$C$86:$C$160,0),MATCH(J$818,'Prop. prices'!$I$5:$AB$5,0))</f>
        <v>0</v>
      </c>
      <c r="K860" s="218">
        <f>INDEX('Prop. prices'!$I$86:$AB$160,MATCH($C860,'Prop. prices'!$C$86:$C$160,0),MATCH(K$818,'Prop. prices'!$I$5:$AB$5,0))</f>
        <v>0</v>
      </c>
      <c r="L860" s="218">
        <f>INDEX('Prop. prices'!$I$86:$AB$160,MATCH($C860,'Prop. prices'!$C$86:$C$160,0),MATCH(L$818,'Prop. prices'!$I$5:$AB$5,0))</f>
        <v>0</v>
      </c>
      <c r="M860" s="218">
        <f>INDEX('Prop. prices'!$I$86:$AB$160,MATCH($C860,'Prop. prices'!$C$86:$C$160,0),MATCH(M$818,'Prop. prices'!$I$5:$AB$5,0))</f>
        <v>0</v>
      </c>
      <c r="N860" s="218">
        <f>INDEX('Prop. prices'!$I$86:$AB$160,MATCH($C860,'Prop. prices'!$C$86:$C$160,0),MATCH(N$818,'Prop. prices'!$I$5:$AB$5,0))</f>
        <v>0</v>
      </c>
      <c r="O860" s="218">
        <f>INDEX('Prop. prices'!$I$86:$AB$160,MATCH($C860,'Prop. prices'!$C$86:$C$160,0),MATCH(O$818,'Prop. prices'!$I$5:$AB$5,0))</f>
        <v>0</v>
      </c>
      <c r="P860" s="218">
        <f>INDEX('Prop. prices'!$I$86:$AB$160,MATCH($C860,'Prop. prices'!$C$86:$C$160,0),MATCH(P$818,'Prop. prices'!$I$5:$AB$5,0))</f>
        <v>0</v>
      </c>
      <c r="Q860" s="218">
        <f>INDEX('Prop. prices'!$I$86:$AB$160,MATCH($C860,'Prop. prices'!$C$86:$C$160,0),MATCH(Q$818,'Prop. prices'!$I$5:$AB$5,0))</f>
        <v>0</v>
      </c>
      <c r="R860" s="218">
        <f>INDEX('Prop. prices'!$I$86:$AB$160,MATCH($C860,'Prop. prices'!$C$86:$C$160,0),MATCH(R$818,'Prop. prices'!$I$5:$AB$5,0))</f>
        <v>0</v>
      </c>
      <c r="S860" s="218">
        <f>INDEX('Prop. prices'!$I$86:$AB$160,MATCH($C860,'Prop. prices'!$C$86:$C$160,0),MATCH(S$818,'Prop. prices'!$I$5:$AB$5,0))</f>
        <v>0</v>
      </c>
      <c r="T860" s="218">
        <f>INDEX('Prop. prices'!$I$86:$AB$160,MATCH($C860,'Prop. prices'!$C$86:$C$160,0),MATCH(T$818,'Prop. prices'!$I$5:$AB$5,0))</f>
        <v>0</v>
      </c>
      <c r="U860" s="218">
        <f>INDEX('Prop. prices'!$I$86:$AB$160,MATCH($C860,'Prop. prices'!$C$86:$C$160,0),MATCH(U$818,'Prop. prices'!$I$5:$AB$5,0))</f>
        <v>0</v>
      </c>
      <c r="V860" s="218">
        <f>INDEX('Prop. prices'!$I$86:$AB$160,MATCH($C860,'Prop. prices'!$C$86:$C$160,0),MATCH(V$818,'Prop. prices'!$I$5:$AB$5,0))</f>
        <v>0</v>
      </c>
      <c r="W860" s="218">
        <f>INDEX('Prop. prices'!$I$86:$AB$160,MATCH($C860,'Prop. prices'!$C$86:$C$160,0),MATCH(W$818,'Prop. prices'!$I$5:$AB$5,0))</f>
        <v>0</v>
      </c>
      <c r="X860" s="218">
        <f>INDEX('Prop. prices'!$I$86:$AB$160,MATCH($C860,'Prop. prices'!$C$86:$C$160,0),MATCH(X$818,'Prop. prices'!$I$5:$AB$5,0))</f>
        <v>0</v>
      </c>
      <c r="Y860" s="218">
        <f>INDEX('Prop. prices'!$I$86:$AB$160,MATCH($C860,'Prop. prices'!$C$86:$C$160,0),MATCH(Y$818,'Prop. prices'!$I$5:$AB$5,0))</f>
        <v>0</v>
      </c>
      <c r="Z860" s="218">
        <f>INDEX('Prop. prices'!$I$86:$AB$160,MATCH($C860,'Prop. prices'!$C$86:$C$160,0),MATCH(Z$818,'Prop. prices'!$I$5:$AB$5,0))</f>
        <v>0</v>
      </c>
      <c r="AA860" s="218">
        <f>INDEX('Prop. prices'!$I$86:$AB$160,MATCH($C860,'Prop. prices'!$C$86:$C$160,0),MATCH(AA$818,'Prop. prices'!$I$5:$AB$5,0))</f>
        <v>0</v>
      </c>
      <c r="AB860" s="218">
        <f>INDEX('Prop. prices'!$I$86:$AB$160,MATCH($C860,'Prop. prices'!$C$86:$C$160,0),MATCH(AB$818,'Prop. prices'!$I$5:$AB$5,0))</f>
        <v>0</v>
      </c>
      <c r="AC860" s="187"/>
      <c r="AD860" s="19"/>
      <c r="AE860" s="19"/>
      <c r="AF860" s="19"/>
      <c r="AG860" s="19"/>
    </row>
    <row r="861" spans="1:33" hidden="1" outlineLevel="3" x14ac:dyDescent="0.2">
      <c r="A861" s="19"/>
      <c r="B861" s="19"/>
      <c r="C861" s="506">
        <f t="shared" si="199"/>
        <v>0</v>
      </c>
      <c r="D861" s="505">
        <f t="shared" si="199"/>
        <v>0</v>
      </c>
      <c r="E861" s="58"/>
      <c r="F861" s="223"/>
      <c r="G861" s="58"/>
      <c r="H861" s="58"/>
      <c r="I861" s="218">
        <f>INDEX('Prop. prices'!$I$86:$AB$160,MATCH($C861,'Prop. prices'!$C$86:$C$160,0),MATCH(I$818,'Prop. prices'!$I$5:$AB$5,0))</f>
        <v>0</v>
      </c>
      <c r="J861" s="218">
        <f>INDEX('Prop. prices'!$I$86:$AB$160,MATCH($C861,'Prop. prices'!$C$86:$C$160,0),MATCH(J$818,'Prop. prices'!$I$5:$AB$5,0))</f>
        <v>0</v>
      </c>
      <c r="K861" s="218">
        <f>INDEX('Prop. prices'!$I$86:$AB$160,MATCH($C861,'Prop. prices'!$C$86:$C$160,0),MATCH(K$818,'Prop. prices'!$I$5:$AB$5,0))</f>
        <v>0</v>
      </c>
      <c r="L861" s="218">
        <f>INDEX('Prop. prices'!$I$86:$AB$160,MATCH($C861,'Prop. prices'!$C$86:$C$160,0),MATCH(L$818,'Prop. prices'!$I$5:$AB$5,0))</f>
        <v>0</v>
      </c>
      <c r="M861" s="218">
        <f>INDEX('Prop. prices'!$I$86:$AB$160,MATCH($C861,'Prop. prices'!$C$86:$C$160,0),MATCH(M$818,'Prop. prices'!$I$5:$AB$5,0))</f>
        <v>0</v>
      </c>
      <c r="N861" s="218">
        <f>INDEX('Prop. prices'!$I$86:$AB$160,MATCH($C861,'Prop. prices'!$C$86:$C$160,0),MATCH(N$818,'Prop. prices'!$I$5:$AB$5,0))</f>
        <v>0</v>
      </c>
      <c r="O861" s="218">
        <f>INDEX('Prop. prices'!$I$86:$AB$160,MATCH($C861,'Prop. prices'!$C$86:$C$160,0),MATCH(O$818,'Prop. prices'!$I$5:$AB$5,0))</f>
        <v>0</v>
      </c>
      <c r="P861" s="218">
        <f>INDEX('Prop. prices'!$I$86:$AB$160,MATCH($C861,'Prop. prices'!$C$86:$C$160,0),MATCH(P$818,'Prop. prices'!$I$5:$AB$5,0))</f>
        <v>0</v>
      </c>
      <c r="Q861" s="218">
        <f>INDEX('Prop. prices'!$I$86:$AB$160,MATCH($C861,'Prop. prices'!$C$86:$C$160,0),MATCH(Q$818,'Prop. prices'!$I$5:$AB$5,0))</f>
        <v>0</v>
      </c>
      <c r="R861" s="218">
        <f>INDEX('Prop. prices'!$I$86:$AB$160,MATCH($C861,'Prop. prices'!$C$86:$C$160,0),MATCH(R$818,'Prop. prices'!$I$5:$AB$5,0))</f>
        <v>0</v>
      </c>
      <c r="S861" s="218">
        <f>INDEX('Prop. prices'!$I$86:$AB$160,MATCH($C861,'Prop. prices'!$C$86:$C$160,0),MATCH(S$818,'Prop. prices'!$I$5:$AB$5,0))</f>
        <v>0</v>
      </c>
      <c r="T861" s="218">
        <f>INDEX('Prop. prices'!$I$86:$AB$160,MATCH($C861,'Prop. prices'!$C$86:$C$160,0),MATCH(T$818,'Prop. prices'!$I$5:$AB$5,0))</f>
        <v>0</v>
      </c>
      <c r="U861" s="218">
        <f>INDEX('Prop. prices'!$I$86:$AB$160,MATCH($C861,'Prop. prices'!$C$86:$C$160,0),MATCH(U$818,'Prop. prices'!$I$5:$AB$5,0))</f>
        <v>0</v>
      </c>
      <c r="V861" s="218">
        <f>INDEX('Prop. prices'!$I$86:$AB$160,MATCH($C861,'Prop. prices'!$C$86:$C$160,0),MATCH(V$818,'Prop. prices'!$I$5:$AB$5,0))</f>
        <v>0</v>
      </c>
      <c r="W861" s="218">
        <f>INDEX('Prop. prices'!$I$86:$AB$160,MATCH($C861,'Prop. prices'!$C$86:$C$160,0),MATCH(W$818,'Prop. prices'!$I$5:$AB$5,0))</f>
        <v>0</v>
      </c>
      <c r="X861" s="218">
        <f>INDEX('Prop. prices'!$I$86:$AB$160,MATCH($C861,'Prop. prices'!$C$86:$C$160,0),MATCH(X$818,'Prop. prices'!$I$5:$AB$5,0))</f>
        <v>0</v>
      </c>
      <c r="Y861" s="218">
        <f>INDEX('Prop. prices'!$I$86:$AB$160,MATCH($C861,'Prop. prices'!$C$86:$C$160,0),MATCH(Y$818,'Prop. prices'!$I$5:$AB$5,0))</f>
        <v>0</v>
      </c>
      <c r="Z861" s="218">
        <f>INDEX('Prop. prices'!$I$86:$AB$160,MATCH($C861,'Prop. prices'!$C$86:$C$160,0),MATCH(Z$818,'Prop. prices'!$I$5:$AB$5,0))</f>
        <v>0</v>
      </c>
      <c r="AA861" s="218">
        <f>INDEX('Prop. prices'!$I$86:$AB$160,MATCH($C861,'Prop. prices'!$C$86:$C$160,0),MATCH(AA$818,'Prop. prices'!$I$5:$AB$5,0))</f>
        <v>0</v>
      </c>
      <c r="AB861" s="218">
        <f>INDEX('Prop. prices'!$I$86:$AB$160,MATCH($C861,'Prop. prices'!$C$86:$C$160,0),MATCH(AB$818,'Prop. prices'!$I$5:$AB$5,0))</f>
        <v>0</v>
      </c>
      <c r="AC861" s="187"/>
      <c r="AD861" s="19"/>
      <c r="AE861" s="19"/>
      <c r="AF861" s="19"/>
      <c r="AG861" s="19"/>
    </row>
    <row r="862" spans="1:33" hidden="1" outlineLevel="3" x14ac:dyDescent="0.2">
      <c r="A862" s="19"/>
      <c r="B862" s="19"/>
      <c r="C862" s="506">
        <f t="shared" si="199"/>
        <v>0</v>
      </c>
      <c r="D862" s="505">
        <f t="shared" si="199"/>
        <v>0</v>
      </c>
      <c r="E862" s="58"/>
      <c r="F862" s="223"/>
      <c r="G862" s="58"/>
      <c r="H862" s="58"/>
      <c r="I862" s="218">
        <f>INDEX('Prop. prices'!$I$86:$AB$160,MATCH($C862,'Prop. prices'!$C$86:$C$160,0),MATCH(I$818,'Prop. prices'!$I$5:$AB$5,0))</f>
        <v>0</v>
      </c>
      <c r="J862" s="218">
        <f>INDEX('Prop. prices'!$I$86:$AB$160,MATCH($C862,'Prop. prices'!$C$86:$C$160,0),MATCH(J$818,'Prop. prices'!$I$5:$AB$5,0))</f>
        <v>0</v>
      </c>
      <c r="K862" s="218">
        <f>INDEX('Prop. prices'!$I$86:$AB$160,MATCH($C862,'Prop. prices'!$C$86:$C$160,0),MATCH(K$818,'Prop. prices'!$I$5:$AB$5,0))</f>
        <v>0</v>
      </c>
      <c r="L862" s="218">
        <f>INDEX('Prop. prices'!$I$86:$AB$160,MATCH($C862,'Prop. prices'!$C$86:$C$160,0),MATCH(L$818,'Prop. prices'!$I$5:$AB$5,0))</f>
        <v>0</v>
      </c>
      <c r="M862" s="218">
        <f>INDEX('Prop. prices'!$I$86:$AB$160,MATCH($C862,'Prop. prices'!$C$86:$C$160,0),MATCH(M$818,'Prop. prices'!$I$5:$AB$5,0))</f>
        <v>0</v>
      </c>
      <c r="N862" s="218">
        <f>INDEX('Prop. prices'!$I$86:$AB$160,MATCH($C862,'Prop. prices'!$C$86:$C$160,0),MATCH(N$818,'Prop. prices'!$I$5:$AB$5,0))</f>
        <v>0</v>
      </c>
      <c r="O862" s="218">
        <f>INDEX('Prop. prices'!$I$86:$AB$160,MATCH($C862,'Prop. prices'!$C$86:$C$160,0),MATCH(O$818,'Prop. prices'!$I$5:$AB$5,0))</f>
        <v>0</v>
      </c>
      <c r="P862" s="218">
        <f>INDEX('Prop. prices'!$I$86:$AB$160,MATCH($C862,'Prop. prices'!$C$86:$C$160,0),MATCH(P$818,'Prop. prices'!$I$5:$AB$5,0))</f>
        <v>0</v>
      </c>
      <c r="Q862" s="218">
        <f>INDEX('Prop. prices'!$I$86:$AB$160,MATCH($C862,'Prop. prices'!$C$86:$C$160,0),MATCH(Q$818,'Prop. prices'!$I$5:$AB$5,0))</f>
        <v>0</v>
      </c>
      <c r="R862" s="218">
        <f>INDEX('Prop. prices'!$I$86:$AB$160,MATCH($C862,'Prop. prices'!$C$86:$C$160,0),MATCH(R$818,'Prop. prices'!$I$5:$AB$5,0))</f>
        <v>0</v>
      </c>
      <c r="S862" s="218">
        <f>INDEX('Prop. prices'!$I$86:$AB$160,MATCH($C862,'Prop. prices'!$C$86:$C$160,0),MATCH(S$818,'Prop. prices'!$I$5:$AB$5,0))</f>
        <v>0</v>
      </c>
      <c r="T862" s="218">
        <f>INDEX('Prop. prices'!$I$86:$AB$160,MATCH($C862,'Prop. prices'!$C$86:$C$160,0),MATCH(T$818,'Prop. prices'!$I$5:$AB$5,0))</f>
        <v>0</v>
      </c>
      <c r="U862" s="218">
        <f>INDEX('Prop. prices'!$I$86:$AB$160,MATCH($C862,'Prop. prices'!$C$86:$C$160,0),MATCH(U$818,'Prop. prices'!$I$5:$AB$5,0))</f>
        <v>0</v>
      </c>
      <c r="V862" s="218">
        <f>INDEX('Prop. prices'!$I$86:$AB$160,MATCH($C862,'Prop. prices'!$C$86:$C$160,0),MATCH(V$818,'Prop. prices'!$I$5:$AB$5,0))</f>
        <v>0</v>
      </c>
      <c r="W862" s="218">
        <f>INDEX('Prop. prices'!$I$86:$AB$160,MATCH($C862,'Prop. prices'!$C$86:$C$160,0),MATCH(W$818,'Prop. prices'!$I$5:$AB$5,0))</f>
        <v>0</v>
      </c>
      <c r="X862" s="218">
        <f>INDEX('Prop. prices'!$I$86:$AB$160,MATCH($C862,'Prop. prices'!$C$86:$C$160,0),MATCH(X$818,'Prop. prices'!$I$5:$AB$5,0))</f>
        <v>0</v>
      </c>
      <c r="Y862" s="218">
        <f>INDEX('Prop. prices'!$I$86:$AB$160,MATCH($C862,'Prop. prices'!$C$86:$C$160,0),MATCH(Y$818,'Prop. prices'!$I$5:$AB$5,0))</f>
        <v>0</v>
      </c>
      <c r="Z862" s="218">
        <f>INDEX('Prop. prices'!$I$86:$AB$160,MATCH($C862,'Prop. prices'!$C$86:$C$160,0),MATCH(Z$818,'Prop. prices'!$I$5:$AB$5,0))</f>
        <v>0</v>
      </c>
      <c r="AA862" s="218">
        <f>INDEX('Prop. prices'!$I$86:$AB$160,MATCH($C862,'Prop. prices'!$C$86:$C$160,0),MATCH(AA$818,'Prop. prices'!$I$5:$AB$5,0))</f>
        <v>0</v>
      </c>
      <c r="AB862" s="218">
        <f>INDEX('Prop. prices'!$I$86:$AB$160,MATCH($C862,'Prop. prices'!$C$86:$C$160,0),MATCH(AB$818,'Prop. prices'!$I$5:$AB$5,0))</f>
        <v>0</v>
      </c>
      <c r="AC862" s="187"/>
      <c r="AD862" s="19"/>
      <c r="AE862" s="19"/>
      <c r="AF862" s="19"/>
      <c r="AG862" s="19"/>
    </row>
    <row r="863" spans="1:33" hidden="1" outlineLevel="3" x14ac:dyDescent="0.2">
      <c r="A863" s="19"/>
      <c r="B863" s="19"/>
      <c r="C863" s="506">
        <f t="shared" si="199"/>
        <v>0</v>
      </c>
      <c r="D863" s="505">
        <f t="shared" si="199"/>
        <v>0</v>
      </c>
      <c r="E863" s="58"/>
      <c r="F863" s="223"/>
      <c r="G863" s="58"/>
      <c r="H863" s="58"/>
      <c r="I863" s="218">
        <f>INDEX('Prop. prices'!$I$86:$AB$160,MATCH($C863,'Prop. prices'!$C$86:$C$160,0),MATCH(I$818,'Prop. prices'!$I$5:$AB$5,0))</f>
        <v>0</v>
      </c>
      <c r="J863" s="218">
        <f>INDEX('Prop. prices'!$I$86:$AB$160,MATCH($C863,'Prop. prices'!$C$86:$C$160,0),MATCH(J$818,'Prop. prices'!$I$5:$AB$5,0))</f>
        <v>0</v>
      </c>
      <c r="K863" s="218">
        <f>INDEX('Prop. prices'!$I$86:$AB$160,MATCH($C863,'Prop. prices'!$C$86:$C$160,0),MATCH(K$818,'Prop. prices'!$I$5:$AB$5,0))</f>
        <v>0</v>
      </c>
      <c r="L863" s="218">
        <f>INDEX('Prop. prices'!$I$86:$AB$160,MATCH($C863,'Prop. prices'!$C$86:$C$160,0),MATCH(L$818,'Prop. prices'!$I$5:$AB$5,0))</f>
        <v>0</v>
      </c>
      <c r="M863" s="218">
        <f>INDEX('Prop. prices'!$I$86:$AB$160,MATCH($C863,'Prop. prices'!$C$86:$C$160,0),MATCH(M$818,'Prop. prices'!$I$5:$AB$5,0))</f>
        <v>0</v>
      </c>
      <c r="N863" s="218">
        <f>INDEX('Prop. prices'!$I$86:$AB$160,MATCH($C863,'Prop. prices'!$C$86:$C$160,0),MATCH(N$818,'Prop. prices'!$I$5:$AB$5,0))</f>
        <v>0</v>
      </c>
      <c r="O863" s="218">
        <f>INDEX('Prop. prices'!$I$86:$AB$160,MATCH($C863,'Prop. prices'!$C$86:$C$160,0),MATCH(O$818,'Prop. prices'!$I$5:$AB$5,0))</f>
        <v>0</v>
      </c>
      <c r="P863" s="218">
        <f>INDEX('Prop. prices'!$I$86:$AB$160,MATCH($C863,'Prop. prices'!$C$86:$C$160,0),MATCH(P$818,'Prop. prices'!$I$5:$AB$5,0))</f>
        <v>0</v>
      </c>
      <c r="Q863" s="218">
        <f>INDEX('Prop. prices'!$I$86:$AB$160,MATCH($C863,'Prop. prices'!$C$86:$C$160,0),MATCH(Q$818,'Prop. prices'!$I$5:$AB$5,0))</f>
        <v>0</v>
      </c>
      <c r="R863" s="218">
        <f>INDEX('Prop. prices'!$I$86:$AB$160,MATCH($C863,'Prop. prices'!$C$86:$C$160,0),MATCH(R$818,'Prop. prices'!$I$5:$AB$5,0))</f>
        <v>0</v>
      </c>
      <c r="S863" s="218">
        <f>INDEX('Prop. prices'!$I$86:$AB$160,MATCH($C863,'Prop. prices'!$C$86:$C$160,0),MATCH(S$818,'Prop. prices'!$I$5:$AB$5,0))</f>
        <v>0</v>
      </c>
      <c r="T863" s="218">
        <f>INDEX('Prop. prices'!$I$86:$AB$160,MATCH($C863,'Prop. prices'!$C$86:$C$160,0),MATCH(T$818,'Prop. prices'!$I$5:$AB$5,0))</f>
        <v>0</v>
      </c>
      <c r="U863" s="218">
        <f>INDEX('Prop. prices'!$I$86:$AB$160,MATCH($C863,'Prop. prices'!$C$86:$C$160,0),MATCH(U$818,'Prop. prices'!$I$5:$AB$5,0))</f>
        <v>0</v>
      </c>
      <c r="V863" s="218">
        <f>INDEX('Prop. prices'!$I$86:$AB$160,MATCH($C863,'Prop. prices'!$C$86:$C$160,0),MATCH(V$818,'Prop. prices'!$I$5:$AB$5,0))</f>
        <v>0</v>
      </c>
      <c r="W863" s="218">
        <f>INDEX('Prop. prices'!$I$86:$AB$160,MATCH($C863,'Prop. prices'!$C$86:$C$160,0),MATCH(W$818,'Prop. prices'!$I$5:$AB$5,0))</f>
        <v>0</v>
      </c>
      <c r="X863" s="218">
        <f>INDEX('Prop. prices'!$I$86:$AB$160,MATCH($C863,'Prop. prices'!$C$86:$C$160,0),MATCH(X$818,'Prop. prices'!$I$5:$AB$5,0))</f>
        <v>0</v>
      </c>
      <c r="Y863" s="218">
        <f>INDEX('Prop. prices'!$I$86:$AB$160,MATCH($C863,'Prop. prices'!$C$86:$C$160,0),MATCH(Y$818,'Prop. prices'!$I$5:$AB$5,0))</f>
        <v>0</v>
      </c>
      <c r="Z863" s="218">
        <f>INDEX('Prop. prices'!$I$86:$AB$160,MATCH($C863,'Prop. prices'!$C$86:$C$160,0),MATCH(Z$818,'Prop. prices'!$I$5:$AB$5,0))</f>
        <v>0</v>
      </c>
      <c r="AA863" s="218">
        <f>INDEX('Prop. prices'!$I$86:$AB$160,MATCH($C863,'Prop. prices'!$C$86:$C$160,0),MATCH(AA$818,'Prop. prices'!$I$5:$AB$5,0))</f>
        <v>0</v>
      </c>
      <c r="AB863" s="218">
        <f>INDEX('Prop. prices'!$I$86:$AB$160,MATCH($C863,'Prop. prices'!$C$86:$C$160,0),MATCH(AB$818,'Prop. prices'!$I$5:$AB$5,0))</f>
        <v>0</v>
      </c>
      <c r="AC863" s="187"/>
      <c r="AD863" s="19"/>
      <c r="AE863" s="19"/>
      <c r="AF863" s="19"/>
      <c r="AG863" s="19"/>
    </row>
    <row r="864" spans="1:33" hidden="1" outlineLevel="3" x14ac:dyDescent="0.2">
      <c r="A864" s="19"/>
      <c r="B864" s="19"/>
      <c r="C864" s="506">
        <f t="shared" si="199"/>
        <v>0</v>
      </c>
      <c r="D864" s="505">
        <f t="shared" si="199"/>
        <v>0</v>
      </c>
      <c r="E864" s="58"/>
      <c r="F864" s="223"/>
      <c r="G864" s="58"/>
      <c r="H864" s="58"/>
      <c r="I864" s="218">
        <f>INDEX('Prop. prices'!$I$86:$AB$160,MATCH($C864,'Prop. prices'!$C$86:$C$160,0),MATCH(I$818,'Prop. prices'!$I$5:$AB$5,0))</f>
        <v>0</v>
      </c>
      <c r="J864" s="218">
        <f>INDEX('Prop. prices'!$I$86:$AB$160,MATCH($C864,'Prop. prices'!$C$86:$C$160,0),MATCH(J$818,'Prop. prices'!$I$5:$AB$5,0))</f>
        <v>0</v>
      </c>
      <c r="K864" s="218">
        <f>INDEX('Prop. prices'!$I$86:$AB$160,MATCH($C864,'Prop. prices'!$C$86:$C$160,0),MATCH(K$818,'Prop. prices'!$I$5:$AB$5,0))</f>
        <v>0</v>
      </c>
      <c r="L864" s="218">
        <f>INDEX('Prop. prices'!$I$86:$AB$160,MATCH($C864,'Prop. prices'!$C$86:$C$160,0),MATCH(L$818,'Prop. prices'!$I$5:$AB$5,0))</f>
        <v>0</v>
      </c>
      <c r="M864" s="218">
        <f>INDEX('Prop. prices'!$I$86:$AB$160,MATCH($C864,'Prop. prices'!$C$86:$C$160,0),MATCH(M$818,'Prop. prices'!$I$5:$AB$5,0))</f>
        <v>0</v>
      </c>
      <c r="N864" s="218">
        <f>INDEX('Prop. prices'!$I$86:$AB$160,MATCH($C864,'Prop. prices'!$C$86:$C$160,0),MATCH(N$818,'Prop. prices'!$I$5:$AB$5,0))</f>
        <v>0</v>
      </c>
      <c r="O864" s="218">
        <f>INDEX('Prop. prices'!$I$86:$AB$160,MATCH($C864,'Prop. prices'!$C$86:$C$160,0),MATCH(O$818,'Prop. prices'!$I$5:$AB$5,0))</f>
        <v>0</v>
      </c>
      <c r="P864" s="218">
        <f>INDEX('Prop. prices'!$I$86:$AB$160,MATCH($C864,'Prop. prices'!$C$86:$C$160,0),MATCH(P$818,'Prop. prices'!$I$5:$AB$5,0))</f>
        <v>0</v>
      </c>
      <c r="Q864" s="218">
        <f>INDEX('Prop. prices'!$I$86:$AB$160,MATCH($C864,'Prop. prices'!$C$86:$C$160,0),MATCH(Q$818,'Prop. prices'!$I$5:$AB$5,0))</f>
        <v>0</v>
      </c>
      <c r="R864" s="218">
        <f>INDEX('Prop. prices'!$I$86:$AB$160,MATCH($C864,'Prop. prices'!$C$86:$C$160,0),MATCH(R$818,'Prop. prices'!$I$5:$AB$5,0))</f>
        <v>0</v>
      </c>
      <c r="S864" s="218">
        <f>INDEX('Prop. prices'!$I$86:$AB$160,MATCH($C864,'Prop. prices'!$C$86:$C$160,0),MATCH(S$818,'Prop. prices'!$I$5:$AB$5,0))</f>
        <v>0</v>
      </c>
      <c r="T864" s="218">
        <f>INDEX('Prop. prices'!$I$86:$AB$160,MATCH($C864,'Prop. prices'!$C$86:$C$160,0),MATCH(T$818,'Prop. prices'!$I$5:$AB$5,0))</f>
        <v>0</v>
      </c>
      <c r="U864" s="218">
        <f>INDEX('Prop. prices'!$I$86:$AB$160,MATCH($C864,'Prop. prices'!$C$86:$C$160,0),MATCH(U$818,'Prop. prices'!$I$5:$AB$5,0))</f>
        <v>0</v>
      </c>
      <c r="V864" s="218">
        <f>INDEX('Prop. prices'!$I$86:$AB$160,MATCH($C864,'Prop. prices'!$C$86:$C$160,0),MATCH(V$818,'Prop. prices'!$I$5:$AB$5,0))</f>
        <v>0</v>
      </c>
      <c r="W864" s="218">
        <f>INDEX('Prop. prices'!$I$86:$AB$160,MATCH($C864,'Prop. prices'!$C$86:$C$160,0),MATCH(W$818,'Prop. prices'!$I$5:$AB$5,0))</f>
        <v>0</v>
      </c>
      <c r="X864" s="218">
        <f>INDEX('Prop. prices'!$I$86:$AB$160,MATCH($C864,'Prop. prices'!$C$86:$C$160,0),MATCH(X$818,'Prop. prices'!$I$5:$AB$5,0))</f>
        <v>0</v>
      </c>
      <c r="Y864" s="218">
        <f>INDEX('Prop. prices'!$I$86:$AB$160,MATCH($C864,'Prop. prices'!$C$86:$C$160,0),MATCH(Y$818,'Prop. prices'!$I$5:$AB$5,0))</f>
        <v>0</v>
      </c>
      <c r="Z864" s="218">
        <f>INDEX('Prop. prices'!$I$86:$AB$160,MATCH($C864,'Prop. prices'!$C$86:$C$160,0),MATCH(Z$818,'Prop. prices'!$I$5:$AB$5,0))</f>
        <v>0</v>
      </c>
      <c r="AA864" s="218">
        <f>INDEX('Prop. prices'!$I$86:$AB$160,MATCH($C864,'Prop. prices'!$C$86:$C$160,0),MATCH(AA$818,'Prop. prices'!$I$5:$AB$5,0))</f>
        <v>0</v>
      </c>
      <c r="AB864" s="218">
        <f>INDEX('Prop. prices'!$I$86:$AB$160,MATCH($C864,'Prop. prices'!$C$86:$C$160,0),MATCH(AB$818,'Prop. prices'!$I$5:$AB$5,0))</f>
        <v>0</v>
      </c>
      <c r="AC864" s="187"/>
      <c r="AD864" s="19"/>
      <c r="AE864" s="19"/>
      <c r="AF864" s="19"/>
      <c r="AG864" s="19"/>
    </row>
    <row r="865" spans="1:33" hidden="1" outlineLevel="3" x14ac:dyDescent="0.2">
      <c r="A865" s="19"/>
      <c r="B865" s="19"/>
      <c r="C865" s="506">
        <f t="shared" si="199"/>
        <v>0</v>
      </c>
      <c r="D865" s="505">
        <f t="shared" si="199"/>
        <v>0</v>
      </c>
      <c r="E865" s="58"/>
      <c r="F865" s="223"/>
      <c r="G865" s="58"/>
      <c r="H865" s="58"/>
      <c r="I865" s="218">
        <f>INDEX('Prop. prices'!$I$86:$AB$160,MATCH($C865,'Prop. prices'!$C$86:$C$160,0),MATCH(I$818,'Prop. prices'!$I$5:$AB$5,0))</f>
        <v>0</v>
      </c>
      <c r="J865" s="218">
        <f>INDEX('Prop. prices'!$I$86:$AB$160,MATCH($C865,'Prop. prices'!$C$86:$C$160,0),MATCH(J$818,'Prop. prices'!$I$5:$AB$5,0))</f>
        <v>0</v>
      </c>
      <c r="K865" s="218">
        <f>INDEX('Prop. prices'!$I$86:$AB$160,MATCH($C865,'Prop. prices'!$C$86:$C$160,0),MATCH(K$818,'Prop. prices'!$I$5:$AB$5,0))</f>
        <v>0</v>
      </c>
      <c r="L865" s="218">
        <f>INDEX('Prop. prices'!$I$86:$AB$160,MATCH($C865,'Prop. prices'!$C$86:$C$160,0),MATCH(L$818,'Prop. prices'!$I$5:$AB$5,0))</f>
        <v>0</v>
      </c>
      <c r="M865" s="218">
        <f>INDEX('Prop. prices'!$I$86:$AB$160,MATCH($C865,'Prop. prices'!$C$86:$C$160,0),MATCH(M$818,'Prop. prices'!$I$5:$AB$5,0))</f>
        <v>0</v>
      </c>
      <c r="N865" s="218">
        <f>INDEX('Prop. prices'!$I$86:$AB$160,MATCH($C865,'Prop. prices'!$C$86:$C$160,0),MATCH(N$818,'Prop. prices'!$I$5:$AB$5,0))</f>
        <v>0</v>
      </c>
      <c r="O865" s="218">
        <f>INDEX('Prop. prices'!$I$86:$AB$160,MATCH($C865,'Prop. prices'!$C$86:$C$160,0),MATCH(O$818,'Prop. prices'!$I$5:$AB$5,0))</f>
        <v>0</v>
      </c>
      <c r="P865" s="218">
        <f>INDEX('Prop. prices'!$I$86:$AB$160,MATCH($C865,'Prop. prices'!$C$86:$C$160,0),MATCH(P$818,'Prop. prices'!$I$5:$AB$5,0))</f>
        <v>0</v>
      </c>
      <c r="Q865" s="218">
        <f>INDEX('Prop. prices'!$I$86:$AB$160,MATCH($C865,'Prop. prices'!$C$86:$C$160,0),MATCH(Q$818,'Prop. prices'!$I$5:$AB$5,0))</f>
        <v>0</v>
      </c>
      <c r="R865" s="218">
        <f>INDEX('Prop. prices'!$I$86:$AB$160,MATCH($C865,'Prop. prices'!$C$86:$C$160,0),MATCH(R$818,'Prop. prices'!$I$5:$AB$5,0))</f>
        <v>0</v>
      </c>
      <c r="S865" s="218">
        <f>INDEX('Prop. prices'!$I$86:$AB$160,MATCH($C865,'Prop. prices'!$C$86:$C$160,0),MATCH(S$818,'Prop. prices'!$I$5:$AB$5,0))</f>
        <v>0</v>
      </c>
      <c r="T865" s="218">
        <f>INDEX('Prop. prices'!$I$86:$AB$160,MATCH($C865,'Prop. prices'!$C$86:$C$160,0),MATCH(T$818,'Prop. prices'!$I$5:$AB$5,0))</f>
        <v>0</v>
      </c>
      <c r="U865" s="218">
        <f>INDEX('Prop. prices'!$I$86:$AB$160,MATCH($C865,'Prop. prices'!$C$86:$C$160,0),MATCH(U$818,'Prop. prices'!$I$5:$AB$5,0))</f>
        <v>0</v>
      </c>
      <c r="V865" s="218">
        <f>INDEX('Prop. prices'!$I$86:$AB$160,MATCH($C865,'Prop. prices'!$C$86:$C$160,0),MATCH(V$818,'Prop. prices'!$I$5:$AB$5,0))</f>
        <v>0</v>
      </c>
      <c r="W865" s="218">
        <f>INDEX('Prop. prices'!$I$86:$AB$160,MATCH($C865,'Prop. prices'!$C$86:$C$160,0),MATCH(W$818,'Prop. prices'!$I$5:$AB$5,0))</f>
        <v>0</v>
      </c>
      <c r="X865" s="218">
        <f>INDEX('Prop. prices'!$I$86:$AB$160,MATCH($C865,'Prop. prices'!$C$86:$C$160,0),MATCH(X$818,'Prop. prices'!$I$5:$AB$5,0))</f>
        <v>0</v>
      </c>
      <c r="Y865" s="218">
        <f>INDEX('Prop. prices'!$I$86:$AB$160,MATCH($C865,'Prop. prices'!$C$86:$C$160,0),MATCH(Y$818,'Prop. prices'!$I$5:$AB$5,0))</f>
        <v>0</v>
      </c>
      <c r="Z865" s="218">
        <f>INDEX('Prop. prices'!$I$86:$AB$160,MATCH($C865,'Prop. prices'!$C$86:$C$160,0),MATCH(Z$818,'Prop. prices'!$I$5:$AB$5,0))</f>
        <v>0</v>
      </c>
      <c r="AA865" s="218">
        <f>INDEX('Prop. prices'!$I$86:$AB$160,MATCH($C865,'Prop. prices'!$C$86:$C$160,0),MATCH(AA$818,'Prop. prices'!$I$5:$AB$5,0))</f>
        <v>0</v>
      </c>
      <c r="AB865" s="218">
        <f>INDEX('Prop. prices'!$I$86:$AB$160,MATCH($C865,'Prop. prices'!$C$86:$C$160,0),MATCH(AB$818,'Prop. prices'!$I$5:$AB$5,0))</f>
        <v>0</v>
      </c>
      <c r="AC865" s="187"/>
      <c r="AD865" s="19"/>
      <c r="AE865" s="19"/>
      <c r="AF865" s="19"/>
      <c r="AG865" s="19"/>
    </row>
    <row r="866" spans="1:33" hidden="1" outlineLevel="3" x14ac:dyDescent="0.2">
      <c r="A866" s="19"/>
      <c r="B866" s="19"/>
      <c r="C866" s="506">
        <f t="shared" si="199"/>
        <v>0</v>
      </c>
      <c r="D866" s="505">
        <f t="shared" si="199"/>
        <v>0</v>
      </c>
      <c r="E866" s="58"/>
      <c r="F866" s="223"/>
      <c r="G866" s="58"/>
      <c r="H866" s="58"/>
      <c r="I866" s="218">
        <f>INDEX('Prop. prices'!$I$86:$AB$160,MATCH($C866,'Prop. prices'!$C$86:$C$160,0),MATCH(I$818,'Prop. prices'!$I$5:$AB$5,0))</f>
        <v>0</v>
      </c>
      <c r="J866" s="218">
        <f>INDEX('Prop. prices'!$I$86:$AB$160,MATCH($C866,'Prop. prices'!$C$86:$C$160,0),MATCH(J$818,'Prop. prices'!$I$5:$AB$5,0))</f>
        <v>0</v>
      </c>
      <c r="K866" s="218">
        <f>INDEX('Prop. prices'!$I$86:$AB$160,MATCH($C866,'Prop. prices'!$C$86:$C$160,0),MATCH(K$818,'Prop. prices'!$I$5:$AB$5,0))</f>
        <v>0</v>
      </c>
      <c r="L866" s="218">
        <f>INDEX('Prop. prices'!$I$86:$AB$160,MATCH($C866,'Prop. prices'!$C$86:$C$160,0),MATCH(L$818,'Prop. prices'!$I$5:$AB$5,0))</f>
        <v>0</v>
      </c>
      <c r="M866" s="218">
        <f>INDEX('Prop. prices'!$I$86:$AB$160,MATCH($C866,'Prop. prices'!$C$86:$C$160,0),MATCH(M$818,'Prop. prices'!$I$5:$AB$5,0))</f>
        <v>0</v>
      </c>
      <c r="N866" s="218">
        <f>INDEX('Prop. prices'!$I$86:$AB$160,MATCH($C866,'Prop. prices'!$C$86:$C$160,0),MATCH(N$818,'Prop. prices'!$I$5:$AB$5,0))</f>
        <v>0</v>
      </c>
      <c r="O866" s="218">
        <f>INDEX('Prop. prices'!$I$86:$AB$160,MATCH($C866,'Prop. prices'!$C$86:$C$160,0),MATCH(O$818,'Prop. prices'!$I$5:$AB$5,0))</f>
        <v>0</v>
      </c>
      <c r="P866" s="218">
        <f>INDEX('Prop. prices'!$I$86:$AB$160,MATCH($C866,'Prop. prices'!$C$86:$C$160,0),MATCH(P$818,'Prop. prices'!$I$5:$AB$5,0))</f>
        <v>0</v>
      </c>
      <c r="Q866" s="218">
        <f>INDEX('Prop. prices'!$I$86:$AB$160,MATCH($C866,'Prop. prices'!$C$86:$C$160,0),MATCH(Q$818,'Prop. prices'!$I$5:$AB$5,0))</f>
        <v>0</v>
      </c>
      <c r="R866" s="218">
        <f>INDEX('Prop. prices'!$I$86:$AB$160,MATCH($C866,'Prop. prices'!$C$86:$C$160,0),MATCH(R$818,'Prop. prices'!$I$5:$AB$5,0))</f>
        <v>0</v>
      </c>
      <c r="S866" s="218">
        <f>INDEX('Prop. prices'!$I$86:$AB$160,MATCH($C866,'Prop. prices'!$C$86:$C$160,0),MATCH(S$818,'Prop. prices'!$I$5:$AB$5,0))</f>
        <v>0</v>
      </c>
      <c r="T866" s="218">
        <f>INDEX('Prop. prices'!$I$86:$AB$160,MATCH($C866,'Prop. prices'!$C$86:$C$160,0),MATCH(T$818,'Prop. prices'!$I$5:$AB$5,0))</f>
        <v>0</v>
      </c>
      <c r="U866" s="218">
        <f>INDEX('Prop. prices'!$I$86:$AB$160,MATCH($C866,'Prop. prices'!$C$86:$C$160,0),MATCH(U$818,'Prop. prices'!$I$5:$AB$5,0))</f>
        <v>0</v>
      </c>
      <c r="V866" s="218">
        <f>INDEX('Prop. prices'!$I$86:$AB$160,MATCH($C866,'Prop. prices'!$C$86:$C$160,0),MATCH(V$818,'Prop. prices'!$I$5:$AB$5,0))</f>
        <v>0</v>
      </c>
      <c r="W866" s="218">
        <f>INDEX('Prop. prices'!$I$86:$AB$160,MATCH($C866,'Prop. prices'!$C$86:$C$160,0),MATCH(W$818,'Prop. prices'!$I$5:$AB$5,0))</f>
        <v>0</v>
      </c>
      <c r="X866" s="218">
        <f>INDEX('Prop. prices'!$I$86:$AB$160,MATCH($C866,'Prop. prices'!$C$86:$C$160,0),MATCH(X$818,'Prop. prices'!$I$5:$AB$5,0))</f>
        <v>0</v>
      </c>
      <c r="Y866" s="218">
        <f>INDEX('Prop. prices'!$I$86:$AB$160,MATCH($C866,'Prop. prices'!$C$86:$C$160,0),MATCH(Y$818,'Prop. prices'!$I$5:$AB$5,0))</f>
        <v>0</v>
      </c>
      <c r="Z866" s="218">
        <f>INDEX('Prop. prices'!$I$86:$AB$160,MATCH($C866,'Prop. prices'!$C$86:$C$160,0),MATCH(Z$818,'Prop. prices'!$I$5:$AB$5,0))</f>
        <v>0</v>
      </c>
      <c r="AA866" s="218">
        <f>INDEX('Prop. prices'!$I$86:$AB$160,MATCH($C866,'Prop. prices'!$C$86:$C$160,0),MATCH(AA$818,'Prop. prices'!$I$5:$AB$5,0))</f>
        <v>0</v>
      </c>
      <c r="AB866" s="218">
        <f>INDEX('Prop. prices'!$I$86:$AB$160,MATCH($C866,'Prop. prices'!$C$86:$C$160,0),MATCH(AB$818,'Prop. prices'!$I$5:$AB$5,0))</f>
        <v>0</v>
      </c>
      <c r="AC866" s="187"/>
      <c r="AD866" s="19"/>
      <c r="AE866" s="19"/>
      <c r="AF866" s="19"/>
      <c r="AG866" s="19"/>
    </row>
    <row r="867" spans="1:33" hidden="1" outlineLevel="3" x14ac:dyDescent="0.2">
      <c r="A867" s="19"/>
      <c r="B867" s="19"/>
      <c r="C867" s="506">
        <f t="shared" si="199"/>
        <v>0</v>
      </c>
      <c r="D867" s="505">
        <f t="shared" si="199"/>
        <v>0</v>
      </c>
      <c r="E867" s="58"/>
      <c r="F867" s="223"/>
      <c r="G867" s="58"/>
      <c r="H867" s="58"/>
      <c r="I867" s="218">
        <f>INDEX('Prop. prices'!$I$86:$AB$160,MATCH($C867,'Prop. prices'!$C$86:$C$160,0),MATCH(I$818,'Prop. prices'!$I$5:$AB$5,0))</f>
        <v>0</v>
      </c>
      <c r="J867" s="218">
        <f>INDEX('Prop. prices'!$I$86:$AB$160,MATCH($C867,'Prop. prices'!$C$86:$C$160,0),MATCH(J$818,'Prop. prices'!$I$5:$AB$5,0))</f>
        <v>0</v>
      </c>
      <c r="K867" s="218">
        <f>INDEX('Prop. prices'!$I$86:$AB$160,MATCH($C867,'Prop. prices'!$C$86:$C$160,0),MATCH(K$818,'Prop. prices'!$I$5:$AB$5,0))</f>
        <v>0</v>
      </c>
      <c r="L867" s="218">
        <f>INDEX('Prop. prices'!$I$86:$AB$160,MATCH($C867,'Prop. prices'!$C$86:$C$160,0),MATCH(L$818,'Prop. prices'!$I$5:$AB$5,0))</f>
        <v>0</v>
      </c>
      <c r="M867" s="218">
        <f>INDEX('Prop. prices'!$I$86:$AB$160,MATCH($C867,'Prop. prices'!$C$86:$C$160,0),MATCH(M$818,'Prop. prices'!$I$5:$AB$5,0))</f>
        <v>0</v>
      </c>
      <c r="N867" s="218">
        <f>INDEX('Prop. prices'!$I$86:$AB$160,MATCH($C867,'Prop. prices'!$C$86:$C$160,0),MATCH(N$818,'Prop. prices'!$I$5:$AB$5,0))</f>
        <v>0</v>
      </c>
      <c r="O867" s="218">
        <f>INDEX('Prop. prices'!$I$86:$AB$160,MATCH($C867,'Prop. prices'!$C$86:$C$160,0),MATCH(O$818,'Prop. prices'!$I$5:$AB$5,0))</f>
        <v>0</v>
      </c>
      <c r="P867" s="218">
        <f>INDEX('Prop. prices'!$I$86:$AB$160,MATCH($C867,'Prop. prices'!$C$86:$C$160,0),MATCH(P$818,'Prop. prices'!$I$5:$AB$5,0))</f>
        <v>0</v>
      </c>
      <c r="Q867" s="218">
        <f>INDEX('Prop. prices'!$I$86:$AB$160,MATCH($C867,'Prop. prices'!$C$86:$C$160,0),MATCH(Q$818,'Prop. prices'!$I$5:$AB$5,0))</f>
        <v>0</v>
      </c>
      <c r="R867" s="218">
        <f>INDEX('Prop. prices'!$I$86:$AB$160,MATCH($C867,'Prop. prices'!$C$86:$C$160,0),MATCH(R$818,'Prop. prices'!$I$5:$AB$5,0))</f>
        <v>0</v>
      </c>
      <c r="S867" s="218">
        <f>INDEX('Prop. prices'!$I$86:$AB$160,MATCH($C867,'Prop. prices'!$C$86:$C$160,0),MATCH(S$818,'Prop. prices'!$I$5:$AB$5,0))</f>
        <v>0</v>
      </c>
      <c r="T867" s="218">
        <f>INDEX('Prop. prices'!$I$86:$AB$160,MATCH($C867,'Prop. prices'!$C$86:$C$160,0),MATCH(T$818,'Prop. prices'!$I$5:$AB$5,0))</f>
        <v>0</v>
      </c>
      <c r="U867" s="218">
        <f>INDEX('Prop. prices'!$I$86:$AB$160,MATCH($C867,'Prop. prices'!$C$86:$C$160,0),MATCH(U$818,'Prop. prices'!$I$5:$AB$5,0))</f>
        <v>0</v>
      </c>
      <c r="V867" s="218">
        <f>INDEX('Prop. prices'!$I$86:$AB$160,MATCH($C867,'Prop. prices'!$C$86:$C$160,0),MATCH(V$818,'Prop. prices'!$I$5:$AB$5,0))</f>
        <v>0</v>
      </c>
      <c r="W867" s="218">
        <f>INDEX('Prop. prices'!$I$86:$AB$160,MATCH($C867,'Prop. prices'!$C$86:$C$160,0),MATCH(W$818,'Prop. prices'!$I$5:$AB$5,0))</f>
        <v>0</v>
      </c>
      <c r="X867" s="218">
        <f>INDEX('Prop. prices'!$I$86:$AB$160,MATCH($C867,'Prop. prices'!$C$86:$C$160,0),MATCH(X$818,'Prop. prices'!$I$5:$AB$5,0))</f>
        <v>0</v>
      </c>
      <c r="Y867" s="218">
        <f>INDEX('Prop. prices'!$I$86:$AB$160,MATCH($C867,'Prop. prices'!$C$86:$C$160,0),MATCH(Y$818,'Prop. prices'!$I$5:$AB$5,0))</f>
        <v>0</v>
      </c>
      <c r="Z867" s="218">
        <f>INDEX('Prop. prices'!$I$86:$AB$160,MATCH($C867,'Prop. prices'!$C$86:$C$160,0),MATCH(Z$818,'Prop. prices'!$I$5:$AB$5,0))</f>
        <v>0</v>
      </c>
      <c r="AA867" s="218">
        <f>INDEX('Prop. prices'!$I$86:$AB$160,MATCH($C867,'Prop. prices'!$C$86:$C$160,0),MATCH(AA$818,'Prop. prices'!$I$5:$AB$5,0))</f>
        <v>0</v>
      </c>
      <c r="AB867" s="218">
        <f>INDEX('Prop. prices'!$I$86:$AB$160,MATCH($C867,'Prop. prices'!$C$86:$C$160,0),MATCH(AB$818,'Prop. prices'!$I$5:$AB$5,0))</f>
        <v>0</v>
      </c>
      <c r="AC867" s="187"/>
      <c r="AD867" s="19"/>
      <c r="AE867" s="19"/>
      <c r="AF867" s="19"/>
      <c r="AG867" s="19"/>
    </row>
    <row r="868" spans="1:33" hidden="1" outlineLevel="3" x14ac:dyDescent="0.2">
      <c r="A868" s="19"/>
      <c r="B868" s="19"/>
      <c r="C868" s="506">
        <f t="shared" si="199"/>
        <v>0</v>
      </c>
      <c r="D868" s="505">
        <f t="shared" si="199"/>
        <v>0</v>
      </c>
      <c r="E868" s="58"/>
      <c r="F868" s="223"/>
      <c r="G868" s="58"/>
      <c r="H868" s="58"/>
      <c r="I868" s="218">
        <f>INDEX('Prop. prices'!$I$86:$AB$160,MATCH($C868,'Prop. prices'!$C$86:$C$160,0),MATCH(I$818,'Prop. prices'!$I$5:$AB$5,0))</f>
        <v>0</v>
      </c>
      <c r="J868" s="218">
        <f>INDEX('Prop. prices'!$I$86:$AB$160,MATCH($C868,'Prop. prices'!$C$86:$C$160,0),MATCH(J$818,'Prop. prices'!$I$5:$AB$5,0))</f>
        <v>0</v>
      </c>
      <c r="K868" s="218">
        <f>INDEX('Prop. prices'!$I$86:$AB$160,MATCH($C868,'Prop. prices'!$C$86:$C$160,0),MATCH(K$818,'Prop. prices'!$I$5:$AB$5,0))</f>
        <v>0</v>
      </c>
      <c r="L868" s="218">
        <f>INDEX('Prop. prices'!$I$86:$AB$160,MATCH($C868,'Prop. prices'!$C$86:$C$160,0),MATCH(L$818,'Prop. prices'!$I$5:$AB$5,0))</f>
        <v>0</v>
      </c>
      <c r="M868" s="218">
        <f>INDEX('Prop. prices'!$I$86:$AB$160,MATCH($C868,'Prop. prices'!$C$86:$C$160,0),MATCH(M$818,'Prop. prices'!$I$5:$AB$5,0))</f>
        <v>0</v>
      </c>
      <c r="N868" s="218">
        <f>INDEX('Prop. prices'!$I$86:$AB$160,MATCH($C868,'Prop. prices'!$C$86:$C$160,0),MATCH(N$818,'Prop. prices'!$I$5:$AB$5,0))</f>
        <v>0</v>
      </c>
      <c r="O868" s="218">
        <f>INDEX('Prop. prices'!$I$86:$AB$160,MATCH($C868,'Prop. prices'!$C$86:$C$160,0),MATCH(O$818,'Prop. prices'!$I$5:$AB$5,0))</f>
        <v>0</v>
      </c>
      <c r="P868" s="218">
        <f>INDEX('Prop. prices'!$I$86:$AB$160,MATCH($C868,'Prop. prices'!$C$86:$C$160,0),MATCH(P$818,'Prop. prices'!$I$5:$AB$5,0))</f>
        <v>0</v>
      </c>
      <c r="Q868" s="218">
        <f>INDEX('Prop. prices'!$I$86:$AB$160,MATCH($C868,'Prop. prices'!$C$86:$C$160,0),MATCH(Q$818,'Prop. prices'!$I$5:$AB$5,0))</f>
        <v>0</v>
      </c>
      <c r="R868" s="218">
        <f>INDEX('Prop. prices'!$I$86:$AB$160,MATCH($C868,'Prop. prices'!$C$86:$C$160,0),MATCH(R$818,'Prop. prices'!$I$5:$AB$5,0))</f>
        <v>0</v>
      </c>
      <c r="S868" s="218">
        <f>INDEX('Prop. prices'!$I$86:$AB$160,MATCH($C868,'Prop. prices'!$C$86:$C$160,0),MATCH(S$818,'Prop. prices'!$I$5:$AB$5,0))</f>
        <v>0</v>
      </c>
      <c r="T868" s="218">
        <f>INDEX('Prop. prices'!$I$86:$AB$160,MATCH($C868,'Prop. prices'!$C$86:$C$160,0),MATCH(T$818,'Prop. prices'!$I$5:$AB$5,0))</f>
        <v>0</v>
      </c>
      <c r="U868" s="218">
        <f>INDEX('Prop. prices'!$I$86:$AB$160,MATCH($C868,'Prop. prices'!$C$86:$C$160,0),MATCH(U$818,'Prop. prices'!$I$5:$AB$5,0))</f>
        <v>0</v>
      </c>
      <c r="V868" s="218">
        <f>INDEX('Prop. prices'!$I$86:$AB$160,MATCH($C868,'Prop. prices'!$C$86:$C$160,0),MATCH(V$818,'Prop. prices'!$I$5:$AB$5,0))</f>
        <v>0</v>
      </c>
      <c r="W868" s="218">
        <f>INDEX('Prop. prices'!$I$86:$AB$160,MATCH($C868,'Prop. prices'!$C$86:$C$160,0),MATCH(W$818,'Prop. prices'!$I$5:$AB$5,0))</f>
        <v>0</v>
      </c>
      <c r="X868" s="218">
        <f>INDEX('Prop. prices'!$I$86:$AB$160,MATCH($C868,'Prop. prices'!$C$86:$C$160,0),MATCH(X$818,'Prop. prices'!$I$5:$AB$5,0))</f>
        <v>0</v>
      </c>
      <c r="Y868" s="218">
        <f>INDEX('Prop. prices'!$I$86:$AB$160,MATCH($C868,'Prop. prices'!$C$86:$C$160,0),MATCH(Y$818,'Prop. prices'!$I$5:$AB$5,0))</f>
        <v>0</v>
      </c>
      <c r="Z868" s="218">
        <f>INDEX('Prop. prices'!$I$86:$AB$160,MATCH($C868,'Prop. prices'!$C$86:$C$160,0),MATCH(Z$818,'Prop. prices'!$I$5:$AB$5,0))</f>
        <v>0</v>
      </c>
      <c r="AA868" s="218">
        <f>INDEX('Prop. prices'!$I$86:$AB$160,MATCH($C868,'Prop. prices'!$C$86:$C$160,0),MATCH(AA$818,'Prop. prices'!$I$5:$AB$5,0))</f>
        <v>0</v>
      </c>
      <c r="AB868" s="218">
        <f>INDEX('Prop. prices'!$I$86:$AB$160,MATCH($C868,'Prop. prices'!$C$86:$C$160,0),MATCH(AB$818,'Prop. prices'!$I$5:$AB$5,0))</f>
        <v>0</v>
      </c>
      <c r="AC868" s="187"/>
      <c r="AD868" s="19"/>
      <c r="AE868" s="19"/>
      <c r="AF868" s="19"/>
      <c r="AG868" s="19"/>
    </row>
    <row r="869" spans="1:33" hidden="1" outlineLevel="3" x14ac:dyDescent="0.2">
      <c r="A869" s="19"/>
      <c r="B869" s="19"/>
      <c r="C869" s="506">
        <f t="shared" si="199"/>
        <v>0</v>
      </c>
      <c r="D869" s="505">
        <f t="shared" si="199"/>
        <v>0</v>
      </c>
      <c r="E869" s="58"/>
      <c r="F869" s="223"/>
      <c r="G869" s="58"/>
      <c r="H869" s="58"/>
      <c r="I869" s="218">
        <f>INDEX('Prop. prices'!$I$86:$AB$160,MATCH($C869,'Prop. prices'!$C$86:$C$160,0),MATCH(I$818,'Prop. prices'!$I$5:$AB$5,0))</f>
        <v>0</v>
      </c>
      <c r="J869" s="218">
        <f>INDEX('Prop. prices'!$I$86:$AB$160,MATCH($C869,'Prop. prices'!$C$86:$C$160,0),MATCH(J$818,'Prop. prices'!$I$5:$AB$5,0))</f>
        <v>0</v>
      </c>
      <c r="K869" s="218">
        <f>INDEX('Prop. prices'!$I$86:$AB$160,MATCH($C869,'Prop. prices'!$C$86:$C$160,0),MATCH(K$818,'Prop. prices'!$I$5:$AB$5,0))</f>
        <v>0</v>
      </c>
      <c r="L869" s="218">
        <f>INDEX('Prop. prices'!$I$86:$AB$160,MATCH($C869,'Prop. prices'!$C$86:$C$160,0),MATCH(L$818,'Prop. prices'!$I$5:$AB$5,0))</f>
        <v>0</v>
      </c>
      <c r="M869" s="218">
        <f>INDEX('Prop. prices'!$I$86:$AB$160,MATCH($C869,'Prop. prices'!$C$86:$C$160,0),MATCH(M$818,'Prop. prices'!$I$5:$AB$5,0))</f>
        <v>0</v>
      </c>
      <c r="N869" s="218">
        <f>INDEX('Prop. prices'!$I$86:$AB$160,MATCH($C869,'Prop. prices'!$C$86:$C$160,0),MATCH(N$818,'Prop. prices'!$I$5:$AB$5,0))</f>
        <v>0</v>
      </c>
      <c r="O869" s="218">
        <f>INDEX('Prop. prices'!$I$86:$AB$160,MATCH($C869,'Prop. prices'!$C$86:$C$160,0),MATCH(O$818,'Prop. prices'!$I$5:$AB$5,0))</f>
        <v>0</v>
      </c>
      <c r="P869" s="218">
        <f>INDEX('Prop. prices'!$I$86:$AB$160,MATCH($C869,'Prop. prices'!$C$86:$C$160,0),MATCH(P$818,'Prop. prices'!$I$5:$AB$5,0))</f>
        <v>0</v>
      </c>
      <c r="Q869" s="218">
        <f>INDEX('Prop. prices'!$I$86:$AB$160,MATCH($C869,'Prop. prices'!$C$86:$C$160,0),MATCH(Q$818,'Prop. prices'!$I$5:$AB$5,0))</f>
        <v>0</v>
      </c>
      <c r="R869" s="218">
        <f>INDEX('Prop. prices'!$I$86:$AB$160,MATCH($C869,'Prop. prices'!$C$86:$C$160,0),MATCH(R$818,'Prop. prices'!$I$5:$AB$5,0))</f>
        <v>0</v>
      </c>
      <c r="S869" s="218">
        <f>INDEX('Prop. prices'!$I$86:$AB$160,MATCH($C869,'Prop. prices'!$C$86:$C$160,0),MATCH(S$818,'Prop. prices'!$I$5:$AB$5,0))</f>
        <v>0</v>
      </c>
      <c r="T869" s="218">
        <f>INDEX('Prop. prices'!$I$86:$AB$160,MATCH($C869,'Prop. prices'!$C$86:$C$160,0),MATCH(T$818,'Prop. prices'!$I$5:$AB$5,0))</f>
        <v>0</v>
      </c>
      <c r="U869" s="218">
        <f>INDEX('Prop. prices'!$I$86:$AB$160,MATCH($C869,'Prop. prices'!$C$86:$C$160,0),MATCH(U$818,'Prop. prices'!$I$5:$AB$5,0))</f>
        <v>0</v>
      </c>
      <c r="V869" s="218">
        <f>INDEX('Prop. prices'!$I$86:$AB$160,MATCH($C869,'Prop. prices'!$C$86:$C$160,0),MATCH(V$818,'Prop. prices'!$I$5:$AB$5,0))</f>
        <v>0</v>
      </c>
      <c r="W869" s="218">
        <f>INDEX('Prop. prices'!$I$86:$AB$160,MATCH($C869,'Prop. prices'!$C$86:$C$160,0),MATCH(W$818,'Prop. prices'!$I$5:$AB$5,0))</f>
        <v>0</v>
      </c>
      <c r="X869" s="218">
        <f>INDEX('Prop. prices'!$I$86:$AB$160,MATCH($C869,'Prop. prices'!$C$86:$C$160,0),MATCH(X$818,'Prop. prices'!$I$5:$AB$5,0))</f>
        <v>0</v>
      </c>
      <c r="Y869" s="218">
        <f>INDEX('Prop. prices'!$I$86:$AB$160,MATCH($C869,'Prop. prices'!$C$86:$C$160,0),MATCH(Y$818,'Prop. prices'!$I$5:$AB$5,0))</f>
        <v>0</v>
      </c>
      <c r="Z869" s="218">
        <f>INDEX('Prop. prices'!$I$86:$AB$160,MATCH($C869,'Prop. prices'!$C$86:$C$160,0),MATCH(Z$818,'Prop. prices'!$I$5:$AB$5,0))</f>
        <v>0</v>
      </c>
      <c r="AA869" s="218">
        <f>INDEX('Prop. prices'!$I$86:$AB$160,MATCH($C869,'Prop. prices'!$C$86:$C$160,0),MATCH(AA$818,'Prop. prices'!$I$5:$AB$5,0))</f>
        <v>0</v>
      </c>
      <c r="AB869" s="218">
        <f>INDEX('Prop. prices'!$I$86:$AB$160,MATCH($C869,'Prop. prices'!$C$86:$C$160,0),MATCH(AB$818,'Prop. prices'!$I$5:$AB$5,0))</f>
        <v>0</v>
      </c>
      <c r="AC869" s="187"/>
      <c r="AD869" s="19"/>
      <c r="AE869" s="19"/>
      <c r="AF869" s="19"/>
      <c r="AG869" s="19"/>
    </row>
    <row r="870" spans="1:33" hidden="1" outlineLevel="3" x14ac:dyDescent="0.2">
      <c r="A870" s="19"/>
      <c r="B870" s="19"/>
      <c r="C870" s="506">
        <f t="shared" si="199"/>
        <v>0</v>
      </c>
      <c r="D870" s="505">
        <f t="shared" si="199"/>
        <v>0</v>
      </c>
      <c r="E870" s="58"/>
      <c r="F870" s="223"/>
      <c r="G870" s="58"/>
      <c r="H870" s="58"/>
      <c r="I870" s="218">
        <f>INDEX('Prop. prices'!$I$86:$AB$160,MATCH($C870,'Prop. prices'!$C$86:$C$160,0),MATCH(I$818,'Prop. prices'!$I$5:$AB$5,0))</f>
        <v>0</v>
      </c>
      <c r="J870" s="218">
        <f>INDEX('Prop. prices'!$I$86:$AB$160,MATCH($C870,'Prop. prices'!$C$86:$C$160,0),MATCH(J$818,'Prop. prices'!$I$5:$AB$5,0))</f>
        <v>0</v>
      </c>
      <c r="K870" s="218">
        <f>INDEX('Prop. prices'!$I$86:$AB$160,MATCH($C870,'Prop. prices'!$C$86:$C$160,0),MATCH(K$818,'Prop. prices'!$I$5:$AB$5,0))</f>
        <v>0</v>
      </c>
      <c r="L870" s="218">
        <f>INDEX('Prop. prices'!$I$86:$AB$160,MATCH($C870,'Prop. prices'!$C$86:$C$160,0),MATCH(L$818,'Prop. prices'!$I$5:$AB$5,0))</f>
        <v>0</v>
      </c>
      <c r="M870" s="218">
        <f>INDEX('Prop. prices'!$I$86:$AB$160,MATCH($C870,'Prop. prices'!$C$86:$C$160,0),MATCH(M$818,'Prop. prices'!$I$5:$AB$5,0))</f>
        <v>0</v>
      </c>
      <c r="N870" s="218">
        <f>INDEX('Prop. prices'!$I$86:$AB$160,MATCH($C870,'Prop. prices'!$C$86:$C$160,0),MATCH(N$818,'Prop. prices'!$I$5:$AB$5,0))</f>
        <v>0</v>
      </c>
      <c r="O870" s="218">
        <f>INDEX('Prop. prices'!$I$86:$AB$160,MATCH($C870,'Prop. prices'!$C$86:$C$160,0),MATCH(O$818,'Prop. prices'!$I$5:$AB$5,0))</f>
        <v>0</v>
      </c>
      <c r="P870" s="218">
        <f>INDEX('Prop. prices'!$I$86:$AB$160,MATCH($C870,'Prop. prices'!$C$86:$C$160,0),MATCH(P$818,'Prop. prices'!$I$5:$AB$5,0))</f>
        <v>0</v>
      </c>
      <c r="Q870" s="218">
        <f>INDEX('Prop. prices'!$I$86:$AB$160,MATCH($C870,'Prop. prices'!$C$86:$C$160,0),MATCH(Q$818,'Prop. prices'!$I$5:$AB$5,0))</f>
        <v>0</v>
      </c>
      <c r="R870" s="218">
        <f>INDEX('Prop. prices'!$I$86:$AB$160,MATCH($C870,'Prop. prices'!$C$86:$C$160,0),MATCH(R$818,'Prop. prices'!$I$5:$AB$5,0))</f>
        <v>0</v>
      </c>
      <c r="S870" s="218">
        <f>INDEX('Prop. prices'!$I$86:$AB$160,MATCH($C870,'Prop. prices'!$C$86:$C$160,0),MATCH(S$818,'Prop. prices'!$I$5:$AB$5,0))</f>
        <v>0</v>
      </c>
      <c r="T870" s="218">
        <f>INDEX('Prop. prices'!$I$86:$AB$160,MATCH($C870,'Prop. prices'!$C$86:$C$160,0),MATCH(T$818,'Prop. prices'!$I$5:$AB$5,0))</f>
        <v>0</v>
      </c>
      <c r="U870" s="218">
        <f>INDEX('Prop. prices'!$I$86:$AB$160,MATCH($C870,'Prop. prices'!$C$86:$C$160,0),MATCH(U$818,'Prop. prices'!$I$5:$AB$5,0))</f>
        <v>0</v>
      </c>
      <c r="V870" s="218">
        <f>INDEX('Prop. prices'!$I$86:$AB$160,MATCH($C870,'Prop. prices'!$C$86:$C$160,0),MATCH(V$818,'Prop. prices'!$I$5:$AB$5,0))</f>
        <v>0</v>
      </c>
      <c r="W870" s="218">
        <f>INDEX('Prop. prices'!$I$86:$AB$160,MATCH($C870,'Prop. prices'!$C$86:$C$160,0),MATCH(W$818,'Prop. prices'!$I$5:$AB$5,0))</f>
        <v>0</v>
      </c>
      <c r="X870" s="218">
        <f>INDEX('Prop. prices'!$I$86:$AB$160,MATCH($C870,'Prop. prices'!$C$86:$C$160,0),MATCH(X$818,'Prop. prices'!$I$5:$AB$5,0))</f>
        <v>0</v>
      </c>
      <c r="Y870" s="218">
        <f>INDEX('Prop. prices'!$I$86:$AB$160,MATCH($C870,'Prop. prices'!$C$86:$C$160,0),MATCH(Y$818,'Prop. prices'!$I$5:$AB$5,0))</f>
        <v>0</v>
      </c>
      <c r="Z870" s="218">
        <f>INDEX('Prop. prices'!$I$86:$AB$160,MATCH($C870,'Prop. prices'!$C$86:$C$160,0),MATCH(Z$818,'Prop. prices'!$I$5:$AB$5,0))</f>
        <v>0</v>
      </c>
      <c r="AA870" s="218">
        <f>INDEX('Prop. prices'!$I$86:$AB$160,MATCH($C870,'Prop. prices'!$C$86:$C$160,0),MATCH(AA$818,'Prop. prices'!$I$5:$AB$5,0))</f>
        <v>0</v>
      </c>
      <c r="AB870" s="218">
        <f>INDEX('Prop. prices'!$I$86:$AB$160,MATCH($C870,'Prop. prices'!$C$86:$C$160,0),MATCH(AB$818,'Prop. prices'!$I$5:$AB$5,0))</f>
        <v>0</v>
      </c>
      <c r="AC870" s="187"/>
      <c r="AD870" s="19"/>
      <c r="AE870" s="19"/>
      <c r="AF870" s="19"/>
      <c r="AG870" s="19"/>
    </row>
    <row r="871" spans="1:33" hidden="1" outlineLevel="3" x14ac:dyDescent="0.2">
      <c r="A871" s="19"/>
      <c r="B871" s="19"/>
      <c r="C871" s="506">
        <f t="shared" si="199"/>
        <v>0</v>
      </c>
      <c r="D871" s="505">
        <f t="shared" si="199"/>
        <v>0</v>
      </c>
      <c r="E871" s="58"/>
      <c r="F871" s="223"/>
      <c r="G871" s="58"/>
      <c r="H871" s="58"/>
      <c r="I871" s="218">
        <f>INDEX('Prop. prices'!$I$86:$AB$160,MATCH($C871,'Prop. prices'!$C$86:$C$160,0),MATCH(I$818,'Prop. prices'!$I$5:$AB$5,0))</f>
        <v>0</v>
      </c>
      <c r="J871" s="218">
        <f>INDEX('Prop. prices'!$I$86:$AB$160,MATCH($C871,'Prop. prices'!$C$86:$C$160,0),MATCH(J$818,'Prop. prices'!$I$5:$AB$5,0))</f>
        <v>0</v>
      </c>
      <c r="K871" s="218">
        <f>INDEX('Prop. prices'!$I$86:$AB$160,MATCH($C871,'Prop. prices'!$C$86:$C$160,0),MATCH(K$818,'Prop. prices'!$I$5:$AB$5,0))</f>
        <v>0</v>
      </c>
      <c r="L871" s="218">
        <f>INDEX('Prop. prices'!$I$86:$AB$160,MATCH($C871,'Prop. prices'!$C$86:$C$160,0),MATCH(L$818,'Prop. prices'!$I$5:$AB$5,0))</f>
        <v>0</v>
      </c>
      <c r="M871" s="218">
        <f>INDEX('Prop. prices'!$I$86:$AB$160,MATCH($C871,'Prop. prices'!$C$86:$C$160,0),MATCH(M$818,'Prop. prices'!$I$5:$AB$5,0))</f>
        <v>0</v>
      </c>
      <c r="N871" s="218">
        <f>INDEX('Prop. prices'!$I$86:$AB$160,MATCH($C871,'Prop. prices'!$C$86:$C$160,0),MATCH(N$818,'Prop. prices'!$I$5:$AB$5,0))</f>
        <v>0</v>
      </c>
      <c r="O871" s="218">
        <f>INDEX('Prop. prices'!$I$86:$AB$160,MATCH($C871,'Prop. prices'!$C$86:$C$160,0),MATCH(O$818,'Prop. prices'!$I$5:$AB$5,0))</f>
        <v>0</v>
      </c>
      <c r="P871" s="218">
        <f>INDEX('Prop. prices'!$I$86:$AB$160,MATCH($C871,'Prop. prices'!$C$86:$C$160,0),MATCH(P$818,'Prop. prices'!$I$5:$AB$5,0))</f>
        <v>0</v>
      </c>
      <c r="Q871" s="218">
        <f>INDEX('Prop. prices'!$I$86:$AB$160,MATCH($C871,'Prop. prices'!$C$86:$C$160,0),MATCH(Q$818,'Prop. prices'!$I$5:$AB$5,0))</f>
        <v>0</v>
      </c>
      <c r="R871" s="218">
        <f>INDEX('Prop. prices'!$I$86:$AB$160,MATCH($C871,'Prop. prices'!$C$86:$C$160,0),MATCH(R$818,'Prop. prices'!$I$5:$AB$5,0))</f>
        <v>0</v>
      </c>
      <c r="S871" s="218">
        <f>INDEX('Prop. prices'!$I$86:$AB$160,MATCH($C871,'Prop. prices'!$C$86:$C$160,0),MATCH(S$818,'Prop. prices'!$I$5:$AB$5,0))</f>
        <v>0</v>
      </c>
      <c r="T871" s="218">
        <f>INDEX('Prop. prices'!$I$86:$AB$160,MATCH($C871,'Prop. prices'!$C$86:$C$160,0),MATCH(T$818,'Prop. prices'!$I$5:$AB$5,0))</f>
        <v>0</v>
      </c>
      <c r="U871" s="218">
        <f>INDEX('Prop. prices'!$I$86:$AB$160,MATCH($C871,'Prop. prices'!$C$86:$C$160,0),MATCH(U$818,'Prop. prices'!$I$5:$AB$5,0))</f>
        <v>0</v>
      </c>
      <c r="V871" s="218">
        <f>INDEX('Prop. prices'!$I$86:$AB$160,MATCH($C871,'Prop. prices'!$C$86:$C$160,0),MATCH(V$818,'Prop. prices'!$I$5:$AB$5,0))</f>
        <v>0</v>
      </c>
      <c r="W871" s="218">
        <f>INDEX('Prop. prices'!$I$86:$AB$160,MATCH($C871,'Prop. prices'!$C$86:$C$160,0),MATCH(W$818,'Prop. prices'!$I$5:$AB$5,0))</f>
        <v>0</v>
      </c>
      <c r="X871" s="218">
        <f>INDEX('Prop. prices'!$I$86:$AB$160,MATCH($C871,'Prop. prices'!$C$86:$C$160,0),MATCH(X$818,'Prop. prices'!$I$5:$AB$5,0))</f>
        <v>0</v>
      </c>
      <c r="Y871" s="218">
        <f>INDEX('Prop. prices'!$I$86:$AB$160,MATCH($C871,'Prop. prices'!$C$86:$C$160,0),MATCH(Y$818,'Prop. prices'!$I$5:$AB$5,0))</f>
        <v>0</v>
      </c>
      <c r="Z871" s="218">
        <f>INDEX('Prop. prices'!$I$86:$AB$160,MATCH($C871,'Prop. prices'!$C$86:$C$160,0),MATCH(Z$818,'Prop. prices'!$I$5:$AB$5,0))</f>
        <v>0</v>
      </c>
      <c r="AA871" s="218">
        <f>INDEX('Prop. prices'!$I$86:$AB$160,MATCH($C871,'Prop. prices'!$C$86:$C$160,0),MATCH(AA$818,'Prop. prices'!$I$5:$AB$5,0))</f>
        <v>0</v>
      </c>
      <c r="AB871" s="218">
        <f>INDEX('Prop. prices'!$I$86:$AB$160,MATCH($C871,'Prop. prices'!$C$86:$C$160,0),MATCH(AB$818,'Prop. prices'!$I$5:$AB$5,0))</f>
        <v>0</v>
      </c>
      <c r="AC871" s="187"/>
      <c r="AD871" s="19"/>
      <c r="AE871" s="19"/>
      <c r="AF871" s="19"/>
      <c r="AG871" s="19"/>
    </row>
    <row r="872" spans="1:33" hidden="1" outlineLevel="3" x14ac:dyDescent="0.2">
      <c r="A872" s="19"/>
      <c r="B872" s="19"/>
      <c r="C872" s="506">
        <f t="shared" si="199"/>
        <v>0</v>
      </c>
      <c r="D872" s="505">
        <f t="shared" si="199"/>
        <v>0</v>
      </c>
      <c r="E872" s="58"/>
      <c r="F872" s="223"/>
      <c r="G872" s="58"/>
      <c r="H872" s="58"/>
      <c r="I872" s="218">
        <f>INDEX('Prop. prices'!$I$86:$AB$160,MATCH($C872,'Prop. prices'!$C$86:$C$160,0),MATCH(I$818,'Prop. prices'!$I$5:$AB$5,0))</f>
        <v>0</v>
      </c>
      <c r="J872" s="218">
        <f>INDEX('Prop. prices'!$I$86:$AB$160,MATCH($C872,'Prop. prices'!$C$86:$C$160,0),MATCH(J$818,'Prop. prices'!$I$5:$AB$5,0))</f>
        <v>0</v>
      </c>
      <c r="K872" s="218">
        <f>INDEX('Prop. prices'!$I$86:$AB$160,MATCH($C872,'Prop. prices'!$C$86:$C$160,0),MATCH(K$818,'Prop. prices'!$I$5:$AB$5,0))</f>
        <v>0</v>
      </c>
      <c r="L872" s="218">
        <f>INDEX('Prop. prices'!$I$86:$AB$160,MATCH($C872,'Prop. prices'!$C$86:$C$160,0),MATCH(L$818,'Prop. prices'!$I$5:$AB$5,0))</f>
        <v>0</v>
      </c>
      <c r="M872" s="218">
        <f>INDEX('Prop. prices'!$I$86:$AB$160,MATCH($C872,'Prop. prices'!$C$86:$C$160,0),MATCH(M$818,'Prop. prices'!$I$5:$AB$5,0))</f>
        <v>0</v>
      </c>
      <c r="N872" s="218">
        <f>INDEX('Prop. prices'!$I$86:$AB$160,MATCH($C872,'Prop. prices'!$C$86:$C$160,0),MATCH(N$818,'Prop. prices'!$I$5:$AB$5,0))</f>
        <v>0</v>
      </c>
      <c r="O872" s="218">
        <f>INDEX('Prop. prices'!$I$86:$AB$160,MATCH($C872,'Prop. prices'!$C$86:$C$160,0),MATCH(O$818,'Prop. prices'!$I$5:$AB$5,0))</f>
        <v>0</v>
      </c>
      <c r="P872" s="218">
        <f>INDEX('Prop. prices'!$I$86:$AB$160,MATCH($C872,'Prop. prices'!$C$86:$C$160,0),MATCH(P$818,'Prop. prices'!$I$5:$AB$5,0))</f>
        <v>0</v>
      </c>
      <c r="Q872" s="218">
        <f>INDEX('Prop. prices'!$I$86:$AB$160,MATCH($C872,'Prop. prices'!$C$86:$C$160,0),MATCH(Q$818,'Prop. prices'!$I$5:$AB$5,0))</f>
        <v>0</v>
      </c>
      <c r="R872" s="218">
        <f>INDEX('Prop. prices'!$I$86:$AB$160,MATCH($C872,'Prop. prices'!$C$86:$C$160,0),MATCH(R$818,'Prop. prices'!$I$5:$AB$5,0))</f>
        <v>0</v>
      </c>
      <c r="S872" s="218">
        <f>INDEX('Prop. prices'!$I$86:$AB$160,MATCH($C872,'Prop. prices'!$C$86:$C$160,0),MATCH(S$818,'Prop. prices'!$I$5:$AB$5,0))</f>
        <v>0</v>
      </c>
      <c r="T872" s="218">
        <f>INDEX('Prop. prices'!$I$86:$AB$160,MATCH($C872,'Prop. prices'!$C$86:$C$160,0),MATCH(T$818,'Prop. prices'!$I$5:$AB$5,0))</f>
        <v>0</v>
      </c>
      <c r="U872" s="218">
        <f>INDEX('Prop. prices'!$I$86:$AB$160,MATCH($C872,'Prop. prices'!$C$86:$C$160,0),MATCH(U$818,'Prop. prices'!$I$5:$AB$5,0))</f>
        <v>0</v>
      </c>
      <c r="V872" s="218">
        <f>INDEX('Prop. prices'!$I$86:$AB$160,MATCH($C872,'Prop. prices'!$C$86:$C$160,0),MATCH(V$818,'Prop. prices'!$I$5:$AB$5,0))</f>
        <v>0</v>
      </c>
      <c r="W872" s="218">
        <f>INDEX('Prop. prices'!$I$86:$AB$160,MATCH($C872,'Prop. prices'!$C$86:$C$160,0),MATCH(W$818,'Prop. prices'!$I$5:$AB$5,0))</f>
        <v>0</v>
      </c>
      <c r="X872" s="218">
        <f>INDEX('Prop. prices'!$I$86:$AB$160,MATCH($C872,'Prop. prices'!$C$86:$C$160,0),MATCH(X$818,'Prop. prices'!$I$5:$AB$5,0))</f>
        <v>0</v>
      </c>
      <c r="Y872" s="218">
        <f>INDEX('Prop. prices'!$I$86:$AB$160,MATCH($C872,'Prop. prices'!$C$86:$C$160,0),MATCH(Y$818,'Prop. prices'!$I$5:$AB$5,0))</f>
        <v>0</v>
      </c>
      <c r="Z872" s="218">
        <f>INDEX('Prop. prices'!$I$86:$AB$160,MATCH($C872,'Prop. prices'!$C$86:$C$160,0),MATCH(Z$818,'Prop. prices'!$I$5:$AB$5,0))</f>
        <v>0</v>
      </c>
      <c r="AA872" s="218">
        <f>INDEX('Prop. prices'!$I$86:$AB$160,MATCH($C872,'Prop. prices'!$C$86:$C$160,0),MATCH(AA$818,'Prop. prices'!$I$5:$AB$5,0))</f>
        <v>0</v>
      </c>
      <c r="AB872" s="218">
        <f>INDEX('Prop. prices'!$I$86:$AB$160,MATCH($C872,'Prop. prices'!$C$86:$C$160,0),MATCH(AB$818,'Prop. prices'!$I$5:$AB$5,0))</f>
        <v>0</v>
      </c>
      <c r="AC872" s="187"/>
      <c r="AD872" s="19"/>
      <c r="AE872" s="19"/>
      <c r="AF872" s="19"/>
      <c r="AG872" s="19"/>
    </row>
    <row r="873" spans="1:33" hidden="1" outlineLevel="3" x14ac:dyDescent="0.2">
      <c r="A873" s="19"/>
      <c r="B873" s="19"/>
      <c r="C873" s="506">
        <f t="shared" si="199"/>
        <v>0</v>
      </c>
      <c r="D873" s="505">
        <f t="shared" si="199"/>
        <v>0</v>
      </c>
      <c r="E873" s="58"/>
      <c r="F873" s="223"/>
      <c r="G873" s="58"/>
      <c r="H873" s="58"/>
      <c r="I873" s="218">
        <f>INDEX('Prop. prices'!$I$86:$AB$160,MATCH($C873,'Prop. prices'!$C$86:$C$160,0),MATCH(I$818,'Prop. prices'!$I$5:$AB$5,0))</f>
        <v>0</v>
      </c>
      <c r="J873" s="218">
        <f>INDEX('Prop. prices'!$I$86:$AB$160,MATCH($C873,'Prop. prices'!$C$86:$C$160,0),MATCH(J$818,'Prop. prices'!$I$5:$AB$5,0))</f>
        <v>0</v>
      </c>
      <c r="K873" s="218">
        <f>INDEX('Prop. prices'!$I$86:$AB$160,MATCH($C873,'Prop. prices'!$C$86:$C$160,0),MATCH(K$818,'Prop. prices'!$I$5:$AB$5,0))</f>
        <v>0</v>
      </c>
      <c r="L873" s="218">
        <f>INDEX('Prop. prices'!$I$86:$AB$160,MATCH($C873,'Prop. prices'!$C$86:$C$160,0),MATCH(L$818,'Prop. prices'!$I$5:$AB$5,0))</f>
        <v>0</v>
      </c>
      <c r="M873" s="218">
        <f>INDEX('Prop. prices'!$I$86:$AB$160,MATCH($C873,'Prop. prices'!$C$86:$C$160,0),MATCH(M$818,'Prop. prices'!$I$5:$AB$5,0))</f>
        <v>0</v>
      </c>
      <c r="N873" s="218">
        <f>INDEX('Prop. prices'!$I$86:$AB$160,MATCH($C873,'Prop. prices'!$C$86:$C$160,0),MATCH(N$818,'Prop. prices'!$I$5:$AB$5,0))</f>
        <v>0</v>
      </c>
      <c r="O873" s="218">
        <f>INDEX('Prop. prices'!$I$86:$AB$160,MATCH($C873,'Prop. prices'!$C$86:$C$160,0),MATCH(O$818,'Prop. prices'!$I$5:$AB$5,0))</f>
        <v>0</v>
      </c>
      <c r="P873" s="218">
        <f>INDEX('Prop. prices'!$I$86:$AB$160,MATCH($C873,'Prop. prices'!$C$86:$C$160,0),MATCH(P$818,'Prop. prices'!$I$5:$AB$5,0))</f>
        <v>0</v>
      </c>
      <c r="Q873" s="218">
        <f>INDEX('Prop. prices'!$I$86:$AB$160,MATCH($C873,'Prop. prices'!$C$86:$C$160,0),MATCH(Q$818,'Prop. prices'!$I$5:$AB$5,0))</f>
        <v>0</v>
      </c>
      <c r="R873" s="218">
        <f>INDEX('Prop. prices'!$I$86:$AB$160,MATCH($C873,'Prop. prices'!$C$86:$C$160,0),MATCH(R$818,'Prop. prices'!$I$5:$AB$5,0))</f>
        <v>0</v>
      </c>
      <c r="S873" s="218">
        <f>INDEX('Prop. prices'!$I$86:$AB$160,MATCH($C873,'Prop. prices'!$C$86:$C$160,0),MATCH(S$818,'Prop. prices'!$I$5:$AB$5,0))</f>
        <v>0</v>
      </c>
      <c r="T873" s="218">
        <f>INDEX('Prop. prices'!$I$86:$AB$160,MATCH($C873,'Prop. prices'!$C$86:$C$160,0),MATCH(T$818,'Prop. prices'!$I$5:$AB$5,0))</f>
        <v>0</v>
      </c>
      <c r="U873" s="218">
        <f>INDEX('Prop. prices'!$I$86:$AB$160,MATCH($C873,'Prop. prices'!$C$86:$C$160,0),MATCH(U$818,'Prop. prices'!$I$5:$AB$5,0))</f>
        <v>0</v>
      </c>
      <c r="V873" s="218">
        <f>INDEX('Prop. prices'!$I$86:$AB$160,MATCH($C873,'Prop. prices'!$C$86:$C$160,0),MATCH(V$818,'Prop. prices'!$I$5:$AB$5,0))</f>
        <v>0</v>
      </c>
      <c r="W873" s="218">
        <f>INDEX('Prop. prices'!$I$86:$AB$160,MATCH($C873,'Prop. prices'!$C$86:$C$160,0),MATCH(W$818,'Prop. prices'!$I$5:$AB$5,0))</f>
        <v>0</v>
      </c>
      <c r="X873" s="218">
        <f>INDEX('Prop. prices'!$I$86:$AB$160,MATCH($C873,'Prop. prices'!$C$86:$C$160,0),MATCH(X$818,'Prop. prices'!$I$5:$AB$5,0))</f>
        <v>0</v>
      </c>
      <c r="Y873" s="218">
        <f>INDEX('Prop. prices'!$I$86:$AB$160,MATCH($C873,'Prop. prices'!$C$86:$C$160,0),MATCH(Y$818,'Prop. prices'!$I$5:$AB$5,0))</f>
        <v>0</v>
      </c>
      <c r="Z873" s="218">
        <f>INDEX('Prop. prices'!$I$86:$AB$160,MATCH($C873,'Prop. prices'!$C$86:$C$160,0),MATCH(Z$818,'Prop. prices'!$I$5:$AB$5,0))</f>
        <v>0</v>
      </c>
      <c r="AA873" s="218">
        <f>INDEX('Prop. prices'!$I$86:$AB$160,MATCH($C873,'Prop. prices'!$C$86:$C$160,0),MATCH(AA$818,'Prop. prices'!$I$5:$AB$5,0))</f>
        <v>0</v>
      </c>
      <c r="AB873" s="218">
        <f>INDEX('Prop. prices'!$I$86:$AB$160,MATCH($C873,'Prop. prices'!$C$86:$C$160,0),MATCH(AB$818,'Prop. prices'!$I$5:$AB$5,0))</f>
        <v>0</v>
      </c>
      <c r="AC873" s="187"/>
      <c r="AD873" s="19"/>
      <c r="AE873" s="19"/>
      <c r="AF873" s="19"/>
      <c r="AG873" s="19"/>
    </row>
    <row r="874" spans="1:33" hidden="1" outlineLevel="3" x14ac:dyDescent="0.2">
      <c r="A874" s="19"/>
      <c r="B874" s="19"/>
      <c r="C874" s="506">
        <f t="shared" si="199"/>
        <v>0</v>
      </c>
      <c r="D874" s="505">
        <f t="shared" si="199"/>
        <v>0</v>
      </c>
      <c r="E874" s="58"/>
      <c r="F874" s="223"/>
      <c r="G874" s="58"/>
      <c r="H874" s="58"/>
      <c r="I874" s="218">
        <f>INDEX('Prop. prices'!$I$86:$AB$160,MATCH($C874,'Prop. prices'!$C$86:$C$160,0),MATCH(I$818,'Prop. prices'!$I$5:$AB$5,0))</f>
        <v>0</v>
      </c>
      <c r="J874" s="218">
        <f>INDEX('Prop. prices'!$I$86:$AB$160,MATCH($C874,'Prop. prices'!$C$86:$C$160,0),MATCH(J$818,'Prop. prices'!$I$5:$AB$5,0))</f>
        <v>0</v>
      </c>
      <c r="K874" s="218">
        <f>INDEX('Prop. prices'!$I$86:$AB$160,MATCH($C874,'Prop. prices'!$C$86:$C$160,0),MATCH(K$818,'Prop. prices'!$I$5:$AB$5,0))</f>
        <v>0</v>
      </c>
      <c r="L874" s="218">
        <f>INDEX('Prop. prices'!$I$86:$AB$160,MATCH($C874,'Prop. prices'!$C$86:$C$160,0),MATCH(L$818,'Prop. prices'!$I$5:$AB$5,0))</f>
        <v>0</v>
      </c>
      <c r="M874" s="218">
        <f>INDEX('Prop. prices'!$I$86:$AB$160,MATCH($C874,'Prop. prices'!$C$86:$C$160,0),MATCH(M$818,'Prop. prices'!$I$5:$AB$5,0))</f>
        <v>0</v>
      </c>
      <c r="N874" s="218">
        <f>INDEX('Prop. prices'!$I$86:$AB$160,MATCH($C874,'Prop. prices'!$C$86:$C$160,0),MATCH(N$818,'Prop. prices'!$I$5:$AB$5,0))</f>
        <v>0</v>
      </c>
      <c r="O874" s="218">
        <f>INDEX('Prop. prices'!$I$86:$AB$160,MATCH($C874,'Prop. prices'!$C$86:$C$160,0),MATCH(O$818,'Prop. prices'!$I$5:$AB$5,0))</f>
        <v>0</v>
      </c>
      <c r="P874" s="218">
        <f>INDEX('Prop. prices'!$I$86:$AB$160,MATCH($C874,'Prop. prices'!$C$86:$C$160,0),MATCH(P$818,'Prop. prices'!$I$5:$AB$5,0))</f>
        <v>0</v>
      </c>
      <c r="Q874" s="218">
        <f>INDEX('Prop. prices'!$I$86:$AB$160,MATCH($C874,'Prop. prices'!$C$86:$C$160,0),MATCH(Q$818,'Prop. prices'!$I$5:$AB$5,0))</f>
        <v>0</v>
      </c>
      <c r="R874" s="218">
        <f>INDEX('Prop. prices'!$I$86:$AB$160,MATCH($C874,'Prop. prices'!$C$86:$C$160,0),MATCH(R$818,'Prop. prices'!$I$5:$AB$5,0))</f>
        <v>0</v>
      </c>
      <c r="S874" s="218">
        <f>INDEX('Prop. prices'!$I$86:$AB$160,MATCH($C874,'Prop. prices'!$C$86:$C$160,0),MATCH(S$818,'Prop. prices'!$I$5:$AB$5,0))</f>
        <v>0</v>
      </c>
      <c r="T874" s="218">
        <f>INDEX('Prop. prices'!$I$86:$AB$160,MATCH($C874,'Prop. prices'!$C$86:$C$160,0),MATCH(T$818,'Prop. prices'!$I$5:$AB$5,0))</f>
        <v>0</v>
      </c>
      <c r="U874" s="218">
        <f>INDEX('Prop. prices'!$I$86:$AB$160,MATCH($C874,'Prop. prices'!$C$86:$C$160,0),MATCH(U$818,'Prop. prices'!$I$5:$AB$5,0))</f>
        <v>0</v>
      </c>
      <c r="V874" s="218">
        <f>INDEX('Prop. prices'!$I$86:$AB$160,MATCH($C874,'Prop. prices'!$C$86:$C$160,0),MATCH(V$818,'Prop. prices'!$I$5:$AB$5,0))</f>
        <v>0</v>
      </c>
      <c r="W874" s="218">
        <f>INDEX('Prop. prices'!$I$86:$AB$160,MATCH($C874,'Prop. prices'!$C$86:$C$160,0),MATCH(W$818,'Prop. prices'!$I$5:$AB$5,0))</f>
        <v>0</v>
      </c>
      <c r="X874" s="218">
        <f>INDEX('Prop. prices'!$I$86:$AB$160,MATCH($C874,'Prop. prices'!$C$86:$C$160,0),MATCH(X$818,'Prop. prices'!$I$5:$AB$5,0))</f>
        <v>0</v>
      </c>
      <c r="Y874" s="218">
        <f>INDEX('Prop. prices'!$I$86:$AB$160,MATCH($C874,'Prop. prices'!$C$86:$C$160,0),MATCH(Y$818,'Prop. prices'!$I$5:$AB$5,0))</f>
        <v>0</v>
      </c>
      <c r="Z874" s="218">
        <f>INDEX('Prop. prices'!$I$86:$AB$160,MATCH($C874,'Prop. prices'!$C$86:$C$160,0),MATCH(Z$818,'Prop. prices'!$I$5:$AB$5,0))</f>
        <v>0</v>
      </c>
      <c r="AA874" s="218">
        <f>INDEX('Prop. prices'!$I$86:$AB$160,MATCH($C874,'Prop. prices'!$C$86:$C$160,0),MATCH(AA$818,'Prop. prices'!$I$5:$AB$5,0))</f>
        <v>0</v>
      </c>
      <c r="AB874" s="218">
        <f>INDEX('Prop. prices'!$I$86:$AB$160,MATCH($C874,'Prop. prices'!$C$86:$C$160,0),MATCH(AB$818,'Prop. prices'!$I$5:$AB$5,0))</f>
        <v>0</v>
      </c>
      <c r="AC874" s="187"/>
      <c r="AD874" s="19"/>
      <c r="AE874" s="19"/>
      <c r="AF874" s="19"/>
      <c r="AG874" s="19"/>
    </row>
    <row r="875" spans="1:33" hidden="1" outlineLevel="3" x14ac:dyDescent="0.2">
      <c r="A875" s="19"/>
      <c r="B875" s="19"/>
      <c r="C875" s="506">
        <f t="shared" si="199"/>
        <v>0</v>
      </c>
      <c r="D875" s="505">
        <f t="shared" si="199"/>
        <v>0</v>
      </c>
      <c r="E875" s="58"/>
      <c r="F875" s="223"/>
      <c r="G875" s="58"/>
      <c r="H875" s="58"/>
      <c r="I875" s="218">
        <f>INDEX('Prop. prices'!$I$86:$AB$160,MATCH($C875,'Prop. prices'!$C$86:$C$160,0),MATCH(I$818,'Prop. prices'!$I$5:$AB$5,0))</f>
        <v>0</v>
      </c>
      <c r="J875" s="218">
        <f>INDEX('Prop. prices'!$I$86:$AB$160,MATCH($C875,'Prop. prices'!$C$86:$C$160,0),MATCH(J$818,'Prop. prices'!$I$5:$AB$5,0))</f>
        <v>0</v>
      </c>
      <c r="K875" s="218">
        <f>INDEX('Prop. prices'!$I$86:$AB$160,MATCH($C875,'Prop. prices'!$C$86:$C$160,0),MATCH(K$818,'Prop. prices'!$I$5:$AB$5,0))</f>
        <v>0</v>
      </c>
      <c r="L875" s="218">
        <f>INDEX('Prop. prices'!$I$86:$AB$160,MATCH($C875,'Prop. prices'!$C$86:$C$160,0),MATCH(L$818,'Prop. prices'!$I$5:$AB$5,0))</f>
        <v>0</v>
      </c>
      <c r="M875" s="218">
        <f>INDEX('Prop. prices'!$I$86:$AB$160,MATCH($C875,'Prop. prices'!$C$86:$C$160,0),MATCH(M$818,'Prop. prices'!$I$5:$AB$5,0))</f>
        <v>0</v>
      </c>
      <c r="N875" s="218">
        <f>INDEX('Prop. prices'!$I$86:$AB$160,MATCH($C875,'Prop. prices'!$C$86:$C$160,0),MATCH(N$818,'Prop. prices'!$I$5:$AB$5,0))</f>
        <v>0</v>
      </c>
      <c r="O875" s="218">
        <f>INDEX('Prop. prices'!$I$86:$AB$160,MATCH($C875,'Prop. prices'!$C$86:$C$160,0),MATCH(O$818,'Prop. prices'!$I$5:$AB$5,0))</f>
        <v>0</v>
      </c>
      <c r="P875" s="218">
        <f>INDEX('Prop. prices'!$I$86:$AB$160,MATCH($C875,'Prop. prices'!$C$86:$C$160,0),MATCH(P$818,'Prop. prices'!$I$5:$AB$5,0))</f>
        <v>0</v>
      </c>
      <c r="Q875" s="218">
        <f>INDEX('Prop. prices'!$I$86:$AB$160,MATCH($C875,'Prop. prices'!$C$86:$C$160,0),MATCH(Q$818,'Prop. prices'!$I$5:$AB$5,0))</f>
        <v>0</v>
      </c>
      <c r="R875" s="218">
        <f>INDEX('Prop. prices'!$I$86:$AB$160,MATCH($C875,'Prop. prices'!$C$86:$C$160,0),MATCH(R$818,'Prop. prices'!$I$5:$AB$5,0))</f>
        <v>0</v>
      </c>
      <c r="S875" s="218">
        <f>INDEX('Prop. prices'!$I$86:$AB$160,MATCH($C875,'Prop. prices'!$C$86:$C$160,0),MATCH(S$818,'Prop. prices'!$I$5:$AB$5,0))</f>
        <v>0</v>
      </c>
      <c r="T875" s="218">
        <f>INDEX('Prop. prices'!$I$86:$AB$160,MATCH($C875,'Prop. prices'!$C$86:$C$160,0),MATCH(T$818,'Prop. prices'!$I$5:$AB$5,0))</f>
        <v>0</v>
      </c>
      <c r="U875" s="218">
        <f>INDEX('Prop. prices'!$I$86:$AB$160,MATCH($C875,'Prop. prices'!$C$86:$C$160,0),MATCH(U$818,'Prop. prices'!$I$5:$AB$5,0))</f>
        <v>0</v>
      </c>
      <c r="V875" s="218">
        <f>INDEX('Prop. prices'!$I$86:$AB$160,MATCH($C875,'Prop. prices'!$C$86:$C$160,0),MATCH(V$818,'Prop. prices'!$I$5:$AB$5,0))</f>
        <v>0</v>
      </c>
      <c r="W875" s="218">
        <f>INDEX('Prop. prices'!$I$86:$AB$160,MATCH($C875,'Prop. prices'!$C$86:$C$160,0),MATCH(W$818,'Prop. prices'!$I$5:$AB$5,0))</f>
        <v>0</v>
      </c>
      <c r="X875" s="218">
        <f>INDEX('Prop. prices'!$I$86:$AB$160,MATCH($C875,'Prop. prices'!$C$86:$C$160,0),MATCH(X$818,'Prop. prices'!$I$5:$AB$5,0))</f>
        <v>0</v>
      </c>
      <c r="Y875" s="218">
        <f>INDEX('Prop. prices'!$I$86:$AB$160,MATCH($C875,'Prop. prices'!$C$86:$C$160,0),MATCH(Y$818,'Prop. prices'!$I$5:$AB$5,0))</f>
        <v>0</v>
      </c>
      <c r="Z875" s="218">
        <f>INDEX('Prop. prices'!$I$86:$AB$160,MATCH($C875,'Prop. prices'!$C$86:$C$160,0),MATCH(Z$818,'Prop. prices'!$I$5:$AB$5,0))</f>
        <v>0</v>
      </c>
      <c r="AA875" s="218">
        <f>INDEX('Prop. prices'!$I$86:$AB$160,MATCH($C875,'Prop. prices'!$C$86:$C$160,0),MATCH(AA$818,'Prop. prices'!$I$5:$AB$5,0))</f>
        <v>0</v>
      </c>
      <c r="AB875" s="218">
        <f>INDEX('Prop. prices'!$I$86:$AB$160,MATCH($C875,'Prop. prices'!$C$86:$C$160,0),MATCH(AB$818,'Prop. prices'!$I$5:$AB$5,0))</f>
        <v>0</v>
      </c>
      <c r="AC875" s="187"/>
      <c r="AD875" s="19"/>
      <c r="AE875" s="19"/>
      <c r="AF875" s="19"/>
      <c r="AG875" s="19"/>
    </row>
    <row r="876" spans="1:33" hidden="1" outlineLevel="3" x14ac:dyDescent="0.2">
      <c r="A876" s="19"/>
      <c r="B876" s="19"/>
      <c r="C876" s="506">
        <f t="shared" si="199"/>
        <v>0</v>
      </c>
      <c r="D876" s="505">
        <f t="shared" si="199"/>
        <v>0</v>
      </c>
      <c r="E876" s="58"/>
      <c r="F876" s="223"/>
      <c r="G876" s="58"/>
      <c r="H876" s="58"/>
      <c r="I876" s="218">
        <f>INDEX('Prop. prices'!$I$86:$AB$160,MATCH($C876,'Prop. prices'!$C$86:$C$160,0),MATCH(I$818,'Prop. prices'!$I$5:$AB$5,0))</f>
        <v>0</v>
      </c>
      <c r="J876" s="218">
        <f>INDEX('Prop. prices'!$I$86:$AB$160,MATCH($C876,'Prop. prices'!$C$86:$C$160,0),MATCH(J$818,'Prop. prices'!$I$5:$AB$5,0))</f>
        <v>0</v>
      </c>
      <c r="K876" s="218">
        <f>INDEX('Prop. prices'!$I$86:$AB$160,MATCH($C876,'Prop. prices'!$C$86:$C$160,0),MATCH(K$818,'Prop. prices'!$I$5:$AB$5,0))</f>
        <v>0</v>
      </c>
      <c r="L876" s="218">
        <f>INDEX('Prop. prices'!$I$86:$AB$160,MATCH($C876,'Prop. prices'!$C$86:$C$160,0),MATCH(L$818,'Prop. prices'!$I$5:$AB$5,0))</f>
        <v>0</v>
      </c>
      <c r="M876" s="218">
        <f>INDEX('Prop. prices'!$I$86:$AB$160,MATCH($C876,'Prop. prices'!$C$86:$C$160,0),MATCH(M$818,'Prop. prices'!$I$5:$AB$5,0))</f>
        <v>0</v>
      </c>
      <c r="N876" s="218">
        <f>INDEX('Prop. prices'!$I$86:$AB$160,MATCH($C876,'Prop. prices'!$C$86:$C$160,0),MATCH(N$818,'Prop. prices'!$I$5:$AB$5,0))</f>
        <v>0</v>
      </c>
      <c r="O876" s="218">
        <f>INDEX('Prop. prices'!$I$86:$AB$160,MATCH($C876,'Prop. prices'!$C$86:$C$160,0),MATCH(O$818,'Prop. prices'!$I$5:$AB$5,0))</f>
        <v>0</v>
      </c>
      <c r="P876" s="218">
        <f>INDEX('Prop. prices'!$I$86:$AB$160,MATCH($C876,'Prop. prices'!$C$86:$C$160,0),MATCH(P$818,'Prop. prices'!$I$5:$AB$5,0))</f>
        <v>0</v>
      </c>
      <c r="Q876" s="218">
        <f>INDEX('Prop. prices'!$I$86:$AB$160,MATCH($C876,'Prop. prices'!$C$86:$C$160,0),MATCH(Q$818,'Prop. prices'!$I$5:$AB$5,0))</f>
        <v>0</v>
      </c>
      <c r="R876" s="218">
        <f>INDEX('Prop. prices'!$I$86:$AB$160,MATCH($C876,'Prop. prices'!$C$86:$C$160,0),MATCH(R$818,'Prop. prices'!$I$5:$AB$5,0))</f>
        <v>0</v>
      </c>
      <c r="S876" s="218">
        <f>INDEX('Prop. prices'!$I$86:$AB$160,MATCH($C876,'Prop. prices'!$C$86:$C$160,0),MATCH(S$818,'Prop. prices'!$I$5:$AB$5,0))</f>
        <v>0</v>
      </c>
      <c r="T876" s="218">
        <f>INDEX('Prop. prices'!$I$86:$AB$160,MATCH($C876,'Prop. prices'!$C$86:$C$160,0),MATCH(T$818,'Prop. prices'!$I$5:$AB$5,0))</f>
        <v>0</v>
      </c>
      <c r="U876" s="218">
        <f>INDEX('Prop. prices'!$I$86:$AB$160,MATCH($C876,'Prop. prices'!$C$86:$C$160,0),MATCH(U$818,'Prop. prices'!$I$5:$AB$5,0))</f>
        <v>0</v>
      </c>
      <c r="V876" s="218">
        <f>INDEX('Prop. prices'!$I$86:$AB$160,MATCH($C876,'Prop. prices'!$C$86:$C$160,0),MATCH(V$818,'Prop. prices'!$I$5:$AB$5,0))</f>
        <v>0</v>
      </c>
      <c r="W876" s="218">
        <f>INDEX('Prop. prices'!$I$86:$AB$160,MATCH($C876,'Prop. prices'!$C$86:$C$160,0),MATCH(W$818,'Prop. prices'!$I$5:$AB$5,0))</f>
        <v>0</v>
      </c>
      <c r="X876" s="218">
        <f>INDEX('Prop. prices'!$I$86:$AB$160,MATCH($C876,'Prop. prices'!$C$86:$C$160,0),MATCH(X$818,'Prop. prices'!$I$5:$AB$5,0))</f>
        <v>0</v>
      </c>
      <c r="Y876" s="218">
        <f>INDEX('Prop. prices'!$I$86:$AB$160,MATCH($C876,'Prop. prices'!$C$86:$C$160,0),MATCH(Y$818,'Prop. prices'!$I$5:$AB$5,0))</f>
        <v>0</v>
      </c>
      <c r="Z876" s="218">
        <f>INDEX('Prop. prices'!$I$86:$AB$160,MATCH($C876,'Prop. prices'!$C$86:$C$160,0),MATCH(Z$818,'Prop. prices'!$I$5:$AB$5,0))</f>
        <v>0</v>
      </c>
      <c r="AA876" s="218">
        <f>INDEX('Prop. prices'!$I$86:$AB$160,MATCH($C876,'Prop. prices'!$C$86:$C$160,0),MATCH(AA$818,'Prop. prices'!$I$5:$AB$5,0))</f>
        <v>0</v>
      </c>
      <c r="AB876" s="218">
        <f>INDEX('Prop. prices'!$I$86:$AB$160,MATCH($C876,'Prop. prices'!$C$86:$C$160,0),MATCH(AB$818,'Prop. prices'!$I$5:$AB$5,0))</f>
        <v>0</v>
      </c>
      <c r="AC876" s="187"/>
      <c r="AD876" s="19"/>
      <c r="AE876" s="19"/>
      <c r="AF876" s="19"/>
      <c r="AG876" s="19"/>
    </row>
    <row r="877" spans="1:33" hidden="1" outlineLevel="3" x14ac:dyDescent="0.2">
      <c r="A877" s="19"/>
      <c r="B877" s="19"/>
      <c r="C877" s="506">
        <f t="shared" si="199"/>
        <v>0</v>
      </c>
      <c r="D877" s="505">
        <f t="shared" si="199"/>
        <v>0</v>
      </c>
      <c r="E877" s="58"/>
      <c r="F877" s="223"/>
      <c r="G877" s="58"/>
      <c r="H877" s="58"/>
      <c r="I877" s="218">
        <f>INDEX('Prop. prices'!$I$86:$AB$160,MATCH($C877,'Prop. prices'!$C$86:$C$160,0),MATCH(I$818,'Prop. prices'!$I$5:$AB$5,0))</f>
        <v>0</v>
      </c>
      <c r="J877" s="218">
        <f>INDEX('Prop. prices'!$I$86:$AB$160,MATCH($C877,'Prop. prices'!$C$86:$C$160,0),MATCH(J$818,'Prop. prices'!$I$5:$AB$5,0))</f>
        <v>0</v>
      </c>
      <c r="K877" s="218">
        <f>INDEX('Prop. prices'!$I$86:$AB$160,MATCH($C877,'Prop. prices'!$C$86:$C$160,0),MATCH(K$818,'Prop. prices'!$I$5:$AB$5,0))</f>
        <v>0</v>
      </c>
      <c r="L877" s="218">
        <f>INDEX('Prop. prices'!$I$86:$AB$160,MATCH($C877,'Prop. prices'!$C$86:$C$160,0),MATCH(L$818,'Prop. prices'!$I$5:$AB$5,0))</f>
        <v>0</v>
      </c>
      <c r="M877" s="218">
        <f>INDEX('Prop. prices'!$I$86:$AB$160,MATCH($C877,'Prop. prices'!$C$86:$C$160,0),MATCH(M$818,'Prop. prices'!$I$5:$AB$5,0))</f>
        <v>0</v>
      </c>
      <c r="N877" s="218">
        <f>INDEX('Prop. prices'!$I$86:$AB$160,MATCH($C877,'Prop. prices'!$C$86:$C$160,0),MATCH(N$818,'Prop. prices'!$I$5:$AB$5,0))</f>
        <v>0</v>
      </c>
      <c r="O877" s="218">
        <f>INDEX('Prop. prices'!$I$86:$AB$160,MATCH($C877,'Prop. prices'!$C$86:$C$160,0),MATCH(O$818,'Prop. prices'!$I$5:$AB$5,0))</f>
        <v>0</v>
      </c>
      <c r="P877" s="218">
        <f>INDEX('Prop. prices'!$I$86:$AB$160,MATCH($C877,'Prop. prices'!$C$86:$C$160,0),MATCH(P$818,'Prop. prices'!$I$5:$AB$5,0))</f>
        <v>0</v>
      </c>
      <c r="Q877" s="218">
        <f>INDEX('Prop. prices'!$I$86:$AB$160,MATCH($C877,'Prop. prices'!$C$86:$C$160,0),MATCH(Q$818,'Prop. prices'!$I$5:$AB$5,0))</f>
        <v>0</v>
      </c>
      <c r="R877" s="218">
        <f>INDEX('Prop. prices'!$I$86:$AB$160,MATCH($C877,'Prop. prices'!$C$86:$C$160,0),MATCH(R$818,'Prop. prices'!$I$5:$AB$5,0))</f>
        <v>0</v>
      </c>
      <c r="S877" s="218">
        <f>INDEX('Prop. prices'!$I$86:$AB$160,MATCH($C877,'Prop. prices'!$C$86:$C$160,0),MATCH(S$818,'Prop. prices'!$I$5:$AB$5,0))</f>
        <v>0</v>
      </c>
      <c r="T877" s="218">
        <f>INDEX('Prop. prices'!$I$86:$AB$160,MATCH($C877,'Prop. prices'!$C$86:$C$160,0),MATCH(T$818,'Prop. prices'!$I$5:$AB$5,0))</f>
        <v>0</v>
      </c>
      <c r="U877" s="218">
        <f>INDEX('Prop. prices'!$I$86:$AB$160,MATCH($C877,'Prop. prices'!$C$86:$C$160,0),MATCH(U$818,'Prop. prices'!$I$5:$AB$5,0))</f>
        <v>0</v>
      </c>
      <c r="V877" s="218">
        <f>INDEX('Prop. prices'!$I$86:$AB$160,MATCH($C877,'Prop. prices'!$C$86:$C$160,0),MATCH(V$818,'Prop. prices'!$I$5:$AB$5,0))</f>
        <v>0</v>
      </c>
      <c r="W877" s="218">
        <f>INDEX('Prop. prices'!$I$86:$AB$160,MATCH($C877,'Prop. prices'!$C$86:$C$160,0),MATCH(W$818,'Prop. prices'!$I$5:$AB$5,0))</f>
        <v>0</v>
      </c>
      <c r="X877" s="218">
        <f>INDEX('Prop. prices'!$I$86:$AB$160,MATCH($C877,'Prop. prices'!$C$86:$C$160,0),MATCH(X$818,'Prop. prices'!$I$5:$AB$5,0))</f>
        <v>0</v>
      </c>
      <c r="Y877" s="218">
        <f>INDEX('Prop. prices'!$I$86:$AB$160,MATCH($C877,'Prop. prices'!$C$86:$C$160,0),MATCH(Y$818,'Prop. prices'!$I$5:$AB$5,0))</f>
        <v>0</v>
      </c>
      <c r="Z877" s="218">
        <f>INDEX('Prop. prices'!$I$86:$AB$160,MATCH($C877,'Prop. prices'!$C$86:$C$160,0),MATCH(Z$818,'Prop. prices'!$I$5:$AB$5,0))</f>
        <v>0</v>
      </c>
      <c r="AA877" s="218">
        <f>INDEX('Prop. prices'!$I$86:$AB$160,MATCH($C877,'Prop. prices'!$C$86:$C$160,0),MATCH(AA$818,'Prop. prices'!$I$5:$AB$5,0))</f>
        <v>0</v>
      </c>
      <c r="AB877" s="218">
        <f>INDEX('Prop. prices'!$I$86:$AB$160,MATCH($C877,'Prop. prices'!$C$86:$C$160,0),MATCH(AB$818,'Prop. prices'!$I$5:$AB$5,0))</f>
        <v>0</v>
      </c>
      <c r="AC877" s="187"/>
      <c r="AD877" s="19"/>
      <c r="AE877" s="19"/>
      <c r="AF877" s="19"/>
      <c r="AG877" s="19"/>
    </row>
    <row r="878" spans="1:33" hidden="1" outlineLevel="3" x14ac:dyDescent="0.2">
      <c r="A878" s="19"/>
      <c r="B878" s="19"/>
      <c r="C878" s="506">
        <f t="shared" si="199"/>
        <v>0</v>
      </c>
      <c r="D878" s="505">
        <f t="shared" si="199"/>
        <v>0</v>
      </c>
      <c r="E878" s="58"/>
      <c r="F878" s="223"/>
      <c r="G878" s="58"/>
      <c r="H878" s="58"/>
      <c r="I878" s="218">
        <f>INDEX('Prop. prices'!$I$86:$AB$160,MATCH($C878,'Prop. prices'!$C$86:$C$160,0),MATCH(I$818,'Prop. prices'!$I$5:$AB$5,0))</f>
        <v>0</v>
      </c>
      <c r="J878" s="218">
        <f>INDEX('Prop. prices'!$I$86:$AB$160,MATCH($C878,'Prop. prices'!$C$86:$C$160,0),MATCH(J$818,'Prop. prices'!$I$5:$AB$5,0))</f>
        <v>0</v>
      </c>
      <c r="K878" s="218">
        <f>INDEX('Prop. prices'!$I$86:$AB$160,MATCH($C878,'Prop. prices'!$C$86:$C$160,0),MATCH(K$818,'Prop. prices'!$I$5:$AB$5,0))</f>
        <v>0</v>
      </c>
      <c r="L878" s="218">
        <f>INDEX('Prop. prices'!$I$86:$AB$160,MATCH($C878,'Prop. prices'!$C$86:$C$160,0),MATCH(L$818,'Prop. prices'!$I$5:$AB$5,0))</f>
        <v>0</v>
      </c>
      <c r="M878" s="218">
        <f>INDEX('Prop. prices'!$I$86:$AB$160,MATCH($C878,'Prop. prices'!$C$86:$C$160,0),MATCH(M$818,'Prop. prices'!$I$5:$AB$5,0))</f>
        <v>0</v>
      </c>
      <c r="N878" s="218">
        <f>INDEX('Prop. prices'!$I$86:$AB$160,MATCH($C878,'Prop. prices'!$C$86:$C$160,0),MATCH(N$818,'Prop. prices'!$I$5:$AB$5,0))</f>
        <v>0</v>
      </c>
      <c r="O878" s="218">
        <f>INDEX('Prop. prices'!$I$86:$AB$160,MATCH($C878,'Prop. prices'!$C$86:$C$160,0),MATCH(O$818,'Prop. prices'!$I$5:$AB$5,0))</f>
        <v>0</v>
      </c>
      <c r="P878" s="218">
        <f>INDEX('Prop. prices'!$I$86:$AB$160,MATCH($C878,'Prop. prices'!$C$86:$C$160,0),MATCH(P$818,'Prop. prices'!$I$5:$AB$5,0))</f>
        <v>0</v>
      </c>
      <c r="Q878" s="218">
        <f>INDEX('Prop. prices'!$I$86:$AB$160,MATCH($C878,'Prop. prices'!$C$86:$C$160,0),MATCH(Q$818,'Prop. prices'!$I$5:$AB$5,0))</f>
        <v>0</v>
      </c>
      <c r="R878" s="218">
        <f>INDEX('Prop. prices'!$I$86:$AB$160,MATCH($C878,'Prop. prices'!$C$86:$C$160,0),MATCH(R$818,'Prop. prices'!$I$5:$AB$5,0))</f>
        <v>0</v>
      </c>
      <c r="S878" s="218">
        <f>INDEX('Prop. prices'!$I$86:$AB$160,MATCH($C878,'Prop. prices'!$C$86:$C$160,0),MATCH(S$818,'Prop. prices'!$I$5:$AB$5,0))</f>
        <v>0</v>
      </c>
      <c r="T878" s="218">
        <f>INDEX('Prop. prices'!$I$86:$AB$160,MATCH($C878,'Prop. prices'!$C$86:$C$160,0),MATCH(T$818,'Prop. prices'!$I$5:$AB$5,0))</f>
        <v>0</v>
      </c>
      <c r="U878" s="218">
        <f>INDEX('Prop. prices'!$I$86:$AB$160,MATCH($C878,'Prop. prices'!$C$86:$C$160,0),MATCH(U$818,'Prop. prices'!$I$5:$AB$5,0))</f>
        <v>0</v>
      </c>
      <c r="V878" s="218">
        <f>INDEX('Prop. prices'!$I$86:$AB$160,MATCH($C878,'Prop. prices'!$C$86:$C$160,0),MATCH(V$818,'Prop. prices'!$I$5:$AB$5,0))</f>
        <v>0</v>
      </c>
      <c r="W878" s="218">
        <f>INDEX('Prop. prices'!$I$86:$AB$160,MATCH($C878,'Prop. prices'!$C$86:$C$160,0),MATCH(W$818,'Prop. prices'!$I$5:$AB$5,0))</f>
        <v>0</v>
      </c>
      <c r="X878" s="218">
        <f>INDEX('Prop. prices'!$I$86:$AB$160,MATCH($C878,'Prop. prices'!$C$86:$C$160,0),MATCH(X$818,'Prop. prices'!$I$5:$AB$5,0))</f>
        <v>0</v>
      </c>
      <c r="Y878" s="218">
        <f>INDEX('Prop. prices'!$I$86:$AB$160,MATCH($C878,'Prop. prices'!$C$86:$C$160,0),MATCH(Y$818,'Prop. prices'!$I$5:$AB$5,0))</f>
        <v>0</v>
      </c>
      <c r="Z878" s="218">
        <f>INDEX('Prop. prices'!$I$86:$AB$160,MATCH($C878,'Prop. prices'!$C$86:$C$160,0),MATCH(Z$818,'Prop. prices'!$I$5:$AB$5,0))</f>
        <v>0</v>
      </c>
      <c r="AA878" s="218">
        <f>INDEX('Prop. prices'!$I$86:$AB$160,MATCH($C878,'Prop. prices'!$C$86:$C$160,0),MATCH(AA$818,'Prop. prices'!$I$5:$AB$5,0))</f>
        <v>0</v>
      </c>
      <c r="AB878" s="218">
        <f>INDEX('Prop. prices'!$I$86:$AB$160,MATCH($C878,'Prop. prices'!$C$86:$C$160,0),MATCH(AB$818,'Prop. prices'!$I$5:$AB$5,0))</f>
        <v>0</v>
      </c>
      <c r="AC878" s="187"/>
      <c r="AD878" s="19"/>
      <c r="AE878" s="19"/>
      <c r="AF878" s="19"/>
      <c r="AG878" s="19"/>
    </row>
    <row r="879" spans="1:33" hidden="1" outlineLevel="3" x14ac:dyDescent="0.2">
      <c r="A879" s="19"/>
      <c r="B879" s="19"/>
      <c r="C879" s="506">
        <f t="shared" si="199"/>
        <v>0</v>
      </c>
      <c r="D879" s="505">
        <f t="shared" si="199"/>
        <v>0</v>
      </c>
      <c r="E879" s="58"/>
      <c r="F879" s="223"/>
      <c r="G879" s="58"/>
      <c r="H879" s="58"/>
      <c r="I879" s="218">
        <f>INDEX('Prop. prices'!$I$86:$AB$160,MATCH($C879,'Prop. prices'!$C$86:$C$160,0),MATCH(I$818,'Prop. prices'!$I$5:$AB$5,0))</f>
        <v>0</v>
      </c>
      <c r="J879" s="218">
        <f>INDEX('Prop. prices'!$I$86:$AB$160,MATCH($C879,'Prop. prices'!$C$86:$C$160,0),MATCH(J$818,'Prop. prices'!$I$5:$AB$5,0))</f>
        <v>0</v>
      </c>
      <c r="K879" s="218">
        <f>INDEX('Prop. prices'!$I$86:$AB$160,MATCH($C879,'Prop. prices'!$C$86:$C$160,0),MATCH(K$818,'Prop. prices'!$I$5:$AB$5,0))</f>
        <v>0</v>
      </c>
      <c r="L879" s="218">
        <f>INDEX('Prop. prices'!$I$86:$AB$160,MATCH($C879,'Prop. prices'!$C$86:$C$160,0),MATCH(L$818,'Prop. prices'!$I$5:$AB$5,0))</f>
        <v>0</v>
      </c>
      <c r="M879" s="218">
        <f>INDEX('Prop. prices'!$I$86:$AB$160,MATCH($C879,'Prop. prices'!$C$86:$C$160,0),MATCH(M$818,'Prop. prices'!$I$5:$AB$5,0))</f>
        <v>0</v>
      </c>
      <c r="N879" s="218">
        <f>INDEX('Prop. prices'!$I$86:$AB$160,MATCH($C879,'Prop. prices'!$C$86:$C$160,0),MATCH(N$818,'Prop. prices'!$I$5:$AB$5,0))</f>
        <v>0</v>
      </c>
      <c r="O879" s="218">
        <f>INDEX('Prop. prices'!$I$86:$AB$160,MATCH($C879,'Prop. prices'!$C$86:$C$160,0),MATCH(O$818,'Prop. prices'!$I$5:$AB$5,0))</f>
        <v>0</v>
      </c>
      <c r="P879" s="218">
        <f>INDEX('Prop. prices'!$I$86:$AB$160,MATCH($C879,'Prop. prices'!$C$86:$C$160,0),MATCH(P$818,'Prop. prices'!$I$5:$AB$5,0))</f>
        <v>0</v>
      </c>
      <c r="Q879" s="218">
        <f>INDEX('Prop. prices'!$I$86:$AB$160,MATCH($C879,'Prop. prices'!$C$86:$C$160,0),MATCH(Q$818,'Prop. prices'!$I$5:$AB$5,0))</f>
        <v>0</v>
      </c>
      <c r="R879" s="218">
        <f>INDEX('Prop. prices'!$I$86:$AB$160,MATCH($C879,'Prop. prices'!$C$86:$C$160,0),MATCH(R$818,'Prop. prices'!$I$5:$AB$5,0))</f>
        <v>0</v>
      </c>
      <c r="S879" s="218">
        <f>INDEX('Prop. prices'!$I$86:$AB$160,MATCH($C879,'Prop. prices'!$C$86:$C$160,0),MATCH(S$818,'Prop. prices'!$I$5:$AB$5,0))</f>
        <v>0</v>
      </c>
      <c r="T879" s="218">
        <f>INDEX('Prop. prices'!$I$86:$AB$160,MATCH($C879,'Prop. prices'!$C$86:$C$160,0),MATCH(T$818,'Prop. prices'!$I$5:$AB$5,0))</f>
        <v>0</v>
      </c>
      <c r="U879" s="218">
        <f>INDEX('Prop. prices'!$I$86:$AB$160,MATCH($C879,'Prop. prices'!$C$86:$C$160,0),MATCH(U$818,'Prop. prices'!$I$5:$AB$5,0))</f>
        <v>0</v>
      </c>
      <c r="V879" s="218">
        <f>INDEX('Prop. prices'!$I$86:$AB$160,MATCH($C879,'Prop. prices'!$C$86:$C$160,0),MATCH(V$818,'Prop. prices'!$I$5:$AB$5,0))</f>
        <v>0</v>
      </c>
      <c r="W879" s="218">
        <f>INDEX('Prop. prices'!$I$86:$AB$160,MATCH($C879,'Prop. prices'!$C$86:$C$160,0),MATCH(W$818,'Prop. prices'!$I$5:$AB$5,0))</f>
        <v>0</v>
      </c>
      <c r="X879" s="218">
        <f>INDEX('Prop. prices'!$I$86:$AB$160,MATCH($C879,'Prop. prices'!$C$86:$C$160,0),MATCH(X$818,'Prop. prices'!$I$5:$AB$5,0))</f>
        <v>0</v>
      </c>
      <c r="Y879" s="218">
        <f>INDEX('Prop. prices'!$I$86:$AB$160,MATCH($C879,'Prop. prices'!$C$86:$C$160,0),MATCH(Y$818,'Prop. prices'!$I$5:$AB$5,0))</f>
        <v>0</v>
      </c>
      <c r="Z879" s="218">
        <f>INDEX('Prop. prices'!$I$86:$AB$160,MATCH($C879,'Prop. prices'!$C$86:$C$160,0),MATCH(Z$818,'Prop. prices'!$I$5:$AB$5,0))</f>
        <v>0</v>
      </c>
      <c r="AA879" s="218">
        <f>INDEX('Prop. prices'!$I$86:$AB$160,MATCH($C879,'Prop. prices'!$C$86:$C$160,0),MATCH(AA$818,'Prop. prices'!$I$5:$AB$5,0))</f>
        <v>0</v>
      </c>
      <c r="AB879" s="218">
        <f>INDEX('Prop. prices'!$I$86:$AB$160,MATCH($C879,'Prop. prices'!$C$86:$C$160,0),MATCH(AB$818,'Prop. prices'!$I$5:$AB$5,0))</f>
        <v>0</v>
      </c>
      <c r="AC879" s="187"/>
      <c r="AD879" s="19"/>
      <c r="AE879" s="19"/>
      <c r="AF879" s="19"/>
      <c r="AG879" s="19"/>
    </row>
    <row r="880" spans="1:33" hidden="1" outlineLevel="3" x14ac:dyDescent="0.2">
      <c r="A880" s="19"/>
      <c r="B880" s="19"/>
      <c r="C880" s="506">
        <f t="shared" si="199"/>
        <v>0</v>
      </c>
      <c r="D880" s="505">
        <f t="shared" si="199"/>
        <v>0</v>
      </c>
      <c r="E880" s="58"/>
      <c r="F880" s="223"/>
      <c r="G880" s="58"/>
      <c r="H880" s="58"/>
      <c r="I880" s="218">
        <f>INDEX('Prop. prices'!$I$86:$AB$160,MATCH($C880,'Prop. prices'!$C$86:$C$160,0),MATCH(I$818,'Prop. prices'!$I$5:$AB$5,0))</f>
        <v>0</v>
      </c>
      <c r="J880" s="218">
        <f>INDEX('Prop. prices'!$I$86:$AB$160,MATCH($C880,'Prop. prices'!$C$86:$C$160,0),MATCH(J$818,'Prop. prices'!$I$5:$AB$5,0))</f>
        <v>0</v>
      </c>
      <c r="K880" s="218">
        <f>INDEX('Prop. prices'!$I$86:$AB$160,MATCH($C880,'Prop. prices'!$C$86:$C$160,0),MATCH(K$818,'Prop. prices'!$I$5:$AB$5,0))</f>
        <v>0</v>
      </c>
      <c r="L880" s="218">
        <f>INDEX('Prop. prices'!$I$86:$AB$160,MATCH($C880,'Prop. prices'!$C$86:$C$160,0),MATCH(L$818,'Prop. prices'!$I$5:$AB$5,0))</f>
        <v>0</v>
      </c>
      <c r="M880" s="218">
        <f>INDEX('Prop. prices'!$I$86:$AB$160,MATCH($C880,'Prop. prices'!$C$86:$C$160,0),MATCH(M$818,'Prop. prices'!$I$5:$AB$5,0))</f>
        <v>0</v>
      </c>
      <c r="N880" s="218">
        <f>INDEX('Prop. prices'!$I$86:$AB$160,MATCH($C880,'Prop. prices'!$C$86:$C$160,0),MATCH(N$818,'Prop. prices'!$I$5:$AB$5,0))</f>
        <v>0</v>
      </c>
      <c r="O880" s="218">
        <f>INDEX('Prop. prices'!$I$86:$AB$160,MATCH($C880,'Prop. prices'!$C$86:$C$160,0),MATCH(O$818,'Prop. prices'!$I$5:$AB$5,0))</f>
        <v>0</v>
      </c>
      <c r="P880" s="218">
        <f>INDEX('Prop. prices'!$I$86:$AB$160,MATCH($C880,'Prop. prices'!$C$86:$C$160,0),MATCH(P$818,'Prop. prices'!$I$5:$AB$5,0))</f>
        <v>0</v>
      </c>
      <c r="Q880" s="218">
        <f>INDEX('Prop. prices'!$I$86:$AB$160,MATCH($C880,'Prop. prices'!$C$86:$C$160,0),MATCH(Q$818,'Prop. prices'!$I$5:$AB$5,0))</f>
        <v>0</v>
      </c>
      <c r="R880" s="218">
        <f>INDEX('Prop. prices'!$I$86:$AB$160,MATCH($C880,'Prop. prices'!$C$86:$C$160,0),MATCH(R$818,'Prop. prices'!$I$5:$AB$5,0))</f>
        <v>0</v>
      </c>
      <c r="S880" s="218">
        <f>INDEX('Prop. prices'!$I$86:$AB$160,MATCH($C880,'Prop. prices'!$C$86:$C$160,0),MATCH(S$818,'Prop. prices'!$I$5:$AB$5,0))</f>
        <v>0</v>
      </c>
      <c r="T880" s="218">
        <f>INDEX('Prop. prices'!$I$86:$AB$160,MATCH($C880,'Prop. prices'!$C$86:$C$160,0),MATCH(T$818,'Prop. prices'!$I$5:$AB$5,0))</f>
        <v>0</v>
      </c>
      <c r="U880" s="218">
        <f>INDEX('Prop. prices'!$I$86:$AB$160,MATCH($C880,'Prop. prices'!$C$86:$C$160,0),MATCH(U$818,'Prop. prices'!$I$5:$AB$5,0))</f>
        <v>0</v>
      </c>
      <c r="V880" s="218">
        <f>INDEX('Prop. prices'!$I$86:$AB$160,MATCH($C880,'Prop. prices'!$C$86:$C$160,0),MATCH(V$818,'Prop. prices'!$I$5:$AB$5,0))</f>
        <v>0</v>
      </c>
      <c r="W880" s="218">
        <f>INDEX('Prop. prices'!$I$86:$AB$160,MATCH($C880,'Prop. prices'!$C$86:$C$160,0),MATCH(W$818,'Prop. prices'!$I$5:$AB$5,0))</f>
        <v>0</v>
      </c>
      <c r="X880" s="218">
        <f>INDEX('Prop. prices'!$I$86:$AB$160,MATCH($C880,'Prop. prices'!$C$86:$C$160,0),MATCH(X$818,'Prop. prices'!$I$5:$AB$5,0))</f>
        <v>0</v>
      </c>
      <c r="Y880" s="218">
        <f>INDEX('Prop. prices'!$I$86:$AB$160,MATCH($C880,'Prop. prices'!$C$86:$C$160,0),MATCH(Y$818,'Prop. prices'!$I$5:$AB$5,0))</f>
        <v>0</v>
      </c>
      <c r="Z880" s="218">
        <f>INDEX('Prop. prices'!$I$86:$AB$160,MATCH($C880,'Prop. prices'!$C$86:$C$160,0),MATCH(Z$818,'Prop. prices'!$I$5:$AB$5,0))</f>
        <v>0</v>
      </c>
      <c r="AA880" s="218">
        <f>INDEX('Prop. prices'!$I$86:$AB$160,MATCH($C880,'Prop. prices'!$C$86:$C$160,0),MATCH(AA$818,'Prop. prices'!$I$5:$AB$5,0))</f>
        <v>0</v>
      </c>
      <c r="AB880" s="218">
        <f>INDEX('Prop. prices'!$I$86:$AB$160,MATCH($C880,'Prop. prices'!$C$86:$C$160,0),MATCH(AB$818,'Prop. prices'!$I$5:$AB$5,0))</f>
        <v>0</v>
      </c>
      <c r="AC880" s="187"/>
      <c r="AD880" s="19"/>
      <c r="AE880" s="19"/>
      <c r="AF880" s="19"/>
      <c r="AG880" s="19"/>
    </row>
    <row r="881" spans="1:33" hidden="1" outlineLevel="3" x14ac:dyDescent="0.2">
      <c r="A881" s="19"/>
      <c r="B881" s="19"/>
      <c r="C881" s="506">
        <f t="shared" si="199"/>
        <v>0</v>
      </c>
      <c r="D881" s="505">
        <f t="shared" si="199"/>
        <v>0</v>
      </c>
      <c r="E881" s="58"/>
      <c r="F881" s="223"/>
      <c r="G881" s="58"/>
      <c r="H881" s="58"/>
      <c r="I881" s="218">
        <f>INDEX('Prop. prices'!$I$86:$AB$160,MATCH($C881,'Prop. prices'!$C$86:$C$160,0),MATCH(I$818,'Prop. prices'!$I$5:$AB$5,0))</f>
        <v>0</v>
      </c>
      <c r="J881" s="218">
        <f>INDEX('Prop. prices'!$I$86:$AB$160,MATCH($C881,'Prop. prices'!$C$86:$C$160,0),MATCH(J$818,'Prop. prices'!$I$5:$AB$5,0))</f>
        <v>0</v>
      </c>
      <c r="K881" s="218">
        <f>INDEX('Prop. prices'!$I$86:$AB$160,MATCH($C881,'Prop. prices'!$C$86:$C$160,0),MATCH(K$818,'Prop. prices'!$I$5:$AB$5,0))</f>
        <v>0</v>
      </c>
      <c r="L881" s="218">
        <f>INDEX('Prop. prices'!$I$86:$AB$160,MATCH($C881,'Prop. prices'!$C$86:$C$160,0),MATCH(L$818,'Prop. prices'!$I$5:$AB$5,0))</f>
        <v>0</v>
      </c>
      <c r="M881" s="218">
        <f>INDEX('Prop. prices'!$I$86:$AB$160,MATCH($C881,'Prop. prices'!$C$86:$C$160,0),MATCH(M$818,'Prop. prices'!$I$5:$AB$5,0))</f>
        <v>0</v>
      </c>
      <c r="N881" s="218">
        <f>INDEX('Prop. prices'!$I$86:$AB$160,MATCH($C881,'Prop. prices'!$C$86:$C$160,0),MATCH(N$818,'Prop. prices'!$I$5:$AB$5,0))</f>
        <v>0</v>
      </c>
      <c r="O881" s="218">
        <f>INDEX('Prop. prices'!$I$86:$AB$160,MATCH($C881,'Prop. prices'!$C$86:$C$160,0),MATCH(O$818,'Prop. prices'!$I$5:$AB$5,0))</f>
        <v>0</v>
      </c>
      <c r="P881" s="218">
        <f>INDEX('Prop. prices'!$I$86:$AB$160,MATCH($C881,'Prop. prices'!$C$86:$C$160,0),MATCH(P$818,'Prop. prices'!$I$5:$AB$5,0))</f>
        <v>0</v>
      </c>
      <c r="Q881" s="218">
        <f>INDEX('Prop. prices'!$I$86:$AB$160,MATCH($C881,'Prop. prices'!$C$86:$C$160,0),MATCH(Q$818,'Prop. prices'!$I$5:$AB$5,0))</f>
        <v>0</v>
      </c>
      <c r="R881" s="218">
        <f>INDEX('Prop. prices'!$I$86:$AB$160,MATCH($C881,'Prop. prices'!$C$86:$C$160,0),MATCH(R$818,'Prop. prices'!$I$5:$AB$5,0))</f>
        <v>0</v>
      </c>
      <c r="S881" s="218">
        <f>INDEX('Prop. prices'!$I$86:$AB$160,MATCH($C881,'Prop. prices'!$C$86:$C$160,0),MATCH(S$818,'Prop. prices'!$I$5:$AB$5,0))</f>
        <v>0</v>
      </c>
      <c r="T881" s="218">
        <f>INDEX('Prop. prices'!$I$86:$AB$160,MATCH($C881,'Prop. prices'!$C$86:$C$160,0),MATCH(T$818,'Prop. prices'!$I$5:$AB$5,0))</f>
        <v>0</v>
      </c>
      <c r="U881" s="218">
        <f>INDEX('Prop. prices'!$I$86:$AB$160,MATCH($C881,'Prop. prices'!$C$86:$C$160,0),MATCH(U$818,'Prop. prices'!$I$5:$AB$5,0))</f>
        <v>0</v>
      </c>
      <c r="V881" s="218">
        <f>INDEX('Prop. prices'!$I$86:$AB$160,MATCH($C881,'Prop. prices'!$C$86:$C$160,0),MATCH(V$818,'Prop. prices'!$I$5:$AB$5,0))</f>
        <v>0</v>
      </c>
      <c r="W881" s="218">
        <f>INDEX('Prop. prices'!$I$86:$AB$160,MATCH($C881,'Prop. prices'!$C$86:$C$160,0),MATCH(W$818,'Prop. prices'!$I$5:$AB$5,0))</f>
        <v>0</v>
      </c>
      <c r="X881" s="218">
        <f>INDEX('Prop. prices'!$I$86:$AB$160,MATCH($C881,'Prop. prices'!$C$86:$C$160,0),MATCH(X$818,'Prop. prices'!$I$5:$AB$5,0))</f>
        <v>0</v>
      </c>
      <c r="Y881" s="218">
        <f>INDEX('Prop. prices'!$I$86:$AB$160,MATCH($C881,'Prop. prices'!$C$86:$C$160,0),MATCH(Y$818,'Prop. prices'!$I$5:$AB$5,0))</f>
        <v>0</v>
      </c>
      <c r="Z881" s="218">
        <f>INDEX('Prop. prices'!$I$86:$AB$160,MATCH($C881,'Prop. prices'!$C$86:$C$160,0),MATCH(Z$818,'Prop. prices'!$I$5:$AB$5,0))</f>
        <v>0</v>
      </c>
      <c r="AA881" s="218">
        <f>INDEX('Prop. prices'!$I$86:$AB$160,MATCH($C881,'Prop. prices'!$C$86:$C$160,0),MATCH(AA$818,'Prop. prices'!$I$5:$AB$5,0))</f>
        <v>0</v>
      </c>
      <c r="AB881" s="218">
        <f>INDEX('Prop. prices'!$I$86:$AB$160,MATCH($C881,'Prop. prices'!$C$86:$C$160,0),MATCH(AB$818,'Prop. prices'!$I$5:$AB$5,0))</f>
        <v>0</v>
      </c>
      <c r="AC881" s="187"/>
      <c r="AD881" s="19"/>
      <c r="AE881" s="19"/>
      <c r="AF881" s="19"/>
      <c r="AG881" s="19"/>
    </row>
    <row r="882" spans="1:33" hidden="1" outlineLevel="3" x14ac:dyDescent="0.2">
      <c r="A882" s="19"/>
      <c r="B882" s="19"/>
      <c r="C882" s="506">
        <f t="shared" si="199"/>
        <v>0</v>
      </c>
      <c r="D882" s="505">
        <f t="shared" si="199"/>
        <v>0</v>
      </c>
      <c r="E882" s="58"/>
      <c r="F882" s="223"/>
      <c r="G882" s="58"/>
      <c r="H882" s="58"/>
      <c r="I882" s="218">
        <f>INDEX('Prop. prices'!$I$86:$AB$160,MATCH($C882,'Prop. prices'!$C$86:$C$160,0),MATCH(I$818,'Prop. prices'!$I$5:$AB$5,0))</f>
        <v>0</v>
      </c>
      <c r="J882" s="218">
        <f>INDEX('Prop. prices'!$I$86:$AB$160,MATCH($C882,'Prop. prices'!$C$86:$C$160,0),MATCH(J$818,'Prop. prices'!$I$5:$AB$5,0))</f>
        <v>0</v>
      </c>
      <c r="K882" s="218">
        <f>INDEX('Prop. prices'!$I$86:$AB$160,MATCH($C882,'Prop. prices'!$C$86:$C$160,0),MATCH(K$818,'Prop. prices'!$I$5:$AB$5,0))</f>
        <v>0</v>
      </c>
      <c r="L882" s="218">
        <f>INDEX('Prop. prices'!$I$86:$AB$160,MATCH($C882,'Prop. prices'!$C$86:$C$160,0),MATCH(L$818,'Prop. prices'!$I$5:$AB$5,0))</f>
        <v>0</v>
      </c>
      <c r="M882" s="218">
        <f>INDEX('Prop. prices'!$I$86:$AB$160,MATCH($C882,'Prop. prices'!$C$86:$C$160,0),MATCH(M$818,'Prop. prices'!$I$5:$AB$5,0))</f>
        <v>0</v>
      </c>
      <c r="N882" s="218">
        <f>INDEX('Prop. prices'!$I$86:$AB$160,MATCH($C882,'Prop. prices'!$C$86:$C$160,0),MATCH(N$818,'Prop. prices'!$I$5:$AB$5,0))</f>
        <v>0</v>
      </c>
      <c r="O882" s="218">
        <f>INDEX('Prop. prices'!$I$86:$AB$160,MATCH($C882,'Prop. prices'!$C$86:$C$160,0),MATCH(O$818,'Prop. prices'!$I$5:$AB$5,0))</f>
        <v>0</v>
      </c>
      <c r="P882" s="218">
        <f>INDEX('Prop. prices'!$I$86:$AB$160,MATCH($C882,'Prop. prices'!$C$86:$C$160,0),MATCH(P$818,'Prop. prices'!$I$5:$AB$5,0))</f>
        <v>0</v>
      </c>
      <c r="Q882" s="218">
        <f>INDEX('Prop. prices'!$I$86:$AB$160,MATCH($C882,'Prop. prices'!$C$86:$C$160,0),MATCH(Q$818,'Prop. prices'!$I$5:$AB$5,0))</f>
        <v>0</v>
      </c>
      <c r="R882" s="218">
        <f>INDEX('Prop. prices'!$I$86:$AB$160,MATCH($C882,'Prop. prices'!$C$86:$C$160,0),MATCH(R$818,'Prop. prices'!$I$5:$AB$5,0))</f>
        <v>0</v>
      </c>
      <c r="S882" s="218">
        <f>INDEX('Prop. prices'!$I$86:$AB$160,MATCH($C882,'Prop. prices'!$C$86:$C$160,0),MATCH(S$818,'Prop. prices'!$I$5:$AB$5,0))</f>
        <v>0</v>
      </c>
      <c r="T882" s="218">
        <f>INDEX('Prop. prices'!$I$86:$AB$160,MATCH($C882,'Prop. prices'!$C$86:$C$160,0),MATCH(T$818,'Prop. prices'!$I$5:$AB$5,0))</f>
        <v>0</v>
      </c>
      <c r="U882" s="218">
        <f>INDEX('Prop. prices'!$I$86:$AB$160,MATCH($C882,'Prop. prices'!$C$86:$C$160,0),MATCH(U$818,'Prop. prices'!$I$5:$AB$5,0))</f>
        <v>0</v>
      </c>
      <c r="V882" s="218">
        <f>INDEX('Prop. prices'!$I$86:$AB$160,MATCH($C882,'Prop. prices'!$C$86:$C$160,0),MATCH(V$818,'Prop. prices'!$I$5:$AB$5,0))</f>
        <v>0</v>
      </c>
      <c r="W882" s="218">
        <f>INDEX('Prop. prices'!$I$86:$AB$160,MATCH($C882,'Prop. prices'!$C$86:$C$160,0),MATCH(W$818,'Prop. prices'!$I$5:$AB$5,0))</f>
        <v>0</v>
      </c>
      <c r="X882" s="218">
        <f>INDEX('Prop. prices'!$I$86:$AB$160,MATCH($C882,'Prop. prices'!$C$86:$C$160,0),MATCH(X$818,'Prop. prices'!$I$5:$AB$5,0))</f>
        <v>0</v>
      </c>
      <c r="Y882" s="218">
        <f>INDEX('Prop. prices'!$I$86:$AB$160,MATCH($C882,'Prop. prices'!$C$86:$C$160,0),MATCH(Y$818,'Prop. prices'!$I$5:$AB$5,0))</f>
        <v>0</v>
      </c>
      <c r="Z882" s="218">
        <f>INDEX('Prop. prices'!$I$86:$AB$160,MATCH($C882,'Prop. prices'!$C$86:$C$160,0),MATCH(Z$818,'Prop. prices'!$I$5:$AB$5,0))</f>
        <v>0</v>
      </c>
      <c r="AA882" s="218">
        <f>INDEX('Prop. prices'!$I$86:$AB$160,MATCH($C882,'Prop. prices'!$C$86:$C$160,0),MATCH(AA$818,'Prop. prices'!$I$5:$AB$5,0))</f>
        <v>0</v>
      </c>
      <c r="AB882" s="218">
        <f>INDEX('Prop. prices'!$I$86:$AB$160,MATCH($C882,'Prop. prices'!$C$86:$C$160,0),MATCH(AB$818,'Prop. prices'!$I$5:$AB$5,0))</f>
        <v>0</v>
      </c>
      <c r="AC882" s="187"/>
      <c r="AD882" s="19"/>
      <c r="AE882" s="19"/>
      <c r="AF882" s="19"/>
      <c r="AG882" s="19"/>
    </row>
    <row r="883" spans="1:33" hidden="1" outlineLevel="3" x14ac:dyDescent="0.2">
      <c r="A883" s="19"/>
      <c r="B883" s="19"/>
      <c r="C883" s="506">
        <f t="shared" si="199"/>
        <v>0</v>
      </c>
      <c r="D883" s="505">
        <f t="shared" si="199"/>
        <v>0</v>
      </c>
      <c r="E883" s="58"/>
      <c r="F883" s="223"/>
      <c r="G883" s="58"/>
      <c r="H883" s="58"/>
      <c r="I883" s="218">
        <f>INDEX('Prop. prices'!$I$86:$AB$160,MATCH($C883,'Prop. prices'!$C$86:$C$160,0),MATCH(I$818,'Prop. prices'!$I$5:$AB$5,0))</f>
        <v>0</v>
      </c>
      <c r="J883" s="218">
        <f>INDEX('Prop. prices'!$I$86:$AB$160,MATCH($C883,'Prop. prices'!$C$86:$C$160,0),MATCH(J$818,'Prop. prices'!$I$5:$AB$5,0))</f>
        <v>0</v>
      </c>
      <c r="K883" s="218">
        <f>INDEX('Prop. prices'!$I$86:$AB$160,MATCH($C883,'Prop. prices'!$C$86:$C$160,0),MATCH(K$818,'Prop. prices'!$I$5:$AB$5,0))</f>
        <v>0</v>
      </c>
      <c r="L883" s="218">
        <f>INDEX('Prop. prices'!$I$86:$AB$160,MATCH($C883,'Prop. prices'!$C$86:$C$160,0),MATCH(L$818,'Prop. prices'!$I$5:$AB$5,0))</f>
        <v>0</v>
      </c>
      <c r="M883" s="218">
        <f>INDEX('Prop. prices'!$I$86:$AB$160,MATCH($C883,'Prop. prices'!$C$86:$C$160,0),MATCH(M$818,'Prop. prices'!$I$5:$AB$5,0))</f>
        <v>0</v>
      </c>
      <c r="N883" s="218">
        <f>INDEX('Prop. prices'!$I$86:$AB$160,MATCH($C883,'Prop. prices'!$C$86:$C$160,0),MATCH(N$818,'Prop. prices'!$I$5:$AB$5,0))</f>
        <v>0</v>
      </c>
      <c r="O883" s="218">
        <f>INDEX('Prop. prices'!$I$86:$AB$160,MATCH($C883,'Prop. prices'!$C$86:$C$160,0),MATCH(O$818,'Prop. prices'!$I$5:$AB$5,0))</f>
        <v>0</v>
      </c>
      <c r="P883" s="218">
        <f>INDEX('Prop. prices'!$I$86:$AB$160,MATCH($C883,'Prop. prices'!$C$86:$C$160,0),MATCH(P$818,'Prop. prices'!$I$5:$AB$5,0))</f>
        <v>0</v>
      </c>
      <c r="Q883" s="218">
        <f>INDEX('Prop. prices'!$I$86:$AB$160,MATCH($C883,'Prop. prices'!$C$86:$C$160,0),MATCH(Q$818,'Prop. prices'!$I$5:$AB$5,0))</f>
        <v>0</v>
      </c>
      <c r="R883" s="218">
        <f>INDEX('Prop. prices'!$I$86:$AB$160,MATCH($C883,'Prop. prices'!$C$86:$C$160,0),MATCH(R$818,'Prop. prices'!$I$5:$AB$5,0))</f>
        <v>0</v>
      </c>
      <c r="S883" s="218">
        <f>INDEX('Prop. prices'!$I$86:$AB$160,MATCH($C883,'Prop. prices'!$C$86:$C$160,0),MATCH(S$818,'Prop. prices'!$I$5:$AB$5,0))</f>
        <v>0</v>
      </c>
      <c r="T883" s="218">
        <f>INDEX('Prop. prices'!$I$86:$AB$160,MATCH($C883,'Prop. prices'!$C$86:$C$160,0),MATCH(T$818,'Prop. prices'!$I$5:$AB$5,0))</f>
        <v>0</v>
      </c>
      <c r="U883" s="218">
        <f>INDEX('Prop. prices'!$I$86:$AB$160,MATCH($C883,'Prop. prices'!$C$86:$C$160,0),MATCH(U$818,'Prop. prices'!$I$5:$AB$5,0))</f>
        <v>0</v>
      </c>
      <c r="V883" s="218">
        <f>INDEX('Prop. prices'!$I$86:$AB$160,MATCH($C883,'Prop. prices'!$C$86:$C$160,0),MATCH(V$818,'Prop. prices'!$I$5:$AB$5,0))</f>
        <v>0</v>
      </c>
      <c r="W883" s="218">
        <f>INDEX('Prop. prices'!$I$86:$AB$160,MATCH($C883,'Prop. prices'!$C$86:$C$160,0),MATCH(W$818,'Prop. prices'!$I$5:$AB$5,0))</f>
        <v>0</v>
      </c>
      <c r="X883" s="218">
        <f>INDEX('Prop. prices'!$I$86:$AB$160,MATCH($C883,'Prop. prices'!$C$86:$C$160,0),MATCH(X$818,'Prop. prices'!$I$5:$AB$5,0))</f>
        <v>0</v>
      </c>
      <c r="Y883" s="218">
        <f>INDEX('Prop. prices'!$I$86:$AB$160,MATCH($C883,'Prop. prices'!$C$86:$C$160,0),MATCH(Y$818,'Prop. prices'!$I$5:$AB$5,0))</f>
        <v>0</v>
      </c>
      <c r="Z883" s="218">
        <f>INDEX('Prop. prices'!$I$86:$AB$160,MATCH($C883,'Prop. prices'!$C$86:$C$160,0),MATCH(Z$818,'Prop. prices'!$I$5:$AB$5,0))</f>
        <v>0</v>
      </c>
      <c r="AA883" s="218">
        <f>INDEX('Prop. prices'!$I$86:$AB$160,MATCH($C883,'Prop. prices'!$C$86:$C$160,0),MATCH(AA$818,'Prop. prices'!$I$5:$AB$5,0))</f>
        <v>0</v>
      </c>
      <c r="AB883" s="218">
        <f>INDEX('Prop. prices'!$I$86:$AB$160,MATCH($C883,'Prop. prices'!$C$86:$C$160,0),MATCH(AB$818,'Prop. prices'!$I$5:$AB$5,0))</f>
        <v>0</v>
      </c>
      <c r="AC883" s="187"/>
      <c r="AD883" s="19"/>
      <c r="AE883" s="19"/>
      <c r="AF883" s="19"/>
      <c r="AG883" s="19"/>
    </row>
    <row r="884" spans="1:33" outlineLevel="2" collapsed="1" x14ac:dyDescent="0.2">
      <c r="A884" s="19"/>
      <c r="B884" s="19"/>
      <c r="C884" s="538"/>
      <c r="D884" s="536"/>
      <c r="E884" s="58"/>
      <c r="F884" s="66"/>
      <c r="G884" s="58"/>
      <c r="H884" s="58"/>
      <c r="I884" s="186"/>
      <c r="J884" s="186"/>
      <c r="K884" s="187"/>
      <c r="L884" s="187"/>
      <c r="M884" s="187"/>
      <c r="N884" s="188"/>
      <c r="O884" s="188"/>
      <c r="P884" s="188"/>
      <c r="Q884" s="188"/>
      <c r="R884" s="188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9"/>
      <c r="AE884" s="19"/>
      <c r="AF884" s="19"/>
      <c r="AG884" s="19"/>
    </row>
    <row r="885" spans="1:33" outlineLevel="1" x14ac:dyDescent="0.2">
      <c r="A885" s="19"/>
      <c r="B885" s="19"/>
      <c r="C885" s="217"/>
      <c r="D885" s="536"/>
      <c r="E885" s="58"/>
      <c r="F885" s="66"/>
      <c r="G885" s="58"/>
      <c r="H885" s="58"/>
      <c r="I885" s="186"/>
      <c r="J885" s="186"/>
      <c r="K885" s="187"/>
      <c r="L885" s="187"/>
      <c r="M885" s="187"/>
      <c r="N885" s="188"/>
      <c r="O885" s="188"/>
      <c r="P885" s="188"/>
      <c r="Q885" s="188"/>
      <c r="R885" s="188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9"/>
      <c r="AE885" s="19"/>
      <c r="AF885" s="19"/>
      <c r="AG885" s="19"/>
    </row>
    <row r="886" spans="1:33" outlineLevel="1" x14ac:dyDescent="0.2">
      <c r="A886" s="19"/>
      <c r="B886" s="19"/>
      <c r="C886" s="167" t="s">
        <v>220</v>
      </c>
      <c r="D886" s="512"/>
      <c r="E886" s="20"/>
      <c r="F886" s="167"/>
      <c r="G886" s="22"/>
      <c r="H886" s="22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9"/>
      <c r="AE886" s="19"/>
      <c r="AF886" s="19"/>
      <c r="AG886" s="19"/>
    </row>
    <row r="887" spans="1:33" hidden="1" outlineLevel="2" x14ac:dyDescent="0.2">
      <c r="A887" s="19"/>
      <c r="B887" s="19"/>
      <c r="C887" s="506" t="str">
        <f t="shared" ref="C887:D916" si="200">C821</f>
        <v>Residential time of use consumption</v>
      </c>
      <c r="D887" s="505" t="str">
        <f t="shared" si="200"/>
        <v>yes</v>
      </c>
      <c r="E887" s="20"/>
      <c r="F887" s="223"/>
      <c r="G887" s="22"/>
      <c r="H887" s="22"/>
      <c r="I887" s="218">
        <f>INDEX('Prop. prices'!$I$164:$AB$238,MATCH($C887,'Prop. prices'!$C$164:$C$238,0),MATCH(I$818,'Prop. prices'!$I$5:$AB$5,0))</f>
        <v>0</v>
      </c>
      <c r="J887" s="218">
        <f>INDEX('Prop. prices'!$I$164:$AB$238,MATCH($C887,'Prop. prices'!$C$164:$C$238,0),MATCH(J$818,'Prop. prices'!$I$5:$AB$5,0))</f>
        <v>0</v>
      </c>
      <c r="K887" s="218">
        <f>INDEX('Prop. prices'!$I$164:$AB$238,MATCH($C887,'Prop. prices'!$C$164:$C$238,0),MATCH(K$818,'Prop. prices'!$I$5:$AB$5,0))</f>
        <v>0</v>
      </c>
      <c r="L887" s="218">
        <f>INDEX('Prop. prices'!$I$164:$AB$238,MATCH($C887,'Prop. prices'!$C$164:$C$238,0),MATCH(L$818,'Prop. prices'!$I$5:$AB$5,0))</f>
        <v>0</v>
      </c>
      <c r="M887" s="218">
        <f>INDEX('Prop. prices'!$I$164:$AB$238,MATCH($C887,'Prop. prices'!$C$164:$C$238,0),MATCH(M$818,'Prop. prices'!$I$5:$AB$5,0))</f>
        <v>0</v>
      </c>
      <c r="N887" s="218">
        <f>INDEX('Prop. prices'!$I$164:$AB$238,MATCH($C887,'Prop. prices'!$C$164:$C$238,0),MATCH(N$818,'Prop. prices'!$I$5:$AB$5,0))</f>
        <v>0</v>
      </c>
      <c r="O887" s="218">
        <f>INDEX('Prop. prices'!$I$164:$AB$238,MATCH($C887,'Prop. prices'!$C$164:$C$238,0),MATCH(O$818,'Prop. prices'!$I$5:$AB$5,0))</f>
        <v>0</v>
      </c>
      <c r="P887" s="218">
        <f>INDEX('Prop. prices'!$I$164:$AB$238,MATCH($C887,'Prop. prices'!$C$164:$C$238,0),MATCH(P$818,'Prop. prices'!$I$5:$AB$5,0))</f>
        <v>0</v>
      </c>
      <c r="Q887" s="218">
        <f>INDEX('Prop. prices'!$I$164:$AB$238,MATCH($C887,'Prop. prices'!$C$164:$C$238,0),MATCH(Q$818,'Prop. prices'!$I$5:$AB$5,0))</f>
        <v>0</v>
      </c>
      <c r="R887" s="218">
        <f>INDEX('Prop. prices'!$I$164:$AB$238,MATCH($C887,'Prop. prices'!$C$164:$C$238,0),MATCH(R$818,'Prop. prices'!$I$5:$AB$5,0))</f>
        <v>0</v>
      </c>
      <c r="S887" s="218">
        <f>INDEX('Prop. prices'!$I$164:$AB$238,MATCH($C887,'Prop. prices'!$C$164:$C$238,0),MATCH(S$818,'Prop. prices'!$I$5:$AB$5,0))</f>
        <v>0</v>
      </c>
      <c r="T887" s="218">
        <f>INDEX('Prop. prices'!$I$164:$AB$238,MATCH($C887,'Prop. prices'!$C$164:$C$238,0),MATCH(T$818,'Prop. prices'!$I$5:$AB$5,0))</f>
        <v>0</v>
      </c>
      <c r="U887" s="218">
        <f>INDEX('Prop. prices'!$I$164:$AB$238,MATCH($C887,'Prop. prices'!$C$164:$C$238,0),MATCH(U$818,'Prop. prices'!$I$5:$AB$5,0))</f>
        <v>0</v>
      </c>
      <c r="V887" s="218">
        <f>INDEX('Prop. prices'!$I$164:$AB$238,MATCH($C887,'Prop. prices'!$C$164:$C$238,0),MATCH(V$818,'Prop. prices'!$I$5:$AB$5,0))</f>
        <v>0</v>
      </c>
      <c r="W887" s="218">
        <f>INDEX('Prop. prices'!$I$164:$AB$238,MATCH($C887,'Prop. prices'!$C$164:$C$238,0),MATCH(W$818,'Prop. prices'!$I$5:$AB$5,0))</f>
        <v>0</v>
      </c>
      <c r="X887" s="218">
        <f>INDEX('Prop. prices'!$I$164:$AB$238,MATCH($C887,'Prop. prices'!$C$164:$C$238,0),MATCH(X$818,'Prop. prices'!$I$5:$AB$5,0))</f>
        <v>0</v>
      </c>
      <c r="Y887" s="218">
        <f>INDEX('Prop. prices'!$I$164:$AB$238,MATCH($C887,'Prop. prices'!$C$164:$C$238,0),MATCH(Y$818,'Prop. prices'!$I$5:$AB$5,0))</f>
        <v>0</v>
      </c>
      <c r="Z887" s="218">
        <f>INDEX('Prop. prices'!$I$164:$AB$238,MATCH($C887,'Prop. prices'!$C$164:$C$238,0),MATCH(Z$818,'Prop. prices'!$I$5:$AB$5,0))</f>
        <v>0</v>
      </c>
      <c r="AA887" s="218">
        <f>INDEX('Prop. prices'!$I$164:$AB$238,MATCH($C887,'Prop. prices'!$C$164:$C$238,0),MATCH(AA$818,'Prop. prices'!$I$5:$AB$5,0))</f>
        <v>0</v>
      </c>
      <c r="AB887" s="218">
        <f>INDEX('Prop. prices'!$I$164:$AB$238,MATCH($C887,'Prop. prices'!$C$164:$C$238,0),MATCH(AB$818,'Prop. prices'!$I$5:$AB$5,0))</f>
        <v>0</v>
      </c>
      <c r="AC887" s="187"/>
      <c r="AD887" s="19"/>
      <c r="AE887" s="19"/>
      <c r="AF887" s="19"/>
      <c r="AG887" s="19"/>
    </row>
    <row r="888" spans="1:33" s="59" customFormat="1" hidden="1" outlineLevel="2" x14ac:dyDescent="0.2">
      <c r="A888" s="57"/>
      <c r="B888" s="57"/>
      <c r="C888" s="506" t="str">
        <f t="shared" si="200"/>
        <v>Residential general light and power</v>
      </c>
      <c r="D888" s="505" t="str">
        <f t="shared" si="200"/>
        <v>no</v>
      </c>
      <c r="E888" s="58"/>
      <c r="F888" s="223"/>
      <c r="G888" s="58"/>
      <c r="H888" s="58"/>
      <c r="I888" s="218">
        <f>INDEX('Prop. prices'!$I$164:$AB$238,MATCH($C888,'Prop. prices'!$C$164:$C$238,0),MATCH(I$818,'Prop. prices'!$I$5:$AB$5,0))</f>
        <v>0</v>
      </c>
      <c r="J888" s="218">
        <f>INDEX('Prop. prices'!$I$164:$AB$238,MATCH($C888,'Prop. prices'!$C$164:$C$238,0),MATCH(J$818,'Prop. prices'!$I$5:$AB$5,0))</f>
        <v>0</v>
      </c>
      <c r="K888" s="218">
        <f>INDEX('Prop. prices'!$I$164:$AB$238,MATCH($C888,'Prop. prices'!$C$164:$C$238,0),MATCH(K$818,'Prop. prices'!$I$5:$AB$5,0))</f>
        <v>0</v>
      </c>
      <c r="L888" s="218">
        <f>INDEX('Prop. prices'!$I$164:$AB$238,MATCH($C888,'Prop. prices'!$C$164:$C$238,0),MATCH(L$818,'Prop. prices'!$I$5:$AB$5,0))</f>
        <v>0</v>
      </c>
      <c r="M888" s="218">
        <f>INDEX('Prop. prices'!$I$164:$AB$238,MATCH($C888,'Prop. prices'!$C$164:$C$238,0),MATCH(M$818,'Prop. prices'!$I$5:$AB$5,0))</f>
        <v>0</v>
      </c>
      <c r="N888" s="218">
        <f>INDEX('Prop. prices'!$I$164:$AB$238,MATCH($C888,'Prop. prices'!$C$164:$C$238,0),MATCH(N$818,'Prop. prices'!$I$5:$AB$5,0))</f>
        <v>0</v>
      </c>
      <c r="O888" s="218">
        <f>INDEX('Prop. prices'!$I$164:$AB$238,MATCH($C888,'Prop. prices'!$C$164:$C$238,0),MATCH(O$818,'Prop. prices'!$I$5:$AB$5,0))</f>
        <v>0</v>
      </c>
      <c r="P888" s="218">
        <f>INDEX('Prop. prices'!$I$164:$AB$238,MATCH($C888,'Prop. prices'!$C$164:$C$238,0),MATCH(P$818,'Prop. prices'!$I$5:$AB$5,0))</f>
        <v>0</v>
      </c>
      <c r="Q888" s="218">
        <f>INDEX('Prop. prices'!$I$164:$AB$238,MATCH($C888,'Prop. prices'!$C$164:$C$238,0),MATCH(Q$818,'Prop. prices'!$I$5:$AB$5,0))</f>
        <v>0</v>
      </c>
      <c r="R888" s="218">
        <f>INDEX('Prop. prices'!$I$164:$AB$238,MATCH($C888,'Prop. prices'!$C$164:$C$238,0),MATCH(R$818,'Prop. prices'!$I$5:$AB$5,0))</f>
        <v>0</v>
      </c>
      <c r="S888" s="218">
        <f>INDEX('Prop. prices'!$I$164:$AB$238,MATCH($C888,'Prop. prices'!$C$164:$C$238,0),MATCH(S$818,'Prop. prices'!$I$5:$AB$5,0))</f>
        <v>0</v>
      </c>
      <c r="T888" s="218">
        <f>INDEX('Prop. prices'!$I$164:$AB$238,MATCH($C888,'Prop. prices'!$C$164:$C$238,0),MATCH(T$818,'Prop. prices'!$I$5:$AB$5,0))</f>
        <v>0</v>
      </c>
      <c r="U888" s="218">
        <f>INDEX('Prop. prices'!$I$164:$AB$238,MATCH($C888,'Prop. prices'!$C$164:$C$238,0),MATCH(U$818,'Prop. prices'!$I$5:$AB$5,0))</f>
        <v>0</v>
      </c>
      <c r="V888" s="218">
        <f>INDEX('Prop. prices'!$I$164:$AB$238,MATCH($C888,'Prop. prices'!$C$164:$C$238,0),MATCH(V$818,'Prop. prices'!$I$5:$AB$5,0))</f>
        <v>0</v>
      </c>
      <c r="W888" s="218">
        <f>INDEX('Prop. prices'!$I$164:$AB$238,MATCH($C888,'Prop. prices'!$C$164:$C$238,0),MATCH(W$818,'Prop. prices'!$I$5:$AB$5,0))</f>
        <v>0</v>
      </c>
      <c r="X888" s="218">
        <f>INDEX('Prop. prices'!$I$164:$AB$238,MATCH($C888,'Prop. prices'!$C$164:$C$238,0),MATCH(X$818,'Prop. prices'!$I$5:$AB$5,0))</f>
        <v>0</v>
      </c>
      <c r="Y888" s="218">
        <f>INDEX('Prop. prices'!$I$164:$AB$238,MATCH($C888,'Prop. prices'!$C$164:$C$238,0),MATCH(Y$818,'Prop. prices'!$I$5:$AB$5,0))</f>
        <v>0</v>
      </c>
      <c r="Z888" s="218">
        <f>INDEX('Prop. prices'!$I$164:$AB$238,MATCH($C888,'Prop. prices'!$C$164:$C$238,0),MATCH(Z$818,'Prop. prices'!$I$5:$AB$5,0))</f>
        <v>0</v>
      </c>
      <c r="AA888" s="218">
        <f>INDEX('Prop. prices'!$I$164:$AB$238,MATCH($C888,'Prop. prices'!$C$164:$C$238,0),MATCH(AA$818,'Prop. prices'!$I$5:$AB$5,0))</f>
        <v>0</v>
      </c>
      <c r="AB888" s="218">
        <f>INDEX('Prop. prices'!$I$164:$AB$238,MATCH($C888,'Prop. prices'!$C$164:$C$238,0),MATCH(AB$818,'Prop. prices'!$I$5:$AB$5,0))</f>
        <v>0</v>
      </c>
      <c r="AC888" s="187"/>
      <c r="AD888" s="57"/>
      <c r="AE888" s="57"/>
      <c r="AF888" s="57"/>
      <c r="AG888" s="57"/>
    </row>
    <row r="889" spans="1:33" hidden="1" outlineLevel="2" x14ac:dyDescent="0.2">
      <c r="A889" s="19"/>
      <c r="B889" s="19"/>
      <c r="C889" s="506" t="str">
        <f t="shared" si="200"/>
        <v>Residential pay as you go</v>
      </c>
      <c r="D889" s="505" t="str">
        <f t="shared" si="200"/>
        <v>no</v>
      </c>
      <c r="E889" s="58"/>
      <c r="F889" s="223"/>
      <c r="G889" s="58"/>
      <c r="H889" s="58"/>
      <c r="I889" s="218">
        <f>INDEX('Prop. prices'!$I$164:$AB$238,MATCH($C889,'Prop. prices'!$C$164:$C$238,0),MATCH(I$818,'Prop. prices'!$I$5:$AB$5,0))</f>
        <v>0</v>
      </c>
      <c r="J889" s="218">
        <f>INDEX('Prop. prices'!$I$164:$AB$238,MATCH($C889,'Prop. prices'!$C$164:$C$238,0),MATCH(J$818,'Prop. prices'!$I$5:$AB$5,0))</f>
        <v>0</v>
      </c>
      <c r="K889" s="218">
        <f>INDEX('Prop. prices'!$I$164:$AB$238,MATCH($C889,'Prop. prices'!$C$164:$C$238,0),MATCH(K$818,'Prop. prices'!$I$5:$AB$5,0))</f>
        <v>0</v>
      </c>
      <c r="L889" s="218">
        <f>INDEX('Prop. prices'!$I$164:$AB$238,MATCH($C889,'Prop. prices'!$C$164:$C$238,0),MATCH(L$818,'Prop. prices'!$I$5:$AB$5,0))</f>
        <v>0</v>
      </c>
      <c r="M889" s="218">
        <f>INDEX('Prop. prices'!$I$164:$AB$238,MATCH($C889,'Prop. prices'!$C$164:$C$238,0),MATCH(M$818,'Prop. prices'!$I$5:$AB$5,0))</f>
        <v>0</v>
      </c>
      <c r="N889" s="218">
        <f>INDEX('Prop. prices'!$I$164:$AB$238,MATCH($C889,'Prop. prices'!$C$164:$C$238,0),MATCH(N$818,'Prop. prices'!$I$5:$AB$5,0))</f>
        <v>0</v>
      </c>
      <c r="O889" s="218">
        <f>INDEX('Prop. prices'!$I$164:$AB$238,MATCH($C889,'Prop. prices'!$C$164:$C$238,0),MATCH(O$818,'Prop. prices'!$I$5:$AB$5,0))</f>
        <v>0</v>
      </c>
      <c r="P889" s="218">
        <f>INDEX('Prop. prices'!$I$164:$AB$238,MATCH($C889,'Prop. prices'!$C$164:$C$238,0),MATCH(P$818,'Prop. prices'!$I$5:$AB$5,0))</f>
        <v>0</v>
      </c>
      <c r="Q889" s="218">
        <f>INDEX('Prop. prices'!$I$164:$AB$238,MATCH($C889,'Prop. prices'!$C$164:$C$238,0),MATCH(Q$818,'Prop. prices'!$I$5:$AB$5,0))</f>
        <v>0</v>
      </c>
      <c r="R889" s="218">
        <f>INDEX('Prop. prices'!$I$164:$AB$238,MATCH($C889,'Prop. prices'!$C$164:$C$238,0),MATCH(R$818,'Prop. prices'!$I$5:$AB$5,0))</f>
        <v>0</v>
      </c>
      <c r="S889" s="218">
        <f>INDEX('Prop. prices'!$I$164:$AB$238,MATCH($C889,'Prop. prices'!$C$164:$C$238,0),MATCH(S$818,'Prop. prices'!$I$5:$AB$5,0))</f>
        <v>0</v>
      </c>
      <c r="T889" s="218">
        <f>INDEX('Prop. prices'!$I$164:$AB$238,MATCH($C889,'Prop. prices'!$C$164:$C$238,0),MATCH(T$818,'Prop. prices'!$I$5:$AB$5,0))</f>
        <v>0</v>
      </c>
      <c r="U889" s="218">
        <f>INDEX('Prop. prices'!$I$164:$AB$238,MATCH($C889,'Prop. prices'!$C$164:$C$238,0),MATCH(U$818,'Prop. prices'!$I$5:$AB$5,0))</f>
        <v>0</v>
      </c>
      <c r="V889" s="218">
        <f>INDEX('Prop. prices'!$I$164:$AB$238,MATCH($C889,'Prop. prices'!$C$164:$C$238,0),MATCH(V$818,'Prop. prices'!$I$5:$AB$5,0))</f>
        <v>0</v>
      </c>
      <c r="W889" s="218">
        <f>INDEX('Prop. prices'!$I$164:$AB$238,MATCH($C889,'Prop. prices'!$C$164:$C$238,0),MATCH(W$818,'Prop. prices'!$I$5:$AB$5,0))</f>
        <v>0</v>
      </c>
      <c r="X889" s="218">
        <f>INDEX('Prop. prices'!$I$164:$AB$238,MATCH($C889,'Prop. prices'!$C$164:$C$238,0),MATCH(X$818,'Prop. prices'!$I$5:$AB$5,0))</f>
        <v>0</v>
      </c>
      <c r="Y889" s="218">
        <f>INDEX('Prop. prices'!$I$164:$AB$238,MATCH($C889,'Prop. prices'!$C$164:$C$238,0),MATCH(Y$818,'Prop. prices'!$I$5:$AB$5,0))</f>
        <v>0</v>
      </c>
      <c r="Z889" s="218">
        <f>INDEX('Prop. prices'!$I$164:$AB$238,MATCH($C889,'Prop. prices'!$C$164:$C$238,0),MATCH(Z$818,'Prop. prices'!$I$5:$AB$5,0))</f>
        <v>0</v>
      </c>
      <c r="AA889" s="218">
        <f>INDEX('Prop. prices'!$I$164:$AB$238,MATCH($C889,'Prop. prices'!$C$164:$C$238,0),MATCH(AA$818,'Prop. prices'!$I$5:$AB$5,0))</f>
        <v>0</v>
      </c>
      <c r="AB889" s="218">
        <f>INDEX('Prop. prices'!$I$164:$AB$238,MATCH($C889,'Prop. prices'!$C$164:$C$238,0),MATCH(AB$818,'Prop. prices'!$I$5:$AB$5,0))</f>
        <v>0</v>
      </c>
      <c r="AC889" s="187"/>
      <c r="AD889" s="19"/>
      <c r="AE889" s="19"/>
      <c r="AF889" s="19"/>
      <c r="AG889" s="19"/>
    </row>
    <row r="890" spans="1:33" hidden="1" outlineLevel="2" x14ac:dyDescent="0.2">
      <c r="A890" s="19"/>
      <c r="B890" s="19"/>
      <c r="C890" s="506" t="str">
        <f t="shared" si="200"/>
        <v>Residential pay as you go time of use</v>
      </c>
      <c r="D890" s="505" t="str">
        <f t="shared" si="200"/>
        <v>no</v>
      </c>
      <c r="E890" s="58"/>
      <c r="F890" s="223"/>
      <c r="G890" s="58"/>
      <c r="H890" s="58"/>
      <c r="I890" s="218">
        <f>INDEX('Prop. prices'!$I$164:$AB$238,MATCH($C890,'Prop. prices'!$C$164:$C$238,0),MATCH(I$818,'Prop. prices'!$I$5:$AB$5,0))</f>
        <v>0</v>
      </c>
      <c r="J890" s="218">
        <f>INDEX('Prop. prices'!$I$164:$AB$238,MATCH($C890,'Prop. prices'!$C$164:$C$238,0),MATCH(J$818,'Prop. prices'!$I$5:$AB$5,0))</f>
        <v>0</v>
      </c>
      <c r="K890" s="218">
        <f>INDEX('Prop. prices'!$I$164:$AB$238,MATCH($C890,'Prop. prices'!$C$164:$C$238,0),MATCH(K$818,'Prop. prices'!$I$5:$AB$5,0))</f>
        <v>0</v>
      </c>
      <c r="L890" s="218">
        <f>INDEX('Prop. prices'!$I$164:$AB$238,MATCH($C890,'Prop. prices'!$C$164:$C$238,0),MATCH(L$818,'Prop. prices'!$I$5:$AB$5,0))</f>
        <v>0</v>
      </c>
      <c r="M890" s="218">
        <f>INDEX('Prop. prices'!$I$164:$AB$238,MATCH($C890,'Prop. prices'!$C$164:$C$238,0),MATCH(M$818,'Prop. prices'!$I$5:$AB$5,0))</f>
        <v>0</v>
      </c>
      <c r="N890" s="218">
        <f>INDEX('Prop. prices'!$I$164:$AB$238,MATCH($C890,'Prop. prices'!$C$164:$C$238,0),MATCH(N$818,'Prop. prices'!$I$5:$AB$5,0))</f>
        <v>0</v>
      </c>
      <c r="O890" s="218">
        <f>INDEX('Prop. prices'!$I$164:$AB$238,MATCH($C890,'Prop. prices'!$C$164:$C$238,0),MATCH(O$818,'Prop. prices'!$I$5:$AB$5,0))</f>
        <v>0</v>
      </c>
      <c r="P890" s="218">
        <f>INDEX('Prop. prices'!$I$164:$AB$238,MATCH($C890,'Prop. prices'!$C$164:$C$238,0),MATCH(P$818,'Prop. prices'!$I$5:$AB$5,0))</f>
        <v>0</v>
      </c>
      <c r="Q890" s="218">
        <f>INDEX('Prop. prices'!$I$164:$AB$238,MATCH($C890,'Prop. prices'!$C$164:$C$238,0),MATCH(Q$818,'Prop. prices'!$I$5:$AB$5,0))</f>
        <v>0</v>
      </c>
      <c r="R890" s="218">
        <f>INDEX('Prop. prices'!$I$164:$AB$238,MATCH($C890,'Prop. prices'!$C$164:$C$238,0),MATCH(R$818,'Prop. prices'!$I$5:$AB$5,0))</f>
        <v>0</v>
      </c>
      <c r="S890" s="218">
        <f>INDEX('Prop. prices'!$I$164:$AB$238,MATCH($C890,'Prop. prices'!$C$164:$C$238,0),MATCH(S$818,'Prop. prices'!$I$5:$AB$5,0))</f>
        <v>0</v>
      </c>
      <c r="T890" s="218">
        <f>INDEX('Prop. prices'!$I$164:$AB$238,MATCH($C890,'Prop. prices'!$C$164:$C$238,0),MATCH(T$818,'Prop. prices'!$I$5:$AB$5,0))</f>
        <v>0</v>
      </c>
      <c r="U890" s="218">
        <f>INDEX('Prop. prices'!$I$164:$AB$238,MATCH($C890,'Prop. prices'!$C$164:$C$238,0),MATCH(U$818,'Prop. prices'!$I$5:$AB$5,0))</f>
        <v>0</v>
      </c>
      <c r="V890" s="218">
        <f>INDEX('Prop. prices'!$I$164:$AB$238,MATCH($C890,'Prop. prices'!$C$164:$C$238,0),MATCH(V$818,'Prop. prices'!$I$5:$AB$5,0))</f>
        <v>0</v>
      </c>
      <c r="W890" s="218">
        <f>INDEX('Prop. prices'!$I$164:$AB$238,MATCH($C890,'Prop. prices'!$C$164:$C$238,0),MATCH(W$818,'Prop. prices'!$I$5:$AB$5,0))</f>
        <v>0</v>
      </c>
      <c r="X890" s="218">
        <f>INDEX('Prop. prices'!$I$164:$AB$238,MATCH($C890,'Prop. prices'!$C$164:$C$238,0),MATCH(X$818,'Prop. prices'!$I$5:$AB$5,0))</f>
        <v>0</v>
      </c>
      <c r="Y890" s="218">
        <f>INDEX('Prop. prices'!$I$164:$AB$238,MATCH($C890,'Prop. prices'!$C$164:$C$238,0),MATCH(Y$818,'Prop. prices'!$I$5:$AB$5,0))</f>
        <v>0</v>
      </c>
      <c r="Z890" s="218">
        <f>INDEX('Prop. prices'!$I$164:$AB$238,MATCH($C890,'Prop. prices'!$C$164:$C$238,0),MATCH(Z$818,'Prop. prices'!$I$5:$AB$5,0))</f>
        <v>0</v>
      </c>
      <c r="AA890" s="218">
        <f>INDEX('Prop. prices'!$I$164:$AB$238,MATCH($C890,'Prop. prices'!$C$164:$C$238,0),MATCH(AA$818,'Prop. prices'!$I$5:$AB$5,0))</f>
        <v>0</v>
      </c>
      <c r="AB890" s="218">
        <f>INDEX('Prop. prices'!$I$164:$AB$238,MATCH($C890,'Prop. prices'!$C$164:$C$238,0),MATCH(AB$818,'Prop. prices'!$I$5:$AB$5,0))</f>
        <v>0</v>
      </c>
      <c r="AC890" s="187"/>
      <c r="AD890" s="19"/>
      <c r="AE890" s="19"/>
      <c r="AF890" s="19"/>
      <c r="AG890" s="19"/>
    </row>
    <row r="891" spans="1:33" hidden="1" outlineLevel="2" x14ac:dyDescent="0.2">
      <c r="A891" s="19"/>
      <c r="B891" s="19"/>
      <c r="C891" s="506">
        <f t="shared" si="200"/>
        <v>0</v>
      </c>
      <c r="D891" s="505">
        <f t="shared" si="200"/>
        <v>0</v>
      </c>
      <c r="E891" s="58"/>
      <c r="F891" s="223"/>
      <c r="G891" s="58"/>
      <c r="H891" s="58"/>
      <c r="I891" s="218">
        <f>INDEX('Prop. prices'!$I$164:$AB$238,MATCH($C891,'Prop. prices'!$C$164:$C$238,0),MATCH(I$818,'Prop. prices'!$I$5:$AB$5,0))</f>
        <v>0</v>
      </c>
      <c r="J891" s="218">
        <f>INDEX('Prop. prices'!$I$164:$AB$238,MATCH($C891,'Prop. prices'!$C$164:$C$238,0),MATCH(J$818,'Prop. prices'!$I$5:$AB$5,0))</f>
        <v>0</v>
      </c>
      <c r="K891" s="218">
        <f>INDEX('Prop. prices'!$I$164:$AB$238,MATCH($C891,'Prop. prices'!$C$164:$C$238,0),MATCH(K$818,'Prop. prices'!$I$5:$AB$5,0))</f>
        <v>0</v>
      </c>
      <c r="L891" s="218">
        <f>INDEX('Prop. prices'!$I$164:$AB$238,MATCH($C891,'Prop. prices'!$C$164:$C$238,0),MATCH(L$818,'Prop. prices'!$I$5:$AB$5,0))</f>
        <v>0</v>
      </c>
      <c r="M891" s="218">
        <f>INDEX('Prop. prices'!$I$164:$AB$238,MATCH($C891,'Prop. prices'!$C$164:$C$238,0),MATCH(M$818,'Prop. prices'!$I$5:$AB$5,0))</f>
        <v>0</v>
      </c>
      <c r="N891" s="218">
        <f>INDEX('Prop. prices'!$I$164:$AB$238,MATCH($C891,'Prop. prices'!$C$164:$C$238,0),MATCH(N$818,'Prop. prices'!$I$5:$AB$5,0))</f>
        <v>0</v>
      </c>
      <c r="O891" s="218">
        <f>INDEX('Prop. prices'!$I$164:$AB$238,MATCH($C891,'Prop. prices'!$C$164:$C$238,0),MATCH(O$818,'Prop. prices'!$I$5:$AB$5,0))</f>
        <v>0</v>
      </c>
      <c r="P891" s="218">
        <f>INDEX('Prop. prices'!$I$164:$AB$238,MATCH($C891,'Prop. prices'!$C$164:$C$238,0),MATCH(P$818,'Prop. prices'!$I$5:$AB$5,0))</f>
        <v>0</v>
      </c>
      <c r="Q891" s="218">
        <f>INDEX('Prop. prices'!$I$164:$AB$238,MATCH($C891,'Prop. prices'!$C$164:$C$238,0),MATCH(Q$818,'Prop. prices'!$I$5:$AB$5,0))</f>
        <v>0</v>
      </c>
      <c r="R891" s="218">
        <f>INDEX('Prop. prices'!$I$164:$AB$238,MATCH($C891,'Prop. prices'!$C$164:$C$238,0),MATCH(R$818,'Prop. prices'!$I$5:$AB$5,0))</f>
        <v>0</v>
      </c>
      <c r="S891" s="218">
        <f>INDEX('Prop. prices'!$I$164:$AB$238,MATCH($C891,'Prop. prices'!$C$164:$C$238,0),MATCH(S$818,'Prop. prices'!$I$5:$AB$5,0))</f>
        <v>0</v>
      </c>
      <c r="T891" s="218">
        <f>INDEX('Prop. prices'!$I$164:$AB$238,MATCH($C891,'Prop. prices'!$C$164:$C$238,0),MATCH(T$818,'Prop. prices'!$I$5:$AB$5,0))</f>
        <v>0</v>
      </c>
      <c r="U891" s="218">
        <f>INDEX('Prop. prices'!$I$164:$AB$238,MATCH($C891,'Prop. prices'!$C$164:$C$238,0),MATCH(U$818,'Prop. prices'!$I$5:$AB$5,0))</f>
        <v>0</v>
      </c>
      <c r="V891" s="218">
        <f>INDEX('Prop. prices'!$I$164:$AB$238,MATCH($C891,'Prop. prices'!$C$164:$C$238,0),MATCH(V$818,'Prop. prices'!$I$5:$AB$5,0))</f>
        <v>0</v>
      </c>
      <c r="W891" s="218">
        <f>INDEX('Prop. prices'!$I$164:$AB$238,MATCH($C891,'Prop. prices'!$C$164:$C$238,0),MATCH(W$818,'Prop. prices'!$I$5:$AB$5,0))</f>
        <v>0</v>
      </c>
      <c r="X891" s="218">
        <f>INDEX('Prop. prices'!$I$164:$AB$238,MATCH($C891,'Prop. prices'!$C$164:$C$238,0),MATCH(X$818,'Prop. prices'!$I$5:$AB$5,0))</f>
        <v>0</v>
      </c>
      <c r="Y891" s="218">
        <f>INDEX('Prop. prices'!$I$164:$AB$238,MATCH($C891,'Prop. prices'!$C$164:$C$238,0),MATCH(Y$818,'Prop. prices'!$I$5:$AB$5,0))</f>
        <v>0</v>
      </c>
      <c r="Z891" s="218">
        <f>INDEX('Prop. prices'!$I$164:$AB$238,MATCH($C891,'Prop. prices'!$C$164:$C$238,0),MATCH(Z$818,'Prop. prices'!$I$5:$AB$5,0))</f>
        <v>0</v>
      </c>
      <c r="AA891" s="218">
        <f>INDEX('Prop. prices'!$I$164:$AB$238,MATCH($C891,'Prop. prices'!$C$164:$C$238,0),MATCH(AA$818,'Prop. prices'!$I$5:$AB$5,0))</f>
        <v>0</v>
      </c>
      <c r="AB891" s="218">
        <f>INDEX('Prop. prices'!$I$164:$AB$238,MATCH($C891,'Prop. prices'!$C$164:$C$238,0),MATCH(AB$818,'Prop. prices'!$I$5:$AB$5,0))</f>
        <v>0</v>
      </c>
      <c r="AC891" s="187"/>
      <c r="AD891" s="19"/>
      <c r="AE891" s="19"/>
      <c r="AF891" s="19"/>
      <c r="AG891" s="19"/>
    </row>
    <row r="892" spans="1:33" hidden="1" outlineLevel="3" x14ac:dyDescent="0.2">
      <c r="A892" s="19"/>
      <c r="B892" s="19"/>
      <c r="C892" s="506">
        <f t="shared" si="200"/>
        <v>0</v>
      </c>
      <c r="D892" s="505">
        <f t="shared" si="200"/>
        <v>0</v>
      </c>
      <c r="E892" s="58"/>
      <c r="F892" s="223"/>
      <c r="G892" s="58"/>
      <c r="H892" s="58"/>
      <c r="I892" s="218">
        <f>INDEX('Prop. prices'!$I$164:$AB$238,MATCH($C892,'Prop. prices'!$C$164:$C$238,0),MATCH(I$818,'Prop. prices'!$I$5:$AB$5,0))</f>
        <v>0</v>
      </c>
      <c r="J892" s="218">
        <f>INDEX('Prop. prices'!$I$164:$AB$238,MATCH($C892,'Prop. prices'!$C$164:$C$238,0),MATCH(J$818,'Prop. prices'!$I$5:$AB$5,0))</f>
        <v>0</v>
      </c>
      <c r="K892" s="218">
        <f>INDEX('Prop. prices'!$I$164:$AB$238,MATCH($C892,'Prop. prices'!$C$164:$C$238,0),MATCH(K$818,'Prop. prices'!$I$5:$AB$5,0))</f>
        <v>0</v>
      </c>
      <c r="L892" s="218">
        <f>INDEX('Prop. prices'!$I$164:$AB$238,MATCH($C892,'Prop. prices'!$C$164:$C$238,0),MATCH(L$818,'Prop. prices'!$I$5:$AB$5,0))</f>
        <v>0</v>
      </c>
      <c r="M892" s="218">
        <f>INDEX('Prop. prices'!$I$164:$AB$238,MATCH($C892,'Prop. prices'!$C$164:$C$238,0),MATCH(M$818,'Prop. prices'!$I$5:$AB$5,0))</f>
        <v>0</v>
      </c>
      <c r="N892" s="218">
        <f>INDEX('Prop. prices'!$I$164:$AB$238,MATCH($C892,'Prop. prices'!$C$164:$C$238,0),MATCH(N$818,'Prop. prices'!$I$5:$AB$5,0))</f>
        <v>0</v>
      </c>
      <c r="O892" s="218">
        <f>INDEX('Prop. prices'!$I$164:$AB$238,MATCH($C892,'Prop. prices'!$C$164:$C$238,0),MATCH(O$818,'Prop. prices'!$I$5:$AB$5,0))</f>
        <v>0</v>
      </c>
      <c r="P892" s="218">
        <f>INDEX('Prop. prices'!$I$164:$AB$238,MATCH($C892,'Prop. prices'!$C$164:$C$238,0),MATCH(P$818,'Prop. prices'!$I$5:$AB$5,0))</f>
        <v>0</v>
      </c>
      <c r="Q892" s="218">
        <f>INDEX('Prop. prices'!$I$164:$AB$238,MATCH($C892,'Prop. prices'!$C$164:$C$238,0),MATCH(Q$818,'Prop. prices'!$I$5:$AB$5,0))</f>
        <v>0</v>
      </c>
      <c r="R892" s="218">
        <f>INDEX('Prop. prices'!$I$164:$AB$238,MATCH($C892,'Prop. prices'!$C$164:$C$238,0),MATCH(R$818,'Prop. prices'!$I$5:$AB$5,0))</f>
        <v>0</v>
      </c>
      <c r="S892" s="218">
        <f>INDEX('Prop. prices'!$I$164:$AB$238,MATCH($C892,'Prop. prices'!$C$164:$C$238,0),MATCH(S$818,'Prop. prices'!$I$5:$AB$5,0))</f>
        <v>0</v>
      </c>
      <c r="T892" s="218">
        <f>INDEX('Prop. prices'!$I$164:$AB$238,MATCH($C892,'Prop. prices'!$C$164:$C$238,0),MATCH(T$818,'Prop. prices'!$I$5:$AB$5,0))</f>
        <v>0</v>
      </c>
      <c r="U892" s="218">
        <f>INDEX('Prop. prices'!$I$164:$AB$238,MATCH($C892,'Prop. prices'!$C$164:$C$238,0),MATCH(U$818,'Prop. prices'!$I$5:$AB$5,0))</f>
        <v>0</v>
      </c>
      <c r="V892" s="218">
        <f>INDEX('Prop. prices'!$I$164:$AB$238,MATCH($C892,'Prop. prices'!$C$164:$C$238,0),MATCH(V$818,'Prop. prices'!$I$5:$AB$5,0))</f>
        <v>0</v>
      </c>
      <c r="W892" s="218">
        <f>INDEX('Prop. prices'!$I$164:$AB$238,MATCH($C892,'Prop. prices'!$C$164:$C$238,0),MATCH(W$818,'Prop. prices'!$I$5:$AB$5,0))</f>
        <v>0</v>
      </c>
      <c r="X892" s="218">
        <f>INDEX('Prop. prices'!$I$164:$AB$238,MATCH($C892,'Prop. prices'!$C$164:$C$238,0),MATCH(X$818,'Prop. prices'!$I$5:$AB$5,0))</f>
        <v>0</v>
      </c>
      <c r="Y892" s="218">
        <f>INDEX('Prop. prices'!$I$164:$AB$238,MATCH($C892,'Prop. prices'!$C$164:$C$238,0),MATCH(Y$818,'Prop. prices'!$I$5:$AB$5,0))</f>
        <v>0</v>
      </c>
      <c r="Z892" s="218">
        <f>INDEX('Prop. prices'!$I$164:$AB$238,MATCH($C892,'Prop. prices'!$C$164:$C$238,0),MATCH(Z$818,'Prop. prices'!$I$5:$AB$5,0))</f>
        <v>0</v>
      </c>
      <c r="AA892" s="218">
        <f>INDEX('Prop. prices'!$I$164:$AB$238,MATCH($C892,'Prop. prices'!$C$164:$C$238,0),MATCH(AA$818,'Prop. prices'!$I$5:$AB$5,0))</f>
        <v>0</v>
      </c>
      <c r="AB892" s="218">
        <f>INDEX('Prop. prices'!$I$164:$AB$238,MATCH($C892,'Prop. prices'!$C$164:$C$238,0),MATCH(AB$818,'Prop. prices'!$I$5:$AB$5,0))</f>
        <v>0</v>
      </c>
      <c r="AC892" s="187"/>
      <c r="AD892" s="19"/>
      <c r="AE892" s="19"/>
      <c r="AF892" s="19"/>
      <c r="AG892" s="19"/>
    </row>
    <row r="893" spans="1:33" hidden="1" outlineLevel="3" x14ac:dyDescent="0.2">
      <c r="A893" s="19"/>
      <c r="B893" s="19"/>
      <c r="C893" s="506">
        <f t="shared" si="200"/>
        <v>0</v>
      </c>
      <c r="D893" s="505">
        <f t="shared" si="200"/>
        <v>0</v>
      </c>
      <c r="E893" s="58"/>
      <c r="F893" s="223"/>
      <c r="G893" s="58"/>
      <c r="H893" s="58"/>
      <c r="I893" s="218">
        <f>INDEX('Prop. prices'!$I$164:$AB$238,MATCH($C893,'Prop. prices'!$C$164:$C$238,0),MATCH(I$818,'Prop. prices'!$I$5:$AB$5,0))</f>
        <v>0</v>
      </c>
      <c r="J893" s="218">
        <f>INDEX('Prop. prices'!$I$164:$AB$238,MATCH($C893,'Prop. prices'!$C$164:$C$238,0),MATCH(J$818,'Prop. prices'!$I$5:$AB$5,0))</f>
        <v>0</v>
      </c>
      <c r="K893" s="218">
        <f>INDEX('Prop. prices'!$I$164:$AB$238,MATCH($C893,'Prop. prices'!$C$164:$C$238,0),MATCH(K$818,'Prop. prices'!$I$5:$AB$5,0))</f>
        <v>0</v>
      </c>
      <c r="L893" s="218">
        <f>INDEX('Prop. prices'!$I$164:$AB$238,MATCH($C893,'Prop. prices'!$C$164:$C$238,0),MATCH(L$818,'Prop. prices'!$I$5:$AB$5,0))</f>
        <v>0</v>
      </c>
      <c r="M893" s="218">
        <f>INDEX('Prop. prices'!$I$164:$AB$238,MATCH($C893,'Prop. prices'!$C$164:$C$238,0),MATCH(M$818,'Prop. prices'!$I$5:$AB$5,0))</f>
        <v>0</v>
      </c>
      <c r="N893" s="218">
        <f>INDEX('Prop. prices'!$I$164:$AB$238,MATCH($C893,'Prop. prices'!$C$164:$C$238,0),MATCH(N$818,'Prop. prices'!$I$5:$AB$5,0))</f>
        <v>0</v>
      </c>
      <c r="O893" s="218">
        <f>INDEX('Prop. prices'!$I$164:$AB$238,MATCH($C893,'Prop. prices'!$C$164:$C$238,0),MATCH(O$818,'Prop. prices'!$I$5:$AB$5,0))</f>
        <v>0</v>
      </c>
      <c r="P893" s="218">
        <f>INDEX('Prop. prices'!$I$164:$AB$238,MATCH($C893,'Prop. prices'!$C$164:$C$238,0),MATCH(P$818,'Prop. prices'!$I$5:$AB$5,0))</f>
        <v>0</v>
      </c>
      <c r="Q893" s="218">
        <f>INDEX('Prop. prices'!$I$164:$AB$238,MATCH($C893,'Prop. prices'!$C$164:$C$238,0),MATCH(Q$818,'Prop. prices'!$I$5:$AB$5,0))</f>
        <v>0</v>
      </c>
      <c r="R893" s="218">
        <f>INDEX('Prop. prices'!$I$164:$AB$238,MATCH($C893,'Prop. prices'!$C$164:$C$238,0),MATCH(R$818,'Prop. prices'!$I$5:$AB$5,0))</f>
        <v>0</v>
      </c>
      <c r="S893" s="218">
        <f>INDEX('Prop. prices'!$I$164:$AB$238,MATCH($C893,'Prop. prices'!$C$164:$C$238,0),MATCH(S$818,'Prop. prices'!$I$5:$AB$5,0))</f>
        <v>0</v>
      </c>
      <c r="T893" s="218">
        <f>INDEX('Prop. prices'!$I$164:$AB$238,MATCH($C893,'Prop. prices'!$C$164:$C$238,0),MATCH(T$818,'Prop. prices'!$I$5:$AB$5,0))</f>
        <v>0</v>
      </c>
      <c r="U893" s="218">
        <f>INDEX('Prop. prices'!$I$164:$AB$238,MATCH($C893,'Prop. prices'!$C$164:$C$238,0),MATCH(U$818,'Prop. prices'!$I$5:$AB$5,0))</f>
        <v>0</v>
      </c>
      <c r="V893" s="218">
        <f>INDEX('Prop. prices'!$I$164:$AB$238,MATCH($C893,'Prop. prices'!$C$164:$C$238,0),MATCH(V$818,'Prop. prices'!$I$5:$AB$5,0))</f>
        <v>0</v>
      </c>
      <c r="W893" s="218">
        <f>INDEX('Prop. prices'!$I$164:$AB$238,MATCH($C893,'Prop. prices'!$C$164:$C$238,0),MATCH(W$818,'Prop. prices'!$I$5:$AB$5,0))</f>
        <v>0</v>
      </c>
      <c r="X893" s="218">
        <f>INDEX('Prop. prices'!$I$164:$AB$238,MATCH($C893,'Prop. prices'!$C$164:$C$238,0),MATCH(X$818,'Prop. prices'!$I$5:$AB$5,0))</f>
        <v>0</v>
      </c>
      <c r="Y893" s="218">
        <f>INDEX('Prop. prices'!$I$164:$AB$238,MATCH($C893,'Prop. prices'!$C$164:$C$238,0),MATCH(Y$818,'Prop. prices'!$I$5:$AB$5,0))</f>
        <v>0</v>
      </c>
      <c r="Z893" s="218">
        <f>INDEX('Prop. prices'!$I$164:$AB$238,MATCH($C893,'Prop. prices'!$C$164:$C$238,0),MATCH(Z$818,'Prop. prices'!$I$5:$AB$5,0))</f>
        <v>0</v>
      </c>
      <c r="AA893" s="218">
        <f>INDEX('Prop. prices'!$I$164:$AB$238,MATCH($C893,'Prop. prices'!$C$164:$C$238,0),MATCH(AA$818,'Prop. prices'!$I$5:$AB$5,0))</f>
        <v>0</v>
      </c>
      <c r="AB893" s="218">
        <f>INDEX('Prop. prices'!$I$164:$AB$238,MATCH($C893,'Prop. prices'!$C$164:$C$238,0),MATCH(AB$818,'Prop. prices'!$I$5:$AB$5,0))</f>
        <v>0</v>
      </c>
      <c r="AC893" s="187"/>
      <c r="AD893" s="19"/>
      <c r="AE893" s="19"/>
      <c r="AF893" s="19"/>
      <c r="AG893" s="19"/>
    </row>
    <row r="894" spans="1:33" hidden="1" outlineLevel="3" x14ac:dyDescent="0.2">
      <c r="A894" s="19"/>
      <c r="B894" s="19"/>
      <c r="C894" s="506">
        <f t="shared" si="200"/>
        <v>0</v>
      </c>
      <c r="D894" s="505">
        <f t="shared" si="200"/>
        <v>0</v>
      </c>
      <c r="E894" s="58"/>
      <c r="F894" s="223"/>
      <c r="G894" s="58"/>
      <c r="H894" s="58"/>
      <c r="I894" s="218">
        <f>INDEX('Prop. prices'!$I$164:$AB$238,MATCH($C894,'Prop. prices'!$C$164:$C$238,0),MATCH(I$818,'Prop. prices'!$I$5:$AB$5,0))</f>
        <v>0</v>
      </c>
      <c r="J894" s="218">
        <f>INDEX('Prop. prices'!$I$164:$AB$238,MATCH($C894,'Prop. prices'!$C$164:$C$238,0),MATCH(J$818,'Prop. prices'!$I$5:$AB$5,0))</f>
        <v>0</v>
      </c>
      <c r="K894" s="218">
        <f>INDEX('Prop. prices'!$I$164:$AB$238,MATCH($C894,'Prop. prices'!$C$164:$C$238,0),MATCH(K$818,'Prop. prices'!$I$5:$AB$5,0))</f>
        <v>0</v>
      </c>
      <c r="L894" s="218">
        <f>INDEX('Prop. prices'!$I$164:$AB$238,MATCH($C894,'Prop. prices'!$C$164:$C$238,0),MATCH(L$818,'Prop. prices'!$I$5:$AB$5,0))</f>
        <v>0</v>
      </c>
      <c r="M894" s="218">
        <f>INDEX('Prop. prices'!$I$164:$AB$238,MATCH($C894,'Prop. prices'!$C$164:$C$238,0),MATCH(M$818,'Prop. prices'!$I$5:$AB$5,0))</f>
        <v>0</v>
      </c>
      <c r="N894" s="218">
        <f>INDEX('Prop. prices'!$I$164:$AB$238,MATCH($C894,'Prop. prices'!$C$164:$C$238,0),MATCH(N$818,'Prop. prices'!$I$5:$AB$5,0))</f>
        <v>0</v>
      </c>
      <c r="O894" s="218">
        <f>INDEX('Prop. prices'!$I$164:$AB$238,MATCH($C894,'Prop. prices'!$C$164:$C$238,0),MATCH(O$818,'Prop. prices'!$I$5:$AB$5,0))</f>
        <v>0</v>
      </c>
      <c r="P894" s="218">
        <f>INDEX('Prop. prices'!$I$164:$AB$238,MATCH($C894,'Prop. prices'!$C$164:$C$238,0),MATCH(P$818,'Prop. prices'!$I$5:$AB$5,0))</f>
        <v>0</v>
      </c>
      <c r="Q894" s="218">
        <f>INDEX('Prop. prices'!$I$164:$AB$238,MATCH($C894,'Prop. prices'!$C$164:$C$238,0),MATCH(Q$818,'Prop. prices'!$I$5:$AB$5,0))</f>
        <v>0</v>
      </c>
      <c r="R894" s="218">
        <f>INDEX('Prop. prices'!$I$164:$AB$238,MATCH($C894,'Prop. prices'!$C$164:$C$238,0),MATCH(R$818,'Prop. prices'!$I$5:$AB$5,0))</f>
        <v>0</v>
      </c>
      <c r="S894" s="218">
        <f>INDEX('Prop. prices'!$I$164:$AB$238,MATCH($C894,'Prop. prices'!$C$164:$C$238,0),MATCH(S$818,'Prop. prices'!$I$5:$AB$5,0))</f>
        <v>0</v>
      </c>
      <c r="T894" s="218">
        <f>INDEX('Prop. prices'!$I$164:$AB$238,MATCH($C894,'Prop. prices'!$C$164:$C$238,0),MATCH(T$818,'Prop. prices'!$I$5:$AB$5,0))</f>
        <v>0</v>
      </c>
      <c r="U894" s="218">
        <f>INDEX('Prop. prices'!$I$164:$AB$238,MATCH($C894,'Prop. prices'!$C$164:$C$238,0),MATCH(U$818,'Prop. prices'!$I$5:$AB$5,0))</f>
        <v>0</v>
      </c>
      <c r="V894" s="218">
        <f>INDEX('Prop. prices'!$I$164:$AB$238,MATCH($C894,'Prop. prices'!$C$164:$C$238,0),MATCH(V$818,'Prop. prices'!$I$5:$AB$5,0))</f>
        <v>0</v>
      </c>
      <c r="W894" s="218">
        <f>INDEX('Prop. prices'!$I$164:$AB$238,MATCH($C894,'Prop. prices'!$C$164:$C$238,0),MATCH(W$818,'Prop. prices'!$I$5:$AB$5,0))</f>
        <v>0</v>
      </c>
      <c r="X894" s="218">
        <f>INDEX('Prop. prices'!$I$164:$AB$238,MATCH($C894,'Prop. prices'!$C$164:$C$238,0),MATCH(X$818,'Prop. prices'!$I$5:$AB$5,0))</f>
        <v>0</v>
      </c>
      <c r="Y894" s="218">
        <f>INDEX('Prop. prices'!$I$164:$AB$238,MATCH($C894,'Prop. prices'!$C$164:$C$238,0),MATCH(Y$818,'Prop. prices'!$I$5:$AB$5,0))</f>
        <v>0</v>
      </c>
      <c r="Z894" s="218">
        <f>INDEX('Prop. prices'!$I$164:$AB$238,MATCH($C894,'Prop. prices'!$C$164:$C$238,0),MATCH(Z$818,'Prop. prices'!$I$5:$AB$5,0))</f>
        <v>0</v>
      </c>
      <c r="AA894" s="218">
        <f>INDEX('Prop. prices'!$I$164:$AB$238,MATCH($C894,'Prop. prices'!$C$164:$C$238,0),MATCH(AA$818,'Prop. prices'!$I$5:$AB$5,0))</f>
        <v>0</v>
      </c>
      <c r="AB894" s="218">
        <f>INDEX('Prop. prices'!$I$164:$AB$238,MATCH($C894,'Prop. prices'!$C$164:$C$238,0),MATCH(AB$818,'Prop. prices'!$I$5:$AB$5,0))</f>
        <v>0</v>
      </c>
      <c r="AC894" s="187"/>
      <c r="AD894" s="19"/>
      <c r="AE894" s="19"/>
      <c r="AF894" s="19"/>
      <c r="AG894" s="19"/>
    </row>
    <row r="895" spans="1:33" hidden="1" outlineLevel="3" x14ac:dyDescent="0.2">
      <c r="A895" s="19"/>
      <c r="B895" s="19"/>
      <c r="C895" s="506">
        <f t="shared" si="200"/>
        <v>0</v>
      </c>
      <c r="D895" s="505">
        <f t="shared" si="200"/>
        <v>0</v>
      </c>
      <c r="E895" s="58"/>
      <c r="F895" s="223"/>
      <c r="G895" s="58"/>
      <c r="H895" s="58"/>
      <c r="I895" s="218">
        <f>INDEX('Prop. prices'!$I$164:$AB$238,MATCH($C895,'Prop. prices'!$C$164:$C$238,0),MATCH(I$818,'Prop. prices'!$I$5:$AB$5,0))</f>
        <v>0</v>
      </c>
      <c r="J895" s="218">
        <f>INDEX('Prop. prices'!$I$164:$AB$238,MATCH($C895,'Prop. prices'!$C$164:$C$238,0),MATCH(J$818,'Prop. prices'!$I$5:$AB$5,0))</f>
        <v>0</v>
      </c>
      <c r="K895" s="218">
        <f>INDEX('Prop. prices'!$I$164:$AB$238,MATCH($C895,'Prop. prices'!$C$164:$C$238,0),MATCH(K$818,'Prop. prices'!$I$5:$AB$5,0))</f>
        <v>0</v>
      </c>
      <c r="L895" s="218">
        <f>INDEX('Prop. prices'!$I$164:$AB$238,MATCH($C895,'Prop. prices'!$C$164:$C$238,0),MATCH(L$818,'Prop. prices'!$I$5:$AB$5,0))</f>
        <v>0</v>
      </c>
      <c r="M895" s="218">
        <f>INDEX('Prop. prices'!$I$164:$AB$238,MATCH($C895,'Prop. prices'!$C$164:$C$238,0),MATCH(M$818,'Prop. prices'!$I$5:$AB$5,0))</f>
        <v>0</v>
      </c>
      <c r="N895" s="218">
        <f>INDEX('Prop. prices'!$I$164:$AB$238,MATCH($C895,'Prop. prices'!$C$164:$C$238,0),MATCH(N$818,'Prop. prices'!$I$5:$AB$5,0))</f>
        <v>0</v>
      </c>
      <c r="O895" s="218">
        <f>INDEX('Prop. prices'!$I$164:$AB$238,MATCH($C895,'Prop. prices'!$C$164:$C$238,0),MATCH(O$818,'Prop. prices'!$I$5:$AB$5,0))</f>
        <v>0</v>
      </c>
      <c r="P895" s="218">
        <f>INDEX('Prop. prices'!$I$164:$AB$238,MATCH($C895,'Prop. prices'!$C$164:$C$238,0),MATCH(P$818,'Prop. prices'!$I$5:$AB$5,0))</f>
        <v>0</v>
      </c>
      <c r="Q895" s="218">
        <f>INDEX('Prop. prices'!$I$164:$AB$238,MATCH($C895,'Prop. prices'!$C$164:$C$238,0),MATCH(Q$818,'Prop. prices'!$I$5:$AB$5,0))</f>
        <v>0</v>
      </c>
      <c r="R895" s="218">
        <f>INDEX('Prop. prices'!$I$164:$AB$238,MATCH($C895,'Prop. prices'!$C$164:$C$238,0),MATCH(R$818,'Prop. prices'!$I$5:$AB$5,0))</f>
        <v>0</v>
      </c>
      <c r="S895" s="218">
        <f>INDEX('Prop. prices'!$I$164:$AB$238,MATCH($C895,'Prop. prices'!$C$164:$C$238,0),MATCH(S$818,'Prop. prices'!$I$5:$AB$5,0))</f>
        <v>0</v>
      </c>
      <c r="T895" s="218">
        <f>INDEX('Prop. prices'!$I$164:$AB$238,MATCH($C895,'Prop. prices'!$C$164:$C$238,0),MATCH(T$818,'Prop. prices'!$I$5:$AB$5,0))</f>
        <v>0</v>
      </c>
      <c r="U895" s="218">
        <f>INDEX('Prop. prices'!$I$164:$AB$238,MATCH($C895,'Prop. prices'!$C$164:$C$238,0),MATCH(U$818,'Prop. prices'!$I$5:$AB$5,0))</f>
        <v>0</v>
      </c>
      <c r="V895" s="218">
        <f>INDEX('Prop. prices'!$I$164:$AB$238,MATCH($C895,'Prop. prices'!$C$164:$C$238,0),MATCH(V$818,'Prop. prices'!$I$5:$AB$5,0))</f>
        <v>0</v>
      </c>
      <c r="W895" s="218">
        <f>INDEX('Prop. prices'!$I$164:$AB$238,MATCH($C895,'Prop. prices'!$C$164:$C$238,0),MATCH(W$818,'Prop. prices'!$I$5:$AB$5,0))</f>
        <v>0</v>
      </c>
      <c r="X895" s="218">
        <f>INDEX('Prop. prices'!$I$164:$AB$238,MATCH($C895,'Prop. prices'!$C$164:$C$238,0),MATCH(X$818,'Prop. prices'!$I$5:$AB$5,0))</f>
        <v>0</v>
      </c>
      <c r="Y895" s="218">
        <f>INDEX('Prop. prices'!$I$164:$AB$238,MATCH($C895,'Prop. prices'!$C$164:$C$238,0),MATCH(Y$818,'Prop. prices'!$I$5:$AB$5,0))</f>
        <v>0</v>
      </c>
      <c r="Z895" s="218">
        <f>INDEX('Prop. prices'!$I$164:$AB$238,MATCH($C895,'Prop. prices'!$C$164:$C$238,0),MATCH(Z$818,'Prop. prices'!$I$5:$AB$5,0))</f>
        <v>0</v>
      </c>
      <c r="AA895" s="218">
        <f>INDEX('Prop. prices'!$I$164:$AB$238,MATCH($C895,'Prop. prices'!$C$164:$C$238,0),MATCH(AA$818,'Prop. prices'!$I$5:$AB$5,0))</f>
        <v>0</v>
      </c>
      <c r="AB895" s="218">
        <f>INDEX('Prop. prices'!$I$164:$AB$238,MATCH($C895,'Prop. prices'!$C$164:$C$238,0),MATCH(AB$818,'Prop. prices'!$I$5:$AB$5,0))</f>
        <v>0</v>
      </c>
      <c r="AC895" s="187"/>
      <c r="AD895" s="19"/>
      <c r="AE895" s="19"/>
      <c r="AF895" s="19"/>
      <c r="AG895" s="19"/>
    </row>
    <row r="896" spans="1:33" hidden="1" outlineLevel="3" x14ac:dyDescent="0.2">
      <c r="A896" s="19"/>
      <c r="B896" s="19"/>
      <c r="C896" s="506">
        <f t="shared" si="200"/>
        <v>0</v>
      </c>
      <c r="D896" s="505">
        <f t="shared" si="200"/>
        <v>0</v>
      </c>
      <c r="E896" s="58"/>
      <c r="F896" s="223"/>
      <c r="G896" s="58"/>
      <c r="H896" s="58"/>
      <c r="I896" s="218">
        <f>INDEX('Prop. prices'!$I$164:$AB$238,MATCH($C896,'Prop. prices'!$C$164:$C$238,0),MATCH(I$818,'Prop. prices'!$I$5:$AB$5,0))</f>
        <v>0</v>
      </c>
      <c r="J896" s="218">
        <f>INDEX('Prop. prices'!$I$164:$AB$238,MATCH($C896,'Prop. prices'!$C$164:$C$238,0),MATCH(J$818,'Prop. prices'!$I$5:$AB$5,0))</f>
        <v>0</v>
      </c>
      <c r="K896" s="218">
        <f>INDEX('Prop. prices'!$I$164:$AB$238,MATCH($C896,'Prop. prices'!$C$164:$C$238,0),MATCH(K$818,'Prop. prices'!$I$5:$AB$5,0))</f>
        <v>0</v>
      </c>
      <c r="L896" s="218">
        <f>INDEX('Prop. prices'!$I$164:$AB$238,MATCH($C896,'Prop. prices'!$C$164:$C$238,0),MATCH(L$818,'Prop. prices'!$I$5:$AB$5,0))</f>
        <v>0</v>
      </c>
      <c r="M896" s="218">
        <f>INDEX('Prop. prices'!$I$164:$AB$238,MATCH($C896,'Prop. prices'!$C$164:$C$238,0),MATCH(M$818,'Prop. prices'!$I$5:$AB$5,0))</f>
        <v>0</v>
      </c>
      <c r="N896" s="218">
        <f>INDEX('Prop. prices'!$I$164:$AB$238,MATCH($C896,'Prop. prices'!$C$164:$C$238,0),MATCH(N$818,'Prop. prices'!$I$5:$AB$5,0))</f>
        <v>0</v>
      </c>
      <c r="O896" s="218">
        <f>INDEX('Prop. prices'!$I$164:$AB$238,MATCH($C896,'Prop. prices'!$C$164:$C$238,0),MATCH(O$818,'Prop. prices'!$I$5:$AB$5,0))</f>
        <v>0</v>
      </c>
      <c r="P896" s="218">
        <f>INDEX('Prop. prices'!$I$164:$AB$238,MATCH($C896,'Prop. prices'!$C$164:$C$238,0),MATCH(P$818,'Prop. prices'!$I$5:$AB$5,0))</f>
        <v>0</v>
      </c>
      <c r="Q896" s="218">
        <f>INDEX('Prop. prices'!$I$164:$AB$238,MATCH($C896,'Prop. prices'!$C$164:$C$238,0),MATCH(Q$818,'Prop. prices'!$I$5:$AB$5,0))</f>
        <v>0</v>
      </c>
      <c r="R896" s="218">
        <f>INDEX('Prop. prices'!$I$164:$AB$238,MATCH($C896,'Prop. prices'!$C$164:$C$238,0),MATCH(R$818,'Prop. prices'!$I$5:$AB$5,0))</f>
        <v>0</v>
      </c>
      <c r="S896" s="218">
        <f>INDEX('Prop. prices'!$I$164:$AB$238,MATCH($C896,'Prop. prices'!$C$164:$C$238,0),MATCH(S$818,'Prop. prices'!$I$5:$AB$5,0))</f>
        <v>0</v>
      </c>
      <c r="T896" s="218">
        <f>INDEX('Prop. prices'!$I$164:$AB$238,MATCH($C896,'Prop. prices'!$C$164:$C$238,0),MATCH(T$818,'Prop. prices'!$I$5:$AB$5,0))</f>
        <v>0</v>
      </c>
      <c r="U896" s="218">
        <f>INDEX('Prop. prices'!$I$164:$AB$238,MATCH($C896,'Prop. prices'!$C$164:$C$238,0),MATCH(U$818,'Prop. prices'!$I$5:$AB$5,0))</f>
        <v>0</v>
      </c>
      <c r="V896" s="218">
        <f>INDEX('Prop. prices'!$I$164:$AB$238,MATCH($C896,'Prop. prices'!$C$164:$C$238,0),MATCH(V$818,'Prop. prices'!$I$5:$AB$5,0))</f>
        <v>0</v>
      </c>
      <c r="W896" s="218">
        <f>INDEX('Prop. prices'!$I$164:$AB$238,MATCH($C896,'Prop. prices'!$C$164:$C$238,0),MATCH(W$818,'Prop. prices'!$I$5:$AB$5,0))</f>
        <v>0</v>
      </c>
      <c r="X896" s="218">
        <f>INDEX('Prop. prices'!$I$164:$AB$238,MATCH($C896,'Prop. prices'!$C$164:$C$238,0),MATCH(X$818,'Prop. prices'!$I$5:$AB$5,0))</f>
        <v>0</v>
      </c>
      <c r="Y896" s="218">
        <f>INDEX('Prop. prices'!$I$164:$AB$238,MATCH($C896,'Prop. prices'!$C$164:$C$238,0),MATCH(Y$818,'Prop. prices'!$I$5:$AB$5,0))</f>
        <v>0</v>
      </c>
      <c r="Z896" s="218">
        <f>INDEX('Prop. prices'!$I$164:$AB$238,MATCH($C896,'Prop. prices'!$C$164:$C$238,0),MATCH(Z$818,'Prop. prices'!$I$5:$AB$5,0))</f>
        <v>0</v>
      </c>
      <c r="AA896" s="218">
        <f>INDEX('Prop. prices'!$I$164:$AB$238,MATCH($C896,'Prop. prices'!$C$164:$C$238,0),MATCH(AA$818,'Prop. prices'!$I$5:$AB$5,0))</f>
        <v>0</v>
      </c>
      <c r="AB896" s="218">
        <f>INDEX('Prop. prices'!$I$164:$AB$238,MATCH($C896,'Prop. prices'!$C$164:$C$238,0),MATCH(AB$818,'Prop. prices'!$I$5:$AB$5,0))</f>
        <v>0</v>
      </c>
      <c r="AC896" s="187"/>
      <c r="AD896" s="19"/>
      <c r="AE896" s="19"/>
      <c r="AF896" s="19"/>
      <c r="AG896" s="19"/>
    </row>
    <row r="897" spans="1:33" hidden="1" outlineLevel="3" x14ac:dyDescent="0.2">
      <c r="A897" s="19"/>
      <c r="B897" s="19"/>
      <c r="C897" s="506">
        <f t="shared" si="200"/>
        <v>0</v>
      </c>
      <c r="D897" s="505">
        <f t="shared" si="200"/>
        <v>0</v>
      </c>
      <c r="E897" s="58"/>
      <c r="F897" s="223"/>
      <c r="G897" s="58"/>
      <c r="H897" s="58"/>
      <c r="I897" s="218">
        <f>INDEX('Prop. prices'!$I$164:$AB$238,MATCH($C897,'Prop. prices'!$C$164:$C$238,0),MATCH(I$818,'Prop. prices'!$I$5:$AB$5,0))</f>
        <v>0</v>
      </c>
      <c r="J897" s="218">
        <f>INDEX('Prop. prices'!$I$164:$AB$238,MATCH($C897,'Prop. prices'!$C$164:$C$238,0),MATCH(J$818,'Prop. prices'!$I$5:$AB$5,0))</f>
        <v>0</v>
      </c>
      <c r="K897" s="218">
        <f>INDEX('Prop. prices'!$I$164:$AB$238,MATCH($C897,'Prop. prices'!$C$164:$C$238,0),MATCH(K$818,'Prop. prices'!$I$5:$AB$5,0))</f>
        <v>0</v>
      </c>
      <c r="L897" s="218">
        <f>INDEX('Prop. prices'!$I$164:$AB$238,MATCH($C897,'Prop. prices'!$C$164:$C$238,0),MATCH(L$818,'Prop. prices'!$I$5:$AB$5,0))</f>
        <v>0</v>
      </c>
      <c r="M897" s="218">
        <f>INDEX('Prop. prices'!$I$164:$AB$238,MATCH($C897,'Prop. prices'!$C$164:$C$238,0),MATCH(M$818,'Prop. prices'!$I$5:$AB$5,0))</f>
        <v>0</v>
      </c>
      <c r="N897" s="218">
        <f>INDEX('Prop. prices'!$I$164:$AB$238,MATCH($C897,'Prop. prices'!$C$164:$C$238,0),MATCH(N$818,'Prop. prices'!$I$5:$AB$5,0))</f>
        <v>0</v>
      </c>
      <c r="O897" s="218">
        <f>INDEX('Prop. prices'!$I$164:$AB$238,MATCH($C897,'Prop. prices'!$C$164:$C$238,0),MATCH(O$818,'Prop. prices'!$I$5:$AB$5,0))</f>
        <v>0</v>
      </c>
      <c r="P897" s="218">
        <f>INDEX('Prop. prices'!$I$164:$AB$238,MATCH($C897,'Prop. prices'!$C$164:$C$238,0),MATCH(P$818,'Prop. prices'!$I$5:$AB$5,0))</f>
        <v>0</v>
      </c>
      <c r="Q897" s="218">
        <f>INDEX('Prop. prices'!$I$164:$AB$238,MATCH($C897,'Prop. prices'!$C$164:$C$238,0),MATCH(Q$818,'Prop. prices'!$I$5:$AB$5,0))</f>
        <v>0</v>
      </c>
      <c r="R897" s="218">
        <f>INDEX('Prop. prices'!$I$164:$AB$238,MATCH($C897,'Prop. prices'!$C$164:$C$238,0),MATCH(R$818,'Prop. prices'!$I$5:$AB$5,0))</f>
        <v>0</v>
      </c>
      <c r="S897" s="218">
        <f>INDEX('Prop. prices'!$I$164:$AB$238,MATCH($C897,'Prop. prices'!$C$164:$C$238,0),MATCH(S$818,'Prop. prices'!$I$5:$AB$5,0))</f>
        <v>0</v>
      </c>
      <c r="T897" s="218">
        <f>INDEX('Prop. prices'!$I$164:$AB$238,MATCH($C897,'Prop. prices'!$C$164:$C$238,0),MATCH(T$818,'Prop. prices'!$I$5:$AB$5,0))</f>
        <v>0</v>
      </c>
      <c r="U897" s="218">
        <f>INDEX('Prop. prices'!$I$164:$AB$238,MATCH($C897,'Prop. prices'!$C$164:$C$238,0),MATCH(U$818,'Prop. prices'!$I$5:$AB$5,0))</f>
        <v>0</v>
      </c>
      <c r="V897" s="218">
        <f>INDEX('Prop. prices'!$I$164:$AB$238,MATCH($C897,'Prop. prices'!$C$164:$C$238,0),MATCH(V$818,'Prop. prices'!$I$5:$AB$5,0))</f>
        <v>0</v>
      </c>
      <c r="W897" s="218">
        <f>INDEX('Prop. prices'!$I$164:$AB$238,MATCH($C897,'Prop. prices'!$C$164:$C$238,0),MATCH(W$818,'Prop. prices'!$I$5:$AB$5,0))</f>
        <v>0</v>
      </c>
      <c r="X897" s="218">
        <f>INDEX('Prop. prices'!$I$164:$AB$238,MATCH($C897,'Prop. prices'!$C$164:$C$238,0),MATCH(X$818,'Prop. prices'!$I$5:$AB$5,0))</f>
        <v>0</v>
      </c>
      <c r="Y897" s="218">
        <f>INDEX('Prop. prices'!$I$164:$AB$238,MATCH($C897,'Prop. prices'!$C$164:$C$238,0),MATCH(Y$818,'Prop. prices'!$I$5:$AB$5,0))</f>
        <v>0</v>
      </c>
      <c r="Z897" s="218">
        <f>INDEX('Prop. prices'!$I$164:$AB$238,MATCH($C897,'Prop. prices'!$C$164:$C$238,0),MATCH(Z$818,'Prop. prices'!$I$5:$AB$5,0))</f>
        <v>0</v>
      </c>
      <c r="AA897" s="218">
        <f>INDEX('Prop. prices'!$I$164:$AB$238,MATCH($C897,'Prop. prices'!$C$164:$C$238,0),MATCH(AA$818,'Prop. prices'!$I$5:$AB$5,0))</f>
        <v>0</v>
      </c>
      <c r="AB897" s="218">
        <f>INDEX('Prop. prices'!$I$164:$AB$238,MATCH($C897,'Prop. prices'!$C$164:$C$238,0),MATCH(AB$818,'Prop. prices'!$I$5:$AB$5,0))</f>
        <v>0</v>
      </c>
      <c r="AC897" s="187"/>
      <c r="AD897" s="19"/>
      <c r="AE897" s="19"/>
      <c r="AF897" s="19"/>
      <c r="AG897" s="19"/>
    </row>
    <row r="898" spans="1:33" hidden="1" outlineLevel="3" x14ac:dyDescent="0.2">
      <c r="A898" s="19"/>
      <c r="B898" s="19"/>
      <c r="C898" s="506">
        <f t="shared" si="200"/>
        <v>0</v>
      </c>
      <c r="D898" s="505">
        <f t="shared" si="200"/>
        <v>0</v>
      </c>
      <c r="E898" s="58"/>
      <c r="F898" s="223"/>
      <c r="G898" s="58"/>
      <c r="H898" s="58"/>
      <c r="I898" s="218">
        <f>INDEX('Prop. prices'!$I$164:$AB$238,MATCH($C898,'Prop. prices'!$C$164:$C$238,0),MATCH(I$818,'Prop. prices'!$I$5:$AB$5,0))</f>
        <v>0</v>
      </c>
      <c r="J898" s="218">
        <f>INDEX('Prop. prices'!$I$164:$AB$238,MATCH($C898,'Prop. prices'!$C$164:$C$238,0),MATCH(J$818,'Prop. prices'!$I$5:$AB$5,0))</f>
        <v>0</v>
      </c>
      <c r="K898" s="218">
        <f>INDEX('Prop. prices'!$I$164:$AB$238,MATCH($C898,'Prop. prices'!$C$164:$C$238,0),MATCH(K$818,'Prop. prices'!$I$5:$AB$5,0))</f>
        <v>0</v>
      </c>
      <c r="L898" s="218">
        <f>INDEX('Prop. prices'!$I$164:$AB$238,MATCH($C898,'Prop. prices'!$C$164:$C$238,0),MATCH(L$818,'Prop. prices'!$I$5:$AB$5,0))</f>
        <v>0</v>
      </c>
      <c r="M898" s="218">
        <f>INDEX('Prop. prices'!$I$164:$AB$238,MATCH($C898,'Prop. prices'!$C$164:$C$238,0),MATCH(M$818,'Prop. prices'!$I$5:$AB$5,0))</f>
        <v>0</v>
      </c>
      <c r="N898" s="218">
        <f>INDEX('Prop. prices'!$I$164:$AB$238,MATCH($C898,'Prop. prices'!$C$164:$C$238,0),MATCH(N$818,'Prop. prices'!$I$5:$AB$5,0))</f>
        <v>0</v>
      </c>
      <c r="O898" s="218">
        <f>INDEX('Prop. prices'!$I$164:$AB$238,MATCH($C898,'Prop. prices'!$C$164:$C$238,0),MATCH(O$818,'Prop. prices'!$I$5:$AB$5,0))</f>
        <v>0</v>
      </c>
      <c r="P898" s="218">
        <f>INDEX('Prop. prices'!$I$164:$AB$238,MATCH($C898,'Prop. prices'!$C$164:$C$238,0),MATCH(P$818,'Prop. prices'!$I$5:$AB$5,0))</f>
        <v>0</v>
      </c>
      <c r="Q898" s="218">
        <f>INDEX('Prop. prices'!$I$164:$AB$238,MATCH($C898,'Prop. prices'!$C$164:$C$238,0),MATCH(Q$818,'Prop. prices'!$I$5:$AB$5,0))</f>
        <v>0</v>
      </c>
      <c r="R898" s="218">
        <f>INDEX('Prop. prices'!$I$164:$AB$238,MATCH($C898,'Prop. prices'!$C$164:$C$238,0),MATCH(R$818,'Prop. prices'!$I$5:$AB$5,0))</f>
        <v>0</v>
      </c>
      <c r="S898" s="218">
        <f>INDEX('Prop. prices'!$I$164:$AB$238,MATCH($C898,'Prop. prices'!$C$164:$C$238,0),MATCH(S$818,'Prop. prices'!$I$5:$AB$5,0))</f>
        <v>0</v>
      </c>
      <c r="T898" s="218">
        <f>INDEX('Prop. prices'!$I$164:$AB$238,MATCH($C898,'Prop. prices'!$C$164:$C$238,0),MATCH(T$818,'Prop. prices'!$I$5:$AB$5,0))</f>
        <v>0</v>
      </c>
      <c r="U898" s="218">
        <f>INDEX('Prop. prices'!$I$164:$AB$238,MATCH($C898,'Prop. prices'!$C$164:$C$238,0),MATCH(U$818,'Prop. prices'!$I$5:$AB$5,0))</f>
        <v>0</v>
      </c>
      <c r="V898" s="218">
        <f>INDEX('Prop. prices'!$I$164:$AB$238,MATCH($C898,'Prop. prices'!$C$164:$C$238,0),MATCH(V$818,'Prop. prices'!$I$5:$AB$5,0))</f>
        <v>0</v>
      </c>
      <c r="W898" s="218">
        <f>INDEX('Prop. prices'!$I$164:$AB$238,MATCH($C898,'Prop. prices'!$C$164:$C$238,0),MATCH(W$818,'Prop. prices'!$I$5:$AB$5,0))</f>
        <v>0</v>
      </c>
      <c r="X898" s="218">
        <f>INDEX('Prop. prices'!$I$164:$AB$238,MATCH($C898,'Prop. prices'!$C$164:$C$238,0),MATCH(X$818,'Prop. prices'!$I$5:$AB$5,0))</f>
        <v>0</v>
      </c>
      <c r="Y898" s="218">
        <f>INDEX('Prop. prices'!$I$164:$AB$238,MATCH($C898,'Prop. prices'!$C$164:$C$238,0),MATCH(Y$818,'Prop. prices'!$I$5:$AB$5,0))</f>
        <v>0</v>
      </c>
      <c r="Z898" s="218">
        <f>INDEX('Prop. prices'!$I$164:$AB$238,MATCH($C898,'Prop. prices'!$C$164:$C$238,0),MATCH(Z$818,'Prop. prices'!$I$5:$AB$5,0))</f>
        <v>0</v>
      </c>
      <c r="AA898" s="218">
        <f>INDEX('Prop. prices'!$I$164:$AB$238,MATCH($C898,'Prop. prices'!$C$164:$C$238,0),MATCH(AA$818,'Prop. prices'!$I$5:$AB$5,0))</f>
        <v>0</v>
      </c>
      <c r="AB898" s="218">
        <f>INDEX('Prop. prices'!$I$164:$AB$238,MATCH($C898,'Prop. prices'!$C$164:$C$238,0),MATCH(AB$818,'Prop. prices'!$I$5:$AB$5,0))</f>
        <v>0</v>
      </c>
      <c r="AC898" s="187"/>
      <c r="AD898" s="19"/>
      <c r="AE898" s="19"/>
      <c r="AF898" s="19"/>
      <c r="AG898" s="19"/>
    </row>
    <row r="899" spans="1:33" hidden="1" outlineLevel="3" x14ac:dyDescent="0.2">
      <c r="A899" s="19"/>
      <c r="B899" s="19"/>
      <c r="C899" s="506">
        <f t="shared" si="200"/>
        <v>0</v>
      </c>
      <c r="D899" s="505">
        <f t="shared" si="200"/>
        <v>0</v>
      </c>
      <c r="E899" s="58"/>
      <c r="F899" s="223"/>
      <c r="G899" s="58"/>
      <c r="H899" s="58"/>
      <c r="I899" s="218">
        <f>INDEX('Prop. prices'!$I$164:$AB$238,MATCH($C899,'Prop. prices'!$C$164:$C$238,0),MATCH(I$818,'Prop. prices'!$I$5:$AB$5,0))</f>
        <v>0</v>
      </c>
      <c r="J899" s="218">
        <f>INDEX('Prop. prices'!$I$164:$AB$238,MATCH($C899,'Prop. prices'!$C$164:$C$238,0),MATCH(J$818,'Prop. prices'!$I$5:$AB$5,0))</f>
        <v>0</v>
      </c>
      <c r="K899" s="218">
        <f>INDEX('Prop. prices'!$I$164:$AB$238,MATCH($C899,'Prop. prices'!$C$164:$C$238,0),MATCH(K$818,'Prop. prices'!$I$5:$AB$5,0))</f>
        <v>0</v>
      </c>
      <c r="L899" s="218">
        <f>INDEX('Prop. prices'!$I$164:$AB$238,MATCH($C899,'Prop. prices'!$C$164:$C$238,0),MATCH(L$818,'Prop. prices'!$I$5:$AB$5,0))</f>
        <v>0</v>
      </c>
      <c r="M899" s="218">
        <f>INDEX('Prop. prices'!$I$164:$AB$238,MATCH($C899,'Prop. prices'!$C$164:$C$238,0),MATCH(M$818,'Prop. prices'!$I$5:$AB$5,0))</f>
        <v>0</v>
      </c>
      <c r="N899" s="218">
        <f>INDEX('Prop. prices'!$I$164:$AB$238,MATCH($C899,'Prop. prices'!$C$164:$C$238,0),MATCH(N$818,'Prop. prices'!$I$5:$AB$5,0))</f>
        <v>0</v>
      </c>
      <c r="O899" s="218">
        <f>INDEX('Prop. prices'!$I$164:$AB$238,MATCH($C899,'Prop. prices'!$C$164:$C$238,0),MATCH(O$818,'Prop. prices'!$I$5:$AB$5,0))</f>
        <v>0</v>
      </c>
      <c r="P899" s="218">
        <f>INDEX('Prop. prices'!$I$164:$AB$238,MATCH($C899,'Prop. prices'!$C$164:$C$238,0),MATCH(P$818,'Prop. prices'!$I$5:$AB$5,0))</f>
        <v>0</v>
      </c>
      <c r="Q899" s="218">
        <f>INDEX('Prop. prices'!$I$164:$AB$238,MATCH($C899,'Prop. prices'!$C$164:$C$238,0),MATCH(Q$818,'Prop. prices'!$I$5:$AB$5,0))</f>
        <v>0</v>
      </c>
      <c r="R899" s="218">
        <f>INDEX('Prop. prices'!$I$164:$AB$238,MATCH($C899,'Prop. prices'!$C$164:$C$238,0),MATCH(R$818,'Prop. prices'!$I$5:$AB$5,0))</f>
        <v>0</v>
      </c>
      <c r="S899" s="218">
        <f>INDEX('Prop. prices'!$I$164:$AB$238,MATCH($C899,'Prop. prices'!$C$164:$C$238,0),MATCH(S$818,'Prop. prices'!$I$5:$AB$5,0))</f>
        <v>0</v>
      </c>
      <c r="T899" s="218">
        <f>INDEX('Prop. prices'!$I$164:$AB$238,MATCH($C899,'Prop. prices'!$C$164:$C$238,0),MATCH(T$818,'Prop. prices'!$I$5:$AB$5,0))</f>
        <v>0</v>
      </c>
      <c r="U899" s="218">
        <f>INDEX('Prop. prices'!$I$164:$AB$238,MATCH($C899,'Prop. prices'!$C$164:$C$238,0),MATCH(U$818,'Prop. prices'!$I$5:$AB$5,0))</f>
        <v>0</v>
      </c>
      <c r="V899" s="218">
        <f>INDEX('Prop. prices'!$I$164:$AB$238,MATCH($C899,'Prop. prices'!$C$164:$C$238,0),MATCH(V$818,'Prop. prices'!$I$5:$AB$5,0))</f>
        <v>0</v>
      </c>
      <c r="W899" s="218">
        <f>INDEX('Prop. prices'!$I$164:$AB$238,MATCH($C899,'Prop. prices'!$C$164:$C$238,0),MATCH(W$818,'Prop. prices'!$I$5:$AB$5,0))</f>
        <v>0</v>
      </c>
      <c r="X899" s="218">
        <f>INDEX('Prop. prices'!$I$164:$AB$238,MATCH($C899,'Prop. prices'!$C$164:$C$238,0),MATCH(X$818,'Prop. prices'!$I$5:$AB$5,0))</f>
        <v>0</v>
      </c>
      <c r="Y899" s="218">
        <f>INDEX('Prop. prices'!$I$164:$AB$238,MATCH($C899,'Prop. prices'!$C$164:$C$238,0),MATCH(Y$818,'Prop. prices'!$I$5:$AB$5,0))</f>
        <v>0</v>
      </c>
      <c r="Z899" s="218">
        <f>INDEX('Prop. prices'!$I$164:$AB$238,MATCH($C899,'Prop. prices'!$C$164:$C$238,0),MATCH(Z$818,'Prop. prices'!$I$5:$AB$5,0))</f>
        <v>0</v>
      </c>
      <c r="AA899" s="218">
        <f>INDEX('Prop. prices'!$I$164:$AB$238,MATCH($C899,'Prop. prices'!$C$164:$C$238,0),MATCH(AA$818,'Prop. prices'!$I$5:$AB$5,0))</f>
        <v>0</v>
      </c>
      <c r="AB899" s="218">
        <f>INDEX('Prop. prices'!$I$164:$AB$238,MATCH($C899,'Prop. prices'!$C$164:$C$238,0),MATCH(AB$818,'Prop. prices'!$I$5:$AB$5,0))</f>
        <v>0</v>
      </c>
      <c r="AC899" s="187"/>
      <c r="AD899" s="19"/>
      <c r="AE899" s="19"/>
      <c r="AF899" s="19"/>
      <c r="AG899" s="19"/>
    </row>
    <row r="900" spans="1:33" hidden="1" outlineLevel="3" x14ac:dyDescent="0.2">
      <c r="A900" s="19"/>
      <c r="B900" s="19"/>
      <c r="C900" s="506">
        <f t="shared" si="200"/>
        <v>0</v>
      </c>
      <c r="D900" s="505">
        <f t="shared" si="200"/>
        <v>0</v>
      </c>
      <c r="E900" s="58"/>
      <c r="F900" s="223"/>
      <c r="G900" s="58"/>
      <c r="H900" s="58"/>
      <c r="I900" s="218">
        <f>INDEX('Prop. prices'!$I$164:$AB$238,MATCH($C900,'Prop. prices'!$C$164:$C$238,0),MATCH(I$818,'Prop. prices'!$I$5:$AB$5,0))</f>
        <v>0</v>
      </c>
      <c r="J900" s="218">
        <f>INDEX('Prop. prices'!$I$164:$AB$238,MATCH($C900,'Prop. prices'!$C$164:$C$238,0),MATCH(J$818,'Prop. prices'!$I$5:$AB$5,0))</f>
        <v>0</v>
      </c>
      <c r="K900" s="218">
        <f>INDEX('Prop. prices'!$I$164:$AB$238,MATCH($C900,'Prop. prices'!$C$164:$C$238,0),MATCH(K$818,'Prop. prices'!$I$5:$AB$5,0))</f>
        <v>0</v>
      </c>
      <c r="L900" s="218">
        <f>INDEX('Prop. prices'!$I$164:$AB$238,MATCH($C900,'Prop. prices'!$C$164:$C$238,0),MATCH(L$818,'Prop. prices'!$I$5:$AB$5,0))</f>
        <v>0</v>
      </c>
      <c r="M900" s="218">
        <f>INDEX('Prop. prices'!$I$164:$AB$238,MATCH($C900,'Prop. prices'!$C$164:$C$238,0),MATCH(M$818,'Prop. prices'!$I$5:$AB$5,0))</f>
        <v>0</v>
      </c>
      <c r="N900" s="218">
        <f>INDEX('Prop. prices'!$I$164:$AB$238,MATCH($C900,'Prop. prices'!$C$164:$C$238,0),MATCH(N$818,'Prop. prices'!$I$5:$AB$5,0))</f>
        <v>0</v>
      </c>
      <c r="O900" s="218">
        <f>INDEX('Prop. prices'!$I$164:$AB$238,MATCH($C900,'Prop. prices'!$C$164:$C$238,0),MATCH(O$818,'Prop. prices'!$I$5:$AB$5,0))</f>
        <v>0</v>
      </c>
      <c r="P900" s="218">
        <f>INDEX('Prop. prices'!$I$164:$AB$238,MATCH($C900,'Prop. prices'!$C$164:$C$238,0),MATCH(P$818,'Prop. prices'!$I$5:$AB$5,0))</f>
        <v>0</v>
      </c>
      <c r="Q900" s="218">
        <f>INDEX('Prop. prices'!$I$164:$AB$238,MATCH($C900,'Prop. prices'!$C$164:$C$238,0),MATCH(Q$818,'Prop. prices'!$I$5:$AB$5,0))</f>
        <v>0</v>
      </c>
      <c r="R900" s="218">
        <f>INDEX('Prop. prices'!$I$164:$AB$238,MATCH($C900,'Prop. prices'!$C$164:$C$238,0),MATCH(R$818,'Prop. prices'!$I$5:$AB$5,0))</f>
        <v>0</v>
      </c>
      <c r="S900" s="218">
        <f>INDEX('Prop. prices'!$I$164:$AB$238,MATCH($C900,'Prop. prices'!$C$164:$C$238,0),MATCH(S$818,'Prop. prices'!$I$5:$AB$5,0))</f>
        <v>0</v>
      </c>
      <c r="T900" s="218">
        <f>INDEX('Prop. prices'!$I$164:$AB$238,MATCH($C900,'Prop. prices'!$C$164:$C$238,0),MATCH(T$818,'Prop. prices'!$I$5:$AB$5,0))</f>
        <v>0</v>
      </c>
      <c r="U900" s="218">
        <f>INDEX('Prop. prices'!$I$164:$AB$238,MATCH($C900,'Prop. prices'!$C$164:$C$238,0),MATCH(U$818,'Prop. prices'!$I$5:$AB$5,0))</f>
        <v>0</v>
      </c>
      <c r="V900" s="218">
        <f>INDEX('Prop. prices'!$I$164:$AB$238,MATCH($C900,'Prop. prices'!$C$164:$C$238,0),MATCH(V$818,'Prop. prices'!$I$5:$AB$5,0))</f>
        <v>0</v>
      </c>
      <c r="W900" s="218">
        <f>INDEX('Prop. prices'!$I$164:$AB$238,MATCH($C900,'Prop. prices'!$C$164:$C$238,0),MATCH(W$818,'Prop. prices'!$I$5:$AB$5,0))</f>
        <v>0</v>
      </c>
      <c r="X900" s="218">
        <f>INDEX('Prop. prices'!$I$164:$AB$238,MATCH($C900,'Prop. prices'!$C$164:$C$238,0),MATCH(X$818,'Prop. prices'!$I$5:$AB$5,0))</f>
        <v>0</v>
      </c>
      <c r="Y900" s="218">
        <f>INDEX('Prop. prices'!$I$164:$AB$238,MATCH($C900,'Prop. prices'!$C$164:$C$238,0),MATCH(Y$818,'Prop. prices'!$I$5:$AB$5,0))</f>
        <v>0</v>
      </c>
      <c r="Z900" s="218">
        <f>INDEX('Prop. prices'!$I$164:$AB$238,MATCH($C900,'Prop. prices'!$C$164:$C$238,0),MATCH(Z$818,'Prop. prices'!$I$5:$AB$5,0))</f>
        <v>0</v>
      </c>
      <c r="AA900" s="218">
        <f>INDEX('Prop. prices'!$I$164:$AB$238,MATCH($C900,'Prop. prices'!$C$164:$C$238,0),MATCH(AA$818,'Prop. prices'!$I$5:$AB$5,0))</f>
        <v>0</v>
      </c>
      <c r="AB900" s="218">
        <f>INDEX('Prop. prices'!$I$164:$AB$238,MATCH($C900,'Prop. prices'!$C$164:$C$238,0),MATCH(AB$818,'Prop. prices'!$I$5:$AB$5,0))</f>
        <v>0</v>
      </c>
      <c r="AC900" s="187"/>
      <c r="AD900" s="19"/>
      <c r="AE900" s="19"/>
      <c r="AF900" s="19"/>
      <c r="AG900" s="19"/>
    </row>
    <row r="901" spans="1:33" hidden="1" outlineLevel="3" x14ac:dyDescent="0.2">
      <c r="A901" s="19"/>
      <c r="B901" s="19"/>
      <c r="C901" s="506">
        <f t="shared" si="200"/>
        <v>0</v>
      </c>
      <c r="D901" s="505">
        <f t="shared" si="200"/>
        <v>0</v>
      </c>
      <c r="E901" s="58"/>
      <c r="F901" s="223"/>
      <c r="G901" s="58"/>
      <c r="H901" s="58"/>
      <c r="I901" s="218">
        <f>INDEX('Prop. prices'!$I$164:$AB$238,MATCH($C901,'Prop. prices'!$C$164:$C$238,0),MATCH(I$818,'Prop. prices'!$I$5:$AB$5,0))</f>
        <v>0</v>
      </c>
      <c r="J901" s="218">
        <f>INDEX('Prop. prices'!$I$164:$AB$238,MATCH($C901,'Prop. prices'!$C$164:$C$238,0),MATCH(J$818,'Prop. prices'!$I$5:$AB$5,0))</f>
        <v>0</v>
      </c>
      <c r="K901" s="218">
        <f>INDEX('Prop. prices'!$I$164:$AB$238,MATCH($C901,'Prop. prices'!$C$164:$C$238,0),MATCH(K$818,'Prop. prices'!$I$5:$AB$5,0))</f>
        <v>0</v>
      </c>
      <c r="L901" s="218">
        <f>INDEX('Prop. prices'!$I$164:$AB$238,MATCH($C901,'Prop. prices'!$C$164:$C$238,0),MATCH(L$818,'Prop. prices'!$I$5:$AB$5,0))</f>
        <v>0</v>
      </c>
      <c r="M901" s="218">
        <f>INDEX('Prop. prices'!$I$164:$AB$238,MATCH($C901,'Prop. prices'!$C$164:$C$238,0),MATCH(M$818,'Prop. prices'!$I$5:$AB$5,0))</f>
        <v>0</v>
      </c>
      <c r="N901" s="218">
        <f>INDEX('Prop. prices'!$I$164:$AB$238,MATCH($C901,'Prop. prices'!$C$164:$C$238,0),MATCH(N$818,'Prop. prices'!$I$5:$AB$5,0))</f>
        <v>0</v>
      </c>
      <c r="O901" s="218">
        <f>INDEX('Prop. prices'!$I$164:$AB$238,MATCH($C901,'Prop. prices'!$C$164:$C$238,0),MATCH(O$818,'Prop. prices'!$I$5:$AB$5,0))</f>
        <v>0</v>
      </c>
      <c r="P901" s="218">
        <f>INDEX('Prop. prices'!$I$164:$AB$238,MATCH($C901,'Prop. prices'!$C$164:$C$238,0),MATCH(P$818,'Prop. prices'!$I$5:$AB$5,0))</f>
        <v>0</v>
      </c>
      <c r="Q901" s="218">
        <f>INDEX('Prop. prices'!$I$164:$AB$238,MATCH($C901,'Prop. prices'!$C$164:$C$238,0),MATCH(Q$818,'Prop. prices'!$I$5:$AB$5,0))</f>
        <v>0</v>
      </c>
      <c r="R901" s="218">
        <f>INDEX('Prop. prices'!$I$164:$AB$238,MATCH($C901,'Prop. prices'!$C$164:$C$238,0),MATCH(R$818,'Prop. prices'!$I$5:$AB$5,0))</f>
        <v>0</v>
      </c>
      <c r="S901" s="218">
        <f>INDEX('Prop. prices'!$I$164:$AB$238,MATCH($C901,'Prop. prices'!$C$164:$C$238,0),MATCH(S$818,'Prop. prices'!$I$5:$AB$5,0))</f>
        <v>0</v>
      </c>
      <c r="T901" s="218">
        <f>INDEX('Prop. prices'!$I$164:$AB$238,MATCH($C901,'Prop. prices'!$C$164:$C$238,0),MATCH(T$818,'Prop. prices'!$I$5:$AB$5,0))</f>
        <v>0</v>
      </c>
      <c r="U901" s="218">
        <f>INDEX('Prop. prices'!$I$164:$AB$238,MATCH($C901,'Prop. prices'!$C$164:$C$238,0),MATCH(U$818,'Prop. prices'!$I$5:$AB$5,0))</f>
        <v>0</v>
      </c>
      <c r="V901" s="218">
        <f>INDEX('Prop. prices'!$I$164:$AB$238,MATCH($C901,'Prop. prices'!$C$164:$C$238,0),MATCH(V$818,'Prop. prices'!$I$5:$AB$5,0))</f>
        <v>0</v>
      </c>
      <c r="W901" s="218">
        <f>INDEX('Prop. prices'!$I$164:$AB$238,MATCH($C901,'Prop. prices'!$C$164:$C$238,0),MATCH(W$818,'Prop. prices'!$I$5:$AB$5,0))</f>
        <v>0</v>
      </c>
      <c r="X901" s="218">
        <f>INDEX('Prop. prices'!$I$164:$AB$238,MATCH($C901,'Prop. prices'!$C$164:$C$238,0),MATCH(X$818,'Prop. prices'!$I$5:$AB$5,0))</f>
        <v>0</v>
      </c>
      <c r="Y901" s="218">
        <f>INDEX('Prop. prices'!$I$164:$AB$238,MATCH($C901,'Prop. prices'!$C$164:$C$238,0),MATCH(Y$818,'Prop. prices'!$I$5:$AB$5,0))</f>
        <v>0</v>
      </c>
      <c r="Z901" s="218">
        <f>INDEX('Prop. prices'!$I$164:$AB$238,MATCH($C901,'Prop. prices'!$C$164:$C$238,0),MATCH(Z$818,'Prop. prices'!$I$5:$AB$5,0))</f>
        <v>0</v>
      </c>
      <c r="AA901" s="218">
        <f>INDEX('Prop. prices'!$I$164:$AB$238,MATCH($C901,'Prop. prices'!$C$164:$C$238,0),MATCH(AA$818,'Prop. prices'!$I$5:$AB$5,0))</f>
        <v>0</v>
      </c>
      <c r="AB901" s="218">
        <f>INDEX('Prop. prices'!$I$164:$AB$238,MATCH($C901,'Prop. prices'!$C$164:$C$238,0),MATCH(AB$818,'Prop. prices'!$I$5:$AB$5,0))</f>
        <v>0</v>
      </c>
      <c r="AC901" s="187"/>
      <c r="AD901" s="19"/>
      <c r="AE901" s="19"/>
      <c r="AF901" s="19"/>
      <c r="AG901" s="19"/>
    </row>
    <row r="902" spans="1:33" hidden="1" outlineLevel="3" x14ac:dyDescent="0.2">
      <c r="A902" s="19"/>
      <c r="B902" s="19"/>
      <c r="C902" s="506">
        <f t="shared" si="200"/>
        <v>0</v>
      </c>
      <c r="D902" s="505">
        <f t="shared" si="200"/>
        <v>0</v>
      </c>
      <c r="E902" s="58"/>
      <c r="F902" s="223"/>
      <c r="G902" s="58"/>
      <c r="H902" s="58"/>
      <c r="I902" s="218">
        <f>INDEX('Prop. prices'!$I$164:$AB$238,MATCH($C902,'Prop. prices'!$C$164:$C$238,0),MATCH(I$818,'Prop. prices'!$I$5:$AB$5,0))</f>
        <v>0</v>
      </c>
      <c r="J902" s="218">
        <f>INDEX('Prop. prices'!$I$164:$AB$238,MATCH($C902,'Prop. prices'!$C$164:$C$238,0),MATCH(J$818,'Prop. prices'!$I$5:$AB$5,0))</f>
        <v>0</v>
      </c>
      <c r="K902" s="218">
        <f>INDEX('Prop. prices'!$I$164:$AB$238,MATCH($C902,'Prop. prices'!$C$164:$C$238,0),MATCH(K$818,'Prop. prices'!$I$5:$AB$5,0))</f>
        <v>0</v>
      </c>
      <c r="L902" s="218">
        <f>INDEX('Prop. prices'!$I$164:$AB$238,MATCH($C902,'Prop. prices'!$C$164:$C$238,0),MATCH(L$818,'Prop. prices'!$I$5:$AB$5,0))</f>
        <v>0</v>
      </c>
      <c r="M902" s="218">
        <f>INDEX('Prop. prices'!$I$164:$AB$238,MATCH($C902,'Prop. prices'!$C$164:$C$238,0),MATCH(M$818,'Prop. prices'!$I$5:$AB$5,0))</f>
        <v>0</v>
      </c>
      <c r="N902" s="218">
        <f>INDEX('Prop. prices'!$I$164:$AB$238,MATCH($C902,'Prop. prices'!$C$164:$C$238,0),MATCH(N$818,'Prop. prices'!$I$5:$AB$5,0))</f>
        <v>0</v>
      </c>
      <c r="O902" s="218">
        <f>INDEX('Prop. prices'!$I$164:$AB$238,MATCH($C902,'Prop. prices'!$C$164:$C$238,0),MATCH(O$818,'Prop. prices'!$I$5:$AB$5,0))</f>
        <v>0</v>
      </c>
      <c r="P902" s="218">
        <f>INDEX('Prop. prices'!$I$164:$AB$238,MATCH($C902,'Prop. prices'!$C$164:$C$238,0),MATCH(P$818,'Prop. prices'!$I$5:$AB$5,0))</f>
        <v>0</v>
      </c>
      <c r="Q902" s="218">
        <f>INDEX('Prop. prices'!$I$164:$AB$238,MATCH($C902,'Prop. prices'!$C$164:$C$238,0),MATCH(Q$818,'Prop. prices'!$I$5:$AB$5,0))</f>
        <v>0</v>
      </c>
      <c r="R902" s="218">
        <f>INDEX('Prop. prices'!$I$164:$AB$238,MATCH($C902,'Prop. prices'!$C$164:$C$238,0),MATCH(R$818,'Prop. prices'!$I$5:$AB$5,0))</f>
        <v>0</v>
      </c>
      <c r="S902" s="218">
        <f>INDEX('Prop. prices'!$I$164:$AB$238,MATCH($C902,'Prop. prices'!$C$164:$C$238,0),MATCH(S$818,'Prop. prices'!$I$5:$AB$5,0))</f>
        <v>0</v>
      </c>
      <c r="T902" s="218">
        <f>INDEX('Prop. prices'!$I$164:$AB$238,MATCH($C902,'Prop. prices'!$C$164:$C$238,0),MATCH(T$818,'Prop. prices'!$I$5:$AB$5,0))</f>
        <v>0</v>
      </c>
      <c r="U902" s="218">
        <f>INDEX('Prop. prices'!$I$164:$AB$238,MATCH($C902,'Prop. prices'!$C$164:$C$238,0),MATCH(U$818,'Prop. prices'!$I$5:$AB$5,0))</f>
        <v>0</v>
      </c>
      <c r="V902" s="218">
        <f>INDEX('Prop. prices'!$I$164:$AB$238,MATCH($C902,'Prop. prices'!$C$164:$C$238,0),MATCH(V$818,'Prop. prices'!$I$5:$AB$5,0))</f>
        <v>0</v>
      </c>
      <c r="W902" s="218">
        <f>INDEX('Prop. prices'!$I$164:$AB$238,MATCH($C902,'Prop. prices'!$C$164:$C$238,0),MATCH(W$818,'Prop. prices'!$I$5:$AB$5,0))</f>
        <v>0</v>
      </c>
      <c r="X902" s="218">
        <f>INDEX('Prop. prices'!$I$164:$AB$238,MATCH($C902,'Prop. prices'!$C$164:$C$238,0),MATCH(X$818,'Prop. prices'!$I$5:$AB$5,0))</f>
        <v>0</v>
      </c>
      <c r="Y902" s="218">
        <f>INDEX('Prop. prices'!$I$164:$AB$238,MATCH($C902,'Prop. prices'!$C$164:$C$238,0),MATCH(Y$818,'Prop. prices'!$I$5:$AB$5,0))</f>
        <v>0</v>
      </c>
      <c r="Z902" s="218">
        <f>INDEX('Prop. prices'!$I$164:$AB$238,MATCH($C902,'Prop. prices'!$C$164:$C$238,0),MATCH(Z$818,'Prop. prices'!$I$5:$AB$5,0))</f>
        <v>0</v>
      </c>
      <c r="AA902" s="218">
        <f>INDEX('Prop. prices'!$I$164:$AB$238,MATCH($C902,'Prop. prices'!$C$164:$C$238,0),MATCH(AA$818,'Prop. prices'!$I$5:$AB$5,0))</f>
        <v>0</v>
      </c>
      <c r="AB902" s="218">
        <f>INDEX('Prop. prices'!$I$164:$AB$238,MATCH($C902,'Prop. prices'!$C$164:$C$238,0),MATCH(AB$818,'Prop. prices'!$I$5:$AB$5,0))</f>
        <v>0</v>
      </c>
      <c r="AC902" s="187"/>
      <c r="AD902" s="19"/>
      <c r="AE902" s="19"/>
      <c r="AF902" s="19"/>
      <c r="AG902" s="19"/>
    </row>
    <row r="903" spans="1:33" hidden="1" outlineLevel="3" x14ac:dyDescent="0.2">
      <c r="A903" s="19"/>
      <c r="B903" s="19"/>
      <c r="C903" s="506">
        <f t="shared" si="200"/>
        <v>0</v>
      </c>
      <c r="D903" s="505">
        <f t="shared" si="200"/>
        <v>0</v>
      </c>
      <c r="E903" s="58"/>
      <c r="F903" s="223"/>
      <c r="G903" s="58"/>
      <c r="H903" s="58"/>
      <c r="I903" s="218">
        <f>INDEX('Prop. prices'!$I$164:$AB$238,MATCH($C903,'Prop. prices'!$C$164:$C$238,0),MATCH(I$818,'Prop. prices'!$I$5:$AB$5,0))</f>
        <v>0</v>
      </c>
      <c r="J903" s="218">
        <f>INDEX('Prop. prices'!$I$164:$AB$238,MATCH($C903,'Prop. prices'!$C$164:$C$238,0),MATCH(J$818,'Prop. prices'!$I$5:$AB$5,0))</f>
        <v>0</v>
      </c>
      <c r="K903" s="218">
        <f>INDEX('Prop. prices'!$I$164:$AB$238,MATCH($C903,'Prop. prices'!$C$164:$C$238,0),MATCH(K$818,'Prop. prices'!$I$5:$AB$5,0))</f>
        <v>0</v>
      </c>
      <c r="L903" s="218">
        <f>INDEX('Prop. prices'!$I$164:$AB$238,MATCH($C903,'Prop. prices'!$C$164:$C$238,0),MATCH(L$818,'Prop. prices'!$I$5:$AB$5,0))</f>
        <v>0</v>
      </c>
      <c r="M903" s="218">
        <f>INDEX('Prop. prices'!$I$164:$AB$238,MATCH($C903,'Prop. prices'!$C$164:$C$238,0),MATCH(M$818,'Prop. prices'!$I$5:$AB$5,0))</f>
        <v>0</v>
      </c>
      <c r="N903" s="218">
        <f>INDEX('Prop. prices'!$I$164:$AB$238,MATCH($C903,'Prop. prices'!$C$164:$C$238,0),MATCH(N$818,'Prop. prices'!$I$5:$AB$5,0))</f>
        <v>0</v>
      </c>
      <c r="O903" s="218">
        <f>INDEX('Prop. prices'!$I$164:$AB$238,MATCH($C903,'Prop. prices'!$C$164:$C$238,0),MATCH(O$818,'Prop. prices'!$I$5:$AB$5,0))</f>
        <v>0</v>
      </c>
      <c r="P903" s="218">
        <f>INDEX('Prop. prices'!$I$164:$AB$238,MATCH($C903,'Prop. prices'!$C$164:$C$238,0),MATCH(P$818,'Prop. prices'!$I$5:$AB$5,0))</f>
        <v>0</v>
      </c>
      <c r="Q903" s="218">
        <f>INDEX('Prop. prices'!$I$164:$AB$238,MATCH($C903,'Prop. prices'!$C$164:$C$238,0),MATCH(Q$818,'Prop. prices'!$I$5:$AB$5,0))</f>
        <v>0</v>
      </c>
      <c r="R903" s="218">
        <f>INDEX('Prop. prices'!$I$164:$AB$238,MATCH($C903,'Prop. prices'!$C$164:$C$238,0),MATCH(R$818,'Prop. prices'!$I$5:$AB$5,0))</f>
        <v>0</v>
      </c>
      <c r="S903" s="218">
        <f>INDEX('Prop. prices'!$I$164:$AB$238,MATCH($C903,'Prop. prices'!$C$164:$C$238,0),MATCH(S$818,'Prop. prices'!$I$5:$AB$5,0))</f>
        <v>0</v>
      </c>
      <c r="T903" s="218">
        <f>INDEX('Prop. prices'!$I$164:$AB$238,MATCH($C903,'Prop. prices'!$C$164:$C$238,0),MATCH(T$818,'Prop. prices'!$I$5:$AB$5,0))</f>
        <v>0</v>
      </c>
      <c r="U903" s="218">
        <f>INDEX('Prop. prices'!$I$164:$AB$238,MATCH($C903,'Prop. prices'!$C$164:$C$238,0),MATCH(U$818,'Prop. prices'!$I$5:$AB$5,0))</f>
        <v>0</v>
      </c>
      <c r="V903" s="218">
        <f>INDEX('Prop. prices'!$I$164:$AB$238,MATCH($C903,'Prop. prices'!$C$164:$C$238,0),MATCH(V$818,'Prop. prices'!$I$5:$AB$5,0))</f>
        <v>0</v>
      </c>
      <c r="W903" s="218">
        <f>INDEX('Prop. prices'!$I$164:$AB$238,MATCH($C903,'Prop. prices'!$C$164:$C$238,0),MATCH(W$818,'Prop. prices'!$I$5:$AB$5,0))</f>
        <v>0</v>
      </c>
      <c r="X903" s="218">
        <f>INDEX('Prop. prices'!$I$164:$AB$238,MATCH($C903,'Prop. prices'!$C$164:$C$238,0),MATCH(X$818,'Prop. prices'!$I$5:$AB$5,0))</f>
        <v>0</v>
      </c>
      <c r="Y903" s="218">
        <f>INDEX('Prop. prices'!$I$164:$AB$238,MATCH($C903,'Prop. prices'!$C$164:$C$238,0),MATCH(Y$818,'Prop. prices'!$I$5:$AB$5,0))</f>
        <v>0</v>
      </c>
      <c r="Z903" s="218">
        <f>INDEX('Prop. prices'!$I$164:$AB$238,MATCH($C903,'Prop. prices'!$C$164:$C$238,0),MATCH(Z$818,'Prop. prices'!$I$5:$AB$5,0))</f>
        <v>0</v>
      </c>
      <c r="AA903" s="218">
        <f>INDEX('Prop. prices'!$I$164:$AB$238,MATCH($C903,'Prop. prices'!$C$164:$C$238,0),MATCH(AA$818,'Prop. prices'!$I$5:$AB$5,0))</f>
        <v>0</v>
      </c>
      <c r="AB903" s="218">
        <f>INDEX('Prop. prices'!$I$164:$AB$238,MATCH($C903,'Prop. prices'!$C$164:$C$238,0),MATCH(AB$818,'Prop. prices'!$I$5:$AB$5,0))</f>
        <v>0</v>
      </c>
      <c r="AC903" s="187"/>
      <c r="AD903" s="19"/>
      <c r="AE903" s="19"/>
      <c r="AF903" s="19"/>
      <c r="AG903" s="19"/>
    </row>
    <row r="904" spans="1:33" hidden="1" outlineLevel="3" x14ac:dyDescent="0.2">
      <c r="A904" s="19"/>
      <c r="B904" s="19"/>
      <c r="C904" s="506">
        <f t="shared" si="200"/>
        <v>0</v>
      </c>
      <c r="D904" s="505">
        <f t="shared" si="200"/>
        <v>0</v>
      </c>
      <c r="E904" s="58"/>
      <c r="F904" s="223"/>
      <c r="G904" s="58"/>
      <c r="H904" s="58"/>
      <c r="I904" s="218">
        <f>INDEX('Prop. prices'!$I$164:$AB$238,MATCH($C904,'Prop. prices'!$C$164:$C$238,0),MATCH(I$818,'Prop. prices'!$I$5:$AB$5,0))</f>
        <v>0</v>
      </c>
      <c r="J904" s="218">
        <f>INDEX('Prop. prices'!$I$164:$AB$238,MATCH($C904,'Prop. prices'!$C$164:$C$238,0),MATCH(J$818,'Prop. prices'!$I$5:$AB$5,0))</f>
        <v>0</v>
      </c>
      <c r="K904" s="218">
        <f>INDEX('Prop. prices'!$I$164:$AB$238,MATCH($C904,'Prop. prices'!$C$164:$C$238,0),MATCH(K$818,'Prop. prices'!$I$5:$AB$5,0))</f>
        <v>0</v>
      </c>
      <c r="L904" s="218">
        <f>INDEX('Prop. prices'!$I$164:$AB$238,MATCH($C904,'Prop. prices'!$C$164:$C$238,0),MATCH(L$818,'Prop. prices'!$I$5:$AB$5,0))</f>
        <v>0</v>
      </c>
      <c r="M904" s="218">
        <f>INDEX('Prop. prices'!$I$164:$AB$238,MATCH($C904,'Prop. prices'!$C$164:$C$238,0),MATCH(M$818,'Prop. prices'!$I$5:$AB$5,0))</f>
        <v>0</v>
      </c>
      <c r="N904" s="218">
        <f>INDEX('Prop. prices'!$I$164:$AB$238,MATCH($C904,'Prop. prices'!$C$164:$C$238,0),MATCH(N$818,'Prop. prices'!$I$5:$AB$5,0))</f>
        <v>0</v>
      </c>
      <c r="O904" s="218">
        <f>INDEX('Prop. prices'!$I$164:$AB$238,MATCH($C904,'Prop. prices'!$C$164:$C$238,0),MATCH(O$818,'Prop. prices'!$I$5:$AB$5,0))</f>
        <v>0</v>
      </c>
      <c r="P904" s="218">
        <f>INDEX('Prop. prices'!$I$164:$AB$238,MATCH($C904,'Prop. prices'!$C$164:$C$238,0),MATCH(P$818,'Prop. prices'!$I$5:$AB$5,0))</f>
        <v>0</v>
      </c>
      <c r="Q904" s="218">
        <f>INDEX('Prop. prices'!$I$164:$AB$238,MATCH($C904,'Prop. prices'!$C$164:$C$238,0),MATCH(Q$818,'Prop. prices'!$I$5:$AB$5,0))</f>
        <v>0</v>
      </c>
      <c r="R904" s="218">
        <f>INDEX('Prop. prices'!$I$164:$AB$238,MATCH($C904,'Prop. prices'!$C$164:$C$238,0),MATCH(R$818,'Prop. prices'!$I$5:$AB$5,0))</f>
        <v>0</v>
      </c>
      <c r="S904" s="218">
        <f>INDEX('Prop. prices'!$I$164:$AB$238,MATCH($C904,'Prop. prices'!$C$164:$C$238,0),MATCH(S$818,'Prop. prices'!$I$5:$AB$5,0))</f>
        <v>0</v>
      </c>
      <c r="T904" s="218">
        <f>INDEX('Prop. prices'!$I$164:$AB$238,MATCH($C904,'Prop. prices'!$C$164:$C$238,0),MATCH(T$818,'Prop. prices'!$I$5:$AB$5,0))</f>
        <v>0</v>
      </c>
      <c r="U904" s="218">
        <f>INDEX('Prop. prices'!$I$164:$AB$238,MATCH($C904,'Prop. prices'!$C$164:$C$238,0),MATCH(U$818,'Prop. prices'!$I$5:$AB$5,0))</f>
        <v>0</v>
      </c>
      <c r="V904" s="218">
        <f>INDEX('Prop. prices'!$I$164:$AB$238,MATCH($C904,'Prop. prices'!$C$164:$C$238,0),MATCH(V$818,'Prop. prices'!$I$5:$AB$5,0))</f>
        <v>0</v>
      </c>
      <c r="W904" s="218">
        <f>INDEX('Prop. prices'!$I$164:$AB$238,MATCH($C904,'Prop. prices'!$C$164:$C$238,0),MATCH(W$818,'Prop. prices'!$I$5:$AB$5,0))</f>
        <v>0</v>
      </c>
      <c r="X904" s="218">
        <f>INDEX('Prop. prices'!$I$164:$AB$238,MATCH($C904,'Prop. prices'!$C$164:$C$238,0),MATCH(X$818,'Prop. prices'!$I$5:$AB$5,0))</f>
        <v>0</v>
      </c>
      <c r="Y904" s="218">
        <f>INDEX('Prop. prices'!$I$164:$AB$238,MATCH($C904,'Prop. prices'!$C$164:$C$238,0),MATCH(Y$818,'Prop. prices'!$I$5:$AB$5,0))</f>
        <v>0</v>
      </c>
      <c r="Z904" s="218">
        <f>INDEX('Prop. prices'!$I$164:$AB$238,MATCH($C904,'Prop. prices'!$C$164:$C$238,0),MATCH(Z$818,'Prop. prices'!$I$5:$AB$5,0))</f>
        <v>0</v>
      </c>
      <c r="AA904" s="218">
        <f>INDEX('Prop. prices'!$I$164:$AB$238,MATCH($C904,'Prop. prices'!$C$164:$C$238,0),MATCH(AA$818,'Prop. prices'!$I$5:$AB$5,0))</f>
        <v>0</v>
      </c>
      <c r="AB904" s="218">
        <f>INDEX('Prop. prices'!$I$164:$AB$238,MATCH($C904,'Prop. prices'!$C$164:$C$238,0),MATCH(AB$818,'Prop. prices'!$I$5:$AB$5,0))</f>
        <v>0</v>
      </c>
      <c r="AC904" s="187"/>
      <c r="AD904" s="19"/>
      <c r="AE904" s="19"/>
      <c r="AF904" s="19"/>
      <c r="AG904" s="19"/>
    </row>
    <row r="905" spans="1:33" hidden="1" outlineLevel="3" x14ac:dyDescent="0.2">
      <c r="A905" s="19"/>
      <c r="B905" s="19"/>
      <c r="C905" s="506">
        <f t="shared" si="200"/>
        <v>0</v>
      </c>
      <c r="D905" s="505">
        <f t="shared" si="200"/>
        <v>0</v>
      </c>
      <c r="E905" s="58"/>
      <c r="F905" s="223"/>
      <c r="G905" s="58"/>
      <c r="H905" s="58"/>
      <c r="I905" s="218">
        <f>INDEX('Prop. prices'!$I$164:$AB$238,MATCH($C905,'Prop. prices'!$C$164:$C$238,0),MATCH(I$818,'Prop. prices'!$I$5:$AB$5,0))</f>
        <v>0</v>
      </c>
      <c r="J905" s="218">
        <f>INDEX('Prop. prices'!$I$164:$AB$238,MATCH($C905,'Prop. prices'!$C$164:$C$238,0),MATCH(J$818,'Prop. prices'!$I$5:$AB$5,0))</f>
        <v>0</v>
      </c>
      <c r="K905" s="218">
        <f>INDEX('Prop. prices'!$I$164:$AB$238,MATCH($C905,'Prop. prices'!$C$164:$C$238,0),MATCH(K$818,'Prop. prices'!$I$5:$AB$5,0))</f>
        <v>0</v>
      </c>
      <c r="L905" s="218">
        <f>INDEX('Prop. prices'!$I$164:$AB$238,MATCH($C905,'Prop. prices'!$C$164:$C$238,0),MATCH(L$818,'Prop. prices'!$I$5:$AB$5,0))</f>
        <v>0</v>
      </c>
      <c r="M905" s="218">
        <f>INDEX('Prop. prices'!$I$164:$AB$238,MATCH($C905,'Prop. prices'!$C$164:$C$238,0),MATCH(M$818,'Prop. prices'!$I$5:$AB$5,0))</f>
        <v>0</v>
      </c>
      <c r="N905" s="218">
        <f>INDEX('Prop. prices'!$I$164:$AB$238,MATCH($C905,'Prop. prices'!$C$164:$C$238,0),MATCH(N$818,'Prop. prices'!$I$5:$AB$5,0))</f>
        <v>0</v>
      </c>
      <c r="O905" s="218">
        <f>INDEX('Prop. prices'!$I$164:$AB$238,MATCH($C905,'Prop. prices'!$C$164:$C$238,0),MATCH(O$818,'Prop. prices'!$I$5:$AB$5,0))</f>
        <v>0</v>
      </c>
      <c r="P905" s="218">
        <f>INDEX('Prop. prices'!$I$164:$AB$238,MATCH($C905,'Prop. prices'!$C$164:$C$238,0),MATCH(P$818,'Prop. prices'!$I$5:$AB$5,0))</f>
        <v>0</v>
      </c>
      <c r="Q905" s="218">
        <f>INDEX('Prop. prices'!$I$164:$AB$238,MATCH($C905,'Prop. prices'!$C$164:$C$238,0),MATCH(Q$818,'Prop. prices'!$I$5:$AB$5,0))</f>
        <v>0</v>
      </c>
      <c r="R905" s="218">
        <f>INDEX('Prop. prices'!$I$164:$AB$238,MATCH($C905,'Prop. prices'!$C$164:$C$238,0),MATCH(R$818,'Prop. prices'!$I$5:$AB$5,0))</f>
        <v>0</v>
      </c>
      <c r="S905" s="218">
        <f>INDEX('Prop. prices'!$I$164:$AB$238,MATCH($C905,'Prop. prices'!$C$164:$C$238,0),MATCH(S$818,'Prop. prices'!$I$5:$AB$5,0))</f>
        <v>0</v>
      </c>
      <c r="T905" s="218">
        <f>INDEX('Prop. prices'!$I$164:$AB$238,MATCH($C905,'Prop. prices'!$C$164:$C$238,0),MATCH(T$818,'Prop. prices'!$I$5:$AB$5,0))</f>
        <v>0</v>
      </c>
      <c r="U905" s="218">
        <f>INDEX('Prop. prices'!$I$164:$AB$238,MATCH($C905,'Prop. prices'!$C$164:$C$238,0),MATCH(U$818,'Prop. prices'!$I$5:$AB$5,0))</f>
        <v>0</v>
      </c>
      <c r="V905" s="218">
        <f>INDEX('Prop. prices'!$I$164:$AB$238,MATCH($C905,'Prop. prices'!$C$164:$C$238,0),MATCH(V$818,'Prop. prices'!$I$5:$AB$5,0))</f>
        <v>0</v>
      </c>
      <c r="W905" s="218">
        <f>INDEX('Prop. prices'!$I$164:$AB$238,MATCH($C905,'Prop. prices'!$C$164:$C$238,0),MATCH(W$818,'Prop. prices'!$I$5:$AB$5,0))</f>
        <v>0</v>
      </c>
      <c r="X905" s="218">
        <f>INDEX('Prop. prices'!$I$164:$AB$238,MATCH($C905,'Prop. prices'!$C$164:$C$238,0),MATCH(X$818,'Prop. prices'!$I$5:$AB$5,0))</f>
        <v>0</v>
      </c>
      <c r="Y905" s="218">
        <f>INDEX('Prop. prices'!$I$164:$AB$238,MATCH($C905,'Prop. prices'!$C$164:$C$238,0),MATCH(Y$818,'Prop. prices'!$I$5:$AB$5,0))</f>
        <v>0</v>
      </c>
      <c r="Z905" s="218">
        <f>INDEX('Prop. prices'!$I$164:$AB$238,MATCH($C905,'Prop. prices'!$C$164:$C$238,0),MATCH(Z$818,'Prop. prices'!$I$5:$AB$5,0))</f>
        <v>0</v>
      </c>
      <c r="AA905" s="218">
        <f>INDEX('Prop. prices'!$I$164:$AB$238,MATCH($C905,'Prop. prices'!$C$164:$C$238,0),MATCH(AA$818,'Prop. prices'!$I$5:$AB$5,0))</f>
        <v>0</v>
      </c>
      <c r="AB905" s="218">
        <f>INDEX('Prop. prices'!$I$164:$AB$238,MATCH($C905,'Prop. prices'!$C$164:$C$238,0),MATCH(AB$818,'Prop. prices'!$I$5:$AB$5,0))</f>
        <v>0</v>
      </c>
      <c r="AC905" s="187"/>
      <c r="AD905" s="19"/>
      <c r="AE905" s="19"/>
      <c r="AF905" s="19"/>
      <c r="AG905" s="19"/>
    </row>
    <row r="906" spans="1:33" hidden="1" outlineLevel="3" x14ac:dyDescent="0.2">
      <c r="A906" s="19"/>
      <c r="B906" s="19"/>
      <c r="C906" s="506">
        <f t="shared" si="200"/>
        <v>0</v>
      </c>
      <c r="D906" s="505">
        <f t="shared" si="200"/>
        <v>0</v>
      </c>
      <c r="E906" s="58"/>
      <c r="F906" s="223"/>
      <c r="G906" s="58"/>
      <c r="H906" s="58"/>
      <c r="I906" s="218">
        <f>INDEX('Prop. prices'!$I$164:$AB$238,MATCH($C906,'Prop. prices'!$C$164:$C$238,0),MATCH(I$818,'Prop. prices'!$I$5:$AB$5,0))</f>
        <v>0</v>
      </c>
      <c r="J906" s="218">
        <f>INDEX('Prop. prices'!$I$164:$AB$238,MATCH($C906,'Prop. prices'!$C$164:$C$238,0),MATCH(J$818,'Prop. prices'!$I$5:$AB$5,0))</f>
        <v>0</v>
      </c>
      <c r="K906" s="218">
        <f>INDEX('Prop. prices'!$I$164:$AB$238,MATCH($C906,'Prop. prices'!$C$164:$C$238,0),MATCH(K$818,'Prop. prices'!$I$5:$AB$5,0))</f>
        <v>0</v>
      </c>
      <c r="L906" s="218">
        <f>INDEX('Prop. prices'!$I$164:$AB$238,MATCH($C906,'Prop. prices'!$C$164:$C$238,0),MATCH(L$818,'Prop. prices'!$I$5:$AB$5,0))</f>
        <v>0</v>
      </c>
      <c r="M906" s="218">
        <f>INDEX('Prop. prices'!$I$164:$AB$238,MATCH($C906,'Prop. prices'!$C$164:$C$238,0),MATCH(M$818,'Prop. prices'!$I$5:$AB$5,0))</f>
        <v>0</v>
      </c>
      <c r="N906" s="218">
        <f>INDEX('Prop. prices'!$I$164:$AB$238,MATCH($C906,'Prop. prices'!$C$164:$C$238,0),MATCH(N$818,'Prop. prices'!$I$5:$AB$5,0))</f>
        <v>0</v>
      </c>
      <c r="O906" s="218">
        <f>INDEX('Prop. prices'!$I$164:$AB$238,MATCH($C906,'Prop. prices'!$C$164:$C$238,0),MATCH(O$818,'Prop. prices'!$I$5:$AB$5,0))</f>
        <v>0</v>
      </c>
      <c r="P906" s="218">
        <f>INDEX('Prop. prices'!$I$164:$AB$238,MATCH($C906,'Prop. prices'!$C$164:$C$238,0),MATCH(P$818,'Prop. prices'!$I$5:$AB$5,0))</f>
        <v>0</v>
      </c>
      <c r="Q906" s="218">
        <f>INDEX('Prop. prices'!$I$164:$AB$238,MATCH($C906,'Prop. prices'!$C$164:$C$238,0),MATCH(Q$818,'Prop. prices'!$I$5:$AB$5,0))</f>
        <v>0</v>
      </c>
      <c r="R906" s="218">
        <f>INDEX('Prop. prices'!$I$164:$AB$238,MATCH($C906,'Prop. prices'!$C$164:$C$238,0),MATCH(R$818,'Prop. prices'!$I$5:$AB$5,0))</f>
        <v>0</v>
      </c>
      <c r="S906" s="218">
        <f>INDEX('Prop. prices'!$I$164:$AB$238,MATCH($C906,'Prop. prices'!$C$164:$C$238,0),MATCH(S$818,'Prop. prices'!$I$5:$AB$5,0))</f>
        <v>0</v>
      </c>
      <c r="T906" s="218">
        <f>INDEX('Prop. prices'!$I$164:$AB$238,MATCH($C906,'Prop. prices'!$C$164:$C$238,0),MATCH(T$818,'Prop. prices'!$I$5:$AB$5,0))</f>
        <v>0</v>
      </c>
      <c r="U906" s="218">
        <f>INDEX('Prop. prices'!$I$164:$AB$238,MATCH($C906,'Prop. prices'!$C$164:$C$238,0),MATCH(U$818,'Prop. prices'!$I$5:$AB$5,0))</f>
        <v>0</v>
      </c>
      <c r="V906" s="218">
        <f>INDEX('Prop. prices'!$I$164:$AB$238,MATCH($C906,'Prop. prices'!$C$164:$C$238,0),MATCH(V$818,'Prop. prices'!$I$5:$AB$5,0))</f>
        <v>0</v>
      </c>
      <c r="W906" s="218">
        <f>INDEX('Prop. prices'!$I$164:$AB$238,MATCH($C906,'Prop. prices'!$C$164:$C$238,0),MATCH(W$818,'Prop. prices'!$I$5:$AB$5,0))</f>
        <v>0</v>
      </c>
      <c r="X906" s="218">
        <f>INDEX('Prop. prices'!$I$164:$AB$238,MATCH($C906,'Prop. prices'!$C$164:$C$238,0),MATCH(X$818,'Prop. prices'!$I$5:$AB$5,0))</f>
        <v>0</v>
      </c>
      <c r="Y906" s="218">
        <f>INDEX('Prop. prices'!$I$164:$AB$238,MATCH($C906,'Prop. prices'!$C$164:$C$238,0),MATCH(Y$818,'Prop. prices'!$I$5:$AB$5,0))</f>
        <v>0</v>
      </c>
      <c r="Z906" s="218">
        <f>INDEX('Prop. prices'!$I$164:$AB$238,MATCH($C906,'Prop. prices'!$C$164:$C$238,0),MATCH(Z$818,'Prop. prices'!$I$5:$AB$5,0))</f>
        <v>0</v>
      </c>
      <c r="AA906" s="218">
        <f>INDEX('Prop. prices'!$I$164:$AB$238,MATCH($C906,'Prop. prices'!$C$164:$C$238,0),MATCH(AA$818,'Prop. prices'!$I$5:$AB$5,0))</f>
        <v>0</v>
      </c>
      <c r="AB906" s="218">
        <f>INDEX('Prop. prices'!$I$164:$AB$238,MATCH($C906,'Prop. prices'!$C$164:$C$238,0),MATCH(AB$818,'Prop. prices'!$I$5:$AB$5,0))</f>
        <v>0</v>
      </c>
      <c r="AC906" s="187"/>
      <c r="AD906" s="19"/>
      <c r="AE906" s="19"/>
      <c r="AF906" s="19"/>
      <c r="AG906" s="19"/>
    </row>
    <row r="907" spans="1:33" hidden="1" outlineLevel="3" x14ac:dyDescent="0.2">
      <c r="A907" s="19"/>
      <c r="B907" s="19"/>
      <c r="C907" s="506">
        <f t="shared" si="200"/>
        <v>0</v>
      </c>
      <c r="D907" s="505">
        <f t="shared" si="200"/>
        <v>0</v>
      </c>
      <c r="E907" s="58"/>
      <c r="F907" s="223"/>
      <c r="G907" s="58"/>
      <c r="H907" s="58"/>
      <c r="I907" s="218">
        <f>INDEX('Prop. prices'!$I$164:$AB$238,MATCH($C907,'Prop. prices'!$C$164:$C$238,0),MATCH(I$818,'Prop. prices'!$I$5:$AB$5,0))</f>
        <v>0</v>
      </c>
      <c r="J907" s="218">
        <f>INDEX('Prop. prices'!$I$164:$AB$238,MATCH($C907,'Prop. prices'!$C$164:$C$238,0),MATCH(J$818,'Prop. prices'!$I$5:$AB$5,0))</f>
        <v>0</v>
      </c>
      <c r="K907" s="218">
        <f>INDEX('Prop. prices'!$I$164:$AB$238,MATCH($C907,'Prop. prices'!$C$164:$C$238,0),MATCH(K$818,'Prop. prices'!$I$5:$AB$5,0))</f>
        <v>0</v>
      </c>
      <c r="L907" s="218">
        <f>INDEX('Prop. prices'!$I$164:$AB$238,MATCH($C907,'Prop. prices'!$C$164:$C$238,0),MATCH(L$818,'Prop. prices'!$I$5:$AB$5,0))</f>
        <v>0</v>
      </c>
      <c r="M907" s="218">
        <f>INDEX('Prop. prices'!$I$164:$AB$238,MATCH($C907,'Prop. prices'!$C$164:$C$238,0),MATCH(M$818,'Prop. prices'!$I$5:$AB$5,0))</f>
        <v>0</v>
      </c>
      <c r="N907" s="218">
        <f>INDEX('Prop. prices'!$I$164:$AB$238,MATCH($C907,'Prop. prices'!$C$164:$C$238,0),MATCH(N$818,'Prop. prices'!$I$5:$AB$5,0))</f>
        <v>0</v>
      </c>
      <c r="O907" s="218">
        <f>INDEX('Prop. prices'!$I$164:$AB$238,MATCH($C907,'Prop. prices'!$C$164:$C$238,0),MATCH(O$818,'Prop. prices'!$I$5:$AB$5,0))</f>
        <v>0</v>
      </c>
      <c r="P907" s="218">
        <f>INDEX('Prop. prices'!$I$164:$AB$238,MATCH($C907,'Prop. prices'!$C$164:$C$238,0),MATCH(P$818,'Prop. prices'!$I$5:$AB$5,0))</f>
        <v>0</v>
      </c>
      <c r="Q907" s="218">
        <f>INDEX('Prop. prices'!$I$164:$AB$238,MATCH($C907,'Prop. prices'!$C$164:$C$238,0),MATCH(Q$818,'Prop. prices'!$I$5:$AB$5,0))</f>
        <v>0</v>
      </c>
      <c r="R907" s="218">
        <f>INDEX('Prop. prices'!$I$164:$AB$238,MATCH($C907,'Prop. prices'!$C$164:$C$238,0),MATCH(R$818,'Prop. prices'!$I$5:$AB$5,0))</f>
        <v>0</v>
      </c>
      <c r="S907" s="218">
        <f>INDEX('Prop. prices'!$I$164:$AB$238,MATCH($C907,'Prop. prices'!$C$164:$C$238,0),MATCH(S$818,'Prop. prices'!$I$5:$AB$5,0))</f>
        <v>0</v>
      </c>
      <c r="T907" s="218">
        <f>INDEX('Prop. prices'!$I$164:$AB$238,MATCH($C907,'Prop. prices'!$C$164:$C$238,0),MATCH(T$818,'Prop. prices'!$I$5:$AB$5,0))</f>
        <v>0</v>
      </c>
      <c r="U907" s="218">
        <f>INDEX('Prop. prices'!$I$164:$AB$238,MATCH($C907,'Prop. prices'!$C$164:$C$238,0),MATCH(U$818,'Prop. prices'!$I$5:$AB$5,0))</f>
        <v>0</v>
      </c>
      <c r="V907" s="218">
        <f>INDEX('Prop. prices'!$I$164:$AB$238,MATCH($C907,'Prop. prices'!$C$164:$C$238,0),MATCH(V$818,'Prop. prices'!$I$5:$AB$5,0))</f>
        <v>0</v>
      </c>
      <c r="W907" s="218">
        <f>INDEX('Prop. prices'!$I$164:$AB$238,MATCH($C907,'Prop. prices'!$C$164:$C$238,0),MATCH(W$818,'Prop. prices'!$I$5:$AB$5,0))</f>
        <v>0</v>
      </c>
      <c r="X907" s="218">
        <f>INDEX('Prop. prices'!$I$164:$AB$238,MATCH($C907,'Prop. prices'!$C$164:$C$238,0),MATCH(X$818,'Prop. prices'!$I$5:$AB$5,0))</f>
        <v>0</v>
      </c>
      <c r="Y907" s="218">
        <f>INDEX('Prop. prices'!$I$164:$AB$238,MATCH($C907,'Prop. prices'!$C$164:$C$238,0),MATCH(Y$818,'Prop. prices'!$I$5:$AB$5,0))</f>
        <v>0</v>
      </c>
      <c r="Z907" s="218">
        <f>INDEX('Prop. prices'!$I$164:$AB$238,MATCH($C907,'Prop. prices'!$C$164:$C$238,0),MATCH(Z$818,'Prop. prices'!$I$5:$AB$5,0))</f>
        <v>0</v>
      </c>
      <c r="AA907" s="218">
        <f>INDEX('Prop. prices'!$I$164:$AB$238,MATCH($C907,'Prop. prices'!$C$164:$C$238,0),MATCH(AA$818,'Prop. prices'!$I$5:$AB$5,0))</f>
        <v>0</v>
      </c>
      <c r="AB907" s="218">
        <f>INDEX('Prop. prices'!$I$164:$AB$238,MATCH($C907,'Prop. prices'!$C$164:$C$238,0),MATCH(AB$818,'Prop. prices'!$I$5:$AB$5,0))</f>
        <v>0</v>
      </c>
      <c r="AC907" s="187"/>
      <c r="AD907" s="19"/>
      <c r="AE907" s="19"/>
      <c r="AF907" s="19"/>
      <c r="AG907" s="19"/>
    </row>
    <row r="908" spans="1:33" hidden="1" outlineLevel="3" x14ac:dyDescent="0.2">
      <c r="A908" s="19"/>
      <c r="B908" s="19"/>
      <c r="C908" s="506">
        <f t="shared" si="200"/>
        <v>0</v>
      </c>
      <c r="D908" s="505">
        <f t="shared" si="200"/>
        <v>0</v>
      </c>
      <c r="E908" s="58"/>
      <c r="F908" s="223"/>
      <c r="G908" s="58"/>
      <c r="H908" s="58"/>
      <c r="I908" s="218">
        <f>INDEX('Prop. prices'!$I$164:$AB$238,MATCH($C908,'Prop. prices'!$C$164:$C$238,0),MATCH(I$818,'Prop. prices'!$I$5:$AB$5,0))</f>
        <v>0</v>
      </c>
      <c r="J908" s="218">
        <f>INDEX('Prop. prices'!$I$164:$AB$238,MATCH($C908,'Prop. prices'!$C$164:$C$238,0),MATCH(J$818,'Prop. prices'!$I$5:$AB$5,0))</f>
        <v>0</v>
      </c>
      <c r="K908" s="218">
        <f>INDEX('Prop. prices'!$I$164:$AB$238,MATCH($C908,'Prop. prices'!$C$164:$C$238,0),MATCH(K$818,'Prop. prices'!$I$5:$AB$5,0))</f>
        <v>0</v>
      </c>
      <c r="L908" s="218">
        <f>INDEX('Prop. prices'!$I$164:$AB$238,MATCH($C908,'Prop. prices'!$C$164:$C$238,0),MATCH(L$818,'Prop. prices'!$I$5:$AB$5,0))</f>
        <v>0</v>
      </c>
      <c r="M908" s="218">
        <f>INDEX('Prop. prices'!$I$164:$AB$238,MATCH($C908,'Prop. prices'!$C$164:$C$238,0),MATCH(M$818,'Prop. prices'!$I$5:$AB$5,0))</f>
        <v>0</v>
      </c>
      <c r="N908" s="218">
        <f>INDEX('Prop. prices'!$I$164:$AB$238,MATCH($C908,'Prop. prices'!$C$164:$C$238,0),MATCH(N$818,'Prop. prices'!$I$5:$AB$5,0))</f>
        <v>0</v>
      </c>
      <c r="O908" s="218">
        <f>INDEX('Prop. prices'!$I$164:$AB$238,MATCH($C908,'Prop. prices'!$C$164:$C$238,0),MATCH(O$818,'Prop. prices'!$I$5:$AB$5,0))</f>
        <v>0</v>
      </c>
      <c r="P908" s="218">
        <f>INDEX('Prop. prices'!$I$164:$AB$238,MATCH($C908,'Prop. prices'!$C$164:$C$238,0),MATCH(P$818,'Prop. prices'!$I$5:$AB$5,0))</f>
        <v>0</v>
      </c>
      <c r="Q908" s="218">
        <f>INDEX('Prop. prices'!$I$164:$AB$238,MATCH($C908,'Prop. prices'!$C$164:$C$238,0),MATCH(Q$818,'Prop. prices'!$I$5:$AB$5,0))</f>
        <v>0</v>
      </c>
      <c r="R908" s="218">
        <f>INDEX('Prop. prices'!$I$164:$AB$238,MATCH($C908,'Prop. prices'!$C$164:$C$238,0),MATCH(R$818,'Prop. prices'!$I$5:$AB$5,0))</f>
        <v>0</v>
      </c>
      <c r="S908" s="218">
        <f>INDEX('Prop. prices'!$I$164:$AB$238,MATCH($C908,'Prop. prices'!$C$164:$C$238,0),MATCH(S$818,'Prop. prices'!$I$5:$AB$5,0))</f>
        <v>0</v>
      </c>
      <c r="T908" s="218">
        <f>INDEX('Prop. prices'!$I$164:$AB$238,MATCH($C908,'Prop. prices'!$C$164:$C$238,0),MATCH(T$818,'Prop. prices'!$I$5:$AB$5,0))</f>
        <v>0</v>
      </c>
      <c r="U908" s="218">
        <f>INDEX('Prop. prices'!$I$164:$AB$238,MATCH($C908,'Prop. prices'!$C$164:$C$238,0),MATCH(U$818,'Prop. prices'!$I$5:$AB$5,0))</f>
        <v>0</v>
      </c>
      <c r="V908" s="218">
        <f>INDEX('Prop. prices'!$I$164:$AB$238,MATCH($C908,'Prop. prices'!$C$164:$C$238,0),MATCH(V$818,'Prop. prices'!$I$5:$AB$5,0))</f>
        <v>0</v>
      </c>
      <c r="W908" s="218">
        <f>INDEX('Prop. prices'!$I$164:$AB$238,MATCH($C908,'Prop. prices'!$C$164:$C$238,0),MATCH(W$818,'Prop. prices'!$I$5:$AB$5,0))</f>
        <v>0</v>
      </c>
      <c r="X908" s="218">
        <f>INDEX('Prop. prices'!$I$164:$AB$238,MATCH($C908,'Prop. prices'!$C$164:$C$238,0),MATCH(X$818,'Prop. prices'!$I$5:$AB$5,0))</f>
        <v>0</v>
      </c>
      <c r="Y908" s="218">
        <f>INDEX('Prop. prices'!$I$164:$AB$238,MATCH($C908,'Prop. prices'!$C$164:$C$238,0),MATCH(Y$818,'Prop. prices'!$I$5:$AB$5,0))</f>
        <v>0</v>
      </c>
      <c r="Z908" s="218">
        <f>INDEX('Prop. prices'!$I$164:$AB$238,MATCH($C908,'Prop. prices'!$C$164:$C$238,0),MATCH(Z$818,'Prop. prices'!$I$5:$AB$5,0))</f>
        <v>0</v>
      </c>
      <c r="AA908" s="218">
        <f>INDEX('Prop. prices'!$I$164:$AB$238,MATCH($C908,'Prop. prices'!$C$164:$C$238,0),MATCH(AA$818,'Prop. prices'!$I$5:$AB$5,0))</f>
        <v>0</v>
      </c>
      <c r="AB908" s="218">
        <f>INDEX('Prop. prices'!$I$164:$AB$238,MATCH($C908,'Prop. prices'!$C$164:$C$238,0),MATCH(AB$818,'Prop. prices'!$I$5:$AB$5,0))</f>
        <v>0</v>
      </c>
      <c r="AC908" s="187"/>
      <c r="AD908" s="19"/>
      <c r="AE908" s="19"/>
      <c r="AF908" s="19"/>
      <c r="AG908" s="19"/>
    </row>
    <row r="909" spans="1:33" hidden="1" outlineLevel="3" x14ac:dyDescent="0.2">
      <c r="A909" s="19"/>
      <c r="B909" s="19"/>
      <c r="C909" s="506">
        <f t="shared" si="200"/>
        <v>0</v>
      </c>
      <c r="D909" s="505">
        <f t="shared" si="200"/>
        <v>0</v>
      </c>
      <c r="E909" s="58"/>
      <c r="F909" s="223"/>
      <c r="G909" s="58"/>
      <c r="H909" s="58"/>
      <c r="I909" s="218">
        <f>INDEX('Prop. prices'!$I$164:$AB$238,MATCH($C909,'Prop. prices'!$C$164:$C$238,0),MATCH(I$818,'Prop. prices'!$I$5:$AB$5,0))</f>
        <v>0</v>
      </c>
      <c r="J909" s="218">
        <f>INDEX('Prop. prices'!$I$164:$AB$238,MATCH($C909,'Prop. prices'!$C$164:$C$238,0),MATCH(J$818,'Prop. prices'!$I$5:$AB$5,0))</f>
        <v>0</v>
      </c>
      <c r="K909" s="218">
        <f>INDEX('Prop. prices'!$I$164:$AB$238,MATCH($C909,'Prop. prices'!$C$164:$C$238,0),MATCH(K$818,'Prop. prices'!$I$5:$AB$5,0))</f>
        <v>0</v>
      </c>
      <c r="L909" s="218">
        <f>INDEX('Prop. prices'!$I$164:$AB$238,MATCH($C909,'Prop. prices'!$C$164:$C$238,0),MATCH(L$818,'Prop. prices'!$I$5:$AB$5,0))</f>
        <v>0</v>
      </c>
      <c r="M909" s="218">
        <f>INDEX('Prop. prices'!$I$164:$AB$238,MATCH($C909,'Prop. prices'!$C$164:$C$238,0),MATCH(M$818,'Prop. prices'!$I$5:$AB$5,0))</f>
        <v>0</v>
      </c>
      <c r="N909" s="218">
        <f>INDEX('Prop. prices'!$I$164:$AB$238,MATCH($C909,'Prop. prices'!$C$164:$C$238,0),MATCH(N$818,'Prop. prices'!$I$5:$AB$5,0))</f>
        <v>0</v>
      </c>
      <c r="O909" s="218">
        <f>INDEX('Prop. prices'!$I$164:$AB$238,MATCH($C909,'Prop. prices'!$C$164:$C$238,0),MATCH(O$818,'Prop. prices'!$I$5:$AB$5,0))</f>
        <v>0</v>
      </c>
      <c r="P909" s="218">
        <f>INDEX('Prop. prices'!$I$164:$AB$238,MATCH($C909,'Prop. prices'!$C$164:$C$238,0),MATCH(P$818,'Prop. prices'!$I$5:$AB$5,0))</f>
        <v>0</v>
      </c>
      <c r="Q909" s="218">
        <f>INDEX('Prop. prices'!$I$164:$AB$238,MATCH($C909,'Prop. prices'!$C$164:$C$238,0),MATCH(Q$818,'Prop. prices'!$I$5:$AB$5,0))</f>
        <v>0</v>
      </c>
      <c r="R909" s="218">
        <f>INDEX('Prop. prices'!$I$164:$AB$238,MATCH($C909,'Prop. prices'!$C$164:$C$238,0),MATCH(R$818,'Prop. prices'!$I$5:$AB$5,0))</f>
        <v>0</v>
      </c>
      <c r="S909" s="218">
        <f>INDEX('Prop. prices'!$I$164:$AB$238,MATCH($C909,'Prop. prices'!$C$164:$C$238,0),MATCH(S$818,'Prop. prices'!$I$5:$AB$5,0))</f>
        <v>0</v>
      </c>
      <c r="T909" s="218">
        <f>INDEX('Prop. prices'!$I$164:$AB$238,MATCH($C909,'Prop. prices'!$C$164:$C$238,0),MATCH(T$818,'Prop. prices'!$I$5:$AB$5,0))</f>
        <v>0</v>
      </c>
      <c r="U909" s="218">
        <f>INDEX('Prop. prices'!$I$164:$AB$238,MATCH($C909,'Prop. prices'!$C$164:$C$238,0),MATCH(U$818,'Prop. prices'!$I$5:$AB$5,0))</f>
        <v>0</v>
      </c>
      <c r="V909" s="218">
        <f>INDEX('Prop. prices'!$I$164:$AB$238,MATCH($C909,'Prop. prices'!$C$164:$C$238,0),MATCH(V$818,'Prop. prices'!$I$5:$AB$5,0))</f>
        <v>0</v>
      </c>
      <c r="W909" s="218">
        <f>INDEX('Prop. prices'!$I$164:$AB$238,MATCH($C909,'Prop. prices'!$C$164:$C$238,0),MATCH(W$818,'Prop. prices'!$I$5:$AB$5,0))</f>
        <v>0</v>
      </c>
      <c r="X909" s="218">
        <f>INDEX('Prop. prices'!$I$164:$AB$238,MATCH($C909,'Prop. prices'!$C$164:$C$238,0),MATCH(X$818,'Prop. prices'!$I$5:$AB$5,0))</f>
        <v>0</v>
      </c>
      <c r="Y909" s="218">
        <f>INDEX('Prop. prices'!$I$164:$AB$238,MATCH($C909,'Prop. prices'!$C$164:$C$238,0),MATCH(Y$818,'Prop. prices'!$I$5:$AB$5,0))</f>
        <v>0</v>
      </c>
      <c r="Z909" s="218">
        <f>INDEX('Prop. prices'!$I$164:$AB$238,MATCH($C909,'Prop. prices'!$C$164:$C$238,0),MATCH(Z$818,'Prop. prices'!$I$5:$AB$5,0))</f>
        <v>0</v>
      </c>
      <c r="AA909" s="218">
        <f>INDEX('Prop. prices'!$I$164:$AB$238,MATCH($C909,'Prop. prices'!$C$164:$C$238,0),MATCH(AA$818,'Prop. prices'!$I$5:$AB$5,0))</f>
        <v>0</v>
      </c>
      <c r="AB909" s="218">
        <f>INDEX('Prop. prices'!$I$164:$AB$238,MATCH($C909,'Prop. prices'!$C$164:$C$238,0),MATCH(AB$818,'Prop. prices'!$I$5:$AB$5,0))</f>
        <v>0</v>
      </c>
      <c r="AC909" s="187"/>
      <c r="AD909" s="19"/>
      <c r="AE909" s="19"/>
      <c r="AF909" s="19"/>
      <c r="AG909" s="19"/>
    </row>
    <row r="910" spans="1:33" hidden="1" outlineLevel="3" x14ac:dyDescent="0.2">
      <c r="A910" s="19"/>
      <c r="B910" s="19"/>
      <c r="C910" s="506">
        <f t="shared" si="200"/>
        <v>0</v>
      </c>
      <c r="D910" s="505">
        <f t="shared" si="200"/>
        <v>0</v>
      </c>
      <c r="E910" s="58"/>
      <c r="F910" s="223"/>
      <c r="G910" s="58"/>
      <c r="H910" s="58"/>
      <c r="I910" s="218">
        <f>INDEX('Prop. prices'!$I$164:$AB$238,MATCH($C910,'Prop. prices'!$C$164:$C$238,0),MATCH(I$818,'Prop. prices'!$I$5:$AB$5,0))</f>
        <v>0</v>
      </c>
      <c r="J910" s="218">
        <f>INDEX('Prop. prices'!$I$164:$AB$238,MATCH($C910,'Prop. prices'!$C$164:$C$238,0),MATCH(J$818,'Prop. prices'!$I$5:$AB$5,0))</f>
        <v>0</v>
      </c>
      <c r="K910" s="218">
        <f>INDEX('Prop. prices'!$I$164:$AB$238,MATCH($C910,'Prop. prices'!$C$164:$C$238,0),MATCH(K$818,'Prop. prices'!$I$5:$AB$5,0))</f>
        <v>0</v>
      </c>
      <c r="L910" s="218">
        <f>INDEX('Prop. prices'!$I$164:$AB$238,MATCH($C910,'Prop. prices'!$C$164:$C$238,0),MATCH(L$818,'Prop. prices'!$I$5:$AB$5,0))</f>
        <v>0</v>
      </c>
      <c r="M910" s="218">
        <f>INDEX('Prop. prices'!$I$164:$AB$238,MATCH($C910,'Prop. prices'!$C$164:$C$238,0),MATCH(M$818,'Prop. prices'!$I$5:$AB$5,0))</f>
        <v>0</v>
      </c>
      <c r="N910" s="218">
        <f>INDEX('Prop. prices'!$I$164:$AB$238,MATCH($C910,'Prop. prices'!$C$164:$C$238,0),MATCH(N$818,'Prop. prices'!$I$5:$AB$5,0))</f>
        <v>0</v>
      </c>
      <c r="O910" s="218">
        <f>INDEX('Prop. prices'!$I$164:$AB$238,MATCH($C910,'Prop. prices'!$C$164:$C$238,0),MATCH(O$818,'Prop. prices'!$I$5:$AB$5,0))</f>
        <v>0</v>
      </c>
      <c r="P910" s="218">
        <f>INDEX('Prop. prices'!$I$164:$AB$238,MATCH($C910,'Prop. prices'!$C$164:$C$238,0),MATCH(P$818,'Prop. prices'!$I$5:$AB$5,0))</f>
        <v>0</v>
      </c>
      <c r="Q910" s="218">
        <f>INDEX('Prop. prices'!$I$164:$AB$238,MATCH($C910,'Prop. prices'!$C$164:$C$238,0),MATCH(Q$818,'Prop. prices'!$I$5:$AB$5,0))</f>
        <v>0</v>
      </c>
      <c r="R910" s="218">
        <f>INDEX('Prop. prices'!$I$164:$AB$238,MATCH($C910,'Prop. prices'!$C$164:$C$238,0),MATCH(R$818,'Prop. prices'!$I$5:$AB$5,0))</f>
        <v>0</v>
      </c>
      <c r="S910" s="218">
        <f>INDEX('Prop. prices'!$I$164:$AB$238,MATCH($C910,'Prop. prices'!$C$164:$C$238,0),MATCH(S$818,'Prop. prices'!$I$5:$AB$5,0))</f>
        <v>0</v>
      </c>
      <c r="T910" s="218">
        <f>INDEX('Prop. prices'!$I$164:$AB$238,MATCH($C910,'Prop. prices'!$C$164:$C$238,0),MATCH(T$818,'Prop. prices'!$I$5:$AB$5,0))</f>
        <v>0</v>
      </c>
      <c r="U910" s="218">
        <f>INDEX('Prop. prices'!$I$164:$AB$238,MATCH($C910,'Prop. prices'!$C$164:$C$238,0),MATCH(U$818,'Prop. prices'!$I$5:$AB$5,0))</f>
        <v>0</v>
      </c>
      <c r="V910" s="218">
        <f>INDEX('Prop. prices'!$I$164:$AB$238,MATCH($C910,'Prop. prices'!$C$164:$C$238,0),MATCH(V$818,'Prop. prices'!$I$5:$AB$5,0))</f>
        <v>0</v>
      </c>
      <c r="W910" s="218">
        <f>INDEX('Prop. prices'!$I$164:$AB$238,MATCH($C910,'Prop. prices'!$C$164:$C$238,0),MATCH(W$818,'Prop. prices'!$I$5:$AB$5,0))</f>
        <v>0</v>
      </c>
      <c r="X910" s="218">
        <f>INDEX('Prop. prices'!$I$164:$AB$238,MATCH($C910,'Prop. prices'!$C$164:$C$238,0),MATCH(X$818,'Prop. prices'!$I$5:$AB$5,0))</f>
        <v>0</v>
      </c>
      <c r="Y910" s="218">
        <f>INDEX('Prop. prices'!$I$164:$AB$238,MATCH($C910,'Prop. prices'!$C$164:$C$238,0),MATCH(Y$818,'Prop. prices'!$I$5:$AB$5,0))</f>
        <v>0</v>
      </c>
      <c r="Z910" s="218">
        <f>INDEX('Prop. prices'!$I$164:$AB$238,MATCH($C910,'Prop. prices'!$C$164:$C$238,0),MATCH(Z$818,'Prop. prices'!$I$5:$AB$5,0))</f>
        <v>0</v>
      </c>
      <c r="AA910" s="218">
        <f>INDEX('Prop. prices'!$I$164:$AB$238,MATCH($C910,'Prop. prices'!$C$164:$C$238,0),MATCH(AA$818,'Prop. prices'!$I$5:$AB$5,0))</f>
        <v>0</v>
      </c>
      <c r="AB910" s="218">
        <f>INDEX('Prop. prices'!$I$164:$AB$238,MATCH($C910,'Prop. prices'!$C$164:$C$238,0),MATCH(AB$818,'Prop. prices'!$I$5:$AB$5,0))</f>
        <v>0</v>
      </c>
      <c r="AC910" s="187"/>
      <c r="AD910" s="19"/>
      <c r="AE910" s="19"/>
      <c r="AF910" s="19"/>
      <c r="AG910" s="19"/>
    </row>
    <row r="911" spans="1:33" hidden="1" outlineLevel="3" x14ac:dyDescent="0.2">
      <c r="A911" s="19"/>
      <c r="B911" s="19"/>
      <c r="C911" s="506">
        <f t="shared" si="200"/>
        <v>0</v>
      </c>
      <c r="D911" s="505">
        <f t="shared" si="200"/>
        <v>0</v>
      </c>
      <c r="E911" s="58"/>
      <c r="F911" s="223"/>
      <c r="G911" s="58"/>
      <c r="H911" s="58"/>
      <c r="I911" s="218">
        <f>INDEX('Prop. prices'!$I$164:$AB$238,MATCH($C911,'Prop. prices'!$C$164:$C$238,0),MATCH(I$818,'Prop. prices'!$I$5:$AB$5,0))</f>
        <v>0</v>
      </c>
      <c r="J911" s="218">
        <f>INDEX('Prop. prices'!$I$164:$AB$238,MATCH($C911,'Prop. prices'!$C$164:$C$238,0),MATCH(J$818,'Prop. prices'!$I$5:$AB$5,0))</f>
        <v>0</v>
      </c>
      <c r="K911" s="218">
        <f>INDEX('Prop. prices'!$I$164:$AB$238,MATCH($C911,'Prop. prices'!$C$164:$C$238,0),MATCH(K$818,'Prop. prices'!$I$5:$AB$5,0))</f>
        <v>0</v>
      </c>
      <c r="L911" s="218">
        <f>INDEX('Prop. prices'!$I$164:$AB$238,MATCH($C911,'Prop. prices'!$C$164:$C$238,0),MATCH(L$818,'Prop. prices'!$I$5:$AB$5,0))</f>
        <v>0</v>
      </c>
      <c r="M911" s="218">
        <f>INDEX('Prop. prices'!$I$164:$AB$238,MATCH($C911,'Prop. prices'!$C$164:$C$238,0),MATCH(M$818,'Prop. prices'!$I$5:$AB$5,0))</f>
        <v>0</v>
      </c>
      <c r="N911" s="218">
        <f>INDEX('Prop. prices'!$I$164:$AB$238,MATCH($C911,'Prop. prices'!$C$164:$C$238,0),MATCH(N$818,'Prop. prices'!$I$5:$AB$5,0))</f>
        <v>0</v>
      </c>
      <c r="O911" s="218">
        <f>INDEX('Prop. prices'!$I$164:$AB$238,MATCH($C911,'Prop. prices'!$C$164:$C$238,0),MATCH(O$818,'Prop. prices'!$I$5:$AB$5,0))</f>
        <v>0</v>
      </c>
      <c r="P911" s="218">
        <f>INDEX('Prop. prices'!$I$164:$AB$238,MATCH($C911,'Prop. prices'!$C$164:$C$238,0),MATCH(P$818,'Prop. prices'!$I$5:$AB$5,0))</f>
        <v>0</v>
      </c>
      <c r="Q911" s="218">
        <f>INDEX('Prop. prices'!$I$164:$AB$238,MATCH($C911,'Prop. prices'!$C$164:$C$238,0),MATCH(Q$818,'Prop. prices'!$I$5:$AB$5,0))</f>
        <v>0</v>
      </c>
      <c r="R911" s="218">
        <f>INDEX('Prop. prices'!$I$164:$AB$238,MATCH($C911,'Prop. prices'!$C$164:$C$238,0),MATCH(R$818,'Prop. prices'!$I$5:$AB$5,0))</f>
        <v>0</v>
      </c>
      <c r="S911" s="218">
        <f>INDEX('Prop. prices'!$I$164:$AB$238,MATCH($C911,'Prop. prices'!$C$164:$C$238,0),MATCH(S$818,'Prop. prices'!$I$5:$AB$5,0))</f>
        <v>0</v>
      </c>
      <c r="T911" s="218">
        <f>INDEX('Prop. prices'!$I$164:$AB$238,MATCH($C911,'Prop. prices'!$C$164:$C$238,0),MATCH(T$818,'Prop. prices'!$I$5:$AB$5,0))</f>
        <v>0</v>
      </c>
      <c r="U911" s="218">
        <f>INDEX('Prop. prices'!$I$164:$AB$238,MATCH($C911,'Prop. prices'!$C$164:$C$238,0),MATCH(U$818,'Prop. prices'!$I$5:$AB$5,0))</f>
        <v>0</v>
      </c>
      <c r="V911" s="218">
        <f>INDEX('Prop. prices'!$I$164:$AB$238,MATCH($C911,'Prop. prices'!$C$164:$C$238,0),MATCH(V$818,'Prop. prices'!$I$5:$AB$5,0))</f>
        <v>0</v>
      </c>
      <c r="W911" s="218">
        <f>INDEX('Prop. prices'!$I$164:$AB$238,MATCH($C911,'Prop. prices'!$C$164:$C$238,0),MATCH(W$818,'Prop. prices'!$I$5:$AB$5,0))</f>
        <v>0</v>
      </c>
      <c r="X911" s="218">
        <f>INDEX('Prop. prices'!$I$164:$AB$238,MATCH($C911,'Prop. prices'!$C$164:$C$238,0),MATCH(X$818,'Prop. prices'!$I$5:$AB$5,0))</f>
        <v>0</v>
      </c>
      <c r="Y911" s="218">
        <f>INDEX('Prop. prices'!$I$164:$AB$238,MATCH($C911,'Prop. prices'!$C$164:$C$238,0),MATCH(Y$818,'Prop. prices'!$I$5:$AB$5,0))</f>
        <v>0</v>
      </c>
      <c r="Z911" s="218">
        <f>INDEX('Prop. prices'!$I$164:$AB$238,MATCH($C911,'Prop. prices'!$C$164:$C$238,0),MATCH(Z$818,'Prop. prices'!$I$5:$AB$5,0))</f>
        <v>0</v>
      </c>
      <c r="AA911" s="218">
        <f>INDEX('Prop. prices'!$I$164:$AB$238,MATCH($C911,'Prop. prices'!$C$164:$C$238,0),MATCH(AA$818,'Prop. prices'!$I$5:$AB$5,0))</f>
        <v>0</v>
      </c>
      <c r="AB911" s="218">
        <f>INDEX('Prop. prices'!$I$164:$AB$238,MATCH($C911,'Prop. prices'!$C$164:$C$238,0),MATCH(AB$818,'Prop. prices'!$I$5:$AB$5,0))</f>
        <v>0</v>
      </c>
      <c r="AC911" s="187"/>
      <c r="AD911" s="19"/>
      <c r="AE911" s="19"/>
      <c r="AF911" s="19"/>
      <c r="AG911" s="19"/>
    </row>
    <row r="912" spans="1:33" hidden="1" outlineLevel="3" x14ac:dyDescent="0.2">
      <c r="A912" s="19"/>
      <c r="B912" s="19"/>
      <c r="C912" s="506">
        <f t="shared" si="200"/>
        <v>0</v>
      </c>
      <c r="D912" s="505">
        <f t="shared" si="200"/>
        <v>0</v>
      </c>
      <c r="E912" s="58"/>
      <c r="F912" s="223"/>
      <c r="G912" s="58"/>
      <c r="H912" s="58"/>
      <c r="I912" s="218">
        <f>INDEX('Prop. prices'!$I$164:$AB$238,MATCH($C912,'Prop. prices'!$C$164:$C$238,0),MATCH(I$818,'Prop. prices'!$I$5:$AB$5,0))</f>
        <v>0</v>
      </c>
      <c r="J912" s="218">
        <f>INDEX('Prop. prices'!$I$164:$AB$238,MATCH($C912,'Prop. prices'!$C$164:$C$238,0),MATCH(J$818,'Prop. prices'!$I$5:$AB$5,0))</f>
        <v>0</v>
      </c>
      <c r="K912" s="218">
        <f>INDEX('Prop. prices'!$I$164:$AB$238,MATCH($C912,'Prop. prices'!$C$164:$C$238,0),MATCH(K$818,'Prop. prices'!$I$5:$AB$5,0))</f>
        <v>0</v>
      </c>
      <c r="L912" s="218">
        <f>INDEX('Prop. prices'!$I$164:$AB$238,MATCH($C912,'Prop. prices'!$C$164:$C$238,0),MATCH(L$818,'Prop. prices'!$I$5:$AB$5,0))</f>
        <v>0</v>
      </c>
      <c r="M912" s="218">
        <f>INDEX('Prop. prices'!$I$164:$AB$238,MATCH($C912,'Prop. prices'!$C$164:$C$238,0),MATCH(M$818,'Prop. prices'!$I$5:$AB$5,0))</f>
        <v>0</v>
      </c>
      <c r="N912" s="218">
        <f>INDEX('Prop. prices'!$I$164:$AB$238,MATCH($C912,'Prop. prices'!$C$164:$C$238,0),MATCH(N$818,'Prop. prices'!$I$5:$AB$5,0))</f>
        <v>0</v>
      </c>
      <c r="O912" s="218">
        <f>INDEX('Prop. prices'!$I$164:$AB$238,MATCH($C912,'Prop. prices'!$C$164:$C$238,0),MATCH(O$818,'Prop. prices'!$I$5:$AB$5,0))</f>
        <v>0</v>
      </c>
      <c r="P912" s="218">
        <f>INDEX('Prop. prices'!$I$164:$AB$238,MATCH($C912,'Prop. prices'!$C$164:$C$238,0),MATCH(P$818,'Prop. prices'!$I$5:$AB$5,0))</f>
        <v>0</v>
      </c>
      <c r="Q912" s="218">
        <f>INDEX('Prop. prices'!$I$164:$AB$238,MATCH($C912,'Prop. prices'!$C$164:$C$238,0),MATCH(Q$818,'Prop. prices'!$I$5:$AB$5,0))</f>
        <v>0</v>
      </c>
      <c r="R912" s="218">
        <f>INDEX('Prop. prices'!$I$164:$AB$238,MATCH($C912,'Prop. prices'!$C$164:$C$238,0),MATCH(R$818,'Prop. prices'!$I$5:$AB$5,0))</f>
        <v>0</v>
      </c>
      <c r="S912" s="218">
        <f>INDEX('Prop. prices'!$I$164:$AB$238,MATCH($C912,'Prop. prices'!$C$164:$C$238,0),MATCH(S$818,'Prop. prices'!$I$5:$AB$5,0))</f>
        <v>0</v>
      </c>
      <c r="T912" s="218">
        <f>INDEX('Prop. prices'!$I$164:$AB$238,MATCH($C912,'Prop. prices'!$C$164:$C$238,0),MATCH(T$818,'Prop. prices'!$I$5:$AB$5,0))</f>
        <v>0</v>
      </c>
      <c r="U912" s="218">
        <f>INDEX('Prop. prices'!$I$164:$AB$238,MATCH($C912,'Prop. prices'!$C$164:$C$238,0),MATCH(U$818,'Prop. prices'!$I$5:$AB$5,0))</f>
        <v>0</v>
      </c>
      <c r="V912" s="218">
        <f>INDEX('Prop. prices'!$I$164:$AB$238,MATCH($C912,'Prop. prices'!$C$164:$C$238,0),MATCH(V$818,'Prop. prices'!$I$5:$AB$5,0))</f>
        <v>0</v>
      </c>
      <c r="W912" s="218">
        <f>INDEX('Prop. prices'!$I$164:$AB$238,MATCH($C912,'Prop. prices'!$C$164:$C$238,0),MATCH(W$818,'Prop. prices'!$I$5:$AB$5,0))</f>
        <v>0</v>
      </c>
      <c r="X912" s="218">
        <f>INDEX('Prop. prices'!$I$164:$AB$238,MATCH($C912,'Prop. prices'!$C$164:$C$238,0),MATCH(X$818,'Prop. prices'!$I$5:$AB$5,0))</f>
        <v>0</v>
      </c>
      <c r="Y912" s="218">
        <f>INDEX('Prop. prices'!$I$164:$AB$238,MATCH($C912,'Prop. prices'!$C$164:$C$238,0),MATCH(Y$818,'Prop. prices'!$I$5:$AB$5,0))</f>
        <v>0</v>
      </c>
      <c r="Z912" s="218">
        <f>INDEX('Prop. prices'!$I$164:$AB$238,MATCH($C912,'Prop. prices'!$C$164:$C$238,0),MATCH(Z$818,'Prop. prices'!$I$5:$AB$5,0))</f>
        <v>0</v>
      </c>
      <c r="AA912" s="218">
        <f>INDEX('Prop. prices'!$I$164:$AB$238,MATCH($C912,'Prop. prices'!$C$164:$C$238,0),MATCH(AA$818,'Prop. prices'!$I$5:$AB$5,0))</f>
        <v>0</v>
      </c>
      <c r="AB912" s="218">
        <f>INDEX('Prop. prices'!$I$164:$AB$238,MATCH($C912,'Prop. prices'!$C$164:$C$238,0),MATCH(AB$818,'Prop. prices'!$I$5:$AB$5,0))</f>
        <v>0</v>
      </c>
      <c r="AC912" s="187"/>
      <c r="AD912" s="19"/>
      <c r="AE912" s="19"/>
      <c r="AF912" s="19"/>
      <c r="AG912" s="19"/>
    </row>
    <row r="913" spans="1:33" hidden="1" outlineLevel="3" x14ac:dyDescent="0.2">
      <c r="A913" s="19"/>
      <c r="B913" s="19"/>
      <c r="C913" s="506">
        <f t="shared" si="200"/>
        <v>0</v>
      </c>
      <c r="D913" s="505">
        <f t="shared" si="200"/>
        <v>0</v>
      </c>
      <c r="E913" s="58"/>
      <c r="F913" s="223"/>
      <c r="G913" s="58"/>
      <c r="H913" s="58"/>
      <c r="I913" s="218">
        <f>INDEX('Prop. prices'!$I$164:$AB$238,MATCH($C913,'Prop. prices'!$C$164:$C$238,0),MATCH(I$818,'Prop. prices'!$I$5:$AB$5,0))</f>
        <v>0</v>
      </c>
      <c r="J913" s="218">
        <f>INDEX('Prop. prices'!$I$164:$AB$238,MATCH($C913,'Prop. prices'!$C$164:$C$238,0),MATCH(J$818,'Prop. prices'!$I$5:$AB$5,0))</f>
        <v>0</v>
      </c>
      <c r="K913" s="218">
        <f>INDEX('Prop. prices'!$I$164:$AB$238,MATCH($C913,'Prop. prices'!$C$164:$C$238,0),MATCH(K$818,'Prop. prices'!$I$5:$AB$5,0))</f>
        <v>0</v>
      </c>
      <c r="L913" s="218">
        <f>INDEX('Prop. prices'!$I$164:$AB$238,MATCH($C913,'Prop. prices'!$C$164:$C$238,0),MATCH(L$818,'Prop. prices'!$I$5:$AB$5,0))</f>
        <v>0</v>
      </c>
      <c r="M913" s="218">
        <f>INDEX('Prop. prices'!$I$164:$AB$238,MATCH($C913,'Prop. prices'!$C$164:$C$238,0),MATCH(M$818,'Prop. prices'!$I$5:$AB$5,0))</f>
        <v>0</v>
      </c>
      <c r="N913" s="218">
        <f>INDEX('Prop. prices'!$I$164:$AB$238,MATCH($C913,'Prop. prices'!$C$164:$C$238,0),MATCH(N$818,'Prop. prices'!$I$5:$AB$5,0))</f>
        <v>0</v>
      </c>
      <c r="O913" s="218">
        <f>INDEX('Prop. prices'!$I$164:$AB$238,MATCH($C913,'Prop. prices'!$C$164:$C$238,0),MATCH(O$818,'Prop. prices'!$I$5:$AB$5,0))</f>
        <v>0</v>
      </c>
      <c r="P913" s="218">
        <f>INDEX('Prop. prices'!$I$164:$AB$238,MATCH($C913,'Prop. prices'!$C$164:$C$238,0),MATCH(P$818,'Prop. prices'!$I$5:$AB$5,0))</f>
        <v>0</v>
      </c>
      <c r="Q913" s="218">
        <f>INDEX('Prop. prices'!$I$164:$AB$238,MATCH($C913,'Prop. prices'!$C$164:$C$238,0),MATCH(Q$818,'Prop. prices'!$I$5:$AB$5,0))</f>
        <v>0</v>
      </c>
      <c r="R913" s="218">
        <f>INDEX('Prop. prices'!$I$164:$AB$238,MATCH($C913,'Prop. prices'!$C$164:$C$238,0),MATCH(R$818,'Prop. prices'!$I$5:$AB$5,0))</f>
        <v>0</v>
      </c>
      <c r="S913" s="218">
        <f>INDEX('Prop. prices'!$I$164:$AB$238,MATCH($C913,'Prop. prices'!$C$164:$C$238,0),MATCH(S$818,'Prop. prices'!$I$5:$AB$5,0))</f>
        <v>0</v>
      </c>
      <c r="T913" s="218">
        <f>INDEX('Prop. prices'!$I$164:$AB$238,MATCH($C913,'Prop. prices'!$C$164:$C$238,0),MATCH(T$818,'Prop. prices'!$I$5:$AB$5,0))</f>
        <v>0</v>
      </c>
      <c r="U913" s="218">
        <f>INDEX('Prop. prices'!$I$164:$AB$238,MATCH($C913,'Prop. prices'!$C$164:$C$238,0),MATCH(U$818,'Prop. prices'!$I$5:$AB$5,0))</f>
        <v>0</v>
      </c>
      <c r="V913" s="218">
        <f>INDEX('Prop. prices'!$I$164:$AB$238,MATCH($C913,'Prop. prices'!$C$164:$C$238,0),MATCH(V$818,'Prop. prices'!$I$5:$AB$5,0))</f>
        <v>0</v>
      </c>
      <c r="W913" s="218">
        <f>INDEX('Prop. prices'!$I$164:$AB$238,MATCH($C913,'Prop. prices'!$C$164:$C$238,0),MATCH(W$818,'Prop. prices'!$I$5:$AB$5,0))</f>
        <v>0</v>
      </c>
      <c r="X913" s="218">
        <f>INDEX('Prop. prices'!$I$164:$AB$238,MATCH($C913,'Prop. prices'!$C$164:$C$238,0),MATCH(X$818,'Prop. prices'!$I$5:$AB$5,0))</f>
        <v>0</v>
      </c>
      <c r="Y913" s="218">
        <f>INDEX('Prop. prices'!$I$164:$AB$238,MATCH($C913,'Prop. prices'!$C$164:$C$238,0),MATCH(Y$818,'Prop. prices'!$I$5:$AB$5,0))</f>
        <v>0</v>
      </c>
      <c r="Z913" s="218">
        <f>INDEX('Prop. prices'!$I$164:$AB$238,MATCH($C913,'Prop. prices'!$C$164:$C$238,0),MATCH(Z$818,'Prop. prices'!$I$5:$AB$5,0))</f>
        <v>0</v>
      </c>
      <c r="AA913" s="218">
        <f>INDEX('Prop. prices'!$I$164:$AB$238,MATCH($C913,'Prop. prices'!$C$164:$C$238,0),MATCH(AA$818,'Prop. prices'!$I$5:$AB$5,0))</f>
        <v>0</v>
      </c>
      <c r="AB913" s="218">
        <f>INDEX('Prop. prices'!$I$164:$AB$238,MATCH($C913,'Prop. prices'!$C$164:$C$238,0),MATCH(AB$818,'Prop. prices'!$I$5:$AB$5,0))</f>
        <v>0</v>
      </c>
      <c r="AC913" s="187"/>
      <c r="AD913" s="19"/>
      <c r="AE913" s="19"/>
      <c r="AF913" s="19"/>
      <c r="AG913" s="19"/>
    </row>
    <row r="914" spans="1:33" hidden="1" outlineLevel="3" x14ac:dyDescent="0.2">
      <c r="A914" s="19"/>
      <c r="B914" s="19"/>
      <c r="C914" s="506">
        <f t="shared" si="200"/>
        <v>0</v>
      </c>
      <c r="D914" s="505">
        <f t="shared" si="200"/>
        <v>0</v>
      </c>
      <c r="E914" s="58"/>
      <c r="F914" s="223"/>
      <c r="G914" s="58"/>
      <c r="H914" s="58"/>
      <c r="I914" s="218">
        <f>INDEX('Prop. prices'!$I$164:$AB$238,MATCH($C914,'Prop. prices'!$C$164:$C$238,0),MATCH(I$818,'Prop. prices'!$I$5:$AB$5,0))</f>
        <v>0</v>
      </c>
      <c r="J914" s="218">
        <f>INDEX('Prop. prices'!$I$164:$AB$238,MATCH($C914,'Prop. prices'!$C$164:$C$238,0),MATCH(J$818,'Prop. prices'!$I$5:$AB$5,0))</f>
        <v>0</v>
      </c>
      <c r="K914" s="218">
        <f>INDEX('Prop. prices'!$I$164:$AB$238,MATCH($C914,'Prop. prices'!$C$164:$C$238,0),MATCH(K$818,'Prop. prices'!$I$5:$AB$5,0))</f>
        <v>0</v>
      </c>
      <c r="L914" s="218">
        <f>INDEX('Prop. prices'!$I$164:$AB$238,MATCH($C914,'Prop. prices'!$C$164:$C$238,0),MATCH(L$818,'Prop. prices'!$I$5:$AB$5,0))</f>
        <v>0</v>
      </c>
      <c r="M914" s="218">
        <f>INDEX('Prop. prices'!$I$164:$AB$238,MATCH($C914,'Prop. prices'!$C$164:$C$238,0),MATCH(M$818,'Prop. prices'!$I$5:$AB$5,0))</f>
        <v>0</v>
      </c>
      <c r="N914" s="218">
        <f>INDEX('Prop. prices'!$I$164:$AB$238,MATCH($C914,'Prop. prices'!$C$164:$C$238,0),MATCH(N$818,'Prop. prices'!$I$5:$AB$5,0))</f>
        <v>0</v>
      </c>
      <c r="O914" s="218">
        <f>INDEX('Prop. prices'!$I$164:$AB$238,MATCH($C914,'Prop. prices'!$C$164:$C$238,0),MATCH(O$818,'Prop. prices'!$I$5:$AB$5,0))</f>
        <v>0</v>
      </c>
      <c r="P914" s="218">
        <f>INDEX('Prop. prices'!$I$164:$AB$238,MATCH($C914,'Prop. prices'!$C$164:$C$238,0),MATCH(P$818,'Prop. prices'!$I$5:$AB$5,0))</f>
        <v>0</v>
      </c>
      <c r="Q914" s="218">
        <f>INDEX('Prop. prices'!$I$164:$AB$238,MATCH($C914,'Prop. prices'!$C$164:$C$238,0),MATCH(Q$818,'Prop. prices'!$I$5:$AB$5,0))</f>
        <v>0</v>
      </c>
      <c r="R914" s="218">
        <f>INDEX('Prop. prices'!$I$164:$AB$238,MATCH($C914,'Prop. prices'!$C$164:$C$238,0),MATCH(R$818,'Prop. prices'!$I$5:$AB$5,0))</f>
        <v>0</v>
      </c>
      <c r="S914" s="218">
        <f>INDEX('Prop. prices'!$I$164:$AB$238,MATCH($C914,'Prop. prices'!$C$164:$C$238,0),MATCH(S$818,'Prop. prices'!$I$5:$AB$5,0))</f>
        <v>0</v>
      </c>
      <c r="T914" s="218">
        <f>INDEX('Prop. prices'!$I$164:$AB$238,MATCH($C914,'Prop. prices'!$C$164:$C$238,0),MATCH(T$818,'Prop. prices'!$I$5:$AB$5,0))</f>
        <v>0</v>
      </c>
      <c r="U914" s="218">
        <f>INDEX('Prop. prices'!$I$164:$AB$238,MATCH($C914,'Prop. prices'!$C$164:$C$238,0),MATCH(U$818,'Prop. prices'!$I$5:$AB$5,0))</f>
        <v>0</v>
      </c>
      <c r="V914" s="218">
        <f>INDEX('Prop. prices'!$I$164:$AB$238,MATCH($C914,'Prop. prices'!$C$164:$C$238,0),MATCH(V$818,'Prop. prices'!$I$5:$AB$5,0))</f>
        <v>0</v>
      </c>
      <c r="W914" s="218">
        <f>INDEX('Prop. prices'!$I$164:$AB$238,MATCH($C914,'Prop. prices'!$C$164:$C$238,0),MATCH(W$818,'Prop. prices'!$I$5:$AB$5,0))</f>
        <v>0</v>
      </c>
      <c r="X914" s="218">
        <f>INDEX('Prop. prices'!$I$164:$AB$238,MATCH($C914,'Prop. prices'!$C$164:$C$238,0),MATCH(X$818,'Prop. prices'!$I$5:$AB$5,0))</f>
        <v>0</v>
      </c>
      <c r="Y914" s="218">
        <f>INDEX('Prop. prices'!$I$164:$AB$238,MATCH($C914,'Prop. prices'!$C$164:$C$238,0),MATCH(Y$818,'Prop. prices'!$I$5:$AB$5,0))</f>
        <v>0</v>
      </c>
      <c r="Z914" s="218">
        <f>INDEX('Prop. prices'!$I$164:$AB$238,MATCH($C914,'Prop. prices'!$C$164:$C$238,0),MATCH(Z$818,'Prop. prices'!$I$5:$AB$5,0))</f>
        <v>0</v>
      </c>
      <c r="AA914" s="218">
        <f>INDEX('Prop. prices'!$I$164:$AB$238,MATCH($C914,'Prop. prices'!$C$164:$C$238,0),MATCH(AA$818,'Prop. prices'!$I$5:$AB$5,0))</f>
        <v>0</v>
      </c>
      <c r="AB914" s="218">
        <f>INDEX('Prop. prices'!$I$164:$AB$238,MATCH($C914,'Prop. prices'!$C$164:$C$238,0),MATCH(AB$818,'Prop. prices'!$I$5:$AB$5,0))</f>
        <v>0</v>
      </c>
      <c r="AC914" s="187"/>
      <c r="AD914" s="19"/>
      <c r="AE914" s="19"/>
      <c r="AF914" s="19"/>
      <c r="AG914" s="19"/>
    </row>
    <row r="915" spans="1:33" hidden="1" outlineLevel="3" x14ac:dyDescent="0.2">
      <c r="A915" s="19"/>
      <c r="B915" s="19"/>
      <c r="C915" s="506">
        <f t="shared" si="200"/>
        <v>0</v>
      </c>
      <c r="D915" s="505">
        <f t="shared" si="200"/>
        <v>0</v>
      </c>
      <c r="E915" s="58"/>
      <c r="F915" s="223"/>
      <c r="G915" s="58"/>
      <c r="H915" s="58"/>
      <c r="I915" s="218">
        <f>INDEX('Prop. prices'!$I$164:$AB$238,MATCH($C915,'Prop. prices'!$C$164:$C$238,0),MATCH(I$818,'Prop. prices'!$I$5:$AB$5,0))</f>
        <v>0</v>
      </c>
      <c r="J915" s="218">
        <f>INDEX('Prop. prices'!$I$164:$AB$238,MATCH($C915,'Prop. prices'!$C$164:$C$238,0),MATCH(J$818,'Prop. prices'!$I$5:$AB$5,0))</f>
        <v>0</v>
      </c>
      <c r="K915" s="218">
        <f>INDEX('Prop. prices'!$I$164:$AB$238,MATCH($C915,'Prop. prices'!$C$164:$C$238,0),MATCH(K$818,'Prop. prices'!$I$5:$AB$5,0))</f>
        <v>0</v>
      </c>
      <c r="L915" s="218">
        <f>INDEX('Prop. prices'!$I$164:$AB$238,MATCH($C915,'Prop. prices'!$C$164:$C$238,0),MATCH(L$818,'Prop. prices'!$I$5:$AB$5,0))</f>
        <v>0</v>
      </c>
      <c r="M915" s="218">
        <f>INDEX('Prop. prices'!$I$164:$AB$238,MATCH($C915,'Prop. prices'!$C$164:$C$238,0),MATCH(M$818,'Prop. prices'!$I$5:$AB$5,0))</f>
        <v>0</v>
      </c>
      <c r="N915" s="218">
        <f>INDEX('Prop. prices'!$I$164:$AB$238,MATCH($C915,'Prop. prices'!$C$164:$C$238,0),MATCH(N$818,'Prop. prices'!$I$5:$AB$5,0))</f>
        <v>0</v>
      </c>
      <c r="O915" s="218">
        <f>INDEX('Prop. prices'!$I$164:$AB$238,MATCH($C915,'Prop. prices'!$C$164:$C$238,0),MATCH(O$818,'Prop. prices'!$I$5:$AB$5,0))</f>
        <v>0</v>
      </c>
      <c r="P915" s="218">
        <f>INDEX('Prop. prices'!$I$164:$AB$238,MATCH($C915,'Prop. prices'!$C$164:$C$238,0),MATCH(P$818,'Prop. prices'!$I$5:$AB$5,0))</f>
        <v>0</v>
      </c>
      <c r="Q915" s="218">
        <f>INDEX('Prop. prices'!$I$164:$AB$238,MATCH($C915,'Prop. prices'!$C$164:$C$238,0),MATCH(Q$818,'Prop. prices'!$I$5:$AB$5,0))</f>
        <v>0</v>
      </c>
      <c r="R915" s="218">
        <f>INDEX('Prop. prices'!$I$164:$AB$238,MATCH($C915,'Prop. prices'!$C$164:$C$238,0),MATCH(R$818,'Prop. prices'!$I$5:$AB$5,0))</f>
        <v>0</v>
      </c>
      <c r="S915" s="218">
        <f>INDEX('Prop. prices'!$I$164:$AB$238,MATCH($C915,'Prop. prices'!$C$164:$C$238,0),MATCH(S$818,'Prop. prices'!$I$5:$AB$5,0))</f>
        <v>0</v>
      </c>
      <c r="T915" s="218">
        <f>INDEX('Prop. prices'!$I$164:$AB$238,MATCH($C915,'Prop. prices'!$C$164:$C$238,0),MATCH(T$818,'Prop. prices'!$I$5:$AB$5,0))</f>
        <v>0</v>
      </c>
      <c r="U915" s="218">
        <f>INDEX('Prop. prices'!$I$164:$AB$238,MATCH($C915,'Prop. prices'!$C$164:$C$238,0),MATCH(U$818,'Prop. prices'!$I$5:$AB$5,0))</f>
        <v>0</v>
      </c>
      <c r="V915" s="218">
        <f>INDEX('Prop. prices'!$I$164:$AB$238,MATCH($C915,'Prop. prices'!$C$164:$C$238,0),MATCH(V$818,'Prop. prices'!$I$5:$AB$5,0))</f>
        <v>0</v>
      </c>
      <c r="W915" s="218">
        <f>INDEX('Prop. prices'!$I$164:$AB$238,MATCH($C915,'Prop. prices'!$C$164:$C$238,0),MATCH(W$818,'Prop. prices'!$I$5:$AB$5,0))</f>
        <v>0</v>
      </c>
      <c r="X915" s="218">
        <f>INDEX('Prop. prices'!$I$164:$AB$238,MATCH($C915,'Prop. prices'!$C$164:$C$238,0),MATCH(X$818,'Prop. prices'!$I$5:$AB$5,0))</f>
        <v>0</v>
      </c>
      <c r="Y915" s="218">
        <f>INDEX('Prop. prices'!$I$164:$AB$238,MATCH($C915,'Prop. prices'!$C$164:$C$238,0),MATCH(Y$818,'Prop. prices'!$I$5:$AB$5,0))</f>
        <v>0</v>
      </c>
      <c r="Z915" s="218">
        <f>INDEX('Prop. prices'!$I$164:$AB$238,MATCH($C915,'Prop. prices'!$C$164:$C$238,0),MATCH(Z$818,'Prop. prices'!$I$5:$AB$5,0))</f>
        <v>0</v>
      </c>
      <c r="AA915" s="218">
        <f>INDEX('Prop. prices'!$I$164:$AB$238,MATCH($C915,'Prop. prices'!$C$164:$C$238,0),MATCH(AA$818,'Prop. prices'!$I$5:$AB$5,0))</f>
        <v>0</v>
      </c>
      <c r="AB915" s="218">
        <f>INDEX('Prop. prices'!$I$164:$AB$238,MATCH($C915,'Prop. prices'!$C$164:$C$238,0),MATCH(AB$818,'Prop. prices'!$I$5:$AB$5,0))</f>
        <v>0</v>
      </c>
      <c r="AC915" s="187"/>
      <c r="AD915" s="19"/>
      <c r="AE915" s="19"/>
      <c r="AF915" s="19"/>
      <c r="AG915" s="19"/>
    </row>
    <row r="916" spans="1:33" hidden="1" outlineLevel="3" x14ac:dyDescent="0.2">
      <c r="A916" s="19"/>
      <c r="B916" s="19"/>
      <c r="C916" s="506">
        <f t="shared" si="200"/>
        <v>0</v>
      </c>
      <c r="D916" s="505">
        <f t="shared" si="200"/>
        <v>0</v>
      </c>
      <c r="E916" s="58"/>
      <c r="F916" s="223"/>
      <c r="G916" s="58"/>
      <c r="H916" s="58"/>
      <c r="I916" s="218">
        <f>INDEX('Prop. prices'!$I$164:$AB$238,MATCH($C916,'Prop. prices'!$C$164:$C$238,0),MATCH(I$818,'Prop. prices'!$I$5:$AB$5,0))</f>
        <v>0</v>
      </c>
      <c r="J916" s="218">
        <f>INDEX('Prop. prices'!$I$164:$AB$238,MATCH($C916,'Prop. prices'!$C$164:$C$238,0),MATCH(J$818,'Prop. prices'!$I$5:$AB$5,0))</f>
        <v>0</v>
      </c>
      <c r="K916" s="218">
        <f>INDEX('Prop. prices'!$I$164:$AB$238,MATCH($C916,'Prop. prices'!$C$164:$C$238,0),MATCH(K$818,'Prop. prices'!$I$5:$AB$5,0))</f>
        <v>0</v>
      </c>
      <c r="L916" s="218">
        <f>INDEX('Prop. prices'!$I$164:$AB$238,MATCH($C916,'Prop. prices'!$C$164:$C$238,0),MATCH(L$818,'Prop. prices'!$I$5:$AB$5,0))</f>
        <v>0</v>
      </c>
      <c r="M916" s="218">
        <f>INDEX('Prop. prices'!$I$164:$AB$238,MATCH($C916,'Prop. prices'!$C$164:$C$238,0),MATCH(M$818,'Prop. prices'!$I$5:$AB$5,0))</f>
        <v>0</v>
      </c>
      <c r="N916" s="218">
        <f>INDEX('Prop. prices'!$I$164:$AB$238,MATCH($C916,'Prop. prices'!$C$164:$C$238,0),MATCH(N$818,'Prop. prices'!$I$5:$AB$5,0))</f>
        <v>0</v>
      </c>
      <c r="O916" s="218">
        <f>INDEX('Prop. prices'!$I$164:$AB$238,MATCH($C916,'Prop. prices'!$C$164:$C$238,0),MATCH(O$818,'Prop. prices'!$I$5:$AB$5,0))</f>
        <v>0</v>
      </c>
      <c r="P916" s="218">
        <f>INDEX('Prop. prices'!$I$164:$AB$238,MATCH($C916,'Prop. prices'!$C$164:$C$238,0),MATCH(P$818,'Prop. prices'!$I$5:$AB$5,0))</f>
        <v>0</v>
      </c>
      <c r="Q916" s="218">
        <f>INDEX('Prop. prices'!$I$164:$AB$238,MATCH($C916,'Prop. prices'!$C$164:$C$238,0),MATCH(Q$818,'Prop. prices'!$I$5:$AB$5,0))</f>
        <v>0</v>
      </c>
      <c r="R916" s="218">
        <f>INDEX('Prop. prices'!$I$164:$AB$238,MATCH($C916,'Prop. prices'!$C$164:$C$238,0),MATCH(R$818,'Prop. prices'!$I$5:$AB$5,0))</f>
        <v>0</v>
      </c>
      <c r="S916" s="218">
        <f>INDEX('Prop. prices'!$I$164:$AB$238,MATCH($C916,'Prop. prices'!$C$164:$C$238,0),MATCH(S$818,'Prop. prices'!$I$5:$AB$5,0))</f>
        <v>0</v>
      </c>
      <c r="T916" s="218">
        <f>INDEX('Prop. prices'!$I$164:$AB$238,MATCH($C916,'Prop. prices'!$C$164:$C$238,0),MATCH(T$818,'Prop. prices'!$I$5:$AB$5,0))</f>
        <v>0</v>
      </c>
      <c r="U916" s="218">
        <f>INDEX('Prop. prices'!$I$164:$AB$238,MATCH($C916,'Prop. prices'!$C$164:$C$238,0),MATCH(U$818,'Prop. prices'!$I$5:$AB$5,0))</f>
        <v>0</v>
      </c>
      <c r="V916" s="218">
        <f>INDEX('Prop. prices'!$I$164:$AB$238,MATCH($C916,'Prop. prices'!$C$164:$C$238,0),MATCH(V$818,'Prop. prices'!$I$5:$AB$5,0))</f>
        <v>0</v>
      </c>
      <c r="W916" s="218">
        <f>INDEX('Prop. prices'!$I$164:$AB$238,MATCH($C916,'Prop. prices'!$C$164:$C$238,0),MATCH(W$818,'Prop. prices'!$I$5:$AB$5,0))</f>
        <v>0</v>
      </c>
      <c r="X916" s="218">
        <f>INDEX('Prop. prices'!$I$164:$AB$238,MATCH($C916,'Prop. prices'!$C$164:$C$238,0),MATCH(X$818,'Prop. prices'!$I$5:$AB$5,0))</f>
        <v>0</v>
      </c>
      <c r="Y916" s="218">
        <f>INDEX('Prop. prices'!$I$164:$AB$238,MATCH($C916,'Prop. prices'!$C$164:$C$238,0),MATCH(Y$818,'Prop. prices'!$I$5:$AB$5,0))</f>
        <v>0</v>
      </c>
      <c r="Z916" s="218">
        <f>INDEX('Prop. prices'!$I$164:$AB$238,MATCH($C916,'Prop. prices'!$C$164:$C$238,0),MATCH(Z$818,'Prop. prices'!$I$5:$AB$5,0))</f>
        <v>0</v>
      </c>
      <c r="AA916" s="218">
        <f>INDEX('Prop. prices'!$I$164:$AB$238,MATCH($C916,'Prop. prices'!$C$164:$C$238,0),MATCH(AA$818,'Prop. prices'!$I$5:$AB$5,0))</f>
        <v>0</v>
      </c>
      <c r="AB916" s="218">
        <f>INDEX('Prop. prices'!$I$164:$AB$238,MATCH($C916,'Prop. prices'!$C$164:$C$238,0),MATCH(AB$818,'Prop. prices'!$I$5:$AB$5,0))</f>
        <v>0</v>
      </c>
      <c r="AC916" s="187"/>
      <c r="AD916" s="19"/>
      <c r="AE916" s="19"/>
      <c r="AF916" s="19"/>
      <c r="AG916" s="19"/>
    </row>
    <row r="917" spans="1:33" hidden="1" outlineLevel="2" collapsed="1" x14ac:dyDescent="0.2">
      <c r="A917" s="19"/>
      <c r="B917" s="19"/>
      <c r="C917" s="538"/>
      <c r="D917" s="536"/>
      <c r="E917" s="58"/>
      <c r="F917" s="66"/>
      <c r="G917" s="58"/>
      <c r="H917" s="58"/>
      <c r="I917" s="186"/>
      <c r="J917" s="186"/>
      <c r="K917" s="187"/>
      <c r="L917" s="187"/>
      <c r="M917" s="187"/>
      <c r="N917" s="188"/>
      <c r="O917" s="188"/>
      <c r="P917" s="188"/>
      <c r="Q917" s="188"/>
      <c r="R917" s="188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9"/>
      <c r="AE917" s="19"/>
      <c r="AF917" s="19"/>
      <c r="AG917" s="19"/>
    </row>
    <row r="918" spans="1:33" outlineLevel="1" collapsed="1" x14ac:dyDescent="0.2">
      <c r="A918" s="19"/>
      <c r="B918" s="19"/>
      <c r="C918" s="66"/>
      <c r="D918" s="58"/>
      <c r="E918" s="58"/>
      <c r="F918" s="66"/>
      <c r="G918" s="58"/>
      <c r="H918" s="58"/>
      <c r="I918" s="58"/>
      <c r="J918" s="58"/>
      <c r="K918" s="20"/>
      <c r="L918" s="20"/>
      <c r="M918" s="20"/>
      <c r="N918" s="37"/>
      <c r="O918" s="37"/>
      <c r="P918" s="37"/>
      <c r="Q918" s="37"/>
      <c r="R918" s="37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</row>
    <row r="919" spans="1:33" x14ac:dyDescent="0.2">
      <c r="A919" s="19"/>
      <c r="B919" s="19"/>
      <c r="C919" s="36"/>
      <c r="D919" s="20"/>
      <c r="E919" s="20"/>
      <c r="F919" s="36"/>
      <c r="G919" s="22"/>
      <c r="H919" s="22"/>
      <c r="I919" s="22"/>
      <c r="J919" s="20"/>
      <c r="K919" s="20"/>
      <c r="L919" s="20"/>
      <c r="M919" s="20"/>
      <c r="N919" s="37"/>
      <c r="O919" s="37"/>
      <c r="P919" s="37"/>
      <c r="Q919" s="37"/>
      <c r="R919" s="37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</row>
    <row r="920" spans="1:33" ht="12.75" x14ac:dyDescent="0.2">
      <c r="A920" s="11"/>
      <c r="B920" s="12" t="s">
        <v>566</v>
      </c>
      <c r="C920" s="11"/>
      <c r="D920" s="32" t="s">
        <v>258</v>
      </c>
      <c r="E920" s="32"/>
      <c r="F920" s="63"/>
      <c r="G920" s="63"/>
      <c r="H920" s="33"/>
      <c r="I920" s="169" t="str">
        <f t="shared" ref="I920:AB920" si="201">I5</f>
        <v>Service</v>
      </c>
      <c r="J920" s="169" t="str">
        <f t="shared" si="201"/>
        <v>All energy</v>
      </c>
      <c r="K920" s="169" t="str">
        <f t="shared" si="201"/>
        <v>Peak energy</v>
      </c>
      <c r="L920" s="169" t="str">
        <f t="shared" si="201"/>
        <v>Shoulder energy</v>
      </c>
      <c r="M920" s="169" t="str">
        <f t="shared" si="201"/>
        <v>Off-peak energy</v>
      </c>
      <c r="N920" s="169">
        <f t="shared" si="201"/>
        <v>0</v>
      </c>
      <c r="O920" s="169">
        <f t="shared" si="201"/>
        <v>0</v>
      </c>
      <c r="P920" s="169">
        <f t="shared" si="201"/>
        <v>0</v>
      </c>
      <c r="Q920" s="169">
        <f t="shared" si="201"/>
        <v>0</v>
      </c>
      <c r="R920" s="169">
        <f t="shared" si="201"/>
        <v>0</v>
      </c>
      <c r="S920" s="169">
        <f t="shared" si="201"/>
        <v>0</v>
      </c>
      <c r="T920" s="169">
        <f t="shared" si="201"/>
        <v>0</v>
      </c>
      <c r="U920" s="169">
        <f t="shared" si="201"/>
        <v>0</v>
      </c>
      <c r="V920" s="169">
        <f t="shared" si="201"/>
        <v>0</v>
      </c>
      <c r="W920" s="169">
        <f t="shared" si="201"/>
        <v>0</v>
      </c>
      <c r="X920" s="169">
        <f t="shared" si="201"/>
        <v>0</v>
      </c>
      <c r="Y920" s="169">
        <f t="shared" si="201"/>
        <v>0</v>
      </c>
      <c r="Z920" s="169">
        <f t="shared" si="201"/>
        <v>0</v>
      </c>
      <c r="AA920" s="169">
        <f t="shared" si="201"/>
        <v>0</v>
      </c>
      <c r="AB920" s="169">
        <f t="shared" si="201"/>
        <v>0</v>
      </c>
      <c r="AC920" s="64"/>
      <c r="AD920" s="15"/>
      <c r="AE920" s="15"/>
      <c r="AF920" s="15"/>
      <c r="AG920" s="15"/>
    </row>
    <row r="921" spans="1:33" outlineLevel="1" x14ac:dyDescent="0.2">
      <c r="A921" s="19"/>
      <c r="B921" s="19"/>
      <c r="C921" s="36"/>
      <c r="D921" s="20"/>
      <c r="E921" s="20"/>
      <c r="F921" s="36"/>
      <c r="G921" s="22"/>
      <c r="H921" s="22"/>
      <c r="I921" s="170" t="str">
        <f>I819</f>
        <v>cents/day</v>
      </c>
      <c r="J921" s="170" t="str">
        <f t="shared" ref="J921:AB921" si="202">J819</f>
        <v>cents/kWh</v>
      </c>
      <c r="K921" s="170" t="str">
        <f t="shared" si="202"/>
        <v>cents/kWh</v>
      </c>
      <c r="L921" s="170" t="str">
        <f t="shared" si="202"/>
        <v>cents/kWh</v>
      </c>
      <c r="M921" s="170" t="str">
        <f t="shared" si="202"/>
        <v>cents/kWh</v>
      </c>
      <c r="N921" s="170">
        <f t="shared" si="202"/>
        <v>0</v>
      </c>
      <c r="O921" s="170">
        <f t="shared" si="202"/>
        <v>0</v>
      </c>
      <c r="P921" s="170">
        <f t="shared" si="202"/>
        <v>0</v>
      </c>
      <c r="Q921" s="170">
        <f t="shared" si="202"/>
        <v>0</v>
      </c>
      <c r="R921" s="170">
        <f t="shared" si="202"/>
        <v>0</v>
      </c>
      <c r="S921" s="170">
        <f t="shared" si="202"/>
        <v>0</v>
      </c>
      <c r="T921" s="170">
        <f t="shared" si="202"/>
        <v>0</v>
      </c>
      <c r="U921" s="170">
        <f t="shared" si="202"/>
        <v>0</v>
      </c>
      <c r="V921" s="170">
        <f t="shared" si="202"/>
        <v>0</v>
      </c>
      <c r="W921" s="170">
        <f t="shared" si="202"/>
        <v>0</v>
      </c>
      <c r="X921" s="170">
        <f t="shared" si="202"/>
        <v>0</v>
      </c>
      <c r="Y921" s="170">
        <f t="shared" si="202"/>
        <v>0</v>
      </c>
      <c r="Z921" s="170">
        <f t="shared" si="202"/>
        <v>0</v>
      </c>
      <c r="AA921" s="170">
        <f t="shared" si="202"/>
        <v>0</v>
      </c>
      <c r="AB921" s="170">
        <f t="shared" si="202"/>
        <v>0</v>
      </c>
      <c r="AC921" s="19"/>
      <c r="AD921" s="19"/>
      <c r="AE921" s="19"/>
      <c r="AF921" s="19"/>
      <c r="AG921" s="19"/>
    </row>
    <row r="922" spans="1:33" outlineLevel="1" x14ac:dyDescent="0.2">
      <c r="A922" s="19"/>
      <c r="B922" s="19"/>
      <c r="C922" s="167" t="s">
        <v>136</v>
      </c>
      <c r="D922" s="20"/>
      <c r="E922" s="20"/>
      <c r="F922" s="167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19"/>
      <c r="AD922" s="19"/>
      <c r="AE922" s="19"/>
      <c r="AF922" s="19"/>
      <c r="AG922" s="19"/>
    </row>
    <row r="923" spans="1:33" outlineLevel="2" x14ac:dyDescent="0.2">
      <c r="A923" s="19"/>
      <c r="B923" s="97"/>
      <c r="C923" s="506" t="str">
        <f t="shared" ref="C923:C952" si="203">C212</f>
        <v>Small business time of use consumption</v>
      </c>
      <c r="D923" s="505" t="str">
        <f t="shared" ref="D923:D952" si="204">E212</f>
        <v>yes</v>
      </c>
      <c r="E923" s="20"/>
      <c r="F923" s="223"/>
      <c r="G923" s="22"/>
      <c r="H923" s="22"/>
      <c r="I923" s="218">
        <f>INDEX('Prop. prices'!$I$8:$AB$82,MATCH($C923,'Prop. prices'!$C$8:$C$82,0),MATCH(I$920,'Prop. prices'!$I$5:$AB$5,0))</f>
        <v>70.975999999999999</v>
      </c>
      <c r="J923" s="218">
        <f>INDEX('Prop. prices'!$I$8:$AB$82,MATCH($C923,'Prop. prices'!$C$8:$C$82,0),MATCH(J$920,'Prop. prices'!$I$5:$AB$5,0))</f>
        <v>0</v>
      </c>
      <c r="K923" s="218">
        <f>INDEX('Prop. prices'!$I$8:$AB$82,MATCH($C923,'Prop. prices'!$C$8:$C$82,0),MATCH(K$920,'Prop. prices'!$I$5:$AB$5,0))</f>
        <v>7.8710000000000004</v>
      </c>
      <c r="L923" s="218">
        <f>INDEX('Prop. prices'!$I$8:$AB$82,MATCH($C923,'Prop. prices'!$C$8:$C$82,0),MATCH(L$920,'Prop. prices'!$I$5:$AB$5,0))</f>
        <v>4.7229999999999999</v>
      </c>
      <c r="M923" s="218">
        <f>INDEX('Prop. prices'!$I$8:$AB$82,MATCH($C923,'Prop. prices'!$C$8:$C$82,0),MATCH(M$920,'Prop. prices'!$I$5:$AB$5,0))</f>
        <v>1.181</v>
      </c>
      <c r="N923" s="218">
        <f>INDEX('Prop. prices'!$I$8:$AB$82,MATCH($C923,'Prop. prices'!$C$8:$C$82,0),MATCH(N$920,'Prop. prices'!$I$5:$AB$5,0))</f>
        <v>0</v>
      </c>
      <c r="O923" s="218">
        <f>INDEX('Prop. prices'!$I$8:$AB$82,MATCH($C923,'Prop. prices'!$C$8:$C$82,0),MATCH(O$920,'Prop. prices'!$I$5:$AB$5,0))</f>
        <v>0</v>
      </c>
      <c r="P923" s="218">
        <f>INDEX('Prop. prices'!$I$8:$AB$82,MATCH($C923,'Prop. prices'!$C$8:$C$82,0),MATCH(P$920,'Prop. prices'!$I$5:$AB$5,0))</f>
        <v>0</v>
      </c>
      <c r="Q923" s="218">
        <f>INDEX('Prop. prices'!$I$8:$AB$82,MATCH($C923,'Prop. prices'!$C$8:$C$82,0),MATCH(Q$920,'Prop. prices'!$I$5:$AB$5,0))</f>
        <v>0</v>
      </c>
      <c r="R923" s="218">
        <f>INDEX('Prop. prices'!$I$8:$AB$82,MATCH($C923,'Prop. prices'!$C$8:$C$82,0),MATCH(R$920,'Prop. prices'!$I$5:$AB$5,0))</f>
        <v>0</v>
      </c>
      <c r="S923" s="218">
        <f>INDEX('Prop. prices'!$I$8:$AB$82,MATCH($C923,'Prop. prices'!$C$8:$C$82,0),MATCH(S$920,'Prop. prices'!$I$5:$AB$5,0))</f>
        <v>0</v>
      </c>
      <c r="T923" s="218">
        <f>INDEX('Prop. prices'!$I$8:$AB$82,MATCH($C923,'Prop. prices'!$C$8:$C$82,0),MATCH(T$920,'Prop. prices'!$I$5:$AB$5,0))</f>
        <v>0</v>
      </c>
      <c r="U923" s="218">
        <f>INDEX('Prop. prices'!$I$8:$AB$82,MATCH($C923,'Prop. prices'!$C$8:$C$82,0),MATCH(U$920,'Prop. prices'!$I$5:$AB$5,0))</f>
        <v>0</v>
      </c>
      <c r="V923" s="218">
        <f>INDEX('Prop. prices'!$I$8:$AB$82,MATCH($C923,'Prop. prices'!$C$8:$C$82,0),MATCH(V$920,'Prop. prices'!$I$5:$AB$5,0))</f>
        <v>0</v>
      </c>
      <c r="W923" s="218">
        <f>INDEX('Prop. prices'!$I$8:$AB$82,MATCH($C923,'Prop. prices'!$C$8:$C$82,0),MATCH(W$920,'Prop. prices'!$I$5:$AB$5,0))</f>
        <v>0</v>
      </c>
      <c r="X923" s="218">
        <f>INDEX('Prop. prices'!$I$8:$AB$82,MATCH($C923,'Prop. prices'!$C$8:$C$82,0),MATCH(X$920,'Prop. prices'!$I$5:$AB$5,0))</f>
        <v>0</v>
      </c>
      <c r="Y923" s="218">
        <f>INDEX('Prop. prices'!$I$8:$AB$82,MATCH($C923,'Prop. prices'!$C$8:$C$82,0),MATCH(Y$920,'Prop. prices'!$I$5:$AB$5,0))</f>
        <v>0</v>
      </c>
      <c r="Z923" s="218">
        <f>INDEX('Prop. prices'!$I$8:$AB$82,MATCH($C923,'Prop. prices'!$C$8:$C$82,0),MATCH(Z$920,'Prop. prices'!$I$5:$AB$5,0))</f>
        <v>0</v>
      </c>
      <c r="AA923" s="218">
        <f>INDEX('Prop. prices'!$I$8:$AB$82,MATCH($C923,'Prop. prices'!$C$8:$C$82,0),MATCH(AA$920,'Prop. prices'!$I$5:$AB$5,0))</f>
        <v>0</v>
      </c>
      <c r="AB923" s="218">
        <f>INDEX('Prop. prices'!$I$8:$AB$82,MATCH($C923,'Prop. prices'!$C$8:$C$82,0),MATCH(AB$920,'Prop. prices'!$I$5:$AB$5,0))</f>
        <v>0</v>
      </c>
      <c r="AC923" s="187"/>
      <c r="AD923" s="19"/>
      <c r="AE923" s="19"/>
      <c r="AF923" s="19"/>
      <c r="AG923" s="19"/>
    </row>
    <row r="924" spans="1:33" s="59" customFormat="1" outlineLevel="2" x14ac:dyDescent="0.2">
      <c r="A924" s="57"/>
      <c r="B924" s="98"/>
      <c r="C924" s="506" t="str">
        <f t="shared" si="203"/>
        <v>Small business general light and power</v>
      </c>
      <c r="D924" s="505" t="str">
        <f t="shared" si="204"/>
        <v>no</v>
      </c>
      <c r="E924" s="58"/>
      <c r="F924" s="223"/>
      <c r="G924" s="58"/>
      <c r="H924" s="58"/>
      <c r="I924" s="218">
        <f>INDEX('Prop. prices'!$I$8:$AB$82,MATCH($C924,'Prop. prices'!$C$8:$C$82,0),MATCH(I$920,'Prop. prices'!$I$5:$AB$5,0))</f>
        <v>53.96</v>
      </c>
      <c r="J924" s="218">
        <f>INDEX('Prop. prices'!$I$8:$AB$82,MATCH($C924,'Prop. prices'!$C$8:$C$82,0),MATCH(J$920,'Prop. prices'!$I$5:$AB$5,0))</f>
        <v>7.1079999999999997</v>
      </c>
      <c r="K924" s="218">
        <f>INDEX('Prop. prices'!$I$8:$AB$82,MATCH($C924,'Prop. prices'!$C$8:$C$82,0),MATCH(K$920,'Prop. prices'!$I$5:$AB$5,0))</f>
        <v>0</v>
      </c>
      <c r="L924" s="218">
        <f>INDEX('Prop. prices'!$I$8:$AB$82,MATCH($C924,'Prop. prices'!$C$8:$C$82,0),MATCH(L$920,'Prop. prices'!$I$5:$AB$5,0))</f>
        <v>0</v>
      </c>
      <c r="M924" s="218">
        <f>INDEX('Prop. prices'!$I$8:$AB$82,MATCH($C924,'Prop. prices'!$C$8:$C$82,0),MATCH(M$920,'Prop. prices'!$I$5:$AB$5,0))</f>
        <v>0</v>
      </c>
      <c r="N924" s="218">
        <f>INDEX('Prop. prices'!$I$8:$AB$82,MATCH($C924,'Prop. prices'!$C$8:$C$82,0),MATCH(N$920,'Prop. prices'!$I$5:$AB$5,0))</f>
        <v>0</v>
      </c>
      <c r="O924" s="218">
        <f>INDEX('Prop. prices'!$I$8:$AB$82,MATCH($C924,'Prop. prices'!$C$8:$C$82,0),MATCH(O$920,'Prop. prices'!$I$5:$AB$5,0))</f>
        <v>0</v>
      </c>
      <c r="P924" s="218">
        <f>INDEX('Prop. prices'!$I$8:$AB$82,MATCH($C924,'Prop. prices'!$C$8:$C$82,0),MATCH(P$920,'Prop. prices'!$I$5:$AB$5,0))</f>
        <v>0</v>
      </c>
      <c r="Q924" s="218">
        <f>INDEX('Prop. prices'!$I$8:$AB$82,MATCH($C924,'Prop. prices'!$C$8:$C$82,0),MATCH(Q$920,'Prop. prices'!$I$5:$AB$5,0))</f>
        <v>0</v>
      </c>
      <c r="R924" s="218">
        <f>INDEX('Prop. prices'!$I$8:$AB$82,MATCH($C924,'Prop. prices'!$C$8:$C$82,0),MATCH(R$920,'Prop. prices'!$I$5:$AB$5,0))</f>
        <v>0</v>
      </c>
      <c r="S924" s="218">
        <f>INDEX('Prop. prices'!$I$8:$AB$82,MATCH($C924,'Prop. prices'!$C$8:$C$82,0),MATCH(S$920,'Prop. prices'!$I$5:$AB$5,0))</f>
        <v>0</v>
      </c>
      <c r="T924" s="218">
        <f>INDEX('Prop. prices'!$I$8:$AB$82,MATCH($C924,'Prop. prices'!$C$8:$C$82,0),MATCH(T$920,'Prop. prices'!$I$5:$AB$5,0))</f>
        <v>0</v>
      </c>
      <c r="U924" s="218">
        <f>INDEX('Prop. prices'!$I$8:$AB$82,MATCH($C924,'Prop. prices'!$C$8:$C$82,0),MATCH(U$920,'Prop. prices'!$I$5:$AB$5,0))</f>
        <v>0</v>
      </c>
      <c r="V924" s="218">
        <f>INDEX('Prop. prices'!$I$8:$AB$82,MATCH($C924,'Prop. prices'!$C$8:$C$82,0),MATCH(V$920,'Prop. prices'!$I$5:$AB$5,0))</f>
        <v>0</v>
      </c>
      <c r="W924" s="218">
        <f>INDEX('Prop. prices'!$I$8:$AB$82,MATCH($C924,'Prop. prices'!$C$8:$C$82,0),MATCH(W$920,'Prop. prices'!$I$5:$AB$5,0))</f>
        <v>0</v>
      </c>
      <c r="X924" s="218">
        <f>INDEX('Prop. prices'!$I$8:$AB$82,MATCH($C924,'Prop. prices'!$C$8:$C$82,0),MATCH(X$920,'Prop. prices'!$I$5:$AB$5,0))</f>
        <v>0</v>
      </c>
      <c r="Y924" s="218">
        <f>INDEX('Prop. prices'!$I$8:$AB$82,MATCH($C924,'Prop. prices'!$C$8:$C$82,0),MATCH(Y$920,'Prop. prices'!$I$5:$AB$5,0))</f>
        <v>0</v>
      </c>
      <c r="Z924" s="218">
        <f>INDEX('Prop. prices'!$I$8:$AB$82,MATCH($C924,'Prop. prices'!$C$8:$C$82,0),MATCH(Z$920,'Prop. prices'!$I$5:$AB$5,0))</f>
        <v>0</v>
      </c>
      <c r="AA924" s="218">
        <f>INDEX('Prop. prices'!$I$8:$AB$82,MATCH($C924,'Prop. prices'!$C$8:$C$82,0),MATCH(AA$920,'Prop. prices'!$I$5:$AB$5,0))</f>
        <v>0</v>
      </c>
      <c r="AB924" s="218">
        <f>INDEX('Prop. prices'!$I$8:$AB$82,MATCH($C924,'Prop. prices'!$C$8:$C$82,0),MATCH(AB$920,'Prop. prices'!$I$5:$AB$5,0))</f>
        <v>0</v>
      </c>
      <c r="AC924" s="187"/>
      <c r="AD924" s="57"/>
      <c r="AE924" s="57"/>
      <c r="AF924" s="57"/>
      <c r="AG924" s="57"/>
    </row>
    <row r="925" spans="1:33" outlineLevel="2" x14ac:dyDescent="0.2">
      <c r="A925" s="19"/>
      <c r="B925" s="97"/>
      <c r="C925" s="506">
        <f t="shared" si="203"/>
        <v>0</v>
      </c>
      <c r="D925" s="505">
        <f t="shared" si="204"/>
        <v>0</v>
      </c>
      <c r="E925" s="58"/>
      <c r="F925" s="223"/>
      <c r="G925" s="58"/>
      <c r="H925" s="58"/>
      <c r="I925" s="218">
        <f>INDEX('Prop. prices'!$I$8:$AB$82,MATCH($C925,'Prop. prices'!$C$8:$C$82,0),MATCH(I$920,'Prop. prices'!$I$5:$AB$5,0))</f>
        <v>0</v>
      </c>
      <c r="J925" s="218">
        <f>INDEX('Prop. prices'!$I$8:$AB$82,MATCH($C925,'Prop. prices'!$C$8:$C$82,0),MATCH(J$920,'Prop. prices'!$I$5:$AB$5,0))</f>
        <v>0</v>
      </c>
      <c r="K925" s="218">
        <f>INDEX('Prop. prices'!$I$8:$AB$82,MATCH($C925,'Prop. prices'!$C$8:$C$82,0),MATCH(K$920,'Prop. prices'!$I$5:$AB$5,0))</f>
        <v>0</v>
      </c>
      <c r="L925" s="218">
        <f>INDEX('Prop. prices'!$I$8:$AB$82,MATCH($C925,'Prop. prices'!$C$8:$C$82,0),MATCH(L$920,'Prop. prices'!$I$5:$AB$5,0))</f>
        <v>0</v>
      </c>
      <c r="M925" s="218">
        <f>INDEX('Prop. prices'!$I$8:$AB$82,MATCH($C925,'Prop. prices'!$C$8:$C$82,0),MATCH(M$920,'Prop. prices'!$I$5:$AB$5,0))</f>
        <v>0</v>
      </c>
      <c r="N925" s="218">
        <f>INDEX('Prop. prices'!$I$8:$AB$82,MATCH($C925,'Prop. prices'!$C$8:$C$82,0),MATCH(N$920,'Prop. prices'!$I$5:$AB$5,0))</f>
        <v>0</v>
      </c>
      <c r="O925" s="218">
        <f>INDEX('Prop. prices'!$I$8:$AB$82,MATCH($C925,'Prop. prices'!$C$8:$C$82,0),MATCH(O$920,'Prop. prices'!$I$5:$AB$5,0))</f>
        <v>0</v>
      </c>
      <c r="P925" s="218">
        <f>INDEX('Prop. prices'!$I$8:$AB$82,MATCH($C925,'Prop. prices'!$C$8:$C$82,0),MATCH(P$920,'Prop. prices'!$I$5:$AB$5,0))</f>
        <v>0</v>
      </c>
      <c r="Q925" s="218">
        <f>INDEX('Prop. prices'!$I$8:$AB$82,MATCH($C925,'Prop. prices'!$C$8:$C$82,0),MATCH(Q$920,'Prop. prices'!$I$5:$AB$5,0))</f>
        <v>0</v>
      </c>
      <c r="R925" s="218">
        <f>INDEX('Prop. prices'!$I$8:$AB$82,MATCH($C925,'Prop. prices'!$C$8:$C$82,0),MATCH(R$920,'Prop. prices'!$I$5:$AB$5,0))</f>
        <v>0</v>
      </c>
      <c r="S925" s="218">
        <f>INDEX('Prop. prices'!$I$8:$AB$82,MATCH($C925,'Prop. prices'!$C$8:$C$82,0),MATCH(S$920,'Prop. prices'!$I$5:$AB$5,0))</f>
        <v>0</v>
      </c>
      <c r="T925" s="218">
        <f>INDEX('Prop. prices'!$I$8:$AB$82,MATCH($C925,'Prop. prices'!$C$8:$C$82,0),MATCH(T$920,'Prop. prices'!$I$5:$AB$5,0))</f>
        <v>0</v>
      </c>
      <c r="U925" s="218">
        <f>INDEX('Prop. prices'!$I$8:$AB$82,MATCH($C925,'Prop. prices'!$C$8:$C$82,0),MATCH(U$920,'Prop. prices'!$I$5:$AB$5,0))</f>
        <v>0</v>
      </c>
      <c r="V925" s="218">
        <f>INDEX('Prop. prices'!$I$8:$AB$82,MATCH($C925,'Prop. prices'!$C$8:$C$82,0),MATCH(V$920,'Prop. prices'!$I$5:$AB$5,0))</f>
        <v>0</v>
      </c>
      <c r="W925" s="218">
        <f>INDEX('Prop. prices'!$I$8:$AB$82,MATCH($C925,'Prop. prices'!$C$8:$C$82,0),MATCH(W$920,'Prop. prices'!$I$5:$AB$5,0))</f>
        <v>0</v>
      </c>
      <c r="X925" s="218">
        <f>INDEX('Prop. prices'!$I$8:$AB$82,MATCH($C925,'Prop. prices'!$C$8:$C$82,0),MATCH(X$920,'Prop. prices'!$I$5:$AB$5,0))</f>
        <v>0</v>
      </c>
      <c r="Y925" s="218">
        <f>INDEX('Prop. prices'!$I$8:$AB$82,MATCH($C925,'Prop. prices'!$C$8:$C$82,0),MATCH(Y$920,'Prop. prices'!$I$5:$AB$5,0))</f>
        <v>0</v>
      </c>
      <c r="Z925" s="218">
        <f>INDEX('Prop. prices'!$I$8:$AB$82,MATCH($C925,'Prop. prices'!$C$8:$C$82,0),MATCH(Z$920,'Prop. prices'!$I$5:$AB$5,0))</f>
        <v>0</v>
      </c>
      <c r="AA925" s="218">
        <f>INDEX('Prop. prices'!$I$8:$AB$82,MATCH($C925,'Prop. prices'!$C$8:$C$82,0),MATCH(AA$920,'Prop. prices'!$I$5:$AB$5,0))</f>
        <v>0</v>
      </c>
      <c r="AB925" s="218">
        <f>INDEX('Prop. prices'!$I$8:$AB$82,MATCH($C925,'Prop. prices'!$C$8:$C$82,0),MATCH(AB$920,'Prop. prices'!$I$5:$AB$5,0))</f>
        <v>0</v>
      </c>
      <c r="AC925" s="187"/>
      <c r="AD925" s="19"/>
      <c r="AE925" s="19"/>
      <c r="AF925" s="19"/>
      <c r="AG925" s="19"/>
    </row>
    <row r="926" spans="1:33" hidden="1" outlineLevel="3" x14ac:dyDescent="0.2">
      <c r="A926" s="19"/>
      <c r="B926" s="97"/>
      <c r="C926" s="506">
        <f t="shared" si="203"/>
        <v>0</v>
      </c>
      <c r="D926" s="505">
        <f t="shared" si="204"/>
        <v>0</v>
      </c>
      <c r="E926" s="58"/>
      <c r="F926" s="223"/>
      <c r="G926" s="58"/>
      <c r="H926" s="58"/>
      <c r="I926" s="218">
        <f>INDEX('Prop. prices'!$I$8:$AB$82,MATCH($C926,'Prop. prices'!$C$8:$C$82,0),MATCH(I$920,'Prop. prices'!$I$5:$AB$5,0))</f>
        <v>0</v>
      </c>
      <c r="J926" s="218">
        <f>INDEX('Prop. prices'!$I$8:$AB$82,MATCH($C926,'Prop. prices'!$C$8:$C$82,0),MATCH(J$920,'Prop. prices'!$I$5:$AB$5,0))</f>
        <v>0</v>
      </c>
      <c r="K926" s="218">
        <f>INDEX('Prop. prices'!$I$8:$AB$82,MATCH($C926,'Prop. prices'!$C$8:$C$82,0),MATCH(K$920,'Prop. prices'!$I$5:$AB$5,0))</f>
        <v>0</v>
      </c>
      <c r="L926" s="218">
        <f>INDEX('Prop. prices'!$I$8:$AB$82,MATCH($C926,'Prop. prices'!$C$8:$C$82,0),MATCH(L$920,'Prop. prices'!$I$5:$AB$5,0))</f>
        <v>0</v>
      </c>
      <c r="M926" s="218">
        <f>INDEX('Prop. prices'!$I$8:$AB$82,MATCH($C926,'Prop. prices'!$C$8:$C$82,0),MATCH(M$920,'Prop. prices'!$I$5:$AB$5,0))</f>
        <v>0</v>
      </c>
      <c r="N926" s="218">
        <f>INDEX('Prop. prices'!$I$8:$AB$82,MATCH($C926,'Prop. prices'!$C$8:$C$82,0),MATCH(N$920,'Prop. prices'!$I$5:$AB$5,0))</f>
        <v>0</v>
      </c>
      <c r="O926" s="218">
        <f>INDEX('Prop. prices'!$I$8:$AB$82,MATCH($C926,'Prop. prices'!$C$8:$C$82,0),MATCH(O$920,'Prop. prices'!$I$5:$AB$5,0))</f>
        <v>0</v>
      </c>
      <c r="P926" s="218">
        <f>INDEX('Prop. prices'!$I$8:$AB$82,MATCH($C926,'Prop. prices'!$C$8:$C$82,0),MATCH(P$920,'Prop. prices'!$I$5:$AB$5,0))</f>
        <v>0</v>
      </c>
      <c r="Q926" s="218">
        <f>INDEX('Prop. prices'!$I$8:$AB$82,MATCH($C926,'Prop. prices'!$C$8:$C$82,0),MATCH(Q$920,'Prop. prices'!$I$5:$AB$5,0))</f>
        <v>0</v>
      </c>
      <c r="R926" s="218">
        <f>INDEX('Prop. prices'!$I$8:$AB$82,MATCH($C926,'Prop. prices'!$C$8:$C$82,0),MATCH(R$920,'Prop. prices'!$I$5:$AB$5,0))</f>
        <v>0</v>
      </c>
      <c r="S926" s="218">
        <f>INDEX('Prop. prices'!$I$8:$AB$82,MATCH($C926,'Prop. prices'!$C$8:$C$82,0),MATCH(S$920,'Prop. prices'!$I$5:$AB$5,0))</f>
        <v>0</v>
      </c>
      <c r="T926" s="218">
        <f>INDEX('Prop. prices'!$I$8:$AB$82,MATCH($C926,'Prop. prices'!$C$8:$C$82,0),MATCH(T$920,'Prop. prices'!$I$5:$AB$5,0))</f>
        <v>0</v>
      </c>
      <c r="U926" s="218">
        <f>INDEX('Prop. prices'!$I$8:$AB$82,MATCH($C926,'Prop. prices'!$C$8:$C$82,0),MATCH(U$920,'Prop. prices'!$I$5:$AB$5,0))</f>
        <v>0</v>
      </c>
      <c r="V926" s="218">
        <f>INDEX('Prop. prices'!$I$8:$AB$82,MATCH($C926,'Prop. prices'!$C$8:$C$82,0),MATCH(V$920,'Prop. prices'!$I$5:$AB$5,0))</f>
        <v>0</v>
      </c>
      <c r="W926" s="218">
        <f>INDEX('Prop. prices'!$I$8:$AB$82,MATCH($C926,'Prop. prices'!$C$8:$C$82,0),MATCH(W$920,'Prop. prices'!$I$5:$AB$5,0))</f>
        <v>0</v>
      </c>
      <c r="X926" s="218">
        <f>INDEX('Prop. prices'!$I$8:$AB$82,MATCH($C926,'Prop. prices'!$C$8:$C$82,0),MATCH(X$920,'Prop. prices'!$I$5:$AB$5,0))</f>
        <v>0</v>
      </c>
      <c r="Y926" s="218">
        <f>INDEX('Prop. prices'!$I$8:$AB$82,MATCH($C926,'Prop. prices'!$C$8:$C$82,0),MATCH(Y$920,'Prop. prices'!$I$5:$AB$5,0))</f>
        <v>0</v>
      </c>
      <c r="Z926" s="218">
        <f>INDEX('Prop. prices'!$I$8:$AB$82,MATCH($C926,'Prop. prices'!$C$8:$C$82,0),MATCH(Z$920,'Prop. prices'!$I$5:$AB$5,0))</f>
        <v>0</v>
      </c>
      <c r="AA926" s="218">
        <f>INDEX('Prop. prices'!$I$8:$AB$82,MATCH($C926,'Prop. prices'!$C$8:$C$82,0),MATCH(AA$920,'Prop. prices'!$I$5:$AB$5,0))</f>
        <v>0</v>
      </c>
      <c r="AB926" s="218">
        <f>INDEX('Prop. prices'!$I$8:$AB$82,MATCH($C926,'Prop. prices'!$C$8:$C$82,0),MATCH(AB$920,'Prop. prices'!$I$5:$AB$5,0))</f>
        <v>0</v>
      </c>
      <c r="AC926" s="187"/>
      <c r="AD926" s="19"/>
      <c r="AE926" s="19"/>
      <c r="AF926" s="19"/>
      <c r="AG926" s="19"/>
    </row>
    <row r="927" spans="1:33" hidden="1" outlineLevel="3" x14ac:dyDescent="0.2">
      <c r="A927" s="19"/>
      <c r="B927" s="97"/>
      <c r="C927" s="506">
        <f t="shared" si="203"/>
        <v>0</v>
      </c>
      <c r="D927" s="505">
        <f t="shared" si="204"/>
        <v>0</v>
      </c>
      <c r="E927" s="58"/>
      <c r="F927" s="223"/>
      <c r="G927" s="58"/>
      <c r="H927" s="58"/>
      <c r="I927" s="218">
        <f>INDEX('Prop. prices'!$I$8:$AB$82,MATCH($C927,'Prop. prices'!$C$8:$C$82,0),MATCH(I$920,'Prop. prices'!$I$5:$AB$5,0))</f>
        <v>0</v>
      </c>
      <c r="J927" s="218">
        <f>INDEX('Prop. prices'!$I$8:$AB$82,MATCH($C927,'Prop. prices'!$C$8:$C$82,0),MATCH(J$920,'Prop. prices'!$I$5:$AB$5,0))</f>
        <v>0</v>
      </c>
      <c r="K927" s="218">
        <f>INDEX('Prop. prices'!$I$8:$AB$82,MATCH($C927,'Prop. prices'!$C$8:$C$82,0),MATCH(K$920,'Prop. prices'!$I$5:$AB$5,0))</f>
        <v>0</v>
      </c>
      <c r="L927" s="218">
        <f>INDEX('Prop. prices'!$I$8:$AB$82,MATCH($C927,'Prop. prices'!$C$8:$C$82,0),MATCH(L$920,'Prop. prices'!$I$5:$AB$5,0))</f>
        <v>0</v>
      </c>
      <c r="M927" s="218">
        <f>INDEX('Prop. prices'!$I$8:$AB$82,MATCH($C927,'Prop. prices'!$C$8:$C$82,0),MATCH(M$920,'Prop. prices'!$I$5:$AB$5,0))</f>
        <v>0</v>
      </c>
      <c r="N927" s="218">
        <f>INDEX('Prop. prices'!$I$8:$AB$82,MATCH($C927,'Prop. prices'!$C$8:$C$82,0),MATCH(N$920,'Prop. prices'!$I$5:$AB$5,0))</f>
        <v>0</v>
      </c>
      <c r="O927" s="218">
        <f>INDEX('Prop. prices'!$I$8:$AB$82,MATCH($C927,'Prop. prices'!$C$8:$C$82,0),MATCH(O$920,'Prop. prices'!$I$5:$AB$5,0))</f>
        <v>0</v>
      </c>
      <c r="P927" s="218">
        <f>INDEX('Prop. prices'!$I$8:$AB$82,MATCH($C927,'Prop. prices'!$C$8:$C$82,0),MATCH(P$920,'Prop. prices'!$I$5:$AB$5,0))</f>
        <v>0</v>
      </c>
      <c r="Q927" s="218">
        <f>INDEX('Prop. prices'!$I$8:$AB$82,MATCH($C927,'Prop. prices'!$C$8:$C$82,0),MATCH(Q$920,'Prop. prices'!$I$5:$AB$5,0))</f>
        <v>0</v>
      </c>
      <c r="R927" s="218">
        <f>INDEX('Prop. prices'!$I$8:$AB$82,MATCH($C927,'Prop. prices'!$C$8:$C$82,0),MATCH(R$920,'Prop. prices'!$I$5:$AB$5,0))</f>
        <v>0</v>
      </c>
      <c r="S927" s="218">
        <f>INDEX('Prop. prices'!$I$8:$AB$82,MATCH($C927,'Prop. prices'!$C$8:$C$82,0),MATCH(S$920,'Prop. prices'!$I$5:$AB$5,0))</f>
        <v>0</v>
      </c>
      <c r="T927" s="218">
        <f>INDEX('Prop. prices'!$I$8:$AB$82,MATCH($C927,'Prop. prices'!$C$8:$C$82,0),MATCH(T$920,'Prop. prices'!$I$5:$AB$5,0))</f>
        <v>0</v>
      </c>
      <c r="U927" s="218">
        <f>INDEX('Prop. prices'!$I$8:$AB$82,MATCH($C927,'Prop. prices'!$C$8:$C$82,0),MATCH(U$920,'Prop. prices'!$I$5:$AB$5,0))</f>
        <v>0</v>
      </c>
      <c r="V927" s="218">
        <f>INDEX('Prop. prices'!$I$8:$AB$82,MATCH($C927,'Prop. prices'!$C$8:$C$82,0),MATCH(V$920,'Prop. prices'!$I$5:$AB$5,0))</f>
        <v>0</v>
      </c>
      <c r="W927" s="218">
        <f>INDEX('Prop. prices'!$I$8:$AB$82,MATCH($C927,'Prop. prices'!$C$8:$C$82,0),MATCH(W$920,'Prop. prices'!$I$5:$AB$5,0))</f>
        <v>0</v>
      </c>
      <c r="X927" s="218">
        <f>INDEX('Prop. prices'!$I$8:$AB$82,MATCH($C927,'Prop. prices'!$C$8:$C$82,0),MATCH(X$920,'Prop. prices'!$I$5:$AB$5,0))</f>
        <v>0</v>
      </c>
      <c r="Y927" s="218">
        <f>INDEX('Prop. prices'!$I$8:$AB$82,MATCH($C927,'Prop. prices'!$C$8:$C$82,0),MATCH(Y$920,'Prop. prices'!$I$5:$AB$5,0))</f>
        <v>0</v>
      </c>
      <c r="Z927" s="218">
        <f>INDEX('Prop. prices'!$I$8:$AB$82,MATCH($C927,'Prop. prices'!$C$8:$C$82,0),MATCH(Z$920,'Prop. prices'!$I$5:$AB$5,0))</f>
        <v>0</v>
      </c>
      <c r="AA927" s="218">
        <f>INDEX('Prop. prices'!$I$8:$AB$82,MATCH($C927,'Prop. prices'!$C$8:$C$82,0),MATCH(AA$920,'Prop. prices'!$I$5:$AB$5,0))</f>
        <v>0</v>
      </c>
      <c r="AB927" s="218">
        <f>INDEX('Prop. prices'!$I$8:$AB$82,MATCH($C927,'Prop. prices'!$C$8:$C$82,0),MATCH(AB$920,'Prop. prices'!$I$5:$AB$5,0))</f>
        <v>0</v>
      </c>
      <c r="AC927" s="187"/>
      <c r="AD927" s="19"/>
      <c r="AE927" s="19"/>
      <c r="AF927" s="19"/>
      <c r="AG927" s="19"/>
    </row>
    <row r="928" spans="1:33" hidden="1" outlineLevel="3" x14ac:dyDescent="0.2">
      <c r="A928" s="19"/>
      <c r="B928" s="97"/>
      <c r="C928" s="506">
        <f t="shared" si="203"/>
        <v>0</v>
      </c>
      <c r="D928" s="505">
        <f t="shared" si="204"/>
        <v>0</v>
      </c>
      <c r="E928" s="58"/>
      <c r="F928" s="223"/>
      <c r="G928" s="58"/>
      <c r="H928" s="58"/>
      <c r="I928" s="218">
        <f>INDEX('Prop. prices'!$I$8:$AB$82,MATCH($C928,'Prop. prices'!$C$8:$C$82,0),MATCH(I$920,'Prop. prices'!$I$5:$AB$5,0))</f>
        <v>0</v>
      </c>
      <c r="J928" s="218">
        <f>INDEX('Prop. prices'!$I$8:$AB$82,MATCH($C928,'Prop. prices'!$C$8:$C$82,0),MATCH(J$920,'Prop. prices'!$I$5:$AB$5,0))</f>
        <v>0</v>
      </c>
      <c r="K928" s="218">
        <f>INDEX('Prop. prices'!$I$8:$AB$82,MATCH($C928,'Prop. prices'!$C$8:$C$82,0),MATCH(K$920,'Prop. prices'!$I$5:$AB$5,0))</f>
        <v>0</v>
      </c>
      <c r="L928" s="218">
        <f>INDEX('Prop. prices'!$I$8:$AB$82,MATCH($C928,'Prop. prices'!$C$8:$C$82,0),MATCH(L$920,'Prop. prices'!$I$5:$AB$5,0))</f>
        <v>0</v>
      </c>
      <c r="M928" s="218">
        <f>INDEX('Prop. prices'!$I$8:$AB$82,MATCH($C928,'Prop. prices'!$C$8:$C$82,0),MATCH(M$920,'Prop. prices'!$I$5:$AB$5,0))</f>
        <v>0</v>
      </c>
      <c r="N928" s="218">
        <f>INDEX('Prop. prices'!$I$8:$AB$82,MATCH($C928,'Prop. prices'!$C$8:$C$82,0),MATCH(N$920,'Prop. prices'!$I$5:$AB$5,0))</f>
        <v>0</v>
      </c>
      <c r="O928" s="218">
        <f>INDEX('Prop. prices'!$I$8:$AB$82,MATCH($C928,'Prop. prices'!$C$8:$C$82,0),MATCH(O$920,'Prop. prices'!$I$5:$AB$5,0))</f>
        <v>0</v>
      </c>
      <c r="P928" s="218">
        <f>INDEX('Prop. prices'!$I$8:$AB$82,MATCH($C928,'Prop. prices'!$C$8:$C$82,0),MATCH(P$920,'Prop. prices'!$I$5:$AB$5,0))</f>
        <v>0</v>
      </c>
      <c r="Q928" s="218">
        <f>INDEX('Prop. prices'!$I$8:$AB$82,MATCH($C928,'Prop. prices'!$C$8:$C$82,0),MATCH(Q$920,'Prop. prices'!$I$5:$AB$5,0))</f>
        <v>0</v>
      </c>
      <c r="R928" s="218">
        <f>INDEX('Prop. prices'!$I$8:$AB$82,MATCH($C928,'Prop. prices'!$C$8:$C$82,0),MATCH(R$920,'Prop. prices'!$I$5:$AB$5,0))</f>
        <v>0</v>
      </c>
      <c r="S928" s="218">
        <f>INDEX('Prop. prices'!$I$8:$AB$82,MATCH($C928,'Prop. prices'!$C$8:$C$82,0),MATCH(S$920,'Prop. prices'!$I$5:$AB$5,0))</f>
        <v>0</v>
      </c>
      <c r="T928" s="218">
        <f>INDEX('Prop. prices'!$I$8:$AB$82,MATCH($C928,'Prop. prices'!$C$8:$C$82,0),MATCH(T$920,'Prop. prices'!$I$5:$AB$5,0))</f>
        <v>0</v>
      </c>
      <c r="U928" s="218">
        <f>INDEX('Prop. prices'!$I$8:$AB$82,MATCH($C928,'Prop. prices'!$C$8:$C$82,0),MATCH(U$920,'Prop. prices'!$I$5:$AB$5,0))</f>
        <v>0</v>
      </c>
      <c r="V928" s="218">
        <f>INDEX('Prop. prices'!$I$8:$AB$82,MATCH($C928,'Prop. prices'!$C$8:$C$82,0),MATCH(V$920,'Prop. prices'!$I$5:$AB$5,0))</f>
        <v>0</v>
      </c>
      <c r="W928" s="218">
        <f>INDEX('Prop. prices'!$I$8:$AB$82,MATCH($C928,'Prop. prices'!$C$8:$C$82,0),MATCH(W$920,'Prop. prices'!$I$5:$AB$5,0))</f>
        <v>0</v>
      </c>
      <c r="X928" s="218">
        <f>INDEX('Prop. prices'!$I$8:$AB$82,MATCH($C928,'Prop. prices'!$C$8:$C$82,0),MATCH(X$920,'Prop. prices'!$I$5:$AB$5,0))</f>
        <v>0</v>
      </c>
      <c r="Y928" s="218">
        <f>INDEX('Prop. prices'!$I$8:$AB$82,MATCH($C928,'Prop. prices'!$C$8:$C$82,0),MATCH(Y$920,'Prop. prices'!$I$5:$AB$5,0))</f>
        <v>0</v>
      </c>
      <c r="Z928" s="218">
        <f>INDEX('Prop. prices'!$I$8:$AB$82,MATCH($C928,'Prop. prices'!$C$8:$C$82,0),MATCH(Z$920,'Prop. prices'!$I$5:$AB$5,0))</f>
        <v>0</v>
      </c>
      <c r="AA928" s="218">
        <f>INDEX('Prop. prices'!$I$8:$AB$82,MATCH($C928,'Prop. prices'!$C$8:$C$82,0),MATCH(AA$920,'Prop. prices'!$I$5:$AB$5,0))</f>
        <v>0</v>
      </c>
      <c r="AB928" s="218">
        <f>INDEX('Prop. prices'!$I$8:$AB$82,MATCH($C928,'Prop. prices'!$C$8:$C$82,0),MATCH(AB$920,'Prop. prices'!$I$5:$AB$5,0))</f>
        <v>0</v>
      </c>
      <c r="AC928" s="187"/>
      <c r="AD928" s="19"/>
      <c r="AE928" s="19"/>
      <c r="AF928" s="19"/>
      <c r="AG928" s="19"/>
    </row>
    <row r="929" spans="1:33" hidden="1" outlineLevel="3" x14ac:dyDescent="0.2">
      <c r="A929" s="19"/>
      <c r="B929" s="97"/>
      <c r="C929" s="506">
        <f t="shared" si="203"/>
        <v>0</v>
      </c>
      <c r="D929" s="505">
        <f t="shared" si="204"/>
        <v>0</v>
      </c>
      <c r="E929" s="58"/>
      <c r="F929" s="223"/>
      <c r="G929" s="58"/>
      <c r="H929" s="58"/>
      <c r="I929" s="218">
        <f>INDEX('Prop. prices'!$I$8:$AB$82,MATCH($C929,'Prop. prices'!$C$8:$C$82,0),MATCH(I$920,'Prop. prices'!$I$5:$AB$5,0))</f>
        <v>0</v>
      </c>
      <c r="J929" s="218">
        <f>INDEX('Prop. prices'!$I$8:$AB$82,MATCH($C929,'Prop. prices'!$C$8:$C$82,0),MATCH(J$920,'Prop. prices'!$I$5:$AB$5,0))</f>
        <v>0</v>
      </c>
      <c r="K929" s="218">
        <f>INDEX('Prop. prices'!$I$8:$AB$82,MATCH($C929,'Prop. prices'!$C$8:$C$82,0),MATCH(K$920,'Prop. prices'!$I$5:$AB$5,0))</f>
        <v>0</v>
      </c>
      <c r="L929" s="218">
        <f>INDEX('Prop. prices'!$I$8:$AB$82,MATCH($C929,'Prop. prices'!$C$8:$C$82,0),MATCH(L$920,'Prop. prices'!$I$5:$AB$5,0))</f>
        <v>0</v>
      </c>
      <c r="M929" s="218">
        <f>INDEX('Prop. prices'!$I$8:$AB$82,MATCH($C929,'Prop. prices'!$C$8:$C$82,0),MATCH(M$920,'Prop. prices'!$I$5:$AB$5,0))</f>
        <v>0</v>
      </c>
      <c r="N929" s="218">
        <f>INDEX('Prop. prices'!$I$8:$AB$82,MATCH($C929,'Prop. prices'!$C$8:$C$82,0),MATCH(N$920,'Prop. prices'!$I$5:$AB$5,0))</f>
        <v>0</v>
      </c>
      <c r="O929" s="218">
        <f>INDEX('Prop. prices'!$I$8:$AB$82,MATCH($C929,'Prop. prices'!$C$8:$C$82,0),MATCH(O$920,'Prop. prices'!$I$5:$AB$5,0))</f>
        <v>0</v>
      </c>
      <c r="P929" s="218">
        <f>INDEX('Prop. prices'!$I$8:$AB$82,MATCH($C929,'Prop. prices'!$C$8:$C$82,0),MATCH(P$920,'Prop. prices'!$I$5:$AB$5,0))</f>
        <v>0</v>
      </c>
      <c r="Q929" s="218">
        <f>INDEX('Prop. prices'!$I$8:$AB$82,MATCH($C929,'Prop. prices'!$C$8:$C$82,0),MATCH(Q$920,'Prop. prices'!$I$5:$AB$5,0))</f>
        <v>0</v>
      </c>
      <c r="R929" s="218">
        <f>INDEX('Prop. prices'!$I$8:$AB$82,MATCH($C929,'Prop. prices'!$C$8:$C$82,0),MATCH(R$920,'Prop. prices'!$I$5:$AB$5,0))</f>
        <v>0</v>
      </c>
      <c r="S929" s="218">
        <f>INDEX('Prop. prices'!$I$8:$AB$82,MATCH($C929,'Prop. prices'!$C$8:$C$82,0),MATCH(S$920,'Prop. prices'!$I$5:$AB$5,0))</f>
        <v>0</v>
      </c>
      <c r="T929" s="218">
        <f>INDEX('Prop. prices'!$I$8:$AB$82,MATCH($C929,'Prop. prices'!$C$8:$C$82,0),MATCH(T$920,'Prop. prices'!$I$5:$AB$5,0))</f>
        <v>0</v>
      </c>
      <c r="U929" s="218">
        <f>INDEX('Prop. prices'!$I$8:$AB$82,MATCH($C929,'Prop. prices'!$C$8:$C$82,0),MATCH(U$920,'Prop. prices'!$I$5:$AB$5,0))</f>
        <v>0</v>
      </c>
      <c r="V929" s="218">
        <f>INDEX('Prop. prices'!$I$8:$AB$82,MATCH($C929,'Prop. prices'!$C$8:$C$82,0),MATCH(V$920,'Prop. prices'!$I$5:$AB$5,0))</f>
        <v>0</v>
      </c>
      <c r="W929" s="218">
        <f>INDEX('Prop. prices'!$I$8:$AB$82,MATCH($C929,'Prop. prices'!$C$8:$C$82,0),MATCH(W$920,'Prop. prices'!$I$5:$AB$5,0))</f>
        <v>0</v>
      </c>
      <c r="X929" s="218">
        <f>INDEX('Prop. prices'!$I$8:$AB$82,MATCH($C929,'Prop. prices'!$C$8:$C$82,0),MATCH(X$920,'Prop. prices'!$I$5:$AB$5,0))</f>
        <v>0</v>
      </c>
      <c r="Y929" s="218">
        <f>INDEX('Prop. prices'!$I$8:$AB$82,MATCH($C929,'Prop. prices'!$C$8:$C$82,0),MATCH(Y$920,'Prop. prices'!$I$5:$AB$5,0))</f>
        <v>0</v>
      </c>
      <c r="Z929" s="218">
        <f>INDEX('Prop. prices'!$I$8:$AB$82,MATCH($C929,'Prop. prices'!$C$8:$C$82,0),MATCH(Z$920,'Prop. prices'!$I$5:$AB$5,0))</f>
        <v>0</v>
      </c>
      <c r="AA929" s="218">
        <f>INDEX('Prop. prices'!$I$8:$AB$82,MATCH($C929,'Prop. prices'!$C$8:$C$82,0),MATCH(AA$920,'Prop. prices'!$I$5:$AB$5,0))</f>
        <v>0</v>
      </c>
      <c r="AB929" s="218">
        <f>INDEX('Prop. prices'!$I$8:$AB$82,MATCH($C929,'Prop. prices'!$C$8:$C$82,0),MATCH(AB$920,'Prop. prices'!$I$5:$AB$5,0))</f>
        <v>0</v>
      </c>
      <c r="AC929" s="187"/>
      <c r="AD929" s="19"/>
      <c r="AE929" s="19"/>
      <c r="AF929" s="19"/>
      <c r="AG929" s="19"/>
    </row>
    <row r="930" spans="1:33" hidden="1" outlineLevel="3" x14ac:dyDescent="0.2">
      <c r="A930" s="19"/>
      <c r="B930" s="97"/>
      <c r="C930" s="506">
        <f t="shared" si="203"/>
        <v>0</v>
      </c>
      <c r="D930" s="505">
        <f t="shared" si="204"/>
        <v>0</v>
      </c>
      <c r="E930" s="58"/>
      <c r="F930" s="223"/>
      <c r="G930" s="58"/>
      <c r="H930" s="58"/>
      <c r="I930" s="218">
        <f>INDEX('Prop. prices'!$I$8:$AB$82,MATCH($C930,'Prop. prices'!$C$8:$C$82,0),MATCH(I$920,'Prop. prices'!$I$5:$AB$5,0))</f>
        <v>0</v>
      </c>
      <c r="J930" s="218">
        <f>INDEX('Prop. prices'!$I$8:$AB$82,MATCH($C930,'Prop. prices'!$C$8:$C$82,0),MATCH(J$920,'Prop. prices'!$I$5:$AB$5,0))</f>
        <v>0</v>
      </c>
      <c r="K930" s="218">
        <f>INDEX('Prop. prices'!$I$8:$AB$82,MATCH($C930,'Prop. prices'!$C$8:$C$82,0),MATCH(K$920,'Prop. prices'!$I$5:$AB$5,0))</f>
        <v>0</v>
      </c>
      <c r="L930" s="218">
        <f>INDEX('Prop. prices'!$I$8:$AB$82,MATCH($C930,'Prop. prices'!$C$8:$C$82,0),MATCH(L$920,'Prop. prices'!$I$5:$AB$5,0))</f>
        <v>0</v>
      </c>
      <c r="M930" s="218">
        <f>INDEX('Prop. prices'!$I$8:$AB$82,MATCH($C930,'Prop. prices'!$C$8:$C$82,0),MATCH(M$920,'Prop. prices'!$I$5:$AB$5,0))</f>
        <v>0</v>
      </c>
      <c r="N930" s="218">
        <f>INDEX('Prop. prices'!$I$8:$AB$82,MATCH($C930,'Prop. prices'!$C$8:$C$82,0),MATCH(N$920,'Prop. prices'!$I$5:$AB$5,0))</f>
        <v>0</v>
      </c>
      <c r="O930" s="218">
        <f>INDEX('Prop. prices'!$I$8:$AB$82,MATCH($C930,'Prop. prices'!$C$8:$C$82,0),MATCH(O$920,'Prop. prices'!$I$5:$AB$5,0))</f>
        <v>0</v>
      </c>
      <c r="P930" s="218">
        <f>INDEX('Prop. prices'!$I$8:$AB$82,MATCH($C930,'Prop. prices'!$C$8:$C$82,0),MATCH(P$920,'Prop. prices'!$I$5:$AB$5,0))</f>
        <v>0</v>
      </c>
      <c r="Q930" s="218">
        <f>INDEX('Prop. prices'!$I$8:$AB$82,MATCH($C930,'Prop. prices'!$C$8:$C$82,0),MATCH(Q$920,'Prop. prices'!$I$5:$AB$5,0))</f>
        <v>0</v>
      </c>
      <c r="R930" s="218">
        <f>INDEX('Prop. prices'!$I$8:$AB$82,MATCH($C930,'Prop. prices'!$C$8:$C$82,0),MATCH(R$920,'Prop. prices'!$I$5:$AB$5,0))</f>
        <v>0</v>
      </c>
      <c r="S930" s="218">
        <f>INDEX('Prop. prices'!$I$8:$AB$82,MATCH($C930,'Prop. prices'!$C$8:$C$82,0),MATCH(S$920,'Prop. prices'!$I$5:$AB$5,0))</f>
        <v>0</v>
      </c>
      <c r="T930" s="218">
        <f>INDEX('Prop. prices'!$I$8:$AB$82,MATCH($C930,'Prop. prices'!$C$8:$C$82,0),MATCH(T$920,'Prop. prices'!$I$5:$AB$5,0))</f>
        <v>0</v>
      </c>
      <c r="U930" s="218">
        <f>INDEX('Prop. prices'!$I$8:$AB$82,MATCH($C930,'Prop. prices'!$C$8:$C$82,0),MATCH(U$920,'Prop. prices'!$I$5:$AB$5,0))</f>
        <v>0</v>
      </c>
      <c r="V930" s="218">
        <f>INDEX('Prop. prices'!$I$8:$AB$82,MATCH($C930,'Prop. prices'!$C$8:$C$82,0),MATCH(V$920,'Prop. prices'!$I$5:$AB$5,0))</f>
        <v>0</v>
      </c>
      <c r="W930" s="218">
        <f>INDEX('Prop. prices'!$I$8:$AB$82,MATCH($C930,'Prop. prices'!$C$8:$C$82,0),MATCH(W$920,'Prop. prices'!$I$5:$AB$5,0))</f>
        <v>0</v>
      </c>
      <c r="X930" s="218">
        <f>INDEX('Prop. prices'!$I$8:$AB$82,MATCH($C930,'Prop. prices'!$C$8:$C$82,0),MATCH(X$920,'Prop. prices'!$I$5:$AB$5,0))</f>
        <v>0</v>
      </c>
      <c r="Y930" s="218">
        <f>INDEX('Prop. prices'!$I$8:$AB$82,MATCH($C930,'Prop. prices'!$C$8:$C$82,0),MATCH(Y$920,'Prop. prices'!$I$5:$AB$5,0))</f>
        <v>0</v>
      </c>
      <c r="Z930" s="218">
        <f>INDEX('Prop. prices'!$I$8:$AB$82,MATCH($C930,'Prop. prices'!$C$8:$C$82,0),MATCH(Z$920,'Prop. prices'!$I$5:$AB$5,0))</f>
        <v>0</v>
      </c>
      <c r="AA930" s="218">
        <f>INDEX('Prop. prices'!$I$8:$AB$82,MATCH($C930,'Prop. prices'!$C$8:$C$82,0),MATCH(AA$920,'Prop. prices'!$I$5:$AB$5,0))</f>
        <v>0</v>
      </c>
      <c r="AB930" s="218">
        <f>INDEX('Prop. prices'!$I$8:$AB$82,MATCH($C930,'Prop. prices'!$C$8:$C$82,0),MATCH(AB$920,'Prop. prices'!$I$5:$AB$5,0))</f>
        <v>0</v>
      </c>
      <c r="AC930" s="187"/>
      <c r="AD930" s="19"/>
      <c r="AE930" s="19"/>
      <c r="AF930" s="19"/>
      <c r="AG930" s="19"/>
    </row>
    <row r="931" spans="1:33" hidden="1" outlineLevel="3" x14ac:dyDescent="0.2">
      <c r="A931" s="19"/>
      <c r="B931" s="98"/>
      <c r="C931" s="506">
        <f t="shared" si="203"/>
        <v>0</v>
      </c>
      <c r="D931" s="505">
        <f t="shared" si="204"/>
        <v>0</v>
      </c>
      <c r="E931" s="58"/>
      <c r="F931" s="223"/>
      <c r="G931" s="58"/>
      <c r="H931" s="58"/>
      <c r="I931" s="218">
        <f>INDEX('Prop. prices'!$I$8:$AB$82,MATCH($C931,'Prop. prices'!$C$8:$C$82,0),MATCH(I$920,'Prop. prices'!$I$5:$AB$5,0))</f>
        <v>0</v>
      </c>
      <c r="J931" s="218">
        <f>INDEX('Prop. prices'!$I$8:$AB$82,MATCH($C931,'Prop. prices'!$C$8:$C$82,0),MATCH(J$920,'Prop. prices'!$I$5:$AB$5,0))</f>
        <v>0</v>
      </c>
      <c r="K931" s="218">
        <f>INDEX('Prop. prices'!$I$8:$AB$82,MATCH($C931,'Prop. prices'!$C$8:$C$82,0),MATCH(K$920,'Prop. prices'!$I$5:$AB$5,0))</f>
        <v>0</v>
      </c>
      <c r="L931" s="218">
        <f>INDEX('Prop. prices'!$I$8:$AB$82,MATCH($C931,'Prop. prices'!$C$8:$C$82,0),MATCH(L$920,'Prop. prices'!$I$5:$AB$5,0))</f>
        <v>0</v>
      </c>
      <c r="M931" s="218">
        <f>INDEX('Prop. prices'!$I$8:$AB$82,MATCH($C931,'Prop. prices'!$C$8:$C$82,0),MATCH(M$920,'Prop. prices'!$I$5:$AB$5,0))</f>
        <v>0</v>
      </c>
      <c r="N931" s="218">
        <f>INDEX('Prop. prices'!$I$8:$AB$82,MATCH($C931,'Prop. prices'!$C$8:$C$82,0),MATCH(N$920,'Prop. prices'!$I$5:$AB$5,0))</f>
        <v>0</v>
      </c>
      <c r="O931" s="218">
        <f>INDEX('Prop. prices'!$I$8:$AB$82,MATCH($C931,'Prop. prices'!$C$8:$C$82,0),MATCH(O$920,'Prop. prices'!$I$5:$AB$5,0))</f>
        <v>0</v>
      </c>
      <c r="P931" s="218">
        <f>INDEX('Prop. prices'!$I$8:$AB$82,MATCH($C931,'Prop. prices'!$C$8:$C$82,0),MATCH(P$920,'Prop. prices'!$I$5:$AB$5,0))</f>
        <v>0</v>
      </c>
      <c r="Q931" s="218">
        <f>INDEX('Prop. prices'!$I$8:$AB$82,MATCH($C931,'Prop. prices'!$C$8:$C$82,0),MATCH(Q$920,'Prop. prices'!$I$5:$AB$5,0))</f>
        <v>0</v>
      </c>
      <c r="R931" s="218">
        <f>INDEX('Prop. prices'!$I$8:$AB$82,MATCH($C931,'Prop. prices'!$C$8:$C$82,0),MATCH(R$920,'Prop. prices'!$I$5:$AB$5,0))</f>
        <v>0</v>
      </c>
      <c r="S931" s="218">
        <f>INDEX('Prop. prices'!$I$8:$AB$82,MATCH($C931,'Prop. prices'!$C$8:$C$82,0),MATCH(S$920,'Prop. prices'!$I$5:$AB$5,0))</f>
        <v>0</v>
      </c>
      <c r="T931" s="218">
        <f>INDEX('Prop. prices'!$I$8:$AB$82,MATCH($C931,'Prop. prices'!$C$8:$C$82,0),MATCH(T$920,'Prop. prices'!$I$5:$AB$5,0))</f>
        <v>0</v>
      </c>
      <c r="U931" s="218">
        <f>INDEX('Prop. prices'!$I$8:$AB$82,MATCH($C931,'Prop. prices'!$C$8:$C$82,0),MATCH(U$920,'Prop. prices'!$I$5:$AB$5,0))</f>
        <v>0</v>
      </c>
      <c r="V931" s="218">
        <f>INDEX('Prop. prices'!$I$8:$AB$82,MATCH($C931,'Prop. prices'!$C$8:$C$82,0),MATCH(V$920,'Prop. prices'!$I$5:$AB$5,0))</f>
        <v>0</v>
      </c>
      <c r="W931" s="218">
        <f>INDEX('Prop. prices'!$I$8:$AB$82,MATCH($C931,'Prop. prices'!$C$8:$C$82,0),MATCH(W$920,'Prop. prices'!$I$5:$AB$5,0))</f>
        <v>0</v>
      </c>
      <c r="X931" s="218">
        <f>INDEX('Prop. prices'!$I$8:$AB$82,MATCH($C931,'Prop. prices'!$C$8:$C$82,0),MATCH(X$920,'Prop. prices'!$I$5:$AB$5,0))</f>
        <v>0</v>
      </c>
      <c r="Y931" s="218">
        <f>INDEX('Prop. prices'!$I$8:$AB$82,MATCH($C931,'Prop. prices'!$C$8:$C$82,0),MATCH(Y$920,'Prop. prices'!$I$5:$AB$5,0))</f>
        <v>0</v>
      </c>
      <c r="Z931" s="218">
        <f>INDEX('Prop. prices'!$I$8:$AB$82,MATCH($C931,'Prop. prices'!$C$8:$C$82,0),MATCH(Z$920,'Prop. prices'!$I$5:$AB$5,0))</f>
        <v>0</v>
      </c>
      <c r="AA931" s="218">
        <f>INDEX('Prop. prices'!$I$8:$AB$82,MATCH($C931,'Prop. prices'!$C$8:$C$82,0),MATCH(AA$920,'Prop. prices'!$I$5:$AB$5,0))</f>
        <v>0</v>
      </c>
      <c r="AB931" s="218">
        <f>INDEX('Prop. prices'!$I$8:$AB$82,MATCH($C931,'Prop. prices'!$C$8:$C$82,0),MATCH(AB$920,'Prop. prices'!$I$5:$AB$5,0))</f>
        <v>0</v>
      </c>
      <c r="AC931" s="187"/>
      <c r="AD931" s="19"/>
      <c r="AE931" s="19"/>
      <c r="AF931" s="19"/>
      <c r="AG931" s="19"/>
    </row>
    <row r="932" spans="1:33" hidden="1" outlineLevel="3" x14ac:dyDescent="0.2">
      <c r="A932" s="19"/>
      <c r="B932" s="97"/>
      <c r="C932" s="506">
        <f t="shared" si="203"/>
        <v>0</v>
      </c>
      <c r="D932" s="505">
        <f t="shared" si="204"/>
        <v>0</v>
      </c>
      <c r="E932" s="58"/>
      <c r="F932" s="223"/>
      <c r="G932" s="58"/>
      <c r="H932" s="58"/>
      <c r="I932" s="218">
        <f>INDEX('Prop. prices'!$I$8:$AB$82,MATCH($C932,'Prop. prices'!$C$8:$C$82,0),MATCH(I$920,'Prop. prices'!$I$5:$AB$5,0))</f>
        <v>0</v>
      </c>
      <c r="J932" s="218">
        <f>INDEX('Prop. prices'!$I$8:$AB$82,MATCH($C932,'Prop. prices'!$C$8:$C$82,0),MATCH(J$920,'Prop. prices'!$I$5:$AB$5,0))</f>
        <v>0</v>
      </c>
      <c r="K932" s="218">
        <f>INDEX('Prop. prices'!$I$8:$AB$82,MATCH($C932,'Prop. prices'!$C$8:$C$82,0),MATCH(K$920,'Prop. prices'!$I$5:$AB$5,0))</f>
        <v>0</v>
      </c>
      <c r="L932" s="218">
        <f>INDEX('Prop. prices'!$I$8:$AB$82,MATCH($C932,'Prop. prices'!$C$8:$C$82,0),MATCH(L$920,'Prop. prices'!$I$5:$AB$5,0))</f>
        <v>0</v>
      </c>
      <c r="M932" s="218">
        <f>INDEX('Prop. prices'!$I$8:$AB$82,MATCH($C932,'Prop. prices'!$C$8:$C$82,0),MATCH(M$920,'Prop. prices'!$I$5:$AB$5,0))</f>
        <v>0</v>
      </c>
      <c r="N932" s="218">
        <f>INDEX('Prop. prices'!$I$8:$AB$82,MATCH($C932,'Prop. prices'!$C$8:$C$82,0),MATCH(N$920,'Prop. prices'!$I$5:$AB$5,0))</f>
        <v>0</v>
      </c>
      <c r="O932" s="218">
        <f>INDEX('Prop. prices'!$I$8:$AB$82,MATCH($C932,'Prop. prices'!$C$8:$C$82,0),MATCH(O$920,'Prop. prices'!$I$5:$AB$5,0))</f>
        <v>0</v>
      </c>
      <c r="P932" s="218">
        <f>INDEX('Prop. prices'!$I$8:$AB$82,MATCH($C932,'Prop. prices'!$C$8:$C$82,0),MATCH(P$920,'Prop. prices'!$I$5:$AB$5,0))</f>
        <v>0</v>
      </c>
      <c r="Q932" s="218">
        <f>INDEX('Prop. prices'!$I$8:$AB$82,MATCH($C932,'Prop. prices'!$C$8:$C$82,0),MATCH(Q$920,'Prop. prices'!$I$5:$AB$5,0))</f>
        <v>0</v>
      </c>
      <c r="R932" s="218">
        <f>INDEX('Prop. prices'!$I$8:$AB$82,MATCH($C932,'Prop. prices'!$C$8:$C$82,0),MATCH(R$920,'Prop. prices'!$I$5:$AB$5,0))</f>
        <v>0</v>
      </c>
      <c r="S932" s="218">
        <f>INDEX('Prop. prices'!$I$8:$AB$82,MATCH($C932,'Prop. prices'!$C$8:$C$82,0),MATCH(S$920,'Prop. prices'!$I$5:$AB$5,0))</f>
        <v>0</v>
      </c>
      <c r="T932" s="218">
        <f>INDEX('Prop. prices'!$I$8:$AB$82,MATCH($C932,'Prop. prices'!$C$8:$C$82,0),MATCH(T$920,'Prop. prices'!$I$5:$AB$5,0))</f>
        <v>0</v>
      </c>
      <c r="U932" s="218">
        <f>INDEX('Prop. prices'!$I$8:$AB$82,MATCH($C932,'Prop. prices'!$C$8:$C$82,0),MATCH(U$920,'Prop. prices'!$I$5:$AB$5,0))</f>
        <v>0</v>
      </c>
      <c r="V932" s="218">
        <f>INDEX('Prop. prices'!$I$8:$AB$82,MATCH($C932,'Prop. prices'!$C$8:$C$82,0),MATCH(V$920,'Prop. prices'!$I$5:$AB$5,0))</f>
        <v>0</v>
      </c>
      <c r="W932" s="218">
        <f>INDEX('Prop. prices'!$I$8:$AB$82,MATCH($C932,'Prop. prices'!$C$8:$C$82,0),MATCH(W$920,'Prop. prices'!$I$5:$AB$5,0))</f>
        <v>0</v>
      </c>
      <c r="X932" s="218">
        <f>INDEX('Prop. prices'!$I$8:$AB$82,MATCH($C932,'Prop. prices'!$C$8:$C$82,0),MATCH(X$920,'Prop. prices'!$I$5:$AB$5,0))</f>
        <v>0</v>
      </c>
      <c r="Y932" s="218">
        <f>INDEX('Prop. prices'!$I$8:$AB$82,MATCH($C932,'Prop. prices'!$C$8:$C$82,0),MATCH(Y$920,'Prop. prices'!$I$5:$AB$5,0))</f>
        <v>0</v>
      </c>
      <c r="Z932" s="218">
        <f>INDEX('Prop. prices'!$I$8:$AB$82,MATCH($C932,'Prop. prices'!$C$8:$C$82,0),MATCH(Z$920,'Prop. prices'!$I$5:$AB$5,0))</f>
        <v>0</v>
      </c>
      <c r="AA932" s="218">
        <f>INDEX('Prop. prices'!$I$8:$AB$82,MATCH($C932,'Prop. prices'!$C$8:$C$82,0),MATCH(AA$920,'Prop. prices'!$I$5:$AB$5,0))</f>
        <v>0</v>
      </c>
      <c r="AB932" s="218">
        <f>INDEX('Prop. prices'!$I$8:$AB$82,MATCH($C932,'Prop. prices'!$C$8:$C$82,0),MATCH(AB$920,'Prop. prices'!$I$5:$AB$5,0))</f>
        <v>0</v>
      </c>
      <c r="AC932" s="187"/>
      <c r="AD932" s="19"/>
      <c r="AE932" s="19"/>
      <c r="AF932" s="19"/>
      <c r="AG932" s="19"/>
    </row>
    <row r="933" spans="1:33" hidden="1" outlineLevel="3" x14ac:dyDescent="0.2">
      <c r="A933" s="19"/>
      <c r="B933" s="97"/>
      <c r="C933" s="506">
        <f t="shared" si="203"/>
        <v>0</v>
      </c>
      <c r="D933" s="505">
        <f t="shared" si="204"/>
        <v>0</v>
      </c>
      <c r="E933" s="58"/>
      <c r="F933" s="223"/>
      <c r="G933" s="58"/>
      <c r="H933" s="58"/>
      <c r="I933" s="218">
        <f>INDEX('Prop. prices'!$I$8:$AB$82,MATCH($C933,'Prop. prices'!$C$8:$C$82,0),MATCH(I$920,'Prop. prices'!$I$5:$AB$5,0))</f>
        <v>0</v>
      </c>
      <c r="J933" s="218">
        <f>INDEX('Prop. prices'!$I$8:$AB$82,MATCH($C933,'Prop. prices'!$C$8:$C$82,0),MATCH(J$920,'Prop. prices'!$I$5:$AB$5,0))</f>
        <v>0</v>
      </c>
      <c r="K933" s="218">
        <f>INDEX('Prop. prices'!$I$8:$AB$82,MATCH($C933,'Prop. prices'!$C$8:$C$82,0),MATCH(K$920,'Prop. prices'!$I$5:$AB$5,0))</f>
        <v>0</v>
      </c>
      <c r="L933" s="218">
        <f>INDEX('Prop. prices'!$I$8:$AB$82,MATCH($C933,'Prop. prices'!$C$8:$C$82,0),MATCH(L$920,'Prop. prices'!$I$5:$AB$5,0))</f>
        <v>0</v>
      </c>
      <c r="M933" s="218">
        <f>INDEX('Prop. prices'!$I$8:$AB$82,MATCH($C933,'Prop. prices'!$C$8:$C$82,0),MATCH(M$920,'Prop. prices'!$I$5:$AB$5,0))</f>
        <v>0</v>
      </c>
      <c r="N933" s="218">
        <f>INDEX('Prop. prices'!$I$8:$AB$82,MATCH($C933,'Prop. prices'!$C$8:$C$82,0),MATCH(N$920,'Prop. prices'!$I$5:$AB$5,0))</f>
        <v>0</v>
      </c>
      <c r="O933" s="218">
        <f>INDEX('Prop. prices'!$I$8:$AB$82,MATCH($C933,'Prop. prices'!$C$8:$C$82,0),MATCH(O$920,'Prop. prices'!$I$5:$AB$5,0))</f>
        <v>0</v>
      </c>
      <c r="P933" s="218">
        <f>INDEX('Prop. prices'!$I$8:$AB$82,MATCH($C933,'Prop. prices'!$C$8:$C$82,0),MATCH(P$920,'Prop. prices'!$I$5:$AB$5,0))</f>
        <v>0</v>
      </c>
      <c r="Q933" s="218">
        <f>INDEX('Prop. prices'!$I$8:$AB$82,MATCH($C933,'Prop. prices'!$C$8:$C$82,0),MATCH(Q$920,'Prop. prices'!$I$5:$AB$5,0))</f>
        <v>0</v>
      </c>
      <c r="R933" s="218">
        <f>INDEX('Prop. prices'!$I$8:$AB$82,MATCH($C933,'Prop. prices'!$C$8:$C$82,0),MATCH(R$920,'Prop. prices'!$I$5:$AB$5,0))</f>
        <v>0</v>
      </c>
      <c r="S933" s="218">
        <f>INDEX('Prop. prices'!$I$8:$AB$82,MATCH($C933,'Prop. prices'!$C$8:$C$82,0),MATCH(S$920,'Prop. prices'!$I$5:$AB$5,0))</f>
        <v>0</v>
      </c>
      <c r="T933" s="218">
        <f>INDEX('Prop. prices'!$I$8:$AB$82,MATCH($C933,'Prop. prices'!$C$8:$C$82,0),MATCH(T$920,'Prop. prices'!$I$5:$AB$5,0))</f>
        <v>0</v>
      </c>
      <c r="U933" s="218">
        <f>INDEX('Prop. prices'!$I$8:$AB$82,MATCH($C933,'Prop. prices'!$C$8:$C$82,0),MATCH(U$920,'Prop. prices'!$I$5:$AB$5,0))</f>
        <v>0</v>
      </c>
      <c r="V933" s="218">
        <f>INDEX('Prop. prices'!$I$8:$AB$82,MATCH($C933,'Prop. prices'!$C$8:$C$82,0),MATCH(V$920,'Prop. prices'!$I$5:$AB$5,0))</f>
        <v>0</v>
      </c>
      <c r="W933" s="218">
        <f>INDEX('Prop. prices'!$I$8:$AB$82,MATCH($C933,'Prop. prices'!$C$8:$C$82,0),MATCH(W$920,'Prop. prices'!$I$5:$AB$5,0))</f>
        <v>0</v>
      </c>
      <c r="X933" s="218">
        <f>INDEX('Prop. prices'!$I$8:$AB$82,MATCH($C933,'Prop. prices'!$C$8:$C$82,0),MATCH(X$920,'Prop. prices'!$I$5:$AB$5,0))</f>
        <v>0</v>
      </c>
      <c r="Y933" s="218">
        <f>INDEX('Prop. prices'!$I$8:$AB$82,MATCH($C933,'Prop. prices'!$C$8:$C$82,0),MATCH(Y$920,'Prop. prices'!$I$5:$AB$5,0))</f>
        <v>0</v>
      </c>
      <c r="Z933" s="218">
        <f>INDEX('Prop. prices'!$I$8:$AB$82,MATCH($C933,'Prop. prices'!$C$8:$C$82,0),MATCH(Z$920,'Prop. prices'!$I$5:$AB$5,0))</f>
        <v>0</v>
      </c>
      <c r="AA933" s="218">
        <f>INDEX('Prop. prices'!$I$8:$AB$82,MATCH($C933,'Prop. prices'!$C$8:$C$82,0),MATCH(AA$920,'Prop. prices'!$I$5:$AB$5,0))</f>
        <v>0</v>
      </c>
      <c r="AB933" s="218">
        <f>INDEX('Prop. prices'!$I$8:$AB$82,MATCH($C933,'Prop. prices'!$C$8:$C$82,0),MATCH(AB$920,'Prop. prices'!$I$5:$AB$5,0))</f>
        <v>0</v>
      </c>
      <c r="AC933" s="187"/>
      <c r="AD933" s="19"/>
      <c r="AE933" s="19"/>
      <c r="AF933" s="19"/>
      <c r="AG933" s="19"/>
    </row>
    <row r="934" spans="1:33" hidden="1" outlineLevel="3" x14ac:dyDescent="0.2">
      <c r="A934" s="19"/>
      <c r="B934" s="97"/>
      <c r="C934" s="506">
        <f t="shared" si="203"/>
        <v>0</v>
      </c>
      <c r="D934" s="505">
        <f t="shared" si="204"/>
        <v>0</v>
      </c>
      <c r="E934" s="58"/>
      <c r="F934" s="223"/>
      <c r="G934" s="58"/>
      <c r="H934" s="58"/>
      <c r="I934" s="218">
        <f>INDEX('Prop. prices'!$I$8:$AB$82,MATCH($C934,'Prop. prices'!$C$8:$C$82,0),MATCH(I$920,'Prop. prices'!$I$5:$AB$5,0))</f>
        <v>0</v>
      </c>
      <c r="J934" s="218">
        <f>INDEX('Prop. prices'!$I$8:$AB$82,MATCH($C934,'Prop. prices'!$C$8:$C$82,0),MATCH(J$920,'Prop. prices'!$I$5:$AB$5,0))</f>
        <v>0</v>
      </c>
      <c r="K934" s="218">
        <f>INDEX('Prop. prices'!$I$8:$AB$82,MATCH($C934,'Prop. prices'!$C$8:$C$82,0),MATCH(K$920,'Prop. prices'!$I$5:$AB$5,0))</f>
        <v>0</v>
      </c>
      <c r="L934" s="218">
        <f>INDEX('Prop. prices'!$I$8:$AB$82,MATCH($C934,'Prop. prices'!$C$8:$C$82,0),MATCH(L$920,'Prop. prices'!$I$5:$AB$5,0))</f>
        <v>0</v>
      </c>
      <c r="M934" s="218">
        <f>INDEX('Prop. prices'!$I$8:$AB$82,MATCH($C934,'Prop. prices'!$C$8:$C$82,0),MATCH(M$920,'Prop. prices'!$I$5:$AB$5,0))</f>
        <v>0</v>
      </c>
      <c r="N934" s="218">
        <f>INDEX('Prop. prices'!$I$8:$AB$82,MATCH($C934,'Prop. prices'!$C$8:$C$82,0),MATCH(N$920,'Prop. prices'!$I$5:$AB$5,0))</f>
        <v>0</v>
      </c>
      <c r="O934" s="218">
        <f>INDEX('Prop. prices'!$I$8:$AB$82,MATCH($C934,'Prop. prices'!$C$8:$C$82,0),MATCH(O$920,'Prop. prices'!$I$5:$AB$5,0))</f>
        <v>0</v>
      </c>
      <c r="P934" s="218">
        <f>INDEX('Prop. prices'!$I$8:$AB$82,MATCH($C934,'Prop. prices'!$C$8:$C$82,0),MATCH(P$920,'Prop. prices'!$I$5:$AB$5,0))</f>
        <v>0</v>
      </c>
      <c r="Q934" s="218">
        <f>INDEX('Prop. prices'!$I$8:$AB$82,MATCH($C934,'Prop. prices'!$C$8:$C$82,0),MATCH(Q$920,'Prop. prices'!$I$5:$AB$5,0))</f>
        <v>0</v>
      </c>
      <c r="R934" s="218">
        <f>INDEX('Prop. prices'!$I$8:$AB$82,MATCH($C934,'Prop. prices'!$C$8:$C$82,0),MATCH(R$920,'Prop. prices'!$I$5:$AB$5,0))</f>
        <v>0</v>
      </c>
      <c r="S934" s="218">
        <f>INDEX('Prop. prices'!$I$8:$AB$82,MATCH($C934,'Prop. prices'!$C$8:$C$82,0),MATCH(S$920,'Prop. prices'!$I$5:$AB$5,0))</f>
        <v>0</v>
      </c>
      <c r="T934" s="218">
        <f>INDEX('Prop. prices'!$I$8:$AB$82,MATCH($C934,'Prop. prices'!$C$8:$C$82,0),MATCH(T$920,'Prop. prices'!$I$5:$AB$5,0))</f>
        <v>0</v>
      </c>
      <c r="U934" s="218">
        <f>INDEX('Prop. prices'!$I$8:$AB$82,MATCH($C934,'Prop. prices'!$C$8:$C$82,0),MATCH(U$920,'Prop. prices'!$I$5:$AB$5,0))</f>
        <v>0</v>
      </c>
      <c r="V934" s="218">
        <f>INDEX('Prop. prices'!$I$8:$AB$82,MATCH($C934,'Prop. prices'!$C$8:$C$82,0),MATCH(V$920,'Prop. prices'!$I$5:$AB$5,0))</f>
        <v>0</v>
      </c>
      <c r="W934" s="218">
        <f>INDEX('Prop. prices'!$I$8:$AB$82,MATCH($C934,'Prop. prices'!$C$8:$C$82,0),MATCH(W$920,'Prop. prices'!$I$5:$AB$5,0))</f>
        <v>0</v>
      </c>
      <c r="X934" s="218">
        <f>INDEX('Prop. prices'!$I$8:$AB$82,MATCH($C934,'Prop. prices'!$C$8:$C$82,0),MATCH(X$920,'Prop. prices'!$I$5:$AB$5,0))</f>
        <v>0</v>
      </c>
      <c r="Y934" s="218">
        <f>INDEX('Prop. prices'!$I$8:$AB$82,MATCH($C934,'Prop. prices'!$C$8:$C$82,0),MATCH(Y$920,'Prop. prices'!$I$5:$AB$5,0))</f>
        <v>0</v>
      </c>
      <c r="Z934" s="218">
        <f>INDEX('Prop. prices'!$I$8:$AB$82,MATCH($C934,'Prop. prices'!$C$8:$C$82,0),MATCH(Z$920,'Prop. prices'!$I$5:$AB$5,0))</f>
        <v>0</v>
      </c>
      <c r="AA934" s="218">
        <f>INDEX('Prop. prices'!$I$8:$AB$82,MATCH($C934,'Prop. prices'!$C$8:$C$82,0),MATCH(AA$920,'Prop. prices'!$I$5:$AB$5,0))</f>
        <v>0</v>
      </c>
      <c r="AB934" s="218">
        <f>INDEX('Prop. prices'!$I$8:$AB$82,MATCH($C934,'Prop. prices'!$C$8:$C$82,0),MATCH(AB$920,'Prop. prices'!$I$5:$AB$5,0))</f>
        <v>0</v>
      </c>
      <c r="AC934" s="187"/>
      <c r="AD934" s="19"/>
      <c r="AE934" s="19"/>
      <c r="AF934" s="19"/>
      <c r="AG934" s="19"/>
    </row>
    <row r="935" spans="1:33" hidden="1" outlineLevel="3" x14ac:dyDescent="0.2">
      <c r="A935" s="19"/>
      <c r="B935" s="97"/>
      <c r="C935" s="506">
        <f t="shared" si="203"/>
        <v>0</v>
      </c>
      <c r="D935" s="505">
        <f t="shared" si="204"/>
        <v>0</v>
      </c>
      <c r="E935" s="58"/>
      <c r="F935" s="223"/>
      <c r="G935" s="58"/>
      <c r="H935" s="58"/>
      <c r="I935" s="218">
        <f>INDEX('Prop. prices'!$I$8:$AB$82,MATCH($C935,'Prop. prices'!$C$8:$C$82,0),MATCH(I$920,'Prop. prices'!$I$5:$AB$5,0))</f>
        <v>0</v>
      </c>
      <c r="J935" s="218">
        <f>INDEX('Prop. prices'!$I$8:$AB$82,MATCH($C935,'Prop. prices'!$C$8:$C$82,0),MATCH(J$920,'Prop. prices'!$I$5:$AB$5,0))</f>
        <v>0</v>
      </c>
      <c r="K935" s="218">
        <f>INDEX('Prop. prices'!$I$8:$AB$82,MATCH($C935,'Prop. prices'!$C$8:$C$82,0),MATCH(K$920,'Prop. prices'!$I$5:$AB$5,0))</f>
        <v>0</v>
      </c>
      <c r="L935" s="218">
        <f>INDEX('Prop. prices'!$I$8:$AB$82,MATCH($C935,'Prop. prices'!$C$8:$C$82,0),MATCH(L$920,'Prop. prices'!$I$5:$AB$5,0))</f>
        <v>0</v>
      </c>
      <c r="M935" s="218">
        <f>INDEX('Prop. prices'!$I$8:$AB$82,MATCH($C935,'Prop. prices'!$C$8:$C$82,0),MATCH(M$920,'Prop. prices'!$I$5:$AB$5,0))</f>
        <v>0</v>
      </c>
      <c r="N935" s="218">
        <f>INDEX('Prop. prices'!$I$8:$AB$82,MATCH($C935,'Prop. prices'!$C$8:$C$82,0),MATCH(N$920,'Prop. prices'!$I$5:$AB$5,0))</f>
        <v>0</v>
      </c>
      <c r="O935" s="218">
        <f>INDEX('Prop. prices'!$I$8:$AB$82,MATCH($C935,'Prop. prices'!$C$8:$C$82,0),MATCH(O$920,'Prop. prices'!$I$5:$AB$5,0))</f>
        <v>0</v>
      </c>
      <c r="P935" s="218">
        <f>INDEX('Prop. prices'!$I$8:$AB$82,MATCH($C935,'Prop. prices'!$C$8:$C$82,0),MATCH(P$920,'Prop. prices'!$I$5:$AB$5,0))</f>
        <v>0</v>
      </c>
      <c r="Q935" s="218">
        <f>INDEX('Prop. prices'!$I$8:$AB$82,MATCH($C935,'Prop. prices'!$C$8:$C$82,0),MATCH(Q$920,'Prop. prices'!$I$5:$AB$5,0))</f>
        <v>0</v>
      </c>
      <c r="R935" s="218">
        <f>INDEX('Prop. prices'!$I$8:$AB$82,MATCH($C935,'Prop. prices'!$C$8:$C$82,0),MATCH(R$920,'Prop. prices'!$I$5:$AB$5,0))</f>
        <v>0</v>
      </c>
      <c r="S935" s="218">
        <f>INDEX('Prop. prices'!$I$8:$AB$82,MATCH($C935,'Prop. prices'!$C$8:$C$82,0),MATCH(S$920,'Prop. prices'!$I$5:$AB$5,0))</f>
        <v>0</v>
      </c>
      <c r="T935" s="218">
        <f>INDEX('Prop. prices'!$I$8:$AB$82,MATCH($C935,'Prop. prices'!$C$8:$C$82,0),MATCH(T$920,'Prop. prices'!$I$5:$AB$5,0))</f>
        <v>0</v>
      </c>
      <c r="U935" s="218">
        <f>INDEX('Prop. prices'!$I$8:$AB$82,MATCH($C935,'Prop. prices'!$C$8:$C$82,0),MATCH(U$920,'Prop. prices'!$I$5:$AB$5,0))</f>
        <v>0</v>
      </c>
      <c r="V935" s="218">
        <f>INDEX('Prop. prices'!$I$8:$AB$82,MATCH($C935,'Prop. prices'!$C$8:$C$82,0),MATCH(V$920,'Prop. prices'!$I$5:$AB$5,0))</f>
        <v>0</v>
      </c>
      <c r="W935" s="218">
        <f>INDEX('Prop. prices'!$I$8:$AB$82,MATCH($C935,'Prop. prices'!$C$8:$C$82,0),MATCH(W$920,'Prop. prices'!$I$5:$AB$5,0))</f>
        <v>0</v>
      </c>
      <c r="X935" s="218">
        <f>INDEX('Prop. prices'!$I$8:$AB$82,MATCH($C935,'Prop. prices'!$C$8:$C$82,0),MATCH(X$920,'Prop. prices'!$I$5:$AB$5,0))</f>
        <v>0</v>
      </c>
      <c r="Y935" s="218">
        <f>INDEX('Prop. prices'!$I$8:$AB$82,MATCH($C935,'Prop. prices'!$C$8:$C$82,0),MATCH(Y$920,'Prop. prices'!$I$5:$AB$5,0))</f>
        <v>0</v>
      </c>
      <c r="Z935" s="218">
        <f>INDEX('Prop. prices'!$I$8:$AB$82,MATCH($C935,'Prop. prices'!$C$8:$C$82,0),MATCH(Z$920,'Prop. prices'!$I$5:$AB$5,0))</f>
        <v>0</v>
      </c>
      <c r="AA935" s="218">
        <f>INDEX('Prop. prices'!$I$8:$AB$82,MATCH($C935,'Prop. prices'!$C$8:$C$82,0),MATCH(AA$920,'Prop. prices'!$I$5:$AB$5,0))</f>
        <v>0</v>
      </c>
      <c r="AB935" s="218">
        <f>INDEX('Prop. prices'!$I$8:$AB$82,MATCH($C935,'Prop. prices'!$C$8:$C$82,0),MATCH(AB$920,'Prop. prices'!$I$5:$AB$5,0))</f>
        <v>0</v>
      </c>
      <c r="AC935" s="187"/>
      <c r="AD935" s="19"/>
      <c r="AE935" s="19"/>
      <c r="AF935" s="19"/>
      <c r="AG935" s="19"/>
    </row>
    <row r="936" spans="1:33" hidden="1" outlineLevel="3" x14ac:dyDescent="0.2">
      <c r="A936" s="19"/>
      <c r="B936" s="97"/>
      <c r="C936" s="506">
        <f t="shared" si="203"/>
        <v>0</v>
      </c>
      <c r="D936" s="505">
        <f t="shared" si="204"/>
        <v>0</v>
      </c>
      <c r="E936" s="58"/>
      <c r="F936" s="223"/>
      <c r="G936" s="58"/>
      <c r="H936" s="58"/>
      <c r="I936" s="218">
        <f>INDEX('Prop. prices'!$I$8:$AB$82,MATCH($C936,'Prop. prices'!$C$8:$C$82,0),MATCH(I$920,'Prop. prices'!$I$5:$AB$5,0))</f>
        <v>0</v>
      </c>
      <c r="J936" s="218">
        <f>INDEX('Prop. prices'!$I$8:$AB$82,MATCH($C936,'Prop. prices'!$C$8:$C$82,0),MATCH(J$920,'Prop. prices'!$I$5:$AB$5,0))</f>
        <v>0</v>
      </c>
      <c r="K936" s="218">
        <f>INDEX('Prop. prices'!$I$8:$AB$82,MATCH($C936,'Prop. prices'!$C$8:$C$82,0),MATCH(K$920,'Prop. prices'!$I$5:$AB$5,0))</f>
        <v>0</v>
      </c>
      <c r="L936" s="218">
        <f>INDEX('Prop. prices'!$I$8:$AB$82,MATCH($C936,'Prop. prices'!$C$8:$C$82,0),MATCH(L$920,'Prop. prices'!$I$5:$AB$5,0))</f>
        <v>0</v>
      </c>
      <c r="M936" s="218">
        <f>INDEX('Prop. prices'!$I$8:$AB$82,MATCH($C936,'Prop. prices'!$C$8:$C$82,0),MATCH(M$920,'Prop. prices'!$I$5:$AB$5,0))</f>
        <v>0</v>
      </c>
      <c r="N936" s="218">
        <f>INDEX('Prop. prices'!$I$8:$AB$82,MATCH($C936,'Prop. prices'!$C$8:$C$82,0),MATCH(N$920,'Prop. prices'!$I$5:$AB$5,0))</f>
        <v>0</v>
      </c>
      <c r="O936" s="218">
        <f>INDEX('Prop. prices'!$I$8:$AB$82,MATCH($C936,'Prop. prices'!$C$8:$C$82,0),MATCH(O$920,'Prop. prices'!$I$5:$AB$5,0))</f>
        <v>0</v>
      </c>
      <c r="P936" s="218">
        <f>INDEX('Prop. prices'!$I$8:$AB$82,MATCH($C936,'Prop. prices'!$C$8:$C$82,0),MATCH(P$920,'Prop. prices'!$I$5:$AB$5,0))</f>
        <v>0</v>
      </c>
      <c r="Q936" s="218">
        <f>INDEX('Prop. prices'!$I$8:$AB$82,MATCH($C936,'Prop. prices'!$C$8:$C$82,0),MATCH(Q$920,'Prop. prices'!$I$5:$AB$5,0))</f>
        <v>0</v>
      </c>
      <c r="R936" s="218">
        <f>INDEX('Prop. prices'!$I$8:$AB$82,MATCH($C936,'Prop. prices'!$C$8:$C$82,0),MATCH(R$920,'Prop. prices'!$I$5:$AB$5,0))</f>
        <v>0</v>
      </c>
      <c r="S936" s="218">
        <f>INDEX('Prop. prices'!$I$8:$AB$82,MATCH($C936,'Prop. prices'!$C$8:$C$82,0),MATCH(S$920,'Prop. prices'!$I$5:$AB$5,0))</f>
        <v>0</v>
      </c>
      <c r="T936" s="218">
        <f>INDEX('Prop. prices'!$I$8:$AB$82,MATCH($C936,'Prop. prices'!$C$8:$C$82,0),MATCH(T$920,'Prop. prices'!$I$5:$AB$5,0))</f>
        <v>0</v>
      </c>
      <c r="U936" s="218">
        <f>INDEX('Prop. prices'!$I$8:$AB$82,MATCH($C936,'Prop. prices'!$C$8:$C$82,0),MATCH(U$920,'Prop. prices'!$I$5:$AB$5,0))</f>
        <v>0</v>
      </c>
      <c r="V936" s="218">
        <f>INDEX('Prop. prices'!$I$8:$AB$82,MATCH($C936,'Prop. prices'!$C$8:$C$82,0),MATCH(V$920,'Prop. prices'!$I$5:$AB$5,0))</f>
        <v>0</v>
      </c>
      <c r="W936" s="218">
        <f>INDEX('Prop. prices'!$I$8:$AB$82,MATCH($C936,'Prop. prices'!$C$8:$C$82,0),MATCH(W$920,'Prop. prices'!$I$5:$AB$5,0))</f>
        <v>0</v>
      </c>
      <c r="X936" s="218">
        <f>INDEX('Prop. prices'!$I$8:$AB$82,MATCH($C936,'Prop. prices'!$C$8:$C$82,0),MATCH(X$920,'Prop. prices'!$I$5:$AB$5,0))</f>
        <v>0</v>
      </c>
      <c r="Y936" s="218">
        <f>INDEX('Prop. prices'!$I$8:$AB$82,MATCH($C936,'Prop. prices'!$C$8:$C$82,0),MATCH(Y$920,'Prop. prices'!$I$5:$AB$5,0))</f>
        <v>0</v>
      </c>
      <c r="Z936" s="218">
        <f>INDEX('Prop. prices'!$I$8:$AB$82,MATCH($C936,'Prop. prices'!$C$8:$C$82,0),MATCH(Z$920,'Prop. prices'!$I$5:$AB$5,0))</f>
        <v>0</v>
      </c>
      <c r="AA936" s="218">
        <f>INDEX('Prop. prices'!$I$8:$AB$82,MATCH($C936,'Prop. prices'!$C$8:$C$82,0),MATCH(AA$920,'Prop. prices'!$I$5:$AB$5,0))</f>
        <v>0</v>
      </c>
      <c r="AB936" s="218">
        <f>INDEX('Prop. prices'!$I$8:$AB$82,MATCH($C936,'Prop. prices'!$C$8:$C$82,0),MATCH(AB$920,'Prop. prices'!$I$5:$AB$5,0))</f>
        <v>0</v>
      </c>
      <c r="AC936" s="187"/>
      <c r="AD936" s="19"/>
      <c r="AE936" s="19"/>
      <c r="AF936" s="19"/>
      <c r="AG936" s="19"/>
    </row>
    <row r="937" spans="1:33" hidden="1" outlineLevel="3" x14ac:dyDescent="0.2">
      <c r="A937" s="19"/>
      <c r="B937" s="97"/>
      <c r="C937" s="506">
        <f t="shared" si="203"/>
        <v>0</v>
      </c>
      <c r="D937" s="505">
        <f t="shared" si="204"/>
        <v>0</v>
      </c>
      <c r="E937" s="58"/>
      <c r="F937" s="223"/>
      <c r="G937" s="58"/>
      <c r="H937" s="58"/>
      <c r="I937" s="218">
        <f>INDEX('Prop. prices'!$I$8:$AB$82,MATCH($C937,'Prop. prices'!$C$8:$C$82,0),MATCH(I$920,'Prop. prices'!$I$5:$AB$5,0))</f>
        <v>0</v>
      </c>
      <c r="J937" s="218">
        <f>INDEX('Prop. prices'!$I$8:$AB$82,MATCH($C937,'Prop. prices'!$C$8:$C$82,0),MATCH(J$920,'Prop. prices'!$I$5:$AB$5,0))</f>
        <v>0</v>
      </c>
      <c r="K937" s="218">
        <f>INDEX('Prop. prices'!$I$8:$AB$82,MATCH($C937,'Prop. prices'!$C$8:$C$82,0),MATCH(K$920,'Prop. prices'!$I$5:$AB$5,0))</f>
        <v>0</v>
      </c>
      <c r="L937" s="218">
        <f>INDEX('Prop. prices'!$I$8:$AB$82,MATCH($C937,'Prop. prices'!$C$8:$C$82,0),MATCH(L$920,'Prop. prices'!$I$5:$AB$5,0))</f>
        <v>0</v>
      </c>
      <c r="M937" s="218">
        <f>INDEX('Prop. prices'!$I$8:$AB$82,MATCH($C937,'Prop. prices'!$C$8:$C$82,0),MATCH(M$920,'Prop. prices'!$I$5:$AB$5,0))</f>
        <v>0</v>
      </c>
      <c r="N937" s="218">
        <f>INDEX('Prop. prices'!$I$8:$AB$82,MATCH($C937,'Prop. prices'!$C$8:$C$82,0),MATCH(N$920,'Prop. prices'!$I$5:$AB$5,0))</f>
        <v>0</v>
      </c>
      <c r="O937" s="218">
        <f>INDEX('Prop. prices'!$I$8:$AB$82,MATCH($C937,'Prop. prices'!$C$8:$C$82,0),MATCH(O$920,'Prop. prices'!$I$5:$AB$5,0))</f>
        <v>0</v>
      </c>
      <c r="P937" s="218">
        <f>INDEX('Prop. prices'!$I$8:$AB$82,MATCH($C937,'Prop. prices'!$C$8:$C$82,0),MATCH(P$920,'Prop. prices'!$I$5:$AB$5,0))</f>
        <v>0</v>
      </c>
      <c r="Q937" s="218">
        <f>INDEX('Prop. prices'!$I$8:$AB$82,MATCH($C937,'Prop. prices'!$C$8:$C$82,0),MATCH(Q$920,'Prop. prices'!$I$5:$AB$5,0))</f>
        <v>0</v>
      </c>
      <c r="R937" s="218">
        <f>INDEX('Prop. prices'!$I$8:$AB$82,MATCH($C937,'Prop. prices'!$C$8:$C$82,0),MATCH(R$920,'Prop. prices'!$I$5:$AB$5,0))</f>
        <v>0</v>
      </c>
      <c r="S937" s="218">
        <f>INDEX('Prop. prices'!$I$8:$AB$82,MATCH($C937,'Prop. prices'!$C$8:$C$82,0),MATCH(S$920,'Prop. prices'!$I$5:$AB$5,0))</f>
        <v>0</v>
      </c>
      <c r="T937" s="218">
        <f>INDEX('Prop. prices'!$I$8:$AB$82,MATCH($C937,'Prop. prices'!$C$8:$C$82,0),MATCH(T$920,'Prop. prices'!$I$5:$AB$5,0))</f>
        <v>0</v>
      </c>
      <c r="U937" s="218">
        <f>INDEX('Prop. prices'!$I$8:$AB$82,MATCH($C937,'Prop. prices'!$C$8:$C$82,0),MATCH(U$920,'Prop. prices'!$I$5:$AB$5,0))</f>
        <v>0</v>
      </c>
      <c r="V937" s="218">
        <f>INDEX('Prop. prices'!$I$8:$AB$82,MATCH($C937,'Prop. prices'!$C$8:$C$82,0),MATCH(V$920,'Prop. prices'!$I$5:$AB$5,0))</f>
        <v>0</v>
      </c>
      <c r="W937" s="218">
        <f>INDEX('Prop. prices'!$I$8:$AB$82,MATCH($C937,'Prop. prices'!$C$8:$C$82,0),MATCH(W$920,'Prop. prices'!$I$5:$AB$5,0))</f>
        <v>0</v>
      </c>
      <c r="X937" s="218">
        <f>INDEX('Prop. prices'!$I$8:$AB$82,MATCH($C937,'Prop. prices'!$C$8:$C$82,0),MATCH(X$920,'Prop. prices'!$I$5:$AB$5,0))</f>
        <v>0</v>
      </c>
      <c r="Y937" s="218">
        <f>INDEX('Prop. prices'!$I$8:$AB$82,MATCH($C937,'Prop. prices'!$C$8:$C$82,0),MATCH(Y$920,'Prop. prices'!$I$5:$AB$5,0))</f>
        <v>0</v>
      </c>
      <c r="Z937" s="218">
        <f>INDEX('Prop. prices'!$I$8:$AB$82,MATCH($C937,'Prop. prices'!$C$8:$C$82,0),MATCH(Z$920,'Prop. prices'!$I$5:$AB$5,0))</f>
        <v>0</v>
      </c>
      <c r="AA937" s="218">
        <f>INDEX('Prop. prices'!$I$8:$AB$82,MATCH($C937,'Prop. prices'!$C$8:$C$82,0),MATCH(AA$920,'Prop. prices'!$I$5:$AB$5,0))</f>
        <v>0</v>
      </c>
      <c r="AB937" s="218">
        <f>INDEX('Prop. prices'!$I$8:$AB$82,MATCH($C937,'Prop. prices'!$C$8:$C$82,0),MATCH(AB$920,'Prop. prices'!$I$5:$AB$5,0))</f>
        <v>0</v>
      </c>
      <c r="AC937" s="187"/>
      <c r="AD937" s="19"/>
      <c r="AE937" s="19"/>
      <c r="AF937" s="19"/>
      <c r="AG937" s="19"/>
    </row>
    <row r="938" spans="1:33" hidden="1" outlineLevel="3" x14ac:dyDescent="0.2">
      <c r="A938" s="19"/>
      <c r="B938" s="98"/>
      <c r="C938" s="506">
        <f t="shared" si="203"/>
        <v>0</v>
      </c>
      <c r="D938" s="505">
        <f t="shared" si="204"/>
        <v>0</v>
      </c>
      <c r="E938" s="58"/>
      <c r="F938" s="223"/>
      <c r="G938" s="58"/>
      <c r="H938" s="58"/>
      <c r="I938" s="218">
        <f>INDEX('Prop. prices'!$I$8:$AB$82,MATCH($C938,'Prop. prices'!$C$8:$C$82,0),MATCH(I$920,'Prop. prices'!$I$5:$AB$5,0))</f>
        <v>0</v>
      </c>
      <c r="J938" s="218">
        <f>INDEX('Prop. prices'!$I$8:$AB$82,MATCH($C938,'Prop. prices'!$C$8:$C$82,0),MATCH(J$920,'Prop. prices'!$I$5:$AB$5,0))</f>
        <v>0</v>
      </c>
      <c r="K938" s="218">
        <f>INDEX('Prop. prices'!$I$8:$AB$82,MATCH($C938,'Prop. prices'!$C$8:$C$82,0),MATCH(K$920,'Prop. prices'!$I$5:$AB$5,0))</f>
        <v>0</v>
      </c>
      <c r="L938" s="218">
        <f>INDEX('Prop. prices'!$I$8:$AB$82,MATCH($C938,'Prop. prices'!$C$8:$C$82,0),MATCH(L$920,'Prop. prices'!$I$5:$AB$5,0))</f>
        <v>0</v>
      </c>
      <c r="M938" s="218">
        <f>INDEX('Prop. prices'!$I$8:$AB$82,MATCH($C938,'Prop. prices'!$C$8:$C$82,0),MATCH(M$920,'Prop. prices'!$I$5:$AB$5,0))</f>
        <v>0</v>
      </c>
      <c r="N938" s="218">
        <f>INDEX('Prop. prices'!$I$8:$AB$82,MATCH($C938,'Prop. prices'!$C$8:$C$82,0),MATCH(N$920,'Prop. prices'!$I$5:$AB$5,0))</f>
        <v>0</v>
      </c>
      <c r="O938" s="218">
        <f>INDEX('Prop. prices'!$I$8:$AB$82,MATCH($C938,'Prop. prices'!$C$8:$C$82,0),MATCH(O$920,'Prop. prices'!$I$5:$AB$5,0))</f>
        <v>0</v>
      </c>
      <c r="P938" s="218">
        <f>INDEX('Prop. prices'!$I$8:$AB$82,MATCH($C938,'Prop. prices'!$C$8:$C$82,0),MATCH(P$920,'Prop. prices'!$I$5:$AB$5,0))</f>
        <v>0</v>
      </c>
      <c r="Q938" s="218">
        <f>INDEX('Prop. prices'!$I$8:$AB$82,MATCH($C938,'Prop. prices'!$C$8:$C$82,0),MATCH(Q$920,'Prop. prices'!$I$5:$AB$5,0))</f>
        <v>0</v>
      </c>
      <c r="R938" s="218">
        <f>INDEX('Prop. prices'!$I$8:$AB$82,MATCH($C938,'Prop. prices'!$C$8:$C$82,0),MATCH(R$920,'Prop. prices'!$I$5:$AB$5,0))</f>
        <v>0</v>
      </c>
      <c r="S938" s="218">
        <f>INDEX('Prop. prices'!$I$8:$AB$82,MATCH($C938,'Prop. prices'!$C$8:$C$82,0),MATCH(S$920,'Prop. prices'!$I$5:$AB$5,0))</f>
        <v>0</v>
      </c>
      <c r="T938" s="218">
        <f>INDEX('Prop. prices'!$I$8:$AB$82,MATCH($C938,'Prop. prices'!$C$8:$C$82,0),MATCH(T$920,'Prop. prices'!$I$5:$AB$5,0))</f>
        <v>0</v>
      </c>
      <c r="U938" s="218">
        <f>INDEX('Prop. prices'!$I$8:$AB$82,MATCH($C938,'Prop. prices'!$C$8:$C$82,0),MATCH(U$920,'Prop. prices'!$I$5:$AB$5,0))</f>
        <v>0</v>
      </c>
      <c r="V938" s="218">
        <f>INDEX('Prop. prices'!$I$8:$AB$82,MATCH($C938,'Prop. prices'!$C$8:$C$82,0),MATCH(V$920,'Prop. prices'!$I$5:$AB$5,0))</f>
        <v>0</v>
      </c>
      <c r="W938" s="218">
        <f>INDEX('Prop. prices'!$I$8:$AB$82,MATCH($C938,'Prop. prices'!$C$8:$C$82,0),MATCH(W$920,'Prop. prices'!$I$5:$AB$5,0))</f>
        <v>0</v>
      </c>
      <c r="X938" s="218">
        <f>INDEX('Prop. prices'!$I$8:$AB$82,MATCH($C938,'Prop. prices'!$C$8:$C$82,0),MATCH(X$920,'Prop. prices'!$I$5:$AB$5,0))</f>
        <v>0</v>
      </c>
      <c r="Y938" s="218">
        <f>INDEX('Prop. prices'!$I$8:$AB$82,MATCH($C938,'Prop. prices'!$C$8:$C$82,0),MATCH(Y$920,'Prop. prices'!$I$5:$AB$5,0))</f>
        <v>0</v>
      </c>
      <c r="Z938" s="218">
        <f>INDEX('Prop. prices'!$I$8:$AB$82,MATCH($C938,'Prop. prices'!$C$8:$C$82,0),MATCH(Z$920,'Prop. prices'!$I$5:$AB$5,0))</f>
        <v>0</v>
      </c>
      <c r="AA938" s="218">
        <f>INDEX('Prop. prices'!$I$8:$AB$82,MATCH($C938,'Prop. prices'!$C$8:$C$82,0),MATCH(AA$920,'Prop. prices'!$I$5:$AB$5,0))</f>
        <v>0</v>
      </c>
      <c r="AB938" s="218">
        <f>INDEX('Prop. prices'!$I$8:$AB$82,MATCH($C938,'Prop. prices'!$C$8:$C$82,0),MATCH(AB$920,'Prop. prices'!$I$5:$AB$5,0))</f>
        <v>0</v>
      </c>
      <c r="AC938" s="187"/>
      <c r="AD938" s="19"/>
      <c r="AE938" s="19"/>
      <c r="AF938" s="19"/>
      <c r="AG938" s="19"/>
    </row>
    <row r="939" spans="1:33" hidden="1" outlineLevel="3" x14ac:dyDescent="0.2">
      <c r="A939" s="19"/>
      <c r="B939" s="97"/>
      <c r="C939" s="506">
        <f t="shared" si="203"/>
        <v>0</v>
      </c>
      <c r="D939" s="505">
        <f t="shared" si="204"/>
        <v>0</v>
      </c>
      <c r="E939" s="58"/>
      <c r="F939" s="223"/>
      <c r="G939" s="58"/>
      <c r="H939" s="58"/>
      <c r="I939" s="218">
        <f>INDEX('Prop. prices'!$I$8:$AB$82,MATCH($C939,'Prop. prices'!$C$8:$C$82,0),MATCH(I$920,'Prop. prices'!$I$5:$AB$5,0))</f>
        <v>0</v>
      </c>
      <c r="J939" s="218">
        <f>INDEX('Prop. prices'!$I$8:$AB$82,MATCH($C939,'Prop. prices'!$C$8:$C$82,0),MATCH(J$920,'Prop. prices'!$I$5:$AB$5,0))</f>
        <v>0</v>
      </c>
      <c r="K939" s="218">
        <f>INDEX('Prop. prices'!$I$8:$AB$82,MATCH($C939,'Prop. prices'!$C$8:$C$82,0),MATCH(K$920,'Prop. prices'!$I$5:$AB$5,0))</f>
        <v>0</v>
      </c>
      <c r="L939" s="218">
        <f>INDEX('Prop. prices'!$I$8:$AB$82,MATCH($C939,'Prop. prices'!$C$8:$C$82,0),MATCH(L$920,'Prop. prices'!$I$5:$AB$5,0))</f>
        <v>0</v>
      </c>
      <c r="M939" s="218">
        <f>INDEX('Prop. prices'!$I$8:$AB$82,MATCH($C939,'Prop. prices'!$C$8:$C$82,0),MATCH(M$920,'Prop. prices'!$I$5:$AB$5,0))</f>
        <v>0</v>
      </c>
      <c r="N939" s="218">
        <f>INDEX('Prop. prices'!$I$8:$AB$82,MATCH($C939,'Prop. prices'!$C$8:$C$82,0),MATCH(N$920,'Prop. prices'!$I$5:$AB$5,0))</f>
        <v>0</v>
      </c>
      <c r="O939" s="218">
        <f>INDEX('Prop. prices'!$I$8:$AB$82,MATCH($C939,'Prop. prices'!$C$8:$C$82,0),MATCH(O$920,'Prop. prices'!$I$5:$AB$5,0))</f>
        <v>0</v>
      </c>
      <c r="P939" s="218">
        <f>INDEX('Prop. prices'!$I$8:$AB$82,MATCH($C939,'Prop. prices'!$C$8:$C$82,0),MATCH(P$920,'Prop. prices'!$I$5:$AB$5,0))</f>
        <v>0</v>
      </c>
      <c r="Q939" s="218">
        <f>INDEX('Prop. prices'!$I$8:$AB$82,MATCH($C939,'Prop. prices'!$C$8:$C$82,0),MATCH(Q$920,'Prop. prices'!$I$5:$AB$5,0))</f>
        <v>0</v>
      </c>
      <c r="R939" s="218">
        <f>INDEX('Prop. prices'!$I$8:$AB$82,MATCH($C939,'Prop. prices'!$C$8:$C$82,0),MATCH(R$920,'Prop. prices'!$I$5:$AB$5,0))</f>
        <v>0</v>
      </c>
      <c r="S939" s="218">
        <f>INDEX('Prop. prices'!$I$8:$AB$82,MATCH($C939,'Prop. prices'!$C$8:$C$82,0),MATCH(S$920,'Prop. prices'!$I$5:$AB$5,0))</f>
        <v>0</v>
      </c>
      <c r="T939" s="218">
        <f>INDEX('Prop. prices'!$I$8:$AB$82,MATCH($C939,'Prop. prices'!$C$8:$C$82,0),MATCH(T$920,'Prop. prices'!$I$5:$AB$5,0))</f>
        <v>0</v>
      </c>
      <c r="U939" s="218">
        <f>INDEX('Prop. prices'!$I$8:$AB$82,MATCH($C939,'Prop. prices'!$C$8:$C$82,0),MATCH(U$920,'Prop. prices'!$I$5:$AB$5,0))</f>
        <v>0</v>
      </c>
      <c r="V939" s="218">
        <f>INDEX('Prop. prices'!$I$8:$AB$82,MATCH($C939,'Prop. prices'!$C$8:$C$82,0),MATCH(V$920,'Prop. prices'!$I$5:$AB$5,0))</f>
        <v>0</v>
      </c>
      <c r="W939" s="218">
        <f>INDEX('Prop. prices'!$I$8:$AB$82,MATCH($C939,'Prop. prices'!$C$8:$C$82,0),MATCH(W$920,'Prop. prices'!$I$5:$AB$5,0))</f>
        <v>0</v>
      </c>
      <c r="X939" s="218">
        <f>INDEX('Prop. prices'!$I$8:$AB$82,MATCH($C939,'Prop. prices'!$C$8:$C$82,0),MATCH(X$920,'Prop. prices'!$I$5:$AB$5,0))</f>
        <v>0</v>
      </c>
      <c r="Y939" s="218">
        <f>INDEX('Prop. prices'!$I$8:$AB$82,MATCH($C939,'Prop. prices'!$C$8:$C$82,0),MATCH(Y$920,'Prop. prices'!$I$5:$AB$5,0))</f>
        <v>0</v>
      </c>
      <c r="Z939" s="218">
        <f>INDEX('Prop. prices'!$I$8:$AB$82,MATCH($C939,'Prop. prices'!$C$8:$C$82,0),MATCH(Z$920,'Prop. prices'!$I$5:$AB$5,0))</f>
        <v>0</v>
      </c>
      <c r="AA939" s="218">
        <f>INDEX('Prop. prices'!$I$8:$AB$82,MATCH($C939,'Prop. prices'!$C$8:$C$82,0),MATCH(AA$920,'Prop. prices'!$I$5:$AB$5,0))</f>
        <v>0</v>
      </c>
      <c r="AB939" s="218">
        <f>INDEX('Prop. prices'!$I$8:$AB$82,MATCH($C939,'Prop. prices'!$C$8:$C$82,0),MATCH(AB$920,'Prop. prices'!$I$5:$AB$5,0))</f>
        <v>0</v>
      </c>
      <c r="AC939" s="187"/>
      <c r="AD939" s="19"/>
      <c r="AE939" s="19"/>
      <c r="AF939" s="19"/>
      <c r="AG939" s="19"/>
    </row>
    <row r="940" spans="1:33" hidden="1" outlineLevel="3" x14ac:dyDescent="0.2">
      <c r="A940" s="19"/>
      <c r="B940" s="97"/>
      <c r="C940" s="506">
        <f t="shared" si="203"/>
        <v>0</v>
      </c>
      <c r="D940" s="505">
        <f t="shared" si="204"/>
        <v>0</v>
      </c>
      <c r="E940" s="58"/>
      <c r="F940" s="223"/>
      <c r="G940" s="58"/>
      <c r="H940" s="58"/>
      <c r="I940" s="218">
        <f>INDEX('Prop. prices'!$I$8:$AB$82,MATCH($C940,'Prop. prices'!$C$8:$C$82,0),MATCH(I$920,'Prop. prices'!$I$5:$AB$5,0))</f>
        <v>0</v>
      </c>
      <c r="J940" s="218">
        <f>INDEX('Prop. prices'!$I$8:$AB$82,MATCH($C940,'Prop. prices'!$C$8:$C$82,0),MATCH(J$920,'Prop. prices'!$I$5:$AB$5,0))</f>
        <v>0</v>
      </c>
      <c r="K940" s="218">
        <f>INDEX('Prop. prices'!$I$8:$AB$82,MATCH($C940,'Prop. prices'!$C$8:$C$82,0),MATCH(K$920,'Prop. prices'!$I$5:$AB$5,0))</f>
        <v>0</v>
      </c>
      <c r="L940" s="218">
        <f>INDEX('Prop. prices'!$I$8:$AB$82,MATCH($C940,'Prop. prices'!$C$8:$C$82,0),MATCH(L$920,'Prop. prices'!$I$5:$AB$5,0))</f>
        <v>0</v>
      </c>
      <c r="M940" s="218">
        <f>INDEX('Prop. prices'!$I$8:$AB$82,MATCH($C940,'Prop. prices'!$C$8:$C$82,0),MATCH(M$920,'Prop. prices'!$I$5:$AB$5,0))</f>
        <v>0</v>
      </c>
      <c r="N940" s="218">
        <f>INDEX('Prop. prices'!$I$8:$AB$82,MATCH($C940,'Prop. prices'!$C$8:$C$82,0),MATCH(N$920,'Prop. prices'!$I$5:$AB$5,0))</f>
        <v>0</v>
      </c>
      <c r="O940" s="218">
        <f>INDEX('Prop. prices'!$I$8:$AB$82,MATCH($C940,'Prop. prices'!$C$8:$C$82,0),MATCH(O$920,'Prop. prices'!$I$5:$AB$5,0))</f>
        <v>0</v>
      </c>
      <c r="P940" s="218">
        <f>INDEX('Prop. prices'!$I$8:$AB$82,MATCH($C940,'Prop. prices'!$C$8:$C$82,0),MATCH(P$920,'Prop. prices'!$I$5:$AB$5,0))</f>
        <v>0</v>
      </c>
      <c r="Q940" s="218">
        <f>INDEX('Prop. prices'!$I$8:$AB$82,MATCH($C940,'Prop. prices'!$C$8:$C$82,0),MATCH(Q$920,'Prop. prices'!$I$5:$AB$5,0))</f>
        <v>0</v>
      </c>
      <c r="R940" s="218">
        <f>INDEX('Prop. prices'!$I$8:$AB$82,MATCH($C940,'Prop. prices'!$C$8:$C$82,0),MATCH(R$920,'Prop. prices'!$I$5:$AB$5,0))</f>
        <v>0</v>
      </c>
      <c r="S940" s="218">
        <f>INDEX('Prop. prices'!$I$8:$AB$82,MATCH($C940,'Prop. prices'!$C$8:$C$82,0),MATCH(S$920,'Prop. prices'!$I$5:$AB$5,0))</f>
        <v>0</v>
      </c>
      <c r="T940" s="218">
        <f>INDEX('Prop. prices'!$I$8:$AB$82,MATCH($C940,'Prop. prices'!$C$8:$C$82,0),MATCH(T$920,'Prop. prices'!$I$5:$AB$5,0))</f>
        <v>0</v>
      </c>
      <c r="U940" s="218">
        <f>INDEX('Prop. prices'!$I$8:$AB$82,MATCH($C940,'Prop. prices'!$C$8:$C$82,0),MATCH(U$920,'Prop. prices'!$I$5:$AB$5,0))</f>
        <v>0</v>
      </c>
      <c r="V940" s="218">
        <f>INDEX('Prop. prices'!$I$8:$AB$82,MATCH($C940,'Prop. prices'!$C$8:$C$82,0),MATCH(V$920,'Prop. prices'!$I$5:$AB$5,0))</f>
        <v>0</v>
      </c>
      <c r="W940" s="218">
        <f>INDEX('Prop. prices'!$I$8:$AB$82,MATCH($C940,'Prop. prices'!$C$8:$C$82,0),MATCH(W$920,'Prop. prices'!$I$5:$AB$5,0))</f>
        <v>0</v>
      </c>
      <c r="X940" s="218">
        <f>INDEX('Prop. prices'!$I$8:$AB$82,MATCH($C940,'Prop. prices'!$C$8:$C$82,0),MATCH(X$920,'Prop. prices'!$I$5:$AB$5,0))</f>
        <v>0</v>
      </c>
      <c r="Y940" s="218">
        <f>INDEX('Prop. prices'!$I$8:$AB$82,MATCH($C940,'Prop. prices'!$C$8:$C$82,0),MATCH(Y$920,'Prop. prices'!$I$5:$AB$5,0))</f>
        <v>0</v>
      </c>
      <c r="Z940" s="218">
        <f>INDEX('Prop. prices'!$I$8:$AB$82,MATCH($C940,'Prop. prices'!$C$8:$C$82,0),MATCH(Z$920,'Prop. prices'!$I$5:$AB$5,0))</f>
        <v>0</v>
      </c>
      <c r="AA940" s="218">
        <f>INDEX('Prop. prices'!$I$8:$AB$82,MATCH($C940,'Prop. prices'!$C$8:$C$82,0),MATCH(AA$920,'Prop. prices'!$I$5:$AB$5,0))</f>
        <v>0</v>
      </c>
      <c r="AB940" s="218">
        <f>INDEX('Prop. prices'!$I$8:$AB$82,MATCH($C940,'Prop. prices'!$C$8:$C$82,0),MATCH(AB$920,'Prop. prices'!$I$5:$AB$5,0))</f>
        <v>0</v>
      </c>
      <c r="AC940" s="187"/>
      <c r="AD940" s="19"/>
      <c r="AE940" s="19"/>
      <c r="AF940" s="19"/>
      <c r="AG940" s="19"/>
    </row>
    <row r="941" spans="1:33" hidden="1" outlineLevel="3" x14ac:dyDescent="0.2">
      <c r="A941" s="19"/>
      <c r="B941" s="97"/>
      <c r="C941" s="506">
        <f t="shared" si="203"/>
        <v>0</v>
      </c>
      <c r="D941" s="505">
        <f t="shared" si="204"/>
        <v>0</v>
      </c>
      <c r="E941" s="58"/>
      <c r="F941" s="223"/>
      <c r="G941" s="58"/>
      <c r="H941" s="58"/>
      <c r="I941" s="218">
        <f>INDEX('Prop. prices'!$I$8:$AB$82,MATCH($C941,'Prop. prices'!$C$8:$C$82,0),MATCH(I$920,'Prop. prices'!$I$5:$AB$5,0))</f>
        <v>0</v>
      </c>
      <c r="J941" s="218">
        <f>INDEX('Prop. prices'!$I$8:$AB$82,MATCH($C941,'Prop. prices'!$C$8:$C$82,0),MATCH(J$920,'Prop. prices'!$I$5:$AB$5,0))</f>
        <v>0</v>
      </c>
      <c r="K941" s="218">
        <f>INDEX('Prop. prices'!$I$8:$AB$82,MATCH($C941,'Prop. prices'!$C$8:$C$82,0),MATCH(K$920,'Prop. prices'!$I$5:$AB$5,0))</f>
        <v>0</v>
      </c>
      <c r="L941" s="218">
        <f>INDEX('Prop. prices'!$I$8:$AB$82,MATCH($C941,'Prop. prices'!$C$8:$C$82,0),MATCH(L$920,'Prop. prices'!$I$5:$AB$5,0))</f>
        <v>0</v>
      </c>
      <c r="M941" s="218">
        <f>INDEX('Prop. prices'!$I$8:$AB$82,MATCH($C941,'Prop. prices'!$C$8:$C$82,0),MATCH(M$920,'Prop. prices'!$I$5:$AB$5,0))</f>
        <v>0</v>
      </c>
      <c r="N941" s="218">
        <f>INDEX('Prop. prices'!$I$8:$AB$82,MATCH($C941,'Prop. prices'!$C$8:$C$82,0),MATCH(N$920,'Prop. prices'!$I$5:$AB$5,0))</f>
        <v>0</v>
      </c>
      <c r="O941" s="218">
        <f>INDEX('Prop. prices'!$I$8:$AB$82,MATCH($C941,'Prop. prices'!$C$8:$C$82,0),MATCH(O$920,'Prop. prices'!$I$5:$AB$5,0))</f>
        <v>0</v>
      </c>
      <c r="P941" s="218">
        <f>INDEX('Prop. prices'!$I$8:$AB$82,MATCH($C941,'Prop. prices'!$C$8:$C$82,0),MATCH(P$920,'Prop. prices'!$I$5:$AB$5,0))</f>
        <v>0</v>
      </c>
      <c r="Q941" s="218">
        <f>INDEX('Prop. prices'!$I$8:$AB$82,MATCH($C941,'Prop. prices'!$C$8:$C$82,0),MATCH(Q$920,'Prop. prices'!$I$5:$AB$5,0))</f>
        <v>0</v>
      </c>
      <c r="R941" s="218">
        <f>INDEX('Prop. prices'!$I$8:$AB$82,MATCH($C941,'Prop. prices'!$C$8:$C$82,0),MATCH(R$920,'Prop. prices'!$I$5:$AB$5,0))</f>
        <v>0</v>
      </c>
      <c r="S941" s="218">
        <f>INDEX('Prop. prices'!$I$8:$AB$82,MATCH($C941,'Prop. prices'!$C$8:$C$82,0),MATCH(S$920,'Prop. prices'!$I$5:$AB$5,0))</f>
        <v>0</v>
      </c>
      <c r="T941" s="218">
        <f>INDEX('Prop. prices'!$I$8:$AB$82,MATCH($C941,'Prop. prices'!$C$8:$C$82,0),MATCH(T$920,'Prop. prices'!$I$5:$AB$5,0))</f>
        <v>0</v>
      </c>
      <c r="U941" s="218">
        <f>INDEX('Prop. prices'!$I$8:$AB$82,MATCH($C941,'Prop. prices'!$C$8:$C$82,0),MATCH(U$920,'Prop. prices'!$I$5:$AB$5,0))</f>
        <v>0</v>
      </c>
      <c r="V941" s="218">
        <f>INDEX('Prop. prices'!$I$8:$AB$82,MATCH($C941,'Prop. prices'!$C$8:$C$82,0),MATCH(V$920,'Prop. prices'!$I$5:$AB$5,0))</f>
        <v>0</v>
      </c>
      <c r="W941" s="218">
        <f>INDEX('Prop. prices'!$I$8:$AB$82,MATCH($C941,'Prop. prices'!$C$8:$C$82,0),MATCH(W$920,'Prop. prices'!$I$5:$AB$5,0))</f>
        <v>0</v>
      </c>
      <c r="X941" s="218">
        <f>INDEX('Prop. prices'!$I$8:$AB$82,MATCH($C941,'Prop. prices'!$C$8:$C$82,0),MATCH(X$920,'Prop. prices'!$I$5:$AB$5,0))</f>
        <v>0</v>
      </c>
      <c r="Y941" s="218">
        <f>INDEX('Prop. prices'!$I$8:$AB$82,MATCH($C941,'Prop. prices'!$C$8:$C$82,0),MATCH(Y$920,'Prop. prices'!$I$5:$AB$5,0))</f>
        <v>0</v>
      </c>
      <c r="Z941" s="218">
        <f>INDEX('Prop. prices'!$I$8:$AB$82,MATCH($C941,'Prop. prices'!$C$8:$C$82,0),MATCH(Z$920,'Prop. prices'!$I$5:$AB$5,0))</f>
        <v>0</v>
      </c>
      <c r="AA941" s="218">
        <f>INDEX('Prop. prices'!$I$8:$AB$82,MATCH($C941,'Prop. prices'!$C$8:$C$82,0),MATCH(AA$920,'Prop. prices'!$I$5:$AB$5,0))</f>
        <v>0</v>
      </c>
      <c r="AB941" s="218">
        <f>INDEX('Prop. prices'!$I$8:$AB$82,MATCH($C941,'Prop. prices'!$C$8:$C$82,0),MATCH(AB$920,'Prop. prices'!$I$5:$AB$5,0))</f>
        <v>0</v>
      </c>
      <c r="AC941" s="187"/>
      <c r="AD941" s="19"/>
      <c r="AE941" s="19"/>
      <c r="AF941" s="19"/>
      <c r="AG941" s="19"/>
    </row>
    <row r="942" spans="1:33" hidden="1" outlineLevel="3" x14ac:dyDescent="0.2">
      <c r="A942" s="19"/>
      <c r="B942" s="97"/>
      <c r="C942" s="506">
        <f t="shared" si="203"/>
        <v>0</v>
      </c>
      <c r="D942" s="505">
        <f t="shared" si="204"/>
        <v>0</v>
      </c>
      <c r="E942" s="58"/>
      <c r="F942" s="223"/>
      <c r="G942" s="58"/>
      <c r="H942" s="58"/>
      <c r="I942" s="218">
        <f>INDEX('Prop. prices'!$I$8:$AB$82,MATCH($C942,'Prop. prices'!$C$8:$C$82,0),MATCH(I$920,'Prop. prices'!$I$5:$AB$5,0))</f>
        <v>0</v>
      </c>
      <c r="J942" s="218">
        <f>INDEX('Prop. prices'!$I$8:$AB$82,MATCH($C942,'Prop. prices'!$C$8:$C$82,0),MATCH(J$920,'Prop. prices'!$I$5:$AB$5,0))</f>
        <v>0</v>
      </c>
      <c r="K942" s="218">
        <f>INDEX('Prop. prices'!$I$8:$AB$82,MATCH($C942,'Prop. prices'!$C$8:$C$82,0),MATCH(K$920,'Prop. prices'!$I$5:$AB$5,0))</f>
        <v>0</v>
      </c>
      <c r="L942" s="218">
        <f>INDEX('Prop. prices'!$I$8:$AB$82,MATCH($C942,'Prop. prices'!$C$8:$C$82,0),MATCH(L$920,'Prop. prices'!$I$5:$AB$5,0))</f>
        <v>0</v>
      </c>
      <c r="M942" s="218">
        <f>INDEX('Prop. prices'!$I$8:$AB$82,MATCH($C942,'Prop. prices'!$C$8:$C$82,0),MATCH(M$920,'Prop. prices'!$I$5:$AB$5,0))</f>
        <v>0</v>
      </c>
      <c r="N942" s="218">
        <f>INDEX('Prop. prices'!$I$8:$AB$82,MATCH($C942,'Prop. prices'!$C$8:$C$82,0),MATCH(N$920,'Prop. prices'!$I$5:$AB$5,0))</f>
        <v>0</v>
      </c>
      <c r="O942" s="218">
        <f>INDEX('Prop. prices'!$I$8:$AB$82,MATCH($C942,'Prop. prices'!$C$8:$C$82,0),MATCH(O$920,'Prop. prices'!$I$5:$AB$5,0))</f>
        <v>0</v>
      </c>
      <c r="P942" s="218">
        <f>INDEX('Prop. prices'!$I$8:$AB$82,MATCH($C942,'Prop. prices'!$C$8:$C$82,0),MATCH(P$920,'Prop. prices'!$I$5:$AB$5,0))</f>
        <v>0</v>
      </c>
      <c r="Q942" s="218">
        <f>INDEX('Prop. prices'!$I$8:$AB$82,MATCH($C942,'Prop. prices'!$C$8:$C$82,0),MATCH(Q$920,'Prop. prices'!$I$5:$AB$5,0))</f>
        <v>0</v>
      </c>
      <c r="R942" s="218">
        <f>INDEX('Prop. prices'!$I$8:$AB$82,MATCH($C942,'Prop. prices'!$C$8:$C$82,0),MATCH(R$920,'Prop. prices'!$I$5:$AB$5,0))</f>
        <v>0</v>
      </c>
      <c r="S942" s="218">
        <f>INDEX('Prop. prices'!$I$8:$AB$82,MATCH($C942,'Prop. prices'!$C$8:$C$82,0),MATCH(S$920,'Prop. prices'!$I$5:$AB$5,0))</f>
        <v>0</v>
      </c>
      <c r="T942" s="218">
        <f>INDEX('Prop. prices'!$I$8:$AB$82,MATCH($C942,'Prop. prices'!$C$8:$C$82,0),MATCH(T$920,'Prop. prices'!$I$5:$AB$5,0))</f>
        <v>0</v>
      </c>
      <c r="U942" s="218">
        <f>INDEX('Prop. prices'!$I$8:$AB$82,MATCH($C942,'Prop. prices'!$C$8:$C$82,0),MATCH(U$920,'Prop. prices'!$I$5:$AB$5,0))</f>
        <v>0</v>
      </c>
      <c r="V942" s="218">
        <f>INDEX('Prop. prices'!$I$8:$AB$82,MATCH($C942,'Prop. prices'!$C$8:$C$82,0),MATCH(V$920,'Prop. prices'!$I$5:$AB$5,0))</f>
        <v>0</v>
      </c>
      <c r="W942" s="218">
        <f>INDEX('Prop. prices'!$I$8:$AB$82,MATCH($C942,'Prop. prices'!$C$8:$C$82,0),MATCH(W$920,'Prop. prices'!$I$5:$AB$5,0))</f>
        <v>0</v>
      </c>
      <c r="X942" s="218">
        <f>INDEX('Prop. prices'!$I$8:$AB$82,MATCH($C942,'Prop. prices'!$C$8:$C$82,0),MATCH(X$920,'Prop. prices'!$I$5:$AB$5,0))</f>
        <v>0</v>
      </c>
      <c r="Y942" s="218">
        <f>INDEX('Prop. prices'!$I$8:$AB$82,MATCH($C942,'Prop. prices'!$C$8:$C$82,0),MATCH(Y$920,'Prop. prices'!$I$5:$AB$5,0))</f>
        <v>0</v>
      </c>
      <c r="Z942" s="218">
        <f>INDEX('Prop. prices'!$I$8:$AB$82,MATCH($C942,'Prop. prices'!$C$8:$C$82,0),MATCH(Z$920,'Prop. prices'!$I$5:$AB$5,0))</f>
        <v>0</v>
      </c>
      <c r="AA942" s="218">
        <f>INDEX('Prop. prices'!$I$8:$AB$82,MATCH($C942,'Prop. prices'!$C$8:$C$82,0),MATCH(AA$920,'Prop. prices'!$I$5:$AB$5,0))</f>
        <v>0</v>
      </c>
      <c r="AB942" s="218">
        <f>INDEX('Prop. prices'!$I$8:$AB$82,MATCH($C942,'Prop. prices'!$C$8:$C$82,0),MATCH(AB$920,'Prop. prices'!$I$5:$AB$5,0))</f>
        <v>0</v>
      </c>
      <c r="AC942" s="187"/>
      <c r="AD942" s="19"/>
      <c r="AE942" s="19"/>
      <c r="AF942" s="19"/>
      <c r="AG942" s="19"/>
    </row>
    <row r="943" spans="1:33" hidden="1" outlineLevel="3" x14ac:dyDescent="0.2">
      <c r="A943" s="19"/>
      <c r="B943" s="97"/>
      <c r="C943" s="506">
        <f t="shared" si="203"/>
        <v>0</v>
      </c>
      <c r="D943" s="505">
        <f t="shared" si="204"/>
        <v>0</v>
      </c>
      <c r="E943" s="58"/>
      <c r="F943" s="223"/>
      <c r="G943" s="58"/>
      <c r="H943" s="58"/>
      <c r="I943" s="218">
        <f>INDEX('Prop. prices'!$I$8:$AB$82,MATCH($C943,'Prop. prices'!$C$8:$C$82,0),MATCH(I$920,'Prop. prices'!$I$5:$AB$5,0))</f>
        <v>0</v>
      </c>
      <c r="J943" s="218">
        <f>INDEX('Prop. prices'!$I$8:$AB$82,MATCH($C943,'Prop. prices'!$C$8:$C$82,0),MATCH(J$920,'Prop. prices'!$I$5:$AB$5,0))</f>
        <v>0</v>
      </c>
      <c r="K943" s="218">
        <f>INDEX('Prop. prices'!$I$8:$AB$82,MATCH($C943,'Prop. prices'!$C$8:$C$82,0),MATCH(K$920,'Prop. prices'!$I$5:$AB$5,0))</f>
        <v>0</v>
      </c>
      <c r="L943" s="218">
        <f>INDEX('Prop. prices'!$I$8:$AB$82,MATCH($C943,'Prop. prices'!$C$8:$C$82,0),MATCH(L$920,'Prop. prices'!$I$5:$AB$5,0))</f>
        <v>0</v>
      </c>
      <c r="M943" s="218">
        <f>INDEX('Prop. prices'!$I$8:$AB$82,MATCH($C943,'Prop. prices'!$C$8:$C$82,0),MATCH(M$920,'Prop. prices'!$I$5:$AB$5,0))</f>
        <v>0</v>
      </c>
      <c r="N943" s="218">
        <f>INDEX('Prop. prices'!$I$8:$AB$82,MATCH($C943,'Prop. prices'!$C$8:$C$82,0),MATCH(N$920,'Prop. prices'!$I$5:$AB$5,0))</f>
        <v>0</v>
      </c>
      <c r="O943" s="218">
        <f>INDEX('Prop. prices'!$I$8:$AB$82,MATCH($C943,'Prop. prices'!$C$8:$C$82,0),MATCH(O$920,'Prop. prices'!$I$5:$AB$5,0))</f>
        <v>0</v>
      </c>
      <c r="P943" s="218">
        <f>INDEX('Prop. prices'!$I$8:$AB$82,MATCH($C943,'Prop. prices'!$C$8:$C$82,0),MATCH(P$920,'Prop. prices'!$I$5:$AB$5,0))</f>
        <v>0</v>
      </c>
      <c r="Q943" s="218">
        <f>INDEX('Prop. prices'!$I$8:$AB$82,MATCH($C943,'Prop. prices'!$C$8:$C$82,0),MATCH(Q$920,'Prop. prices'!$I$5:$AB$5,0))</f>
        <v>0</v>
      </c>
      <c r="R943" s="218">
        <f>INDEX('Prop. prices'!$I$8:$AB$82,MATCH($C943,'Prop. prices'!$C$8:$C$82,0),MATCH(R$920,'Prop. prices'!$I$5:$AB$5,0))</f>
        <v>0</v>
      </c>
      <c r="S943" s="218">
        <f>INDEX('Prop. prices'!$I$8:$AB$82,MATCH($C943,'Prop. prices'!$C$8:$C$82,0),MATCH(S$920,'Prop. prices'!$I$5:$AB$5,0))</f>
        <v>0</v>
      </c>
      <c r="T943" s="218">
        <f>INDEX('Prop. prices'!$I$8:$AB$82,MATCH($C943,'Prop. prices'!$C$8:$C$82,0),MATCH(T$920,'Prop. prices'!$I$5:$AB$5,0))</f>
        <v>0</v>
      </c>
      <c r="U943" s="218">
        <f>INDEX('Prop. prices'!$I$8:$AB$82,MATCH($C943,'Prop. prices'!$C$8:$C$82,0),MATCH(U$920,'Prop. prices'!$I$5:$AB$5,0))</f>
        <v>0</v>
      </c>
      <c r="V943" s="218">
        <f>INDEX('Prop. prices'!$I$8:$AB$82,MATCH($C943,'Prop. prices'!$C$8:$C$82,0),MATCH(V$920,'Prop. prices'!$I$5:$AB$5,0))</f>
        <v>0</v>
      </c>
      <c r="W943" s="218">
        <f>INDEX('Prop. prices'!$I$8:$AB$82,MATCH($C943,'Prop. prices'!$C$8:$C$82,0),MATCH(W$920,'Prop. prices'!$I$5:$AB$5,0))</f>
        <v>0</v>
      </c>
      <c r="X943" s="218">
        <f>INDEX('Prop. prices'!$I$8:$AB$82,MATCH($C943,'Prop. prices'!$C$8:$C$82,0),MATCH(X$920,'Prop. prices'!$I$5:$AB$5,0))</f>
        <v>0</v>
      </c>
      <c r="Y943" s="218">
        <f>INDEX('Prop. prices'!$I$8:$AB$82,MATCH($C943,'Prop. prices'!$C$8:$C$82,0),MATCH(Y$920,'Prop. prices'!$I$5:$AB$5,0))</f>
        <v>0</v>
      </c>
      <c r="Z943" s="218">
        <f>INDEX('Prop. prices'!$I$8:$AB$82,MATCH($C943,'Prop. prices'!$C$8:$C$82,0),MATCH(Z$920,'Prop. prices'!$I$5:$AB$5,0))</f>
        <v>0</v>
      </c>
      <c r="AA943" s="218">
        <f>INDEX('Prop. prices'!$I$8:$AB$82,MATCH($C943,'Prop. prices'!$C$8:$C$82,0),MATCH(AA$920,'Prop. prices'!$I$5:$AB$5,0))</f>
        <v>0</v>
      </c>
      <c r="AB943" s="218">
        <f>INDEX('Prop. prices'!$I$8:$AB$82,MATCH($C943,'Prop. prices'!$C$8:$C$82,0),MATCH(AB$920,'Prop. prices'!$I$5:$AB$5,0))</f>
        <v>0</v>
      </c>
      <c r="AC943" s="187"/>
      <c r="AD943" s="19"/>
      <c r="AE943" s="19"/>
      <c r="AF943" s="19"/>
      <c r="AG943" s="19"/>
    </row>
    <row r="944" spans="1:33" hidden="1" outlineLevel="3" x14ac:dyDescent="0.2">
      <c r="A944" s="19"/>
      <c r="B944" s="97"/>
      <c r="C944" s="506">
        <f t="shared" si="203"/>
        <v>0</v>
      </c>
      <c r="D944" s="505">
        <f t="shared" si="204"/>
        <v>0</v>
      </c>
      <c r="E944" s="58"/>
      <c r="F944" s="223"/>
      <c r="G944" s="58"/>
      <c r="H944" s="58"/>
      <c r="I944" s="218">
        <f>INDEX('Prop. prices'!$I$8:$AB$82,MATCH($C944,'Prop. prices'!$C$8:$C$82,0),MATCH(I$920,'Prop. prices'!$I$5:$AB$5,0))</f>
        <v>0</v>
      </c>
      <c r="J944" s="218">
        <f>INDEX('Prop. prices'!$I$8:$AB$82,MATCH($C944,'Prop. prices'!$C$8:$C$82,0),MATCH(J$920,'Prop. prices'!$I$5:$AB$5,0))</f>
        <v>0</v>
      </c>
      <c r="K944" s="218">
        <f>INDEX('Prop. prices'!$I$8:$AB$82,MATCH($C944,'Prop. prices'!$C$8:$C$82,0),MATCH(K$920,'Prop. prices'!$I$5:$AB$5,0))</f>
        <v>0</v>
      </c>
      <c r="L944" s="218">
        <f>INDEX('Prop. prices'!$I$8:$AB$82,MATCH($C944,'Prop. prices'!$C$8:$C$82,0),MATCH(L$920,'Prop. prices'!$I$5:$AB$5,0))</f>
        <v>0</v>
      </c>
      <c r="M944" s="218">
        <f>INDEX('Prop. prices'!$I$8:$AB$82,MATCH($C944,'Prop. prices'!$C$8:$C$82,0),MATCH(M$920,'Prop. prices'!$I$5:$AB$5,0))</f>
        <v>0</v>
      </c>
      <c r="N944" s="218">
        <f>INDEX('Prop. prices'!$I$8:$AB$82,MATCH($C944,'Prop. prices'!$C$8:$C$82,0),MATCH(N$920,'Prop. prices'!$I$5:$AB$5,0))</f>
        <v>0</v>
      </c>
      <c r="O944" s="218">
        <f>INDEX('Prop. prices'!$I$8:$AB$82,MATCH($C944,'Prop. prices'!$C$8:$C$82,0),MATCH(O$920,'Prop. prices'!$I$5:$AB$5,0))</f>
        <v>0</v>
      </c>
      <c r="P944" s="218">
        <f>INDEX('Prop. prices'!$I$8:$AB$82,MATCH($C944,'Prop. prices'!$C$8:$C$82,0),MATCH(P$920,'Prop. prices'!$I$5:$AB$5,0))</f>
        <v>0</v>
      </c>
      <c r="Q944" s="218">
        <f>INDEX('Prop. prices'!$I$8:$AB$82,MATCH($C944,'Prop. prices'!$C$8:$C$82,0),MATCH(Q$920,'Prop. prices'!$I$5:$AB$5,0))</f>
        <v>0</v>
      </c>
      <c r="R944" s="218">
        <f>INDEX('Prop. prices'!$I$8:$AB$82,MATCH($C944,'Prop. prices'!$C$8:$C$82,0),MATCH(R$920,'Prop. prices'!$I$5:$AB$5,0))</f>
        <v>0</v>
      </c>
      <c r="S944" s="218">
        <f>INDEX('Prop. prices'!$I$8:$AB$82,MATCH($C944,'Prop. prices'!$C$8:$C$82,0),MATCH(S$920,'Prop. prices'!$I$5:$AB$5,0))</f>
        <v>0</v>
      </c>
      <c r="T944" s="218">
        <f>INDEX('Prop. prices'!$I$8:$AB$82,MATCH($C944,'Prop. prices'!$C$8:$C$82,0),MATCH(T$920,'Prop. prices'!$I$5:$AB$5,0))</f>
        <v>0</v>
      </c>
      <c r="U944" s="218">
        <f>INDEX('Prop. prices'!$I$8:$AB$82,MATCH($C944,'Prop. prices'!$C$8:$C$82,0),MATCH(U$920,'Prop. prices'!$I$5:$AB$5,0))</f>
        <v>0</v>
      </c>
      <c r="V944" s="218">
        <f>INDEX('Prop. prices'!$I$8:$AB$82,MATCH($C944,'Prop. prices'!$C$8:$C$82,0),MATCH(V$920,'Prop. prices'!$I$5:$AB$5,0))</f>
        <v>0</v>
      </c>
      <c r="W944" s="218">
        <f>INDEX('Prop. prices'!$I$8:$AB$82,MATCH($C944,'Prop. prices'!$C$8:$C$82,0),MATCH(W$920,'Prop. prices'!$I$5:$AB$5,0))</f>
        <v>0</v>
      </c>
      <c r="X944" s="218">
        <f>INDEX('Prop. prices'!$I$8:$AB$82,MATCH($C944,'Prop. prices'!$C$8:$C$82,0),MATCH(X$920,'Prop. prices'!$I$5:$AB$5,0))</f>
        <v>0</v>
      </c>
      <c r="Y944" s="218">
        <f>INDEX('Prop. prices'!$I$8:$AB$82,MATCH($C944,'Prop. prices'!$C$8:$C$82,0),MATCH(Y$920,'Prop. prices'!$I$5:$AB$5,0))</f>
        <v>0</v>
      </c>
      <c r="Z944" s="218">
        <f>INDEX('Prop. prices'!$I$8:$AB$82,MATCH($C944,'Prop. prices'!$C$8:$C$82,0),MATCH(Z$920,'Prop. prices'!$I$5:$AB$5,0))</f>
        <v>0</v>
      </c>
      <c r="AA944" s="218">
        <f>INDEX('Prop. prices'!$I$8:$AB$82,MATCH($C944,'Prop. prices'!$C$8:$C$82,0),MATCH(AA$920,'Prop. prices'!$I$5:$AB$5,0))</f>
        <v>0</v>
      </c>
      <c r="AB944" s="218">
        <f>INDEX('Prop. prices'!$I$8:$AB$82,MATCH($C944,'Prop. prices'!$C$8:$C$82,0),MATCH(AB$920,'Prop. prices'!$I$5:$AB$5,0))</f>
        <v>0</v>
      </c>
      <c r="AC944" s="187"/>
      <c r="AD944" s="19"/>
      <c r="AE944" s="19"/>
      <c r="AF944" s="19"/>
      <c r="AG944" s="19"/>
    </row>
    <row r="945" spans="1:33" hidden="1" outlineLevel="3" x14ac:dyDescent="0.2">
      <c r="A945" s="19"/>
      <c r="B945" s="98"/>
      <c r="C945" s="506">
        <f t="shared" si="203"/>
        <v>0</v>
      </c>
      <c r="D945" s="505">
        <f t="shared" si="204"/>
        <v>0</v>
      </c>
      <c r="E945" s="58"/>
      <c r="F945" s="223"/>
      <c r="G945" s="58"/>
      <c r="H945" s="58"/>
      <c r="I945" s="218">
        <f>INDEX('Prop. prices'!$I$8:$AB$82,MATCH($C945,'Prop. prices'!$C$8:$C$82,0),MATCH(I$920,'Prop. prices'!$I$5:$AB$5,0))</f>
        <v>0</v>
      </c>
      <c r="J945" s="218">
        <f>INDEX('Prop. prices'!$I$8:$AB$82,MATCH($C945,'Prop. prices'!$C$8:$C$82,0),MATCH(J$920,'Prop. prices'!$I$5:$AB$5,0))</f>
        <v>0</v>
      </c>
      <c r="K945" s="218">
        <f>INDEX('Prop. prices'!$I$8:$AB$82,MATCH($C945,'Prop. prices'!$C$8:$C$82,0),MATCH(K$920,'Prop. prices'!$I$5:$AB$5,0))</f>
        <v>0</v>
      </c>
      <c r="L945" s="218">
        <f>INDEX('Prop. prices'!$I$8:$AB$82,MATCH($C945,'Prop. prices'!$C$8:$C$82,0),MATCH(L$920,'Prop. prices'!$I$5:$AB$5,0))</f>
        <v>0</v>
      </c>
      <c r="M945" s="218">
        <f>INDEX('Prop. prices'!$I$8:$AB$82,MATCH($C945,'Prop. prices'!$C$8:$C$82,0),MATCH(M$920,'Prop. prices'!$I$5:$AB$5,0))</f>
        <v>0</v>
      </c>
      <c r="N945" s="218">
        <f>INDEX('Prop. prices'!$I$8:$AB$82,MATCH($C945,'Prop. prices'!$C$8:$C$82,0),MATCH(N$920,'Prop. prices'!$I$5:$AB$5,0))</f>
        <v>0</v>
      </c>
      <c r="O945" s="218">
        <f>INDEX('Prop. prices'!$I$8:$AB$82,MATCH($C945,'Prop. prices'!$C$8:$C$82,0),MATCH(O$920,'Prop. prices'!$I$5:$AB$5,0))</f>
        <v>0</v>
      </c>
      <c r="P945" s="218">
        <f>INDEX('Prop. prices'!$I$8:$AB$82,MATCH($C945,'Prop. prices'!$C$8:$C$82,0),MATCH(P$920,'Prop. prices'!$I$5:$AB$5,0))</f>
        <v>0</v>
      </c>
      <c r="Q945" s="218">
        <f>INDEX('Prop. prices'!$I$8:$AB$82,MATCH($C945,'Prop. prices'!$C$8:$C$82,0),MATCH(Q$920,'Prop. prices'!$I$5:$AB$5,0))</f>
        <v>0</v>
      </c>
      <c r="R945" s="218">
        <f>INDEX('Prop. prices'!$I$8:$AB$82,MATCH($C945,'Prop. prices'!$C$8:$C$82,0),MATCH(R$920,'Prop. prices'!$I$5:$AB$5,0))</f>
        <v>0</v>
      </c>
      <c r="S945" s="218">
        <f>INDEX('Prop. prices'!$I$8:$AB$82,MATCH($C945,'Prop. prices'!$C$8:$C$82,0),MATCH(S$920,'Prop. prices'!$I$5:$AB$5,0))</f>
        <v>0</v>
      </c>
      <c r="T945" s="218">
        <f>INDEX('Prop. prices'!$I$8:$AB$82,MATCH($C945,'Prop. prices'!$C$8:$C$82,0),MATCH(T$920,'Prop. prices'!$I$5:$AB$5,0))</f>
        <v>0</v>
      </c>
      <c r="U945" s="218">
        <f>INDEX('Prop. prices'!$I$8:$AB$82,MATCH($C945,'Prop. prices'!$C$8:$C$82,0),MATCH(U$920,'Prop. prices'!$I$5:$AB$5,0))</f>
        <v>0</v>
      </c>
      <c r="V945" s="218">
        <f>INDEX('Prop. prices'!$I$8:$AB$82,MATCH($C945,'Prop. prices'!$C$8:$C$82,0),MATCH(V$920,'Prop. prices'!$I$5:$AB$5,0))</f>
        <v>0</v>
      </c>
      <c r="W945" s="218">
        <f>INDEX('Prop. prices'!$I$8:$AB$82,MATCH($C945,'Prop. prices'!$C$8:$C$82,0),MATCH(W$920,'Prop. prices'!$I$5:$AB$5,0))</f>
        <v>0</v>
      </c>
      <c r="X945" s="218">
        <f>INDEX('Prop. prices'!$I$8:$AB$82,MATCH($C945,'Prop. prices'!$C$8:$C$82,0),MATCH(X$920,'Prop. prices'!$I$5:$AB$5,0))</f>
        <v>0</v>
      </c>
      <c r="Y945" s="218">
        <f>INDEX('Prop. prices'!$I$8:$AB$82,MATCH($C945,'Prop. prices'!$C$8:$C$82,0),MATCH(Y$920,'Prop. prices'!$I$5:$AB$5,0))</f>
        <v>0</v>
      </c>
      <c r="Z945" s="218">
        <f>INDEX('Prop. prices'!$I$8:$AB$82,MATCH($C945,'Prop. prices'!$C$8:$C$82,0),MATCH(Z$920,'Prop. prices'!$I$5:$AB$5,0))</f>
        <v>0</v>
      </c>
      <c r="AA945" s="218">
        <f>INDEX('Prop. prices'!$I$8:$AB$82,MATCH($C945,'Prop. prices'!$C$8:$C$82,0),MATCH(AA$920,'Prop. prices'!$I$5:$AB$5,0))</f>
        <v>0</v>
      </c>
      <c r="AB945" s="218">
        <f>INDEX('Prop. prices'!$I$8:$AB$82,MATCH($C945,'Prop. prices'!$C$8:$C$82,0),MATCH(AB$920,'Prop. prices'!$I$5:$AB$5,0))</f>
        <v>0</v>
      </c>
      <c r="AC945" s="187"/>
      <c r="AD945" s="19"/>
      <c r="AE945" s="19"/>
      <c r="AF945" s="19"/>
      <c r="AG945" s="19"/>
    </row>
    <row r="946" spans="1:33" hidden="1" outlineLevel="3" x14ac:dyDescent="0.2">
      <c r="A946" s="19"/>
      <c r="B946" s="97"/>
      <c r="C946" s="506">
        <f t="shared" si="203"/>
        <v>0</v>
      </c>
      <c r="D946" s="505">
        <f t="shared" si="204"/>
        <v>0</v>
      </c>
      <c r="E946" s="58"/>
      <c r="F946" s="223"/>
      <c r="G946" s="58"/>
      <c r="H946" s="58"/>
      <c r="I946" s="218">
        <f>INDEX('Prop. prices'!$I$8:$AB$82,MATCH($C946,'Prop. prices'!$C$8:$C$82,0),MATCH(I$920,'Prop. prices'!$I$5:$AB$5,0))</f>
        <v>0</v>
      </c>
      <c r="J946" s="218">
        <f>INDEX('Prop. prices'!$I$8:$AB$82,MATCH($C946,'Prop. prices'!$C$8:$C$82,0),MATCH(J$920,'Prop. prices'!$I$5:$AB$5,0))</f>
        <v>0</v>
      </c>
      <c r="K946" s="218">
        <f>INDEX('Prop. prices'!$I$8:$AB$82,MATCH($C946,'Prop. prices'!$C$8:$C$82,0),MATCH(K$920,'Prop. prices'!$I$5:$AB$5,0))</f>
        <v>0</v>
      </c>
      <c r="L946" s="218">
        <f>INDEX('Prop. prices'!$I$8:$AB$82,MATCH($C946,'Prop. prices'!$C$8:$C$82,0),MATCH(L$920,'Prop. prices'!$I$5:$AB$5,0))</f>
        <v>0</v>
      </c>
      <c r="M946" s="218">
        <f>INDEX('Prop. prices'!$I$8:$AB$82,MATCH($C946,'Prop. prices'!$C$8:$C$82,0),MATCH(M$920,'Prop. prices'!$I$5:$AB$5,0))</f>
        <v>0</v>
      </c>
      <c r="N946" s="218">
        <f>INDEX('Prop. prices'!$I$8:$AB$82,MATCH($C946,'Prop. prices'!$C$8:$C$82,0),MATCH(N$920,'Prop. prices'!$I$5:$AB$5,0))</f>
        <v>0</v>
      </c>
      <c r="O946" s="218">
        <f>INDEX('Prop. prices'!$I$8:$AB$82,MATCH($C946,'Prop. prices'!$C$8:$C$82,0),MATCH(O$920,'Prop. prices'!$I$5:$AB$5,0))</f>
        <v>0</v>
      </c>
      <c r="P946" s="218">
        <f>INDEX('Prop. prices'!$I$8:$AB$82,MATCH($C946,'Prop. prices'!$C$8:$C$82,0),MATCH(P$920,'Prop. prices'!$I$5:$AB$5,0))</f>
        <v>0</v>
      </c>
      <c r="Q946" s="218">
        <f>INDEX('Prop. prices'!$I$8:$AB$82,MATCH($C946,'Prop. prices'!$C$8:$C$82,0),MATCH(Q$920,'Prop. prices'!$I$5:$AB$5,0))</f>
        <v>0</v>
      </c>
      <c r="R946" s="218">
        <f>INDEX('Prop. prices'!$I$8:$AB$82,MATCH($C946,'Prop. prices'!$C$8:$C$82,0),MATCH(R$920,'Prop. prices'!$I$5:$AB$5,0))</f>
        <v>0</v>
      </c>
      <c r="S946" s="218">
        <f>INDEX('Prop. prices'!$I$8:$AB$82,MATCH($C946,'Prop. prices'!$C$8:$C$82,0),MATCH(S$920,'Prop. prices'!$I$5:$AB$5,0))</f>
        <v>0</v>
      </c>
      <c r="T946" s="218">
        <f>INDEX('Prop. prices'!$I$8:$AB$82,MATCH($C946,'Prop. prices'!$C$8:$C$82,0),MATCH(T$920,'Prop. prices'!$I$5:$AB$5,0))</f>
        <v>0</v>
      </c>
      <c r="U946" s="218">
        <f>INDEX('Prop. prices'!$I$8:$AB$82,MATCH($C946,'Prop. prices'!$C$8:$C$82,0),MATCH(U$920,'Prop. prices'!$I$5:$AB$5,0))</f>
        <v>0</v>
      </c>
      <c r="V946" s="218">
        <f>INDEX('Prop. prices'!$I$8:$AB$82,MATCH($C946,'Prop. prices'!$C$8:$C$82,0),MATCH(V$920,'Prop. prices'!$I$5:$AB$5,0))</f>
        <v>0</v>
      </c>
      <c r="W946" s="218">
        <f>INDEX('Prop. prices'!$I$8:$AB$82,MATCH($C946,'Prop. prices'!$C$8:$C$82,0),MATCH(W$920,'Prop. prices'!$I$5:$AB$5,0))</f>
        <v>0</v>
      </c>
      <c r="X946" s="218">
        <f>INDEX('Prop. prices'!$I$8:$AB$82,MATCH($C946,'Prop. prices'!$C$8:$C$82,0),MATCH(X$920,'Prop. prices'!$I$5:$AB$5,0))</f>
        <v>0</v>
      </c>
      <c r="Y946" s="218">
        <f>INDEX('Prop. prices'!$I$8:$AB$82,MATCH($C946,'Prop. prices'!$C$8:$C$82,0),MATCH(Y$920,'Prop. prices'!$I$5:$AB$5,0))</f>
        <v>0</v>
      </c>
      <c r="Z946" s="218">
        <f>INDEX('Prop. prices'!$I$8:$AB$82,MATCH($C946,'Prop. prices'!$C$8:$C$82,0),MATCH(Z$920,'Prop. prices'!$I$5:$AB$5,0))</f>
        <v>0</v>
      </c>
      <c r="AA946" s="218">
        <f>INDEX('Prop. prices'!$I$8:$AB$82,MATCH($C946,'Prop. prices'!$C$8:$C$82,0),MATCH(AA$920,'Prop. prices'!$I$5:$AB$5,0))</f>
        <v>0</v>
      </c>
      <c r="AB946" s="218">
        <f>INDEX('Prop. prices'!$I$8:$AB$82,MATCH($C946,'Prop. prices'!$C$8:$C$82,0),MATCH(AB$920,'Prop. prices'!$I$5:$AB$5,0))</f>
        <v>0</v>
      </c>
      <c r="AC946" s="187"/>
      <c r="AD946" s="19"/>
      <c r="AE946" s="19"/>
      <c r="AF946" s="19"/>
      <c r="AG946" s="19"/>
    </row>
    <row r="947" spans="1:33" hidden="1" outlineLevel="3" x14ac:dyDescent="0.2">
      <c r="A947" s="19"/>
      <c r="B947" s="97"/>
      <c r="C947" s="506">
        <f t="shared" si="203"/>
        <v>0</v>
      </c>
      <c r="D947" s="505">
        <f t="shared" si="204"/>
        <v>0</v>
      </c>
      <c r="E947" s="58"/>
      <c r="F947" s="223"/>
      <c r="G947" s="58"/>
      <c r="H947" s="58"/>
      <c r="I947" s="218">
        <f>INDEX('Prop. prices'!$I$8:$AB$82,MATCH($C947,'Prop. prices'!$C$8:$C$82,0),MATCH(I$920,'Prop. prices'!$I$5:$AB$5,0))</f>
        <v>0</v>
      </c>
      <c r="J947" s="218">
        <f>INDEX('Prop. prices'!$I$8:$AB$82,MATCH($C947,'Prop. prices'!$C$8:$C$82,0),MATCH(J$920,'Prop. prices'!$I$5:$AB$5,0))</f>
        <v>0</v>
      </c>
      <c r="K947" s="218">
        <f>INDEX('Prop. prices'!$I$8:$AB$82,MATCH($C947,'Prop. prices'!$C$8:$C$82,0),MATCH(K$920,'Prop. prices'!$I$5:$AB$5,0))</f>
        <v>0</v>
      </c>
      <c r="L947" s="218">
        <f>INDEX('Prop. prices'!$I$8:$AB$82,MATCH($C947,'Prop. prices'!$C$8:$C$82,0),MATCH(L$920,'Prop. prices'!$I$5:$AB$5,0))</f>
        <v>0</v>
      </c>
      <c r="M947" s="218">
        <f>INDEX('Prop. prices'!$I$8:$AB$82,MATCH($C947,'Prop. prices'!$C$8:$C$82,0),MATCH(M$920,'Prop. prices'!$I$5:$AB$5,0))</f>
        <v>0</v>
      </c>
      <c r="N947" s="218">
        <f>INDEX('Prop. prices'!$I$8:$AB$82,MATCH($C947,'Prop. prices'!$C$8:$C$82,0),MATCH(N$920,'Prop. prices'!$I$5:$AB$5,0))</f>
        <v>0</v>
      </c>
      <c r="O947" s="218">
        <f>INDEX('Prop. prices'!$I$8:$AB$82,MATCH($C947,'Prop. prices'!$C$8:$C$82,0),MATCH(O$920,'Prop. prices'!$I$5:$AB$5,0))</f>
        <v>0</v>
      </c>
      <c r="P947" s="218">
        <f>INDEX('Prop. prices'!$I$8:$AB$82,MATCH($C947,'Prop. prices'!$C$8:$C$82,0),MATCH(P$920,'Prop. prices'!$I$5:$AB$5,0))</f>
        <v>0</v>
      </c>
      <c r="Q947" s="218">
        <f>INDEX('Prop. prices'!$I$8:$AB$82,MATCH($C947,'Prop. prices'!$C$8:$C$82,0),MATCH(Q$920,'Prop. prices'!$I$5:$AB$5,0))</f>
        <v>0</v>
      </c>
      <c r="R947" s="218">
        <f>INDEX('Prop. prices'!$I$8:$AB$82,MATCH($C947,'Prop. prices'!$C$8:$C$82,0),MATCH(R$920,'Prop. prices'!$I$5:$AB$5,0))</f>
        <v>0</v>
      </c>
      <c r="S947" s="218">
        <f>INDEX('Prop. prices'!$I$8:$AB$82,MATCH($C947,'Prop. prices'!$C$8:$C$82,0),MATCH(S$920,'Prop. prices'!$I$5:$AB$5,0))</f>
        <v>0</v>
      </c>
      <c r="T947" s="218">
        <f>INDEX('Prop. prices'!$I$8:$AB$82,MATCH($C947,'Prop. prices'!$C$8:$C$82,0),MATCH(T$920,'Prop. prices'!$I$5:$AB$5,0))</f>
        <v>0</v>
      </c>
      <c r="U947" s="218">
        <f>INDEX('Prop. prices'!$I$8:$AB$82,MATCH($C947,'Prop. prices'!$C$8:$C$82,0),MATCH(U$920,'Prop. prices'!$I$5:$AB$5,0))</f>
        <v>0</v>
      </c>
      <c r="V947" s="218">
        <f>INDEX('Prop. prices'!$I$8:$AB$82,MATCH($C947,'Prop. prices'!$C$8:$C$82,0),MATCH(V$920,'Prop. prices'!$I$5:$AB$5,0))</f>
        <v>0</v>
      </c>
      <c r="W947" s="218">
        <f>INDEX('Prop. prices'!$I$8:$AB$82,MATCH($C947,'Prop. prices'!$C$8:$C$82,0),MATCH(W$920,'Prop. prices'!$I$5:$AB$5,0))</f>
        <v>0</v>
      </c>
      <c r="X947" s="218">
        <f>INDEX('Prop. prices'!$I$8:$AB$82,MATCH($C947,'Prop. prices'!$C$8:$C$82,0),MATCH(X$920,'Prop. prices'!$I$5:$AB$5,0))</f>
        <v>0</v>
      </c>
      <c r="Y947" s="218">
        <f>INDEX('Prop. prices'!$I$8:$AB$82,MATCH($C947,'Prop. prices'!$C$8:$C$82,0),MATCH(Y$920,'Prop. prices'!$I$5:$AB$5,0))</f>
        <v>0</v>
      </c>
      <c r="Z947" s="218">
        <f>INDEX('Prop. prices'!$I$8:$AB$82,MATCH($C947,'Prop. prices'!$C$8:$C$82,0),MATCH(Z$920,'Prop. prices'!$I$5:$AB$5,0))</f>
        <v>0</v>
      </c>
      <c r="AA947" s="218">
        <f>INDEX('Prop. prices'!$I$8:$AB$82,MATCH($C947,'Prop. prices'!$C$8:$C$82,0),MATCH(AA$920,'Prop. prices'!$I$5:$AB$5,0))</f>
        <v>0</v>
      </c>
      <c r="AB947" s="218">
        <f>INDEX('Prop. prices'!$I$8:$AB$82,MATCH($C947,'Prop. prices'!$C$8:$C$82,0),MATCH(AB$920,'Prop. prices'!$I$5:$AB$5,0))</f>
        <v>0</v>
      </c>
      <c r="AC947" s="187"/>
      <c r="AD947" s="19"/>
      <c r="AE947" s="19"/>
      <c r="AF947" s="19"/>
      <c r="AG947" s="19"/>
    </row>
    <row r="948" spans="1:33" hidden="1" outlineLevel="3" x14ac:dyDescent="0.2">
      <c r="A948" s="19"/>
      <c r="B948" s="97"/>
      <c r="C948" s="506">
        <f t="shared" si="203"/>
        <v>0</v>
      </c>
      <c r="D948" s="505">
        <f t="shared" si="204"/>
        <v>0</v>
      </c>
      <c r="E948" s="58"/>
      <c r="F948" s="223"/>
      <c r="G948" s="58"/>
      <c r="H948" s="58"/>
      <c r="I948" s="218">
        <f>INDEX('Prop. prices'!$I$8:$AB$82,MATCH($C948,'Prop. prices'!$C$8:$C$82,0),MATCH(I$920,'Prop. prices'!$I$5:$AB$5,0))</f>
        <v>0</v>
      </c>
      <c r="J948" s="218">
        <f>INDEX('Prop. prices'!$I$8:$AB$82,MATCH($C948,'Prop. prices'!$C$8:$C$82,0),MATCH(J$920,'Prop. prices'!$I$5:$AB$5,0))</f>
        <v>0</v>
      </c>
      <c r="K948" s="218">
        <f>INDEX('Prop. prices'!$I$8:$AB$82,MATCH($C948,'Prop. prices'!$C$8:$C$82,0),MATCH(K$920,'Prop. prices'!$I$5:$AB$5,0))</f>
        <v>0</v>
      </c>
      <c r="L948" s="218">
        <f>INDEX('Prop. prices'!$I$8:$AB$82,MATCH($C948,'Prop. prices'!$C$8:$C$82,0),MATCH(L$920,'Prop. prices'!$I$5:$AB$5,0))</f>
        <v>0</v>
      </c>
      <c r="M948" s="218">
        <f>INDEX('Prop. prices'!$I$8:$AB$82,MATCH($C948,'Prop. prices'!$C$8:$C$82,0),MATCH(M$920,'Prop. prices'!$I$5:$AB$5,0))</f>
        <v>0</v>
      </c>
      <c r="N948" s="218">
        <f>INDEX('Prop. prices'!$I$8:$AB$82,MATCH($C948,'Prop. prices'!$C$8:$C$82,0),MATCH(N$920,'Prop. prices'!$I$5:$AB$5,0))</f>
        <v>0</v>
      </c>
      <c r="O948" s="218">
        <f>INDEX('Prop. prices'!$I$8:$AB$82,MATCH($C948,'Prop. prices'!$C$8:$C$82,0),MATCH(O$920,'Prop. prices'!$I$5:$AB$5,0))</f>
        <v>0</v>
      </c>
      <c r="P948" s="218">
        <f>INDEX('Prop. prices'!$I$8:$AB$82,MATCH($C948,'Prop. prices'!$C$8:$C$82,0),MATCH(P$920,'Prop. prices'!$I$5:$AB$5,0))</f>
        <v>0</v>
      </c>
      <c r="Q948" s="218">
        <f>INDEX('Prop. prices'!$I$8:$AB$82,MATCH($C948,'Prop. prices'!$C$8:$C$82,0),MATCH(Q$920,'Prop. prices'!$I$5:$AB$5,0))</f>
        <v>0</v>
      </c>
      <c r="R948" s="218">
        <f>INDEX('Prop. prices'!$I$8:$AB$82,MATCH($C948,'Prop. prices'!$C$8:$C$82,0),MATCH(R$920,'Prop. prices'!$I$5:$AB$5,0))</f>
        <v>0</v>
      </c>
      <c r="S948" s="218">
        <f>INDEX('Prop. prices'!$I$8:$AB$82,MATCH($C948,'Prop. prices'!$C$8:$C$82,0),MATCH(S$920,'Prop. prices'!$I$5:$AB$5,0))</f>
        <v>0</v>
      </c>
      <c r="T948" s="218">
        <f>INDEX('Prop. prices'!$I$8:$AB$82,MATCH($C948,'Prop. prices'!$C$8:$C$82,0),MATCH(T$920,'Prop. prices'!$I$5:$AB$5,0))</f>
        <v>0</v>
      </c>
      <c r="U948" s="218">
        <f>INDEX('Prop. prices'!$I$8:$AB$82,MATCH($C948,'Prop. prices'!$C$8:$C$82,0),MATCH(U$920,'Prop. prices'!$I$5:$AB$5,0))</f>
        <v>0</v>
      </c>
      <c r="V948" s="218">
        <f>INDEX('Prop. prices'!$I$8:$AB$82,MATCH($C948,'Prop. prices'!$C$8:$C$82,0),MATCH(V$920,'Prop. prices'!$I$5:$AB$5,0))</f>
        <v>0</v>
      </c>
      <c r="W948" s="218">
        <f>INDEX('Prop. prices'!$I$8:$AB$82,MATCH($C948,'Prop. prices'!$C$8:$C$82,0),MATCH(W$920,'Prop. prices'!$I$5:$AB$5,0))</f>
        <v>0</v>
      </c>
      <c r="X948" s="218">
        <f>INDEX('Prop. prices'!$I$8:$AB$82,MATCH($C948,'Prop. prices'!$C$8:$C$82,0),MATCH(X$920,'Prop. prices'!$I$5:$AB$5,0))</f>
        <v>0</v>
      </c>
      <c r="Y948" s="218">
        <f>INDEX('Prop. prices'!$I$8:$AB$82,MATCH($C948,'Prop. prices'!$C$8:$C$82,0),MATCH(Y$920,'Prop. prices'!$I$5:$AB$5,0))</f>
        <v>0</v>
      </c>
      <c r="Z948" s="218">
        <f>INDEX('Prop. prices'!$I$8:$AB$82,MATCH($C948,'Prop. prices'!$C$8:$C$82,0),MATCH(Z$920,'Prop. prices'!$I$5:$AB$5,0))</f>
        <v>0</v>
      </c>
      <c r="AA948" s="218">
        <f>INDEX('Prop. prices'!$I$8:$AB$82,MATCH($C948,'Prop. prices'!$C$8:$C$82,0),MATCH(AA$920,'Prop. prices'!$I$5:$AB$5,0))</f>
        <v>0</v>
      </c>
      <c r="AB948" s="218">
        <f>INDEX('Prop. prices'!$I$8:$AB$82,MATCH($C948,'Prop. prices'!$C$8:$C$82,0),MATCH(AB$920,'Prop. prices'!$I$5:$AB$5,0))</f>
        <v>0</v>
      </c>
      <c r="AC948" s="187"/>
      <c r="AD948" s="19"/>
      <c r="AE948" s="19"/>
      <c r="AF948" s="19"/>
      <c r="AG948" s="19"/>
    </row>
    <row r="949" spans="1:33" hidden="1" outlineLevel="3" x14ac:dyDescent="0.2">
      <c r="A949" s="19"/>
      <c r="B949" s="97"/>
      <c r="C949" s="506">
        <f t="shared" si="203"/>
        <v>0</v>
      </c>
      <c r="D949" s="505">
        <f t="shared" si="204"/>
        <v>0</v>
      </c>
      <c r="E949" s="58"/>
      <c r="F949" s="223"/>
      <c r="G949" s="58"/>
      <c r="H949" s="58"/>
      <c r="I949" s="218">
        <f>INDEX('Prop. prices'!$I$8:$AB$82,MATCH($C949,'Prop. prices'!$C$8:$C$82,0),MATCH(I$920,'Prop. prices'!$I$5:$AB$5,0))</f>
        <v>0</v>
      </c>
      <c r="J949" s="218">
        <f>INDEX('Prop. prices'!$I$8:$AB$82,MATCH($C949,'Prop. prices'!$C$8:$C$82,0),MATCH(J$920,'Prop. prices'!$I$5:$AB$5,0))</f>
        <v>0</v>
      </c>
      <c r="K949" s="218">
        <f>INDEX('Prop. prices'!$I$8:$AB$82,MATCH($C949,'Prop. prices'!$C$8:$C$82,0),MATCH(K$920,'Prop. prices'!$I$5:$AB$5,0))</f>
        <v>0</v>
      </c>
      <c r="L949" s="218">
        <f>INDEX('Prop. prices'!$I$8:$AB$82,MATCH($C949,'Prop. prices'!$C$8:$C$82,0),MATCH(L$920,'Prop. prices'!$I$5:$AB$5,0))</f>
        <v>0</v>
      </c>
      <c r="M949" s="218">
        <f>INDEX('Prop. prices'!$I$8:$AB$82,MATCH($C949,'Prop. prices'!$C$8:$C$82,0),MATCH(M$920,'Prop. prices'!$I$5:$AB$5,0))</f>
        <v>0</v>
      </c>
      <c r="N949" s="218">
        <f>INDEX('Prop. prices'!$I$8:$AB$82,MATCH($C949,'Prop. prices'!$C$8:$C$82,0),MATCH(N$920,'Prop. prices'!$I$5:$AB$5,0))</f>
        <v>0</v>
      </c>
      <c r="O949" s="218">
        <f>INDEX('Prop. prices'!$I$8:$AB$82,MATCH($C949,'Prop. prices'!$C$8:$C$82,0),MATCH(O$920,'Prop. prices'!$I$5:$AB$5,0))</f>
        <v>0</v>
      </c>
      <c r="P949" s="218">
        <f>INDEX('Prop. prices'!$I$8:$AB$82,MATCH($C949,'Prop. prices'!$C$8:$C$82,0),MATCH(P$920,'Prop. prices'!$I$5:$AB$5,0))</f>
        <v>0</v>
      </c>
      <c r="Q949" s="218">
        <f>INDEX('Prop. prices'!$I$8:$AB$82,MATCH($C949,'Prop. prices'!$C$8:$C$82,0),MATCH(Q$920,'Prop. prices'!$I$5:$AB$5,0))</f>
        <v>0</v>
      </c>
      <c r="R949" s="218">
        <f>INDEX('Prop. prices'!$I$8:$AB$82,MATCH($C949,'Prop. prices'!$C$8:$C$82,0),MATCH(R$920,'Prop. prices'!$I$5:$AB$5,0))</f>
        <v>0</v>
      </c>
      <c r="S949" s="218">
        <f>INDEX('Prop. prices'!$I$8:$AB$82,MATCH($C949,'Prop. prices'!$C$8:$C$82,0),MATCH(S$920,'Prop. prices'!$I$5:$AB$5,0))</f>
        <v>0</v>
      </c>
      <c r="T949" s="218">
        <f>INDEX('Prop. prices'!$I$8:$AB$82,MATCH($C949,'Prop. prices'!$C$8:$C$82,0),MATCH(T$920,'Prop. prices'!$I$5:$AB$5,0))</f>
        <v>0</v>
      </c>
      <c r="U949" s="218">
        <f>INDEX('Prop. prices'!$I$8:$AB$82,MATCH($C949,'Prop. prices'!$C$8:$C$82,0),MATCH(U$920,'Prop. prices'!$I$5:$AB$5,0))</f>
        <v>0</v>
      </c>
      <c r="V949" s="218">
        <f>INDEX('Prop. prices'!$I$8:$AB$82,MATCH($C949,'Prop. prices'!$C$8:$C$82,0),MATCH(V$920,'Prop. prices'!$I$5:$AB$5,0))</f>
        <v>0</v>
      </c>
      <c r="W949" s="218">
        <f>INDEX('Prop. prices'!$I$8:$AB$82,MATCH($C949,'Prop. prices'!$C$8:$C$82,0),MATCH(W$920,'Prop. prices'!$I$5:$AB$5,0))</f>
        <v>0</v>
      </c>
      <c r="X949" s="218">
        <f>INDEX('Prop. prices'!$I$8:$AB$82,MATCH($C949,'Prop. prices'!$C$8:$C$82,0),MATCH(X$920,'Prop. prices'!$I$5:$AB$5,0))</f>
        <v>0</v>
      </c>
      <c r="Y949" s="218">
        <f>INDEX('Prop. prices'!$I$8:$AB$82,MATCH($C949,'Prop. prices'!$C$8:$C$82,0),MATCH(Y$920,'Prop. prices'!$I$5:$AB$5,0))</f>
        <v>0</v>
      </c>
      <c r="Z949" s="218">
        <f>INDEX('Prop. prices'!$I$8:$AB$82,MATCH($C949,'Prop. prices'!$C$8:$C$82,0),MATCH(Z$920,'Prop. prices'!$I$5:$AB$5,0))</f>
        <v>0</v>
      </c>
      <c r="AA949" s="218">
        <f>INDEX('Prop. prices'!$I$8:$AB$82,MATCH($C949,'Prop. prices'!$C$8:$C$82,0),MATCH(AA$920,'Prop. prices'!$I$5:$AB$5,0))</f>
        <v>0</v>
      </c>
      <c r="AB949" s="218">
        <f>INDEX('Prop. prices'!$I$8:$AB$82,MATCH($C949,'Prop. prices'!$C$8:$C$82,0),MATCH(AB$920,'Prop. prices'!$I$5:$AB$5,0))</f>
        <v>0</v>
      </c>
      <c r="AC949" s="187"/>
      <c r="AD949" s="19"/>
      <c r="AE949" s="19"/>
      <c r="AF949" s="19"/>
      <c r="AG949" s="19"/>
    </row>
    <row r="950" spans="1:33" hidden="1" outlineLevel="3" x14ac:dyDescent="0.2">
      <c r="A950" s="19"/>
      <c r="B950" s="97"/>
      <c r="C950" s="506">
        <f t="shared" si="203"/>
        <v>0</v>
      </c>
      <c r="D950" s="505">
        <f t="shared" si="204"/>
        <v>0</v>
      </c>
      <c r="E950" s="58"/>
      <c r="F950" s="223"/>
      <c r="G950" s="58"/>
      <c r="H950" s="58"/>
      <c r="I950" s="218">
        <f>INDEX('Prop. prices'!$I$8:$AB$82,MATCH($C950,'Prop. prices'!$C$8:$C$82,0),MATCH(I$920,'Prop. prices'!$I$5:$AB$5,0))</f>
        <v>0</v>
      </c>
      <c r="J950" s="218">
        <f>INDEX('Prop. prices'!$I$8:$AB$82,MATCH($C950,'Prop. prices'!$C$8:$C$82,0),MATCH(J$920,'Prop. prices'!$I$5:$AB$5,0))</f>
        <v>0</v>
      </c>
      <c r="K950" s="218">
        <f>INDEX('Prop. prices'!$I$8:$AB$82,MATCH($C950,'Prop. prices'!$C$8:$C$82,0),MATCH(K$920,'Prop. prices'!$I$5:$AB$5,0))</f>
        <v>0</v>
      </c>
      <c r="L950" s="218">
        <f>INDEX('Prop. prices'!$I$8:$AB$82,MATCH($C950,'Prop. prices'!$C$8:$C$82,0),MATCH(L$920,'Prop. prices'!$I$5:$AB$5,0))</f>
        <v>0</v>
      </c>
      <c r="M950" s="218">
        <f>INDEX('Prop. prices'!$I$8:$AB$82,MATCH($C950,'Prop. prices'!$C$8:$C$82,0),MATCH(M$920,'Prop. prices'!$I$5:$AB$5,0))</f>
        <v>0</v>
      </c>
      <c r="N950" s="218">
        <f>INDEX('Prop. prices'!$I$8:$AB$82,MATCH($C950,'Prop. prices'!$C$8:$C$82,0),MATCH(N$920,'Prop. prices'!$I$5:$AB$5,0))</f>
        <v>0</v>
      </c>
      <c r="O950" s="218">
        <f>INDEX('Prop. prices'!$I$8:$AB$82,MATCH($C950,'Prop. prices'!$C$8:$C$82,0),MATCH(O$920,'Prop. prices'!$I$5:$AB$5,0))</f>
        <v>0</v>
      </c>
      <c r="P950" s="218">
        <f>INDEX('Prop. prices'!$I$8:$AB$82,MATCH($C950,'Prop. prices'!$C$8:$C$82,0),MATCH(P$920,'Prop. prices'!$I$5:$AB$5,0))</f>
        <v>0</v>
      </c>
      <c r="Q950" s="218">
        <f>INDEX('Prop. prices'!$I$8:$AB$82,MATCH($C950,'Prop. prices'!$C$8:$C$82,0),MATCH(Q$920,'Prop. prices'!$I$5:$AB$5,0))</f>
        <v>0</v>
      </c>
      <c r="R950" s="218">
        <f>INDEX('Prop. prices'!$I$8:$AB$82,MATCH($C950,'Prop. prices'!$C$8:$C$82,0),MATCH(R$920,'Prop. prices'!$I$5:$AB$5,0))</f>
        <v>0</v>
      </c>
      <c r="S950" s="218">
        <f>INDEX('Prop. prices'!$I$8:$AB$82,MATCH($C950,'Prop. prices'!$C$8:$C$82,0),MATCH(S$920,'Prop. prices'!$I$5:$AB$5,0))</f>
        <v>0</v>
      </c>
      <c r="T950" s="218">
        <f>INDEX('Prop. prices'!$I$8:$AB$82,MATCH($C950,'Prop. prices'!$C$8:$C$82,0),MATCH(T$920,'Prop. prices'!$I$5:$AB$5,0))</f>
        <v>0</v>
      </c>
      <c r="U950" s="218">
        <f>INDEX('Prop. prices'!$I$8:$AB$82,MATCH($C950,'Prop. prices'!$C$8:$C$82,0),MATCH(U$920,'Prop. prices'!$I$5:$AB$5,0))</f>
        <v>0</v>
      </c>
      <c r="V950" s="218">
        <f>INDEX('Prop. prices'!$I$8:$AB$82,MATCH($C950,'Prop. prices'!$C$8:$C$82,0),MATCH(V$920,'Prop. prices'!$I$5:$AB$5,0))</f>
        <v>0</v>
      </c>
      <c r="W950" s="218">
        <f>INDEX('Prop. prices'!$I$8:$AB$82,MATCH($C950,'Prop. prices'!$C$8:$C$82,0),MATCH(W$920,'Prop. prices'!$I$5:$AB$5,0))</f>
        <v>0</v>
      </c>
      <c r="X950" s="218">
        <f>INDEX('Prop. prices'!$I$8:$AB$82,MATCH($C950,'Prop. prices'!$C$8:$C$82,0),MATCH(X$920,'Prop. prices'!$I$5:$AB$5,0))</f>
        <v>0</v>
      </c>
      <c r="Y950" s="218">
        <f>INDEX('Prop. prices'!$I$8:$AB$82,MATCH($C950,'Prop. prices'!$C$8:$C$82,0),MATCH(Y$920,'Prop. prices'!$I$5:$AB$5,0))</f>
        <v>0</v>
      </c>
      <c r="Z950" s="218">
        <f>INDEX('Prop. prices'!$I$8:$AB$82,MATCH($C950,'Prop. prices'!$C$8:$C$82,0),MATCH(Z$920,'Prop. prices'!$I$5:$AB$5,0))</f>
        <v>0</v>
      </c>
      <c r="AA950" s="218">
        <f>INDEX('Prop. prices'!$I$8:$AB$82,MATCH($C950,'Prop. prices'!$C$8:$C$82,0),MATCH(AA$920,'Prop. prices'!$I$5:$AB$5,0))</f>
        <v>0</v>
      </c>
      <c r="AB950" s="218">
        <f>INDEX('Prop. prices'!$I$8:$AB$82,MATCH($C950,'Prop. prices'!$C$8:$C$82,0),MATCH(AB$920,'Prop. prices'!$I$5:$AB$5,0))</f>
        <v>0</v>
      </c>
      <c r="AC950" s="187"/>
      <c r="AD950" s="19"/>
      <c r="AE950" s="19"/>
      <c r="AF950" s="19"/>
      <c r="AG950" s="19"/>
    </row>
    <row r="951" spans="1:33" hidden="1" outlineLevel="3" x14ac:dyDescent="0.2">
      <c r="A951" s="19"/>
      <c r="B951" s="97"/>
      <c r="C951" s="506">
        <f t="shared" si="203"/>
        <v>0</v>
      </c>
      <c r="D951" s="505">
        <f t="shared" si="204"/>
        <v>0</v>
      </c>
      <c r="E951" s="58"/>
      <c r="F951" s="223"/>
      <c r="G951" s="58"/>
      <c r="H951" s="58"/>
      <c r="I951" s="218">
        <f>INDEX('Prop. prices'!$I$8:$AB$82,MATCH($C951,'Prop. prices'!$C$8:$C$82,0),MATCH(I$920,'Prop. prices'!$I$5:$AB$5,0))</f>
        <v>0</v>
      </c>
      <c r="J951" s="218">
        <f>INDEX('Prop. prices'!$I$8:$AB$82,MATCH($C951,'Prop. prices'!$C$8:$C$82,0),MATCH(J$920,'Prop. prices'!$I$5:$AB$5,0))</f>
        <v>0</v>
      </c>
      <c r="K951" s="218">
        <f>INDEX('Prop. prices'!$I$8:$AB$82,MATCH($C951,'Prop. prices'!$C$8:$C$82,0),MATCH(K$920,'Prop. prices'!$I$5:$AB$5,0))</f>
        <v>0</v>
      </c>
      <c r="L951" s="218">
        <f>INDEX('Prop. prices'!$I$8:$AB$82,MATCH($C951,'Prop. prices'!$C$8:$C$82,0),MATCH(L$920,'Prop. prices'!$I$5:$AB$5,0))</f>
        <v>0</v>
      </c>
      <c r="M951" s="218">
        <f>INDEX('Prop. prices'!$I$8:$AB$82,MATCH($C951,'Prop. prices'!$C$8:$C$82,0),MATCH(M$920,'Prop. prices'!$I$5:$AB$5,0))</f>
        <v>0</v>
      </c>
      <c r="N951" s="218">
        <f>INDEX('Prop. prices'!$I$8:$AB$82,MATCH($C951,'Prop. prices'!$C$8:$C$82,0),MATCH(N$920,'Prop. prices'!$I$5:$AB$5,0))</f>
        <v>0</v>
      </c>
      <c r="O951" s="218">
        <f>INDEX('Prop. prices'!$I$8:$AB$82,MATCH($C951,'Prop. prices'!$C$8:$C$82,0),MATCH(O$920,'Prop. prices'!$I$5:$AB$5,0))</f>
        <v>0</v>
      </c>
      <c r="P951" s="218">
        <f>INDEX('Prop. prices'!$I$8:$AB$82,MATCH($C951,'Prop. prices'!$C$8:$C$82,0),MATCH(P$920,'Prop. prices'!$I$5:$AB$5,0))</f>
        <v>0</v>
      </c>
      <c r="Q951" s="218">
        <f>INDEX('Prop. prices'!$I$8:$AB$82,MATCH($C951,'Prop. prices'!$C$8:$C$82,0),MATCH(Q$920,'Prop. prices'!$I$5:$AB$5,0))</f>
        <v>0</v>
      </c>
      <c r="R951" s="218">
        <f>INDEX('Prop. prices'!$I$8:$AB$82,MATCH($C951,'Prop. prices'!$C$8:$C$82,0),MATCH(R$920,'Prop. prices'!$I$5:$AB$5,0))</f>
        <v>0</v>
      </c>
      <c r="S951" s="218">
        <f>INDEX('Prop. prices'!$I$8:$AB$82,MATCH($C951,'Prop. prices'!$C$8:$C$82,0),MATCH(S$920,'Prop. prices'!$I$5:$AB$5,0))</f>
        <v>0</v>
      </c>
      <c r="T951" s="218">
        <f>INDEX('Prop. prices'!$I$8:$AB$82,MATCH($C951,'Prop. prices'!$C$8:$C$82,0),MATCH(T$920,'Prop. prices'!$I$5:$AB$5,0))</f>
        <v>0</v>
      </c>
      <c r="U951" s="218">
        <f>INDEX('Prop. prices'!$I$8:$AB$82,MATCH($C951,'Prop. prices'!$C$8:$C$82,0),MATCH(U$920,'Prop. prices'!$I$5:$AB$5,0))</f>
        <v>0</v>
      </c>
      <c r="V951" s="218">
        <f>INDEX('Prop. prices'!$I$8:$AB$82,MATCH($C951,'Prop. prices'!$C$8:$C$82,0),MATCH(V$920,'Prop. prices'!$I$5:$AB$5,0))</f>
        <v>0</v>
      </c>
      <c r="W951" s="218">
        <f>INDEX('Prop. prices'!$I$8:$AB$82,MATCH($C951,'Prop. prices'!$C$8:$C$82,0),MATCH(W$920,'Prop. prices'!$I$5:$AB$5,0))</f>
        <v>0</v>
      </c>
      <c r="X951" s="218">
        <f>INDEX('Prop. prices'!$I$8:$AB$82,MATCH($C951,'Prop. prices'!$C$8:$C$82,0),MATCH(X$920,'Prop. prices'!$I$5:$AB$5,0))</f>
        <v>0</v>
      </c>
      <c r="Y951" s="218">
        <f>INDEX('Prop. prices'!$I$8:$AB$82,MATCH($C951,'Prop. prices'!$C$8:$C$82,0),MATCH(Y$920,'Prop. prices'!$I$5:$AB$5,0))</f>
        <v>0</v>
      </c>
      <c r="Z951" s="218">
        <f>INDEX('Prop. prices'!$I$8:$AB$82,MATCH($C951,'Prop. prices'!$C$8:$C$82,0),MATCH(Z$920,'Prop. prices'!$I$5:$AB$5,0))</f>
        <v>0</v>
      </c>
      <c r="AA951" s="218">
        <f>INDEX('Prop. prices'!$I$8:$AB$82,MATCH($C951,'Prop. prices'!$C$8:$C$82,0),MATCH(AA$920,'Prop. prices'!$I$5:$AB$5,0))</f>
        <v>0</v>
      </c>
      <c r="AB951" s="218">
        <f>INDEX('Prop. prices'!$I$8:$AB$82,MATCH($C951,'Prop. prices'!$C$8:$C$82,0),MATCH(AB$920,'Prop. prices'!$I$5:$AB$5,0))</f>
        <v>0</v>
      </c>
      <c r="AC951" s="187"/>
      <c r="AD951" s="19"/>
      <c r="AE951" s="19"/>
      <c r="AF951" s="19"/>
      <c r="AG951" s="19"/>
    </row>
    <row r="952" spans="1:33" hidden="1" outlineLevel="3" x14ac:dyDescent="0.2">
      <c r="A952" s="19"/>
      <c r="B952" s="98"/>
      <c r="C952" s="506">
        <f t="shared" si="203"/>
        <v>0</v>
      </c>
      <c r="D952" s="505">
        <f t="shared" si="204"/>
        <v>0</v>
      </c>
      <c r="E952" s="58"/>
      <c r="F952" s="223"/>
      <c r="G952" s="58"/>
      <c r="H952" s="58"/>
      <c r="I952" s="218">
        <f>INDEX('Prop. prices'!$I$8:$AB$82,MATCH($C952,'Prop. prices'!$C$8:$C$82,0),MATCH(I$920,'Prop. prices'!$I$5:$AB$5,0))</f>
        <v>0</v>
      </c>
      <c r="J952" s="218">
        <f>INDEX('Prop. prices'!$I$8:$AB$82,MATCH($C952,'Prop. prices'!$C$8:$C$82,0),MATCH(J$920,'Prop. prices'!$I$5:$AB$5,0))</f>
        <v>0</v>
      </c>
      <c r="K952" s="218">
        <f>INDEX('Prop. prices'!$I$8:$AB$82,MATCH($C952,'Prop. prices'!$C$8:$C$82,0),MATCH(K$920,'Prop. prices'!$I$5:$AB$5,0))</f>
        <v>0</v>
      </c>
      <c r="L952" s="218">
        <f>INDEX('Prop. prices'!$I$8:$AB$82,MATCH($C952,'Prop. prices'!$C$8:$C$82,0),MATCH(L$920,'Prop. prices'!$I$5:$AB$5,0))</f>
        <v>0</v>
      </c>
      <c r="M952" s="218">
        <f>INDEX('Prop. prices'!$I$8:$AB$82,MATCH($C952,'Prop. prices'!$C$8:$C$82,0),MATCH(M$920,'Prop. prices'!$I$5:$AB$5,0))</f>
        <v>0</v>
      </c>
      <c r="N952" s="218">
        <f>INDEX('Prop. prices'!$I$8:$AB$82,MATCH($C952,'Prop. prices'!$C$8:$C$82,0),MATCH(N$920,'Prop. prices'!$I$5:$AB$5,0))</f>
        <v>0</v>
      </c>
      <c r="O952" s="218">
        <f>INDEX('Prop. prices'!$I$8:$AB$82,MATCH($C952,'Prop. prices'!$C$8:$C$82,0),MATCH(O$920,'Prop. prices'!$I$5:$AB$5,0))</f>
        <v>0</v>
      </c>
      <c r="P952" s="218">
        <f>INDEX('Prop. prices'!$I$8:$AB$82,MATCH($C952,'Prop. prices'!$C$8:$C$82,0),MATCH(P$920,'Prop. prices'!$I$5:$AB$5,0))</f>
        <v>0</v>
      </c>
      <c r="Q952" s="218">
        <f>INDEX('Prop. prices'!$I$8:$AB$82,MATCH($C952,'Prop. prices'!$C$8:$C$82,0),MATCH(Q$920,'Prop. prices'!$I$5:$AB$5,0))</f>
        <v>0</v>
      </c>
      <c r="R952" s="218">
        <f>INDEX('Prop. prices'!$I$8:$AB$82,MATCH($C952,'Prop. prices'!$C$8:$C$82,0),MATCH(R$920,'Prop. prices'!$I$5:$AB$5,0))</f>
        <v>0</v>
      </c>
      <c r="S952" s="218">
        <f>INDEX('Prop. prices'!$I$8:$AB$82,MATCH($C952,'Prop. prices'!$C$8:$C$82,0),MATCH(S$920,'Prop. prices'!$I$5:$AB$5,0))</f>
        <v>0</v>
      </c>
      <c r="T952" s="218">
        <f>INDEX('Prop. prices'!$I$8:$AB$82,MATCH($C952,'Prop. prices'!$C$8:$C$82,0),MATCH(T$920,'Prop. prices'!$I$5:$AB$5,0))</f>
        <v>0</v>
      </c>
      <c r="U952" s="218">
        <f>INDEX('Prop. prices'!$I$8:$AB$82,MATCH($C952,'Prop. prices'!$C$8:$C$82,0),MATCH(U$920,'Prop. prices'!$I$5:$AB$5,0))</f>
        <v>0</v>
      </c>
      <c r="V952" s="218">
        <f>INDEX('Prop. prices'!$I$8:$AB$82,MATCH($C952,'Prop. prices'!$C$8:$C$82,0),MATCH(V$920,'Prop. prices'!$I$5:$AB$5,0))</f>
        <v>0</v>
      </c>
      <c r="W952" s="218">
        <f>INDEX('Prop. prices'!$I$8:$AB$82,MATCH($C952,'Prop. prices'!$C$8:$C$82,0),MATCH(W$920,'Prop. prices'!$I$5:$AB$5,0))</f>
        <v>0</v>
      </c>
      <c r="X952" s="218">
        <f>INDEX('Prop. prices'!$I$8:$AB$82,MATCH($C952,'Prop. prices'!$C$8:$C$82,0),MATCH(X$920,'Prop. prices'!$I$5:$AB$5,0))</f>
        <v>0</v>
      </c>
      <c r="Y952" s="218">
        <f>INDEX('Prop. prices'!$I$8:$AB$82,MATCH($C952,'Prop. prices'!$C$8:$C$82,0),MATCH(Y$920,'Prop. prices'!$I$5:$AB$5,0))</f>
        <v>0</v>
      </c>
      <c r="Z952" s="218">
        <f>INDEX('Prop. prices'!$I$8:$AB$82,MATCH($C952,'Prop. prices'!$C$8:$C$82,0),MATCH(Z$920,'Prop. prices'!$I$5:$AB$5,0))</f>
        <v>0</v>
      </c>
      <c r="AA952" s="218">
        <f>INDEX('Prop. prices'!$I$8:$AB$82,MATCH($C952,'Prop. prices'!$C$8:$C$82,0),MATCH(AA$920,'Prop. prices'!$I$5:$AB$5,0))</f>
        <v>0</v>
      </c>
      <c r="AB952" s="218">
        <f>INDEX('Prop. prices'!$I$8:$AB$82,MATCH($C952,'Prop. prices'!$C$8:$C$82,0),MATCH(AB$920,'Prop. prices'!$I$5:$AB$5,0))</f>
        <v>0</v>
      </c>
      <c r="AC952" s="187"/>
      <c r="AD952" s="19"/>
      <c r="AE952" s="19"/>
      <c r="AF952" s="19"/>
      <c r="AG952" s="19"/>
    </row>
    <row r="953" spans="1:33" outlineLevel="2" collapsed="1" x14ac:dyDescent="0.2">
      <c r="A953" s="19"/>
      <c r="B953" s="19"/>
      <c r="C953" s="560"/>
      <c r="D953" s="559"/>
      <c r="E953" s="58"/>
      <c r="F953" s="66"/>
      <c r="G953" s="58"/>
      <c r="H953" s="58"/>
      <c r="I953" s="186"/>
      <c r="J953" s="186"/>
      <c r="K953" s="187"/>
      <c r="L953" s="187"/>
      <c r="M953" s="187"/>
      <c r="N953" s="188"/>
      <c r="O953" s="188"/>
      <c r="P953" s="188"/>
      <c r="Q953" s="188"/>
      <c r="R953" s="188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9"/>
      <c r="AE953" s="19"/>
      <c r="AF953" s="19"/>
      <c r="AG953" s="19"/>
    </row>
    <row r="954" spans="1:33" outlineLevel="1" x14ac:dyDescent="0.2">
      <c r="A954" s="19"/>
      <c r="B954" s="19"/>
      <c r="C954" s="217"/>
      <c r="D954" s="536"/>
      <c r="E954" s="58"/>
      <c r="F954" s="66"/>
      <c r="G954" s="58"/>
      <c r="H954" s="58"/>
      <c r="I954" s="186"/>
      <c r="J954" s="186"/>
      <c r="K954" s="187"/>
      <c r="L954" s="187"/>
      <c r="M954" s="187"/>
      <c r="N954" s="188"/>
      <c r="O954" s="188"/>
      <c r="P954" s="188"/>
      <c r="Q954" s="188"/>
      <c r="R954" s="188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9"/>
      <c r="AE954" s="19"/>
      <c r="AF954" s="19"/>
      <c r="AG954" s="19"/>
    </row>
    <row r="955" spans="1:33" outlineLevel="1" x14ac:dyDescent="0.2">
      <c r="A955" s="19"/>
      <c r="B955" s="19"/>
      <c r="C955" s="167" t="s">
        <v>219</v>
      </c>
      <c r="D955" s="512"/>
      <c r="E955" s="20"/>
      <c r="F955" s="167"/>
      <c r="G955" s="22"/>
      <c r="H955" s="22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9"/>
      <c r="AE955" s="19"/>
      <c r="AF955" s="19"/>
      <c r="AG955" s="19"/>
    </row>
    <row r="956" spans="1:33" outlineLevel="2" x14ac:dyDescent="0.2">
      <c r="A956" s="19"/>
      <c r="B956" s="19"/>
      <c r="C956" s="506" t="str">
        <f t="shared" ref="C956:D985" si="205">C923</f>
        <v>Small business time of use consumption</v>
      </c>
      <c r="D956" s="505" t="str">
        <f t="shared" si="205"/>
        <v>yes</v>
      </c>
      <c r="E956" s="20"/>
      <c r="F956" s="223"/>
      <c r="G956" s="22"/>
      <c r="H956" s="22"/>
      <c r="I956" s="218">
        <f>INDEX('Prop. prices'!$I$86:$AB$160,MATCH($C956,'Prop. prices'!$C$86:$C$160,0),MATCH(I$920,'Prop. prices'!$I$5:$AB$5,0))</f>
        <v>0</v>
      </c>
      <c r="J956" s="218">
        <f>INDEX('Prop. prices'!$I$86:$AB$160,MATCH($C956,'Prop. prices'!$C$86:$C$160,0),MATCH(J$920,'Prop. prices'!$I$5:$AB$5,0))</f>
        <v>0</v>
      </c>
      <c r="K956" s="218">
        <f>INDEX('Prop. prices'!$I$86:$AB$160,MATCH($C956,'Prop. prices'!$C$86:$C$160,0),MATCH(K$920,'Prop. prices'!$I$5:$AB$5,0))</f>
        <v>2.339</v>
      </c>
      <c r="L956" s="218">
        <f>INDEX('Prop. prices'!$I$86:$AB$160,MATCH($C956,'Prop. prices'!$C$86:$C$160,0),MATCH(L$920,'Prop. prices'!$I$5:$AB$5,0))</f>
        <v>1.403</v>
      </c>
      <c r="M956" s="218">
        <f>INDEX('Prop. prices'!$I$86:$AB$160,MATCH($C956,'Prop. prices'!$C$86:$C$160,0),MATCH(M$920,'Prop. prices'!$I$5:$AB$5,0))</f>
        <v>0.35099999999999998</v>
      </c>
      <c r="N956" s="218">
        <f>INDEX('Prop. prices'!$I$86:$AB$160,MATCH($C956,'Prop. prices'!$C$86:$C$160,0),MATCH(N$920,'Prop. prices'!$I$5:$AB$5,0))</f>
        <v>0</v>
      </c>
      <c r="O956" s="218">
        <f>INDEX('Prop. prices'!$I$86:$AB$160,MATCH($C956,'Prop. prices'!$C$86:$C$160,0),MATCH(O$920,'Prop. prices'!$I$5:$AB$5,0))</f>
        <v>0</v>
      </c>
      <c r="P956" s="218">
        <f>INDEX('Prop. prices'!$I$86:$AB$160,MATCH($C956,'Prop. prices'!$C$86:$C$160,0),MATCH(P$920,'Prop. prices'!$I$5:$AB$5,0))</f>
        <v>0</v>
      </c>
      <c r="Q956" s="218">
        <f>INDEX('Prop. prices'!$I$86:$AB$160,MATCH($C956,'Prop. prices'!$C$86:$C$160,0),MATCH(Q$920,'Prop. prices'!$I$5:$AB$5,0))</f>
        <v>0</v>
      </c>
      <c r="R956" s="218">
        <f>INDEX('Prop. prices'!$I$86:$AB$160,MATCH($C956,'Prop. prices'!$C$86:$C$160,0),MATCH(R$920,'Prop. prices'!$I$5:$AB$5,0))</f>
        <v>0</v>
      </c>
      <c r="S956" s="218">
        <f>INDEX('Prop. prices'!$I$86:$AB$160,MATCH($C956,'Prop. prices'!$C$86:$C$160,0),MATCH(S$920,'Prop. prices'!$I$5:$AB$5,0))</f>
        <v>0</v>
      </c>
      <c r="T956" s="218">
        <f>INDEX('Prop. prices'!$I$86:$AB$160,MATCH($C956,'Prop. prices'!$C$86:$C$160,0),MATCH(T$920,'Prop. prices'!$I$5:$AB$5,0))</f>
        <v>0</v>
      </c>
      <c r="U956" s="218">
        <f>INDEX('Prop. prices'!$I$86:$AB$160,MATCH($C956,'Prop. prices'!$C$86:$C$160,0),MATCH(U$920,'Prop. prices'!$I$5:$AB$5,0))</f>
        <v>0</v>
      </c>
      <c r="V956" s="218">
        <f>INDEX('Prop. prices'!$I$86:$AB$160,MATCH($C956,'Prop. prices'!$C$86:$C$160,0),MATCH(V$920,'Prop. prices'!$I$5:$AB$5,0))</f>
        <v>0</v>
      </c>
      <c r="W956" s="218">
        <f>INDEX('Prop. prices'!$I$86:$AB$160,MATCH($C956,'Prop. prices'!$C$86:$C$160,0),MATCH(W$920,'Prop. prices'!$I$5:$AB$5,0))</f>
        <v>0</v>
      </c>
      <c r="X956" s="218">
        <f>INDEX('Prop. prices'!$I$86:$AB$160,MATCH($C956,'Prop. prices'!$C$86:$C$160,0),MATCH(X$920,'Prop. prices'!$I$5:$AB$5,0))</f>
        <v>0</v>
      </c>
      <c r="Y956" s="218">
        <f>INDEX('Prop. prices'!$I$86:$AB$160,MATCH($C956,'Prop. prices'!$C$86:$C$160,0),MATCH(Y$920,'Prop. prices'!$I$5:$AB$5,0))</f>
        <v>0</v>
      </c>
      <c r="Z956" s="218">
        <f>INDEX('Prop. prices'!$I$86:$AB$160,MATCH($C956,'Prop. prices'!$C$86:$C$160,0),MATCH(Z$920,'Prop. prices'!$I$5:$AB$5,0))</f>
        <v>0</v>
      </c>
      <c r="AA956" s="218">
        <f>INDEX('Prop. prices'!$I$86:$AB$160,MATCH($C956,'Prop. prices'!$C$86:$C$160,0),MATCH(AA$920,'Prop. prices'!$I$5:$AB$5,0))</f>
        <v>0</v>
      </c>
      <c r="AB956" s="218">
        <f>INDEX('Prop. prices'!$I$86:$AB$160,MATCH($C956,'Prop. prices'!$C$86:$C$160,0),MATCH(AB$920,'Prop. prices'!$I$5:$AB$5,0))</f>
        <v>0</v>
      </c>
      <c r="AC956" s="187"/>
      <c r="AD956" s="19"/>
      <c r="AE956" s="19"/>
      <c r="AF956" s="19"/>
      <c r="AG956" s="19"/>
    </row>
    <row r="957" spans="1:33" s="59" customFormat="1" outlineLevel="2" x14ac:dyDescent="0.2">
      <c r="A957" s="57"/>
      <c r="B957" s="57"/>
      <c r="C957" s="506" t="str">
        <f t="shared" si="205"/>
        <v>Small business general light and power</v>
      </c>
      <c r="D957" s="505" t="str">
        <f t="shared" si="205"/>
        <v>no</v>
      </c>
      <c r="E957" s="58"/>
      <c r="F957" s="223"/>
      <c r="G957" s="58"/>
      <c r="H957" s="58"/>
      <c r="I957" s="218">
        <f>INDEX('Prop. prices'!$I$86:$AB$160,MATCH($C957,'Prop. prices'!$C$86:$C$160,0),MATCH(I$920,'Prop. prices'!$I$5:$AB$5,0))</f>
        <v>0</v>
      </c>
      <c r="J957" s="218">
        <f>INDEX('Prop. prices'!$I$86:$AB$160,MATCH($C957,'Prop. prices'!$C$86:$C$160,0),MATCH(J$920,'Prop. prices'!$I$5:$AB$5,0))</f>
        <v>1.964</v>
      </c>
      <c r="K957" s="218">
        <f>INDEX('Prop. prices'!$I$86:$AB$160,MATCH($C957,'Prop. prices'!$C$86:$C$160,0),MATCH(K$920,'Prop. prices'!$I$5:$AB$5,0))</f>
        <v>0</v>
      </c>
      <c r="L957" s="218">
        <f>INDEX('Prop. prices'!$I$86:$AB$160,MATCH($C957,'Prop. prices'!$C$86:$C$160,0),MATCH(L$920,'Prop. prices'!$I$5:$AB$5,0))</f>
        <v>0</v>
      </c>
      <c r="M957" s="218">
        <f>INDEX('Prop. prices'!$I$86:$AB$160,MATCH($C957,'Prop. prices'!$C$86:$C$160,0),MATCH(M$920,'Prop. prices'!$I$5:$AB$5,0))</f>
        <v>0</v>
      </c>
      <c r="N957" s="218">
        <f>INDEX('Prop. prices'!$I$86:$AB$160,MATCH($C957,'Prop. prices'!$C$86:$C$160,0),MATCH(N$920,'Prop. prices'!$I$5:$AB$5,0))</f>
        <v>0</v>
      </c>
      <c r="O957" s="218">
        <f>INDEX('Prop. prices'!$I$86:$AB$160,MATCH($C957,'Prop. prices'!$C$86:$C$160,0),MATCH(O$920,'Prop. prices'!$I$5:$AB$5,0))</f>
        <v>0</v>
      </c>
      <c r="P957" s="218">
        <f>INDEX('Prop. prices'!$I$86:$AB$160,MATCH($C957,'Prop. prices'!$C$86:$C$160,0),MATCH(P$920,'Prop. prices'!$I$5:$AB$5,0))</f>
        <v>0</v>
      </c>
      <c r="Q957" s="218">
        <f>INDEX('Prop. prices'!$I$86:$AB$160,MATCH($C957,'Prop. prices'!$C$86:$C$160,0),MATCH(Q$920,'Prop. prices'!$I$5:$AB$5,0))</f>
        <v>0</v>
      </c>
      <c r="R957" s="218">
        <f>INDEX('Prop. prices'!$I$86:$AB$160,MATCH($C957,'Prop. prices'!$C$86:$C$160,0),MATCH(R$920,'Prop. prices'!$I$5:$AB$5,0))</f>
        <v>0</v>
      </c>
      <c r="S957" s="218">
        <f>INDEX('Prop. prices'!$I$86:$AB$160,MATCH($C957,'Prop. prices'!$C$86:$C$160,0),MATCH(S$920,'Prop. prices'!$I$5:$AB$5,0))</f>
        <v>0</v>
      </c>
      <c r="T957" s="218">
        <f>INDEX('Prop. prices'!$I$86:$AB$160,MATCH($C957,'Prop. prices'!$C$86:$C$160,0),MATCH(T$920,'Prop. prices'!$I$5:$AB$5,0))</f>
        <v>0</v>
      </c>
      <c r="U957" s="218">
        <f>INDEX('Prop. prices'!$I$86:$AB$160,MATCH($C957,'Prop. prices'!$C$86:$C$160,0),MATCH(U$920,'Prop. prices'!$I$5:$AB$5,0))</f>
        <v>0</v>
      </c>
      <c r="V957" s="218">
        <f>INDEX('Prop. prices'!$I$86:$AB$160,MATCH($C957,'Prop. prices'!$C$86:$C$160,0),MATCH(V$920,'Prop. prices'!$I$5:$AB$5,0))</f>
        <v>0</v>
      </c>
      <c r="W957" s="218">
        <f>INDEX('Prop. prices'!$I$86:$AB$160,MATCH($C957,'Prop. prices'!$C$86:$C$160,0),MATCH(W$920,'Prop. prices'!$I$5:$AB$5,0))</f>
        <v>0</v>
      </c>
      <c r="X957" s="218">
        <f>INDEX('Prop. prices'!$I$86:$AB$160,MATCH($C957,'Prop. prices'!$C$86:$C$160,0),MATCH(X$920,'Prop. prices'!$I$5:$AB$5,0))</f>
        <v>0</v>
      </c>
      <c r="Y957" s="218">
        <f>INDEX('Prop. prices'!$I$86:$AB$160,MATCH($C957,'Prop. prices'!$C$86:$C$160,0),MATCH(Y$920,'Prop. prices'!$I$5:$AB$5,0))</f>
        <v>0</v>
      </c>
      <c r="Z957" s="218">
        <f>INDEX('Prop. prices'!$I$86:$AB$160,MATCH($C957,'Prop. prices'!$C$86:$C$160,0),MATCH(Z$920,'Prop. prices'!$I$5:$AB$5,0))</f>
        <v>0</v>
      </c>
      <c r="AA957" s="218">
        <f>INDEX('Prop. prices'!$I$86:$AB$160,MATCH($C957,'Prop. prices'!$C$86:$C$160,0),MATCH(AA$920,'Prop. prices'!$I$5:$AB$5,0))</f>
        <v>0</v>
      </c>
      <c r="AB957" s="218">
        <f>INDEX('Prop. prices'!$I$86:$AB$160,MATCH($C957,'Prop. prices'!$C$86:$C$160,0),MATCH(AB$920,'Prop. prices'!$I$5:$AB$5,0))</f>
        <v>0</v>
      </c>
      <c r="AC957" s="187"/>
      <c r="AD957" s="57"/>
      <c r="AE957" s="57"/>
      <c r="AF957" s="57"/>
      <c r="AG957" s="57"/>
    </row>
    <row r="958" spans="1:33" outlineLevel="2" x14ac:dyDescent="0.2">
      <c r="A958" s="19"/>
      <c r="B958" s="19"/>
      <c r="C958" s="506">
        <f t="shared" si="205"/>
        <v>0</v>
      </c>
      <c r="D958" s="505">
        <f t="shared" si="205"/>
        <v>0</v>
      </c>
      <c r="E958" s="58"/>
      <c r="F958" s="223"/>
      <c r="G958" s="58"/>
      <c r="H958" s="58"/>
      <c r="I958" s="218">
        <f>INDEX('Prop. prices'!$I$86:$AB$160,MATCH($C958,'Prop. prices'!$C$86:$C$160,0),MATCH(I$920,'Prop. prices'!$I$5:$AB$5,0))</f>
        <v>0</v>
      </c>
      <c r="J958" s="218">
        <f>INDEX('Prop. prices'!$I$86:$AB$160,MATCH($C958,'Prop. prices'!$C$86:$C$160,0),MATCH(J$920,'Prop. prices'!$I$5:$AB$5,0))</f>
        <v>0</v>
      </c>
      <c r="K958" s="218">
        <f>INDEX('Prop. prices'!$I$86:$AB$160,MATCH($C958,'Prop. prices'!$C$86:$C$160,0),MATCH(K$920,'Prop. prices'!$I$5:$AB$5,0))</f>
        <v>0</v>
      </c>
      <c r="L958" s="218">
        <f>INDEX('Prop. prices'!$I$86:$AB$160,MATCH($C958,'Prop. prices'!$C$86:$C$160,0),MATCH(L$920,'Prop. prices'!$I$5:$AB$5,0))</f>
        <v>0</v>
      </c>
      <c r="M958" s="218">
        <f>INDEX('Prop. prices'!$I$86:$AB$160,MATCH($C958,'Prop. prices'!$C$86:$C$160,0),MATCH(M$920,'Prop. prices'!$I$5:$AB$5,0))</f>
        <v>0</v>
      </c>
      <c r="N958" s="218">
        <f>INDEX('Prop. prices'!$I$86:$AB$160,MATCH($C958,'Prop. prices'!$C$86:$C$160,0),MATCH(N$920,'Prop. prices'!$I$5:$AB$5,0))</f>
        <v>0</v>
      </c>
      <c r="O958" s="218">
        <f>INDEX('Prop. prices'!$I$86:$AB$160,MATCH($C958,'Prop. prices'!$C$86:$C$160,0),MATCH(O$920,'Prop. prices'!$I$5:$AB$5,0))</f>
        <v>0</v>
      </c>
      <c r="P958" s="218">
        <f>INDEX('Prop. prices'!$I$86:$AB$160,MATCH($C958,'Prop. prices'!$C$86:$C$160,0),MATCH(P$920,'Prop. prices'!$I$5:$AB$5,0))</f>
        <v>0</v>
      </c>
      <c r="Q958" s="218">
        <f>INDEX('Prop. prices'!$I$86:$AB$160,MATCH($C958,'Prop. prices'!$C$86:$C$160,0),MATCH(Q$920,'Prop. prices'!$I$5:$AB$5,0))</f>
        <v>0</v>
      </c>
      <c r="R958" s="218">
        <f>INDEX('Prop. prices'!$I$86:$AB$160,MATCH($C958,'Prop. prices'!$C$86:$C$160,0),MATCH(R$920,'Prop. prices'!$I$5:$AB$5,0))</f>
        <v>0</v>
      </c>
      <c r="S958" s="218">
        <f>INDEX('Prop. prices'!$I$86:$AB$160,MATCH($C958,'Prop. prices'!$C$86:$C$160,0),MATCH(S$920,'Prop. prices'!$I$5:$AB$5,0))</f>
        <v>0</v>
      </c>
      <c r="T958" s="218">
        <f>INDEX('Prop. prices'!$I$86:$AB$160,MATCH($C958,'Prop. prices'!$C$86:$C$160,0),MATCH(T$920,'Prop. prices'!$I$5:$AB$5,0))</f>
        <v>0</v>
      </c>
      <c r="U958" s="218">
        <f>INDEX('Prop. prices'!$I$86:$AB$160,MATCH($C958,'Prop. prices'!$C$86:$C$160,0),MATCH(U$920,'Prop. prices'!$I$5:$AB$5,0))</f>
        <v>0</v>
      </c>
      <c r="V958" s="218">
        <f>INDEX('Prop. prices'!$I$86:$AB$160,MATCH($C958,'Prop. prices'!$C$86:$C$160,0),MATCH(V$920,'Prop. prices'!$I$5:$AB$5,0))</f>
        <v>0</v>
      </c>
      <c r="W958" s="218">
        <f>INDEX('Prop. prices'!$I$86:$AB$160,MATCH($C958,'Prop. prices'!$C$86:$C$160,0),MATCH(W$920,'Prop. prices'!$I$5:$AB$5,0))</f>
        <v>0</v>
      </c>
      <c r="X958" s="218">
        <f>INDEX('Prop. prices'!$I$86:$AB$160,MATCH($C958,'Prop. prices'!$C$86:$C$160,0),MATCH(X$920,'Prop. prices'!$I$5:$AB$5,0))</f>
        <v>0</v>
      </c>
      <c r="Y958" s="218">
        <f>INDEX('Prop. prices'!$I$86:$AB$160,MATCH($C958,'Prop. prices'!$C$86:$C$160,0),MATCH(Y$920,'Prop. prices'!$I$5:$AB$5,0))</f>
        <v>0</v>
      </c>
      <c r="Z958" s="218">
        <f>INDEX('Prop. prices'!$I$86:$AB$160,MATCH($C958,'Prop. prices'!$C$86:$C$160,0),MATCH(Z$920,'Prop. prices'!$I$5:$AB$5,0))</f>
        <v>0</v>
      </c>
      <c r="AA958" s="218">
        <f>INDEX('Prop. prices'!$I$86:$AB$160,MATCH($C958,'Prop. prices'!$C$86:$C$160,0),MATCH(AA$920,'Prop. prices'!$I$5:$AB$5,0))</f>
        <v>0</v>
      </c>
      <c r="AB958" s="218">
        <f>INDEX('Prop. prices'!$I$86:$AB$160,MATCH($C958,'Prop. prices'!$C$86:$C$160,0),MATCH(AB$920,'Prop. prices'!$I$5:$AB$5,0))</f>
        <v>0</v>
      </c>
      <c r="AC958" s="187"/>
      <c r="AD958" s="19"/>
      <c r="AE958" s="19"/>
      <c r="AF958" s="19"/>
      <c r="AG958" s="19"/>
    </row>
    <row r="959" spans="1:33" hidden="1" outlineLevel="3" x14ac:dyDescent="0.2">
      <c r="A959" s="19"/>
      <c r="B959" s="19"/>
      <c r="C959" s="506">
        <f t="shared" si="205"/>
        <v>0</v>
      </c>
      <c r="D959" s="505">
        <f t="shared" si="205"/>
        <v>0</v>
      </c>
      <c r="E959" s="58"/>
      <c r="F959" s="223"/>
      <c r="G959" s="58"/>
      <c r="H959" s="58"/>
      <c r="I959" s="218">
        <f>INDEX('Prop. prices'!$I$86:$AB$160,MATCH($C959,'Prop. prices'!$C$86:$C$160,0),MATCH(I$920,'Prop. prices'!$I$5:$AB$5,0))</f>
        <v>0</v>
      </c>
      <c r="J959" s="218">
        <f>INDEX('Prop. prices'!$I$86:$AB$160,MATCH($C959,'Prop. prices'!$C$86:$C$160,0),MATCH(J$920,'Prop. prices'!$I$5:$AB$5,0))</f>
        <v>0</v>
      </c>
      <c r="K959" s="218">
        <f>INDEX('Prop. prices'!$I$86:$AB$160,MATCH($C959,'Prop. prices'!$C$86:$C$160,0),MATCH(K$920,'Prop. prices'!$I$5:$AB$5,0))</f>
        <v>0</v>
      </c>
      <c r="L959" s="218">
        <f>INDEX('Prop. prices'!$I$86:$AB$160,MATCH($C959,'Prop. prices'!$C$86:$C$160,0),MATCH(L$920,'Prop. prices'!$I$5:$AB$5,0))</f>
        <v>0</v>
      </c>
      <c r="M959" s="218">
        <f>INDEX('Prop. prices'!$I$86:$AB$160,MATCH($C959,'Prop. prices'!$C$86:$C$160,0),MATCH(M$920,'Prop. prices'!$I$5:$AB$5,0))</f>
        <v>0</v>
      </c>
      <c r="N959" s="218">
        <f>INDEX('Prop. prices'!$I$86:$AB$160,MATCH($C959,'Prop. prices'!$C$86:$C$160,0),MATCH(N$920,'Prop. prices'!$I$5:$AB$5,0))</f>
        <v>0</v>
      </c>
      <c r="O959" s="218">
        <f>INDEX('Prop. prices'!$I$86:$AB$160,MATCH($C959,'Prop. prices'!$C$86:$C$160,0),MATCH(O$920,'Prop. prices'!$I$5:$AB$5,0))</f>
        <v>0</v>
      </c>
      <c r="P959" s="218">
        <f>INDEX('Prop. prices'!$I$86:$AB$160,MATCH($C959,'Prop. prices'!$C$86:$C$160,0),MATCH(P$920,'Prop. prices'!$I$5:$AB$5,0))</f>
        <v>0</v>
      </c>
      <c r="Q959" s="218">
        <f>INDEX('Prop. prices'!$I$86:$AB$160,MATCH($C959,'Prop. prices'!$C$86:$C$160,0),MATCH(Q$920,'Prop. prices'!$I$5:$AB$5,0))</f>
        <v>0</v>
      </c>
      <c r="R959" s="218">
        <f>INDEX('Prop. prices'!$I$86:$AB$160,MATCH($C959,'Prop. prices'!$C$86:$C$160,0),MATCH(R$920,'Prop. prices'!$I$5:$AB$5,0))</f>
        <v>0</v>
      </c>
      <c r="S959" s="218">
        <f>INDEX('Prop. prices'!$I$86:$AB$160,MATCH($C959,'Prop. prices'!$C$86:$C$160,0),MATCH(S$920,'Prop. prices'!$I$5:$AB$5,0))</f>
        <v>0</v>
      </c>
      <c r="T959" s="218">
        <f>INDEX('Prop. prices'!$I$86:$AB$160,MATCH($C959,'Prop. prices'!$C$86:$C$160,0),MATCH(T$920,'Prop. prices'!$I$5:$AB$5,0))</f>
        <v>0</v>
      </c>
      <c r="U959" s="218">
        <f>INDEX('Prop. prices'!$I$86:$AB$160,MATCH($C959,'Prop. prices'!$C$86:$C$160,0),MATCH(U$920,'Prop. prices'!$I$5:$AB$5,0))</f>
        <v>0</v>
      </c>
      <c r="V959" s="218">
        <f>INDEX('Prop. prices'!$I$86:$AB$160,MATCH($C959,'Prop. prices'!$C$86:$C$160,0),MATCH(V$920,'Prop. prices'!$I$5:$AB$5,0))</f>
        <v>0</v>
      </c>
      <c r="W959" s="218">
        <f>INDEX('Prop. prices'!$I$86:$AB$160,MATCH($C959,'Prop. prices'!$C$86:$C$160,0),MATCH(W$920,'Prop. prices'!$I$5:$AB$5,0))</f>
        <v>0</v>
      </c>
      <c r="X959" s="218">
        <f>INDEX('Prop. prices'!$I$86:$AB$160,MATCH($C959,'Prop. prices'!$C$86:$C$160,0),MATCH(X$920,'Prop. prices'!$I$5:$AB$5,0))</f>
        <v>0</v>
      </c>
      <c r="Y959" s="218">
        <f>INDEX('Prop. prices'!$I$86:$AB$160,MATCH($C959,'Prop. prices'!$C$86:$C$160,0),MATCH(Y$920,'Prop. prices'!$I$5:$AB$5,0))</f>
        <v>0</v>
      </c>
      <c r="Z959" s="218">
        <f>INDEX('Prop. prices'!$I$86:$AB$160,MATCH($C959,'Prop. prices'!$C$86:$C$160,0),MATCH(Z$920,'Prop. prices'!$I$5:$AB$5,0))</f>
        <v>0</v>
      </c>
      <c r="AA959" s="218">
        <f>INDEX('Prop. prices'!$I$86:$AB$160,MATCH($C959,'Prop. prices'!$C$86:$C$160,0),MATCH(AA$920,'Prop. prices'!$I$5:$AB$5,0))</f>
        <v>0</v>
      </c>
      <c r="AB959" s="218">
        <f>INDEX('Prop. prices'!$I$86:$AB$160,MATCH($C959,'Prop. prices'!$C$86:$C$160,0),MATCH(AB$920,'Prop. prices'!$I$5:$AB$5,0))</f>
        <v>0</v>
      </c>
      <c r="AC959" s="187"/>
      <c r="AD959" s="19"/>
      <c r="AE959" s="19"/>
      <c r="AF959" s="19"/>
      <c r="AG959" s="19"/>
    </row>
    <row r="960" spans="1:33" hidden="1" outlineLevel="3" x14ac:dyDescent="0.2">
      <c r="A960" s="19"/>
      <c r="B960" s="19"/>
      <c r="C960" s="506">
        <f t="shared" si="205"/>
        <v>0</v>
      </c>
      <c r="D960" s="505">
        <f t="shared" si="205"/>
        <v>0</v>
      </c>
      <c r="E960" s="58"/>
      <c r="F960" s="223"/>
      <c r="G960" s="58"/>
      <c r="H960" s="58"/>
      <c r="I960" s="218">
        <f>INDEX('Prop. prices'!$I$86:$AB$160,MATCH($C960,'Prop. prices'!$C$86:$C$160,0),MATCH(I$920,'Prop. prices'!$I$5:$AB$5,0))</f>
        <v>0</v>
      </c>
      <c r="J960" s="218">
        <f>INDEX('Prop. prices'!$I$86:$AB$160,MATCH($C960,'Prop. prices'!$C$86:$C$160,0),MATCH(J$920,'Prop. prices'!$I$5:$AB$5,0))</f>
        <v>0</v>
      </c>
      <c r="K960" s="218">
        <f>INDEX('Prop. prices'!$I$86:$AB$160,MATCH($C960,'Prop. prices'!$C$86:$C$160,0),MATCH(K$920,'Prop. prices'!$I$5:$AB$5,0))</f>
        <v>0</v>
      </c>
      <c r="L960" s="218">
        <f>INDEX('Prop. prices'!$I$86:$AB$160,MATCH($C960,'Prop. prices'!$C$86:$C$160,0),MATCH(L$920,'Prop. prices'!$I$5:$AB$5,0))</f>
        <v>0</v>
      </c>
      <c r="M960" s="218">
        <f>INDEX('Prop. prices'!$I$86:$AB$160,MATCH($C960,'Prop. prices'!$C$86:$C$160,0),MATCH(M$920,'Prop. prices'!$I$5:$AB$5,0))</f>
        <v>0</v>
      </c>
      <c r="N960" s="218">
        <f>INDEX('Prop. prices'!$I$86:$AB$160,MATCH($C960,'Prop. prices'!$C$86:$C$160,0),MATCH(N$920,'Prop. prices'!$I$5:$AB$5,0))</f>
        <v>0</v>
      </c>
      <c r="O960" s="218">
        <f>INDEX('Prop. prices'!$I$86:$AB$160,MATCH($C960,'Prop. prices'!$C$86:$C$160,0),MATCH(O$920,'Prop. prices'!$I$5:$AB$5,0))</f>
        <v>0</v>
      </c>
      <c r="P960" s="218">
        <f>INDEX('Prop. prices'!$I$86:$AB$160,MATCH($C960,'Prop. prices'!$C$86:$C$160,0),MATCH(P$920,'Prop. prices'!$I$5:$AB$5,0))</f>
        <v>0</v>
      </c>
      <c r="Q960" s="218">
        <f>INDEX('Prop. prices'!$I$86:$AB$160,MATCH($C960,'Prop. prices'!$C$86:$C$160,0),MATCH(Q$920,'Prop. prices'!$I$5:$AB$5,0))</f>
        <v>0</v>
      </c>
      <c r="R960" s="218">
        <f>INDEX('Prop. prices'!$I$86:$AB$160,MATCH($C960,'Prop. prices'!$C$86:$C$160,0),MATCH(R$920,'Prop. prices'!$I$5:$AB$5,0))</f>
        <v>0</v>
      </c>
      <c r="S960" s="218">
        <f>INDEX('Prop. prices'!$I$86:$AB$160,MATCH($C960,'Prop. prices'!$C$86:$C$160,0),MATCH(S$920,'Prop. prices'!$I$5:$AB$5,0))</f>
        <v>0</v>
      </c>
      <c r="T960" s="218">
        <f>INDEX('Prop. prices'!$I$86:$AB$160,MATCH($C960,'Prop. prices'!$C$86:$C$160,0),MATCH(T$920,'Prop. prices'!$I$5:$AB$5,0))</f>
        <v>0</v>
      </c>
      <c r="U960" s="218">
        <f>INDEX('Prop. prices'!$I$86:$AB$160,MATCH($C960,'Prop. prices'!$C$86:$C$160,0),MATCH(U$920,'Prop. prices'!$I$5:$AB$5,0))</f>
        <v>0</v>
      </c>
      <c r="V960" s="218">
        <f>INDEX('Prop. prices'!$I$86:$AB$160,MATCH($C960,'Prop. prices'!$C$86:$C$160,0),MATCH(V$920,'Prop. prices'!$I$5:$AB$5,0))</f>
        <v>0</v>
      </c>
      <c r="W960" s="218">
        <f>INDEX('Prop. prices'!$I$86:$AB$160,MATCH($C960,'Prop. prices'!$C$86:$C$160,0),MATCH(W$920,'Prop. prices'!$I$5:$AB$5,0))</f>
        <v>0</v>
      </c>
      <c r="X960" s="218">
        <f>INDEX('Prop. prices'!$I$86:$AB$160,MATCH($C960,'Prop. prices'!$C$86:$C$160,0),MATCH(X$920,'Prop. prices'!$I$5:$AB$5,0))</f>
        <v>0</v>
      </c>
      <c r="Y960" s="218">
        <f>INDEX('Prop. prices'!$I$86:$AB$160,MATCH($C960,'Prop. prices'!$C$86:$C$160,0),MATCH(Y$920,'Prop. prices'!$I$5:$AB$5,0))</f>
        <v>0</v>
      </c>
      <c r="Z960" s="218">
        <f>INDEX('Prop. prices'!$I$86:$AB$160,MATCH($C960,'Prop. prices'!$C$86:$C$160,0),MATCH(Z$920,'Prop. prices'!$I$5:$AB$5,0))</f>
        <v>0</v>
      </c>
      <c r="AA960" s="218">
        <f>INDEX('Prop. prices'!$I$86:$AB$160,MATCH($C960,'Prop. prices'!$C$86:$C$160,0),MATCH(AA$920,'Prop. prices'!$I$5:$AB$5,0))</f>
        <v>0</v>
      </c>
      <c r="AB960" s="218">
        <f>INDEX('Prop. prices'!$I$86:$AB$160,MATCH($C960,'Prop. prices'!$C$86:$C$160,0),MATCH(AB$920,'Prop. prices'!$I$5:$AB$5,0))</f>
        <v>0</v>
      </c>
      <c r="AC960" s="187"/>
      <c r="AD960" s="19"/>
      <c r="AE960" s="19"/>
      <c r="AF960" s="19"/>
      <c r="AG960" s="19"/>
    </row>
    <row r="961" spans="1:33" hidden="1" outlineLevel="3" x14ac:dyDescent="0.2">
      <c r="A961" s="19"/>
      <c r="B961" s="19"/>
      <c r="C961" s="506">
        <f t="shared" si="205"/>
        <v>0</v>
      </c>
      <c r="D961" s="505">
        <f t="shared" si="205"/>
        <v>0</v>
      </c>
      <c r="E961" s="58"/>
      <c r="F961" s="223"/>
      <c r="G961" s="58"/>
      <c r="H961" s="58"/>
      <c r="I961" s="218">
        <f>INDEX('Prop. prices'!$I$86:$AB$160,MATCH($C961,'Prop. prices'!$C$86:$C$160,0),MATCH(I$920,'Prop. prices'!$I$5:$AB$5,0))</f>
        <v>0</v>
      </c>
      <c r="J961" s="218">
        <f>INDEX('Prop. prices'!$I$86:$AB$160,MATCH($C961,'Prop. prices'!$C$86:$C$160,0),MATCH(J$920,'Prop. prices'!$I$5:$AB$5,0))</f>
        <v>0</v>
      </c>
      <c r="K961" s="218">
        <f>INDEX('Prop. prices'!$I$86:$AB$160,MATCH($C961,'Prop. prices'!$C$86:$C$160,0),MATCH(K$920,'Prop. prices'!$I$5:$AB$5,0))</f>
        <v>0</v>
      </c>
      <c r="L961" s="218">
        <f>INDEX('Prop. prices'!$I$86:$AB$160,MATCH($C961,'Prop. prices'!$C$86:$C$160,0),MATCH(L$920,'Prop. prices'!$I$5:$AB$5,0))</f>
        <v>0</v>
      </c>
      <c r="M961" s="218">
        <f>INDEX('Prop. prices'!$I$86:$AB$160,MATCH($C961,'Prop. prices'!$C$86:$C$160,0),MATCH(M$920,'Prop. prices'!$I$5:$AB$5,0))</f>
        <v>0</v>
      </c>
      <c r="N961" s="218">
        <f>INDEX('Prop. prices'!$I$86:$AB$160,MATCH($C961,'Prop. prices'!$C$86:$C$160,0),MATCH(N$920,'Prop. prices'!$I$5:$AB$5,0))</f>
        <v>0</v>
      </c>
      <c r="O961" s="218">
        <f>INDEX('Prop. prices'!$I$86:$AB$160,MATCH($C961,'Prop. prices'!$C$86:$C$160,0),MATCH(O$920,'Prop. prices'!$I$5:$AB$5,0))</f>
        <v>0</v>
      </c>
      <c r="P961" s="218">
        <f>INDEX('Prop. prices'!$I$86:$AB$160,MATCH($C961,'Prop. prices'!$C$86:$C$160,0),MATCH(P$920,'Prop. prices'!$I$5:$AB$5,0))</f>
        <v>0</v>
      </c>
      <c r="Q961" s="218">
        <f>INDEX('Prop. prices'!$I$86:$AB$160,MATCH($C961,'Prop. prices'!$C$86:$C$160,0),MATCH(Q$920,'Prop. prices'!$I$5:$AB$5,0))</f>
        <v>0</v>
      </c>
      <c r="R961" s="218">
        <f>INDEX('Prop. prices'!$I$86:$AB$160,MATCH($C961,'Prop. prices'!$C$86:$C$160,0),MATCH(R$920,'Prop. prices'!$I$5:$AB$5,0))</f>
        <v>0</v>
      </c>
      <c r="S961" s="218">
        <f>INDEX('Prop. prices'!$I$86:$AB$160,MATCH($C961,'Prop. prices'!$C$86:$C$160,0),MATCH(S$920,'Prop. prices'!$I$5:$AB$5,0))</f>
        <v>0</v>
      </c>
      <c r="T961" s="218">
        <f>INDEX('Prop. prices'!$I$86:$AB$160,MATCH($C961,'Prop. prices'!$C$86:$C$160,0),MATCH(T$920,'Prop. prices'!$I$5:$AB$5,0))</f>
        <v>0</v>
      </c>
      <c r="U961" s="218">
        <f>INDEX('Prop. prices'!$I$86:$AB$160,MATCH($C961,'Prop. prices'!$C$86:$C$160,0),MATCH(U$920,'Prop. prices'!$I$5:$AB$5,0))</f>
        <v>0</v>
      </c>
      <c r="V961" s="218">
        <f>INDEX('Prop. prices'!$I$86:$AB$160,MATCH($C961,'Prop. prices'!$C$86:$C$160,0),MATCH(V$920,'Prop. prices'!$I$5:$AB$5,0))</f>
        <v>0</v>
      </c>
      <c r="W961" s="218">
        <f>INDEX('Prop. prices'!$I$86:$AB$160,MATCH($C961,'Prop. prices'!$C$86:$C$160,0),MATCH(W$920,'Prop. prices'!$I$5:$AB$5,0))</f>
        <v>0</v>
      </c>
      <c r="X961" s="218">
        <f>INDEX('Prop. prices'!$I$86:$AB$160,MATCH($C961,'Prop. prices'!$C$86:$C$160,0),MATCH(X$920,'Prop. prices'!$I$5:$AB$5,0))</f>
        <v>0</v>
      </c>
      <c r="Y961" s="218">
        <f>INDEX('Prop. prices'!$I$86:$AB$160,MATCH($C961,'Prop. prices'!$C$86:$C$160,0),MATCH(Y$920,'Prop. prices'!$I$5:$AB$5,0))</f>
        <v>0</v>
      </c>
      <c r="Z961" s="218">
        <f>INDEX('Prop. prices'!$I$86:$AB$160,MATCH($C961,'Prop. prices'!$C$86:$C$160,0),MATCH(Z$920,'Prop. prices'!$I$5:$AB$5,0))</f>
        <v>0</v>
      </c>
      <c r="AA961" s="218">
        <f>INDEX('Prop. prices'!$I$86:$AB$160,MATCH($C961,'Prop. prices'!$C$86:$C$160,0),MATCH(AA$920,'Prop. prices'!$I$5:$AB$5,0))</f>
        <v>0</v>
      </c>
      <c r="AB961" s="218">
        <f>INDEX('Prop. prices'!$I$86:$AB$160,MATCH($C961,'Prop. prices'!$C$86:$C$160,0),MATCH(AB$920,'Prop. prices'!$I$5:$AB$5,0))</f>
        <v>0</v>
      </c>
      <c r="AC961" s="187"/>
      <c r="AD961" s="19"/>
      <c r="AE961" s="19"/>
      <c r="AF961" s="19"/>
      <c r="AG961" s="19"/>
    </row>
    <row r="962" spans="1:33" hidden="1" outlineLevel="3" x14ac:dyDescent="0.2">
      <c r="A962" s="19"/>
      <c r="B962" s="19"/>
      <c r="C962" s="506">
        <f t="shared" si="205"/>
        <v>0</v>
      </c>
      <c r="D962" s="505">
        <f t="shared" si="205"/>
        <v>0</v>
      </c>
      <c r="E962" s="58"/>
      <c r="F962" s="223"/>
      <c r="G962" s="58"/>
      <c r="H962" s="58"/>
      <c r="I962" s="218">
        <f>INDEX('Prop. prices'!$I$86:$AB$160,MATCH($C962,'Prop. prices'!$C$86:$C$160,0),MATCH(I$920,'Prop. prices'!$I$5:$AB$5,0))</f>
        <v>0</v>
      </c>
      <c r="J962" s="218">
        <f>INDEX('Prop. prices'!$I$86:$AB$160,MATCH($C962,'Prop. prices'!$C$86:$C$160,0),MATCH(J$920,'Prop. prices'!$I$5:$AB$5,0))</f>
        <v>0</v>
      </c>
      <c r="K962" s="218">
        <f>INDEX('Prop. prices'!$I$86:$AB$160,MATCH($C962,'Prop. prices'!$C$86:$C$160,0),MATCH(K$920,'Prop. prices'!$I$5:$AB$5,0))</f>
        <v>0</v>
      </c>
      <c r="L962" s="218">
        <f>INDEX('Prop. prices'!$I$86:$AB$160,MATCH($C962,'Prop. prices'!$C$86:$C$160,0),MATCH(L$920,'Prop. prices'!$I$5:$AB$5,0))</f>
        <v>0</v>
      </c>
      <c r="M962" s="218">
        <f>INDEX('Prop. prices'!$I$86:$AB$160,MATCH($C962,'Prop. prices'!$C$86:$C$160,0),MATCH(M$920,'Prop. prices'!$I$5:$AB$5,0))</f>
        <v>0</v>
      </c>
      <c r="N962" s="218">
        <f>INDEX('Prop. prices'!$I$86:$AB$160,MATCH($C962,'Prop. prices'!$C$86:$C$160,0),MATCH(N$920,'Prop. prices'!$I$5:$AB$5,0))</f>
        <v>0</v>
      </c>
      <c r="O962" s="218">
        <f>INDEX('Prop. prices'!$I$86:$AB$160,MATCH($C962,'Prop. prices'!$C$86:$C$160,0),MATCH(O$920,'Prop. prices'!$I$5:$AB$5,0))</f>
        <v>0</v>
      </c>
      <c r="P962" s="218">
        <f>INDEX('Prop. prices'!$I$86:$AB$160,MATCH($C962,'Prop. prices'!$C$86:$C$160,0),MATCH(P$920,'Prop. prices'!$I$5:$AB$5,0))</f>
        <v>0</v>
      </c>
      <c r="Q962" s="218">
        <f>INDEX('Prop. prices'!$I$86:$AB$160,MATCH($C962,'Prop. prices'!$C$86:$C$160,0),MATCH(Q$920,'Prop. prices'!$I$5:$AB$5,0))</f>
        <v>0</v>
      </c>
      <c r="R962" s="218">
        <f>INDEX('Prop. prices'!$I$86:$AB$160,MATCH($C962,'Prop. prices'!$C$86:$C$160,0),MATCH(R$920,'Prop. prices'!$I$5:$AB$5,0))</f>
        <v>0</v>
      </c>
      <c r="S962" s="218">
        <f>INDEX('Prop. prices'!$I$86:$AB$160,MATCH($C962,'Prop. prices'!$C$86:$C$160,0),MATCH(S$920,'Prop. prices'!$I$5:$AB$5,0))</f>
        <v>0</v>
      </c>
      <c r="T962" s="218">
        <f>INDEX('Prop. prices'!$I$86:$AB$160,MATCH($C962,'Prop. prices'!$C$86:$C$160,0),MATCH(T$920,'Prop. prices'!$I$5:$AB$5,0))</f>
        <v>0</v>
      </c>
      <c r="U962" s="218">
        <f>INDEX('Prop. prices'!$I$86:$AB$160,MATCH($C962,'Prop. prices'!$C$86:$C$160,0),MATCH(U$920,'Prop. prices'!$I$5:$AB$5,0))</f>
        <v>0</v>
      </c>
      <c r="V962" s="218">
        <f>INDEX('Prop. prices'!$I$86:$AB$160,MATCH($C962,'Prop. prices'!$C$86:$C$160,0),MATCH(V$920,'Prop. prices'!$I$5:$AB$5,0))</f>
        <v>0</v>
      </c>
      <c r="W962" s="218">
        <f>INDEX('Prop. prices'!$I$86:$AB$160,MATCH($C962,'Prop. prices'!$C$86:$C$160,0),MATCH(W$920,'Prop. prices'!$I$5:$AB$5,0))</f>
        <v>0</v>
      </c>
      <c r="X962" s="218">
        <f>INDEX('Prop. prices'!$I$86:$AB$160,MATCH($C962,'Prop. prices'!$C$86:$C$160,0),MATCH(X$920,'Prop. prices'!$I$5:$AB$5,0))</f>
        <v>0</v>
      </c>
      <c r="Y962" s="218">
        <f>INDEX('Prop. prices'!$I$86:$AB$160,MATCH($C962,'Prop. prices'!$C$86:$C$160,0),MATCH(Y$920,'Prop. prices'!$I$5:$AB$5,0))</f>
        <v>0</v>
      </c>
      <c r="Z962" s="218">
        <f>INDEX('Prop. prices'!$I$86:$AB$160,MATCH($C962,'Prop. prices'!$C$86:$C$160,0),MATCH(Z$920,'Prop. prices'!$I$5:$AB$5,0))</f>
        <v>0</v>
      </c>
      <c r="AA962" s="218">
        <f>INDEX('Prop. prices'!$I$86:$AB$160,MATCH($C962,'Prop. prices'!$C$86:$C$160,0),MATCH(AA$920,'Prop. prices'!$I$5:$AB$5,0))</f>
        <v>0</v>
      </c>
      <c r="AB962" s="218">
        <f>INDEX('Prop. prices'!$I$86:$AB$160,MATCH($C962,'Prop. prices'!$C$86:$C$160,0),MATCH(AB$920,'Prop. prices'!$I$5:$AB$5,0))</f>
        <v>0</v>
      </c>
      <c r="AC962" s="187"/>
      <c r="AD962" s="19"/>
      <c r="AE962" s="19"/>
      <c r="AF962" s="19"/>
      <c r="AG962" s="19"/>
    </row>
    <row r="963" spans="1:33" hidden="1" outlineLevel="3" x14ac:dyDescent="0.2">
      <c r="A963" s="19"/>
      <c r="B963" s="19"/>
      <c r="C963" s="506">
        <f t="shared" si="205"/>
        <v>0</v>
      </c>
      <c r="D963" s="505">
        <f t="shared" si="205"/>
        <v>0</v>
      </c>
      <c r="E963" s="58"/>
      <c r="F963" s="223"/>
      <c r="G963" s="58"/>
      <c r="H963" s="58"/>
      <c r="I963" s="218">
        <f>INDEX('Prop. prices'!$I$86:$AB$160,MATCH($C963,'Prop. prices'!$C$86:$C$160,0),MATCH(I$920,'Prop. prices'!$I$5:$AB$5,0))</f>
        <v>0</v>
      </c>
      <c r="J963" s="218">
        <f>INDEX('Prop. prices'!$I$86:$AB$160,MATCH($C963,'Prop. prices'!$C$86:$C$160,0),MATCH(J$920,'Prop. prices'!$I$5:$AB$5,0))</f>
        <v>0</v>
      </c>
      <c r="K963" s="218">
        <f>INDEX('Prop. prices'!$I$86:$AB$160,MATCH($C963,'Prop. prices'!$C$86:$C$160,0),MATCH(K$920,'Prop. prices'!$I$5:$AB$5,0))</f>
        <v>0</v>
      </c>
      <c r="L963" s="218">
        <f>INDEX('Prop. prices'!$I$86:$AB$160,MATCH($C963,'Prop. prices'!$C$86:$C$160,0),MATCH(L$920,'Prop. prices'!$I$5:$AB$5,0))</f>
        <v>0</v>
      </c>
      <c r="M963" s="218">
        <f>INDEX('Prop. prices'!$I$86:$AB$160,MATCH($C963,'Prop. prices'!$C$86:$C$160,0),MATCH(M$920,'Prop. prices'!$I$5:$AB$5,0))</f>
        <v>0</v>
      </c>
      <c r="N963" s="218">
        <f>INDEX('Prop. prices'!$I$86:$AB$160,MATCH($C963,'Prop. prices'!$C$86:$C$160,0),MATCH(N$920,'Prop. prices'!$I$5:$AB$5,0))</f>
        <v>0</v>
      </c>
      <c r="O963" s="218">
        <f>INDEX('Prop. prices'!$I$86:$AB$160,MATCH($C963,'Prop. prices'!$C$86:$C$160,0),MATCH(O$920,'Prop. prices'!$I$5:$AB$5,0))</f>
        <v>0</v>
      </c>
      <c r="P963" s="218">
        <f>INDEX('Prop. prices'!$I$86:$AB$160,MATCH($C963,'Prop. prices'!$C$86:$C$160,0),MATCH(P$920,'Prop. prices'!$I$5:$AB$5,0))</f>
        <v>0</v>
      </c>
      <c r="Q963" s="218">
        <f>INDEX('Prop. prices'!$I$86:$AB$160,MATCH($C963,'Prop. prices'!$C$86:$C$160,0),MATCH(Q$920,'Prop. prices'!$I$5:$AB$5,0))</f>
        <v>0</v>
      </c>
      <c r="R963" s="218">
        <f>INDEX('Prop. prices'!$I$86:$AB$160,MATCH($C963,'Prop. prices'!$C$86:$C$160,0),MATCH(R$920,'Prop. prices'!$I$5:$AB$5,0))</f>
        <v>0</v>
      </c>
      <c r="S963" s="218">
        <f>INDEX('Prop. prices'!$I$86:$AB$160,MATCH($C963,'Prop. prices'!$C$86:$C$160,0),MATCH(S$920,'Prop. prices'!$I$5:$AB$5,0))</f>
        <v>0</v>
      </c>
      <c r="T963" s="218">
        <f>INDEX('Prop. prices'!$I$86:$AB$160,MATCH($C963,'Prop. prices'!$C$86:$C$160,0),MATCH(T$920,'Prop. prices'!$I$5:$AB$5,0))</f>
        <v>0</v>
      </c>
      <c r="U963" s="218">
        <f>INDEX('Prop. prices'!$I$86:$AB$160,MATCH($C963,'Prop. prices'!$C$86:$C$160,0),MATCH(U$920,'Prop. prices'!$I$5:$AB$5,0))</f>
        <v>0</v>
      </c>
      <c r="V963" s="218">
        <f>INDEX('Prop. prices'!$I$86:$AB$160,MATCH($C963,'Prop. prices'!$C$86:$C$160,0),MATCH(V$920,'Prop. prices'!$I$5:$AB$5,0))</f>
        <v>0</v>
      </c>
      <c r="W963" s="218">
        <f>INDEX('Prop. prices'!$I$86:$AB$160,MATCH($C963,'Prop. prices'!$C$86:$C$160,0),MATCH(W$920,'Prop. prices'!$I$5:$AB$5,0))</f>
        <v>0</v>
      </c>
      <c r="X963" s="218">
        <f>INDEX('Prop. prices'!$I$86:$AB$160,MATCH($C963,'Prop. prices'!$C$86:$C$160,0),MATCH(X$920,'Prop. prices'!$I$5:$AB$5,0))</f>
        <v>0</v>
      </c>
      <c r="Y963" s="218">
        <f>INDEX('Prop. prices'!$I$86:$AB$160,MATCH($C963,'Prop. prices'!$C$86:$C$160,0),MATCH(Y$920,'Prop. prices'!$I$5:$AB$5,0))</f>
        <v>0</v>
      </c>
      <c r="Z963" s="218">
        <f>INDEX('Prop. prices'!$I$86:$AB$160,MATCH($C963,'Prop. prices'!$C$86:$C$160,0),MATCH(Z$920,'Prop. prices'!$I$5:$AB$5,0))</f>
        <v>0</v>
      </c>
      <c r="AA963" s="218">
        <f>INDEX('Prop. prices'!$I$86:$AB$160,MATCH($C963,'Prop. prices'!$C$86:$C$160,0),MATCH(AA$920,'Prop. prices'!$I$5:$AB$5,0))</f>
        <v>0</v>
      </c>
      <c r="AB963" s="218">
        <f>INDEX('Prop. prices'!$I$86:$AB$160,MATCH($C963,'Prop. prices'!$C$86:$C$160,0),MATCH(AB$920,'Prop. prices'!$I$5:$AB$5,0))</f>
        <v>0</v>
      </c>
      <c r="AC963" s="187"/>
      <c r="AD963" s="19"/>
      <c r="AE963" s="19"/>
      <c r="AF963" s="19"/>
      <c r="AG963" s="19"/>
    </row>
    <row r="964" spans="1:33" hidden="1" outlineLevel="3" x14ac:dyDescent="0.2">
      <c r="A964" s="19"/>
      <c r="B964" s="19"/>
      <c r="C964" s="506">
        <f t="shared" si="205"/>
        <v>0</v>
      </c>
      <c r="D964" s="505">
        <f t="shared" si="205"/>
        <v>0</v>
      </c>
      <c r="E964" s="58"/>
      <c r="F964" s="223"/>
      <c r="G964" s="58"/>
      <c r="H964" s="58"/>
      <c r="I964" s="218">
        <f>INDEX('Prop. prices'!$I$86:$AB$160,MATCH($C964,'Prop. prices'!$C$86:$C$160,0),MATCH(I$920,'Prop. prices'!$I$5:$AB$5,0))</f>
        <v>0</v>
      </c>
      <c r="J964" s="218">
        <f>INDEX('Prop. prices'!$I$86:$AB$160,MATCH($C964,'Prop. prices'!$C$86:$C$160,0),MATCH(J$920,'Prop. prices'!$I$5:$AB$5,0))</f>
        <v>0</v>
      </c>
      <c r="K964" s="218">
        <f>INDEX('Prop. prices'!$I$86:$AB$160,MATCH($C964,'Prop. prices'!$C$86:$C$160,0),MATCH(K$920,'Prop. prices'!$I$5:$AB$5,0))</f>
        <v>0</v>
      </c>
      <c r="L964" s="218">
        <f>INDEX('Prop. prices'!$I$86:$AB$160,MATCH($C964,'Prop. prices'!$C$86:$C$160,0),MATCH(L$920,'Prop. prices'!$I$5:$AB$5,0))</f>
        <v>0</v>
      </c>
      <c r="M964" s="218">
        <f>INDEX('Prop. prices'!$I$86:$AB$160,MATCH($C964,'Prop. prices'!$C$86:$C$160,0),MATCH(M$920,'Prop. prices'!$I$5:$AB$5,0))</f>
        <v>0</v>
      </c>
      <c r="N964" s="218">
        <f>INDEX('Prop. prices'!$I$86:$AB$160,MATCH($C964,'Prop. prices'!$C$86:$C$160,0),MATCH(N$920,'Prop. prices'!$I$5:$AB$5,0))</f>
        <v>0</v>
      </c>
      <c r="O964" s="218">
        <f>INDEX('Prop. prices'!$I$86:$AB$160,MATCH($C964,'Prop. prices'!$C$86:$C$160,0),MATCH(O$920,'Prop. prices'!$I$5:$AB$5,0))</f>
        <v>0</v>
      </c>
      <c r="P964" s="218">
        <f>INDEX('Prop. prices'!$I$86:$AB$160,MATCH($C964,'Prop. prices'!$C$86:$C$160,0),MATCH(P$920,'Prop. prices'!$I$5:$AB$5,0))</f>
        <v>0</v>
      </c>
      <c r="Q964" s="218">
        <f>INDEX('Prop. prices'!$I$86:$AB$160,MATCH($C964,'Prop. prices'!$C$86:$C$160,0),MATCH(Q$920,'Prop. prices'!$I$5:$AB$5,0))</f>
        <v>0</v>
      </c>
      <c r="R964" s="218">
        <f>INDEX('Prop. prices'!$I$86:$AB$160,MATCH($C964,'Prop. prices'!$C$86:$C$160,0),MATCH(R$920,'Prop. prices'!$I$5:$AB$5,0))</f>
        <v>0</v>
      </c>
      <c r="S964" s="218">
        <f>INDEX('Prop. prices'!$I$86:$AB$160,MATCH($C964,'Prop. prices'!$C$86:$C$160,0),MATCH(S$920,'Prop. prices'!$I$5:$AB$5,0))</f>
        <v>0</v>
      </c>
      <c r="T964" s="218">
        <f>INDEX('Prop. prices'!$I$86:$AB$160,MATCH($C964,'Prop. prices'!$C$86:$C$160,0),MATCH(T$920,'Prop. prices'!$I$5:$AB$5,0))</f>
        <v>0</v>
      </c>
      <c r="U964" s="218">
        <f>INDEX('Prop. prices'!$I$86:$AB$160,MATCH($C964,'Prop. prices'!$C$86:$C$160,0),MATCH(U$920,'Prop. prices'!$I$5:$AB$5,0))</f>
        <v>0</v>
      </c>
      <c r="V964" s="218">
        <f>INDEX('Prop. prices'!$I$86:$AB$160,MATCH($C964,'Prop. prices'!$C$86:$C$160,0),MATCH(V$920,'Prop. prices'!$I$5:$AB$5,0))</f>
        <v>0</v>
      </c>
      <c r="W964" s="218">
        <f>INDEX('Prop. prices'!$I$86:$AB$160,MATCH($C964,'Prop. prices'!$C$86:$C$160,0),MATCH(W$920,'Prop. prices'!$I$5:$AB$5,0))</f>
        <v>0</v>
      </c>
      <c r="X964" s="218">
        <f>INDEX('Prop. prices'!$I$86:$AB$160,MATCH($C964,'Prop. prices'!$C$86:$C$160,0),MATCH(X$920,'Prop. prices'!$I$5:$AB$5,0))</f>
        <v>0</v>
      </c>
      <c r="Y964" s="218">
        <f>INDEX('Prop. prices'!$I$86:$AB$160,MATCH($C964,'Prop. prices'!$C$86:$C$160,0),MATCH(Y$920,'Prop. prices'!$I$5:$AB$5,0))</f>
        <v>0</v>
      </c>
      <c r="Z964" s="218">
        <f>INDEX('Prop. prices'!$I$86:$AB$160,MATCH($C964,'Prop. prices'!$C$86:$C$160,0),MATCH(Z$920,'Prop. prices'!$I$5:$AB$5,0))</f>
        <v>0</v>
      </c>
      <c r="AA964" s="218">
        <f>INDEX('Prop. prices'!$I$86:$AB$160,MATCH($C964,'Prop. prices'!$C$86:$C$160,0),MATCH(AA$920,'Prop. prices'!$I$5:$AB$5,0))</f>
        <v>0</v>
      </c>
      <c r="AB964" s="218">
        <f>INDEX('Prop. prices'!$I$86:$AB$160,MATCH($C964,'Prop. prices'!$C$86:$C$160,0),MATCH(AB$920,'Prop. prices'!$I$5:$AB$5,0))</f>
        <v>0</v>
      </c>
      <c r="AC964" s="187"/>
      <c r="AD964" s="19"/>
      <c r="AE964" s="19"/>
      <c r="AF964" s="19"/>
      <c r="AG964" s="19"/>
    </row>
    <row r="965" spans="1:33" hidden="1" outlineLevel="3" x14ac:dyDescent="0.2">
      <c r="A965" s="19"/>
      <c r="B965" s="19"/>
      <c r="C965" s="506">
        <f t="shared" si="205"/>
        <v>0</v>
      </c>
      <c r="D965" s="505">
        <f t="shared" si="205"/>
        <v>0</v>
      </c>
      <c r="E965" s="58"/>
      <c r="F965" s="223"/>
      <c r="G965" s="58"/>
      <c r="H965" s="58"/>
      <c r="I965" s="218">
        <f>INDEX('Prop. prices'!$I$86:$AB$160,MATCH($C965,'Prop. prices'!$C$86:$C$160,0),MATCH(I$920,'Prop. prices'!$I$5:$AB$5,0))</f>
        <v>0</v>
      </c>
      <c r="J965" s="218">
        <f>INDEX('Prop. prices'!$I$86:$AB$160,MATCH($C965,'Prop. prices'!$C$86:$C$160,0),MATCH(J$920,'Prop. prices'!$I$5:$AB$5,0))</f>
        <v>0</v>
      </c>
      <c r="K965" s="218">
        <f>INDEX('Prop. prices'!$I$86:$AB$160,MATCH($C965,'Prop. prices'!$C$86:$C$160,0),MATCH(K$920,'Prop. prices'!$I$5:$AB$5,0))</f>
        <v>0</v>
      </c>
      <c r="L965" s="218">
        <f>INDEX('Prop. prices'!$I$86:$AB$160,MATCH($C965,'Prop. prices'!$C$86:$C$160,0),MATCH(L$920,'Prop. prices'!$I$5:$AB$5,0))</f>
        <v>0</v>
      </c>
      <c r="M965" s="218">
        <f>INDEX('Prop. prices'!$I$86:$AB$160,MATCH($C965,'Prop. prices'!$C$86:$C$160,0),MATCH(M$920,'Prop. prices'!$I$5:$AB$5,0))</f>
        <v>0</v>
      </c>
      <c r="N965" s="218">
        <f>INDEX('Prop. prices'!$I$86:$AB$160,MATCH($C965,'Prop. prices'!$C$86:$C$160,0),MATCH(N$920,'Prop. prices'!$I$5:$AB$5,0))</f>
        <v>0</v>
      </c>
      <c r="O965" s="218">
        <f>INDEX('Prop. prices'!$I$86:$AB$160,MATCH($C965,'Prop. prices'!$C$86:$C$160,0),MATCH(O$920,'Prop. prices'!$I$5:$AB$5,0))</f>
        <v>0</v>
      </c>
      <c r="P965" s="218">
        <f>INDEX('Prop. prices'!$I$86:$AB$160,MATCH($C965,'Prop. prices'!$C$86:$C$160,0),MATCH(P$920,'Prop. prices'!$I$5:$AB$5,0))</f>
        <v>0</v>
      </c>
      <c r="Q965" s="218">
        <f>INDEX('Prop. prices'!$I$86:$AB$160,MATCH($C965,'Prop. prices'!$C$86:$C$160,0),MATCH(Q$920,'Prop. prices'!$I$5:$AB$5,0))</f>
        <v>0</v>
      </c>
      <c r="R965" s="218">
        <f>INDEX('Prop. prices'!$I$86:$AB$160,MATCH($C965,'Prop. prices'!$C$86:$C$160,0),MATCH(R$920,'Prop. prices'!$I$5:$AB$5,0))</f>
        <v>0</v>
      </c>
      <c r="S965" s="218">
        <f>INDEX('Prop. prices'!$I$86:$AB$160,MATCH($C965,'Prop. prices'!$C$86:$C$160,0),MATCH(S$920,'Prop. prices'!$I$5:$AB$5,0))</f>
        <v>0</v>
      </c>
      <c r="T965" s="218">
        <f>INDEX('Prop. prices'!$I$86:$AB$160,MATCH($C965,'Prop. prices'!$C$86:$C$160,0),MATCH(T$920,'Prop. prices'!$I$5:$AB$5,0))</f>
        <v>0</v>
      </c>
      <c r="U965" s="218">
        <f>INDEX('Prop. prices'!$I$86:$AB$160,MATCH($C965,'Prop. prices'!$C$86:$C$160,0),MATCH(U$920,'Prop. prices'!$I$5:$AB$5,0))</f>
        <v>0</v>
      </c>
      <c r="V965" s="218">
        <f>INDEX('Prop. prices'!$I$86:$AB$160,MATCH($C965,'Prop. prices'!$C$86:$C$160,0),MATCH(V$920,'Prop. prices'!$I$5:$AB$5,0))</f>
        <v>0</v>
      </c>
      <c r="W965" s="218">
        <f>INDEX('Prop. prices'!$I$86:$AB$160,MATCH($C965,'Prop. prices'!$C$86:$C$160,0),MATCH(W$920,'Prop. prices'!$I$5:$AB$5,0))</f>
        <v>0</v>
      </c>
      <c r="X965" s="218">
        <f>INDEX('Prop. prices'!$I$86:$AB$160,MATCH($C965,'Prop. prices'!$C$86:$C$160,0),MATCH(X$920,'Prop. prices'!$I$5:$AB$5,0))</f>
        <v>0</v>
      </c>
      <c r="Y965" s="218">
        <f>INDEX('Prop. prices'!$I$86:$AB$160,MATCH($C965,'Prop. prices'!$C$86:$C$160,0),MATCH(Y$920,'Prop. prices'!$I$5:$AB$5,0))</f>
        <v>0</v>
      </c>
      <c r="Z965" s="218">
        <f>INDEX('Prop. prices'!$I$86:$AB$160,MATCH($C965,'Prop. prices'!$C$86:$C$160,0),MATCH(Z$920,'Prop. prices'!$I$5:$AB$5,0))</f>
        <v>0</v>
      </c>
      <c r="AA965" s="218">
        <f>INDEX('Prop. prices'!$I$86:$AB$160,MATCH($C965,'Prop. prices'!$C$86:$C$160,0),MATCH(AA$920,'Prop. prices'!$I$5:$AB$5,0))</f>
        <v>0</v>
      </c>
      <c r="AB965" s="218">
        <f>INDEX('Prop. prices'!$I$86:$AB$160,MATCH($C965,'Prop. prices'!$C$86:$C$160,0),MATCH(AB$920,'Prop. prices'!$I$5:$AB$5,0))</f>
        <v>0</v>
      </c>
      <c r="AC965" s="187"/>
      <c r="AD965" s="19"/>
      <c r="AE965" s="19"/>
      <c r="AF965" s="19"/>
      <c r="AG965" s="19"/>
    </row>
    <row r="966" spans="1:33" hidden="1" outlineLevel="3" x14ac:dyDescent="0.2">
      <c r="A966" s="19"/>
      <c r="B966" s="19"/>
      <c r="C966" s="506">
        <f t="shared" si="205"/>
        <v>0</v>
      </c>
      <c r="D966" s="505">
        <f t="shared" si="205"/>
        <v>0</v>
      </c>
      <c r="E966" s="58"/>
      <c r="F966" s="223"/>
      <c r="G966" s="58"/>
      <c r="H966" s="58"/>
      <c r="I966" s="218">
        <f>INDEX('Prop. prices'!$I$86:$AB$160,MATCH($C966,'Prop. prices'!$C$86:$C$160,0),MATCH(I$920,'Prop. prices'!$I$5:$AB$5,0))</f>
        <v>0</v>
      </c>
      <c r="J966" s="218">
        <f>INDEX('Prop. prices'!$I$86:$AB$160,MATCH($C966,'Prop. prices'!$C$86:$C$160,0),MATCH(J$920,'Prop. prices'!$I$5:$AB$5,0))</f>
        <v>0</v>
      </c>
      <c r="K966" s="218">
        <f>INDEX('Prop. prices'!$I$86:$AB$160,MATCH($C966,'Prop. prices'!$C$86:$C$160,0),MATCH(K$920,'Prop. prices'!$I$5:$AB$5,0))</f>
        <v>0</v>
      </c>
      <c r="L966" s="218">
        <f>INDEX('Prop. prices'!$I$86:$AB$160,MATCH($C966,'Prop. prices'!$C$86:$C$160,0),MATCH(L$920,'Prop. prices'!$I$5:$AB$5,0))</f>
        <v>0</v>
      </c>
      <c r="M966" s="218">
        <f>INDEX('Prop. prices'!$I$86:$AB$160,MATCH($C966,'Prop. prices'!$C$86:$C$160,0),MATCH(M$920,'Prop. prices'!$I$5:$AB$5,0))</f>
        <v>0</v>
      </c>
      <c r="N966" s="218">
        <f>INDEX('Prop. prices'!$I$86:$AB$160,MATCH($C966,'Prop. prices'!$C$86:$C$160,0),MATCH(N$920,'Prop. prices'!$I$5:$AB$5,0))</f>
        <v>0</v>
      </c>
      <c r="O966" s="218">
        <f>INDEX('Prop. prices'!$I$86:$AB$160,MATCH($C966,'Prop. prices'!$C$86:$C$160,0),MATCH(O$920,'Prop. prices'!$I$5:$AB$5,0))</f>
        <v>0</v>
      </c>
      <c r="P966" s="218">
        <f>INDEX('Prop. prices'!$I$86:$AB$160,MATCH($C966,'Prop. prices'!$C$86:$C$160,0),MATCH(P$920,'Prop. prices'!$I$5:$AB$5,0))</f>
        <v>0</v>
      </c>
      <c r="Q966" s="218">
        <f>INDEX('Prop. prices'!$I$86:$AB$160,MATCH($C966,'Prop. prices'!$C$86:$C$160,0),MATCH(Q$920,'Prop. prices'!$I$5:$AB$5,0))</f>
        <v>0</v>
      </c>
      <c r="R966" s="218">
        <f>INDEX('Prop. prices'!$I$86:$AB$160,MATCH($C966,'Prop. prices'!$C$86:$C$160,0),MATCH(R$920,'Prop. prices'!$I$5:$AB$5,0))</f>
        <v>0</v>
      </c>
      <c r="S966" s="218">
        <f>INDEX('Prop. prices'!$I$86:$AB$160,MATCH($C966,'Prop. prices'!$C$86:$C$160,0),MATCH(S$920,'Prop. prices'!$I$5:$AB$5,0))</f>
        <v>0</v>
      </c>
      <c r="T966" s="218">
        <f>INDEX('Prop. prices'!$I$86:$AB$160,MATCH($C966,'Prop. prices'!$C$86:$C$160,0),MATCH(T$920,'Prop. prices'!$I$5:$AB$5,0))</f>
        <v>0</v>
      </c>
      <c r="U966" s="218">
        <f>INDEX('Prop. prices'!$I$86:$AB$160,MATCH($C966,'Prop. prices'!$C$86:$C$160,0),MATCH(U$920,'Prop. prices'!$I$5:$AB$5,0))</f>
        <v>0</v>
      </c>
      <c r="V966" s="218">
        <f>INDEX('Prop. prices'!$I$86:$AB$160,MATCH($C966,'Prop. prices'!$C$86:$C$160,0),MATCH(V$920,'Prop. prices'!$I$5:$AB$5,0))</f>
        <v>0</v>
      </c>
      <c r="W966" s="218">
        <f>INDEX('Prop. prices'!$I$86:$AB$160,MATCH($C966,'Prop. prices'!$C$86:$C$160,0),MATCH(W$920,'Prop. prices'!$I$5:$AB$5,0))</f>
        <v>0</v>
      </c>
      <c r="X966" s="218">
        <f>INDEX('Prop. prices'!$I$86:$AB$160,MATCH($C966,'Prop. prices'!$C$86:$C$160,0),MATCH(X$920,'Prop. prices'!$I$5:$AB$5,0))</f>
        <v>0</v>
      </c>
      <c r="Y966" s="218">
        <f>INDEX('Prop. prices'!$I$86:$AB$160,MATCH($C966,'Prop. prices'!$C$86:$C$160,0),MATCH(Y$920,'Prop. prices'!$I$5:$AB$5,0))</f>
        <v>0</v>
      </c>
      <c r="Z966" s="218">
        <f>INDEX('Prop. prices'!$I$86:$AB$160,MATCH($C966,'Prop. prices'!$C$86:$C$160,0),MATCH(Z$920,'Prop. prices'!$I$5:$AB$5,0))</f>
        <v>0</v>
      </c>
      <c r="AA966" s="218">
        <f>INDEX('Prop. prices'!$I$86:$AB$160,MATCH($C966,'Prop. prices'!$C$86:$C$160,0),MATCH(AA$920,'Prop. prices'!$I$5:$AB$5,0))</f>
        <v>0</v>
      </c>
      <c r="AB966" s="218">
        <f>INDEX('Prop. prices'!$I$86:$AB$160,MATCH($C966,'Prop. prices'!$C$86:$C$160,0),MATCH(AB$920,'Prop. prices'!$I$5:$AB$5,0))</f>
        <v>0</v>
      </c>
      <c r="AC966" s="187"/>
      <c r="AD966" s="19"/>
      <c r="AE966" s="19"/>
      <c r="AF966" s="19"/>
      <c r="AG966" s="19"/>
    </row>
    <row r="967" spans="1:33" hidden="1" outlineLevel="3" x14ac:dyDescent="0.2">
      <c r="A967" s="19"/>
      <c r="B967" s="19"/>
      <c r="C967" s="506">
        <f t="shared" si="205"/>
        <v>0</v>
      </c>
      <c r="D967" s="505">
        <f t="shared" si="205"/>
        <v>0</v>
      </c>
      <c r="E967" s="58"/>
      <c r="F967" s="223"/>
      <c r="G967" s="58"/>
      <c r="H967" s="58"/>
      <c r="I967" s="218">
        <f>INDEX('Prop. prices'!$I$86:$AB$160,MATCH($C967,'Prop. prices'!$C$86:$C$160,0),MATCH(I$920,'Prop. prices'!$I$5:$AB$5,0))</f>
        <v>0</v>
      </c>
      <c r="J967" s="218">
        <f>INDEX('Prop. prices'!$I$86:$AB$160,MATCH($C967,'Prop. prices'!$C$86:$C$160,0),MATCH(J$920,'Prop. prices'!$I$5:$AB$5,0))</f>
        <v>0</v>
      </c>
      <c r="K967" s="218">
        <f>INDEX('Prop. prices'!$I$86:$AB$160,MATCH($C967,'Prop. prices'!$C$86:$C$160,0),MATCH(K$920,'Prop. prices'!$I$5:$AB$5,0))</f>
        <v>0</v>
      </c>
      <c r="L967" s="218">
        <f>INDEX('Prop. prices'!$I$86:$AB$160,MATCH($C967,'Prop. prices'!$C$86:$C$160,0),MATCH(L$920,'Prop. prices'!$I$5:$AB$5,0))</f>
        <v>0</v>
      </c>
      <c r="M967" s="218">
        <f>INDEX('Prop. prices'!$I$86:$AB$160,MATCH($C967,'Prop. prices'!$C$86:$C$160,0),MATCH(M$920,'Prop. prices'!$I$5:$AB$5,0))</f>
        <v>0</v>
      </c>
      <c r="N967" s="218">
        <f>INDEX('Prop. prices'!$I$86:$AB$160,MATCH($C967,'Prop. prices'!$C$86:$C$160,0),MATCH(N$920,'Prop. prices'!$I$5:$AB$5,0))</f>
        <v>0</v>
      </c>
      <c r="O967" s="218">
        <f>INDEX('Prop. prices'!$I$86:$AB$160,MATCH($C967,'Prop. prices'!$C$86:$C$160,0),MATCH(O$920,'Prop. prices'!$I$5:$AB$5,0))</f>
        <v>0</v>
      </c>
      <c r="P967" s="218">
        <f>INDEX('Prop. prices'!$I$86:$AB$160,MATCH($C967,'Prop. prices'!$C$86:$C$160,0),MATCH(P$920,'Prop. prices'!$I$5:$AB$5,0))</f>
        <v>0</v>
      </c>
      <c r="Q967" s="218">
        <f>INDEX('Prop. prices'!$I$86:$AB$160,MATCH($C967,'Prop. prices'!$C$86:$C$160,0),MATCH(Q$920,'Prop. prices'!$I$5:$AB$5,0))</f>
        <v>0</v>
      </c>
      <c r="R967" s="218">
        <f>INDEX('Prop. prices'!$I$86:$AB$160,MATCH($C967,'Prop. prices'!$C$86:$C$160,0),MATCH(R$920,'Prop. prices'!$I$5:$AB$5,0))</f>
        <v>0</v>
      </c>
      <c r="S967" s="218">
        <f>INDEX('Prop. prices'!$I$86:$AB$160,MATCH($C967,'Prop. prices'!$C$86:$C$160,0),MATCH(S$920,'Prop. prices'!$I$5:$AB$5,0))</f>
        <v>0</v>
      </c>
      <c r="T967" s="218">
        <f>INDEX('Prop. prices'!$I$86:$AB$160,MATCH($C967,'Prop. prices'!$C$86:$C$160,0),MATCH(T$920,'Prop. prices'!$I$5:$AB$5,0))</f>
        <v>0</v>
      </c>
      <c r="U967" s="218">
        <f>INDEX('Prop. prices'!$I$86:$AB$160,MATCH($C967,'Prop. prices'!$C$86:$C$160,0),MATCH(U$920,'Prop. prices'!$I$5:$AB$5,0))</f>
        <v>0</v>
      </c>
      <c r="V967" s="218">
        <f>INDEX('Prop. prices'!$I$86:$AB$160,MATCH($C967,'Prop. prices'!$C$86:$C$160,0),MATCH(V$920,'Prop. prices'!$I$5:$AB$5,0))</f>
        <v>0</v>
      </c>
      <c r="W967" s="218">
        <f>INDEX('Prop. prices'!$I$86:$AB$160,MATCH($C967,'Prop. prices'!$C$86:$C$160,0),MATCH(W$920,'Prop. prices'!$I$5:$AB$5,0))</f>
        <v>0</v>
      </c>
      <c r="X967" s="218">
        <f>INDEX('Prop. prices'!$I$86:$AB$160,MATCH($C967,'Prop. prices'!$C$86:$C$160,0),MATCH(X$920,'Prop. prices'!$I$5:$AB$5,0))</f>
        <v>0</v>
      </c>
      <c r="Y967" s="218">
        <f>INDEX('Prop. prices'!$I$86:$AB$160,MATCH($C967,'Prop. prices'!$C$86:$C$160,0),MATCH(Y$920,'Prop. prices'!$I$5:$AB$5,0))</f>
        <v>0</v>
      </c>
      <c r="Z967" s="218">
        <f>INDEX('Prop. prices'!$I$86:$AB$160,MATCH($C967,'Prop. prices'!$C$86:$C$160,0),MATCH(Z$920,'Prop. prices'!$I$5:$AB$5,0))</f>
        <v>0</v>
      </c>
      <c r="AA967" s="218">
        <f>INDEX('Prop. prices'!$I$86:$AB$160,MATCH($C967,'Prop. prices'!$C$86:$C$160,0),MATCH(AA$920,'Prop. prices'!$I$5:$AB$5,0))</f>
        <v>0</v>
      </c>
      <c r="AB967" s="218">
        <f>INDEX('Prop. prices'!$I$86:$AB$160,MATCH($C967,'Prop. prices'!$C$86:$C$160,0),MATCH(AB$920,'Prop. prices'!$I$5:$AB$5,0))</f>
        <v>0</v>
      </c>
      <c r="AC967" s="187"/>
      <c r="AD967" s="19"/>
      <c r="AE967" s="19"/>
      <c r="AF967" s="19"/>
      <c r="AG967" s="19"/>
    </row>
    <row r="968" spans="1:33" hidden="1" outlineLevel="3" x14ac:dyDescent="0.2">
      <c r="A968" s="19"/>
      <c r="B968" s="19"/>
      <c r="C968" s="506">
        <f t="shared" si="205"/>
        <v>0</v>
      </c>
      <c r="D968" s="505">
        <f t="shared" si="205"/>
        <v>0</v>
      </c>
      <c r="E968" s="58"/>
      <c r="F968" s="223"/>
      <c r="G968" s="58"/>
      <c r="H968" s="58"/>
      <c r="I968" s="218">
        <f>INDEX('Prop. prices'!$I$86:$AB$160,MATCH($C968,'Prop. prices'!$C$86:$C$160,0),MATCH(I$920,'Prop. prices'!$I$5:$AB$5,0))</f>
        <v>0</v>
      </c>
      <c r="J968" s="218">
        <f>INDEX('Prop. prices'!$I$86:$AB$160,MATCH($C968,'Prop. prices'!$C$86:$C$160,0),MATCH(J$920,'Prop. prices'!$I$5:$AB$5,0))</f>
        <v>0</v>
      </c>
      <c r="K968" s="218">
        <f>INDEX('Prop. prices'!$I$86:$AB$160,MATCH($C968,'Prop. prices'!$C$86:$C$160,0),MATCH(K$920,'Prop. prices'!$I$5:$AB$5,0))</f>
        <v>0</v>
      </c>
      <c r="L968" s="218">
        <f>INDEX('Prop. prices'!$I$86:$AB$160,MATCH($C968,'Prop. prices'!$C$86:$C$160,0),MATCH(L$920,'Prop. prices'!$I$5:$AB$5,0))</f>
        <v>0</v>
      </c>
      <c r="M968" s="218">
        <f>INDEX('Prop. prices'!$I$86:$AB$160,MATCH($C968,'Prop. prices'!$C$86:$C$160,0),MATCH(M$920,'Prop. prices'!$I$5:$AB$5,0))</f>
        <v>0</v>
      </c>
      <c r="N968" s="218">
        <f>INDEX('Prop. prices'!$I$86:$AB$160,MATCH($C968,'Prop. prices'!$C$86:$C$160,0),MATCH(N$920,'Prop. prices'!$I$5:$AB$5,0))</f>
        <v>0</v>
      </c>
      <c r="O968" s="218">
        <f>INDEX('Prop. prices'!$I$86:$AB$160,MATCH($C968,'Prop. prices'!$C$86:$C$160,0),MATCH(O$920,'Prop. prices'!$I$5:$AB$5,0))</f>
        <v>0</v>
      </c>
      <c r="P968" s="218">
        <f>INDEX('Prop. prices'!$I$86:$AB$160,MATCH($C968,'Prop. prices'!$C$86:$C$160,0),MATCH(P$920,'Prop. prices'!$I$5:$AB$5,0))</f>
        <v>0</v>
      </c>
      <c r="Q968" s="218">
        <f>INDEX('Prop. prices'!$I$86:$AB$160,MATCH($C968,'Prop. prices'!$C$86:$C$160,0),MATCH(Q$920,'Prop. prices'!$I$5:$AB$5,0))</f>
        <v>0</v>
      </c>
      <c r="R968" s="218">
        <f>INDEX('Prop. prices'!$I$86:$AB$160,MATCH($C968,'Prop. prices'!$C$86:$C$160,0),MATCH(R$920,'Prop. prices'!$I$5:$AB$5,0))</f>
        <v>0</v>
      </c>
      <c r="S968" s="218">
        <f>INDEX('Prop. prices'!$I$86:$AB$160,MATCH($C968,'Prop. prices'!$C$86:$C$160,0),MATCH(S$920,'Prop. prices'!$I$5:$AB$5,0))</f>
        <v>0</v>
      </c>
      <c r="T968" s="218">
        <f>INDEX('Prop. prices'!$I$86:$AB$160,MATCH($C968,'Prop. prices'!$C$86:$C$160,0),MATCH(T$920,'Prop. prices'!$I$5:$AB$5,0))</f>
        <v>0</v>
      </c>
      <c r="U968" s="218">
        <f>INDEX('Prop. prices'!$I$86:$AB$160,MATCH($C968,'Prop. prices'!$C$86:$C$160,0),MATCH(U$920,'Prop. prices'!$I$5:$AB$5,0))</f>
        <v>0</v>
      </c>
      <c r="V968" s="218">
        <f>INDEX('Prop. prices'!$I$86:$AB$160,MATCH($C968,'Prop. prices'!$C$86:$C$160,0),MATCH(V$920,'Prop. prices'!$I$5:$AB$5,0))</f>
        <v>0</v>
      </c>
      <c r="W968" s="218">
        <f>INDEX('Prop. prices'!$I$86:$AB$160,MATCH($C968,'Prop. prices'!$C$86:$C$160,0),MATCH(W$920,'Prop. prices'!$I$5:$AB$5,0))</f>
        <v>0</v>
      </c>
      <c r="X968" s="218">
        <f>INDEX('Prop. prices'!$I$86:$AB$160,MATCH($C968,'Prop. prices'!$C$86:$C$160,0),MATCH(X$920,'Prop. prices'!$I$5:$AB$5,0))</f>
        <v>0</v>
      </c>
      <c r="Y968" s="218">
        <f>INDEX('Prop. prices'!$I$86:$AB$160,MATCH($C968,'Prop. prices'!$C$86:$C$160,0),MATCH(Y$920,'Prop. prices'!$I$5:$AB$5,0))</f>
        <v>0</v>
      </c>
      <c r="Z968" s="218">
        <f>INDEX('Prop. prices'!$I$86:$AB$160,MATCH($C968,'Prop. prices'!$C$86:$C$160,0),MATCH(Z$920,'Prop. prices'!$I$5:$AB$5,0))</f>
        <v>0</v>
      </c>
      <c r="AA968" s="218">
        <f>INDEX('Prop. prices'!$I$86:$AB$160,MATCH($C968,'Prop. prices'!$C$86:$C$160,0),MATCH(AA$920,'Prop. prices'!$I$5:$AB$5,0))</f>
        <v>0</v>
      </c>
      <c r="AB968" s="218">
        <f>INDEX('Prop. prices'!$I$86:$AB$160,MATCH($C968,'Prop. prices'!$C$86:$C$160,0),MATCH(AB$920,'Prop. prices'!$I$5:$AB$5,0))</f>
        <v>0</v>
      </c>
      <c r="AC968" s="187"/>
      <c r="AD968" s="19"/>
      <c r="AE968" s="19"/>
      <c r="AF968" s="19"/>
      <c r="AG968" s="19"/>
    </row>
    <row r="969" spans="1:33" hidden="1" outlineLevel="3" x14ac:dyDescent="0.2">
      <c r="A969" s="19"/>
      <c r="B969" s="19"/>
      <c r="C969" s="506">
        <f t="shared" si="205"/>
        <v>0</v>
      </c>
      <c r="D969" s="505">
        <f t="shared" si="205"/>
        <v>0</v>
      </c>
      <c r="E969" s="58"/>
      <c r="F969" s="223"/>
      <c r="G969" s="58"/>
      <c r="H969" s="58"/>
      <c r="I969" s="218">
        <f>INDEX('Prop. prices'!$I$86:$AB$160,MATCH($C969,'Prop. prices'!$C$86:$C$160,0),MATCH(I$920,'Prop. prices'!$I$5:$AB$5,0))</f>
        <v>0</v>
      </c>
      <c r="J969" s="218">
        <f>INDEX('Prop. prices'!$I$86:$AB$160,MATCH($C969,'Prop. prices'!$C$86:$C$160,0),MATCH(J$920,'Prop. prices'!$I$5:$AB$5,0))</f>
        <v>0</v>
      </c>
      <c r="K969" s="218">
        <f>INDEX('Prop. prices'!$I$86:$AB$160,MATCH($C969,'Prop. prices'!$C$86:$C$160,0),MATCH(K$920,'Prop. prices'!$I$5:$AB$5,0))</f>
        <v>0</v>
      </c>
      <c r="L969" s="218">
        <f>INDEX('Prop. prices'!$I$86:$AB$160,MATCH($C969,'Prop. prices'!$C$86:$C$160,0),MATCH(L$920,'Prop. prices'!$I$5:$AB$5,0))</f>
        <v>0</v>
      </c>
      <c r="M969" s="218">
        <f>INDEX('Prop. prices'!$I$86:$AB$160,MATCH($C969,'Prop. prices'!$C$86:$C$160,0),MATCH(M$920,'Prop. prices'!$I$5:$AB$5,0))</f>
        <v>0</v>
      </c>
      <c r="N969" s="218">
        <f>INDEX('Prop. prices'!$I$86:$AB$160,MATCH($C969,'Prop. prices'!$C$86:$C$160,0),MATCH(N$920,'Prop. prices'!$I$5:$AB$5,0))</f>
        <v>0</v>
      </c>
      <c r="O969" s="218">
        <f>INDEX('Prop. prices'!$I$86:$AB$160,MATCH($C969,'Prop. prices'!$C$86:$C$160,0),MATCH(O$920,'Prop. prices'!$I$5:$AB$5,0))</f>
        <v>0</v>
      </c>
      <c r="P969" s="218">
        <f>INDEX('Prop. prices'!$I$86:$AB$160,MATCH($C969,'Prop. prices'!$C$86:$C$160,0),MATCH(P$920,'Prop. prices'!$I$5:$AB$5,0))</f>
        <v>0</v>
      </c>
      <c r="Q969" s="218">
        <f>INDEX('Prop. prices'!$I$86:$AB$160,MATCH($C969,'Prop. prices'!$C$86:$C$160,0),MATCH(Q$920,'Prop. prices'!$I$5:$AB$5,0))</f>
        <v>0</v>
      </c>
      <c r="R969" s="218">
        <f>INDEX('Prop. prices'!$I$86:$AB$160,MATCH($C969,'Prop. prices'!$C$86:$C$160,0),MATCH(R$920,'Prop. prices'!$I$5:$AB$5,0))</f>
        <v>0</v>
      </c>
      <c r="S969" s="218">
        <f>INDEX('Prop. prices'!$I$86:$AB$160,MATCH($C969,'Prop. prices'!$C$86:$C$160,0),MATCH(S$920,'Prop. prices'!$I$5:$AB$5,0))</f>
        <v>0</v>
      </c>
      <c r="T969" s="218">
        <f>INDEX('Prop. prices'!$I$86:$AB$160,MATCH($C969,'Prop. prices'!$C$86:$C$160,0),MATCH(T$920,'Prop. prices'!$I$5:$AB$5,0))</f>
        <v>0</v>
      </c>
      <c r="U969" s="218">
        <f>INDEX('Prop. prices'!$I$86:$AB$160,MATCH($C969,'Prop. prices'!$C$86:$C$160,0),MATCH(U$920,'Prop. prices'!$I$5:$AB$5,0))</f>
        <v>0</v>
      </c>
      <c r="V969" s="218">
        <f>INDEX('Prop. prices'!$I$86:$AB$160,MATCH($C969,'Prop. prices'!$C$86:$C$160,0),MATCH(V$920,'Prop. prices'!$I$5:$AB$5,0))</f>
        <v>0</v>
      </c>
      <c r="W969" s="218">
        <f>INDEX('Prop. prices'!$I$86:$AB$160,MATCH($C969,'Prop. prices'!$C$86:$C$160,0),MATCH(W$920,'Prop. prices'!$I$5:$AB$5,0))</f>
        <v>0</v>
      </c>
      <c r="X969" s="218">
        <f>INDEX('Prop. prices'!$I$86:$AB$160,MATCH($C969,'Prop. prices'!$C$86:$C$160,0),MATCH(X$920,'Prop. prices'!$I$5:$AB$5,0))</f>
        <v>0</v>
      </c>
      <c r="Y969" s="218">
        <f>INDEX('Prop. prices'!$I$86:$AB$160,MATCH($C969,'Prop. prices'!$C$86:$C$160,0),MATCH(Y$920,'Prop. prices'!$I$5:$AB$5,0))</f>
        <v>0</v>
      </c>
      <c r="Z969" s="218">
        <f>INDEX('Prop. prices'!$I$86:$AB$160,MATCH($C969,'Prop. prices'!$C$86:$C$160,0),MATCH(Z$920,'Prop. prices'!$I$5:$AB$5,0))</f>
        <v>0</v>
      </c>
      <c r="AA969" s="218">
        <f>INDEX('Prop. prices'!$I$86:$AB$160,MATCH($C969,'Prop. prices'!$C$86:$C$160,0),MATCH(AA$920,'Prop. prices'!$I$5:$AB$5,0))</f>
        <v>0</v>
      </c>
      <c r="AB969" s="218">
        <f>INDEX('Prop. prices'!$I$86:$AB$160,MATCH($C969,'Prop. prices'!$C$86:$C$160,0),MATCH(AB$920,'Prop. prices'!$I$5:$AB$5,0))</f>
        <v>0</v>
      </c>
      <c r="AC969" s="187"/>
      <c r="AD969" s="19"/>
      <c r="AE969" s="19"/>
      <c r="AF969" s="19"/>
      <c r="AG969" s="19"/>
    </row>
    <row r="970" spans="1:33" hidden="1" outlineLevel="3" x14ac:dyDescent="0.2">
      <c r="A970" s="19"/>
      <c r="B970" s="19"/>
      <c r="C970" s="506">
        <f t="shared" si="205"/>
        <v>0</v>
      </c>
      <c r="D970" s="505">
        <f t="shared" si="205"/>
        <v>0</v>
      </c>
      <c r="E970" s="58"/>
      <c r="F970" s="223"/>
      <c r="G970" s="58"/>
      <c r="H970" s="58"/>
      <c r="I970" s="218">
        <f>INDEX('Prop. prices'!$I$86:$AB$160,MATCH($C970,'Prop. prices'!$C$86:$C$160,0),MATCH(I$920,'Prop. prices'!$I$5:$AB$5,0))</f>
        <v>0</v>
      </c>
      <c r="J970" s="218">
        <f>INDEX('Prop. prices'!$I$86:$AB$160,MATCH($C970,'Prop. prices'!$C$86:$C$160,0),MATCH(J$920,'Prop. prices'!$I$5:$AB$5,0))</f>
        <v>0</v>
      </c>
      <c r="K970" s="218">
        <f>INDEX('Prop. prices'!$I$86:$AB$160,MATCH($C970,'Prop. prices'!$C$86:$C$160,0),MATCH(K$920,'Prop. prices'!$I$5:$AB$5,0))</f>
        <v>0</v>
      </c>
      <c r="L970" s="218">
        <f>INDEX('Prop. prices'!$I$86:$AB$160,MATCH($C970,'Prop. prices'!$C$86:$C$160,0),MATCH(L$920,'Prop. prices'!$I$5:$AB$5,0))</f>
        <v>0</v>
      </c>
      <c r="M970" s="218">
        <f>INDEX('Prop. prices'!$I$86:$AB$160,MATCH($C970,'Prop. prices'!$C$86:$C$160,0),MATCH(M$920,'Prop. prices'!$I$5:$AB$5,0))</f>
        <v>0</v>
      </c>
      <c r="N970" s="218">
        <f>INDEX('Prop. prices'!$I$86:$AB$160,MATCH($C970,'Prop. prices'!$C$86:$C$160,0),MATCH(N$920,'Prop. prices'!$I$5:$AB$5,0))</f>
        <v>0</v>
      </c>
      <c r="O970" s="218">
        <f>INDEX('Prop. prices'!$I$86:$AB$160,MATCH($C970,'Prop. prices'!$C$86:$C$160,0),MATCH(O$920,'Prop. prices'!$I$5:$AB$5,0))</f>
        <v>0</v>
      </c>
      <c r="P970" s="218">
        <f>INDEX('Prop. prices'!$I$86:$AB$160,MATCH($C970,'Prop. prices'!$C$86:$C$160,0),MATCH(P$920,'Prop. prices'!$I$5:$AB$5,0))</f>
        <v>0</v>
      </c>
      <c r="Q970" s="218">
        <f>INDEX('Prop. prices'!$I$86:$AB$160,MATCH($C970,'Prop. prices'!$C$86:$C$160,0),MATCH(Q$920,'Prop. prices'!$I$5:$AB$5,0))</f>
        <v>0</v>
      </c>
      <c r="R970" s="218">
        <f>INDEX('Prop. prices'!$I$86:$AB$160,MATCH($C970,'Prop. prices'!$C$86:$C$160,0),MATCH(R$920,'Prop. prices'!$I$5:$AB$5,0))</f>
        <v>0</v>
      </c>
      <c r="S970" s="218">
        <f>INDEX('Prop. prices'!$I$86:$AB$160,MATCH($C970,'Prop. prices'!$C$86:$C$160,0),MATCH(S$920,'Prop. prices'!$I$5:$AB$5,0))</f>
        <v>0</v>
      </c>
      <c r="T970" s="218">
        <f>INDEX('Prop. prices'!$I$86:$AB$160,MATCH($C970,'Prop. prices'!$C$86:$C$160,0),MATCH(T$920,'Prop. prices'!$I$5:$AB$5,0))</f>
        <v>0</v>
      </c>
      <c r="U970" s="218">
        <f>INDEX('Prop. prices'!$I$86:$AB$160,MATCH($C970,'Prop. prices'!$C$86:$C$160,0),MATCH(U$920,'Prop. prices'!$I$5:$AB$5,0))</f>
        <v>0</v>
      </c>
      <c r="V970" s="218">
        <f>INDEX('Prop. prices'!$I$86:$AB$160,MATCH($C970,'Prop. prices'!$C$86:$C$160,0),MATCH(V$920,'Prop. prices'!$I$5:$AB$5,0))</f>
        <v>0</v>
      </c>
      <c r="W970" s="218">
        <f>INDEX('Prop. prices'!$I$86:$AB$160,MATCH($C970,'Prop. prices'!$C$86:$C$160,0),MATCH(W$920,'Prop. prices'!$I$5:$AB$5,0))</f>
        <v>0</v>
      </c>
      <c r="X970" s="218">
        <f>INDEX('Prop. prices'!$I$86:$AB$160,MATCH($C970,'Prop. prices'!$C$86:$C$160,0),MATCH(X$920,'Prop. prices'!$I$5:$AB$5,0))</f>
        <v>0</v>
      </c>
      <c r="Y970" s="218">
        <f>INDEX('Prop. prices'!$I$86:$AB$160,MATCH($C970,'Prop. prices'!$C$86:$C$160,0),MATCH(Y$920,'Prop. prices'!$I$5:$AB$5,0))</f>
        <v>0</v>
      </c>
      <c r="Z970" s="218">
        <f>INDEX('Prop. prices'!$I$86:$AB$160,MATCH($C970,'Prop. prices'!$C$86:$C$160,0),MATCH(Z$920,'Prop. prices'!$I$5:$AB$5,0))</f>
        <v>0</v>
      </c>
      <c r="AA970" s="218">
        <f>INDEX('Prop. prices'!$I$86:$AB$160,MATCH($C970,'Prop. prices'!$C$86:$C$160,0),MATCH(AA$920,'Prop. prices'!$I$5:$AB$5,0))</f>
        <v>0</v>
      </c>
      <c r="AB970" s="218">
        <f>INDEX('Prop. prices'!$I$86:$AB$160,MATCH($C970,'Prop. prices'!$C$86:$C$160,0),MATCH(AB$920,'Prop. prices'!$I$5:$AB$5,0))</f>
        <v>0</v>
      </c>
      <c r="AC970" s="187"/>
      <c r="AD970" s="19"/>
      <c r="AE970" s="19"/>
      <c r="AF970" s="19"/>
      <c r="AG970" s="19"/>
    </row>
    <row r="971" spans="1:33" hidden="1" outlineLevel="3" x14ac:dyDescent="0.2">
      <c r="A971" s="19"/>
      <c r="B971" s="19"/>
      <c r="C971" s="506">
        <f t="shared" si="205"/>
        <v>0</v>
      </c>
      <c r="D971" s="505">
        <f t="shared" si="205"/>
        <v>0</v>
      </c>
      <c r="E971" s="58"/>
      <c r="F971" s="223"/>
      <c r="G971" s="58"/>
      <c r="H971" s="58"/>
      <c r="I971" s="218">
        <f>INDEX('Prop. prices'!$I$86:$AB$160,MATCH($C971,'Prop. prices'!$C$86:$C$160,0),MATCH(I$920,'Prop. prices'!$I$5:$AB$5,0))</f>
        <v>0</v>
      </c>
      <c r="J971" s="218">
        <f>INDEX('Prop. prices'!$I$86:$AB$160,MATCH($C971,'Prop. prices'!$C$86:$C$160,0),MATCH(J$920,'Prop. prices'!$I$5:$AB$5,0))</f>
        <v>0</v>
      </c>
      <c r="K971" s="218">
        <f>INDEX('Prop. prices'!$I$86:$AB$160,MATCH($C971,'Prop. prices'!$C$86:$C$160,0),MATCH(K$920,'Prop. prices'!$I$5:$AB$5,0))</f>
        <v>0</v>
      </c>
      <c r="L971" s="218">
        <f>INDEX('Prop. prices'!$I$86:$AB$160,MATCH($C971,'Prop. prices'!$C$86:$C$160,0),MATCH(L$920,'Prop. prices'!$I$5:$AB$5,0))</f>
        <v>0</v>
      </c>
      <c r="M971" s="218">
        <f>INDEX('Prop. prices'!$I$86:$AB$160,MATCH($C971,'Prop. prices'!$C$86:$C$160,0),MATCH(M$920,'Prop. prices'!$I$5:$AB$5,0))</f>
        <v>0</v>
      </c>
      <c r="N971" s="218">
        <f>INDEX('Prop. prices'!$I$86:$AB$160,MATCH($C971,'Prop. prices'!$C$86:$C$160,0),MATCH(N$920,'Prop. prices'!$I$5:$AB$5,0))</f>
        <v>0</v>
      </c>
      <c r="O971" s="218">
        <f>INDEX('Prop. prices'!$I$86:$AB$160,MATCH($C971,'Prop. prices'!$C$86:$C$160,0),MATCH(O$920,'Prop. prices'!$I$5:$AB$5,0))</f>
        <v>0</v>
      </c>
      <c r="P971" s="218">
        <f>INDEX('Prop. prices'!$I$86:$AB$160,MATCH($C971,'Prop. prices'!$C$86:$C$160,0),MATCH(P$920,'Prop. prices'!$I$5:$AB$5,0))</f>
        <v>0</v>
      </c>
      <c r="Q971" s="218">
        <f>INDEX('Prop. prices'!$I$86:$AB$160,MATCH($C971,'Prop. prices'!$C$86:$C$160,0),MATCH(Q$920,'Prop. prices'!$I$5:$AB$5,0))</f>
        <v>0</v>
      </c>
      <c r="R971" s="218">
        <f>INDEX('Prop. prices'!$I$86:$AB$160,MATCH($C971,'Prop. prices'!$C$86:$C$160,0),MATCH(R$920,'Prop. prices'!$I$5:$AB$5,0))</f>
        <v>0</v>
      </c>
      <c r="S971" s="218">
        <f>INDEX('Prop. prices'!$I$86:$AB$160,MATCH($C971,'Prop. prices'!$C$86:$C$160,0),MATCH(S$920,'Prop. prices'!$I$5:$AB$5,0))</f>
        <v>0</v>
      </c>
      <c r="T971" s="218">
        <f>INDEX('Prop. prices'!$I$86:$AB$160,MATCH($C971,'Prop. prices'!$C$86:$C$160,0),MATCH(T$920,'Prop. prices'!$I$5:$AB$5,0))</f>
        <v>0</v>
      </c>
      <c r="U971" s="218">
        <f>INDEX('Prop. prices'!$I$86:$AB$160,MATCH($C971,'Prop. prices'!$C$86:$C$160,0),MATCH(U$920,'Prop. prices'!$I$5:$AB$5,0))</f>
        <v>0</v>
      </c>
      <c r="V971" s="218">
        <f>INDEX('Prop. prices'!$I$86:$AB$160,MATCH($C971,'Prop. prices'!$C$86:$C$160,0),MATCH(V$920,'Prop. prices'!$I$5:$AB$5,0))</f>
        <v>0</v>
      </c>
      <c r="W971" s="218">
        <f>INDEX('Prop. prices'!$I$86:$AB$160,MATCH($C971,'Prop. prices'!$C$86:$C$160,0),MATCH(W$920,'Prop. prices'!$I$5:$AB$5,0))</f>
        <v>0</v>
      </c>
      <c r="X971" s="218">
        <f>INDEX('Prop. prices'!$I$86:$AB$160,MATCH($C971,'Prop. prices'!$C$86:$C$160,0),MATCH(X$920,'Prop. prices'!$I$5:$AB$5,0))</f>
        <v>0</v>
      </c>
      <c r="Y971" s="218">
        <f>INDEX('Prop. prices'!$I$86:$AB$160,MATCH($C971,'Prop. prices'!$C$86:$C$160,0),MATCH(Y$920,'Prop. prices'!$I$5:$AB$5,0))</f>
        <v>0</v>
      </c>
      <c r="Z971" s="218">
        <f>INDEX('Prop. prices'!$I$86:$AB$160,MATCH($C971,'Prop. prices'!$C$86:$C$160,0),MATCH(Z$920,'Prop. prices'!$I$5:$AB$5,0))</f>
        <v>0</v>
      </c>
      <c r="AA971" s="218">
        <f>INDEX('Prop. prices'!$I$86:$AB$160,MATCH($C971,'Prop. prices'!$C$86:$C$160,0),MATCH(AA$920,'Prop. prices'!$I$5:$AB$5,0))</f>
        <v>0</v>
      </c>
      <c r="AB971" s="218">
        <f>INDEX('Prop. prices'!$I$86:$AB$160,MATCH($C971,'Prop. prices'!$C$86:$C$160,0),MATCH(AB$920,'Prop. prices'!$I$5:$AB$5,0))</f>
        <v>0</v>
      </c>
      <c r="AC971" s="187"/>
      <c r="AD971" s="19"/>
      <c r="AE971" s="19"/>
      <c r="AF971" s="19"/>
      <c r="AG971" s="19"/>
    </row>
    <row r="972" spans="1:33" hidden="1" outlineLevel="3" x14ac:dyDescent="0.2">
      <c r="A972" s="19"/>
      <c r="B972" s="19"/>
      <c r="C972" s="506">
        <f t="shared" si="205"/>
        <v>0</v>
      </c>
      <c r="D972" s="505">
        <f t="shared" si="205"/>
        <v>0</v>
      </c>
      <c r="E972" s="58"/>
      <c r="F972" s="223"/>
      <c r="G972" s="58"/>
      <c r="H972" s="58"/>
      <c r="I972" s="218">
        <f>INDEX('Prop. prices'!$I$86:$AB$160,MATCH($C972,'Prop. prices'!$C$86:$C$160,0),MATCH(I$920,'Prop. prices'!$I$5:$AB$5,0))</f>
        <v>0</v>
      </c>
      <c r="J972" s="218">
        <f>INDEX('Prop. prices'!$I$86:$AB$160,MATCH($C972,'Prop. prices'!$C$86:$C$160,0),MATCH(J$920,'Prop. prices'!$I$5:$AB$5,0))</f>
        <v>0</v>
      </c>
      <c r="K972" s="218">
        <f>INDEX('Prop. prices'!$I$86:$AB$160,MATCH($C972,'Prop. prices'!$C$86:$C$160,0),MATCH(K$920,'Prop. prices'!$I$5:$AB$5,0))</f>
        <v>0</v>
      </c>
      <c r="L972" s="218">
        <f>INDEX('Prop. prices'!$I$86:$AB$160,MATCH($C972,'Prop. prices'!$C$86:$C$160,0),MATCH(L$920,'Prop. prices'!$I$5:$AB$5,0))</f>
        <v>0</v>
      </c>
      <c r="M972" s="218">
        <f>INDEX('Prop. prices'!$I$86:$AB$160,MATCH($C972,'Prop. prices'!$C$86:$C$160,0),MATCH(M$920,'Prop. prices'!$I$5:$AB$5,0))</f>
        <v>0</v>
      </c>
      <c r="N972" s="218">
        <f>INDEX('Prop. prices'!$I$86:$AB$160,MATCH($C972,'Prop. prices'!$C$86:$C$160,0),MATCH(N$920,'Prop. prices'!$I$5:$AB$5,0))</f>
        <v>0</v>
      </c>
      <c r="O972" s="218">
        <f>INDEX('Prop. prices'!$I$86:$AB$160,MATCH($C972,'Prop. prices'!$C$86:$C$160,0),MATCH(O$920,'Prop. prices'!$I$5:$AB$5,0))</f>
        <v>0</v>
      </c>
      <c r="P972" s="218">
        <f>INDEX('Prop. prices'!$I$86:$AB$160,MATCH($C972,'Prop. prices'!$C$86:$C$160,0),MATCH(P$920,'Prop. prices'!$I$5:$AB$5,0))</f>
        <v>0</v>
      </c>
      <c r="Q972" s="218">
        <f>INDEX('Prop. prices'!$I$86:$AB$160,MATCH($C972,'Prop. prices'!$C$86:$C$160,0),MATCH(Q$920,'Prop. prices'!$I$5:$AB$5,0))</f>
        <v>0</v>
      </c>
      <c r="R972" s="218">
        <f>INDEX('Prop. prices'!$I$86:$AB$160,MATCH($C972,'Prop. prices'!$C$86:$C$160,0),MATCH(R$920,'Prop. prices'!$I$5:$AB$5,0))</f>
        <v>0</v>
      </c>
      <c r="S972" s="218">
        <f>INDEX('Prop. prices'!$I$86:$AB$160,MATCH($C972,'Prop. prices'!$C$86:$C$160,0),MATCH(S$920,'Prop. prices'!$I$5:$AB$5,0))</f>
        <v>0</v>
      </c>
      <c r="T972" s="218">
        <f>INDEX('Prop. prices'!$I$86:$AB$160,MATCH($C972,'Prop. prices'!$C$86:$C$160,0),MATCH(T$920,'Prop. prices'!$I$5:$AB$5,0))</f>
        <v>0</v>
      </c>
      <c r="U972" s="218">
        <f>INDEX('Prop. prices'!$I$86:$AB$160,MATCH($C972,'Prop. prices'!$C$86:$C$160,0),MATCH(U$920,'Prop. prices'!$I$5:$AB$5,0))</f>
        <v>0</v>
      </c>
      <c r="V972" s="218">
        <f>INDEX('Prop. prices'!$I$86:$AB$160,MATCH($C972,'Prop. prices'!$C$86:$C$160,0),MATCH(V$920,'Prop. prices'!$I$5:$AB$5,0))</f>
        <v>0</v>
      </c>
      <c r="W972" s="218">
        <f>INDEX('Prop. prices'!$I$86:$AB$160,MATCH($C972,'Prop. prices'!$C$86:$C$160,0),MATCH(W$920,'Prop. prices'!$I$5:$AB$5,0))</f>
        <v>0</v>
      </c>
      <c r="X972" s="218">
        <f>INDEX('Prop. prices'!$I$86:$AB$160,MATCH($C972,'Prop. prices'!$C$86:$C$160,0),MATCH(X$920,'Prop. prices'!$I$5:$AB$5,0))</f>
        <v>0</v>
      </c>
      <c r="Y972" s="218">
        <f>INDEX('Prop. prices'!$I$86:$AB$160,MATCH($C972,'Prop. prices'!$C$86:$C$160,0),MATCH(Y$920,'Prop. prices'!$I$5:$AB$5,0))</f>
        <v>0</v>
      </c>
      <c r="Z972" s="218">
        <f>INDEX('Prop. prices'!$I$86:$AB$160,MATCH($C972,'Prop. prices'!$C$86:$C$160,0),MATCH(Z$920,'Prop. prices'!$I$5:$AB$5,0))</f>
        <v>0</v>
      </c>
      <c r="AA972" s="218">
        <f>INDEX('Prop. prices'!$I$86:$AB$160,MATCH($C972,'Prop. prices'!$C$86:$C$160,0),MATCH(AA$920,'Prop. prices'!$I$5:$AB$5,0))</f>
        <v>0</v>
      </c>
      <c r="AB972" s="218">
        <f>INDEX('Prop. prices'!$I$86:$AB$160,MATCH($C972,'Prop. prices'!$C$86:$C$160,0),MATCH(AB$920,'Prop. prices'!$I$5:$AB$5,0))</f>
        <v>0</v>
      </c>
      <c r="AC972" s="187"/>
      <c r="AD972" s="19"/>
      <c r="AE972" s="19"/>
      <c r="AF972" s="19"/>
      <c r="AG972" s="19"/>
    </row>
    <row r="973" spans="1:33" hidden="1" outlineLevel="3" x14ac:dyDescent="0.2">
      <c r="A973" s="19"/>
      <c r="B973" s="19"/>
      <c r="C973" s="506">
        <f t="shared" si="205"/>
        <v>0</v>
      </c>
      <c r="D973" s="505">
        <f t="shared" si="205"/>
        <v>0</v>
      </c>
      <c r="E973" s="58"/>
      <c r="F973" s="223"/>
      <c r="G973" s="58"/>
      <c r="H973" s="58"/>
      <c r="I973" s="218">
        <f>INDEX('Prop. prices'!$I$86:$AB$160,MATCH($C973,'Prop. prices'!$C$86:$C$160,0),MATCH(I$920,'Prop. prices'!$I$5:$AB$5,0))</f>
        <v>0</v>
      </c>
      <c r="J973" s="218">
        <f>INDEX('Prop. prices'!$I$86:$AB$160,MATCH($C973,'Prop. prices'!$C$86:$C$160,0),MATCH(J$920,'Prop. prices'!$I$5:$AB$5,0))</f>
        <v>0</v>
      </c>
      <c r="K973" s="218">
        <f>INDEX('Prop. prices'!$I$86:$AB$160,MATCH($C973,'Prop. prices'!$C$86:$C$160,0),MATCH(K$920,'Prop. prices'!$I$5:$AB$5,0))</f>
        <v>0</v>
      </c>
      <c r="L973" s="218">
        <f>INDEX('Prop. prices'!$I$86:$AB$160,MATCH($C973,'Prop. prices'!$C$86:$C$160,0),MATCH(L$920,'Prop. prices'!$I$5:$AB$5,0))</f>
        <v>0</v>
      </c>
      <c r="M973" s="218">
        <f>INDEX('Prop. prices'!$I$86:$AB$160,MATCH($C973,'Prop. prices'!$C$86:$C$160,0),MATCH(M$920,'Prop. prices'!$I$5:$AB$5,0))</f>
        <v>0</v>
      </c>
      <c r="N973" s="218">
        <f>INDEX('Prop. prices'!$I$86:$AB$160,MATCH($C973,'Prop. prices'!$C$86:$C$160,0),MATCH(N$920,'Prop. prices'!$I$5:$AB$5,0))</f>
        <v>0</v>
      </c>
      <c r="O973" s="218">
        <f>INDEX('Prop. prices'!$I$86:$AB$160,MATCH($C973,'Prop. prices'!$C$86:$C$160,0),MATCH(O$920,'Prop. prices'!$I$5:$AB$5,0))</f>
        <v>0</v>
      </c>
      <c r="P973" s="218">
        <f>INDEX('Prop. prices'!$I$86:$AB$160,MATCH($C973,'Prop. prices'!$C$86:$C$160,0),MATCH(P$920,'Prop. prices'!$I$5:$AB$5,0))</f>
        <v>0</v>
      </c>
      <c r="Q973" s="218">
        <f>INDEX('Prop. prices'!$I$86:$AB$160,MATCH($C973,'Prop. prices'!$C$86:$C$160,0),MATCH(Q$920,'Prop. prices'!$I$5:$AB$5,0))</f>
        <v>0</v>
      </c>
      <c r="R973" s="218">
        <f>INDEX('Prop. prices'!$I$86:$AB$160,MATCH($C973,'Prop. prices'!$C$86:$C$160,0),MATCH(R$920,'Prop. prices'!$I$5:$AB$5,0))</f>
        <v>0</v>
      </c>
      <c r="S973" s="218">
        <f>INDEX('Prop. prices'!$I$86:$AB$160,MATCH($C973,'Prop. prices'!$C$86:$C$160,0),MATCH(S$920,'Prop. prices'!$I$5:$AB$5,0))</f>
        <v>0</v>
      </c>
      <c r="T973" s="218">
        <f>INDEX('Prop. prices'!$I$86:$AB$160,MATCH($C973,'Prop. prices'!$C$86:$C$160,0),MATCH(T$920,'Prop. prices'!$I$5:$AB$5,0))</f>
        <v>0</v>
      </c>
      <c r="U973" s="218">
        <f>INDEX('Prop. prices'!$I$86:$AB$160,MATCH($C973,'Prop. prices'!$C$86:$C$160,0),MATCH(U$920,'Prop. prices'!$I$5:$AB$5,0))</f>
        <v>0</v>
      </c>
      <c r="V973" s="218">
        <f>INDEX('Prop. prices'!$I$86:$AB$160,MATCH($C973,'Prop. prices'!$C$86:$C$160,0),MATCH(V$920,'Prop. prices'!$I$5:$AB$5,0))</f>
        <v>0</v>
      </c>
      <c r="W973" s="218">
        <f>INDEX('Prop. prices'!$I$86:$AB$160,MATCH($C973,'Prop. prices'!$C$86:$C$160,0),MATCH(W$920,'Prop. prices'!$I$5:$AB$5,0))</f>
        <v>0</v>
      </c>
      <c r="X973" s="218">
        <f>INDEX('Prop. prices'!$I$86:$AB$160,MATCH($C973,'Prop. prices'!$C$86:$C$160,0),MATCH(X$920,'Prop. prices'!$I$5:$AB$5,0))</f>
        <v>0</v>
      </c>
      <c r="Y973" s="218">
        <f>INDEX('Prop. prices'!$I$86:$AB$160,MATCH($C973,'Prop. prices'!$C$86:$C$160,0),MATCH(Y$920,'Prop. prices'!$I$5:$AB$5,0))</f>
        <v>0</v>
      </c>
      <c r="Z973" s="218">
        <f>INDEX('Prop. prices'!$I$86:$AB$160,MATCH($C973,'Prop. prices'!$C$86:$C$160,0),MATCH(Z$920,'Prop. prices'!$I$5:$AB$5,0))</f>
        <v>0</v>
      </c>
      <c r="AA973" s="218">
        <f>INDEX('Prop. prices'!$I$86:$AB$160,MATCH($C973,'Prop. prices'!$C$86:$C$160,0),MATCH(AA$920,'Prop. prices'!$I$5:$AB$5,0))</f>
        <v>0</v>
      </c>
      <c r="AB973" s="218">
        <f>INDEX('Prop. prices'!$I$86:$AB$160,MATCH($C973,'Prop. prices'!$C$86:$C$160,0),MATCH(AB$920,'Prop. prices'!$I$5:$AB$5,0))</f>
        <v>0</v>
      </c>
      <c r="AC973" s="187"/>
      <c r="AD973" s="19"/>
      <c r="AE973" s="19"/>
      <c r="AF973" s="19"/>
      <c r="AG973" s="19"/>
    </row>
    <row r="974" spans="1:33" hidden="1" outlineLevel="3" x14ac:dyDescent="0.2">
      <c r="A974" s="19"/>
      <c r="B974" s="19"/>
      <c r="C974" s="506">
        <f t="shared" si="205"/>
        <v>0</v>
      </c>
      <c r="D974" s="505">
        <f t="shared" si="205"/>
        <v>0</v>
      </c>
      <c r="E974" s="58"/>
      <c r="F974" s="223"/>
      <c r="G974" s="58"/>
      <c r="H974" s="58"/>
      <c r="I974" s="218">
        <f>INDEX('Prop. prices'!$I$86:$AB$160,MATCH($C974,'Prop. prices'!$C$86:$C$160,0),MATCH(I$920,'Prop. prices'!$I$5:$AB$5,0))</f>
        <v>0</v>
      </c>
      <c r="J974" s="218">
        <f>INDEX('Prop. prices'!$I$86:$AB$160,MATCH($C974,'Prop. prices'!$C$86:$C$160,0),MATCH(J$920,'Prop. prices'!$I$5:$AB$5,0))</f>
        <v>0</v>
      </c>
      <c r="K974" s="218">
        <f>INDEX('Prop. prices'!$I$86:$AB$160,MATCH($C974,'Prop. prices'!$C$86:$C$160,0),MATCH(K$920,'Prop. prices'!$I$5:$AB$5,0))</f>
        <v>0</v>
      </c>
      <c r="L974" s="218">
        <f>INDEX('Prop. prices'!$I$86:$AB$160,MATCH($C974,'Prop. prices'!$C$86:$C$160,0),MATCH(L$920,'Prop. prices'!$I$5:$AB$5,0))</f>
        <v>0</v>
      </c>
      <c r="M974" s="218">
        <f>INDEX('Prop. prices'!$I$86:$AB$160,MATCH($C974,'Prop. prices'!$C$86:$C$160,0),MATCH(M$920,'Prop. prices'!$I$5:$AB$5,0))</f>
        <v>0</v>
      </c>
      <c r="N974" s="218">
        <f>INDEX('Prop. prices'!$I$86:$AB$160,MATCH($C974,'Prop. prices'!$C$86:$C$160,0),MATCH(N$920,'Prop. prices'!$I$5:$AB$5,0))</f>
        <v>0</v>
      </c>
      <c r="O974" s="218">
        <f>INDEX('Prop. prices'!$I$86:$AB$160,MATCH($C974,'Prop. prices'!$C$86:$C$160,0),MATCH(O$920,'Prop. prices'!$I$5:$AB$5,0))</f>
        <v>0</v>
      </c>
      <c r="P974" s="218">
        <f>INDEX('Prop. prices'!$I$86:$AB$160,MATCH($C974,'Prop. prices'!$C$86:$C$160,0),MATCH(P$920,'Prop. prices'!$I$5:$AB$5,0))</f>
        <v>0</v>
      </c>
      <c r="Q974" s="218">
        <f>INDEX('Prop. prices'!$I$86:$AB$160,MATCH($C974,'Prop. prices'!$C$86:$C$160,0),MATCH(Q$920,'Prop. prices'!$I$5:$AB$5,0))</f>
        <v>0</v>
      </c>
      <c r="R974" s="218">
        <f>INDEX('Prop. prices'!$I$86:$AB$160,MATCH($C974,'Prop. prices'!$C$86:$C$160,0),MATCH(R$920,'Prop. prices'!$I$5:$AB$5,0))</f>
        <v>0</v>
      </c>
      <c r="S974" s="218">
        <f>INDEX('Prop. prices'!$I$86:$AB$160,MATCH($C974,'Prop. prices'!$C$86:$C$160,0),MATCH(S$920,'Prop. prices'!$I$5:$AB$5,0))</f>
        <v>0</v>
      </c>
      <c r="T974" s="218">
        <f>INDEX('Prop. prices'!$I$86:$AB$160,MATCH($C974,'Prop. prices'!$C$86:$C$160,0),MATCH(T$920,'Prop. prices'!$I$5:$AB$5,0))</f>
        <v>0</v>
      </c>
      <c r="U974" s="218">
        <f>INDEX('Prop. prices'!$I$86:$AB$160,MATCH($C974,'Prop. prices'!$C$86:$C$160,0),MATCH(U$920,'Prop. prices'!$I$5:$AB$5,0))</f>
        <v>0</v>
      </c>
      <c r="V974" s="218">
        <f>INDEX('Prop. prices'!$I$86:$AB$160,MATCH($C974,'Prop. prices'!$C$86:$C$160,0),MATCH(V$920,'Prop. prices'!$I$5:$AB$5,0))</f>
        <v>0</v>
      </c>
      <c r="W974" s="218">
        <f>INDEX('Prop. prices'!$I$86:$AB$160,MATCH($C974,'Prop. prices'!$C$86:$C$160,0),MATCH(W$920,'Prop. prices'!$I$5:$AB$5,0))</f>
        <v>0</v>
      </c>
      <c r="X974" s="218">
        <f>INDEX('Prop. prices'!$I$86:$AB$160,MATCH($C974,'Prop. prices'!$C$86:$C$160,0),MATCH(X$920,'Prop. prices'!$I$5:$AB$5,0))</f>
        <v>0</v>
      </c>
      <c r="Y974" s="218">
        <f>INDEX('Prop. prices'!$I$86:$AB$160,MATCH($C974,'Prop. prices'!$C$86:$C$160,0),MATCH(Y$920,'Prop. prices'!$I$5:$AB$5,0))</f>
        <v>0</v>
      </c>
      <c r="Z974" s="218">
        <f>INDEX('Prop. prices'!$I$86:$AB$160,MATCH($C974,'Prop. prices'!$C$86:$C$160,0),MATCH(Z$920,'Prop. prices'!$I$5:$AB$5,0))</f>
        <v>0</v>
      </c>
      <c r="AA974" s="218">
        <f>INDEX('Prop. prices'!$I$86:$AB$160,MATCH($C974,'Prop. prices'!$C$86:$C$160,0),MATCH(AA$920,'Prop. prices'!$I$5:$AB$5,0))</f>
        <v>0</v>
      </c>
      <c r="AB974" s="218">
        <f>INDEX('Prop. prices'!$I$86:$AB$160,MATCH($C974,'Prop. prices'!$C$86:$C$160,0),MATCH(AB$920,'Prop. prices'!$I$5:$AB$5,0))</f>
        <v>0</v>
      </c>
      <c r="AC974" s="187"/>
      <c r="AD974" s="19"/>
      <c r="AE974" s="19"/>
      <c r="AF974" s="19"/>
      <c r="AG974" s="19"/>
    </row>
    <row r="975" spans="1:33" hidden="1" outlineLevel="3" x14ac:dyDescent="0.2">
      <c r="A975" s="19"/>
      <c r="B975" s="19"/>
      <c r="C975" s="506">
        <f t="shared" si="205"/>
        <v>0</v>
      </c>
      <c r="D975" s="505">
        <f t="shared" si="205"/>
        <v>0</v>
      </c>
      <c r="E975" s="58"/>
      <c r="F975" s="223"/>
      <c r="G975" s="58"/>
      <c r="H975" s="58"/>
      <c r="I975" s="218">
        <f>INDEX('Prop. prices'!$I$86:$AB$160,MATCH($C975,'Prop. prices'!$C$86:$C$160,0),MATCH(I$920,'Prop. prices'!$I$5:$AB$5,0))</f>
        <v>0</v>
      </c>
      <c r="J975" s="218">
        <f>INDEX('Prop. prices'!$I$86:$AB$160,MATCH($C975,'Prop. prices'!$C$86:$C$160,0),MATCH(J$920,'Prop. prices'!$I$5:$AB$5,0))</f>
        <v>0</v>
      </c>
      <c r="K975" s="218">
        <f>INDEX('Prop. prices'!$I$86:$AB$160,MATCH($C975,'Prop. prices'!$C$86:$C$160,0),MATCH(K$920,'Prop. prices'!$I$5:$AB$5,0))</f>
        <v>0</v>
      </c>
      <c r="L975" s="218">
        <f>INDEX('Prop. prices'!$I$86:$AB$160,MATCH($C975,'Prop. prices'!$C$86:$C$160,0),MATCH(L$920,'Prop. prices'!$I$5:$AB$5,0))</f>
        <v>0</v>
      </c>
      <c r="M975" s="218">
        <f>INDEX('Prop. prices'!$I$86:$AB$160,MATCH($C975,'Prop. prices'!$C$86:$C$160,0),MATCH(M$920,'Prop. prices'!$I$5:$AB$5,0))</f>
        <v>0</v>
      </c>
      <c r="N975" s="218">
        <f>INDEX('Prop. prices'!$I$86:$AB$160,MATCH($C975,'Prop. prices'!$C$86:$C$160,0),MATCH(N$920,'Prop. prices'!$I$5:$AB$5,0))</f>
        <v>0</v>
      </c>
      <c r="O975" s="218">
        <f>INDEX('Prop. prices'!$I$86:$AB$160,MATCH($C975,'Prop. prices'!$C$86:$C$160,0),MATCH(O$920,'Prop. prices'!$I$5:$AB$5,0))</f>
        <v>0</v>
      </c>
      <c r="P975" s="218">
        <f>INDEX('Prop. prices'!$I$86:$AB$160,MATCH($C975,'Prop. prices'!$C$86:$C$160,0),MATCH(P$920,'Prop. prices'!$I$5:$AB$5,0))</f>
        <v>0</v>
      </c>
      <c r="Q975" s="218">
        <f>INDEX('Prop. prices'!$I$86:$AB$160,MATCH($C975,'Prop. prices'!$C$86:$C$160,0),MATCH(Q$920,'Prop. prices'!$I$5:$AB$5,0))</f>
        <v>0</v>
      </c>
      <c r="R975" s="218">
        <f>INDEX('Prop. prices'!$I$86:$AB$160,MATCH($C975,'Prop. prices'!$C$86:$C$160,0),MATCH(R$920,'Prop. prices'!$I$5:$AB$5,0))</f>
        <v>0</v>
      </c>
      <c r="S975" s="218">
        <f>INDEX('Prop. prices'!$I$86:$AB$160,MATCH($C975,'Prop. prices'!$C$86:$C$160,0),MATCH(S$920,'Prop. prices'!$I$5:$AB$5,0))</f>
        <v>0</v>
      </c>
      <c r="T975" s="218">
        <f>INDEX('Prop. prices'!$I$86:$AB$160,MATCH($C975,'Prop. prices'!$C$86:$C$160,0),MATCH(T$920,'Prop. prices'!$I$5:$AB$5,0))</f>
        <v>0</v>
      </c>
      <c r="U975" s="218">
        <f>INDEX('Prop. prices'!$I$86:$AB$160,MATCH($C975,'Prop. prices'!$C$86:$C$160,0),MATCH(U$920,'Prop. prices'!$I$5:$AB$5,0))</f>
        <v>0</v>
      </c>
      <c r="V975" s="218">
        <f>INDEX('Prop. prices'!$I$86:$AB$160,MATCH($C975,'Prop. prices'!$C$86:$C$160,0),MATCH(V$920,'Prop. prices'!$I$5:$AB$5,0))</f>
        <v>0</v>
      </c>
      <c r="W975" s="218">
        <f>INDEX('Prop. prices'!$I$86:$AB$160,MATCH($C975,'Prop. prices'!$C$86:$C$160,0),MATCH(W$920,'Prop. prices'!$I$5:$AB$5,0))</f>
        <v>0</v>
      </c>
      <c r="X975" s="218">
        <f>INDEX('Prop. prices'!$I$86:$AB$160,MATCH($C975,'Prop. prices'!$C$86:$C$160,0),MATCH(X$920,'Prop. prices'!$I$5:$AB$5,0))</f>
        <v>0</v>
      </c>
      <c r="Y975" s="218">
        <f>INDEX('Prop. prices'!$I$86:$AB$160,MATCH($C975,'Prop. prices'!$C$86:$C$160,0),MATCH(Y$920,'Prop. prices'!$I$5:$AB$5,0))</f>
        <v>0</v>
      </c>
      <c r="Z975" s="218">
        <f>INDEX('Prop. prices'!$I$86:$AB$160,MATCH($C975,'Prop. prices'!$C$86:$C$160,0),MATCH(Z$920,'Prop. prices'!$I$5:$AB$5,0))</f>
        <v>0</v>
      </c>
      <c r="AA975" s="218">
        <f>INDEX('Prop. prices'!$I$86:$AB$160,MATCH($C975,'Prop. prices'!$C$86:$C$160,0),MATCH(AA$920,'Prop. prices'!$I$5:$AB$5,0))</f>
        <v>0</v>
      </c>
      <c r="AB975" s="218">
        <f>INDEX('Prop. prices'!$I$86:$AB$160,MATCH($C975,'Prop. prices'!$C$86:$C$160,0),MATCH(AB$920,'Prop. prices'!$I$5:$AB$5,0))</f>
        <v>0</v>
      </c>
      <c r="AC975" s="187"/>
      <c r="AD975" s="19"/>
      <c r="AE975" s="19"/>
      <c r="AF975" s="19"/>
      <c r="AG975" s="19"/>
    </row>
    <row r="976" spans="1:33" hidden="1" outlineLevel="3" x14ac:dyDescent="0.2">
      <c r="A976" s="19"/>
      <c r="B976" s="19"/>
      <c r="C976" s="506">
        <f t="shared" si="205"/>
        <v>0</v>
      </c>
      <c r="D976" s="505">
        <f t="shared" si="205"/>
        <v>0</v>
      </c>
      <c r="E976" s="58"/>
      <c r="F976" s="223"/>
      <c r="G976" s="58"/>
      <c r="H976" s="58"/>
      <c r="I976" s="218">
        <f>INDEX('Prop. prices'!$I$86:$AB$160,MATCH($C976,'Prop. prices'!$C$86:$C$160,0),MATCH(I$920,'Prop. prices'!$I$5:$AB$5,0))</f>
        <v>0</v>
      </c>
      <c r="J976" s="218">
        <f>INDEX('Prop. prices'!$I$86:$AB$160,MATCH($C976,'Prop. prices'!$C$86:$C$160,0),MATCH(J$920,'Prop. prices'!$I$5:$AB$5,0))</f>
        <v>0</v>
      </c>
      <c r="K976" s="218">
        <f>INDEX('Prop. prices'!$I$86:$AB$160,MATCH($C976,'Prop. prices'!$C$86:$C$160,0),MATCH(K$920,'Prop. prices'!$I$5:$AB$5,0))</f>
        <v>0</v>
      </c>
      <c r="L976" s="218">
        <f>INDEX('Prop. prices'!$I$86:$AB$160,MATCH($C976,'Prop. prices'!$C$86:$C$160,0),MATCH(L$920,'Prop. prices'!$I$5:$AB$5,0))</f>
        <v>0</v>
      </c>
      <c r="M976" s="218">
        <f>INDEX('Prop. prices'!$I$86:$AB$160,MATCH($C976,'Prop. prices'!$C$86:$C$160,0),MATCH(M$920,'Prop. prices'!$I$5:$AB$5,0))</f>
        <v>0</v>
      </c>
      <c r="N976" s="218">
        <f>INDEX('Prop. prices'!$I$86:$AB$160,MATCH($C976,'Prop. prices'!$C$86:$C$160,0),MATCH(N$920,'Prop. prices'!$I$5:$AB$5,0))</f>
        <v>0</v>
      </c>
      <c r="O976" s="218">
        <f>INDEX('Prop. prices'!$I$86:$AB$160,MATCH($C976,'Prop. prices'!$C$86:$C$160,0),MATCH(O$920,'Prop. prices'!$I$5:$AB$5,0))</f>
        <v>0</v>
      </c>
      <c r="P976" s="218">
        <f>INDEX('Prop. prices'!$I$86:$AB$160,MATCH($C976,'Prop. prices'!$C$86:$C$160,0),MATCH(P$920,'Prop. prices'!$I$5:$AB$5,0))</f>
        <v>0</v>
      </c>
      <c r="Q976" s="218">
        <f>INDEX('Prop. prices'!$I$86:$AB$160,MATCH($C976,'Prop. prices'!$C$86:$C$160,0),MATCH(Q$920,'Prop. prices'!$I$5:$AB$5,0))</f>
        <v>0</v>
      </c>
      <c r="R976" s="218">
        <f>INDEX('Prop. prices'!$I$86:$AB$160,MATCH($C976,'Prop. prices'!$C$86:$C$160,0),MATCH(R$920,'Prop. prices'!$I$5:$AB$5,0))</f>
        <v>0</v>
      </c>
      <c r="S976" s="218">
        <f>INDEX('Prop. prices'!$I$86:$AB$160,MATCH($C976,'Prop. prices'!$C$86:$C$160,0),MATCH(S$920,'Prop. prices'!$I$5:$AB$5,0))</f>
        <v>0</v>
      </c>
      <c r="T976" s="218">
        <f>INDEX('Prop. prices'!$I$86:$AB$160,MATCH($C976,'Prop. prices'!$C$86:$C$160,0),MATCH(T$920,'Prop. prices'!$I$5:$AB$5,0))</f>
        <v>0</v>
      </c>
      <c r="U976" s="218">
        <f>INDEX('Prop. prices'!$I$86:$AB$160,MATCH($C976,'Prop. prices'!$C$86:$C$160,0),MATCH(U$920,'Prop. prices'!$I$5:$AB$5,0))</f>
        <v>0</v>
      </c>
      <c r="V976" s="218">
        <f>INDEX('Prop. prices'!$I$86:$AB$160,MATCH($C976,'Prop. prices'!$C$86:$C$160,0),MATCH(V$920,'Prop. prices'!$I$5:$AB$5,0))</f>
        <v>0</v>
      </c>
      <c r="W976" s="218">
        <f>INDEX('Prop. prices'!$I$86:$AB$160,MATCH($C976,'Prop. prices'!$C$86:$C$160,0),MATCH(W$920,'Prop. prices'!$I$5:$AB$5,0))</f>
        <v>0</v>
      </c>
      <c r="X976" s="218">
        <f>INDEX('Prop. prices'!$I$86:$AB$160,MATCH($C976,'Prop. prices'!$C$86:$C$160,0),MATCH(X$920,'Prop. prices'!$I$5:$AB$5,0))</f>
        <v>0</v>
      </c>
      <c r="Y976" s="218">
        <f>INDEX('Prop. prices'!$I$86:$AB$160,MATCH($C976,'Prop. prices'!$C$86:$C$160,0),MATCH(Y$920,'Prop. prices'!$I$5:$AB$5,0))</f>
        <v>0</v>
      </c>
      <c r="Z976" s="218">
        <f>INDEX('Prop. prices'!$I$86:$AB$160,MATCH($C976,'Prop. prices'!$C$86:$C$160,0),MATCH(Z$920,'Prop. prices'!$I$5:$AB$5,0))</f>
        <v>0</v>
      </c>
      <c r="AA976" s="218">
        <f>INDEX('Prop. prices'!$I$86:$AB$160,MATCH($C976,'Prop. prices'!$C$86:$C$160,0),MATCH(AA$920,'Prop. prices'!$I$5:$AB$5,0))</f>
        <v>0</v>
      </c>
      <c r="AB976" s="218">
        <f>INDEX('Prop. prices'!$I$86:$AB$160,MATCH($C976,'Prop. prices'!$C$86:$C$160,0),MATCH(AB$920,'Prop. prices'!$I$5:$AB$5,0))</f>
        <v>0</v>
      </c>
      <c r="AC976" s="187"/>
      <c r="AD976" s="19"/>
      <c r="AE976" s="19"/>
      <c r="AF976" s="19"/>
      <c r="AG976" s="19"/>
    </row>
    <row r="977" spans="1:33" hidden="1" outlineLevel="3" x14ac:dyDescent="0.2">
      <c r="A977" s="19"/>
      <c r="B977" s="19"/>
      <c r="C977" s="506">
        <f t="shared" si="205"/>
        <v>0</v>
      </c>
      <c r="D977" s="505">
        <f t="shared" si="205"/>
        <v>0</v>
      </c>
      <c r="E977" s="58"/>
      <c r="F977" s="223"/>
      <c r="G977" s="58"/>
      <c r="H977" s="58"/>
      <c r="I977" s="218">
        <f>INDEX('Prop. prices'!$I$86:$AB$160,MATCH($C977,'Prop. prices'!$C$86:$C$160,0),MATCH(I$920,'Prop. prices'!$I$5:$AB$5,0))</f>
        <v>0</v>
      </c>
      <c r="J977" s="218">
        <f>INDEX('Prop. prices'!$I$86:$AB$160,MATCH($C977,'Prop. prices'!$C$86:$C$160,0),MATCH(J$920,'Prop. prices'!$I$5:$AB$5,0))</f>
        <v>0</v>
      </c>
      <c r="K977" s="218">
        <f>INDEX('Prop. prices'!$I$86:$AB$160,MATCH($C977,'Prop. prices'!$C$86:$C$160,0),MATCH(K$920,'Prop. prices'!$I$5:$AB$5,0))</f>
        <v>0</v>
      </c>
      <c r="L977" s="218">
        <f>INDEX('Prop. prices'!$I$86:$AB$160,MATCH($C977,'Prop. prices'!$C$86:$C$160,0),MATCH(L$920,'Prop. prices'!$I$5:$AB$5,0))</f>
        <v>0</v>
      </c>
      <c r="M977" s="218">
        <f>INDEX('Prop. prices'!$I$86:$AB$160,MATCH($C977,'Prop. prices'!$C$86:$C$160,0),MATCH(M$920,'Prop. prices'!$I$5:$AB$5,0))</f>
        <v>0</v>
      </c>
      <c r="N977" s="218">
        <f>INDEX('Prop. prices'!$I$86:$AB$160,MATCH($C977,'Prop. prices'!$C$86:$C$160,0),MATCH(N$920,'Prop. prices'!$I$5:$AB$5,0))</f>
        <v>0</v>
      </c>
      <c r="O977" s="218">
        <f>INDEX('Prop. prices'!$I$86:$AB$160,MATCH($C977,'Prop. prices'!$C$86:$C$160,0),MATCH(O$920,'Prop. prices'!$I$5:$AB$5,0))</f>
        <v>0</v>
      </c>
      <c r="P977" s="218">
        <f>INDEX('Prop. prices'!$I$86:$AB$160,MATCH($C977,'Prop. prices'!$C$86:$C$160,0),MATCH(P$920,'Prop. prices'!$I$5:$AB$5,0))</f>
        <v>0</v>
      </c>
      <c r="Q977" s="218">
        <f>INDEX('Prop. prices'!$I$86:$AB$160,MATCH($C977,'Prop. prices'!$C$86:$C$160,0),MATCH(Q$920,'Prop. prices'!$I$5:$AB$5,0))</f>
        <v>0</v>
      </c>
      <c r="R977" s="218">
        <f>INDEX('Prop. prices'!$I$86:$AB$160,MATCH($C977,'Prop. prices'!$C$86:$C$160,0),MATCH(R$920,'Prop. prices'!$I$5:$AB$5,0))</f>
        <v>0</v>
      </c>
      <c r="S977" s="218">
        <f>INDEX('Prop. prices'!$I$86:$AB$160,MATCH($C977,'Prop. prices'!$C$86:$C$160,0),MATCH(S$920,'Prop. prices'!$I$5:$AB$5,0))</f>
        <v>0</v>
      </c>
      <c r="T977" s="218">
        <f>INDEX('Prop. prices'!$I$86:$AB$160,MATCH($C977,'Prop. prices'!$C$86:$C$160,0),MATCH(T$920,'Prop. prices'!$I$5:$AB$5,0))</f>
        <v>0</v>
      </c>
      <c r="U977" s="218">
        <f>INDEX('Prop. prices'!$I$86:$AB$160,MATCH($C977,'Prop. prices'!$C$86:$C$160,0),MATCH(U$920,'Prop. prices'!$I$5:$AB$5,0))</f>
        <v>0</v>
      </c>
      <c r="V977" s="218">
        <f>INDEX('Prop. prices'!$I$86:$AB$160,MATCH($C977,'Prop. prices'!$C$86:$C$160,0),MATCH(V$920,'Prop. prices'!$I$5:$AB$5,0))</f>
        <v>0</v>
      </c>
      <c r="W977" s="218">
        <f>INDEX('Prop. prices'!$I$86:$AB$160,MATCH($C977,'Prop. prices'!$C$86:$C$160,0),MATCH(W$920,'Prop. prices'!$I$5:$AB$5,0))</f>
        <v>0</v>
      </c>
      <c r="X977" s="218">
        <f>INDEX('Prop. prices'!$I$86:$AB$160,MATCH($C977,'Prop. prices'!$C$86:$C$160,0),MATCH(X$920,'Prop. prices'!$I$5:$AB$5,0))</f>
        <v>0</v>
      </c>
      <c r="Y977" s="218">
        <f>INDEX('Prop. prices'!$I$86:$AB$160,MATCH($C977,'Prop. prices'!$C$86:$C$160,0),MATCH(Y$920,'Prop. prices'!$I$5:$AB$5,0))</f>
        <v>0</v>
      </c>
      <c r="Z977" s="218">
        <f>INDEX('Prop. prices'!$I$86:$AB$160,MATCH($C977,'Prop. prices'!$C$86:$C$160,0),MATCH(Z$920,'Prop. prices'!$I$5:$AB$5,0))</f>
        <v>0</v>
      </c>
      <c r="AA977" s="218">
        <f>INDEX('Prop. prices'!$I$86:$AB$160,MATCH($C977,'Prop. prices'!$C$86:$C$160,0),MATCH(AA$920,'Prop. prices'!$I$5:$AB$5,0))</f>
        <v>0</v>
      </c>
      <c r="AB977" s="218">
        <f>INDEX('Prop. prices'!$I$86:$AB$160,MATCH($C977,'Prop. prices'!$C$86:$C$160,0),MATCH(AB$920,'Prop. prices'!$I$5:$AB$5,0))</f>
        <v>0</v>
      </c>
      <c r="AC977" s="187"/>
      <c r="AD977" s="19"/>
      <c r="AE977" s="19"/>
      <c r="AF977" s="19"/>
      <c r="AG977" s="19"/>
    </row>
    <row r="978" spans="1:33" hidden="1" outlineLevel="3" x14ac:dyDescent="0.2">
      <c r="A978" s="19"/>
      <c r="B978" s="19"/>
      <c r="C978" s="506">
        <f t="shared" si="205"/>
        <v>0</v>
      </c>
      <c r="D978" s="505">
        <f t="shared" si="205"/>
        <v>0</v>
      </c>
      <c r="E978" s="58"/>
      <c r="F978" s="223"/>
      <c r="G978" s="58"/>
      <c r="H978" s="58"/>
      <c r="I978" s="218">
        <f>INDEX('Prop. prices'!$I$86:$AB$160,MATCH($C978,'Prop. prices'!$C$86:$C$160,0),MATCH(I$920,'Prop. prices'!$I$5:$AB$5,0))</f>
        <v>0</v>
      </c>
      <c r="J978" s="218">
        <f>INDEX('Prop. prices'!$I$86:$AB$160,MATCH($C978,'Prop. prices'!$C$86:$C$160,0),MATCH(J$920,'Prop. prices'!$I$5:$AB$5,0))</f>
        <v>0</v>
      </c>
      <c r="K978" s="218">
        <f>INDEX('Prop. prices'!$I$86:$AB$160,MATCH($C978,'Prop. prices'!$C$86:$C$160,0),MATCH(K$920,'Prop. prices'!$I$5:$AB$5,0))</f>
        <v>0</v>
      </c>
      <c r="L978" s="218">
        <f>INDEX('Prop. prices'!$I$86:$AB$160,MATCH($C978,'Prop. prices'!$C$86:$C$160,0),MATCH(L$920,'Prop. prices'!$I$5:$AB$5,0))</f>
        <v>0</v>
      </c>
      <c r="M978" s="218">
        <f>INDEX('Prop. prices'!$I$86:$AB$160,MATCH($C978,'Prop. prices'!$C$86:$C$160,0),MATCH(M$920,'Prop. prices'!$I$5:$AB$5,0))</f>
        <v>0</v>
      </c>
      <c r="N978" s="218">
        <f>INDEX('Prop. prices'!$I$86:$AB$160,MATCH($C978,'Prop. prices'!$C$86:$C$160,0),MATCH(N$920,'Prop. prices'!$I$5:$AB$5,0))</f>
        <v>0</v>
      </c>
      <c r="O978" s="218">
        <f>INDEX('Prop. prices'!$I$86:$AB$160,MATCH($C978,'Prop. prices'!$C$86:$C$160,0),MATCH(O$920,'Prop. prices'!$I$5:$AB$5,0))</f>
        <v>0</v>
      </c>
      <c r="P978" s="218">
        <f>INDEX('Prop. prices'!$I$86:$AB$160,MATCH($C978,'Prop. prices'!$C$86:$C$160,0),MATCH(P$920,'Prop. prices'!$I$5:$AB$5,0))</f>
        <v>0</v>
      </c>
      <c r="Q978" s="218">
        <f>INDEX('Prop. prices'!$I$86:$AB$160,MATCH($C978,'Prop. prices'!$C$86:$C$160,0),MATCH(Q$920,'Prop. prices'!$I$5:$AB$5,0))</f>
        <v>0</v>
      </c>
      <c r="R978" s="218">
        <f>INDEX('Prop. prices'!$I$86:$AB$160,MATCH($C978,'Prop. prices'!$C$86:$C$160,0),MATCH(R$920,'Prop. prices'!$I$5:$AB$5,0))</f>
        <v>0</v>
      </c>
      <c r="S978" s="218">
        <f>INDEX('Prop. prices'!$I$86:$AB$160,MATCH($C978,'Prop. prices'!$C$86:$C$160,0),MATCH(S$920,'Prop. prices'!$I$5:$AB$5,0))</f>
        <v>0</v>
      </c>
      <c r="T978" s="218">
        <f>INDEX('Prop. prices'!$I$86:$AB$160,MATCH($C978,'Prop. prices'!$C$86:$C$160,0),MATCH(T$920,'Prop. prices'!$I$5:$AB$5,0))</f>
        <v>0</v>
      </c>
      <c r="U978" s="218">
        <f>INDEX('Prop. prices'!$I$86:$AB$160,MATCH($C978,'Prop. prices'!$C$86:$C$160,0),MATCH(U$920,'Prop. prices'!$I$5:$AB$5,0))</f>
        <v>0</v>
      </c>
      <c r="V978" s="218">
        <f>INDEX('Prop. prices'!$I$86:$AB$160,MATCH($C978,'Prop. prices'!$C$86:$C$160,0),MATCH(V$920,'Prop. prices'!$I$5:$AB$5,0))</f>
        <v>0</v>
      </c>
      <c r="W978" s="218">
        <f>INDEX('Prop. prices'!$I$86:$AB$160,MATCH($C978,'Prop. prices'!$C$86:$C$160,0),MATCH(W$920,'Prop. prices'!$I$5:$AB$5,0))</f>
        <v>0</v>
      </c>
      <c r="X978" s="218">
        <f>INDEX('Prop. prices'!$I$86:$AB$160,MATCH($C978,'Prop. prices'!$C$86:$C$160,0),MATCH(X$920,'Prop. prices'!$I$5:$AB$5,0))</f>
        <v>0</v>
      </c>
      <c r="Y978" s="218">
        <f>INDEX('Prop. prices'!$I$86:$AB$160,MATCH($C978,'Prop. prices'!$C$86:$C$160,0),MATCH(Y$920,'Prop. prices'!$I$5:$AB$5,0))</f>
        <v>0</v>
      </c>
      <c r="Z978" s="218">
        <f>INDEX('Prop. prices'!$I$86:$AB$160,MATCH($C978,'Prop. prices'!$C$86:$C$160,0),MATCH(Z$920,'Prop. prices'!$I$5:$AB$5,0))</f>
        <v>0</v>
      </c>
      <c r="AA978" s="218">
        <f>INDEX('Prop. prices'!$I$86:$AB$160,MATCH($C978,'Prop. prices'!$C$86:$C$160,0),MATCH(AA$920,'Prop. prices'!$I$5:$AB$5,0))</f>
        <v>0</v>
      </c>
      <c r="AB978" s="218">
        <f>INDEX('Prop. prices'!$I$86:$AB$160,MATCH($C978,'Prop. prices'!$C$86:$C$160,0),MATCH(AB$920,'Prop. prices'!$I$5:$AB$5,0))</f>
        <v>0</v>
      </c>
      <c r="AC978" s="187"/>
      <c r="AD978" s="19"/>
      <c r="AE978" s="19"/>
      <c r="AF978" s="19"/>
      <c r="AG978" s="19"/>
    </row>
    <row r="979" spans="1:33" hidden="1" outlineLevel="3" x14ac:dyDescent="0.2">
      <c r="A979" s="19"/>
      <c r="B979" s="19"/>
      <c r="C979" s="506">
        <f t="shared" si="205"/>
        <v>0</v>
      </c>
      <c r="D979" s="505">
        <f t="shared" si="205"/>
        <v>0</v>
      </c>
      <c r="E979" s="58"/>
      <c r="F979" s="223"/>
      <c r="G979" s="58"/>
      <c r="H979" s="58"/>
      <c r="I979" s="218">
        <f>INDEX('Prop. prices'!$I$86:$AB$160,MATCH($C979,'Prop. prices'!$C$86:$C$160,0),MATCH(I$920,'Prop. prices'!$I$5:$AB$5,0))</f>
        <v>0</v>
      </c>
      <c r="J979" s="218">
        <f>INDEX('Prop. prices'!$I$86:$AB$160,MATCH($C979,'Prop. prices'!$C$86:$C$160,0),MATCH(J$920,'Prop. prices'!$I$5:$AB$5,0))</f>
        <v>0</v>
      </c>
      <c r="K979" s="218">
        <f>INDEX('Prop. prices'!$I$86:$AB$160,MATCH($C979,'Prop. prices'!$C$86:$C$160,0),MATCH(K$920,'Prop. prices'!$I$5:$AB$5,0))</f>
        <v>0</v>
      </c>
      <c r="L979" s="218">
        <f>INDEX('Prop. prices'!$I$86:$AB$160,MATCH($C979,'Prop. prices'!$C$86:$C$160,0),MATCH(L$920,'Prop. prices'!$I$5:$AB$5,0))</f>
        <v>0</v>
      </c>
      <c r="M979" s="218">
        <f>INDEX('Prop. prices'!$I$86:$AB$160,MATCH($C979,'Prop. prices'!$C$86:$C$160,0),MATCH(M$920,'Prop. prices'!$I$5:$AB$5,0))</f>
        <v>0</v>
      </c>
      <c r="N979" s="218">
        <f>INDEX('Prop. prices'!$I$86:$AB$160,MATCH($C979,'Prop. prices'!$C$86:$C$160,0),MATCH(N$920,'Prop. prices'!$I$5:$AB$5,0))</f>
        <v>0</v>
      </c>
      <c r="O979" s="218">
        <f>INDEX('Prop. prices'!$I$86:$AB$160,MATCH($C979,'Prop. prices'!$C$86:$C$160,0),MATCH(O$920,'Prop. prices'!$I$5:$AB$5,0))</f>
        <v>0</v>
      </c>
      <c r="P979" s="218">
        <f>INDEX('Prop. prices'!$I$86:$AB$160,MATCH($C979,'Prop. prices'!$C$86:$C$160,0),MATCH(P$920,'Prop. prices'!$I$5:$AB$5,0))</f>
        <v>0</v>
      </c>
      <c r="Q979" s="218">
        <f>INDEX('Prop. prices'!$I$86:$AB$160,MATCH($C979,'Prop. prices'!$C$86:$C$160,0),MATCH(Q$920,'Prop. prices'!$I$5:$AB$5,0))</f>
        <v>0</v>
      </c>
      <c r="R979" s="218">
        <f>INDEX('Prop. prices'!$I$86:$AB$160,MATCH($C979,'Prop. prices'!$C$86:$C$160,0),MATCH(R$920,'Prop. prices'!$I$5:$AB$5,0))</f>
        <v>0</v>
      </c>
      <c r="S979" s="218">
        <f>INDEX('Prop. prices'!$I$86:$AB$160,MATCH($C979,'Prop. prices'!$C$86:$C$160,0),MATCH(S$920,'Prop. prices'!$I$5:$AB$5,0))</f>
        <v>0</v>
      </c>
      <c r="T979" s="218">
        <f>INDEX('Prop. prices'!$I$86:$AB$160,MATCH($C979,'Prop. prices'!$C$86:$C$160,0),MATCH(T$920,'Prop. prices'!$I$5:$AB$5,0))</f>
        <v>0</v>
      </c>
      <c r="U979" s="218">
        <f>INDEX('Prop. prices'!$I$86:$AB$160,MATCH($C979,'Prop. prices'!$C$86:$C$160,0),MATCH(U$920,'Prop. prices'!$I$5:$AB$5,0))</f>
        <v>0</v>
      </c>
      <c r="V979" s="218">
        <f>INDEX('Prop. prices'!$I$86:$AB$160,MATCH($C979,'Prop. prices'!$C$86:$C$160,0),MATCH(V$920,'Prop. prices'!$I$5:$AB$5,0))</f>
        <v>0</v>
      </c>
      <c r="W979" s="218">
        <f>INDEX('Prop. prices'!$I$86:$AB$160,MATCH($C979,'Prop. prices'!$C$86:$C$160,0),MATCH(W$920,'Prop. prices'!$I$5:$AB$5,0))</f>
        <v>0</v>
      </c>
      <c r="X979" s="218">
        <f>INDEX('Prop. prices'!$I$86:$AB$160,MATCH($C979,'Prop. prices'!$C$86:$C$160,0),MATCH(X$920,'Prop. prices'!$I$5:$AB$5,0))</f>
        <v>0</v>
      </c>
      <c r="Y979" s="218">
        <f>INDEX('Prop. prices'!$I$86:$AB$160,MATCH($C979,'Prop. prices'!$C$86:$C$160,0),MATCH(Y$920,'Prop. prices'!$I$5:$AB$5,0))</f>
        <v>0</v>
      </c>
      <c r="Z979" s="218">
        <f>INDEX('Prop. prices'!$I$86:$AB$160,MATCH($C979,'Prop. prices'!$C$86:$C$160,0),MATCH(Z$920,'Prop. prices'!$I$5:$AB$5,0))</f>
        <v>0</v>
      </c>
      <c r="AA979" s="218">
        <f>INDEX('Prop. prices'!$I$86:$AB$160,MATCH($C979,'Prop. prices'!$C$86:$C$160,0),MATCH(AA$920,'Prop. prices'!$I$5:$AB$5,0))</f>
        <v>0</v>
      </c>
      <c r="AB979" s="218">
        <f>INDEX('Prop. prices'!$I$86:$AB$160,MATCH($C979,'Prop. prices'!$C$86:$C$160,0),MATCH(AB$920,'Prop. prices'!$I$5:$AB$5,0))</f>
        <v>0</v>
      </c>
      <c r="AC979" s="187"/>
      <c r="AD979" s="19"/>
      <c r="AE979" s="19"/>
      <c r="AF979" s="19"/>
      <c r="AG979" s="19"/>
    </row>
    <row r="980" spans="1:33" hidden="1" outlineLevel="3" x14ac:dyDescent="0.2">
      <c r="A980" s="19"/>
      <c r="B980" s="19"/>
      <c r="C980" s="506">
        <f t="shared" si="205"/>
        <v>0</v>
      </c>
      <c r="D980" s="505">
        <f t="shared" si="205"/>
        <v>0</v>
      </c>
      <c r="E980" s="58"/>
      <c r="F980" s="223"/>
      <c r="G980" s="58"/>
      <c r="H980" s="58"/>
      <c r="I980" s="218">
        <f>INDEX('Prop. prices'!$I$86:$AB$160,MATCH($C980,'Prop. prices'!$C$86:$C$160,0),MATCH(I$920,'Prop. prices'!$I$5:$AB$5,0))</f>
        <v>0</v>
      </c>
      <c r="J980" s="218">
        <f>INDEX('Prop. prices'!$I$86:$AB$160,MATCH($C980,'Prop. prices'!$C$86:$C$160,0),MATCH(J$920,'Prop. prices'!$I$5:$AB$5,0))</f>
        <v>0</v>
      </c>
      <c r="K980" s="218">
        <f>INDEX('Prop. prices'!$I$86:$AB$160,MATCH($C980,'Prop. prices'!$C$86:$C$160,0),MATCH(K$920,'Prop. prices'!$I$5:$AB$5,0))</f>
        <v>0</v>
      </c>
      <c r="L980" s="218">
        <f>INDEX('Prop. prices'!$I$86:$AB$160,MATCH($C980,'Prop. prices'!$C$86:$C$160,0),MATCH(L$920,'Prop. prices'!$I$5:$AB$5,0))</f>
        <v>0</v>
      </c>
      <c r="M980" s="218">
        <f>INDEX('Prop. prices'!$I$86:$AB$160,MATCH($C980,'Prop. prices'!$C$86:$C$160,0),MATCH(M$920,'Prop. prices'!$I$5:$AB$5,0))</f>
        <v>0</v>
      </c>
      <c r="N980" s="218">
        <f>INDEX('Prop. prices'!$I$86:$AB$160,MATCH($C980,'Prop. prices'!$C$86:$C$160,0),MATCH(N$920,'Prop. prices'!$I$5:$AB$5,0))</f>
        <v>0</v>
      </c>
      <c r="O980" s="218">
        <f>INDEX('Prop. prices'!$I$86:$AB$160,MATCH($C980,'Prop. prices'!$C$86:$C$160,0),MATCH(O$920,'Prop. prices'!$I$5:$AB$5,0))</f>
        <v>0</v>
      </c>
      <c r="P980" s="218">
        <f>INDEX('Prop. prices'!$I$86:$AB$160,MATCH($C980,'Prop. prices'!$C$86:$C$160,0),MATCH(P$920,'Prop. prices'!$I$5:$AB$5,0))</f>
        <v>0</v>
      </c>
      <c r="Q980" s="218">
        <f>INDEX('Prop. prices'!$I$86:$AB$160,MATCH($C980,'Prop. prices'!$C$86:$C$160,0),MATCH(Q$920,'Prop. prices'!$I$5:$AB$5,0))</f>
        <v>0</v>
      </c>
      <c r="R980" s="218">
        <f>INDEX('Prop. prices'!$I$86:$AB$160,MATCH($C980,'Prop. prices'!$C$86:$C$160,0),MATCH(R$920,'Prop. prices'!$I$5:$AB$5,0))</f>
        <v>0</v>
      </c>
      <c r="S980" s="218">
        <f>INDEX('Prop. prices'!$I$86:$AB$160,MATCH($C980,'Prop. prices'!$C$86:$C$160,0),MATCH(S$920,'Prop. prices'!$I$5:$AB$5,0))</f>
        <v>0</v>
      </c>
      <c r="T980" s="218">
        <f>INDEX('Prop. prices'!$I$86:$AB$160,MATCH($C980,'Prop. prices'!$C$86:$C$160,0),MATCH(T$920,'Prop. prices'!$I$5:$AB$5,0))</f>
        <v>0</v>
      </c>
      <c r="U980" s="218">
        <f>INDEX('Prop. prices'!$I$86:$AB$160,MATCH($C980,'Prop. prices'!$C$86:$C$160,0),MATCH(U$920,'Prop. prices'!$I$5:$AB$5,0))</f>
        <v>0</v>
      </c>
      <c r="V980" s="218">
        <f>INDEX('Prop. prices'!$I$86:$AB$160,MATCH($C980,'Prop. prices'!$C$86:$C$160,0),MATCH(V$920,'Prop. prices'!$I$5:$AB$5,0))</f>
        <v>0</v>
      </c>
      <c r="W980" s="218">
        <f>INDEX('Prop. prices'!$I$86:$AB$160,MATCH($C980,'Prop. prices'!$C$86:$C$160,0),MATCH(W$920,'Prop. prices'!$I$5:$AB$5,0))</f>
        <v>0</v>
      </c>
      <c r="X980" s="218">
        <f>INDEX('Prop. prices'!$I$86:$AB$160,MATCH($C980,'Prop. prices'!$C$86:$C$160,0),MATCH(X$920,'Prop. prices'!$I$5:$AB$5,0))</f>
        <v>0</v>
      </c>
      <c r="Y980" s="218">
        <f>INDEX('Prop. prices'!$I$86:$AB$160,MATCH($C980,'Prop. prices'!$C$86:$C$160,0),MATCH(Y$920,'Prop. prices'!$I$5:$AB$5,0))</f>
        <v>0</v>
      </c>
      <c r="Z980" s="218">
        <f>INDEX('Prop. prices'!$I$86:$AB$160,MATCH($C980,'Prop. prices'!$C$86:$C$160,0),MATCH(Z$920,'Prop. prices'!$I$5:$AB$5,0))</f>
        <v>0</v>
      </c>
      <c r="AA980" s="218">
        <f>INDEX('Prop. prices'!$I$86:$AB$160,MATCH($C980,'Prop. prices'!$C$86:$C$160,0),MATCH(AA$920,'Prop. prices'!$I$5:$AB$5,0))</f>
        <v>0</v>
      </c>
      <c r="AB980" s="218">
        <f>INDEX('Prop. prices'!$I$86:$AB$160,MATCH($C980,'Prop. prices'!$C$86:$C$160,0),MATCH(AB$920,'Prop. prices'!$I$5:$AB$5,0))</f>
        <v>0</v>
      </c>
      <c r="AC980" s="187"/>
      <c r="AD980" s="19"/>
      <c r="AE980" s="19"/>
      <c r="AF980" s="19"/>
      <c r="AG980" s="19"/>
    </row>
    <row r="981" spans="1:33" hidden="1" outlineLevel="3" x14ac:dyDescent="0.2">
      <c r="A981" s="19"/>
      <c r="B981" s="19"/>
      <c r="C981" s="506">
        <f t="shared" si="205"/>
        <v>0</v>
      </c>
      <c r="D981" s="505">
        <f t="shared" si="205"/>
        <v>0</v>
      </c>
      <c r="E981" s="58"/>
      <c r="F981" s="223"/>
      <c r="G981" s="58"/>
      <c r="H981" s="58"/>
      <c r="I981" s="218">
        <f>INDEX('Prop. prices'!$I$86:$AB$160,MATCH($C981,'Prop. prices'!$C$86:$C$160,0),MATCH(I$920,'Prop. prices'!$I$5:$AB$5,0))</f>
        <v>0</v>
      </c>
      <c r="J981" s="218">
        <f>INDEX('Prop. prices'!$I$86:$AB$160,MATCH($C981,'Prop. prices'!$C$86:$C$160,0),MATCH(J$920,'Prop. prices'!$I$5:$AB$5,0))</f>
        <v>0</v>
      </c>
      <c r="K981" s="218">
        <f>INDEX('Prop. prices'!$I$86:$AB$160,MATCH($C981,'Prop. prices'!$C$86:$C$160,0),MATCH(K$920,'Prop. prices'!$I$5:$AB$5,0))</f>
        <v>0</v>
      </c>
      <c r="L981" s="218">
        <f>INDEX('Prop. prices'!$I$86:$AB$160,MATCH($C981,'Prop. prices'!$C$86:$C$160,0),MATCH(L$920,'Prop. prices'!$I$5:$AB$5,0))</f>
        <v>0</v>
      </c>
      <c r="M981" s="218">
        <f>INDEX('Prop. prices'!$I$86:$AB$160,MATCH($C981,'Prop. prices'!$C$86:$C$160,0),MATCH(M$920,'Prop. prices'!$I$5:$AB$5,0))</f>
        <v>0</v>
      </c>
      <c r="N981" s="218">
        <f>INDEX('Prop. prices'!$I$86:$AB$160,MATCH($C981,'Prop. prices'!$C$86:$C$160,0),MATCH(N$920,'Prop. prices'!$I$5:$AB$5,0))</f>
        <v>0</v>
      </c>
      <c r="O981" s="218">
        <f>INDEX('Prop. prices'!$I$86:$AB$160,MATCH($C981,'Prop. prices'!$C$86:$C$160,0),MATCH(O$920,'Prop. prices'!$I$5:$AB$5,0))</f>
        <v>0</v>
      </c>
      <c r="P981" s="218">
        <f>INDEX('Prop. prices'!$I$86:$AB$160,MATCH($C981,'Prop. prices'!$C$86:$C$160,0),MATCH(P$920,'Prop. prices'!$I$5:$AB$5,0))</f>
        <v>0</v>
      </c>
      <c r="Q981" s="218">
        <f>INDEX('Prop. prices'!$I$86:$AB$160,MATCH($C981,'Prop. prices'!$C$86:$C$160,0),MATCH(Q$920,'Prop. prices'!$I$5:$AB$5,0))</f>
        <v>0</v>
      </c>
      <c r="R981" s="218">
        <f>INDEX('Prop. prices'!$I$86:$AB$160,MATCH($C981,'Prop. prices'!$C$86:$C$160,0),MATCH(R$920,'Prop. prices'!$I$5:$AB$5,0))</f>
        <v>0</v>
      </c>
      <c r="S981" s="218">
        <f>INDEX('Prop. prices'!$I$86:$AB$160,MATCH($C981,'Prop. prices'!$C$86:$C$160,0),MATCH(S$920,'Prop. prices'!$I$5:$AB$5,0))</f>
        <v>0</v>
      </c>
      <c r="T981" s="218">
        <f>INDEX('Prop. prices'!$I$86:$AB$160,MATCH($C981,'Prop. prices'!$C$86:$C$160,0),MATCH(T$920,'Prop. prices'!$I$5:$AB$5,0))</f>
        <v>0</v>
      </c>
      <c r="U981" s="218">
        <f>INDEX('Prop. prices'!$I$86:$AB$160,MATCH($C981,'Prop. prices'!$C$86:$C$160,0),MATCH(U$920,'Prop. prices'!$I$5:$AB$5,0))</f>
        <v>0</v>
      </c>
      <c r="V981" s="218">
        <f>INDEX('Prop. prices'!$I$86:$AB$160,MATCH($C981,'Prop. prices'!$C$86:$C$160,0),MATCH(V$920,'Prop. prices'!$I$5:$AB$5,0))</f>
        <v>0</v>
      </c>
      <c r="W981" s="218">
        <f>INDEX('Prop. prices'!$I$86:$AB$160,MATCH($C981,'Prop. prices'!$C$86:$C$160,0),MATCH(W$920,'Prop. prices'!$I$5:$AB$5,0))</f>
        <v>0</v>
      </c>
      <c r="X981" s="218">
        <f>INDEX('Prop. prices'!$I$86:$AB$160,MATCH($C981,'Prop. prices'!$C$86:$C$160,0),MATCH(X$920,'Prop. prices'!$I$5:$AB$5,0))</f>
        <v>0</v>
      </c>
      <c r="Y981" s="218">
        <f>INDEX('Prop. prices'!$I$86:$AB$160,MATCH($C981,'Prop. prices'!$C$86:$C$160,0),MATCH(Y$920,'Prop. prices'!$I$5:$AB$5,0))</f>
        <v>0</v>
      </c>
      <c r="Z981" s="218">
        <f>INDEX('Prop. prices'!$I$86:$AB$160,MATCH($C981,'Prop. prices'!$C$86:$C$160,0),MATCH(Z$920,'Prop. prices'!$I$5:$AB$5,0))</f>
        <v>0</v>
      </c>
      <c r="AA981" s="218">
        <f>INDEX('Prop. prices'!$I$86:$AB$160,MATCH($C981,'Prop. prices'!$C$86:$C$160,0),MATCH(AA$920,'Prop. prices'!$I$5:$AB$5,0))</f>
        <v>0</v>
      </c>
      <c r="AB981" s="218">
        <f>INDEX('Prop. prices'!$I$86:$AB$160,MATCH($C981,'Prop. prices'!$C$86:$C$160,0),MATCH(AB$920,'Prop. prices'!$I$5:$AB$5,0))</f>
        <v>0</v>
      </c>
      <c r="AC981" s="187"/>
      <c r="AD981" s="19"/>
      <c r="AE981" s="19"/>
      <c r="AF981" s="19"/>
      <c r="AG981" s="19"/>
    </row>
    <row r="982" spans="1:33" hidden="1" outlineLevel="3" x14ac:dyDescent="0.2">
      <c r="A982" s="19"/>
      <c r="B982" s="19"/>
      <c r="C982" s="506">
        <f t="shared" si="205"/>
        <v>0</v>
      </c>
      <c r="D982" s="505">
        <f t="shared" si="205"/>
        <v>0</v>
      </c>
      <c r="E982" s="58"/>
      <c r="F982" s="223"/>
      <c r="G982" s="58"/>
      <c r="H982" s="58"/>
      <c r="I982" s="218">
        <f>INDEX('Prop. prices'!$I$86:$AB$160,MATCH($C982,'Prop. prices'!$C$86:$C$160,0),MATCH(I$920,'Prop. prices'!$I$5:$AB$5,0))</f>
        <v>0</v>
      </c>
      <c r="J982" s="218">
        <f>INDEX('Prop. prices'!$I$86:$AB$160,MATCH($C982,'Prop. prices'!$C$86:$C$160,0),MATCH(J$920,'Prop. prices'!$I$5:$AB$5,0))</f>
        <v>0</v>
      </c>
      <c r="K982" s="218">
        <f>INDEX('Prop. prices'!$I$86:$AB$160,MATCH($C982,'Prop. prices'!$C$86:$C$160,0),MATCH(K$920,'Prop. prices'!$I$5:$AB$5,0))</f>
        <v>0</v>
      </c>
      <c r="L982" s="218">
        <f>INDEX('Prop. prices'!$I$86:$AB$160,MATCH($C982,'Prop. prices'!$C$86:$C$160,0),MATCH(L$920,'Prop. prices'!$I$5:$AB$5,0))</f>
        <v>0</v>
      </c>
      <c r="M982" s="218">
        <f>INDEX('Prop. prices'!$I$86:$AB$160,MATCH($C982,'Prop. prices'!$C$86:$C$160,0),MATCH(M$920,'Prop. prices'!$I$5:$AB$5,0))</f>
        <v>0</v>
      </c>
      <c r="N982" s="218">
        <f>INDEX('Prop. prices'!$I$86:$AB$160,MATCH($C982,'Prop. prices'!$C$86:$C$160,0),MATCH(N$920,'Prop. prices'!$I$5:$AB$5,0))</f>
        <v>0</v>
      </c>
      <c r="O982" s="218">
        <f>INDEX('Prop. prices'!$I$86:$AB$160,MATCH($C982,'Prop. prices'!$C$86:$C$160,0),MATCH(O$920,'Prop. prices'!$I$5:$AB$5,0))</f>
        <v>0</v>
      </c>
      <c r="P982" s="218">
        <f>INDEX('Prop. prices'!$I$86:$AB$160,MATCH($C982,'Prop. prices'!$C$86:$C$160,0),MATCH(P$920,'Prop. prices'!$I$5:$AB$5,0))</f>
        <v>0</v>
      </c>
      <c r="Q982" s="218">
        <f>INDEX('Prop. prices'!$I$86:$AB$160,MATCH($C982,'Prop. prices'!$C$86:$C$160,0),MATCH(Q$920,'Prop. prices'!$I$5:$AB$5,0))</f>
        <v>0</v>
      </c>
      <c r="R982" s="218">
        <f>INDEX('Prop. prices'!$I$86:$AB$160,MATCH($C982,'Prop. prices'!$C$86:$C$160,0),MATCH(R$920,'Prop. prices'!$I$5:$AB$5,0))</f>
        <v>0</v>
      </c>
      <c r="S982" s="218">
        <f>INDEX('Prop. prices'!$I$86:$AB$160,MATCH($C982,'Prop. prices'!$C$86:$C$160,0),MATCH(S$920,'Prop. prices'!$I$5:$AB$5,0))</f>
        <v>0</v>
      </c>
      <c r="T982" s="218">
        <f>INDEX('Prop. prices'!$I$86:$AB$160,MATCH($C982,'Prop. prices'!$C$86:$C$160,0),MATCH(T$920,'Prop. prices'!$I$5:$AB$5,0))</f>
        <v>0</v>
      </c>
      <c r="U982" s="218">
        <f>INDEX('Prop. prices'!$I$86:$AB$160,MATCH($C982,'Prop. prices'!$C$86:$C$160,0),MATCH(U$920,'Prop. prices'!$I$5:$AB$5,0))</f>
        <v>0</v>
      </c>
      <c r="V982" s="218">
        <f>INDEX('Prop. prices'!$I$86:$AB$160,MATCH($C982,'Prop. prices'!$C$86:$C$160,0),MATCH(V$920,'Prop. prices'!$I$5:$AB$5,0))</f>
        <v>0</v>
      </c>
      <c r="W982" s="218">
        <f>INDEX('Prop. prices'!$I$86:$AB$160,MATCH($C982,'Prop. prices'!$C$86:$C$160,0),MATCH(W$920,'Prop. prices'!$I$5:$AB$5,0))</f>
        <v>0</v>
      </c>
      <c r="X982" s="218">
        <f>INDEX('Prop. prices'!$I$86:$AB$160,MATCH($C982,'Prop. prices'!$C$86:$C$160,0),MATCH(X$920,'Prop. prices'!$I$5:$AB$5,0))</f>
        <v>0</v>
      </c>
      <c r="Y982" s="218">
        <f>INDEX('Prop. prices'!$I$86:$AB$160,MATCH($C982,'Prop. prices'!$C$86:$C$160,0),MATCH(Y$920,'Prop. prices'!$I$5:$AB$5,0))</f>
        <v>0</v>
      </c>
      <c r="Z982" s="218">
        <f>INDEX('Prop. prices'!$I$86:$AB$160,MATCH($C982,'Prop. prices'!$C$86:$C$160,0),MATCH(Z$920,'Prop. prices'!$I$5:$AB$5,0))</f>
        <v>0</v>
      </c>
      <c r="AA982" s="218">
        <f>INDEX('Prop. prices'!$I$86:$AB$160,MATCH($C982,'Prop. prices'!$C$86:$C$160,0),MATCH(AA$920,'Prop. prices'!$I$5:$AB$5,0))</f>
        <v>0</v>
      </c>
      <c r="AB982" s="218">
        <f>INDEX('Prop. prices'!$I$86:$AB$160,MATCH($C982,'Prop. prices'!$C$86:$C$160,0),MATCH(AB$920,'Prop. prices'!$I$5:$AB$5,0))</f>
        <v>0</v>
      </c>
      <c r="AC982" s="187"/>
      <c r="AD982" s="19"/>
      <c r="AE982" s="19"/>
      <c r="AF982" s="19"/>
      <c r="AG982" s="19"/>
    </row>
    <row r="983" spans="1:33" hidden="1" outlineLevel="3" x14ac:dyDescent="0.2">
      <c r="A983" s="19"/>
      <c r="B983" s="19"/>
      <c r="C983" s="506">
        <f t="shared" si="205"/>
        <v>0</v>
      </c>
      <c r="D983" s="505">
        <f t="shared" si="205"/>
        <v>0</v>
      </c>
      <c r="E983" s="58"/>
      <c r="F983" s="223"/>
      <c r="G983" s="58"/>
      <c r="H983" s="58"/>
      <c r="I983" s="218">
        <f>INDEX('Prop. prices'!$I$86:$AB$160,MATCH($C983,'Prop. prices'!$C$86:$C$160,0),MATCH(I$920,'Prop. prices'!$I$5:$AB$5,0))</f>
        <v>0</v>
      </c>
      <c r="J983" s="218">
        <f>INDEX('Prop. prices'!$I$86:$AB$160,MATCH($C983,'Prop. prices'!$C$86:$C$160,0),MATCH(J$920,'Prop. prices'!$I$5:$AB$5,0))</f>
        <v>0</v>
      </c>
      <c r="K983" s="218">
        <f>INDEX('Prop. prices'!$I$86:$AB$160,MATCH($C983,'Prop. prices'!$C$86:$C$160,0),MATCH(K$920,'Prop. prices'!$I$5:$AB$5,0))</f>
        <v>0</v>
      </c>
      <c r="L983" s="218">
        <f>INDEX('Prop. prices'!$I$86:$AB$160,MATCH($C983,'Prop. prices'!$C$86:$C$160,0),MATCH(L$920,'Prop. prices'!$I$5:$AB$5,0))</f>
        <v>0</v>
      </c>
      <c r="M983" s="218">
        <f>INDEX('Prop. prices'!$I$86:$AB$160,MATCH($C983,'Prop. prices'!$C$86:$C$160,0),MATCH(M$920,'Prop. prices'!$I$5:$AB$5,0))</f>
        <v>0</v>
      </c>
      <c r="N983" s="218">
        <f>INDEX('Prop. prices'!$I$86:$AB$160,MATCH($C983,'Prop. prices'!$C$86:$C$160,0),MATCH(N$920,'Prop. prices'!$I$5:$AB$5,0))</f>
        <v>0</v>
      </c>
      <c r="O983" s="218">
        <f>INDEX('Prop. prices'!$I$86:$AB$160,MATCH($C983,'Prop. prices'!$C$86:$C$160,0),MATCH(O$920,'Prop. prices'!$I$5:$AB$5,0))</f>
        <v>0</v>
      </c>
      <c r="P983" s="218">
        <f>INDEX('Prop. prices'!$I$86:$AB$160,MATCH($C983,'Prop. prices'!$C$86:$C$160,0),MATCH(P$920,'Prop. prices'!$I$5:$AB$5,0))</f>
        <v>0</v>
      </c>
      <c r="Q983" s="218">
        <f>INDEX('Prop. prices'!$I$86:$AB$160,MATCH($C983,'Prop. prices'!$C$86:$C$160,0),MATCH(Q$920,'Prop. prices'!$I$5:$AB$5,0))</f>
        <v>0</v>
      </c>
      <c r="R983" s="218">
        <f>INDEX('Prop. prices'!$I$86:$AB$160,MATCH($C983,'Prop. prices'!$C$86:$C$160,0),MATCH(R$920,'Prop. prices'!$I$5:$AB$5,0))</f>
        <v>0</v>
      </c>
      <c r="S983" s="218">
        <f>INDEX('Prop. prices'!$I$86:$AB$160,MATCH($C983,'Prop. prices'!$C$86:$C$160,0),MATCH(S$920,'Prop. prices'!$I$5:$AB$5,0))</f>
        <v>0</v>
      </c>
      <c r="T983" s="218">
        <f>INDEX('Prop. prices'!$I$86:$AB$160,MATCH($C983,'Prop. prices'!$C$86:$C$160,0),MATCH(T$920,'Prop. prices'!$I$5:$AB$5,0))</f>
        <v>0</v>
      </c>
      <c r="U983" s="218">
        <f>INDEX('Prop. prices'!$I$86:$AB$160,MATCH($C983,'Prop. prices'!$C$86:$C$160,0),MATCH(U$920,'Prop. prices'!$I$5:$AB$5,0))</f>
        <v>0</v>
      </c>
      <c r="V983" s="218">
        <f>INDEX('Prop. prices'!$I$86:$AB$160,MATCH($C983,'Prop. prices'!$C$86:$C$160,0),MATCH(V$920,'Prop. prices'!$I$5:$AB$5,0))</f>
        <v>0</v>
      </c>
      <c r="W983" s="218">
        <f>INDEX('Prop. prices'!$I$86:$AB$160,MATCH($C983,'Prop. prices'!$C$86:$C$160,0),MATCH(W$920,'Prop. prices'!$I$5:$AB$5,0))</f>
        <v>0</v>
      </c>
      <c r="X983" s="218">
        <f>INDEX('Prop. prices'!$I$86:$AB$160,MATCH($C983,'Prop. prices'!$C$86:$C$160,0),MATCH(X$920,'Prop. prices'!$I$5:$AB$5,0))</f>
        <v>0</v>
      </c>
      <c r="Y983" s="218">
        <f>INDEX('Prop. prices'!$I$86:$AB$160,MATCH($C983,'Prop. prices'!$C$86:$C$160,0),MATCH(Y$920,'Prop. prices'!$I$5:$AB$5,0))</f>
        <v>0</v>
      </c>
      <c r="Z983" s="218">
        <f>INDEX('Prop. prices'!$I$86:$AB$160,MATCH($C983,'Prop. prices'!$C$86:$C$160,0),MATCH(Z$920,'Prop. prices'!$I$5:$AB$5,0))</f>
        <v>0</v>
      </c>
      <c r="AA983" s="218">
        <f>INDEX('Prop. prices'!$I$86:$AB$160,MATCH($C983,'Prop. prices'!$C$86:$C$160,0),MATCH(AA$920,'Prop. prices'!$I$5:$AB$5,0))</f>
        <v>0</v>
      </c>
      <c r="AB983" s="218">
        <f>INDEX('Prop. prices'!$I$86:$AB$160,MATCH($C983,'Prop. prices'!$C$86:$C$160,0),MATCH(AB$920,'Prop. prices'!$I$5:$AB$5,0))</f>
        <v>0</v>
      </c>
      <c r="AC983" s="187"/>
      <c r="AD983" s="19"/>
      <c r="AE983" s="19"/>
      <c r="AF983" s="19"/>
      <c r="AG983" s="19"/>
    </row>
    <row r="984" spans="1:33" hidden="1" outlineLevel="3" x14ac:dyDescent="0.2">
      <c r="A984" s="19"/>
      <c r="B984" s="19"/>
      <c r="C984" s="506">
        <f t="shared" si="205"/>
        <v>0</v>
      </c>
      <c r="D984" s="505">
        <f t="shared" si="205"/>
        <v>0</v>
      </c>
      <c r="E984" s="58"/>
      <c r="F984" s="223"/>
      <c r="G984" s="58"/>
      <c r="H984" s="58"/>
      <c r="I984" s="218">
        <f>INDEX('Prop. prices'!$I$86:$AB$160,MATCH($C984,'Prop. prices'!$C$86:$C$160,0),MATCH(I$920,'Prop. prices'!$I$5:$AB$5,0))</f>
        <v>0</v>
      </c>
      <c r="J984" s="218">
        <f>INDEX('Prop. prices'!$I$86:$AB$160,MATCH($C984,'Prop. prices'!$C$86:$C$160,0),MATCH(J$920,'Prop. prices'!$I$5:$AB$5,0))</f>
        <v>0</v>
      </c>
      <c r="K984" s="218">
        <f>INDEX('Prop. prices'!$I$86:$AB$160,MATCH($C984,'Prop. prices'!$C$86:$C$160,0),MATCH(K$920,'Prop. prices'!$I$5:$AB$5,0))</f>
        <v>0</v>
      </c>
      <c r="L984" s="218">
        <f>INDEX('Prop. prices'!$I$86:$AB$160,MATCH($C984,'Prop. prices'!$C$86:$C$160,0),MATCH(L$920,'Prop. prices'!$I$5:$AB$5,0))</f>
        <v>0</v>
      </c>
      <c r="M984" s="218">
        <f>INDEX('Prop. prices'!$I$86:$AB$160,MATCH($C984,'Prop. prices'!$C$86:$C$160,0),MATCH(M$920,'Prop. prices'!$I$5:$AB$5,0))</f>
        <v>0</v>
      </c>
      <c r="N984" s="218">
        <f>INDEX('Prop. prices'!$I$86:$AB$160,MATCH($C984,'Prop. prices'!$C$86:$C$160,0),MATCH(N$920,'Prop. prices'!$I$5:$AB$5,0))</f>
        <v>0</v>
      </c>
      <c r="O984" s="218">
        <f>INDEX('Prop. prices'!$I$86:$AB$160,MATCH($C984,'Prop. prices'!$C$86:$C$160,0),MATCH(O$920,'Prop. prices'!$I$5:$AB$5,0))</f>
        <v>0</v>
      </c>
      <c r="P984" s="218">
        <f>INDEX('Prop. prices'!$I$86:$AB$160,MATCH($C984,'Prop. prices'!$C$86:$C$160,0),MATCH(P$920,'Prop. prices'!$I$5:$AB$5,0))</f>
        <v>0</v>
      </c>
      <c r="Q984" s="218">
        <f>INDEX('Prop. prices'!$I$86:$AB$160,MATCH($C984,'Prop. prices'!$C$86:$C$160,0),MATCH(Q$920,'Prop. prices'!$I$5:$AB$5,0))</f>
        <v>0</v>
      </c>
      <c r="R984" s="218">
        <f>INDEX('Prop. prices'!$I$86:$AB$160,MATCH($C984,'Prop. prices'!$C$86:$C$160,0),MATCH(R$920,'Prop. prices'!$I$5:$AB$5,0))</f>
        <v>0</v>
      </c>
      <c r="S984" s="218">
        <f>INDEX('Prop. prices'!$I$86:$AB$160,MATCH($C984,'Prop. prices'!$C$86:$C$160,0),MATCH(S$920,'Prop. prices'!$I$5:$AB$5,0))</f>
        <v>0</v>
      </c>
      <c r="T984" s="218">
        <f>INDEX('Prop. prices'!$I$86:$AB$160,MATCH($C984,'Prop. prices'!$C$86:$C$160,0),MATCH(T$920,'Prop. prices'!$I$5:$AB$5,0))</f>
        <v>0</v>
      </c>
      <c r="U984" s="218">
        <f>INDEX('Prop. prices'!$I$86:$AB$160,MATCH($C984,'Prop. prices'!$C$86:$C$160,0),MATCH(U$920,'Prop. prices'!$I$5:$AB$5,0))</f>
        <v>0</v>
      </c>
      <c r="V984" s="218">
        <f>INDEX('Prop. prices'!$I$86:$AB$160,MATCH($C984,'Prop. prices'!$C$86:$C$160,0),MATCH(V$920,'Prop. prices'!$I$5:$AB$5,0))</f>
        <v>0</v>
      </c>
      <c r="W984" s="218">
        <f>INDEX('Prop. prices'!$I$86:$AB$160,MATCH($C984,'Prop. prices'!$C$86:$C$160,0),MATCH(W$920,'Prop. prices'!$I$5:$AB$5,0))</f>
        <v>0</v>
      </c>
      <c r="X984" s="218">
        <f>INDEX('Prop. prices'!$I$86:$AB$160,MATCH($C984,'Prop. prices'!$C$86:$C$160,0),MATCH(X$920,'Prop. prices'!$I$5:$AB$5,0))</f>
        <v>0</v>
      </c>
      <c r="Y984" s="218">
        <f>INDEX('Prop. prices'!$I$86:$AB$160,MATCH($C984,'Prop. prices'!$C$86:$C$160,0),MATCH(Y$920,'Prop. prices'!$I$5:$AB$5,0))</f>
        <v>0</v>
      </c>
      <c r="Z984" s="218">
        <f>INDEX('Prop. prices'!$I$86:$AB$160,MATCH($C984,'Prop. prices'!$C$86:$C$160,0),MATCH(Z$920,'Prop. prices'!$I$5:$AB$5,0))</f>
        <v>0</v>
      </c>
      <c r="AA984" s="218">
        <f>INDEX('Prop. prices'!$I$86:$AB$160,MATCH($C984,'Prop. prices'!$C$86:$C$160,0),MATCH(AA$920,'Prop. prices'!$I$5:$AB$5,0))</f>
        <v>0</v>
      </c>
      <c r="AB984" s="218">
        <f>INDEX('Prop. prices'!$I$86:$AB$160,MATCH($C984,'Prop. prices'!$C$86:$C$160,0),MATCH(AB$920,'Prop. prices'!$I$5:$AB$5,0))</f>
        <v>0</v>
      </c>
      <c r="AC984" s="187"/>
      <c r="AD984" s="19"/>
      <c r="AE984" s="19"/>
      <c r="AF984" s="19"/>
      <c r="AG984" s="19"/>
    </row>
    <row r="985" spans="1:33" hidden="1" outlineLevel="3" x14ac:dyDescent="0.2">
      <c r="A985" s="19"/>
      <c r="B985" s="19"/>
      <c r="C985" s="506">
        <f t="shared" si="205"/>
        <v>0</v>
      </c>
      <c r="D985" s="505">
        <f t="shared" si="205"/>
        <v>0</v>
      </c>
      <c r="E985" s="58"/>
      <c r="F985" s="223"/>
      <c r="G985" s="58"/>
      <c r="H985" s="58"/>
      <c r="I985" s="218">
        <f>INDEX('Prop. prices'!$I$86:$AB$160,MATCH($C985,'Prop. prices'!$C$86:$C$160,0),MATCH(I$920,'Prop. prices'!$I$5:$AB$5,0))</f>
        <v>0</v>
      </c>
      <c r="J985" s="218">
        <f>INDEX('Prop. prices'!$I$86:$AB$160,MATCH($C985,'Prop. prices'!$C$86:$C$160,0),MATCH(J$920,'Prop. prices'!$I$5:$AB$5,0))</f>
        <v>0</v>
      </c>
      <c r="K985" s="218">
        <f>INDEX('Prop. prices'!$I$86:$AB$160,MATCH($C985,'Prop. prices'!$C$86:$C$160,0),MATCH(K$920,'Prop. prices'!$I$5:$AB$5,0))</f>
        <v>0</v>
      </c>
      <c r="L985" s="218">
        <f>INDEX('Prop. prices'!$I$86:$AB$160,MATCH($C985,'Prop. prices'!$C$86:$C$160,0),MATCH(L$920,'Prop. prices'!$I$5:$AB$5,0))</f>
        <v>0</v>
      </c>
      <c r="M985" s="218">
        <f>INDEX('Prop. prices'!$I$86:$AB$160,MATCH($C985,'Prop. prices'!$C$86:$C$160,0),MATCH(M$920,'Prop. prices'!$I$5:$AB$5,0))</f>
        <v>0</v>
      </c>
      <c r="N985" s="218">
        <f>INDEX('Prop. prices'!$I$86:$AB$160,MATCH($C985,'Prop. prices'!$C$86:$C$160,0),MATCH(N$920,'Prop. prices'!$I$5:$AB$5,0))</f>
        <v>0</v>
      </c>
      <c r="O985" s="218">
        <f>INDEX('Prop. prices'!$I$86:$AB$160,MATCH($C985,'Prop. prices'!$C$86:$C$160,0),MATCH(O$920,'Prop. prices'!$I$5:$AB$5,0))</f>
        <v>0</v>
      </c>
      <c r="P985" s="218">
        <f>INDEX('Prop. prices'!$I$86:$AB$160,MATCH($C985,'Prop. prices'!$C$86:$C$160,0),MATCH(P$920,'Prop. prices'!$I$5:$AB$5,0))</f>
        <v>0</v>
      </c>
      <c r="Q985" s="218">
        <f>INDEX('Prop. prices'!$I$86:$AB$160,MATCH($C985,'Prop. prices'!$C$86:$C$160,0),MATCH(Q$920,'Prop. prices'!$I$5:$AB$5,0))</f>
        <v>0</v>
      </c>
      <c r="R985" s="218">
        <f>INDEX('Prop. prices'!$I$86:$AB$160,MATCH($C985,'Prop. prices'!$C$86:$C$160,0),MATCH(R$920,'Prop. prices'!$I$5:$AB$5,0))</f>
        <v>0</v>
      </c>
      <c r="S985" s="218">
        <f>INDEX('Prop. prices'!$I$86:$AB$160,MATCH($C985,'Prop. prices'!$C$86:$C$160,0),MATCH(S$920,'Prop. prices'!$I$5:$AB$5,0))</f>
        <v>0</v>
      </c>
      <c r="T985" s="218">
        <f>INDEX('Prop. prices'!$I$86:$AB$160,MATCH($C985,'Prop. prices'!$C$86:$C$160,0),MATCH(T$920,'Prop. prices'!$I$5:$AB$5,0))</f>
        <v>0</v>
      </c>
      <c r="U985" s="218">
        <f>INDEX('Prop. prices'!$I$86:$AB$160,MATCH($C985,'Prop. prices'!$C$86:$C$160,0),MATCH(U$920,'Prop. prices'!$I$5:$AB$5,0))</f>
        <v>0</v>
      </c>
      <c r="V985" s="218">
        <f>INDEX('Prop. prices'!$I$86:$AB$160,MATCH($C985,'Prop. prices'!$C$86:$C$160,0),MATCH(V$920,'Prop. prices'!$I$5:$AB$5,0))</f>
        <v>0</v>
      </c>
      <c r="W985" s="218">
        <f>INDEX('Prop. prices'!$I$86:$AB$160,MATCH($C985,'Prop. prices'!$C$86:$C$160,0),MATCH(W$920,'Prop. prices'!$I$5:$AB$5,0))</f>
        <v>0</v>
      </c>
      <c r="X985" s="218">
        <f>INDEX('Prop. prices'!$I$86:$AB$160,MATCH($C985,'Prop. prices'!$C$86:$C$160,0),MATCH(X$920,'Prop. prices'!$I$5:$AB$5,0))</f>
        <v>0</v>
      </c>
      <c r="Y985" s="218">
        <f>INDEX('Prop. prices'!$I$86:$AB$160,MATCH($C985,'Prop. prices'!$C$86:$C$160,0),MATCH(Y$920,'Prop. prices'!$I$5:$AB$5,0))</f>
        <v>0</v>
      </c>
      <c r="Z985" s="218">
        <f>INDEX('Prop. prices'!$I$86:$AB$160,MATCH($C985,'Prop. prices'!$C$86:$C$160,0),MATCH(Z$920,'Prop. prices'!$I$5:$AB$5,0))</f>
        <v>0</v>
      </c>
      <c r="AA985" s="218">
        <f>INDEX('Prop. prices'!$I$86:$AB$160,MATCH($C985,'Prop. prices'!$C$86:$C$160,0),MATCH(AA$920,'Prop. prices'!$I$5:$AB$5,0))</f>
        <v>0</v>
      </c>
      <c r="AB985" s="218">
        <f>INDEX('Prop. prices'!$I$86:$AB$160,MATCH($C985,'Prop. prices'!$C$86:$C$160,0),MATCH(AB$920,'Prop. prices'!$I$5:$AB$5,0))</f>
        <v>0</v>
      </c>
      <c r="AC985" s="187"/>
      <c r="AD985" s="19"/>
      <c r="AE985" s="19"/>
      <c r="AF985" s="19"/>
      <c r="AG985" s="19"/>
    </row>
    <row r="986" spans="1:33" outlineLevel="2" collapsed="1" x14ac:dyDescent="0.2">
      <c r="A986" s="19"/>
      <c r="B986" s="19"/>
      <c r="C986" s="538"/>
      <c r="D986" s="536"/>
      <c r="E986" s="58"/>
      <c r="F986" s="66"/>
      <c r="G986" s="58"/>
      <c r="H986" s="58"/>
      <c r="I986" s="186"/>
      <c r="J986" s="186"/>
      <c r="K986" s="187"/>
      <c r="L986" s="187"/>
      <c r="M986" s="187"/>
      <c r="N986" s="188"/>
      <c r="O986" s="188"/>
      <c r="P986" s="188"/>
      <c r="Q986" s="188"/>
      <c r="R986" s="188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9"/>
      <c r="AE986" s="19"/>
      <c r="AF986" s="19"/>
      <c r="AG986" s="19"/>
    </row>
    <row r="987" spans="1:33" outlineLevel="1" x14ac:dyDescent="0.2">
      <c r="A987" s="19"/>
      <c r="B987" s="19"/>
      <c r="C987" s="217"/>
      <c r="D987" s="536"/>
      <c r="E987" s="58"/>
      <c r="F987" s="66"/>
      <c r="G987" s="58"/>
      <c r="H987" s="58"/>
      <c r="I987" s="186"/>
      <c r="J987" s="186"/>
      <c r="K987" s="187"/>
      <c r="L987" s="187"/>
      <c r="M987" s="187"/>
      <c r="N987" s="188"/>
      <c r="O987" s="188"/>
      <c r="P987" s="188"/>
      <c r="Q987" s="188"/>
      <c r="R987" s="188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  <c r="AD987" s="19"/>
      <c r="AE987" s="19"/>
      <c r="AF987" s="19"/>
      <c r="AG987" s="19"/>
    </row>
    <row r="988" spans="1:33" outlineLevel="1" x14ac:dyDescent="0.2">
      <c r="A988" s="19"/>
      <c r="B988" s="19"/>
      <c r="C988" s="167" t="s">
        <v>220</v>
      </c>
      <c r="D988" s="512"/>
      <c r="E988" s="20"/>
      <c r="F988" s="167"/>
      <c r="G988" s="22"/>
      <c r="H988" s="22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9"/>
      <c r="AE988" s="19"/>
      <c r="AF988" s="19"/>
      <c r="AG988" s="19"/>
    </row>
    <row r="989" spans="1:33" hidden="1" outlineLevel="2" x14ac:dyDescent="0.2">
      <c r="A989" s="19"/>
      <c r="B989" s="19"/>
      <c r="C989" s="506" t="str">
        <f t="shared" ref="C989:D1018" si="206">C923</f>
        <v>Small business time of use consumption</v>
      </c>
      <c r="D989" s="505" t="str">
        <f t="shared" si="206"/>
        <v>yes</v>
      </c>
      <c r="E989" s="20"/>
      <c r="F989" s="223"/>
      <c r="G989" s="22"/>
      <c r="H989" s="22"/>
      <c r="I989" s="218">
        <f>INDEX('Prop. prices'!$I$164:$AB$238,MATCH($C989,'Prop. prices'!$C$164:$C$238,0),MATCH(I$920,'Prop. prices'!$I$5:$AB$5,0))</f>
        <v>0</v>
      </c>
      <c r="J989" s="218">
        <f>INDEX('Prop. prices'!$I$164:$AB$238,MATCH($C989,'Prop. prices'!$C$164:$C$238,0),MATCH(J$920,'Prop. prices'!$I$5:$AB$5,0))</f>
        <v>0</v>
      </c>
      <c r="K989" s="218">
        <f>INDEX('Prop. prices'!$I$164:$AB$238,MATCH($C989,'Prop. prices'!$C$164:$C$238,0),MATCH(K$920,'Prop. prices'!$I$5:$AB$5,0))</f>
        <v>0</v>
      </c>
      <c r="L989" s="218">
        <f>INDEX('Prop. prices'!$I$164:$AB$238,MATCH($C989,'Prop. prices'!$C$164:$C$238,0),MATCH(L$920,'Prop. prices'!$I$5:$AB$5,0))</f>
        <v>0</v>
      </c>
      <c r="M989" s="218">
        <f>INDEX('Prop. prices'!$I$164:$AB$238,MATCH($C989,'Prop. prices'!$C$164:$C$238,0),MATCH(M$920,'Prop. prices'!$I$5:$AB$5,0))</f>
        <v>0</v>
      </c>
      <c r="N989" s="218">
        <f>INDEX('Prop. prices'!$I$164:$AB$238,MATCH($C989,'Prop. prices'!$C$164:$C$238,0),MATCH(N$920,'Prop. prices'!$I$5:$AB$5,0))</f>
        <v>0</v>
      </c>
      <c r="O989" s="218">
        <f>INDEX('Prop. prices'!$I$164:$AB$238,MATCH($C989,'Prop. prices'!$C$164:$C$238,0),MATCH(O$920,'Prop. prices'!$I$5:$AB$5,0))</f>
        <v>0</v>
      </c>
      <c r="P989" s="218">
        <f>INDEX('Prop. prices'!$I$164:$AB$238,MATCH($C989,'Prop. prices'!$C$164:$C$238,0),MATCH(P$920,'Prop. prices'!$I$5:$AB$5,0))</f>
        <v>0</v>
      </c>
      <c r="Q989" s="218">
        <f>INDEX('Prop. prices'!$I$164:$AB$238,MATCH($C989,'Prop. prices'!$C$164:$C$238,0),MATCH(Q$920,'Prop. prices'!$I$5:$AB$5,0))</f>
        <v>0</v>
      </c>
      <c r="R989" s="218">
        <f>INDEX('Prop. prices'!$I$164:$AB$238,MATCH($C989,'Prop. prices'!$C$164:$C$238,0),MATCH(R$920,'Prop. prices'!$I$5:$AB$5,0))</f>
        <v>0</v>
      </c>
      <c r="S989" s="218">
        <f>INDEX('Prop. prices'!$I$164:$AB$238,MATCH($C989,'Prop. prices'!$C$164:$C$238,0),MATCH(S$920,'Prop. prices'!$I$5:$AB$5,0))</f>
        <v>0</v>
      </c>
      <c r="T989" s="218">
        <f>INDEX('Prop. prices'!$I$164:$AB$238,MATCH($C989,'Prop. prices'!$C$164:$C$238,0),MATCH(T$920,'Prop. prices'!$I$5:$AB$5,0))</f>
        <v>0</v>
      </c>
      <c r="U989" s="218">
        <f>INDEX('Prop. prices'!$I$164:$AB$238,MATCH($C989,'Prop. prices'!$C$164:$C$238,0),MATCH(U$920,'Prop. prices'!$I$5:$AB$5,0))</f>
        <v>0</v>
      </c>
      <c r="V989" s="218">
        <f>INDEX('Prop. prices'!$I$164:$AB$238,MATCH($C989,'Prop. prices'!$C$164:$C$238,0),MATCH(V$920,'Prop. prices'!$I$5:$AB$5,0))</f>
        <v>0</v>
      </c>
      <c r="W989" s="218">
        <f>INDEX('Prop. prices'!$I$164:$AB$238,MATCH($C989,'Prop. prices'!$C$164:$C$238,0),MATCH(W$920,'Prop. prices'!$I$5:$AB$5,0))</f>
        <v>0</v>
      </c>
      <c r="X989" s="218">
        <f>INDEX('Prop. prices'!$I$164:$AB$238,MATCH($C989,'Prop. prices'!$C$164:$C$238,0),MATCH(X$920,'Prop. prices'!$I$5:$AB$5,0))</f>
        <v>0</v>
      </c>
      <c r="Y989" s="218">
        <f>INDEX('Prop. prices'!$I$164:$AB$238,MATCH($C989,'Prop. prices'!$C$164:$C$238,0),MATCH(Y$920,'Prop. prices'!$I$5:$AB$5,0))</f>
        <v>0</v>
      </c>
      <c r="Z989" s="218">
        <f>INDEX('Prop. prices'!$I$164:$AB$238,MATCH($C989,'Prop. prices'!$C$164:$C$238,0),MATCH(Z$920,'Prop. prices'!$I$5:$AB$5,0))</f>
        <v>0</v>
      </c>
      <c r="AA989" s="218">
        <f>INDEX('Prop. prices'!$I$164:$AB$238,MATCH($C989,'Prop. prices'!$C$164:$C$238,0),MATCH(AA$920,'Prop. prices'!$I$5:$AB$5,0))</f>
        <v>0</v>
      </c>
      <c r="AB989" s="218">
        <f>INDEX('Prop. prices'!$I$164:$AB$238,MATCH($C989,'Prop. prices'!$C$164:$C$238,0),MATCH(AB$920,'Prop. prices'!$I$5:$AB$5,0))</f>
        <v>0</v>
      </c>
      <c r="AC989" s="187"/>
      <c r="AD989" s="19"/>
      <c r="AE989" s="19"/>
      <c r="AF989" s="19"/>
      <c r="AG989" s="19"/>
    </row>
    <row r="990" spans="1:33" s="59" customFormat="1" hidden="1" outlineLevel="2" x14ac:dyDescent="0.2">
      <c r="A990" s="57"/>
      <c r="B990" s="57"/>
      <c r="C990" s="506" t="str">
        <f t="shared" si="206"/>
        <v>Small business general light and power</v>
      </c>
      <c r="D990" s="505" t="str">
        <f t="shared" si="206"/>
        <v>no</v>
      </c>
      <c r="E990" s="58"/>
      <c r="F990" s="223"/>
      <c r="G990" s="58"/>
      <c r="H990" s="58"/>
      <c r="I990" s="218">
        <f>INDEX('Prop. prices'!$I$164:$AB$238,MATCH($C990,'Prop. prices'!$C$164:$C$238,0),MATCH(I$920,'Prop. prices'!$I$5:$AB$5,0))</f>
        <v>0</v>
      </c>
      <c r="J990" s="218">
        <f>INDEX('Prop. prices'!$I$164:$AB$238,MATCH($C990,'Prop. prices'!$C$164:$C$238,0),MATCH(J$920,'Prop. prices'!$I$5:$AB$5,0))</f>
        <v>0</v>
      </c>
      <c r="K990" s="218">
        <f>INDEX('Prop. prices'!$I$164:$AB$238,MATCH($C990,'Prop. prices'!$C$164:$C$238,0),MATCH(K$920,'Prop. prices'!$I$5:$AB$5,0))</f>
        <v>0</v>
      </c>
      <c r="L990" s="218">
        <f>INDEX('Prop. prices'!$I$164:$AB$238,MATCH($C990,'Prop. prices'!$C$164:$C$238,0),MATCH(L$920,'Prop. prices'!$I$5:$AB$5,0))</f>
        <v>0</v>
      </c>
      <c r="M990" s="218">
        <f>INDEX('Prop. prices'!$I$164:$AB$238,MATCH($C990,'Prop. prices'!$C$164:$C$238,0),MATCH(M$920,'Prop. prices'!$I$5:$AB$5,0))</f>
        <v>0</v>
      </c>
      <c r="N990" s="218">
        <f>INDEX('Prop. prices'!$I$164:$AB$238,MATCH($C990,'Prop. prices'!$C$164:$C$238,0),MATCH(N$920,'Prop. prices'!$I$5:$AB$5,0))</f>
        <v>0</v>
      </c>
      <c r="O990" s="218">
        <f>INDEX('Prop. prices'!$I$164:$AB$238,MATCH($C990,'Prop. prices'!$C$164:$C$238,0),MATCH(O$920,'Prop. prices'!$I$5:$AB$5,0))</f>
        <v>0</v>
      </c>
      <c r="P990" s="218">
        <f>INDEX('Prop. prices'!$I$164:$AB$238,MATCH($C990,'Prop. prices'!$C$164:$C$238,0),MATCH(P$920,'Prop. prices'!$I$5:$AB$5,0))</f>
        <v>0</v>
      </c>
      <c r="Q990" s="218">
        <f>INDEX('Prop. prices'!$I$164:$AB$238,MATCH($C990,'Prop. prices'!$C$164:$C$238,0),MATCH(Q$920,'Prop. prices'!$I$5:$AB$5,0))</f>
        <v>0</v>
      </c>
      <c r="R990" s="218">
        <f>INDEX('Prop. prices'!$I$164:$AB$238,MATCH($C990,'Prop. prices'!$C$164:$C$238,0),MATCH(R$920,'Prop. prices'!$I$5:$AB$5,0))</f>
        <v>0</v>
      </c>
      <c r="S990" s="218">
        <f>INDEX('Prop. prices'!$I$164:$AB$238,MATCH($C990,'Prop. prices'!$C$164:$C$238,0),MATCH(S$920,'Prop. prices'!$I$5:$AB$5,0))</f>
        <v>0</v>
      </c>
      <c r="T990" s="218">
        <f>INDEX('Prop. prices'!$I$164:$AB$238,MATCH($C990,'Prop. prices'!$C$164:$C$238,0),MATCH(T$920,'Prop. prices'!$I$5:$AB$5,0))</f>
        <v>0</v>
      </c>
      <c r="U990" s="218">
        <f>INDEX('Prop. prices'!$I$164:$AB$238,MATCH($C990,'Prop. prices'!$C$164:$C$238,0),MATCH(U$920,'Prop. prices'!$I$5:$AB$5,0))</f>
        <v>0</v>
      </c>
      <c r="V990" s="218">
        <f>INDEX('Prop. prices'!$I$164:$AB$238,MATCH($C990,'Prop. prices'!$C$164:$C$238,0),MATCH(V$920,'Prop. prices'!$I$5:$AB$5,0))</f>
        <v>0</v>
      </c>
      <c r="W990" s="218">
        <f>INDEX('Prop. prices'!$I$164:$AB$238,MATCH($C990,'Prop. prices'!$C$164:$C$238,0),MATCH(W$920,'Prop. prices'!$I$5:$AB$5,0))</f>
        <v>0</v>
      </c>
      <c r="X990" s="218">
        <f>INDEX('Prop. prices'!$I$164:$AB$238,MATCH($C990,'Prop. prices'!$C$164:$C$238,0),MATCH(X$920,'Prop. prices'!$I$5:$AB$5,0))</f>
        <v>0</v>
      </c>
      <c r="Y990" s="218">
        <f>INDEX('Prop. prices'!$I$164:$AB$238,MATCH($C990,'Prop. prices'!$C$164:$C$238,0),MATCH(Y$920,'Prop. prices'!$I$5:$AB$5,0))</f>
        <v>0</v>
      </c>
      <c r="Z990" s="218">
        <f>INDEX('Prop. prices'!$I$164:$AB$238,MATCH($C990,'Prop. prices'!$C$164:$C$238,0),MATCH(Z$920,'Prop. prices'!$I$5:$AB$5,0))</f>
        <v>0</v>
      </c>
      <c r="AA990" s="218">
        <f>INDEX('Prop. prices'!$I$164:$AB$238,MATCH($C990,'Prop. prices'!$C$164:$C$238,0),MATCH(AA$920,'Prop. prices'!$I$5:$AB$5,0))</f>
        <v>0</v>
      </c>
      <c r="AB990" s="218">
        <f>INDEX('Prop. prices'!$I$164:$AB$238,MATCH($C990,'Prop. prices'!$C$164:$C$238,0),MATCH(AB$920,'Prop. prices'!$I$5:$AB$5,0))</f>
        <v>0</v>
      </c>
      <c r="AC990" s="187"/>
      <c r="AD990" s="57"/>
      <c r="AE990" s="57"/>
      <c r="AF990" s="57"/>
      <c r="AG990" s="57"/>
    </row>
    <row r="991" spans="1:33" hidden="1" outlineLevel="2" x14ac:dyDescent="0.2">
      <c r="A991" s="19"/>
      <c r="B991" s="19"/>
      <c r="C991" s="506">
        <f t="shared" si="206"/>
        <v>0</v>
      </c>
      <c r="D991" s="505">
        <f t="shared" si="206"/>
        <v>0</v>
      </c>
      <c r="E991" s="58"/>
      <c r="F991" s="223"/>
      <c r="G991" s="58"/>
      <c r="H991" s="58"/>
      <c r="I991" s="218">
        <f>INDEX('Prop. prices'!$I$164:$AB$238,MATCH($C991,'Prop. prices'!$C$164:$C$238,0),MATCH(I$920,'Prop. prices'!$I$5:$AB$5,0))</f>
        <v>0</v>
      </c>
      <c r="J991" s="218">
        <f>INDEX('Prop. prices'!$I$164:$AB$238,MATCH($C991,'Prop. prices'!$C$164:$C$238,0),MATCH(J$920,'Prop. prices'!$I$5:$AB$5,0))</f>
        <v>0</v>
      </c>
      <c r="K991" s="218">
        <f>INDEX('Prop. prices'!$I$164:$AB$238,MATCH($C991,'Prop. prices'!$C$164:$C$238,0),MATCH(K$920,'Prop. prices'!$I$5:$AB$5,0))</f>
        <v>0</v>
      </c>
      <c r="L991" s="218">
        <f>INDEX('Prop. prices'!$I$164:$AB$238,MATCH($C991,'Prop. prices'!$C$164:$C$238,0),MATCH(L$920,'Prop. prices'!$I$5:$AB$5,0))</f>
        <v>0</v>
      </c>
      <c r="M991" s="218">
        <f>INDEX('Prop. prices'!$I$164:$AB$238,MATCH($C991,'Prop. prices'!$C$164:$C$238,0),MATCH(M$920,'Prop. prices'!$I$5:$AB$5,0))</f>
        <v>0</v>
      </c>
      <c r="N991" s="218">
        <f>INDEX('Prop. prices'!$I$164:$AB$238,MATCH($C991,'Prop. prices'!$C$164:$C$238,0),MATCH(N$920,'Prop. prices'!$I$5:$AB$5,0))</f>
        <v>0</v>
      </c>
      <c r="O991" s="218">
        <f>INDEX('Prop. prices'!$I$164:$AB$238,MATCH($C991,'Prop. prices'!$C$164:$C$238,0),MATCH(O$920,'Prop. prices'!$I$5:$AB$5,0))</f>
        <v>0</v>
      </c>
      <c r="P991" s="218">
        <f>INDEX('Prop. prices'!$I$164:$AB$238,MATCH($C991,'Prop. prices'!$C$164:$C$238,0),MATCH(P$920,'Prop. prices'!$I$5:$AB$5,0))</f>
        <v>0</v>
      </c>
      <c r="Q991" s="218">
        <f>INDEX('Prop. prices'!$I$164:$AB$238,MATCH($C991,'Prop. prices'!$C$164:$C$238,0),MATCH(Q$920,'Prop. prices'!$I$5:$AB$5,0))</f>
        <v>0</v>
      </c>
      <c r="R991" s="218">
        <f>INDEX('Prop. prices'!$I$164:$AB$238,MATCH($C991,'Prop. prices'!$C$164:$C$238,0),MATCH(R$920,'Prop. prices'!$I$5:$AB$5,0))</f>
        <v>0</v>
      </c>
      <c r="S991" s="218">
        <f>INDEX('Prop. prices'!$I$164:$AB$238,MATCH($C991,'Prop. prices'!$C$164:$C$238,0),MATCH(S$920,'Prop. prices'!$I$5:$AB$5,0))</f>
        <v>0</v>
      </c>
      <c r="T991" s="218">
        <f>INDEX('Prop. prices'!$I$164:$AB$238,MATCH($C991,'Prop. prices'!$C$164:$C$238,0),MATCH(T$920,'Prop. prices'!$I$5:$AB$5,0))</f>
        <v>0</v>
      </c>
      <c r="U991" s="218">
        <f>INDEX('Prop. prices'!$I$164:$AB$238,MATCH($C991,'Prop. prices'!$C$164:$C$238,0),MATCH(U$920,'Prop. prices'!$I$5:$AB$5,0))</f>
        <v>0</v>
      </c>
      <c r="V991" s="218">
        <f>INDEX('Prop. prices'!$I$164:$AB$238,MATCH($C991,'Prop. prices'!$C$164:$C$238,0),MATCH(V$920,'Prop. prices'!$I$5:$AB$5,0))</f>
        <v>0</v>
      </c>
      <c r="W991" s="218">
        <f>INDEX('Prop. prices'!$I$164:$AB$238,MATCH($C991,'Prop. prices'!$C$164:$C$238,0),MATCH(W$920,'Prop. prices'!$I$5:$AB$5,0))</f>
        <v>0</v>
      </c>
      <c r="X991" s="218">
        <f>INDEX('Prop. prices'!$I$164:$AB$238,MATCH($C991,'Prop. prices'!$C$164:$C$238,0),MATCH(X$920,'Prop. prices'!$I$5:$AB$5,0))</f>
        <v>0</v>
      </c>
      <c r="Y991" s="218">
        <f>INDEX('Prop. prices'!$I$164:$AB$238,MATCH($C991,'Prop. prices'!$C$164:$C$238,0),MATCH(Y$920,'Prop. prices'!$I$5:$AB$5,0))</f>
        <v>0</v>
      </c>
      <c r="Z991" s="218">
        <f>INDEX('Prop. prices'!$I$164:$AB$238,MATCH($C991,'Prop. prices'!$C$164:$C$238,0),MATCH(Z$920,'Prop. prices'!$I$5:$AB$5,0))</f>
        <v>0</v>
      </c>
      <c r="AA991" s="218">
        <f>INDEX('Prop. prices'!$I$164:$AB$238,MATCH($C991,'Prop. prices'!$C$164:$C$238,0),MATCH(AA$920,'Prop. prices'!$I$5:$AB$5,0))</f>
        <v>0</v>
      </c>
      <c r="AB991" s="218">
        <f>INDEX('Prop. prices'!$I$164:$AB$238,MATCH($C991,'Prop. prices'!$C$164:$C$238,0),MATCH(AB$920,'Prop. prices'!$I$5:$AB$5,0))</f>
        <v>0</v>
      </c>
      <c r="AC991" s="187"/>
      <c r="AD991" s="19"/>
      <c r="AE991" s="19"/>
      <c r="AF991" s="19"/>
      <c r="AG991" s="19"/>
    </row>
    <row r="992" spans="1:33" hidden="1" outlineLevel="3" x14ac:dyDescent="0.2">
      <c r="A992" s="19"/>
      <c r="B992" s="19"/>
      <c r="C992" s="506">
        <f t="shared" si="206"/>
        <v>0</v>
      </c>
      <c r="D992" s="505">
        <f t="shared" si="206"/>
        <v>0</v>
      </c>
      <c r="E992" s="58"/>
      <c r="F992" s="223"/>
      <c r="G992" s="58"/>
      <c r="H992" s="58"/>
      <c r="I992" s="218">
        <f>INDEX('Prop. prices'!$I$164:$AB$238,MATCH($C992,'Prop. prices'!$C$164:$C$238,0),MATCH(I$920,'Prop. prices'!$I$5:$AB$5,0))</f>
        <v>0</v>
      </c>
      <c r="J992" s="218">
        <f>INDEX('Prop. prices'!$I$164:$AB$238,MATCH($C992,'Prop. prices'!$C$164:$C$238,0),MATCH(J$920,'Prop. prices'!$I$5:$AB$5,0))</f>
        <v>0</v>
      </c>
      <c r="K992" s="218">
        <f>INDEX('Prop. prices'!$I$164:$AB$238,MATCH($C992,'Prop. prices'!$C$164:$C$238,0),MATCH(K$920,'Prop. prices'!$I$5:$AB$5,0))</f>
        <v>0</v>
      </c>
      <c r="L992" s="218">
        <f>INDEX('Prop. prices'!$I$164:$AB$238,MATCH($C992,'Prop. prices'!$C$164:$C$238,0),MATCH(L$920,'Prop. prices'!$I$5:$AB$5,0))</f>
        <v>0</v>
      </c>
      <c r="M992" s="218">
        <f>INDEX('Prop. prices'!$I$164:$AB$238,MATCH($C992,'Prop. prices'!$C$164:$C$238,0),MATCH(M$920,'Prop. prices'!$I$5:$AB$5,0))</f>
        <v>0</v>
      </c>
      <c r="N992" s="218">
        <f>INDEX('Prop. prices'!$I$164:$AB$238,MATCH($C992,'Prop. prices'!$C$164:$C$238,0),MATCH(N$920,'Prop. prices'!$I$5:$AB$5,0))</f>
        <v>0</v>
      </c>
      <c r="O992" s="218">
        <f>INDEX('Prop. prices'!$I$164:$AB$238,MATCH($C992,'Prop. prices'!$C$164:$C$238,0),MATCH(O$920,'Prop. prices'!$I$5:$AB$5,0))</f>
        <v>0</v>
      </c>
      <c r="P992" s="218">
        <f>INDEX('Prop. prices'!$I$164:$AB$238,MATCH($C992,'Prop. prices'!$C$164:$C$238,0),MATCH(P$920,'Prop. prices'!$I$5:$AB$5,0))</f>
        <v>0</v>
      </c>
      <c r="Q992" s="218">
        <f>INDEX('Prop. prices'!$I$164:$AB$238,MATCH($C992,'Prop. prices'!$C$164:$C$238,0),MATCH(Q$920,'Prop. prices'!$I$5:$AB$5,0))</f>
        <v>0</v>
      </c>
      <c r="R992" s="218">
        <f>INDEX('Prop. prices'!$I$164:$AB$238,MATCH($C992,'Prop. prices'!$C$164:$C$238,0),MATCH(R$920,'Prop. prices'!$I$5:$AB$5,0))</f>
        <v>0</v>
      </c>
      <c r="S992" s="218">
        <f>INDEX('Prop. prices'!$I$164:$AB$238,MATCH($C992,'Prop. prices'!$C$164:$C$238,0),MATCH(S$920,'Prop. prices'!$I$5:$AB$5,0))</f>
        <v>0</v>
      </c>
      <c r="T992" s="218">
        <f>INDEX('Prop. prices'!$I$164:$AB$238,MATCH($C992,'Prop. prices'!$C$164:$C$238,0),MATCH(T$920,'Prop. prices'!$I$5:$AB$5,0))</f>
        <v>0</v>
      </c>
      <c r="U992" s="218">
        <f>INDEX('Prop. prices'!$I$164:$AB$238,MATCH($C992,'Prop. prices'!$C$164:$C$238,0),MATCH(U$920,'Prop. prices'!$I$5:$AB$5,0))</f>
        <v>0</v>
      </c>
      <c r="V992" s="218">
        <f>INDEX('Prop. prices'!$I$164:$AB$238,MATCH($C992,'Prop. prices'!$C$164:$C$238,0),MATCH(V$920,'Prop. prices'!$I$5:$AB$5,0))</f>
        <v>0</v>
      </c>
      <c r="W992" s="218">
        <f>INDEX('Prop. prices'!$I$164:$AB$238,MATCH($C992,'Prop. prices'!$C$164:$C$238,0),MATCH(W$920,'Prop. prices'!$I$5:$AB$5,0))</f>
        <v>0</v>
      </c>
      <c r="X992" s="218">
        <f>INDEX('Prop. prices'!$I$164:$AB$238,MATCH($C992,'Prop. prices'!$C$164:$C$238,0),MATCH(X$920,'Prop. prices'!$I$5:$AB$5,0))</f>
        <v>0</v>
      </c>
      <c r="Y992" s="218">
        <f>INDEX('Prop. prices'!$I$164:$AB$238,MATCH($C992,'Prop. prices'!$C$164:$C$238,0),MATCH(Y$920,'Prop. prices'!$I$5:$AB$5,0))</f>
        <v>0</v>
      </c>
      <c r="Z992" s="218">
        <f>INDEX('Prop. prices'!$I$164:$AB$238,MATCH($C992,'Prop. prices'!$C$164:$C$238,0),MATCH(Z$920,'Prop. prices'!$I$5:$AB$5,0))</f>
        <v>0</v>
      </c>
      <c r="AA992" s="218">
        <f>INDEX('Prop. prices'!$I$164:$AB$238,MATCH($C992,'Prop. prices'!$C$164:$C$238,0),MATCH(AA$920,'Prop. prices'!$I$5:$AB$5,0))</f>
        <v>0</v>
      </c>
      <c r="AB992" s="218">
        <f>INDEX('Prop. prices'!$I$164:$AB$238,MATCH($C992,'Prop. prices'!$C$164:$C$238,0),MATCH(AB$920,'Prop. prices'!$I$5:$AB$5,0))</f>
        <v>0</v>
      </c>
      <c r="AC992" s="187"/>
      <c r="AD992" s="19"/>
      <c r="AE992" s="19"/>
      <c r="AF992" s="19"/>
      <c r="AG992" s="19"/>
    </row>
    <row r="993" spans="1:33" hidden="1" outlineLevel="3" x14ac:dyDescent="0.2">
      <c r="A993" s="19"/>
      <c r="B993" s="19"/>
      <c r="C993" s="506">
        <f t="shared" si="206"/>
        <v>0</v>
      </c>
      <c r="D993" s="505">
        <f t="shared" si="206"/>
        <v>0</v>
      </c>
      <c r="E993" s="58"/>
      <c r="F993" s="223"/>
      <c r="G993" s="58"/>
      <c r="H993" s="58"/>
      <c r="I993" s="218">
        <f>INDEX('Prop. prices'!$I$164:$AB$238,MATCH($C993,'Prop. prices'!$C$164:$C$238,0),MATCH(I$920,'Prop. prices'!$I$5:$AB$5,0))</f>
        <v>0</v>
      </c>
      <c r="J993" s="218">
        <f>INDEX('Prop. prices'!$I$164:$AB$238,MATCH($C993,'Prop. prices'!$C$164:$C$238,0),MATCH(J$920,'Prop. prices'!$I$5:$AB$5,0))</f>
        <v>0</v>
      </c>
      <c r="K993" s="218">
        <f>INDEX('Prop. prices'!$I$164:$AB$238,MATCH($C993,'Prop. prices'!$C$164:$C$238,0),MATCH(K$920,'Prop. prices'!$I$5:$AB$5,0))</f>
        <v>0</v>
      </c>
      <c r="L993" s="218">
        <f>INDEX('Prop. prices'!$I$164:$AB$238,MATCH($C993,'Prop. prices'!$C$164:$C$238,0),MATCH(L$920,'Prop. prices'!$I$5:$AB$5,0))</f>
        <v>0</v>
      </c>
      <c r="M993" s="218">
        <f>INDEX('Prop. prices'!$I$164:$AB$238,MATCH($C993,'Prop. prices'!$C$164:$C$238,0),MATCH(M$920,'Prop. prices'!$I$5:$AB$5,0))</f>
        <v>0</v>
      </c>
      <c r="N993" s="218">
        <f>INDEX('Prop. prices'!$I$164:$AB$238,MATCH($C993,'Prop. prices'!$C$164:$C$238,0),MATCH(N$920,'Prop. prices'!$I$5:$AB$5,0))</f>
        <v>0</v>
      </c>
      <c r="O993" s="218">
        <f>INDEX('Prop. prices'!$I$164:$AB$238,MATCH($C993,'Prop. prices'!$C$164:$C$238,0),MATCH(O$920,'Prop. prices'!$I$5:$AB$5,0))</f>
        <v>0</v>
      </c>
      <c r="P993" s="218">
        <f>INDEX('Prop. prices'!$I$164:$AB$238,MATCH($C993,'Prop. prices'!$C$164:$C$238,0),MATCH(P$920,'Prop. prices'!$I$5:$AB$5,0))</f>
        <v>0</v>
      </c>
      <c r="Q993" s="218">
        <f>INDEX('Prop. prices'!$I$164:$AB$238,MATCH($C993,'Prop. prices'!$C$164:$C$238,0),MATCH(Q$920,'Prop. prices'!$I$5:$AB$5,0))</f>
        <v>0</v>
      </c>
      <c r="R993" s="218">
        <f>INDEX('Prop. prices'!$I$164:$AB$238,MATCH($C993,'Prop. prices'!$C$164:$C$238,0),MATCH(R$920,'Prop. prices'!$I$5:$AB$5,0))</f>
        <v>0</v>
      </c>
      <c r="S993" s="218">
        <f>INDEX('Prop. prices'!$I$164:$AB$238,MATCH($C993,'Prop. prices'!$C$164:$C$238,0),MATCH(S$920,'Prop. prices'!$I$5:$AB$5,0))</f>
        <v>0</v>
      </c>
      <c r="T993" s="218">
        <f>INDEX('Prop. prices'!$I$164:$AB$238,MATCH($C993,'Prop. prices'!$C$164:$C$238,0),MATCH(T$920,'Prop. prices'!$I$5:$AB$5,0))</f>
        <v>0</v>
      </c>
      <c r="U993" s="218">
        <f>INDEX('Prop. prices'!$I$164:$AB$238,MATCH($C993,'Prop. prices'!$C$164:$C$238,0),MATCH(U$920,'Prop. prices'!$I$5:$AB$5,0))</f>
        <v>0</v>
      </c>
      <c r="V993" s="218">
        <f>INDEX('Prop. prices'!$I$164:$AB$238,MATCH($C993,'Prop. prices'!$C$164:$C$238,0),MATCH(V$920,'Prop. prices'!$I$5:$AB$5,0))</f>
        <v>0</v>
      </c>
      <c r="W993" s="218">
        <f>INDEX('Prop. prices'!$I$164:$AB$238,MATCH($C993,'Prop. prices'!$C$164:$C$238,0),MATCH(W$920,'Prop. prices'!$I$5:$AB$5,0))</f>
        <v>0</v>
      </c>
      <c r="X993" s="218">
        <f>INDEX('Prop. prices'!$I$164:$AB$238,MATCH($C993,'Prop. prices'!$C$164:$C$238,0),MATCH(X$920,'Prop. prices'!$I$5:$AB$5,0))</f>
        <v>0</v>
      </c>
      <c r="Y993" s="218">
        <f>INDEX('Prop. prices'!$I$164:$AB$238,MATCH($C993,'Prop. prices'!$C$164:$C$238,0),MATCH(Y$920,'Prop. prices'!$I$5:$AB$5,0))</f>
        <v>0</v>
      </c>
      <c r="Z993" s="218">
        <f>INDEX('Prop. prices'!$I$164:$AB$238,MATCH($C993,'Prop. prices'!$C$164:$C$238,0),MATCH(Z$920,'Prop. prices'!$I$5:$AB$5,0))</f>
        <v>0</v>
      </c>
      <c r="AA993" s="218">
        <f>INDEX('Prop. prices'!$I$164:$AB$238,MATCH($C993,'Prop. prices'!$C$164:$C$238,0),MATCH(AA$920,'Prop. prices'!$I$5:$AB$5,0))</f>
        <v>0</v>
      </c>
      <c r="AB993" s="218">
        <f>INDEX('Prop. prices'!$I$164:$AB$238,MATCH($C993,'Prop. prices'!$C$164:$C$238,0),MATCH(AB$920,'Prop. prices'!$I$5:$AB$5,0))</f>
        <v>0</v>
      </c>
      <c r="AC993" s="187"/>
      <c r="AD993" s="19"/>
      <c r="AE993" s="19"/>
      <c r="AF993" s="19"/>
      <c r="AG993" s="19"/>
    </row>
    <row r="994" spans="1:33" hidden="1" outlineLevel="3" x14ac:dyDescent="0.2">
      <c r="A994" s="19"/>
      <c r="B994" s="19"/>
      <c r="C994" s="506">
        <f t="shared" si="206"/>
        <v>0</v>
      </c>
      <c r="D994" s="505">
        <f t="shared" si="206"/>
        <v>0</v>
      </c>
      <c r="E994" s="58"/>
      <c r="F994" s="223"/>
      <c r="G994" s="58"/>
      <c r="H994" s="58"/>
      <c r="I994" s="218">
        <f>INDEX('Prop. prices'!$I$164:$AB$238,MATCH($C994,'Prop. prices'!$C$164:$C$238,0),MATCH(I$920,'Prop. prices'!$I$5:$AB$5,0))</f>
        <v>0</v>
      </c>
      <c r="J994" s="218">
        <f>INDEX('Prop. prices'!$I$164:$AB$238,MATCH($C994,'Prop. prices'!$C$164:$C$238,0),MATCH(J$920,'Prop. prices'!$I$5:$AB$5,0))</f>
        <v>0</v>
      </c>
      <c r="K994" s="218">
        <f>INDEX('Prop. prices'!$I$164:$AB$238,MATCH($C994,'Prop. prices'!$C$164:$C$238,0),MATCH(K$920,'Prop. prices'!$I$5:$AB$5,0))</f>
        <v>0</v>
      </c>
      <c r="L994" s="218">
        <f>INDEX('Prop. prices'!$I$164:$AB$238,MATCH($C994,'Prop. prices'!$C$164:$C$238,0),MATCH(L$920,'Prop. prices'!$I$5:$AB$5,0))</f>
        <v>0</v>
      </c>
      <c r="M994" s="218">
        <f>INDEX('Prop. prices'!$I$164:$AB$238,MATCH($C994,'Prop. prices'!$C$164:$C$238,0),MATCH(M$920,'Prop. prices'!$I$5:$AB$5,0))</f>
        <v>0</v>
      </c>
      <c r="N994" s="218">
        <f>INDEX('Prop. prices'!$I$164:$AB$238,MATCH($C994,'Prop. prices'!$C$164:$C$238,0),MATCH(N$920,'Prop. prices'!$I$5:$AB$5,0))</f>
        <v>0</v>
      </c>
      <c r="O994" s="218">
        <f>INDEX('Prop. prices'!$I$164:$AB$238,MATCH($C994,'Prop. prices'!$C$164:$C$238,0),MATCH(O$920,'Prop. prices'!$I$5:$AB$5,0))</f>
        <v>0</v>
      </c>
      <c r="P994" s="218">
        <f>INDEX('Prop. prices'!$I$164:$AB$238,MATCH($C994,'Prop. prices'!$C$164:$C$238,0),MATCH(P$920,'Prop. prices'!$I$5:$AB$5,0))</f>
        <v>0</v>
      </c>
      <c r="Q994" s="218">
        <f>INDEX('Prop. prices'!$I$164:$AB$238,MATCH($C994,'Prop. prices'!$C$164:$C$238,0),MATCH(Q$920,'Prop. prices'!$I$5:$AB$5,0))</f>
        <v>0</v>
      </c>
      <c r="R994" s="218">
        <f>INDEX('Prop. prices'!$I$164:$AB$238,MATCH($C994,'Prop. prices'!$C$164:$C$238,0),MATCH(R$920,'Prop. prices'!$I$5:$AB$5,0))</f>
        <v>0</v>
      </c>
      <c r="S994" s="218">
        <f>INDEX('Prop. prices'!$I$164:$AB$238,MATCH($C994,'Prop. prices'!$C$164:$C$238,0),MATCH(S$920,'Prop. prices'!$I$5:$AB$5,0))</f>
        <v>0</v>
      </c>
      <c r="T994" s="218">
        <f>INDEX('Prop. prices'!$I$164:$AB$238,MATCH($C994,'Prop. prices'!$C$164:$C$238,0),MATCH(T$920,'Prop. prices'!$I$5:$AB$5,0))</f>
        <v>0</v>
      </c>
      <c r="U994" s="218">
        <f>INDEX('Prop. prices'!$I$164:$AB$238,MATCH($C994,'Prop. prices'!$C$164:$C$238,0),MATCH(U$920,'Prop. prices'!$I$5:$AB$5,0))</f>
        <v>0</v>
      </c>
      <c r="V994" s="218">
        <f>INDEX('Prop. prices'!$I$164:$AB$238,MATCH($C994,'Prop. prices'!$C$164:$C$238,0),MATCH(V$920,'Prop. prices'!$I$5:$AB$5,0))</f>
        <v>0</v>
      </c>
      <c r="W994" s="218">
        <f>INDEX('Prop. prices'!$I$164:$AB$238,MATCH($C994,'Prop. prices'!$C$164:$C$238,0),MATCH(W$920,'Prop. prices'!$I$5:$AB$5,0))</f>
        <v>0</v>
      </c>
      <c r="X994" s="218">
        <f>INDEX('Prop. prices'!$I$164:$AB$238,MATCH($C994,'Prop. prices'!$C$164:$C$238,0),MATCH(X$920,'Prop. prices'!$I$5:$AB$5,0))</f>
        <v>0</v>
      </c>
      <c r="Y994" s="218">
        <f>INDEX('Prop. prices'!$I$164:$AB$238,MATCH($C994,'Prop. prices'!$C$164:$C$238,0),MATCH(Y$920,'Prop. prices'!$I$5:$AB$5,0))</f>
        <v>0</v>
      </c>
      <c r="Z994" s="218">
        <f>INDEX('Prop. prices'!$I$164:$AB$238,MATCH($C994,'Prop. prices'!$C$164:$C$238,0),MATCH(Z$920,'Prop. prices'!$I$5:$AB$5,0))</f>
        <v>0</v>
      </c>
      <c r="AA994" s="218">
        <f>INDEX('Prop. prices'!$I$164:$AB$238,MATCH($C994,'Prop. prices'!$C$164:$C$238,0),MATCH(AA$920,'Prop. prices'!$I$5:$AB$5,0))</f>
        <v>0</v>
      </c>
      <c r="AB994" s="218">
        <f>INDEX('Prop. prices'!$I$164:$AB$238,MATCH($C994,'Prop. prices'!$C$164:$C$238,0),MATCH(AB$920,'Prop. prices'!$I$5:$AB$5,0))</f>
        <v>0</v>
      </c>
      <c r="AC994" s="187"/>
      <c r="AD994" s="19"/>
      <c r="AE994" s="19"/>
      <c r="AF994" s="19"/>
      <c r="AG994" s="19"/>
    </row>
    <row r="995" spans="1:33" hidden="1" outlineLevel="3" x14ac:dyDescent="0.2">
      <c r="A995" s="19"/>
      <c r="B995" s="19"/>
      <c r="C995" s="506">
        <f t="shared" si="206"/>
        <v>0</v>
      </c>
      <c r="D995" s="505">
        <f t="shared" si="206"/>
        <v>0</v>
      </c>
      <c r="E995" s="58"/>
      <c r="F995" s="223"/>
      <c r="G995" s="58"/>
      <c r="H995" s="58"/>
      <c r="I995" s="218">
        <f>INDEX('Prop. prices'!$I$164:$AB$238,MATCH($C995,'Prop. prices'!$C$164:$C$238,0),MATCH(I$920,'Prop. prices'!$I$5:$AB$5,0))</f>
        <v>0</v>
      </c>
      <c r="J995" s="218">
        <f>INDEX('Prop. prices'!$I$164:$AB$238,MATCH($C995,'Prop. prices'!$C$164:$C$238,0),MATCH(J$920,'Prop. prices'!$I$5:$AB$5,0))</f>
        <v>0</v>
      </c>
      <c r="K995" s="218">
        <f>INDEX('Prop. prices'!$I$164:$AB$238,MATCH($C995,'Prop. prices'!$C$164:$C$238,0),MATCH(K$920,'Prop. prices'!$I$5:$AB$5,0))</f>
        <v>0</v>
      </c>
      <c r="L995" s="218">
        <f>INDEX('Prop. prices'!$I$164:$AB$238,MATCH($C995,'Prop. prices'!$C$164:$C$238,0),MATCH(L$920,'Prop. prices'!$I$5:$AB$5,0))</f>
        <v>0</v>
      </c>
      <c r="M995" s="218">
        <f>INDEX('Prop. prices'!$I$164:$AB$238,MATCH($C995,'Prop. prices'!$C$164:$C$238,0),MATCH(M$920,'Prop. prices'!$I$5:$AB$5,0))</f>
        <v>0</v>
      </c>
      <c r="N995" s="218">
        <f>INDEX('Prop. prices'!$I$164:$AB$238,MATCH($C995,'Prop. prices'!$C$164:$C$238,0),MATCH(N$920,'Prop. prices'!$I$5:$AB$5,0))</f>
        <v>0</v>
      </c>
      <c r="O995" s="218">
        <f>INDEX('Prop. prices'!$I$164:$AB$238,MATCH($C995,'Prop. prices'!$C$164:$C$238,0),MATCH(O$920,'Prop. prices'!$I$5:$AB$5,0))</f>
        <v>0</v>
      </c>
      <c r="P995" s="218">
        <f>INDEX('Prop. prices'!$I$164:$AB$238,MATCH($C995,'Prop. prices'!$C$164:$C$238,0),MATCH(P$920,'Prop. prices'!$I$5:$AB$5,0))</f>
        <v>0</v>
      </c>
      <c r="Q995" s="218">
        <f>INDEX('Prop. prices'!$I$164:$AB$238,MATCH($C995,'Prop. prices'!$C$164:$C$238,0),MATCH(Q$920,'Prop. prices'!$I$5:$AB$5,0))</f>
        <v>0</v>
      </c>
      <c r="R995" s="218">
        <f>INDEX('Prop. prices'!$I$164:$AB$238,MATCH($C995,'Prop. prices'!$C$164:$C$238,0),MATCH(R$920,'Prop. prices'!$I$5:$AB$5,0))</f>
        <v>0</v>
      </c>
      <c r="S995" s="218">
        <f>INDEX('Prop. prices'!$I$164:$AB$238,MATCH($C995,'Prop. prices'!$C$164:$C$238,0),MATCH(S$920,'Prop. prices'!$I$5:$AB$5,0))</f>
        <v>0</v>
      </c>
      <c r="T995" s="218">
        <f>INDEX('Prop. prices'!$I$164:$AB$238,MATCH($C995,'Prop. prices'!$C$164:$C$238,0),MATCH(T$920,'Prop. prices'!$I$5:$AB$5,0))</f>
        <v>0</v>
      </c>
      <c r="U995" s="218">
        <f>INDEX('Prop. prices'!$I$164:$AB$238,MATCH($C995,'Prop. prices'!$C$164:$C$238,0),MATCH(U$920,'Prop. prices'!$I$5:$AB$5,0))</f>
        <v>0</v>
      </c>
      <c r="V995" s="218">
        <f>INDEX('Prop. prices'!$I$164:$AB$238,MATCH($C995,'Prop. prices'!$C$164:$C$238,0),MATCH(V$920,'Prop. prices'!$I$5:$AB$5,0))</f>
        <v>0</v>
      </c>
      <c r="W995" s="218">
        <f>INDEX('Prop. prices'!$I$164:$AB$238,MATCH($C995,'Prop. prices'!$C$164:$C$238,0),MATCH(W$920,'Prop. prices'!$I$5:$AB$5,0))</f>
        <v>0</v>
      </c>
      <c r="X995" s="218">
        <f>INDEX('Prop. prices'!$I$164:$AB$238,MATCH($C995,'Prop. prices'!$C$164:$C$238,0),MATCH(X$920,'Prop. prices'!$I$5:$AB$5,0))</f>
        <v>0</v>
      </c>
      <c r="Y995" s="218">
        <f>INDEX('Prop. prices'!$I$164:$AB$238,MATCH($C995,'Prop. prices'!$C$164:$C$238,0),MATCH(Y$920,'Prop. prices'!$I$5:$AB$5,0))</f>
        <v>0</v>
      </c>
      <c r="Z995" s="218">
        <f>INDEX('Prop. prices'!$I$164:$AB$238,MATCH($C995,'Prop. prices'!$C$164:$C$238,0),MATCH(Z$920,'Prop. prices'!$I$5:$AB$5,0))</f>
        <v>0</v>
      </c>
      <c r="AA995" s="218">
        <f>INDEX('Prop. prices'!$I$164:$AB$238,MATCH($C995,'Prop. prices'!$C$164:$C$238,0),MATCH(AA$920,'Prop. prices'!$I$5:$AB$5,0))</f>
        <v>0</v>
      </c>
      <c r="AB995" s="218">
        <f>INDEX('Prop. prices'!$I$164:$AB$238,MATCH($C995,'Prop. prices'!$C$164:$C$238,0),MATCH(AB$920,'Prop. prices'!$I$5:$AB$5,0))</f>
        <v>0</v>
      </c>
      <c r="AC995" s="187"/>
      <c r="AD995" s="19"/>
      <c r="AE995" s="19"/>
      <c r="AF995" s="19"/>
      <c r="AG995" s="19"/>
    </row>
    <row r="996" spans="1:33" hidden="1" outlineLevel="3" x14ac:dyDescent="0.2">
      <c r="A996" s="19"/>
      <c r="B996" s="19"/>
      <c r="C996" s="506">
        <f t="shared" si="206"/>
        <v>0</v>
      </c>
      <c r="D996" s="505">
        <f t="shared" si="206"/>
        <v>0</v>
      </c>
      <c r="E996" s="58"/>
      <c r="F996" s="223"/>
      <c r="G996" s="58"/>
      <c r="H996" s="58"/>
      <c r="I996" s="218">
        <f>INDEX('Prop. prices'!$I$164:$AB$238,MATCH($C996,'Prop. prices'!$C$164:$C$238,0),MATCH(I$920,'Prop. prices'!$I$5:$AB$5,0))</f>
        <v>0</v>
      </c>
      <c r="J996" s="218">
        <f>INDEX('Prop. prices'!$I$164:$AB$238,MATCH($C996,'Prop. prices'!$C$164:$C$238,0),MATCH(J$920,'Prop. prices'!$I$5:$AB$5,0))</f>
        <v>0</v>
      </c>
      <c r="K996" s="218">
        <f>INDEX('Prop. prices'!$I$164:$AB$238,MATCH($C996,'Prop. prices'!$C$164:$C$238,0),MATCH(K$920,'Prop. prices'!$I$5:$AB$5,0))</f>
        <v>0</v>
      </c>
      <c r="L996" s="218">
        <f>INDEX('Prop. prices'!$I$164:$AB$238,MATCH($C996,'Prop. prices'!$C$164:$C$238,0),MATCH(L$920,'Prop. prices'!$I$5:$AB$5,0))</f>
        <v>0</v>
      </c>
      <c r="M996" s="218">
        <f>INDEX('Prop. prices'!$I$164:$AB$238,MATCH($C996,'Prop. prices'!$C$164:$C$238,0),MATCH(M$920,'Prop. prices'!$I$5:$AB$5,0))</f>
        <v>0</v>
      </c>
      <c r="N996" s="218">
        <f>INDEX('Prop. prices'!$I$164:$AB$238,MATCH($C996,'Prop. prices'!$C$164:$C$238,0),MATCH(N$920,'Prop. prices'!$I$5:$AB$5,0))</f>
        <v>0</v>
      </c>
      <c r="O996" s="218">
        <f>INDEX('Prop. prices'!$I$164:$AB$238,MATCH($C996,'Prop. prices'!$C$164:$C$238,0),MATCH(O$920,'Prop. prices'!$I$5:$AB$5,0))</f>
        <v>0</v>
      </c>
      <c r="P996" s="218">
        <f>INDEX('Prop. prices'!$I$164:$AB$238,MATCH($C996,'Prop. prices'!$C$164:$C$238,0),MATCH(P$920,'Prop. prices'!$I$5:$AB$5,0))</f>
        <v>0</v>
      </c>
      <c r="Q996" s="218">
        <f>INDEX('Prop. prices'!$I$164:$AB$238,MATCH($C996,'Prop. prices'!$C$164:$C$238,0),MATCH(Q$920,'Prop. prices'!$I$5:$AB$5,0))</f>
        <v>0</v>
      </c>
      <c r="R996" s="218">
        <f>INDEX('Prop. prices'!$I$164:$AB$238,MATCH($C996,'Prop. prices'!$C$164:$C$238,0),MATCH(R$920,'Prop. prices'!$I$5:$AB$5,0))</f>
        <v>0</v>
      </c>
      <c r="S996" s="218">
        <f>INDEX('Prop. prices'!$I$164:$AB$238,MATCH($C996,'Prop. prices'!$C$164:$C$238,0),MATCH(S$920,'Prop. prices'!$I$5:$AB$5,0))</f>
        <v>0</v>
      </c>
      <c r="T996" s="218">
        <f>INDEX('Prop. prices'!$I$164:$AB$238,MATCH($C996,'Prop. prices'!$C$164:$C$238,0),MATCH(T$920,'Prop. prices'!$I$5:$AB$5,0))</f>
        <v>0</v>
      </c>
      <c r="U996" s="218">
        <f>INDEX('Prop. prices'!$I$164:$AB$238,MATCH($C996,'Prop. prices'!$C$164:$C$238,0),MATCH(U$920,'Prop. prices'!$I$5:$AB$5,0))</f>
        <v>0</v>
      </c>
      <c r="V996" s="218">
        <f>INDEX('Prop. prices'!$I$164:$AB$238,MATCH($C996,'Prop. prices'!$C$164:$C$238,0),MATCH(V$920,'Prop. prices'!$I$5:$AB$5,0))</f>
        <v>0</v>
      </c>
      <c r="W996" s="218">
        <f>INDEX('Prop. prices'!$I$164:$AB$238,MATCH($C996,'Prop. prices'!$C$164:$C$238,0),MATCH(W$920,'Prop. prices'!$I$5:$AB$5,0))</f>
        <v>0</v>
      </c>
      <c r="X996" s="218">
        <f>INDEX('Prop. prices'!$I$164:$AB$238,MATCH($C996,'Prop. prices'!$C$164:$C$238,0),MATCH(X$920,'Prop. prices'!$I$5:$AB$5,0))</f>
        <v>0</v>
      </c>
      <c r="Y996" s="218">
        <f>INDEX('Prop. prices'!$I$164:$AB$238,MATCH($C996,'Prop. prices'!$C$164:$C$238,0),MATCH(Y$920,'Prop. prices'!$I$5:$AB$5,0))</f>
        <v>0</v>
      </c>
      <c r="Z996" s="218">
        <f>INDEX('Prop. prices'!$I$164:$AB$238,MATCH($C996,'Prop. prices'!$C$164:$C$238,0),MATCH(Z$920,'Prop. prices'!$I$5:$AB$5,0))</f>
        <v>0</v>
      </c>
      <c r="AA996" s="218">
        <f>INDEX('Prop. prices'!$I$164:$AB$238,MATCH($C996,'Prop. prices'!$C$164:$C$238,0),MATCH(AA$920,'Prop. prices'!$I$5:$AB$5,0))</f>
        <v>0</v>
      </c>
      <c r="AB996" s="218">
        <f>INDEX('Prop. prices'!$I$164:$AB$238,MATCH($C996,'Prop. prices'!$C$164:$C$238,0),MATCH(AB$920,'Prop. prices'!$I$5:$AB$5,0))</f>
        <v>0</v>
      </c>
      <c r="AC996" s="187"/>
      <c r="AD996" s="19"/>
      <c r="AE996" s="19"/>
      <c r="AF996" s="19"/>
      <c r="AG996" s="19"/>
    </row>
    <row r="997" spans="1:33" hidden="1" outlineLevel="3" x14ac:dyDescent="0.2">
      <c r="A997" s="19"/>
      <c r="B997" s="19"/>
      <c r="C997" s="506">
        <f t="shared" si="206"/>
        <v>0</v>
      </c>
      <c r="D997" s="505">
        <f t="shared" si="206"/>
        <v>0</v>
      </c>
      <c r="E997" s="58"/>
      <c r="F997" s="223"/>
      <c r="G997" s="58"/>
      <c r="H997" s="58"/>
      <c r="I997" s="218">
        <f>INDEX('Prop. prices'!$I$164:$AB$238,MATCH($C997,'Prop. prices'!$C$164:$C$238,0),MATCH(I$920,'Prop. prices'!$I$5:$AB$5,0))</f>
        <v>0</v>
      </c>
      <c r="J997" s="218">
        <f>INDEX('Prop. prices'!$I$164:$AB$238,MATCH($C997,'Prop. prices'!$C$164:$C$238,0),MATCH(J$920,'Prop. prices'!$I$5:$AB$5,0))</f>
        <v>0</v>
      </c>
      <c r="K997" s="218">
        <f>INDEX('Prop. prices'!$I$164:$AB$238,MATCH($C997,'Prop. prices'!$C$164:$C$238,0),MATCH(K$920,'Prop. prices'!$I$5:$AB$5,0))</f>
        <v>0</v>
      </c>
      <c r="L997" s="218">
        <f>INDEX('Prop. prices'!$I$164:$AB$238,MATCH($C997,'Prop. prices'!$C$164:$C$238,0),MATCH(L$920,'Prop. prices'!$I$5:$AB$5,0))</f>
        <v>0</v>
      </c>
      <c r="M997" s="218">
        <f>INDEX('Prop. prices'!$I$164:$AB$238,MATCH($C997,'Prop. prices'!$C$164:$C$238,0),MATCH(M$920,'Prop. prices'!$I$5:$AB$5,0))</f>
        <v>0</v>
      </c>
      <c r="N997" s="218">
        <f>INDEX('Prop. prices'!$I$164:$AB$238,MATCH($C997,'Prop. prices'!$C$164:$C$238,0),MATCH(N$920,'Prop. prices'!$I$5:$AB$5,0))</f>
        <v>0</v>
      </c>
      <c r="O997" s="218">
        <f>INDEX('Prop. prices'!$I$164:$AB$238,MATCH($C997,'Prop. prices'!$C$164:$C$238,0),MATCH(O$920,'Prop. prices'!$I$5:$AB$5,0))</f>
        <v>0</v>
      </c>
      <c r="P997" s="218">
        <f>INDEX('Prop. prices'!$I$164:$AB$238,MATCH($C997,'Prop. prices'!$C$164:$C$238,0),MATCH(P$920,'Prop. prices'!$I$5:$AB$5,0))</f>
        <v>0</v>
      </c>
      <c r="Q997" s="218">
        <f>INDEX('Prop. prices'!$I$164:$AB$238,MATCH($C997,'Prop. prices'!$C$164:$C$238,0),MATCH(Q$920,'Prop. prices'!$I$5:$AB$5,0))</f>
        <v>0</v>
      </c>
      <c r="R997" s="218">
        <f>INDEX('Prop. prices'!$I$164:$AB$238,MATCH($C997,'Prop. prices'!$C$164:$C$238,0),MATCH(R$920,'Prop. prices'!$I$5:$AB$5,0))</f>
        <v>0</v>
      </c>
      <c r="S997" s="218">
        <f>INDEX('Prop. prices'!$I$164:$AB$238,MATCH($C997,'Prop. prices'!$C$164:$C$238,0),MATCH(S$920,'Prop. prices'!$I$5:$AB$5,0))</f>
        <v>0</v>
      </c>
      <c r="T997" s="218">
        <f>INDEX('Prop. prices'!$I$164:$AB$238,MATCH($C997,'Prop. prices'!$C$164:$C$238,0),MATCH(T$920,'Prop. prices'!$I$5:$AB$5,0))</f>
        <v>0</v>
      </c>
      <c r="U997" s="218">
        <f>INDEX('Prop. prices'!$I$164:$AB$238,MATCH($C997,'Prop. prices'!$C$164:$C$238,0),MATCH(U$920,'Prop. prices'!$I$5:$AB$5,0))</f>
        <v>0</v>
      </c>
      <c r="V997" s="218">
        <f>INDEX('Prop. prices'!$I$164:$AB$238,MATCH($C997,'Prop. prices'!$C$164:$C$238,0),MATCH(V$920,'Prop. prices'!$I$5:$AB$5,0))</f>
        <v>0</v>
      </c>
      <c r="W997" s="218">
        <f>INDEX('Prop. prices'!$I$164:$AB$238,MATCH($C997,'Prop. prices'!$C$164:$C$238,0),MATCH(W$920,'Prop. prices'!$I$5:$AB$5,0))</f>
        <v>0</v>
      </c>
      <c r="X997" s="218">
        <f>INDEX('Prop. prices'!$I$164:$AB$238,MATCH($C997,'Prop. prices'!$C$164:$C$238,0),MATCH(X$920,'Prop. prices'!$I$5:$AB$5,0))</f>
        <v>0</v>
      </c>
      <c r="Y997" s="218">
        <f>INDEX('Prop. prices'!$I$164:$AB$238,MATCH($C997,'Prop. prices'!$C$164:$C$238,0),MATCH(Y$920,'Prop. prices'!$I$5:$AB$5,0))</f>
        <v>0</v>
      </c>
      <c r="Z997" s="218">
        <f>INDEX('Prop. prices'!$I$164:$AB$238,MATCH($C997,'Prop. prices'!$C$164:$C$238,0),MATCH(Z$920,'Prop. prices'!$I$5:$AB$5,0))</f>
        <v>0</v>
      </c>
      <c r="AA997" s="218">
        <f>INDEX('Prop. prices'!$I$164:$AB$238,MATCH($C997,'Prop. prices'!$C$164:$C$238,0),MATCH(AA$920,'Prop. prices'!$I$5:$AB$5,0))</f>
        <v>0</v>
      </c>
      <c r="AB997" s="218">
        <f>INDEX('Prop. prices'!$I$164:$AB$238,MATCH($C997,'Prop. prices'!$C$164:$C$238,0),MATCH(AB$920,'Prop. prices'!$I$5:$AB$5,0))</f>
        <v>0</v>
      </c>
      <c r="AC997" s="187"/>
      <c r="AD997" s="19"/>
      <c r="AE997" s="19"/>
      <c r="AF997" s="19"/>
      <c r="AG997" s="19"/>
    </row>
    <row r="998" spans="1:33" hidden="1" outlineLevel="3" x14ac:dyDescent="0.2">
      <c r="A998" s="19"/>
      <c r="B998" s="19"/>
      <c r="C998" s="506">
        <f t="shared" si="206"/>
        <v>0</v>
      </c>
      <c r="D998" s="505">
        <f t="shared" si="206"/>
        <v>0</v>
      </c>
      <c r="E998" s="58"/>
      <c r="F998" s="223"/>
      <c r="G998" s="58"/>
      <c r="H998" s="58"/>
      <c r="I998" s="218">
        <f>INDEX('Prop. prices'!$I$164:$AB$238,MATCH($C998,'Prop. prices'!$C$164:$C$238,0),MATCH(I$920,'Prop. prices'!$I$5:$AB$5,0))</f>
        <v>0</v>
      </c>
      <c r="J998" s="218">
        <f>INDEX('Prop. prices'!$I$164:$AB$238,MATCH($C998,'Prop. prices'!$C$164:$C$238,0),MATCH(J$920,'Prop. prices'!$I$5:$AB$5,0))</f>
        <v>0</v>
      </c>
      <c r="K998" s="218">
        <f>INDEX('Prop. prices'!$I$164:$AB$238,MATCH($C998,'Prop. prices'!$C$164:$C$238,0),MATCH(K$920,'Prop. prices'!$I$5:$AB$5,0))</f>
        <v>0</v>
      </c>
      <c r="L998" s="218">
        <f>INDEX('Prop. prices'!$I$164:$AB$238,MATCH($C998,'Prop. prices'!$C$164:$C$238,0),MATCH(L$920,'Prop. prices'!$I$5:$AB$5,0))</f>
        <v>0</v>
      </c>
      <c r="M998" s="218">
        <f>INDEX('Prop. prices'!$I$164:$AB$238,MATCH($C998,'Prop. prices'!$C$164:$C$238,0),MATCH(M$920,'Prop. prices'!$I$5:$AB$5,0))</f>
        <v>0</v>
      </c>
      <c r="N998" s="218">
        <f>INDEX('Prop. prices'!$I$164:$AB$238,MATCH($C998,'Prop. prices'!$C$164:$C$238,0),MATCH(N$920,'Prop. prices'!$I$5:$AB$5,0))</f>
        <v>0</v>
      </c>
      <c r="O998" s="218">
        <f>INDEX('Prop. prices'!$I$164:$AB$238,MATCH($C998,'Prop. prices'!$C$164:$C$238,0),MATCH(O$920,'Prop. prices'!$I$5:$AB$5,0))</f>
        <v>0</v>
      </c>
      <c r="P998" s="218">
        <f>INDEX('Prop. prices'!$I$164:$AB$238,MATCH($C998,'Prop. prices'!$C$164:$C$238,0),MATCH(P$920,'Prop. prices'!$I$5:$AB$5,0))</f>
        <v>0</v>
      </c>
      <c r="Q998" s="218">
        <f>INDEX('Prop. prices'!$I$164:$AB$238,MATCH($C998,'Prop. prices'!$C$164:$C$238,0),MATCH(Q$920,'Prop. prices'!$I$5:$AB$5,0))</f>
        <v>0</v>
      </c>
      <c r="R998" s="218">
        <f>INDEX('Prop. prices'!$I$164:$AB$238,MATCH($C998,'Prop. prices'!$C$164:$C$238,0),MATCH(R$920,'Prop. prices'!$I$5:$AB$5,0))</f>
        <v>0</v>
      </c>
      <c r="S998" s="218">
        <f>INDEX('Prop. prices'!$I$164:$AB$238,MATCH($C998,'Prop. prices'!$C$164:$C$238,0),MATCH(S$920,'Prop. prices'!$I$5:$AB$5,0))</f>
        <v>0</v>
      </c>
      <c r="T998" s="218">
        <f>INDEX('Prop. prices'!$I$164:$AB$238,MATCH($C998,'Prop. prices'!$C$164:$C$238,0),MATCH(T$920,'Prop. prices'!$I$5:$AB$5,0))</f>
        <v>0</v>
      </c>
      <c r="U998" s="218">
        <f>INDEX('Prop. prices'!$I$164:$AB$238,MATCH($C998,'Prop. prices'!$C$164:$C$238,0),MATCH(U$920,'Prop. prices'!$I$5:$AB$5,0))</f>
        <v>0</v>
      </c>
      <c r="V998" s="218">
        <f>INDEX('Prop. prices'!$I$164:$AB$238,MATCH($C998,'Prop. prices'!$C$164:$C$238,0),MATCH(V$920,'Prop. prices'!$I$5:$AB$5,0))</f>
        <v>0</v>
      </c>
      <c r="W998" s="218">
        <f>INDEX('Prop. prices'!$I$164:$AB$238,MATCH($C998,'Prop. prices'!$C$164:$C$238,0),MATCH(W$920,'Prop. prices'!$I$5:$AB$5,0))</f>
        <v>0</v>
      </c>
      <c r="X998" s="218">
        <f>INDEX('Prop. prices'!$I$164:$AB$238,MATCH($C998,'Prop. prices'!$C$164:$C$238,0),MATCH(X$920,'Prop. prices'!$I$5:$AB$5,0))</f>
        <v>0</v>
      </c>
      <c r="Y998" s="218">
        <f>INDEX('Prop. prices'!$I$164:$AB$238,MATCH($C998,'Prop. prices'!$C$164:$C$238,0),MATCH(Y$920,'Prop. prices'!$I$5:$AB$5,0))</f>
        <v>0</v>
      </c>
      <c r="Z998" s="218">
        <f>INDEX('Prop. prices'!$I$164:$AB$238,MATCH($C998,'Prop. prices'!$C$164:$C$238,0),MATCH(Z$920,'Prop. prices'!$I$5:$AB$5,0))</f>
        <v>0</v>
      </c>
      <c r="AA998" s="218">
        <f>INDEX('Prop. prices'!$I$164:$AB$238,MATCH($C998,'Prop. prices'!$C$164:$C$238,0),MATCH(AA$920,'Prop. prices'!$I$5:$AB$5,0))</f>
        <v>0</v>
      </c>
      <c r="AB998" s="218">
        <f>INDEX('Prop. prices'!$I$164:$AB$238,MATCH($C998,'Prop. prices'!$C$164:$C$238,0),MATCH(AB$920,'Prop. prices'!$I$5:$AB$5,0))</f>
        <v>0</v>
      </c>
      <c r="AC998" s="187"/>
      <c r="AD998" s="19"/>
      <c r="AE998" s="19"/>
      <c r="AF998" s="19"/>
      <c r="AG998" s="19"/>
    </row>
    <row r="999" spans="1:33" hidden="1" outlineLevel="3" x14ac:dyDescent="0.2">
      <c r="A999" s="19"/>
      <c r="B999" s="19"/>
      <c r="C999" s="506">
        <f t="shared" si="206"/>
        <v>0</v>
      </c>
      <c r="D999" s="505">
        <f t="shared" si="206"/>
        <v>0</v>
      </c>
      <c r="E999" s="58"/>
      <c r="F999" s="223"/>
      <c r="G999" s="58"/>
      <c r="H999" s="58"/>
      <c r="I999" s="218">
        <f>INDEX('Prop. prices'!$I$164:$AB$238,MATCH($C999,'Prop. prices'!$C$164:$C$238,0),MATCH(I$920,'Prop. prices'!$I$5:$AB$5,0))</f>
        <v>0</v>
      </c>
      <c r="J999" s="218">
        <f>INDEX('Prop. prices'!$I$164:$AB$238,MATCH($C999,'Prop. prices'!$C$164:$C$238,0),MATCH(J$920,'Prop. prices'!$I$5:$AB$5,0))</f>
        <v>0</v>
      </c>
      <c r="K999" s="218">
        <f>INDEX('Prop. prices'!$I$164:$AB$238,MATCH($C999,'Prop. prices'!$C$164:$C$238,0),MATCH(K$920,'Prop. prices'!$I$5:$AB$5,0))</f>
        <v>0</v>
      </c>
      <c r="L999" s="218">
        <f>INDEX('Prop. prices'!$I$164:$AB$238,MATCH($C999,'Prop. prices'!$C$164:$C$238,0),MATCH(L$920,'Prop. prices'!$I$5:$AB$5,0))</f>
        <v>0</v>
      </c>
      <c r="M999" s="218">
        <f>INDEX('Prop. prices'!$I$164:$AB$238,MATCH($C999,'Prop. prices'!$C$164:$C$238,0),MATCH(M$920,'Prop. prices'!$I$5:$AB$5,0))</f>
        <v>0</v>
      </c>
      <c r="N999" s="218">
        <f>INDEX('Prop. prices'!$I$164:$AB$238,MATCH($C999,'Prop. prices'!$C$164:$C$238,0),MATCH(N$920,'Prop. prices'!$I$5:$AB$5,0))</f>
        <v>0</v>
      </c>
      <c r="O999" s="218">
        <f>INDEX('Prop. prices'!$I$164:$AB$238,MATCH($C999,'Prop. prices'!$C$164:$C$238,0),MATCH(O$920,'Prop. prices'!$I$5:$AB$5,0))</f>
        <v>0</v>
      </c>
      <c r="P999" s="218">
        <f>INDEX('Prop. prices'!$I$164:$AB$238,MATCH($C999,'Prop. prices'!$C$164:$C$238,0),MATCH(P$920,'Prop. prices'!$I$5:$AB$5,0))</f>
        <v>0</v>
      </c>
      <c r="Q999" s="218">
        <f>INDEX('Prop. prices'!$I$164:$AB$238,MATCH($C999,'Prop. prices'!$C$164:$C$238,0),MATCH(Q$920,'Prop. prices'!$I$5:$AB$5,0))</f>
        <v>0</v>
      </c>
      <c r="R999" s="218">
        <f>INDEX('Prop. prices'!$I$164:$AB$238,MATCH($C999,'Prop. prices'!$C$164:$C$238,0),MATCH(R$920,'Prop. prices'!$I$5:$AB$5,0))</f>
        <v>0</v>
      </c>
      <c r="S999" s="218">
        <f>INDEX('Prop. prices'!$I$164:$AB$238,MATCH($C999,'Prop. prices'!$C$164:$C$238,0),MATCH(S$920,'Prop. prices'!$I$5:$AB$5,0))</f>
        <v>0</v>
      </c>
      <c r="T999" s="218">
        <f>INDEX('Prop. prices'!$I$164:$AB$238,MATCH($C999,'Prop. prices'!$C$164:$C$238,0),MATCH(T$920,'Prop. prices'!$I$5:$AB$5,0))</f>
        <v>0</v>
      </c>
      <c r="U999" s="218">
        <f>INDEX('Prop. prices'!$I$164:$AB$238,MATCH($C999,'Prop. prices'!$C$164:$C$238,0),MATCH(U$920,'Prop. prices'!$I$5:$AB$5,0))</f>
        <v>0</v>
      </c>
      <c r="V999" s="218">
        <f>INDEX('Prop. prices'!$I$164:$AB$238,MATCH($C999,'Prop. prices'!$C$164:$C$238,0),MATCH(V$920,'Prop. prices'!$I$5:$AB$5,0))</f>
        <v>0</v>
      </c>
      <c r="W999" s="218">
        <f>INDEX('Prop. prices'!$I$164:$AB$238,MATCH($C999,'Prop. prices'!$C$164:$C$238,0),MATCH(W$920,'Prop. prices'!$I$5:$AB$5,0))</f>
        <v>0</v>
      </c>
      <c r="X999" s="218">
        <f>INDEX('Prop. prices'!$I$164:$AB$238,MATCH($C999,'Prop. prices'!$C$164:$C$238,0),MATCH(X$920,'Prop. prices'!$I$5:$AB$5,0))</f>
        <v>0</v>
      </c>
      <c r="Y999" s="218">
        <f>INDEX('Prop. prices'!$I$164:$AB$238,MATCH($C999,'Prop. prices'!$C$164:$C$238,0),MATCH(Y$920,'Prop. prices'!$I$5:$AB$5,0))</f>
        <v>0</v>
      </c>
      <c r="Z999" s="218">
        <f>INDEX('Prop. prices'!$I$164:$AB$238,MATCH($C999,'Prop. prices'!$C$164:$C$238,0),MATCH(Z$920,'Prop. prices'!$I$5:$AB$5,0))</f>
        <v>0</v>
      </c>
      <c r="AA999" s="218">
        <f>INDEX('Prop. prices'!$I$164:$AB$238,MATCH($C999,'Prop. prices'!$C$164:$C$238,0),MATCH(AA$920,'Prop. prices'!$I$5:$AB$5,0))</f>
        <v>0</v>
      </c>
      <c r="AB999" s="218">
        <f>INDEX('Prop. prices'!$I$164:$AB$238,MATCH($C999,'Prop. prices'!$C$164:$C$238,0),MATCH(AB$920,'Prop. prices'!$I$5:$AB$5,0))</f>
        <v>0</v>
      </c>
      <c r="AC999" s="187"/>
      <c r="AD999" s="19"/>
      <c r="AE999" s="19"/>
      <c r="AF999" s="19"/>
      <c r="AG999" s="19"/>
    </row>
    <row r="1000" spans="1:33" hidden="1" outlineLevel="3" x14ac:dyDescent="0.2">
      <c r="A1000" s="19"/>
      <c r="B1000" s="19"/>
      <c r="C1000" s="506">
        <f t="shared" si="206"/>
        <v>0</v>
      </c>
      <c r="D1000" s="505">
        <f t="shared" si="206"/>
        <v>0</v>
      </c>
      <c r="E1000" s="58"/>
      <c r="F1000" s="223"/>
      <c r="G1000" s="58"/>
      <c r="H1000" s="58"/>
      <c r="I1000" s="218">
        <f>INDEX('Prop. prices'!$I$164:$AB$238,MATCH($C1000,'Prop. prices'!$C$164:$C$238,0),MATCH(I$920,'Prop. prices'!$I$5:$AB$5,0))</f>
        <v>0</v>
      </c>
      <c r="J1000" s="218">
        <f>INDEX('Prop. prices'!$I$164:$AB$238,MATCH($C1000,'Prop. prices'!$C$164:$C$238,0),MATCH(J$920,'Prop. prices'!$I$5:$AB$5,0))</f>
        <v>0</v>
      </c>
      <c r="K1000" s="218">
        <f>INDEX('Prop. prices'!$I$164:$AB$238,MATCH($C1000,'Prop. prices'!$C$164:$C$238,0),MATCH(K$920,'Prop. prices'!$I$5:$AB$5,0))</f>
        <v>0</v>
      </c>
      <c r="L1000" s="218">
        <f>INDEX('Prop. prices'!$I$164:$AB$238,MATCH($C1000,'Prop. prices'!$C$164:$C$238,0),MATCH(L$920,'Prop. prices'!$I$5:$AB$5,0))</f>
        <v>0</v>
      </c>
      <c r="M1000" s="218">
        <f>INDEX('Prop. prices'!$I$164:$AB$238,MATCH($C1000,'Prop. prices'!$C$164:$C$238,0),MATCH(M$920,'Prop. prices'!$I$5:$AB$5,0))</f>
        <v>0</v>
      </c>
      <c r="N1000" s="218">
        <f>INDEX('Prop. prices'!$I$164:$AB$238,MATCH($C1000,'Prop. prices'!$C$164:$C$238,0),MATCH(N$920,'Prop. prices'!$I$5:$AB$5,0))</f>
        <v>0</v>
      </c>
      <c r="O1000" s="218">
        <f>INDEX('Prop. prices'!$I$164:$AB$238,MATCH($C1000,'Prop. prices'!$C$164:$C$238,0),MATCH(O$920,'Prop. prices'!$I$5:$AB$5,0))</f>
        <v>0</v>
      </c>
      <c r="P1000" s="218">
        <f>INDEX('Prop. prices'!$I$164:$AB$238,MATCH($C1000,'Prop. prices'!$C$164:$C$238,0),MATCH(P$920,'Prop. prices'!$I$5:$AB$5,0))</f>
        <v>0</v>
      </c>
      <c r="Q1000" s="218">
        <f>INDEX('Prop. prices'!$I$164:$AB$238,MATCH($C1000,'Prop. prices'!$C$164:$C$238,0),MATCH(Q$920,'Prop. prices'!$I$5:$AB$5,0))</f>
        <v>0</v>
      </c>
      <c r="R1000" s="218">
        <f>INDEX('Prop. prices'!$I$164:$AB$238,MATCH($C1000,'Prop. prices'!$C$164:$C$238,0),MATCH(R$920,'Prop. prices'!$I$5:$AB$5,0))</f>
        <v>0</v>
      </c>
      <c r="S1000" s="218">
        <f>INDEX('Prop. prices'!$I$164:$AB$238,MATCH($C1000,'Prop. prices'!$C$164:$C$238,0),MATCH(S$920,'Prop. prices'!$I$5:$AB$5,0))</f>
        <v>0</v>
      </c>
      <c r="T1000" s="218">
        <f>INDEX('Prop. prices'!$I$164:$AB$238,MATCH($C1000,'Prop. prices'!$C$164:$C$238,0),MATCH(T$920,'Prop. prices'!$I$5:$AB$5,0))</f>
        <v>0</v>
      </c>
      <c r="U1000" s="218">
        <f>INDEX('Prop. prices'!$I$164:$AB$238,MATCH($C1000,'Prop. prices'!$C$164:$C$238,0),MATCH(U$920,'Prop. prices'!$I$5:$AB$5,0))</f>
        <v>0</v>
      </c>
      <c r="V1000" s="218">
        <f>INDEX('Prop. prices'!$I$164:$AB$238,MATCH($C1000,'Prop. prices'!$C$164:$C$238,0),MATCH(V$920,'Prop. prices'!$I$5:$AB$5,0))</f>
        <v>0</v>
      </c>
      <c r="W1000" s="218">
        <f>INDEX('Prop. prices'!$I$164:$AB$238,MATCH($C1000,'Prop. prices'!$C$164:$C$238,0),MATCH(W$920,'Prop. prices'!$I$5:$AB$5,0))</f>
        <v>0</v>
      </c>
      <c r="X1000" s="218">
        <f>INDEX('Prop. prices'!$I$164:$AB$238,MATCH($C1000,'Prop. prices'!$C$164:$C$238,0),MATCH(X$920,'Prop. prices'!$I$5:$AB$5,0))</f>
        <v>0</v>
      </c>
      <c r="Y1000" s="218">
        <f>INDEX('Prop. prices'!$I$164:$AB$238,MATCH($C1000,'Prop. prices'!$C$164:$C$238,0),MATCH(Y$920,'Prop. prices'!$I$5:$AB$5,0))</f>
        <v>0</v>
      </c>
      <c r="Z1000" s="218">
        <f>INDEX('Prop. prices'!$I$164:$AB$238,MATCH($C1000,'Prop. prices'!$C$164:$C$238,0),MATCH(Z$920,'Prop. prices'!$I$5:$AB$5,0))</f>
        <v>0</v>
      </c>
      <c r="AA1000" s="218">
        <f>INDEX('Prop. prices'!$I$164:$AB$238,MATCH($C1000,'Prop. prices'!$C$164:$C$238,0),MATCH(AA$920,'Prop. prices'!$I$5:$AB$5,0))</f>
        <v>0</v>
      </c>
      <c r="AB1000" s="218">
        <f>INDEX('Prop. prices'!$I$164:$AB$238,MATCH($C1000,'Prop. prices'!$C$164:$C$238,0),MATCH(AB$920,'Prop. prices'!$I$5:$AB$5,0))</f>
        <v>0</v>
      </c>
      <c r="AC1000" s="187"/>
      <c r="AD1000" s="19"/>
      <c r="AE1000" s="19"/>
      <c r="AF1000" s="19"/>
      <c r="AG1000" s="19"/>
    </row>
    <row r="1001" spans="1:33" hidden="1" outlineLevel="3" x14ac:dyDescent="0.2">
      <c r="A1001" s="19"/>
      <c r="B1001" s="19"/>
      <c r="C1001" s="506">
        <f t="shared" si="206"/>
        <v>0</v>
      </c>
      <c r="D1001" s="505">
        <f t="shared" si="206"/>
        <v>0</v>
      </c>
      <c r="E1001" s="58"/>
      <c r="F1001" s="223"/>
      <c r="G1001" s="58"/>
      <c r="H1001" s="58"/>
      <c r="I1001" s="218">
        <f>INDEX('Prop. prices'!$I$164:$AB$238,MATCH($C1001,'Prop. prices'!$C$164:$C$238,0),MATCH(I$920,'Prop. prices'!$I$5:$AB$5,0))</f>
        <v>0</v>
      </c>
      <c r="J1001" s="218">
        <f>INDEX('Prop. prices'!$I$164:$AB$238,MATCH($C1001,'Prop. prices'!$C$164:$C$238,0),MATCH(J$920,'Prop. prices'!$I$5:$AB$5,0))</f>
        <v>0</v>
      </c>
      <c r="K1001" s="218">
        <f>INDEX('Prop. prices'!$I$164:$AB$238,MATCH($C1001,'Prop. prices'!$C$164:$C$238,0),MATCH(K$920,'Prop. prices'!$I$5:$AB$5,0))</f>
        <v>0</v>
      </c>
      <c r="L1001" s="218">
        <f>INDEX('Prop. prices'!$I$164:$AB$238,MATCH($C1001,'Prop. prices'!$C$164:$C$238,0),MATCH(L$920,'Prop. prices'!$I$5:$AB$5,0))</f>
        <v>0</v>
      </c>
      <c r="M1001" s="218">
        <f>INDEX('Prop. prices'!$I$164:$AB$238,MATCH($C1001,'Prop. prices'!$C$164:$C$238,0),MATCH(M$920,'Prop. prices'!$I$5:$AB$5,0))</f>
        <v>0</v>
      </c>
      <c r="N1001" s="218">
        <f>INDEX('Prop. prices'!$I$164:$AB$238,MATCH($C1001,'Prop. prices'!$C$164:$C$238,0),MATCH(N$920,'Prop. prices'!$I$5:$AB$5,0))</f>
        <v>0</v>
      </c>
      <c r="O1001" s="218">
        <f>INDEX('Prop. prices'!$I$164:$AB$238,MATCH($C1001,'Prop. prices'!$C$164:$C$238,0),MATCH(O$920,'Prop. prices'!$I$5:$AB$5,0))</f>
        <v>0</v>
      </c>
      <c r="P1001" s="218">
        <f>INDEX('Prop. prices'!$I$164:$AB$238,MATCH($C1001,'Prop. prices'!$C$164:$C$238,0),MATCH(P$920,'Prop. prices'!$I$5:$AB$5,0))</f>
        <v>0</v>
      </c>
      <c r="Q1001" s="218">
        <f>INDEX('Prop. prices'!$I$164:$AB$238,MATCH($C1001,'Prop. prices'!$C$164:$C$238,0),MATCH(Q$920,'Prop. prices'!$I$5:$AB$5,0))</f>
        <v>0</v>
      </c>
      <c r="R1001" s="218">
        <f>INDEX('Prop. prices'!$I$164:$AB$238,MATCH($C1001,'Prop. prices'!$C$164:$C$238,0),MATCH(R$920,'Prop. prices'!$I$5:$AB$5,0))</f>
        <v>0</v>
      </c>
      <c r="S1001" s="218">
        <f>INDEX('Prop. prices'!$I$164:$AB$238,MATCH($C1001,'Prop. prices'!$C$164:$C$238,0),MATCH(S$920,'Prop. prices'!$I$5:$AB$5,0))</f>
        <v>0</v>
      </c>
      <c r="T1001" s="218">
        <f>INDEX('Prop. prices'!$I$164:$AB$238,MATCH($C1001,'Prop. prices'!$C$164:$C$238,0),MATCH(T$920,'Prop. prices'!$I$5:$AB$5,0))</f>
        <v>0</v>
      </c>
      <c r="U1001" s="218">
        <f>INDEX('Prop. prices'!$I$164:$AB$238,MATCH($C1001,'Prop. prices'!$C$164:$C$238,0),MATCH(U$920,'Prop. prices'!$I$5:$AB$5,0))</f>
        <v>0</v>
      </c>
      <c r="V1001" s="218">
        <f>INDEX('Prop. prices'!$I$164:$AB$238,MATCH($C1001,'Prop. prices'!$C$164:$C$238,0),MATCH(V$920,'Prop. prices'!$I$5:$AB$5,0))</f>
        <v>0</v>
      </c>
      <c r="W1001" s="218">
        <f>INDEX('Prop. prices'!$I$164:$AB$238,MATCH($C1001,'Prop. prices'!$C$164:$C$238,0),MATCH(W$920,'Prop. prices'!$I$5:$AB$5,0))</f>
        <v>0</v>
      </c>
      <c r="X1001" s="218">
        <f>INDEX('Prop. prices'!$I$164:$AB$238,MATCH($C1001,'Prop. prices'!$C$164:$C$238,0),MATCH(X$920,'Prop. prices'!$I$5:$AB$5,0))</f>
        <v>0</v>
      </c>
      <c r="Y1001" s="218">
        <f>INDEX('Prop. prices'!$I$164:$AB$238,MATCH($C1001,'Prop. prices'!$C$164:$C$238,0),MATCH(Y$920,'Prop. prices'!$I$5:$AB$5,0))</f>
        <v>0</v>
      </c>
      <c r="Z1001" s="218">
        <f>INDEX('Prop. prices'!$I$164:$AB$238,MATCH($C1001,'Prop. prices'!$C$164:$C$238,0),MATCH(Z$920,'Prop. prices'!$I$5:$AB$5,0))</f>
        <v>0</v>
      </c>
      <c r="AA1001" s="218">
        <f>INDEX('Prop. prices'!$I$164:$AB$238,MATCH($C1001,'Prop. prices'!$C$164:$C$238,0),MATCH(AA$920,'Prop. prices'!$I$5:$AB$5,0))</f>
        <v>0</v>
      </c>
      <c r="AB1001" s="218">
        <f>INDEX('Prop. prices'!$I$164:$AB$238,MATCH($C1001,'Prop. prices'!$C$164:$C$238,0),MATCH(AB$920,'Prop. prices'!$I$5:$AB$5,0))</f>
        <v>0</v>
      </c>
      <c r="AC1001" s="187"/>
      <c r="AD1001" s="19"/>
      <c r="AE1001" s="19"/>
      <c r="AF1001" s="19"/>
      <c r="AG1001" s="19"/>
    </row>
    <row r="1002" spans="1:33" hidden="1" outlineLevel="3" x14ac:dyDescent="0.2">
      <c r="A1002" s="19"/>
      <c r="B1002" s="19"/>
      <c r="C1002" s="506">
        <f t="shared" si="206"/>
        <v>0</v>
      </c>
      <c r="D1002" s="505">
        <f t="shared" si="206"/>
        <v>0</v>
      </c>
      <c r="E1002" s="58"/>
      <c r="F1002" s="223"/>
      <c r="G1002" s="58"/>
      <c r="H1002" s="58"/>
      <c r="I1002" s="218">
        <f>INDEX('Prop. prices'!$I$164:$AB$238,MATCH($C1002,'Prop. prices'!$C$164:$C$238,0),MATCH(I$920,'Prop. prices'!$I$5:$AB$5,0))</f>
        <v>0</v>
      </c>
      <c r="J1002" s="218">
        <f>INDEX('Prop. prices'!$I$164:$AB$238,MATCH($C1002,'Prop. prices'!$C$164:$C$238,0),MATCH(J$920,'Prop. prices'!$I$5:$AB$5,0))</f>
        <v>0</v>
      </c>
      <c r="K1002" s="218">
        <f>INDEX('Prop. prices'!$I$164:$AB$238,MATCH($C1002,'Prop. prices'!$C$164:$C$238,0),MATCH(K$920,'Prop. prices'!$I$5:$AB$5,0))</f>
        <v>0</v>
      </c>
      <c r="L1002" s="218">
        <f>INDEX('Prop. prices'!$I$164:$AB$238,MATCH($C1002,'Prop. prices'!$C$164:$C$238,0),MATCH(L$920,'Prop. prices'!$I$5:$AB$5,0))</f>
        <v>0</v>
      </c>
      <c r="M1002" s="218">
        <f>INDEX('Prop. prices'!$I$164:$AB$238,MATCH($C1002,'Prop. prices'!$C$164:$C$238,0),MATCH(M$920,'Prop. prices'!$I$5:$AB$5,0))</f>
        <v>0</v>
      </c>
      <c r="N1002" s="218">
        <f>INDEX('Prop. prices'!$I$164:$AB$238,MATCH($C1002,'Prop. prices'!$C$164:$C$238,0),MATCH(N$920,'Prop. prices'!$I$5:$AB$5,0))</f>
        <v>0</v>
      </c>
      <c r="O1002" s="218">
        <f>INDEX('Prop. prices'!$I$164:$AB$238,MATCH($C1002,'Prop. prices'!$C$164:$C$238,0),MATCH(O$920,'Prop. prices'!$I$5:$AB$5,0))</f>
        <v>0</v>
      </c>
      <c r="P1002" s="218">
        <f>INDEX('Prop. prices'!$I$164:$AB$238,MATCH($C1002,'Prop. prices'!$C$164:$C$238,0),MATCH(P$920,'Prop. prices'!$I$5:$AB$5,0))</f>
        <v>0</v>
      </c>
      <c r="Q1002" s="218">
        <f>INDEX('Prop. prices'!$I$164:$AB$238,MATCH($C1002,'Prop. prices'!$C$164:$C$238,0),MATCH(Q$920,'Prop. prices'!$I$5:$AB$5,0))</f>
        <v>0</v>
      </c>
      <c r="R1002" s="218">
        <f>INDEX('Prop. prices'!$I$164:$AB$238,MATCH($C1002,'Prop. prices'!$C$164:$C$238,0),MATCH(R$920,'Prop. prices'!$I$5:$AB$5,0))</f>
        <v>0</v>
      </c>
      <c r="S1002" s="218">
        <f>INDEX('Prop. prices'!$I$164:$AB$238,MATCH($C1002,'Prop. prices'!$C$164:$C$238,0),MATCH(S$920,'Prop. prices'!$I$5:$AB$5,0))</f>
        <v>0</v>
      </c>
      <c r="T1002" s="218">
        <f>INDEX('Prop. prices'!$I$164:$AB$238,MATCH($C1002,'Prop. prices'!$C$164:$C$238,0),MATCH(T$920,'Prop. prices'!$I$5:$AB$5,0))</f>
        <v>0</v>
      </c>
      <c r="U1002" s="218">
        <f>INDEX('Prop. prices'!$I$164:$AB$238,MATCH($C1002,'Prop. prices'!$C$164:$C$238,0),MATCH(U$920,'Prop. prices'!$I$5:$AB$5,0))</f>
        <v>0</v>
      </c>
      <c r="V1002" s="218">
        <f>INDEX('Prop. prices'!$I$164:$AB$238,MATCH($C1002,'Prop. prices'!$C$164:$C$238,0),MATCH(V$920,'Prop. prices'!$I$5:$AB$5,0))</f>
        <v>0</v>
      </c>
      <c r="W1002" s="218">
        <f>INDEX('Prop. prices'!$I$164:$AB$238,MATCH($C1002,'Prop. prices'!$C$164:$C$238,0),MATCH(W$920,'Prop. prices'!$I$5:$AB$5,0))</f>
        <v>0</v>
      </c>
      <c r="X1002" s="218">
        <f>INDEX('Prop. prices'!$I$164:$AB$238,MATCH($C1002,'Prop. prices'!$C$164:$C$238,0),MATCH(X$920,'Prop. prices'!$I$5:$AB$5,0))</f>
        <v>0</v>
      </c>
      <c r="Y1002" s="218">
        <f>INDEX('Prop. prices'!$I$164:$AB$238,MATCH($C1002,'Prop. prices'!$C$164:$C$238,0),MATCH(Y$920,'Prop. prices'!$I$5:$AB$5,0))</f>
        <v>0</v>
      </c>
      <c r="Z1002" s="218">
        <f>INDEX('Prop. prices'!$I$164:$AB$238,MATCH($C1002,'Prop. prices'!$C$164:$C$238,0),MATCH(Z$920,'Prop. prices'!$I$5:$AB$5,0))</f>
        <v>0</v>
      </c>
      <c r="AA1002" s="218">
        <f>INDEX('Prop. prices'!$I$164:$AB$238,MATCH($C1002,'Prop. prices'!$C$164:$C$238,0),MATCH(AA$920,'Prop. prices'!$I$5:$AB$5,0))</f>
        <v>0</v>
      </c>
      <c r="AB1002" s="218">
        <f>INDEX('Prop. prices'!$I$164:$AB$238,MATCH($C1002,'Prop. prices'!$C$164:$C$238,0),MATCH(AB$920,'Prop. prices'!$I$5:$AB$5,0))</f>
        <v>0</v>
      </c>
      <c r="AC1002" s="187"/>
      <c r="AD1002" s="19"/>
      <c r="AE1002" s="19"/>
      <c r="AF1002" s="19"/>
      <c r="AG1002" s="19"/>
    </row>
    <row r="1003" spans="1:33" hidden="1" outlineLevel="3" x14ac:dyDescent="0.2">
      <c r="A1003" s="19"/>
      <c r="B1003" s="19"/>
      <c r="C1003" s="506">
        <f t="shared" si="206"/>
        <v>0</v>
      </c>
      <c r="D1003" s="505">
        <f t="shared" si="206"/>
        <v>0</v>
      </c>
      <c r="E1003" s="58"/>
      <c r="F1003" s="223"/>
      <c r="G1003" s="58"/>
      <c r="H1003" s="58"/>
      <c r="I1003" s="218">
        <f>INDEX('Prop. prices'!$I$164:$AB$238,MATCH($C1003,'Prop. prices'!$C$164:$C$238,0),MATCH(I$920,'Prop. prices'!$I$5:$AB$5,0))</f>
        <v>0</v>
      </c>
      <c r="J1003" s="218">
        <f>INDEX('Prop. prices'!$I$164:$AB$238,MATCH($C1003,'Prop. prices'!$C$164:$C$238,0),MATCH(J$920,'Prop. prices'!$I$5:$AB$5,0))</f>
        <v>0</v>
      </c>
      <c r="K1003" s="218">
        <f>INDEX('Prop. prices'!$I$164:$AB$238,MATCH($C1003,'Prop. prices'!$C$164:$C$238,0),MATCH(K$920,'Prop. prices'!$I$5:$AB$5,0))</f>
        <v>0</v>
      </c>
      <c r="L1003" s="218">
        <f>INDEX('Prop. prices'!$I$164:$AB$238,MATCH($C1003,'Prop. prices'!$C$164:$C$238,0),MATCH(L$920,'Prop. prices'!$I$5:$AB$5,0))</f>
        <v>0</v>
      </c>
      <c r="M1003" s="218">
        <f>INDEX('Prop. prices'!$I$164:$AB$238,MATCH($C1003,'Prop. prices'!$C$164:$C$238,0),MATCH(M$920,'Prop. prices'!$I$5:$AB$5,0))</f>
        <v>0</v>
      </c>
      <c r="N1003" s="218">
        <f>INDEX('Prop. prices'!$I$164:$AB$238,MATCH($C1003,'Prop. prices'!$C$164:$C$238,0),MATCH(N$920,'Prop. prices'!$I$5:$AB$5,0))</f>
        <v>0</v>
      </c>
      <c r="O1003" s="218">
        <f>INDEX('Prop. prices'!$I$164:$AB$238,MATCH($C1003,'Prop. prices'!$C$164:$C$238,0),MATCH(O$920,'Prop. prices'!$I$5:$AB$5,0))</f>
        <v>0</v>
      </c>
      <c r="P1003" s="218">
        <f>INDEX('Prop. prices'!$I$164:$AB$238,MATCH($C1003,'Prop. prices'!$C$164:$C$238,0),MATCH(P$920,'Prop. prices'!$I$5:$AB$5,0))</f>
        <v>0</v>
      </c>
      <c r="Q1003" s="218">
        <f>INDEX('Prop. prices'!$I$164:$AB$238,MATCH($C1003,'Prop. prices'!$C$164:$C$238,0),MATCH(Q$920,'Prop. prices'!$I$5:$AB$5,0))</f>
        <v>0</v>
      </c>
      <c r="R1003" s="218">
        <f>INDEX('Prop. prices'!$I$164:$AB$238,MATCH($C1003,'Prop. prices'!$C$164:$C$238,0),MATCH(R$920,'Prop. prices'!$I$5:$AB$5,0))</f>
        <v>0</v>
      </c>
      <c r="S1003" s="218">
        <f>INDEX('Prop. prices'!$I$164:$AB$238,MATCH($C1003,'Prop. prices'!$C$164:$C$238,0),MATCH(S$920,'Prop. prices'!$I$5:$AB$5,0))</f>
        <v>0</v>
      </c>
      <c r="T1003" s="218">
        <f>INDEX('Prop. prices'!$I$164:$AB$238,MATCH($C1003,'Prop. prices'!$C$164:$C$238,0),MATCH(T$920,'Prop. prices'!$I$5:$AB$5,0))</f>
        <v>0</v>
      </c>
      <c r="U1003" s="218">
        <f>INDEX('Prop. prices'!$I$164:$AB$238,MATCH($C1003,'Prop. prices'!$C$164:$C$238,0),MATCH(U$920,'Prop. prices'!$I$5:$AB$5,0))</f>
        <v>0</v>
      </c>
      <c r="V1003" s="218">
        <f>INDEX('Prop. prices'!$I$164:$AB$238,MATCH($C1003,'Prop. prices'!$C$164:$C$238,0),MATCH(V$920,'Prop. prices'!$I$5:$AB$5,0))</f>
        <v>0</v>
      </c>
      <c r="W1003" s="218">
        <f>INDEX('Prop. prices'!$I$164:$AB$238,MATCH($C1003,'Prop. prices'!$C$164:$C$238,0),MATCH(W$920,'Prop. prices'!$I$5:$AB$5,0))</f>
        <v>0</v>
      </c>
      <c r="X1003" s="218">
        <f>INDEX('Prop. prices'!$I$164:$AB$238,MATCH($C1003,'Prop. prices'!$C$164:$C$238,0),MATCH(X$920,'Prop. prices'!$I$5:$AB$5,0))</f>
        <v>0</v>
      </c>
      <c r="Y1003" s="218">
        <f>INDEX('Prop. prices'!$I$164:$AB$238,MATCH($C1003,'Prop. prices'!$C$164:$C$238,0),MATCH(Y$920,'Prop. prices'!$I$5:$AB$5,0))</f>
        <v>0</v>
      </c>
      <c r="Z1003" s="218">
        <f>INDEX('Prop. prices'!$I$164:$AB$238,MATCH($C1003,'Prop. prices'!$C$164:$C$238,0),MATCH(Z$920,'Prop. prices'!$I$5:$AB$5,0))</f>
        <v>0</v>
      </c>
      <c r="AA1003" s="218">
        <f>INDEX('Prop. prices'!$I$164:$AB$238,MATCH($C1003,'Prop. prices'!$C$164:$C$238,0),MATCH(AA$920,'Prop. prices'!$I$5:$AB$5,0))</f>
        <v>0</v>
      </c>
      <c r="AB1003" s="218">
        <f>INDEX('Prop. prices'!$I$164:$AB$238,MATCH($C1003,'Prop. prices'!$C$164:$C$238,0),MATCH(AB$920,'Prop. prices'!$I$5:$AB$5,0))</f>
        <v>0</v>
      </c>
      <c r="AC1003" s="187"/>
      <c r="AD1003" s="19"/>
      <c r="AE1003" s="19"/>
      <c r="AF1003" s="19"/>
      <c r="AG1003" s="19"/>
    </row>
    <row r="1004" spans="1:33" hidden="1" outlineLevel="3" x14ac:dyDescent="0.2">
      <c r="A1004" s="19"/>
      <c r="B1004" s="19"/>
      <c r="C1004" s="506">
        <f t="shared" si="206"/>
        <v>0</v>
      </c>
      <c r="D1004" s="505">
        <f t="shared" si="206"/>
        <v>0</v>
      </c>
      <c r="E1004" s="58"/>
      <c r="F1004" s="223"/>
      <c r="G1004" s="58"/>
      <c r="H1004" s="58"/>
      <c r="I1004" s="218">
        <f>INDEX('Prop. prices'!$I$164:$AB$238,MATCH($C1004,'Prop. prices'!$C$164:$C$238,0),MATCH(I$920,'Prop. prices'!$I$5:$AB$5,0))</f>
        <v>0</v>
      </c>
      <c r="J1004" s="218">
        <f>INDEX('Prop. prices'!$I$164:$AB$238,MATCH($C1004,'Prop. prices'!$C$164:$C$238,0),MATCH(J$920,'Prop. prices'!$I$5:$AB$5,0))</f>
        <v>0</v>
      </c>
      <c r="K1004" s="218">
        <f>INDEX('Prop. prices'!$I$164:$AB$238,MATCH($C1004,'Prop. prices'!$C$164:$C$238,0),MATCH(K$920,'Prop. prices'!$I$5:$AB$5,0))</f>
        <v>0</v>
      </c>
      <c r="L1004" s="218">
        <f>INDEX('Prop. prices'!$I$164:$AB$238,MATCH($C1004,'Prop. prices'!$C$164:$C$238,0),MATCH(L$920,'Prop. prices'!$I$5:$AB$5,0))</f>
        <v>0</v>
      </c>
      <c r="M1004" s="218">
        <f>INDEX('Prop. prices'!$I$164:$AB$238,MATCH($C1004,'Prop. prices'!$C$164:$C$238,0),MATCH(M$920,'Prop. prices'!$I$5:$AB$5,0))</f>
        <v>0</v>
      </c>
      <c r="N1004" s="218">
        <f>INDEX('Prop. prices'!$I$164:$AB$238,MATCH($C1004,'Prop. prices'!$C$164:$C$238,0),MATCH(N$920,'Prop. prices'!$I$5:$AB$5,0))</f>
        <v>0</v>
      </c>
      <c r="O1004" s="218">
        <f>INDEX('Prop. prices'!$I$164:$AB$238,MATCH($C1004,'Prop. prices'!$C$164:$C$238,0),MATCH(O$920,'Prop. prices'!$I$5:$AB$5,0))</f>
        <v>0</v>
      </c>
      <c r="P1004" s="218">
        <f>INDEX('Prop. prices'!$I$164:$AB$238,MATCH($C1004,'Prop. prices'!$C$164:$C$238,0),MATCH(P$920,'Prop. prices'!$I$5:$AB$5,0))</f>
        <v>0</v>
      </c>
      <c r="Q1004" s="218">
        <f>INDEX('Prop. prices'!$I$164:$AB$238,MATCH($C1004,'Prop. prices'!$C$164:$C$238,0),MATCH(Q$920,'Prop. prices'!$I$5:$AB$5,0))</f>
        <v>0</v>
      </c>
      <c r="R1004" s="218">
        <f>INDEX('Prop. prices'!$I$164:$AB$238,MATCH($C1004,'Prop. prices'!$C$164:$C$238,0),MATCH(R$920,'Prop. prices'!$I$5:$AB$5,0))</f>
        <v>0</v>
      </c>
      <c r="S1004" s="218">
        <f>INDEX('Prop. prices'!$I$164:$AB$238,MATCH($C1004,'Prop. prices'!$C$164:$C$238,0),MATCH(S$920,'Prop. prices'!$I$5:$AB$5,0))</f>
        <v>0</v>
      </c>
      <c r="T1004" s="218">
        <f>INDEX('Prop. prices'!$I$164:$AB$238,MATCH($C1004,'Prop. prices'!$C$164:$C$238,0),MATCH(T$920,'Prop. prices'!$I$5:$AB$5,0))</f>
        <v>0</v>
      </c>
      <c r="U1004" s="218">
        <f>INDEX('Prop. prices'!$I$164:$AB$238,MATCH($C1004,'Prop. prices'!$C$164:$C$238,0),MATCH(U$920,'Prop. prices'!$I$5:$AB$5,0))</f>
        <v>0</v>
      </c>
      <c r="V1004" s="218">
        <f>INDEX('Prop. prices'!$I$164:$AB$238,MATCH($C1004,'Prop. prices'!$C$164:$C$238,0),MATCH(V$920,'Prop. prices'!$I$5:$AB$5,0))</f>
        <v>0</v>
      </c>
      <c r="W1004" s="218">
        <f>INDEX('Prop. prices'!$I$164:$AB$238,MATCH($C1004,'Prop. prices'!$C$164:$C$238,0),MATCH(W$920,'Prop. prices'!$I$5:$AB$5,0))</f>
        <v>0</v>
      </c>
      <c r="X1004" s="218">
        <f>INDEX('Prop. prices'!$I$164:$AB$238,MATCH($C1004,'Prop. prices'!$C$164:$C$238,0),MATCH(X$920,'Prop. prices'!$I$5:$AB$5,0))</f>
        <v>0</v>
      </c>
      <c r="Y1004" s="218">
        <f>INDEX('Prop. prices'!$I$164:$AB$238,MATCH($C1004,'Prop. prices'!$C$164:$C$238,0),MATCH(Y$920,'Prop. prices'!$I$5:$AB$5,0))</f>
        <v>0</v>
      </c>
      <c r="Z1004" s="218">
        <f>INDEX('Prop. prices'!$I$164:$AB$238,MATCH($C1004,'Prop. prices'!$C$164:$C$238,0),MATCH(Z$920,'Prop. prices'!$I$5:$AB$5,0))</f>
        <v>0</v>
      </c>
      <c r="AA1004" s="218">
        <f>INDEX('Prop. prices'!$I$164:$AB$238,MATCH($C1004,'Prop. prices'!$C$164:$C$238,0),MATCH(AA$920,'Prop. prices'!$I$5:$AB$5,0))</f>
        <v>0</v>
      </c>
      <c r="AB1004" s="218">
        <f>INDEX('Prop. prices'!$I$164:$AB$238,MATCH($C1004,'Prop. prices'!$C$164:$C$238,0),MATCH(AB$920,'Prop. prices'!$I$5:$AB$5,0))</f>
        <v>0</v>
      </c>
      <c r="AC1004" s="187"/>
      <c r="AD1004" s="19"/>
      <c r="AE1004" s="19"/>
      <c r="AF1004" s="19"/>
      <c r="AG1004" s="19"/>
    </row>
    <row r="1005" spans="1:33" hidden="1" outlineLevel="3" x14ac:dyDescent="0.2">
      <c r="A1005" s="19"/>
      <c r="B1005" s="19"/>
      <c r="C1005" s="506">
        <f t="shared" si="206"/>
        <v>0</v>
      </c>
      <c r="D1005" s="505">
        <f t="shared" si="206"/>
        <v>0</v>
      </c>
      <c r="E1005" s="58"/>
      <c r="F1005" s="223"/>
      <c r="G1005" s="58"/>
      <c r="H1005" s="58"/>
      <c r="I1005" s="218">
        <f>INDEX('Prop. prices'!$I$164:$AB$238,MATCH($C1005,'Prop. prices'!$C$164:$C$238,0),MATCH(I$920,'Prop. prices'!$I$5:$AB$5,0))</f>
        <v>0</v>
      </c>
      <c r="J1005" s="218">
        <f>INDEX('Prop. prices'!$I$164:$AB$238,MATCH($C1005,'Prop. prices'!$C$164:$C$238,0),MATCH(J$920,'Prop. prices'!$I$5:$AB$5,0))</f>
        <v>0</v>
      </c>
      <c r="K1005" s="218">
        <f>INDEX('Prop. prices'!$I$164:$AB$238,MATCH($C1005,'Prop. prices'!$C$164:$C$238,0),MATCH(K$920,'Prop. prices'!$I$5:$AB$5,0))</f>
        <v>0</v>
      </c>
      <c r="L1005" s="218">
        <f>INDEX('Prop. prices'!$I$164:$AB$238,MATCH($C1005,'Prop. prices'!$C$164:$C$238,0),MATCH(L$920,'Prop. prices'!$I$5:$AB$5,0))</f>
        <v>0</v>
      </c>
      <c r="M1005" s="218">
        <f>INDEX('Prop. prices'!$I$164:$AB$238,MATCH($C1005,'Prop. prices'!$C$164:$C$238,0),MATCH(M$920,'Prop. prices'!$I$5:$AB$5,0))</f>
        <v>0</v>
      </c>
      <c r="N1005" s="218">
        <f>INDEX('Prop. prices'!$I$164:$AB$238,MATCH($C1005,'Prop. prices'!$C$164:$C$238,0),MATCH(N$920,'Prop. prices'!$I$5:$AB$5,0))</f>
        <v>0</v>
      </c>
      <c r="O1005" s="218">
        <f>INDEX('Prop. prices'!$I$164:$AB$238,MATCH($C1005,'Prop. prices'!$C$164:$C$238,0),MATCH(O$920,'Prop. prices'!$I$5:$AB$5,0))</f>
        <v>0</v>
      </c>
      <c r="P1005" s="218">
        <f>INDEX('Prop. prices'!$I$164:$AB$238,MATCH($C1005,'Prop. prices'!$C$164:$C$238,0),MATCH(P$920,'Prop. prices'!$I$5:$AB$5,0))</f>
        <v>0</v>
      </c>
      <c r="Q1005" s="218">
        <f>INDEX('Prop. prices'!$I$164:$AB$238,MATCH($C1005,'Prop. prices'!$C$164:$C$238,0),MATCH(Q$920,'Prop. prices'!$I$5:$AB$5,0))</f>
        <v>0</v>
      </c>
      <c r="R1005" s="218">
        <f>INDEX('Prop. prices'!$I$164:$AB$238,MATCH($C1005,'Prop. prices'!$C$164:$C$238,0),MATCH(R$920,'Prop. prices'!$I$5:$AB$5,0))</f>
        <v>0</v>
      </c>
      <c r="S1005" s="218">
        <f>INDEX('Prop. prices'!$I$164:$AB$238,MATCH($C1005,'Prop. prices'!$C$164:$C$238,0),MATCH(S$920,'Prop. prices'!$I$5:$AB$5,0))</f>
        <v>0</v>
      </c>
      <c r="T1005" s="218">
        <f>INDEX('Prop. prices'!$I$164:$AB$238,MATCH($C1005,'Prop. prices'!$C$164:$C$238,0),MATCH(T$920,'Prop. prices'!$I$5:$AB$5,0))</f>
        <v>0</v>
      </c>
      <c r="U1005" s="218">
        <f>INDEX('Prop. prices'!$I$164:$AB$238,MATCH($C1005,'Prop. prices'!$C$164:$C$238,0),MATCH(U$920,'Prop. prices'!$I$5:$AB$5,0))</f>
        <v>0</v>
      </c>
      <c r="V1005" s="218">
        <f>INDEX('Prop. prices'!$I$164:$AB$238,MATCH($C1005,'Prop. prices'!$C$164:$C$238,0),MATCH(V$920,'Prop. prices'!$I$5:$AB$5,0))</f>
        <v>0</v>
      </c>
      <c r="W1005" s="218">
        <f>INDEX('Prop. prices'!$I$164:$AB$238,MATCH($C1005,'Prop. prices'!$C$164:$C$238,0),MATCH(W$920,'Prop. prices'!$I$5:$AB$5,0))</f>
        <v>0</v>
      </c>
      <c r="X1005" s="218">
        <f>INDEX('Prop. prices'!$I$164:$AB$238,MATCH($C1005,'Prop. prices'!$C$164:$C$238,0),MATCH(X$920,'Prop. prices'!$I$5:$AB$5,0))</f>
        <v>0</v>
      </c>
      <c r="Y1005" s="218">
        <f>INDEX('Prop. prices'!$I$164:$AB$238,MATCH($C1005,'Prop. prices'!$C$164:$C$238,0),MATCH(Y$920,'Prop. prices'!$I$5:$AB$5,0))</f>
        <v>0</v>
      </c>
      <c r="Z1005" s="218">
        <f>INDEX('Prop. prices'!$I$164:$AB$238,MATCH($C1005,'Prop. prices'!$C$164:$C$238,0),MATCH(Z$920,'Prop. prices'!$I$5:$AB$5,0))</f>
        <v>0</v>
      </c>
      <c r="AA1005" s="218">
        <f>INDEX('Prop. prices'!$I$164:$AB$238,MATCH($C1005,'Prop. prices'!$C$164:$C$238,0),MATCH(AA$920,'Prop. prices'!$I$5:$AB$5,0))</f>
        <v>0</v>
      </c>
      <c r="AB1005" s="218">
        <f>INDEX('Prop. prices'!$I$164:$AB$238,MATCH($C1005,'Prop. prices'!$C$164:$C$238,0),MATCH(AB$920,'Prop. prices'!$I$5:$AB$5,0))</f>
        <v>0</v>
      </c>
      <c r="AC1005" s="187"/>
      <c r="AD1005" s="19"/>
      <c r="AE1005" s="19"/>
      <c r="AF1005" s="19"/>
      <c r="AG1005" s="19"/>
    </row>
    <row r="1006" spans="1:33" hidden="1" outlineLevel="3" x14ac:dyDescent="0.2">
      <c r="A1006" s="19"/>
      <c r="B1006" s="19"/>
      <c r="C1006" s="506">
        <f t="shared" si="206"/>
        <v>0</v>
      </c>
      <c r="D1006" s="505">
        <f t="shared" si="206"/>
        <v>0</v>
      </c>
      <c r="E1006" s="58"/>
      <c r="F1006" s="223"/>
      <c r="G1006" s="58"/>
      <c r="H1006" s="58"/>
      <c r="I1006" s="218">
        <f>INDEX('Prop. prices'!$I$164:$AB$238,MATCH($C1006,'Prop. prices'!$C$164:$C$238,0),MATCH(I$920,'Prop. prices'!$I$5:$AB$5,0))</f>
        <v>0</v>
      </c>
      <c r="J1006" s="218">
        <f>INDEX('Prop. prices'!$I$164:$AB$238,MATCH($C1006,'Prop. prices'!$C$164:$C$238,0),MATCH(J$920,'Prop. prices'!$I$5:$AB$5,0))</f>
        <v>0</v>
      </c>
      <c r="K1006" s="218">
        <f>INDEX('Prop. prices'!$I$164:$AB$238,MATCH($C1006,'Prop. prices'!$C$164:$C$238,0),MATCH(K$920,'Prop. prices'!$I$5:$AB$5,0))</f>
        <v>0</v>
      </c>
      <c r="L1006" s="218">
        <f>INDEX('Prop. prices'!$I$164:$AB$238,MATCH($C1006,'Prop. prices'!$C$164:$C$238,0),MATCH(L$920,'Prop. prices'!$I$5:$AB$5,0))</f>
        <v>0</v>
      </c>
      <c r="M1006" s="218">
        <f>INDEX('Prop. prices'!$I$164:$AB$238,MATCH($C1006,'Prop. prices'!$C$164:$C$238,0),MATCH(M$920,'Prop. prices'!$I$5:$AB$5,0))</f>
        <v>0</v>
      </c>
      <c r="N1006" s="218">
        <f>INDEX('Prop. prices'!$I$164:$AB$238,MATCH($C1006,'Prop. prices'!$C$164:$C$238,0),MATCH(N$920,'Prop. prices'!$I$5:$AB$5,0))</f>
        <v>0</v>
      </c>
      <c r="O1006" s="218">
        <f>INDEX('Prop. prices'!$I$164:$AB$238,MATCH($C1006,'Prop. prices'!$C$164:$C$238,0),MATCH(O$920,'Prop. prices'!$I$5:$AB$5,0))</f>
        <v>0</v>
      </c>
      <c r="P1006" s="218">
        <f>INDEX('Prop. prices'!$I$164:$AB$238,MATCH($C1006,'Prop. prices'!$C$164:$C$238,0),MATCH(P$920,'Prop. prices'!$I$5:$AB$5,0))</f>
        <v>0</v>
      </c>
      <c r="Q1006" s="218">
        <f>INDEX('Prop. prices'!$I$164:$AB$238,MATCH($C1006,'Prop. prices'!$C$164:$C$238,0),MATCH(Q$920,'Prop. prices'!$I$5:$AB$5,0))</f>
        <v>0</v>
      </c>
      <c r="R1006" s="218">
        <f>INDEX('Prop. prices'!$I$164:$AB$238,MATCH($C1006,'Prop. prices'!$C$164:$C$238,0),MATCH(R$920,'Prop. prices'!$I$5:$AB$5,0))</f>
        <v>0</v>
      </c>
      <c r="S1006" s="218">
        <f>INDEX('Prop. prices'!$I$164:$AB$238,MATCH($C1006,'Prop. prices'!$C$164:$C$238,0),MATCH(S$920,'Prop. prices'!$I$5:$AB$5,0))</f>
        <v>0</v>
      </c>
      <c r="T1006" s="218">
        <f>INDEX('Prop. prices'!$I$164:$AB$238,MATCH($C1006,'Prop. prices'!$C$164:$C$238,0),MATCH(T$920,'Prop. prices'!$I$5:$AB$5,0))</f>
        <v>0</v>
      </c>
      <c r="U1006" s="218">
        <f>INDEX('Prop. prices'!$I$164:$AB$238,MATCH($C1006,'Prop. prices'!$C$164:$C$238,0),MATCH(U$920,'Prop. prices'!$I$5:$AB$5,0))</f>
        <v>0</v>
      </c>
      <c r="V1006" s="218">
        <f>INDEX('Prop. prices'!$I$164:$AB$238,MATCH($C1006,'Prop. prices'!$C$164:$C$238,0),MATCH(V$920,'Prop. prices'!$I$5:$AB$5,0))</f>
        <v>0</v>
      </c>
      <c r="W1006" s="218">
        <f>INDEX('Prop. prices'!$I$164:$AB$238,MATCH($C1006,'Prop. prices'!$C$164:$C$238,0),MATCH(W$920,'Prop. prices'!$I$5:$AB$5,0))</f>
        <v>0</v>
      </c>
      <c r="X1006" s="218">
        <f>INDEX('Prop. prices'!$I$164:$AB$238,MATCH($C1006,'Prop. prices'!$C$164:$C$238,0),MATCH(X$920,'Prop. prices'!$I$5:$AB$5,0))</f>
        <v>0</v>
      </c>
      <c r="Y1006" s="218">
        <f>INDEX('Prop. prices'!$I$164:$AB$238,MATCH($C1006,'Prop. prices'!$C$164:$C$238,0),MATCH(Y$920,'Prop. prices'!$I$5:$AB$5,0))</f>
        <v>0</v>
      </c>
      <c r="Z1006" s="218">
        <f>INDEX('Prop. prices'!$I$164:$AB$238,MATCH($C1006,'Prop. prices'!$C$164:$C$238,0),MATCH(Z$920,'Prop. prices'!$I$5:$AB$5,0))</f>
        <v>0</v>
      </c>
      <c r="AA1006" s="218">
        <f>INDEX('Prop. prices'!$I$164:$AB$238,MATCH($C1006,'Prop. prices'!$C$164:$C$238,0),MATCH(AA$920,'Prop. prices'!$I$5:$AB$5,0))</f>
        <v>0</v>
      </c>
      <c r="AB1006" s="218">
        <f>INDEX('Prop. prices'!$I$164:$AB$238,MATCH($C1006,'Prop. prices'!$C$164:$C$238,0),MATCH(AB$920,'Prop. prices'!$I$5:$AB$5,0))</f>
        <v>0</v>
      </c>
      <c r="AC1006" s="187"/>
      <c r="AD1006" s="19"/>
      <c r="AE1006" s="19"/>
      <c r="AF1006" s="19"/>
      <c r="AG1006" s="19"/>
    </row>
    <row r="1007" spans="1:33" hidden="1" outlineLevel="3" x14ac:dyDescent="0.2">
      <c r="A1007" s="19"/>
      <c r="B1007" s="19"/>
      <c r="C1007" s="506">
        <f t="shared" si="206"/>
        <v>0</v>
      </c>
      <c r="D1007" s="505">
        <f t="shared" si="206"/>
        <v>0</v>
      </c>
      <c r="E1007" s="58"/>
      <c r="F1007" s="223"/>
      <c r="G1007" s="58"/>
      <c r="H1007" s="58"/>
      <c r="I1007" s="218">
        <f>INDEX('Prop. prices'!$I$164:$AB$238,MATCH($C1007,'Prop. prices'!$C$164:$C$238,0),MATCH(I$920,'Prop. prices'!$I$5:$AB$5,0))</f>
        <v>0</v>
      </c>
      <c r="J1007" s="218">
        <f>INDEX('Prop. prices'!$I$164:$AB$238,MATCH($C1007,'Prop. prices'!$C$164:$C$238,0),MATCH(J$920,'Prop. prices'!$I$5:$AB$5,0))</f>
        <v>0</v>
      </c>
      <c r="K1007" s="218">
        <f>INDEX('Prop. prices'!$I$164:$AB$238,MATCH($C1007,'Prop. prices'!$C$164:$C$238,0),MATCH(K$920,'Prop. prices'!$I$5:$AB$5,0))</f>
        <v>0</v>
      </c>
      <c r="L1007" s="218">
        <f>INDEX('Prop. prices'!$I$164:$AB$238,MATCH($C1007,'Prop. prices'!$C$164:$C$238,0),MATCH(L$920,'Prop. prices'!$I$5:$AB$5,0))</f>
        <v>0</v>
      </c>
      <c r="M1007" s="218">
        <f>INDEX('Prop. prices'!$I$164:$AB$238,MATCH($C1007,'Prop. prices'!$C$164:$C$238,0),MATCH(M$920,'Prop. prices'!$I$5:$AB$5,0))</f>
        <v>0</v>
      </c>
      <c r="N1007" s="218">
        <f>INDEX('Prop. prices'!$I$164:$AB$238,MATCH($C1007,'Prop. prices'!$C$164:$C$238,0),MATCH(N$920,'Prop. prices'!$I$5:$AB$5,0))</f>
        <v>0</v>
      </c>
      <c r="O1007" s="218">
        <f>INDEX('Prop. prices'!$I$164:$AB$238,MATCH($C1007,'Prop. prices'!$C$164:$C$238,0),MATCH(O$920,'Prop. prices'!$I$5:$AB$5,0))</f>
        <v>0</v>
      </c>
      <c r="P1007" s="218">
        <f>INDEX('Prop. prices'!$I$164:$AB$238,MATCH($C1007,'Prop. prices'!$C$164:$C$238,0),MATCH(P$920,'Prop. prices'!$I$5:$AB$5,0))</f>
        <v>0</v>
      </c>
      <c r="Q1007" s="218">
        <f>INDEX('Prop. prices'!$I$164:$AB$238,MATCH($C1007,'Prop. prices'!$C$164:$C$238,0),MATCH(Q$920,'Prop. prices'!$I$5:$AB$5,0))</f>
        <v>0</v>
      </c>
      <c r="R1007" s="218">
        <f>INDEX('Prop. prices'!$I$164:$AB$238,MATCH($C1007,'Prop. prices'!$C$164:$C$238,0),MATCH(R$920,'Prop. prices'!$I$5:$AB$5,0))</f>
        <v>0</v>
      </c>
      <c r="S1007" s="218">
        <f>INDEX('Prop. prices'!$I$164:$AB$238,MATCH($C1007,'Prop. prices'!$C$164:$C$238,0),MATCH(S$920,'Prop. prices'!$I$5:$AB$5,0))</f>
        <v>0</v>
      </c>
      <c r="T1007" s="218">
        <f>INDEX('Prop. prices'!$I$164:$AB$238,MATCH($C1007,'Prop. prices'!$C$164:$C$238,0),MATCH(T$920,'Prop. prices'!$I$5:$AB$5,0))</f>
        <v>0</v>
      </c>
      <c r="U1007" s="218">
        <f>INDEX('Prop. prices'!$I$164:$AB$238,MATCH($C1007,'Prop. prices'!$C$164:$C$238,0),MATCH(U$920,'Prop. prices'!$I$5:$AB$5,0))</f>
        <v>0</v>
      </c>
      <c r="V1007" s="218">
        <f>INDEX('Prop. prices'!$I$164:$AB$238,MATCH($C1007,'Prop. prices'!$C$164:$C$238,0),MATCH(V$920,'Prop. prices'!$I$5:$AB$5,0))</f>
        <v>0</v>
      </c>
      <c r="W1007" s="218">
        <f>INDEX('Prop. prices'!$I$164:$AB$238,MATCH($C1007,'Prop. prices'!$C$164:$C$238,0),MATCH(W$920,'Prop. prices'!$I$5:$AB$5,0))</f>
        <v>0</v>
      </c>
      <c r="X1007" s="218">
        <f>INDEX('Prop. prices'!$I$164:$AB$238,MATCH($C1007,'Prop. prices'!$C$164:$C$238,0),MATCH(X$920,'Prop. prices'!$I$5:$AB$5,0))</f>
        <v>0</v>
      </c>
      <c r="Y1007" s="218">
        <f>INDEX('Prop. prices'!$I$164:$AB$238,MATCH($C1007,'Prop. prices'!$C$164:$C$238,0),MATCH(Y$920,'Prop. prices'!$I$5:$AB$5,0))</f>
        <v>0</v>
      </c>
      <c r="Z1007" s="218">
        <f>INDEX('Prop. prices'!$I$164:$AB$238,MATCH($C1007,'Prop. prices'!$C$164:$C$238,0),MATCH(Z$920,'Prop. prices'!$I$5:$AB$5,0))</f>
        <v>0</v>
      </c>
      <c r="AA1007" s="218">
        <f>INDEX('Prop. prices'!$I$164:$AB$238,MATCH($C1007,'Prop. prices'!$C$164:$C$238,0),MATCH(AA$920,'Prop. prices'!$I$5:$AB$5,0))</f>
        <v>0</v>
      </c>
      <c r="AB1007" s="218">
        <f>INDEX('Prop. prices'!$I$164:$AB$238,MATCH($C1007,'Prop. prices'!$C$164:$C$238,0),MATCH(AB$920,'Prop. prices'!$I$5:$AB$5,0))</f>
        <v>0</v>
      </c>
      <c r="AC1007" s="187"/>
      <c r="AD1007" s="19"/>
      <c r="AE1007" s="19"/>
      <c r="AF1007" s="19"/>
      <c r="AG1007" s="19"/>
    </row>
    <row r="1008" spans="1:33" hidden="1" outlineLevel="3" x14ac:dyDescent="0.2">
      <c r="A1008" s="19"/>
      <c r="B1008" s="19"/>
      <c r="C1008" s="506">
        <f t="shared" si="206"/>
        <v>0</v>
      </c>
      <c r="D1008" s="505">
        <f t="shared" si="206"/>
        <v>0</v>
      </c>
      <c r="E1008" s="58"/>
      <c r="F1008" s="223"/>
      <c r="G1008" s="58"/>
      <c r="H1008" s="58"/>
      <c r="I1008" s="218">
        <f>INDEX('Prop. prices'!$I$164:$AB$238,MATCH($C1008,'Prop. prices'!$C$164:$C$238,0),MATCH(I$920,'Prop. prices'!$I$5:$AB$5,0))</f>
        <v>0</v>
      </c>
      <c r="J1008" s="218">
        <f>INDEX('Prop. prices'!$I$164:$AB$238,MATCH($C1008,'Prop. prices'!$C$164:$C$238,0),MATCH(J$920,'Prop. prices'!$I$5:$AB$5,0))</f>
        <v>0</v>
      </c>
      <c r="K1008" s="218">
        <f>INDEX('Prop. prices'!$I$164:$AB$238,MATCH($C1008,'Prop. prices'!$C$164:$C$238,0),MATCH(K$920,'Prop. prices'!$I$5:$AB$5,0))</f>
        <v>0</v>
      </c>
      <c r="L1008" s="218">
        <f>INDEX('Prop. prices'!$I$164:$AB$238,MATCH($C1008,'Prop. prices'!$C$164:$C$238,0),MATCH(L$920,'Prop. prices'!$I$5:$AB$5,0))</f>
        <v>0</v>
      </c>
      <c r="M1008" s="218">
        <f>INDEX('Prop. prices'!$I$164:$AB$238,MATCH($C1008,'Prop. prices'!$C$164:$C$238,0),MATCH(M$920,'Prop. prices'!$I$5:$AB$5,0))</f>
        <v>0</v>
      </c>
      <c r="N1008" s="218">
        <f>INDEX('Prop. prices'!$I$164:$AB$238,MATCH($C1008,'Prop. prices'!$C$164:$C$238,0),MATCH(N$920,'Prop. prices'!$I$5:$AB$5,0))</f>
        <v>0</v>
      </c>
      <c r="O1008" s="218">
        <f>INDEX('Prop. prices'!$I$164:$AB$238,MATCH($C1008,'Prop. prices'!$C$164:$C$238,0),MATCH(O$920,'Prop. prices'!$I$5:$AB$5,0))</f>
        <v>0</v>
      </c>
      <c r="P1008" s="218">
        <f>INDEX('Prop. prices'!$I$164:$AB$238,MATCH($C1008,'Prop. prices'!$C$164:$C$238,0),MATCH(P$920,'Prop. prices'!$I$5:$AB$5,0))</f>
        <v>0</v>
      </c>
      <c r="Q1008" s="218">
        <f>INDEX('Prop. prices'!$I$164:$AB$238,MATCH($C1008,'Prop. prices'!$C$164:$C$238,0),MATCH(Q$920,'Prop. prices'!$I$5:$AB$5,0))</f>
        <v>0</v>
      </c>
      <c r="R1008" s="218">
        <f>INDEX('Prop. prices'!$I$164:$AB$238,MATCH($C1008,'Prop. prices'!$C$164:$C$238,0),MATCH(R$920,'Prop. prices'!$I$5:$AB$5,0))</f>
        <v>0</v>
      </c>
      <c r="S1008" s="218">
        <f>INDEX('Prop. prices'!$I$164:$AB$238,MATCH($C1008,'Prop. prices'!$C$164:$C$238,0),MATCH(S$920,'Prop. prices'!$I$5:$AB$5,0))</f>
        <v>0</v>
      </c>
      <c r="T1008" s="218">
        <f>INDEX('Prop. prices'!$I$164:$AB$238,MATCH($C1008,'Prop. prices'!$C$164:$C$238,0),MATCH(T$920,'Prop. prices'!$I$5:$AB$5,0))</f>
        <v>0</v>
      </c>
      <c r="U1008" s="218">
        <f>INDEX('Prop. prices'!$I$164:$AB$238,MATCH($C1008,'Prop. prices'!$C$164:$C$238,0),MATCH(U$920,'Prop. prices'!$I$5:$AB$5,0))</f>
        <v>0</v>
      </c>
      <c r="V1008" s="218">
        <f>INDEX('Prop. prices'!$I$164:$AB$238,MATCH($C1008,'Prop. prices'!$C$164:$C$238,0),MATCH(V$920,'Prop. prices'!$I$5:$AB$5,0))</f>
        <v>0</v>
      </c>
      <c r="W1008" s="218">
        <f>INDEX('Prop. prices'!$I$164:$AB$238,MATCH($C1008,'Prop. prices'!$C$164:$C$238,0),MATCH(W$920,'Prop. prices'!$I$5:$AB$5,0))</f>
        <v>0</v>
      </c>
      <c r="X1008" s="218">
        <f>INDEX('Prop. prices'!$I$164:$AB$238,MATCH($C1008,'Prop. prices'!$C$164:$C$238,0),MATCH(X$920,'Prop. prices'!$I$5:$AB$5,0))</f>
        <v>0</v>
      </c>
      <c r="Y1008" s="218">
        <f>INDEX('Prop. prices'!$I$164:$AB$238,MATCH($C1008,'Prop. prices'!$C$164:$C$238,0),MATCH(Y$920,'Prop. prices'!$I$5:$AB$5,0))</f>
        <v>0</v>
      </c>
      <c r="Z1008" s="218">
        <f>INDEX('Prop. prices'!$I$164:$AB$238,MATCH($C1008,'Prop. prices'!$C$164:$C$238,0),MATCH(Z$920,'Prop. prices'!$I$5:$AB$5,0))</f>
        <v>0</v>
      </c>
      <c r="AA1008" s="218">
        <f>INDEX('Prop. prices'!$I$164:$AB$238,MATCH($C1008,'Prop. prices'!$C$164:$C$238,0),MATCH(AA$920,'Prop. prices'!$I$5:$AB$5,0))</f>
        <v>0</v>
      </c>
      <c r="AB1008" s="218">
        <f>INDEX('Prop. prices'!$I$164:$AB$238,MATCH($C1008,'Prop. prices'!$C$164:$C$238,0),MATCH(AB$920,'Prop. prices'!$I$5:$AB$5,0))</f>
        <v>0</v>
      </c>
      <c r="AC1008" s="187"/>
      <c r="AD1008" s="19"/>
      <c r="AE1008" s="19"/>
      <c r="AF1008" s="19"/>
      <c r="AG1008" s="19"/>
    </row>
    <row r="1009" spans="1:33" hidden="1" outlineLevel="3" x14ac:dyDescent="0.2">
      <c r="A1009" s="19"/>
      <c r="B1009" s="19"/>
      <c r="C1009" s="506">
        <f t="shared" si="206"/>
        <v>0</v>
      </c>
      <c r="D1009" s="505">
        <f t="shared" si="206"/>
        <v>0</v>
      </c>
      <c r="E1009" s="58"/>
      <c r="F1009" s="223"/>
      <c r="G1009" s="58"/>
      <c r="H1009" s="58"/>
      <c r="I1009" s="218">
        <f>INDEX('Prop. prices'!$I$164:$AB$238,MATCH($C1009,'Prop. prices'!$C$164:$C$238,0),MATCH(I$920,'Prop. prices'!$I$5:$AB$5,0))</f>
        <v>0</v>
      </c>
      <c r="J1009" s="218">
        <f>INDEX('Prop. prices'!$I$164:$AB$238,MATCH($C1009,'Prop. prices'!$C$164:$C$238,0),MATCH(J$920,'Prop. prices'!$I$5:$AB$5,0))</f>
        <v>0</v>
      </c>
      <c r="K1009" s="218">
        <f>INDEX('Prop. prices'!$I$164:$AB$238,MATCH($C1009,'Prop. prices'!$C$164:$C$238,0),MATCH(K$920,'Prop. prices'!$I$5:$AB$5,0))</f>
        <v>0</v>
      </c>
      <c r="L1009" s="218">
        <f>INDEX('Prop. prices'!$I$164:$AB$238,MATCH($C1009,'Prop. prices'!$C$164:$C$238,0),MATCH(L$920,'Prop. prices'!$I$5:$AB$5,0))</f>
        <v>0</v>
      </c>
      <c r="M1009" s="218">
        <f>INDEX('Prop. prices'!$I$164:$AB$238,MATCH($C1009,'Prop. prices'!$C$164:$C$238,0),MATCH(M$920,'Prop. prices'!$I$5:$AB$5,0))</f>
        <v>0</v>
      </c>
      <c r="N1009" s="218">
        <f>INDEX('Prop. prices'!$I$164:$AB$238,MATCH($C1009,'Prop. prices'!$C$164:$C$238,0),MATCH(N$920,'Prop. prices'!$I$5:$AB$5,0))</f>
        <v>0</v>
      </c>
      <c r="O1009" s="218">
        <f>INDEX('Prop. prices'!$I$164:$AB$238,MATCH($C1009,'Prop. prices'!$C$164:$C$238,0),MATCH(O$920,'Prop. prices'!$I$5:$AB$5,0))</f>
        <v>0</v>
      </c>
      <c r="P1009" s="218">
        <f>INDEX('Prop. prices'!$I$164:$AB$238,MATCH($C1009,'Prop. prices'!$C$164:$C$238,0),MATCH(P$920,'Prop. prices'!$I$5:$AB$5,0))</f>
        <v>0</v>
      </c>
      <c r="Q1009" s="218">
        <f>INDEX('Prop. prices'!$I$164:$AB$238,MATCH($C1009,'Prop. prices'!$C$164:$C$238,0),MATCH(Q$920,'Prop. prices'!$I$5:$AB$5,0))</f>
        <v>0</v>
      </c>
      <c r="R1009" s="218">
        <f>INDEX('Prop. prices'!$I$164:$AB$238,MATCH($C1009,'Prop. prices'!$C$164:$C$238,0),MATCH(R$920,'Prop. prices'!$I$5:$AB$5,0))</f>
        <v>0</v>
      </c>
      <c r="S1009" s="218">
        <f>INDEX('Prop. prices'!$I$164:$AB$238,MATCH($C1009,'Prop. prices'!$C$164:$C$238,0),MATCH(S$920,'Prop. prices'!$I$5:$AB$5,0))</f>
        <v>0</v>
      </c>
      <c r="T1009" s="218">
        <f>INDEX('Prop. prices'!$I$164:$AB$238,MATCH($C1009,'Prop. prices'!$C$164:$C$238,0),MATCH(T$920,'Prop. prices'!$I$5:$AB$5,0))</f>
        <v>0</v>
      </c>
      <c r="U1009" s="218">
        <f>INDEX('Prop. prices'!$I$164:$AB$238,MATCH($C1009,'Prop. prices'!$C$164:$C$238,0),MATCH(U$920,'Prop. prices'!$I$5:$AB$5,0))</f>
        <v>0</v>
      </c>
      <c r="V1009" s="218">
        <f>INDEX('Prop. prices'!$I$164:$AB$238,MATCH($C1009,'Prop. prices'!$C$164:$C$238,0),MATCH(V$920,'Prop. prices'!$I$5:$AB$5,0))</f>
        <v>0</v>
      </c>
      <c r="W1009" s="218">
        <f>INDEX('Prop. prices'!$I$164:$AB$238,MATCH($C1009,'Prop. prices'!$C$164:$C$238,0),MATCH(W$920,'Prop. prices'!$I$5:$AB$5,0))</f>
        <v>0</v>
      </c>
      <c r="X1009" s="218">
        <f>INDEX('Prop. prices'!$I$164:$AB$238,MATCH($C1009,'Prop. prices'!$C$164:$C$238,0),MATCH(X$920,'Prop. prices'!$I$5:$AB$5,0))</f>
        <v>0</v>
      </c>
      <c r="Y1009" s="218">
        <f>INDEX('Prop. prices'!$I$164:$AB$238,MATCH($C1009,'Prop. prices'!$C$164:$C$238,0),MATCH(Y$920,'Prop. prices'!$I$5:$AB$5,0))</f>
        <v>0</v>
      </c>
      <c r="Z1009" s="218">
        <f>INDEX('Prop. prices'!$I$164:$AB$238,MATCH($C1009,'Prop. prices'!$C$164:$C$238,0),MATCH(Z$920,'Prop. prices'!$I$5:$AB$5,0))</f>
        <v>0</v>
      </c>
      <c r="AA1009" s="218">
        <f>INDEX('Prop. prices'!$I$164:$AB$238,MATCH($C1009,'Prop. prices'!$C$164:$C$238,0),MATCH(AA$920,'Prop. prices'!$I$5:$AB$5,0))</f>
        <v>0</v>
      </c>
      <c r="AB1009" s="218">
        <f>INDEX('Prop. prices'!$I$164:$AB$238,MATCH($C1009,'Prop. prices'!$C$164:$C$238,0),MATCH(AB$920,'Prop. prices'!$I$5:$AB$5,0))</f>
        <v>0</v>
      </c>
      <c r="AC1009" s="187"/>
      <c r="AD1009" s="19"/>
      <c r="AE1009" s="19"/>
      <c r="AF1009" s="19"/>
      <c r="AG1009" s="19"/>
    </row>
    <row r="1010" spans="1:33" hidden="1" outlineLevel="3" x14ac:dyDescent="0.2">
      <c r="A1010" s="19"/>
      <c r="B1010" s="19"/>
      <c r="C1010" s="506">
        <f t="shared" si="206"/>
        <v>0</v>
      </c>
      <c r="D1010" s="505">
        <f t="shared" si="206"/>
        <v>0</v>
      </c>
      <c r="E1010" s="58"/>
      <c r="F1010" s="223"/>
      <c r="G1010" s="58"/>
      <c r="H1010" s="58"/>
      <c r="I1010" s="218">
        <f>INDEX('Prop. prices'!$I$164:$AB$238,MATCH($C1010,'Prop. prices'!$C$164:$C$238,0),MATCH(I$920,'Prop. prices'!$I$5:$AB$5,0))</f>
        <v>0</v>
      </c>
      <c r="J1010" s="218">
        <f>INDEX('Prop. prices'!$I$164:$AB$238,MATCH($C1010,'Prop. prices'!$C$164:$C$238,0),MATCH(J$920,'Prop. prices'!$I$5:$AB$5,0))</f>
        <v>0</v>
      </c>
      <c r="K1010" s="218">
        <f>INDEX('Prop. prices'!$I$164:$AB$238,MATCH($C1010,'Prop. prices'!$C$164:$C$238,0),MATCH(K$920,'Prop. prices'!$I$5:$AB$5,0))</f>
        <v>0</v>
      </c>
      <c r="L1010" s="218">
        <f>INDEX('Prop. prices'!$I$164:$AB$238,MATCH($C1010,'Prop. prices'!$C$164:$C$238,0),MATCH(L$920,'Prop. prices'!$I$5:$AB$5,0))</f>
        <v>0</v>
      </c>
      <c r="M1010" s="218">
        <f>INDEX('Prop. prices'!$I$164:$AB$238,MATCH($C1010,'Prop. prices'!$C$164:$C$238,0),MATCH(M$920,'Prop. prices'!$I$5:$AB$5,0))</f>
        <v>0</v>
      </c>
      <c r="N1010" s="218">
        <f>INDEX('Prop. prices'!$I$164:$AB$238,MATCH($C1010,'Prop. prices'!$C$164:$C$238,0),MATCH(N$920,'Prop. prices'!$I$5:$AB$5,0))</f>
        <v>0</v>
      </c>
      <c r="O1010" s="218">
        <f>INDEX('Prop. prices'!$I$164:$AB$238,MATCH($C1010,'Prop. prices'!$C$164:$C$238,0),MATCH(O$920,'Prop. prices'!$I$5:$AB$5,0))</f>
        <v>0</v>
      </c>
      <c r="P1010" s="218">
        <f>INDEX('Prop. prices'!$I$164:$AB$238,MATCH($C1010,'Prop. prices'!$C$164:$C$238,0),MATCH(P$920,'Prop. prices'!$I$5:$AB$5,0))</f>
        <v>0</v>
      </c>
      <c r="Q1010" s="218">
        <f>INDEX('Prop. prices'!$I$164:$AB$238,MATCH($C1010,'Prop. prices'!$C$164:$C$238,0),MATCH(Q$920,'Prop. prices'!$I$5:$AB$5,0))</f>
        <v>0</v>
      </c>
      <c r="R1010" s="218">
        <f>INDEX('Prop. prices'!$I$164:$AB$238,MATCH($C1010,'Prop. prices'!$C$164:$C$238,0),MATCH(R$920,'Prop. prices'!$I$5:$AB$5,0))</f>
        <v>0</v>
      </c>
      <c r="S1010" s="218">
        <f>INDEX('Prop. prices'!$I$164:$AB$238,MATCH($C1010,'Prop. prices'!$C$164:$C$238,0),MATCH(S$920,'Prop. prices'!$I$5:$AB$5,0))</f>
        <v>0</v>
      </c>
      <c r="T1010" s="218">
        <f>INDEX('Prop. prices'!$I$164:$AB$238,MATCH($C1010,'Prop. prices'!$C$164:$C$238,0),MATCH(T$920,'Prop. prices'!$I$5:$AB$5,0))</f>
        <v>0</v>
      </c>
      <c r="U1010" s="218">
        <f>INDEX('Prop. prices'!$I$164:$AB$238,MATCH($C1010,'Prop. prices'!$C$164:$C$238,0),MATCH(U$920,'Prop. prices'!$I$5:$AB$5,0))</f>
        <v>0</v>
      </c>
      <c r="V1010" s="218">
        <f>INDEX('Prop. prices'!$I$164:$AB$238,MATCH($C1010,'Prop. prices'!$C$164:$C$238,0),MATCH(V$920,'Prop. prices'!$I$5:$AB$5,0))</f>
        <v>0</v>
      </c>
      <c r="W1010" s="218">
        <f>INDEX('Prop. prices'!$I$164:$AB$238,MATCH($C1010,'Prop. prices'!$C$164:$C$238,0),MATCH(W$920,'Prop. prices'!$I$5:$AB$5,0))</f>
        <v>0</v>
      </c>
      <c r="X1010" s="218">
        <f>INDEX('Prop. prices'!$I$164:$AB$238,MATCH($C1010,'Prop. prices'!$C$164:$C$238,0),MATCH(X$920,'Prop. prices'!$I$5:$AB$5,0))</f>
        <v>0</v>
      </c>
      <c r="Y1010" s="218">
        <f>INDEX('Prop. prices'!$I$164:$AB$238,MATCH($C1010,'Prop. prices'!$C$164:$C$238,0),MATCH(Y$920,'Prop. prices'!$I$5:$AB$5,0))</f>
        <v>0</v>
      </c>
      <c r="Z1010" s="218">
        <f>INDEX('Prop. prices'!$I$164:$AB$238,MATCH($C1010,'Prop. prices'!$C$164:$C$238,0),MATCH(Z$920,'Prop. prices'!$I$5:$AB$5,0))</f>
        <v>0</v>
      </c>
      <c r="AA1010" s="218">
        <f>INDEX('Prop. prices'!$I$164:$AB$238,MATCH($C1010,'Prop. prices'!$C$164:$C$238,0),MATCH(AA$920,'Prop. prices'!$I$5:$AB$5,0))</f>
        <v>0</v>
      </c>
      <c r="AB1010" s="218">
        <f>INDEX('Prop. prices'!$I$164:$AB$238,MATCH($C1010,'Prop. prices'!$C$164:$C$238,0),MATCH(AB$920,'Prop. prices'!$I$5:$AB$5,0))</f>
        <v>0</v>
      </c>
      <c r="AC1010" s="187"/>
      <c r="AD1010" s="19"/>
      <c r="AE1010" s="19"/>
      <c r="AF1010" s="19"/>
      <c r="AG1010" s="19"/>
    </row>
    <row r="1011" spans="1:33" hidden="1" outlineLevel="3" x14ac:dyDescent="0.2">
      <c r="A1011" s="19"/>
      <c r="B1011" s="19"/>
      <c r="C1011" s="506">
        <f t="shared" si="206"/>
        <v>0</v>
      </c>
      <c r="D1011" s="505">
        <f t="shared" si="206"/>
        <v>0</v>
      </c>
      <c r="E1011" s="58"/>
      <c r="F1011" s="223"/>
      <c r="G1011" s="58"/>
      <c r="H1011" s="58"/>
      <c r="I1011" s="218">
        <f>INDEX('Prop. prices'!$I$164:$AB$238,MATCH($C1011,'Prop. prices'!$C$164:$C$238,0),MATCH(I$920,'Prop. prices'!$I$5:$AB$5,0))</f>
        <v>0</v>
      </c>
      <c r="J1011" s="218">
        <f>INDEX('Prop. prices'!$I$164:$AB$238,MATCH($C1011,'Prop. prices'!$C$164:$C$238,0),MATCH(J$920,'Prop. prices'!$I$5:$AB$5,0))</f>
        <v>0</v>
      </c>
      <c r="K1011" s="218">
        <f>INDEX('Prop. prices'!$I$164:$AB$238,MATCH($C1011,'Prop. prices'!$C$164:$C$238,0),MATCH(K$920,'Prop. prices'!$I$5:$AB$5,0))</f>
        <v>0</v>
      </c>
      <c r="L1011" s="218">
        <f>INDEX('Prop. prices'!$I$164:$AB$238,MATCH($C1011,'Prop. prices'!$C$164:$C$238,0),MATCH(L$920,'Prop. prices'!$I$5:$AB$5,0))</f>
        <v>0</v>
      </c>
      <c r="M1011" s="218">
        <f>INDEX('Prop. prices'!$I$164:$AB$238,MATCH($C1011,'Prop. prices'!$C$164:$C$238,0),MATCH(M$920,'Prop. prices'!$I$5:$AB$5,0))</f>
        <v>0</v>
      </c>
      <c r="N1011" s="218">
        <f>INDEX('Prop. prices'!$I$164:$AB$238,MATCH($C1011,'Prop. prices'!$C$164:$C$238,0),MATCH(N$920,'Prop. prices'!$I$5:$AB$5,0))</f>
        <v>0</v>
      </c>
      <c r="O1011" s="218">
        <f>INDEX('Prop. prices'!$I$164:$AB$238,MATCH($C1011,'Prop. prices'!$C$164:$C$238,0),MATCH(O$920,'Prop. prices'!$I$5:$AB$5,0))</f>
        <v>0</v>
      </c>
      <c r="P1011" s="218">
        <f>INDEX('Prop. prices'!$I$164:$AB$238,MATCH($C1011,'Prop. prices'!$C$164:$C$238,0),MATCH(P$920,'Prop. prices'!$I$5:$AB$5,0))</f>
        <v>0</v>
      </c>
      <c r="Q1011" s="218">
        <f>INDEX('Prop. prices'!$I$164:$AB$238,MATCH($C1011,'Prop. prices'!$C$164:$C$238,0),MATCH(Q$920,'Prop. prices'!$I$5:$AB$5,0))</f>
        <v>0</v>
      </c>
      <c r="R1011" s="218">
        <f>INDEX('Prop. prices'!$I$164:$AB$238,MATCH($C1011,'Prop. prices'!$C$164:$C$238,0),MATCH(R$920,'Prop. prices'!$I$5:$AB$5,0))</f>
        <v>0</v>
      </c>
      <c r="S1011" s="218">
        <f>INDEX('Prop. prices'!$I$164:$AB$238,MATCH($C1011,'Prop. prices'!$C$164:$C$238,0),MATCH(S$920,'Prop. prices'!$I$5:$AB$5,0))</f>
        <v>0</v>
      </c>
      <c r="T1011" s="218">
        <f>INDEX('Prop. prices'!$I$164:$AB$238,MATCH($C1011,'Prop. prices'!$C$164:$C$238,0),MATCH(T$920,'Prop. prices'!$I$5:$AB$5,0))</f>
        <v>0</v>
      </c>
      <c r="U1011" s="218">
        <f>INDEX('Prop. prices'!$I$164:$AB$238,MATCH($C1011,'Prop. prices'!$C$164:$C$238,0),MATCH(U$920,'Prop. prices'!$I$5:$AB$5,0))</f>
        <v>0</v>
      </c>
      <c r="V1011" s="218">
        <f>INDEX('Prop. prices'!$I$164:$AB$238,MATCH($C1011,'Prop. prices'!$C$164:$C$238,0),MATCH(V$920,'Prop. prices'!$I$5:$AB$5,0))</f>
        <v>0</v>
      </c>
      <c r="W1011" s="218">
        <f>INDEX('Prop. prices'!$I$164:$AB$238,MATCH($C1011,'Prop. prices'!$C$164:$C$238,0),MATCH(W$920,'Prop. prices'!$I$5:$AB$5,0))</f>
        <v>0</v>
      </c>
      <c r="X1011" s="218">
        <f>INDEX('Prop. prices'!$I$164:$AB$238,MATCH($C1011,'Prop. prices'!$C$164:$C$238,0),MATCH(X$920,'Prop. prices'!$I$5:$AB$5,0))</f>
        <v>0</v>
      </c>
      <c r="Y1011" s="218">
        <f>INDEX('Prop. prices'!$I$164:$AB$238,MATCH($C1011,'Prop. prices'!$C$164:$C$238,0),MATCH(Y$920,'Prop. prices'!$I$5:$AB$5,0))</f>
        <v>0</v>
      </c>
      <c r="Z1011" s="218">
        <f>INDEX('Prop. prices'!$I$164:$AB$238,MATCH($C1011,'Prop. prices'!$C$164:$C$238,0),MATCH(Z$920,'Prop. prices'!$I$5:$AB$5,0))</f>
        <v>0</v>
      </c>
      <c r="AA1011" s="218">
        <f>INDEX('Prop. prices'!$I$164:$AB$238,MATCH($C1011,'Prop. prices'!$C$164:$C$238,0),MATCH(AA$920,'Prop. prices'!$I$5:$AB$5,0))</f>
        <v>0</v>
      </c>
      <c r="AB1011" s="218">
        <f>INDEX('Prop. prices'!$I$164:$AB$238,MATCH($C1011,'Prop. prices'!$C$164:$C$238,0),MATCH(AB$920,'Prop. prices'!$I$5:$AB$5,0))</f>
        <v>0</v>
      </c>
      <c r="AC1011" s="187"/>
      <c r="AD1011" s="19"/>
      <c r="AE1011" s="19"/>
      <c r="AF1011" s="19"/>
      <c r="AG1011" s="19"/>
    </row>
    <row r="1012" spans="1:33" hidden="1" outlineLevel="3" x14ac:dyDescent="0.2">
      <c r="A1012" s="19"/>
      <c r="B1012" s="19"/>
      <c r="C1012" s="506">
        <f t="shared" si="206"/>
        <v>0</v>
      </c>
      <c r="D1012" s="505">
        <f t="shared" si="206"/>
        <v>0</v>
      </c>
      <c r="E1012" s="58"/>
      <c r="F1012" s="223"/>
      <c r="G1012" s="58"/>
      <c r="H1012" s="58"/>
      <c r="I1012" s="218">
        <f>INDEX('Prop. prices'!$I$164:$AB$238,MATCH($C1012,'Prop. prices'!$C$164:$C$238,0),MATCH(I$920,'Prop. prices'!$I$5:$AB$5,0))</f>
        <v>0</v>
      </c>
      <c r="J1012" s="218">
        <f>INDEX('Prop. prices'!$I$164:$AB$238,MATCH($C1012,'Prop. prices'!$C$164:$C$238,0),MATCH(J$920,'Prop. prices'!$I$5:$AB$5,0))</f>
        <v>0</v>
      </c>
      <c r="K1012" s="218">
        <f>INDEX('Prop. prices'!$I$164:$AB$238,MATCH($C1012,'Prop. prices'!$C$164:$C$238,0),MATCH(K$920,'Prop. prices'!$I$5:$AB$5,0))</f>
        <v>0</v>
      </c>
      <c r="L1012" s="218">
        <f>INDEX('Prop. prices'!$I$164:$AB$238,MATCH($C1012,'Prop. prices'!$C$164:$C$238,0),MATCH(L$920,'Prop. prices'!$I$5:$AB$5,0))</f>
        <v>0</v>
      </c>
      <c r="M1012" s="218">
        <f>INDEX('Prop. prices'!$I$164:$AB$238,MATCH($C1012,'Prop. prices'!$C$164:$C$238,0),MATCH(M$920,'Prop. prices'!$I$5:$AB$5,0))</f>
        <v>0</v>
      </c>
      <c r="N1012" s="218">
        <f>INDEX('Prop. prices'!$I$164:$AB$238,MATCH($C1012,'Prop. prices'!$C$164:$C$238,0),MATCH(N$920,'Prop. prices'!$I$5:$AB$5,0))</f>
        <v>0</v>
      </c>
      <c r="O1012" s="218">
        <f>INDEX('Prop. prices'!$I$164:$AB$238,MATCH($C1012,'Prop. prices'!$C$164:$C$238,0),MATCH(O$920,'Prop. prices'!$I$5:$AB$5,0))</f>
        <v>0</v>
      </c>
      <c r="P1012" s="218">
        <f>INDEX('Prop. prices'!$I$164:$AB$238,MATCH($C1012,'Prop. prices'!$C$164:$C$238,0),MATCH(P$920,'Prop. prices'!$I$5:$AB$5,0))</f>
        <v>0</v>
      </c>
      <c r="Q1012" s="218">
        <f>INDEX('Prop. prices'!$I$164:$AB$238,MATCH($C1012,'Prop. prices'!$C$164:$C$238,0),MATCH(Q$920,'Prop. prices'!$I$5:$AB$5,0))</f>
        <v>0</v>
      </c>
      <c r="R1012" s="218">
        <f>INDEX('Prop. prices'!$I$164:$AB$238,MATCH($C1012,'Prop. prices'!$C$164:$C$238,0),MATCH(R$920,'Prop. prices'!$I$5:$AB$5,0))</f>
        <v>0</v>
      </c>
      <c r="S1012" s="218">
        <f>INDEX('Prop. prices'!$I$164:$AB$238,MATCH($C1012,'Prop. prices'!$C$164:$C$238,0),MATCH(S$920,'Prop. prices'!$I$5:$AB$5,0))</f>
        <v>0</v>
      </c>
      <c r="T1012" s="218">
        <f>INDEX('Prop. prices'!$I$164:$AB$238,MATCH($C1012,'Prop. prices'!$C$164:$C$238,0),MATCH(T$920,'Prop. prices'!$I$5:$AB$5,0))</f>
        <v>0</v>
      </c>
      <c r="U1012" s="218">
        <f>INDEX('Prop. prices'!$I$164:$AB$238,MATCH($C1012,'Prop. prices'!$C$164:$C$238,0),MATCH(U$920,'Prop. prices'!$I$5:$AB$5,0))</f>
        <v>0</v>
      </c>
      <c r="V1012" s="218">
        <f>INDEX('Prop. prices'!$I$164:$AB$238,MATCH($C1012,'Prop. prices'!$C$164:$C$238,0),MATCH(V$920,'Prop. prices'!$I$5:$AB$5,0))</f>
        <v>0</v>
      </c>
      <c r="W1012" s="218">
        <f>INDEX('Prop. prices'!$I$164:$AB$238,MATCH($C1012,'Prop. prices'!$C$164:$C$238,0),MATCH(W$920,'Prop. prices'!$I$5:$AB$5,0))</f>
        <v>0</v>
      </c>
      <c r="X1012" s="218">
        <f>INDEX('Prop. prices'!$I$164:$AB$238,MATCH($C1012,'Prop. prices'!$C$164:$C$238,0),MATCH(X$920,'Prop. prices'!$I$5:$AB$5,0))</f>
        <v>0</v>
      </c>
      <c r="Y1012" s="218">
        <f>INDEX('Prop. prices'!$I$164:$AB$238,MATCH($C1012,'Prop. prices'!$C$164:$C$238,0),MATCH(Y$920,'Prop. prices'!$I$5:$AB$5,0))</f>
        <v>0</v>
      </c>
      <c r="Z1012" s="218">
        <f>INDEX('Prop. prices'!$I$164:$AB$238,MATCH($C1012,'Prop. prices'!$C$164:$C$238,0),MATCH(Z$920,'Prop. prices'!$I$5:$AB$5,0))</f>
        <v>0</v>
      </c>
      <c r="AA1012" s="218">
        <f>INDEX('Prop. prices'!$I$164:$AB$238,MATCH($C1012,'Prop. prices'!$C$164:$C$238,0),MATCH(AA$920,'Prop. prices'!$I$5:$AB$5,0))</f>
        <v>0</v>
      </c>
      <c r="AB1012" s="218">
        <f>INDEX('Prop. prices'!$I$164:$AB$238,MATCH($C1012,'Prop. prices'!$C$164:$C$238,0),MATCH(AB$920,'Prop. prices'!$I$5:$AB$5,0))</f>
        <v>0</v>
      </c>
      <c r="AC1012" s="187"/>
      <c r="AD1012" s="19"/>
      <c r="AE1012" s="19"/>
      <c r="AF1012" s="19"/>
      <c r="AG1012" s="19"/>
    </row>
    <row r="1013" spans="1:33" hidden="1" outlineLevel="3" x14ac:dyDescent="0.2">
      <c r="A1013" s="19"/>
      <c r="B1013" s="19"/>
      <c r="C1013" s="506">
        <f t="shared" si="206"/>
        <v>0</v>
      </c>
      <c r="D1013" s="505">
        <f t="shared" si="206"/>
        <v>0</v>
      </c>
      <c r="E1013" s="58"/>
      <c r="F1013" s="223"/>
      <c r="G1013" s="58"/>
      <c r="H1013" s="58"/>
      <c r="I1013" s="218">
        <f>INDEX('Prop. prices'!$I$164:$AB$238,MATCH($C1013,'Prop. prices'!$C$164:$C$238,0),MATCH(I$920,'Prop. prices'!$I$5:$AB$5,0))</f>
        <v>0</v>
      </c>
      <c r="J1013" s="218">
        <f>INDEX('Prop. prices'!$I$164:$AB$238,MATCH($C1013,'Prop. prices'!$C$164:$C$238,0),MATCH(J$920,'Prop. prices'!$I$5:$AB$5,0))</f>
        <v>0</v>
      </c>
      <c r="K1013" s="218">
        <f>INDEX('Prop. prices'!$I$164:$AB$238,MATCH($C1013,'Prop. prices'!$C$164:$C$238,0),MATCH(K$920,'Prop. prices'!$I$5:$AB$5,0))</f>
        <v>0</v>
      </c>
      <c r="L1013" s="218">
        <f>INDEX('Prop. prices'!$I$164:$AB$238,MATCH($C1013,'Prop. prices'!$C$164:$C$238,0),MATCH(L$920,'Prop. prices'!$I$5:$AB$5,0))</f>
        <v>0</v>
      </c>
      <c r="M1013" s="218">
        <f>INDEX('Prop. prices'!$I$164:$AB$238,MATCH($C1013,'Prop. prices'!$C$164:$C$238,0),MATCH(M$920,'Prop. prices'!$I$5:$AB$5,0))</f>
        <v>0</v>
      </c>
      <c r="N1013" s="218">
        <f>INDEX('Prop. prices'!$I$164:$AB$238,MATCH($C1013,'Prop. prices'!$C$164:$C$238,0),MATCH(N$920,'Prop. prices'!$I$5:$AB$5,0))</f>
        <v>0</v>
      </c>
      <c r="O1013" s="218">
        <f>INDEX('Prop. prices'!$I$164:$AB$238,MATCH($C1013,'Prop. prices'!$C$164:$C$238,0),MATCH(O$920,'Prop. prices'!$I$5:$AB$5,0))</f>
        <v>0</v>
      </c>
      <c r="P1013" s="218">
        <f>INDEX('Prop. prices'!$I$164:$AB$238,MATCH($C1013,'Prop. prices'!$C$164:$C$238,0),MATCH(P$920,'Prop. prices'!$I$5:$AB$5,0))</f>
        <v>0</v>
      </c>
      <c r="Q1013" s="218">
        <f>INDEX('Prop. prices'!$I$164:$AB$238,MATCH($C1013,'Prop. prices'!$C$164:$C$238,0),MATCH(Q$920,'Prop. prices'!$I$5:$AB$5,0))</f>
        <v>0</v>
      </c>
      <c r="R1013" s="218">
        <f>INDEX('Prop. prices'!$I$164:$AB$238,MATCH($C1013,'Prop. prices'!$C$164:$C$238,0),MATCH(R$920,'Prop. prices'!$I$5:$AB$5,0))</f>
        <v>0</v>
      </c>
      <c r="S1013" s="218">
        <f>INDEX('Prop. prices'!$I$164:$AB$238,MATCH($C1013,'Prop. prices'!$C$164:$C$238,0),MATCH(S$920,'Prop. prices'!$I$5:$AB$5,0))</f>
        <v>0</v>
      </c>
      <c r="T1013" s="218">
        <f>INDEX('Prop. prices'!$I$164:$AB$238,MATCH($C1013,'Prop. prices'!$C$164:$C$238,0),MATCH(T$920,'Prop. prices'!$I$5:$AB$5,0))</f>
        <v>0</v>
      </c>
      <c r="U1013" s="218">
        <f>INDEX('Prop. prices'!$I$164:$AB$238,MATCH($C1013,'Prop. prices'!$C$164:$C$238,0),MATCH(U$920,'Prop. prices'!$I$5:$AB$5,0))</f>
        <v>0</v>
      </c>
      <c r="V1013" s="218">
        <f>INDEX('Prop. prices'!$I$164:$AB$238,MATCH($C1013,'Prop. prices'!$C$164:$C$238,0),MATCH(V$920,'Prop. prices'!$I$5:$AB$5,0))</f>
        <v>0</v>
      </c>
      <c r="W1013" s="218">
        <f>INDEX('Prop. prices'!$I$164:$AB$238,MATCH($C1013,'Prop. prices'!$C$164:$C$238,0),MATCH(W$920,'Prop. prices'!$I$5:$AB$5,0))</f>
        <v>0</v>
      </c>
      <c r="X1013" s="218">
        <f>INDEX('Prop. prices'!$I$164:$AB$238,MATCH($C1013,'Prop. prices'!$C$164:$C$238,0),MATCH(X$920,'Prop. prices'!$I$5:$AB$5,0))</f>
        <v>0</v>
      </c>
      <c r="Y1013" s="218">
        <f>INDEX('Prop. prices'!$I$164:$AB$238,MATCH($C1013,'Prop. prices'!$C$164:$C$238,0),MATCH(Y$920,'Prop. prices'!$I$5:$AB$5,0))</f>
        <v>0</v>
      </c>
      <c r="Z1013" s="218">
        <f>INDEX('Prop. prices'!$I$164:$AB$238,MATCH($C1013,'Prop. prices'!$C$164:$C$238,0),MATCH(Z$920,'Prop. prices'!$I$5:$AB$5,0))</f>
        <v>0</v>
      </c>
      <c r="AA1013" s="218">
        <f>INDEX('Prop. prices'!$I$164:$AB$238,MATCH($C1013,'Prop. prices'!$C$164:$C$238,0),MATCH(AA$920,'Prop. prices'!$I$5:$AB$5,0))</f>
        <v>0</v>
      </c>
      <c r="AB1013" s="218">
        <f>INDEX('Prop. prices'!$I$164:$AB$238,MATCH($C1013,'Prop. prices'!$C$164:$C$238,0),MATCH(AB$920,'Prop. prices'!$I$5:$AB$5,0))</f>
        <v>0</v>
      </c>
      <c r="AC1013" s="187"/>
      <c r="AD1013" s="19"/>
      <c r="AE1013" s="19"/>
      <c r="AF1013" s="19"/>
      <c r="AG1013" s="19"/>
    </row>
    <row r="1014" spans="1:33" hidden="1" outlineLevel="3" x14ac:dyDescent="0.2">
      <c r="A1014" s="19"/>
      <c r="B1014" s="19"/>
      <c r="C1014" s="506">
        <f t="shared" si="206"/>
        <v>0</v>
      </c>
      <c r="D1014" s="505">
        <f t="shared" si="206"/>
        <v>0</v>
      </c>
      <c r="E1014" s="58"/>
      <c r="F1014" s="223"/>
      <c r="G1014" s="58"/>
      <c r="H1014" s="58"/>
      <c r="I1014" s="218">
        <f>INDEX('Prop. prices'!$I$164:$AB$238,MATCH($C1014,'Prop. prices'!$C$164:$C$238,0),MATCH(I$920,'Prop. prices'!$I$5:$AB$5,0))</f>
        <v>0</v>
      </c>
      <c r="J1014" s="218">
        <f>INDEX('Prop. prices'!$I$164:$AB$238,MATCH($C1014,'Prop. prices'!$C$164:$C$238,0),MATCH(J$920,'Prop. prices'!$I$5:$AB$5,0))</f>
        <v>0</v>
      </c>
      <c r="K1014" s="218">
        <f>INDEX('Prop. prices'!$I$164:$AB$238,MATCH($C1014,'Prop. prices'!$C$164:$C$238,0),MATCH(K$920,'Prop. prices'!$I$5:$AB$5,0))</f>
        <v>0</v>
      </c>
      <c r="L1014" s="218">
        <f>INDEX('Prop. prices'!$I$164:$AB$238,MATCH($C1014,'Prop. prices'!$C$164:$C$238,0),MATCH(L$920,'Prop. prices'!$I$5:$AB$5,0))</f>
        <v>0</v>
      </c>
      <c r="M1014" s="218">
        <f>INDEX('Prop. prices'!$I$164:$AB$238,MATCH($C1014,'Prop. prices'!$C$164:$C$238,0),MATCH(M$920,'Prop. prices'!$I$5:$AB$5,0))</f>
        <v>0</v>
      </c>
      <c r="N1014" s="218">
        <f>INDEX('Prop. prices'!$I$164:$AB$238,MATCH($C1014,'Prop. prices'!$C$164:$C$238,0),MATCH(N$920,'Prop. prices'!$I$5:$AB$5,0))</f>
        <v>0</v>
      </c>
      <c r="O1014" s="218">
        <f>INDEX('Prop. prices'!$I$164:$AB$238,MATCH($C1014,'Prop. prices'!$C$164:$C$238,0),MATCH(O$920,'Prop. prices'!$I$5:$AB$5,0))</f>
        <v>0</v>
      </c>
      <c r="P1014" s="218">
        <f>INDEX('Prop. prices'!$I$164:$AB$238,MATCH($C1014,'Prop. prices'!$C$164:$C$238,0),MATCH(P$920,'Prop. prices'!$I$5:$AB$5,0))</f>
        <v>0</v>
      </c>
      <c r="Q1014" s="218">
        <f>INDEX('Prop. prices'!$I$164:$AB$238,MATCH($C1014,'Prop. prices'!$C$164:$C$238,0),MATCH(Q$920,'Prop. prices'!$I$5:$AB$5,0))</f>
        <v>0</v>
      </c>
      <c r="R1014" s="218">
        <f>INDEX('Prop. prices'!$I$164:$AB$238,MATCH($C1014,'Prop. prices'!$C$164:$C$238,0),MATCH(R$920,'Prop. prices'!$I$5:$AB$5,0))</f>
        <v>0</v>
      </c>
      <c r="S1014" s="218">
        <f>INDEX('Prop. prices'!$I$164:$AB$238,MATCH($C1014,'Prop. prices'!$C$164:$C$238,0),MATCH(S$920,'Prop. prices'!$I$5:$AB$5,0))</f>
        <v>0</v>
      </c>
      <c r="T1014" s="218">
        <f>INDEX('Prop. prices'!$I$164:$AB$238,MATCH($C1014,'Prop. prices'!$C$164:$C$238,0),MATCH(T$920,'Prop. prices'!$I$5:$AB$5,0))</f>
        <v>0</v>
      </c>
      <c r="U1014" s="218">
        <f>INDEX('Prop. prices'!$I$164:$AB$238,MATCH($C1014,'Prop. prices'!$C$164:$C$238,0),MATCH(U$920,'Prop. prices'!$I$5:$AB$5,0))</f>
        <v>0</v>
      </c>
      <c r="V1014" s="218">
        <f>INDEX('Prop. prices'!$I$164:$AB$238,MATCH($C1014,'Prop. prices'!$C$164:$C$238,0),MATCH(V$920,'Prop. prices'!$I$5:$AB$5,0))</f>
        <v>0</v>
      </c>
      <c r="W1014" s="218">
        <f>INDEX('Prop. prices'!$I$164:$AB$238,MATCH($C1014,'Prop. prices'!$C$164:$C$238,0),MATCH(W$920,'Prop. prices'!$I$5:$AB$5,0))</f>
        <v>0</v>
      </c>
      <c r="X1014" s="218">
        <f>INDEX('Prop. prices'!$I$164:$AB$238,MATCH($C1014,'Prop. prices'!$C$164:$C$238,0),MATCH(X$920,'Prop. prices'!$I$5:$AB$5,0))</f>
        <v>0</v>
      </c>
      <c r="Y1014" s="218">
        <f>INDEX('Prop. prices'!$I$164:$AB$238,MATCH($C1014,'Prop. prices'!$C$164:$C$238,0),MATCH(Y$920,'Prop. prices'!$I$5:$AB$5,0))</f>
        <v>0</v>
      </c>
      <c r="Z1014" s="218">
        <f>INDEX('Prop. prices'!$I$164:$AB$238,MATCH($C1014,'Prop. prices'!$C$164:$C$238,0),MATCH(Z$920,'Prop. prices'!$I$5:$AB$5,0))</f>
        <v>0</v>
      </c>
      <c r="AA1014" s="218">
        <f>INDEX('Prop. prices'!$I$164:$AB$238,MATCH($C1014,'Prop. prices'!$C$164:$C$238,0),MATCH(AA$920,'Prop. prices'!$I$5:$AB$5,0))</f>
        <v>0</v>
      </c>
      <c r="AB1014" s="218">
        <f>INDEX('Prop. prices'!$I$164:$AB$238,MATCH($C1014,'Prop. prices'!$C$164:$C$238,0),MATCH(AB$920,'Prop. prices'!$I$5:$AB$5,0))</f>
        <v>0</v>
      </c>
      <c r="AC1014" s="187"/>
      <c r="AD1014" s="19"/>
      <c r="AE1014" s="19"/>
      <c r="AF1014" s="19"/>
      <c r="AG1014" s="19"/>
    </row>
    <row r="1015" spans="1:33" hidden="1" outlineLevel="3" x14ac:dyDescent="0.2">
      <c r="A1015" s="19"/>
      <c r="B1015" s="19"/>
      <c r="C1015" s="506">
        <f t="shared" si="206"/>
        <v>0</v>
      </c>
      <c r="D1015" s="505">
        <f t="shared" si="206"/>
        <v>0</v>
      </c>
      <c r="E1015" s="58"/>
      <c r="F1015" s="223"/>
      <c r="G1015" s="58"/>
      <c r="H1015" s="58"/>
      <c r="I1015" s="218">
        <f>INDEX('Prop. prices'!$I$164:$AB$238,MATCH($C1015,'Prop. prices'!$C$164:$C$238,0),MATCH(I$920,'Prop. prices'!$I$5:$AB$5,0))</f>
        <v>0</v>
      </c>
      <c r="J1015" s="218">
        <f>INDEX('Prop. prices'!$I$164:$AB$238,MATCH($C1015,'Prop. prices'!$C$164:$C$238,0),MATCH(J$920,'Prop. prices'!$I$5:$AB$5,0))</f>
        <v>0</v>
      </c>
      <c r="K1015" s="218">
        <f>INDEX('Prop. prices'!$I$164:$AB$238,MATCH($C1015,'Prop. prices'!$C$164:$C$238,0),MATCH(K$920,'Prop. prices'!$I$5:$AB$5,0))</f>
        <v>0</v>
      </c>
      <c r="L1015" s="218">
        <f>INDEX('Prop. prices'!$I$164:$AB$238,MATCH($C1015,'Prop. prices'!$C$164:$C$238,0),MATCH(L$920,'Prop. prices'!$I$5:$AB$5,0))</f>
        <v>0</v>
      </c>
      <c r="M1015" s="218">
        <f>INDEX('Prop. prices'!$I$164:$AB$238,MATCH($C1015,'Prop. prices'!$C$164:$C$238,0),MATCH(M$920,'Prop. prices'!$I$5:$AB$5,0))</f>
        <v>0</v>
      </c>
      <c r="N1015" s="218">
        <f>INDEX('Prop. prices'!$I$164:$AB$238,MATCH($C1015,'Prop. prices'!$C$164:$C$238,0),MATCH(N$920,'Prop. prices'!$I$5:$AB$5,0))</f>
        <v>0</v>
      </c>
      <c r="O1015" s="218">
        <f>INDEX('Prop. prices'!$I$164:$AB$238,MATCH($C1015,'Prop. prices'!$C$164:$C$238,0),MATCH(O$920,'Prop. prices'!$I$5:$AB$5,0))</f>
        <v>0</v>
      </c>
      <c r="P1015" s="218">
        <f>INDEX('Prop. prices'!$I$164:$AB$238,MATCH($C1015,'Prop. prices'!$C$164:$C$238,0),MATCH(P$920,'Prop. prices'!$I$5:$AB$5,0))</f>
        <v>0</v>
      </c>
      <c r="Q1015" s="218">
        <f>INDEX('Prop. prices'!$I$164:$AB$238,MATCH($C1015,'Prop. prices'!$C$164:$C$238,0),MATCH(Q$920,'Prop. prices'!$I$5:$AB$5,0))</f>
        <v>0</v>
      </c>
      <c r="R1015" s="218">
        <f>INDEX('Prop. prices'!$I$164:$AB$238,MATCH($C1015,'Prop. prices'!$C$164:$C$238,0),MATCH(R$920,'Prop. prices'!$I$5:$AB$5,0))</f>
        <v>0</v>
      </c>
      <c r="S1015" s="218">
        <f>INDEX('Prop. prices'!$I$164:$AB$238,MATCH($C1015,'Prop. prices'!$C$164:$C$238,0),MATCH(S$920,'Prop. prices'!$I$5:$AB$5,0))</f>
        <v>0</v>
      </c>
      <c r="T1015" s="218">
        <f>INDEX('Prop. prices'!$I$164:$AB$238,MATCH($C1015,'Prop. prices'!$C$164:$C$238,0),MATCH(T$920,'Prop. prices'!$I$5:$AB$5,0))</f>
        <v>0</v>
      </c>
      <c r="U1015" s="218">
        <f>INDEX('Prop. prices'!$I$164:$AB$238,MATCH($C1015,'Prop. prices'!$C$164:$C$238,0),MATCH(U$920,'Prop. prices'!$I$5:$AB$5,0))</f>
        <v>0</v>
      </c>
      <c r="V1015" s="218">
        <f>INDEX('Prop. prices'!$I$164:$AB$238,MATCH($C1015,'Prop. prices'!$C$164:$C$238,0),MATCH(V$920,'Prop. prices'!$I$5:$AB$5,0))</f>
        <v>0</v>
      </c>
      <c r="W1015" s="218">
        <f>INDEX('Prop. prices'!$I$164:$AB$238,MATCH($C1015,'Prop. prices'!$C$164:$C$238,0),MATCH(W$920,'Prop. prices'!$I$5:$AB$5,0))</f>
        <v>0</v>
      </c>
      <c r="X1015" s="218">
        <f>INDEX('Prop. prices'!$I$164:$AB$238,MATCH($C1015,'Prop. prices'!$C$164:$C$238,0),MATCH(X$920,'Prop. prices'!$I$5:$AB$5,0))</f>
        <v>0</v>
      </c>
      <c r="Y1015" s="218">
        <f>INDEX('Prop. prices'!$I$164:$AB$238,MATCH($C1015,'Prop. prices'!$C$164:$C$238,0),MATCH(Y$920,'Prop. prices'!$I$5:$AB$5,0))</f>
        <v>0</v>
      </c>
      <c r="Z1015" s="218">
        <f>INDEX('Prop. prices'!$I$164:$AB$238,MATCH($C1015,'Prop. prices'!$C$164:$C$238,0),MATCH(Z$920,'Prop. prices'!$I$5:$AB$5,0))</f>
        <v>0</v>
      </c>
      <c r="AA1015" s="218">
        <f>INDEX('Prop. prices'!$I$164:$AB$238,MATCH($C1015,'Prop. prices'!$C$164:$C$238,0),MATCH(AA$920,'Prop. prices'!$I$5:$AB$5,0))</f>
        <v>0</v>
      </c>
      <c r="AB1015" s="218">
        <f>INDEX('Prop. prices'!$I$164:$AB$238,MATCH($C1015,'Prop. prices'!$C$164:$C$238,0),MATCH(AB$920,'Prop. prices'!$I$5:$AB$5,0))</f>
        <v>0</v>
      </c>
      <c r="AC1015" s="187"/>
      <c r="AD1015" s="19"/>
      <c r="AE1015" s="19"/>
      <c r="AF1015" s="19"/>
      <c r="AG1015" s="19"/>
    </row>
    <row r="1016" spans="1:33" hidden="1" outlineLevel="3" x14ac:dyDescent="0.2">
      <c r="A1016" s="19"/>
      <c r="B1016" s="19"/>
      <c r="C1016" s="506">
        <f t="shared" si="206"/>
        <v>0</v>
      </c>
      <c r="D1016" s="505">
        <f t="shared" si="206"/>
        <v>0</v>
      </c>
      <c r="E1016" s="58"/>
      <c r="F1016" s="223"/>
      <c r="G1016" s="58"/>
      <c r="H1016" s="58"/>
      <c r="I1016" s="218">
        <f>INDEX('Prop. prices'!$I$164:$AB$238,MATCH($C1016,'Prop. prices'!$C$164:$C$238,0),MATCH(I$920,'Prop. prices'!$I$5:$AB$5,0))</f>
        <v>0</v>
      </c>
      <c r="J1016" s="218">
        <f>INDEX('Prop. prices'!$I$164:$AB$238,MATCH($C1016,'Prop. prices'!$C$164:$C$238,0),MATCH(J$920,'Prop. prices'!$I$5:$AB$5,0))</f>
        <v>0</v>
      </c>
      <c r="K1016" s="218">
        <f>INDEX('Prop. prices'!$I$164:$AB$238,MATCH($C1016,'Prop. prices'!$C$164:$C$238,0),MATCH(K$920,'Prop. prices'!$I$5:$AB$5,0))</f>
        <v>0</v>
      </c>
      <c r="L1016" s="218">
        <f>INDEX('Prop. prices'!$I$164:$AB$238,MATCH($C1016,'Prop. prices'!$C$164:$C$238,0),MATCH(L$920,'Prop. prices'!$I$5:$AB$5,0))</f>
        <v>0</v>
      </c>
      <c r="M1016" s="218">
        <f>INDEX('Prop. prices'!$I$164:$AB$238,MATCH($C1016,'Prop. prices'!$C$164:$C$238,0),MATCH(M$920,'Prop. prices'!$I$5:$AB$5,0))</f>
        <v>0</v>
      </c>
      <c r="N1016" s="218">
        <f>INDEX('Prop. prices'!$I$164:$AB$238,MATCH($C1016,'Prop. prices'!$C$164:$C$238,0),MATCH(N$920,'Prop. prices'!$I$5:$AB$5,0))</f>
        <v>0</v>
      </c>
      <c r="O1016" s="218">
        <f>INDEX('Prop. prices'!$I$164:$AB$238,MATCH($C1016,'Prop. prices'!$C$164:$C$238,0),MATCH(O$920,'Prop. prices'!$I$5:$AB$5,0))</f>
        <v>0</v>
      </c>
      <c r="P1016" s="218">
        <f>INDEX('Prop. prices'!$I$164:$AB$238,MATCH($C1016,'Prop. prices'!$C$164:$C$238,0),MATCH(P$920,'Prop. prices'!$I$5:$AB$5,0))</f>
        <v>0</v>
      </c>
      <c r="Q1016" s="218">
        <f>INDEX('Prop. prices'!$I$164:$AB$238,MATCH($C1016,'Prop. prices'!$C$164:$C$238,0),MATCH(Q$920,'Prop. prices'!$I$5:$AB$5,0))</f>
        <v>0</v>
      </c>
      <c r="R1016" s="218">
        <f>INDEX('Prop. prices'!$I$164:$AB$238,MATCH($C1016,'Prop. prices'!$C$164:$C$238,0),MATCH(R$920,'Prop. prices'!$I$5:$AB$5,0))</f>
        <v>0</v>
      </c>
      <c r="S1016" s="218">
        <f>INDEX('Prop. prices'!$I$164:$AB$238,MATCH($C1016,'Prop. prices'!$C$164:$C$238,0),MATCH(S$920,'Prop. prices'!$I$5:$AB$5,0))</f>
        <v>0</v>
      </c>
      <c r="T1016" s="218">
        <f>INDEX('Prop. prices'!$I$164:$AB$238,MATCH($C1016,'Prop. prices'!$C$164:$C$238,0),MATCH(T$920,'Prop. prices'!$I$5:$AB$5,0))</f>
        <v>0</v>
      </c>
      <c r="U1016" s="218">
        <f>INDEX('Prop. prices'!$I$164:$AB$238,MATCH($C1016,'Prop. prices'!$C$164:$C$238,0),MATCH(U$920,'Prop. prices'!$I$5:$AB$5,0))</f>
        <v>0</v>
      </c>
      <c r="V1016" s="218">
        <f>INDEX('Prop. prices'!$I$164:$AB$238,MATCH($C1016,'Prop. prices'!$C$164:$C$238,0),MATCH(V$920,'Prop. prices'!$I$5:$AB$5,0))</f>
        <v>0</v>
      </c>
      <c r="W1016" s="218">
        <f>INDEX('Prop. prices'!$I$164:$AB$238,MATCH($C1016,'Prop. prices'!$C$164:$C$238,0),MATCH(W$920,'Prop. prices'!$I$5:$AB$5,0))</f>
        <v>0</v>
      </c>
      <c r="X1016" s="218">
        <f>INDEX('Prop. prices'!$I$164:$AB$238,MATCH($C1016,'Prop. prices'!$C$164:$C$238,0),MATCH(X$920,'Prop. prices'!$I$5:$AB$5,0))</f>
        <v>0</v>
      </c>
      <c r="Y1016" s="218">
        <f>INDEX('Prop. prices'!$I$164:$AB$238,MATCH($C1016,'Prop. prices'!$C$164:$C$238,0),MATCH(Y$920,'Prop. prices'!$I$5:$AB$5,0))</f>
        <v>0</v>
      </c>
      <c r="Z1016" s="218">
        <f>INDEX('Prop. prices'!$I$164:$AB$238,MATCH($C1016,'Prop. prices'!$C$164:$C$238,0),MATCH(Z$920,'Prop. prices'!$I$5:$AB$5,0))</f>
        <v>0</v>
      </c>
      <c r="AA1016" s="218">
        <f>INDEX('Prop. prices'!$I$164:$AB$238,MATCH($C1016,'Prop. prices'!$C$164:$C$238,0),MATCH(AA$920,'Prop. prices'!$I$5:$AB$5,0))</f>
        <v>0</v>
      </c>
      <c r="AB1016" s="218">
        <f>INDEX('Prop. prices'!$I$164:$AB$238,MATCH($C1016,'Prop. prices'!$C$164:$C$238,0),MATCH(AB$920,'Prop. prices'!$I$5:$AB$5,0))</f>
        <v>0</v>
      </c>
      <c r="AC1016" s="187"/>
      <c r="AD1016" s="19"/>
      <c r="AE1016" s="19"/>
      <c r="AF1016" s="19"/>
      <c r="AG1016" s="19"/>
    </row>
    <row r="1017" spans="1:33" hidden="1" outlineLevel="3" x14ac:dyDescent="0.2">
      <c r="A1017" s="19"/>
      <c r="B1017" s="19"/>
      <c r="C1017" s="506">
        <f t="shared" si="206"/>
        <v>0</v>
      </c>
      <c r="D1017" s="505">
        <f t="shared" si="206"/>
        <v>0</v>
      </c>
      <c r="E1017" s="58"/>
      <c r="F1017" s="223"/>
      <c r="G1017" s="58"/>
      <c r="H1017" s="58"/>
      <c r="I1017" s="218">
        <f>INDEX('Prop. prices'!$I$164:$AB$238,MATCH($C1017,'Prop. prices'!$C$164:$C$238,0),MATCH(I$920,'Prop. prices'!$I$5:$AB$5,0))</f>
        <v>0</v>
      </c>
      <c r="J1017" s="218">
        <f>INDEX('Prop. prices'!$I$164:$AB$238,MATCH($C1017,'Prop. prices'!$C$164:$C$238,0),MATCH(J$920,'Prop. prices'!$I$5:$AB$5,0))</f>
        <v>0</v>
      </c>
      <c r="K1017" s="218">
        <f>INDEX('Prop. prices'!$I$164:$AB$238,MATCH($C1017,'Prop. prices'!$C$164:$C$238,0),MATCH(K$920,'Prop. prices'!$I$5:$AB$5,0))</f>
        <v>0</v>
      </c>
      <c r="L1017" s="218">
        <f>INDEX('Prop. prices'!$I$164:$AB$238,MATCH($C1017,'Prop. prices'!$C$164:$C$238,0),MATCH(L$920,'Prop. prices'!$I$5:$AB$5,0))</f>
        <v>0</v>
      </c>
      <c r="M1017" s="218">
        <f>INDEX('Prop. prices'!$I$164:$AB$238,MATCH($C1017,'Prop. prices'!$C$164:$C$238,0),MATCH(M$920,'Prop. prices'!$I$5:$AB$5,0))</f>
        <v>0</v>
      </c>
      <c r="N1017" s="218">
        <f>INDEX('Prop. prices'!$I$164:$AB$238,MATCH($C1017,'Prop. prices'!$C$164:$C$238,0),MATCH(N$920,'Prop. prices'!$I$5:$AB$5,0))</f>
        <v>0</v>
      </c>
      <c r="O1017" s="218">
        <f>INDEX('Prop. prices'!$I$164:$AB$238,MATCH($C1017,'Prop. prices'!$C$164:$C$238,0),MATCH(O$920,'Prop. prices'!$I$5:$AB$5,0))</f>
        <v>0</v>
      </c>
      <c r="P1017" s="218">
        <f>INDEX('Prop. prices'!$I$164:$AB$238,MATCH($C1017,'Prop. prices'!$C$164:$C$238,0),MATCH(P$920,'Prop. prices'!$I$5:$AB$5,0))</f>
        <v>0</v>
      </c>
      <c r="Q1017" s="218">
        <f>INDEX('Prop. prices'!$I$164:$AB$238,MATCH($C1017,'Prop. prices'!$C$164:$C$238,0),MATCH(Q$920,'Prop. prices'!$I$5:$AB$5,0))</f>
        <v>0</v>
      </c>
      <c r="R1017" s="218">
        <f>INDEX('Prop. prices'!$I$164:$AB$238,MATCH($C1017,'Prop. prices'!$C$164:$C$238,0),MATCH(R$920,'Prop. prices'!$I$5:$AB$5,0))</f>
        <v>0</v>
      </c>
      <c r="S1017" s="218">
        <f>INDEX('Prop. prices'!$I$164:$AB$238,MATCH($C1017,'Prop. prices'!$C$164:$C$238,0),MATCH(S$920,'Prop. prices'!$I$5:$AB$5,0))</f>
        <v>0</v>
      </c>
      <c r="T1017" s="218">
        <f>INDEX('Prop. prices'!$I$164:$AB$238,MATCH($C1017,'Prop. prices'!$C$164:$C$238,0),MATCH(T$920,'Prop. prices'!$I$5:$AB$5,0))</f>
        <v>0</v>
      </c>
      <c r="U1017" s="218">
        <f>INDEX('Prop. prices'!$I$164:$AB$238,MATCH($C1017,'Prop. prices'!$C$164:$C$238,0),MATCH(U$920,'Prop. prices'!$I$5:$AB$5,0))</f>
        <v>0</v>
      </c>
      <c r="V1017" s="218">
        <f>INDEX('Prop. prices'!$I$164:$AB$238,MATCH($C1017,'Prop. prices'!$C$164:$C$238,0),MATCH(V$920,'Prop. prices'!$I$5:$AB$5,0))</f>
        <v>0</v>
      </c>
      <c r="W1017" s="218">
        <f>INDEX('Prop. prices'!$I$164:$AB$238,MATCH($C1017,'Prop. prices'!$C$164:$C$238,0),MATCH(W$920,'Prop. prices'!$I$5:$AB$5,0))</f>
        <v>0</v>
      </c>
      <c r="X1017" s="218">
        <f>INDEX('Prop. prices'!$I$164:$AB$238,MATCH($C1017,'Prop. prices'!$C$164:$C$238,0),MATCH(X$920,'Prop. prices'!$I$5:$AB$5,0))</f>
        <v>0</v>
      </c>
      <c r="Y1017" s="218">
        <f>INDEX('Prop. prices'!$I$164:$AB$238,MATCH($C1017,'Prop. prices'!$C$164:$C$238,0),MATCH(Y$920,'Prop. prices'!$I$5:$AB$5,0))</f>
        <v>0</v>
      </c>
      <c r="Z1017" s="218">
        <f>INDEX('Prop. prices'!$I$164:$AB$238,MATCH($C1017,'Prop. prices'!$C$164:$C$238,0),MATCH(Z$920,'Prop. prices'!$I$5:$AB$5,0))</f>
        <v>0</v>
      </c>
      <c r="AA1017" s="218">
        <f>INDEX('Prop. prices'!$I$164:$AB$238,MATCH($C1017,'Prop. prices'!$C$164:$C$238,0),MATCH(AA$920,'Prop. prices'!$I$5:$AB$5,0))</f>
        <v>0</v>
      </c>
      <c r="AB1017" s="218">
        <f>INDEX('Prop. prices'!$I$164:$AB$238,MATCH($C1017,'Prop. prices'!$C$164:$C$238,0),MATCH(AB$920,'Prop. prices'!$I$5:$AB$5,0))</f>
        <v>0</v>
      </c>
      <c r="AC1017" s="187"/>
      <c r="AD1017" s="19"/>
      <c r="AE1017" s="19"/>
      <c r="AF1017" s="19"/>
      <c r="AG1017" s="19"/>
    </row>
    <row r="1018" spans="1:33" hidden="1" outlineLevel="3" x14ac:dyDescent="0.2">
      <c r="A1018" s="19"/>
      <c r="B1018" s="19"/>
      <c r="C1018" s="506">
        <f t="shared" si="206"/>
        <v>0</v>
      </c>
      <c r="D1018" s="505">
        <f t="shared" si="206"/>
        <v>0</v>
      </c>
      <c r="E1018" s="58"/>
      <c r="F1018" s="223"/>
      <c r="G1018" s="58"/>
      <c r="H1018" s="58"/>
      <c r="I1018" s="218">
        <f>INDEX('Prop. prices'!$I$164:$AB$238,MATCH($C1018,'Prop. prices'!$C$164:$C$238,0),MATCH(I$920,'Prop. prices'!$I$5:$AB$5,0))</f>
        <v>0</v>
      </c>
      <c r="J1018" s="218">
        <f>INDEX('Prop. prices'!$I$164:$AB$238,MATCH($C1018,'Prop. prices'!$C$164:$C$238,0),MATCH(J$920,'Prop. prices'!$I$5:$AB$5,0))</f>
        <v>0</v>
      </c>
      <c r="K1018" s="218">
        <f>INDEX('Prop. prices'!$I$164:$AB$238,MATCH($C1018,'Prop. prices'!$C$164:$C$238,0),MATCH(K$920,'Prop. prices'!$I$5:$AB$5,0))</f>
        <v>0</v>
      </c>
      <c r="L1018" s="218">
        <f>INDEX('Prop. prices'!$I$164:$AB$238,MATCH($C1018,'Prop. prices'!$C$164:$C$238,0),MATCH(L$920,'Prop. prices'!$I$5:$AB$5,0))</f>
        <v>0</v>
      </c>
      <c r="M1018" s="218">
        <f>INDEX('Prop. prices'!$I$164:$AB$238,MATCH($C1018,'Prop. prices'!$C$164:$C$238,0),MATCH(M$920,'Prop. prices'!$I$5:$AB$5,0))</f>
        <v>0</v>
      </c>
      <c r="N1018" s="218">
        <f>INDEX('Prop. prices'!$I$164:$AB$238,MATCH($C1018,'Prop. prices'!$C$164:$C$238,0),MATCH(N$920,'Prop. prices'!$I$5:$AB$5,0))</f>
        <v>0</v>
      </c>
      <c r="O1018" s="218">
        <f>INDEX('Prop. prices'!$I$164:$AB$238,MATCH($C1018,'Prop. prices'!$C$164:$C$238,0),MATCH(O$920,'Prop. prices'!$I$5:$AB$5,0))</f>
        <v>0</v>
      </c>
      <c r="P1018" s="218">
        <f>INDEX('Prop. prices'!$I$164:$AB$238,MATCH($C1018,'Prop. prices'!$C$164:$C$238,0),MATCH(P$920,'Prop. prices'!$I$5:$AB$5,0))</f>
        <v>0</v>
      </c>
      <c r="Q1018" s="218">
        <f>INDEX('Prop. prices'!$I$164:$AB$238,MATCH($C1018,'Prop. prices'!$C$164:$C$238,0),MATCH(Q$920,'Prop. prices'!$I$5:$AB$5,0))</f>
        <v>0</v>
      </c>
      <c r="R1018" s="218">
        <f>INDEX('Prop. prices'!$I$164:$AB$238,MATCH($C1018,'Prop. prices'!$C$164:$C$238,0),MATCH(R$920,'Prop. prices'!$I$5:$AB$5,0))</f>
        <v>0</v>
      </c>
      <c r="S1018" s="218">
        <f>INDEX('Prop. prices'!$I$164:$AB$238,MATCH($C1018,'Prop. prices'!$C$164:$C$238,0),MATCH(S$920,'Prop. prices'!$I$5:$AB$5,0))</f>
        <v>0</v>
      </c>
      <c r="T1018" s="218">
        <f>INDEX('Prop. prices'!$I$164:$AB$238,MATCH($C1018,'Prop. prices'!$C$164:$C$238,0),MATCH(T$920,'Prop. prices'!$I$5:$AB$5,0))</f>
        <v>0</v>
      </c>
      <c r="U1018" s="218">
        <f>INDEX('Prop. prices'!$I$164:$AB$238,MATCH($C1018,'Prop. prices'!$C$164:$C$238,0),MATCH(U$920,'Prop. prices'!$I$5:$AB$5,0))</f>
        <v>0</v>
      </c>
      <c r="V1018" s="218">
        <f>INDEX('Prop. prices'!$I$164:$AB$238,MATCH($C1018,'Prop. prices'!$C$164:$C$238,0),MATCH(V$920,'Prop. prices'!$I$5:$AB$5,0))</f>
        <v>0</v>
      </c>
      <c r="W1018" s="218">
        <f>INDEX('Prop. prices'!$I$164:$AB$238,MATCH($C1018,'Prop. prices'!$C$164:$C$238,0),MATCH(W$920,'Prop. prices'!$I$5:$AB$5,0))</f>
        <v>0</v>
      </c>
      <c r="X1018" s="218">
        <f>INDEX('Prop. prices'!$I$164:$AB$238,MATCH($C1018,'Prop. prices'!$C$164:$C$238,0),MATCH(X$920,'Prop. prices'!$I$5:$AB$5,0))</f>
        <v>0</v>
      </c>
      <c r="Y1018" s="218">
        <f>INDEX('Prop. prices'!$I$164:$AB$238,MATCH($C1018,'Prop. prices'!$C$164:$C$238,0),MATCH(Y$920,'Prop. prices'!$I$5:$AB$5,0))</f>
        <v>0</v>
      </c>
      <c r="Z1018" s="218">
        <f>INDEX('Prop. prices'!$I$164:$AB$238,MATCH($C1018,'Prop. prices'!$C$164:$C$238,0),MATCH(Z$920,'Prop. prices'!$I$5:$AB$5,0))</f>
        <v>0</v>
      </c>
      <c r="AA1018" s="218">
        <f>INDEX('Prop. prices'!$I$164:$AB$238,MATCH($C1018,'Prop. prices'!$C$164:$C$238,0),MATCH(AA$920,'Prop. prices'!$I$5:$AB$5,0))</f>
        <v>0</v>
      </c>
      <c r="AB1018" s="218">
        <f>INDEX('Prop. prices'!$I$164:$AB$238,MATCH($C1018,'Prop. prices'!$C$164:$C$238,0),MATCH(AB$920,'Prop. prices'!$I$5:$AB$5,0))</f>
        <v>0</v>
      </c>
      <c r="AC1018" s="187"/>
      <c r="AD1018" s="19"/>
      <c r="AE1018" s="19"/>
      <c r="AF1018" s="19"/>
      <c r="AG1018" s="19"/>
    </row>
    <row r="1019" spans="1:33" hidden="1" outlineLevel="2" collapsed="1" x14ac:dyDescent="0.2">
      <c r="A1019" s="19"/>
      <c r="B1019" s="19"/>
      <c r="C1019" s="538"/>
      <c r="D1019" s="536"/>
      <c r="E1019" s="58"/>
      <c r="F1019" s="66"/>
      <c r="G1019" s="58"/>
      <c r="H1019" s="58"/>
      <c r="I1019" s="186"/>
      <c r="J1019" s="186"/>
      <c r="K1019" s="187"/>
      <c r="L1019" s="187"/>
      <c r="M1019" s="187"/>
      <c r="N1019" s="188"/>
      <c r="O1019" s="188"/>
      <c r="P1019" s="188"/>
      <c r="Q1019" s="188"/>
      <c r="R1019" s="188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9"/>
      <c r="AE1019" s="19"/>
      <c r="AF1019" s="19"/>
      <c r="AG1019" s="19"/>
    </row>
    <row r="1020" spans="1:33" outlineLevel="1" collapsed="1" x14ac:dyDescent="0.2">
      <c r="A1020" s="19"/>
      <c r="B1020" s="19"/>
      <c r="C1020" s="66"/>
      <c r="D1020" s="58"/>
      <c r="E1020" s="58"/>
      <c r="F1020" s="66"/>
      <c r="G1020" s="58"/>
      <c r="H1020" s="58"/>
      <c r="I1020" s="58"/>
      <c r="J1020" s="58"/>
      <c r="K1020" s="20"/>
      <c r="L1020" s="20"/>
      <c r="M1020" s="20"/>
      <c r="N1020" s="37"/>
      <c r="O1020" s="37"/>
      <c r="P1020" s="37"/>
      <c r="Q1020" s="37"/>
      <c r="R1020" s="37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</row>
    <row r="1021" spans="1:33" x14ac:dyDescent="0.2">
      <c r="A1021" s="19"/>
      <c r="B1021" s="19"/>
      <c r="C1021" s="36"/>
      <c r="D1021" s="20"/>
      <c r="E1021" s="20"/>
      <c r="F1021" s="36"/>
      <c r="G1021" s="22"/>
      <c r="H1021" s="22"/>
      <c r="I1021" s="22"/>
      <c r="J1021" s="20"/>
      <c r="K1021" s="20"/>
      <c r="L1021" s="20"/>
      <c r="M1021" s="20"/>
      <c r="N1021" s="37"/>
      <c r="O1021" s="37"/>
      <c r="P1021" s="37"/>
      <c r="Q1021" s="37"/>
      <c r="R1021" s="37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</row>
    <row r="1022" spans="1:33" ht="12.75" x14ac:dyDescent="0.2">
      <c r="A1022" s="11"/>
      <c r="B1022" s="12" t="s">
        <v>567</v>
      </c>
      <c r="C1022" s="11"/>
      <c r="D1022" s="32" t="s">
        <v>258</v>
      </c>
      <c r="E1022" s="32"/>
      <c r="F1022" s="63"/>
      <c r="G1022" s="63"/>
      <c r="H1022" s="33"/>
      <c r="I1022" s="169" t="str">
        <f t="shared" ref="I1022:AB1022" si="207">I5</f>
        <v>Service</v>
      </c>
      <c r="J1022" s="169" t="str">
        <f t="shared" si="207"/>
        <v>All energy</v>
      </c>
      <c r="K1022" s="169" t="str">
        <f t="shared" si="207"/>
        <v>Peak energy</v>
      </c>
      <c r="L1022" s="169" t="str">
        <f t="shared" si="207"/>
        <v>Shoulder energy</v>
      </c>
      <c r="M1022" s="169" t="str">
        <f t="shared" si="207"/>
        <v>Off-peak energy</v>
      </c>
      <c r="N1022" s="169">
        <f t="shared" si="207"/>
        <v>0</v>
      </c>
      <c r="O1022" s="169">
        <f t="shared" si="207"/>
        <v>0</v>
      </c>
      <c r="P1022" s="169">
        <f t="shared" si="207"/>
        <v>0</v>
      </c>
      <c r="Q1022" s="169">
        <f t="shared" si="207"/>
        <v>0</v>
      </c>
      <c r="R1022" s="169">
        <f t="shared" si="207"/>
        <v>0</v>
      </c>
      <c r="S1022" s="169">
        <f t="shared" si="207"/>
        <v>0</v>
      </c>
      <c r="T1022" s="169">
        <f t="shared" si="207"/>
        <v>0</v>
      </c>
      <c r="U1022" s="169">
        <f t="shared" si="207"/>
        <v>0</v>
      </c>
      <c r="V1022" s="169">
        <f t="shared" si="207"/>
        <v>0</v>
      </c>
      <c r="W1022" s="169">
        <f t="shared" si="207"/>
        <v>0</v>
      </c>
      <c r="X1022" s="169">
        <f t="shared" si="207"/>
        <v>0</v>
      </c>
      <c r="Y1022" s="169">
        <f t="shared" si="207"/>
        <v>0</v>
      </c>
      <c r="Z1022" s="169">
        <f t="shared" si="207"/>
        <v>0</v>
      </c>
      <c r="AA1022" s="169">
        <f t="shared" si="207"/>
        <v>0</v>
      </c>
      <c r="AB1022" s="169">
        <f t="shared" si="207"/>
        <v>0</v>
      </c>
      <c r="AC1022" s="64"/>
      <c r="AD1022" s="15"/>
      <c r="AE1022" s="15"/>
      <c r="AF1022" s="15"/>
      <c r="AG1022" s="15"/>
    </row>
    <row r="1023" spans="1:33" outlineLevel="1" x14ac:dyDescent="0.2">
      <c r="A1023" s="19"/>
      <c r="B1023" s="19"/>
      <c r="C1023" s="36"/>
      <c r="D1023" s="20"/>
      <c r="E1023" s="20"/>
      <c r="F1023" s="36"/>
      <c r="G1023" s="22"/>
      <c r="H1023" s="22"/>
      <c r="I1023" s="170" t="str">
        <f>I819</f>
        <v>cents/day</v>
      </c>
      <c r="J1023" s="170" t="str">
        <f t="shared" ref="J1023:AB1023" si="208">J819</f>
        <v>cents/kWh</v>
      </c>
      <c r="K1023" s="170" t="str">
        <f t="shared" si="208"/>
        <v>cents/kWh</v>
      </c>
      <c r="L1023" s="170" t="str">
        <f t="shared" si="208"/>
        <v>cents/kWh</v>
      </c>
      <c r="M1023" s="170" t="str">
        <f t="shared" si="208"/>
        <v>cents/kWh</v>
      </c>
      <c r="N1023" s="170">
        <f t="shared" si="208"/>
        <v>0</v>
      </c>
      <c r="O1023" s="170">
        <f t="shared" si="208"/>
        <v>0</v>
      </c>
      <c r="P1023" s="170">
        <f t="shared" si="208"/>
        <v>0</v>
      </c>
      <c r="Q1023" s="170">
        <f t="shared" si="208"/>
        <v>0</v>
      </c>
      <c r="R1023" s="170">
        <f t="shared" si="208"/>
        <v>0</v>
      </c>
      <c r="S1023" s="170">
        <f t="shared" si="208"/>
        <v>0</v>
      </c>
      <c r="T1023" s="170">
        <f t="shared" si="208"/>
        <v>0</v>
      </c>
      <c r="U1023" s="170">
        <f t="shared" si="208"/>
        <v>0</v>
      </c>
      <c r="V1023" s="170">
        <f t="shared" si="208"/>
        <v>0</v>
      </c>
      <c r="W1023" s="170">
        <f t="shared" si="208"/>
        <v>0</v>
      </c>
      <c r="X1023" s="170">
        <f t="shared" si="208"/>
        <v>0</v>
      </c>
      <c r="Y1023" s="170">
        <f t="shared" si="208"/>
        <v>0</v>
      </c>
      <c r="Z1023" s="170">
        <f t="shared" si="208"/>
        <v>0</v>
      </c>
      <c r="AA1023" s="170">
        <f t="shared" si="208"/>
        <v>0</v>
      </c>
      <c r="AB1023" s="170">
        <f t="shared" si="208"/>
        <v>0</v>
      </c>
      <c r="AC1023" s="19"/>
      <c r="AD1023" s="19"/>
      <c r="AE1023" s="19"/>
      <c r="AF1023" s="19"/>
      <c r="AG1023" s="19"/>
    </row>
    <row r="1024" spans="1:33" outlineLevel="1" x14ac:dyDescent="0.2">
      <c r="A1024" s="19"/>
      <c r="B1024" s="19"/>
      <c r="C1024" s="167" t="s">
        <v>136</v>
      </c>
      <c r="D1024" s="512"/>
      <c r="E1024" s="20"/>
      <c r="F1024" s="167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19"/>
      <c r="AD1024" s="19"/>
      <c r="AE1024" s="19"/>
      <c r="AF1024" s="19"/>
      <c r="AG1024" s="19"/>
    </row>
    <row r="1025" spans="1:33" outlineLevel="2" x14ac:dyDescent="0.2">
      <c r="A1025" s="19"/>
      <c r="B1025" s="97"/>
      <c r="C1025" s="506" t="str">
        <f>C683</f>
        <v>Residential time of use consumption</v>
      </c>
      <c r="D1025" s="505" t="str">
        <f t="shared" ref="D1025:D1054" si="209">E77</f>
        <v>yes</v>
      </c>
      <c r="E1025" s="20"/>
      <c r="F1025" s="223"/>
      <c r="G1025" s="22"/>
      <c r="H1025" s="22"/>
      <c r="I1025" s="218">
        <f>INDEX('Hist. prices'!$I$8:$AB$82,MATCH($C1025,'Hist. prices'!$C$8:$C$82,0),MATCH(I$1022,'Hist. prices'!$I$5:$AB$5,0))</f>
        <v>57.600999999999999</v>
      </c>
      <c r="J1025" s="218">
        <f>INDEX('Hist. prices'!$I$8:$AB$82,MATCH($C1025,'Hist. prices'!$C$8:$C$82,0),MATCH(J$1022,'Hist. prices'!$I$5:$AB$5,0))</f>
        <v>0</v>
      </c>
      <c r="K1025" s="218">
        <f>INDEX('Hist. prices'!$I$8:$AB$82,MATCH($C1025,'Hist. prices'!$C$8:$C$82,0),MATCH(K$1022,'Hist. prices'!$I$5:$AB$5,0))</f>
        <v>11.29</v>
      </c>
      <c r="L1025" s="218">
        <f>INDEX('Hist. prices'!$I$8:$AB$82,MATCH($C1025,'Hist. prices'!$C$8:$C$82,0),MATCH(L$1022,'Hist. prices'!$I$5:$AB$5,0))</f>
        <v>0</v>
      </c>
      <c r="M1025" s="218">
        <f>INDEX('Hist. prices'!$I$8:$AB$82,MATCH($C1025,'Hist. prices'!$C$8:$C$82,0),MATCH(M$1022,'Hist. prices'!$I$5:$AB$5,0))</f>
        <v>2.202</v>
      </c>
      <c r="N1025" s="218">
        <f>INDEX('Hist. prices'!$I$8:$AB$82,MATCH($C1025,'Hist. prices'!$C$8:$C$82,0),MATCH(N$1022,'Hist. prices'!$I$5:$AB$5,0))</f>
        <v>0</v>
      </c>
      <c r="O1025" s="218">
        <f>INDEX('Hist. prices'!$I$8:$AB$82,MATCH($C1025,'Hist. prices'!$C$8:$C$82,0),MATCH(O$1022,'Hist. prices'!$I$5:$AB$5,0))</f>
        <v>0</v>
      </c>
      <c r="P1025" s="218">
        <f>INDEX('Hist. prices'!$I$8:$AB$82,MATCH($C1025,'Hist. prices'!$C$8:$C$82,0),MATCH(P$1022,'Hist. prices'!$I$5:$AB$5,0))</f>
        <v>0</v>
      </c>
      <c r="Q1025" s="218">
        <f>INDEX('Hist. prices'!$I$8:$AB$82,MATCH($C1025,'Hist. prices'!$C$8:$C$82,0),MATCH(Q$1022,'Hist. prices'!$I$5:$AB$5,0))</f>
        <v>0</v>
      </c>
      <c r="R1025" s="218">
        <f>INDEX('Hist. prices'!$I$8:$AB$82,MATCH($C1025,'Hist. prices'!$C$8:$C$82,0),MATCH(R$1022,'Hist. prices'!$I$5:$AB$5,0))</f>
        <v>0</v>
      </c>
      <c r="S1025" s="218">
        <f>INDEX('Hist. prices'!$I$8:$AB$82,MATCH($C1025,'Hist. prices'!$C$8:$C$82,0),MATCH(S$1022,'Hist. prices'!$I$5:$AB$5,0))</f>
        <v>0</v>
      </c>
      <c r="T1025" s="218">
        <f>INDEX('Hist. prices'!$I$8:$AB$82,MATCH($C1025,'Hist. prices'!$C$8:$C$82,0),MATCH(T$1022,'Hist. prices'!$I$5:$AB$5,0))</f>
        <v>0</v>
      </c>
      <c r="U1025" s="218">
        <f>INDEX('Hist. prices'!$I$8:$AB$82,MATCH($C1025,'Hist. prices'!$C$8:$C$82,0),MATCH(U$1022,'Hist. prices'!$I$5:$AB$5,0))</f>
        <v>0</v>
      </c>
      <c r="V1025" s="218">
        <f>INDEX('Hist. prices'!$I$8:$AB$82,MATCH($C1025,'Hist. prices'!$C$8:$C$82,0),MATCH(V$1022,'Hist. prices'!$I$5:$AB$5,0))</f>
        <v>0</v>
      </c>
      <c r="W1025" s="218">
        <f>INDEX('Hist. prices'!$I$8:$AB$82,MATCH($C1025,'Hist. prices'!$C$8:$C$82,0),MATCH(W$1022,'Hist. prices'!$I$5:$AB$5,0))</f>
        <v>0</v>
      </c>
      <c r="X1025" s="218">
        <f>INDEX('Hist. prices'!$I$8:$AB$82,MATCH($C1025,'Hist. prices'!$C$8:$C$82,0),MATCH(X$1022,'Hist. prices'!$I$5:$AB$5,0))</f>
        <v>0</v>
      </c>
      <c r="Y1025" s="218">
        <f>INDEX('Hist. prices'!$I$8:$AB$82,MATCH($C1025,'Hist. prices'!$C$8:$C$82,0),MATCH(Y$1022,'Hist. prices'!$I$5:$AB$5,0))</f>
        <v>0</v>
      </c>
      <c r="Z1025" s="218">
        <f>INDEX('Hist. prices'!$I$8:$AB$82,MATCH($C1025,'Hist. prices'!$C$8:$C$82,0),MATCH(Z$1022,'Hist. prices'!$I$5:$AB$5,0))</f>
        <v>0</v>
      </c>
      <c r="AA1025" s="218">
        <f>INDEX('Hist. prices'!$I$8:$AB$82,MATCH($C1025,'Hist. prices'!$C$8:$C$82,0),MATCH(AA$1022,'Hist. prices'!$I$5:$AB$5,0))</f>
        <v>0</v>
      </c>
      <c r="AB1025" s="218">
        <f>INDEX('Hist. prices'!$I$8:$AB$82,MATCH($C1025,'Hist. prices'!$C$8:$C$82,0),MATCH(AB$1022,'Hist. prices'!$I$5:$AB$5,0))</f>
        <v>0</v>
      </c>
      <c r="AC1025" s="187"/>
      <c r="AD1025" s="19"/>
      <c r="AE1025" s="19"/>
      <c r="AF1025" s="19"/>
      <c r="AG1025" s="19"/>
    </row>
    <row r="1026" spans="1:33" s="59" customFormat="1" outlineLevel="2" x14ac:dyDescent="0.2">
      <c r="A1026" s="57"/>
      <c r="B1026" s="98"/>
      <c r="C1026" s="506" t="str">
        <f t="shared" ref="C1026:C1054" si="210">C684</f>
        <v>Residential general light and power</v>
      </c>
      <c r="D1026" s="505" t="str">
        <f t="shared" si="209"/>
        <v>no</v>
      </c>
      <c r="E1026" s="58"/>
      <c r="F1026" s="223"/>
      <c r="G1026" s="58"/>
      <c r="H1026" s="58"/>
      <c r="I1026" s="218">
        <f>INDEX('Hist. prices'!$I$8:$AB$82,MATCH($C1026,'Hist. prices'!$C$8:$C$82,0),MATCH(I$1022,'Hist. prices'!$I$5:$AB$5,0))</f>
        <v>52.688000000000002</v>
      </c>
      <c r="J1026" s="218">
        <f>INDEX('Hist. prices'!$I$8:$AB$82,MATCH($C1026,'Hist. prices'!$C$8:$C$82,0),MATCH(J$1022,'Hist. prices'!$I$5:$AB$5,0))</f>
        <v>6.532</v>
      </c>
      <c r="K1026" s="218">
        <f>INDEX('Hist. prices'!$I$8:$AB$82,MATCH($C1026,'Hist. prices'!$C$8:$C$82,0),MATCH(K$1022,'Hist. prices'!$I$5:$AB$5,0))</f>
        <v>0</v>
      </c>
      <c r="L1026" s="218">
        <f>INDEX('Hist. prices'!$I$8:$AB$82,MATCH($C1026,'Hist. prices'!$C$8:$C$82,0),MATCH(L$1022,'Hist. prices'!$I$5:$AB$5,0))</f>
        <v>0</v>
      </c>
      <c r="M1026" s="218">
        <f>INDEX('Hist. prices'!$I$8:$AB$82,MATCH($C1026,'Hist. prices'!$C$8:$C$82,0),MATCH(M$1022,'Hist. prices'!$I$5:$AB$5,0))</f>
        <v>0</v>
      </c>
      <c r="N1026" s="218">
        <f>INDEX('Hist. prices'!$I$8:$AB$82,MATCH($C1026,'Hist. prices'!$C$8:$C$82,0),MATCH(N$1022,'Hist. prices'!$I$5:$AB$5,0))</f>
        <v>0</v>
      </c>
      <c r="O1026" s="218">
        <f>INDEX('Hist. prices'!$I$8:$AB$82,MATCH($C1026,'Hist. prices'!$C$8:$C$82,0),MATCH(O$1022,'Hist. prices'!$I$5:$AB$5,0))</f>
        <v>0</v>
      </c>
      <c r="P1026" s="218">
        <f>INDEX('Hist. prices'!$I$8:$AB$82,MATCH($C1026,'Hist. prices'!$C$8:$C$82,0),MATCH(P$1022,'Hist. prices'!$I$5:$AB$5,0))</f>
        <v>0</v>
      </c>
      <c r="Q1026" s="218">
        <f>INDEX('Hist. prices'!$I$8:$AB$82,MATCH($C1026,'Hist. prices'!$C$8:$C$82,0),MATCH(Q$1022,'Hist. prices'!$I$5:$AB$5,0))</f>
        <v>0</v>
      </c>
      <c r="R1026" s="218">
        <f>INDEX('Hist. prices'!$I$8:$AB$82,MATCH($C1026,'Hist. prices'!$C$8:$C$82,0),MATCH(R$1022,'Hist. prices'!$I$5:$AB$5,0))</f>
        <v>0</v>
      </c>
      <c r="S1026" s="218">
        <f>INDEX('Hist. prices'!$I$8:$AB$82,MATCH($C1026,'Hist. prices'!$C$8:$C$82,0),MATCH(S$1022,'Hist. prices'!$I$5:$AB$5,0))</f>
        <v>0</v>
      </c>
      <c r="T1026" s="218">
        <f>INDEX('Hist. prices'!$I$8:$AB$82,MATCH($C1026,'Hist. prices'!$C$8:$C$82,0),MATCH(T$1022,'Hist. prices'!$I$5:$AB$5,0))</f>
        <v>0</v>
      </c>
      <c r="U1026" s="218">
        <f>INDEX('Hist. prices'!$I$8:$AB$82,MATCH($C1026,'Hist. prices'!$C$8:$C$82,0),MATCH(U$1022,'Hist. prices'!$I$5:$AB$5,0))</f>
        <v>0</v>
      </c>
      <c r="V1026" s="218">
        <f>INDEX('Hist. prices'!$I$8:$AB$82,MATCH($C1026,'Hist. prices'!$C$8:$C$82,0),MATCH(V$1022,'Hist. prices'!$I$5:$AB$5,0))</f>
        <v>0</v>
      </c>
      <c r="W1026" s="218">
        <f>INDEX('Hist. prices'!$I$8:$AB$82,MATCH($C1026,'Hist. prices'!$C$8:$C$82,0),MATCH(W$1022,'Hist. prices'!$I$5:$AB$5,0))</f>
        <v>0</v>
      </c>
      <c r="X1026" s="218">
        <f>INDEX('Hist. prices'!$I$8:$AB$82,MATCH($C1026,'Hist. prices'!$C$8:$C$82,0),MATCH(X$1022,'Hist. prices'!$I$5:$AB$5,0))</f>
        <v>0</v>
      </c>
      <c r="Y1026" s="218">
        <f>INDEX('Hist. prices'!$I$8:$AB$82,MATCH($C1026,'Hist. prices'!$C$8:$C$82,0),MATCH(Y$1022,'Hist. prices'!$I$5:$AB$5,0))</f>
        <v>0</v>
      </c>
      <c r="Z1026" s="218">
        <f>INDEX('Hist. prices'!$I$8:$AB$82,MATCH($C1026,'Hist. prices'!$C$8:$C$82,0),MATCH(Z$1022,'Hist. prices'!$I$5:$AB$5,0))</f>
        <v>0</v>
      </c>
      <c r="AA1026" s="218">
        <f>INDEX('Hist. prices'!$I$8:$AB$82,MATCH($C1026,'Hist. prices'!$C$8:$C$82,0),MATCH(AA$1022,'Hist. prices'!$I$5:$AB$5,0))</f>
        <v>0</v>
      </c>
      <c r="AB1026" s="218">
        <f>INDEX('Hist. prices'!$I$8:$AB$82,MATCH($C1026,'Hist. prices'!$C$8:$C$82,0),MATCH(AB$1022,'Hist. prices'!$I$5:$AB$5,0))</f>
        <v>0</v>
      </c>
      <c r="AC1026" s="187"/>
      <c r="AD1026" s="57"/>
      <c r="AE1026" s="57"/>
      <c r="AF1026" s="57"/>
      <c r="AG1026" s="57"/>
    </row>
    <row r="1027" spans="1:33" outlineLevel="2" x14ac:dyDescent="0.2">
      <c r="A1027" s="19"/>
      <c r="B1027" s="97"/>
      <c r="C1027" s="506" t="str">
        <f t="shared" si="210"/>
        <v>Residential pay as you go</v>
      </c>
      <c r="D1027" s="505" t="str">
        <f t="shared" si="209"/>
        <v>no</v>
      </c>
      <c r="E1027" s="58"/>
      <c r="F1027" s="223"/>
      <c r="G1027" s="58"/>
      <c r="H1027" s="58"/>
      <c r="I1027" s="218">
        <f>INDEX('Hist. prices'!$I$8:$AB$82,MATCH($C1027,'Hist. prices'!$C$8:$C$82,0),MATCH(I$1022,'Hist. prices'!$I$5:$AB$5,0))</f>
        <v>53.118000000000002</v>
      </c>
      <c r="J1027" s="218">
        <f>INDEX('Hist. prices'!$I$8:$AB$82,MATCH($C1027,'Hist. prices'!$C$8:$C$82,0),MATCH(J$1022,'Hist. prices'!$I$5:$AB$5,0))</f>
        <v>5.976</v>
      </c>
      <c r="K1027" s="218">
        <f>INDEX('Hist. prices'!$I$8:$AB$82,MATCH($C1027,'Hist. prices'!$C$8:$C$82,0),MATCH(K$1022,'Hist. prices'!$I$5:$AB$5,0))</f>
        <v>0</v>
      </c>
      <c r="L1027" s="218">
        <f>INDEX('Hist. prices'!$I$8:$AB$82,MATCH($C1027,'Hist. prices'!$C$8:$C$82,0),MATCH(L$1022,'Hist. prices'!$I$5:$AB$5,0))</f>
        <v>0</v>
      </c>
      <c r="M1027" s="218">
        <f>INDEX('Hist. prices'!$I$8:$AB$82,MATCH($C1027,'Hist. prices'!$C$8:$C$82,0),MATCH(M$1022,'Hist. prices'!$I$5:$AB$5,0))</f>
        <v>0</v>
      </c>
      <c r="N1027" s="218">
        <f>INDEX('Hist. prices'!$I$8:$AB$82,MATCH($C1027,'Hist. prices'!$C$8:$C$82,0),MATCH(N$1022,'Hist. prices'!$I$5:$AB$5,0))</f>
        <v>0</v>
      </c>
      <c r="O1027" s="218">
        <f>INDEX('Hist. prices'!$I$8:$AB$82,MATCH($C1027,'Hist. prices'!$C$8:$C$82,0),MATCH(O$1022,'Hist. prices'!$I$5:$AB$5,0))</f>
        <v>0</v>
      </c>
      <c r="P1027" s="218">
        <f>INDEX('Hist. prices'!$I$8:$AB$82,MATCH($C1027,'Hist. prices'!$C$8:$C$82,0),MATCH(P$1022,'Hist. prices'!$I$5:$AB$5,0))</f>
        <v>0</v>
      </c>
      <c r="Q1027" s="218">
        <f>INDEX('Hist. prices'!$I$8:$AB$82,MATCH($C1027,'Hist. prices'!$C$8:$C$82,0),MATCH(Q$1022,'Hist. prices'!$I$5:$AB$5,0))</f>
        <v>0</v>
      </c>
      <c r="R1027" s="218">
        <f>INDEX('Hist. prices'!$I$8:$AB$82,MATCH($C1027,'Hist. prices'!$C$8:$C$82,0),MATCH(R$1022,'Hist. prices'!$I$5:$AB$5,0))</f>
        <v>0</v>
      </c>
      <c r="S1027" s="218">
        <f>INDEX('Hist. prices'!$I$8:$AB$82,MATCH($C1027,'Hist. prices'!$C$8:$C$82,0),MATCH(S$1022,'Hist. prices'!$I$5:$AB$5,0))</f>
        <v>0</v>
      </c>
      <c r="T1027" s="218">
        <f>INDEX('Hist. prices'!$I$8:$AB$82,MATCH($C1027,'Hist. prices'!$C$8:$C$82,0),MATCH(T$1022,'Hist. prices'!$I$5:$AB$5,0))</f>
        <v>0</v>
      </c>
      <c r="U1027" s="218">
        <f>INDEX('Hist. prices'!$I$8:$AB$82,MATCH($C1027,'Hist. prices'!$C$8:$C$82,0),MATCH(U$1022,'Hist. prices'!$I$5:$AB$5,0))</f>
        <v>0</v>
      </c>
      <c r="V1027" s="218">
        <f>INDEX('Hist. prices'!$I$8:$AB$82,MATCH($C1027,'Hist. prices'!$C$8:$C$82,0),MATCH(V$1022,'Hist. prices'!$I$5:$AB$5,0))</f>
        <v>0</v>
      </c>
      <c r="W1027" s="218">
        <f>INDEX('Hist. prices'!$I$8:$AB$82,MATCH($C1027,'Hist. prices'!$C$8:$C$82,0),MATCH(W$1022,'Hist. prices'!$I$5:$AB$5,0))</f>
        <v>0</v>
      </c>
      <c r="X1027" s="218">
        <f>INDEX('Hist. prices'!$I$8:$AB$82,MATCH($C1027,'Hist. prices'!$C$8:$C$82,0),MATCH(X$1022,'Hist. prices'!$I$5:$AB$5,0))</f>
        <v>0</v>
      </c>
      <c r="Y1027" s="218">
        <f>INDEX('Hist. prices'!$I$8:$AB$82,MATCH($C1027,'Hist. prices'!$C$8:$C$82,0),MATCH(Y$1022,'Hist. prices'!$I$5:$AB$5,0))</f>
        <v>0</v>
      </c>
      <c r="Z1027" s="218">
        <f>INDEX('Hist. prices'!$I$8:$AB$82,MATCH($C1027,'Hist. prices'!$C$8:$C$82,0),MATCH(Z$1022,'Hist. prices'!$I$5:$AB$5,0))</f>
        <v>0</v>
      </c>
      <c r="AA1027" s="218">
        <f>INDEX('Hist. prices'!$I$8:$AB$82,MATCH($C1027,'Hist. prices'!$C$8:$C$82,0),MATCH(AA$1022,'Hist. prices'!$I$5:$AB$5,0))</f>
        <v>0</v>
      </c>
      <c r="AB1027" s="218">
        <f>INDEX('Hist. prices'!$I$8:$AB$82,MATCH($C1027,'Hist. prices'!$C$8:$C$82,0),MATCH(AB$1022,'Hist. prices'!$I$5:$AB$5,0))</f>
        <v>0</v>
      </c>
      <c r="AC1027" s="187"/>
      <c r="AD1027" s="19"/>
      <c r="AE1027" s="19"/>
      <c r="AF1027" s="19"/>
      <c r="AG1027" s="19"/>
    </row>
    <row r="1028" spans="1:33" outlineLevel="2" x14ac:dyDescent="0.2">
      <c r="A1028" s="19"/>
      <c r="B1028" s="97"/>
      <c r="C1028" s="506" t="str">
        <f t="shared" si="210"/>
        <v>Residential pay as you go time of use</v>
      </c>
      <c r="D1028" s="505" t="str">
        <f t="shared" si="209"/>
        <v>no</v>
      </c>
      <c r="E1028" s="58"/>
      <c r="F1028" s="223"/>
      <c r="G1028" s="58"/>
      <c r="H1028" s="58"/>
      <c r="I1028" s="218">
        <f>INDEX('Hist. prices'!$I$8:$AB$82,MATCH($C1028,'Hist. prices'!$C$8:$C$82,0),MATCH(I$1022,'Hist. prices'!$I$5:$AB$5,0))</f>
        <v>57.600999999999999</v>
      </c>
      <c r="J1028" s="218">
        <f>INDEX('Hist. prices'!$I$8:$AB$82,MATCH($C1028,'Hist. prices'!$C$8:$C$82,0),MATCH(J$1022,'Hist. prices'!$I$5:$AB$5,0))</f>
        <v>0</v>
      </c>
      <c r="K1028" s="218">
        <f>INDEX('Hist. prices'!$I$8:$AB$82,MATCH($C1028,'Hist. prices'!$C$8:$C$82,0),MATCH(K$1022,'Hist. prices'!$I$5:$AB$5,0))</f>
        <v>11.29</v>
      </c>
      <c r="L1028" s="218">
        <f>INDEX('Hist. prices'!$I$8:$AB$82,MATCH($C1028,'Hist. prices'!$C$8:$C$82,0),MATCH(L$1022,'Hist. prices'!$I$5:$AB$5,0))</f>
        <v>0</v>
      </c>
      <c r="M1028" s="218">
        <f>INDEX('Hist. prices'!$I$8:$AB$82,MATCH($C1028,'Hist. prices'!$C$8:$C$82,0),MATCH(M$1022,'Hist. prices'!$I$5:$AB$5,0))</f>
        <v>2.202</v>
      </c>
      <c r="N1028" s="218">
        <f>INDEX('Hist. prices'!$I$8:$AB$82,MATCH($C1028,'Hist. prices'!$C$8:$C$82,0),MATCH(N$1022,'Hist. prices'!$I$5:$AB$5,0))</f>
        <v>0</v>
      </c>
      <c r="O1028" s="218">
        <f>INDEX('Hist. prices'!$I$8:$AB$82,MATCH($C1028,'Hist. prices'!$C$8:$C$82,0),MATCH(O$1022,'Hist. prices'!$I$5:$AB$5,0))</f>
        <v>0</v>
      </c>
      <c r="P1028" s="218">
        <f>INDEX('Hist. prices'!$I$8:$AB$82,MATCH($C1028,'Hist. prices'!$C$8:$C$82,0),MATCH(P$1022,'Hist. prices'!$I$5:$AB$5,0))</f>
        <v>0</v>
      </c>
      <c r="Q1028" s="218">
        <f>INDEX('Hist. prices'!$I$8:$AB$82,MATCH($C1028,'Hist. prices'!$C$8:$C$82,0),MATCH(Q$1022,'Hist. prices'!$I$5:$AB$5,0))</f>
        <v>0</v>
      </c>
      <c r="R1028" s="218">
        <f>INDEX('Hist. prices'!$I$8:$AB$82,MATCH($C1028,'Hist. prices'!$C$8:$C$82,0),MATCH(R$1022,'Hist. prices'!$I$5:$AB$5,0))</f>
        <v>0</v>
      </c>
      <c r="S1028" s="218">
        <f>INDEX('Hist. prices'!$I$8:$AB$82,MATCH($C1028,'Hist. prices'!$C$8:$C$82,0),MATCH(S$1022,'Hist. prices'!$I$5:$AB$5,0))</f>
        <v>0</v>
      </c>
      <c r="T1028" s="218">
        <f>INDEX('Hist. prices'!$I$8:$AB$82,MATCH($C1028,'Hist. prices'!$C$8:$C$82,0),MATCH(T$1022,'Hist. prices'!$I$5:$AB$5,0))</f>
        <v>0</v>
      </c>
      <c r="U1028" s="218">
        <f>INDEX('Hist. prices'!$I$8:$AB$82,MATCH($C1028,'Hist. prices'!$C$8:$C$82,0),MATCH(U$1022,'Hist. prices'!$I$5:$AB$5,0))</f>
        <v>0</v>
      </c>
      <c r="V1028" s="218">
        <f>INDEX('Hist. prices'!$I$8:$AB$82,MATCH($C1028,'Hist. prices'!$C$8:$C$82,0),MATCH(V$1022,'Hist. prices'!$I$5:$AB$5,0))</f>
        <v>0</v>
      </c>
      <c r="W1028" s="218">
        <f>INDEX('Hist. prices'!$I$8:$AB$82,MATCH($C1028,'Hist. prices'!$C$8:$C$82,0),MATCH(W$1022,'Hist. prices'!$I$5:$AB$5,0))</f>
        <v>0</v>
      </c>
      <c r="X1028" s="218">
        <f>INDEX('Hist. prices'!$I$8:$AB$82,MATCH($C1028,'Hist. prices'!$C$8:$C$82,0),MATCH(X$1022,'Hist. prices'!$I$5:$AB$5,0))</f>
        <v>0</v>
      </c>
      <c r="Y1028" s="218">
        <f>INDEX('Hist. prices'!$I$8:$AB$82,MATCH($C1028,'Hist. prices'!$C$8:$C$82,0),MATCH(Y$1022,'Hist. prices'!$I$5:$AB$5,0))</f>
        <v>0</v>
      </c>
      <c r="Z1028" s="218">
        <f>INDEX('Hist. prices'!$I$8:$AB$82,MATCH($C1028,'Hist. prices'!$C$8:$C$82,0),MATCH(Z$1022,'Hist. prices'!$I$5:$AB$5,0))</f>
        <v>0</v>
      </c>
      <c r="AA1028" s="218">
        <f>INDEX('Hist. prices'!$I$8:$AB$82,MATCH($C1028,'Hist. prices'!$C$8:$C$82,0),MATCH(AA$1022,'Hist. prices'!$I$5:$AB$5,0))</f>
        <v>0</v>
      </c>
      <c r="AB1028" s="218">
        <f>INDEX('Hist. prices'!$I$8:$AB$82,MATCH($C1028,'Hist. prices'!$C$8:$C$82,0),MATCH(AB$1022,'Hist. prices'!$I$5:$AB$5,0))</f>
        <v>0</v>
      </c>
      <c r="AC1028" s="187"/>
      <c r="AD1028" s="19"/>
      <c r="AE1028" s="19"/>
      <c r="AF1028" s="19"/>
      <c r="AG1028" s="19"/>
    </row>
    <row r="1029" spans="1:33" outlineLevel="2" x14ac:dyDescent="0.2">
      <c r="A1029" s="19"/>
      <c r="B1029" s="97"/>
      <c r="C1029" s="506">
        <f t="shared" si="210"/>
        <v>0</v>
      </c>
      <c r="D1029" s="505">
        <f t="shared" si="209"/>
        <v>0</v>
      </c>
      <c r="E1029" s="58"/>
      <c r="F1029" s="223"/>
      <c r="G1029" s="58"/>
      <c r="H1029" s="58"/>
      <c r="I1029" s="218">
        <f>INDEX('Hist. prices'!$I$8:$AB$82,MATCH($C1029,'Hist. prices'!$C$8:$C$82,0),MATCH(I$1022,'Hist. prices'!$I$5:$AB$5,0))</f>
        <v>0</v>
      </c>
      <c r="J1029" s="218">
        <f>INDEX('Hist. prices'!$I$8:$AB$82,MATCH($C1029,'Hist. prices'!$C$8:$C$82,0),MATCH(J$1022,'Hist. prices'!$I$5:$AB$5,0))</f>
        <v>0</v>
      </c>
      <c r="K1029" s="218">
        <f>INDEX('Hist. prices'!$I$8:$AB$82,MATCH($C1029,'Hist. prices'!$C$8:$C$82,0),MATCH(K$1022,'Hist. prices'!$I$5:$AB$5,0))</f>
        <v>0</v>
      </c>
      <c r="L1029" s="218">
        <f>INDEX('Hist. prices'!$I$8:$AB$82,MATCH($C1029,'Hist. prices'!$C$8:$C$82,0),MATCH(L$1022,'Hist. prices'!$I$5:$AB$5,0))</f>
        <v>0</v>
      </c>
      <c r="M1029" s="218">
        <f>INDEX('Hist. prices'!$I$8:$AB$82,MATCH($C1029,'Hist. prices'!$C$8:$C$82,0),MATCH(M$1022,'Hist. prices'!$I$5:$AB$5,0))</f>
        <v>0</v>
      </c>
      <c r="N1029" s="218">
        <f>INDEX('Hist. prices'!$I$8:$AB$82,MATCH($C1029,'Hist. prices'!$C$8:$C$82,0),MATCH(N$1022,'Hist. prices'!$I$5:$AB$5,0))</f>
        <v>0</v>
      </c>
      <c r="O1029" s="218">
        <f>INDEX('Hist. prices'!$I$8:$AB$82,MATCH($C1029,'Hist. prices'!$C$8:$C$82,0),MATCH(O$1022,'Hist. prices'!$I$5:$AB$5,0))</f>
        <v>0</v>
      </c>
      <c r="P1029" s="218">
        <f>INDEX('Hist. prices'!$I$8:$AB$82,MATCH($C1029,'Hist. prices'!$C$8:$C$82,0),MATCH(P$1022,'Hist. prices'!$I$5:$AB$5,0))</f>
        <v>0</v>
      </c>
      <c r="Q1029" s="218">
        <f>INDEX('Hist. prices'!$I$8:$AB$82,MATCH($C1029,'Hist. prices'!$C$8:$C$82,0),MATCH(Q$1022,'Hist. prices'!$I$5:$AB$5,0))</f>
        <v>0</v>
      </c>
      <c r="R1029" s="218">
        <f>INDEX('Hist. prices'!$I$8:$AB$82,MATCH($C1029,'Hist. prices'!$C$8:$C$82,0),MATCH(R$1022,'Hist. prices'!$I$5:$AB$5,0))</f>
        <v>0</v>
      </c>
      <c r="S1029" s="218">
        <f>INDEX('Hist. prices'!$I$8:$AB$82,MATCH($C1029,'Hist. prices'!$C$8:$C$82,0),MATCH(S$1022,'Hist. prices'!$I$5:$AB$5,0))</f>
        <v>0</v>
      </c>
      <c r="T1029" s="218">
        <f>INDEX('Hist. prices'!$I$8:$AB$82,MATCH($C1029,'Hist. prices'!$C$8:$C$82,0),MATCH(T$1022,'Hist. prices'!$I$5:$AB$5,0))</f>
        <v>0</v>
      </c>
      <c r="U1029" s="218">
        <f>INDEX('Hist. prices'!$I$8:$AB$82,MATCH($C1029,'Hist. prices'!$C$8:$C$82,0),MATCH(U$1022,'Hist. prices'!$I$5:$AB$5,0))</f>
        <v>0</v>
      </c>
      <c r="V1029" s="218">
        <f>INDEX('Hist. prices'!$I$8:$AB$82,MATCH($C1029,'Hist. prices'!$C$8:$C$82,0),MATCH(V$1022,'Hist. prices'!$I$5:$AB$5,0))</f>
        <v>0</v>
      </c>
      <c r="W1029" s="218">
        <f>INDEX('Hist. prices'!$I$8:$AB$82,MATCH($C1029,'Hist. prices'!$C$8:$C$82,0),MATCH(W$1022,'Hist. prices'!$I$5:$AB$5,0))</f>
        <v>0</v>
      </c>
      <c r="X1029" s="218">
        <f>INDEX('Hist. prices'!$I$8:$AB$82,MATCH($C1029,'Hist. prices'!$C$8:$C$82,0),MATCH(X$1022,'Hist. prices'!$I$5:$AB$5,0))</f>
        <v>0</v>
      </c>
      <c r="Y1029" s="218">
        <f>INDEX('Hist. prices'!$I$8:$AB$82,MATCH($C1029,'Hist. prices'!$C$8:$C$82,0),MATCH(Y$1022,'Hist. prices'!$I$5:$AB$5,0))</f>
        <v>0</v>
      </c>
      <c r="Z1029" s="218">
        <f>INDEX('Hist. prices'!$I$8:$AB$82,MATCH($C1029,'Hist. prices'!$C$8:$C$82,0),MATCH(Z$1022,'Hist. prices'!$I$5:$AB$5,0))</f>
        <v>0</v>
      </c>
      <c r="AA1029" s="218">
        <f>INDEX('Hist. prices'!$I$8:$AB$82,MATCH($C1029,'Hist. prices'!$C$8:$C$82,0),MATCH(AA$1022,'Hist. prices'!$I$5:$AB$5,0))</f>
        <v>0</v>
      </c>
      <c r="AB1029" s="218">
        <f>INDEX('Hist. prices'!$I$8:$AB$82,MATCH($C1029,'Hist. prices'!$C$8:$C$82,0),MATCH(AB$1022,'Hist. prices'!$I$5:$AB$5,0))</f>
        <v>0</v>
      </c>
      <c r="AC1029" s="187"/>
      <c r="AD1029" s="19"/>
      <c r="AE1029" s="19"/>
      <c r="AF1029" s="19"/>
      <c r="AG1029" s="19"/>
    </row>
    <row r="1030" spans="1:33" hidden="1" outlineLevel="3" x14ac:dyDescent="0.2">
      <c r="A1030" s="19"/>
      <c r="B1030" s="97"/>
      <c r="C1030" s="506">
        <f t="shared" si="210"/>
        <v>0</v>
      </c>
      <c r="D1030" s="505">
        <f t="shared" si="209"/>
        <v>0</v>
      </c>
      <c r="E1030" s="58"/>
      <c r="F1030" s="223"/>
      <c r="G1030" s="58"/>
      <c r="H1030" s="58"/>
      <c r="I1030" s="218">
        <f>INDEX('Hist. prices'!$I$8:$AB$82,MATCH($C1030,'Hist. prices'!$C$8:$C$82,0),MATCH(I$1022,'Hist. prices'!$I$5:$AB$5,0))</f>
        <v>0</v>
      </c>
      <c r="J1030" s="218">
        <f>INDEX('Hist. prices'!$I$8:$AB$82,MATCH($C1030,'Hist. prices'!$C$8:$C$82,0),MATCH(J$1022,'Hist. prices'!$I$5:$AB$5,0))</f>
        <v>0</v>
      </c>
      <c r="K1030" s="218">
        <f>INDEX('Hist. prices'!$I$8:$AB$82,MATCH($C1030,'Hist. prices'!$C$8:$C$82,0),MATCH(K$1022,'Hist. prices'!$I$5:$AB$5,0))</f>
        <v>0</v>
      </c>
      <c r="L1030" s="218">
        <f>INDEX('Hist. prices'!$I$8:$AB$82,MATCH($C1030,'Hist. prices'!$C$8:$C$82,0),MATCH(L$1022,'Hist. prices'!$I$5:$AB$5,0))</f>
        <v>0</v>
      </c>
      <c r="M1030" s="218">
        <f>INDEX('Hist. prices'!$I$8:$AB$82,MATCH($C1030,'Hist. prices'!$C$8:$C$82,0),MATCH(M$1022,'Hist. prices'!$I$5:$AB$5,0))</f>
        <v>0</v>
      </c>
      <c r="N1030" s="218">
        <f>INDEX('Hist. prices'!$I$8:$AB$82,MATCH($C1030,'Hist. prices'!$C$8:$C$82,0),MATCH(N$1022,'Hist. prices'!$I$5:$AB$5,0))</f>
        <v>0</v>
      </c>
      <c r="O1030" s="218">
        <f>INDEX('Hist. prices'!$I$8:$AB$82,MATCH($C1030,'Hist. prices'!$C$8:$C$82,0),MATCH(O$1022,'Hist. prices'!$I$5:$AB$5,0))</f>
        <v>0</v>
      </c>
      <c r="P1030" s="218">
        <f>INDEX('Hist. prices'!$I$8:$AB$82,MATCH($C1030,'Hist. prices'!$C$8:$C$82,0),MATCH(P$1022,'Hist. prices'!$I$5:$AB$5,0))</f>
        <v>0</v>
      </c>
      <c r="Q1030" s="218">
        <f>INDEX('Hist. prices'!$I$8:$AB$82,MATCH($C1030,'Hist. prices'!$C$8:$C$82,0),MATCH(Q$1022,'Hist. prices'!$I$5:$AB$5,0))</f>
        <v>0</v>
      </c>
      <c r="R1030" s="218">
        <f>INDEX('Hist. prices'!$I$8:$AB$82,MATCH($C1030,'Hist. prices'!$C$8:$C$82,0),MATCH(R$1022,'Hist. prices'!$I$5:$AB$5,0))</f>
        <v>0</v>
      </c>
      <c r="S1030" s="218">
        <f>INDEX('Hist. prices'!$I$8:$AB$82,MATCH($C1030,'Hist. prices'!$C$8:$C$82,0),MATCH(S$1022,'Hist. prices'!$I$5:$AB$5,0))</f>
        <v>0</v>
      </c>
      <c r="T1030" s="218">
        <f>INDEX('Hist. prices'!$I$8:$AB$82,MATCH($C1030,'Hist. prices'!$C$8:$C$82,0),MATCH(T$1022,'Hist. prices'!$I$5:$AB$5,0))</f>
        <v>0</v>
      </c>
      <c r="U1030" s="218">
        <f>INDEX('Hist. prices'!$I$8:$AB$82,MATCH($C1030,'Hist. prices'!$C$8:$C$82,0),MATCH(U$1022,'Hist. prices'!$I$5:$AB$5,0))</f>
        <v>0</v>
      </c>
      <c r="V1030" s="218">
        <f>INDEX('Hist. prices'!$I$8:$AB$82,MATCH($C1030,'Hist. prices'!$C$8:$C$82,0),MATCH(V$1022,'Hist. prices'!$I$5:$AB$5,0))</f>
        <v>0</v>
      </c>
      <c r="W1030" s="218">
        <f>INDEX('Hist. prices'!$I$8:$AB$82,MATCH($C1030,'Hist. prices'!$C$8:$C$82,0),MATCH(W$1022,'Hist. prices'!$I$5:$AB$5,0))</f>
        <v>0</v>
      </c>
      <c r="X1030" s="218">
        <f>INDEX('Hist. prices'!$I$8:$AB$82,MATCH($C1030,'Hist. prices'!$C$8:$C$82,0),MATCH(X$1022,'Hist. prices'!$I$5:$AB$5,0))</f>
        <v>0</v>
      </c>
      <c r="Y1030" s="218">
        <f>INDEX('Hist. prices'!$I$8:$AB$82,MATCH($C1030,'Hist. prices'!$C$8:$C$82,0),MATCH(Y$1022,'Hist. prices'!$I$5:$AB$5,0))</f>
        <v>0</v>
      </c>
      <c r="Z1030" s="218">
        <f>INDEX('Hist. prices'!$I$8:$AB$82,MATCH($C1030,'Hist. prices'!$C$8:$C$82,0),MATCH(Z$1022,'Hist. prices'!$I$5:$AB$5,0))</f>
        <v>0</v>
      </c>
      <c r="AA1030" s="218">
        <f>INDEX('Hist. prices'!$I$8:$AB$82,MATCH($C1030,'Hist. prices'!$C$8:$C$82,0),MATCH(AA$1022,'Hist. prices'!$I$5:$AB$5,0))</f>
        <v>0</v>
      </c>
      <c r="AB1030" s="218">
        <f>INDEX('Hist. prices'!$I$8:$AB$82,MATCH($C1030,'Hist. prices'!$C$8:$C$82,0),MATCH(AB$1022,'Hist. prices'!$I$5:$AB$5,0))</f>
        <v>0</v>
      </c>
      <c r="AC1030" s="187"/>
      <c r="AD1030" s="19"/>
      <c r="AE1030" s="19"/>
      <c r="AF1030" s="19"/>
      <c r="AG1030" s="19"/>
    </row>
    <row r="1031" spans="1:33" hidden="1" outlineLevel="3" x14ac:dyDescent="0.2">
      <c r="A1031" s="19"/>
      <c r="B1031" s="97"/>
      <c r="C1031" s="506">
        <f t="shared" si="210"/>
        <v>0</v>
      </c>
      <c r="D1031" s="505">
        <f t="shared" si="209"/>
        <v>0</v>
      </c>
      <c r="E1031" s="58"/>
      <c r="F1031" s="223"/>
      <c r="G1031" s="58"/>
      <c r="H1031" s="58"/>
      <c r="I1031" s="218">
        <f>INDEX('Hist. prices'!$I$8:$AB$82,MATCH($C1031,'Hist. prices'!$C$8:$C$82,0),MATCH(I$1022,'Hist. prices'!$I$5:$AB$5,0))</f>
        <v>0</v>
      </c>
      <c r="J1031" s="218">
        <f>INDEX('Hist. prices'!$I$8:$AB$82,MATCH($C1031,'Hist. prices'!$C$8:$C$82,0),MATCH(J$1022,'Hist. prices'!$I$5:$AB$5,0))</f>
        <v>0</v>
      </c>
      <c r="K1031" s="218">
        <f>INDEX('Hist. prices'!$I$8:$AB$82,MATCH($C1031,'Hist. prices'!$C$8:$C$82,0),MATCH(K$1022,'Hist. prices'!$I$5:$AB$5,0))</f>
        <v>0</v>
      </c>
      <c r="L1031" s="218">
        <f>INDEX('Hist. prices'!$I$8:$AB$82,MATCH($C1031,'Hist. prices'!$C$8:$C$82,0),MATCH(L$1022,'Hist. prices'!$I$5:$AB$5,0))</f>
        <v>0</v>
      </c>
      <c r="M1031" s="218">
        <f>INDEX('Hist. prices'!$I$8:$AB$82,MATCH($C1031,'Hist. prices'!$C$8:$C$82,0),MATCH(M$1022,'Hist. prices'!$I$5:$AB$5,0))</f>
        <v>0</v>
      </c>
      <c r="N1031" s="218">
        <f>INDEX('Hist. prices'!$I$8:$AB$82,MATCH($C1031,'Hist. prices'!$C$8:$C$82,0),MATCH(N$1022,'Hist. prices'!$I$5:$AB$5,0))</f>
        <v>0</v>
      </c>
      <c r="O1031" s="218">
        <f>INDEX('Hist. prices'!$I$8:$AB$82,MATCH($C1031,'Hist. prices'!$C$8:$C$82,0),MATCH(O$1022,'Hist. prices'!$I$5:$AB$5,0))</f>
        <v>0</v>
      </c>
      <c r="P1031" s="218">
        <f>INDEX('Hist. prices'!$I$8:$AB$82,MATCH($C1031,'Hist. prices'!$C$8:$C$82,0),MATCH(P$1022,'Hist. prices'!$I$5:$AB$5,0))</f>
        <v>0</v>
      </c>
      <c r="Q1031" s="218">
        <f>INDEX('Hist. prices'!$I$8:$AB$82,MATCH($C1031,'Hist. prices'!$C$8:$C$82,0),MATCH(Q$1022,'Hist. prices'!$I$5:$AB$5,0))</f>
        <v>0</v>
      </c>
      <c r="R1031" s="218">
        <f>INDEX('Hist. prices'!$I$8:$AB$82,MATCH($C1031,'Hist. prices'!$C$8:$C$82,0),MATCH(R$1022,'Hist. prices'!$I$5:$AB$5,0))</f>
        <v>0</v>
      </c>
      <c r="S1031" s="218">
        <f>INDEX('Hist. prices'!$I$8:$AB$82,MATCH($C1031,'Hist. prices'!$C$8:$C$82,0),MATCH(S$1022,'Hist. prices'!$I$5:$AB$5,0))</f>
        <v>0</v>
      </c>
      <c r="T1031" s="218">
        <f>INDEX('Hist. prices'!$I$8:$AB$82,MATCH($C1031,'Hist. prices'!$C$8:$C$82,0),MATCH(T$1022,'Hist. prices'!$I$5:$AB$5,0))</f>
        <v>0</v>
      </c>
      <c r="U1031" s="218">
        <f>INDEX('Hist. prices'!$I$8:$AB$82,MATCH($C1031,'Hist. prices'!$C$8:$C$82,0),MATCH(U$1022,'Hist. prices'!$I$5:$AB$5,0))</f>
        <v>0</v>
      </c>
      <c r="V1031" s="218">
        <f>INDEX('Hist. prices'!$I$8:$AB$82,MATCH($C1031,'Hist. prices'!$C$8:$C$82,0),MATCH(V$1022,'Hist. prices'!$I$5:$AB$5,0))</f>
        <v>0</v>
      </c>
      <c r="W1031" s="218">
        <f>INDEX('Hist. prices'!$I$8:$AB$82,MATCH($C1031,'Hist. prices'!$C$8:$C$82,0),MATCH(W$1022,'Hist. prices'!$I$5:$AB$5,0))</f>
        <v>0</v>
      </c>
      <c r="X1031" s="218">
        <f>INDEX('Hist. prices'!$I$8:$AB$82,MATCH($C1031,'Hist. prices'!$C$8:$C$82,0),MATCH(X$1022,'Hist. prices'!$I$5:$AB$5,0))</f>
        <v>0</v>
      </c>
      <c r="Y1031" s="218">
        <f>INDEX('Hist. prices'!$I$8:$AB$82,MATCH($C1031,'Hist. prices'!$C$8:$C$82,0),MATCH(Y$1022,'Hist. prices'!$I$5:$AB$5,0))</f>
        <v>0</v>
      </c>
      <c r="Z1031" s="218">
        <f>INDEX('Hist. prices'!$I$8:$AB$82,MATCH($C1031,'Hist. prices'!$C$8:$C$82,0),MATCH(Z$1022,'Hist. prices'!$I$5:$AB$5,0))</f>
        <v>0</v>
      </c>
      <c r="AA1031" s="218">
        <f>INDEX('Hist. prices'!$I$8:$AB$82,MATCH($C1031,'Hist. prices'!$C$8:$C$82,0),MATCH(AA$1022,'Hist. prices'!$I$5:$AB$5,0))</f>
        <v>0</v>
      </c>
      <c r="AB1031" s="218">
        <f>INDEX('Hist. prices'!$I$8:$AB$82,MATCH($C1031,'Hist. prices'!$C$8:$C$82,0),MATCH(AB$1022,'Hist. prices'!$I$5:$AB$5,0))</f>
        <v>0</v>
      </c>
      <c r="AC1031" s="187"/>
      <c r="AD1031" s="19"/>
      <c r="AE1031" s="19"/>
      <c r="AF1031" s="19"/>
      <c r="AG1031" s="19"/>
    </row>
    <row r="1032" spans="1:33" hidden="1" outlineLevel="3" x14ac:dyDescent="0.2">
      <c r="A1032" s="19"/>
      <c r="B1032" s="97"/>
      <c r="C1032" s="506">
        <f t="shared" si="210"/>
        <v>0</v>
      </c>
      <c r="D1032" s="505">
        <f t="shared" si="209"/>
        <v>0</v>
      </c>
      <c r="E1032" s="58"/>
      <c r="F1032" s="223"/>
      <c r="G1032" s="58"/>
      <c r="H1032" s="58"/>
      <c r="I1032" s="218">
        <f>INDEX('Hist. prices'!$I$8:$AB$82,MATCH($C1032,'Hist. prices'!$C$8:$C$82,0),MATCH(I$1022,'Hist. prices'!$I$5:$AB$5,0))</f>
        <v>0</v>
      </c>
      <c r="J1032" s="218">
        <f>INDEX('Hist. prices'!$I$8:$AB$82,MATCH($C1032,'Hist. prices'!$C$8:$C$82,0),MATCH(J$1022,'Hist. prices'!$I$5:$AB$5,0))</f>
        <v>0</v>
      </c>
      <c r="K1032" s="218">
        <f>INDEX('Hist. prices'!$I$8:$AB$82,MATCH($C1032,'Hist. prices'!$C$8:$C$82,0),MATCH(K$1022,'Hist. prices'!$I$5:$AB$5,0))</f>
        <v>0</v>
      </c>
      <c r="L1032" s="218">
        <f>INDEX('Hist. prices'!$I$8:$AB$82,MATCH($C1032,'Hist. prices'!$C$8:$C$82,0),MATCH(L$1022,'Hist. prices'!$I$5:$AB$5,0))</f>
        <v>0</v>
      </c>
      <c r="M1032" s="218">
        <f>INDEX('Hist. prices'!$I$8:$AB$82,MATCH($C1032,'Hist. prices'!$C$8:$C$82,0),MATCH(M$1022,'Hist. prices'!$I$5:$AB$5,0))</f>
        <v>0</v>
      </c>
      <c r="N1032" s="218">
        <f>INDEX('Hist. prices'!$I$8:$AB$82,MATCH($C1032,'Hist. prices'!$C$8:$C$82,0),MATCH(N$1022,'Hist. prices'!$I$5:$AB$5,0))</f>
        <v>0</v>
      </c>
      <c r="O1032" s="218">
        <f>INDEX('Hist. prices'!$I$8:$AB$82,MATCH($C1032,'Hist. prices'!$C$8:$C$82,0),MATCH(O$1022,'Hist. prices'!$I$5:$AB$5,0))</f>
        <v>0</v>
      </c>
      <c r="P1032" s="218">
        <f>INDEX('Hist. prices'!$I$8:$AB$82,MATCH($C1032,'Hist. prices'!$C$8:$C$82,0),MATCH(P$1022,'Hist. prices'!$I$5:$AB$5,0))</f>
        <v>0</v>
      </c>
      <c r="Q1032" s="218">
        <f>INDEX('Hist. prices'!$I$8:$AB$82,MATCH($C1032,'Hist. prices'!$C$8:$C$82,0),MATCH(Q$1022,'Hist. prices'!$I$5:$AB$5,0))</f>
        <v>0</v>
      </c>
      <c r="R1032" s="218">
        <f>INDEX('Hist. prices'!$I$8:$AB$82,MATCH($C1032,'Hist. prices'!$C$8:$C$82,0),MATCH(R$1022,'Hist. prices'!$I$5:$AB$5,0))</f>
        <v>0</v>
      </c>
      <c r="S1032" s="218">
        <f>INDEX('Hist. prices'!$I$8:$AB$82,MATCH($C1032,'Hist. prices'!$C$8:$C$82,0),MATCH(S$1022,'Hist. prices'!$I$5:$AB$5,0))</f>
        <v>0</v>
      </c>
      <c r="T1032" s="218">
        <f>INDEX('Hist. prices'!$I$8:$AB$82,MATCH($C1032,'Hist. prices'!$C$8:$C$82,0),MATCH(T$1022,'Hist. prices'!$I$5:$AB$5,0))</f>
        <v>0</v>
      </c>
      <c r="U1032" s="218">
        <f>INDEX('Hist. prices'!$I$8:$AB$82,MATCH($C1032,'Hist. prices'!$C$8:$C$82,0),MATCH(U$1022,'Hist. prices'!$I$5:$AB$5,0))</f>
        <v>0</v>
      </c>
      <c r="V1032" s="218">
        <f>INDEX('Hist. prices'!$I$8:$AB$82,MATCH($C1032,'Hist. prices'!$C$8:$C$82,0),MATCH(V$1022,'Hist. prices'!$I$5:$AB$5,0))</f>
        <v>0</v>
      </c>
      <c r="W1032" s="218">
        <f>INDEX('Hist. prices'!$I$8:$AB$82,MATCH($C1032,'Hist. prices'!$C$8:$C$82,0),MATCH(W$1022,'Hist. prices'!$I$5:$AB$5,0))</f>
        <v>0</v>
      </c>
      <c r="X1032" s="218">
        <f>INDEX('Hist. prices'!$I$8:$AB$82,MATCH($C1032,'Hist. prices'!$C$8:$C$82,0),MATCH(X$1022,'Hist. prices'!$I$5:$AB$5,0))</f>
        <v>0</v>
      </c>
      <c r="Y1032" s="218">
        <f>INDEX('Hist. prices'!$I$8:$AB$82,MATCH($C1032,'Hist. prices'!$C$8:$C$82,0),MATCH(Y$1022,'Hist. prices'!$I$5:$AB$5,0))</f>
        <v>0</v>
      </c>
      <c r="Z1032" s="218">
        <f>INDEX('Hist. prices'!$I$8:$AB$82,MATCH($C1032,'Hist. prices'!$C$8:$C$82,0),MATCH(Z$1022,'Hist. prices'!$I$5:$AB$5,0))</f>
        <v>0</v>
      </c>
      <c r="AA1032" s="218">
        <f>INDEX('Hist. prices'!$I$8:$AB$82,MATCH($C1032,'Hist. prices'!$C$8:$C$82,0),MATCH(AA$1022,'Hist. prices'!$I$5:$AB$5,0))</f>
        <v>0</v>
      </c>
      <c r="AB1032" s="218">
        <f>INDEX('Hist. prices'!$I$8:$AB$82,MATCH($C1032,'Hist. prices'!$C$8:$C$82,0),MATCH(AB$1022,'Hist. prices'!$I$5:$AB$5,0))</f>
        <v>0</v>
      </c>
      <c r="AC1032" s="187"/>
      <c r="AD1032" s="19"/>
      <c r="AE1032" s="19"/>
      <c r="AF1032" s="19"/>
      <c r="AG1032" s="19"/>
    </row>
    <row r="1033" spans="1:33" hidden="1" outlineLevel="3" x14ac:dyDescent="0.2">
      <c r="A1033" s="19"/>
      <c r="B1033" s="98"/>
      <c r="C1033" s="506">
        <f t="shared" si="210"/>
        <v>0</v>
      </c>
      <c r="D1033" s="505">
        <f t="shared" si="209"/>
        <v>0</v>
      </c>
      <c r="E1033" s="58"/>
      <c r="F1033" s="223"/>
      <c r="G1033" s="58"/>
      <c r="H1033" s="58"/>
      <c r="I1033" s="218">
        <f>INDEX('Hist. prices'!$I$8:$AB$82,MATCH($C1033,'Hist. prices'!$C$8:$C$82,0),MATCH(I$1022,'Hist. prices'!$I$5:$AB$5,0))</f>
        <v>0</v>
      </c>
      <c r="J1033" s="218">
        <f>INDEX('Hist. prices'!$I$8:$AB$82,MATCH($C1033,'Hist. prices'!$C$8:$C$82,0),MATCH(J$1022,'Hist. prices'!$I$5:$AB$5,0))</f>
        <v>0</v>
      </c>
      <c r="K1033" s="218">
        <f>INDEX('Hist. prices'!$I$8:$AB$82,MATCH($C1033,'Hist. prices'!$C$8:$C$82,0),MATCH(K$1022,'Hist. prices'!$I$5:$AB$5,0))</f>
        <v>0</v>
      </c>
      <c r="L1033" s="218">
        <f>INDEX('Hist. prices'!$I$8:$AB$82,MATCH($C1033,'Hist. prices'!$C$8:$C$82,0),MATCH(L$1022,'Hist. prices'!$I$5:$AB$5,0))</f>
        <v>0</v>
      </c>
      <c r="M1033" s="218">
        <f>INDEX('Hist. prices'!$I$8:$AB$82,MATCH($C1033,'Hist. prices'!$C$8:$C$82,0),MATCH(M$1022,'Hist. prices'!$I$5:$AB$5,0))</f>
        <v>0</v>
      </c>
      <c r="N1033" s="218">
        <f>INDEX('Hist. prices'!$I$8:$AB$82,MATCH($C1033,'Hist. prices'!$C$8:$C$82,0),MATCH(N$1022,'Hist. prices'!$I$5:$AB$5,0))</f>
        <v>0</v>
      </c>
      <c r="O1033" s="218">
        <f>INDEX('Hist. prices'!$I$8:$AB$82,MATCH($C1033,'Hist. prices'!$C$8:$C$82,0),MATCH(O$1022,'Hist. prices'!$I$5:$AB$5,0))</f>
        <v>0</v>
      </c>
      <c r="P1033" s="218">
        <f>INDEX('Hist. prices'!$I$8:$AB$82,MATCH($C1033,'Hist. prices'!$C$8:$C$82,0),MATCH(P$1022,'Hist. prices'!$I$5:$AB$5,0))</f>
        <v>0</v>
      </c>
      <c r="Q1033" s="218">
        <f>INDEX('Hist. prices'!$I$8:$AB$82,MATCH($C1033,'Hist. prices'!$C$8:$C$82,0),MATCH(Q$1022,'Hist. prices'!$I$5:$AB$5,0))</f>
        <v>0</v>
      </c>
      <c r="R1033" s="218">
        <f>INDEX('Hist. prices'!$I$8:$AB$82,MATCH($C1033,'Hist. prices'!$C$8:$C$82,0),MATCH(R$1022,'Hist. prices'!$I$5:$AB$5,0))</f>
        <v>0</v>
      </c>
      <c r="S1033" s="218">
        <f>INDEX('Hist. prices'!$I$8:$AB$82,MATCH($C1033,'Hist. prices'!$C$8:$C$82,0),MATCH(S$1022,'Hist. prices'!$I$5:$AB$5,0))</f>
        <v>0</v>
      </c>
      <c r="T1033" s="218">
        <f>INDEX('Hist. prices'!$I$8:$AB$82,MATCH($C1033,'Hist. prices'!$C$8:$C$82,0),MATCH(T$1022,'Hist. prices'!$I$5:$AB$5,0))</f>
        <v>0</v>
      </c>
      <c r="U1033" s="218">
        <f>INDEX('Hist. prices'!$I$8:$AB$82,MATCH($C1033,'Hist. prices'!$C$8:$C$82,0),MATCH(U$1022,'Hist. prices'!$I$5:$AB$5,0))</f>
        <v>0</v>
      </c>
      <c r="V1033" s="218">
        <f>INDEX('Hist. prices'!$I$8:$AB$82,MATCH($C1033,'Hist. prices'!$C$8:$C$82,0),MATCH(V$1022,'Hist. prices'!$I$5:$AB$5,0))</f>
        <v>0</v>
      </c>
      <c r="W1033" s="218">
        <f>INDEX('Hist. prices'!$I$8:$AB$82,MATCH($C1033,'Hist. prices'!$C$8:$C$82,0),MATCH(W$1022,'Hist. prices'!$I$5:$AB$5,0))</f>
        <v>0</v>
      </c>
      <c r="X1033" s="218">
        <f>INDEX('Hist. prices'!$I$8:$AB$82,MATCH($C1033,'Hist. prices'!$C$8:$C$82,0),MATCH(X$1022,'Hist. prices'!$I$5:$AB$5,0))</f>
        <v>0</v>
      </c>
      <c r="Y1033" s="218">
        <f>INDEX('Hist. prices'!$I$8:$AB$82,MATCH($C1033,'Hist. prices'!$C$8:$C$82,0),MATCH(Y$1022,'Hist. prices'!$I$5:$AB$5,0))</f>
        <v>0</v>
      </c>
      <c r="Z1033" s="218">
        <f>INDEX('Hist. prices'!$I$8:$AB$82,MATCH($C1033,'Hist. prices'!$C$8:$C$82,0),MATCH(Z$1022,'Hist. prices'!$I$5:$AB$5,0))</f>
        <v>0</v>
      </c>
      <c r="AA1033" s="218">
        <f>INDEX('Hist. prices'!$I$8:$AB$82,MATCH($C1033,'Hist. prices'!$C$8:$C$82,0),MATCH(AA$1022,'Hist. prices'!$I$5:$AB$5,0))</f>
        <v>0</v>
      </c>
      <c r="AB1033" s="218">
        <f>INDEX('Hist. prices'!$I$8:$AB$82,MATCH($C1033,'Hist. prices'!$C$8:$C$82,0),MATCH(AB$1022,'Hist. prices'!$I$5:$AB$5,0))</f>
        <v>0</v>
      </c>
      <c r="AC1033" s="187"/>
      <c r="AD1033" s="19"/>
      <c r="AE1033" s="19"/>
      <c r="AF1033" s="19"/>
      <c r="AG1033" s="19"/>
    </row>
    <row r="1034" spans="1:33" hidden="1" outlineLevel="3" x14ac:dyDescent="0.2">
      <c r="A1034" s="19"/>
      <c r="B1034" s="97"/>
      <c r="C1034" s="506">
        <f t="shared" si="210"/>
        <v>0</v>
      </c>
      <c r="D1034" s="505">
        <f t="shared" si="209"/>
        <v>0</v>
      </c>
      <c r="E1034" s="58"/>
      <c r="F1034" s="223"/>
      <c r="G1034" s="58"/>
      <c r="H1034" s="58"/>
      <c r="I1034" s="218">
        <f>INDEX('Hist. prices'!$I$8:$AB$82,MATCH($C1034,'Hist. prices'!$C$8:$C$82,0),MATCH(I$1022,'Hist. prices'!$I$5:$AB$5,0))</f>
        <v>0</v>
      </c>
      <c r="J1034" s="218">
        <f>INDEX('Hist. prices'!$I$8:$AB$82,MATCH($C1034,'Hist. prices'!$C$8:$C$82,0),MATCH(J$1022,'Hist. prices'!$I$5:$AB$5,0))</f>
        <v>0</v>
      </c>
      <c r="K1034" s="218">
        <f>INDEX('Hist. prices'!$I$8:$AB$82,MATCH($C1034,'Hist. prices'!$C$8:$C$82,0),MATCH(K$1022,'Hist. prices'!$I$5:$AB$5,0))</f>
        <v>0</v>
      </c>
      <c r="L1034" s="218">
        <f>INDEX('Hist. prices'!$I$8:$AB$82,MATCH($C1034,'Hist. prices'!$C$8:$C$82,0),MATCH(L$1022,'Hist. prices'!$I$5:$AB$5,0))</f>
        <v>0</v>
      </c>
      <c r="M1034" s="218">
        <f>INDEX('Hist. prices'!$I$8:$AB$82,MATCH($C1034,'Hist. prices'!$C$8:$C$82,0),MATCH(M$1022,'Hist. prices'!$I$5:$AB$5,0))</f>
        <v>0</v>
      </c>
      <c r="N1034" s="218">
        <f>INDEX('Hist. prices'!$I$8:$AB$82,MATCH($C1034,'Hist. prices'!$C$8:$C$82,0),MATCH(N$1022,'Hist. prices'!$I$5:$AB$5,0))</f>
        <v>0</v>
      </c>
      <c r="O1034" s="218">
        <f>INDEX('Hist. prices'!$I$8:$AB$82,MATCH($C1034,'Hist. prices'!$C$8:$C$82,0),MATCH(O$1022,'Hist. prices'!$I$5:$AB$5,0))</f>
        <v>0</v>
      </c>
      <c r="P1034" s="218">
        <f>INDEX('Hist. prices'!$I$8:$AB$82,MATCH($C1034,'Hist. prices'!$C$8:$C$82,0),MATCH(P$1022,'Hist. prices'!$I$5:$AB$5,0))</f>
        <v>0</v>
      </c>
      <c r="Q1034" s="218">
        <f>INDEX('Hist. prices'!$I$8:$AB$82,MATCH($C1034,'Hist. prices'!$C$8:$C$82,0),MATCH(Q$1022,'Hist. prices'!$I$5:$AB$5,0))</f>
        <v>0</v>
      </c>
      <c r="R1034" s="218">
        <f>INDEX('Hist. prices'!$I$8:$AB$82,MATCH($C1034,'Hist. prices'!$C$8:$C$82,0),MATCH(R$1022,'Hist. prices'!$I$5:$AB$5,0))</f>
        <v>0</v>
      </c>
      <c r="S1034" s="218">
        <f>INDEX('Hist. prices'!$I$8:$AB$82,MATCH($C1034,'Hist. prices'!$C$8:$C$82,0),MATCH(S$1022,'Hist. prices'!$I$5:$AB$5,0))</f>
        <v>0</v>
      </c>
      <c r="T1034" s="218">
        <f>INDEX('Hist. prices'!$I$8:$AB$82,MATCH($C1034,'Hist. prices'!$C$8:$C$82,0),MATCH(T$1022,'Hist. prices'!$I$5:$AB$5,0))</f>
        <v>0</v>
      </c>
      <c r="U1034" s="218">
        <f>INDEX('Hist. prices'!$I$8:$AB$82,MATCH($C1034,'Hist. prices'!$C$8:$C$82,0),MATCH(U$1022,'Hist. prices'!$I$5:$AB$5,0))</f>
        <v>0</v>
      </c>
      <c r="V1034" s="218">
        <f>INDEX('Hist. prices'!$I$8:$AB$82,MATCH($C1034,'Hist. prices'!$C$8:$C$82,0),MATCH(V$1022,'Hist. prices'!$I$5:$AB$5,0))</f>
        <v>0</v>
      </c>
      <c r="W1034" s="218">
        <f>INDEX('Hist. prices'!$I$8:$AB$82,MATCH($C1034,'Hist. prices'!$C$8:$C$82,0),MATCH(W$1022,'Hist. prices'!$I$5:$AB$5,0))</f>
        <v>0</v>
      </c>
      <c r="X1034" s="218">
        <f>INDEX('Hist. prices'!$I$8:$AB$82,MATCH($C1034,'Hist. prices'!$C$8:$C$82,0),MATCH(X$1022,'Hist. prices'!$I$5:$AB$5,0))</f>
        <v>0</v>
      </c>
      <c r="Y1034" s="218">
        <f>INDEX('Hist. prices'!$I$8:$AB$82,MATCH($C1034,'Hist. prices'!$C$8:$C$82,0),MATCH(Y$1022,'Hist. prices'!$I$5:$AB$5,0))</f>
        <v>0</v>
      </c>
      <c r="Z1034" s="218">
        <f>INDEX('Hist. prices'!$I$8:$AB$82,MATCH($C1034,'Hist. prices'!$C$8:$C$82,0),MATCH(Z$1022,'Hist. prices'!$I$5:$AB$5,0))</f>
        <v>0</v>
      </c>
      <c r="AA1034" s="218">
        <f>INDEX('Hist. prices'!$I$8:$AB$82,MATCH($C1034,'Hist. prices'!$C$8:$C$82,0),MATCH(AA$1022,'Hist. prices'!$I$5:$AB$5,0))</f>
        <v>0</v>
      </c>
      <c r="AB1034" s="218">
        <f>INDEX('Hist. prices'!$I$8:$AB$82,MATCH($C1034,'Hist. prices'!$C$8:$C$82,0),MATCH(AB$1022,'Hist. prices'!$I$5:$AB$5,0))</f>
        <v>0</v>
      </c>
      <c r="AC1034" s="187"/>
      <c r="AD1034" s="19"/>
      <c r="AE1034" s="19"/>
      <c r="AF1034" s="19"/>
      <c r="AG1034" s="19"/>
    </row>
    <row r="1035" spans="1:33" hidden="1" outlineLevel="3" x14ac:dyDescent="0.2">
      <c r="A1035" s="19"/>
      <c r="B1035" s="97"/>
      <c r="C1035" s="506">
        <f t="shared" si="210"/>
        <v>0</v>
      </c>
      <c r="D1035" s="505">
        <f t="shared" si="209"/>
        <v>0</v>
      </c>
      <c r="E1035" s="58"/>
      <c r="F1035" s="223"/>
      <c r="G1035" s="58"/>
      <c r="H1035" s="58"/>
      <c r="I1035" s="218">
        <f>INDEX('Hist. prices'!$I$8:$AB$82,MATCH($C1035,'Hist. prices'!$C$8:$C$82,0),MATCH(I$1022,'Hist. prices'!$I$5:$AB$5,0))</f>
        <v>0</v>
      </c>
      <c r="J1035" s="218">
        <f>INDEX('Hist. prices'!$I$8:$AB$82,MATCH($C1035,'Hist. prices'!$C$8:$C$82,0),MATCH(J$1022,'Hist. prices'!$I$5:$AB$5,0))</f>
        <v>0</v>
      </c>
      <c r="K1035" s="218">
        <f>INDEX('Hist. prices'!$I$8:$AB$82,MATCH($C1035,'Hist. prices'!$C$8:$C$82,0),MATCH(K$1022,'Hist. prices'!$I$5:$AB$5,0))</f>
        <v>0</v>
      </c>
      <c r="L1035" s="218">
        <f>INDEX('Hist. prices'!$I$8:$AB$82,MATCH($C1035,'Hist. prices'!$C$8:$C$82,0),MATCH(L$1022,'Hist. prices'!$I$5:$AB$5,0))</f>
        <v>0</v>
      </c>
      <c r="M1035" s="218">
        <f>INDEX('Hist. prices'!$I$8:$AB$82,MATCH($C1035,'Hist. prices'!$C$8:$C$82,0),MATCH(M$1022,'Hist. prices'!$I$5:$AB$5,0))</f>
        <v>0</v>
      </c>
      <c r="N1035" s="218">
        <f>INDEX('Hist. prices'!$I$8:$AB$82,MATCH($C1035,'Hist. prices'!$C$8:$C$82,0),MATCH(N$1022,'Hist. prices'!$I$5:$AB$5,0))</f>
        <v>0</v>
      </c>
      <c r="O1035" s="218">
        <f>INDEX('Hist. prices'!$I$8:$AB$82,MATCH($C1035,'Hist. prices'!$C$8:$C$82,0),MATCH(O$1022,'Hist. prices'!$I$5:$AB$5,0))</f>
        <v>0</v>
      </c>
      <c r="P1035" s="218">
        <f>INDEX('Hist. prices'!$I$8:$AB$82,MATCH($C1035,'Hist. prices'!$C$8:$C$82,0),MATCH(P$1022,'Hist. prices'!$I$5:$AB$5,0))</f>
        <v>0</v>
      </c>
      <c r="Q1035" s="218">
        <f>INDEX('Hist. prices'!$I$8:$AB$82,MATCH($C1035,'Hist. prices'!$C$8:$C$82,0),MATCH(Q$1022,'Hist. prices'!$I$5:$AB$5,0))</f>
        <v>0</v>
      </c>
      <c r="R1035" s="218">
        <f>INDEX('Hist. prices'!$I$8:$AB$82,MATCH($C1035,'Hist. prices'!$C$8:$C$82,0),MATCH(R$1022,'Hist. prices'!$I$5:$AB$5,0))</f>
        <v>0</v>
      </c>
      <c r="S1035" s="218">
        <f>INDEX('Hist. prices'!$I$8:$AB$82,MATCH($C1035,'Hist. prices'!$C$8:$C$82,0),MATCH(S$1022,'Hist. prices'!$I$5:$AB$5,0))</f>
        <v>0</v>
      </c>
      <c r="T1035" s="218">
        <f>INDEX('Hist. prices'!$I$8:$AB$82,MATCH($C1035,'Hist. prices'!$C$8:$C$82,0),MATCH(T$1022,'Hist. prices'!$I$5:$AB$5,0))</f>
        <v>0</v>
      </c>
      <c r="U1035" s="218">
        <f>INDEX('Hist. prices'!$I$8:$AB$82,MATCH($C1035,'Hist. prices'!$C$8:$C$82,0),MATCH(U$1022,'Hist. prices'!$I$5:$AB$5,0))</f>
        <v>0</v>
      </c>
      <c r="V1035" s="218">
        <f>INDEX('Hist. prices'!$I$8:$AB$82,MATCH($C1035,'Hist. prices'!$C$8:$C$82,0),MATCH(V$1022,'Hist. prices'!$I$5:$AB$5,0))</f>
        <v>0</v>
      </c>
      <c r="W1035" s="218">
        <f>INDEX('Hist. prices'!$I$8:$AB$82,MATCH($C1035,'Hist. prices'!$C$8:$C$82,0),MATCH(W$1022,'Hist. prices'!$I$5:$AB$5,0))</f>
        <v>0</v>
      </c>
      <c r="X1035" s="218">
        <f>INDEX('Hist. prices'!$I$8:$AB$82,MATCH($C1035,'Hist. prices'!$C$8:$C$82,0),MATCH(X$1022,'Hist. prices'!$I$5:$AB$5,0))</f>
        <v>0</v>
      </c>
      <c r="Y1035" s="218">
        <f>INDEX('Hist. prices'!$I$8:$AB$82,MATCH($C1035,'Hist. prices'!$C$8:$C$82,0),MATCH(Y$1022,'Hist. prices'!$I$5:$AB$5,0))</f>
        <v>0</v>
      </c>
      <c r="Z1035" s="218">
        <f>INDEX('Hist. prices'!$I$8:$AB$82,MATCH($C1035,'Hist. prices'!$C$8:$C$82,0),MATCH(Z$1022,'Hist. prices'!$I$5:$AB$5,0))</f>
        <v>0</v>
      </c>
      <c r="AA1035" s="218">
        <f>INDEX('Hist. prices'!$I$8:$AB$82,MATCH($C1035,'Hist. prices'!$C$8:$C$82,0),MATCH(AA$1022,'Hist. prices'!$I$5:$AB$5,0))</f>
        <v>0</v>
      </c>
      <c r="AB1035" s="218">
        <f>INDEX('Hist. prices'!$I$8:$AB$82,MATCH($C1035,'Hist. prices'!$C$8:$C$82,0),MATCH(AB$1022,'Hist. prices'!$I$5:$AB$5,0))</f>
        <v>0</v>
      </c>
      <c r="AC1035" s="187"/>
      <c r="AD1035" s="19"/>
      <c r="AE1035" s="19"/>
      <c r="AF1035" s="19"/>
      <c r="AG1035" s="19"/>
    </row>
    <row r="1036" spans="1:33" hidden="1" outlineLevel="3" x14ac:dyDescent="0.2">
      <c r="A1036" s="19"/>
      <c r="B1036" s="97"/>
      <c r="C1036" s="506">
        <f t="shared" si="210"/>
        <v>0</v>
      </c>
      <c r="D1036" s="505">
        <f t="shared" si="209"/>
        <v>0</v>
      </c>
      <c r="E1036" s="58"/>
      <c r="F1036" s="223"/>
      <c r="G1036" s="58"/>
      <c r="H1036" s="58"/>
      <c r="I1036" s="218">
        <f>INDEX('Hist. prices'!$I$8:$AB$82,MATCH($C1036,'Hist. prices'!$C$8:$C$82,0),MATCH(I$1022,'Hist. prices'!$I$5:$AB$5,0))</f>
        <v>0</v>
      </c>
      <c r="J1036" s="218">
        <f>INDEX('Hist. prices'!$I$8:$AB$82,MATCH($C1036,'Hist. prices'!$C$8:$C$82,0),MATCH(J$1022,'Hist. prices'!$I$5:$AB$5,0))</f>
        <v>0</v>
      </c>
      <c r="K1036" s="218">
        <f>INDEX('Hist. prices'!$I$8:$AB$82,MATCH($C1036,'Hist. prices'!$C$8:$C$82,0),MATCH(K$1022,'Hist. prices'!$I$5:$AB$5,0))</f>
        <v>0</v>
      </c>
      <c r="L1036" s="218">
        <f>INDEX('Hist. prices'!$I$8:$AB$82,MATCH($C1036,'Hist. prices'!$C$8:$C$82,0),MATCH(L$1022,'Hist. prices'!$I$5:$AB$5,0))</f>
        <v>0</v>
      </c>
      <c r="M1036" s="218">
        <f>INDEX('Hist. prices'!$I$8:$AB$82,MATCH($C1036,'Hist. prices'!$C$8:$C$82,0),MATCH(M$1022,'Hist. prices'!$I$5:$AB$5,0))</f>
        <v>0</v>
      </c>
      <c r="N1036" s="218">
        <f>INDEX('Hist. prices'!$I$8:$AB$82,MATCH($C1036,'Hist. prices'!$C$8:$C$82,0),MATCH(N$1022,'Hist. prices'!$I$5:$AB$5,0))</f>
        <v>0</v>
      </c>
      <c r="O1036" s="218">
        <f>INDEX('Hist. prices'!$I$8:$AB$82,MATCH($C1036,'Hist. prices'!$C$8:$C$82,0),MATCH(O$1022,'Hist. prices'!$I$5:$AB$5,0))</f>
        <v>0</v>
      </c>
      <c r="P1036" s="218">
        <f>INDEX('Hist. prices'!$I$8:$AB$82,MATCH($C1036,'Hist. prices'!$C$8:$C$82,0),MATCH(P$1022,'Hist. prices'!$I$5:$AB$5,0))</f>
        <v>0</v>
      </c>
      <c r="Q1036" s="218">
        <f>INDEX('Hist. prices'!$I$8:$AB$82,MATCH($C1036,'Hist. prices'!$C$8:$C$82,0),MATCH(Q$1022,'Hist. prices'!$I$5:$AB$5,0))</f>
        <v>0</v>
      </c>
      <c r="R1036" s="218">
        <f>INDEX('Hist. prices'!$I$8:$AB$82,MATCH($C1036,'Hist. prices'!$C$8:$C$82,0),MATCH(R$1022,'Hist. prices'!$I$5:$AB$5,0))</f>
        <v>0</v>
      </c>
      <c r="S1036" s="218">
        <f>INDEX('Hist. prices'!$I$8:$AB$82,MATCH($C1036,'Hist. prices'!$C$8:$C$82,0),MATCH(S$1022,'Hist. prices'!$I$5:$AB$5,0))</f>
        <v>0</v>
      </c>
      <c r="T1036" s="218">
        <f>INDEX('Hist. prices'!$I$8:$AB$82,MATCH($C1036,'Hist. prices'!$C$8:$C$82,0),MATCH(T$1022,'Hist. prices'!$I$5:$AB$5,0))</f>
        <v>0</v>
      </c>
      <c r="U1036" s="218">
        <f>INDEX('Hist. prices'!$I$8:$AB$82,MATCH($C1036,'Hist. prices'!$C$8:$C$82,0),MATCH(U$1022,'Hist. prices'!$I$5:$AB$5,0))</f>
        <v>0</v>
      </c>
      <c r="V1036" s="218">
        <f>INDEX('Hist. prices'!$I$8:$AB$82,MATCH($C1036,'Hist. prices'!$C$8:$C$82,0),MATCH(V$1022,'Hist. prices'!$I$5:$AB$5,0))</f>
        <v>0</v>
      </c>
      <c r="W1036" s="218">
        <f>INDEX('Hist. prices'!$I$8:$AB$82,MATCH($C1036,'Hist. prices'!$C$8:$C$82,0),MATCH(W$1022,'Hist. prices'!$I$5:$AB$5,0))</f>
        <v>0</v>
      </c>
      <c r="X1036" s="218">
        <f>INDEX('Hist. prices'!$I$8:$AB$82,MATCH($C1036,'Hist. prices'!$C$8:$C$82,0),MATCH(X$1022,'Hist. prices'!$I$5:$AB$5,0))</f>
        <v>0</v>
      </c>
      <c r="Y1036" s="218">
        <f>INDEX('Hist. prices'!$I$8:$AB$82,MATCH($C1036,'Hist. prices'!$C$8:$C$82,0),MATCH(Y$1022,'Hist. prices'!$I$5:$AB$5,0))</f>
        <v>0</v>
      </c>
      <c r="Z1036" s="218">
        <f>INDEX('Hist. prices'!$I$8:$AB$82,MATCH($C1036,'Hist. prices'!$C$8:$C$82,0),MATCH(Z$1022,'Hist. prices'!$I$5:$AB$5,0))</f>
        <v>0</v>
      </c>
      <c r="AA1036" s="218">
        <f>INDEX('Hist. prices'!$I$8:$AB$82,MATCH($C1036,'Hist. prices'!$C$8:$C$82,0),MATCH(AA$1022,'Hist. prices'!$I$5:$AB$5,0))</f>
        <v>0</v>
      </c>
      <c r="AB1036" s="218">
        <f>INDEX('Hist. prices'!$I$8:$AB$82,MATCH($C1036,'Hist. prices'!$C$8:$C$82,0),MATCH(AB$1022,'Hist. prices'!$I$5:$AB$5,0))</f>
        <v>0</v>
      </c>
      <c r="AC1036" s="187"/>
      <c r="AD1036" s="19"/>
      <c r="AE1036" s="19"/>
      <c r="AF1036" s="19"/>
      <c r="AG1036" s="19"/>
    </row>
    <row r="1037" spans="1:33" hidden="1" outlineLevel="3" x14ac:dyDescent="0.2">
      <c r="A1037" s="19"/>
      <c r="B1037" s="97"/>
      <c r="C1037" s="506">
        <f t="shared" si="210"/>
        <v>0</v>
      </c>
      <c r="D1037" s="505">
        <f t="shared" si="209"/>
        <v>0</v>
      </c>
      <c r="E1037" s="58"/>
      <c r="F1037" s="223"/>
      <c r="G1037" s="58"/>
      <c r="H1037" s="58"/>
      <c r="I1037" s="218">
        <f>INDEX('Hist. prices'!$I$8:$AB$82,MATCH($C1037,'Hist. prices'!$C$8:$C$82,0),MATCH(I$1022,'Hist. prices'!$I$5:$AB$5,0))</f>
        <v>0</v>
      </c>
      <c r="J1037" s="218">
        <f>INDEX('Hist. prices'!$I$8:$AB$82,MATCH($C1037,'Hist. prices'!$C$8:$C$82,0),MATCH(J$1022,'Hist. prices'!$I$5:$AB$5,0))</f>
        <v>0</v>
      </c>
      <c r="K1037" s="218">
        <f>INDEX('Hist. prices'!$I$8:$AB$82,MATCH($C1037,'Hist. prices'!$C$8:$C$82,0),MATCH(K$1022,'Hist. prices'!$I$5:$AB$5,0))</f>
        <v>0</v>
      </c>
      <c r="L1037" s="218">
        <f>INDEX('Hist. prices'!$I$8:$AB$82,MATCH($C1037,'Hist. prices'!$C$8:$C$82,0),MATCH(L$1022,'Hist. prices'!$I$5:$AB$5,0))</f>
        <v>0</v>
      </c>
      <c r="M1037" s="218">
        <f>INDEX('Hist. prices'!$I$8:$AB$82,MATCH($C1037,'Hist. prices'!$C$8:$C$82,0),MATCH(M$1022,'Hist. prices'!$I$5:$AB$5,0))</f>
        <v>0</v>
      </c>
      <c r="N1037" s="218">
        <f>INDEX('Hist. prices'!$I$8:$AB$82,MATCH($C1037,'Hist. prices'!$C$8:$C$82,0),MATCH(N$1022,'Hist. prices'!$I$5:$AB$5,0))</f>
        <v>0</v>
      </c>
      <c r="O1037" s="218">
        <f>INDEX('Hist. prices'!$I$8:$AB$82,MATCH($C1037,'Hist. prices'!$C$8:$C$82,0),MATCH(O$1022,'Hist. prices'!$I$5:$AB$5,0))</f>
        <v>0</v>
      </c>
      <c r="P1037" s="218">
        <f>INDEX('Hist. prices'!$I$8:$AB$82,MATCH($C1037,'Hist. prices'!$C$8:$C$82,0),MATCH(P$1022,'Hist. prices'!$I$5:$AB$5,0))</f>
        <v>0</v>
      </c>
      <c r="Q1037" s="218">
        <f>INDEX('Hist. prices'!$I$8:$AB$82,MATCH($C1037,'Hist. prices'!$C$8:$C$82,0),MATCH(Q$1022,'Hist. prices'!$I$5:$AB$5,0))</f>
        <v>0</v>
      </c>
      <c r="R1037" s="218">
        <f>INDEX('Hist. prices'!$I$8:$AB$82,MATCH($C1037,'Hist. prices'!$C$8:$C$82,0),MATCH(R$1022,'Hist. prices'!$I$5:$AB$5,0))</f>
        <v>0</v>
      </c>
      <c r="S1037" s="218">
        <f>INDEX('Hist. prices'!$I$8:$AB$82,MATCH($C1037,'Hist. prices'!$C$8:$C$82,0),MATCH(S$1022,'Hist. prices'!$I$5:$AB$5,0))</f>
        <v>0</v>
      </c>
      <c r="T1037" s="218">
        <f>INDEX('Hist. prices'!$I$8:$AB$82,MATCH($C1037,'Hist. prices'!$C$8:$C$82,0),MATCH(T$1022,'Hist. prices'!$I$5:$AB$5,0))</f>
        <v>0</v>
      </c>
      <c r="U1037" s="218">
        <f>INDEX('Hist. prices'!$I$8:$AB$82,MATCH($C1037,'Hist. prices'!$C$8:$C$82,0),MATCH(U$1022,'Hist. prices'!$I$5:$AB$5,0))</f>
        <v>0</v>
      </c>
      <c r="V1037" s="218">
        <f>INDEX('Hist. prices'!$I$8:$AB$82,MATCH($C1037,'Hist. prices'!$C$8:$C$82,0),MATCH(V$1022,'Hist. prices'!$I$5:$AB$5,0))</f>
        <v>0</v>
      </c>
      <c r="W1037" s="218">
        <f>INDEX('Hist. prices'!$I$8:$AB$82,MATCH($C1037,'Hist. prices'!$C$8:$C$82,0),MATCH(W$1022,'Hist. prices'!$I$5:$AB$5,0))</f>
        <v>0</v>
      </c>
      <c r="X1037" s="218">
        <f>INDEX('Hist. prices'!$I$8:$AB$82,MATCH($C1037,'Hist. prices'!$C$8:$C$82,0),MATCH(X$1022,'Hist. prices'!$I$5:$AB$5,0))</f>
        <v>0</v>
      </c>
      <c r="Y1037" s="218">
        <f>INDEX('Hist. prices'!$I$8:$AB$82,MATCH($C1037,'Hist. prices'!$C$8:$C$82,0),MATCH(Y$1022,'Hist. prices'!$I$5:$AB$5,0))</f>
        <v>0</v>
      </c>
      <c r="Z1037" s="218">
        <f>INDEX('Hist. prices'!$I$8:$AB$82,MATCH($C1037,'Hist. prices'!$C$8:$C$82,0),MATCH(Z$1022,'Hist. prices'!$I$5:$AB$5,0))</f>
        <v>0</v>
      </c>
      <c r="AA1037" s="218">
        <f>INDEX('Hist. prices'!$I$8:$AB$82,MATCH($C1037,'Hist. prices'!$C$8:$C$82,0),MATCH(AA$1022,'Hist. prices'!$I$5:$AB$5,0))</f>
        <v>0</v>
      </c>
      <c r="AB1037" s="218">
        <f>INDEX('Hist. prices'!$I$8:$AB$82,MATCH($C1037,'Hist. prices'!$C$8:$C$82,0),MATCH(AB$1022,'Hist. prices'!$I$5:$AB$5,0))</f>
        <v>0</v>
      </c>
      <c r="AC1037" s="187"/>
      <c r="AD1037" s="19"/>
      <c r="AE1037" s="19"/>
      <c r="AF1037" s="19"/>
      <c r="AG1037" s="19"/>
    </row>
    <row r="1038" spans="1:33" hidden="1" outlineLevel="3" x14ac:dyDescent="0.2">
      <c r="A1038" s="19"/>
      <c r="B1038" s="97"/>
      <c r="C1038" s="506">
        <f t="shared" si="210"/>
        <v>0</v>
      </c>
      <c r="D1038" s="505">
        <f t="shared" si="209"/>
        <v>0</v>
      </c>
      <c r="E1038" s="58"/>
      <c r="F1038" s="223"/>
      <c r="G1038" s="58"/>
      <c r="H1038" s="58"/>
      <c r="I1038" s="218">
        <f>INDEX('Hist. prices'!$I$8:$AB$82,MATCH($C1038,'Hist. prices'!$C$8:$C$82,0),MATCH(I$1022,'Hist. prices'!$I$5:$AB$5,0))</f>
        <v>0</v>
      </c>
      <c r="J1038" s="218">
        <f>INDEX('Hist. prices'!$I$8:$AB$82,MATCH($C1038,'Hist. prices'!$C$8:$C$82,0),MATCH(J$1022,'Hist. prices'!$I$5:$AB$5,0))</f>
        <v>0</v>
      </c>
      <c r="K1038" s="218">
        <f>INDEX('Hist. prices'!$I$8:$AB$82,MATCH($C1038,'Hist. prices'!$C$8:$C$82,0),MATCH(K$1022,'Hist. prices'!$I$5:$AB$5,0))</f>
        <v>0</v>
      </c>
      <c r="L1038" s="218">
        <f>INDEX('Hist. prices'!$I$8:$AB$82,MATCH($C1038,'Hist. prices'!$C$8:$C$82,0),MATCH(L$1022,'Hist. prices'!$I$5:$AB$5,0))</f>
        <v>0</v>
      </c>
      <c r="M1038" s="218">
        <f>INDEX('Hist. prices'!$I$8:$AB$82,MATCH($C1038,'Hist. prices'!$C$8:$C$82,0),MATCH(M$1022,'Hist. prices'!$I$5:$AB$5,0))</f>
        <v>0</v>
      </c>
      <c r="N1038" s="218">
        <f>INDEX('Hist. prices'!$I$8:$AB$82,MATCH($C1038,'Hist. prices'!$C$8:$C$82,0),MATCH(N$1022,'Hist. prices'!$I$5:$AB$5,0))</f>
        <v>0</v>
      </c>
      <c r="O1038" s="218">
        <f>INDEX('Hist. prices'!$I$8:$AB$82,MATCH($C1038,'Hist. prices'!$C$8:$C$82,0),MATCH(O$1022,'Hist. prices'!$I$5:$AB$5,0))</f>
        <v>0</v>
      </c>
      <c r="P1038" s="218">
        <f>INDEX('Hist. prices'!$I$8:$AB$82,MATCH($C1038,'Hist. prices'!$C$8:$C$82,0),MATCH(P$1022,'Hist. prices'!$I$5:$AB$5,0))</f>
        <v>0</v>
      </c>
      <c r="Q1038" s="218">
        <f>INDEX('Hist. prices'!$I$8:$AB$82,MATCH($C1038,'Hist. prices'!$C$8:$C$82,0),MATCH(Q$1022,'Hist. prices'!$I$5:$AB$5,0))</f>
        <v>0</v>
      </c>
      <c r="R1038" s="218">
        <f>INDEX('Hist. prices'!$I$8:$AB$82,MATCH($C1038,'Hist. prices'!$C$8:$C$82,0),MATCH(R$1022,'Hist. prices'!$I$5:$AB$5,0))</f>
        <v>0</v>
      </c>
      <c r="S1038" s="218">
        <f>INDEX('Hist. prices'!$I$8:$AB$82,MATCH($C1038,'Hist. prices'!$C$8:$C$82,0),MATCH(S$1022,'Hist. prices'!$I$5:$AB$5,0))</f>
        <v>0</v>
      </c>
      <c r="T1038" s="218">
        <f>INDEX('Hist. prices'!$I$8:$AB$82,MATCH($C1038,'Hist. prices'!$C$8:$C$82,0),MATCH(T$1022,'Hist. prices'!$I$5:$AB$5,0))</f>
        <v>0</v>
      </c>
      <c r="U1038" s="218">
        <f>INDEX('Hist. prices'!$I$8:$AB$82,MATCH($C1038,'Hist. prices'!$C$8:$C$82,0),MATCH(U$1022,'Hist. prices'!$I$5:$AB$5,0))</f>
        <v>0</v>
      </c>
      <c r="V1038" s="218">
        <f>INDEX('Hist. prices'!$I$8:$AB$82,MATCH($C1038,'Hist. prices'!$C$8:$C$82,0),MATCH(V$1022,'Hist. prices'!$I$5:$AB$5,0))</f>
        <v>0</v>
      </c>
      <c r="W1038" s="218">
        <f>INDEX('Hist. prices'!$I$8:$AB$82,MATCH($C1038,'Hist. prices'!$C$8:$C$82,0),MATCH(W$1022,'Hist. prices'!$I$5:$AB$5,0))</f>
        <v>0</v>
      </c>
      <c r="X1038" s="218">
        <f>INDEX('Hist. prices'!$I$8:$AB$82,MATCH($C1038,'Hist. prices'!$C$8:$C$82,0),MATCH(X$1022,'Hist. prices'!$I$5:$AB$5,0))</f>
        <v>0</v>
      </c>
      <c r="Y1038" s="218">
        <f>INDEX('Hist. prices'!$I$8:$AB$82,MATCH($C1038,'Hist. prices'!$C$8:$C$82,0),MATCH(Y$1022,'Hist. prices'!$I$5:$AB$5,0))</f>
        <v>0</v>
      </c>
      <c r="Z1038" s="218">
        <f>INDEX('Hist. prices'!$I$8:$AB$82,MATCH($C1038,'Hist. prices'!$C$8:$C$82,0),MATCH(Z$1022,'Hist. prices'!$I$5:$AB$5,0))</f>
        <v>0</v>
      </c>
      <c r="AA1038" s="218">
        <f>INDEX('Hist. prices'!$I$8:$AB$82,MATCH($C1038,'Hist. prices'!$C$8:$C$82,0),MATCH(AA$1022,'Hist. prices'!$I$5:$AB$5,0))</f>
        <v>0</v>
      </c>
      <c r="AB1038" s="218">
        <f>INDEX('Hist. prices'!$I$8:$AB$82,MATCH($C1038,'Hist. prices'!$C$8:$C$82,0),MATCH(AB$1022,'Hist. prices'!$I$5:$AB$5,0))</f>
        <v>0</v>
      </c>
      <c r="AC1038" s="187"/>
      <c r="AD1038" s="19"/>
      <c r="AE1038" s="19"/>
      <c r="AF1038" s="19"/>
      <c r="AG1038" s="19"/>
    </row>
    <row r="1039" spans="1:33" hidden="1" outlineLevel="3" x14ac:dyDescent="0.2">
      <c r="A1039" s="19"/>
      <c r="B1039" s="97"/>
      <c r="C1039" s="506">
        <f t="shared" si="210"/>
        <v>0</v>
      </c>
      <c r="D1039" s="505">
        <f t="shared" si="209"/>
        <v>0</v>
      </c>
      <c r="E1039" s="58"/>
      <c r="F1039" s="223"/>
      <c r="G1039" s="58"/>
      <c r="H1039" s="58"/>
      <c r="I1039" s="218">
        <f>INDEX('Hist. prices'!$I$8:$AB$82,MATCH($C1039,'Hist. prices'!$C$8:$C$82,0),MATCH(I$1022,'Hist. prices'!$I$5:$AB$5,0))</f>
        <v>0</v>
      </c>
      <c r="J1039" s="218">
        <f>INDEX('Hist. prices'!$I$8:$AB$82,MATCH($C1039,'Hist. prices'!$C$8:$C$82,0),MATCH(J$1022,'Hist. prices'!$I$5:$AB$5,0))</f>
        <v>0</v>
      </c>
      <c r="K1039" s="218">
        <f>INDEX('Hist. prices'!$I$8:$AB$82,MATCH($C1039,'Hist. prices'!$C$8:$C$82,0),MATCH(K$1022,'Hist. prices'!$I$5:$AB$5,0))</f>
        <v>0</v>
      </c>
      <c r="L1039" s="218">
        <f>INDEX('Hist. prices'!$I$8:$AB$82,MATCH($C1039,'Hist. prices'!$C$8:$C$82,0),MATCH(L$1022,'Hist. prices'!$I$5:$AB$5,0))</f>
        <v>0</v>
      </c>
      <c r="M1039" s="218">
        <f>INDEX('Hist. prices'!$I$8:$AB$82,MATCH($C1039,'Hist. prices'!$C$8:$C$82,0),MATCH(M$1022,'Hist. prices'!$I$5:$AB$5,0))</f>
        <v>0</v>
      </c>
      <c r="N1039" s="218">
        <f>INDEX('Hist. prices'!$I$8:$AB$82,MATCH($C1039,'Hist. prices'!$C$8:$C$82,0),MATCH(N$1022,'Hist. prices'!$I$5:$AB$5,0))</f>
        <v>0</v>
      </c>
      <c r="O1039" s="218">
        <f>INDEX('Hist. prices'!$I$8:$AB$82,MATCH($C1039,'Hist. prices'!$C$8:$C$82,0),MATCH(O$1022,'Hist. prices'!$I$5:$AB$5,0))</f>
        <v>0</v>
      </c>
      <c r="P1039" s="218">
        <f>INDEX('Hist. prices'!$I$8:$AB$82,MATCH($C1039,'Hist. prices'!$C$8:$C$82,0),MATCH(P$1022,'Hist. prices'!$I$5:$AB$5,0))</f>
        <v>0</v>
      </c>
      <c r="Q1039" s="218">
        <f>INDEX('Hist. prices'!$I$8:$AB$82,MATCH($C1039,'Hist. prices'!$C$8:$C$82,0),MATCH(Q$1022,'Hist. prices'!$I$5:$AB$5,0))</f>
        <v>0</v>
      </c>
      <c r="R1039" s="218">
        <f>INDEX('Hist. prices'!$I$8:$AB$82,MATCH($C1039,'Hist. prices'!$C$8:$C$82,0),MATCH(R$1022,'Hist. prices'!$I$5:$AB$5,0))</f>
        <v>0</v>
      </c>
      <c r="S1039" s="218">
        <f>INDEX('Hist. prices'!$I$8:$AB$82,MATCH($C1039,'Hist. prices'!$C$8:$C$82,0),MATCH(S$1022,'Hist. prices'!$I$5:$AB$5,0))</f>
        <v>0</v>
      </c>
      <c r="T1039" s="218">
        <f>INDEX('Hist. prices'!$I$8:$AB$82,MATCH($C1039,'Hist. prices'!$C$8:$C$82,0),MATCH(T$1022,'Hist. prices'!$I$5:$AB$5,0))</f>
        <v>0</v>
      </c>
      <c r="U1039" s="218">
        <f>INDEX('Hist. prices'!$I$8:$AB$82,MATCH($C1039,'Hist. prices'!$C$8:$C$82,0),MATCH(U$1022,'Hist. prices'!$I$5:$AB$5,0))</f>
        <v>0</v>
      </c>
      <c r="V1039" s="218">
        <f>INDEX('Hist. prices'!$I$8:$AB$82,MATCH($C1039,'Hist. prices'!$C$8:$C$82,0),MATCH(V$1022,'Hist. prices'!$I$5:$AB$5,0))</f>
        <v>0</v>
      </c>
      <c r="W1039" s="218">
        <f>INDEX('Hist. prices'!$I$8:$AB$82,MATCH($C1039,'Hist. prices'!$C$8:$C$82,0),MATCH(W$1022,'Hist. prices'!$I$5:$AB$5,0))</f>
        <v>0</v>
      </c>
      <c r="X1039" s="218">
        <f>INDEX('Hist. prices'!$I$8:$AB$82,MATCH($C1039,'Hist. prices'!$C$8:$C$82,0),MATCH(X$1022,'Hist. prices'!$I$5:$AB$5,0))</f>
        <v>0</v>
      </c>
      <c r="Y1039" s="218">
        <f>INDEX('Hist. prices'!$I$8:$AB$82,MATCH($C1039,'Hist. prices'!$C$8:$C$82,0),MATCH(Y$1022,'Hist. prices'!$I$5:$AB$5,0))</f>
        <v>0</v>
      </c>
      <c r="Z1039" s="218">
        <f>INDEX('Hist. prices'!$I$8:$AB$82,MATCH($C1039,'Hist. prices'!$C$8:$C$82,0),MATCH(Z$1022,'Hist. prices'!$I$5:$AB$5,0))</f>
        <v>0</v>
      </c>
      <c r="AA1039" s="218">
        <f>INDEX('Hist. prices'!$I$8:$AB$82,MATCH($C1039,'Hist. prices'!$C$8:$C$82,0),MATCH(AA$1022,'Hist. prices'!$I$5:$AB$5,0))</f>
        <v>0</v>
      </c>
      <c r="AB1039" s="218">
        <f>INDEX('Hist. prices'!$I$8:$AB$82,MATCH($C1039,'Hist. prices'!$C$8:$C$82,0),MATCH(AB$1022,'Hist. prices'!$I$5:$AB$5,0))</f>
        <v>0</v>
      </c>
      <c r="AC1039" s="187"/>
      <c r="AD1039" s="19"/>
      <c r="AE1039" s="19"/>
      <c r="AF1039" s="19"/>
      <c r="AG1039" s="19"/>
    </row>
    <row r="1040" spans="1:33" hidden="1" outlineLevel="3" x14ac:dyDescent="0.2">
      <c r="A1040" s="19"/>
      <c r="B1040" s="98"/>
      <c r="C1040" s="506">
        <f t="shared" si="210"/>
        <v>0</v>
      </c>
      <c r="D1040" s="505">
        <f t="shared" si="209"/>
        <v>0</v>
      </c>
      <c r="E1040" s="58"/>
      <c r="F1040" s="223"/>
      <c r="G1040" s="58"/>
      <c r="H1040" s="58"/>
      <c r="I1040" s="218">
        <f>INDEX('Hist. prices'!$I$8:$AB$82,MATCH($C1040,'Hist. prices'!$C$8:$C$82,0),MATCH(I$1022,'Hist. prices'!$I$5:$AB$5,0))</f>
        <v>0</v>
      </c>
      <c r="J1040" s="218">
        <f>INDEX('Hist. prices'!$I$8:$AB$82,MATCH($C1040,'Hist. prices'!$C$8:$C$82,0),MATCH(J$1022,'Hist. prices'!$I$5:$AB$5,0))</f>
        <v>0</v>
      </c>
      <c r="K1040" s="218">
        <f>INDEX('Hist. prices'!$I$8:$AB$82,MATCH($C1040,'Hist. prices'!$C$8:$C$82,0),MATCH(K$1022,'Hist. prices'!$I$5:$AB$5,0))</f>
        <v>0</v>
      </c>
      <c r="L1040" s="218">
        <f>INDEX('Hist. prices'!$I$8:$AB$82,MATCH($C1040,'Hist. prices'!$C$8:$C$82,0),MATCH(L$1022,'Hist. prices'!$I$5:$AB$5,0))</f>
        <v>0</v>
      </c>
      <c r="M1040" s="218">
        <f>INDEX('Hist. prices'!$I$8:$AB$82,MATCH($C1040,'Hist. prices'!$C$8:$C$82,0),MATCH(M$1022,'Hist. prices'!$I$5:$AB$5,0))</f>
        <v>0</v>
      </c>
      <c r="N1040" s="218">
        <f>INDEX('Hist. prices'!$I$8:$AB$82,MATCH($C1040,'Hist. prices'!$C$8:$C$82,0),MATCH(N$1022,'Hist. prices'!$I$5:$AB$5,0))</f>
        <v>0</v>
      </c>
      <c r="O1040" s="218">
        <f>INDEX('Hist. prices'!$I$8:$AB$82,MATCH($C1040,'Hist. prices'!$C$8:$C$82,0),MATCH(O$1022,'Hist. prices'!$I$5:$AB$5,0))</f>
        <v>0</v>
      </c>
      <c r="P1040" s="218">
        <f>INDEX('Hist. prices'!$I$8:$AB$82,MATCH($C1040,'Hist. prices'!$C$8:$C$82,0),MATCH(P$1022,'Hist. prices'!$I$5:$AB$5,0))</f>
        <v>0</v>
      </c>
      <c r="Q1040" s="218">
        <f>INDEX('Hist. prices'!$I$8:$AB$82,MATCH($C1040,'Hist. prices'!$C$8:$C$82,0),MATCH(Q$1022,'Hist. prices'!$I$5:$AB$5,0))</f>
        <v>0</v>
      </c>
      <c r="R1040" s="218">
        <f>INDEX('Hist. prices'!$I$8:$AB$82,MATCH($C1040,'Hist. prices'!$C$8:$C$82,0),MATCH(R$1022,'Hist. prices'!$I$5:$AB$5,0))</f>
        <v>0</v>
      </c>
      <c r="S1040" s="218">
        <f>INDEX('Hist. prices'!$I$8:$AB$82,MATCH($C1040,'Hist. prices'!$C$8:$C$82,0),MATCH(S$1022,'Hist. prices'!$I$5:$AB$5,0))</f>
        <v>0</v>
      </c>
      <c r="T1040" s="218">
        <f>INDEX('Hist. prices'!$I$8:$AB$82,MATCH($C1040,'Hist. prices'!$C$8:$C$82,0),MATCH(T$1022,'Hist. prices'!$I$5:$AB$5,0))</f>
        <v>0</v>
      </c>
      <c r="U1040" s="218">
        <f>INDEX('Hist. prices'!$I$8:$AB$82,MATCH($C1040,'Hist. prices'!$C$8:$C$82,0),MATCH(U$1022,'Hist. prices'!$I$5:$AB$5,0))</f>
        <v>0</v>
      </c>
      <c r="V1040" s="218">
        <f>INDEX('Hist. prices'!$I$8:$AB$82,MATCH($C1040,'Hist. prices'!$C$8:$C$82,0),MATCH(V$1022,'Hist. prices'!$I$5:$AB$5,0))</f>
        <v>0</v>
      </c>
      <c r="W1040" s="218">
        <f>INDEX('Hist. prices'!$I$8:$AB$82,MATCH($C1040,'Hist. prices'!$C$8:$C$82,0),MATCH(W$1022,'Hist. prices'!$I$5:$AB$5,0))</f>
        <v>0</v>
      </c>
      <c r="X1040" s="218">
        <f>INDEX('Hist. prices'!$I$8:$AB$82,MATCH($C1040,'Hist. prices'!$C$8:$C$82,0),MATCH(X$1022,'Hist. prices'!$I$5:$AB$5,0))</f>
        <v>0</v>
      </c>
      <c r="Y1040" s="218">
        <f>INDEX('Hist. prices'!$I$8:$AB$82,MATCH($C1040,'Hist. prices'!$C$8:$C$82,0),MATCH(Y$1022,'Hist. prices'!$I$5:$AB$5,0))</f>
        <v>0</v>
      </c>
      <c r="Z1040" s="218">
        <f>INDEX('Hist. prices'!$I$8:$AB$82,MATCH($C1040,'Hist. prices'!$C$8:$C$82,0),MATCH(Z$1022,'Hist. prices'!$I$5:$AB$5,0))</f>
        <v>0</v>
      </c>
      <c r="AA1040" s="218">
        <f>INDEX('Hist. prices'!$I$8:$AB$82,MATCH($C1040,'Hist. prices'!$C$8:$C$82,0),MATCH(AA$1022,'Hist. prices'!$I$5:$AB$5,0))</f>
        <v>0</v>
      </c>
      <c r="AB1040" s="218">
        <f>INDEX('Hist. prices'!$I$8:$AB$82,MATCH($C1040,'Hist. prices'!$C$8:$C$82,0),MATCH(AB$1022,'Hist. prices'!$I$5:$AB$5,0))</f>
        <v>0</v>
      </c>
      <c r="AC1040" s="187"/>
      <c r="AD1040" s="19"/>
      <c r="AE1040" s="19"/>
      <c r="AF1040" s="19"/>
      <c r="AG1040" s="19"/>
    </row>
    <row r="1041" spans="1:33" hidden="1" outlineLevel="3" x14ac:dyDescent="0.2">
      <c r="A1041" s="19"/>
      <c r="B1041" s="97"/>
      <c r="C1041" s="506">
        <f t="shared" si="210"/>
        <v>0</v>
      </c>
      <c r="D1041" s="505">
        <f t="shared" si="209"/>
        <v>0</v>
      </c>
      <c r="E1041" s="58"/>
      <c r="F1041" s="223"/>
      <c r="G1041" s="58"/>
      <c r="H1041" s="58"/>
      <c r="I1041" s="218">
        <f>INDEX('Hist. prices'!$I$8:$AB$82,MATCH($C1041,'Hist. prices'!$C$8:$C$82,0),MATCH(I$1022,'Hist. prices'!$I$5:$AB$5,0))</f>
        <v>0</v>
      </c>
      <c r="J1041" s="218">
        <f>INDEX('Hist. prices'!$I$8:$AB$82,MATCH($C1041,'Hist. prices'!$C$8:$C$82,0),MATCH(J$1022,'Hist. prices'!$I$5:$AB$5,0))</f>
        <v>0</v>
      </c>
      <c r="K1041" s="218">
        <f>INDEX('Hist. prices'!$I$8:$AB$82,MATCH($C1041,'Hist. prices'!$C$8:$C$82,0),MATCH(K$1022,'Hist. prices'!$I$5:$AB$5,0))</f>
        <v>0</v>
      </c>
      <c r="L1041" s="218">
        <f>INDEX('Hist. prices'!$I$8:$AB$82,MATCH($C1041,'Hist. prices'!$C$8:$C$82,0),MATCH(L$1022,'Hist. prices'!$I$5:$AB$5,0))</f>
        <v>0</v>
      </c>
      <c r="M1041" s="218">
        <f>INDEX('Hist. prices'!$I$8:$AB$82,MATCH($C1041,'Hist. prices'!$C$8:$C$82,0),MATCH(M$1022,'Hist. prices'!$I$5:$AB$5,0))</f>
        <v>0</v>
      </c>
      <c r="N1041" s="218">
        <f>INDEX('Hist. prices'!$I$8:$AB$82,MATCH($C1041,'Hist. prices'!$C$8:$C$82,0),MATCH(N$1022,'Hist. prices'!$I$5:$AB$5,0))</f>
        <v>0</v>
      </c>
      <c r="O1041" s="218">
        <f>INDEX('Hist. prices'!$I$8:$AB$82,MATCH($C1041,'Hist. prices'!$C$8:$C$82,0),MATCH(O$1022,'Hist. prices'!$I$5:$AB$5,0))</f>
        <v>0</v>
      </c>
      <c r="P1041" s="218">
        <f>INDEX('Hist. prices'!$I$8:$AB$82,MATCH($C1041,'Hist. prices'!$C$8:$C$82,0),MATCH(P$1022,'Hist. prices'!$I$5:$AB$5,0))</f>
        <v>0</v>
      </c>
      <c r="Q1041" s="218">
        <f>INDEX('Hist. prices'!$I$8:$AB$82,MATCH($C1041,'Hist. prices'!$C$8:$C$82,0),MATCH(Q$1022,'Hist. prices'!$I$5:$AB$5,0))</f>
        <v>0</v>
      </c>
      <c r="R1041" s="218">
        <f>INDEX('Hist. prices'!$I$8:$AB$82,MATCH($C1041,'Hist. prices'!$C$8:$C$82,0),MATCH(R$1022,'Hist. prices'!$I$5:$AB$5,0))</f>
        <v>0</v>
      </c>
      <c r="S1041" s="218">
        <f>INDEX('Hist. prices'!$I$8:$AB$82,MATCH($C1041,'Hist. prices'!$C$8:$C$82,0),MATCH(S$1022,'Hist. prices'!$I$5:$AB$5,0))</f>
        <v>0</v>
      </c>
      <c r="T1041" s="218">
        <f>INDEX('Hist. prices'!$I$8:$AB$82,MATCH($C1041,'Hist. prices'!$C$8:$C$82,0),MATCH(T$1022,'Hist. prices'!$I$5:$AB$5,0))</f>
        <v>0</v>
      </c>
      <c r="U1041" s="218">
        <f>INDEX('Hist. prices'!$I$8:$AB$82,MATCH($C1041,'Hist. prices'!$C$8:$C$82,0),MATCH(U$1022,'Hist. prices'!$I$5:$AB$5,0))</f>
        <v>0</v>
      </c>
      <c r="V1041" s="218">
        <f>INDEX('Hist. prices'!$I$8:$AB$82,MATCH($C1041,'Hist. prices'!$C$8:$C$82,0),MATCH(V$1022,'Hist. prices'!$I$5:$AB$5,0))</f>
        <v>0</v>
      </c>
      <c r="W1041" s="218">
        <f>INDEX('Hist. prices'!$I$8:$AB$82,MATCH($C1041,'Hist. prices'!$C$8:$C$82,0),MATCH(W$1022,'Hist. prices'!$I$5:$AB$5,0))</f>
        <v>0</v>
      </c>
      <c r="X1041" s="218">
        <f>INDEX('Hist. prices'!$I$8:$AB$82,MATCH($C1041,'Hist. prices'!$C$8:$C$82,0),MATCH(X$1022,'Hist. prices'!$I$5:$AB$5,0))</f>
        <v>0</v>
      </c>
      <c r="Y1041" s="218">
        <f>INDEX('Hist. prices'!$I$8:$AB$82,MATCH($C1041,'Hist. prices'!$C$8:$C$82,0),MATCH(Y$1022,'Hist. prices'!$I$5:$AB$5,0))</f>
        <v>0</v>
      </c>
      <c r="Z1041" s="218">
        <f>INDEX('Hist. prices'!$I$8:$AB$82,MATCH($C1041,'Hist. prices'!$C$8:$C$82,0),MATCH(Z$1022,'Hist. prices'!$I$5:$AB$5,0))</f>
        <v>0</v>
      </c>
      <c r="AA1041" s="218">
        <f>INDEX('Hist. prices'!$I$8:$AB$82,MATCH($C1041,'Hist. prices'!$C$8:$C$82,0),MATCH(AA$1022,'Hist. prices'!$I$5:$AB$5,0))</f>
        <v>0</v>
      </c>
      <c r="AB1041" s="218">
        <f>INDEX('Hist. prices'!$I$8:$AB$82,MATCH($C1041,'Hist. prices'!$C$8:$C$82,0),MATCH(AB$1022,'Hist. prices'!$I$5:$AB$5,0))</f>
        <v>0</v>
      </c>
      <c r="AC1041" s="187"/>
      <c r="AD1041" s="19"/>
      <c r="AE1041" s="19"/>
      <c r="AF1041" s="19"/>
      <c r="AG1041" s="19"/>
    </row>
    <row r="1042" spans="1:33" hidden="1" outlineLevel="3" x14ac:dyDescent="0.2">
      <c r="A1042" s="19"/>
      <c r="B1042" s="97"/>
      <c r="C1042" s="506">
        <f t="shared" si="210"/>
        <v>0</v>
      </c>
      <c r="D1042" s="505">
        <f t="shared" si="209"/>
        <v>0</v>
      </c>
      <c r="E1042" s="58"/>
      <c r="F1042" s="223"/>
      <c r="G1042" s="58"/>
      <c r="H1042" s="58"/>
      <c r="I1042" s="218">
        <f>INDEX('Hist. prices'!$I$8:$AB$82,MATCH($C1042,'Hist. prices'!$C$8:$C$82,0),MATCH(I$1022,'Hist. prices'!$I$5:$AB$5,0))</f>
        <v>0</v>
      </c>
      <c r="J1042" s="218">
        <f>INDEX('Hist. prices'!$I$8:$AB$82,MATCH($C1042,'Hist. prices'!$C$8:$C$82,0),MATCH(J$1022,'Hist. prices'!$I$5:$AB$5,0))</f>
        <v>0</v>
      </c>
      <c r="K1042" s="218">
        <f>INDEX('Hist. prices'!$I$8:$AB$82,MATCH($C1042,'Hist. prices'!$C$8:$C$82,0),MATCH(K$1022,'Hist. prices'!$I$5:$AB$5,0))</f>
        <v>0</v>
      </c>
      <c r="L1042" s="218">
        <f>INDEX('Hist. prices'!$I$8:$AB$82,MATCH($C1042,'Hist. prices'!$C$8:$C$82,0),MATCH(L$1022,'Hist. prices'!$I$5:$AB$5,0))</f>
        <v>0</v>
      </c>
      <c r="M1042" s="218">
        <f>INDEX('Hist. prices'!$I$8:$AB$82,MATCH($C1042,'Hist. prices'!$C$8:$C$82,0),MATCH(M$1022,'Hist. prices'!$I$5:$AB$5,0))</f>
        <v>0</v>
      </c>
      <c r="N1042" s="218">
        <f>INDEX('Hist. prices'!$I$8:$AB$82,MATCH($C1042,'Hist. prices'!$C$8:$C$82,0),MATCH(N$1022,'Hist. prices'!$I$5:$AB$5,0))</f>
        <v>0</v>
      </c>
      <c r="O1042" s="218">
        <f>INDEX('Hist. prices'!$I$8:$AB$82,MATCH($C1042,'Hist. prices'!$C$8:$C$82,0),MATCH(O$1022,'Hist. prices'!$I$5:$AB$5,0))</f>
        <v>0</v>
      </c>
      <c r="P1042" s="218">
        <f>INDEX('Hist. prices'!$I$8:$AB$82,MATCH($C1042,'Hist. prices'!$C$8:$C$82,0),MATCH(P$1022,'Hist. prices'!$I$5:$AB$5,0))</f>
        <v>0</v>
      </c>
      <c r="Q1042" s="218">
        <f>INDEX('Hist. prices'!$I$8:$AB$82,MATCH($C1042,'Hist. prices'!$C$8:$C$82,0),MATCH(Q$1022,'Hist. prices'!$I$5:$AB$5,0))</f>
        <v>0</v>
      </c>
      <c r="R1042" s="218">
        <f>INDEX('Hist. prices'!$I$8:$AB$82,MATCH($C1042,'Hist. prices'!$C$8:$C$82,0),MATCH(R$1022,'Hist. prices'!$I$5:$AB$5,0))</f>
        <v>0</v>
      </c>
      <c r="S1042" s="218">
        <f>INDEX('Hist. prices'!$I$8:$AB$82,MATCH($C1042,'Hist. prices'!$C$8:$C$82,0),MATCH(S$1022,'Hist. prices'!$I$5:$AB$5,0))</f>
        <v>0</v>
      </c>
      <c r="T1042" s="218">
        <f>INDEX('Hist. prices'!$I$8:$AB$82,MATCH($C1042,'Hist. prices'!$C$8:$C$82,0),MATCH(T$1022,'Hist. prices'!$I$5:$AB$5,0))</f>
        <v>0</v>
      </c>
      <c r="U1042" s="218">
        <f>INDEX('Hist. prices'!$I$8:$AB$82,MATCH($C1042,'Hist. prices'!$C$8:$C$82,0),MATCH(U$1022,'Hist. prices'!$I$5:$AB$5,0))</f>
        <v>0</v>
      </c>
      <c r="V1042" s="218">
        <f>INDEX('Hist. prices'!$I$8:$AB$82,MATCH($C1042,'Hist. prices'!$C$8:$C$82,0),MATCH(V$1022,'Hist. prices'!$I$5:$AB$5,0))</f>
        <v>0</v>
      </c>
      <c r="W1042" s="218">
        <f>INDEX('Hist. prices'!$I$8:$AB$82,MATCH($C1042,'Hist. prices'!$C$8:$C$82,0),MATCH(W$1022,'Hist. prices'!$I$5:$AB$5,0))</f>
        <v>0</v>
      </c>
      <c r="X1042" s="218">
        <f>INDEX('Hist. prices'!$I$8:$AB$82,MATCH($C1042,'Hist. prices'!$C$8:$C$82,0),MATCH(X$1022,'Hist. prices'!$I$5:$AB$5,0))</f>
        <v>0</v>
      </c>
      <c r="Y1042" s="218">
        <f>INDEX('Hist. prices'!$I$8:$AB$82,MATCH($C1042,'Hist. prices'!$C$8:$C$82,0),MATCH(Y$1022,'Hist. prices'!$I$5:$AB$5,0))</f>
        <v>0</v>
      </c>
      <c r="Z1042" s="218">
        <f>INDEX('Hist. prices'!$I$8:$AB$82,MATCH($C1042,'Hist. prices'!$C$8:$C$82,0),MATCH(Z$1022,'Hist. prices'!$I$5:$AB$5,0))</f>
        <v>0</v>
      </c>
      <c r="AA1042" s="218">
        <f>INDEX('Hist. prices'!$I$8:$AB$82,MATCH($C1042,'Hist. prices'!$C$8:$C$82,0),MATCH(AA$1022,'Hist. prices'!$I$5:$AB$5,0))</f>
        <v>0</v>
      </c>
      <c r="AB1042" s="218">
        <f>INDEX('Hist. prices'!$I$8:$AB$82,MATCH($C1042,'Hist. prices'!$C$8:$C$82,0),MATCH(AB$1022,'Hist. prices'!$I$5:$AB$5,0))</f>
        <v>0</v>
      </c>
      <c r="AC1042" s="187"/>
      <c r="AD1042" s="19"/>
      <c r="AE1042" s="19"/>
      <c r="AF1042" s="19"/>
      <c r="AG1042" s="19"/>
    </row>
    <row r="1043" spans="1:33" hidden="1" outlineLevel="3" x14ac:dyDescent="0.2">
      <c r="A1043" s="19"/>
      <c r="B1043" s="97"/>
      <c r="C1043" s="506">
        <f t="shared" si="210"/>
        <v>0</v>
      </c>
      <c r="D1043" s="505">
        <f t="shared" si="209"/>
        <v>0</v>
      </c>
      <c r="E1043" s="58"/>
      <c r="F1043" s="223"/>
      <c r="G1043" s="58"/>
      <c r="H1043" s="58"/>
      <c r="I1043" s="218">
        <f>INDEX('Hist. prices'!$I$8:$AB$82,MATCH($C1043,'Hist. prices'!$C$8:$C$82,0),MATCH(I$1022,'Hist. prices'!$I$5:$AB$5,0))</f>
        <v>0</v>
      </c>
      <c r="J1043" s="218">
        <f>INDEX('Hist. prices'!$I$8:$AB$82,MATCH($C1043,'Hist. prices'!$C$8:$C$82,0),MATCH(J$1022,'Hist. prices'!$I$5:$AB$5,0))</f>
        <v>0</v>
      </c>
      <c r="K1043" s="218">
        <f>INDEX('Hist. prices'!$I$8:$AB$82,MATCH($C1043,'Hist. prices'!$C$8:$C$82,0),MATCH(K$1022,'Hist. prices'!$I$5:$AB$5,0))</f>
        <v>0</v>
      </c>
      <c r="L1043" s="218">
        <f>INDEX('Hist. prices'!$I$8:$AB$82,MATCH($C1043,'Hist. prices'!$C$8:$C$82,0),MATCH(L$1022,'Hist. prices'!$I$5:$AB$5,0))</f>
        <v>0</v>
      </c>
      <c r="M1043" s="218">
        <f>INDEX('Hist. prices'!$I$8:$AB$82,MATCH($C1043,'Hist. prices'!$C$8:$C$82,0),MATCH(M$1022,'Hist. prices'!$I$5:$AB$5,0))</f>
        <v>0</v>
      </c>
      <c r="N1043" s="218">
        <f>INDEX('Hist. prices'!$I$8:$AB$82,MATCH($C1043,'Hist. prices'!$C$8:$C$82,0),MATCH(N$1022,'Hist. prices'!$I$5:$AB$5,0))</f>
        <v>0</v>
      </c>
      <c r="O1043" s="218">
        <f>INDEX('Hist. prices'!$I$8:$AB$82,MATCH($C1043,'Hist. prices'!$C$8:$C$82,0),MATCH(O$1022,'Hist. prices'!$I$5:$AB$5,0))</f>
        <v>0</v>
      </c>
      <c r="P1043" s="218">
        <f>INDEX('Hist. prices'!$I$8:$AB$82,MATCH($C1043,'Hist. prices'!$C$8:$C$82,0),MATCH(P$1022,'Hist. prices'!$I$5:$AB$5,0))</f>
        <v>0</v>
      </c>
      <c r="Q1043" s="218">
        <f>INDEX('Hist. prices'!$I$8:$AB$82,MATCH($C1043,'Hist. prices'!$C$8:$C$82,0),MATCH(Q$1022,'Hist. prices'!$I$5:$AB$5,0))</f>
        <v>0</v>
      </c>
      <c r="R1043" s="218">
        <f>INDEX('Hist. prices'!$I$8:$AB$82,MATCH($C1043,'Hist. prices'!$C$8:$C$82,0),MATCH(R$1022,'Hist. prices'!$I$5:$AB$5,0))</f>
        <v>0</v>
      </c>
      <c r="S1043" s="218">
        <f>INDEX('Hist. prices'!$I$8:$AB$82,MATCH($C1043,'Hist. prices'!$C$8:$C$82,0),MATCH(S$1022,'Hist. prices'!$I$5:$AB$5,0))</f>
        <v>0</v>
      </c>
      <c r="T1043" s="218">
        <f>INDEX('Hist. prices'!$I$8:$AB$82,MATCH($C1043,'Hist. prices'!$C$8:$C$82,0),MATCH(T$1022,'Hist. prices'!$I$5:$AB$5,0))</f>
        <v>0</v>
      </c>
      <c r="U1043" s="218">
        <f>INDEX('Hist. prices'!$I$8:$AB$82,MATCH($C1043,'Hist. prices'!$C$8:$C$82,0),MATCH(U$1022,'Hist. prices'!$I$5:$AB$5,0))</f>
        <v>0</v>
      </c>
      <c r="V1043" s="218">
        <f>INDEX('Hist. prices'!$I$8:$AB$82,MATCH($C1043,'Hist. prices'!$C$8:$C$82,0),MATCH(V$1022,'Hist. prices'!$I$5:$AB$5,0))</f>
        <v>0</v>
      </c>
      <c r="W1043" s="218">
        <f>INDEX('Hist. prices'!$I$8:$AB$82,MATCH($C1043,'Hist. prices'!$C$8:$C$82,0),MATCH(W$1022,'Hist. prices'!$I$5:$AB$5,0))</f>
        <v>0</v>
      </c>
      <c r="X1043" s="218">
        <f>INDEX('Hist. prices'!$I$8:$AB$82,MATCH($C1043,'Hist. prices'!$C$8:$C$82,0),MATCH(X$1022,'Hist. prices'!$I$5:$AB$5,0))</f>
        <v>0</v>
      </c>
      <c r="Y1043" s="218">
        <f>INDEX('Hist. prices'!$I$8:$AB$82,MATCH($C1043,'Hist. prices'!$C$8:$C$82,0),MATCH(Y$1022,'Hist. prices'!$I$5:$AB$5,0))</f>
        <v>0</v>
      </c>
      <c r="Z1043" s="218">
        <f>INDEX('Hist. prices'!$I$8:$AB$82,MATCH($C1043,'Hist. prices'!$C$8:$C$82,0),MATCH(Z$1022,'Hist. prices'!$I$5:$AB$5,0))</f>
        <v>0</v>
      </c>
      <c r="AA1043" s="218">
        <f>INDEX('Hist. prices'!$I$8:$AB$82,MATCH($C1043,'Hist. prices'!$C$8:$C$82,0),MATCH(AA$1022,'Hist. prices'!$I$5:$AB$5,0))</f>
        <v>0</v>
      </c>
      <c r="AB1043" s="218">
        <f>INDEX('Hist. prices'!$I$8:$AB$82,MATCH($C1043,'Hist. prices'!$C$8:$C$82,0),MATCH(AB$1022,'Hist. prices'!$I$5:$AB$5,0))</f>
        <v>0</v>
      </c>
      <c r="AC1043" s="187"/>
      <c r="AD1043" s="19"/>
      <c r="AE1043" s="19"/>
      <c r="AF1043" s="19"/>
      <c r="AG1043" s="19"/>
    </row>
    <row r="1044" spans="1:33" hidden="1" outlineLevel="3" x14ac:dyDescent="0.2">
      <c r="A1044" s="19"/>
      <c r="B1044" s="97"/>
      <c r="C1044" s="506">
        <f t="shared" si="210"/>
        <v>0</v>
      </c>
      <c r="D1044" s="505">
        <f t="shared" si="209"/>
        <v>0</v>
      </c>
      <c r="E1044" s="58"/>
      <c r="F1044" s="223"/>
      <c r="G1044" s="58"/>
      <c r="H1044" s="58"/>
      <c r="I1044" s="218">
        <f>INDEX('Hist. prices'!$I$8:$AB$82,MATCH($C1044,'Hist. prices'!$C$8:$C$82,0),MATCH(I$1022,'Hist. prices'!$I$5:$AB$5,0))</f>
        <v>0</v>
      </c>
      <c r="J1044" s="218">
        <f>INDEX('Hist. prices'!$I$8:$AB$82,MATCH($C1044,'Hist. prices'!$C$8:$C$82,0),MATCH(J$1022,'Hist. prices'!$I$5:$AB$5,0))</f>
        <v>0</v>
      </c>
      <c r="K1044" s="218">
        <f>INDEX('Hist. prices'!$I$8:$AB$82,MATCH($C1044,'Hist. prices'!$C$8:$C$82,0),MATCH(K$1022,'Hist. prices'!$I$5:$AB$5,0))</f>
        <v>0</v>
      </c>
      <c r="L1044" s="218">
        <f>INDEX('Hist. prices'!$I$8:$AB$82,MATCH($C1044,'Hist. prices'!$C$8:$C$82,0),MATCH(L$1022,'Hist. prices'!$I$5:$AB$5,0))</f>
        <v>0</v>
      </c>
      <c r="M1044" s="218">
        <f>INDEX('Hist. prices'!$I$8:$AB$82,MATCH($C1044,'Hist. prices'!$C$8:$C$82,0),MATCH(M$1022,'Hist. prices'!$I$5:$AB$5,0))</f>
        <v>0</v>
      </c>
      <c r="N1044" s="218">
        <f>INDEX('Hist. prices'!$I$8:$AB$82,MATCH($C1044,'Hist. prices'!$C$8:$C$82,0),MATCH(N$1022,'Hist. prices'!$I$5:$AB$5,0))</f>
        <v>0</v>
      </c>
      <c r="O1044" s="218">
        <f>INDEX('Hist. prices'!$I$8:$AB$82,MATCH($C1044,'Hist. prices'!$C$8:$C$82,0),MATCH(O$1022,'Hist. prices'!$I$5:$AB$5,0))</f>
        <v>0</v>
      </c>
      <c r="P1044" s="218">
        <f>INDEX('Hist. prices'!$I$8:$AB$82,MATCH($C1044,'Hist. prices'!$C$8:$C$82,0),MATCH(P$1022,'Hist. prices'!$I$5:$AB$5,0))</f>
        <v>0</v>
      </c>
      <c r="Q1044" s="218">
        <f>INDEX('Hist. prices'!$I$8:$AB$82,MATCH($C1044,'Hist. prices'!$C$8:$C$82,0),MATCH(Q$1022,'Hist. prices'!$I$5:$AB$5,0))</f>
        <v>0</v>
      </c>
      <c r="R1044" s="218">
        <f>INDEX('Hist. prices'!$I$8:$AB$82,MATCH($C1044,'Hist. prices'!$C$8:$C$82,0),MATCH(R$1022,'Hist. prices'!$I$5:$AB$5,0))</f>
        <v>0</v>
      </c>
      <c r="S1044" s="218">
        <f>INDEX('Hist. prices'!$I$8:$AB$82,MATCH($C1044,'Hist. prices'!$C$8:$C$82,0),MATCH(S$1022,'Hist. prices'!$I$5:$AB$5,0))</f>
        <v>0</v>
      </c>
      <c r="T1044" s="218">
        <f>INDEX('Hist. prices'!$I$8:$AB$82,MATCH($C1044,'Hist. prices'!$C$8:$C$82,0),MATCH(T$1022,'Hist. prices'!$I$5:$AB$5,0))</f>
        <v>0</v>
      </c>
      <c r="U1044" s="218">
        <f>INDEX('Hist. prices'!$I$8:$AB$82,MATCH($C1044,'Hist. prices'!$C$8:$C$82,0),MATCH(U$1022,'Hist. prices'!$I$5:$AB$5,0))</f>
        <v>0</v>
      </c>
      <c r="V1044" s="218">
        <f>INDEX('Hist. prices'!$I$8:$AB$82,MATCH($C1044,'Hist. prices'!$C$8:$C$82,0),MATCH(V$1022,'Hist. prices'!$I$5:$AB$5,0))</f>
        <v>0</v>
      </c>
      <c r="W1044" s="218">
        <f>INDEX('Hist. prices'!$I$8:$AB$82,MATCH($C1044,'Hist. prices'!$C$8:$C$82,0),MATCH(W$1022,'Hist. prices'!$I$5:$AB$5,0))</f>
        <v>0</v>
      </c>
      <c r="X1044" s="218">
        <f>INDEX('Hist. prices'!$I$8:$AB$82,MATCH($C1044,'Hist. prices'!$C$8:$C$82,0),MATCH(X$1022,'Hist. prices'!$I$5:$AB$5,0))</f>
        <v>0</v>
      </c>
      <c r="Y1044" s="218">
        <f>INDEX('Hist. prices'!$I$8:$AB$82,MATCH($C1044,'Hist. prices'!$C$8:$C$82,0),MATCH(Y$1022,'Hist. prices'!$I$5:$AB$5,0))</f>
        <v>0</v>
      </c>
      <c r="Z1044" s="218">
        <f>INDEX('Hist. prices'!$I$8:$AB$82,MATCH($C1044,'Hist. prices'!$C$8:$C$82,0),MATCH(Z$1022,'Hist. prices'!$I$5:$AB$5,0))</f>
        <v>0</v>
      </c>
      <c r="AA1044" s="218">
        <f>INDEX('Hist. prices'!$I$8:$AB$82,MATCH($C1044,'Hist. prices'!$C$8:$C$82,0),MATCH(AA$1022,'Hist. prices'!$I$5:$AB$5,0))</f>
        <v>0</v>
      </c>
      <c r="AB1044" s="218">
        <f>INDEX('Hist. prices'!$I$8:$AB$82,MATCH($C1044,'Hist. prices'!$C$8:$C$82,0),MATCH(AB$1022,'Hist. prices'!$I$5:$AB$5,0))</f>
        <v>0</v>
      </c>
      <c r="AC1044" s="187"/>
      <c r="AD1044" s="19"/>
      <c r="AE1044" s="19"/>
      <c r="AF1044" s="19"/>
      <c r="AG1044" s="19"/>
    </row>
    <row r="1045" spans="1:33" hidden="1" outlineLevel="3" x14ac:dyDescent="0.2">
      <c r="A1045" s="19"/>
      <c r="B1045" s="97"/>
      <c r="C1045" s="506">
        <f t="shared" si="210"/>
        <v>0</v>
      </c>
      <c r="D1045" s="505">
        <f t="shared" si="209"/>
        <v>0</v>
      </c>
      <c r="E1045" s="58"/>
      <c r="F1045" s="223"/>
      <c r="G1045" s="58"/>
      <c r="H1045" s="58"/>
      <c r="I1045" s="218">
        <f>INDEX('Hist. prices'!$I$8:$AB$82,MATCH($C1045,'Hist. prices'!$C$8:$C$82,0),MATCH(I$1022,'Hist. prices'!$I$5:$AB$5,0))</f>
        <v>0</v>
      </c>
      <c r="J1045" s="218">
        <f>INDEX('Hist. prices'!$I$8:$AB$82,MATCH($C1045,'Hist. prices'!$C$8:$C$82,0),MATCH(J$1022,'Hist. prices'!$I$5:$AB$5,0))</f>
        <v>0</v>
      </c>
      <c r="K1045" s="218">
        <f>INDEX('Hist. prices'!$I$8:$AB$82,MATCH($C1045,'Hist. prices'!$C$8:$C$82,0),MATCH(K$1022,'Hist. prices'!$I$5:$AB$5,0))</f>
        <v>0</v>
      </c>
      <c r="L1045" s="218">
        <f>INDEX('Hist. prices'!$I$8:$AB$82,MATCH($C1045,'Hist. prices'!$C$8:$C$82,0),MATCH(L$1022,'Hist. prices'!$I$5:$AB$5,0))</f>
        <v>0</v>
      </c>
      <c r="M1045" s="218">
        <f>INDEX('Hist. prices'!$I$8:$AB$82,MATCH($C1045,'Hist. prices'!$C$8:$C$82,0),MATCH(M$1022,'Hist. prices'!$I$5:$AB$5,0))</f>
        <v>0</v>
      </c>
      <c r="N1045" s="218">
        <f>INDEX('Hist. prices'!$I$8:$AB$82,MATCH($C1045,'Hist. prices'!$C$8:$C$82,0),MATCH(N$1022,'Hist. prices'!$I$5:$AB$5,0))</f>
        <v>0</v>
      </c>
      <c r="O1045" s="218">
        <f>INDEX('Hist. prices'!$I$8:$AB$82,MATCH($C1045,'Hist. prices'!$C$8:$C$82,0),MATCH(O$1022,'Hist. prices'!$I$5:$AB$5,0))</f>
        <v>0</v>
      </c>
      <c r="P1045" s="218">
        <f>INDEX('Hist. prices'!$I$8:$AB$82,MATCH($C1045,'Hist. prices'!$C$8:$C$82,0),MATCH(P$1022,'Hist. prices'!$I$5:$AB$5,0))</f>
        <v>0</v>
      </c>
      <c r="Q1045" s="218">
        <f>INDEX('Hist. prices'!$I$8:$AB$82,MATCH($C1045,'Hist. prices'!$C$8:$C$82,0),MATCH(Q$1022,'Hist. prices'!$I$5:$AB$5,0))</f>
        <v>0</v>
      </c>
      <c r="R1045" s="218">
        <f>INDEX('Hist. prices'!$I$8:$AB$82,MATCH($C1045,'Hist. prices'!$C$8:$C$82,0),MATCH(R$1022,'Hist. prices'!$I$5:$AB$5,0))</f>
        <v>0</v>
      </c>
      <c r="S1045" s="218">
        <f>INDEX('Hist. prices'!$I$8:$AB$82,MATCH($C1045,'Hist. prices'!$C$8:$C$82,0),MATCH(S$1022,'Hist. prices'!$I$5:$AB$5,0))</f>
        <v>0</v>
      </c>
      <c r="T1045" s="218">
        <f>INDEX('Hist. prices'!$I$8:$AB$82,MATCH($C1045,'Hist. prices'!$C$8:$C$82,0),MATCH(T$1022,'Hist. prices'!$I$5:$AB$5,0))</f>
        <v>0</v>
      </c>
      <c r="U1045" s="218">
        <f>INDEX('Hist. prices'!$I$8:$AB$82,MATCH($C1045,'Hist. prices'!$C$8:$C$82,0),MATCH(U$1022,'Hist. prices'!$I$5:$AB$5,0))</f>
        <v>0</v>
      </c>
      <c r="V1045" s="218">
        <f>INDEX('Hist. prices'!$I$8:$AB$82,MATCH($C1045,'Hist. prices'!$C$8:$C$82,0),MATCH(V$1022,'Hist. prices'!$I$5:$AB$5,0))</f>
        <v>0</v>
      </c>
      <c r="W1045" s="218">
        <f>INDEX('Hist. prices'!$I$8:$AB$82,MATCH($C1045,'Hist. prices'!$C$8:$C$82,0),MATCH(W$1022,'Hist. prices'!$I$5:$AB$5,0))</f>
        <v>0</v>
      </c>
      <c r="X1045" s="218">
        <f>INDEX('Hist. prices'!$I$8:$AB$82,MATCH($C1045,'Hist. prices'!$C$8:$C$82,0),MATCH(X$1022,'Hist. prices'!$I$5:$AB$5,0))</f>
        <v>0</v>
      </c>
      <c r="Y1045" s="218">
        <f>INDEX('Hist. prices'!$I$8:$AB$82,MATCH($C1045,'Hist. prices'!$C$8:$C$82,0),MATCH(Y$1022,'Hist. prices'!$I$5:$AB$5,0))</f>
        <v>0</v>
      </c>
      <c r="Z1045" s="218">
        <f>INDEX('Hist. prices'!$I$8:$AB$82,MATCH($C1045,'Hist. prices'!$C$8:$C$82,0),MATCH(Z$1022,'Hist. prices'!$I$5:$AB$5,0))</f>
        <v>0</v>
      </c>
      <c r="AA1045" s="218">
        <f>INDEX('Hist. prices'!$I$8:$AB$82,MATCH($C1045,'Hist. prices'!$C$8:$C$82,0),MATCH(AA$1022,'Hist. prices'!$I$5:$AB$5,0))</f>
        <v>0</v>
      </c>
      <c r="AB1045" s="218">
        <f>INDEX('Hist. prices'!$I$8:$AB$82,MATCH($C1045,'Hist. prices'!$C$8:$C$82,0),MATCH(AB$1022,'Hist. prices'!$I$5:$AB$5,0))</f>
        <v>0</v>
      </c>
      <c r="AC1045" s="187"/>
      <c r="AD1045" s="19"/>
      <c r="AE1045" s="19"/>
      <c r="AF1045" s="19"/>
      <c r="AG1045" s="19"/>
    </row>
    <row r="1046" spans="1:33" hidden="1" outlineLevel="3" x14ac:dyDescent="0.2">
      <c r="A1046" s="19"/>
      <c r="B1046" s="97"/>
      <c r="C1046" s="506">
        <f t="shared" si="210"/>
        <v>0</v>
      </c>
      <c r="D1046" s="505">
        <f t="shared" si="209"/>
        <v>0</v>
      </c>
      <c r="E1046" s="58"/>
      <c r="F1046" s="223"/>
      <c r="G1046" s="58"/>
      <c r="H1046" s="58"/>
      <c r="I1046" s="218">
        <f>INDEX('Hist. prices'!$I$8:$AB$82,MATCH($C1046,'Hist. prices'!$C$8:$C$82,0),MATCH(I$1022,'Hist. prices'!$I$5:$AB$5,0))</f>
        <v>0</v>
      </c>
      <c r="J1046" s="218">
        <f>INDEX('Hist. prices'!$I$8:$AB$82,MATCH($C1046,'Hist. prices'!$C$8:$C$82,0),MATCH(J$1022,'Hist. prices'!$I$5:$AB$5,0))</f>
        <v>0</v>
      </c>
      <c r="K1046" s="218">
        <f>INDEX('Hist. prices'!$I$8:$AB$82,MATCH($C1046,'Hist. prices'!$C$8:$C$82,0),MATCH(K$1022,'Hist. prices'!$I$5:$AB$5,0))</f>
        <v>0</v>
      </c>
      <c r="L1046" s="218">
        <f>INDEX('Hist. prices'!$I$8:$AB$82,MATCH($C1046,'Hist. prices'!$C$8:$C$82,0),MATCH(L$1022,'Hist. prices'!$I$5:$AB$5,0))</f>
        <v>0</v>
      </c>
      <c r="M1046" s="218">
        <f>INDEX('Hist. prices'!$I$8:$AB$82,MATCH($C1046,'Hist. prices'!$C$8:$C$82,0),MATCH(M$1022,'Hist. prices'!$I$5:$AB$5,0))</f>
        <v>0</v>
      </c>
      <c r="N1046" s="218">
        <f>INDEX('Hist. prices'!$I$8:$AB$82,MATCH($C1046,'Hist. prices'!$C$8:$C$82,0),MATCH(N$1022,'Hist. prices'!$I$5:$AB$5,0))</f>
        <v>0</v>
      </c>
      <c r="O1046" s="218">
        <f>INDEX('Hist. prices'!$I$8:$AB$82,MATCH($C1046,'Hist. prices'!$C$8:$C$82,0),MATCH(O$1022,'Hist. prices'!$I$5:$AB$5,0))</f>
        <v>0</v>
      </c>
      <c r="P1046" s="218">
        <f>INDEX('Hist. prices'!$I$8:$AB$82,MATCH($C1046,'Hist. prices'!$C$8:$C$82,0),MATCH(P$1022,'Hist. prices'!$I$5:$AB$5,0))</f>
        <v>0</v>
      </c>
      <c r="Q1046" s="218">
        <f>INDEX('Hist. prices'!$I$8:$AB$82,MATCH($C1046,'Hist. prices'!$C$8:$C$82,0),MATCH(Q$1022,'Hist. prices'!$I$5:$AB$5,0))</f>
        <v>0</v>
      </c>
      <c r="R1046" s="218">
        <f>INDEX('Hist. prices'!$I$8:$AB$82,MATCH($C1046,'Hist. prices'!$C$8:$C$82,0),MATCH(R$1022,'Hist. prices'!$I$5:$AB$5,0))</f>
        <v>0</v>
      </c>
      <c r="S1046" s="218">
        <f>INDEX('Hist. prices'!$I$8:$AB$82,MATCH($C1046,'Hist. prices'!$C$8:$C$82,0),MATCH(S$1022,'Hist. prices'!$I$5:$AB$5,0))</f>
        <v>0</v>
      </c>
      <c r="T1046" s="218">
        <f>INDEX('Hist. prices'!$I$8:$AB$82,MATCH($C1046,'Hist. prices'!$C$8:$C$82,0),MATCH(T$1022,'Hist. prices'!$I$5:$AB$5,0))</f>
        <v>0</v>
      </c>
      <c r="U1046" s="218">
        <f>INDEX('Hist. prices'!$I$8:$AB$82,MATCH($C1046,'Hist. prices'!$C$8:$C$82,0),MATCH(U$1022,'Hist. prices'!$I$5:$AB$5,0))</f>
        <v>0</v>
      </c>
      <c r="V1046" s="218">
        <f>INDEX('Hist. prices'!$I$8:$AB$82,MATCH($C1046,'Hist. prices'!$C$8:$C$82,0),MATCH(V$1022,'Hist. prices'!$I$5:$AB$5,0))</f>
        <v>0</v>
      </c>
      <c r="W1046" s="218">
        <f>INDEX('Hist. prices'!$I$8:$AB$82,MATCH($C1046,'Hist. prices'!$C$8:$C$82,0),MATCH(W$1022,'Hist. prices'!$I$5:$AB$5,0))</f>
        <v>0</v>
      </c>
      <c r="X1046" s="218">
        <f>INDEX('Hist. prices'!$I$8:$AB$82,MATCH($C1046,'Hist. prices'!$C$8:$C$82,0),MATCH(X$1022,'Hist. prices'!$I$5:$AB$5,0))</f>
        <v>0</v>
      </c>
      <c r="Y1046" s="218">
        <f>INDEX('Hist. prices'!$I$8:$AB$82,MATCH($C1046,'Hist. prices'!$C$8:$C$82,0),MATCH(Y$1022,'Hist. prices'!$I$5:$AB$5,0))</f>
        <v>0</v>
      </c>
      <c r="Z1046" s="218">
        <f>INDEX('Hist. prices'!$I$8:$AB$82,MATCH($C1046,'Hist. prices'!$C$8:$C$82,0),MATCH(Z$1022,'Hist. prices'!$I$5:$AB$5,0))</f>
        <v>0</v>
      </c>
      <c r="AA1046" s="218">
        <f>INDEX('Hist. prices'!$I$8:$AB$82,MATCH($C1046,'Hist. prices'!$C$8:$C$82,0),MATCH(AA$1022,'Hist. prices'!$I$5:$AB$5,0))</f>
        <v>0</v>
      </c>
      <c r="AB1046" s="218">
        <f>INDEX('Hist. prices'!$I$8:$AB$82,MATCH($C1046,'Hist. prices'!$C$8:$C$82,0),MATCH(AB$1022,'Hist. prices'!$I$5:$AB$5,0))</f>
        <v>0</v>
      </c>
      <c r="AC1046" s="187"/>
      <c r="AD1046" s="19"/>
      <c r="AE1046" s="19"/>
      <c r="AF1046" s="19"/>
      <c r="AG1046" s="19"/>
    </row>
    <row r="1047" spans="1:33" hidden="1" outlineLevel="3" x14ac:dyDescent="0.2">
      <c r="A1047" s="19"/>
      <c r="B1047" s="98"/>
      <c r="C1047" s="506">
        <f t="shared" si="210"/>
        <v>0</v>
      </c>
      <c r="D1047" s="505">
        <f t="shared" si="209"/>
        <v>0</v>
      </c>
      <c r="E1047" s="58"/>
      <c r="F1047" s="223"/>
      <c r="G1047" s="58"/>
      <c r="H1047" s="58"/>
      <c r="I1047" s="218">
        <f>INDEX('Hist. prices'!$I$8:$AB$82,MATCH($C1047,'Hist. prices'!$C$8:$C$82,0),MATCH(I$1022,'Hist. prices'!$I$5:$AB$5,0))</f>
        <v>0</v>
      </c>
      <c r="J1047" s="218">
        <f>INDEX('Hist. prices'!$I$8:$AB$82,MATCH($C1047,'Hist. prices'!$C$8:$C$82,0),MATCH(J$1022,'Hist. prices'!$I$5:$AB$5,0))</f>
        <v>0</v>
      </c>
      <c r="K1047" s="218">
        <f>INDEX('Hist. prices'!$I$8:$AB$82,MATCH($C1047,'Hist. prices'!$C$8:$C$82,0),MATCH(K$1022,'Hist. prices'!$I$5:$AB$5,0))</f>
        <v>0</v>
      </c>
      <c r="L1047" s="218">
        <f>INDEX('Hist. prices'!$I$8:$AB$82,MATCH($C1047,'Hist. prices'!$C$8:$C$82,0),MATCH(L$1022,'Hist. prices'!$I$5:$AB$5,0))</f>
        <v>0</v>
      </c>
      <c r="M1047" s="218">
        <f>INDEX('Hist. prices'!$I$8:$AB$82,MATCH($C1047,'Hist. prices'!$C$8:$C$82,0),MATCH(M$1022,'Hist. prices'!$I$5:$AB$5,0))</f>
        <v>0</v>
      </c>
      <c r="N1047" s="218">
        <f>INDEX('Hist. prices'!$I$8:$AB$82,MATCH($C1047,'Hist. prices'!$C$8:$C$82,0),MATCH(N$1022,'Hist. prices'!$I$5:$AB$5,0))</f>
        <v>0</v>
      </c>
      <c r="O1047" s="218">
        <f>INDEX('Hist. prices'!$I$8:$AB$82,MATCH($C1047,'Hist. prices'!$C$8:$C$82,0),MATCH(O$1022,'Hist. prices'!$I$5:$AB$5,0))</f>
        <v>0</v>
      </c>
      <c r="P1047" s="218">
        <f>INDEX('Hist. prices'!$I$8:$AB$82,MATCH($C1047,'Hist. prices'!$C$8:$C$82,0),MATCH(P$1022,'Hist. prices'!$I$5:$AB$5,0))</f>
        <v>0</v>
      </c>
      <c r="Q1047" s="218">
        <f>INDEX('Hist. prices'!$I$8:$AB$82,MATCH($C1047,'Hist. prices'!$C$8:$C$82,0),MATCH(Q$1022,'Hist. prices'!$I$5:$AB$5,0))</f>
        <v>0</v>
      </c>
      <c r="R1047" s="218">
        <f>INDEX('Hist. prices'!$I$8:$AB$82,MATCH($C1047,'Hist. prices'!$C$8:$C$82,0),MATCH(R$1022,'Hist. prices'!$I$5:$AB$5,0))</f>
        <v>0</v>
      </c>
      <c r="S1047" s="218">
        <f>INDEX('Hist. prices'!$I$8:$AB$82,MATCH($C1047,'Hist. prices'!$C$8:$C$82,0),MATCH(S$1022,'Hist. prices'!$I$5:$AB$5,0))</f>
        <v>0</v>
      </c>
      <c r="T1047" s="218">
        <f>INDEX('Hist. prices'!$I$8:$AB$82,MATCH($C1047,'Hist. prices'!$C$8:$C$82,0),MATCH(T$1022,'Hist. prices'!$I$5:$AB$5,0))</f>
        <v>0</v>
      </c>
      <c r="U1047" s="218">
        <f>INDEX('Hist. prices'!$I$8:$AB$82,MATCH($C1047,'Hist. prices'!$C$8:$C$82,0),MATCH(U$1022,'Hist. prices'!$I$5:$AB$5,0))</f>
        <v>0</v>
      </c>
      <c r="V1047" s="218">
        <f>INDEX('Hist. prices'!$I$8:$AB$82,MATCH($C1047,'Hist. prices'!$C$8:$C$82,0),MATCH(V$1022,'Hist. prices'!$I$5:$AB$5,0))</f>
        <v>0</v>
      </c>
      <c r="W1047" s="218">
        <f>INDEX('Hist. prices'!$I$8:$AB$82,MATCH($C1047,'Hist. prices'!$C$8:$C$82,0),MATCH(W$1022,'Hist. prices'!$I$5:$AB$5,0))</f>
        <v>0</v>
      </c>
      <c r="X1047" s="218">
        <f>INDEX('Hist. prices'!$I$8:$AB$82,MATCH($C1047,'Hist. prices'!$C$8:$C$82,0),MATCH(X$1022,'Hist. prices'!$I$5:$AB$5,0))</f>
        <v>0</v>
      </c>
      <c r="Y1047" s="218">
        <f>INDEX('Hist. prices'!$I$8:$AB$82,MATCH($C1047,'Hist. prices'!$C$8:$C$82,0),MATCH(Y$1022,'Hist. prices'!$I$5:$AB$5,0))</f>
        <v>0</v>
      </c>
      <c r="Z1047" s="218">
        <f>INDEX('Hist. prices'!$I$8:$AB$82,MATCH($C1047,'Hist. prices'!$C$8:$C$82,0),MATCH(Z$1022,'Hist. prices'!$I$5:$AB$5,0))</f>
        <v>0</v>
      </c>
      <c r="AA1047" s="218">
        <f>INDEX('Hist. prices'!$I$8:$AB$82,MATCH($C1047,'Hist. prices'!$C$8:$C$82,0),MATCH(AA$1022,'Hist. prices'!$I$5:$AB$5,0))</f>
        <v>0</v>
      </c>
      <c r="AB1047" s="218">
        <f>INDEX('Hist. prices'!$I$8:$AB$82,MATCH($C1047,'Hist. prices'!$C$8:$C$82,0),MATCH(AB$1022,'Hist. prices'!$I$5:$AB$5,0))</f>
        <v>0</v>
      </c>
      <c r="AC1047" s="187"/>
      <c r="AD1047" s="19"/>
      <c r="AE1047" s="19"/>
      <c r="AF1047" s="19"/>
      <c r="AG1047" s="19"/>
    </row>
    <row r="1048" spans="1:33" hidden="1" outlineLevel="3" x14ac:dyDescent="0.2">
      <c r="A1048" s="19"/>
      <c r="B1048" s="97"/>
      <c r="C1048" s="506">
        <f t="shared" si="210"/>
        <v>0</v>
      </c>
      <c r="D1048" s="505">
        <f t="shared" si="209"/>
        <v>0</v>
      </c>
      <c r="E1048" s="58"/>
      <c r="F1048" s="223"/>
      <c r="G1048" s="58"/>
      <c r="H1048" s="58"/>
      <c r="I1048" s="218">
        <f>INDEX('Hist. prices'!$I$8:$AB$82,MATCH($C1048,'Hist. prices'!$C$8:$C$82,0),MATCH(I$1022,'Hist. prices'!$I$5:$AB$5,0))</f>
        <v>0</v>
      </c>
      <c r="J1048" s="218">
        <f>INDEX('Hist. prices'!$I$8:$AB$82,MATCH($C1048,'Hist. prices'!$C$8:$C$82,0),MATCH(J$1022,'Hist. prices'!$I$5:$AB$5,0))</f>
        <v>0</v>
      </c>
      <c r="K1048" s="218">
        <f>INDEX('Hist. prices'!$I$8:$AB$82,MATCH($C1048,'Hist. prices'!$C$8:$C$82,0),MATCH(K$1022,'Hist. prices'!$I$5:$AB$5,0))</f>
        <v>0</v>
      </c>
      <c r="L1048" s="218">
        <f>INDEX('Hist. prices'!$I$8:$AB$82,MATCH($C1048,'Hist. prices'!$C$8:$C$82,0),MATCH(L$1022,'Hist. prices'!$I$5:$AB$5,0))</f>
        <v>0</v>
      </c>
      <c r="M1048" s="218">
        <f>INDEX('Hist. prices'!$I$8:$AB$82,MATCH($C1048,'Hist. prices'!$C$8:$C$82,0),MATCH(M$1022,'Hist. prices'!$I$5:$AB$5,0))</f>
        <v>0</v>
      </c>
      <c r="N1048" s="218">
        <f>INDEX('Hist. prices'!$I$8:$AB$82,MATCH($C1048,'Hist. prices'!$C$8:$C$82,0),MATCH(N$1022,'Hist. prices'!$I$5:$AB$5,0))</f>
        <v>0</v>
      </c>
      <c r="O1048" s="218">
        <f>INDEX('Hist. prices'!$I$8:$AB$82,MATCH($C1048,'Hist. prices'!$C$8:$C$82,0),MATCH(O$1022,'Hist. prices'!$I$5:$AB$5,0))</f>
        <v>0</v>
      </c>
      <c r="P1048" s="218">
        <f>INDEX('Hist. prices'!$I$8:$AB$82,MATCH($C1048,'Hist. prices'!$C$8:$C$82,0),MATCH(P$1022,'Hist. prices'!$I$5:$AB$5,0))</f>
        <v>0</v>
      </c>
      <c r="Q1048" s="218">
        <f>INDEX('Hist. prices'!$I$8:$AB$82,MATCH($C1048,'Hist. prices'!$C$8:$C$82,0),MATCH(Q$1022,'Hist. prices'!$I$5:$AB$5,0))</f>
        <v>0</v>
      </c>
      <c r="R1048" s="218">
        <f>INDEX('Hist. prices'!$I$8:$AB$82,MATCH($C1048,'Hist. prices'!$C$8:$C$82,0),MATCH(R$1022,'Hist. prices'!$I$5:$AB$5,0))</f>
        <v>0</v>
      </c>
      <c r="S1048" s="218">
        <f>INDEX('Hist. prices'!$I$8:$AB$82,MATCH($C1048,'Hist. prices'!$C$8:$C$82,0),MATCH(S$1022,'Hist. prices'!$I$5:$AB$5,0))</f>
        <v>0</v>
      </c>
      <c r="T1048" s="218">
        <f>INDEX('Hist. prices'!$I$8:$AB$82,MATCH($C1048,'Hist. prices'!$C$8:$C$82,0),MATCH(T$1022,'Hist. prices'!$I$5:$AB$5,0))</f>
        <v>0</v>
      </c>
      <c r="U1048" s="218">
        <f>INDEX('Hist. prices'!$I$8:$AB$82,MATCH($C1048,'Hist. prices'!$C$8:$C$82,0),MATCH(U$1022,'Hist. prices'!$I$5:$AB$5,0))</f>
        <v>0</v>
      </c>
      <c r="V1048" s="218">
        <f>INDEX('Hist. prices'!$I$8:$AB$82,MATCH($C1048,'Hist. prices'!$C$8:$C$82,0),MATCH(V$1022,'Hist. prices'!$I$5:$AB$5,0))</f>
        <v>0</v>
      </c>
      <c r="W1048" s="218">
        <f>INDEX('Hist. prices'!$I$8:$AB$82,MATCH($C1048,'Hist. prices'!$C$8:$C$82,0),MATCH(W$1022,'Hist. prices'!$I$5:$AB$5,0))</f>
        <v>0</v>
      </c>
      <c r="X1048" s="218">
        <f>INDEX('Hist. prices'!$I$8:$AB$82,MATCH($C1048,'Hist. prices'!$C$8:$C$82,0),MATCH(X$1022,'Hist. prices'!$I$5:$AB$5,0))</f>
        <v>0</v>
      </c>
      <c r="Y1048" s="218">
        <f>INDEX('Hist. prices'!$I$8:$AB$82,MATCH($C1048,'Hist. prices'!$C$8:$C$82,0),MATCH(Y$1022,'Hist. prices'!$I$5:$AB$5,0))</f>
        <v>0</v>
      </c>
      <c r="Z1048" s="218">
        <f>INDEX('Hist. prices'!$I$8:$AB$82,MATCH($C1048,'Hist. prices'!$C$8:$C$82,0),MATCH(Z$1022,'Hist. prices'!$I$5:$AB$5,0))</f>
        <v>0</v>
      </c>
      <c r="AA1048" s="218">
        <f>INDEX('Hist. prices'!$I$8:$AB$82,MATCH($C1048,'Hist. prices'!$C$8:$C$82,0),MATCH(AA$1022,'Hist. prices'!$I$5:$AB$5,0))</f>
        <v>0</v>
      </c>
      <c r="AB1048" s="218">
        <f>INDEX('Hist. prices'!$I$8:$AB$82,MATCH($C1048,'Hist. prices'!$C$8:$C$82,0),MATCH(AB$1022,'Hist. prices'!$I$5:$AB$5,0))</f>
        <v>0</v>
      </c>
      <c r="AC1048" s="187"/>
      <c r="AD1048" s="19"/>
      <c r="AE1048" s="19"/>
      <c r="AF1048" s="19"/>
      <c r="AG1048" s="19"/>
    </row>
    <row r="1049" spans="1:33" hidden="1" outlineLevel="3" x14ac:dyDescent="0.2">
      <c r="A1049" s="19"/>
      <c r="B1049" s="97"/>
      <c r="C1049" s="506">
        <f t="shared" si="210"/>
        <v>0</v>
      </c>
      <c r="D1049" s="505">
        <f t="shared" si="209"/>
        <v>0</v>
      </c>
      <c r="E1049" s="58"/>
      <c r="F1049" s="223"/>
      <c r="G1049" s="58"/>
      <c r="H1049" s="58"/>
      <c r="I1049" s="218">
        <f>INDEX('Hist. prices'!$I$8:$AB$82,MATCH($C1049,'Hist. prices'!$C$8:$C$82,0),MATCH(I$1022,'Hist. prices'!$I$5:$AB$5,0))</f>
        <v>0</v>
      </c>
      <c r="J1049" s="218">
        <f>INDEX('Hist. prices'!$I$8:$AB$82,MATCH($C1049,'Hist. prices'!$C$8:$C$82,0),MATCH(J$1022,'Hist. prices'!$I$5:$AB$5,0))</f>
        <v>0</v>
      </c>
      <c r="K1049" s="218">
        <f>INDEX('Hist. prices'!$I$8:$AB$82,MATCH($C1049,'Hist. prices'!$C$8:$C$82,0),MATCH(K$1022,'Hist. prices'!$I$5:$AB$5,0))</f>
        <v>0</v>
      </c>
      <c r="L1049" s="218">
        <f>INDEX('Hist. prices'!$I$8:$AB$82,MATCH($C1049,'Hist. prices'!$C$8:$C$82,0),MATCH(L$1022,'Hist. prices'!$I$5:$AB$5,0))</f>
        <v>0</v>
      </c>
      <c r="M1049" s="218">
        <f>INDEX('Hist. prices'!$I$8:$AB$82,MATCH($C1049,'Hist. prices'!$C$8:$C$82,0),MATCH(M$1022,'Hist. prices'!$I$5:$AB$5,0))</f>
        <v>0</v>
      </c>
      <c r="N1049" s="218">
        <f>INDEX('Hist. prices'!$I$8:$AB$82,MATCH($C1049,'Hist. prices'!$C$8:$C$82,0),MATCH(N$1022,'Hist. prices'!$I$5:$AB$5,0))</f>
        <v>0</v>
      </c>
      <c r="O1049" s="218">
        <f>INDEX('Hist. prices'!$I$8:$AB$82,MATCH($C1049,'Hist. prices'!$C$8:$C$82,0),MATCH(O$1022,'Hist. prices'!$I$5:$AB$5,0))</f>
        <v>0</v>
      </c>
      <c r="P1049" s="218">
        <f>INDEX('Hist. prices'!$I$8:$AB$82,MATCH($C1049,'Hist. prices'!$C$8:$C$82,0),MATCH(P$1022,'Hist. prices'!$I$5:$AB$5,0))</f>
        <v>0</v>
      </c>
      <c r="Q1049" s="218">
        <f>INDEX('Hist. prices'!$I$8:$AB$82,MATCH($C1049,'Hist. prices'!$C$8:$C$82,0),MATCH(Q$1022,'Hist. prices'!$I$5:$AB$5,0))</f>
        <v>0</v>
      </c>
      <c r="R1049" s="218">
        <f>INDEX('Hist. prices'!$I$8:$AB$82,MATCH($C1049,'Hist. prices'!$C$8:$C$82,0),MATCH(R$1022,'Hist. prices'!$I$5:$AB$5,0))</f>
        <v>0</v>
      </c>
      <c r="S1049" s="218">
        <f>INDEX('Hist. prices'!$I$8:$AB$82,MATCH($C1049,'Hist. prices'!$C$8:$C$82,0),MATCH(S$1022,'Hist. prices'!$I$5:$AB$5,0))</f>
        <v>0</v>
      </c>
      <c r="T1049" s="218">
        <f>INDEX('Hist. prices'!$I$8:$AB$82,MATCH($C1049,'Hist. prices'!$C$8:$C$82,0),MATCH(T$1022,'Hist. prices'!$I$5:$AB$5,0))</f>
        <v>0</v>
      </c>
      <c r="U1049" s="218">
        <f>INDEX('Hist. prices'!$I$8:$AB$82,MATCH($C1049,'Hist. prices'!$C$8:$C$82,0),MATCH(U$1022,'Hist. prices'!$I$5:$AB$5,0))</f>
        <v>0</v>
      </c>
      <c r="V1049" s="218">
        <f>INDEX('Hist. prices'!$I$8:$AB$82,MATCH($C1049,'Hist. prices'!$C$8:$C$82,0),MATCH(V$1022,'Hist. prices'!$I$5:$AB$5,0))</f>
        <v>0</v>
      </c>
      <c r="W1049" s="218">
        <f>INDEX('Hist. prices'!$I$8:$AB$82,MATCH($C1049,'Hist. prices'!$C$8:$C$82,0),MATCH(W$1022,'Hist. prices'!$I$5:$AB$5,0))</f>
        <v>0</v>
      </c>
      <c r="X1049" s="218">
        <f>INDEX('Hist. prices'!$I$8:$AB$82,MATCH($C1049,'Hist. prices'!$C$8:$C$82,0),MATCH(X$1022,'Hist. prices'!$I$5:$AB$5,0))</f>
        <v>0</v>
      </c>
      <c r="Y1049" s="218">
        <f>INDEX('Hist. prices'!$I$8:$AB$82,MATCH($C1049,'Hist. prices'!$C$8:$C$82,0),MATCH(Y$1022,'Hist. prices'!$I$5:$AB$5,0))</f>
        <v>0</v>
      </c>
      <c r="Z1049" s="218">
        <f>INDEX('Hist. prices'!$I$8:$AB$82,MATCH($C1049,'Hist. prices'!$C$8:$C$82,0),MATCH(Z$1022,'Hist. prices'!$I$5:$AB$5,0))</f>
        <v>0</v>
      </c>
      <c r="AA1049" s="218">
        <f>INDEX('Hist. prices'!$I$8:$AB$82,MATCH($C1049,'Hist. prices'!$C$8:$C$82,0),MATCH(AA$1022,'Hist. prices'!$I$5:$AB$5,0))</f>
        <v>0</v>
      </c>
      <c r="AB1049" s="218">
        <f>INDEX('Hist. prices'!$I$8:$AB$82,MATCH($C1049,'Hist. prices'!$C$8:$C$82,0),MATCH(AB$1022,'Hist. prices'!$I$5:$AB$5,0))</f>
        <v>0</v>
      </c>
      <c r="AC1049" s="187"/>
      <c r="AD1049" s="19"/>
      <c r="AE1049" s="19"/>
      <c r="AF1049" s="19"/>
      <c r="AG1049" s="19"/>
    </row>
    <row r="1050" spans="1:33" hidden="1" outlineLevel="3" x14ac:dyDescent="0.2">
      <c r="A1050" s="19"/>
      <c r="B1050" s="97"/>
      <c r="C1050" s="506">
        <f t="shared" si="210"/>
        <v>0</v>
      </c>
      <c r="D1050" s="505">
        <f t="shared" si="209"/>
        <v>0</v>
      </c>
      <c r="E1050" s="58"/>
      <c r="F1050" s="223"/>
      <c r="G1050" s="58"/>
      <c r="H1050" s="58"/>
      <c r="I1050" s="218">
        <f>INDEX('Hist. prices'!$I$8:$AB$82,MATCH($C1050,'Hist. prices'!$C$8:$C$82,0),MATCH(I$1022,'Hist. prices'!$I$5:$AB$5,0))</f>
        <v>0</v>
      </c>
      <c r="J1050" s="218">
        <f>INDEX('Hist. prices'!$I$8:$AB$82,MATCH($C1050,'Hist. prices'!$C$8:$C$82,0),MATCH(J$1022,'Hist. prices'!$I$5:$AB$5,0))</f>
        <v>0</v>
      </c>
      <c r="K1050" s="218">
        <f>INDEX('Hist. prices'!$I$8:$AB$82,MATCH($C1050,'Hist. prices'!$C$8:$C$82,0),MATCH(K$1022,'Hist. prices'!$I$5:$AB$5,0))</f>
        <v>0</v>
      </c>
      <c r="L1050" s="218">
        <f>INDEX('Hist. prices'!$I$8:$AB$82,MATCH($C1050,'Hist. prices'!$C$8:$C$82,0),MATCH(L$1022,'Hist. prices'!$I$5:$AB$5,0))</f>
        <v>0</v>
      </c>
      <c r="M1050" s="218">
        <f>INDEX('Hist. prices'!$I$8:$AB$82,MATCH($C1050,'Hist. prices'!$C$8:$C$82,0),MATCH(M$1022,'Hist. prices'!$I$5:$AB$5,0))</f>
        <v>0</v>
      </c>
      <c r="N1050" s="218">
        <f>INDEX('Hist. prices'!$I$8:$AB$82,MATCH($C1050,'Hist. prices'!$C$8:$C$82,0),MATCH(N$1022,'Hist. prices'!$I$5:$AB$5,0))</f>
        <v>0</v>
      </c>
      <c r="O1050" s="218">
        <f>INDEX('Hist. prices'!$I$8:$AB$82,MATCH($C1050,'Hist. prices'!$C$8:$C$82,0),MATCH(O$1022,'Hist. prices'!$I$5:$AB$5,0))</f>
        <v>0</v>
      </c>
      <c r="P1050" s="218">
        <f>INDEX('Hist. prices'!$I$8:$AB$82,MATCH($C1050,'Hist. prices'!$C$8:$C$82,0),MATCH(P$1022,'Hist. prices'!$I$5:$AB$5,0))</f>
        <v>0</v>
      </c>
      <c r="Q1050" s="218">
        <f>INDEX('Hist. prices'!$I$8:$AB$82,MATCH($C1050,'Hist. prices'!$C$8:$C$82,0),MATCH(Q$1022,'Hist. prices'!$I$5:$AB$5,0))</f>
        <v>0</v>
      </c>
      <c r="R1050" s="218">
        <f>INDEX('Hist. prices'!$I$8:$AB$82,MATCH($C1050,'Hist. prices'!$C$8:$C$82,0),MATCH(R$1022,'Hist. prices'!$I$5:$AB$5,0))</f>
        <v>0</v>
      </c>
      <c r="S1050" s="218">
        <f>INDEX('Hist. prices'!$I$8:$AB$82,MATCH($C1050,'Hist. prices'!$C$8:$C$82,0),MATCH(S$1022,'Hist. prices'!$I$5:$AB$5,0))</f>
        <v>0</v>
      </c>
      <c r="T1050" s="218">
        <f>INDEX('Hist. prices'!$I$8:$AB$82,MATCH($C1050,'Hist. prices'!$C$8:$C$82,0),MATCH(T$1022,'Hist. prices'!$I$5:$AB$5,0))</f>
        <v>0</v>
      </c>
      <c r="U1050" s="218">
        <f>INDEX('Hist. prices'!$I$8:$AB$82,MATCH($C1050,'Hist. prices'!$C$8:$C$82,0),MATCH(U$1022,'Hist. prices'!$I$5:$AB$5,0))</f>
        <v>0</v>
      </c>
      <c r="V1050" s="218">
        <f>INDEX('Hist. prices'!$I$8:$AB$82,MATCH($C1050,'Hist. prices'!$C$8:$C$82,0),MATCH(V$1022,'Hist. prices'!$I$5:$AB$5,0))</f>
        <v>0</v>
      </c>
      <c r="W1050" s="218">
        <f>INDEX('Hist. prices'!$I$8:$AB$82,MATCH($C1050,'Hist. prices'!$C$8:$C$82,0),MATCH(W$1022,'Hist. prices'!$I$5:$AB$5,0))</f>
        <v>0</v>
      </c>
      <c r="X1050" s="218">
        <f>INDEX('Hist. prices'!$I$8:$AB$82,MATCH($C1050,'Hist. prices'!$C$8:$C$82,0),MATCH(X$1022,'Hist. prices'!$I$5:$AB$5,0))</f>
        <v>0</v>
      </c>
      <c r="Y1050" s="218">
        <f>INDEX('Hist. prices'!$I$8:$AB$82,MATCH($C1050,'Hist. prices'!$C$8:$C$82,0),MATCH(Y$1022,'Hist. prices'!$I$5:$AB$5,0))</f>
        <v>0</v>
      </c>
      <c r="Z1050" s="218">
        <f>INDEX('Hist. prices'!$I$8:$AB$82,MATCH($C1050,'Hist. prices'!$C$8:$C$82,0),MATCH(Z$1022,'Hist. prices'!$I$5:$AB$5,0))</f>
        <v>0</v>
      </c>
      <c r="AA1050" s="218">
        <f>INDEX('Hist. prices'!$I$8:$AB$82,MATCH($C1050,'Hist. prices'!$C$8:$C$82,0),MATCH(AA$1022,'Hist. prices'!$I$5:$AB$5,0))</f>
        <v>0</v>
      </c>
      <c r="AB1050" s="218">
        <f>INDEX('Hist. prices'!$I$8:$AB$82,MATCH($C1050,'Hist. prices'!$C$8:$C$82,0),MATCH(AB$1022,'Hist. prices'!$I$5:$AB$5,0))</f>
        <v>0</v>
      </c>
      <c r="AC1050" s="187"/>
      <c r="AD1050" s="19"/>
      <c r="AE1050" s="19"/>
      <c r="AF1050" s="19"/>
      <c r="AG1050" s="19"/>
    </row>
    <row r="1051" spans="1:33" hidden="1" outlineLevel="3" x14ac:dyDescent="0.2">
      <c r="A1051" s="19"/>
      <c r="B1051" s="97"/>
      <c r="C1051" s="506">
        <f t="shared" si="210"/>
        <v>0</v>
      </c>
      <c r="D1051" s="505">
        <f t="shared" si="209"/>
        <v>0</v>
      </c>
      <c r="E1051" s="58"/>
      <c r="F1051" s="223"/>
      <c r="G1051" s="58"/>
      <c r="H1051" s="58"/>
      <c r="I1051" s="218">
        <f>INDEX('Hist. prices'!$I$8:$AB$82,MATCH($C1051,'Hist. prices'!$C$8:$C$82,0),MATCH(I$1022,'Hist. prices'!$I$5:$AB$5,0))</f>
        <v>0</v>
      </c>
      <c r="J1051" s="218">
        <f>INDEX('Hist. prices'!$I$8:$AB$82,MATCH($C1051,'Hist. prices'!$C$8:$C$82,0),MATCH(J$1022,'Hist. prices'!$I$5:$AB$5,0))</f>
        <v>0</v>
      </c>
      <c r="K1051" s="218">
        <f>INDEX('Hist. prices'!$I$8:$AB$82,MATCH($C1051,'Hist. prices'!$C$8:$C$82,0),MATCH(K$1022,'Hist. prices'!$I$5:$AB$5,0))</f>
        <v>0</v>
      </c>
      <c r="L1051" s="218">
        <f>INDEX('Hist. prices'!$I$8:$AB$82,MATCH($C1051,'Hist. prices'!$C$8:$C$82,0),MATCH(L$1022,'Hist. prices'!$I$5:$AB$5,0))</f>
        <v>0</v>
      </c>
      <c r="M1051" s="218">
        <f>INDEX('Hist. prices'!$I$8:$AB$82,MATCH($C1051,'Hist. prices'!$C$8:$C$82,0),MATCH(M$1022,'Hist. prices'!$I$5:$AB$5,0))</f>
        <v>0</v>
      </c>
      <c r="N1051" s="218">
        <f>INDEX('Hist. prices'!$I$8:$AB$82,MATCH($C1051,'Hist. prices'!$C$8:$C$82,0),MATCH(N$1022,'Hist. prices'!$I$5:$AB$5,0))</f>
        <v>0</v>
      </c>
      <c r="O1051" s="218">
        <f>INDEX('Hist. prices'!$I$8:$AB$82,MATCH($C1051,'Hist. prices'!$C$8:$C$82,0),MATCH(O$1022,'Hist. prices'!$I$5:$AB$5,0))</f>
        <v>0</v>
      </c>
      <c r="P1051" s="218">
        <f>INDEX('Hist. prices'!$I$8:$AB$82,MATCH($C1051,'Hist. prices'!$C$8:$C$82,0),MATCH(P$1022,'Hist. prices'!$I$5:$AB$5,0))</f>
        <v>0</v>
      </c>
      <c r="Q1051" s="218">
        <f>INDEX('Hist. prices'!$I$8:$AB$82,MATCH($C1051,'Hist. prices'!$C$8:$C$82,0),MATCH(Q$1022,'Hist. prices'!$I$5:$AB$5,0))</f>
        <v>0</v>
      </c>
      <c r="R1051" s="218">
        <f>INDEX('Hist. prices'!$I$8:$AB$82,MATCH($C1051,'Hist. prices'!$C$8:$C$82,0),MATCH(R$1022,'Hist. prices'!$I$5:$AB$5,0))</f>
        <v>0</v>
      </c>
      <c r="S1051" s="218">
        <f>INDEX('Hist. prices'!$I$8:$AB$82,MATCH($C1051,'Hist. prices'!$C$8:$C$82,0),MATCH(S$1022,'Hist. prices'!$I$5:$AB$5,0))</f>
        <v>0</v>
      </c>
      <c r="T1051" s="218">
        <f>INDEX('Hist. prices'!$I$8:$AB$82,MATCH($C1051,'Hist. prices'!$C$8:$C$82,0),MATCH(T$1022,'Hist. prices'!$I$5:$AB$5,0))</f>
        <v>0</v>
      </c>
      <c r="U1051" s="218">
        <f>INDEX('Hist. prices'!$I$8:$AB$82,MATCH($C1051,'Hist. prices'!$C$8:$C$82,0),MATCH(U$1022,'Hist. prices'!$I$5:$AB$5,0))</f>
        <v>0</v>
      </c>
      <c r="V1051" s="218">
        <f>INDEX('Hist. prices'!$I$8:$AB$82,MATCH($C1051,'Hist. prices'!$C$8:$C$82,0),MATCH(V$1022,'Hist. prices'!$I$5:$AB$5,0))</f>
        <v>0</v>
      </c>
      <c r="W1051" s="218">
        <f>INDEX('Hist. prices'!$I$8:$AB$82,MATCH($C1051,'Hist. prices'!$C$8:$C$82,0),MATCH(W$1022,'Hist. prices'!$I$5:$AB$5,0))</f>
        <v>0</v>
      </c>
      <c r="X1051" s="218">
        <f>INDEX('Hist. prices'!$I$8:$AB$82,MATCH($C1051,'Hist. prices'!$C$8:$C$82,0),MATCH(X$1022,'Hist. prices'!$I$5:$AB$5,0))</f>
        <v>0</v>
      </c>
      <c r="Y1051" s="218">
        <f>INDEX('Hist. prices'!$I$8:$AB$82,MATCH($C1051,'Hist. prices'!$C$8:$C$82,0),MATCH(Y$1022,'Hist. prices'!$I$5:$AB$5,0))</f>
        <v>0</v>
      </c>
      <c r="Z1051" s="218">
        <f>INDEX('Hist. prices'!$I$8:$AB$82,MATCH($C1051,'Hist. prices'!$C$8:$C$82,0),MATCH(Z$1022,'Hist. prices'!$I$5:$AB$5,0))</f>
        <v>0</v>
      </c>
      <c r="AA1051" s="218">
        <f>INDEX('Hist. prices'!$I$8:$AB$82,MATCH($C1051,'Hist. prices'!$C$8:$C$82,0),MATCH(AA$1022,'Hist. prices'!$I$5:$AB$5,0))</f>
        <v>0</v>
      </c>
      <c r="AB1051" s="218">
        <f>INDEX('Hist. prices'!$I$8:$AB$82,MATCH($C1051,'Hist. prices'!$C$8:$C$82,0),MATCH(AB$1022,'Hist. prices'!$I$5:$AB$5,0))</f>
        <v>0</v>
      </c>
      <c r="AC1051" s="187"/>
      <c r="AD1051" s="19"/>
      <c r="AE1051" s="19"/>
      <c r="AF1051" s="19"/>
      <c r="AG1051" s="19"/>
    </row>
    <row r="1052" spans="1:33" hidden="1" outlineLevel="3" x14ac:dyDescent="0.2">
      <c r="A1052" s="19"/>
      <c r="B1052" s="97"/>
      <c r="C1052" s="506">
        <f t="shared" si="210"/>
        <v>0</v>
      </c>
      <c r="D1052" s="505">
        <f t="shared" si="209"/>
        <v>0</v>
      </c>
      <c r="E1052" s="58"/>
      <c r="F1052" s="223"/>
      <c r="G1052" s="58"/>
      <c r="H1052" s="58"/>
      <c r="I1052" s="218">
        <f>INDEX('Hist. prices'!$I$8:$AB$82,MATCH($C1052,'Hist. prices'!$C$8:$C$82,0),MATCH(I$1022,'Hist. prices'!$I$5:$AB$5,0))</f>
        <v>0</v>
      </c>
      <c r="J1052" s="218">
        <f>INDEX('Hist. prices'!$I$8:$AB$82,MATCH($C1052,'Hist. prices'!$C$8:$C$82,0),MATCH(J$1022,'Hist. prices'!$I$5:$AB$5,0))</f>
        <v>0</v>
      </c>
      <c r="K1052" s="218">
        <f>INDEX('Hist. prices'!$I$8:$AB$82,MATCH($C1052,'Hist. prices'!$C$8:$C$82,0),MATCH(K$1022,'Hist. prices'!$I$5:$AB$5,0))</f>
        <v>0</v>
      </c>
      <c r="L1052" s="218">
        <f>INDEX('Hist. prices'!$I$8:$AB$82,MATCH($C1052,'Hist. prices'!$C$8:$C$82,0),MATCH(L$1022,'Hist. prices'!$I$5:$AB$5,0))</f>
        <v>0</v>
      </c>
      <c r="M1052" s="218">
        <f>INDEX('Hist. prices'!$I$8:$AB$82,MATCH($C1052,'Hist. prices'!$C$8:$C$82,0),MATCH(M$1022,'Hist. prices'!$I$5:$AB$5,0))</f>
        <v>0</v>
      </c>
      <c r="N1052" s="218">
        <f>INDEX('Hist. prices'!$I$8:$AB$82,MATCH($C1052,'Hist. prices'!$C$8:$C$82,0),MATCH(N$1022,'Hist. prices'!$I$5:$AB$5,0))</f>
        <v>0</v>
      </c>
      <c r="O1052" s="218">
        <f>INDEX('Hist. prices'!$I$8:$AB$82,MATCH($C1052,'Hist. prices'!$C$8:$C$82,0),MATCH(O$1022,'Hist. prices'!$I$5:$AB$5,0))</f>
        <v>0</v>
      </c>
      <c r="P1052" s="218">
        <f>INDEX('Hist. prices'!$I$8:$AB$82,MATCH($C1052,'Hist. prices'!$C$8:$C$82,0),MATCH(P$1022,'Hist. prices'!$I$5:$AB$5,0))</f>
        <v>0</v>
      </c>
      <c r="Q1052" s="218">
        <f>INDEX('Hist. prices'!$I$8:$AB$82,MATCH($C1052,'Hist. prices'!$C$8:$C$82,0),MATCH(Q$1022,'Hist. prices'!$I$5:$AB$5,0))</f>
        <v>0</v>
      </c>
      <c r="R1052" s="218">
        <f>INDEX('Hist. prices'!$I$8:$AB$82,MATCH($C1052,'Hist. prices'!$C$8:$C$82,0),MATCH(R$1022,'Hist. prices'!$I$5:$AB$5,0))</f>
        <v>0</v>
      </c>
      <c r="S1052" s="218">
        <f>INDEX('Hist. prices'!$I$8:$AB$82,MATCH($C1052,'Hist. prices'!$C$8:$C$82,0),MATCH(S$1022,'Hist. prices'!$I$5:$AB$5,0))</f>
        <v>0</v>
      </c>
      <c r="T1052" s="218">
        <f>INDEX('Hist. prices'!$I$8:$AB$82,MATCH($C1052,'Hist. prices'!$C$8:$C$82,0),MATCH(T$1022,'Hist. prices'!$I$5:$AB$5,0))</f>
        <v>0</v>
      </c>
      <c r="U1052" s="218">
        <f>INDEX('Hist. prices'!$I$8:$AB$82,MATCH($C1052,'Hist. prices'!$C$8:$C$82,0),MATCH(U$1022,'Hist. prices'!$I$5:$AB$5,0))</f>
        <v>0</v>
      </c>
      <c r="V1052" s="218">
        <f>INDEX('Hist. prices'!$I$8:$AB$82,MATCH($C1052,'Hist. prices'!$C$8:$C$82,0),MATCH(V$1022,'Hist. prices'!$I$5:$AB$5,0))</f>
        <v>0</v>
      </c>
      <c r="W1052" s="218">
        <f>INDEX('Hist. prices'!$I$8:$AB$82,MATCH($C1052,'Hist. prices'!$C$8:$C$82,0),MATCH(W$1022,'Hist. prices'!$I$5:$AB$5,0))</f>
        <v>0</v>
      </c>
      <c r="X1052" s="218">
        <f>INDEX('Hist. prices'!$I$8:$AB$82,MATCH($C1052,'Hist. prices'!$C$8:$C$82,0),MATCH(X$1022,'Hist. prices'!$I$5:$AB$5,0))</f>
        <v>0</v>
      </c>
      <c r="Y1052" s="218">
        <f>INDEX('Hist. prices'!$I$8:$AB$82,MATCH($C1052,'Hist. prices'!$C$8:$C$82,0),MATCH(Y$1022,'Hist. prices'!$I$5:$AB$5,0))</f>
        <v>0</v>
      </c>
      <c r="Z1052" s="218">
        <f>INDEX('Hist. prices'!$I$8:$AB$82,MATCH($C1052,'Hist. prices'!$C$8:$C$82,0),MATCH(Z$1022,'Hist. prices'!$I$5:$AB$5,0))</f>
        <v>0</v>
      </c>
      <c r="AA1052" s="218">
        <f>INDEX('Hist. prices'!$I$8:$AB$82,MATCH($C1052,'Hist. prices'!$C$8:$C$82,0),MATCH(AA$1022,'Hist. prices'!$I$5:$AB$5,0))</f>
        <v>0</v>
      </c>
      <c r="AB1052" s="218">
        <f>INDEX('Hist. prices'!$I$8:$AB$82,MATCH($C1052,'Hist. prices'!$C$8:$C$82,0),MATCH(AB$1022,'Hist. prices'!$I$5:$AB$5,0))</f>
        <v>0</v>
      </c>
      <c r="AC1052" s="187"/>
      <c r="AD1052" s="19"/>
      <c r="AE1052" s="19"/>
      <c r="AF1052" s="19"/>
      <c r="AG1052" s="19"/>
    </row>
    <row r="1053" spans="1:33" hidden="1" outlineLevel="3" x14ac:dyDescent="0.2">
      <c r="A1053" s="19"/>
      <c r="B1053" s="97"/>
      <c r="C1053" s="506">
        <f t="shared" si="210"/>
        <v>0</v>
      </c>
      <c r="D1053" s="505">
        <f t="shared" si="209"/>
        <v>0</v>
      </c>
      <c r="E1053" s="58"/>
      <c r="F1053" s="223"/>
      <c r="G1053" s="58"/>
      <c r="H1053" s="58"/>
      <c r="I1053" s="218">
        <f>INDEX('Hist. prices'!$I$8:$AB$82,MATCH($C1053,'Hist. prices'!$C$8:$C$82,0),MATCH(I$1022,'Hist. prices'!$I$5:$AB$5,0))</f>
        <v>0</v>
      </c>
      <c r="J1053" s="218">
        <f>INDEX('Hist. prices'!$I$8:$AB$82,MATCH($C1053,'Hist. prices'!$C$8:$C$82,0),MATCH(J$1022,'Hist. prices'!$I$5:$AB$5,0))</f>
        <v>0</v>
      </c>
      <c r="K1053" s="218">
        <f>INDEX('Hist. prices'!$I$8:$AB$82,MATCH($C1053,'Hist. prices'!$C$8:$C$82,0),MATCH(K$1022,'Hist. prices'!$I$5:$AB$5,0))</f>
        <v>0</v>
      </c>
      <c r="L1053" s="218">
        <f>INDEX('Hist. prices'!$I$8:$AB$82,MATCH($C1053,'Hist. prices'!$C$8:$C$82,0),MATCH(L$1022,'Hist. prices'!$I$5:$AB$5,0))</f>
        <v>0</v>
      </c>
      <c r="M1053" s="218">
        <f>INDEX('Hist. prices'!$I$8:$AB$82,MATCH($C1053,'Hist. prices'!$C$8:$C$82,0),MATCH(M$1022,'Hist. prices'!$I$5:$AB$5,0))</f>
        <v>0</v>
      </c>
      <c r="N1053" s="218">
        <f>INDEX('Hist. prices'!$I$8:$AB$82,MATCH($C1053,'Hist. prices'!$C$8:$C$82,0),MATCH(N$1022,'Hist. prices'!$I$5:$AB$5,0))</f>
        <v>0</v>
      </c>
      <c r="O1053" s="218">
        <f>INDEX('Hist. prices'!$I$8:$AB$82,MATCH($C1053,'Hist. prices'!$C$8:$C$82,0),MATCH(O$1022,'Hist. prices'!$I$5:$AB$5,0))</f>
        <v>0</v>
      </c>
      <c r="P1053" s="218">
        <f>INDEX('Hist. prices'!$I$8:$AB$82,MATCH($C1053,'Hist. prices'!$C$8:$C$82,0),MATCH(P$1022,'Hist. prices'!$I$5:$AB$5,0))</f>
        <v>0</v>
      </c>
      <c r="Q1053" s="218">
        <f>INDEX('Hist. prices'!$I$8:$AB$82,MATCH($C1053,'Hist. prices'!$C$8:$C$82,0),MATCH(Q$1022,'Hist. prices'!$I$5:$AB$5,0))</f>
        <v>0</v>
      </c>
      <c r="R1053" s="218">
        <f>INDEX('Hist. prices'!$I$8:$AB$82,MATCH($C1053,'Hist. prices'!$C$8:$C$82,0),MATCH(R$1022,'Hist. prices'!$I$5:$AB$5,0))</f>
        <v>0</v>
      </c>
      <c r="S1053" s="218">
        <f>INDEX('Hist. prices'!$I$8:$AB$82,MATCH($C1053,'Hist. prices'!$C$8:$C$82,0),MATCH(S$1022,'Hist. prices'!$I$5:$AB$5,0))</f>
        <v>0</v>
      </c>
      <c r="T1053" s="218">
        <f>INDEX('Hist. prices'!$I$8:$AB$82,MATCH($C1053,'Hist. prices'!$C$8:$C$82,0),MATCH(T$1022,'Hist. prices'!$I$5:$AB$5,0))</f>
        <v>0</v>
      </c>
      <c r="U1053" s="218">
        <f>INDEX('Hist. prices'!$I$8:$AB$82,MATCH($C1053,'Hist. prices'!$C$8:$C$82,0),MATCH(U$1022,'Hist. prices'!$I$5:$AB$5,0))</f>
        <v>0</v>
      </c>
      <c r="V1053" s="218">
        <f>INDEX('Hist. prices'!$I$8:$AB$82,MATCH($C1053,'Hist. prices'!$C$8:$C$82,0),MATCH(V$1022,'Hist. prices'!$I$5:$AB$5,0))</f>
        <v>0</v>
      </c>
      <c r="W1053" s="218">
        <f>INDEX('Hist. prices'!$I$8:$AB$82,MATCH($C1053,'Hist. prices'!$C$8:$C$82,0),MATCH(W$1022,'Hist. prices'!$I$5:$AB$5,0))</f>
        <v>0</v>
      </c>
      <c r="X1053" s="218">
        <f>INDEX('Hist. prices'!$I$8:$AB$82,MATCH($C1053,'Hist. prices'!$C$8:$C$82,0),MATCH(X$1022,'Hist. prices'!$I$5:$AB$5,0))</f>
        <v>0</v>
      </c>
      <c r="Y1053" s="218">
        <f>INDEX('Hist. prices'!$I$8:$AB$82,MATCH($C1053,'Hist. prices'!$C$8:$C$82,0),MATCH(Y$1022,'Hist. prices'!$I$5:$AB$5,0))</f>
        <v>0</v>
      </c>
      <c r="Z1053" s="218">
        <f>INDEX('Hist. prices'!$I$8:$AB$82,MATCH($C1053,'Hist. prices'!$C$8:$C$82,0),MATCH(Z$1022,'Hist. prices'!$I$5:$AB$5,0))</f>
        <v>0</v>
      </c>
      <c r="AA1053" s="218">
        <f>INDEX('Hist. prices'!$I$8:$AB$82,MATCH($C1053,'Hist. prices'!$C$8:$C$82,0),MATCH(AA$1022,'Hist. prices'!$I$5:$AB$5,0))</f>
        <v>0</v>
      </c>
      <c r="AB1053" s="218">
        <f>INDEX('Hist. prices'!$I$8:$AB$82,MATCH($C1053,'Hist. prices'!$C$8:$C$82,0),MATCH(AB$1022,'Hist. prices'!$I$5:$AB$5,0))</f>
        <v>0</v>
      </c>
      <c r="AC1053" s="187"/>
      <c r="AD1053" s="19"/>
      <c r="AE1053" s="19"/>
      <c r="AF1053" s="19"/>
      <c r="AG1053" s="19"/>
    </row>
    <row r="1054" spans="1:33" hidden="1" outlineLevel="3" x14ac:dyDescent="0.2">
      <c r="A1054" s="19"/>
      <c r="B1054" s="98"/>
      <c r="C1054" s="506">
        <f t="shared" si="210"/>
        <v>0</v>
      </c>
      <c r="D1054" s="505">
        <f t="shared" si="209"/>
        <v>0</v>
      </c>
      <c r="E1054" s="58"/>
      <c r="F1054" s="223"/>
      <c r="G1054" s="58"/>
      <c r="H1054" s="58"/>
      <c r="I1054" s="218">
        <f>INDEX('Hist. prices'!$I$8:$AB$82,MATCH($C1054,'Hist. prices'!$C$8:$C$82,0),MATCH(I$1022,'Hist. prices'!$I$5:$AB$5,0))</f>
        <v>0</v>
      </c>
      <c r="J1054" s="218">
        <f>INDEX('Hist. prices'!$I$8:$AB$82,MATCH($C1054,'Hist. prices'!$C$8:$C$82,0),MATCH(J$1022,'Hist. prices'!$I$5:$AB$5,0))</f>
        <v>0</v>
      </c>
      <c r="K1054" s="218">
        <f>INDEX('Hist. prices'!$I$8:$AB$82,MATCH($C1054,'Hist. prices'!$C$8:$C$82,0),MATCH(K$1022,'Hist. prices'!$I$5:$AB$5,0))</f>
        <v>0</v>
      </c>
      <c r="L1054" s="218">
        <f>INDEX('Hist. prices'!$I$8:$AB$82,MATCH($C1054,'Hist. prices'!$C$8:$C$82,0),MATCH(L$1022,'Hist. prices'!$I$5:$AB$5,0))</f>
        <v>0</v>
      </c>
      <c r="M1054" s="218">
        <f>INDEX('Hist. prices'!$I$8:$AB$82,MATCH($C1054,'Hist. prices'!$C$8:$C$82,0),MATCH(M$1022,'Hist. prices'!$I$5:$AB$5,0))</f>
        <v>0</v>
      </c>
      <c r="N1054" s="218">
        <f>INDEX('Hist. prices'!$I$8:$AB$82,MATCH($C1054,'Hist. prices'!$C$8:$C$82,0),MATCH(N$1022,'Hist. prices'!$I$5:$AB$5,0))</f>
        <v>0</v>
      </c>
      <c r="O1054" s="218">
        <f>INDEX('Hist. prices'!$I$8:$AB$82,MATCH($C1054,'Hist. prices'!$C$8:$C$82,0),MATCH(O$1022,'Hist. prices'!$I$5:$AB$5,0))</f>
        <v>0</v>
      </c>
      <c r="P1054" s="218">
        <f>INDEX('Hist. prices'!$I$8:$AB$82,MATCH($C1054,'Hist. prices'!$C$8:$C$82,0),MATCH(P$1022,'Hist. prices'!$I$5:$AB$5,0))</f>
        <v>0</v>
      </c>
      <c r="Q1054" s="218">
        <f>INDEX('Hist. prices'!$I$8:$AB$82,MATCH($C1054,'Hist. prices'!$C$8:$C$82,0),MATCH(Q$1022,'Hist. prices'!$I$5:$AB$5,0))</f>
        <v>0</v>
      </c>
      <c r="R1054" s="218">
        <f>INDEX('Hist. prices'!$I$8:$AB$82,MATCH($C1054,'Hist. prices'!$C$8:$C$82,0),MATCH(R$1022,'Hist. prices'!$I$5:$AB$5,0))</f>
        <v>0</v>
      </c>
      <c r="S1054" s="218">
        <f>INDEX('Hist. prices'!$I$8:$AB$82,MATCH($C1054,'Hist. prices'!$C$8:$C$82,0),MATCH(S$1022,'Hist. prices'!$I$5:$AB$5,0))</f>
        <v>0</v>
      </c>
      <c r="T1054" s="218">
        <f>INDEX('Hist. prices'!$I$8:$AB$82,MATCH($C1054,'Hist. prices'!$C$8:$C$82,0),MATCH(T$1022,'Hist. prices'!$I$5:$AB$5,0))</f>
        <v>0</v>
      </c>
      <c r="U1054" s="218">
        <f>INDEX('Hist. prices'!$I$8:$AB$82,MATCH($C1054,'Hist. prices'!$C$8:$C$82,0),MATCH(U$1022,'Hist. prices'!$I$5:$AB$5,0))</f>
        <v>0</v>
      </c>
      <c r="V1054" s="218">
        <f>INDEX('Hist. prices'!$I$8:$AB$82,MATCH($C1054,'Hist. prices'!$C$8:$C$82,0),MATCH(V$1022,'Hist. prices'!$I$5:$AB$5,0))</f>
        <v>0</v>
      </c>
      <c r="W1054" s="218">
        <f>INDEX('Hist. prices'!$I$8:$AB$82,MATCH($C1054,'Hist. prices'!$C$8:$C$82,0),MATCH(W$1022,'Hist. prices'!$I$5:$AB$5,0))</f>
        <v>0</v>
      </c>
      <c r="X1054" s="218">
        <f>INDEX('Hist. prices'!$I$8:$AB$82,MATCH($C1054,'Hist. prices'!$C$8:$C$82,0),MATCH(X$1022,'Hist. prices'!$I$5:$AB$5,0))</f>
        <v>0</v>
      </c>
      <c r="Y1054" s="218">
        <f>INDEX('Hist. prices'!$I$8:$AB$82,MATCH($C1054,'Hist. prices'!$C$8:$C$82,0),MATCH(Y$1022,'Hist. prices'!$I$5:$AB$5,0))</f>
        <v>0</v>
      </c>
      <c r="Z1054" s="218">
        <f>INDEX('Hist. prices'!$I$8:$AB$82,MATCH($C1054,'Hist. prices'!$C$8:$C$82,0),MATCH(Z$1022,'Hist. prices'!$I$5:$AB$5,0))</f>
        <v>0</v>
      </c>
      <c r="AA1054" s="218">
        <f>INDEX('Hist. prices'!$I$8:$AB$82,MATCH($C1054,'Hist. prices'!$C$8:$C$82,0),MATCH(AA$1022,'Hist. prices'!$I$5:$AB$5,0))</f>
        <v>0</v>
      </c>
      <c r="AB1054" s="218">
        <f>INDEX('Hist. prices'!$I$8:$AB$82,MATCH($C1054,'Hist. prices'!$C$8:$C$82,0),MATCH(AB$1022,'Hist. prices'!$I$5:$AB$5,0))</f>
        <v>0</v>
      </c>
      <c r="AC1054" s="187"/>
      <c r="AD1054" s="19"/>
      <c r="AE1054" s="19"/>
      <c r="AF1054" s="19"/>
      <c r="AG1054" s="19"/>
    </row>
    <row r="1055" spans="1:33" outlineLevel="2" collapsed="1" x14ac:dyDescent="0.2">
      <c r="A1055" s="19"/>
      <c r="B1055" s="19"/>
      <c r="C1055" s="560"/>
      <c r="D1055" s="559"/>
      <c r="E1055" s="58"/>
      <c r="F1055" s="66"/>
      <c r="G1055" s="58"/>
      <c r="H1055" s="58"/>
      <c r="I1055" s="186"/>
      <c r="J1055" s="186"/>
      <c r="K1055" s="187"/>
      <c r="L1055" s="187"/>
      <c r="M1055" s="187"/>
      <c r="N1055" s="188"/>
      <c r="O1055" s="188"/>
      <c r="P1055" s="188"/>
      <c r="Q1055" s="188"/>
      <c r="R1055" s="188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9"/>
      <c r="AE1055" s="19"/>
      <c r="AF1055" s="19"/>
      <c r="AG1055" s="19"/>
    </row>
    <row r="1056" spans="1:33" outlineLevel="1" x14ac:dyDescent="0.2">
      <c r="A1056" s="19"/>
      <c r="B1056" s="19"/>
      <c r="C1056" s="217"/>
      <c r="D1056" s="536"/>
      <c r="E1056" s="58"/>
      <c r="F1056" s="66"/>
      <c r="G1056" s="58"/>
      <c r="H1056" s="58"/>
      <c r="I1056" s="186"/>
      <c r="J1056" s="186"/>
      <c r="K1056" s="187"/>
      <c r="L1056" s="187"/>
      <c r="M1056" s="187"/>
      <c r="N1056" s="188"/>
      <c r="O1056" s="188"/>
      <c r="P1056" s="188"/>
      <c r="Q1056" s="188"/>
      <c r="R1056" s="188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9"/>
      <c r="AE1056" s="19"/>
      <c r="AF1056" s="19"/>
      <c r="AG1056" s="19"/>
    </row>
    <row r="1057" spans="1:33" outlineLevel="1" x14ac:dyDescent="0.2">
      <c r="A1057" s="19"/>
      <c r="B1057" s="19"/>
      <c r="C1057" s="167" t="s">
        <v>219</v>
      </c>
      <c r="D1057" s="512"/>
      <c r="E1057" s="20"/>
      <c r="F1057" s="167"/>
      <c r="G1057" s="22"/>
      <c r="H1057" s="22"/>
      <c r="I1057" s="187"/>
      <c r="J1057" s="187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9"/>
      <c r="AE1057" s="19"/>
      <c r="AF1057" s="19"/>
      <c r="AG1057" s="19"/>
    </row>
    <row r="1058" spans="1:33" outlineLevel="2" x14ac:dyDescent="0.2">
      <c r="A1058" s="19"/>
      <c r="B1058" s="19"/>
      <c r="C1058" s="506" t="str">
        <f t="shared" ref="C1058:D1087" si="211">C1025</f>
        <v>Residential time of use consumption</v>
      </c>
      <c r="D1058" s="505" t="str">
        <f t="shared" si="211"/>
        <v>yes</v>
      </c>
      <c r="E1058" s="20"/>
      <c r="F1058" s="223"/>
      <c r="G1058" s="22"/>
      <c r="H1058" s="22"/>
      <c r="I1058" s="218">
        <f>INDEX('Hist. prices'!$I$86:$AB$160,MATCH($C1058,'Hist. prices'!$C$86:$C$160,0),MATCH(I$1022,'Hist. prices'!$I$5:$AB$5,0))</f>
        <v>0</v>
      </c>
      <c r="J1058" s="218">
        <f>INDEX('Hist. prices'!$I$86:$AB$160,MATCH($C1058,'Hist. prices'!$C$86:$C$160,0),MATCH(J$1022,'Hist. prices'!$I$5:$AB$5,0))</f>
        <v>0</v>
      </c>
      <c r="K1058" s="218">
        <f>INDEX('Hist. prices'!$I$86:$AB$160,MATCH($C1058,'Hist. prices'!$C$86:$C$160,0),MATCH(K$1022,'Hist. prices'!$I$5:$AB$5,0))</f>
        <v>3.5169999999999999</v>
      </c>
      <c r="L1058" s="218">
        <f>INDEX('Hist. prices'!$I$86:$AB$160,MATCH($C1058,'Hist. prices'!$C$86:$C$160,0),MATCH(L$1022,'Hist. prices'!$I$5:$AB$5,0))</f>
        <v>0</v>
      </c>
      <c r="M1058" s="218">
        <f>INDEX('Hist. prices'!$I$86:$AB$160,MATCH($C1058,'Hist. prices'!$C$86:$C$160,0),MATCH(M$1022,'Hist. prices'!$I$5:$AB$5,0))</f>
        <v>0.68500000000000005</v>
      </c>
      <c r="N1058" s="218">
        <f>INDEX('Hist. prices'!$I$86:$AB$160,MATCH($C1058,'Hist. prices'!$C$86:$C$160,0),MATCH(N$1022,'Hist. prices'!$I$5:$AB$5,0))</f>
        <v>0</v>
      </c>
      <c r="O1058" s="218">
        <f>INDEX('Hist. prices'!$I$86:$AB$160,MATCH($C1058,'Hist. prices'!$C$86:$C$160,0),MATCH(O$1022,'Hist. prices'!$I$5:$AB$5,0))</f>
        <v>0</v>
      </c>
      <c r="P1058" s="218">
        <f>INDEX('Hist. prices'!$I$86:$AB$160,MATCH($C1058,'Hist. prices'!$C$86:$C$160,0),MATCH(P$1022,'Hist. prices'!$I$5:$AB$5,0))</f>
        <v>0</v>
      </c>
      <c r="Q1058" s="218">
        <f>INDEX('Hist. prices'!$I$86:$AB$160,MATCH($C1058,'Hist. prices'!$C$86:$C$160,0),MATCH(Q$1022,'Hist. prices'!$I$5:$AB$5,0))</f>
        <v>0</v>
      </c>
      <c r="R1058" s="218">
        <f>INDEX('Hist. prices'!$I$86:$AB$160,MATCH($C1058,'Hist. prices'!$C$86:$C$160,0),MATCH(R$1022,'Hist. prices'!$I$5:$AB$5,0))</f>
        <v>0</v>
      </c>
      <c r="S1058" s="218">
        <f>INDEX('Hist. prices'!$I$86:$AB$160,MATCH($C1058,'Hist. prices'!$C$86:$C$160,0),MATCH(S$1022,'Hist. prices'!$I$5:$AB$5,0))</f>
        <v>0</v>
      </c>
      <c r="T1058" s="218">
        <f>INDEX('Hist. prices'!$I$86:$AB$160,MATCH($C1058,'Hist. prices'!$C$86:$C$160,0),MATCH(T$1022,'Hist. prices'!$I$5:$AB$5,0))</f>
        <v>0</v>
      </c>
      <c r="U1058" s="218">
        <f>INDEX('Hist. prices'!$I$86:$AB$160,MATCH($C1058,'Hist. prices'!$C$86:$C$160,0),MATCH(U$1022,'Hist. prices'!$I$5:$AB$5,0))</f>
        <v>0</v>
      </c>
      <c r="V1058" s="218">
        <f>INDEX('Hist. prices'!$I$86:$AB$160,MATCH($C1058,'Hist. prices'!$C$86:$C$160,0),MATCH(V$1022,'Hist. prices'!$I$5:$AB$5,0))</f>
        <v>0</v>
      </c>
      <c r="W1058" s="218">
        <f>INDEX('Hist. prices'!$I$86:$AB$160,MATCH($C1058,'Hist. prices'!$C$86:$C$160,0),MATCH(W$1022,'Hist. prices'!$I$5:$AB$5,0))</f>
        <v>0</v>
      </c>
      <c r="X1058" s="218">
        <f>INDEX('Hist. prices'!$I$86:$AB$160,MATCH($C1058,'Hist. prices'!$C$86:$C$160,0),MATCH(X$1022,'Hist. prices'!$I$5:$AB$5,0))</f>
        <v>0</v>
      </c>
      <c r="Y1058" s="218">
        <f>INDEX('Hist. prices'!$I$86:$AB$160,MATCH($C1058,'Hist. prices'!$C$86:$C$160,0),MATCH(Y$1022,'Hist. prices'!$I$5:$AB$5,0))</f>
        <v>0</v>
      </c>
      <c r="Z1058" s="218">
        <f>INDEX('Hist. prices'!$I$86:$AB$160,MATCH($C1058,'Hist. prices'!$C$86:$C$160,0),MATCH(Z$1022,'Hist. prices'!$I$5:$AB$5,0))</f>
        <v>0</v>
      </c>
      <c r="AA1058" s="218">
        <f>INDEX('Hist. prices'!$I$86:$AB$160,MATCH($C1058,'Hist. prices'!$C$86:$C$160,0),MATCH(AA$1022,'Hist. prices'!$I$5:$AB$5,0))</f>
        <v>0</v>
      </c>
      <c r="AB1058" s="218">
        <f>INDEX('Hist. prices'!$I$86:$AB$160,MATCH($C1058,'Hist. prices'!$C$86:$C$160,0),MATCH(AB$1022,'Hist. prices'!$I$5:$AB$5,0))</f>
        <v>0</v>
      </c>
      <c r="AC1058" s="187"/>
      <c r="AD1058" s="19"/>
      <c r="AE1058" s="19"/>
      <c r="AF1058" s="19"/>
      <c r="AG1058" s="19"/>
    </row>
    <row r="1059" spans="1:33" s="59" customFormat="1" outlineLevel="2" x14ac:dyDescent="0.2">
      <c r="A1059" s="57"/>
      <c r="B1059" s="57"/>
      <c r="C1059" s="506" t="str">
        <f t="shared" si="211"/>
        <v>Residential general light and power</v>
      </c>
      <c r="D1059" s="505" t="str">
        <f t="shared" si="211"/>
        <v>no</v>
      </c>
      <c r="E1059" s="58"/>
      <c r="F1059" s="223"/>
      <c r="G1059" s="58"/>
      <c r="H1059" s="58"/>
      <c r="I1059" s="218">
        <f>INDEX('Hist. prices'!$I$86:$AB$160,MATCH($C1059,'Hist. prices'!$C$86:$C$160,0),MATCH(I$1022,'Hist. prices'!$I$5:$AB$5,0))</f>
        <v>0</v>
      </c>
      <c r="J1059" s="218">
        <f>INDEX('Hist. prices'!$I$86:$AB$160,MATCH($C1059,'Hist. prices'!$C$86:$C$160,0),MATCH(J$1022,'Hist. prices'!$I$5:$AB$5,0))</f>
        <v>1.86</v>
      </c>
      <c r="K1059" s="218">
        <f>INDEX('Hist. prices'!$I$86:$AB$160,MATCH($C1059,'Hist. prices'!$C$86:$C$160,0),MATCH(K$1022,'Hist. prices'!$I$5:$AB$5,0))</f>
        <v>0</v>
      </c>
      <c r="L1059" s="218">
        <f>INDEX('Hist. prices'!$I$86:$AB$160,MATCH($C1059,'Hist. prices'!$C$86:$C$160,0),MATCH(L$1022,'Hist. prices'!$I$5:$AB$5,0))</f>
        <v>0</v>
      </c>
      <c r="M1059" s="218">
        <f>INDEX('Hist. prices'!$I$86:$AB$160,MATCH($C1059,'Hist. prices'!$C$86:$C$160,0),MATCH(M$1022,'Hist. prices'!$I$5:$AB$5,0))</f>
        <v>0</v>
      </c>
      <c r="N1059" s="218">
        <f>INDEX('Hist. prices'!$I$86:$AB$160,MATCH($C1059,'Hist. prices'!$C$86:$C$160,0),MATCH(N$1022,'Hist. prices'!$I$5:$AB$5,0))</f>
        <v>0</v>
      </c>
      <c r="O1059" s="218">
        <f>INDEX('Hist. prices'!$I$86:$AB$160,MATCH($C1059,'Hist. prices'!$C$86:$C$160,0),MATCH(O$1022,'Hist. prices'!$I$5:$AB$5,0))</f>
        <v>0</v>
      </c>
      <c r="P1059" s="218">
        <f>INDEX('Hist. prices'!$I$86:$AB$160,MATCH($C1059,'Hist. prices'!$C$86:$C$160,0),MATCH(P$1022,'Hist. prices'!$I$5:$AB$5,0))</f>
        <v>0</v>
      </c>
      <c r="Q1059" s="218">
        <f>INDEX('Hist. prices'!$I$86:$AB$160,MATCH($C1059,'Hist. prices'!$C$86:$C$160,0),MATCH(Q$1022,'Hist. prices'!$I$5:$AB$5,0))</f>
        <v>0</v>
      </c>
      <c r="R1059" s="218">
        <f>INDEX('Hist. prices'!$I$86:$AB$160,MATCH($C1059,'Hist. prices'!$C$86:$C$160,0),MATCH(R$1022,'Hist. prices'!$I$5:$AB$5,0))</f>
        <v>0</v>
      </c>
      <c r="S1059" s="218">
        <f>INDEX('Hist. prices'!$I$86:$AB$160,MATCH($C1059,'Hist. prices'!$C$86:$C$160,0),MATCH(S$1022,'Hist. prices'!$I$5:$AB$5,0))</f>
        <v>0</v>
      </c>
      <c r="T1059" s="218">
        <f>INDEX('Hist. prices'!$I$86:$AB$160,MATCH($C1059,'Hist. prices'!$C$86:$C$160,0),MATCH(T$1022,'Hist. prices'!$I$5:$AB$5,0))</f>
        <v>0</v>
      </c>
      <c r="U1059" s="218">
        <f>INDEX('Hist. prices'!$I$86:$AB$160,MATCH($C1059,'Hist. prices'!$C$86:$C$160,0),MATCH(U$1022,'Hist. prices'!$I$5:$AB$5,0))</f>
        <v>0</v>
      </c>
      <c r="V1059" s="218">
        <f>INDEX('Hist. prices'!$I$86:$AB$160,MATCH($C1059,'Hist. prices'!$C$86:$C$160,0),MATCH(V$1022,'Hist. prices'!$I$5:$AB$5,0))</f>
        <v>0</v>
      </c>
      <c r="W1059" s="218">
        <f>INDEX('Hist. prices'!$I$86:$AB$160,MATCH($C1059,'Hist. prices'!$C$86:$C$160,0),MATCH(W$1022,'Hist. prices'!$I$5:$AB$5,0))</f>
        <v>0</v>
      </c>
      <c r="X1059" s="218">
        <f>INDEX('Hist. prices'!$I$86:$AB$160,MATCH($C1059,'Hist. prices'!$C$86:$C$160,0),MATCH(X$1022,'Hist. prices'!$I$5:$AB$5,0))</f>
        <v>0</v>
      </c>
      <c r="Y1059" s="218">
        <f>INDEX('Hist. prices'!$I$86:$AB$160,MATCH($C1059,'Hist. prices'!$C$86:$C$160,0),MATCH(Y$1022,'Hist. prices'!$I$5:$AB$5,0))</f>
        <v>0</v>
      </c>
      <c r="Z1059" s="218">
        <f>INDEX('Hist. prices'!$I$86:$AB$160,MATCH($C1059,'Hist. prices'!$C$86:$C$160,0),MATCH(Z$1022,'Hist. prices'!$I$5:$AB$5,0))</f>
        <v>0</v>
      </c>
      <c r="AA1059" s="218">
        <f>INDEX('Hist. prices'!$I$86:$AB$160,MATCH($C1059,'Hist. prices'!$C$86:$C$160,0),MATCH(AA$1022,'Hist. prices'!$I$5:$AB$5,0))</f>
        <v>0</v>
      </c>
      <c r="AB1059" s="218">
        <f>INDEX('Hist. prices'!$I$86:$AB$160,MATCH($C1059,'Hist. prices'!$C$86:$C$160,0),MATCH(AB$1022,'Hist. prices'!$I$5:$AB$5,0))</f>
        <v>0</v>
      </c>
      <c r="AC1059" s="187"/>
      <c r="AD1059" s="57"/>
      <c r="AE1059" s="57"/>
      <c r="AF1059" s="57"/>
      <c r="AG1059" s="57"/>
    </row>
    <row r="1060" spans="1:33" outlineLevel="2" x14ac:dyDescent="0.2">
      <c r="A1060" s="19"/>
      <c r="B1060" s="19"/>
      <c r="C1060" s="506" t="str">
        <f t="shared" si="211"/>
        <v>Residential pay as you go</v>
      </c>
      <c r="D1060" s="505" t="str">
        <f t="shared" si="211"/>
        <v>no</v>
      </c>
      <c r="E1060" s="58"/>
      <c r="F1060" s="223"/>
      <c r="G1060" s="58"/>
      <c r="H1060" s="58"/>
      <c r="I1060" s="218">
        <f>INDEX('Hist. prices'!$I$86:$AB$160,MATCH($C1060,'Hist. prices'!$C$86:$C$160,0),MATCH(I$1022,'Hist. prices'!$I$5:$AB$5,0))</f>
        <v>0</v>
      </c>
      <c r="J1060" s="218">
        <f>INDEX('Hist. prices'!$I$86:$AB$160,MATCH($C1060,'Hist. prices'!$C$86:$C$160,0),MATCH(J$1022,'Hist. prices'!$I$5:$AB$5,0))</f>
        <v>1.3260000000000001</v>
      </c>
      <c r="K1060" s="218">
        <f>INDEX('Hist. prices'!$I$86:$AB$160,MATCH($C1060,'Hist. prices'!$C$86:$C$160,0),MATCH(K$1022,'Hist. prices'!$I$5:$AB$5,0))</f>
        <v>0</v>
      </c>
      <c r="L1060" s="218">
        <f>INDEX('Hist. prices'!$I$86:$AB$160,MATCH($C1060,'Hist. prices'!$C$86:$C$160,0),MATCH(L$1022,'Hist. prices'!$I$5:$AB$5,0))</f>
        <v>0</v>
      </c>
      <c r="M1060" s="218">
        <f>INDEX('Hist. prices'!$I$86:$AB$160,MATCH($C1060,'Hist. prices'!$C$86:$C$160,0),MATCH(M$1022,'Hist. prices'!$I$5:$AB$5,0))</f>
        <v>0</v>
      </c>
      <c r="N1060" s="218">
        <f>INDEX('Hist. prices'!$I$86:$AB$160,MATCH($C1060,'Hist. prices'!$C$86:$C$160,0),MATCH(N$1022,'Hist. prices'!$I$5:$AB$5,0))</f>
        <v>0</v>
      </c>
      <c r="O1060" s="218">
        <f>INDEX('Hist. prices'!$I$86:$AB$160,MATCH($C1060,'Hist. prices'!$C$86:$C$160,0),MATCH(O$1022,'Hist. prices'!$I$5:$AB$5,0))</f>
        <v>0</v>
      </c>
      <c r="P1060" s="218">
        <f>INDEX('Hist. prices'!$I$86:$AB$160,MATCH($C1060,'Hist. prices'!$C$86:$C$160,0),MATCH(P$1022,'Hist. prices'!$I$5:$AB$5,0))</f>
        <v>0</v>
      </c>
      <c r="Q1060" s="218">
        <f>INDEX('Hist. prices'!$I$86:$AB$160,MATCH($C1060,'Hist. prices'!$C$86:$C$160,0),MATCH(Q$1022,'Hist. prices'!$I$5:$AB$5,0))</f>
        <v>0</v>
      </c>
      <c r="R1060" s="218">
        <f>INDEX('Hist. prices'!$I$86:$AB$160,MATCH($C1060,'Hist. prices'!$C$86:$C$160,0),MATCH(R$1022,'Hist. prices'!$I$5:$AB$5,0))</f>
        <v>0</v>
      </c>
      <c r="S1060" s="218">
        <f>INDEX('Hist. prices'!$I$86:$AB$160,MATCH($C1060,'Hist. prices'!$C$86:$C$160,0),MATCH(S$1022,'Hist. prices'!$I$5:$AB$5,0))</f>
        <v>0</v>
      </c>
      <c r="T1060" s="218">
        <f>INDEX('Hist. prices'!$I$86:$AB$160,MATCH($C1060,'Hist. prices'!$C$86:$C$160,0),MATCH(T$1022,'Hist. prices'!$I$5:$AB$5,0))</f>
        <v>0</v>
      </c>
      <c r="U1060" s="218">
        <f>INDEX('Hist. prices'!$I$86:$AB$160,MATCH($C1060,'Hist. prices'!$C$86:$C$160,0),MATCH(U$1022,'Hist. prices'!$I$5:$AB$5,0))</f>
        <v>0</v>
      </c>
      <c r="V1060" s="218">
        <f>INDEX('Hist. prices'!$I$86:$AB$160,MATCH($C1060,'Hist. prices'!$C$86:$C$160,0),MATCH(V$1022,'Hist. prices'!$I$5:$AB$5,0))</f>
        <v>0</v>
      </c>
      <c r="W1060" s="218">
        <f>INDEX('Hist. prices'!$I$86:$AB$160,MATCH($C1060,'Hist. prices'!$C$86:$C$160,0),MATCH(W$1022,'Hist. prices'!$I$5:$AB$5,0))</f>
        <v>0</v>
      </c>
      <c r="X1060" s="218">
        <f>INDEX('Hist. prices'!$I$86:$AB$160,MATCH($C1060,'Hist. prices'!$C$86:$C$160,0),MATCH(X$1022,'Hist. prices'!$I$5:$AB$5,0))</f>
        <v>0</v>
      </c>
      <c r="Y1060" s="218">
        <f>INDEX('Hist. prices'!$I$86:$AB$160,MATCH($C1060,'Hist. prices'!$C$86:$C$160,0),MATCH(Y$1022,'Hist. prices'!$I$5:$AB$5,0))</f>
        <v>0</v>
      </c>
      <c r="Z1060" s="218">
        <f>INDEX('Hist. prices'!$I$86:$AB$160,MATCH($C1060,'Hist. prices'!$C$86:$C$160,0),MATCH(Z$1022,'Hist. prices'!$I$5:$AB$5,0))</f>
        <v>0</v>
      </c>
      <c r="AA1060" s="218">
        <f>INDEX('Hist. prices'!$I$86:$AB$160,MATCH($C1060,'Hist. prices'!$C$86:$C$160,0),MATCH(AA$1022,'Hist. prices'!$I$5:$AB$5,0))</f>
        <v>0</v>
      </c>
      <c r="AB1060" s="218">
        <f>INDEX('Hist. prices'!$I$86:$AB$160,MATCH($C1060,'Hist. prices'!$C$86:$C$160,0),MATCH(AB$1022,'Hist. prices'!$I$5:$AB$5,0))</f>
        <v>0</v>
      </c>
      <c r="AC1060" s="187"/>
      <c r="AD1060" s="19"/>
      <c r="AE1060" s="19"/>
      <c r="AF1060" s="19"/>
      <c r="AG1060" s="19"/>
    </row>
    <row r="1061" spans="1:33" outlineLevel="2" x14ac:dyDescent="0.2">
      <c r="A1061" s="19"/>
      <c r="B1061" s="19"/>
      <c r="C1061" s="506" t="str">
        <f t="shared" si="211"/>
        <v>Residential pay as you go time of use</v>
      </c>
      <c r="D1061" s="505" t="str">
        <f t="shared" si="211"/>
        <v>no</v>
      </c>
      <c r="E1061" s="58"/>
      <c r="F1061" s="223"/>
      <c r="G1061" s="58"/>
      <c r="H1061" s="58"/>
      <c r="I1061" s="218">
        <f>INDEX('Hist. prices'!$I$86:$AB$160,MATCH($C1061,'Hist. prices'!$C$86:$C$160,0),MATCH(I$1022,'Hist. prices'!$I$5:$AB$5,0))</f>
        <v>0</v>
      </c>
      <c r="J1061" s="218">
        <f>INDEX('Hist. prices'!$I$86:$AB$160,MATCH($C1061,'Hist. prices'!$C$86:$C$160,0),MATCH(J$1022,'Hist. prices'!$I$5:$AB$5,0))</f>
        <v>0</v>
      </c>
      <c r="K1061" s="218">
        <f>INDEX('Hist. prices'!$I$86:$AB$160,MATCH($C1061,'Hist. prices'!$C$86:$C$160,0),MATCH(K$1022,'Hist. prices'!$I$5:$AB$5,0))</f>
        <v>3.5169999999999999</v>
      </c>
      <c r="L1061" s="218">
        <f>INDEX('Hist. prices'!$I$86:$AB$160,MATCH($C1061,'Hist. prices'!$C$86:$C$160,0),MATCH(L$1022,'Hist. prices'!$I$5:$AB$5,0))</f>
        <v>0</v>
      </c>
      <c r="M1061" s="218">
        <f>INDEX('Hist. prices'!$I$86:$AB$160,MATCH($C1061,'Hist. prices'!$C$86:$C$160,0),MATCH(M$1022,'Hist. prices'!$I$5:$AB$5,0))</f>
        <v>0.68500000000000005</v>
      </c>
      <c r="N1061" s="218">
        <f>INDEX('Hist. prices'!$I$86:$AB$160,MATCH($C1061,'Hist. prices'!$C$86:$C$160,0),MATCH(N$1022,'Hist. prices'!$I$5:$AB$5,0))</f>
        <v>0</v>
      </c>
      <c r="O1061" s="218">
        <f>INDEX('Hist. prices'!$I$86:$AB$160,MATCH($C1061,'Hist. prices'!$C$86:$C$160,0),MATCH(O$1022,'Hist. prices'!$I$5:$AB$5,0))</f>
        <v>0</v>
      </c>
      <c r="P1061" s="218">
        <f>INDEX('Hist. prices'!$I$86:$AB$160,MATCH($C1061,'Hist. prices'!$C$86:$C$160,0),MATCH(P$1022,'Hist. prices'!$I$5:$AB$5,0))</f>
        <v>0</v>
      </c>
      <c r="Q1061" s="218">
        <f>INDEX('Hist. prices'!$I$86:$AB$160,MATCH($C1061,'Hist. prices'!$C$86:$C$160,0),MATCH(Q$1022,'Hist. prices'!$I$5:$AB$5,0))</f>
        <v>0</v>
      </c>
      <c r="R1061" s="218">
        <f>INDEX('Hist. prices'!$I$86:$AB$160,MATCH($C1061,'Hist. prices'!$C$86:$C$160,0),MATCH(R$1022,'Hist. prices'!$I$5:$AB$5,0))</f>
        <v>0</v>
      </c>
      <c r="S1061" s="218">
        <f>INDEX('Hist. prices'!$I$86:$AB$160,MATCH($C1061,'Hist. prices'!$C$86:$C$160,0),MATCH(S$1022,'Hist. prices'!$I$5:$AB$5,0))</f>
        <v>0</v>
      </c>
      <c r="T1061" s="218">
        <f>INDEX('Hist. prices'!$I$86:$AB$160,MATCH($C1061,'Hist. prices'!$C$86:$C$160,0),MATCH(T$1022,'Hist. prices'!$I$5:$AB$5,0))</f>
        <v>0</v>
      </c>
      <c r="U1061" s="218">
        <f>INDEX('Hist. prices'!$I$86:$AB$160,MATCH($C1061,'Hist. prices'!$C$86:$C$160,0),MATCH(U$1022,'Hist. prices'!$I$5:$AB$5,0))</f>
        <v>0</v>
      </c>
      <c r="V1061" s="218">
        <f>INDEX('Hist. prices'!$I$86:$AB$160,MATCH($C1061,'Hist. prices'!$C$86:$C$160,0),MATCH(V$1022,'Hist. prices'!$I$5:$AB$5,0))</f>
        <v>0</v>
      </c>
      <c r="W1061" s="218">
        <f>INDEX('Hist. prices'!$I$86:$AB$160,MATCH($C1061,'Hist. prices'!$C$86:$C$160,0),MATCH(W$1022,'Hist. prices'!$I$5:$AB$5,0))</f>
        <v>0</v>
      </c>
      <c r="X1061" s="218">
        <f>INDEX('Hist. prices'!$I$86:$AB$160,MATCH($C1061,'Hist. prices'!$C$86:$C$160,0),MATCH(X$1022,'Hist. prices'!$I$5:$AB$5,0))</f>
        <v>0</v>
      </c>
      <c r="Y1061" s="218">
        <f>INDEX('Hist. prices'!$I$86:$AB$160,MATCH($C1061,'Hist. prices'!$C$86:$C$160,0),MATCH(Y$1022,'Hist. prices'!$I$5:$AB$5,0))</f>
        <v>0</v>
      </c>
      <c r="Z1061" s="218">
        <f>INDEX('Hist. prices'!$I$86:$AB$160,MATCH($C1061,'Hist. prices'!$C$86:$C$160,0),MATCH(Z$1022,'Hist. prices'!$I$5:$AB$5,0))</f>
        <v>0</v>
      </c>
      <c r="AA1061" s="218">
        <f>INDEX('Hist. prices'!$I$86:$AB$160,MATCH($C1061,'Hist. prices'!$C$86:$C$160,0),MATCH(AA$1022,'Hist. prices'!$I$5:$AB$5,0))</f>
        <v>0</v>
      </c>
      <c r="AB1061" s="218">
        <f>INDEX('Hist. prices'!$I$86:$AB$160,MATCH($C1061,'Hist. prices'!$C$86:$C$160,0),MATCH(AB$1022,'Hist. prices'!$I$5:$AB$5,0))</f>
        <v>0</v>
      </c>
      <c r="AC1061" s="187"/>
      <c r="AD1061" s="19"/>
      <c r="AE1061" s="19"/>
      <c r="AF1061" s="19"/>
      <c r="AG1061" s="19"/>
    </row>
    <row r="1062" spans="1:33" outlineLevel="2" x14ac:dyDescent="0.2">
      <c r="A1062" s="19"/>
      <c r="B1062" s="19"/>
      <c r="C1062" s="506">
        <f t="shared" si="211"/>
        <v>0</v>
      </c>
      <c r="D1062" s="505">
        <f t="shared" si="211"/>
        <v>0</v>
      </c>
      <c r="E1062" s="58"/>
      <c r="F1062" s="223"/>
      <c r="G1062" s="58"/>
      <c r="H1062" s="58"/>
      <c r="I1062" s="218">
        <f>INDEX('Hist. prices'!$I$86:$AB$160,MATCH($C1062,'Hist. prices'!$C$86:$C$160,0),MATCH(I$1022,'Hist. prices'!$I$5:$AB$5,0))</f>
        <v>0</v>
      </c>
      <c r="J1062" s="218">
        <f>INDEX('Hist. prices'!$I$86:$AB$160,MATCH($C1062,'Hist. prices'!$C$86:$C$160,0),MATCH(J$1022,'Hist. prices'!$I$5:$AB$5,0))</f>
        <v>0</v>
      </c>
      <c r="K1062" s="218">
        <f>INDEX('Hist. prices'!$I$86:$AB$160,MATCH($C1062,'Hist. prices'!$C$86:$C$160,0),MATCH(K$1022,'Hist. prices'!$I$5:$AB$5,0))</f>
        <v>0</v>
      </c>
      <c r="L1062" s="218">
        <f>INDEX('Hist. prices'!$I$86:$AB$160,MATCH($C1062,'Hist. prices'!$C$86:$C$160,0),MATCH(L$1022,'Hist. prices'!$I$5:$AB$5,0))</f>
        <v>0</v>
      </c>
      <c r="M1062" s="218">
        <f>INDEX('Hist. prices'!$I$86:$AB$160,MATCH($C1062,'Hist. prices'!$C$86:$C$160,0),MATCH(M$1022,'Hist. prices'!$I$5:$AB$5,0))</f>
        <v>0</v>
      </c>
      <c r="N1062" s="218">
        <f>INDEX('Hist. prices'!$I$86:$AB$160,MATCH($C1062,'Hist. prices'!$C$86:$C$160,0),MATCH(N$1022,'Hist. prices'!$I$5:$AB$5,0))</f>
        <v>0</v>
      </c>
      <c r="O1062" s="218">
        <f>INDEX('Hist. prices'!$I$86:$AB$160,MATCH($C1062,'Hist. prices'!$C$86:$C$160,0),MATCH(O$1022,'Hist. prices'!$I$5:$AB$5,0))</f>
        <v>0</v>
      </c>
      <c r="P1062" s="218">
        <f>INDEX('Hist. prices'!$I$86:$AB$160,MATCH($C1062,'Hist. prices'!$C$86:$C$160,0),MATCH(P$1022,'Hist. prices'!$I$5:$AB$5,0))</f>
        <v>0</v>
      </c>
      <c r="Q1062" s="218">
        <f>INDEX('Hist. prices'!$I$86:$AB$160,MATCH($C1062,'Hist. prices'!$C$86:$C$160,0),MATCH(Q$1022,'Hist. prices'!$I$5:$AB$5,0))</f>
        <v>0</v>
      </c>
      <c r="R1062" s="218">
        <f>INDEX('Hist. prices'!$I$86:$AB$160,MATCH($C1062,'Hist. prices'!$C$86:$C$160,0),MATCH(R$1022,'Hist. prices'!$I$5:$AB$5,0))</f>
        <v>0</v>
      </c>
      <c r="S1062" s="218">
        <f>INDEX('Hist. prices'!$I$86:$AB$160,MATCH($C1062,'Hist. prices'!$C$86:$C$160,0),MATCH(S$1022,'Hist. prices'!$I$5:$AB$5,0))</f>
        <v>0</v>
      </c>
      <c r="T1062" s="218">
        <f>INDEX('Hist. prices'!$I$86:$AB$160,MATCH($C1062,'Hist. prices'!$C$86:$C$160,0),MATCH(T$1022,'Hist. prices'!$I$5:$AB$5,0))</f>
        <v>0</v>
      </c>
      <c r="U1062" s="218">
        <f>INDEX('Hist. prices'!$I$86:$AB$160,MATCH($C1062,'Hist. prices'!$C$86:$C$160,0),MATCH(U$1022,'Hist. prices'!$I$5:$AB$5,0))</f>
        <v>0</v>
      </c>
      <c r="V1062" s="218">
        <f>INDEX('Hist. prices'!$I$86:$AB$160,MATCH($C1062,'Hist. prices'!$C$86:$C$160,0),MATCH(V$1022,'Hist. prices'!$I$5:$AB$5,0))</f>
        <v>0</v>
      </c>
      <c r="W1062" s="218">
        <f>INDEX('Hist. prices'!$I$86:$AB$160,MATCH($C1062,'Hist. prices'!$C$86:$C$160,0),MATCH(W$1022,'Hist. prices'!$I$5:$AB$5,0))</f>
        <v>0</v>
      </c>
      <c r="X1062" s="218">
        <f>INDEX('Hist. prices'!$I$86:$AB$160,MATCH($C1062,'Hist. prices'!$C$86:$C$160,0),MATCH(X$1022,'Hist. prices'!$I$5:$AB$5,0))</f>
        <v>0</v>
      </c>
      <c r="Y1062" s="218">
        <f>INDEX('Hist. prices'!$I$86:$AB$160,MATCH($C1062,'Hist. prices'!$C$86:$C$160,0),MATCH(Y$1022,'Hist. prices'!$I$5:$AB$5,0))</f>
        <v>0</v>
      </c>
      <c r="Z1062" s="218">
        <f>INDEX('Hist. prices'!$I$86:$AB$160,MATCH($C1062,'Hist. prices'!$C$86:$C$160,0),MATCH(Z$1022,'Hist. prices'!$I$5:$AB$5,0))</f>
        <v>0</v>
      </c>
      <c r="AA1062" s="218">
        <f>INDEX('Hist. prices'!$I$86:$AB$160,MATCH($C1062,'Hist. prices'!$C$86:$C$160,0),MATCH(AA$1022,'Hist. prices'!$I$5:$AB$5,0))</f>
        <v>0</v>
      </c>
      <c r="AB1062" s="218">
        <f>INDEX('Hist. prices'!$I$86:$AB$160,MATCH($C1062,'Hist. prices'!$C$86:$C$160,0),MATCH(AB$1022,'Hist. prices'!$I$5:$AB$5,0))</f>
        <v>0</v>
      </c>
      <c r="AC1062" s="187"/>
      <c r="AD1062" s="19"/>
      <c r="AE1062" s="19"/>
      <c r="AF1062" s="19"/>
      <c r="AG1062" s="19"/>
    </row>
    <row r="1063" spans="1:33" hidden="1" outlineLevel="3" x14ac:dyDescent="0.2">
      <c r="A1063" s="19"/>
      <c r="B1063" s="19"/>
      <c r="C1063" s="506">
        <f t="shared" si="211"/>
        <v>0</v>
      </c>
      <c r="D1063" s="505">
        <f t="shared" si="211"/>
        <v>0</v>
      </c>
      <c r="E1063" s="58"/>
      <c r="F1063" s="223"/>
      <c r="G1063" s="58"/>
      <c r="H1063" s="58"/>
      <c r="I1063" s="218">
        <f>INDEX('Hist. prices'!$I$86:$AB$160,MATCH($C1063,'Hist. prices'!$C$86:$C$160,0),MATCH(I$1022,'Hist. prices'!$I$5:$AB$5,0))</f>
        <v>0</v>
      </c>
      <c r="J1063" s="218">
        <f>INDEX('Hist. prices'!$I$86:$AB$160,MATCH($C1063,'Hist. prices'!$C$86:$C$160,0),MATCH(J$1022,'Hist. prices'!$I$5:$AB$5,0))</f>
        <v>0</v>
      </c>
      <c r="K1063" s="218">
        <f>INDEX('Hist. prices'!$I$86:$AB$160,MATCH($C1063,'Hist. prices'!$C$86:$C$160,0),MATCH(K$1022,'Hist. prices'!$I$5:$AB$5,0))</f>
        <v>0</v>
      </c>
      <c r="L1063" s="218">
        <f>INDEX('Hist. prices'!$I$86:$AB$160,MATCH($C1063,'Hist. prices'!$C$86:$C$160,0),MATCH(L$1022,'Hist. prices'!$I$5:$AB$5,0))</f>
        <v>0</v>
      </c>
      <c r="M1063" s="218">
        <f>INDEX('Hist. prices'!$I$86:$AB$160,MATCH($C1063,'Hist. prices'!$C$86:$C$160,0),MATCH(M$1022,'Hist. prices'!$I$5:$AB$5,0))</f>
        <v>0</v>
      </c>
      <c r="N1063" s="218">
        <f>INDEX('Hist. prices'!$I$86:$AB$160,MATCH($C1063,'Hist. prices'!$C$86:$C$160,0),MATCH(N$1022,'Hist. prices'!$I$5:$AB$5,0))</f>
        <v>0</v>
      </c>
      <c r="O1063" s="218">
        <f>INDEX('Hist. prices'!$I$86:$AB$160,MATCH($C1063,'Hist. prices'!$C$86:$C$160,0),MATCH(O$1022,'Hist. prices'!$I$5:$AB$5,0))</f>
        <v>0</v>
      </c>
      <c r="P1063" s="218">
        <f>INDEX('Hist. prices'!$I$86:$AB$160,MATCH($C1063,'Hist. prices'!$C$86:$C$160,0),MATCH(P$1022,'Hist. prices'!$I$5:$AB$5,0))</f>
        <v>0</v>
      </c>
      <c r="Q1063" s="218">
        <f>INDEX('Hist. prices'!$I$86:$AB$160,MATCH($C1063,'Hist. prices'!$C$86:$C$160,0),MATCH(Q$1022,'Hist. prices'!$I$5:$AB$5,0))</f>
        <v>0</v>
      </c>
      <c r="R1063" s="218">
        <f>INDEX('Hist. prices'!$I$86:$AB$160,MATCH($C1063,'Hist. prices'!$C$86:$C$160,0),MATCH(R$1022,'Hist. prices'!$I$5:$AB$5,0))</f>
        <v>0</v>
      </c>
      <c r="S1063" s="218">
        <f>INDEX('Hist. prices'!$I$86:$AB$160,MATCH($C1063,'Hist. prices'!$C$86:$C$160,0),MATCH(S$1022,'Hist. prices'!$I$5:$AB$5,0))</f>
        <v>0</v>
      </c>
      <c r="T1063" s="218">
        <f>INDEX('Hist. prices'!$I$86:$AB$160,MATCH($C1063,'Hist. prices'!$C$86:$C$160,0),MATCH(T$1022,'Hist. prices'!$I$5:$AB$5,0))</f>
        <v>0</v>
      </c>
      <c r="U1063" s="218">
        <f>INDEX('Hist. prices'!$I$86:$AB$160,MATCH($C1063,'Hist. prices'!$C$86:$C$160,0),MATCH(U$1022,'Hist. prices'!$I$5:$AB$5,0))</f>
        <v>0</v>
      </c>
      <c r="V1063" s="218">
        <f>INDEX('Hist. prices'!$I$86:$AB$160,MATCH($C1063,'Hist. prices'!$C$86:$C$160,0),MATCH(V$1022,'Hist. prices'!$I$5:$AB$5,0))</f>
        <v>0</v>
      </c>
      <c r="W1063" s="218">
        <f>INDEX('Hist. prices'!$I$86:$AB$160,MATCH($C1063,'Hist. prices'!$C$86:$C$160,0),MATCH(W$1022,'Hist. prices'!$I$5:$AB$5,0))</f>
        <v>0</v>
      </c>
      <c r="X1063" s="218">
        <f>INDEX('Hist. prices'!$I$86:$AB$160,MATCH($C1063,'Hist. prices'!$C$86:$C$160,0),MATCH(X$1022,'Hist. prices'!$I$5:$AB$5,0))</f>
        <v>0</v>
      </c>
      <c r="Y1063" s="218">
        <f>INDEX('Hist. prices'!$I$86:$AB$160,MATCH($C1063,'Hist. prices'!$C$86:$C$160,0),MATCH(Y$1022,'Hist. prices'!$I$5:$AB$5,0))</f>
        <v>0</v>
      </c>
      <c r="Z1063" s="218">
        <f>INDEX('Hist. prices'!$I$86:$AB$160,MATCH($C1063,'Hist. prices'!$C$86:$C$160,0),MATCH(Z$1022,'Hist. prices'!$I$5:$AB$5,0))</f>
        <v>0</v>
      </c>
      <c r="AA1063" s="218">
        <f>INDEX('Hist. prices'!$I$86:$AB$160,MATCH($C1063,'Hist. prices'!$C$86:$C$160,0),MATCH(AA$1022,'Hist. prices'!$I$5:$AB$5,0))</f>
        <v>0</v>
      </c>
      <c r="AB1063" s="218">
        <f>INDEX('Hist. prices'!$I$86:$AB$160,MATCH($C1063,'Hist. prices'!$C$86:$C$160,0),MATCH(AB$1022,'Hist. prices'!$I$5:$AB$5,0))</f>
        <v>0</v>
      </c>
      <c r="AC1063" s="187"/>
      <c r="AD1063" s="19"/>
      <c r="AE1063" s="19"/>
      <c r="AF1063" s="19"/>
      <c r="AG1063" s="19"/>
    </row>
    <row r="1064" spans="1:33" hidden="1" outlineLevel="3" x14ac:dyDescent="0.2">
      <c r="A1064" s="19"/>
      <c r="B1064" s="19"/>
      <c r="C1064" s="506">
        <f t="shared" si="211"/>
        <v>0</v>
      </c>
      <c r="D1064" s="505">
        <f t="shared" si="211"/>
        <v>0</v>
      </c>
      <c r="E1064" s="58"/>
      <c r="F1064" s="223"/>
      <c r="G1064" s="58"/>
      <c r="H1064" s="58"/>
      <c r="I1064" s="218">
        <f>INDEX('Hist. prices'!$I$86:$AB$160,MATCH($C1064,'Hist. prices'!$C$86:$C$160,0),MATCH(I$1022,'Hist. prices'!$I$5:$AB$5,0))</f>
        <v>0</v>
      </c>
      <c r="J1064" s="218">
        <f>INDEX('Hist. prices'!$I$86:$AB$160,MATCH($C1064,'Hist. prices'!$C$86:$C$160,0),MATCH(J$1022,'Hist. prices'!$I$5:$AB$5,0))</f>
        <v>0</v>
      </c>
      <c r="K1064" s="218">
        <f>INDEX('Hist. prices'!$I$86:$AB$160,MATCH($C1064,'Hist. prices'!$C$86:$C$160,0),MATCH(K$1022,'Hist. prices'!$I$5:$AB$5,0))</f>
        <v>0</v>
      </c>
      <c r="L1064" s="218">
        <f>INDEX('Hist. prices'!$I$86:$AB$160,MATCH($C1064,'Hist. prices'!$C$86:$C$160,0),MATCH(L$1022,'Hist. prices'!$I$5:$AB$5,0))</f>
        <v>0</v>
      </c>
      <c r="M1064" s="218">
        <f>INDEX('Hist. prices'!$I$86:$AB$160,MATCH($C1064,'Hist. prices'!$C$86:$C$160,0),MATCH(M$1022,'Hist. prices'!$I$5:$AB$5,0))</f>
        <v>0</v>
      </c>
      <c r="N1064" s="218">
        <f>INDEX('Hist. prices'!$I$86:$AB$160,MATCH($C1064,'Hist. prices'!$C$86:$C$160,0),MATCH(N$1022,'Hist. prices'!$I$5:$AB$5,0))</f>
        <v>0</v>
      </c>
      <c r="O1064" s="218">
        <f>INDEX('Hist. prices'!$I$86:$AB$160,MATCH($C1064,'Hist. prices'!$C$86:$C$160,0),MATCH(O$1022,'Hist. prices'!$I$5:$AB$5,0))</f>
        <v>0</v>
      </c>
      <c r="P1064" s="218">
        <f>INDEX('Hist. prices'!$I$86:$AB$160,MATCH($C1064,'Hist. prices'!$C$86:$C$160,0),MATCH(P$1022,'Hist. prices'!$I$5:$AB$5,0))</f>
        <v>0</v>
      </c>
      <c r="Q1064" s="218">
        <f>INDEX('Hist. prices'!$I$86:$AB$160,MATCH($C1064,'Hist. prices'!$C$86:$C$160,0),MATCH(Q$1022,'Hist. prices'!$I$5:$AB$5,0))</f>
        <v>0</v>
      </c>
      <c r="R1064" s="218">
        <f>INDEX('Hist. prices'!$I$86:$AB$160,MATCH($C1064,'Hist. prices'!$C$86:$C$160,0),MATCH(R$1022,'Hist. prices'!$I$5:$AB$5,0))</f>
        <v>0</v>
      </c>
      <c r="S1064" s="218">
        <f>INDEX('Hist. prices'!$I$86:$AB$160,MATCH($C1064,'Hist. prices'!$C$86:$C$160,0),MATCH(S$1022,'Hist. prices'!$I$5:$AB$5,0))</f>
        <v>0</v>
      </c>
      <c r="T1064" s="218">
        <f>INDEX('Hist. prices'!$I$86:$AB$160,MATCH($C1064,'Hist. prices'!$C$86:$C$160,0),MATCH(T$1022,'Hist. prices'!$I$5:$AB$5,0))</f>
        <v>0</v>
      </c>
      <c r="U1064" s="218">
        <f>INDEX('Hist. prices'!$I$86:$AB$160,MATCH($C1064,'Hist. prices'!$C$86:$C$160,0),MATCH(U$1022,'Hist. prices'!$I$5:$AB$5,0))</f>
        <v>0</v>
      </c>
      <c r="V1064" s="218">
        <f>INDEX('Hist. prices'!$I$86:$AB$160,MATCH($C1064,'Hist. prices'!$C$86:$C$160,0),MATCH(V$1022,'Hist. prices'!$I$5:$AB$5,0))</f>
        <v>0</v>
      </c>
      <c r="W1064" s="218">
        <f>INDEX('Hist. prices'!$I$86:$AB$160,MATCH($C1064,'Hist. prices'!$C$86:$C$160,0),MATCH(W$1022,'Hist. prices'!$I$5:$AB$5,0))</f>
        <v>0</v>
      </c>
      <c r="X1064" s="218">
        <f>INDEX('Hist. prices'!$I$86:$AB$160,MATCH($C1064,'Hist. prices'!$C$86:$C$160,0),MATCH(X$1022,'Hist. prices'!$I$5:$AB$5,0))</f>
        <v>0</v>
      </c>
      <c r="Y1064" s="218">
        <f>INDEX('Hist. prices'!$I$86:$AB$160,MATCH($C1064,'Hist. prices'!$C$86:$C$160,0),MATCH(Y$1022,'Hist. prices'!$I$5:$AB$5,0))</f>
        <v>0</v>
      </c>
      <c r="Z1064" s="218">
        <f>INDEX('Hist. prices'!$I$86:$AB$160,MATCH($C1064,'Hist. prices'!$C$86:$C$160,0),MATCH(Z$1022,'Hist. prices'!$I$5:$AB$5,0))</f>
        <v>0</v>
      </c>
      <c r="AA1064" s="218">
        <f>INDEX('Hist. prices'!$I$86:$AB$160,MATCH($C1064,'Hist. prices'!$C$86:$C$160,0),MATCH(AA$1022,'Hist. prices'!$I$5:$AB$5,0))</f>
        <v>0</v>
      </c>
      <c r="AB1064" s="218">
        <f>INDEX('Hist. prices'!$I$86:$AB$160,MATCH($C1064,'Hist. prices'!$C$86:$C$160,0),MATCH(AB$1022,'Hist. prices'!$I$5:$AB$5,0))</f>
        <v>0</v>
      </c>
      <c r="AC1064" s="187"/>
      <c r="AD1064" s="19"/>
      <c r="AE1064" s="19"/>
      <c r="AF1064" s="19"/>
      <c r="AG1064" s="19"/>
    </row>
    <row r="1065" spans="1:33" hidden="1" outlineLevel="3" x14ac:dyDescent="0.2">
      <c r="A1065" s="19"/>
      <c r="B1065" s="19"/>
      <c r="C1065" s="506">
        <f t="shared" si="211"/>
        <v>0</v>
      </c>
      <c r="D1065" s="505">
        <f t="shared" si="211"/>
        <v>0</v>
      </c>
      <c r="E1065" s="58"/>
      <c r="F1065" s="223"/>
      <c r="G1065" s="58"/>
      <c r="H1065" s="58"/>
      <c r="I1065" s="218">
        <f>INDEX('Hist. prices'!$I$86:$AB$160,MATCH($C1065,'Hist. prices'!$C$86:$C$160,0),MATCH(I$1022,'Hist. prices'!$I$5:$AB$5,0))</f>
        <v>0</v>
      </c>
      <c r="J1065" s="218">
        <f>INDEX('Hist. prices'!$I$86:$AB$160,MATCH($C1065,'Hist. prices'!$C$86:$C$160,0),MATCH(J$1022,'Hist. prices'!$I$5:$AB$5,0))</f>
        <v>0</v>
      </c>
      <c r="K1065" s="218">
        <f>INDEX('Hist. prices'!$I$86:$AB$160,MATCH($C1065,'Hist. prices'!$C$86:$C$160,0),MATCH(K$1022,'Hist. prices'!$I$5:$AB$5,0))</f>
        <v>0</v>
      </c>
      <c r="L1065" s="218">
        <f>INDEX('Hist. prices'!$I$86:$AB$160,MATCH($C1065,'Hist. prices'!$C$86:$C$160,0),MATCH(L$1022,'Hist. prices'!$I$5:$AB$5,0))</f>
        <v>0</v>
      </c>
      <c r="M1065" s="218">
        <f>INDEX('Hist. prices'!$I$86:$AB$160,MATCH($C1065,'Hist. prices'!$C$86:$C$160,0),MATCH(M$1022,'Hist. prices'!$I$5:$AB$5,0))</f>
        <v>0</v>
      </c>
      <c r="N1065" s="218">
        <f>INDEX('Hist. prices'!$I$86:$AB$160,MATCH($C1065,'Hist. prices'!$C$86:$C$160,0),MATCH(N$1022,'Hist. prices'!$I$5:$AB$5,0))</f>
        <v>0</v>
      </c>
      <c r="O1065" s="218">
        <f>INDEX('Hist. prices'!$I$86:$AB$160,MATCH($C1065,'Hist. prices'!$C$86:$C$160,0),MATCH(O$1022,'Hist. prices'!$I$5:$AB$5,0))</f>
        <v>0</v>
      </c>
      <c r="P1065" s="218">
        <f>INDEX('Hist. prices'!$I$86:$AB$160,MATCH($C1065,'Hist. prices'!$C$86:$C$160,0),MATCH(P$1022,'Hist. prices'!$I$5:$AB$5,0))</f>
        <v>0</v>
      </c>
      <c r="Q1065" s="218">
        <f>INDEX('Hist. prices'!$I$86:$AB$160,MATCH($C1065,'Hist. prices'!$C$86:$C$160,0),MATCH(Q$1022,'Hist. prices'!$I$5:$AB$5,0))</f>
        <v>0</v>
      </c>
      <c r="R1065" s="218">
        <f>INDEX('Hist. prices'!$I$86:$AB$160,MATCH($C1065,'Hist. prices'!$C$86:$C$160,0),MATCH(R$1022,'Hist. prices'!$I$5:$AB$5,0))</f>
        <v>0</v>
      </c>
      <c r="S1065" s="218">
        <f>INDEX('Hist. prices'!$I$86:$AB$160,MATCH($C1065,'Hist. prices'!$C$86:$C$160,0),MATCH(S$1022,'Hist. prices'!$I$5:$AB$5,0))</f>
        <v>0</v>
      </c>
      <c r="T1065" s="218">
        <f>INDEX('Hist. prices'!$I$86:$AB$160,MATCH($C1065,'Hist. prices'!$C$86:$C$160,0),MATCH(T$1022,'Hist. prices'!$I$5:$AB$5,0))</f>
        <v>0</v>
      </c>
      <c r="U1065" s="218">
        <f>INDEX('Hist. prices'!$I$86:$AB$160,MATCH($C1065,'Hist. prices'!$C$86:$C$160,0),MATCH(U$1022,'Hist. prices'!$I$5:$AB$5,0))</f>
        <v>0</v>
      </c>
      <c r="V1065" s="218">
        <f>INDEX('Hist. prices'!$I$86:$AB$160,MATCH($C1065,'Hist. prices'!$C$86:$C$160,0),MATCH(V$1022,'Hist. prices'!$I$5:$AB$5,0))</f>
        <v>0</v>
      </c>
      <c r="W1065" s="218">
        <f>INDEX('Hist. prices'!$I$86:$AB$160,MATCH($C1065,'Hist. prices'!$C$86:$C$160,0),MATCH(W$1022,'Hist. prices'!$I$5:$AB$5,0))</f>
        <v>0</v>
      </c>
      <c r="X1065" s="218">
        <f>INDEX('Hist. prices'!$I$86:$AB$160,MATCH($C1065,'Hist. prices'!$C$86:$C$160,0),MATCH(X$1022,'Hist. prices'!$I$5:$AB$5,0))</f>
        <v>0</v>
      </c>
      <c r="Y1065" s="218">
        <f>INDEX('Hist. prices'!$I$86:$AB$160,MATCH($C1065,'Hist. prices'!$C$86:$C$160,0),MATCH(Y$1022,'Hist. prices'!$I$5:$AB$5,0))</f>
        <v>0</v>
      </c>
      <c r="Z1065" s="218">
        <f>INDEX('Hist. prices'!$I$86:$AB$160,MATCH($C1065,'Hist. prices'!$C$86:$C$160,0),MATCH(Z$1022,'Hist. prices'!$I$5:$AB$5,0))</f>
        <v>0</v>
      </c>
      <c r="AA1065" s="218">
        <f>INDEX('Hist. prices'!$I$86:$AB$160,MATCH($C1065,'Hist. prices'!$C$86:$C$160,0),MATCH(AA$1022,'Hist. prices'!$I$5:$AB$5,0))</f>
        <v>0</v>
      </c>
      <c r="AB1065" s="218">
        <f>INDEX('Hist. prices'!$I$86:$AB$160,MATCH($C1065,'Hist. prices'!$C$86:$C$160,0),MATCH(AB$1022,'Hist. prices'!$I$5:$AB$5,0))</f>
        <v>0</v>
      </c>
      <c r="AC1065" s="187"/>
      <c r="AD1065" s="19"/>
      <c r="AE1065" s="19"/>
      <c r="AF1065" s="19"/>
      <c r="AG1065" s="19"/>
    </row>
    <row r="1066" spans="1:33" hidden="1" outlineLevel="3" x14ac:dyDescent="0.2">
      <c r="A1066" s="19"/>
      <c r="B1066" s="19"/>
      <c r="C1066" s="506">
        <f t="shared" si="211"/>
        <v>0</v>
      </c>
      <c r="D1066" s="505">
        <f t="shared" si="211"/>
        <v>0</v>
      </c>
      <c r="E1066" s="58"/>
      <c r="F1066" s="223"/>
      <c r="G1066" s="58"/>
      <c r="H1066" s="58"/>
      <c r="I1066" s="218">
        <f>INDEX('Hist. prices'!$I$86:$AB$160,MATCH($C1066,'Hist. prices'!$C$86:$C$160,0),MATCH(I$1022,'Hist. prices'!$I$5:$AB$5,0))</f>
        <v>0</v>
      </c>
      <c r="J1066" s="218">
        <f>INDEX('Hist. prices'!$I$86:$AB$160,MATCH($C1066,'Hist. prices'!$C$86:$C$160,0),MATCH(J$1022,'Hist. prices'!$I$5:$AB$5,0))</f>
        <v>0</v>
      </c>
      <c r="K1066" s="218">
        <f>INDEX('Hist. prices'!$I$86:$AB$160,MATCH($C1066,'Hist. prices'!$C$86:$C$160,0),MATCH(K$1022,'Hist. prices'!$I$5:$AB$5,0))</f>
        <v>0</v>
      </c>
      <c r="L1066" s="218">
        <f>INDEX('Hist. prices'!$I$86:$AB$160,MATCH($C1066,'Hist. prices'!$C$86:$C$160,0),MATCH(L$1022,'Hist. prices'!$I$5:$AB$5,0))</f>
        <v>0</v>
      </c>
      <c r="M1066" s="218">
        <f>INDEX('Hist. prices'!$I$86:$AB$160,MATCH($C1066,'Hist. prices'!$C$86:$C$160,0),MATCH(M$1022,'Hist. prices'!$I$5:$AB$5,0))</f>
        <v>0</v>
      </c>
      <c r="N1066" s="218">
        <f>INDEX('Hist. prices'!$I$86:$AB$160,MATCH($C1066,'Hist. prices'!$C$86:$C$160,0),MATCH(N$1022,'Hist. prices'!$I$5:$AB$5,0))</f>
        <v>0</v>
      </c>
      <c r="O1066" s="218">
        <f>INDEX('Hist. prices'!$I$86:$AB$160,MATCH($C1066,'Hist. prices'!$C$86:$C$160,0),MATCH(O$1022,'Hist. prices'!$I$5:$AB$5,0))</f>
        <v>0</v>
      </c>
      <c r="P1066" s="218">
        <f>INDEX('Hist. prices'!$I$86:$AB$160,MATCH($C1066,'Hist. prices'!$C$86:$C$160,0),MATCH(P$1022,'Hist. prices'!$I$5:$AB$5,0))</f>
        <v>0</v>
      </c>
      <c r="Q1066" s="218">
        <f>INDEX('Hist. prices'!$I$86:$AB$160,MATCH($C1066,'Hist. prices'!$C$86:$C$160,0),MATCH(Q$1022,'Hist. prices'!$I$5:$AB$5,0))</f>
        <v>0</v>
      </c>
      <c r="R1066" s="218">
        <f>INDEX('Hist. prices'!$I$86:$AB$160,MATCH($C1066,'Hist. prices'!$C$86:$C$160,0),MATCH(R$1022,'Hist. prices'!$I$5:$AB$5,0))</f>
        <v>0</v>
      </c>
      <c r="S1066" s="218">
        <f>INDEX('Hist. prices'!$I$86:$AB$160,MATCH($C1066,'Hist. prices'!$C$86:$C$160,0),MATCH(S$1022,'Hist. prices'!$I$5:$AB$5,0))</f>
        <v>0</v>
      </c>
      <c r="T1066" s="218">
        <f>INDEX('Hist. prices'!$I$86:$AB$160,MATCH($C1066,'Hist. prices'!$C$86:$C$160,0),MATCH(T$1022,'Hist. prices'!$I$5:$AB$5,0))</f>
        <v>0</v>
      </c>
      <c r="U1066" s="218">
        <f>INDEX('Hist. prices'!$I$86:$AB$160,MATCH($C1066,'Hist. prices'!$C$86:$C$160,0),MATCH(U$1022,'Hist. prices'!$I$5:$AB$5,0))</f>
        <v>0</v>
      </c>
      <c r="V1066" s="218">
        <f>INDEX('Hist. prices'!$I$86:$AB$160,MATCH($C1066,'Hist. prices'!$C$86:$C$160,0),MATCH(V$1022,'Hist. prices'!$I$5:$AB$5,0))</f>
        <v>0</v>
      </c>
      <c r="W1066" s="218">
        <f>INDEX('Hist. prices'!$I$86:$AB$160,MATCH($C1066,'Hist. prices'!$C$86:$C$160,0),MATCH(W$1022,'Hist. prices'!$I$5:$AB$5,0))</f>
        <v>0</v>
      </c>
      <c r="X1066" s="218">
        <f>INDEX('Hist. prices'!$I$86:$AB$160,MATCH($C1066,'Hist. prices'!$C$86:$C$160,0),MATCH(X$1022,'Hist. prices'!$I$5:$AB$5,0))</f>
        <v>0</v>
      </c>
      <c r="Y1066" s="218">
        <f>INDEX('Hist. prices'!$I$86:$AB$160,MATCH($C1066,'Hist. prices'!$C$86:$C$160,0),MATCH(Y$1022,'Hist. prices'!$I$5:$AB$5,0))</f>
        <v>0</v>
      </c>
      <c r="Z1066" s="218">
        <f>INDEX('Hist. prices'!$I$86:$AB$160,MATCH($C1066,'Hist. prices'!$C$86:$C$160,0),MATCH(Z$1022,'Hist. prices'!$I$5:$AB$5,0))</f>
        <v>0</v>
      </c>
      <c r="AA1066" s="218">
        <f>INDEX('Hist. prices'!$I$86:$AB$160,MATCH($C1066,'Hist. prices'!$C$86:$C$160,0),MATCH(AA$1022,'Hist. prices'!$I$5:$AB$5,0))</f>
        <v>0</v>
      </c>
      <c r="AB1066" s="218">
        <f>INDEX('Hist. prices'!$I$86:$AB$160,MATCH($C1066,'Hist. prices'!$C$86:$C$160,0),MATCH(AB$1022,'Hist. prices'!$I$5:$AB$5,0))</f>
        <v>0</v>
      </c>
      <c r="AC1066" s="187"/>
      <c r="AD1066" s="19"/>
      <c r="AE1066" s="19"/>
      <c r="AF1066" s="19"/>
      <c r="AG1066" s="19"/>
    </row>
    <row r="1067" spans="1:33" hidden="1" outlineLevel="3" x14ac:dyDescent="0.2">
      <c r="A1067" s="19"/>
      <c r="B1067" s="19"/>
      <c r="C1067" s="506">
        <f t="shared" si="211"/>
        <v>0</v>
      </c>
      <c r="D1067" s="505">
        <f t="shared" si="211"/>
        <v>0</v>
      </c>
      <c r="E1067" s="58"/>
      <c r="F1067" s="223"/>
      <c r="G1067" s="58"/>
      <c r="H1067" s="58"/>
      <c r="I1067" s="218">
        <f>INDEX('Hist. prices'!$I$86:$AB$160,MATCH($C1067,'Hist. prices'!$C$86:$C$160,0),MATCH(I$1022,'Hist. prices'!$I$5:$AB$5,0))</f>
        <v>0</v>
      </c>
      <c r="J1067" s="218">
        <f>INDEX('Hist. prices'!$I$86:$AB$160,MATCH($C1067,'Hist. prices'!$C$86:$C$160,0),MATCH(J$1022,'Hist. prices'!$I$5:$AB$5,0))</f>
        <v>0</v>
      </c>
      <c r="K1067" s="218">
        <f>INDEX('Hist. prices'!$I$86:$AB$160,MATCH($C1067,'Hist. prices'!$C$86:$C$160,0),MATCH(K$1022,'Hist. prices'!$I$5:$AB$5,0))</f>
        <v>0</v>
      </c>
      <c r="L1067" s="218">
        <f>INDEX('Hist. prices'!$I$86:$AB$160,MATCH($C1067,'Hist. prices'!$C$86:$C$160,0),MATCH(L$1022,'Hist. prices'!$I$5:$AB$5,0))</f>
        <v>0</v>
      </c>
      <c r="M1067" s="218">
        <f>INDEX('Hist. prices'!$I$86:$AB$160,MATCH($C1067,'Hist. prices'!$C$86:$C$160,0),MATCH(M$1022,'Hist. prices'!$I$5:$AB$5,0))</f>
        <v>0</v>
      </c>
      <c r="N1067" s="218">
        <f>INDEX('Hist. prices'!$I$86:$AB$160,MATCH($C1067,'Hist. prices'!$C$86:$C$160,0),MATCH(N$1022,'Hist. prices'!$I$5:$AB$5,0))</f>
        <v>0</v>
      </c>
      <c r="O1067" s="218">
        <f>INDEX('Hist. prices'!$I$86:$AB$160,MATCH($C1067,'Hist. prices'!$C$86:$C$160,0),MATCH(O$1022,'Hist. prices'!$I$5:$AB$5,0))</f>
        <v>0</v>
      </c>
      <c r="P1067" s="218">
        <f>INDEX('Hist. prices'!$I$86:$AB$160,MATCH($C1067,'Hist. prices'!$C$86:$C$160,0),MATCH(P$1022,'Hist. prices'!$I$5:$AB$5,0))</f>
        <v>0</v>
      </c>
      <c r="Q1067" s="218">
        <f>INDEX('Hist. prices'!$I$86:$AB$160,MATCH($C1067,'Hist. prices'!$C$86:$C$160,0),MATCH(Q$1022,'Hist. prices'!$I$5:$AB$5,0))</f>
        <v>0</v>
      </c>
      <c r="R1067" s="218">
        <f>INDEX('Hist. prices'!$I$86:$AB$160,MATCH($C1067,'Hist. prices'!$C$86:$C$160,0),MATCH(R$1022,'Hist. prices'!$I$5:$AB$5,0))</f>
        <v>0</v>
      </c>
      <c r="S1067" s="218">
        <f>INDEX('Hist. prices'!$I$86:$AB$160,MATCH($C1067,'Hist. prices'!$C$86:$C$160,0),MATCH(S$1022,'Hist. prices'!$I$5:$AB$5,0))</f>
        <v>0</v>
      </c>
      <c r="T1067" s="218">
        <f>INDEX('Hist. prices'!$I$86:$AB$160,MATCH($C1067,'Hist. prices'!$C$86:$C$160,0),MATCH(T$1022,'Hist. prices'!$I$5:$AB$5,0))</f>
        <v>0</v>
      </c>
      <c r="U1067" s="218">
        <f>INDEX('Hist. prices'!$I$86:$AB$160,MATCH($C1067,'Hist. prices'!$C$86:$C$160,0),MATCH(U$1022,'Hist. prices'!$I$5:$AB$5,0))</f>
        <v>0</v>
      </c>
      <c r="V1067" s="218">
        <f>INDEX('Hist. prices'!$I$86:$AB$160,MATCH($C1067,'Hist. prices'!$C$86:$C$160,0),MATCH(V$1022,'Hist. prices'!$I$5:$AB$5,0))</f>
        <v>0</v>
      </c>
      <c r="W1067" s="218">
        <f>INDEX('Hist. prices'!$I$86:$AB$160,MATCH($C1067,'Hist. prices'!$C$86:$C$160,0),MATCH(W$1022,'Hist. prices'!$I$5:$AB$5,0))</f>
        <v>0</v>
      </c>
      <c r="X1067" s="218">
        <f>INDEX('Hist. prices'!$I$86:$AB$160,MATCH($C1067,'Hist. prices'!$C$86:$C$160,0),MATCH(X$1022,'Hist. prices'!$I$5:$AB$5,0))</f>
        <v>0</v>
      </c>
      <c r="Y1067" s="218">
        <f>INDEX('Hist. prices'!$I$86:$AB$160,MATCH($C1067,'Hist. prices'!$C$86:$C$160,0),MATCH(Y$1022,'Hist. prices'!$I$5:$AB$5,0))</f>
        <v>0</v>
      </c>
      <c r="Z1067" s="218">
        <f>INDEX('Hist. prices'!$I$86:$AB$160,MATCH($C1067,'Hist. prices'!$C$86:$C$160,0),MATCH(Z$1022,'Hist. prices'!$I$5:$AB$5,0))</f>
        <v>0</v>
      </c>
      <c r="AA1067" s="218">
        <f>INDEX('Hist. prices'!$I$86:$AB$160,MATCH($C1067,'Hist. prices'!$C$86:$C$160,0),MATCH(AA$1022,'Hist. prices'!$I$5:$AB$5,0))</f>
        <v>0</v>
      </c>
      <c r="AB1067" s="218">
        <f>INDEX('Hist. prices'!$I$86:$AB$160,MATCH($C1067,'Hist. prices'!$C$86:$C$160,0),MATCH(AB$1022,'Hist. prices'!$I$5:$AB$5,0))</f>
        <v>0</v>
      </c>
      <c r="AC1067" s="187"/>
      <c r="AD1067" s="19"/>
      <c r="AE1067" s="19"/>
      <c r="AF1067" s="19"/>
      <c r="AG1067" s="19"/>
    </row>
    <row r="1068" spans="1:33" hidden="1" outlineLevel="3" x14ac:dyDescent="0.2">
      <c r="A1068" s="19"/>
      <c r="B1068" s="19"/>
      <c r="C1068" s="506">
        <f t="shared" si="211"/>
        <v>0</v>
      </c>
      <c r="D1068" s="505">
        <f t="shared" si="211"/>
        <v>0</v>
      </c>
      <c r="E1068" s="58"/>
      <c r="F1068" s="223"/>
      <c r="G1068" s="58"/>
      <c r="H1068" s="58"/>
      <c r="I1068" s="218">
        <f>INDEX('Hist. prices'!$I$86:$AB$160,MATCH($C1068,'Hist. prices'!$C$86:$C$160,0),MATCH(I$1022,'Hist. prices'!$I$5:$AB$5,0))</f>
        <v>0</v>
      </c>
      <c r="J1068" s="218">
        <f>INDEX('Hist. prices'!$I$86:$AB$160,MATCH($C1068,'Hist. prices'!$C$86:$C$160,0),MATCH(J$1022,'Hist. prices'!$I$5:$AB$5,0))</f>
        <v>0</v>
      </c>
      <c r="K1068" s="218">
        <f>INDEX('Hist. prices'!$I$86:$AB$160,MATCH($C1068,'Hist. prices'!$C$86:$C$160,0),MATCH(K$1022,'Hist. prices'!$I$5:$AB$5,0))</f>
        <v>0</v>
      </c>
      <c r="L1068" s="218">
        <f>INDEX('Hist. prices'!$I$86:$AB$160,MATCH($C1068,'Hist. prices'!$C$86:$C$160,0),MATCH(L$1022,'Hist. prices'!$I$5:$AB$5,0))</f>
        <v>0</v>
      </c>
      <c r="M1068" s="218">
        <f>INDEX('Hist. prices'!$I$86:$AB$160,MATCH($C1068,'Hist. prices'!$C$86:$C$160,0),MATCH(M$1022,'Hist. prices'!$I$5:$AB$5,0))</f>
        <v>0</v>
      </c>
      <c r="N1068" s="218">
        <f>INDEX('Hist. prices'!$I$86:$AB$160,MATCH($C1068,'Hist. prices'!$C$86:$C$160,0),MATCH(N$1022,'Hist. prices'!$I$5:$AB$5,0))</f>
        <v>0</v>
      </c>
      <c r="O1068" s="218">
        <f>INDEX('Hist. prices'!$I$86:$AB$160,MATCH($C1068,'Hist. prices'!$C$86:$C$160,0),MATCH(O$1022,'Hist. prices'!$I$5:$AB$5,0))</f>
        <v>0</v>
      </c>
      <c r="P1068" s="218">
        <f>INDEX('Hist. prices'!$I$86:$AB$160,MATCH($C1068,'Hist. prices'!$C$86:$C$160,0),MATCH(P$1022,'Hist. prices'!$I$5:$AB$5,0))</f>
        <v>0</v>
      </c>
      <c r="Q1068" s="218">
        <f>INDEX('Hist. prices'!$I$86:$AB$160,MATCH($C1068,'Hist. prices'!$C$86:$C$160,0),MATCH(Q$1022,'Hist. prices'!$I$5:$AB$5,0))</f>
        <v>0</v>
      </c>
      <c r="R1068" s="218">
        <f>INDEX('Hist. prices'!$I$86:$AB$160,MATCH($C1068,'Hist. prices'!$C$86:$C$160,0),MATCH(R$1022,'Hist. prices'!$I$5:$AB$5,0))</f>
        <v>0</v>
      </c>
      <c r="S1068" s="218">
        <f>INDEX('Hist. prices'!$I$86:$AB$160,MATCH($C1068,'Hist. prices'!$C$86:$C$160,0),MATCH(S$1022,'Hist. prices'!$I$5:$AB$5,0))</f>
        <v>0</v>
      </c>
      <c r="T1068" s="218">
        <f>INDEX('Hist. prices'!$I$86:$AB$160,MATCH($C1068,'Hist. prices'!$C$86:$C$160,0),MATCH(T$1022,'Hist. prices'!$I$5:$AB$5,0))</f>
        <v>0</v>
      </c>
      <c r="U1068" s="218">
        <f>INDEX('Hist. prices'!$I$86:$AB$160,MATCH($C1068,'Hist. prices'!$C$86:$C$160,0),MATCH(U$1022,'Hist. prices'!$I$5:$AB$5,0))</f>
        <v>0</v>
      </c>
      <c r="V1068" s="218">
        <f>INDEX('Hist. prices'!$I$86:$AB$160,MATCH($C1068,'Hist. prices'!$C$86:$C$160,0),MATCH(V$1022,'Hist. prices'!$I$5:$AB$5,0))</f>
        <v>0</v>
      </c>
      <c r="W1068" s="218">
        <f>INDEX('Hist. prices'!$I$86:$AB$160,MATCH($C1068,'Hist. prices'!$C$86:$C$160,0),MATCH(W$1022,'Hist. prices'!$I$5:$AB$5,0))</f>
        <v>0</v>
      </c>
      <c r="X1068" s="218">
        <f>INDEX('Hist. prices'!$I$86:$AB$160,MATCH($C1068,'Hist. prices'!$C$86:$C$160,0),MATCH(X$1022,'Hist. prices'!$I$5:$AB$5,0))</f>
        <v>0</v>
      </c>
      <c r="Y1068" s="218">
        <f>INDEX('Hist. prices'!$I$86:$AB$160,MATCH($C1068,'Hist. prices'!$C$86:$C$160,0),MATCH(Y$1022,'Hist. prices'!$I$5:$AB$5,0))</f>
        <v>0</v>
      </c>
      <c r="Z1068" s="218">
        <f>INDEX('Hist. prices'!$I$86:$AB$160,MATCH($C1068,'Hist. prices'!$C$86:$C$160,0),MATCH(Z$1022,'Hist. prices'!$I$5:$AB$5,0))</f>
        <v>0</v>
      </c>
      <c r="AA1068" s="218">
        <f>INDEX('Hist. prices'!$I$86:$AB$160,MATCH($C1068,'Hist. prices'!$C$86:$C$160,0),MATCH(AA$1022,'Hist. prices'!$I$5:$AB$5,0))</f>
        <v>0</v>
      </c>
      <c r="AB1068" s="218">
        <f>INDEX('Hist. prices'!$I$86:$AB$160,MATCH($C1068,'Hist. prices'!$C$86:$C$160,0),MATCH(AB$1022,'Hist. prices'!$I$5:$AB$5,0))</f>
        <v>0</v>
      </c>
      <c r="AC1068" s="187"/>
      <c r="AD1068" s="19"/>
      <c r="AE1068" s="19"/>
      <c r="AF1068" s="19"/>
      <c r="AG1068" s="19"/>
    </row>
    <row r="1069" spans="1:33" hidden="1" outlineLevel="3" x14ac:dyDescent="0.2">
      <c r="A1069" s="19"/>
      <c r="B1069" s="19"/>
      <c r="C1069" s="506">
        <f t="shared" si="211"/>
        <v>0</v>
      </c>
      <c r="D1069" s="505">
        <f t="shared" si="211"/>
        <v>0</v>
      </c>
      <c r="E1069" s="58"/>
      <c r="F1069" s="223"/>
      <c r="G1069" s="58"/>
      <c r="H1069" s="58"/>
      <c r="I1069" s="218">
        <f>INDEX('Hist. prices'!$I$86:$AB$160,MATCH($C1069,'Hist. prices'!$C$86:$C$160,0),MATCH(I$1022,'Hist. prices'!$I$5:$AB$5,0))</f>
        <v>0</v>
      </c>
      <c r="J1069" s="218">
        <f>INDEX('Hist. prices'!$I$86:$AB$160,MATCH($C1069,'Hist. prices'!$C$86:$C$160,0),MATCH(J$1022,'Hist. prices'!$I$5:$AB$5,0))</f>
        <v>0</v>
      </c>
      <c r="K1069" s="218">
        <f>INDEX('Hist. prices'!$I$86:$AB$160,MATCH($C1069,'Hist. prices'!$C$86:$C$160,0),MATCH(K$1022,'Hist. prices'!$I$5:$AB$5,0))</f>
        <v>0</v>
      </c>
      <c r="L1069" s="218">
        <f>INDEX('Hist. prices'!$I$86:$AB$160,MATCH($C1069,'Hist. prices'!$C$86:$C$160,0),MATCH(L$1022,'Hist. prices'!$I$5:$AB$5,0))</f>
        <v>0</v>
      </c>
      <c r="M1069" s="218">
        <f>INDEX('Hist. prices'!$I$86:$AB$160,MATCH($C1069,'Hist. prices'!$C$86:$C$160,0),MATCH(M$1022,'Hist. prices'!$I$5:$AB$5,0))</f>
        <v>0</v>
      </c>
      <c r="N1069" s="218">
        <f>INDEX('Hist. prices'!$I$86:$AB$160,MATCH($C1069,'Hist. prices'!$C$86:$C$160,0),MATCH(N$1022,'Hist. prices'!$I$5:$AB$5,0))</f>
        <v>0</v>
      </c>
      <c r="O1069" s="218">
        <f>INDEX('Hist. prices'!$I$86:$AB$160,MATCH($C1069,'Hist. prices'!$C$86:$C$160,0),MATCH(O$1022,'Hist. prices'!$I$5:$AB$5,0))</f>
        <v>0</v>
      </c>
      <c r="P1069" s="218">
        <f>INDEX('Hist. prices'!$I$86:$AB$160,MATCH($C1069,'Hist. prices'!$C$86:$C$160,0),MATCH(P$1022,'Hist. prices'!$I$5:$AB$5,0))</f>
        <v>0</v>
      </c>
      <c r="Q1069" s="218">
        <f>INDEX('Hist. prices'!$I$86:$AB$160,MATCH($C1069,'Hist. prices'!$C$86:$C$160,0),MATCH(Q$1022,'Hist. prices'!$I$5:$AB$5,0))</f>
        <v>0</v>
      </c>
      <c r="R1069" s="218">
        <f>INDEX('Hist. prices'!$I$86:$AB$160,MATCH($C1069,'Hist. prices'!$C$86:$C$160,0),MATCH(R$1022,'Hist. prices'!$I$5:$AB$5,0))</f>
        <v>0</v>
      </c>
      <c r="S1069" s="218">
        <f>INDEX('Hist. prices'!$I$86:$AB$160,MATCH($C1069,'Hist. prices'!$C$86:$C$160,0),MATCH(S$1022,'Hist. prices'!$I$5:$AB$5,0))</f>
        <v>0</v>
      </c>
      <c r="T1069" s="218">
        <f>INDEX('Hist. prices'!$I$86:$AB$160,MATCH($C1069,'Hist. prices'!$C$86:$C$160,0),MATCH(T$1022,'Hist. prices'!$I$5:$AB$5,0))</f>
        <v>0</v>
      </c>
      <c r="U1069" s="218">
        <f>INDEX('Hist. prices'!$I$86:$AB$160,MATCH($C1069,'Hist. prices'!$C$86:$C$160,0),MATCH(U$1022,'Hist. prices'!$I$5:$AB$5,0))</f>
        <v>0</v>
      </c>
      <c r="V1069" s="218">
        <f>INDEX('Hist. prices'!$I$86:$AB$160,MATCH($C1069,'Hist. prices'!$C$86:$C$160,0),MATCH(V$1022,'Hist. prices'!$I$5:$AB$5,0))</f>
        <v>0</v>
      </c>
      <c r="W1069" s="218">
        <f>INDEX('Hist. prices'!$I$86:$AB$160,MATCH($C1069,'Hist. prices'!$C$86:$C$160,0),MATCH(W$1022,'Hist. prices'!$I$5:$AB$5,0))</f>
        <v>0</v>
      </c>
      <c r="X1069" s="218">
        <f>INDEX('Hist. prices'!$I$86:$AB$160,MATCH($C1069,'Hist. prices'!$C$86:$C$160,0),MATCH(X$1022,'Hist. prices'!$I$5:$AB$5,0))</f>
        <v>0</v>
      </c>
      <c r="Y1069" s="218">
        <f>INDEX('Hist. prices'!$I$86:$AB$160,MATCH($C1069,'Hist. prices'!$C$86:$C$160,0),MATCH(Y$1022,'Hist. prices'!$I$5:$AB$5,0))</f>
        <v>0</v>
      </c>
      <c r="Z1069" s="218">
        <f>INDEX('Hist. prices'!$I$86:$AB$160,MATCH($C1069,'Hist. prices'!$C$86:$C$160,0),MATCH(Z$1022,'Hist. prices'!$I$5:$AB$5,0))</f>
        <v>0</v>
      </c>
      <c r="AA1069" s="218">
        <f>INDEX('Hist. prices'!$I$86:$AB$160,MATCH($C1069,'Hist. prices'!$C$86:$C$160,0),MATCH(AA$1022,'Hist. prices'!$I$5:$AB$5,0))</f>
        <v>0</v>
      </c>
      <c r="AB1069" s="218">
        <f>INDEX('Hist. prices'!$I$86:$AB$160,MATCH($C1069,'Hist. prices'!$C$86:$C$160,0),MATCH(AB$1022,'Hist. prices'!$I$5:$AB$5,0))</f>
        <v>0</v>
      </c>
      <c r="AC1069" s="187"/>
      <c r="AD1069" s="19"/>
      <c r="AE1069" s="19"/>
      <c r="AF1069" s="19"/>
      <c r="AG1069" s="19"/>
    </row>
    <row r="1070" spans="1:33" hidden="1" outlineLevel="3" x14ac:dyDescent="0.2">
      <c r="A1070" s="19"/>
      <c r="B1070" s="19"/>
      <c r="C1070" s="506">
        <f t="shared" si="211"/>
        <v>0</v>
      </c>
      <c r="D1070" s="505">
        <f t="shared" si="211"/>
        <v>0</v>
      </c>
      <c r="E1070" s="58"/>
      <c r="F1070" s="223"/>
      <c r="G1070" s="58"/>
      <c r="H1070" s="58"/>
      <c r="I1070" s="218">
        <f>INDEX('Hist. prices'!$I$86:$AB$160,MATCH($C1070,'Hist. prices'!$C$86:$C$160,0),MATCH(I$1022,'Hist. prices'!$I$5:$AB$5,0))</f>
        <v>0</v>
      </c>
      <c r="J1070" s="218">
        <f>INDEX('Hist. prices'!$I$86:$AB$160,MATCH($C1070,'Hist. prices'!$C$86:$C$160,0),MATCH(J$1022,'Hist. prices'!$I$5:$AB$5,0))</f>
        <v>0</v>
      </c>
      <c r="K1070" s="218">
        <f>INDEX('Hist. prices'!$I$86:$AB$160,MATCH($C1070,'Hist. prices'!$C$86:$C$160,0),MATCH(K$1022,'Hist. prices'!$I$5:$AB$5,0))</f>
        <v>0</v>
      </c>
      <c r="L1070" s="218">
        <f>INDEX('Hist. prices'!$I$86:$AB$160,MATCH($C1070,'Hist. prices'!$C$86:$C$160,0),MATCH(L$1022,'Hist. prices'!$I$5:$AB$5,0))</f>
        <v>0</v>
      </c>
      <c r="M1070" s="218">
        <f>INDEX('Hist. prices'!$I$86:$AB$160,MATCH($C1070,'Hist. prices'!$C$86:$C$160,0),MATCH(M$1022,'Hist. prices'!$I$5:$AB$5,0))</f>
        <v>0</v>
      </c>
      <c r="N1070" s="218">
        <f>INDEX('Hist. prices'!$I$86:$AB$160,MATCH($C1070,'Hist. prices'!$C$86:$C$160,0),MATCH(N$1022,'Hist. prices'!$I$5:$AB$5,0))</f>
        <v>0</v>
      </c>
      <c r="O1070" s="218">
        <f>INDEX('Hist. prices'!$I$86:$AB$160,MATCH($C1070,'Hist. prices'!$C$86:$C$160,0),MATCH(O$1022,'Hist. prices'!$I$5:$AB$5,0))</f>
        <v>0</v>
      </c>
      <c r="P1070" s="218">
        <f>INDEX('Hist. prices'!$I$86:$AB$160,MATCH($C1070,'Hist. prices'!$C$86:$C$160,0),MATCH(P$1022,'Hist. prices'!$I$5:$AB$5,0))</f>
        <v>0</v>
      </c>
      <c r="Q1070" s="218">
        <f>INDEX('Hist. prices'!$I$86:$AB$160,MATCH($C1070,'Hist. prices'!$C$86:$C$160,0),MATCH(Q$1022,'Hist. prices'!$I$5:$AB$5,0))</f>
        <v>0</v>
      </c>
      <c r="R1070" s="218">
        <f>INDEX('Hist. prices'!$I$86:$AB$160,MATCH($C1070,'Hist. prices'!$C$86:$C$160,0),MATCH(R$1022,'Hist. prices'!$I$5:$AB$5,0))</f>
        <v>0</v>
      </c>
      <c r="S1070" s="218">
        <f>INDEX('Hist. prices'!$I$86:$AB$160,MATCH($C1070,'Hist. prices'!$C$86:$C$160,0),MATCH(S$1022,'Hist. prices'!$I$5:$AB$5,0))</f>
        <v>0</v>
      </c>
      <c r="T1070" s="218">
        <f>INDEX('Hist. prices'!$I$86:$AB$160,MATCH($C1070,'Hist. prices'!$C$86:$C$160,0),MATCH(T$1022,'Hist. prices'!$I$5:$AB$5,0))</f>
        <v>0</v>
      </c>
      <c r="U1070" s="218">
        <f>INDEX('Hist. prices'!$I$86:$AB$160,MATCH($C1070,'Hist. prices'!$C$86:$C$160,0),MATCH(U$1022,'Hist. prices'!$I$5:$AB$5,0))</f>
        <v>0</v>
      </c>
      <c r="V1070" s="218">
        <f>INDEX('Hist. prices'!$I$86:$AB$160,MATCH($C1070,'Hist. prices'!$C$86:$C$160,0),MATCH(V$1022,'Hist. prices'!$I$5:$AB$5,0))</f>
        <v>0</v>
      </c>
      <c r="W1070" s="218">
        <f>INDEX('Hist. prices'!$I$86:$AB$160,MATCH($C1070,'Hist. prices'!$C$86:$C$160,0),MATCH(W$1022,'Hist. prices'!$I$5:$AB$5,0))</f>
        <v>0</v>
      </c>
      <c r="X1070" s="218">
        <f>INDEX('Hist. prices'!$I$86:$AB$160,MATCH($C1070,'Hist. prices'!$C$86:$C$160,0),MATCH(X$1022,'Hist. prices'!$I$5:$AB$5,0))</f>
        <v>0</v>
      </c>
      <c r="Y1070" s="218">
        <f>INDEX('Hist. prices'!$I$86:$AB$160,MATCH($C1070,'Hist. prices'!$C$86:$C$160,0),MATCH(Y$1022,'Hist. prices'!$I$5:$AB$5,0))</f>
        <v>0</v>
      </c>
      <c r="Z1070" s="218">
        <f>INDEX('Hist. prices'!$I$86:$AB$160,MATCH($C1070,'Hist. prices'!$C$86:$C$160,0),MATCH(Z$1022,'Hist. prices'!$I$5:$AB$5,0))</f>
        <v>0</v>
      </c>
      <c r="AA1070" s="218">
        <f>INDEX('Hist. prices'!$I$86:$AB$160,MATCH($C1070,'Hist. prices'!$C$86:$C$160,0),MATCH(AA$1022,'Hist. prices'!$I$5:$AB$5,0))</f>
        <v>0</v>
      </c>
      <c r="AB1070" s="218">
        <f>INDEX('Hist. prices'!$I$86:$AB$160,MATCH($C1070,'Hist. prices'!$C$86:$C$160,0),MATCH(AB$1022,'Hist. prices'!$I$5:$AB$5,0))</f>
        <v>0</v>
      </c>
      <c r="AC1070" s="187"/>
      <c r="AD1070" s="19"/>
      <c r="AE1070" s="19"/>
      <c r="AF1070" s="19"/>
      <c r="AG1070" s="19"/>
    </row>
    <row r="1071" spans="1:33" hidden="1" outlineLevel="3" x14ac:dyDescent="0.2">
      <c r="A1071" s="19"/>
      <c r="B1071" s="19"/>
      <c r="C1071" s="506">
        <f t="shared" si="211"/>
        <v>0</v>
      </c>
      <c r="D1071" s="505">
        <f t="shared" si="211"/>
        <v>0</v>
      </c>
      <c r="E1071" s="58"/>
      <c r="F1071" s="223"/>
      <c r="G1071" s="58"/>
      <c r="H1071" s="58"/>
      <c r="I1071" s="218">
        <f>INDEX('Hist. prices'!$I$86:$AB$160,MATCH($C1071,'Hist. prices'!$C$86:$C$160,0),MATCH(I$1022,'Hist. prices'!$I$5:$AB$5,0))</f>
        <v>0</v>
      </c>
      <c r="J1071" s="218">
        <f>INDEX('Hist. prices'!$I$86:$AB$160,MATCH($C1071,'Hist. prices'!$C$86:$C$160,0),MATCH(J$1022,'Hist. prices'!$I$5:$AB$5,0))</f>
        <v>0</v>
      </c>
      <c r="K1071" s="218">
        <f>INDEX('Hist. prices'!$I$86:$AB$160,MATCH($C1071,'Hist. prices'!$C$86:$C$160,0),MATCH(K$1022,'Hist. prices'!$I$5:$AB$5,0))</f>
        <v>0</v>
      </c>
      <c r="L1071" s="218">
        <f>INDEX('Hist. prices'!$I$86:$AB$160,MATCH($C1071,'Hist. prices'!$C$86:$C$160,0),MATCH(L$1022,'Hist. prices'!$I$5:$AB$5,0))</f>
        <v>0</v>
      </c>
      <c r="M1071" s="218">
        <f>INDEX('Hist. prices'!$I$86:$AB$160,MATCH($C1071,'Hist. prices'!$C$86:$C$160,0),MATCH(M$1022,'Hist. prices'!$I$5:$AB$5,0))</f>
        <v>0</v>
      </c>
      <c r="N1071" s="218">
        <f>INDEX('Hist. prices'!$I$86:$AB$160,MATCH($C1071,'Hist. prices'!$C$86:$C$160,0),MATCH(N$1022,'Hist. prices'!$I$5:$AB$5,0))</f>
        <v>0</v>
      </c>
      <c r="O1071" s="218">
        <f>INDEX('Hist. prices'!$I$86:$AB$160,MATCH($C1071,'Hist. prices'!$C$86:$C$160,0),MATCH(O$1022,'Hist. prices'!$I$5:$AB$5,0))</f>
        <v>0</v>
      </c>
      <c r="P1071" s="218">
        <f>INDEX('Hist. prices'!$I$86:$AB$160,MATCH($C1071,'Hist. prices'!$C$86:$C$160,0),MATCH(P$1022,'Hist. prices'!$I$5:$AB$5,0))</f>
        <v>0</v>
      </c>
      <c r="Q1071" s="218">
        <f>INDEX('Hist. prices'!$I$86:$AB$160,MATCH($C1071,'Hist. prices'!$C$86:$C$160,0),MATCH(Q$1022,'Hist. prices'!$I$5:$AB$5,0))</f>
        <v>0</v>
      </c>
      <c r="R1071" s="218">
        <f>INDEX('Hist. prices'!$I$86:$AB$160,MATCH($C1071,'Hist. prices'!$C$86:$C$160,0),MATCH(R$1022,'Hist. prices'!$I$5:$AB$5,0))</f>
        <v>0</v>
      </c>
      <c r="S1071" s="218">
        <f>INDEX('Hist. prices'!$I$86:$AB$160,MATCH($C1071,'Hist. prices'!$C$86:$C$160,0),MATCH(S$1022,'Hist. prices'!$I$5:$AB$5,0))</f>
        <v>0</v>
      </c>
      <c r="T1071" s="218">
        <f>INDEX('Hist. prices'!$I$86:$AB$160,MATCH($C1071,'Hist. prices'!$C$86:$C$160,0),MATCH(T$1022,'Hist. prices'!$I$5:$AB$5,0))</f>
        <v>0</v>
      </c>
      <c r="U1071" s="218">
        <f>INDEX('Hist. prices'!$I$86:$AB$160,MATCH($C1071,'Hist. prices'!$C$86:$C$160,0),MATCH(U$1022,'Hist. prices'!$I$5:$AB$5,0))</f>
        <v>0</v>
      </c>
      <c r="V1071" s="218">
        <f>INDEX('Hist. prices'!$I$86:$AB$160,MATCH($C1071,'Hist. prices'!$C$86:$C$160,0),MATCH(V$1022,'Hist. prices'!$I$5:$AB$5,0))</f>
        <v>0</v>
      </c>
      <c r="W1071" s="218">
        <f>INDEX('Hist. prices'!$I$86:$AB$160,MATCH($C1071,'Hist. prices'!$C$86:$C$160,0),MATCH(W$1022,'Hist. prices'!$I$5:$AB$5,0))</f>
        <v>0</v>
      </c>
      <c r="X1071" s="218">
        <f>INDEX('Hist. prices'!$I$86:$AB$160,MATCH($C1071,'Hist. prices'!$C$86:$C$160,0),MATCH(X$1022,'Hist. prices'!$I$5:$AB$5,0))</f>
        <v>0</v>
      </c>
      <c r="Y1071" s="218">
        <f>INDEX('Hist. prices'!$I$86:$AB$160,MATCH($C1071,'Hist. prices'!$C$86:$C$160,0),MATCH(Y$1022,'Hist. prices'!$I$5:$AB$5,0))</f>
        <v>0</v>
      </c>
      <c r="Z1071" s="218">
        <f>INDEX('Hist. prices'!$I$86:$AB$160,MATCH($C1071,'Hist. prices'!$C$86:$C$160,0),MATCH(Z$1022,'Hist. prices'!$I$5:$AB$5,0))</f>
        <v>0</v>
      </c>
      <c r="AA1071" s="218">
        <f>INDEX('Hist. prices'!$I$86:$AB$160,MATCH($C1071,'Hist. prices'!$C$86:$C$160,0),MATCH(AA$1022,'Hist. prices'!$I$5:$AB$5,0))</f>
        <v>0</v>
      </c>
      <c r="AB1071" s="218">
        <f>INDEX('Hist. prices'!$I$86:$AB$160,MATCH($C1071,'Hist. prices'!$C$86:$C$160,0),MATCH(AB$1022,'Hist. prices'!$I$5:$AB$5,0))</f>
        <v>0</v>
      </c>
      <c r="AC1071" s="187"/>
      <c r="AD1071" s="19"/>
      <c r="AE1071" s="19"/>
      <c r="AF1071" s="19"/>
      <c r="AG1071" s="19"/>
    </row>
    <row r="1072" spans="1:33" hidden="1" outlineLevel="3" x14ac:dyDescent="0.2">
      <c r="A1072" s="19"/>
      <c r="B1072" s="19"/>
      <c r="C1072" s="506">
        <f t="shared" si="211"/>
        <v>0</v>
      </c>
      <c r="D1072" s="505">
        <f t="shared" si="211"/>
        <v>0</v>
      </c>
      <c r="E1072" s="58"/>
      <c r="F1072" s="223"/>
      <c r="G1072" s="58"/>
      <c r="H1072" s="58"/>
      <c r="I1072" s="218">
        <f>INDEX('Hist. prices'!$I$86:$AB$160,MATCH($C1072,'Hist. prices'!$C$86:$C$160,0),MATCH(I$1022,'Hist. prices'!$I$5:$AB$5,0))</f>
        <v>0</v>
      </c>
      <c r="J1072" s="218">
        <f>INDEX('Hist. prices'!$I$86:$AB$160,MATCH($C1072,'Hist. prices'!$C$86:$C$160,0),MATCH(J$1022,'Hist. prices'!$I$5:$AB$5,0))</f>
        <v>0</v>
      </c>
      <c r="K1072" s="218">
        <f>INDEX('Hist. prices'!$I$86:$AB$160,MATCH($C1072,'Hist. prices'!$C$86:$C$160,0),MATCH(K$1022,'Hist. prices'!$I$5:$AB$5,0))</f>
        <v>0</v>
      </c>
      <c r="L1072" s="218">
        <f>INDEX('Hist. prices'!$I$86:$AB$160,MATCH($C1072,'Hist. prices'!$C$86:$C$160,0),MATCH(L$1022,'Hist. prices'!$I$5:$AB$5,0))</f>
        <v>0</v>
      </c>
      <c r="M1072" s="218">
        <f>INDEX('Hist. prices'!$I$86:$AB$160,MATCH($C1072,'Hist. prices'!$C$86:$C$160,0),MATCH(M$1022,'Hist. prices'!$I$5:$AB$5,0))</f>
        <v>0</v>
      </c>
      <c r="N1072" s="218">
        <f>INDEX('Hist. prices'!$I$86:$AB$160,MATCH($C1072,'Hist. prices'!$C$86:$C$160,0),MATCH(N$1022,'Hist. prices'!$I$5:$AB$5,0))</f>
        <v>0</v>
      </c>
      <c r="O1072" s="218">
        <f>INDEX('Hist. prices'!$I$86:$AB$160,MATCH($C1072,'Hist. prices'!$C$86:$C$160,0),MATCH(O$1022,'Hist. prices'!$I$5:$AB$5,0))</f>
        <v>0</v>
      </c>
      <c r="P1072" s="218">
        <f>INDEX('Hist. prices'!$I$86:$AB$160,MATCH($C1072,'Hist. prices'!$C$86:$C$160,0),MATCH(P$1022,'Hist. prices'!$I$5:$AB$5,0))</f>
        <v>0</v>
      </c>
      <c r="Q1072" s="218">
        <f>INDEX('Hist. prices'!$I$86:$AB$160,MATCH($C1072,'Hist. prices'!$C$86:$C$160,0),MATCH(Q$1022,'Hist. prices'!$I$5:$AB$5,0))</f>
        <v>0</v>
      </c>
      <c r="R1072" s="218">
        <f>INDEX('Hist. prices'!$I$86:$AB$160,MATCH($C1072,'Hist. prices'!$C$86:$C$160,0),MATCH(R$1022,'Hist. prices'!$I$5:$AB$5,0))</f>
        <v>0</v>
      </c>
      <c r="S1072" s="218">
        <f>INDEX('Hist. prices'!$I$86:$AB$160,MATCH($C1072,'Hist. prices'!$C$86:$C$160,0),MATCH(S$1022,'Hist. prices'!$I$5:$AB$5,0))</f>
        <v>0</v>
      </c>
      <c r="T1072" s="218">
        <f>INDEX('Hist. prices'!$I$86:$AB$160,MATCH($C1072,'Hist. prices'!$C$86:$C$160,0),MATCH(T$1022,'Hist. prices'!$I$5:$AB$5,0))</f>
        <v>0</v>
      </c>
      <c r="U1072" s="218">
        <f>INDEX('Hist. prices'!$I$86:$AB$160,MATCH($C1072,'Hist. prices'!$C$86:$C$160,0),MATCH(U$1022,'Hist. prices'!$I$5:$AB$5,0))</f>
        <v>0</v>
      </c>
      <c r="V1072" s="218">
        <f>INDEX('Hist. prices'!$I$86:$AB$160,MATCH($C1072,'Hist. prices'!$C$86:$C$160,0),MATCH(V$1022,'Hist. prices'!$I$5:$AB$5,0))</f>
        <v>0</v>
      </c>
      <c r="W1072" s="218">
        <f>INDEX('Hist. prices'!$I$86:$AB$160,MATCH($C1072,'Hist. prices'!$C$86:$C$160,0),MATCH(W$1022,'Hist. prices'!$I$5:$AB$5,0))</f>
        <v>0</v>
      </c>
      <c r="X1072" s="218">
        <f>INDEX('Hist. prices'!$I$86:$AB$160,MATCH($C1072,'Hist. prices'!$C$86:$C$160,0),MATCH(X$1022,'Hist. prices'!$I$5:$AB$5,0))</f>
        <v>0</v>
      </c>
      <c r="Y1072" s="218">
        <f>INDEX('Hist. prices'!$I$86:$AB$160,MATCH($C1072,'Hist. prices'!$C$86:$C$160,0),MATCH(Y$1022,'Hist. prices'!$I$5:$AB$5,0))</f>
        <v>0</v>
      </c>
      <c r="Z1072" s="218">
        <f>INDEX('Hist. prices'!$I$86:$AB$160,MATCH($C1072,'Hist. prices'!$C$86:$C$160,0),MATCH(Z$1022,'Hist. prices'!$I$5:$AB$5,0))</f>
        <v>0</v>
      </c>
      <c r="AA1072" s="218">
        <f>INDEX('Hist. prices'!$I$86:$AB$160,MATCH($C1072,'Hist. prices'!$C$86:$C$160,0),MATCH(AA$1022,'Hist. prices'!$I$5:$AB$5,0))</f>
        <v>0</v>
      </c>
      <c r="AB1072" s="218">
        <f>INDEX('Hist. prices'!$I$86:$AB$160,MATCH($C1072,'Hist. prices'!$C$86:$C$160,0),MATCH(AB$1022,'Hist. prices'!$I$5:$AB$5,0))</f>
        <v>0</v>
      </c>
      <c r="AC1072" s="187"/>
      <c r="AD1072" s="19"/>
      <c r="AE1072" s="19"/>
      <c r="AF1072" s="19"/>
      <c r="AG1072" s="19"/>
    </row>
    <row r="1073" spans="1:33" hidden="1" outlineLevel="3" x14ac:dyDescent="0.2">
      <c r="A1073" s="19"/>
      <c r="B1073" s="19"/>
      <c r="C1073" s="506">
        <f t="shared" si="211"/>
        <v>0</v>
      </c>
      <c r="D1073" s="505">
        <f t="shared" si="211"/>
        <v>0</v>
      </c>
      <c r="E1073" s="58"/>
      <c r="F1073" s="223"/>
      <c r="G1073" s="58"/>
      <c r="H1073" s="58"/>
      <c r="I1073" s="218">
        <f>INDEX('Hist. prices'!$I$86:$AB$160,MATCH($C1073,'Hist. prices'!$C$86:$C$160,0),MATCH(I$1022,'Hist. prices'!$I$5:$AB$5,0))</f>
        <v>0</v>
      </c>
      <c r="J1073" s="218">
        <f>INDEX('Hist. prices'!$I$86:$AB$160,MATCH($C1073,'Hist. prices'!$C$86:$C$160,0),MATCH(J$1022,'Hist. prices'!$I$5:$AB$5,0))</f>
        <v>0</v>
      </c>
      <c r="K1073" s="218">
        <f>INDEX('Hist. prices'!$I$86:$AB$160,MATCH($C1073,'Hist. prices'!$C$86:$C$160,0),MATCH(K$1022,'Hist. prices'!$I$5:$AB$5,0))</f>
        <v>0</v>
      </c>
      <c r="L1073" s="218">
        <f>INDEX('Hist. prices'!$I$86:$AB$160,MATCH($C1073,'Hist. prices'!$C$86:$C$160,0),MATCH(L$1022,'Hist. prices'!$I$5:$AB$5,0))</f>
        <v>0</v>
      </c>
      <c r="M1073" s="218">
        <f>INDEX('Hist. prices'!$I$86:$AB$160,MATCH($C1073,'Hist. prices'!$C$86:$C$160,0),MATCH(M$1022,'Hist. prices'!$I$5:$AB$5,0))</f>
        <v>0</v>
      </c>
      <c r="N1073" s="218">
        <f>INDEX('Hist. prices'!$I$86:$AB$160,MATCH($C1073,'Hist. prices'!$C$86:$C$160,0),MATCH(N$1022,'Hist. prices'!$I$5:$AB$5,0))</f>
        <v>0</v>
      </c>
      <c r="O1073" s="218">
        <f>INDEX('Hist. prices'!$I$86:$AB$160,MATCH($C1073,'Hist. prices'!$C$86:$C$160,0),MATCH(O$1022,'Hist. prices'!$I$5:$AB$5,0))</f>
        <v>0</v>
      </c>
      <c r="P1073" s="218">
        <f>INDEX('Hist. prices'!$I$86:$AB$160,MATCH($C1073,'Hist. prices'!$C$86:$C$160,0),MATCH(P$1022,'Hist. prices'!$I$5:$AB$5,0))</f>
        <v>0</v>
      </c>
      <c r="Q1073" s="218">
        <f>INDEX('Hist. prices'!$I$86:$AB$160,MATCH($C1073,'Hist. prices'!$C$86:$C$160,0),MATCH(Q$1022,'Hist. prices'!$I$5:$AB$5,0))</f>
        <v>0</v>
      </c>
      <c r="R1073" s="218">
        <f>INDEX('Hist. prices'!$I$86:$AB$160,MATCH($C1073,'Hist. prices'!$C$86:$C$160,0),MATCH(R$1022,'Hist. prices'!$I$5:$AB$5,0))</f>
        <v>0</v>
      </c>
      <c r="S1073" s="218">
        <f>INDEX('Hist. prices'!$I$86:$AB$160,MATCH($C1073,'Hist. prices'!$C$86:$C$160,0),MATCH(S$1022,'Hist. prices'!$I$5:$AB$5,0))</f>
        <v>0</v>
      </c>
      <c r="T1073" s="218">
        <f>INDEX('Hist. prices'!$I$86:$AB$160,MATCH($C1073,'Hist. prices'!$C$86:$C$160,0),MATCH(T$1022,'Hist. prices'!$I$5:$AB$5,0))</f>
        <v>0</v>
      </c>
      <c r="U1073" s="218">
        <f>INDEX('Hist. prices'!$I$86:$AB$160,MATCH($C1073,'Hist. prices'!$C$86:$C$160,0),MATCH(U$1022,'Hist. prices'!$I$5:$AB$5,0))</f>
        <v>0</v>
      </c>
      <c r="V1073" s="218">
        <f>INDEX('Hist. prices'!$I$86:$AB$160,MATCH($C1073,'Hist. prices'!$C$86:$C$160,0),MATCH(V$1022,'Hist. prices'!$I$5:$AB$5,0))</f>
        <v>0</v>
      </c>
      <c r="W1073" s="218">
        <f>INDEX('Hist. prices'!$I$86:$AB$160,MATCH($C1073,'Hist. prices'!$C$86:$C$160,0),MATCH(W$1022,'Hist. prices'!$I$5:$AB$5,0))</f>
        <v>0</v>
      </c>
      <c r="X1073" s="218">
        <f>INDEX('Hist. prices'!$I$86:$AB$160,MATCH($C1073,'Hist. prices'!$C$86:$C$160,0),MATCH(X$1022,'Hist. prices'!$I$5:$AB$5,0))</f>
        <v>0</v>
      </c>
      <c r="Y1073" s="218">
        <f>INDEX('Hist. prices'!$I$86:$AB$160,MATCH($C1073,'Hist. prices'!$C$86:$C$160,0),MATCH(Y$1022,'Hist. prices'!$I$5:$AB$5,0))</f>
        <v>0</v>
      </c>
      <c r="Z1073" s="218">
        <f>INDEX('Hist. prices'!$I$86:$AB$160,MATCH($C1073,'Hist. prices'!$C$86:$C$160,0),MATCH(Z$1022,'Hist. prices'!$I$5:$AB$5,0))</f>
        <v>0</v>
      </c>
      <c r="AA1073" s="218">
        <f>INDEX('Hist. prices'!$I$86:$AB$160,MATCH($C1073,'Hist. prices'!$C$86:$C$160,0),MATCH(AA$1022,'Hist. prices'!$I$5:$AB$5,0))</f>
        <v>0</v>
      </c>
      <c r="AB1073" s="218">
        <f>INDEX('Hist. prices'!$I$86:$AB$160,MATCH($C1073,'Hist. prices'!$C$86:$C$160,0),MATCH(AB$1022,'Hist. prices'!$I$5:$AB$5,0))</f>
        <v>0</v>
      </c>
      <c r="AC1073" s="187"/>
      <c r="AD1073" s="19"/>
      <c r="AE1073" s="19"/>
      <c r="AF1073" s="19"/>
      <c r="AG1073" s="19"/>
    </row>
    <row r="1074" spans="1:33" hidden="1" outlineLevel="3" x14ac:dyDescent="0.2">
      <c r="A1074" s="19"/>
      <c r="B1074" s="19"/>
      <c r="C1074" s="506">
        <f t="shared" si="211"/>
        <v>0</v>
      </c>
      <c r="D1074" s="505">
        <f t="shared" si="211"/>
        <v>0</v>
      </c>
      <c r="E1074" s="58"/>
      <c r="F1074" s="223"/>
      <c r="G1074" s="58"/>
      <c r="H1074" s="58"/>
      <c r="I1074" s="218">
        <f>INDEX('Hist. prices'!$I$86:$AB$160,MATCH($C1074,'Hist. prices'!$C$86:$C$160,0),MATCH(I$1022,'Hist. prices'!$I$5:$AB$5,0))</f>
        <v>0</v>
      </c>
      <c r="J1074" s="218">
        <f>INDEX('Hist. prices'!$I$86:$AB$160,MATCH($C1074,'Hist. prices'!$C$86:$C$160,0),MATCH(J$1022,'Hist. prices'!$I$5:$AB$5,0))</f>
        <v>0</v>
      </c>
      <c r="K1074" s="218">
        <f>INDEX('Hist. prices'!$I$86:$AB$160,MATCH($C1074,'Hist. prices'!$C$86:$C$160,0),MATCH(K$1022,'Hist. prices'!$I$5:$AB$5,0))</f>
        <v>0</v>
      </c>
      <c r="L1074" s="218">
        <f>INDEX('Hist. prices'!$I$86:$AB$160,MATCH($C1074,'Hist. prices'!$C$86:$C$160,0),MATCH(L$1022,'Hist. prices'!$I$5:$AB$5,0))</f>
        <v>0</v>
      </c>
      <c r="M1074" s="218">
        <f>INDEX('Hist. prices'!$I$86:$AB$160,MATCH($C1074,'Hist. prices'!$C$86:$C$160,0),MATCH(M$1022,'Hist. prices'!$I$5:$AB$5,0))</f>
        <v>0</v>
      </c>
      <c r="N1074" s="218">
        <f>INDEX('Hist. prices'!$I$86:$AB$160,MATCH($C1074,'Hist. prices'!$C$86:$C$160,0),MATCH(N$1022,'Hist. prices'!$I$5:$AB$5,0))</f>
        <v>0</v>
      </c>
      <c r="O1074" s="218">
        <f>INDEX('Hist. prices'!$I$86:$AB$160,MATCH($C1074,'Hist. prices'!$C$86:$C$160,0),MATCH(O$1022,'Hist. prices'!$I$5:$AB$5,0))</f>
        <v>0</v>
      </c>
      <c r="P1074" s="218">
        <f>INDEX('Hist. prices'!$I$86:$AB$160,MATCH($C1074,'Hist. prices'!$C$86:$C$160,0),MATCH(P$1022,'Hist. prices'!$I$5:$AB$5,0))</f>
        <v>0</v>
      </c>
      <c r="Q1074" s="218">
        <f>INDEX('Hist. prices'!$I$86:$AB$160,MATCH($C1074,'Hist. prices'!$C$86:$C$160,0),MATCH(Q$1022,'Hist. prices'!$I$5:$AB$5,0))</f>
        <v>0</v>
      </c>
      <c r="R1074" s="218">
        <f>INDEX('Hist. prices'!$I$86:$AB$160,MATCH($C1074,'Hist. prices'!$C$86:$C$160,0),MATCH(R$1022,'Hist. prices'!$I$5:$AB$5,0))</f>
        <v>0</v>
      </c>
      <c r="S1074" s="218">
        <f>INDEX('Hist. prices'!$I$86:$AB$160,MATCH($C1074,'Hist. prices'!$C$86:$C$160,0),MATCH(S$1022,'Hist. prices'!$I$5:$AB$5,0))</f>
        <v>0</v>
      </c>
      <c r="T1074" s="218">
        <f>INDEX('Hist. prices'!$I$86:$AB$160,MATCH($C1074,'Hist. prices'!$C$86:$C$160,0),MATCH(T$1022,'Hist. prices'!$I$5:$AB$5,0))</f>
        <v>0</v>
      </c>
      <c r="U1074" s="218">
        <f>INDEX('Hist. prices'!$I$86:$AB$160,MATCH($C1074,'Hist. prices'!$C$86:$C$160,0),MATCH(U$1022,'Hist. prices'!$I$5:$AB$5,0))</f>
        <v>0</v>
      </c>
      <c r="V1074" s="218">
        <f>INDEX('Hist. prices'!$I$86:$AB$160,MATCH($C1074,'Hist. prices'!$C$86:$C$160,0),MATCH(V$1022,'Hist. prices'!$I$5:$AB$5,0))</f>
        <v>0</v>
      </c>
      <c r="W1074" s="218">
        <f>INDEX('Hist. prices'!$I$86:$AB$160,MATCH($C1074,'Hist. prices'!$C$86:$C$160,0),MATCH(W$1022,'Hist. prices'!$I$5:$AB$5,0))</f>
        <v>0</v>
      </c>
      <c r="X1074" s="218">
        <f>INDEX('Hist. prices'!$I$86:$AB$160,MATCH($C1074,'Hist. prices'!$C$86:$C$160,0),MATCH(X$1022,'Hist. prices'!$I$5:$AB$5,0))</f>
        <v>0</v>
      </c>
      <c r="Y1074" s="218">
        <f>INDEX('Hist. prices'!$I$86:$AB$160,MATCH($C1074,'Hist. prices'!$C$86:$C$160,0),MATCH(Y$1022,'Hist. prices'!$I$5:$AB$5,0))</f>
        <v>0</v>
      </c>
      <c r="Z1074" s="218">
        <f>INDEX('Hist. prices'!$I$86:$AB$160,MATCH($C1074,'Hist. prices'!$C$86:$C$160,0),MATCH(Z$1022,'Hist. prices'!$I$5:$AB$5,0))</f>
        <v>0</v>
      </c>
      <c r="AA1074" s="218">
        <f>INDEX('Hist. prices'!$I$86:$AB$160,MATCH($C1074,'Hist. prices'!$C$86:$C$160,0),MATCH(AA$1022,'Hist. prices'!$I$5:$AB$5,0))</f>
        <v>0</v>
      </c>
      <c r="AB1074" s="218">
        <f>INDEX('Hist. prices'!$I$86:$AB$160,MATCH($C1074,'Hist. prices'!$C$86:$C$160,0),MATCH(AB$1022,'Hist. prices'!$I$5:$AB$5,0))</f>
        <v>0</v>
      </c>
      <c r="AC1074" s="187"/>
      <c r="AD1074" s="19"/>
      <c r="AE1074" s="19"/>
      <c r="AF1074" s="19"/>
      <c r="AG1074" s="19"/>
    </row>
    <row r="1075" spans="1:33" hidden="1" outlineLevel="3" x14ac:dyDescent="0.2">
      <c r="A1075" s="19"/>
      <c r="B1075" s="19"/>
      <c r="C1075" s="506">
        <f t="shared" si="211"/>
        <v>0</v>
      </c>
      <c r="D1075" s="505">
        <f t="shared" si="211"/>
        <v>0</v>
      </c>
      <c r="E1075" s="58"/>
      <c r="F1075" s="223"/>
      <c r="G1075" s="58"/>
      <c r="H1075" s="58"/>
      <c r="I1075" s="218">
        <f>INDEX('Hist. prices'!$I$86:$AB$160,MATCH($C1075,'Hist. prices'!$C$86:$C$160,0),MATCH(I$1022,'Hist. prices'!$I$5:$AB$5,0))</f>
        <v>0</v>
      </c>
      <c r="J1075" s="218">
        <f>INDEX('Hist. prices'!$I$86:$AB$160,MATCH($C1075,'Hist. prices'!$C$86:$C$160,0),MATCH(J$1022,'Hist. prices'!$I$5:$AB$5,0))</f>
        <v>0</v>
      </c>
      <c r="K1075" s="218">
        <f>INDEX('Hist. prices'!$I$86:$AB$160,MATCH($C1075,'Hist. prices'!$C$86:$C$160,0),MATCH(K$1022,'Hist. prices'!$I$5:$AB$5,0))</f>
        <v>0</v>
      </c>
      <c r="L1075" s="218">
        <f>INDEX('Hist. prices'!$I$86:$AB$160,MATCH($C1075,'Hist. prices'!$C$86:$C$160,0),MATCH(L$1022,'Hist. prices'!$I$5:$AB$5,0))</f>
        <v>0</v>
      </c>
      <c r="M1075" s="218">
        <f>INDEX('Hist. prices'!$I$86:$AB$160,MATCH($C1075,'Hist. prices'!$C$86:$C$160,0),MATCH(M$1022,'Hist. prices'!$I$5:$AB$5,0))</f>
        <v>0</v>
      </c>
      <c r="N1075" s="218">
        <f>INDEX('Hist. prices'!$I$86:$AB$160,MATCH($C1075,'Hist. prices'!$C$86:$C$160,0),MATCH(N$1022,'Hist. prices'!$I$5:$AB$5,0))</f>
        <v>0</v>
      </c>
      <c r="O1075" s="218">
        <f>INDEX('Hist. prices'!$I$86:$AB$160,MATCH($C1075,'Hist. prices'!$C$86:$C$160,0),MATCH(O$1022,'Hist. prices'!$I$5:$AB$5,0))</f>
        <v>0</v>
      </c>
      <c r="P1075" s="218">
        <f>INDEX('Hist. prices'!$I$86:$AB$160,MATCH($C1075,'Hist. prices'!$C$86:$C$160,0),MATCH(P$1022,'Hist. prices'!$I$5:$AB$5,0))</f>
        <v>0</v>
      </c>
      <c r="Q1075" s="218">
        <f>INDEX('Hist. prices'!$I$86:$AB$160,MATCH($C1075,'Hist. prices'!$C$86:$C$160,0),MATCH(Q$1022,'Hist. prices'!$I$5:$AB$5,0))</f>
        <v>0</v>
      </c>
      <c r="R1075" s="218">
        <f>INDEX('Hist. prices'!$I$86:$AB$160,MATCH($C1075,'Hist. prices'!$C$86:$C$160,0),MATCH(R$1022,'Hist. prices'!$I$5:$AB$5,0))</f>
        <v>0</v>
      </c>
      <c r="S1075" s="218">
        <f>INDEX('Hist. prices'!$I$86:$AB$160,MATCH($C1075,'Hist. prices'!$C$86:$C$160,0),MATCH(S$1022,'Hist. prices'!$I$5:$AB$5,0))</f>
        <v>0</v>
      </c>
      <c r="T1075" s="218">
        <f>INDEX('Hist. prices'!$I$86:$AB$160,MATCH($C1075,'Hist. prices'!$C$86:$C$160,0),MATCH(T$1022,'Hist. prices'!$I$5:$AB$5,0))</f>
        <v>0</v>
      </c>
      <c r="U1075" s="218">
        <f>INDEX('Hist. prices'!$I$86:$AB$160,MATCH($C1075,'Hist. prices'!$C$86:$C$160,0),MATCH(U$1022,'Hist. prices'!$I$5:$AB$5,0))</f>
        <v>0</v>
      </c>
      <c r="V1075" s="218">
        <f>INDEX('Hist. prices'!$I$86:$AB$160,MATCH($C1075,'Hist. prices'!$C$86:$C$160,0),MATCH(V$1022,'Hist. prices'!$I$5:$AB$5,0))</f>
        <v>0</v>
      </c>
      <c r="W1075" s="218">
        <f>INDEX('Hist. prices'!$I$86:$AB$160,MATCH($C1075,'Hist. prices'!$C$86:$C$160,0),MATCH(W$1022,'Hist. prices'!$I$5:$AB$5,0))</f>
        <v>0</v>
      </c>
      <c r="X1075" s="218">
        <f>INDEX('Hist. prices'!$I$86:$AB$160,MATCH($C1075,'Hist. prices'!$C$86:$C$160,0),MATCH(X$1022,'Hist. prices'!$I$5:$AB$5,0))</f>
        <v>0</v>
      </c>
      <c r="Y1075" s="218">
        <f>INDEX('Hist. prices'!$I$86:$AB$160,MATCH($C1075,'Hist. prices'!$C$86:$C$160,0),MATCH(Y$1022,'Hist. prices'!$I$5:$AB$5,0))</f>
        <v>0</v>
      </c>
      <c r="Z1075" s="218">
        <f>INDEX('Hist. prices'!$I$86:$AB$160,MATCH($C1075,'Hist. prices'!$C$86:$C$160,0),MATCH(Z$1022,'Hist. prices'!$I$5:$AB$5,0))</f>
        <v>0</v>
      </c>
      <c r="AA1075" s="218">
        <f>INDEX('Hist. prices'!$I$86:$AB$160,MATCH($C1075,'Hist. prices'!$C$86:$C$160,0),MATCH(AA$1022,'Hist. prices'!$I$5:$AB$5,0))</f>
        <v>0</v>
      </c>
      <c r="AB1075" s="218">
        <f>INDEX('Hist. prices'!$I$86:$AB$160,MATCH($C1075,'Hist. prices'!$C$86:$C$160,0),MATCH(AB$1022,'Hist. prices'!$I$5:$AB$5,0))</f>
        <v>0</v>
      </c>
      <c r="AC1075" s="187"/>
      <c r="AD1075" s="19"/>
      <c r="AE1075" s="19"/>
      <c r="AF1075" s="19"/>
      <c r="AG1075" s="19"/>
    </row>
    <row r="1076" spans="1:33" hidden="1" outlineLevel="3" x14ac:dyDescent="0.2">
      <c r="A1076" s="19"/>
      <c r="B1076" s="19"/>
      <c r="C1076" s="506">
        <f t="shared" si="211"/>
        <v>0</v>
      </c>
      <c r="D1076" s="505">
        <f t="shared" si="211"/>
        <v>0</v>
      </c>
      <c r="E1076" s="58"/>
      <c r="F1076" s="223"/>
      <c r="G1076" s="58"/>
      <c r="H1076" s="58"/>
      <c r="I1076" s="218">
        <f>INDEX('Hist. prices'!$I$86:$AB$160,MATCH($C1076,'Hist. prices'!$C$86:$C$160,0),MATCH(I$1022,'Hist. prices'!$I$5:$AB$5,0))</f>
        <v>0</v>
      </c>
      <c r="J1076" s="218">
        <f>INDEX('Hist. prices'!$I$86:$AB$160,MATCH($C1076,'Hist. prices'!$C$86:$C$160,0),MATCH(J$1022,'Hist. prices'!$I$5:$AB$5,0))</f>
        <v>0</v>
      </c>
      <c r="K1076" s="218">
        <f>INDEX('Hist. prices'!$I$86:$AB$160,MATCH($C1076,'Hist. prices'!$C$86:$C$160,0),MATCH(K$1022,'Hist. prices'!$I$5:$AB$5,0))</f>
        <v>0</v>
      </c>
      <c r="L1076" s="218">
        <f>INDEX('Hist. prices'!$I$86:$AB$160,MATCH($C1076,'Hist. prices'!$C$86:$C$160,0),MATCH(L$1022,'Hist. prices'!$I$5:$AB$5,0))</f>
        <v>0</v>
      </c>
      <c r="M1076" s="218">
        <f>INDEX('Hist. prices'!$I$86:$AB$160,MATCH($C1076,'Hist. prices'!$C$86:$C$160,0),MATCH(M$1022,'Hist. prices'!$I$5:$AB$5,0))</f>
        <v>0</v>
      </c>
      <c r="N1076" s="218">
        <f>INDEX('Hist. prices'!$I$86:$AB$160,MATCH($C1076,'Hist. prices'!$C$86:$C$160,0),MATCH(N$1022,'Hist. prices'!$I$5:$AB$5,0))</f>
        <v>0</v>
      </c>
      <c r="O1076" s="218">
        <f>INDEX('Hist. prices'!$I$86:$AB$160,MATCH($C1076,'Hist. prices'!$C$86:$C$160,0),MATCH(O$1022,'Hist. prices'!$I$5:$AB$5,0))</f>
        <v>0</v>
      </c>
      <c r="P1076" s="218">
        <f>INDEX('Hist. prices'!$I$86:$AB$160,MATCH($C1076,'Hist. prices'!$C$86:$C$160,0),MATCH(P$1022,'Hist. prices'!$I$5:$AB$5,0))</f>
        <v>0</v>
      </c>
      <c r="Q1076" s="218">
        <f>INDEX('Hist. prices'!$I$86:$AB$160,MATCH($C1076,'Hist. prices'!$C$86:$C$160,0),MATCH(Q$1022,'Hist. prices'!$I$5:$AB$5,0))</f>
        <v>0</v>
      </c>
      <c r="R1076" s="218">
        <f>INDEX('Hist. prices'!$I$86:$AB$160,MATCH($C1076,'Hist. prices'!$C$86:$C$160,0),MATCH(R$1022,'Hist. prices'!$I$5:$AB$5,0))</f>
        <v>0</v>
      </c>
      <c r="S1076" s="218">
        <f>INDEX('Hist. prices'!$I$86:$AB$160,MATCH($C1076,'Hist. prices'!$C$86:$C$160,0),MATCH(S$1022,'Hist. prices'!$I$5:$AB$5,0))</f>
        <v>0</v>
      </c>
      <c r="T1076" s="218">
        <f>INDEX('Hist. prices'!$I$86:$AB$160,MATCH($C1076,'Hist. prices'!$C$86:$C$160,0),MATCH(T$1022,'Hist. prices'!$I$5:$AB$5,0))</f>
        <v>0</v>
      </c>
      <c r="U1076" s="218">
        <f>INDEX('Hist. prices'!$I$86:$AB$160,MATCH($C1076,'Hist. prices'!$C$86:$C$160,0),MATCH(U$1022,'Hist. prices'!$I$5:$AB$5,0))</f>
        <v>0</v>
      </c>
      <c r="V1076" s="218">
        <f>INDEX('Hist. prices'!$I$86:$AB$160,MATCH($C1076,'Hist. prices'!$C$86:$C$160,0),MATCH(V$1022,'Hist. prices'!$I$5:$AB$5,0))</f>
        <v>0</v>
      </c>
      <c r="W1076" s="218">
        <f>INDEX('Hist. prices'!$I$86:$AB$160,MATCH($C1076,'Hist. prices'!$C$86:$C$160,0),MATCH(W$1022,'Hist. prices'!$I$5:$AB$5,0))</f>
        <v>0</v>
      </c>
      <c r="X1076" s="218">
        <f>INDEX('Hist. prices'!$I$86:$AB$160,MATCH($C1076,'Hist. prices'!$C$86:$C$160,0),MATCH(X$1022,'Hist. prices'!$I$5:$AB$5,0))</f>
        <v>0</v>
      </c>
      <c r="Y1076" s="218">
        <f>INDEX('Hist. prices'!$I$86:$AB$160,MATCH($C1076,'Hist. prices'!$C$86:$C$160,0),MATCH(Y$1022,'Hist. prices'!$I$5:$AB$5,0))</f>
        <v>0</v>
      </c>
      <c r="Z1076" s="218">
        <f>INDEX('Hist. prices'!$I$86:$AB$160,MATCH($C1076,'Hist. prices'!$C$86:$C$160,0),MATCH(Z$1022,'Hist. prices'!$I$5:$AB$5,0))</f>
        <v>0</v>
      </c>
      <c r="AA1076" s="218">
        <f>INDEX('Hist. prices'!$I$86:$AB$160,MATCH($C1076,'Hist. prices'!$C$86:$C$160,0),MATCH(AA$1022,'Hist. prices'!$I$5:$AB$5,0))</f>
        <v>0</v>
      </c>
      <c r="AB1076" s="218">
        <f>INDEX('Hist. prices'!$I$86:$AB$160,MATCH($C1076,'Hist. prices'!$C$86:$C$160,0),MATCH(AB$1022,'Hist. prices'!$I$5:$AB$5,0))</f>
        <v>0</v>
      </c>
      <c r="AC1076" s="187"/>
      <c r="AD1076" s="19"/>
      <c r="AE1076" s="19"/>
      <c r="AF1076" s="19"/>
      <c r="AG1076" s="19"/>
    </row>
    <row r="1077" spans="1:33" hidden="1" outlineLevel="3" x14ac:dyDescent="0.2">
      <c r="A1077" s="19"/>
      <c r="B1077" s="19"/>
      <c r="C1077" s="506">
        <f t="shared" si="211"/>
        <v>0</v>
      </c>
      <c r="D1077" s="505">
        <f t="shared" si="211"/>
        <v>0</v>
      </c>
      <c r="E1077" s="58"/>
      <c r="F1077" s="223"/>
      <c r="G1077" s="58"/>
      <c r="H1077" s="58"/>
      <c r="I1077" s="218">
        <f>INDEX('Hist. prices'!$I$86:$AB$160,MATCH($C1077,'Hist. prices'!$C$86:$C$160,0),MATCH(I$1022,'Hist. prices'!$I$5:$AB$5,0))</f>
        <v>0</v>
      </c>
      <c r="J1077" s="218">
        <f>INDEX('Hist. prices'!$I$86:$AB$160,MATCH($C1077,'Hist. prices'!$C$86:$C$160,0),MATCH(J$1022,'Hist. prices'!$I$5:$AB$5,0))</f>
        <v>0</v>
      </c>
      <c r="K1077" s="218">
        <f>INDEX('Hist. prices'!$I$86:$AB$160,MATCH($C1077,'Hist. prices'!$C$86:$C$160,0),MATCH(K$1022,'Hist. prices'!$I$5:$AB$5,0))</f>
        <v>0</v>
      </c>
      <c r="L1077" s="218">
        <f>INDEX('Hist. prices'!$I$86:$AB$160,MATCH($C1077,'Hist. prices'!$C$86:$C$160,0),MATCH(L$1022,'Hist. prices'!$I$5:$AB$5,0))</f>
        <v>0</v>
      </c>
      <c r="M1077" s="218">
        <f>INDEX('Hist. prices'!$I$86:$AB$160,MATCH($C1077,'Hist. prices'!$C$86:$C$160,0),MATCH(M$1022,'Hist. prices'!$I$5:$AB$5,0))</f>
        <v>0</v>
      </c>
      <c r="N1077" s="218">
        <f>INDEX('Hist. prices'!$I$86:$AB$160,MATCH($C1077,'Hist. prices'!$C$86:$C$160,0),MATCH(N$1022,'Hist. prices'!$I$5:$AB$5,0))</f>
        <v>0</v>
      </c>
      <c r="O1077" s="218">
        <f>INDEX('Hist. prices'!$I$86:$AB$160,MATCH($C1077,'Hist. prices'!$C$86:$C$160,0),MATCH(O$1022,'Hist. prices'!$I$5:$AB$5,0))</f>
        <v>0</v>
      </c>
      <c r="P1077" s="218">
        <f>INDEX('Hist. prices'!$I$86:$AB$160,MATCH($C1077,'Hist. prices'!$C$86:$C$160,0),MATCH(P$1022,'Hist. prices'!$I$5:$AB$5,0))</f>
        <v>0</v>
      </c>
      <c r="Q1077" s="218">
        <f>INDEX('Hist. prices'!$I$86:$AB$160,MATCH($C1077,'Hist. prices'!$C$86:$C$160,0),MATCH(Q$1022,'Hist. prices'!$I$5:$AB$5,0))</f>
        <v>0</v>
      </c>
      <c r="R1077" s="218">
        <f>INDEX('Hist. prices'!$I$86:$AB$160,MATCH($C1077,'Hist. prices'!$C$86:$C$160,0),MATCH(R$1022,'Hist. prices'!$I$5:$AB$5,0))</f>
        <v>0</v>
      </c>
      <c r="S1077" s="218">
        <f>INDEX('Hist. prices'!$I$86:$AB$160,MATCH($C1077,'Hist. prices'!$C$86:$C$160,0),MATCH(S$1022,'Hist. prices'!$I$5:$AB$5,0))</f>
        <v>0</v>
      </c>
      <c r="T1077" s="218">
        <f>INDEX('Hist. prices'!$I$86:$AB$160,MATCH($C1077,'Hist. prices'!$C$86:$C$160,0),MATCH(T$1022,'Hist. prices'!$I$5:$AB$5,0))</f>
        <v>0</v>
      </c>
      <c r="U1077" s="218">
        <f>INDEX('Hist. prices'!$I$86:$AB$160,MATCH($C1077,'Hist. prices'!$C$86:$C$160,0),MATCH(U$1022,'Hist. prices'!$I$5:$AB$5,0))</f>
        <v>0</v>
      </c>
      <c r="V1077" s="218">
        <f>INDEX('Hist. prices'!$I$86:$AB$160,MATCH($C1077,'Hist. prices'!$C$86:$C$160,0),MATCH(V$1022,'Hist. prices'!$I$5:$AB$5,0))</f>
        <v>0</v>
      </c>
      <c r="W1077" s="218">
        <f>INDEX('Hist. prices'!$I$86:$AB$160,MATCH($C1077,'Hist. prices'!$C$86:$C$160,0),MATCH(W$1022,'Hist. prices'!$I$5:$AB$5,0))</f>
        <v>0</v>
      </c>
      <c r="X1077" s="218">
        <f>INDEX('Hist. prices'!$I$86:$AB$160,MATCH($C1077,'Hist. prices'!$C$86:$C$160,0),MATCH(X$1022,'Hist. prices'!$I$5:$AB$5,0))</f>
        <v>0</v>
      </c>
      <c r="Y1077" s="218">
        <f>INDEX('Hist. prices'!$I$86:$AB$160,MATCH($C1077,'Hist. prices'!$C$86:$C$160,0),MATCH(Y$1022,'Hist. prices'!$I$5:$AB$5,0))</f>
        <v>0</v>
      </c>
      <c r="Z1077" s="218">
        <f>INDEX('Hist. prices'!$I$86:$AB$160,MATCH($C1077,'Hist. prices'!$C$86:$C$160,0),MATCH(Z$1022,'Hist. prices'!$I$5:$AB$5,0))</f>
        <v>0</v>
      </c>
      <c r="AA1077" s="218">
        <f>INDEX('Hist. prices'!$I$86:$AB$160,MATCH($C1077,'Hist. prices'!$C$86:$C$160,0),MATCH(AA$1022,'Hist. prices'!$I$5:$AB$5,0))</f>
        <v>0</v>
      </c>
      <c r="AB1077" s="218">
        <f>INDEX('Hist. prices'!$I$86:$AB$160,MATCH($C1077,'Hist. prices'!$C$86:$C$160,0),MATCH(AB$1022,'Hist. prices'!$I$5:$AB$5,0))</f>
        <v>0</v>
      </c>
      <c r="AC1077" s="187"/>
      <c r="AD1077" s="19"/>
      <c r="AE1077" s="19"/>
      <c r="AF1077" s="19"/>
      <c r="AG1077" s="19"/>
    </row>
    <row r="1078" spans="1:33" hidden="1" outlineLevel="3" x14ac:dyDescent="0.2">
      <c r="A1078" s="19"/>
      <c r="B1078" s="19"/>
      <c r="C1078" s="506">
        <f t="shared" si="211"/>
        <v>0</v>
      </c>
      <c r="D1078" s="505">
        <f t="shared" si="211"/>
        <v>0</v>
      </c>
      <c r="E1078" s="58"/>
      <c r="F1078" s="223"/>
      <c r="G1078" s="58"/>
      <c r="H1078" s="58"/>
      <c r="I1078" s="218">
        <f>INDEX('Hist. prices'!$I$86:$AB$160,MATCH($C1078,'Hist. prices'!$C$86:$C$160,0),MATCH(I$1022,'Hist. prices'!$I$5:$AB$5,0))</f>
        <v>0</v>
      </c>
      <c r="J1078" s="218">
        <f>INDEX('Hist. prices'!$I$86:$AB$160,MATCH($C1078,'Hist. prices'!$C$86:$C$160,0),MATCH(J$1022,'Hist. prices'!$I$5:$AB$5,0))</f>
        <v>0</v>
      </c>
      <c r="K1078" s="218">
        <f>INDEX('Hist. prices'!$I$86:$AB$160,MATCH($C1078,'Hist. prices'!$C$86:$C$160,0),MATCH(K$1022,'Hist. prices'!$I$5:$AB$5,0))</f>
        <v>0</v>
      </c>
      <c r="L1078" s="218">
        <f>INDEX('Hist. prices'!$I$86:$AB$160,MATCH($C1078,'Hist. prices'!$C$86:$C$160,0),MATCH(L$1022,'Hist. prices'!$I$5:$AB$5,0))</f>
        <v>0</v>
      </c>
      <c r="M1078" s="218">
        <f>INDEX('Hist. prices'!$I$86:$AB$160,MATCH($C1078,'Hist. prices'!$C$86:$C$160,0),MATCH(M$1022,'Hist. prices'!$I$5:$AB$5,0))</f>
        <v>0</v>
      </c>
      <c r="N1078" s="218">
        <f>INDEX('Hist. prices'!$I$86:$AB$160,MATCH($C1078,'Hist. prices'!$C$86:$C$160,0),MATCH(N$1022,'Hist. prices'!$I$5:$AB$5,0))</f>
        <v>0</v>
      </c>
      <c r="O1078" s="218">
        <f>INDEX('Hist. prices'!$I$86:$AB$160,MATCH($C1078,'Hist. prices'!$C$86:$C$160,0),MATCH(O$1022,'Hist. prices'!$I$5:$AB$5,0))</f>
        <v>0</v>
      </c>
      <c r="P1078" s="218">
        <f>INDEX('Hist. prices'!$I$86:$AB$160,MATCH($C1078,'Hist. prices'!$C$86:$C$160,0),MATCH(P$1022,'Hist. prices'!$I$5:$AB$5,0))</f>
        <v>0</v>
      </c>
      <c r="Q1078" s="218">
        <f>INDEX('Hist. prices'!$I$86:$AB$160,MATCH($C1078,'Hist. prices'!$C$86:$C$160,0),MATCH(Q$1022,'Hist. prices'!$I$5:$AB$5,0))</f>
        <v>0</v>
      </c>
      <c r="R1078" s="218">
        <f>INDEX('Hist. prices'!$I$86:$AB$160,MATCH($C1078,'Hist. prices'!$C$86:$C$160,0),MATCH(R$1022,'Hist. prices'!$I$5:$AB$5,0))</f>
        <v>0</v>
      </c>
      <c r="S1078" s="218">
        <f>INDEX('Hist. prices'!$I$86:$AB$160,MATCH($C1078,'Hist. prices'!$C$86:$C$160,0),MATCH(S$1022,'Hist. prices'!$I$5:$AB$5,0))</f>
        <v>0</v>
      </c>
      <c r="T1078" s="218">
        <f>INDEX('Hist. prices'!$I$86:$AB$160,MATCH($C1078,'Hist. prices'!$C$86:$C$160,0),MATCH(T$1022,'Hist. prices'!$I$5:$AB$5,0))</f>
        <v>0</v>
      </c>
      <c r="U1078" s="218">
        <f>INDEX('Hist. prices'!$I$86:$AB$160,MATCH($C1078,'Hist. prices'!$C$86:$C$160,0),MATCH(U$1022,'Hist. prices'!$I$5:$AB$5,0))</f>
        <v>0</v>
      </c>
      <c r="V1078" s="218">
        <f>INDEX('Hist. prices'!$I$86:$AB$160,MATCH($C1078,'Hist. prices'!$C$86:$C$160,0),MATCH(V$1022,'Hist. prices'!$I$5:$AB$5,0))</f>
        <v>0</v>
      </c>
      <c r="W1078" s="218">
        <f>INDEX('Hist. prices'!$I$86:$AB$160,MATCH($C1078,'Hist. prices'!$C$86:$C$160,0),MATCH(W$1022,'Hist. prices'!$I$5:$AB$5,0))</f>
        <v>0</v>
      </c>
      <c r="X1078" s="218">
        <f>INDEX('Hist. prices'!$I$86:$AB$160,MATCH($C1078,'Hist. prices'!$C$86:$C$160,0),MATCH(X$1022,'Hist. prices'!$I$5:$AB$5,0))</f>
        <v>0</v>
      </c>
      <c r="Y1078" s="218">
        <f>INDEX('Hist. prices'!$I$86:$AB$160,MATCH($C1078,'Hist. prices'!$C$86:$C$160,0),MATCH(Y$1022,'Hist. prices'!$I$5:$AB$5,0))</f>
        <v>0</v>
      </c>
      <c r="Z1078" s="218">
        <f>INDEX('Hist. prices'!$I$86:$AB$160,MATCH($C1078,'Hist. prices'!$C$86:$C$160,0),MATCH(Z$1022,'Hist. prices'!$I$5:$AB$5,0))</f>
        <v>0</v>
      </c>
      <c r="AA1078" s="218">
        <f>INDEX('Hist. prices'!$I$86:$AB$160,MATCH($C1078,'Hist. prices'!$C$86:$C$160,0),MATCH(AA$1022,'Hist. prices'!$I$5:$AB$5,0))</f>
        <v>0</v>
      </c>
      <c r="AB1078" s="218">
        <f>INDEX('Hist. prices'!$I$86:$AB$160,MATCH($C1078,'Hist. prices'!$C$86:$C$160,0),MATCH(AB$1022,'Hist. prices'!$I$5:$AB$5,0))</f>
        <v>0</v>
      </c>
      <c r="AC1078" s="187"/>
      <c r="AD1078" s="19"/>
      <c r="AE1078" s="19"/>
      <c r="AF1078" s="19"/>
      <c r="AG1078" s="19"/>
    </row>
    <row r="1079" spans="1:33" hidden="1" outlineLevel="3" x14ac:dyDescent="0.2">
      <c r="A1079" s="19"/>
      <c r="B1079" s="19"/>
      <c r="C1079" s="506">
        <f t="shared" si="211"/>
        <v>0</v>
      </c>
      <c r="D1079" s="505">
        <f t="shared" si="211"/>
        <v>0</v>
      </c>
      <c r="E1079" s="58"/>
      <c r="F1079" s="223"/>
      <c r="G1079" s="58"/>
      <c r="H1079" s="58"/>
      <c r="I1079" s="218">
        <f>INDEX('Hist. prices'!$I$86:$AB$160,MATCH($C1079,'Hist. prices'!$C$86:$C$160,0),MATCH(I$1022,'Hist. prices'!$I$5:$AB$5,0))</f>
        <v>0</v>
      </c>
      <c r="J1079" s="218">
        <f>INDEX('Hist. prices'!$I$86:$AB$160,MATCH($C1079,'Hist. prices'!$C$86:$C$160,0),MATCH(J$1022,'Hist. prices'!$I$5:$AB$5,0))</f>
        <v>0</v>
      </c>
      <c r="K1079" s="218">
        <f>INDEX('Hist. prices'!$I$86:$AB$160,MATCH($C1079,'Hist. prices'!$C$86:$C$160,0),MATCH(K$1022,'Hist. prices'!$I$5:$AB$5,0))</f>
        <v>0</v>
      </c>
      <c r="L1079" s="218">
        <f>INDEX('Hist. prices'!$I$86:$AB$160,MATCH($C1079,'Hist. prices'!$C$86:$C$160,0),MATCH(L$1022,'Hist. prices'!$I$5:$AB$5,0))</f>
        <v>0</v>
      </c>
      <c r="M1079" s="218">
        <f>INDEX('Hist. prices'!$I$86:$AB$160,MATCH($C1079,'Hist. prices'!$C$86:$C$160,0),MATCH(M$1022,'Hist. prices'!$I$5:$AB$5,0))</f>
        <v>0</v>
      </c>
      <c r="N1079" s="218">
        <f>INDEX('Hist. prices'!$I$86:$AB$160,MATCH($C1079,'Hist. prices'!$C$86:$C$160,0),MATCH(N$1022,'Hist. prices'!$I$5:$AB$5,0))</f>
        <v>0</v>
      </c>
      <c r="O1079" s="218">
        <f>INDEX('Hist. prices'!$I$86:$AB$160,MATCH($C1079,'Hist. prices'!$C$86:$C$160,0),MATCH(O$1022,'Hist. prices'!$I$5:$AB$5,0))</f>
        <v>0</v>
      </c>
      <c r="P1079" s="218">
        <f>INDEX('Hist. prices'!$I$86:$AB$160,MATCH($C1079,'Hist. prices'!$C$86:$C$160,0),MATCH(P$1022,'Hist. prices'!$I$5:$AB$5,0))</f>
        <v>0</v>
      </c>
      <c r="Q1079" s="218">
        <f>INDEX('Hist. prices'!$I$86:$AB$160,MATCH($C1079,'Hist. prices'!$C$86:$C$160,0),MATCH(Q$1022,'Hist. prices'!$I$5:$AB$5,0))</f>
        <v>0</v>
      </c>
      <c r="R1079" s="218">
        <f>INDEX('Hist. prices'!$I$86:$AB$160,MATCH($C1079,'Hist. prices'!$C$86:$C$160,0),MATCH(R$1022,'Hist. prices'!$I$5:$AB$5,0))</f>
        <v>0</v>
      </c>
      <c r="S1079" s="218">
        <f>INDEX('Hist. prices'!$I$86:$AB$160,MATCH($C1079,'Hist. prices'!$C$86:$C$160,0),MATCH(S$1022,'Hist. prices'!$I$5:$AB$5,0))</f>
        <v>0</v>
      </c>
      <c r="T1079" s="218">
        <f>INDEX('Hist. prices'!$I$86:$AB$160,MATCH($C1079,'Hist. prices'!$C$86:$C$160,0),MATCH(T$1022,'Hist. prices'!$I$5:$AB$5,0))</f>
        <v>0</v>
      </c>
      <c r="U1079" s="218">
        <f>INDEX('Hist. prices'!$I$86:$AB$160,MATCH($C1079,'Hist. prices'!$C$86:$C$160,0),MATCH(U$1022,'Hist. prices'!$I$5:$AB$5,0))</f>
        <v>0</v>
      </c>
      <c r="V1079" s="218">
        <f>INDEX('Hist. prices'!$I$86:$AB$160,MATCH($C1079,'Hist. prices'!$C$86:$C$160,0),MATCH(V$1022,'Hist. prices'!$I$5:$AB$5,0))</f>
        <v>0</v>
      </c>
      <c r="W1079" s="218">
        <f>INDEX('Hist. prices'!$I$86:$AB$160,MATCH($C1079,'Hist. prices'!$C$86:$C$160,0),MATCH(W$1022,'Hist. prices'!$I$5:$AB$5,0))</f>
        <v>0</v>
      </c>
      <c r="X1079" s="218">
        <f>INDEX('Hist. prices'!$I$86:$AB$160,MATCH($C1079,'Hist. prices'!$C$86:$C$160,0),MATCH(X$1022,'Hist. prices'!$I$5:$AB$5,0))</f>
        <v>0</v>
      </c>
      <c r="Y1079" s="218">
        <f>INDEX('Hist. prices'!$I$86:$AB$160,MATCH($C1079,'Hist. prices'!$C$86:$C$160,0),MATCH(Y$1022,'Hist. prices'!$I$5:$AB$5,0))</f>
        <v>0</v>
      </c>
      <c r="Z1079" s="218">
        <f>INDEX('Hist. prices'!$I$86:$AB$160,MATCH($C1079,'Hist. prices'!$C$86:$C$160,0),MATCH(Z$1022,'Hist. prices'!$I$5:$AB$5,0))</f>
        <v>0</v>
      </c>
      <c r="AA1079" s="218">
        <f>INDEX('Hist. prices'!$I$86:$AB$160,MATCH($C1079,'Hist. prices'!$C$86:$C$160,0),MATCH(AA$1022,'Hist. prices'!$I$5:$AB$5,0))</f>
        <v>0</v>
      </c>
      <c r="AB1079" s="218">
        <f>INDEX('Hist. prices'!$I$86:$AB$160,MATCH($C1079,'Hist. prices'!$C$86:$C$160,0),MATCH(AB$1022,'Hist. prices'!$I$5:$AB$5,0))</f>
        <v>0</v>
      </c>
      <c r="AC1079" s="187"/>
      <c r="AD1079" s="19"/>
      <c r="AE1079" s="19"/>
      <c r="AF1079" s="19"/>
      <c r="AG1079" s="19"/>
    </row>
    <row r="1080" spans="1:33" hidden="1" outlineLevel="3" x14ac:dyDescent="0.2">
      <c r="A1080" s="19"/>
      <c r="B1080" s="19"/>
      <c r="C1080" s="506">
        <f t="shared" si="211"/>
        <v>0</v>
      </c>
      <c r="D1080" s="505">
        <f t="shared" si="211"/>
        <v>0</v>
      </c>
      <c r="E1080" s="58"/>
      <c r="F1080" s="223"/>
      <c r="G1080" s="58"/>
      <c r="H1080" s="58"/>
      <c r="I1080" s="218">
        <f>INDEX('Hist. prices'!$I$86:$AB$160,MATCH($C1080,'Hist. prices'!$C$86:$C$160,0),MATCH(I$1022,'Hist. prices'!$I$5:$AB$5,0))</f>
        <v>0</v>
      </c>
      <c r="J1080" s="218">
        <f>INDEX('Hist. prices'!$I$86:$AB$160,MATCH($C1080,'Hist. prices'!$C$86:$C$160,0),MATCH(J$1022,'Hist. prices'!$I$5:$AB$5,0))</f>
        <v>0</v>
      </c>
      <c r="K1080" s="218">
        <f>INDEX('Hist. prices'!$I$86:$AB$160,MATCH($C1080,'Hist. prices'!$C$86:$C$160,0),MATCH(K$1022,'Hist. prices'!$I$5:$AB$5,0))</f>
        <v>0</v>
      </c>
      <c r="L1080" s="218">
        <f>INDEX('Hist. prices'!$I$86:$AB$160,MATCH($C1080,'Hist. prices'!$C$86:$C$160,0),MATCH(L$1022,'Hist. prices'!$I$5:$AB$5,0))</f>
        <v>0</v>
      </c>
      <c r="M1080" s="218">
        <f>INDEX('Hist. prices'!$I$86:$AB$160,MATCH($C1080,'Hist. prices'!$C$86:$C$160,0),MATCH(M$1022,'Hist. prices'!$I$5:$AB$5,0))</f>
        <v>0</v>
      </c>
      <c r="N1080" s="218">
        <f>INDEX('Hist. prices'!$I$86:$AB$160,MATCH($C1080,'Hist. prices'!$C$86:$C$160,0),MATCH(N$1022,'Hist. prices'!$I$5:$AB$5,0))</f>
        <v>0</v>
      </c>
      <c r="O1080" s="218">
        <f>INDEX('Hist. prices'!$I$86:$AB$160,MATCH($C1080,'Hist. prices'!$C$86:$C$160,0),MATCH(O$1022,'Hist. prices'!$I$5:$AB$5,0))</f>
        <v>0</v>
      </c>
      <c r="P1080" s="218">
        <f>INDEX('Hist. prices'!$I$86:$AB$160,MATCH($C1080,'Hist. prices'!$C$86:$C$160,0),MATCH(P$1022,'Hist. prices'!$I$5:$AB$5,0))</f>
        <v>0</v>
      </c>
      <c r="Q1080" s="218">
        <f>INDEX('Hist. prices'!$I$86:$AB$160,MATCH($C1080,'Hist. prices'!$C$86:$C$160,0),MATCH(Q$1022,'Hist. prices'!$I$5:$AB$5,0))</f>
        <v>0</v>
      </c>
      <c r="R1080" s="218">
        <f>INDEX('Hist. prices'!$I$86:$AB$160,MATCH($C1080,'Hist. prices'!$C$86:$C$160,0),MATCH(R$1022,'Hist. prices'!$I$5:$AB$5,0))</f>
        <v>0</v>
      </c>
      <c r="S1080" s="218">
        <f>INDEX('Hist. prices'!$I$86:$AB$160,MATCH($C1080,'Hist. prices'!$C$86:$C$160,0),MATCH(S$1022,'Hist. prices'!$I$5:$AB$5,0))</f>
        <v>0</v>
      </c>
      <c r="T1080" s="218">
        <f>INDEX('Hist. prices'!$I$86:$AB$160,MATCH($C1080,'Hist. prices'!$C$86:$C$160,0),MATCH(T$1022,'Hist. prices'!$I$5:$AB$5,0))</f>
        <v>0</v>
      </c>
      <c r="U1080" s="218">
        <f>INDEX('Hist. prices'!$I$86:$AB$160,MATCH($C1080,'Hist. prices'!$C$86:$C$160,0),MATCH(U$1022,'Hist. prices'!$I$5:$AB$5,0))</f>
        <v>0</v>
      </c>
      <c r="V1080" s="218">
        <f>INDEX('Hist. prices'!$I$86:$AB$160,MATCH($C1080,'Hist. prices'!$C$86:$C$160,0),MATCH(V$1022,'Hist. prices'!$I$5:$AB$5,0))</f>
        <v>0</v>
      </c>
      <c r="W1080" s="218">
        <f>INDEX('Hist. prices'!$I$86:$AB$160,MATCH($C1080,'Hist. prices'!$C$86:$C$160,0),MATCH(W$1022,'Hist. prices'!$I$5:$AB$5,0))</f>
        <v>0</v>
      </c>
      <c r="X1080" s="218">
        <f>INDEX('Hist. prices'!$I$86:$AB$160,MATCH($C1080,'Hist. prices'!$C$86:$C$160,0),MATCH(X$1022,'Hist. prices'!$I$5:$AB$5,0))</f>
        <v>0</v>
      </c>
      <c r="Y1080" s="218">
        <f>INDEX('Hist. prices'!$I$86:$AB$160,MATCH($C1080,'Hist. prices'!$C$86:$C$160,0),MATCH(Y$1022,'Hist. prices'!$I$5:$AB$5,0))</f>
        <v>0</v>
      </c>
      <c r="Z1080" s="218">
        <f>INDEX('Hist. prices'!$I$86:$AB$160,MATCH($C1080,'Hist. prices'!$C$86:$C$160,0),MATCH(Z$1022,'Hist. prices'!$I$5:$AB$5,0))</f>
        <v>0</v>
      </c>
      <c r="AA1080" s="218">
        <f>INDEX('Hist. prices'!$I$86:$AB$160,MATCH($C1080,'Hist. prices'!$C$86:$C$160,0),MATCH(AA$1022,'Hist. prices'!$I$5:$AB$5,0))</f>
        <v>0</v>
      </c>
      <c r="AB1080" s="218">
        <f>INDEX('Hist. prices'!$I$86:$AB$160,MATCH($C1080,'Hist. prices'!$C$86:$C$160,0),MATCH(AB$1022,'Hist. prices'!$I$5:$AB$5,0))</f>
        <v>0</v>
      </c>
      <c r="AC1080" s="187"/>
      <c r="AD1080" s="19"/>
      <c r="AE1080" s="19"/>
      <c r="AF1080" s="19"/>
      <c r="AG1080" s="19"/>
    </row>
    <row r="1081" spans="1:33" hidden="1" outlineLevel="3" x14ac:dyDescent="0.2">
      <c r="A1081" s="19"/>
      <c r="B1081" s="19"/>
      <c r="C1081" s="506">
        <f t="shared" si="211"/>
        <v>0</v>
      </c>
      <c r="D1081" s="505">
        <f t="shared" si="211"/>
        <v>0</v>
      </c>
      <c r="E1081" s="58"/>
      <c r="F1081" s="223"/>
      <c r="G1081" s="58"/>
      <c r="H1081" s="58"/>
      <c r="I1081" s="218">
        <f>INDEX('Hist. prices'!$I$86:$AB$160,MATCH($C1081,'Hist. prices'!$C$86:$C$160,0),MATCH(I$1022,'Hist. prices'!$I$5:$AB$5,0))</f>
        <v>0</v>
      </c>
      <c r="J1081" s="218">
        <f>INDEX('Hist. prices'!$I$86:$AB$160,MATCH($C1081,'Hist. prices'!$C$86:$C$160,0),MATCH(J$1022,'Hist. prices'!$I$5:$AB$5,0))</f>
        <v>0</v>
      </c>
      <c r="K1081" s="218">
        <f>INDEX('Hist. prices'!$I$86:$AB$160,MATCH($C1081,'Hist. prices'!$C$86:$C$160,0),MATCH(K$1022,'Hist. prices'!$I$5:$AB$5,0))</f>
        <v>0</v>
      </c>
      <c r="L1081" s="218">
        <f>INDEX('Hist. prices'!$I$86:$AB$160,MATCH($C1081,'Hist. prices'!$C$86:$C$160,0),MATCH(L$1022,'Hist. prices'!$I$5:$AB$5,0))</f>
        <v>0</v>
      </c>
      <c r="M1081" s="218">
        <f>INDEX('Hist. prices'!$I$86:$AB$160,MATCH($C1081,'Hist. prices'!$C$86:$C$160,0),MATCH(M$1022,'Hist. prices'!$I$5:$AB$5,0))</f>
        <v>0</v>
      </c>
      <c r="N1081" s="218">
        <f>INDEX('Hist. prices'!$I$86:$AB$160,MATCH($C1081,'Hist. prices'!$C$86:$C$160,0),MATCH(N$1022,'Hist. prices'!$I$5:$AB$5,0))</f>
        <v>0</v>
      </c>
      <c r="O1081" s="218">
        <f>INDEX('Hist. prices'!$I$86:$AB$160,MATCH($C1081,'Hist. prices'!$C$86:$C$160,0),MATCH(O$1022,'Hist. prices'!$I$5:$AB$5,0))</f>
        <v>0</v>
      </c>
      <c r="P1081" s="218">
        <f>INDEX('Hist. prices'!$I$86:$AB$160,MATCH($C1081,'Hist. prices'!$C$86:$C$160,0),MATCH(P$1022,'Hist. prices'!$I$5:$AB$5,0))</f>
        <v>0</v>
      </c>
      <c r="Q1081" s="218">
        <f>INDEX('Hist. prices'!$I$86:$AB$160,MATCH($C1081,'Hist. prices'!$C$86:$C$160,0),MATCH(Q$1022,'Hist. prices'!$I$5:$AB$5,0))</f>
        <v>0</v>
      </c>
      <c r="R1081" s="218">
        <f>INDEX('Hist. prices'!$I$86:$AB$160,MATCH($C1081,'Hist. prices'!$C$86:$C$160,0),MATCH(R$1022,'Hist. prices'!$I$5:$AB$5,0))</f>
        <v>0</v>
      </c>
      <c r="S1081" s="218">
        <f>INDEX('Hist. prices'!$I$86:$AB$160,MATCH($C1081,'Hist. prices'!$C$86:$C$160,0),MATCH(S$1022,'Hist. prices'!$I$5:$AB$5,0))</f>
        <v>0</v>
      </c>
      <c r="T1081" s="218">
        <f>INDEX('Hist. prices'!$I$86:$AB$160,MATCH($C1081,'Hist. prices'!$C$86:$C$160,0),MATCH(T$1022,'Hist. prices'!$I$5:$AB$5,0))</f>
        <v>0</v>
      </c>
      <c r="U1081" s="218">
        <f>INDEX('Hist. prices'!$I$86:$AB$160,MATCH($C1081,'Hist. prices'!$C$86:$C$160,0),MATCH(U$1022,'Hist. prices'!$I$5:$AB$5,0))</f>
        <v>0</v>
      </c>
      <c r="V1081" s="218">
        <f>INDEX('Hist. prices'!$I$86:$AB$160,MATCH($C1081,'Hist. prices'!$C$86:$C$160,0),MATCH(V$1022,'Hist. prices'!$I$5:$AB$5,0))</f>
        <v>0</v>
      </c>
      <c r="W1081" s="218">
        <f>INDEX('Hist. prices'!$I$86:$AB$160,MATCH($C1081,'Hist. prices'!$C$86:$C$160,0),MATCH(W$1022,'Hist. prices'!$I$5:$AB$5,0))</f>
        <v>0</v>
      </c>
      <c r="X1081" s="218">
        <f>INDEX('Hist. prices'!$I$86:$AB$160,MATCH($C1081,'Hist. prices'!$C$86:$C$160,0),MATCH(X$1022,'Hist. prices'!$I$5:$AB$5,0))</f>
        <v>0</v>
      </c>
      <c r="Y1081" s="218">
        <f>INDEX('Hist. prices'!$I$86:$AB$160,MATCH($C1081,'Hist. prices'!$C$86:$C$160,0),MATCH(Y$1022,'Hist. prices'!$I$5:$AB$5,0))</f>
        <v>0</v>
      </c>
      <c r="Z1081" s="218">
        <f>INDEX('Hist. prices'!$I$86:$AB$160,MATCH($C1081,'Hist. prices'!$C$86:$C$160,0),MATCH(Z$1022,'Hist. prices'!$I$5:$AB$5,0))</f>
        <v>0</v>
      </c>
      <c r="AA1081" s="218">
        <f>INDEX('Hist. prices'!$I$86:$AB$160,MATCH($C1081,'Hist. prices'!$C$86:$C$160,0),MATCH(AA$1022,'Hist. prices'!$I$5:$AB$5,0))</f>
        <v>0</v>
      </c>
      <c r="AB1081" s="218">
        <f>INDEX('Hist. prices'!$I$86:$AB$160,MATCH($C1081,'Hist. prices'!$C$86:$C$160,0),MATCH(AB$1022,'Hist. prices'!$I$5:$AB$5,0))</f>
        <v>0</v>
      </c>
      <c r="AC1081" s="187"/>
      <c r="AD1081" s="19"/>
      <c r="AE1081" s="19"/>
      <c r="AF1081" s="19"/>
      <c r="AG1081" s="19"/>
    </row>
    <row r="1082" spans="1:33" hidden="1" outlineLevel="3" x14ac:dyDescent="0.2">
      <c r="A1082" s="19"/>
      <c r="B1082" s="19"/>
      <c r="C1082" s="506">
        <f t="shared" si="211"/>
        <v>0</v>
      </c>
      <c r="D1082" s="505">
        <f t="shared" si="211"/>
        <v>0</v>
      </c>
      <c r="E1082" s="58"/>
      <c r="F1082" s="223"/>
      <c r="G1082" s="58"/>
      <c r="H1082" s="58"/>
      <c r="I1082" s="218">
        <f>INDEX('Hist. prices'!$I$86:$AB$160,MATCH($C1082,'Hist. prices'!$C$86:$C$160,0),MATCH(I$1022,'Hist. prices'!$I$5:$AB$5,0))</f>
        <v>0</v>
      </c>
      <c r="J1082" s="218">
        <f>INDEX('Hist. prices'!$I$86:$AB$160,MATCH($C1082,'Hist. prices'!$C$86:$C$160,0),MATCH(J$1022,'Hist. prices'!$I$5:$AB$5,0))</f>
        <v>0</v>
      </c>
      <c r="K1082" s="218">
        <f>INDEX('Hist. prices'!$I$86:$AB$160,MATCH($C1082,'Hist. prices'!$C$86:$C$160,0),MATCH(K$1022,'Hist. prices'!$I$5:$AB$5,0))</f>
        <v>0</v>
      </c>
      <c r="L1082" s="218">
        <f>INDEX('Hist. prices'!$I$86:$AB$160,MATCH($C1082,'Hist. prices'!$C$86:$C$160,0),MATCH(L$1022,'Hist. prices'!$I$5:$AB$5,0))</f>
        <v>0</v>
      </c>
      <c r="M1082" s="218">
        <f>INDEX('Hist. prices'!$I$86:$AB$160,MATCH($C1082,'Hist. prices'!$C$86:$C$160,0),MATCH(M$1022,'Hist. prices'!$I$5:$AB$5,0))</f>
        <v>0</v>
      </c>
      <c r="N1082" s="218">
        <f>INDEX('Hist. prices'!$I$86:$AB$160,MATCH($C1082,'Hist. prices'!$C$86:$C$160,0),MATCH(N$1022,'Hist. prices'!$I$5:$AB$5,0))</f>
        <v>0</v>
      </c>
      <c r="O1082" s="218">
        <f>INDEX('Hist. prices'!$I$86:$AB$160,MATCH($C1082,'Hist. prices'!$C$86:$C$160,0),MATCH(O$1022,'Hist. prices'!$I$5:$AB$5,0))</f>
        <v>0</v>
      </c>
      <c r="P1082" s="218">
        <f>INDEX('Hist. prices'!$I$86:$AB$160,MATCH($C1082,'Hist. prices'!$C$86:$C$160,0),MATCH(P$1022,'Hist. prices'!$I$5:$AB$5,0))</f>
        <v>0</v>
      </c>
      <c r="Q1082" s="218">
        <f>INDEX('Hist. prices'!$I$86:$AB$160,MATCH($C1082,'Hist. prices'!$C$86:$C$160,0),MATCH(Q$1022,'Hist. prices'!$I$5:$AB$5,0))</f>
        <v>0</v>
      </c>
      <c r="R1082" s="218">
        <f>INDEX('Hist. prices'!$I$86:$AB$160,MATCH($C1082,'Hist. prices'!$C$86:$C$160,0),MATCH(R$1022,'Hist. prices'!$I$5:$AB$5,0))</f>
        <v>0</v>
      </c>
      <c r="S1082" s="218">
        <f>INDEX('Hist. prices'!$I$86:$AB$160,MATCH($C1082,'Hist. prices'!$C$86:$C$160,0),MATCH(S$1022,'Hist. prices'!$I$5:$AB$5,0))</f>
        <v>0</v>
      </c>
      <c r="T1082" s="218">
        <f>INDEX('Hist. prices'!$I$86:$AB$160,MATCH($C1082,'Hist. prices'!$C$86:$C$160,0),MATCH(T$1022,'Hist. prices'!$I$5:$AB$5,0))</f>
        <v>0</v>
      </c>
      <c r="U1082" s="218">
        <f>INDEX('Hist. prices'!$I$86:$AB$160,MATCH($C1082,'Hist. prices'!$C$86:$C$160,0),MATCH(U$1022,'Hist. prices'!$I$5:$AB$5,0))</f>
        <v>0</v>
      </c>
      <c r="V1082" s="218">
        <f>INDEX('Hist. prices'!$I$86:$AB$160,MATCH($C1082,'Hist. prices'!$C$86:$C$160,0),MATCH(V$1022,'Hist. prices'!$I$5:$AB$5,0))</f>
        <v>0</v>
      </c>
      <c r="W1082" s="218">
        <f>INDEX('Hist. prices'!$I$86:$AB$160,MATCH($C1082,'Hist. prices'!$C$86:$C$160,0),MATCH(W$1022,'Hist. prices'!$I$5:$AB$5,0))</f>
        <v>0</v>
      </c>
      <c r="X1082" s="218">
        <f>INDEX('Hist. prices'!$I$86:$AB$160,MATCH($C1082,'Hist. prices'!$C$86:$C$160,0),MATCH(X$1022,'Hist. prices'!$I$5:$AB$5,0))</f>
        <v>0</v>
      </c>
      <c r="Y1082" s="218">
        <f>INDEX('Hist. prices'!$I$86:$AB$160,MATCH($C1082,'Hist. prices'!$C$86:$C$160,0),MATCH(Y$1022,'Hist. prices'!$I$5:$AB$5,0))</f>
        <v>0</v>
      </c>
      <c r="Z1082" s="218">
        <f>INDEX('Hist. prices'!$I$86:$AB$160,MATCH($C1082,'Hist. prices'!$C$86:$C$160,0),MATCH(Z$1022,'Hist. prices'!$I$5:$AB$5,0))</f>
        <v>0</v>
      </c>
      <c r="AA1082" s="218">
        <f>INDEX('Hist. prices'!$I$86:$AB$160,MATCH($C1082,'Hist. prices'!$C$86:$C$160,0),MATCH(AA$1022,'Hist. prices'!$I$5:$AB$5,0))</f>
        <v>0</v>
      </c>
      <c r="AB1082" s="218">
        <f>INDEX('Hist. prices'!$I$86:$AB$160,MATCH($C1082,'Hist. prices'!$C$86:$C$160,0),MATCH(AB$1022,'Hist. prices'!$I$5:$AB$5,0))</f>
        <v>0</v>
      </c>
      <c r="AC1082" s="187"/>
      <c r="AD1082" s="19"/>
      <c r="AE1082" s="19"/>
      <c r="AF1082" s="19"/>
      <c r="AG1082" s="19"/>
    </row>
    <row r="1083" spans="1:33" hidden="1" outlineLevel="3" x14ac:dyDescent="0.2">
      <c r="A1083" s="19"/>
      <c r="B1083" s="19"/>
      <c r="C1083" s="506">
        <f t="shared" si="211"/>
        <v>0</v>
      </c>
      <c r="D1083" s="505">
        <f t="shared" si="211"/>
        <v>0</v>
      </c>
      <c r="E1083" s="58"/>
      <c r="F1083" s="223"/>
      <c r="G1083" s="58"/>
      <c r="H1083" s="58"/>
      <c r="I1083" s="218">
        <f>INDEX('Hist. prices'!$I$86:$AB$160,MATCH($C1083,'Hist. prices'!$C$86:$C$160,0),MATCH(I$1022,'Hist. prices'!$I$5:$AB$5,0))</f>
        <v>0</v>
      </c>
      <c r="J1083" s="218">
        <f>INDEX('Hist. prices'!$I$86:$AB$160,MATCH($C1083,'Hist. prices'!$C$86:$C$160,0),MATCH(J$1022,'Hist. prices'!$I$5:$AB$5,0))</f>
        <v>0</v>
      </c>
      <c r="K1083" s="218">
        <f>INDEX('Hist. prices'!$I$86:$AB$160,MATCH($C1083,'Hist. prices'!$C$86:$C$160,0),MATCH(K$1022,'Hist. prices'!$I$5:$AB$5,0))</f>
        <v>0</v>
      </c>
      <c r="L1083" s="218">
        <f>INDEX('Hist. prices'!$I$86:$AB$160,MATCH($C1083,'Hist. prices'!$C$86:$C$160,0),MATCH(L$1022,'Hist. prices'!$I$5:$AB$5,0))</f>
        <v>0</v>
      </c>
      <c r="M1083" s="218">
        <f>INDEX('Hist. prices'!$I$86:$AB$160,MATCH($C1083,'Hist. prices'!$C$86:$C$160,0),MATCH(M$1022,'Hist. prices'!$I$5:$AB$5,0))</f>
        <v>0</v>
      </c>
      <c r="N1083" s="218">
        <f>INDEX('Hist. prices'!$I$86:$AB$160,MATCH($C1083,'Hist. prices'!$C$86:$C$160,0),MATCH(N$1022,'Hist. prices'!$I$5:$AB$5,0))</f>
        <v>0</v>
      </c>
      <c r="O1083" s="218">
        <f>INDEX('Hist. prices'!$I$86:$AB$160,MATCH($C1083,'Hist. prices'!$C$86:$C$160,0),MATCH(O$1022,'Hist. prices'!$I$5:$AB$5,0))</f>
        <v>0</v>
      </c>
      <c r="P1083" s="218">
        <f>INDEX('Hist. prices'!$I$86:$AB$160,MATCH($C1083,'Hist. prices'!$C$86:$C$160,0),MATCH(P$1022,'Hist. prices'!$I$5:$AB$5,0))</f>
        <v>0</v>
      </c>
      <c r="Q1083" s="218">
        <f>INDEX('Hist. prices'!$I$86:$AB$160,MATCH($C1083,'Hist. prices'!$C$86:$C$160,0),MATCH(Q$1022,'Hist. prices'!$I$5:$AB$5,0))</f>
        <v>0</v>
      </c>
      <c r="R1083" s="218">
        <f>INDEX('Hist. prices'!$I$86:$AB$160,MATCH($C1083,'Hist. prices'!$C$86:$C$160,0),MATCH(R$1022,'Hist. prices'!$I$5:$AB$5,0))</f>
        <v>0</v>
      </c>
      <c r="S1083" s="218">
        <f>INDEX('Hist. prices'!$I$86:$AB$160,MATCH($C1083,'Hist. prices'!$C$86:$C$160,0),MATCH(S$1022,'Hist. prices'!$I$5:$AB$5,0))</f>
        <v>0</v>
      </c>
      <c r="T1083" s="218">
        <f>INDEX('Hist. prices'!$I$86:$AB$160,MATCH($C1083,'Hist. prices'!$C$86:$C$160,0),MATCH(T$1022,'Hist. prices'!$I$5:$AB$5,0))</f>
        <v>0</v>
      </c>
      <c r="U1083" s="218">
        <f>INDEX('Hist. prices'!$I$86:$AB$160,MATCH($C1083,'Hist. prices'!$C$86:$C$160,0),MATCH(U$1022,'Hist. prices'!$I$5:$AB$5,0))</f>
        <v>0</v>
      </c>
      <c r="V1083" s="218">
        <f>INDEX('Hist. prices'!$I$86:$AB$160,MATCH($C1083,'Hist. prices'!$C$86:$C$160,0),MATCH(V$1022,'Hist. prices'!$I$5:$AB$5,0))</f>
        <v>0</v>
      </c>
      <c r="W1083" s="218">
        <f>INDEX('Hist. prices'!$I$86:$AB$160,MATCH($C1083,'Hist. prices'!$C$86:$C$160,0),MATCH(W$1022,'Hist. prices'!$I$5:$AB$5,0))</f>
        <v>0</v>
      </c>
      <c r="X1083" s="218">
        <f>INDEX('Hist. prices'!$I$86:$AB$160,MATCH($C1083,'Hist. prices'!$C$86:$C$160,0),MATCH(X$1022,'Hist. prices'!$I$5:$AB$5,0))</f>
        <v>0</v>
      </c>
      <c r="Y1083" s="218">
        <f>INDEX('Hist. prices'!$I$86:$AB$160,MATCH($C1083,'Hist. prices'!$C$86:$C$160,0),MATCH(Y$1022,'Hist. prices'!$I$5:$AB$5,0))</f>
        <v>0</v>
      </c>
      <c r="Z1083" s="218">
        <f>INDEX('Hist. prices'!$I$86:$AB$160,MATCH($C1083,'Hist. prices'!$C$86:$C$160,0),MATCH(Z$1022,'Hist. prices'!$I$5:$AB$5,0))</f>
        <v>0</v>
      </c>
      <c r="AA1083" s="218">
        <f>INDEX('Hist. prices'!$I$86:$AB$160,MATCH($C1083,'Hist. prices'!$C$86:$C$160,0),MATCH(AA$1022,'Hist. prices'!$I$5:$AB$5,0))</f>
        <v>0</v>
      </c>
      <c r="AB1083" s="218">
        <f>INDEX('Hist. prices'!$I$86:$AB$160,MATCH($C1083,'Hist. prices'!$C$86:$C$160,0),MATCH(AB$1022,'Hist. prices'!$I$5:$AB$5,0))</f>
        <v>0</v>
      </c>
      <c r="AC1083" s="187"/>
      <c r="AD1083" s="19"/>
      <c r="AE1083" s="19"/>
      <c r="AF1083" s="19"/>
      <c r="AG1083" s="19"/>
    </row>
    <row r="1084" spans="1:33" hidden="1" outlineLevel="3" x14ac:dyDescent="0.2">
      <c r="A1084" s="19"/>
      <c r="B1084" s="19"/>
      <c r="C1084" s="506">
        <f t="shared" si="211"/>
        <v>0</v>
      </c>
      <c r="D1084" s="505">
        <f t="shared" si="211"/>
        <v>0</v>
      </c>
      <c r="E1084" s="58"/>
      <c r="F1084" s="223"/>
      <c r="G1084" s="58"/>
      <c r="H1084" s="58"/>
      <c r="I1084" s="218">
        <f>INDEX('Hist. prices'!$I$86:$AB$160,MATCH($C1084,'Hist. prices'!$C$86:$C$160,0),MATCH(I$1022,'Hist. prices'!$I$5:$AB$5,0))</f>
        <v>0</v>
      </c>
      <c r="J1084" s="218">
        <f>INDEX('Hist. prices'!$I$86:$AB$160,MATCH($C1084,'Hist. prices'!$C$86:$C$160,0),MATCH(J$1022,'Hist. prices'!$I$5:$AB$5,0))</f>
        <v>0</v>
      </c>
      <c r="K1084" s="218">
        <f>INDEX('Hist. prices'!$I$86:$AB$160,MATCH($C1084,'Hist. prices'!$C$86:$C$160,0),MATCH(K$1022,'Hist. prices'!$I$5:$AB$5,0))</f>
        <v>0</v>
      </c>
      <c r="L1084" s="218">
        <f>INDEX('Hist. prices'!$I$86:$AB$160,MATCH($C1084,'Hist. prices'!$C$86:$C$160,0),MATCH(L$1022,'Hist. prices'!$I$5:$AB$5,0))</f>
        <v>0</v>
      </c>
      <c r="M1084" s="218">
        <f>INDEX('Hist. prices'!$I$86:$AB$160,MATCH($C1084,'Hist. prices'!$C$86:$C$160,0),MATCH(M$1022,'Hist. prices'!$I$5:$AB$5,0))</f>
        <v>0</v>
      </c>
      <c r="N1084" s="218">
        <f>INDEX('Hist. prices'!$I$86:$AB$160,MATCH($C1084,'Hist. prices'!$C$86:$C$160,0),MATCH(N$1022,'Hist. prices'!$I$5:$AB$5,0))</f>
        <v>0</v>
      </c>
      <c r="O1084" s="218">
        <f>INDEX('Hist. prices'!$I$86:$AB$160,MATCH($C1084,'Hist. prices'!$C$86:$C$160,0),MATCH(O$1022,'Hist. prices'!$I$5:$AB$5,0))</f>
        <v>0</v>
      </c>
      <c r="P1084" s="218">
        <f>INDEX('Hist. prices'!$I$86:$AB$160,MATCH($C1084,'Hist. prices'!$C$86:$C$160,0),MATCH(P$1022,'Hist. prices'!$I$5:$AB$5,0))</f>
        <v>0</v>
      </c>
      <c r="Q1084" s="218">
        <f>INDEX('Hist. prices'!$I$86:$AB$160,MATCH($C1084,'Hist. prices'!$C$86:$C$160,0),MATCH(Q$1022,'Hist. prices'!$I$5:$AB$5,0))</f>
        <v>0</v>
      </c>
      <c r="R1084" s="218">
        <f>INDEX('Hist. prices'!$I$86:$AB$160,MATCH($C1084,'Hist. prices'!$C$86:$C$160,0),MATCH(R$1022,'Hist. prices'!$I$5:$AB$5,0))</f>
        <v>0</v>
      </c>
      <c r="S1084" s="218">
        <f>INDEX('Hist. prices'!$I$86:$AB$160,MATCH($C1084,'Hist. prices'!$C$86:$C$160,0),MATCH(S$1022,'Hist. prices'!$I$5:$AB$5,0))</f>
        <v>0</v>
      </c>
      <c r="T1084" s="218">
        <f>INDEX('Hist. prices'!$I$86:$AB$160,MATCH($C1084,'Hist. prices'!$C$86:$C$160,0),MATCH(T$1022,'Hist. prices'!$I$5:$AB$5,0))</f>
        <v>0</v>
      </c>
      <c r="U1084" s="218">
        <f>INDEX('Hist. prices'!$I$86:$AB$160,MATCH($C1084,'Hist. prices'!$C$86:$C$160,0),MATCH(U$1022,'Hist. prices'!$I$5:$AB$5,0))</f>
        <v>0</v>
      </c>
      <c r="V1084" s="218">
        <f>INDEX('Hist. prices'!$I$86:$AB$160,MATCH($C1084,'Hist. prices'!$C$86:$C$160,0),MATCH(V$1022,'Hist. prices'!$I$5:$AB$5,0))</f>
        <v>0</v>
      </c>
      <c r="W1084" s="218">
        <f>INDEX('Hist. prices'!$I$86:$AB$160,MATCH($C1084,'Hist. prices'!$C$86:$C$160,0),MATCH(W$1022,'Hist. prices'!$I$5:$AB$5,0))</f>
        <v>0</v>
      </c>
      <c r="X1084" s="218">
        <f>INDEX('Hist. prices'!$I$86:$AB$160,MATCH($C1084,'Hist. prices'!$C$86:$C$160,0),MATCH(X$1022,'Hist. prices'!$I$5:$AB$5,0))</f>
        <v>0</v>
      </c>
      <c r="Y1084" s="218">
        <f>INDEX('Hist. prices'!$I$86:$AB$160,MATCH($C1084,'Hist. prices'!$C$86:$C$160,0),MATCH(Y$1022,'Hist. prices'!$I$5:$AB$5,0))</f>
        <v>0</v>
      </c>
      <c r="Z1084" s="218">
        <f>INDEX('Hist. prices'!$I$86:$AB$160,MATCH($C1084,'Hist. prices'!$C$86:$C$160,0),MATCH(Z$1022,'Hist. prices'!$I$5:$AB$5,0))</f>
        <v>0</v>
      </c>
      <c r="AA1084" s="218">
        <f>INDEX('Hist. prices'!$I$86:$AB$160,MATCH($C1084,'Hist. prices'!$C$86:$C$160,0),MATCH(AA$1022,'Hist. prices'!$I$5:$AB$5,0))</f>
        <v>0</v>
      </c>
      <c r="AB1084" s="218">
        <f>INDEX('Hist. prices'!$I$86:$AB$160,MATCH($C1084,'Hist. prices'!$C$86:$C$160,0),MATCH(AB$1022,'Hist. prices'!$I$5:$AB$5,0))</f>
        <v>0</v>
      </c>
      <c r="AC1084" s="187"/>
      <c r="AD1084" s="19"/>
      <c r="AE1084" s="19"/>
      <c r="AF1084" s="19"/>
      <c r="AG1084" s="19"/>
    </row>
    <row r="1085" spans="1:33" hidden="1" outlineLevel="3" x14ac:dyDescent="0.2">
      <c r="A1085" s="19"/>
      <c r="B1085" s="19"/>
      <c r="C1085" s="506">
        <f t="shared" si="211"/>
        <v>0</v>
      </c>
      <c r="D1085" s="505">
        <f t="shared" si="211"/>
        <v>0</v>
      </c>
      <c r="E1085" s="58"/>
      <c r="F1085" s="223"/>
      <c r="G1085" s="58"/>
      <c r="H1085" s="58"/>
      <c r="I1085" s="218">
        <f>INDEX('Hist. prices'!$I$86:$AB$160,MATCH($C1085,'Hist. prices'!$C$86:$C$160,0),MATCH(I$1022,'Hist. prices'!$I$5:$AB$5,0))</f>
        <v>0</v>
      </c>
      <c r="J1085" s="218">
        <f>INDEX('Hist. prices'!$I$86:$AB$160,MATCH($C1085,'Hist. prices'!$C$86:$C$160,0),MATCH(J$1022,'Hist. prices'!$I$5:$AB$5,0))</f>
        <v>0</v>
      </c>
      <c r="K1085" s="218">
        <f>INDEX('Hist. prices'!$I$86:$AB$160,MATCH($C1085,'Hist. prices'!$C$86:$C$160,0),MATCH(K$1022,'Hist. prices'!$I$5:$AB$5,0))</f>
        <v>0</v>
      </c>
      <c r="L1085" s="218">
        <f>INDEX('Hist. prices'!$I$86:$AB$160,MATCH($C1085,'Hist. prices'!$C$86:$C$160,0),MATCH(L$1022,'Hist. prices'!$I$5:$AB$5,0))</f>
        <v>0</v>
      </c>
      <c r="M1085" s="218">
        <f>INDEX('Hist. prices'!$I$86:$AB$160,MATCH($C1085,'Hist. prices'!$C$86:$C$160,0),MATCH(M$1022,'Hist. prices'!$I$5:$AB$5,0))</f>
        <v>0</v>
      </c>
      <c r="N1085" s="218">
        <f>INDEX('Hist. prices'!$I$86:$AB$160,MATCH($C1085,'Hist. prices'!$C$86:$C$160,0),MATCH(N$1022,'Hist. prices'!$I$5:$AB$5,0))</f>
        <v>0</v>
      </c>
      <c r="O1085" s="218">
        <f>INDEX('Hist. prices'!$I$86:$AB$160,MATCH($C1085,'Hist. prices'!$C$86:$C$160,0),MATCH(O$1022,'Hist. prices'!$I$5:$AB$5,0))</f>
        <v>0</v>
      </c>
      <c r="P1085" s="218">
        <f>INDEX('Hist. prices'!$I$86:$AB$160,MATCH($C1085,'Hist. prices'!$C$86:$C$160,0),MATCH(P$1022,'Hist. prices'!$I$5:$AB$5,0))</f>
        <v>0</v>
      </c>
      <c r="Q1085" s="218">
        <f>INDEX('Hist. prices'!$I$86:$AB$160,MATCH($C1085,'Hist. prices'!$C$86:$C$160,0),MATCH(Q$1022,'Hist. prices'!$I$5:$AB$5,0))</f>
        <v>0</v>
      </c>
      <c r="R1085" s="218">
        <f>INDEX('Hist. prices'!$I$86:$AB$160,MATCH($C1085,'Hist. prices'!$C$86:$C$160,0),MATCH(R$1022,'Hist. prices'!$I$5:$AB$5,0))</f>
        <v>0</v>
      </c>
      <c r="S1085" s="218">
        <f>INDEX('Hist. prices'!$I$86:$AB$160,MATCH($C1085,'Hist. prices'!$C$86:$C$160,0),MATCH(S$1022,'Hist. prices'!$I$5:$AB$5,0))</f>
        <v>0</v>
      </c>
      <c r="T1085" s="218">
        <f>INDEX('Hist. prices'!$I$86:$AB$160,MATCH($C1085,'Hist. prices'!$C$86:$C$160,0),MATCH(T$1022,'Hist. prices'!$I$5:$AB$5,0))</f>
        <v>0</v>
      </c>
      <c r="U1085" s="218">
        <f>INDEX('Hist. prices'!$I$86:$AB$160,MATCH($C1085,'Hist. prices'!$C$86:$C$160,0),MATCH(U$1022,'Hist. prices'!$I$5:$AB$5,0))</f>
        <v>0</v>
      </c>
      <c r="V1085" s="218">
        <f>INDEX('Hist. prices'!$I$86:$AB$160,MATCH($C1085,'Hist. prices'!$C$86:$C$160,0),MATCH(V$1022,'Hist. prices'!$I$5:$AB$5,0))</f>
        <v>0</v>
      </c>
      <c r="W1085" s="218">
        <f>INDEX('Hist. prices'!$I$86:$AB$160,MATCH($C1085,'Hist. prices'!$C$86:$C$160,0),MATCH(W$1022,'Hist. prices'!$I$5:$AB$5,0))</f>
        <v>0</v>
      </c>
      <c r="X1085" s="218">
        <f>INDEX('Hist. prices'!$I$86:$AB$160,MATCH($C1085,'Hist. prices'!$C$86:$C$160,0),MATCH(X$1022,'Hist. prices'!$I$5:$AB$5,0))</f>
        <v>0</v>
      </c>
      <c r="Y1085" s="218">
        <f>INDEX('Hist. prices'!$I$86:$AB$160,MATCH($C1085,'Hist. prices'!$C$86:$C$160,0),MATCH(Y$1022,'Hist. prices'!$I$5:$AB$5,0))</f>
        <v>0</v>
      </c>
      <c r="Z1085" s="218">
        <f>INDEX('Hist. prices'!$I$86:$AB$160,MATCH($C1085,'Hist. prices'!$C$86:$C$160,0),MATCH(Z$1022,'Hist. prices'!$I$5:$AB$5,0))</f>
        <v>0</v>
      </c>
      <c r="AA1085" s="218">
        <f>INDEX('Hist. prices'!$I$86:$AB$160,MATCH($C1085,'Hist. prices'!$C$86:$C$160,0),MATCH(AA$1022,'Hist. prices'!$I$5:$AB$5,0))</f>
        <v>0</v>
      </c>
      <c r="AB1085" s="218">
        <f>INDEX('Hist. prices'!$I$86:$AB$160,MATCH($C1085,'Hist. prices'!$C$86:$C$160,0),MATCH(AB$1022,'Hist. prices'!$I$5:$AB$5,0))</f>
        <v>0</v>
      </c>
      <c r="AC1085" s="187"/>
      <c r="AD1085" s="19"/>
      <c r="AE1085" s="19"/>
      <c r="AF1085" s="19"/>
      <c r="AG1085" s="19"/>
    </row>
    <row r="1086" spans="1:33" hidden="1" outlineLevel="3" x14ac:dyDescent="0.2">
      <c r="A1086" s="19"/>
      <c r="B1086" s="19"/>
      <c r="C1086" s="506">
        <f t="shared" si="211"/>
        <v>0</v>
      </c>
      <c r="D1086" s="505">
        <f t="shared" si="211"/>
        <v>0</v>
      </c>
      <c r="E1086" s="58"/>
      <c r="F1086" s="223"/>
      <c r="G1086" s="58"/>
      <c r="H1086" s="58"/>
      <c r="I1086" s="218">
        <f>INDEX('Hist. prices'!$I$86:$AB$160,MATCH($C1086,'Hist. prices'!$C$86:$C$160,0),MATCH(I$1022,'Hist. prices'!$I$5:$AB$5,0))</f>
        <v>0</v>
      </c>
      <c r="J1086" s="218">
        <f>INDEX('Hist. prices'!$I$86:$AB$160,MATCH($C1086,'Hist. prices'!$C$86:$C$160,0),MATCH(J$1022,'Hist. prices'!$I$5:$AB$5,0))</f>
        <v>0</v>
      </c>
      <c r="K1086" s="218">
        <f>INDEX('Hist. prices'!$I$86:$AB$160,MATCH($C1086,'Hist. prices'!$C$86:$C$160,0),MATCH(K$1022,'Hist. prices'!$I$5:$AB$5,0))</f>
        <v>0</v>
      </c>
      <c r="L1086" s="218">
        <f>INDEX('Hist. prices'!$I$86:$AB$160,MATCH($C1086,'Hist. prices'!$C$86:$C$160,0),MATCH(L$1022,'Hist. prices'!$I$5:$AB$5,0))</f>
        <v>0</v>
      </c>
      <c r="M1086" s="218">
        <f>INDEX('Hist. prices'!$I$86:$AB$160,MATCH($C1086,'Hist. prices'!$C$86:$C$160,0),MATCH(M$1022,'Hist. prices'!$I$5:$AB$5,0))</f>
        <v>0</v>
      </c>
      <c r="N1086" s="218">
        <f>INDEX('Hist. prices'!$I$86:$AB$160,MATCH($C1086,'Hist. prices'!$C$86:$C$160,0),MATCH(N$1022,'Hist. prices'!$I$5:$AB$5,0))</f>
        <v>0</v>
      </c>
      <c r="O1086" s="218">
        <f>INDEX('Hist. prices'!$I$86:$AB$160,MATCH($C1086,'Hist. prices'!$C$86:$C$160,0),MATCH(O$1022,'Hist. prices'!$I$5:$AB$5,0))</f>
        <v>0</v>
      </c>
      <c r="P1086" s="218">
        <f>INDEX('Hist. prices'!$I$86:$AB$160,MATCH($C1086,'Hist. prices'!$C$86:$C$160,0),MATCH(P$1022,'Hist. prices'!$I$5:$AB$5,0))</f>
        <v>0</v>
      </c>
      <c r="Q1086" s="218">
        <f>INDEX('Hist. prices'!$I$86:$AB$160,MATCH($C1086,'Hist. prices'!$C$86:$C$160,0),MATCH(Q$1022,'Hist. prices'!$I$5:$AB$5,0))</f>
        <v>0</v>
      </c>
      <c r="R1086" s="218">
        <f>INDEX('Hist. prices'!$I$86:$AB$160,MATCH($C1086,'Hist. prices'!$C$86:$C$160,0),MATCH(R$1022,'Hist. prices'!$I$5:$AB$5,0))</f>
        <v>0</v>
      </c>
      <c r="S1086" s="218">
        <f>INDEX('Hist. prices'!$I$86:$AB$160,MATCH($C1086,'Hist. prices'!$C$86:$C$160,0),MATCH(S$1022,'Hist. prices'!$I$5:$AB$5,0))</f>
        <v>0</v>
      </c>
      <c r="T1086" s="218">
        <f>INDEX('Hist. prices'!$I$86:$AB$160,MATCH($C1086,'Hist. prices'!$C$86:$C$160,0),MATCH(T$1022,'Hist. prices'!$I$5:$AB$5,0))</f>
        <v>0</v>
      </c>
      <c r="U1086" s="218">
        <f>INDEX('Hist. prices'!$I$86:$AB$160,MATCH($C1086,'Hist. prices'!$C$86:$C$160,0),MATCH(U$1022,'Hist. prices'!$I$5:$AB$5,0))</f>
        <v>0</v>
      </c>
      <c r="V1086" s="218">
        <f>INDEX('Hist. prices'!$I$86:$AB$160,MATCH($C1086,'Hist. prices'!$C$86:$C$160,0),MATCH(V$1022,'Hist. prices'!$I$5:$AB$5,0))</f>
        <v>0</v>
      </c>
      <c r="W1086" s="218">
        <f>INDEX('Hist. prices'!$I$86:$AB$160,MATCH($C1086,'Hist. prices'!$C$86:$C$160,0),MATCH(W$1022,'Hist. prices'!$I$5:$AB$5,0))</f>
        <v>0</v>
      </c>
      <c r="X1086" s="218">
        <f>INDEX('Hist. prices'!$I$86:$AB$160,MATCH($C1086,'Hist. prices'!$C$86:$C$160,0),MATCH(X$1022,'Hist. prices'!$I$5:$AB$5,0))</f>
        <v>0</v>
      </c>
      <c r="Y1086" s="218">
        <f>INDEX('Hist. prices'!$I$86:$AB$160,MATCH($C1086,'Hist. prices'!$C$86:$C$160,0),MATCH(Y$1022,'Hist. prices'!$I$5:$AB$5,0))</f>
        <v>0</v>
      </c>
      <c r="Z1086" s="218">
        <f>INDEX('Hist. prices'!$I$86:$AB$160,MATCH($C1086,'Hist. prices'!$C$86:$C$160,0),MATCH(Z$1022,'Hist. prices'!$I$5:$AB$5,0))</f>
        <v>0</v>
      </c>
      <c r="AA1086" s="218">
        <f>INDEX('Hist. prices'!$I$86:$AB$160,MATCH($C1086,'Hist. prices'!$C$86:$C$160,0),MATCH(AA$1022,'Hist. prices'!$I$5:$AB$5,0))</f>
        <v>0</v>
      </c>
      <c r="AB1086" s="218">
        <f>INDEX('Hist. prices'!$I$86:$AB$160,MATCH($C1086,'Hist. prices'!$C$86:$C$160,0),MATCH(AB$1022,'Hist. prices'!$I$5:$AB$5,0))</f>
        <v>0</v>
      </c>
      <c r="AC1086" s="187"/>
      <c r="AD1086" s="19"/>
      <c r="AE1086" s="19"/>
      <c r="AF1086" s="19"/>
      <c r="AG1086" s="19"/>
    </row>
    <row r="1087" spans="1:33" hidden="1" outlineLevel="3" x14ac:dyDescent="0.2">
      <c r="A1087" s="19"/>
      <c r="B1087" s="19"/>
      <c r="C1087" s="506">
        <f t="shared" si="211"/>
        <v>0</v>
      </c>
      <c r="D1087" s="505">
        <f t="shared" si="211"/>
        <v>0</v>
      </c>
      <c r="E1087" s="58"/>
      <c r="F1087" s="223"/>
      <c r="G1087" s="58"/>
      <c r="H1087" s="58"/>
      <c r="I1087" s="218">
        <f>INDEX('Hist. prices'!$I$86:$AB$160,MATCH($C1087,'Hist. prices'!$C$86:$C$160,0),MATCH(I$1022,'Hist. prices'!$I$5:$AB$5,0))</f>
        <v>0</v>
      </c>
      <c r="J1087" s="218">
        <f>INDEX('Hist. prices'!$I$86:$AB$160,MATCH($C1087,'Hist. prices'!$C$86:$C$160,0),MATCH(J$1022,'Hist. prices'!$I$5:$AB$5,0))</f>
        <v>0</v>
      </c>
      <c r="K1087" s="218">
        <f>INDEX('Hist. prices'!$I$86:$AB$160,MATCH($C1087,'Hist. prices'!$C$86:$C$160,0),MATCH(K$1022,'Hist. prices'!$I$5:$AB$5,0))</f>
        <v>0</v>
      </c>
      <c r="L1087" s="218">
        <f>INDEX('Hist. prices'!$I$86:$AB$160,MATCH($C1087,'Hist. prices'!$C$86:$C$160,0),MATCH(L$1022,'Hist. prices'!$I$5:$AB$5,0))</f>
        <v>0</v>
      </c>
      <c r="M1087" s="218">
        <f>INDEX('Hist. prices'!$I$86:$AB$160,MATCH($C1087,'Hist. prices'!$C$86:$C$160,0),MATCH(M$1022,'Hist. prices'!$I$5:$AB$5,0))</f>
        <v>0</v>
      </c>
      <c r="N1087" s="218">
        <f>INDEX('Hist. prices'!$I$86:$AB$160,MATCH($C1087,'Hist. prices'!$C$86:$C$160,0),MATCH(N$1022,'Hist. prices'!$I$5:$AB$5,0))</f>
        <v>0</v>
      </c>
      <c r="O1087" s="218">
        <f>INDEX('Hist. prices'!$I$86:$AB$160,MATCH($C1087,'Hist. prices'!$C$86:$C$160,0),MATCH(O$1022,'Hist. prices'!$I$5:$AB$5,0))</f>
        <v>0</v>
      </c>
      <c r="P1087" s="218">
        <f>INDEX('Hist. prices'!$I$86:$AB$160,MATCH($C1087,'Hist. prices'!$C$86:$C$160,0),MATCH(P$1022,'Hist. prices'!$I$5:$AB$5,0))</f>
        <v>0</v>
      </c>
      <c r="Q1087" s="218">
        <f>INDEX('Hist. prices'!$I$86:$AB$160,MATCH($C1087,'Hist. prices'!$C$86:$C$160,0),MATCH(Q$1022,'Hist. prices'!$I$5:$AB$5,0))</f>
        <v>0</v>
      </c>
      <c r="R1087" s="218">
        <f>INDEX('Hist. prices'!$I$86:$AB$160,MATCH($C1087,'Hist. prices'!$C$86:$C$160,0),MATCH(R$1022,'Hist. prices'!$I$5:$AB$5,0))</f>
        <v>0</v>
      </c>
      <c r="S1087" s="218">
        <f>INDEX('Hist. prices'!$I$86:$AB$160,MATCH($C1087,'Hist. prices'!$C$86:$C$160,0),MATCH(S$1022,'Hist. prices'!$I$5:$AB$5,0))</f>
        <v>0</v>
      </c>
      <c r="T1087" s="218">
        <f>INDEX('Hist. prices'!$I$86:$AB$160,MATCH($C1087,'Hist. prices'!$C$86:$C$160,0),MATCH(T$1022,'Hist. prices'!$I$5:$AB$5,0))</f>
        <v>0</v>
      </c>
      <c r="U1087" s="218">
        <f>INDEX('Hist. prices'!$I$86:$AB$160,MATCH($C1087,'Hist. prices'!$C$86:$C$160,0),MATCH(U$1022,'Hist. prices'!$I$5:$AB$5,0))</f>
        <v>0</v>
      </c>
      <c r="V1087" s="218">
        <f>INDEX('Hist. prices'!$I$86:$AB$160,MATCH($C1087,'Hist. prices'!$C$86:$C$160,0),MATCH(V$1022,'Hist. prices'!$I$5:$AB$5,0))</f>
        <v>0</v>
      </c>
      <c r="W1087" s="218">
        <f>INDEX('Hist. prices'!$I$86:$AB$160,MATCH($C1087,'Hist. prices'!$C$86:$C$160,0),MATCH(W$1022,'Hist. prices'!$I$5:$AB$5,0))</f>
        <v>0</v>
      </c>
      <c r="X1087" s="218">
        <f>INDEX('Hist. prices'!$I$86:$AB$160,MATCH($C1087,'Hist. prices'!$C$86:$C$160,0),MATCH(X$1022,'Hist. prices'!$I$5:$AB$5,0))</f>
        <v>0</v>
      </c>
      <c r="Y1087" s="218">
        <f>INDEX('Hist. prices'!$I$86:$AB$160,MATCH($C1087,'Hist. prices'!$C$86:$C$160,0),MATCH(Y$1022,'Hist. prices'!$I$5:$AB$5,0))</f>
        <v>0</v>
      </c>
      <c r="Z1087" s="218">
        <f>INDEX('Hist. prices'!$I$86:$AB$160,MATCH($C1087,'Hist. prices'!$C$86:$C$160,0),MATCH(Z$1022,'Hist. prices'!$I$5:$AB$5,0))</f>
        <v>0</v>
      </c>
      <c r="AA1087" s="218">
        <f>INDEX('Hist. prices'!$I$86:$AB$160,MATCH($C1087,'Hist. prices'!$C$86:$C$160,0),MATCH(AA$1022,'Hist. prices'!$I$5:$AB$5,0))</f>
        <v>0</v>
      </c>
      <c r="AB1087" s="218">
        <f>INDEX('Hist. prices'!$I$86:$AB$160,MATCH($C1087,'Hist. prices'!$C$86:$C$160,0),MATCH(AB$1022,'Hist. prices'!$I$5:$AB$5,0))</f>
        <v>0</v>
      </c>
      <c r="AC1087" s="187"/>
      <c r="AD1087" s="19"/>
      <c r="AE1087" s="19"/>
      <c r="AF1087" s="19"/>
      <c r="AG1087" s="19"/>
    </row>
    <row r="1088" spans="1:33" outlineLevel="2" collapsed="1" x14ac:dyDescent="0.2">
      <c r="A1088" s="19"/>
      <c r="B1088" s="19"/>
      <c r="C1088" s="538"/>
      <c r="D1088" s="536"/>
      <c r="E1088" s="58"/>
      <c r="F1088" s="66"/>
      <c r="G1088" s="58"/>
      <c r="H1088" s="58"/>
      <c r="I1088" s="186"/>
      <c r="J1088" s="186"/>
      <c r="K1088" s="187"/>
      <c r="L1088" s="187"/>
      <c r="M1088" s="187"/>
      <c r="N1088" s="188"/>
      <c r="O1088" s="188"/>
      <c r="P1088" s="188"/>
      <c r="Q1088" s="188"/>
      <c r="R1088" s="188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9"/>
      <c r="AE1088" s="19"/>
      <c r="AF1088" s="19"/>
      <c r="AG1088" s="19"/>
    </row>
    <row r="1089" spans="1:33" outlineLevel="1" x14ac:dyDescent="0.2">
      <c r="A1089" s="19"/>
      <c r="B1089" s="19"/>
      <c r="C1089" s="217"/>
      <c r="D1089" s="536"/>
      <c r="E1089" s="58"/>
      <c r="F1089" s="66"/>
      <c r="G1089" s="58"/>
      <c r="H1089" s="58"/>
      <c r="I1089" s="186"/>
      <c r="J1089" s="186"/>
      <c r="K1089" s="187"/>
      <c r="L1089" s="187"/>
      <c r="M1089" s="187"/>
      <c r="N1089" s="188"/>
      <c r="O1089" s="188"/>
      <c r="P1089" s="188"/>
      <c r="Q1089" s="188"/>
      <c r="R1089" s="188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9"/>
      <c r="AE1089" s="19"/>
      <c r="AF1089" s="19"/>
      <c r="AG1089" s="19"/>
    </row>
    <row r="1090" spans="1:33" outlineLevel="1" x14ac:dyDescent="0.2">
      <c r="A1090" s="19"/>
      <c r="B1090" s="19"/>
      <c r="C1090" s="167" t="s">
        <v>220</v>
      </c>
      <c r="D1090" s="512"/>
      <c r="E1090" s="20"/>
      <c r="F1090" s="167"/>
      <c r="G1090" s="22"/>
      <c r="H1090" s="22"/>
      <c r="I1090" s="187"/>
      <c r="J1090" s="187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9"/>
      <c r="AE1090" s="19"/>
      <c r="AF1090" s="19"/>
      <c r="AG1090" s="19"/>
    </row>
    <row r="1091" spans="1:33" hidden="1" outlineLevel="2" x14ac:dyDescent="0.2">
      <c r="A1091" s="19"/>
      <c r="B1091" s="19"/>
      <c r="C1091" s="506" t="str">
        <f t="shared" ref="C1091:D1120" si="212">C1025</f>
        <v>Residential time of use consumption</v>
      </c>
      <c r="D1091" s="505" t="str">
        <f t="shared" si="212"/>
        <v>yes</v>
      </c>
      <c r="E1091" s="20"/>
      <c r="F1091" s="223"/>
      <c r="G1091" s="22"/>
      <c r="H1091" s="22"/>
      <c r="I1091" s="218">
        <f>INDEX('Hist. prices'!$I$164:$AB$238,MATCH($C1091,'Hist. prices'!$C$164:$C$238,0),MATCH(I$1022,'Hist. prices'!$I$5:$AB$5,0))</f>
        <v>0</v>
      </c>
      <c r="J1091" s="218">
        <f>INDEX('Hist. prices'!$I$164:$AB$238,MATCH($C1091,'Hist. prices'!$C$164:$C$238,0),MATCH(J$1022,'Hist. prices'!$I$5:$AB$5,0))</f>
        <v>0</v>
      </c>
      <c r="K1091" s="218">
        <f>INDEX('Hist. prices'!$I$164:$AB$238,MATCH($C1091,'Hist. prices'!$C$164:$C$238,0),MATCH(K$1022,'Hist. prices'!$I$5:$AB$5,0))</f>
        <v>0</v>
      </c>
      <c r="L1091" s="218">
        <f>INDEX('Hist. prices'!$I$164:$AB$238,MATCH($C1091,'Hist. prices'!$C$164:$C$238,0),MATCH(L$1022,'Hist. prices'!$I$5:$AB$5,0))</f>
        <v>0</v>
      </c>
      <c r="M1091" s="218">
        <f>INDEX('Hist. prices'!$I$164:$AB$238,MATCH($C1091,'Hist. prices'!$C$164:$C$238,0),MATCH(M$1022,'Hist. prices'!$I$5:$AB$5,0))</f>
        <v>0</v>
      </c>
      <c r="N1091" s="218">
        <f>INDEX('Hist. prices'!$I$164:$AB$238,MATCH($C1091,'Hist. prices'!$C$164:$C$238,0),MATCH(N$1022,'Hist. prices'!$I$5:$AB$5,0))</f>
        <v>0</v>
      </c>
      <c r="O1091" s="218">
        <f>INDEX('Hist. prices'!$I$164:$AB$238,MATCH($C1091,'Hist. prices'!$C$164:$C$238,0),MATCH(O$1022,'Hist. prices'!$I$5:$AB$5,0))</f>
        <v>0</v>
      </c>
      <c r="P1091" s="218">
        <f>INDEX('Hist. prices'!$I$164:$AB$238,MATCH($C1091,'Hist. prices'!$C$164:$C$238,0),MATCH(P$1022,'Hist. prices'!$I$5:$AB$5,0))</f>
        <v>0</v>
      </c>
      <c r="Q1091" s="218">
        <f>INDEX('Hist. prices'!$I$164:$AB$238,MATCH($C1091,'Hist. prices'!$C$164:$C$238,0),MATCH(Q$1022,'Hist. prices'!$I$5:$AB$5,0))</f>
        <v>0</v>
      </c>
      <c r="R1091" s="218">
        <f>INDEX('Hist. prices'!$I$164:$AB$238,MATCH($C1091,'Hist. prices'!$C$164:$C$238,0),MATCH(R$1022,'Hist. prices'!$I$5:$AB$5,0))</f>
        <v>0</v>
      </c>
      <c r="S1091" s="218">
        <f>INDEX('Hist. prices'!$I$164:$AB$238,MATCH($C1091,'Hist. prices'!$C$164:$C$238,0),MATCH(S$1022,'Hist. prices'!$I$5:$AB$5,0))</f>
        <v>0</v>
      </c>
      <c r="T1091" s="218">
        <f>INDEX('Hist. prices'!$I$164:$AB$238,MATCH($C1091,'Hist. prices'!$C$164:$C$238,0),MATCH(T$1022,'Hist. prices'!$I$5:$AB$5,0))</f>
        <v>0</v>
      </c>
      <c r="U1091" s="218">
        <f>INDEX('Hist. prices'!$I$164:$AB$238,MATCH($C1091,'Hist. prices'!$C$164:$C$238,0),MATCH(U$1022,'Hist. prices'!$I$5:$AB$5,0))</f>
        <v>0</v>
      </c>
      <c r="V1091" s="218">
        <f>INDEX('Hist. prices'!$I$164:$AB$238,MATCH($C1091,'Hist. prices'!$C$164:$C$238,0),MATCH(V$1022,'Hist. prices'!$I$5:$AB$5,0))</f>
        <v>0</v>
      </c>
      <c r="W1091" s="218">
        <f>INDEX('Hist. prices'!$I$164:$AB$238,MATCH($C1091,'Hist. prices'!$C$164:$C$238,0),MATCH(W$1022,'Hist. prices'!$I$5:$AB$5,0))</f>
        <v>0</v>
      </c>
      <c r="X1091" s="218">
        <f>INDEX('Hist. prices'!$I$164:$AB$238,MATCH($C1091,'Hist. prices'!$C$164:$C$238,0),MATCH(X$1022,'Hist. prices'!$I$5:$AB$5,0))</f>
        <v>0</v>
      </c>
      <c r="Y1091" s="218">
        <f>INDEX('Hist. prices'!$I$164:$AB$238,MATCH($C1091,'Hist. prices'!$C$164:$C$238,0),MATCH(Y$1022,'Hist. prices'!$I$5:$AB$5,0))</f>
        <v>0</v>
      </c>
      <c r="Z1091" s="218">
        <f>INDEX('Hist. prices'!$I$164:$AB$238,MATCH($C1091,'Hist. prices'!$C$164:$C$238,0),MATCH(Z$1022,'Hist. prices'!$I$5:$AB$5,0))</f>
        <v>0</v>
      </c>
      <c r="AA1091" s="218">
        <f>INDEX('Hist. prices'!$I$164:$AB$238,MATCH($C1091,'Hist. prices'!$C$164:$C$238,0),MATCH(AA$1022,'Hist. prices'!$I$5:$AB$5,0))</f>
        <v>0</v>
      </c>
      <c r="AB1091" s="218">
        <f>INDEX('Hist. prices'!$I$164:$AB$238,MATCH($C1091,'Hist. prices'!$C$164:$C$238,0),MATCH(AB$1022,'Hist. prices'!$I$5:$AB$5,0))</f>
        <v>0</v>
      </c>
      <c r="AC1091" s="187"/>
      <c r="AD1091" s="19"/>
      <c r="AE1091" s="19"/>
      <c r="AF1091" s="19"/>
      <c r="AG1091" s="19"/>
    </row>
    <row r="1092" spans="1:33" s="59" customFormat="1" hidden="1" outlineLevel="2" x14ac:dyDescent="0.2">
      <c r="A1092" s="57"/>
      <c r="B1092" s="57"/>
      <c r="C1092" s="506" t="str">
        <f t="shared" si="212"/>
        <v>Residential general light and power</v>
      </c>
      <c r="D1092" s="505" t="str">
        <f t="shared" si="212"/>
        <v>no</v>
      </c>
      <c r="E1092" s="58"/>
      <c r="F1092" s="223"/>
      <c r="G1092" s="58"/>
      <c r="H1092" s="58"/>
      <c r="I1092" s="218">
        <f>INDEX('Hist. prices'!$I$164:$AB$238,MATCH($C1092,'Hist. prices'!$C$164:$C$238,0),MATCH(I$1022,'Hist. prices'!$I$5:$AB$5,0))</f>
        <v>0</v>
      </c>
      <c r="J1092" s="218">
        <f>INDEX('Hist. prices'!$I$164:$AB$238,MATCH($C1092,'Hist. prices'!$C$164:$C$238,0),MATCH(J$1022,'Hist. prices'!$I$5:$AB$5,0))</f>
        <v>0</v>
      </c>
      <c r="K1092" s="218">
        <f>INDEX('Hist. prices'!$I$164:$AB$238,MATCH($C1092,'Hist. prices'!$C$164:$C$238,0),MATCH(K$1022,'Hist. prices'!$I$5:$AB$5,0))</f>
        <v>0</v>
      </c>
      <c r="L1092" s="218">
        <f>INDEX('Hist. prices'!$I$164:$AB$238,MATCH($C1092,'Hist. prices'!$C$164:$C$238,0),MATCH(L$1022,'Hist. prices'!$I$5:$AB$5,0))</f>
        <v>0</v>
      </c>
      <c r="M1092" s="218">
        <f>INDEX('Hist. prices'!$I$164:$AB$238,MATCH($C1092,'Hist. prices'!$C$164:$C$238,0),MATCH(M$1022,'Hist. prices'!$I$5:$AB$5,0))</f>
        <v>0</v>
      </c>
      <c r="N1092" s="218">
        <f>INDEX('Hist. prices'!$I$164:$AB$238,MATCH($C1092,'Hist. prices'!$C$164:$C$238,0),MATCH(N$1022,'Hist. prices'!$I$5:$AB$5,0))</f>
        <v>0</v>
      </c>
      <c r="O1092" s="218">
        <f>INDEX('Hist. prices'!$I$164:$AB$238,MATCH($C1092,'Hist. prices'!$C$164:$C$238,0),MATCH(O$1022,'Hist. prices'!$I$5:$AB$5,0))</f>
        <v>0</v>
      </c>
      <c r="P1092" s="218">
        <f>INDEX('Hist. prices'!$I$164:$AB$238,MATCH($C1092,'Hist. prices'!$C$164:$C$238,0),MATCH(P$1022,'Hist. prices'!$I$5:$AB$5,0))</f>
        <v>0</v>
      </c>
      <c r="Q1092" s="218">
        <f>INDEX('Hist. prices'!$I$164:$AB$238,MATCH($C1092,'Hist. prices'!$C$164:$C$238,0),MATCH(Q$1022,'Hist. prices'!$I$5:$AB$5,0))</f>
        <v>0</v>
      </c>
      <c r="R1092" s="218">
        <f>INDEX('Hist. prices'!$I$164:$AB$238,MATCH($C1092,'Hist. prices'!$C$164:$C$238,0),MATCH(R$1022,'Hist. prices'!$I$5:$AB$5,0))</f>
        <v>0</v>
      </c>
      <c r="S1092" s="218">
        <f>INDEX('Hist. prices'!$I$164:$AB$238,MATCH($C1092,'Hist. prices'!$C$164:$C$238,0),MATCH(S$1022,'Hist. prices'!$I$5:$AB$5,0))</f>
        <v>0</v>
      </c>
      <c r="T1092" s="218">
        <f>INDEX('Hist. prices'!$I$164:$AB$238,MATCH($C1092,'Hist. prices'!$C$164:$C$238,0),MATCH(T$1022,'Hist. prices'!$I$5:$AB$5,0))</f>
        <v>0</v>
      </c>
      <c r="U1092" s="218">
        <f>INDEX('Hist. prices'!$I$164:$AB$238,MATCH($C1092,'Hist. prices'!$C$164:$C$238,0),MATCH(U$1022,'Hist. prices'!$I$5:$AB$5,0))</f>
        <v>0</v>
      </c>
      <c r="V1092" s="218">
        <f>INDEX('Hist. prices'!$I$164:$AB$238,MATCH($C1092,'Hist. prices'!$C$164:$C$238,0),MATCH(V$1022,'Hist. prices'!$I$5:$AB$5,0))</f>
        <v>0</v>
      </c>
      <c r="W1092" s="218">
        <f>INDEX('Hist. prices'!$I$164:$AB$238,MATCH($C1092,'Hist. prices'!$C$164:$C$238,0),MATCH(W$1022,'Hist. prices'!$I$5:$AB$5,0))</f>
        <v>0</v>
      </c>
      <c r="X1092" s="218">
        <f>INDEX('Hist. prices'!$I$164:$AB$238,MATCH($C1092,'Hist. prices'!$C$164:$C$238,0),MATCH(X$1022,'Hist. prices'!$I$5:$AB$5,0))</f>
        <v>0</v>
      </c>
      <c r="Y1092" s="218">
        <f>INDEX('Hist. prices'!$I$164:$AB$238,MATCH($C1092,'Hist. prices'!$C$164:$C$238,0),MATCH(Y$1022,'Hist. prices'!$I$5:$AB$5,0))</f>
        <v>0</v>
      </c>
      <c r="Z1092" s="218">
        <f>INDEX('Hist. prices'!$I$164:$AB$238,MATCH($C1092,'Hist. prices'!$C$164:$C$238,0),MATCH(Z$1022,'Hist. prices'!$I$5:$AB$5,0))</f>
        <v>0</v>
      </c>
      <c r="AA1092" s="218">
        <f>INDEX('Hist. prices'!$I$164:$AB$238,MATCH($C1092,'Hist. prices'!$C$164:$C$238,0),MATCH(AA$1022,'Hist. prices'!$I$5:$AB$5,0))</f>
        <v>0</v>
      </c>
      <c r="AB1092" s="218">
        <f>INDEX('Hist. prices'!$I$164:$AB$238,MATCH($C1092,'Hist. prices'!$C$164:$C$238,0),MATCH(AB$1022,'Hist. prices'!$I$5:$AB$5,0))</f>
        <v>0</v>
      </c>
      <c r="AC1092" s="187"/>
      <c r="AD1092" s="57"/>
      <c r="AE1092" s="57"/>
      <c r="AF1092" s="57"/>
      <c r="AG1092" s="57"/>
    </row>
    <row r="1093" spans="1:33" hidden="1" outlineLevel="2" x14ac:dyDescent="0.2">
      <c r="A1093" s="19"/>
      <c r="B1093" s="19"/>
      <c r="C1093" s="506" t="str">
        <f t="shared" si="212"/>
        <v>Residential pay as you go</v>
      </c>
      <c r="D1093" s="505" t="str">
        <f t="shared" si="212"/>
        <v>no</v>
      </c>
      <c r="E1093" s="58"/>
      <c r="F1093" s="223"/>
      <c r="G1093" s="58"/>
      <c r="H1093" s="58"/>
      <c r="I1093" s="218">
        <f>INDEX('Hist. prices'!$I$164:$AB$238,MATCH($C1093,'Hist. prices'!$C$164:$C$238,0),MATCH(I$1022,'Hist. prices'!$I$5:$AB$5,0))</f>
        <v>0</v>
      </c>
      <c r="J1093" s="218">
        <f>INDEX('Hist. prices'!$I$164:$AB$238,MATCH($C1093,'Hist. prices'!$C$164:$C$238,0),MATCH(J$1022,'Hist. prices'!$I$5:$AB$5,0))</f>
        <v>0</v>
      </c>
      <c r="K1093" s="218">
        <f>INDEX('Hist. prices'!$I$164:$AB$238,MATCH($C1093,'Hist. prices'!$C$164:$C$238,0),MATCH(K$1022,'Hist. prices'!$I$5:$AB$5,0))</f>
        <v>0</v>
      </c>
      <c r="L1093" s="218">
        <f>INDEX('Hist. prices'!$I$164:$AB$238,MATCH($C1093,'Hist. prices'!$C$164:$C$238,0),MATCH(L$1022,'Hist. prices'!$I$5:$AB$5,0))</f>
        <v>0</v>
      </c>
      <c r="M1093" s="218">
        <f>INDEX('Hist. prices'!$I$164:$AB$238,MATCH($C1093,'Hist. prices'!$C$164:$C$238,0),MATCH(M$1022,'Hist. prices'!$I$5:$AB$5,0))</f>
        <v>0</v>
      </c>
      <c r="N1093" s="218">
        <f>INDEX('Hist. prices'!$I$164:$AB$238,MATCH($C1093,'Hist. prices'!$C$164:$C$238,0),MATCH(N$1022,'Hist. prices'!$I$5:$AB$5,0))</f>
        <v>0</v>
      </c>
      <c r="O1093" s="218">
        <f>INDEX('Hist. prices'!$I$164:$AB$238,MATCH($C1093,'Hist. prices'!$C$164:$C$238,0),MATCH(O$1022,'Hist. prices'!$I$5:$AB$5,0))</f>
        <v>0</v>
      </c>
      <c r="P1093" s="218">
        <f>INDEX('Hist. prices'!$I$164:$AB$238,MATCH($C1093,'Hist. prices'!$C$164:$C$238,0),MATCH(P$1022,'Hist. prices'!$I$5:$AB$5,0))</f>
        <v>0</v>
      </c>
      <c r="Q1093" s="218">
        <f>INDEX('Hist. prices'!$I$164:$AB$238,MATCH($C1093,'Hist. prices'!$C$164:$C$238,0),MATCH(Q$1022,'Hist. prices'!$I$5:$AB$5,0))</f>
        <v>0</v>
      </c>
      <c r="R1093" s="218">
        <f>INDEX('Hist. prices'!$I$164:$AB$238,MATCH($C1093,'Hist. prices'!$C$164:$C$238,0),MATCH(R$1022,'Hist. prices'!$I$5:$AB$5,0))</f>
        <v>0</v>
      </c>
      <c r="S1093" s="218">
        <f>INDEX('Hist. prices'!$I$164:$AB$238,MATCH($C1093,'Hist. prices'!$C$164:$C$238,0),MATCH(S$1022,'Hist. prices'!$I$5:$AB$5,0))</f>
        <v>0</v>
      </c>
      <c r="T1093" s="218">
        <f>INDEX('Hist. prices'!$I$164:$AB$238,MATCH($C1093,'Hist. prices'!$C$164:$C$238,0),MATCH(T$1022,'Hist. prices'!$I$5:$AB$5,0))</f>
        <v>0</v>
      </c>
      <c r="U1093" s="218">
        <f>INDEX('Hist. prices'!$I$164:$AB$238,MATCH($C1093,'Hist. prices'!$C$164:$C$238,0),MATCH(U$1022,'Hist. prices'!$I$5:$AB$5,0))</f>
        <v>0</v>
      </c>
      <c r="V1093" s="218">
        <f>INDEX('Hist. prices'!$I$164:$AB$238,MATCH($C1093,'Hist. prices'!$C$164:$C$238,0),MATCH(V$1022,'Hist. prices'!$I$5:$AB$5,0))</f>
        <v>0</v>
      </c>
      <c r="W1093" s="218">
        <f>INDEX('Hist. prices'!$I$164:$AB$238,MATCH($C1093,'Hist. prices'!$C$164:$C$238,0),MATCH(W$1022,'Hist. prices'!$I$5:$AB$5,0))</f>
        <v>0</v>
      </c>
      <c r="X1093" s="218">
        <f>INDEX('Hist. prices'!$I$164:$AB$238,MATCH($C1093,'Hist. prices'!$C$164:$C$238,0),MATCH(X$1022,'Hist. prices'!$I$5:$AB$5,0))</f>
        <v>0</v>
      </c>
      <c r="Y1093" s="218">
        <f>INDEX('Hist. prices'!$I$164:$AB$238,MATCH($C1093,'Hist. prices'!$C$164:$C$238,0),MATCH(Y$1022,'Hist. prices'!$I$5:$AB$5,0))</f>
        <v>0</v>
      </c>
      <c r="Z1093" s="218">
        <f>INDEX('Hist. prices'!$I$164:$AB$238,MATCH($C1093,'Hist. prices'!$C$164:$C$238,0),MATCH(Z$1022,'Hist. prices'!$I$5:$AB$5,0))</f>
        <v>0</v>
      </c>
      <c r="AA1093" s="218">
        <f>INDEX('Hist. prices'!$I$164:$AB$238,MATCH($C1093,'Hist. prices'!$C$164:$C$238,0),MATCH(AA$1022,'Hist. prices'!$I$5:$AB$5,0))</f>
        <v>0</v>
      </c>
      <c r="AB1093" s="218">
        <f>INDEX('Hist. prices'!$I$164:$AB$238,MATCH($C1093,'Hist. prices'!$C$164:$C$238,0),MATCH(AB$1022,'Hist. prices'!$I$5:$AB$5,0))</f>
        <v>0</v>
      </c>
      <c r="AC1093" s="187"/>
      <c r="AD1093" s="19"/>
      <c r="AE1093" s="19"/>
      <c r="AF1093" s="19"/>
      <c r="AG1093" s="19"/>
    </row>
    <row r="1094" spans="1:33" hidden="1" outlineLevel="2" x14ac:dyDescent="0.2">
      <c r="A1094" s="19"/>
      <c r="B1094" s="19"/>
      <c r="C1094" s="506" t="str">
        <f t="shared" si="212"/>
        <v>Residential pay as you go time of use</v>
      </c>
      <c r="D1094" s="505" t="str">
        <f t="shared" si="212"/>
        <v>no</v>
      </c>
      <c r="E1094" s="58"/>
      <c r="F1094" s="223"/>
      <c r="G1094" s="58"/>
      <c r="H1094" s="58"/>
      <c r="I1094" s="218">
        <f>INDEX('Hist. prices'!$I$164:$AB$238,MATCH($C1094,'Hist. prices'!$C$164:$C$238,0),MATCH(I$1022,'Hist. prices'!$I$5:$AB$5,0))</f>
        <v>0</v>
      </c>
      <c r="J1094" s="218">
        <f>INDEX('Hist. prices'!$I$164:$AB$238,MATCH($C1094,'Hist. prices'!$C$164:$C$238,0),MATCH(J$1022,'Hist. prices'!$I$5:$AB$5,0))</f>
        <v>0</v>
      </c>
      <c r="K1094" s="218">
        <f>INDEX('Hist. prices'!$I$164:$AB$238,MATCH($C1094,'Hist. prices'!$C$164:$C$238,0),MATCH(K$1022,'Hist. prices'!$I$5:$AB$5,0))</f>
        <v>0</v>
      </c>
      <c r="L1094" s="218">
        <f>INDEX('Hist. prices'!$I$164:$AB$238,MATCH($C1094,'Hist. prices'!$C$164:$C$238,0),MATCH(L$1022,'Hist. prices'!$I$5:$AB$5,0))</f>
        <v>0</v>
      </c>
      <c r="M1094" s="218">
        <f>INDEX('Hist. prices'!$I$164:$AB$238,MATCH($C1094,'Hist. prices'!$C$164:$C$238,0),MATCH(M$1022,'Hist. prices'!$I$5:$AB$5,0))</f>
        <v>0</v>
      </c>
      <c r="N1094" s="218">
        <f>INDEX('Hist. prices'!$I$164:$AB$238,MATCH($C1094,'Hist. prices'!$C$164:$C$238,0),MATCH(N$1022,'Hist. prices'!$I$5:$AB$5,0))</f>
        <v>0</v>
      </c>
      <c r="O1094" s="218">
        <f>INDEX('Hist. prices'!$I$164:$AB$238,MATCH($C1094,'Hist. prices'!$C$164:$C$238,0),MATCH(O$1022,'Hist. prices'!$I$5:$AB$5,0))</f>
        <v>0</v>
      </c>
      <c r="P1094" s="218">
        <f>INDEX('Hist. prices'!$I$164:$AB$238,MATCH($C1094,'Hist. prices'!$C$164:$C$238,0),MATCH(P$1022,'Hist. prices'!$I$5:$AB$5,0))</f>
        <v>0</v>
      </c>
      <c r="Q1094" s="218">
        <f>INDEX('Hist. prices'!$I$164:$AB$238,MATCH($C1094,'Hist. prices'!$C$164:$C$238,0),MATCH(Q$1022,'Hist. prices'!$I$5:$AB$5,0))</f>
        <v>0</v>
      </c>
      <c r="R1094" s="218">
        <f>INDEX('Hist. prices'!$I$164:$AB$238,MATCH($C1094,'Hist. prices'!$C$164:$C$238,0),MATCH(R$1022,'Hist. prices'!$I$5:$AB$5,0))</f>
        <v>0</v>
      </c>
      <c r="S1094" s="218">
        <f>INDEX('Hist. prices'!$I$164:$AB$238,MATCH($C1094,'Hist. prices'!$C$164:$C$238,0),MATCH(S$1022,'Hist. prices'!$I$5:$AB$5,0))</f>
        <v>0</v>
      </c>
      <c r="T1094" s="218">
        <f>INDEX('Hist. prices'!$I$164:$AB$238,MATCH($C1094,'Hist. prices'!$C$164:$C$238,0),MATCH(T$1022,'Hist. prices'!$I$5:$AB$5,0))</f>
        <v>0</v>
      </c>
      <c r="U1094" s="218">
        <f>INDEX('Hist. prices'!$I$164:$AB$238,MATCH($C1094,'Hist. prices'!$C$164:$C$238,0),MATCH(U$1022,'Hist. prices'!$I$5:$AB$5,0))</f>
        <v>0</v>
      </c>
      <c r="V1094" s="218">
        <f>INDEX('Hist. prices'!$I$164:$AB$238,MATCH($C1094,'Hist. prices'!$C$164:$C$238,0),MATCH(V$1022,'Hist. prices'!$I$5:$AB$5,0))</f>
        <v>0</v>
      </c>
      <c r="W1094" s="218">
        <f>INDEX('Hist. prices'!$I$164:$AB$238,MATCH($C1094,'Hist. prices'!$C$164:$C$238,0),MATCH(W$1022,'Hist. prices'!$I$5:$AB$5,0))</f>
        <v>0</v>
      </c>
      <c r="X1094" s="218">
        <f>INDEX('Hist. prices'!$I$164:$AB$238,MATCH($C1094,'Hist. prices'!$C$164:$C$238,0),MATCH(X$1022,'Hist. prices'!$I$5:$AB$5,0))</f>
        <v>0</v>
      </c>
      <c r="Y1094" s="218">
        <f>INDEX('Hist. prices'!$I$164:$AB$238,MATCH($C1094,'Hist. prices'!$C$164:$C$238,0),MATCH(Y$1022,'Hist. prices'!$I$5:$AB$5,0))</f>
        <v>0</v>
      </c>
      <c r="Z1094" s="218">
        <f>INDEX('Hist. prices'!$I$164:$AB$238,MATCH($C1094,'Hist. prices'!$C$164:$C$238,0),MATCH(Z$1022,'Hist. prices'!$I$5:$AB$5,0))</f>
        <v>0</v>
      </c>
      <c r="AA1094" s="218">
        <f>INDEX('Hist. prices'!$I$164:$AB$238,MATCH($C1094,'Hist. prices'!$C$164:$C$238,0),MATCH(AA$1022,'Hist. prices'!$I$5:$AB$5,0))</f>
        <v>0</v>
      </c>
      <c r="AB1094" s="218">
        <f>INDEX('Hist. prices'!$I$164:$AB$238,MATCH($C1094,'Hist. prices'!$C$164:$C$238,0),MATCH(AB$1022,'Hist. prices'!$I$5:$AB$5,0))</f>
        <v>0</v>
      </c>
      <c r="AC1094" s="187"/>
      <c r="AD1094" s="19"/>
      <c r="AE1094" s="19"/>
      <c r="AF1094" s="19"/>
      <c r="AG1094" s="19"/>
    </row>
    <row r="1095" spans="1:33" hidden="1" outlineLevel="2" x14ac:dyDescent="0.2">
      <c r="A1095" s="19"/>
      <c r="B1095" s="19"/>
      <c r="C1095" s="506">
        <f t="shared" si="212"/>
        <v>0</v>
      </c>
      <c r="D1095" s="505">
        <f t="shared" si="212"/>
        <v>0</v>
      </c>
      <c r="E1095" s="58"/>
      <c r="F1095" s="223"/>
      <c r="G1095" s="58"/>
      <c r="H1095" s="58"/>
      <c r="I1095" s="218">
        <f>INDEX('Hist. prices'!$I$164:$AB$238,MATCH($C1095,'Hist. prices'!$C$164:$C$238,0),MATCH(I$1022,'Hist. prices'!$I$5:$AB$5,0))</f>
        <v>0</v>
      </c>
      <c r="J1095" s="218">
        <f>INDEX('Hist. prices'!$I$164:$AB$238,MATCH($C1095,'Hist. prices'!$C$164:$C$238,0),MATCH(J$1022,'Hist. prices'!$I$5:$AB$5,0))</f>
        <v>0</v>
      </c>
      <c r="K1095" s="218">
        <f>INDEX('Hist. prices'!$I$164:$AB$238,MATCH($C1095,'Hist. prices'!$C$164:$C$238,0),MATCH(K$1022,'Hist. prices'!$I$5:$AB$5,0))</f>
        <v>0</v>
      </c>
      <c r="L1095" s="218">
        <f>INDEX('Hist. prices'!$I$164:$AB$238,MATCH($C1095,'Hist. prices'!$C$164:$C$238,0),MATCH(L$1022,'Hist. prices'!$I$5:$AB$5,0))</f>
        <v>0</v>
      </c>
      <c r="M1095" s="218">
        <f>INDEX('Hist. prices'!$I$164:$AB$238,MATCH($C1095,'Hist. prices'!$C$164:$C$238,0),MATCH(M$1022,'Hist. prices'!$I$5:$AB$5,0))</f>
        <v>0</v>
      </c>
      <c r="N1095" s="218">
        <f>INDEX('Hist. prices'!$I$164:$AB$238,MATCH($C1095,'Hist. prices'!$C$164:$C$238,0),MATCH(N$1022,'Hist. prices'!$I$5:$AB$5,0))</f>
        <v>0</v>
      </c>
      <c r="O1095" s="218">
        <f>INDEX('Hist. prices'!$I$164:$AB$238,MATCH($C1095,'Hist. prices'!$C$164:$C$238,0),MATCH(O$1022,'Hist. prices'!$I$5:$AB$5,0))</f>
        <v>0</v>
      </c>
      <c r="P1095" s="218">
        <f>INDEX('Hist. prices'!$I$164:$AB$238,MATCH($C1095,'Hist. prices'!$C$164:$C$238,0),MATCH(P$1022,'Hist. prices'!$I$5:$AB$5,0))</f>
        <v>0</v>
      </c>
      <c r="Q1095" s="218">
        <f>INDEX('Hist. prices'!$I$164:$AB$238,MATCH($C1095,'Hist. prices'!$C$164:$C$238,0),MATCH(Q$1022,'Hist. prices'!$I$5:$AB$5,0))</f>
        <v>0</v>
      </c>
      <c r="R1095" s="218">
        <f>INDEX('Hist. prices'!$I$164:$AB$238,MATCH($C1095,'Hist. prices'!$C$164:$C$238,0),MATCH(R$1022,'Hist. prices'!$I$5:$AB$5,0))</f>
        <v>0</v>
      </c>
      <c r="S1095" s="218">
        <f>INDEX('Hist. prices'!$I$164:$AB$238,MATCH($C1095,'Hist. prices'!$C$164:$C$238,0),MATCH(S$1022,'Hist. prices'!$I$5:$AB$5,0))</f>
        <v>0</v>
      </c>
      <c r="T1095" s="218">
        <f>INDEX('Hist. prices'!$I$164:$AB$238,MATCH($C1095,'Hist. prices'!$C$164:$C$238,0),MATCH(T$1022,'Hist. prices'!$I$5:$AB$5,0))</f>
        <v>0</v>
      </c>
      <c r="U1095" s="218">
        <f>INDEX('Hist. prices'!$I$164:$AB$238,MATCH($C1095,'Hist. prices'!$C$164:$C$238,0),MATCH(U$1022,'Hist. prices'!$I$5:$AB$5,0))</f>
        <v>0</v>
      </c>
      <c r="V1095" s="218">
        <f>INDEX('Hist. prices'!$I$164:$AB$238,MATCH($C1095,'Hist. prices'!$C$164:$C$238,0),MATCH(V$1022,'Hist. prices'!$I$5:$AB$5,0))</f>
        <v>0</v>
      </c>
      <c r="W1095" s="218">
        <f>INDEX('Hist. prices'!$I$164:$AB$238,MATCH($C1095,'Hist. prices'!$C$164:$C$238,0),MATCH(W$1022,'Hist. prices'!$I$5:$AB$5,0))</f>
        <v>0</v>
      </c>
      <c r="X1095" s="218">
        <f>INDEX('Hist. prices'!$I$164:$AB$238,MATCH($C1095,'Hist. prices'!$C$164:$C$238,0),MATCH(X$1022,'Hist. prices'!$I$5:$AB$5,0))</f>
        <v>0</v>
      </c>
      <c r="Y1095" s="218">
        <f>INDEX('Hist. prices'!$I$164:$AB$238,MATCH($C1095,'Hist. prices'!$C$164:$C$238,0),MATCH(Y$1022,'Hist. prices'!$I$5:$AB$5,0))</f>
        <v>0</v>
      </c>
      <c r="Z1095" s="218">
        <f>INDEX('Hist. prices'!$I$164:$AB$238,MATCH($C1095,'Hist. prices'!$C$164:$C$238,0),MATCH(Z$1022,'Hist. prices'!$I$5:$AB$5,0))</f>
        <v>0</v>
      </c>
      <c r="AA1095" s="218">
        <f>INDEX('Hist. prices'!$I$164:$AB$238,MATCH($C1095,'Hist. prices'!$C$164:$C$238,0),MATCH(AA$1022,'Hist. prices'!$I$5:$AB$5,0))</f>
        <v>0</v>
      </c>
      <c r="AB1095" s="218">
        <f>INDEX('Hist. prices'!$I$164:$AB$238,MATCH($C1095,'Hist. prices'!$C$164:$C$238,0),MATCH(AB$1022,'Hist. prices'!$I$5:$AB$5,0))</f>
        <v>0</v>
      </c>
      <c r="AC1095" s="187"/>
      <c r="AD1095" s="19"/>
      <c r="AE1095" s="19"/>
      <c r="AF1095" s="19"/>
      <c r="AG1095" s="19"/>
    </row>
    <row r="1096" spans="1:33" hidden="1" outlineLevel="3" x14ac:dyDescent="0.2">
      <c r="A1096" s="19"/>
      <c r="B1096" s="19"/>
      <c r="C1096" s="506">
        <f t="shared" si="212"/>
        <v>0</v>
      </c>
      <c r="D1096" s="505">
        <f t="shared" si="212"/>
        <v>0</v>
      </c>
      <c r="E1096" s="58"/>
      <c r="F1096" s="223"/>
      <c r="G1096" s="58"/>
      <c r="H1096" s="58"/>
      <c r="I1096" s="218">
        <f>INDEX('Hist. prices'!$I$164:$AB$238,MATCH($C1096,'Hist. prices'!$C$164:$C$238,0),MATCH(I$1022,'Hist. prices'!$I$5:$AB$5,0))</f>
        <v>0</v>
      </c>
      <c r="J1096" s="218">
        <f>INDEX('Hist. prices'!$I$164:$AB$238,MATCH($C1096,'Hist. prices'!$C$164:$C$238,0),MATCH(J$1022,'Hist. prices'!$I$5:$AB$5,0))</f>
        <v>0</v>
      </c>
      <c r="K1096" s="218">
        <f>INDEX('Hist. prices'!$I$164:$AB$238,MATCH($C1096,'Hist. prices'!$C$164:$C$238,0),MATCH(K$1022,'Hist. prices'!$I$5:$AB$5,0))</f>
        <v>0</v>
      </c>
      <c r="L1096" s="218">
        <f>INDEX('Hist. prices'!$I$164:$AB$238,MATCH($C1096,'Hist. prices'!$C$164:$C$238,0),MATCH(L$1022,'Hist. prices'!$I$5:$AB$5,0))</f>
        <v>0</v>
      </c>
      <c r="M1096" s="218">
        <f>INDEX('Hist. prices'!$I$164:$AB$238,MATCH($C1096,'Hist. prices'!$C$164:$C$238,0),MATCH(M$1022,'Hist. prices'!$I$5:$AB$5,0))</f>
        <v>0</v>
      </c>
      <c r="N1096" s="218">
        <f>INDEX('Hist. prices'!$I$164:$AB$238,MATCH($C1096,'Hist. prices'!$C$164:$C$238,0),MATCH(N$1022,'Hist. prices'!$I$5:$AB$5,0))</f>
        <v>0</v>
      </c>
      <c r="O1096" s="218">
        <f>INDEX('Hist. prices'!$I$164:$AB$238,MATCH($C1096,'Hist. prices'!$C$164:$C$238,0),MATCH(O$1022,'Hist. prices'!$I$5:$AB$5,0))</f>
        <v>0</v>
      </c>
      <c r="P1096" s="218">
        <f>INDEX('Hist. prices'!$I$164:$AB$238,MATCH($C1096,'Hist. prices'!$C$164:$C$238,0),MATCH(P$1022,'Hist. prices'!$I$5:$AB$5,0))</f>
        <v>0</v>
      </c>
      <c r="Q1096" s="218">
        <f>INDEX('Hist. prices'!$I$164:$AB$238,MATCH($C1096,'Hist. prices'!$C$164:$C$238,0),MATCH(Q$1022,'Hist. prices'!$I$5:$AB$5,0))</f>
        <v>0</v>
      </c>
      <c r="R1096" s="218">
        <f>INDEX('Hist. prices'!$I$164:$AB$238,MATCH($C1096,'Hist. prices'!$C$164:$C$238,0),MATCH(R$1022,'Hist. prices'!$I$5:$AB$5,0))</f>
        <v>0</v>
      </c>
      <c r="S1096" s="218">
        <f>INDEX('Hist. prices'!$I$164:$AB$238,MATCH($C1096,'Hist. prices'!$C$164:$C$238,0),MATCH(S$1022,'Hist. prices'!$I$5:$AB$5,0))</f>
        <v>0</v>
      </c>
      <c r="T1096" s="218">
        <f>INDEX('Hist. prices'!$I$164:$AB$238,MATCH($C1096,'Hist. prices'!$C$164:$C$238,0),MATCH(T$1022,'Hist. prices'!$I$5:$AB$5,0))</f>
        <v>0</v>
      </c>
      <c r="U1096" s="218">
        <f>INDEX('Hist. prices'!$I$164:$AB$238,MATCH($C1096,'Hist. prices'!$C$164:$C$238,0),MATCH(U$1022,'Hist. prices'!$I$5:$AB$5,0))</f>
        <v>0</v>
      </c>
      <c r="V1096" s="218">
        <f>INDEX('Hist. prices'!$I$164:$AB$238,MATCH($C1096,'Hist. prices'!$C$164:$C$238,0),MATCH(V$1022,'Hist. prices'!$I$5:$AB$5,0))</f>
        <v>0</v>
      </c>
      <c r="W1096" s="218">
        <f>INDEX('Hist. prices'!$I$164:$AB$238,MATCH($C1096,'Hist. prices'!$C$164:$C$238,0),MATCH(W$1022,'Hist. prices'!$I$5:$AB$5,0))</f>
        <v>0</v>
      </c>
      <c r="X1096" s="218">
        <f>INDEX('Hist. prices'!$I$164:$AB$238,MATCH($C1096,'Hist. prices'!$C$164:$C$238,0),MATCH(X$1022,'Hist. prices'!$I$5:$AB$5,0))</f>
        <v>0</v>
      </c>
      <c r="Y1096" s="218">
        <f>INDEX('Hist. prices'!$I$164:$AB$238,MATCH($C1096,'Hist. prices'!$C$164:$C$238,0),MATCH(Y$1022,'Hist. prices'!$I$5:$AB$5,0))</f>
        <v>0</v>
      </c>
      <c r="Z1096" s="218">
        <f>INDEX('Hist. prices'!$I$164:$AB$238,MATCH($C1096,'Hist. prices'!$C$164:$C$238,0),MATCH(Z$1022,'Hist. prices'!$I$5:$AB$5,0))</f>
        <v>0</v>
      </c>
      <c r="AA1096" s="218">
        <f>INDEX('Hist. prices'!$I$164:$AB$238,MATCH($C1096,'Hist. prices'!$C$164:$C$238,0),MATCH(AA$1022,'Hist. prices'!$I$5:$AB$5,0))</f>
        <v>0</v>
      </c>
      <c r="AB1096" s="218">
        <f>INDEX('Hist. prices'!$I$164:$AB$238,MATCH($C1096,'Hist. prices'!$C$164:$C$238,0),MATCH(AB$1022,'Hist. prices'!$I$5:$AB$5,0))</f>
        <v>0</v>
      </c>
      <c r="AC1096" s="187"/>
      <c r="AD1096" s="19"/>
      <c r="AE1096" s="19"/>
      <c r="AF1096" s="19"/>
      <c r="AG1096" s="19"/>
    </row>
    <row r="1097" spans="1:33" hidden="1" outlineLevel="3" x14ac:dyDescent="0.2">
      <c r="A1097" s="19"/>
      <c r="B1097" s="19"/>
      <c r="C1097" s="506">
        <f t="shared" si="212"/>
        <v>0</v>
      </c>
      <c r="D1097" s="505">
        <f t="shared" si="212"/>
        <v>0</v>
      </c>
      <c r="E1097" s="58"/>
      <c r="F1097" s="223"/>
      <c r="G1097" s="58"/>
      <c r="H1097" s="58"/>
      <c r="I1097" s="218">
        <f>INDEX('Hist. prices'!$I$164:$AB$238,MATCH($C1097,'Hist. prices'!$C$164:$C$238,0),MATCH(I$1022,'Hist. prices'!$I$5:$AB$5,0))</f>
        <v>0</v>
      </c>
      <c r="J1097" s="218">
        <f>INDEX('Hist. prices'!$I$164:$AB$238,MATCH($C1097,'Hist. prices'!$C$164:$C$238,0),MATCH(J$1022,'Hist. prices'!$I$5:$AB$5,0))</f>
        <v>0</v>
      </c>
      <c r="K1097" s="218">
        <f>INDEX('Hist. prices'!$I$164:$AB$238,MATCH($C1097,'Hist. prices'!$C$164:$C$238,0),MATCH(K$1022,'Hist. prices'!$I$5:$AB$5,0))</f>
        <v>0</v>
      </c>
      <c r="L1097" s="218">
        <f>INDEX('Hist. prices'!$I$164:$AB$238,MATCH($C1097,'Hist. prices'!$C$164:$C$238,0),MATCH(L$1022,'Hist. prices'!$I$5:$AB$5,0))</f>
        <v>0</v>
      </c>
      <c r="M1097" s="218">
        <f>INDEX('Hist. prices'!$I$164:$AB$238,MATCH($C1097,'Hist. prices'!$C$164:$C$238,0),MATCH(M$1022,'Hist. prices'!$I$5:$AB$5,0))</f>
        <v>0</v>
      </c>
      <c r="N1097" s="218">
        <f>INDEX('Hist. prices'!$I$164:$AB$238,MATCH($C1097,'Hist. prices'!$C$164:$C$238,0),MATCH(N$1022,'Hist. prices'!$I$5:$AB$5,0))</f>
        <v>0</v>
      </c>
      <c r="O1097" s="218">
        <f>INDEX('Hist. prices'!$I$164:$AB$238,MATCH($C1097,'Hist. prices'!$C$164:$C$238,0),MATCH(O$1022,'Hist. prices'!$I$5:$AB$5,0))</f>
        <v>0</v>
      </c>
      <c r="P1097" s="218">
        <f>INDEX('Hist. prices'!$I$164:$AB$238,MATCH($C1097,'Hist. prices'!$C$164:$C$238,0),MATCH(P$1022,'Hist. prices'!$I$5:$AB$5,0))</f>
        <v>0</v>
      </c>
      <c r="Q1097" s="218">
        <f>INDEX('Hist. prices'!$I$164:$AB$238,MATCH($C1097,'Hist. prices'!$C$164:$C$238,0),MATCH(Q$1022,'Hist. prices'!$I$5:$AB$5,0))</f>
        <v>0</v>
      </c>
      <c r="R1097" s="218">
        <f>INDEX('Hist. prices'!$I$164:$AB$238,MATCH($C1097,'Hist. prices'!$C$164:$C$238,0),MATCH(R$1022,'Hist. prices'!$I$5:$AB$5,0))</f>
        <v>0</v>
      </c>
      <c r="S1097" s="218">
        <f>INDEX('Hist. prices'!$I$164:$AB$238,MATCH($C1097,'Hist. prices'!$C$164:$C$238,0),MATCH(S$1022,'Hist. prices'!$I$5:$AB$5,0))</f>
        <v>0</v>
      </c>
      <c r="T1097" s="218">
        <f>INDEX('Hist. prices'!$I$164:$AB$238,MATCH($C1097,'Hist. prices'!$C$164:$C$238,0),MATCH(T$1022,'Hist. prices'!$I$5:$AB$5,0))</f>
        <v>0</v>
      </c>
      <c r="U1097" s="218">
        <f>INDEX('Hist. prices'!$I$164:$AB$238,MATCH($C1097,'Hist. prices'!$C$164:$C$238,0),MATCH(U$1022,'Hist. prices'!$I$5:$AB$5,0))</f>
        <v>0</v>
      </c>
      <c r="V1097" s="218">
        <f>INDEX('Hist. prices'!$I$164:$AB$238,MATCH($C1097,'Hist. prices'!$C$164:$C$238,0),MATCH(V$1022,'Hist. prices'!$I$5:$AB$5,0))</f>
        <v>0</v>
      </c>
      <c r="W1097" s="218">
        <f>INDEX('Hist. prices'!$I$164:$AB$238,MATCH($C1097,'Hist. prices'!$C$164:$C$238,0),MATCH(W$1022,'Hist. prices'!$I$5:$AB$5,0))</f>
        <v>0</v>
      </c>
      <c r="X1097" s="218">
        <f>INDEX('Hist. prices'!$I$164:$AB$238,MATCH($C1097,'Hist. prices'!$C$164:$C$238,0),MATCH(X$1022,'Hist. prices'!$I$5:$AB$5,0))</f>
        <v>0</v>
      </c>
      <c r="Y1097" s="218">
        <f>INDEX('Hist. prices'!$I$164:$AB$238,MATCH($C1097,'Hist. prices'!$C$164:$C$238,0),MATCH(Y$1022,'Hist. prices'!$I$5:$AB$5,0))</f>
        <v>0</v>
      </c>
      <c r="Z1097" s="218">
        <f>INDEX('Hist. prices'!$I$164:$AB$238,MATCH($C1097,'Hist. prices'!$C$164:$C$238,0),MATCH(Z$1022,'Hist. prices'!$I$5:$AB$5,0))</f>
        <v>0</v>
      </c>
      <c r="AA1097" s="218">
        <f>INDEX('Hist. prices'!$I$164:$AB$238,MATCH($C1097,'Hist. prices'!$C$164:$C$238,0),MATCH(AA$1022,'Hist. prices'!$I$5:$AB$5,0))</f>
        <v>0</v>
      </c>
      <c r="AB1097" s="218">
        <f>INDEX('Hist. prices'!$I$164:$AB$238,MATCH($C1097,'Hist. prices'!$C$164:$C$238,0),MATCH(AB$1022,'Hist. prices'!$I$5:$AB$5,0))</f>
        <v>0</v>
      </c>
      <c r="AC1097" s="187"/>
      <c r="AD1097" s="19"/>
      <c r="AE1097" s="19"/>
      <c r="AF1097" s="19"/>
      <c r="AG1097" s="19"/>
    </row>
    <row r="1098" spans="1:33" hidden="1" outlineLevel="3" x14ac:dyDescent="0.2">
      <c r="A1098" s="19"/>
      <c r="B1098" s="19"/>
      <c r="C1098" s="506">
        <f t="shared" si="212"/>
        <v>0</v>
      </c>
      <c r="D1098" s="505">
        <f t="shared" si="212"/>
        <v>0</v>
      </c>
      <c r="E1098" s="58"/>
      <c r="F1098" s="223"/>
      <c r="G1098" s="58"/>
      <c r="H1098" s="58"/>
      <c r="I1098" s="218">
        <f>INDEX('Hist. prices'!$I$164:$AB$238,MATCH($C1098,'Hist. prices'!$C$164:$C$238,0),MATCH(I$1022,'Hist. prices'!$I$5:$AB$5,0))</f>
        <v>0</v>
      </c>
      <c r="J1098" s="218">
        <f>INDEX('Hist. prices'!$I$164:$AB$238,MATCH($C1098,'Hist. prices'!$C$164:$C$238,0),MATCH(J$1022,'Hist. prices'!$I$5:$AB$5,0))</f>
        <v>0</v>
      </c>
      <c r="K1098" s="218">
        <f>INDEX('Hist. prices'!$I$164:$AB$238,MATCH($C1098,'Hist. prices'!$C$164:$C$238,0),MATCH(K$1022,'Hist. prices'!$I$5:$AB$5,0))</f>
        <v>0</v>
      </c>
      <c r="L1098" s="218">
        <f>INDEX('Hist. prices'!$I$164:$AB$238,MATCH($C1098,'Hist. prices'!$C$164:$C$238,0),MATCH(L$1022,'Hist. prices'!$I$5:$AB$5,0))</f>
        <v>0</v>
      </c>
      <c r="M1098" s="218">
        <f>INDEX('Hist. prices'!$I$164:$AB$238,MATCH($C1098,'Hist. prices'!$C$164:$C$238,0),MATCH(M$1022,'Hist. prices'!$I$5:$AB$5,0))</f>
        <v>0</v>
      </c>
      <c r="N1098" s="218">
        <f>INDEX('Hist. prices'!$I$164:$AB$238,MATCH($C1098,'Hist. prices'!$C$164:$C$238,0),MATCH(N$1022,'Hist. prices'!$I$5:$AB$5,0))</f>
        <v>0</v>
      </c>
      <c r="O1098" s="218">
        <f>INDEX('Hist. prices'!$I$164:$AB$238,MATCH($C1098,'Hist. prices'!$C$164:$C$238,0),MATCH(O$1022,'Hist. prices'!$I$5:$AB$5,0))</f>
        <v>0</v>
      </c>
      <c r="P1098" s="218">
        <f>INDEX('Hist. prices'!$I$164:$AB$238,MATCH($C1098,'Hist. prices'!$C$164:$C$238,0),MATCH(P$1022,'Hist. prices'!$I$5:$AB$5,0))</f>
        <v>0</v>
      </c>
      <c r="Q1098" s="218">
        <f>INDEX('Hist. prices'!$I$164:$AB$238,MATCH($C1098,'Hist. prices'!$C$164:$C$238,0),MATCH(Q$1022,'Hist. prices'!$I$5:$AB$5,0))</f>
        <v>0</v>
      </c>
      <c r="R1098" s="218">
        <f>INDEX('Hist. prices'!$I$164:$AB$238,MATCH($C1098,'Hist. prices'!$C$164:$C$238,0),MATCH(R$1022,'Hist. prices'!$I$5:$AB$5,0))</f>
        <v>0</v>
      </c>
      <c r="S1098" s="218">
        <f>INDEX('Hist. prices'!$I$164:$AB$238,MATCH($C1098,'Hist. prices'!$C$164:$C$238,0),MATCH(S$1022,'Hist. prices'!$I$5:$AB$5,0))</f>
        <v>0</v>
      </c>
      <c r="T1098" s="218">
        <f>INDEX('Hist. prices'!$I$164:$AB$238,MATCH($C1098,'Hist. prices'!$C$164:$C$238,0),MATCH(T$1022,'Hist. prices'!$I$5:$AB$5,0))</f>
        <v>0</v>
      </c>
      <c r="U1098" s="218">
        <f>INDEX('Hist. prices'!$I$164:$AB$238,MATCH($C1098,'Hist. prices'!$C$164:$C$238,0),MATCH(U$1022,'Hist. prices'!$I$5:$AB$5,0))</f>
        <v>0</v>
      </c>
      <c r="V1098" s="218">
        <f>INDEX('Hist. prices'!$I$164:$AB$238,MATCH($C1098,'Hist. prices'!$C$164:$C$238,0),MATCH(V$1022,'Hist. prices'!$I$5:$AB$5,0))</f>
        <v>0</v>
      </c>
      <c r="W1098" s="218">
        <f>INDEX('Hist. prices'!$I$164:$AB$238,MATCH($C1098,'Hist. prices'!$C$164:$C$238,0),MATCH(W$1022,'Hist. prices'!$I$5:$AB$5,0))</f>
        <v>0</v>
      </c>
      <c r="X1098" s="218">
        <f>INDEX('Hist. prices'!$I$164:$AB$238,MATCH($C1098,'Hist. prices'!$C$164:$C$238,0),MATCH(X$1022,'Hist. prices'!$I$5:$AB$5,0))</f>
        <v>0</v>
      </c>
      <c r="Y1098" s="218">
        <f>INDEX('Hist. prices'!$I$164:$AB$238,MATCH($C1098,'Hist. prices'!$C$164:$C$238,0),MATCH(Y$1022,'Hist. prices'!$I$5:$AB$5,0))</f>
        <v>0</v>
      </c>
      <c r="Z1098" s="218">
        <f>INDEX('Hist. prices'!$I$164:$AB$238,MATCH($C1098,'Hist. prices'!$C$164:$C$238,0),MATCH(Z$1022,'Hist. prices'!$I$5:$AB$5,0))</f>
        <v>0</v>
      </c>
      <c r="AA1098" s="218">
        <f>INDEX('Hist. prices'!$I$164:$AB$238,MATCH($C1098,'Hist. prices'!$C$164:$C$238,0),MATCH(AA$1022,'Hist. prices'!$I$5:$AB$5,0))</f>
        <v>0</v>
      </c>
      <c r="AB1098" s="218">
        <f>INDEX('Hist. prices'!$I$164:$AB$238,MATCH($C1098,'Hist. prices'!$C$164:$C$238,0),MATCH(AB$1022,'Hist. prices'!$I$5:$AB$5,0))</f>
        <v>0</v>
      </c>
      <c r="AC1098" s="187"/>
      <c r="AD1098" s="19"/>
      <c r="AE1098" s="19"/>
      <c r="AF1098" s="19"/>
      <c r="AG1098" s="19"/>
    </row>
    <row r="1099" spans="1:33" hidden="1" outlineLevel="3" x14ac:dyDescent="0.2">
      <c r="A1099" s="19"/>
      <c r="B1099" s="19"/>
      <c r="C1099" s="506">
        <f t="shared" si="212"/>
        <v>0</v>
      </c>
      <c r="D1099" s="505">
        <f t="shared" si="212"/>
        <v>0</v>
      </c>
      <c r="E1099" s="58"/>
      <c r="F1099" s="223"/>
      <c r="G1099" s="58"/>
      <c r="H1099" s="58"/>
      <c r="I1099" s="218">
        <f>INDEX('Hist. prices'!$I$164:$AB$238,MATCH($C1099,'Hist. prices'!$C$164:$C$238,0),MATCH(I$1022,'Hist. prices'!$I$5:$AB$5,0))</f>
        <v>0</v>
      </c>
      <c r="J1099" s="218">
        <f>INDEX('Hist. prices'!$I$164:$AB$238,MATCH($C1099,'Hist. prices'!$C$164:$C$238,0),MATCH(J$1022,'Hist. prices'!$I$5:$AB$5,0))</f>
        <v>0</v>
      </c>
      <c r="K1099" s="218">
        <f>INDEX('Hist. prices'!$I$164:$AB$238,MATCH($C1099,'Hist. prices'!$C$164:$C$238,0),MATCH(K$1022,'Hist. prices'!$I$5:$AB$5,0))</f>
        <v>0</v>
      </c>
      <c r="L1099" s="218">
        <f>INDEX('Hist. prices'!$I$164:$AB$238,MATCH($C1099,'Hist. prices'!$C$164:$C$238,0),MATCH(L$1022,'Hist. prices'!$I$5:$AB$5,0))</f>
        <v>0</v>
      </c>
      <c r="M1099" s="218">
        <f>INDEX('Hist. prices'!$I$164:$AB$238,MATCH($C1099,'Hist. prices'!$C$164:$C$238,0),MATCH(M$1022,'Hist. prices'!$I$5:$AB$5,0))</f>
        <v>0</v>
      </c>
      <c r="N1099" s="218">
        <f>INDEX('Hist. prices'!$I$164:$AB$238,MATCH($C1099,'Hist. prices'!$C$164:$C$238,0),MATCH(N$1022,'Hist. prices'!$I$5:$AB$5,0))</f>
        <v>0</v>
      </c>
      <c r="O1099" s="218">
        <f>INDEX('Hist. prices'!$I$164:$AB$238,MATCH($C1099,'Hist. prices'!$C$164:$C$238,0),MATCH(O$1022,'Hist. prices'!$I$5:$AB$5,0))</f>
        <v>0</v>
      </c>
      <c r="P1099" s="218">
        <f>INDEX('Hist. prices'!$I$164:$AB$238,MATCH($C1099,'Hist. prices'!$C$164:$C$238,0),MATCH(P$1022,'Hist. prices'!$I$5:$AB$5,0))</f>
        <v>0</v>
      </c>
      <c r="Q1099" s="218">
        <f>INDEX('Hist. prices'!$I$164:$AB$238,MATCH($C1099,'Hist. prices'!$C$164:$C$238,0),MATCH(Q$1022,'Hist. prices'!$I$5:$AB$5,0))</f>
        <v>0</v>
      </c>
      <c r="R1099" s="218">
        <f>INDEX('Hist. prices'!$I$164:$AB$238,MATCH($C1099,'Hist. prices'!$C$164:$C$238,0),MATCH(R$1022,'Hist. prices'!$I$5:$AB$5,0))</f>
        <v>0</v>
      </c>
      <c r="S1099" s="218">
        <f>INDEX('Hist. prices'!$I$164:$AB$238,MATCH($C1099,'Hist. prices'!$C$164:$C$238,0),MATCH(S$1022,'Hist. prices'!$I$5:$AB$5,0))</f>
        <v>0</v>
      </c>
      <c r="T1099" s="218">
        <f>INDEX('Hist. prices'!$I$164:$AB$238,MATCH($C1099,'Hist. prices'!$C$164:$C$238,0),MATCH(T$1022,'Hist. prices'!$I$5:$AB$5,0))</f>
        <v>0</v>
      </c>
      <c r="U1099" s="218">
        <f>INDEX('Hist. prices'!$I$164:$AB$238,MATCH($C1099,'Hist. prices'!$C$164:$C$238,0),MATCH(U$1022,'Hist. prices'!$I$5:$AB$5,0))</f>
        <v>0</v>
      </c>
      <c r="V1099" s="218">
        <f>INDEX('Hist. prices'!$I$164:$AB$238,MATCH($C1099,'Hist. prices'!$C$164:$C$238,0),MATCH(V$1022,'Hist. prices'!$I$5:$AB$5,0))</f>
        <v>0</v>
      </c>
      <c r="W1099" s="218">
        <f>INDEX('Hist. prices'!$I$164:$AB$238,MATCH($C1099,'Hist. prices'!$C$164:$C$238,0),MATCH(W$1022,'Hist. prices'!$I$5:$AB$5,0))</f>
        <v>0</v>
      </c>
      <c r="X1099" s="218">
        <f>INDEX('Hist. prices'!$I$164:$AB$238,MATCH($C1099,'Hist. prices'!$C$164:$C$238,0),MATCH(X$1022,'Hist. prices'!$I$5:$AB$5,0))</f>
        <v>0</v>
      </c>
      <c r="Y1099" s="218">
        <f>INDEX('Hist. prices'!$I$164:$AB$238,MATCH($C1099,'Hist. prices'!$C$164:$C$238,0),MATCH(Y$1022,'Hist. prices'!$I$5:$AB$5,0))</f>
        <v>0</v>
      </c>
      <c r="Z1099" s="218">
        <f>INDEX('Hist. prices'!$I$164:$AB$238,MATCH($C1099,'Hist. prices'!$C$164:$C$238,0),MATCH(Z$1022,'Hist. prices'!$I$5:$AB$5,0))</f>
        <v>0</v>
      </c>
      <c r="AA1099" s="218">
        <f>INDEX('Hist. prices'!$I$164:$AB$238,MATCH($C1099,'Hist. prices'!$C$164:$C$238,0),MATCH(AA$1022,'Hist. prices'!$I$5:$AB$5,0))</f>
        <v>0</v>
      </c>
      <c r="AB1099" s="218">
        <f>INDEX('Hist. prices'!$I$164:$AB$238,MATCH($C1099,'Hist. prices'!$C$164:$C$238,0),MATCH(AB$1022,'Hist. prices'!$I$5:$AB$5,0))</f>
        <v>0</v>
      </c>
      <c r="AC1099" s="187"/>
      <c r="AD1099" s="19"/>
      <c r="AE1099" s="19"/>
      <c r="AF1099" s="19"/>
      <c r="AG1099" s="19"/>
    </row>
    <row r="1100" spans="1:33" hidden="1" outlineLevel="3" x14ac:dyDescent="0.2">
      <c r="A1100" s="19"/>
      <c r="B1100" s="19"/>
      <c r="C1100" s="506">
        <f t="shared" si="212"/>
        <v>0</v>
      </c>
      <c r="D1100" s="505">
        <f t="shared" si="212"/>
        <v>0</v>
      </c>
      <c r="E1100" s="58"/>
      <c r="F1100" s="223"/>
      <c r="G1100" s="58"/>
      <c r="H1100" s="58"/>
      <c r="I1100" s="218">
        <f>INDEX('Hist. prices'!$I$164:$AB$238,MATCH($C1100,'Hist. prices'!$C$164:$C$238,0),MATCH(I$1022,'Hist. prices'!$I$5:$AB$5,0))</f>
        <v>0</v>
      </c>
      <c r="J1100" s="218">
        <f>INDEX('Hist. prices'!$I$164:$AB$238,MATCH($C1100,'Hist. prices'!$C$164:$C$238,0),MATCH(J$1022,'Hist. prices'!$I$5:$AB$5,0))</f>
        <v>0</v>
      </c>
      <c r="K1100" s="218">
        <f>INDEX('Hist. prices'!$I$164:$AB$238,MATCH($C1100,'Hist. prices'!$C$164:$C$238,0),MATCH(K$1022,'Hist. prices'!$I$5:$AB$5,0))</f>
        <v>0</v>
      </c>
      <c r="L1100" s="218">
        <f>INDEX('Hist. prices'!$I$164:$AB$238,MATCH($C1100,'Hist. prices'!$C$164:$C$238,0),MATCH(L$1022,'Hist. prices'!$I$5:$AB$5,0))</f>
        <v>0</v>
      </c>
      <c r="M1100" s="218">
        <f>INDEX('Hist. prices'!$I$164:$AB$238,MATCH($C1100,'Hist. prices'!$C$164:$C$238,0),MATCH(M$1022,'Hist. prices'!$I$5:$AB$5,0))</f>
        <v>0</v>
      </c>
      <c r="N1100" s="218">
        <f>INDEX('Hist. prices'!$I$164:$AB$238,MATCH($C1100,'Hist. prices'!$C$164:$C$238,0),MATCH(N$1022,'Hist. prices'!$I$5:$AB$5,0))</f>
        <v>0</v>
      </c>
      <c r="O1100" s="218">
        <f>INDEX('Hist. prices'!$I$164:$AB$238,MATCH($C1100,'Hist. prices'!$C$164:$C$238,0),MATCH(O$1022,'Hist. prices'!$I$5:$AB$5,0))</f>
        <v>0</v>
      </c>
      <c r="P1100" s="218">
        <f>INDEX('Hist. prices'!$I$164:$AB$238,MATCH($C1100,'Hist. prices'!$C$164:$C$238,0),MATCH(P$1022,'Hist. prices'!$I$5:$AB$5,0))</f>
        <v>0</v>
      </c>
      <c r="Q1100" s="218">
        <f>INDEX('Hist. prices'!$I$164:$AB$238,MATCH($C1100,'Hist. prices'!$C$164:$C$238,0),MATCH(Q$1022,'Hist. prices'!$I$5:$AB$5,0))</f>
        <v>0</v>
      </c>
      <c r="R1100" s="218">
        <f>INDEX('Hist. prices'!$I$164:$AB$238,MATCH($C1100,'Hist. prices'!$C$164:$C$238,0),MATCH(R$1022,'Hist. prices'!$I$5:$AB$5,0))</f>
        <v>0</v>
      </c>
      <c r="S1100" s="218">
        <f>INDEX('Hist. prices'!$I$164:$AB$238,MATCH($C1100,'Hist. prices'!$C$164:$C$238,0),MATCH(S$1022,'Hist. prices'!$I$5:$AB$5,0))</f>
        <v>0</v>
      </c>
      <c r="T1100" s="218">
        <f>INDEX('Hist. prices'!$I$164:$AB$238,MATCH($C1100,'Hist. prices'!$C$164:$C$238,0),MATCH(T$1022,'Hist. prices'!$I$5:$AB$5,0))</f>
        <v>0</v>
      </c>
      <c r="U1100" s="218">
        <f>INDEX('Hist. prices'!$I$164:$AB$238,MATCH($C1100,'Hist. prices'!$C$164:$C$238,0),MATCH(U$1022,'Hist. prices'!$I$5:$AB$5,0))</f>
        <v>0</v>
      </c>
      <c r="V1100" s="218">
        <f>INDEX('Hist. prices'!$I$164:$AB$238,MATCH($C1100,'Hist. prices'!$C$164:$C$238,0),MATCH(V$1022,'Hist. prices'!$I$5:$AB$5,0))</f>
        <v>0</v>
      </c>
      <c r="W1100" s="218">
        <f>INDEX('Hist. prices'!$I$164:$AB$238,MATCH($C1100,'Hist. prices'!$C$164:$C$238,0),MATCH(W$1022,'Hist. prices'!$I$5:$AB$5,0))</f>
        <v>0</v>
      </c>
      <c r="X1100" s="218">
        <f>INDEX('Hist. prices'!$I$164:$AB$238,MATCH($C1100,'Hist. prices'!$C$164:$C$238,0),MATCH(X$1022,'Hist. prices'!$I$5:$AB$5,0))</f>
        <v>0</v>
      </c>
      <c r="Y1100" s="218">
        <f>INDEX('Hist. prices'!$I$164:$AB$238,MATCH($C1100,'Hist. prices'!$C$164:$C$238,0),MATCH(Y$1022,'Hist. prices'!$I$5:$AB$5,0))</f>
        <v>0</v>
      </c>
      <c r="Z1100" s="218">
        <f>INDEX('Hist. prices'!$I$164:$AB$238,MATCH($C1100,'Hist. prices'!$C$164:$C$238,0),MATCH(Z$1022,'Hist. prices'!$I$5:$AB$5,0))</f>
        <v>0</v>
      </c>
      <c r="AA1100" s="218">
        <f>INDEX('Hist. prices'!$I$164:$AB$238,MATCH($C1100,'Hist. prices'!$C$164:$C$238,0),MATCH(AA$1022,'Hist. prices'!$I$5:$AB$5,0))</f>
        <v>0</v>
      </c>
      <c r="AB1100" s="218">
        <f>INDEX('Hist. prices'!$I$164:$AB$238,MATCH($C1100,'Hist. prices'!$C$164:$C$238,0),MATCH(AB$1022,'Hist. prices'!$I$5:$AB$5,0))</f>
        <v>0</v>
      </c>
      <c r="AC1100" s="187"/>
      <c r="AD1100" s="19"/>
      <c r="AE1100" s="19"/>
      <c r="AF1100" s="19"/>
      <c r="AG1100" s="19"/>
    </row>
    <row r="1101" spans="1:33" hidden="1" outlineLevel="3" x14ac:dyDescent="0.2">
      <c r="A1101" s="19"/>
      <c r="B1101" s="19"/>
      <c r="C1101" s="506">
        <f t="shared" si="212"/>
        <v>0</v>
      </c>
      <c r="D1101" s="505">
        <f t="shared" si="212"/>
        <v>0</v>
      </c>
      <c r="E1101" s="58"/>
      <c r="F1101" s="223"/>
      <c r="G1101" s="58"/>
      <c r="H1101" s="58"/>
      <c r="I1101" s="218">
        <f>INDEX('Hist. prices'!$I$164:$AB$238,MATCH($C1101,'Hist. prices'!$C$164:$C$238,0),MATCH(I$1022,'Hist. prices'!$I$5:$AB$5,0))</f>
        <v>0</v>
      </c>
      <c r="J1101" s="218">
        <f>INDEX('Hist. prices'!$I$164:$AB$238,MATCH($C1101,'Hist. prices'!$C$164:$C$238,0),MATCH(J$1022,'Hist. prices'!$I$5:$AB$5,0))</f>
        <v>0</v>
      </c>
      <c r="K1101" s="218">
        <f>INDEX('Hist. prices'!$I$164:$AB$238,MATCH($C1101,'Hist. prices'!$C$164:$C$238,0),MATCH(K$1022,'Hist. prices'!$I$5:$AB$5,0))</f>
        <v>0</v>
      </c>
      <c r="L1101" s="218">
        <f>INDEX('Hist. prices'!$I$164:$AB$238,MATCH($C1101,'Hist. prices'!$C$164:$C$238,0),MATCH(L$1022,'Hist. prices'!$I$5:$AB$5,0))</f>
        <v>0</v>
      </c>
      <c r="M1101" s="218">
        <f>INDEX('Hist. prices'!$I$164:$AB$238,MATCH($C1101,'Hist. prices'!$C$164:$C$238,0),MATCH(M$1022,'Hist. prices'!$I$5:$AB$5,0))</f>
        <v>0</v>
      </c>
      <c r="N1101" s="218">
        <f>INDEX('Hist. prices'!$I$164:$AB$238,MATCH($C1101,'Hist. prices'!$C$164:$C$238,0),MATCH(N$1022,'Hist. prices'!$I$5:$AB$5,0))</f>
        <v>0</v>
      </c>
      <c r="O1101" s="218">
        <f>INDEX('Hist. prices'!$I$164:$AB$238,MATCH($C1101,'Hist. prices'!$C$164:$C$238,0),MATCH(O$1022,'Hist. prices'!$I$5:$AB$5,0))</f>
        <v>0</v>
      </c>
      <c r="P1101" s="218">
        <f>INDEX('Hist. prices'!$I$164:$AB$238,MATCH($C1101,'Hist. prices'!$C$164:$C$238,0),MATCH(P$1022,'Hist. prices'!$I$5:$AB$5,0))</f>
        <v>0</v>
      </c>
      <c r="Q1101" s="218">
        <f>INDEX('Hist. prices'!$I$164:$AB$238,MATCH($C1101,'Hist. prices'!$C$164:$C$238,0),MATCH(Q$1022,'Hist. prices'!$I$5:$AB$5,0))</f>
        <v>0</v>
      </c>
      <c r="R1101" s="218">
        <f>INDEX('Hist. prices'!$I$164:$AB$238,MATCH($C1101,'Hist. prices'!$C$164:$C$238,0),MATCH(R$1022,'Hist. prices'!$I$5:$AB$5,0))</f>
        <v>0</v>
      </c>
      <c r="S1101" s="218">
        <f>INDEX('Hist. prices'!$I$164:$AB$238,MATCH($C1101,'Hist. prices'!$C$164:$C$238,0),MATCH(S$1022,'Hist. prices'!$I$5:$AB$5,0))</f>
        <v>0</v>
      </c>
      <c r="T1101" s="218">
        <f>INDEX('Hist. prices'!$I$164:$AB$238,MATCH($C1101,'Hist. prices'!$C$164:$C$238,0),MATCH(T$1022,'Hist. prices'!$I$5:$AB$5,0))</f>
        <v>0</v>
      </c>
      <c r="U1101" s="218">
        <f>INDEX('Hist. prices'!$I$164:$AB$238,MATCH($C1101,'Hist. prices'!$C$164:$C$238,0),MATCH(U$1022,'Hist. prices'!$I$5:$AB$5,0))</f>
        <v>0</v>
      </c>
      <c r="V1101" s="218">
        <f>INDEX('Hist. prices'!$I$164:$AB$238,MATCH($C1101,'Hist. prices'!$C$164:$C$238,0),MATCH(V$1022,'Hist. prices'!$I$5:$AB$5,0))</f>
        <v>0</v>
      </c>
      <c r="W1101" s="218">
        <f>INDEX('Hist. prices'!$I$164:$AB$238,MATCH($C1101,'Hist. prices'!$C$164:$C$238,0),MATCH(W$1022,'Hist. prices'!$I$5:$AB$5,0))</f>
        <v>0</v>
      </c>
      <c r="X1101" s="218">
        <f>INDEX('Hist. prices'!$I$164:$AB$238,MATCH($C1101,'Hist. prices'!$C$164:$C$238,0),MATCH(X$1022,'Hist. prices'!$I$5:$AB$5,0))</f>
        <v>0</v>
      </c>
      <c r="Y1101" s="218">
        <f>INDEX('Hist. prices'!$I$164:$AB$238,MATCH($C1101,'Hist. prices'!$C$164:$C$238,0),MATCH(Y$1022,'Hist. prices'!$I$5:$AB$5,0))</f>
        <v>0</v>
      </c>
      <c r="Z1101" s="218">
        <f>INDEX('Hist. prices'!$I$164:$AB$238,MATCH($C1101,'Hist. prices'!$C$164:$C$238,0),MATCH(Z$1022,'Hist. prices'!$I$5:$AB$5,0))</f>
        <v>0</v>
      </c>
      <c r="AA1101" s="218">
        <f>INDEX('Hist. prices'!$I$164:$AB$238,MATCH($C1101,'Hist. prices'!$C$164:$C$238,0),MATCH(AA$1022,'Hist. prices'!$I$5:$AB$5,0))</f>
        <v>0</v>
      </c>
      <c r="AB1101" s="218">
        <f>INDEX('Hist. prices'!$I$164:$AB$238,MATCH($C1101,'Hist. prices'!$C$164:$C$238,0),MATCH(AB$1022,'Hist. prices'!$I$5:$AB$5,0))</f>
        <v>0</v>
      </c>
      <c r="AC1101" s="187"/>
      <c r="AD1101" s="19"/>
      <c r="AE1101" s="19"/>
      <c r="AF1101" s="19"/>
      <c r="AG1101" s="19"/>
    </row>
    <row r="1102" spans="1:33" hidden="1" outlineLevel="3" x14ac:dyDescent="0.2">
      <c r="A1102" s="19"/>
      <c r="B1102" s="19"/>
      <c r="C1102" s="506">
        <f t="shared" si="212"/>
        <v>0</v>
      </c>
      <c r="D1102" s="505">
        <f t="shared" si="212"/>
        <v>0</v>
      </c>
      <c r="E1102" s="58"/>
      <c r="F1102" s="223"/>
      <c r="G1102" s="58"/>
      <c r="H1102" s="58"/>
      <c r="I1102" s="218">
        <f>INDEX('Hist. prices'!$I$164:$AB$238,MATCH($C1102,'Hist. prices'!$C$164:$C$238,0),MATCH(I$1022,'Hist. prices'!$I$5:$AB$5,0))</f>
        <v>0</v>
      </c>
      <c r="J1102" s="218">
        <f>INDEX('Hist. prices'!$I$164:$AB$238,MATCH($C1102,'Hist. prices'!$C$164:$C$238,0),MATCH(J$1022,'Hist. prices'!$I$5:$AB$5,0))</f>
        <v>0</v>
      </c>
      <c r="K1102" s="218">
        <f>INDEX('Hist. prices'!$I$164:$AB$238,MATCH($C1102,'Hist. prices'!$C$164:$C$238,0),MATCH(K$1022,'Hist. prices'!$I$5:$AB$5,0))</f>
        <v>0</v>
      </c>
      <c r="L1102" s="218">
        <f>INDEX('Hist. prices'!$I$164:$AB$238,MATCH($C1102,'Hist. prices'!$C$164:$C$238,0),MATCH(L$1022,'Hist. prices'!$I$5:$AB$5,0))</f>
        <v>0</v>
      </c>
      <c r="M1102" s="218">
        <f>INDEX('Hist. prices'!$I$164:$AB$238,MATCH($C1102,'Hist. prices'!$C$164:$C$238,0),MATCH(M$1022,'Hist. prices'!$I$5:$AB$5,0))</f>
        <v>0</v>
      </c>
      <c r="N1102" s="218">
        <f>INDEX('Hist. prices'!$I$164:$AB$238,MATCH($C1102,'Hist. prices'!$C$164:$C$238,0),MATCH(N$1022,'Hist. prices'!$I$5:$AB$5,0))</f>
        <v>0</v>
      </c>
      <c r="O1102" s="218">
        <f>INDEX('Hist. prices'!$I$164:$AB$238,MATCH($C1102,'Hist. prices'!$C$164:$C$238,0),MATCH(O$1022,'Hist. prices'!$I$5:$AB$5,0))</f>
        <v>0</v>
      </c>
      <c r="P1102" s="218">
        <f>INDEX('Hist. prices'!$I$164:$AB$238,MATCH($C1102,'Hist. prices'!$C$164:$C$238,0),MATCH(P$1022,'Hist. prices'!$I$5:$AB$5,0))</f>
        <v>0</v>
      </c>
      <c r="Q1102" s="218">
        <f>INDEX('Hist. prices'!$I$164:$AB$238,MATCH($C1102,'Hist. prices'!$C$164:$C$238,0),MATCH(Q$1022,'Hist. prices'!$I$5:$AB$5,0))</f>
        <v>0</v>
      </c>
      <c r="R1102" s="218">
        <f>INDEX('Hist. prices'!$I$164:$AB$238,MATCH($C1102,'Hist. prices'!$C$164:$C$238,0),MATCH(R$1022,'Hist. prices'!$I$5:$AB$5,0))</f>
        <v>0</v>
      </c>
      <c r="S1102" s="218">
        <f>INDEX('Hist. prices'!$I$164:$AB$238,MATCH($C1102,'Hist. prices'!$C$164:$C$238,0),MATCH(S$1022,'Hist. prices'!$I$5:$AB$5,0))</f>
        <v>0</v>
      </c>
      <c r="T1102" s="218">
        <f>INDEX('Hist. prices'!$I$164:$AB$238,MATCH($C1102,'Hist. prices'!$C$164:$C$238,0),MATCH(T$1022,'Hist. prices'!$I$5:$AB$5,0))</f>
        <v>0</v>
      </c>
      <c r="U1102" s="218">
        <f>INDEX('Hist. prices'!$I$164:$AB$238,MATCH($C1102,'Hist. prices'!$C$164:$C$238,0),MATCH(U$1022,'Hist. prices'!$I$5:$AB$5,0))</f>
        <v>0</v>
      </c>
      <c r="V1102" s="218">
        <f>INDEX('Hist. prices'!$I$164:$AB$238,MATCH($C1102,'Hist. prices'!$C$164:$C$238,0),MATCH(V$1022,'Hist. prices'!$I$5:$AB$5,0))</f>
        <v>0</v>
      </c>
      <c r="W1102" s="218">
        <f>INDEX('Hist. prices'!$I$164:$AB$238,MATCH($C1102,'Hist. prices'!$C$164:$C$238,0),MATCH(W$1022,'Hist. prices'!$I$5:$AB$5,0))</f>
        <v>0</v>
      </c>
      <c r="X1102" s="218">
        <f>INDEX('Hist. prices'!$I$164:$AB$238,MATCH($C1102,'Hist. prices'!$C$164:$C$238,0),MATCH(X$1022,'Hist. prices'!$I$5:$AB$5,0))</f>
        <v>0</v>
      </c>
      <c r="Y1102" s="218">
        <f>INDEX('Hist. prices'!$I$164:$AB$238,MATCH($C1102,'Hist. prices'!$C$164:$C$238,0),MATCH(Y$1022,'Hist. prices'!$I$5:$AB$5,0))</f>
        <v>0</v>
      </c>
      <c r="Z1102" s="218">
        <f>INDEX('Hist. prices'!$I$164:$AB$238,MATCH($C1102,'Hist. prices'!$C$164:$C$238,0),MATCH(Z$1022,'Hist. prices'!$I$5:$AB$5,0))</f>
        <v>0</v>
      </c>
      <c r="AA1102" s="218">
        <f>INDEX('Hist. prices'!$I$164:$AB$238,MATCH($C1102,'Hist. prices'!$C$164:$C$238,0),MATCH(AA$1022,'Hist. prices'!$I$5:$AB$5,0))</f>
        <v>0</v>
      </c>
      <c r="AB1102" s="218">
        <f>INDEX('Hist. prices'!$I$164:$AB$238,MATCH($C1102,'Hist. prices'!$C$164:$C$238,0),MATCH(AB$1022,'Hist. prices'!$I$5:$AB$5,0))</f>
        <v>0</v>
      </c>
      <c r="AC1102" s="187"/>
      <c r="AD1102" s="19"/>
      <c r="AE1102" s="19"/>
      <c r="AF1102" s="19"/>
      <c r="AG1102" s="19"/>
    </row>
    <row r="1103" spans="1:33" hidden="1" outlineLevel="3" x14ac:dyDescent="0.2">
      <c r="A1103" s="19"/>
      <c r="B1103" s="19"/>
      <c r="C1103" s="506">
        <f t="shared" si="212"/>
        <v>0</v>
      </c>
      <c r="D1103" s="505">
        <f t="shared" si="212"/>
        <v>0</v>
      </c>
      <c r="E1103" s="58"/>
      <c r="F1103" s="223"/>
      <c r="G1103" s="58"/>
      <c r="H1103" s="58"/>
      <c r="I1103" s="218">
        <f>INDEX('Hist. prices'!$I$164:$AB$238,MATCH($C1103,'Hist. prices'!$C$164:$C$238,0),MATCH(I$1022,'Hist. prices'!$I$5:$AB$5,0))</f>
        <v>0</v>
      </c>
      <c r="J1103" s="218">
        <f>INDEX('Hist. prices'!$I$164:$AB$238,MATCH($C1103,'Hist. prices'!$C$164:$C$238,0),MATCH(J$1022,'Hist. prices'!$I$5:$AB$5,0))</f>
        <v>0</v>
      </c>
      <c r="K1103" s="218">
        <f>INDEX('Hist. prices'!$I$164:$AB$238,MATCH($C1103,'Hist. prices'!$C$164:$C$238,0),MATCH(K$1022,'Hist. prices'!$I$5:$AB$5,0))</f>
        <v>0</v>
      </c>
      <c r="L1103" s="218">
        <f>INDEX('Hist. prices'!$I$164:$AB$238,MATCH($C1103,'Hist. prices'!$C$164:$C$238,0),MATCH(L$1022,'Hist. prices'!$I$5:$AB$5,0))</f>
        <v>0</v>
      </c>
      <c r="M1103" s="218">
        <f>INDEX('Hist. prices'!$I$164:$AB$238,MATCH($C1103,'Hist. prices'!$C$164:$C$238,0),MATCH(M$1022,'Hist. prices'!$I$5:$AB$5,0))</f>
        <v>0</v>
      </c>
      <c r="N1103" s="218">
        <f>INDEX('Hist. prices'!$I$164:$AB$238,MATCH($C1103,'Hist. prices'!$C$164:$C$238,0),MATCH(N$1022,'Hist. prices'!$I$5:$AB$5,0))</f>
        <v>0</v>
      </c>
      <c r="O1103" s="218">
        <f>INDEX('Hist. prices'!$I$164:$AB$238,MATCH($C1103,'Hist. prices'!$C$164:$C$238,0),MATCH(O$1022,'Hist. prices'!$I$5:$AB$5,0))</f>
        <v>0</v>
      </c>
      <c r="P1103" s="218">
        <f>INDEX('Hist. prices'!$I$164:$AB$238,MATCH($C1103,'Hist. prices'!$C$164:$C$238,0),MATCH(P$1022,'Hist. prices'!$I$5:$AB$5,0))</f>
        <v>0</v>
      </c>
      <c r="Q1103" s="218">
        <f>INDEX('Hist. prices'!$I$164:$AB$238,MATCH($C1103,'Hist. prices'!$C$164:$C$238,0),MATCH(Q$1022,'Hist. prices'!$I$5:$AB$5,0))</f>
        <v>0</v>
      </c>
      <c r="R1103" s="218">
        <f>INDEX('Hist. prices'!$I$164:$AB$238,MATCH($C1103,'Hist. prices'!$C$164:$C$238,0),MATCH(R$1022,'Hist. prices'!$I$5:$AB$5,0))</f>
        <v>0</v>
      </c>
      <c r="S1103" s="218">
        <f>INDEX('Hist. prices'!$I$164:$AB$238,MATCH($C1103,'Hist. prices'!$C$164:$C$238,0),MATCH(S$1022,'Hist. prices'!$I$5:$AB$5,0))</f>
        <v>0</v>
      </c>
      <c r="T1103" s="218">
        <f>INDEX('Hist. prices'!$I$164:$AB$238,MATCH($C1103,'Hist. prices'!$C$164:$C$238,0),MATCH(T$1022,'Hist. prices'!$I$5:$AB$5,0))</f>
        <v>0</v>
      </c>
      <c r="U1103" s="218">
        <f>INDEX('Hist. prices'!$I$164:$AB$238,MATCH($C1103,'Hist. prices'!$C$164:$C$238,0),MATCH(U$1022,'Hist. prices'!$I$5:$AB$5,0))</f>
        <v>0</v>
      </c>
      <c r="V1103" s="218">
        <f>INDEX('Hist. prices'!$I$164:$AB$238,MATCH($C1103,'Hist. prices'!$C$164:$C$238,0),MATCH(V$1022,'Hist. prices'!$I$5:$AB$5,0))</f>
        <v>0</v>
      </c>
      <c r="W1103" s="218">
        <f>INDEX('Hist. prices'!$I$164:$AB$238,MATCH($C1103,'Hist. prices'!$C$164:$C$238,0),MATCH(W$1022,'Hist. prices'!$I$5:$AB$5,0))</f>
        <v>0</v>
      </c>
      <c r="X1103" s="218">
        <f>INDEX('Hist. prices'!$I$164:$AB$238,MATCH($C1103,'Hist. prices'!$C$164:$C$238,0),MATCH(X$1022,'Hist. prices'!$I$5:$AB$5,0))</f>
        <v>0</v>
      </c>
      <c r="Y1103" s="218">
        <f>INDEX('Hist. prices'!$I$164:$AB$238,MATCH($C1103,'Hist. prices'!$C$164:$C$238,0),MATCH(Y$1022,'Hist. prices'!$I$5:$AB$5,0))</f>
        <v>0</v>
      </c>
      <c r="Z1103" s="218">
        <f>INDEX('Hist. prices'!$I$164:$AB$238,MATCH($C1103,'Hist. prices'!$C$164:$C$238,0),MATCH(Z$1022,'Hist. prices'!$I$5:$AB$5,0))</f>
        <v>0</v>
      </c>
      <c r="AA1103" s="218">
        <f>INDEX('Hist. prices'!$I$164:$AB$238,MATCH($C1103,'Hist. prices'!$C$164:$C$238,0),MATCH(AA$1022,'Hist. prices'!$I$5:$AB$5,0))</f>
        <v>0</v>
      </c>
      <c r="AB1103" s="218">
        <f>INDEX('Hist. prices'!$I$164:$AB$238,MATCH($C1103,'Hist. prices'!$C$164:$C$238,0),MATCH(AB$1022,'Hist. prices'!$I$5:$AB$5,0))</f>
        <v>0</v>
      </c>
      <c r="AC1103" s="187"/>
      <c r="AD1103" s="19"/>
      <c r="AE1103" s="19"/>
      <c r="AF1103" s="19"/>
      <c r="AG1103" s="19"/>
    </row>
    <row r="1104" spans="1:33" hidden="1" outlineLevel="3" x14ac:dyDescent="0.2">
      <c r="A1104" s="19"/>
      <c r="B1104" s="19"/>
      <c r="C1104" s="506">
        <f t="shared" si="212"/>
        <v>0</v>
      </c>
      <c r="D1104" s="505">
        <f t="shared" si="212"/>
        <v>0</v>
      </c>
      <c r="E1104" s="58"/>
      <c r="F1104" s="223"/>
      <c r="G1104" s="58"/>
      <c r="H1104" s="58"/>
      <c r="I1104" s="218">
        <f>INDEX('Hist. prices'!$I$164:$AB$238,MATCH($C1104,'Hist. prices'!$C$164:$C$238,0),MATCH(I$1022,'Hist. prices'!$I$5:$AB$5,0))</f>
        <v>0</v>
      </c>
      <c r="J1104" s="218">
        <f>INDEX('Hist. prices'!$I$164:$AB$238,MATCH($C1104,'Hist. prices'!$C$164:$C$238,0),MATCH(J$1022,'Hist. prices'!$I$5:$AB$5,0))</f>
        <v>0</v>
      </c>
      <c r="K1104" s="218">
        <f>INDEX('Hist. prices'!$I$164:$AB$238,MATCH($C1104,'Hist. prices'!$C$164:$C$238,0),MATCH(K$1022,'Hist. prices'!$I$5:$AB$5,0))</f>
        <v>0</v>
      </c>
      <c r="L1104" s="218">
        <f>INDEX('Hist. prices'!$I$164:$AB$238,MATCH($C1104,'Hist. prices'!$C$164:$C$238,0),MATCH(L$1022,'Hist. prices'!$I$5:$AB$5,0))</f>
        <v>0</v>
      </c>
      <c r="M1104" s="218">
        <f>INDEX('Hist. prices'!$I$164:$AB$238,MATCH($C1104,'Hist. prices'!$C$164:$C$238,0),MATCH(M$1022,'Hist. prices'!$I$5:$AB$5,0))</f>
        <v>0</v>
      </c>
      <c r="N1104" s="218">
        <f>INDEX('Hist. prices'!$I$164:$AB$238,MATCH($C1104,'Hist. prices'!$C$164:$C$238,0),MATCH(N$1022,'Hist. prices'!$I$5:$AB$5,0))</f>
        <v>0</v>
      </c>
      <c r="O1104" s="218">
        <f>INDEX('Hist. prices'!$I$164:$AB$238,MATCH($C1104,'Hist. prices'!$C$164:$C$238,0),MATCH(O$1022,'Hist. prices'!$I$5:$AB$5,0))</f>
        <v>0</v>
      </c>
      <c r="P1104" s="218">
        <f>INDEX('Hist. prices'!$I$164:$AB$238,MATCH($C1104,'Hist. prices'!$C$164:$C$238,0),MATCH(P$1022,'Hist. prices'!$I$5:$AB$5,0))</f>
        <v>0</v>
      </c>
      <c r="Q1104" s="218">
        <f>INDEX('Hist. prices'!$I$164:$AB$238,MATCH($C1104,'Hist. prices'!$C$164:$C$238,0),MATCH(Q$1022,'Hist. prices'!$I$5:$AB$5,0))</f>
        <v>0</v>
      </c>
      <c r="R1104" s="218">
        <f>INDEX('Hist. prices'!$I$164:$AB$238,MATCH($C1104,'Hist. prices'!$C$164:$C$238,0),MATCH(R$1022,'Hist. prices'!$I$5:$AB$5,0))</f>
        <v>0</v>
      </c>
      <c r="S1104" s="218">
        <f>INDEX('Hist. prices'!$I$164:$AB$238,MATCH($C1104,'Hist. prices'!$C$164:$C$238,0),MATCH(S$1022,'Hist. prices'!$I$5:$AB$5,0))</f>
        <v>0</v>
      </c>
      <c r="T1104" s="218">
        <f>INDEX('Hist. prices'!$I$164:$AB$238,MATCH($C1104,'Hist. prices'!$C$164:$C$238,0),MATCH(T$1022,'Hist. prices'!$I$5:$AB$5,0))</f>
        <v>0</v>
      </c>
      <c r="U1104" s="218">
        <f>INDEX('Hist. prices'!$I$164:$AB$238,MATCH($C1104,'Hist. prices'!$C$164:$C$238,0),MATCH(U$1022,'Hist. prices'!$I$5:$AB$5,0))</f>
        <v>0</v>
      </c>
      <c r="V1104" s="218">
        <f>INDEX('Hist. prices'!$I$164:$AB$238,MATCH($C1104,'Hist. prices'!$C$164:$C$238,0),MATCH(V$1022,'Hist. prices'!$I$5:$AB$5,0))</f>
        <v>0</v>
      </c>
      <c r="W1104" s="218">
        <f>INDEX('Hist. prices'!$I$164:$AB$238,MATCH($C1104,'Hist. prices'!$C$164:$C$238,0),MATCH(W$1022,'Hist. prices'!$I$5:$AB$5,0))</f>
        <v>0</v>
      </c>
      <c r="X1104" s="218">
        <f>INDEX('Hist. prices'!$I$164:$AB$238,MATCH($C1104,'Hist. prices'!$C$164:$C$238,0),MATCH(X$1022,'Hist. prices'!$I$5:$AB$5,0))</f>
        <v>0</v>
      </c>
      <c r="Y1104" s="218">
        <f>INDEX('Hist. prices'!$I$164:$AB$238,MATCH($C1104,'Hist. prices'!$C$164:$C$238,0),MATCH(Y$1022,'Hist. prices'!$I$5:$AB$5,0))</f>
        <v>0</v>
      </c>
      <c r="Z1104" s="218">
        <f>INDEX('Hist. prices'!$I$164:$AB$238,MATCH($C1104,'Hist. prices'!$C$164:$C$238,0),MATCH(Z$1022,'Hist. prices'!$I$5:$AB$5,0))</f>
        <v>0</v>
      </c>
      <c r="AA1104" s="218">
        <f>INDEX('Hist. prices'!$I$164:$AB$238,MATCH($C1104,'Hist. prices'!$C$164:$C$238,0),MATCH(AA$1022,'Hist. prices'!$I$5:$AB$5,0))</f>
        <v>0</v>
      </c>
      <c r="AB1104" s="218">
        <f>INDEX('Hist. prices'!$I$164:$AB$238,MATCH($C1104,'Hist. prices'!$C$164:$C$238,0),MATCH(AB$1022,'Hist. prices'!$I$5:$AB$5,0))</f>
        <v>0</v>
      </c>
      <c r="AC1104" s="187"/>
      <c r="AD1104" s="19"/>
      <c r="AE1104" s="19"/>
      <c r="AF1104" s="19"/>
      <c r="AG1104" s="19"/>
    </row>
    <row r="1105" spans="1:33" hidden="1" outlineLevel="3" x14ac:dyDescent="0.2">
      <c r="A1105" s="19"/>
      <c r="B1105" s="19"/>
      <c r="C1105" s="506">
        <f t="shared" si="212"/>
        <v>0</v>
      </c>
      <c r="D1105" s="505">
        <f t="shared" si="212"/>
        <v>0</v>
      </c>
      <c r="E1105" s="58"/>
      <c r="F1105" s="223"/>
      <c r="G1105" s="58"/>
      <c r="H1105" s="58"/>
      <c r="I1105" s="218">
        <f>INDEX('Hist. prices'!$I$164:$AB$238,MATCH($C1105,'Hist. prices'!$C$164:$C$238,0),MATCH(I$1022,'Hist. prices'!$I$5:$AB$5,0))</f>
        <v>0</v>
      </c>
      <c r="J1105" s="218">
        <f>INDEX('Hist. prices'!$I$164:$AB$238,MATCH($C1105,'Hist. prices'!$C$164:$C$238,0),MATCH(J$1022,'Hist. prices'!$I$5:$AB$5,0))</f>
        <v>0</v>
      </c>
      <c r="K1105" s="218">
        <f>INDEX('Hist. prices'!$I$164:$AB$238,MATCH($C1105,'Hist. prices'!$C$164:$C$238,0),MATCH(K$1022,'Hist. prices'!$I$5:$AB$5,0))</f>
        <v>0</v>
      </c>
      <c r="L1105" s="218">
        <f>INDEX('Hist. prices'!$I$164:$AB$238,MATCH($C1105,'Hist. prices'!$C$164:$C$238,0),MATCH(L$1022,'Hist. prices'!$I$5:$AB$5,0))</f>
        <v>0</v>
      </c>
      <c r="M1105" s="218">
        <f>INDEX('Hist. prices'!$I$164:$AB$238,MATCH($C1105,'Hist. prices'!$C$164:$C$238,0),MATCH(M$1022,'Hist. prices'!$I$5:$AB$5,0))</f>
        <v>0</v>
      </c>
      <c r="N1105" s="218">
        <f>INDEX('Hist. prices'!$I$164:$AB$238,MATCH($C1105,'Hist. prices'!$C$164:$C$238,0),MATCH(N$1022,'Hist. prices'!$I$5:$AB$5,0))</f>
        <v>0</v>
      </c>
      <c r="O1105" s="218">
        <f>INDEX('Hist. prices'!$I$164:$AB$238,MATCH($C1105,'Hist. prices'!$C$164:$C$238,0),MATCH(O$1022,'Hist. prices'!$I$5:$AB$5,0))</f>
        <v>0</v>
      </c>
      <c r="P1105" s="218">
        <f>INDEX('Hist. prices'!$I$164:$AB$238,MATCH($C1105,'Hist. prices'!$C$164:$C$238,0),MATCH(P$1022,'Hist. prices'!$I$5:$AB$5,0))</f>
        <v>0</v>
      </c>
      <c r="Q1105" s="218">
        <f>INDEX('Hist. prices'!$I$164:$AB$238,MATCH($C1105,'Hist. prices'!$C$164:$C$238,0),MATCH(Q$1022,'Hist. prices'!$I$5:$AB$5,0))</f>
        <v>0</v>
      </c>
      <c r="R1105" s="218">
        <f>INDEX('Hist. prices'!$I$164:$AB$238,MATCH($C1105,'Hist. prices'!$C$164:$C$238,0),MATCH(R$1022,'Hist. prices'!$I$5:$AB$5,0))</f>
        <v>0</v>
      </c>
      <c r="S1105" s="218">
        <f>INDEX('Hist. prices'!$I$164:$AB$238,MATCH($C1105,'Hist. prices'!$C$164:$C$238,0),MATCH(S$1022,'Hist. prices'!$I$5:$AB$5,0))</f>
        <v>0</v>
      </c>
      <c r="T1105" s="218">
        <f>INDEX('Hist. prices'!$I$164:$AB$238,MATCH($C1105,'Hist. prices'!$C$164:$C$238,0),MATCH(T$1022,'Hist. prices'!$I$5:$AB$5,0))</f>
        <v>0</v>
      </c>
      <c r="U1105" s="218">
        <f>INDEX('Hist. prices'!$I$164:$AB$238,MATCH($C1105,'Hist. prices'!$C$164:$C$238,0),MATCH(U$1022,'Hist. prices'!$I$5:$AB$5,0))</f>
        <v>0</v>
      </c>
      <c r="V1105" s="218">
        <f>INDEX('Hist. prices'!$I$164:$AB$238,MATCH($C1105,'Hist. prices'!$C$164:$C$238,0),MATCH(V$1022,'Hist. prices'!$I$5:$AB$5,0))</f>
        <v>0</v>
      </c>
      <c r="W1105" s="218">
        <f>INDEX('Hist. prices'!$I$164:$AB$238,MATCH($C1105,'Hist. prices'!$C$164:$C$238,0),MATCH(W$1022,'Hist. prices'!$I$5:$AB$5,0))</f>
        <v>0</v>
      </c>
      <c r="X1105" s="218">
        <f>INDEX('Hist. prices'!$I$164:$AB$238,MATCH($C1105,'Hist. prices'!$C$164:$C$238,0),MATCH(X$1022,'Hist. prices'!$I$5:$AB$5,0))</f>
        <v>0</v>
      </c>
      <c r="Y1105" s="218">
        <f>INDEX('Hist. prices'!$I$164:$AB$238,MATCH($C1105,'Hist. prices'!$C$164:$C$238,0),MATCH(Y$1022,'Hist. prices'!$I$5:$AB$5,0))</f>
        <v>0</v>
      </c>
      <c r="Z1105" s="218">
        <f>INDEX('Hist. prices'!$I$164:$AB$238,MATCH($C1105,'Hist. prices'!$C$164:$C$238,0),MATCH(Z$1022,'Hist. prices'!$I$5:$AB$5,0))</f>
        <v>0</v>
      </c>
      <c r="AA1105" s="218">
        <f>INDEX('Hist. prices'!$I$164:$AB$238,MATCH($C1105,'Hist. prices'!$C$164:$C$238,0),MATCH(AA$1022,'Hist. prices'!$I$5:$AB$5,0))</f>
        <v>0</v>
      </c>
      <c r="AB1105" s="218">
        <f>INDEX('Hist. prices'!$I$164:$AB$238,MATCH($C1105,'Hist. prices'!$C$164:$C$238,0),MATCH(AB$1022,'Hist. prices'!$I$5:$AB$5,0))</f>
        <v>0</v>
      </c>
      <c r="AC1105" s="187"/>
      <c r="AD1105" s="19"/>
      <c r="AE1105" s="19"/>
      <c r="AF1105" s="19"/>
      <c r="AG1105" s="19"/>
    </row>
    <row r="1106" spans="1:33" hidden="1" outlineLevel="3" x14ac:dyDescent="0.2">
      <c r="A1106" s="19"/>
      <c r="B1106" s="19"/>
      <c r="C1106" s="506">
        <f t="shared" si="212"/>
        <v>0</v>
      </c>
      <c r="D1106" s="505">
        <f t="shared" si="212"/>
        <v>0</v>
      </c>
      <c r="E1106" s="58"/>
      <c r="F1106" s="223"/>
      <c r="G1106" s="58"/>
      <c r="H1106" s="58"/>
      <c r="I1106" s="218">
        <f>INDEX('Hist. prices'!$I$164:$AB$238,MATCH($C1106,'Hist. prices'!$C$164:$C$238,0),MATCH(I$1022,'Hist. prices'!$I$5:$AB$5,0))</f>
        <v>0</v>
      </c>
      <c r="J1106" s="218">
        <f>INDEX('Hist. prices'!$I$164:$AB$238,MATCH($C1106,'Hist. prices'!$C$164:$C$238,0),MATCH(J$1022,'Hist. prices'!$I$5:$AB$5,0))</f>
        <v>0</v>
      </c>
      <c r="K1106" s="218">
        <f>INDEX('Hist. prices'!$I$164:$AB$238,MATCH($C1106,'Hist. prices'!$C$164:$C$238,0),MATCH(K$1022,'Hist. prices'!$I$5:$AB$5,0))</f>
        <v>0</v>
      </c>
      <c r="L1106" s="218">
        <f>INDEX('Hist. prices'!$I$164:$AB$238,MATCH($C1106,'Hist. prices'!$C$164:$C$238,0),MATCH(L$1022,'Hist. prices'!$I$5:$AB$5,0))</f>
        <v>0</v>
      </c>
      <c r="M1106" s="218">
        <f>INDEX('Hist. prices'!$I$164:$AB$238,MATCH($C1106,'Hist. prices'!$C$164:$C$238,0),MATCH(M$1022,'Hist. prices'!$I$5:$AB$5,0))</f>
        <v>0</v>
      </c>
      <c r="N1106" s="218">
        <f>INDEX('Hist. prices'!$I$164:$AB$238,MATCH($C1106,'Hist. prices'!$C$164:$C$238,0),MATCH(N$1022,'Hist. prices'!$I$5:$AB$5,0))</f>
        <v>0</v>
      </c>
      <c r="O1106" s="218">
        <f>INDEX('Hist. prices'!$I$164:$AB$238,MATCH($C1106,'Hist. prices'!$C$164:$C$238,0),MATCH(O$1022,'Hist. prices'!$I$5:$AB$5,0))</f>
        <v>0</v>
      </c>
      <c r="P1106" s="218">
        <f>INDEX('Hist. prices'!$I$164:$AB$238,MATCH($C1106,'Hist. prices'!$C$164:$C$238,0),MATCH(P$1022,'Hist. prices'!$I$5:$AB$5,0))</f>
        <v>0</v>
      </c>
      <c r="Q1106" s="218">
        <f>INDEX('Hist. prices'!$I$164:$AB$238,MATCH($C1106,'Hist. prices'!$C$164:$C$238,0),MATCH(Q$1022,'Hist. prices'!$I$5:$AB$5,0))</f>
        <v>0</v>
      </c>
      <c r="R1106" s="218">
        <f>INDEX('Hist. prices'!$I$164:$AB$238,MATCH($C1106,'Hist. prices'!$C$164:$C$238,0),MATCH(R$1022,'Hist. prices'!$I$5:$AB$5,0))</f>
        <v>0</v>
      </c>
      <c r="S1106" s="218">
        <f>INDEX('Hist. prices'!$I$164:$AB$238,MATCH($C1106,'Hist. prices'!$C$164:$C$238,0),MATCH(S$1022,'Hist. prices'!$I$5:$AB$5,0))</f>
        <v>0</v>
      </c>
      <c r="T1106" s="218">
        <f>INDEX('Hist. prices'!$I$164:$AB$238,MATCH($C1106,'Hist. prices'!$C$164:$C$238,0),MATCH(T$1022,'Hist. prices'!$I$5:$AB$5,0))</f>
        <v>0</v>
      </c>
      <c r="U1106" s="218">
        <f>INDEX('Hist. prices'!$I$164:$AB$238,MATCH($C1106,'Hist. prices'!$C$164:$C$238,0),MATCH(U$1022,'Hist. prices'!$I$5:$AB$5,0))</f>
        <v>0</v>
      </c>
      <c r="V1106" s="218">
        <f>INDEX('Hist. prices'!$I$164:$AB$238,MATCH($C1106,'Hist. prices'!$C$164:$C$238,0),MATCH(V$1022,'Hist. prices'!$I$5:$AB$5,0))</f>
        <v>0</v>
      </c>
      <c r="W1106" s="218">
        <f>INDEX('Hist. prices'!$I$164:$AB$238,MATCH($C1106,'Hist. prices'!$C$164:$C$238,0),MATCH(W$1022,'Hist. prices'!$I$5:$AB$5,0))</f>
        <v>0</v>
      </c>
      <c r="X1106" s="218">
        <f>INDEX('Hist. prices'!$I$164:$AB$238,MATCH($C1106,'Hist. prices'!$C$164:$C$238,0),MATCH(X$1022,'Hist. prices'!$I$5:$AB$5,0))</f>
        <v>0</v>
      </c>
      <c r="Y1106" s="218">
        <f>INDEX('Hist. prices'!$I$164:$AB$238,MATCH($C1106,'Hist. prices'!$C$164:$C$238,0),MATCH(Y$1022,'Hist. prices'!$I$5:$AB$5,0))</f>
        <v>0</v>
      </c>
      <c r="Z1106" s="218">
        <f>INDEX('Hist. prices'!$I$164:$AB$238,MATCH($C1106,'Hist. prices'!$C$164:$C$238,0),MATCH(Z$1022,'Hist. prices'!$I$5:$AB$5,0))</f>
        <v>0</v>
      </c>
      <c r="AA1106" s="218">
        <f>INDEX('Hist. prices'!$I$164:$AB$238,MATCH($C1106,'Hist. prices'!$C$164:$C$238,0),MATCH(AA$1022,'Hist. prices'!$I$5:$AB$5,0))</f>
        <v>0</v>
      </c>
      <c r="AB1106" s="218">
        <f>INDEX('Hist. prices'!$I$164:$AB$238,MATCH($C1106,'Hist. prices'!$C$164:$C$238,0),MATCH(AB$1022,'Hist. prices'!$I$5:$AB$5,0))</f>
        <v>0</v>
      </c>
      <c r="AC1106" s="187"/>
      <c r="AD1106" s="19"/>
      <c r="AE1106" s="19"/>
      <c r="AF1106" s="19"/>
      <c r="AG1106" s="19"/>
    </row>
    <row r="1107" spans="1:33" hidden="1" outlineLevel="3" x14ac:dyDescent="0.2">
      <c r="A1107" s="19"/>
      <c r="B1107" s="19"/>
      <c r="C1107" s="506">
        <f t="shared" si="212"/>
        <v>0</v>
      </c>
      <c r="D1107" s="505">
        <f t="shared" si="212"/>
        <v>0</v>
      </c>
      <c r="E1107" s="58"/>
      <c r="F1107" s="223"/>
      <c r="G1107" s="58"/>
      <c r="H1107" s="58"/>
      <c r="I1107" s="218">
        <f>INDEX('Hist. prices'!$I$164:$AB$238,MATCH($C1107,'Hist. prices'!$C$164:$C$238,0),MATCH(I$1022,'Hist. prices'!$I$5:$AB$5,0))</f>
        <v>0</v>
      </c>
      <c r="J1107" s="218">
        <f>INDEX('Hist. prices'!$I$164:$AB$238,MATCH($C1107,'Hist. prices'!$C$164:$C$238,0),MATCH(J$1022,'Hist. prices'!$I$5:$AB$5,0))</f>
        <v>0</v>
      </c>
      <c r="K1107" s="218">
        <f>INDEX('Hist. prices'!$I$164:$AB$238,MATCH($C1107,'Hist. prices'!$C$164:$C$238,0),MATCH(K$1022,'Hist. prices'!$I$5:$AB$5,0))</f>
        <v>0</v>
      </c>
      <c r="L1107" s="218">
        <f>INDEX('Hist. prices'!$I$164:$AB$238,MATCH($C1107,'Hist. prices'!$C$164:$C$238,0),MATCH(L$1022,'Hist. prices'!$I$5:$AB$5,0))</f>
        <v>0</v>
      </c>
      <c r="M1107" s="218">
        <f>INDEX('Hist. prices'!$I$164:$AB$238,MATCH($C1107,'Hist. prices'!$C$164:$C$238,0),MATCH(M$1022,'Hist. prices'!$I$5:$AB$5,0))</f>
        <v>0</v>
      </c>
      <c r="N1107" s="218">
        <f>INDEX('Hist. prices'!$I$164:$AB$238,MATCH($C1107,'Hist. prices'!$C$164:$C$238,0),MATCH(N$1022,'Hist. prices'!$I$5:$AB$5,0))</f>
        <v>0</v>
      </c>
      <c r="O1107" s="218">
        <f>INDEX('Hist. prices'!$I$164:$AB$238,MATCH($C1107,'Hist. prices'!$C$164:$C$238,0),MATCH(O$1022,'Hist. prices'!$I$5:$AB$5,0))</f>
        <v>0</v>
      </c>
      <c r="P1107" s="218">
        <f>INDEX('Hist. prices'!$I$164:$AB$238,MATCH($C1107,'Hist. prices'!$C$164:$C$238,0),MATCH(P$1022,'Hist. prices'!$I$5:$AB$5,0))</f>
        <v>0</v>
      </c>
      <c r="Q1107" s="218">
        <f>INDEX('Hist. prices'!$I$164:$AB$238,MATCH($C1107,'Hist. prices'!$C$164:$C$238,0),MATCH(Q$1022,'Hist. prices'!$I$5:$AB$5,0))</f>
        <v>0</v>
      </c>
      <c r="R1107" s="218">
        <f>INDEX('Hist. prices'!$I$164:$AB$238,MATCH($C1107,'Hist. prices'!$C$164:$C$238,0),MATCH(R$1022,'Hist. prices'!$I$5:$AB$5,0))</f>
        <v>0</v>
      </c>
      <c r="S1107" s="218">
        <f>INDEX('Hist. prices'!$I$164:$AB$238,MATCH($C1107,'Hist. prices'!$C$164:$C$238,0),MATCH(S$1022,'Hist. prices'!$I$5:$AB$5,0))</f>
        <v>0</v>
      </c>
      <c r="T1107" s="218">
        <f>INDEX('Hist. prices'!$I$164:$AB$238,MATCH($C1107,'Hist. prices'!$C$164:$C$238,0),MATCH(T$1022,'Hist. prices'!$I$5:$AB$5,0))</f>
        <v>0</v>
      </c>
      <c r="U1107" s="218">
        <f>INDEX('Hist. prices'!$I$164:$AB$238,MATCH($C1107,'Hist. prices'!$C$164:$C$238,0),MATCH(U$1022,'Hist. prices'!$I$5:$AB$5,0))</f>
        <v>0</v>
      </c>
      <c r="V1107" s="218">
        <f>INDEX('Hist. prices'!$I$164:$AB$238,MATCH($C1107,'Hist. prices'!$C$164:$C$238,0),MATCH(V$1022,'Hist. prices'!$I$5:$AB$5,0))</f>
        <v>0</v>
      </c>
      <c r="W1107" s="218">
        <f>INDEX('Hist. prices'!$I$164:$AB$238,MATCH($C1107,'Hist. prices'!$C$164:$C$238,0),MATCH(W$1022,'Hist. prices'!$I$5:$AB$5,0))</f>
        <v>0</v>
      </c>
      <c r="X1107" s="218">
        <f>INDEX('Hist. prices'!$I$164:$AB$238,MATCH($C1107,'Hist. prices'!$C$164:$C$238,0),MATCH(X$1022,'Hist. prices'!$I$5:$AB$5,0))</f>
        <v>0</v>
      </c>
      <c r="Y1107" s="218">
        <f>INDEX('Hist. prices'!$I$164:$AB$238,MATCH($C1107,'Hist. prices'!$C$164:$C$238,0),MATCH(Y$1022,'Hist. prices'!$I$5:$AB$5,0))</f>
        <v>0</v>
      </c>
      <c r="Z1107" s="218">
        <f>INDEX('Hist. prices'!$I$164:$AB$238,MATCH($C1107,'Hist. prices'!$C$164:$C$238,0),MATCH(Z$1022,'Hist. prices'!$I$5:$AB$5,0))</f>
        <v>0</v>
      </c>
      <c r="AA1107" s="218">
        <f>INDEX('Hist. prices'!$I$164:$AB$238,MATCH($C1107,'Hist. prices'!$C$164:$C$238,0),MATCH(AA$1022,'Hist. prices'!$I$5:$AB$5,0))</f>
        <v>0</v>
      </c>
      <c r="AB1107" s="218">
        <f>INDEX('Hist. prices'!$I$164:$AB$238,MATCH($C1107,'Hist. prices'!$C$164:$C$238,0),MATCH(AB$1022,'Hist. prices'!$I$5:$AB$5,0))</f>
        <v>0</v>
      </c>
      <c r="AC1107" s="187"/>
      <c r="AD1107" s="19"/>
      <c r="AE1107" s="19"/>
      <c r="AF1107" s="19"/>
      <c r="AG1107" s="19"/>
    </row>
    <row r="1108" spans="1:33" hidden="1" outlineLevel="3" x14ac:dyDescent="0.2">
      <c r="A1108" s="19"/>
      <c r="B1108" s="19"/>
      <c r="C1108" s="506">
        <f t="shared" si="212"/>
        <v>0</v>
      </c>
      <c r="D1108" s="505">
        <f t="shared" si="212"/>
        <v>0</v>
      </c>
      <c r="E1108" s="58"/>
      <c r="F1108" s="223"/>
      <c r="G1108" s="58"/>
      <c r="H1108" s="58"/>
      <c r="I1108" s="218">
        <f>INDEX('Hist. prices'!$I$164:$AB$238,MATCH($C1108,'Hist. prices'!$C$164:$C$238,0),MATCH(I$1022,'Hist. prices'!$I$5:$AB$5,0))</f>
        <v>0</v>
      </c>
      <c r="J1108" s="218">
        <f>INDEX('Hist. prices'!$I$164:$AB$238,MATCH($C1108,'Hist. prices'!$C$164:$C$238,0),MATCH(J$1022,'Hist. prices'!$I$5:$AB$5,0))</f>
        <v>0</v>
      </c>
      <c r="K1108" s="218">
        <f>INDEX('Hist. prices'!$I$164:$AB$238,MATCH($C1108,'Hist. prices'!$C$164:$C$238,0),MATCH(K$1022,'Hist. prices'!$I$5:$AB$5,0))</f>
        <v>0</v>
      </c>
      <c r="L1108" s="218">
        <f>INDEX('Hist. prices'!$I$164:$AB$238,MATCH($C1108,'Hist. prices'!$C$164:$C$238,0),MATCH(L$1022,'Hist. prices'!$I$5:$AB$5,0))</f>
        <v>0</v>
      </c>
      <c r="M1108" s="218">
        <f>INDEX('Hist. prices'!$I$164:$AB$238,MATCH($C1108,'Hist. prices'!$C$164:$C$238,0),MATCH(M$1022,'Hist. prices'!$I$5:$AB$5,0))</f>
        <v>0</v>
      </c>
      <c r="N1108" s="218">
        <f>INDEX('Hist. prices'!$I$164:$AB$238,MATCH($C1108,'Hist. prices'!$C$164:$C$238,0),MATCH(N$1022,'Hist. prices'!$I$5:$AB$5,0))</f>
        <v>0</v>
      </c>
      <c r="O1108" s="218">
        <f>INDEX('Hist. prices'!$I$164:$AB$238,MATCH($C1108,'Hist. prices'!$C$164:$C$238,0),MATCH(O$1022,'Hist. prices'!$I$5:$AB$5,0))</f>
        <v>0</v>
      </c>
      <c r="P1108" s="218">
        <f>INDEX('Hist. prices'!$I$164:$AB$238,MATCH($C1108,'Hist. prices'!$C$164:$C$238,0),MATCH(P$1022,'Hist. prices'!$I$5:$AB$5,0))</f>
        <v>0</v>
      </c>
      <c r="Q1108" s="218">
        <f>INDEX('Hist. prices'!$I$164:$AB$238,MATCH($C1108,'Hist. prices'!$C$164:$C$238,0),MATCH(Q$1022,'Hist. prices'!$I$5:$AB$5,0))</f>
        <v>0</v>
      </c>
      <c r="R1108" s="218">
        <f>INDEX('Hist. prices'!$I$164:$AB$238,MATCH($C1108,'Hist. prices'!$C$164:$C$238,0),MATCH(R$1022,'Hist. prices'!$I$5:$AB$5,0))</f>
        <v>0</v>
      </c>
      <c r="S1108" s="218">
        <f>INDEX('Hist. prices'!$I$164:$AB$238,MATCH($C1108,'Hist. prices'!$C$164:$C$238,0),MATCH(S$1022,'Hist. prices'!$I$5:$AB$5,0))</f>
        <v>0</v>
      </c>
      <c r="T1108" s="218">
        <f>INDEX('Hist. prices'!$I$164:$AB$238,MATCH($C1108,'Hist. prices'!$C$164:$C$238,0),MATCH(T$1022,'Hist. prices'!$I$5:$AB$5,0))</f>
        <v>0</v>
      </c>
      <c r="U1108" s="218">
        <f>INDEX('Hist. prices'!$I$164:$AB$238,MATCH($C1108,'Hist. prices'!$C$164:$C$238,0),MATCH(U$1022,'Hist. prices'!$I$5:$AB$5,0))</f>
        <v>0</v>
      </c>
      <c r="V1108" s="218">
        <f>INDEX('Hist. prices'!$I$164:$AB$238,MATCH($C1108,'Hist. prices'!$C$164:$C$238,0),MATCH(V$1022,'Hist. prices'!$I$5:$AB$5,0))</f>
        <v>0</v>
      </c>
      <c r="W1108" s="218">
        <f>INDEX('Hist. prices'!$I$164:$AB$238,MATCH($C1108,'Hist. prices'!$C$164:$C$238,0),MATCH(W$1022,'Hist. prices'!$I$5:$AB$5,0))</f>
        <v>0</v>
      </c>
      <c r="X1108" s="218">
        <f>INDEX('Hist. prices'!$I$164:$AB$238,MATCH($C1108,'Hist. prices'!$C$164:$C$238,0),MATCH(X$1022,'Hist. prices'!$I$5:$AB$5,0))</f>
        <v>0</v>
      </c>
      <c r="Y1108" s="218">
        <f>INDEX('Hist. prices'!$I$164:$AB$238,MATCH($C1108,'Hist. prices'!$C$164:$C$238,0),MATCH(Y$1022,'Hist. prices'!$I$5:$AB$5,0))</f>
        <v>0</v>
      </c>
      <c r="Z1108" s="218">
        <f>INDEX('Hist. prices'!$I$164:$AB$238,MATCH($C1108,'Hist. prices'!$C$164:$C$238,0),MATCH(Z$1022,'Hist. prices'!$I$5:$AB$5,0))</f>
        <v>0</v>
      </c>
      <c r="AA1108" s="218">
        <f>INDEX('Hist. prices'!$I$164:$AB$238,MATCH($C1108,'Hist. prices'!$C$164:$C$238,0),MATCH(AA$1022,'Hist. prices'!$I$5:$AB$5,0))</f>
        <v>0</v>
      </c>
      <c r="AB1108" s="218">
        <f>INDEX('Hist. prices'!$I$164:$AB$238,MATCH($C1108,'Hist. prices'!$C$164:$C$238,0),MATCH(AB$1022,'Hist. prices'!$I$5:$AB$5,0))</f>
        <v>0</v>
      </c>
      <c r="AC1108" s="187"/>
      <c r="AD1108" s="19"/>
      <c r="AE1108" s="19"/>
      <c r="AF1108" s="19"/>
      <c r="AG1108" s="19"/>
    </row>
    <row r="1109" spans="1:33" hidden="1" outlineLevel="3" x14ac:dyDescent="0.2">
      <c r="A1109" s="19"/>
      <c r="B1109" s="19"/>
      <c r="C1109" s="506">
        <f t="shared" si="212"/>
        <v>0</v>
      </c>
      <c r="D1109" s="505">
        <f t="shared" si="212"/>
        <v>0</v>
      </c>
      <c r="E1109" s="58"/>
      <c r="F1109" s="223"/>
      <c r="G1109" s="58"/>
      <c r="H1109" s="58"/>
      <c r="I1109" s="218">
        <f>INDEX('Hist. prices'!$I$164:$AB$238,MATCH($C1109,'Hist. prices'!$C$164:$C$238,0),MATCH(I$1022,'Hist. prices'!$I$5:$AB$5,0))</f>
        <v>0</v>
      </c>
      <c r="J1109" s="218">
        <f>INDEX('Hist. prices'!$I$164:$AB$238,MATCH($C1109,'Hist. prices'!$C$164:$C$238,0),MATCH(J$1022,'Hist. prices'!$I$5:$AB$5,0))</f>
        <v>0</v>
      </c>
      <c r="K1109" s="218">
        <f>INDEX('Hist. prices'!$I$164:$AB$238,MATCH($C1109,'Hist. prices'!$C$164:$C$238,0),MATCH(K$1022,'Hist. prices'!$I$5:$AB$5,0))</f>
        <v>0</v>
      </c>
      <c r="L1109" s="218">
        <f>INDEX('Hist. prices'!$I$164:$AB$238,MATCH($C1109,'Hist. prices'!$C$164:$C$238,0),MATCH(L$1022,'Hist. prices'!$I$5:$AB$5,0))</f>
        <v>0</v>
      </c>
      <c r="M1109" s="218">
        <f>INDEX('Hist. prices'!$I$164:$AB$238,MATCH($C1109,'Hist. prices'!$C$164:$C$238,0),MATCH(M$1022,'Hist. prices'!$I$5:$AB$5,0))</f>
        <v>0</v>
      </c>
      <c r="N1109" s="218">
        <f>INDEX('Hist. prices'!$I$164:$AB$238,MATCH($C1109,'Hist. prices'!$C$164:$C$238,0),MATCH(N$1022,'Hist. prices'!$I$5:$AB$5,0))</f>
        <v>0</v>
      </c>
      <c r="O1109" s="218">
        <f>INDEX('Hist. prices'!$I$164:$AB$238,MATCH($C1109,'Hist. prices'!$C$164:$C$238,0),MATCH(O$1022,'Hist. prices'!$I$5:$AB$5,0))</f>
        <v>0</v>
      </c>
      <c r="P1109" s="218">
        <f>INDEX('Hist. prices'!$I$164:$AB$238,MATCH($C1109,'Hist. prices'!$C$164:$C$238,0),MATCH(P$1022,'Hist. prices'!$I$5:$AB$5,0))</f>
        <v>0</v>
      </c>
      <c r="Q1109" s="218">
        <f>INDEX('Hist. prices'!$I$164:$AB$238,MATCH($C1109,'Hist. prices'!$C$164:$C$238,0),MATCH(Q$1022,'Hist. prices'!$I$5:$AB$5,0))</f>
        <v>0</v>
      </c>
      <c r="R1109" s="218">
        <f>INDEX('Hist. prices'!$I$164:$AB$238,MATCH($C1109,'Hist. prices'!$C$164:$C$238,0),MATCH(R$1022,'Hist. prices'!$I$5:$AB$5,0))</f>
        <v>0</v>
      </c>
      <c r="S1109" s="218">
        <f>INDEX('Hist. prices'!$I$164:$AB$238,MATCH($C1109,'Hist. prices'!$C$164:$C$238,0),MATCH(S$1022,'Hist. prices'!$I$5:$AB$5,0))</f>
        <v>0</v>
      </c>
      <c r="T1109" s="218">
        <f>INDEX('Hist. prices'!$I$164:$AB$238,MATCH($C1109,'Hist. prices'!$C$164:$C$238,0),MATCH(T$1022,'Hist. prices'!$I$5:$AB$5,0))</f>
        <v>0</v>
      </c>
      <c r="U1109" s="218">
        <f>INDEX('Hist. prices'!$I$164:$AB$238,MATCH($C1109,'Hist. prices'!$C$164:$C$238,0),MATCH(U$1022,'Hist. prices'!$I$5:$AB$5,0))</f>
        <v>0</v>
      </c>
      <c r="V1109" s="218">
        <f>INDEX('Hist. prices'!$I$164:$AB$238,MATCH($C1109,'Hist. prices'!$C$164:$C$238,0),MATCH(V$1022,'Hist. prices'!$I$5:$AB$5,0))</f>
        <v>0</v>
      </c>
      <c r="W1109" s="218">
        <f>INDEX('Hist. prices'!$I$164:$AB$238,MATCH($C1109,'Hist. prices'!$C$164:$C$238,0),MATCH(W$1022,'Hist. prices'!$I$5:$AB$5,0))</f>
        <v>0</v>
      </c>
      <c r="X1109" s="218">
        <f>INDEX('Hist. prices'!$I$164:$AB$238,MATCH($C1109,'Hist. prices'!$C$164:$C$238,0),MATCH(X$1022,'Hist. prices'!$I$5:$AB$5,0))</f>
        <v>0</v>
      </c>
      <c r="Y1109" s="218">
        <f>INDEX('Hist. prices'!$I$164:$AB$238,MATCH($C1109,'Hist. prices'!$C$164:$C$238,0),MATCH(Y$1022,'Hist. prices'!$I$5:$AB$5,0))</f>
        <v>0</v>
      </c>
      <c r="Z1109" s="218">
        <f>INDEX('Hist. prices'!$I$164:$AB$238,MATCH($C1109,'Hist. prices'!$C$164:$C$238,0),MATCH(Z$1022,'Hist. prices'!$I$5:$AB$5,0))</f>
        <v>0</v>
      </c>
      <c r="AA1109" s="218">
        <f>INDEX('Hist. prices'!$I$164:$AB$238,MATCH($C1109,'Hist. prices'!$C$164:$C$238,0),MATCH(AA$1022,'Hist. prices'!$I$5:$AB$5,0))</f>
        <v>0</v>
      </c>
      <c r="AB1109" s="218">
        <f>INDEX('Hist. prices'!$I$164:$AB$238,MATCH($C1109,'Hist. prices'!$C$164:$C$238,0),MATCH(AB$1022,'Hist. prices'!$I$5:$AB$5,0))</f>
        <v>0</v>
      </c>
      <c r="AC1109" s="187"/>
      <c r="AD1109" s="19"/>
      <c r="AE1109" s="19"/>
      <c r="AF1109" s="19"/>
      <c r="AG1109" s="19"/>
    </row>
    <row r="1110" spans="1:33" hidden="1" outlineLevel="3" x14ac:dyDescent="0.2">
      <c r="A1110" s="19"/>
      <c r="B1110" s="19"/>
      <c r="C1110" s="506">
        <f t="shared" si="212"/>
        <v>0</v>
      </c>
      <c r="D1110" s="505">
        <f t="shared" si="212"/>
        <v>0</v>
      </c>
      <c r="E1110" s="58"/>
      <c r="F1110" s="223"/>
      <c r="G1110" s="58"/>
      <c r="H1110" s="58"/>
      <c r="I1110" s="218">
        <f>INDEX('Hist. prices'!$I$164:$AB$238,MATCH($C1110,'Hist. prices'!$C$164:$C$238,0),MATCH(I$1022,'Hist. prices'!$I$5:$AB$5,0))</f>
        <v>0</v>
      </c>
      <c r="J1110" s="218">
        <f>INDEX('Hist. prices'!$I$164:$AB$238,MATCH($C1110,'Hist. prices'!$C$164:$C$238,0),MATCH(J$1022,'Hist. prices'!$I$5:$AB$5,0))</f>
        <v>0</v>
      </c>
      <c r="K1110" s="218">
        <f>INDEX('Hist. prices'!$I$164:$AB$238,MATCH($C1110,'Hist. prices'!$C$164:$C$238,0),MATCH(K$1022,'Hist. prices'!$I$5:$AB$5,0))</f>
        <v>0</v>
      </c>
      <c r="L1110" s="218">
        <f>INDEX('Hist. prices'!$I$164:$AB$238,MATCH($C1110,'Hist. prices'!$C$164:$C$238,0),MATCH(L$1022,'Hist. prices'!$I$5:$AB$5,0))</f>
        <v>0</v>
      </c>
      <c r="M1110" s="218">
        <f>INDEX('Hist. prices'!$I$164:$AB$238,MATCH($C1110,'Hist. prices'!$C$164:$C$238,0),MATCH(M$1022,'Hist. prices'!$I$5:$AB$5,0))</f>
        <v>0</v>
      </c>
      <c r="N1110" s="218">
        <f>INDEX('Hist. prices'!$I$164:$AB$238,MATCH($C1110,'Hist. prices'!$C$164:$C$238,0),MATCH(N$1022,'Hist. prices'!$I$5:$AB$5,0))</f>
        <v>0</v>
      </c>
      <c r="O1110" s="218">
        <f>INDEX('Hist. prices'!$I$164:$AB$238,MATCH($C1110,'Hist. prices'!$C$164:$C$238,0),MATCH(O$1022,'Hist. prices'!$I$5:$AB$5,0))</f>
        <v>0</v>
      </c>
      <c r="P1110" s="218">
        <f>INDEX('Hist. prices'!$I$164:$AB$238,MATCH($C1110,'Hist. prices'!$C$164:$C$238,0),MATCH(P$1022,'Hist. prices'!$I$5:$AB$5,0))</f>
        <v>0</v>
      </c>
      <c r="Q1110" s="218">
        <f>INDEX('Hist. prices'!$I$164:$AB$238,MATCH($C1110,'Hist. prices'!$C$164:$C$238,0),MATCH(Q$1022,'Hist. prices'!$I$5:$AB$5,0))</f>
        <v>0</v>
      </c>
      <c r="R1110" s="218">
        <f>INDEX('Hist. prices'!$I$164:$AB$238,MATCH($C1110,'Hist. prices'!$C$164:$C$238,0),MATCH(R$1022,'Hist. prices'!$I$5:$AB$5,0))</f>
        <v>0</v>
      </c>
      <c r="S1110" s="218">
        <f>INDEX('Hist. prices'!$I$164:$AB$238,MATCH($C1110,'Hist. prices'!$C$164:$C$238,0),MATCH(S$1022,'Hist. prices'!$I$5:$AB$5,0))</f>
        <v>0</v>
      </c>
      <c r="T1110" s="218">
        <f>INDEX('Hist. prices'!$I$164:$AB$238,MATCH($C1110,'Hist. prices'!$C$164:$C$238,0),MATCH(T$1022,'Hist. prices'!$I$5:$AB$5,0))</f>
        <v>0</v>
      </c>
      <c r="U1110" s="218">
        <f>INDEX('Hist. prices'!$I$164:$AB$238,MATCH($C1110,'Hist. prices'!$C$164:$C$238,0),MATCH(U$1022,'Hist. prices'!$I$5:$AB$5,0))</f>
        <v>0</v>
      </c>
      <c r="V1110" s="218">
        <f>INDEX('Hist. prices'!$I$164:$AB$238,MATCH($C1110,'Hist. prices'!$C$164:$C$238,0),MATCH(V$1022,'Hist. prices'!$I$5:$AB$5,0))</f>
        <v>0</v>
      </c>
      <c r="W1110" s="218">
        <f>INDEX('Hist. prices'!$I$164:$AB$238,MATCH($C1110,'Hist. prices'!$C$164:$C$238,0),MATCH(W$1022,'Hist. prices'!$I$5:$AB$5,0))</f>
        <v>0</v>
      </c>
      <c r="X1110" s="218">
        <f>INDEX('Hist. prices'!$I$164:$AB$238,MATCH($C1110,'Hist. prices'!$C$164:$C$238,0),MATCH(X$1022,'Hist. prices'!$I$5:$AB$5,0))</f>
        <v>0</v>
      </c>
      <c r="Y1110" s="218">
        <f>INDEX('Hist. prices'!$I$164:$AB$238,MATCH($C1110,'Hist. prices'!$C$164:$C$238,0),MATCH(Y$1022,'Hist. prices'!$I$5:$AB$5,0))</f>
        <v>0</v>
      </c>
      <c r="Z1110" s="218">
        <f>INDEX('Hist. prices'!$I$164:$AB$238,MATCH($C1110,'Hist. prices'!$C$164:$C$238,0),MATCH(Z$1022,'Hist. prices'!$I$5:$AB$5,0))</f>
        <v>0</v>
      </c>
      <c r="AA1110" s="218">
        <f>INDEX('Hist. prices'!$I$164:$AB$238,MATCH($C1110,'Hist. prices'!$C$164:$C$238,0),MATCH(AA$1022,'Hist. prices'!$I$5:$AB$5,0))</f>
        <v>0</v>
      </c>
      <c r="AB1110" s="218">
        <f>INDEX('Hist. prices'!$I$164:$AB$238,MATCH($C1110,'Hist. prices'!$C$164:$C$238,0),MATCH(AB$1022,'Hist. prices'!$I$5:$AB$5,0))</f>
        <v>0</v>
      </c>
      <c r="AC1110" s="187"/>
      <c r="AD1110" s="19"/>
      <c r="AE1110" s="19"/>
      <c r="AF1110" s="19"/>
      <c r="AG1110" s="19"/>
    </row>
    <row r="1111" spans="1:33" hidden="1" outlineLevel="3" x14ac:dyDescent="0.2">
      <c r="A1111" s="19"/>
      <c r="B1111" s="19"/>
      <c r="C1111" s="506">
        <f t="shared" si="212"/>
        <v>0</v>
      </c>
      <c r="D1111" s="505">
        <f t="shared" si="212"/>
        <v>0</v>
      </c>
      <c r="E1111" s="58"/>
      <c r="F1111" s="223"/>
      <c r="G1111" s="58"/>
      <c r="H1111" s="58"/>
      <c r="I1111" s="218">
        <f>INDEX('Hist. prices'!$I$164:$AB$238,MATCH($C1111,'Hist. prices'!$C$164:$C$238,0),MATCH(I$1022,'Hist. prices'!$I$5:$AB$5,0))</f>
        <v>0</v>
      </c>
      <c r="J1111" s="218">
        <f>INDEX('Hist. prices'!$I$164:$AB$238,MATCH($C1111,'Hist. prices'!$C$164:$C$238,0),MATCH(J$1022,'Hist. prices'!$I$5:$AB$5,0))</f>
        <v>0</v>
      </c>
      <c r="K1111" s="218">
        <f>INDEX('Hist. prices'!$I$164:$AB$238,MATCH($C1111,'Hist. prices'!$C$164:$C$238,0),MATCH(K$1022,'Hist. prices'!$I$5:$AB$5,0))</f>
        <v>0</v>
      </c>
      <c r="L1111" s="218">
        <f>INDEX('Hist. prices'!$I$164:$AB$238,MATCH($C1111,'Hist. prices'!$C$164:$C$238,0),MATCH(L$1022,'Hist. prices'!$I$5:$AB$5,0))</f>
        <v>0</v>
      </c>
      <c r="M1111" s="218">
        <f>INDEX('Hist. prices'!$I$164:$AB$238,MATCH($C1111,'Hist. prices'!$C$164:$C$238,0),MATCH(M$1022,'Hist. prices'!$I$5:$AB$5,0))</f>
        <v>0</v>
      </c>
      <c r="N1111" s="218">
        <f>INDEX('Hist. prices'!$I$164:$AB$238,MATCH($C1111,'Hist. prices'!$C$164:$C$238,0),MATCH(N$1022,'Hist. prices'!$I$5:$AB$5,0))</f>
        <v>0</v>
      </c>
      <c r="O1111" s="218">
        <f>INDEX('Hist. prices'!$I$164:$AB$238,MATCH($C1111,'Hist. prices'!$C$164:$C$238,0),MATCH(O$1022,'Hist. prices'!$I$5:$AB$5,0))</f>
        <v>0</v>
      </c>
      <c r="P1111" s="218">
        <f>INDEX('Hist. prices'!$I$164:$AB$238,MATCH($C1111,'Hist. prices'!$C$164:$C$238,0),MATCH(P$1022,'Hist. prices'!$I$5:$AB$5,0))</f>
        <v>0</v>
      </c>
      <c r="Q1111" s="218">
        <f>INDEX('Hist. prices'!$I$164:$AB$238,MATCH($C1111,'Hist. prices'!$C$164:$C$238,0),MATCH(Q$1022,'Hist. prices'!$I$5:$AB$5,0))</f>
        <v>0</v>
      </c>
      <c r="R1111" s="218">
        <f>INDEX('Hist. prices'!$I$164:$AB$238,MATCH($C1111,'Hist. prices'!$C$164:$C$238,0),MATCH(R$1022,'Hist. prices'!$I$5:$AB$5,0))</f>
        <v>0</v>
      </c>
      <c r="S1111" s="218">
        <f>INDEX('Hist. prices'!$I$164:$AB$238,MATCH($C1111,'Hist. prices'!$C$164:$C$238,0),MATCH(S$1022,'Hist. prices'!$I$5:$AB$5,0))</f>
        <v>0</v>
      </c>
      <c r="T1111" s="218">
        <f>INDEX('Hist. prices'!$I$164:$AB$238,MATCH($C1111,'Hist. prices'!$C$164:$C$238,0),MATCH(T$1022,'Hist. prices'!$I$5:$AB$5,0))</f>
        <v>0</v>
      </c>
      <c r="U1111" s="218">
        <f>INDEX('Hist. prices'!$I$164:$AB$238,MATCH($C1111,'Hist. prices'!$C$164:$C$238,0),MATCH(U$1022,'Hist. prices'!$I$5:$AB$5,0))</f>
        <v>0</v>
      </c>
      <c r="V1111" s="218">
        <f>INDEX('Hist. prices'!$I$164:$AB$238,MATCH($C1111,'Hist. prices'!$C$164:$C$238,0),MATCH(V$1022,'Hist. prices'!$I$5:$AB$5,0))</f>
        <v>0</v>
      </c>
      <c r="W1111" s="218">
        <f>INDEX('Hist. prices'!$I$164:$AB$238,MATCH($C1111,'Hist. prices'!$C$164:$C$238,0),MATCH(W$1022,'Hist. prices'!$I$5:$AB$5,0))</f>
        <v>0</v>
      </c>
      <c r="X1111" s="218">
        <f>INDEX('Hist. prices'!$I$164:$AB$238,MATCH($C1111,'Hist. prices'!$C$164:$C$238,0),MATCH(X$1022,'Hist. prices'!$I$5:$AB$5,0))</f>
        <v>0</v>
      </c>
      <c r="Y1111" s="218">
        <f>INDEX('Hist. prices'!$I$164:$AB$238,MATCH($C1111,'Hist. prices'!$C$164:$C$238,0),MATCH(Y$1022,'Hist. prices'!$I$5:$AB$5,0))</f>
        <v>0</v>
      </c>
      <c r="Z1111" s="218">
        <f>INDEX('Hist. prices'!$I$164:$AB$238,MATCH($C1111,'Hist. prices'!$C$164:$C$238,0),MATCH(Z$1022,'Hist. prices'!$I$5:$AB$5,0))</f>
        <v>0</v>
      </c>
      <c r="AA1111" s="218">
        <f>INDEX('Hist. prices'!$I$164:$AB$238,MATCH($C1111,'Hist. prices'!$C$164:$C$238,0),MATCH(AA$1022,'Hist. prices'!$I$5:$AB$5,0))</f>
        <v>0</v>
      </c>
      <c r="AB1111" s="218">
        <f>INDEX('Hist. prices'!$I$164:$AB$238,MATCH($C1111,'Hist. prices'!$C$164:$C$238,0),MATCH(AB$1022,'Hist. prices'!$I$5:$AB$5,0))</f>
        <v>0</v>
      </c>
      <c r="AC1111" s="187"/>
      <c r="AD1111" s="19"/>
      <c r="AE1111" s="19"/>
      <c r="AF1111" s="19"/>
      <c r="AG1111" s="19"/>
    </row>
    <row r="1112" spans="1:33" hidden="1" outlineLevel="3" x14ac:dyDescent="0.2">
      <c r="A1112" s="19"/>
      <c r="B1112" s="19"/>
      <c r="C1112" s="506">
        <f t="shared" si="212"/>
        <v>0</v>
      </c>
      <c r="D1112" s="505">
        <f t="shared" si="212"/>
        <v>0</v>
      </c>
      <c r="E1112" s="58"/>
      <c r="F1112" s="223"/>
      <c r="G1112" s="58"/>
      <c r="H1112" s="58"/>
      <c r="I1112" s="218">
        <f>INDEX('Hist. prices'!$I$164:$AB$238,MATCH($C1112,'Hist. prices'!$C$164:$C$238,0),MATCH(I$1022,'Hist. prices'!$I$5:$AB$5,0))</f>
        <v>0</v>
      </c>
      <c r="J1112" s="218">
        <f>INDEX('Hist. prices'!$I$164:$AB$238,MATCH($C1112,'Hist. prices'!$C$164:$C$238,0),MATCH(J$1022,'Hist. prices'!$I$5:$AB$5,0))</f>
        <v>0</v>
      </c>
      <c r="K1112" s="218">
        <f>INDEX('Hist. prices'!$I$164:$AB$238,MATCH($C1112,'Hist. prices'!$C$164:$C$238,0),MATCH(K$1022,'Hist. prices'!$I$5:$AB$5,0))</f>
        <v>0</v>
      </c>
      <c r="L1112" s="218">
        <f>INDEX('Hist. prices'!$I$164:$AB$238,MATCH($C1112,'Hist. prices'!$C$164:$C$238,0),MATCH(L$1022,'Hist. prices'!$I$5:$AB$5,0))</f>
        <v>0</v>
      </c>
      <c r="M1112" s="218">
        <f>INDEX('Hist. prices'!$I$164:$AB$238,MATCH($C1112,'Hist. prices'!$C$164:$C$238,0),MATCH(M$1022,'Hist. prices'!$I$5:$AB$5,0))</f>
        <v>0</v>
      </c>
      <c r="N1112" s="218">
        <f>INDEX('Hist. prices'!$I$164:$AB$238,MATCH($C1112,'Hist. prices'!$C$164:$C$238,0),MATCH(N$1022,'Hist. prices'!$I$5:$AB$5,0))</f>
        <v>0</v>
      </c>
      <c r="O1112" s="218">
        <f>INDEX('Hist. prices'!$I$164:$AB$238,MATCH($C1112,'Hist. prices'!$C$164:$C$238,0),MATCH(O$1022,'Hist. prices'!$I$5:$AB$5,0))</f>
        <v>0</v>
      </c>
      <c r="P1112" s="218">
        <f>INDEX('Hist. prices'!$I$164:$AB$238,MATCH($C1112,'Hist. prices'!$C$164:$C$238,0),MATCH(P$1022,'Hist. prices'!$I$5:$AB$5,0))</f>
        <v>0</v>
      </c>
      <c r="Q1112" s="218">
        <f>INDEX('Hist. prices'!$I$164:$AB$238,MATCH($C1112,'Hist. prices'!$C$164:$C$238,0),MATCH(Q$1022,'Hist. prices'!$I$5:$AB$5,0))</f>
        <v>0</v>
      </c>
      <c r="R1112" s="218">
        <f>INDEX('Hist. prices'!$I$164:$AB$238,MATCH($C1112,'Hist. prices'!$C$164:$C$238,0),MATCH(R$1022,'Hist. prices'!$I$5:$AB$5,0))</f>
        <v>0</v>
      </c>
      <c r="S1112" s="218">
        <f>INDEX('Hist. prices'!$I$164:$AB$238,MATCH($C1112,'Hist. prices'!$C$164:$C$238,0),MATCH(S$1022,'Hist. prices'!$I$5:$AB$5,0))</f>
        <v>0</v>
      </c>
      <c r="T1112" s="218">
        <f>INDEX('Hist. prices'!$I$164:$AB$238,MATCH($C1112,'Hist. prices'!$C$164:$C$238,0),MATCH(T$1022,'Hist. prices'!$I$5:$AB$5,0))</f>
        <v>0</v>
      </c>
      <c r="U1112" s="218">
        <f>INDEX('Hist. prices'!$I$164:$AB$238,MATCH($C1112,'Hist. prices'!$C$164:$C$238,0),MATCH(U$1022,'Hist. prices'!$I$5:$AB$5,0))</f>
        <v>0</v>
      </c>
      <c r="V1112" s="218">
        <f>INDEX('Hist. prices'!$I$164:$AB$238,MATCH($C1112,'Hist. prices'!$C$164:$C$238,0),MATCH(V$1022,'Hist. prices'!$I$5:$AB$5,0))</f>
        <v>0</v>
      </c>
      <c r="W1112" s="218">
        <f>INDEX('Hist. prices'!$I$164:$AB$238,MATCH($C1112,'Hist. prices'!$C$164:$C$238,0),MATCH(W$1022,'Hist. prices'!$I$5:$AB$5,0))</f>
        <v>0</v>
      </c>
      <c r="X1112" s="218">
        <f>INDEX('Hist. prices'!$I$164:$AB$238,MATCH($C1112,'Hist. prices'!$C$164:$C$238,0),MATCH(X$1022,'Hist. prices'!$I$5:$AB$5,0))</f>
        <v>0</v>
      </c>
      <c r="Y1112" s="218">
        <f>INDEX('Hist. prices'!$I$164:$AB$238,MATCH($C1112,'Hist. prices'!$C$164:$C$238,0),MATCH(Y$1022,'Hist. prices'!$I$5:$AB$5,0))</f>
        <v>0</v>
      </c>
      <c r="Z1112" s="218">
        <f>INDEX('Hist. prices'!$I$164:$AB$238,MATCH($C1112,'Hist. prices'!$C$164:$C$238,0),MATCH(Z$1022,'Hist. prices'!$I$5:$AB$5,0))</f>
        <v>0</v>
      </c>
      <c r="AA1112" s="218">
        <f>INDEX('Hist. prices'!$I$164:$AB$238,MATCH($C1112,'Hist. prices'!$C$164:$C$238,0),MATCH(AA$1022,'Hist. prices'!$I$5:$AB$5,0))</f>
        <v>0</v>
      </c>
      <c r="AB1112" s="218">
        <f>INDEX('Hist. prices'!$I$164:$AB$238,MATCH($C1112,'Hist. prices'!$C$164:$C$238,0),MATCH(AB$1022,'Hist. prices'!$I$5:$AB$5,0))</f>
        <v>0</v>
      </c>
      <c r="AC1112" s="187"/>
      <c r="AD1112" s="19"/>
      <c r="AE1112" s="19"/>
      <c r="AF1112" s="19"/>
      <c r="AG1112" s="19"/>
    </row>
    <row r="1113" spans="1:33" hidden="1" outlineLevel="3" x14ac:dyDescent="0.2">
      <c r="A1113" s="19"/>
      <c r="B1113" s="19"/>
      <c r="C1113" s="506">
        <f t="shared" si="212"/>
        <v>0</v>
      </c>
      <c r="D1113" s="505">
        <f t="shared" si="212"/>
        <v>0</v>
      </c>
      <c r="E1113" s="58"/>
      <c r="F1113" s="223"/>
      <c r="G1113" s="58"/>
      <c r="H1113" s="58"/>
      <c r="I1113" s="218">
        <f>INDEX('Hist. prices'!$I$164:$AB$238,MATCH($C1113,'Hist. prices'!$C$164:$C$238,0),MATCH(I$1022,'Hist. prices'!$I$5:$AB$5,0))</f>
        <v>0</v>
      </c>
      <c r="J1113" s="218">
        <f>INDEX('Hist. prices'!$I$164:$AB$238,MATCH($C1113,'Hist. prices'!$C$164:$C$238,0),MATCH(J$1022,'Hist. prices'!$I$5:$AB$5,0))</f>
        <v>0</v>
      </c>
      <c r="K1113" s="218">
        <f>INDEX('Hist. prices'!$I$164:$AB$238,MATCH($C1113,'Hist. prices'!$C$164:$C$238,0),MATCH(K$1022,'Hist. prices'!$I$5:$AB$5,0))</f>
        <v>0</v>
      </c>
      <c r="L1113" s="218">
        <f>INDEX('Hist. prices'!$I$164:$AB$238,MATCH($C1113,'Hist. prices'!$C$164:$C$238,0),MATCH(L$1022,'Hist. prices'!$I$5:$AB$5,0))</f>
        <v>0</v>
      </c>
      <c r="M1113" s="218">
        <f>INDEX('Hist. prices'!$I$164:$AB$238,MATCH($C1113,'Hist. prices'!$C$164:$C$238,0),MATCH(M$1022,'Hist. prices'!$I$5:$AB$5,0))</f>
        <v>0</v>
      </c>
      <c r="N1113" s="218">
        <f>INDEX('Hist. prices'!$I$164:$AB$238,MATCH($C1113,'Hist. prices'!$C$164:$C$238,0),MATCH(N$1022,'Hist. prices'!$I$5:$AB$5,0))</f>
        <v>0</v>
      </c>
      <c r="O1113" s="218">
        <f>INDEX('Hist. prices'!$I$164:$AB$238,MATCH($C1113,'Hist. prices'!$C$164:$C$238,0),MATCH(O$1022,'Hist. prices'!$I$5:$AB$5,0))</f>
        <v>0</v>
      </c>
      <c r="P1113" s="218">
        <f>INDEX('Hist. prices'!$I$164:$AB$238,MATCH($C1113,'Hist. prices'!$C$164:$C$238,0),MATCH(P$1022,'Hist. prices'!$I$5:$AB$5,0))</f>
        <v>0</v>
      </c>
      <c r="Q1113" s="218">
        <f>INDEX('Hist. prices'!$I$164:$AB$238,MATCH($C1113,'Hist. prices'!$C$164:$C$238,0),MATCH(Q$1022,'Hist. prices'!$I$5:$AB$5,0))</f>
        <v>0</v>
      </c>
      <c r="R1113" s="218">
        <f>INDEX('Hist. prices'!$I$164:$AB$238,MATCH($C1113,'Hist. prices'!$C$164:$C$238,0),MATCH(R$1022,'Hist. prices'!$I$5:$AB$5,0))</f>
        <v>0</v>
      </c>
      <c r="S1113" s="218">
        <f>INDEX('Hist. prices'!$I$164:$AB$238,MATCH($C1113,'Hist. prices'!$C$164:$C$238,0),MATCH(S$1022,'Hist. prices'!$I$5:$AB$5,0))</f>
        <v>0</v>
      </c>
      <c r="T1113" s="218">
        <f>INDEX('Hist. prices'!$I$164:$AB$238,MATCH($C1113,'Hist. prices'!$C$164:$C$238,0),MATCH(T$1022,'Hist. prices'!$I$5:$AB$5,0))</f>
        <v>0</v>
      </c>
      <c r="U1113" s="218">
        <f>INDEX('Hist. prices'!$I$164:$AB$238,MATCH($C1113,'Hist. prices'!$C$164:$C$238,0),MATCH(U$1022,'Hist. prices'!$I$5:$AB$5,0))</f>
        <v>0</v>
      </c>
      <c r="V1113" s="218">
        <f>INDEX('Hist. prices'!$I$164:$AB$238,MATCH($C1113,'Hist. prices'!$C$164:$C$238,0),MATCH(V$1022,'Hist. prices'!$I$5:$AB$5,0))</f>
        <v>0</v>
      </c>
      <c r="W1113" s="218">
        <f>INDEX('Hist. prices'!$I$164:$AB$238,MATCH($C1113,'Hist. prices'!$C$164:$C$238,0),MATCH(W$1022,'Hist. prices'!$I$5:$AB$5,0))</f>
        <v>0</v>
      </c>
      <c r="X1113" s="218">
        <f>INDEX('Hist. prices'!$I$164:$AB$238,MATCH($C1113,'Hist. prices'!$C$164:$C$238,0),MATCH(X$1022,'Hist. prices'!$I$5:$AB$5,0))</f>
        <v>0</v>
      </c>
      <c r="Y1113" s="218">
        <f>INDEX('Hist. prices'!$I$164:$AB$238,MATCH($C1113,'Hist. prices'!$C$164:$C$238,0),MATCH(Y$1022,'Hist. prices'!$I$5:$AB$5,0))</f>
        <v>0</v>
      </c>
      <c r="Z1113" s="218">
        <f>INDEX('Hist. prices'!$I$164:$AB$238,MATCH($C1113,'Hist. prices'!$C$164:$C$238,0),MATCH(Z$1022,'Hist. prices'!$I$5:$AB$5,0))</f>
        <v>0</v>
      </c>
      <c r="AA1113" s="218">
        <f>INDEX('Hist. prices'!$I$164:$AB$238,MATCH($C1113,'Hist. prices'!$C$164:$C$238,0),MATCH(AA$1022,'Hist. prices'!$I$5:$AB$5,0))</f>
        <v>0</v>
      </c>
      <c r="AB1113" s="218">
        <f>INDEX('Hist. prices'!$I$164:$AB$238,MATCH($C1113,'Hist. prices'!$C$164:$C$238,0),MATCH(AB$1022,'Hist. prices'!$I$5:$AB$5,0))</f>
        <v>0</v>
      </c>
      <c r="AC1113" s="187"/>
      <c r="AD1113" s="19"/>
      <c r="AE1113" s="19"/>
      <c r="AF1113" s="19"/>
      <c r="AG1113" s="19"/>
    </row>
    <row r="1114" spans="1:33" hidden="1" outlineLevel="3" x14ac:dyDescent="0.2">
      <c r="A1114" s="19"/>
      <c r="B1114" s="19"/>
      <c r="C1114" s="506">
        <f t="shared" si="212"/>
        <v>0</v>
      </c>
      <c r="D1114" s="505">
        <f t="shared" si="212"/>
        <v>0</v>
      </c>
      <c r="E1114" s="58"/>
      <c r="F1114" s="223"/>
      <c r="G1114" s="58"/>
      <c r="H1114" s="58"/>
      <c r="I1114" s="218">
        <f>INDEX('Hist. prices'!$I$164:$AB$238,MATCH($C1114,'Hist. prices'!$C$164:$C$238,0),MATCH(I$1022,'Hist. prices'!$I$5:$AB$5,0))</f>
        <v>0</v>
      </c>
      <c r="J1114" s="218">
        <f>INDEX('Hist. prices'!$I$164:$AB$238,MATCH($C1114,'Hist. prices'!$C$164:$C$238,0),MATCH(J$1022,'Hist. prices'!$I$5:$AB$5,0))</f>
        <v>0</v>
      </c>
      <c r="K1114" s="218">
        <f>INDEX('Hist. prices'!$I$164:$AB$238,MATCH($C1114,'Hist. prices'!$C$164:$C$238,0),MATCH(K$1022,'Hist. prices'!$I$5:$AB$5,0))</f>
        <v>0</v>
      </c>
      <c r="L1114" s="218">
        <f>INDEX('Hist. prices'!$I$164:$AB$238,MATCH($C1114,'Hist. prices'!$C$164:$C$238,0),MATCH(L$1022,'Hist. prices'!$I$5:$AB$5,0))</f>
        <v>0</v>
      </c>
      <c r="M1114" s="218">
        <f>INDEX('Hist. prices'!$I$164:$AB$238,MATCH($C1114,'Hist. prices'!$C$164:$C$238,0),MATCH(M$1022,'Hist. prices'!$I$5:$AB$5,0))</f>
        <v>0</v>
      </c>
      <c r="N1114" s="218">
        <f>INDEX('Hist. prices'!$I$164:$AB$238,MATCH($C1114,'Hist. prices'!$C$164:$C$238,0),MATCH(N$1022,'Hist. prices'!$I$5:$AB$5,0))</f>
        <v>0</v>
      </c>
      <c r="O1114" s="218">
        <f>INDEX('Hist. prices'!$I$164:$AB$238,MATCH($C1114,'Hist. prices'!$C$164:$C$238,0),MATCH(O$1022,'Hist. prices'!$I$5:$AB$5,0))</f>
        <v>0</v>
      </c>
      <c r="P1114" s="218">
        <f>INDEX('Hist. prices'!$I$164:$AB$238,MATCH($C1114,'Hist. prices'!$C$164:$C$238,0),MATCH(P$1022,'Hist. prices'!$I$5:$AB$5,0))</f>
        <v>0</v>
      </c>
      <c r="Q1114" s="218">
        <f>INDEX('Hist. prices'!$I$164:$AB$238,MATCH($C1114,'Hist. prices'!$C$164:$C$238,0),MATCH(Q$1022,'Hist. prices'!$I$5:$AB$5,0))</f>
        <v>0</v>
      </c>
      <c r="R1114" s="218">
        <f>INDEX('Hist. prices'!$I$164:$AB$238,MATCH($C1114,'Hist. prices'!$C$164:$C$238,0),MATCH(R$1022,'Hist. prices'!$I$5:$AB$5,0))</f>
        <v>0</v>
      </c>
      <c r="S1114" s="218">
        <f>INDEX('Hist. prices'!$I$164:$AB$238,MATCH($C1114,'Hist. prices'!$C$164:$C$238,0),MATCH(S$1022,'Hist. prices'!$I$5:$AB$5,0))</f>
        <v>0</v>
      </c>
      <c r="T1114" s="218">
        <f>INDEX('Hist. prices'!$I$164:$AB$238,MATCH($C1114,'Hist. prices'!$C$164:$C$238,0),MATCH(T$1022,'Hist. prices'!$I$5:$AB$5,0))</f>
        <v>0</v>
      </c>
      <c r="U1114" s="218">
        <f>INDEX('Hist. prices'!$I$164:$AB$238,MATCH($C1114,'Hist. prices'!$C$164:$C$238,0),MATCH(U$1022,'Hist. prices'!$I$5:$AB$5,0))</f>
        <v>0</v>
      </c>
      <c r="V1114" s="218">
        <f>INDEX('Hist. prices'!$I$164:$AB$238,MATCH($C1114,'Hist. prices'!$C$164:$C$238,0),MATCH(V$1022,'Hist. prices'!$I$5:$AB$5,0))</f>
        <v>0</v>
      </c>
      <c r="W1114" s="218">
        <f>INDEX('Hist. prices'!$I$164:$AB$238,MATCH($C1114,'Hist. prices'!$C$164:$C$238,0),MATCH(W$1022,'Hist. prices'!$I$5:$AB$5,0))</f>
        <v>0</v>
      </c>
      <c r="X1114" s="218">
        <f>INDEX('Hist. prices'!$I$164:$AB$238,MATCH($C1114,'Hist. prices'!$C$164:$C$238,0),MATCH(X$1022,'Hist. prices'!$I$5:$AB$5,0))</f>
        <v>0</v>
      </c>
      <c r="Y1114" s="218">
        <f>INDEX('Hist. prices'!$I$164:$AB$238,MATCH($C1114,'Hist. prices'!$C$164:$C$238,0),MATCH(Y$1022,'Hist. prices'!$I$5:$AB$5,0))</f>
        <v>0</v>
      </c>
      <c r="Z1114" s="218">
        <f>INDEX('Hist. prices'!$I$164:$AB$238,MATCH($C1114,'Hist. prices'!$C$164:$C$238,0),MATCH(Z$1022,'Hist. prices'!$I$5:$AB$5,0))</f>
        <v>0</v>
      </c>
      <c r="AA1114" s="218">
        <f>INDEX('Hist. prices'!$I$164:$AB$238,MATCH($C1114,'Hist. prices'!$C$164:$C$238,0),MATCH(AA$1022,'Hist. prices'!$I$5:$AB$5,0))</f>
        <v>0</v>
      </c>
      <c r="AB1114" s="218">
        <f>INDEX('Hist. prices'!$I$164:$AB$238,MATCH($C1114,'Hist. prices'!$C$164:$C$238,0),MATCH(AB$1022,'Hist. prices'!$I$5:$AB$5,0))</f>
        <v>0</v>
      </c>
      <c r="AC1114" s="187"/>
      <c r="AD1114" s="19"/>
      <c r="AE1114" s="19"/>
      <c r="AF1114" s="19"/>
      <c r="AG1114" s="19"/>
    </row>
    <row r="1115" spans="1:33" hidden="1" outlineLevel="3" x14ac:dyDescent="0.2">
      <c r="A1115" s="19"/>
      <c r="B1115" s="19"/>
      <c r="C1115" s="506">
        <f t="shared" si="212"/>
        <v>0</v>
      </c>
      <c r="D1115" s="505">
        <f t="shared" si="212"/>
        <v>0</v>
      </c>
      <c r="E1115" s="58"/>
      <c r="F1115" s="223"/>
      <c r="G1115" s="58"/>
      <c r="H1115" s="58"/>
      <c r="I1115" s="218">
        <f>INDEX('Hist. prices'!$I$164:$AB$238,MATCH($C1115,'Hist. prices'!$C$164:$C$238,0),MATCH(I$1022,'Hist. prices'!$I$5:$AB$5,0))</f>
        <v>0</v>
      </c>
      <c r="J1115" s="218">
        <f>INDEX('Hist. prices'!$I$164:$AB$238,MATCH($C1115,'Hist. prices'!$C$164:$C$238,0),MATCH(J$1022,'Hist. prices'!$I$5:$AB$5,0))</f>
        <v>0</v>
      </c>
      <c r="K1115" s="218">
        <f>INDEX('Hist. prices'!$I$164:$AB$238,MATCH($C1115,'Hist. prices'!$C$164:$C$238,0),MATCH(K$1022,'Hist. prices'!$I$5:$AB$5,0))</f>
        <v>0</v>
      </c>
      <c r="L1115" s="218">
        <f>INDEX('Hist. prices'!$I$164:$AB$238,MATCH($C1115,'Hist. prices'!$C$164:$C$238,0),MATCH(L$1022,'Hist. prices'!$I$5:$AB$5,0))</f>
        <v>0</v>
      </c>
      <c r="M1115" s="218">
        <f>INDEX('Hist. prices'!$I$164:$AB$238,MATCH($C1115,'Hist. prices'!$C$164:$C$238,0),MATCH(M$1022,'Hist. prices'!$I$5:$AB$5,0))</f>
        <v>0</v>
      </c>
      <c r="N1115" s="218">
        <f>INDEX('Hist. prices'!$I$164:$AB$238,MATCH($C1115,'Hist. prices'!$C$164:$C$238,0),MATCH(N$1022,'Hist. prices'!$I$5:$AB$5,0))</f>
        <v>0</v>
      </c>
      <c r="O1115" s="218">
        <f>INDEX('Hist. prices'!$I$164:$AB$238,MATCH($C1115,'Hist. prices'!$C$164:$C$238,0),MATCH(O$1022,'Hist. prices'!$I$5:$AB$5,0))</f>
        <v>0</v>
      </c>
      <c r="P1115" s="218">
        <f>INDEX('Hist. prices'!$I$164:$AB$238,MATCH($C1115,'Hist. prices'!$C$164:$C$238,0),MATCH(P$1022,'Hist. prices'!$I$5:$AB$5,0))</f>
        <v>0</v>
      </c>
      <c r="Q1115" s="218">
        <f>INDEX('Hist. prices'!$I$164:$AB$238,MATCH($C1115,'Hist. prices'!$C$164:$C$238,0),MATCH(Q$1022,'Hist. prices'!$I$5:$AB$5,0))</f>
        <v>0</v>
      </c>
      <c r="R1115" s="218">
        <f>INDEX('Hist. prices'!$I$164:$AB$238,MATCH($C1115,'Hist. prices'!$C$164:$C$238,0),MATCH(R$1022,'Hist. prices'!$I$5:$AB$5,0))</f>
        <v>0</v>
      </c>
      <c r="S1115" s="218">
        <f>INDEX('Hist. prices'!$I$164:$AB$238,MATCH($C1115,'Hist. prices'!$C$164:$C$238,0),MATCH(S$1022,'Hist. prices'!$I$5:$AB$5,0))</f>
        <v>0</v>
      </c>
      <c r="T1115" s="218">
        <f>INDEX('Hist. prices'!$I$164:$AB$238,MATCH($C1115,'Hist. prices'!$C$164:$C$238,0),MATCH(T$1022,'Hist. prices'!$I$5:$AB$5,0))</f>
        <v>0</v>
      </c>
      <c r="U1115" s="218">
        <f>INDEX('Hist. prices'!$I$164:$AB$238,MATCH($C1115,'Hist. prices'!$C$164:$C$238,0),MATCH(U$1022,'Hist. prices'!$I$5:$AB$5,0))</f>
        <v>0</v>
      </c>
      <c r="V1115" s="218">
        <f>INDEX('Hist. prices'!$I$164:$AB$238,MATCH($C1115,'Hist. prices'!$C$164:$C$238,0),MATCH(V$1022,'Hist. prices'!$I$5:$AB$5,0))</f>
        <v>0</v>
      </c>
      <c r="W1115" s="218">
        <f>INDEX('Hist. prices'!$I$164:$AB$238,MATCH($C1115,'Hist. prices'!$C$164:$C$238,0),MATCH(W$1022,'Hist. prices'!$I$5:$AB$5,0))</f>
        <v>0</v>
      </c>
      <c r="X1115" s="218">
        <f>INDEX('Hist. prices'!$I$164:$AB$238,MATCH($C1115,'Hist. prices'!$C$164:$C$238,0),MATCH(X$1022,'Hist. prices'!$I$5:$AB$5,0))</f>
        <v>0</v>
      </c>
      <c r="Y1115" s="218">
        <f>INDEX('Hist. prices'!$I$164:$AB$238,MATCH($C1115,'Hist. prices'!$C$164:$C$238,0),MATCH(Y$1022,'Hist. prices'!$I$5:$AB$5,0))</f>
        <v>0</v>
      </c>
      <c r="Z1115" s="218">
        <f>INDEX('Hist. prices'!$I$164:$AB$238,MATCH($C1115,'Hist. prices'!$C$164:$C$238,0),MATCH(Z$1022,'Hist. prices'!$I$5:$AB$5,0))</f>
        <v>0</v>
      </c>
      <c r="AA1115" s="218">
        <f>INDEX('Hist. prices'!$I$164:$AB$238,MATCH($C1115,'Hist. prices'!$C$164:$C$238,0),MATCH(AA$1022,'Hist. prices'!$I$5:$AB$5,0))</f>
        <v>0</v>
      </c>
      <c r="AB1115" s="218">
        <f>INDEX('Hist. prices'!$I$164:$AB$238,MATCH($C1115,'Hist. prices'!$C$164:$C$238,0),MATCH(AB$1022,'Hist. prices'!$I$5:$AB$5,0))</f>
        <v>0</v>
      </c>
      <c r="AC1115" s="187"/>
      <c r="AD1115" s="19"/>
      <c r="AE1115" s="19"/>
      <c r="AF1115" s="19"/>
      <c r="AG1115" s="19"/>
    </row>
    <row r="1116" spans="1:33" hidden="1" outlineLevel="3" x14ac:dyDescent="0.2">
      <c r="A1116" s="19"/>
      <c r="B1116" s="19"/>
      <c r="C1116" s="506">
        <f t="shared" si="212"/>
        <v>0</v>
      </c>
      <c r="D1116" s="505">
        <f t="shared" si="212"/>
        <v>0</v>
      </c>
      <c r="E1116" s="58"/>
      <c r="F1116" s="223"/>
      <c r="G1116" s="58"/>
      <c r="H1116" s="58"/>
      <c r="I1116" s="218">
        <f>INDEX('Hist. prices'!$I$164:$AB$238,MATCH($C1116,'Hist. prices'!$C$164:$C$238,0),MATCH(I$1022,'Hist. prices'!$I$5:$AB$5,0))</f>
        <v>0</v>
      </c>
      <c r="J1116" s="218">
        <f>INDEX('Hist. prices'!$I$164:$AB$238,MATCH($C1116,'Hist. prices'!$C$164:$C$238,0),MATCH(J$1022,'Hist. prices'!$I$5:$AB$5,0))</f>
        <v>0</v>
      </c>
      <c r="K1116" s="218">
        <f>INDEX('Hist. prices'!$I$164:$AB$238,MATCH($C1116,'Hist. prices'!$C$164:$C$238,0),MATCH(K$1022,'Hist. prices'!$I$5:$AB$5,0))</f>
        <v>0</v>
      </c>
      <c r="L1116" s="218">
        <f>INDEX('Hist. prices'!$I$164:$AB$238,MATCH($C1116,'Hist. prices'!$C$164:$C$238,0),MATCH(L$1022,'Hist. prices'!$I$5:$AB$5,0))</f>
        <v>0</v>
      </c>
      <c r="M1116" s="218">
        <f>INDEX('Hist. prices'!$I$164:$AB$238,MATCH($C1116,'Hist. prices'!$C$164:$C$238,0),MATCH(M$1022,'Hist. prices'!$I$5:$AB$5,0))</f>
        <v>0</v>
      </c>
      <c r="N1116" s="218">
        <f>INDEX('Hist. prices'!$I$164:$AB$238,MATCH($C1116,'Hist. prices'!$C$164:$C$238,0),MATCH(N$1022,'Hist. prices'!$I$5:$AB$5,0))</f>
        <v>0</v>
      </c>
      <c r="O1116" s="218">
        <f>INDEX('Hist. prices'!$I$164:$AB$238,MATCH($C1116,'Hist. prices'!$C$164:$C$238,0),MATCH(O$1022,'Hist. prices'!$I$5:$AB$5,0))</f>
        <v>0</v>
      </c>
      <c r="P1116" s="218">
        <f>INDEX('Hist. prices'!$I$164:$AB$238,MATCH($C1116,'Hist. prices'!$C$164:$C$238,0),MATCH(P$1022,'Hist. prices'!$I$5:$AB$5,0))</f>
        <v>0</v>
      </c>
      <c r="Q1116" s="218">
        <f>INDEX('Hist. prices'!$I$164:$AB$238,MATCH($C1116,'Hist. prices'!$C$164:$C$238,0),MATCH(Q$1022,'Hist. prices'!$I$5:$AB$5,0))</f>
        <v>0</v>
      </c>
      <c r="R1116" s="218">
        <f>INDEX('Hist. prices'!$I$164:$AB$238,MATCH($C1116,'Hist. prices'!$C$164:$C$238,0),MATCH(R$1022,'Hist. prices'!$I$5:$AB$5,0))</f>
        <v>0</v>
      </c>
      <c r="S1116" s="218">
        <f>INDEX('Hist. prices'!$I$164:$AB$238,MATCH($C1116,'Hist. prices'!$C$164:$C$238,0),MATCH(S$1022,'Hist. prices'!$I$5:$AB$5,0))</f>
        <v>0</v>
      </c>
      <c r="T1116" s="218">
        <f>INDEX('Hist. prices'!$I$164:$AB$238,MATCH($C1116,'Hist. prices'!$C$164:$C$238,0),MATCH(T$1022,'Hist. prices'!$I$5:$AB$5,0))</f>
        <v>0</v>
      </c>
      <c r="U1116" s="218">
        <f>INDEX('Hist. prices'!$I$164:$AB$238,MATCH($C1116,'Hist. prices'!$C$164:$C$238,0),MATCH(U$1022,'Hist. prices'!$I$5:$AB$5,0))</f>
        <v>0</v>
      </c>
      <c r="V1116" s="218">
        <f>INDEX('Hist. prices'!$I$164:$AB$238,MATCH($C1116,'Hist. prices'!$C$164:$C$238,0),MATCH(V$1022,'Hist. prices'!$I$5:$AB$5,0))</f>
        <v>0</v>
      </c>
      <c r="W1116" s="218">
        <f>INDEX('Hist. prices'!$I$164:$AB$238,MATCH($C1116,'Hist. prices'!$C$164:$C$238,0),MATCH(W$1022,'Hist. prices'!$I$5:$AB$5,0))</f>
        <v>0</v>
      </c>
      <c r="X1116" s="218">
        <f>INDEX('Hist. prices'!$I$164:$AB$238,MATCH($C1116,'Hist. prices'!$C$164:$C$238,0),MATCH(X$1022,'Hist. prices'!$I$5:$AB$5,0))</f>
        <v>0</v>
      </c>
      <c r="Y1116" s="218">
        <f>INDEX('Hist. prices'!$I$164:$AB$238,MATCH($C1116,'Hist. prices'!$C$164:$C$238,0),MATCH(Y$1022,'Hist. prices'!$I$5:$AB$5,0))</f>
        <v>0</v>
      </c>
      <c r="Z1116" s="218">
        <f>INDEX('Hist. prices'!$I$164:$AB$238,MATCH($C1116,'Hist. prices'!$C$164:$C$238,0),MATCH(Z$1022,'Hist. prices'!$I$5:$AB$5,0))</f>
        <v>0</v>
      </c>
      <c r="AA1116" s="218">
        <f>INDEX('Hist. prices'!$I$164:$AB$238,MATCH($C1116,'Hist. prices'!$C$164:$C$238,0),MATCH(AA$1022,'Hist. prices'!$I$5:$AB$5,0))</f>
        <v>0</v>
      </c>
      <c r="AB1116" s="218">
        <f>INDEX('Hist. prices'!$I$164:$AB$238,MATCH($C1116,'Hist. prices'!$C$164:$C$238,0),MATCH(AB$1022,'Hist. prices'!$I$5:$AB$5,0))</f>
        <v>0</v>
      </c>
      <c r="AC1116" s="187"/>
      <c r="AD1116" s="19"/>
      <c r="AE1116" s="19"/>
      <c r="AF1116" s="19"/>
      <c r="AG1116" s="19"/>
    </row>
    <row r="1117" spans="1:33" hidden="1" outlineLevel="3" x14ac:dyDescent="0.2">
      <c r="A1117" s="19"/>
      <c r="B1117" s="19"/>
      <c r="C1117" s="506">
        <f t="shared" si="212"/>
        <v>0</v>
      </c>
      <c r="D1117" s="505">
        <f t="shared" si="212"/>
        <v>0</v>
      </c>
      <c r="E1117" s="58"/>
      <c r="F1117" s="223"/>
      <c r="G1117" s="58"/>
      <c r="H1117" s="58"/>
      <c r="I1117" s="218">
        <f>INDEX('Hist. prices'!$I$164:$AB$238,MATCH($C1117,'Hist. prices'!$C$164:$C$238,0),MATCH(I$1022,'Hist. prices'!$I$5:$AB$5,0))</f>
        <v>0</v>
      </c>
      <c r="J1117" s="218">
        <f>INDEX('Hist. prices'!$I$164:$AB$238,MATCH($C1117,'Hist. prices'!$C$164:$C$238,0),MATCH(J$1022,'Hist. prices'!$I$5:$AB$5,0))</f>
        <v>0</v>
      </c>
      <c r="K1117" s="218">
        <f>INDEX('Hist. prices'!$I$164:$AB$238,MATCH($C1117,'Hist. prices'!$C$164:$C$238,0),MATCH(K$1022,'Hist. prices'!$I$5:$AB$5,0))</f>
        <v>0</v>
      </c>
      <c r="L1117" s="218">
        <f>INDEX('Hist. prices'!$I$164:$AB$238,MATCH($C1117,'Hist. prices'!$C$164:$C$238,0),MATCH(L$1022,'Hist. prices'!$I$5:$AB$5,0))</f>
        <v>0</v>
      </c>
      <c r="M1117" s="218">
        <f>INDEX('Hist. prices'!$I$164:$AB$238,MATCH($C1117,'Hist. prices'!$C$164:$C$238,0),MATCH(M$1022,'Hist. prices'!$I$5:$AB$5,0))</f>
        <v>0</v>
      </c>
      <c r="N1117" s="218">
        <f>INDEX('Hist. prices'!$I$164:$AB$238,MATCH($C1117,'Hist. prices'!$C$164:$C$238,0),MATCH(N$1022,'Hist. prices'!$I$5:$AB$5,0))</f>
        <v>0</v>
      </c>
      <c r="O1117" s="218">
        <f>INDEX('Hist. prices'!$I$164:$AB$238,MATCH($C1117,'Hist. prices'!$C$164:$C$238,0),MATCH(O$1022,'Hist. prices'!$I$5:$AB$5,0))</f>
        <v>0</v>
      </c>
      <c r="P1117" s="218">
        <f>INDEX('Hist. prices'!$I$164:$AB$238,MATCH($C1117,'Hist. prices'!$C$164:$C$238,0),MATCH(P$1022,'Hist. prices'!$I$5:$AB$5,0))</f>
        <v>0</v>
      </c>
      <c r="Q1117" s="218">
        <f>INDEX('Hist. prices'!$I$164:$AB$238,MATCH($C1117,'Hist. prices'!$C$164:$C$238,0),MATCH(Q$1022,'Hist. prices'!$I$5:$AB$5,0))</f>
        <v>0</v>
      </c>
      <c r="R1117" s="218">
        <f>INDEX('Hist. prices'!$I$164:$AB$238,MATCH($C1117,'Hist. prices'!$C$164:$C$238,0),MATCH(R$1022,'Hist. prices'!$I$5:$AB$5,0))</f>
        <v>0</v>
      </c>
      <c r="S1117" s="218">
        <f>INDEX('Hist. prices'!$I$164:$AB$238,MATCH($C1117,'Hist. prices'!$C$164:$C$238,0),MATCH(S$1022,'Hist. prices'!$I$5:$AB$5,0))</f>
        <v>0</v>
      </c>
      <c r="T1117" s="218">
        <f>INDEX('Hist. prices'!$I$164:$AB$238,MATCH($C1117,'Hist. prices'!$C$164:$C$238,0),MATCH(T$1022,'Hist. prices'!$I$5:$AB$5,0))</f>
        <v>0</v>
      </c>
      <c r="U1117" s="218">
        <f>INDEX('Hist. prices'!$I$164:$AB$238,MATCH($C1117,'Hist. prices'!$C$164:$C$238,0),MATCH(U$1022,'Hist. prices'!$I$5:$AB$5,0))</f>
        <v>0</v>
      </c>
      <c r="V1117" s="218">
        <f>INDEX('Hist. prices'!$I$164:$AB$238,MATCH($C1117,'Hist. prices'!$C$164:$C$238,0),MATCH(V$1022,'Hist. prices'!$I$5:$AB$5,0))</f>
        <v>0</v>
      </c>
      <c r="W1117" s="218">
        <f>INDEX('Hist. prices'!$I$164:$AB$238,MATCH($C1117,'Hist. prices'!$C$164:$C$238,0),MATCH(W$1022,'Hist. prices'!$I$5:$AB$5,0))</f>
        <v>0</v>
      </c>
      <c r="X1117" s="218">
        <f>INDEX('Hist. prices'!$I$164:$AB$238,MATCH($C1117,'Hist. prices'!$C$164:$C$238,0),MATCH(X$1022,'Hist. prices'!$I$5:$AB$5,0))</f>
        <v>0</v>
      </c>
      <c r="Y1117" s="218">
        <f>INDEX('Hist. prices'!$I$164:$AB$238,MATCH($C1117,'Hist. prices'!$C$164:$C$238,0),MATCH(Y$1022,'Hist. prices'!$I$5:$AB$5,0))</f>
        <v>0</v>
      </c>
      <c r="Z1117" s="218">
        <f>INDEX('Hist. prices'!$I$164:$AB$238,MATCH($C1117,'Hist. prices'!$C$164:$C$238,0),MATCH(Z$1022,'Hist. prices'!$I$5:$AB$5,0))</f>
        <v>0</v>
      </c>
      <c r="AA1117" s="218">
        <f>INDEX('Hist. prices'!$I$164:$AB$238,MATCH($C1117,'Hist. prices'!$C$164:$C$238,0),MATCH(AA$1022,'Hist. prices'!$I$5:$AB$5,0))</f>
        <v>0</v>
      </c>
      <c r="AB1117" s="218">
        <f>INDEX('Hist. prices'!$I$164:$AB$238,MATCH($C1117,'Hist. prices'!$C$164:$C$238,0),MATCH(AB$1022,'Hist. prices'!$I$5:$AB$5,0))</f>
        <v>0</v>
      </c>
      <c r="AC1117" s="187"/>
      <c r="AD1117" s="19"/>
      <c r="AE1117" s="19"/>
      <c r="AF1117" s="19"/>
      <c r="AG1117" s="19"/>
    </row>
    <row r="1118" spans="1:33" hidden="1" outlineLevel="3" x14ac:dyDescent="0.2">
      <c r="A1118" s="19"/>
      <c r="B1118" s="19"/>
      <c r="C1118" s="506">
        <f t="shared" si="212"/>
        <v>0</v>
      </c>
      <c r="D1118" s="505">
        <f t="shared" si="212"/>
        <v>0</v>
      </c>
      <c r="E1118" s="58"/>
      <c r="F1118" s="223"/>
      <c r="G1118" s="58"/>
      <c r="H1118" s="58"/>
      <c r="I1118" s="218">
        <f>INDEX('Hist. prices'!$I$164:$AB$238,MATCH($C1118,'Hist. prices'!$C$164:$C$238,0),MATCH(I$1022,'Hist. prices'!$I$5:$AB$5,0))</f>
        <v>0</v>
      </c>
      <c r="J1118" s="218">
        <f>INDEX('Hist. prices'!$I$164:$AB$238,MATCH($C1118,'Hist. prices'!$C$164:$C$238,0),MATCH(J$1022,'Hist. prices'!$I$5:$AB$5,0))</f>
        <v>0</v>
      </c>
      <c r="K1118" s="218">
        <f>INDEX('Hist. prices'!$I$164:$AB$238,MATCH($C1118,'Hist. prices'!$C$164:$C$238,0),MATCH(K$1022,'Hist. prices'!$I$5:$AB$5,0))</f>
        <v>0</v>
      </c>
      <c r="L1118" s="218">
        <f>INDEX('Hist. prices'!$I$164:$AB$238,MATCH($C1118,'Hist. prices'!$C$164:$C$238,0),MATCH(L$1022,'Hist. prices'!$I$5:$AB$5,0))</f>
        <v>0</v>
      </c>
      <c r="M1118" s="218">
        <f>INDEX('Hist. prices'!$I$164:$AB$238,MATCH($C1118,'Hist. prices'!$C$164:$C$238,0),MATCH(M$1022,'Hist. prices'!$I$5:$AB$5,0))</f>
        <v>0</v>
      </c>
      <c r="N1118" s="218">
        <f>INDEX('Hist. prices'!$I$164:$AB$238,MATCH($C1118,'Hist. prices'!$C$164:$C$238,0),MATCH(N$1022,'Hist. prices'!$I$5:$AB$5,0))</f>
        <v>0</v>
      </c>
      <c r="O1118" s="218">
        <f>INDEX('Hist. prices'!$I$164:$AB$238,MATCH($C1118,'Hist. prices'!$C$164:$C$238,0),MATCH(O$1022,'Hist. prices'!$I$5:$AB$5,0))</f>
        <v>0</v>
      </c>
      <c r="P1118" s="218">
        <f>INDEX('Hist. prices'!$I$164:$AB$238,MATCH($C1118,'Hist. prices'!$C$164:$C$238,0),MATCH(P$1022,'Hist. prices'!$I$5:$AB$5,0))</f>
        <v>0</v>
      </c>
      <c r="Q1118" s="218">
        <f>INDEX('Hist. prices'!$I$164:$AB$238,MATCH($C1118,'Hist. prices'!$C$164:$C$238,0),MATCH(Q$1022,'Hist. prices'!$I$5:$AB$5,0))</f>
        <v>0</v>
      </c>
      <c r="R1118" s="218">
        <f>INDEX('Hist. prices'!$I$164:$AB$238,MATCH($C1118,'Hist. prices'!$C$164:$C$238,0),MATCH(R$1022,'Hist. prices'!$I$5:$AB$5,0))</f>
        <v>0</v>
      </c>
      <c r="S1118" s="218">
        <f>INDEX('Hist. prices'!$I$164:$AB$238,MATCH($C1118,'Hist. prices'!$C$164:$C$238,0),MATCH(S$1022,'Hist. prices'!$I$5:$AB$5,0))</f>
        <v>0</v>
      </c>
      <c r="T1118" s="218">
        <f>INDEX('Hist. prices'!$I$164:$AB$238,MATCH($C1118,'Hist. prices'!$C$164:$C$238,0),MATCH(T$1022,'Hist. prices'!$I$5:$AB$5,0))</f>
        <v>0</v>
      </c>
      <c r="U1118" s="218">
        <f>INDEX('Hist. prices'!$I$164:$AB$238,MATCH($C1118,'Hist. prices'!$C$164:$C$238,0),MATCH(U$1022,'Hist. prices'!$I$5:$AB$5,0))</f>
        <v>0</v>
      </c>
      <c r="V1118" s="218">
        <f>INDEX('Hist. prices'!$I$164:$AB$238,MATCH($C1118,'Hist. prices'!$C$164:$C$238,0),MATCH(V$1022,'Hist. prices'!$I$5:$AB$5,0))</f>
        <v>0</v>
      </c>
      <c r="W1118" s="218">
        <f>INDEX('Hist. prices'!$I$164:$AB$238,MATCH($C1118,'Hist. prices'!$C$164:$C$238,0),MATCH(W$1022,'Hist. prices'!$I$5:$AB$5,0))</f>
        <v>0</v>
      </c>
      <c r="X1118" s="218">
        <f>INDEX('Hist. prices'!$I$164:$AB$238,MATCH($C1118,'Hist. prices'!$C$164:$C$238,0),MATCH(X$1022,'Hist. prices'!$I$5:$AB$5,0))</f>
        <v>0</v>
      </c>
      <c r="Y1118" s="218">
        <f>INDEX('Hist. prices'!$I$164:$AB$238,MATCH($C1118,'Hist. prices'!$C$164:$C$238,0),MATCH(Y$1022,'Hist. prices'!$I$5:$AB$5,0))</f>
        <v>0</v>
      </c>
      <c r="Z1118" s="218">
        <f>INDEX('Hist. prices'!$I$164:$AB$238,MATCH($C1118,'Hist. prices'!$C$164:$C$238,0),MATCH(Z$1022,'Hist. prices'!$I$5:$AB$5,0))</f>
        <v>0</v>
      </c>
      <c r="AA1118" s="218">
        <f>INDEX('Hist. prices'!$I$164:$AB$238,MATCH($C1118,'Hist. prices'!$C$164:$C$238,0),MATCH(AA$1022,'Hist. prices'!$I$5:$AB$5,0))</f>
        <v>0</v>
      </c>
      <c r="AB1118" s="218">
        <f>INDEX('Hist. prices'!$I$164:$AB$238,MATCH($C1118,'Hist. prices'!$C$164:$C$238,0),MATCH(AB$1022,'Hist. prices'!$I$5:$AB$5,0))</f>
        <v>0</v>
      </c>
      <c r="AC1118" s="187"/>
      <c r="AD1118" s="19"/>
      <c r="AE1118" s="19"/>
      <c r="AF1118" s="19"/>
      <c r="AG1118" s="19"/>
    </row>
    <row r="1119" spans="1:33" hidden="1" outlineLevel="3" x14ac:dyDescent="0.2">
      <c r="A1119" s="19"/>
      <c r="B1119" s="19"/>
      <c r="C1119" s="506">
        <f t="shared" si="212"/>
        <v>0</v>
      </c>
      <c r="D1119" s="505">
        <f t="shared" si="212"/>
        <v>0</v>
      </c>
      <c r="E1119" s="58"/>
      <c r="F1119" s="223"/>
      <c r="G1119" s="58"/>
      <c r="H1119" s="58"/>
      <c r="I1119" s="218">
        <f>INDEX('Hist. prices'!$I$164:$AB$238,MATCH($C1119,'Hist. prices'!$C$164:$C$238,0),MATCH(I$1022,'Hist. prices'!$I$5:$AB$5,0))</f>
        <v>0</v>
      </c>
      <c r="J1119" s="218">
        <f>INDEX('Hist. prices'!$I$164:$AB$238,MATCH($C1119,'Hist. prices'!$C$164:$C$238,0),MATCH(J$1022,'Hist. prices'!$I$5:$AB$5,0))</f>
        <v>0</v>
      </c>
      <c r="K1119" s="218">
        <f>INDEX('Hist. prices'!$I$164:$AB$238,MATCH($C1119,'Hist. prices'!$C$164:$C$238,0),MATCH(K$1022,'Hist. prices'!$I$5:$AB$5,0))</f>
        <v>0</v>
      </c>
      <c r="L1119" s="218">
        <f>INDEX('Hist. prices'!$I$164:$AB$238,MATCH($C1119,'Hist. prices'!$C$164:$C$238,0),MATCH(L$1022,'Hist. prices'!$I$5:$AB$5,0))</f>
        <v>0</v>
      </c>
      <c r="M1119" s="218">
        <f>INDEX('Hist. prices'!$I$164:$AB$238,MATCH($C1119,'Hist. prices'!$C$164:$C$238,0),MATCH(M$1022,'Hist. prices'!$I$5:$AB$5,0))</f>
        <v>0</v>
      </c>
      <c r="N1119" s="218">
        <f>INDEX('Hist. prices'!$I$164:$AB$238,MATCH($C1119,'Hist. prices'!$C$164:$C$238,0),MATCH(N$1022,'Hist. prices'!$I$5:$AB$5,0))</f>
        <v>0</v>
      </c>
      <c r="O1119" s="218">
        <f>INDEX('Hist. prices'!$I$164:$AB$238,MATCH($C1119,'Hist. prices'!$C$164:$C$238,0),MATCH(O$1022,'Hist. prices'!$I$5:$AB$5,0))</f>
        <v>0</v>
      </c>
      <c r="P1119" s="218">
        <f>INDEX('Hist. prices'!$I$164:$AB$238,MATCH($C1119,'Hist. prices'!$C$164:$C$238,0),MATCH(P$1022,'Hist. prices'!$I$5:$AB$5,0))</f>
        <v>0</v>
      </c>
      <c r="Q1119" s="218">
        <f>INDEX('Hist. prices'!$I$164:$AB$238,MATCH($C1119,'Hist. prices'!$C$164:$C$238,0),MATCH(Q$1022,'Hist. prices'!$I$5:$AB$5,0))</f>
        <v>0</v>
      </c>
      <c r="R1119" s="218">
        <f>INDEX('Hist. prices'!$I$164:$AB$238,MATCH($C1119,'Hist. prices'!$C$164:$C$238,0),MATCH(R$1022,'Hist. prices'!$I$5:$AB$5,0))</f>
        <v>0</v>
      </c>
      <c r="S1119" s="218">
        <f>INDEX('Hist. prices'!$I$164:$AB$238,MATCH($C1119,'Hist. prices'!$C$164:$C$238,0),MATCH(S$1022,'Hist. prices'!$I$5:$AB$5,0))</f>
        <v>0</v>
      </c>
      <c r="T1119" s="218">
        <f>INDEX('Hist. prices'!$I$164:$AB$238,MATCH($C1119,'Hist. prices'!$C$164:$C$238,0),MATCH(T$1022,'Hist. prices'!$I$5:$AB$5,0))</f>
        <v>0</v>
      </c>
      <c r="U1119" s="218">
        <f>INDEX('Hist. prices'!$I$164:$AB$238,MATCH($C1119,'Hist. prices'!$C$164:$C$238,0),MATCH(U$1022,'Hist. prices'!$I$5:$AB$5,0))</f>
        <v>0</v>
      </c>
      <c r="V1119" s="218">
        <f>INDEX('Hist. prices'!$I$164:$AB$238,MATCH($C1119,'Hist. prices'!$C$164:$C$238,0),MATCH(V$1022,'Hist. prices'!$I$5:$AB$5,0))</f>
        <v>0</v>
      </c>
      <c r="W1119" s="218">
        <f>INDEX('Hist. prices'!$I$164:$AB$238,MATCH($C1119,'Hist. prices'!$C$164:$C$238,0),MATCH(W$1022,'Hist. prices'!$I$5:$AB$5,0))</f>
        <v>0</v>
      </c>
      <c r="X1119" s="218">
        <f>INDEX('Hist. prices'!$I$164:$AB$238,MATCH($C1119,'Hist. prices'!$C$164:$C$238,0),MATCH(X$1022,'Hist. prices'!$I$5:$AB$5,0))</f>
        <v>0</v>
      </c>
      <c r="Y1119" s="218">
        <f>INDEX('Hist. prices'!$I$164:$AB$238,MATCH($C1119,'Hist. prices'!$C$164:$C$238,0),MATCH(Y$1022,'Hist. prices'!$I$5:$AB$5,0))</f>
        <v>0</v>
      </c>
      <c r="Z1119" s="218">
        <f>INDEX('Hist. prices'!$I$164:$AB$238,MATCH($C1119,'Hist. prices'!$C$164:$C$238,0),MATCH(Z$1022,'Hist. prices'!$I$5:$AB$5,0))</f>
        <v>0</v>
      </c>
      <c r="AA1119" s="218">
        <f>INDEX('Hist. prices'!$I$164:$AB$238,MATCH($C1119,'Hist. prices'!$C$164:$C$238,0),MATCH(AA$1022,'Hist. prices'!$I$5:$AB$5,0))</f>
        <v>0</v>
      </c>
      <c r="AB1119" s="218">
        <f>INDEX('Hist. prices'!$I$164:$AB$238,MATCH($C1119,'Hist. prices'!$C$164:$C$238,0),MATCH(AB$1022,'Hist. prices'!$I$5:$AB$5,0))</f>
        <v>0</v>
      </c>
      <c r="AC1119" s="187"/>
      <c r="AD1119" s="19"/>
      <c r="AE1119" s="19"/>
      <c r="AF1119" s="19"/>
      <c r="AG1119" s="19"/>
    </row>
    <row r="1120" spans="1:33" hidden="1" outlineLevel="3" x14ac:dyDescent="0.2">
      <c r="A1120" s="19"/>
      <c r="B1120" s="19"/>
      <c r="C1120" s="506">
        <f t="shared" si="212"/>
        <v>0</v>
      </c>
      <c r="D1120" s="505">
        <f t="shared" si="212"/>
        <v>0</v>
      </c>
      <c r="E1120" s="58"/>
      <c r="F1120" s="223"/>
      <c r="G1120" s="58"/>
      <c r="H1120" s="58"/>
      <c r="I1120" s="218">
        <f>INDEX('Hist. prices'!$I$164:$AB$238,MATCH($C1120,'Hist. prices'!$C$164:$C$238,0),MATCH(I$1022,'Hist. prices'!$I$5:$AB$5,0))</f>
        <v>0</v>
      </c>
      <c r="J1120" s="218">
        <f>INDEX('Hist. prices'!$I$164:$AB$238,MATCH($C1120,'Hist. prices'!$C$164:$C$238,0),MATCH(J$1022,'Hist. prices'!$I$5:$AB$5,0))</f>
        <v>0</v>
      </c>
      <c r="K1120" s="218">
        <f>INDEX('Hist. prices'!$I$164:$AB$238,MATCH($C1120,'Hist. prices'!$C$164:$C$238,0),MATCH(K$1022,'Hist. prices'!$I$5:$AB$5,0))</f>
        <v>0</v>
      </c>
      <c r="L1120" s="218">
        <f>INDEX('Hist. prices'!$I$164:$AB$238,MATCH($C1120,'Hist. prices'!$C$164:$C$238,0),MATCH(L$1022,'Hist. prices'!$I$5:$AB$5,0))</f>
        <v>0</v>
      </c>
      <c r="M1120" s="218">
        <f>INDEX('Hist. prices'!$I$164:$AB$238,MATCH($C1120,'Hist. prices'!$C$164:$C$238,0),MATCH(M$1022,'Hist. prices'!$I$5:$AB$5,0))</f>
        <v>0</v>
      </c>
      <c r="N1120" s="218">
        <f>INDEX('Hist. prices'!$I$164:$AB$238,MATCH($C1120,'Hist. prices'!$C$164:$C$238,0),MATCH(N$1022,'Hist. prices'!$I$5:$AB$5,0))</f>
        <v>0</v>
      </c>
      <c r="O1120" s="218">
        <f>INDEX('Hist. prices'!$I$164:$AB$238,MATCH($C1120,'Hist. prices'!$C$164:$C$238,0),MATCH(O$1022,'Hist. prices'!$I$5:$AB$5,0))</f>
        <v>0</v>
      </c>
      <c r="P1120" s="218">
        <f>INDEX('Hist. prices'!$I$164:$AB$238,MATCH($C1120,'Hist. prices'!$C$164:$C$238,0),MATCH(P$1022,'Hist. prices'!$I$5:$AB$5,0))</f>
        <v>0</v>
      </c>
      <c r="Q1120" s="218">
        <f>INDEX('Hist. prices'!$I$164:$AB$238,MATCH($C1120,'Hist. prices'!$C$164:$C$238,0),MATCH(Q$1022,'Hist. prices'!$I$5:$AB$5,0))</f>
        <v>0</v>
      </c>
      <c r="R1120" s="218">
        <f>INDEX('Hist. prices'!$I$164:$AB$238,MATCH($C1120,'Hist. prices'!$C$164:$C$238,0),MATCH(R$1022,'Hist. prices'!$I$5:$AB$5,0))</f>
        <v>0</v>
      </c>
      <c r="S1120" s="218">
        <f>INDEX('Hist. prices'!$I$164:$AB$238,MATCH($C1120,'Hist. prices'!$C$164:$C$238,0),MATCH(S$1022,'Hist. prices'!$I$5:$AB$5,0))</f>
        <v>0</v>
      </c>
      <c r="T1120" s="218">
        <f>INDEX('Hist. prices'!$I$164:$AB$238,MATCH($C1120,'Hist. prices'!$C$164:$C$238,0),MATCH(T$1022,'Hist. prices'!$I$5:$AB$5,0))</f>
        <v>0</v>
      </c>
      <c r="U1120" s="218">
        <f>INDEX('Hist. prices'!$I$164:$AB$238,MATCH($C1120,'Hist. prices'!$C$164:$C$238,0),MATCH(U$1022,'Hist. prices'!$I$5:$AB$5,0))</f>
        <v>0</v>
      </c>
      <c r="V1120" s="218">
        <f>INDEX('Hist. prices'!$I$164:$AB$238,MATCH($C1120,'Hist. prices'!$C$164:$C$238,0),MATCH(V$1022,'Hist. prices'!$I$5:$AB$5,0))</f>
        <v>0</v>
      </c>
      <c r="W1120" s="218">
        <f>INDEX('Hist. prices'!$I$164:$AB$238,MATCH($C1120,'Hist. prices'!$C$164:$C$238,0),MATCH(W$1022,'Hist. prices'!$I$5:$AB$5,0))</f>
        <v>0</v>
      </c>
      <c r="X1120" s="218">
        <f>INDEX('Hist. prices'!$I$164:$AB$238,MATCH($C1120,'Hist. prices'!$C$164:$C$238,0),MATCH(X$1022,'Hist. prices'!$I$5:$AB$5,0))</f>
        <v>0</v>
      </c>
      <c r="Y1120" s="218">
        <f>INDEX('Hist. prices'!$I$164:$AB$238,MATCH($C1120,'Hist. prices'!$C$164:$C$238,0),MATCH(Y$1022,'Hist. prices'!$I$5:$AB$5,0))</f>
        <v>0</v>
      </c>
      <c r="Z1120" s="218">
        <f>INDEX('Hist. prices'!$I$164:$AB$238,MATCH($C1120,'Hist. prices'!$C$164:$C$238,0),MATCH(Z$1022,'Hist. prices'!$I$5:$AB$5,0))</f>
        <v>0</v>
      </c>
      <c r="AA1120" s="218">
        <f>INDEX('Hist. prices'!$I$164:$AB$238,MATCH($C1120,'Hist. prices'!$C$164:$C$238,0),MATCH(AA$1022,'Hist. prices'!$I$5:$AB$5,0))</f>
        <v>0</v>
      </c>
      <c r="AB1120" s="218">
        <f>INDEX('Hist. prices'!$I$164:$AB$238,MATCH($C1120,'Hist. prices'!$C$164:$C$238,0),MATCH(AB$1022,'Hist. prices'!$I$5:$AB$5,0))</f>
        <v>0</v>
      </c>
      <c r="AC1120" s="187"/>
      <c r="AD1120" s="19"/>
      <c r="AE1120" s="19"/>
      <c r="AF1120" s="19"/>
      <c r="AG1120" s="19"/>
    </row>
    <row r="1121" spans="1:33" hidden="1" outlineLevel="2" collapsed="1" x14ac:dyDescent="0.2">
      <c r="A1121" s="19"/>
      <c r="B1121" s="19"/>
      <c r="C1121" s="538"/>
      <c r="D1121" s="536"/>
      <c r="E1121" s="58"/>
      <c r="F1121" s="66"/>
      <c r="G1121" s="58"/>
      <c r="H1121" s="58"/>
      <c r="I1121" s="186"/>
      <c r="J1121" s="186"/>
      <c r="K1121" s="187"/>
      <c r="L1121" s="187"/>
      <c r="M1121" s="187"/>
      <c r="N1121" s="188"/>
      <c r="O1121" s="188"/>
      <c r="P1121" s="188"/>
      <c r="Q1121" s="188"/>
      <c r="R1121" s="188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9"/>
      <c r="AE1121" s="19"/>
      <c r="AF1121" s="19"/>
      <c r="AG1121" s="19"/>
    </row>
    <row r="1122" spans="1:33" outlineLevel="1" collapsed="1" x14ac:dyDescent="0.2">
      <c r="A1122" s="19"/>
      <c r="B1122" s="19"/>
      <c r="C1122" s="66"/>
      <c r="D1122" s="58"/>
      <c r="E1122" s="58"/>
      <c r="F1122" s="66"/>
      <c r="G1122" s="58"/>
      <c r="H1122" s="58"/>
      <c r="I1122" s="58"/>
      <c r="J1122" s="58"/>
      <c r="K1122" s="20"/>
      <c r="L1122" s="20"/>
      <c r="M1122" s="20"/>
      <c r="N1122" s="37"/>
      <c r="O1122" s="37"/>
      <c r="P1122" s="37"/>
      <c r="Q1122" s="37"/>
      <c r="R1122" s="37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</row>
    <row r="1123" spans="1:33" x14ac:dyDescent="0.2">
      <c r="A1123" s="19"/>
      <c r="B1123" s="19"/>
      <c r="C1123" s="36"/>
      <c r="D1123" s="20"/>
      <c r="E1123" s="20"/>
      <c r="F1123" s="36"/>
      <c r="G1123" s="22"/>
      <c r="H1123" s="22"/>
      <c r="I1123" s="22"/>
      <c r="J1123" s="20"/>
      <c r="K1123" s="20"/>
      <c r="L1123" s="20"/>
      <c r="M1123" s="20"/>
      <c r="N1123" s="37"/>
      <c r="O1123" s="37"/>
      <c r="P1123" s="37"/>
      <c r="Q1123" s="37"/>
      <c r="R1123" s="37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</row>
    <row r="1124" spans="1:33" ht="12.75" x14ac:dyDescent="0.2">
      <c r="A1124" s="11"/>
      <c r="B1124" s="12" t="s">
        <v>568</v>
      </c>
      <c r="C1124" s="11"/>
      <c r="D1124" s="32" t="s">
        <v>258</v>
      </c>
      <c r="E1124" s="32"/>
      <c r="F1124" s="11"/>
      <c r="G1124" s="63"/>
      <c r="H1124" s="33"/>
      <c r="I1124" s="169" t="str">
        <f t="shared" ref="I1124:AB1124" si="213">I5</f>
        <v>Service</v>
      </c>
      <c r="J1124" s="169" t="str">
        <f t="shared" si="213"/>
        <v>All energy</v>
      </c>
      <c r="K1124" s="169" t="str">
        <f t="shared" si="213"/>
        <v>Peak energy</v>
      </c>
      <c r="L1124" s="169" t="str">
        <f t="shared" si="213"/>
        <v>Shoulder energy</v>
      </c>
      <c r="M1124" s="169" t="str">
        <f t="shared" si="213"/>
        <v>Off-peak energy</v>
      </c>
      <c r="N1124" s="169">
        <f t="shared" si="213"/>
        <v>0</v>
      </c>
      <c r="O1124" s="169">
        <f t="shared" si="213"/>
        <v>0</v>
      </c>
      <c r="P1124" s="169">
        <f t="shared" si="213"/>
        <v>0</v>
      </c>
      <c r="Q1124" s="169">
        <f t="shared" si="213"/>
        <v>0</v>
      </c>
      <c r="R1124" s="169">
        <f t="shared" si="213"/>
        <v>0</v>
      </c>
      <c r="S1124" s="169">
        <f t="shared" si="213"/>
        <v>0</v>
      </c>
      <c r="T1124" s="169">
        <f t="shared" si="213"/>
        <v>0</v>
      </c>
      <c r="U1124" s="169">
        <f t="shared" si="213"/>
        <v>0</v>
      </c>
      <c r="V1124" s="169">
        <f t="shared" si="213"/>
        <v>0</v>
      </c>
      <c r="W1124" s="169">
        <f t="shared" si="213"/>
        <v>0</v>
      </c>
      <c r="X1124" s="169">
        <f t="shared" si="213"/>
        <v>0</v>
      </c>
      <c r="Y1124" s="169">
        <f t="shared" si="213"/>
        <v>0</v>
      </c>
      <c r="Z1124" s="169">
        <f t="shared" si="213"/>
        <v>0</v>
      </c>
      <c r="AA1124" s="169">
        <f t="shared" si="213"/>
        <v>0</v>
      </c>
      <c r="AB1124" s="169">
        <f t="shared" si="213"/>
        <v>0</v>
      </c>
      <c r="AC1124" s="64"/>
      <c r="AD1124" s="15"/>
      <c r="AE1124" s="15"/>
      <c r="AF1124" s="15"/>
      <c r="AG1124" s="15"/>
    </row>
    <row r="1125" spans="1:33" outlineLevel="1" x14ac:dyDescent="0.2">
      <c r="A1125" s="19"/>
      <c r="B1125" s="19"/>
      <c r="C1125" s="36"/>
      <c r="D1125" s="20"/>
      <c r="E1125" s="20"/>
      <c r="F1125" s="36"/>
      <c r="G1125" s="22"/>
      <c r="H1125" s="22"/>
      <c r="I1125" s="170" t="str">
        <f>I819</f>
        <v>cents/day</v>
      </c>
      <c r="J1125" s="170" t="str">
        <f t="shared" ref="J1125:AB1125" si="214">J819</f>
        <v>cents/kWh</v>
      </c>
      <c r="K1125" s="170" t="str">
        <f t="shared" si="214"/>
        <v>cents/kWh</v>
      </c>
      <c r="L1125" s="170" t="str">
        <f t="shared" si="214"/>
        <v>cents/kWh</v>
      </c>
      <c r="M1125" s="170" t="str">
        <f t="shared" si="214"/>
        <v>cents/kWh</v>
      </c>
      <c r="N1125" s="170">
        <f t="shared" si="214"/>
        <v>0</v>
      </c>
      <c r="O1125" s="170">
        <f t="shared" si="214"/>
        <v>0</v>
      </c>
      <c r="P1125" s="170">
        <f t="shared" si="214"/>
        <v>0</v>
      </c>
      <c r="Q1125" s="170">
        <f t="shared" si="214"/>
        <v>0</v>
      </c>
      <c r="R1125" s="170">
        <f t="shared" si="214"/>
        <v>0</v>
      </c>
      <c r="S1125" s="170">
        <f t="shared" si="214"/>
        <v>0</v>
      </c>
      <c r="T1125" s="170">
        <f t="shared" si="214"/>
        <v>0</v>
      </c>
      <c r="U1125" s="170">
        <f t="shared" si="214"/>
        <v>0</v>
      </c>
      <c r="V1125" s="170">
        <f t="shared" si="214"/>
        <v>0</v>
      </c>
      <c r="W1125" s="170">
        <f t="shared" si="214"/>
        <v>0</v>
      </c>
      <c r="X1125" s="170">
        <f t="shared" si="214"/>
        <v>0</v>
      </c>
      <c r="Y1125" s="170">
        <f t="shared" si="214"/>
        <v>0</v>
      </c>
      <c r="Z1125" s="170">
        <f t="shared" si="214"/>
        <v>0</v>
      </c>
      <c r="AA1125" s="170">
        <f t="shared" si="214"/>
        <v>0</v>
      </c>
      <c r="AB1125" s="170">
        <f t="shared" si="214"/>
        <v>0</v>
      </c>
      <c r="AC1125" s="19"/>
      <c r="AD1125" s="19"/>
      <c r="AE1125" s="19"/>
      <c r="AF1125" s="19"/>
      <c r="AG1125" s="19"/>
    </row>
    <row r="1126" spans="1:33" outlineLevel="1" x14ac:dyDescent="0.2">
      <c r="A1126" s="19"/>
      <c r="B1126" s="19"/>
      <c r="C1126" s="167" t="s">
        <v>136</v>
      </c>
      <c r="D1126" s="512"/>
      <c r="E1126" s="20"/>
      <c r="F1126" s="167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19"/>
      <c r="AD1126" s="19"/>
      <c r="AE1126" s="19"/>
      <c r="AF1126" s="19"/>
      <c r="AG1126" s="19"/>
    </row>
    <row r="1127" spans="1:33" outlineLevel="2" x14ac:dyDescent="0.2">
      <c r="A1127" s="19"/>
      <c r="B1127" s="97"/>
      <c r="C1127" s="506" t="str">
        <f>C785</f>
        <v>Small business time of use consumption</v>
      </c>
      <c r="D1127" s="505" t="str">
        <f t="shared" ref="D1127:D1156" si="215">E212</f>
        <v>yes</v>
      </c>
      <c r="E1127" s="20"/>
      <c r="F1127" s="223"/>
      <c r="G1127" s="22"/>
      <c r="H1127" s="22"/>
      <c r="I1127" s="218">
        <f>INDEX('Hist. prices'!$I$8:$AB$82,MATCH($C1127,'Hist. prices'!$C$8:$C$82,0),MATCH(I$1124,'Hist. prices'!$I$5:$AB$5,0))</f>
        <v>68.909000000000006</v>
      </c>
      <c r="J1127" s="218">
        <f>INDEX('Hist. prices'!$I$8:$AB$82,MATCH($C1127,'Hist. prices'!$C$8:$C$82,0),MATCH(J$1124,'Hist. prices'!$I$5:$AB$5,0))</f>
        <v>0</v>
      </c>
      <c r="K1127" s="218">
        <f>INDEX('Hist. prices'!$I$8:$AB$82,MATCH($C1127,'Hist. prices'!$C$8:$C$82,0),MATCH(K$1124,'Hist. prices'!$I$5:$AB$5,0))</f>
        <v>7.8440000000000003</v>
      </c>
      <c r="L1127" s="218">
        <f>INDEX('Hist. prices'!$I$8:$AB$82,MATCH($C1127,'Hist. prices'!$C$8:$C$82,0),MATCH(L$1124,'Hist. prices'!$I$5:$AB$5,0))</f>
        <v>4.7069999999999999</v>
      </c>
      <c r="M1127" s="218">
        <f>INDEX('Hist. prices'!$I$8:$AB$82,MATCH($C1127,'Hist. prices'!$C$8:$C$82,0),MATCH(M$1124,'Hist. prices'!$I$5:$AB$5,0))</f>
        <v>1.1759999999999999</v>
      </c>
      <c r="N1127" s="218">
        <f>INDEX('Hist. prices'!$I$8:$AB$82,MATCH($C1127,'Hist. prices'!$C$8:$C$82,0),MATCH(N$1124,'Hist. prices'!$I$5:$AB$5,0))</f>
        <v>0</v>
      </c>
      <c r="O1127" s="218">
        <f>INDEX('Hist. prices'!$I$8:$AB$82,MATCH($C1127,'Hist. prices'!$C$8:$C$82,0),MATCH(O$1124,'Hist. prices'!$I$5:$AB$5,0))</f>
        <v>0</v>
      </c>
      <c r="P1127" s="218">
        <f>INDEX('Hist. prices'!$I$8:$AB$82,MATCH($C1127,'Hist. prices'!$C$8:$C$82,0),MATCH(P$1124,'Hist. prices'!$I$5:$AB$5,0))</f>
        <v>0</v>
      </c>
      <c r="Q1127" s="218">
        <f>INDEX('Hist. prices'!$I$8:$AB$82,MATCH($C1127,'Hist. prices'!$C$8:$C$82,0),MATCH(Q$1124,'Hist. prices'!$I$5:$AB$5,0))</f>
        <v>0</v>
      </c>
      <c r="R1127" s="218">
        <f>INDEX('Hist. prices'!$I$8:$AB$82,MATCH($C1127,'Hist. prices'!$C$8:$C$82,0),MATCH(R$1124,'Hist. prices'!$I$5:$AB$5,0))</f>
        <v>0</v>
      </c>
      <c r="S1127" s="218">
        <f>INDEX('Hist. prices'!$I$8:$AB$82,MATCH($C1127,'Hist. prices'!$C$8:$C$82,0),MATCH(S$1124,'Hist. prices'!$I$5:$AB$5,0))</f>
        <v>0</v>
      </c>
      <c r="T1127" s="218">
        <f>INDEX('Hist. prices'!$I$8:$AB$82,MATCH($C1127,'Hist. prices'!$C$8:$C$82,0),MATCH(T$1124,'Hist. prices'!$I$5:$AB$5,0))</f>
        <v>0</v>
      </c>
      <c r="U1127" s="218">
        <f>INDEX('Hist. prices'!$I$8:$AB$82,MATCH($C1127,'Hist. prices'!$C$8:$C$82,0),MATCH(U$1124,'Hist. prices'!$I$5:$AB$5,0))</f>
        <v>0</v>
      </c>
      <c r="V1127" s="218">
        <f>INDEX('Hist. prices'!$I$8:$AB$82,MATCH($C1127,'Hist. prices'!$C$8:$C$82,0),MATCH(V$1124,'Hist. prices'!$I$5:$AB$5,0))</f>
        <v>0</v>
      </c>
      <c r="W1127" s="218">
        <f>INDEX('Hist. prices'!$I$8:$AB$82,MATCH($C1127,'Hist. prices'!$C$8:$C$82,0),MATCH(W$1124,'Hist. prices'!$I$5:$AB$5,0))</f>
        <v>0</v>
      </c>
      <c r="X1127" s="218">
        <f>INDEX('Hist. prices'!$I$8:$AB$82,MATCH($C1127,'Hist. prices'!$C$8:$C$82,0),MATCH(X$1124,'Hist. prices'!$I$5:$AB$5,0))</f>
        <v>0</v>
      </c>
      <c r="Y1127" s="218">
        <f>INDEX('Hist. prices'!$I$8:$AB$82,MATCH($C1127,'Hist. prices'!$C$8:$C$82,0),MATCH(Y$1124,'Hist. prices'!$I$5:$AB$5,0))</f>
        <v>0</v>
      </c>
      <c r="Z1127" s="218">
        <f>INDEX('Hist. prices'!$I$8:$AB$82,MATCH($C1127,'Hist. prices'!$C$8:$C$82,0),MATCH(Z$1124,'Hist. prices'!$I$5:$AB$5,0))</f>
        <v>0</v>
      </c>
      <c r="AA1127" s="218">
        <f>INDEX('Hist. prices'!$I$8:$AB$82,MATCH($C1127,'Hist. prices'!$C$8:$C$82,0),MATCH(AA$1124,'Hist. prices'!$I$5:$AB$5,0))</f>
        <v>0</v>
      </c>
      <c r="AB1127" s="218">
        <f>INDEX('Hist. prices'!$I$8:$AB$82,MATCH($C1127,'Hist. prices'!$C$8:$C$82,0),MATCH(AB$1124,'Hist. prices'!$I$5:$AB$5,0))</f>
        <v>0</v>
      </c>
      <c r="AC1127" s="187"/>
      <c r="AD1127" s="19"/>
      <c r="AE1127" s="19"/>
      <c r="AF1127" s="19"/>
      <c r="AG1127" s="19"/>
    </row>
    <row r="1128" spans="1:33" s="59" customFormat="1" outlineLevel="2" x14ac:dyDescent="0.2">
      <c r="A1128" s="57"/>
      <c r="B1128" s="98"/>
      <c r="C1128" s="506" t="str">
        <f t="shared" ref="C1128:C1156" si="216">C786</f>
        <v>Small business general light and power</v>
      </c>
      <c r="D1128" s="505" t="str">
        <f t="shared" si="215"/>
        <v>no</v>
      </c>
      <c r="E1128" s="58"/>
      <c r="F1128" s="223"/>
      <c r="G1128" s="58"/>
      <c r="H1128" s="58"/>
      <c r="I1128" s="218">
        <f>INDEX('Hist. prices'!$I$8:$AB$82,MATCH($C1128,'Hist. prices'!$C$8:$C$82,0),MATCH(I$1124,'Hist. prices'!$I$5:$AB$5,0))</f>
        <v>52.387999999999998</v>
      </c>
      <c r="J1128" s="218">
        <f>INDEX('Hist. prices'!$I$8:$AB$82,MATCH($C1128,'Hist. prices'!$C$8:$C$82,0),MATCH(J$1124,'Hist. prices'!$I$5:$AB$5,0))</f>
        <v>7.22</v>
      </c>
      <c r="K1128" s="218">
        <f>INDEX('Hist. prices'!$I$8:$AB$82,MATCH($C1128,'Hist. prices'!$C$8:$C$82,0),MATCH(K$1124,'Hist. prices'!$I$5:$AB$5,0))</f>
        <v>0</v>
      </c>
      <c r="L1128" s="218">
        <f>INDEX('Hist. prices'!$I$8:$AB$82,MATCH($C1128,'Hist. prices'!$C$8:$C$82,0),MATCH(L$1124,'Hist. prices'!$I$5:$AB$5,0))</f>
        <v>0</v>
      </c>
      <c r="M1128" s="218">
        <f>INDEX('Hist. prices'!$I$8:$AB$82,MATCH($C1128,'Hist. prices'!$C$8:$C$82,0),MATCH(M$1124,'Hist. prices'!$I$5:$AB$5,0))</f>
        <v>0</v>
      </c>
      <c r="N1128" s="218">
        <f>INDEX('Hist. prices'!$I$8:$AB$82,MATCH($C1128,'Hist. prices'!$C$8:$C$82,0),MATCH(N$1124,'Hist. prices'!$I$5:$AB$5,0))</f>
        <v>0</v>
      </c>
      <c r="O1128" s="218">
        <f>INDEX('Hist. prices'!$I$8:$AB$82,MATCH($C1128,'Hist. prices'!$C$8:$C$82,0),MATCH(O$1124,'Hist. prices'!$I$5:$AB$5,0))</f>
        <v>0</v>
      </c>
      <c r="P1128" s="218">
        <f>INDEX('Hist. prices'!$I$8:$AB$82,MATCH($C1128,'Hist. prices'!$C$8:$C$82,0),MATCH(P$1124,'Hist. prices'!$I$5:$AB$5,0))</f>
        <v>0</v>
      </c>
      <c r="Q1128" s="218">
        <f>INDEX('Hist. prices'!$I$8:$AB$82,MATCH($C1128,'Hist. prices'!$C$8:$C$82,0),MATCH(Q$1124,'Hist. prices'!$I$5:$AB$5,0))</f>
        <v>0</v>
      </c>
      <c r="R1128" s="218">
        <f>INDEX('Hist. prices'!$I$8:$AB$82,MATCH($C1128,'Hist. prices'!$C$8:$C$82,0),MATCH(R$1124,'Hist. prices'!$I$5:$AB$5,0))</f>
        <v>0</v>
      </c>
      <c r="S1128" s="218">
        <f>INDEX('Hist. prices'!$I$8:$AB$82,MATCH($C1128,'Hist. prices'!$C$8:$C$82,0),MATCH(S$1124,'Hist. prices'!$I$5:$AB$5,0))</f>
        <v>0</v>
      </c>
      <c r="T1128" s="218">
        <f>INDEX('Hist. prices'!$I$8:$AB$82,MATCH($C1128,'Hist. prices'!$C$8:$C$82,0),MATCH(T$1124,'Hist. prices'!$I$5:$AB$5,0))</f>
        <v>0</v>
      </c>
      <c r="U1128" s="218">
        <f>INDEX('Hist. prices'!$I$8:$AB$82,MATCH($C1128,'Hist. prices'!$C$8:$C$82,0),MATCH(U$1124,'Hist. prices'!$I$5:$AB$5,0))</f>
        <v>0</v>
      </c>
      <c r="V1128" s="218">
        <f>INDEX('Hist. prices'!$I$8:$AB$82,MATCH($C1128,'Hist. prices'!$C$8:$C$82,0),MATCH(V$1124,'Hist. prices'!$I$5:$AB$5,0))</f>
        <v>0</v>
      </c>
      <c r="W1128" s="218">
        <f>INDEX('Hist. prices'!$I$8:$AB$82,MATCH($C1128,'Hist. prices'!$C$8:$C$82,0),MATCH(W$1124,'Hist. prices'!$I$5:$AB$5,0))</f>
        <v>0</v>
      </c>
      <c r="X1128" s="218">
        <f>INDEX('Hist. prices'!$I$8:$AB$82,MATCH($C1128,'Hist. prices'!$C$8:$C$82,0),MATCH(X$1124,'Hist. prices'!$I$5:$AB$5,0))</f>
        <v>0</v>
      </c>
      <c r="Y1128" s="218">
        <f>INDEX('Hist. prices'!$I$8:$AB$82,MATCH($C1128,'Hist. prices'!$C$8:$C$82,0),MATCH(Y$1124,'Hist. prices'!$I$5:$AB$5,0))</f>
        <v>0</v>
      </c>
      <c r="Z1128" s="218">
        <f>INDEX('Hist. prices'!$I$8:$AB$82,MATCH($C1128,'Hist. prices'!$C$8:$C$82,0),MATCH(Z$1124,'Hist. prices'!$I$5:$AB$5,0))</f>
        <v>0</v>
      </c>
      <c r="AA1128" s="218">
        <f>INDEX('Hist. prices'!$I$8:$AB$82,MATCH($C1128,'Hist. prices'!$C$8:$C$82,0),MATCH(AA$1124,'Hist. prices'!$I$5:$AB$5,0))</f>
        <v>0</v>
      </c>
      <c r="AB1128" s="218">
        <f>INDEX('Hist. prices'!$I$8:$AB$82,MATCH($C1128,'Hist. prices'!$C$8:$C$82,0),MATCH(AB$1124,'Hist. prices'!$I$5:$AB$5,0))</f>
        <v>0</v>
      </c>
      <c r="AC1128" s="187"/>
      <c r="AD1128" s="57"/>
      <c r="AE1128" s="57"/>
      <c r="AF1128" s="57"/>
      <c r="AG1128" s="57"/>
    </row>
    <row r="1129" spans="1:33" outlineLevel="2" x14ac:dyDescent="0.2">
      <c r="A1129" s="19"/>
      <c r="B1129" s="97"/>
      <c r="C1129" s="506">
        <f t="shared" si="216"/>
        <v>0</v>
      </c>
      <c r="D1129" s="505">
        <f t="shared" si="215"/>
        <v>0</v>
      </c>
      <c r="E1129" s="58"/>
      <c r="F1129" s="223"/>
      <c r="G1129" s="58"/>
      <c r="H1129" s="58"/>
      <c r="I1129" s="218">
        <f>INDEX('Hist. prices'!$I$8:$AB$82,MATCH($C1129,'Hist. prices'!$C$8:$C$82,0),MATCH(I$1124,'Hist. prices'!$I$5:$AB$5,0))</f>
        <v>0</v>
      </c>
      <c r="J1129" s="218">
        <f>INDEX('Hist. prices'!$I$8:$AB$82,MATCH($C1129,'Hist. prices'!$C$8:$C$82,0),MATCH(J$1124,'Hist. prices'!$I$5:$AB$5,0))</f>
        <v>0</v>
      </c>
      <c r="K1129" s="218">
        <f>INDEX('Hist. prices'!$I$8:$AB$82,MATCH($C1129,'Hist. prices'!$C$8:$C$82,0),MATCH(K$1124,'Hist. prices'!$I$5:$AB$5,0))</f>
        <v>0</v>
      </c>
      <c r="L1129" s="218">
        <f>INDEX('Hist. prices'!$I$8:$AB$82,MATCH($C1129,'Hist. prices'!$C$8:$C$82,0),MATCH(L$1124,'Hist. prices'!$I$5:$AB$5,0))</f>
        <v>0</v>
      </c>
      <c r="M1129" s="218">
        <f>INDEX('Hist. prices'!$I$8:$AB$82,MATCH($C1129,'Hist. prices'!$C$8:$C$82,0),MATCH(M$1124,'Hist. prices'!$I$5:$AB$5,0))</f>
        <v>0</v>
      </c>
      <c r="N1129" s="218">
        <f>INDEX('Hist. prices'!$I$8:$AB$82,MATCH($C1129,'Hist. prices'!$C$8:$C$82,0),MATCH(N$1124,'Hist. prices'!$I$5:$AB$5,0))</f>
        <v>0</v>
      </c>
      <c r="O1129" s="218">
        <f>INDEX('Hist. prices'!$I$8:$AB$82,MATCH($C1129,'Hist. prices'!$C$8:$C$82,0),MATCH(O$1124,'Hist. prices'!$I$5:$AB$5,0))</f>
        <v>0</v>
      </c>
      <c r="P1129" s="218">
        <f>INDEX('Hist. prices'!$I$8:$AB$82,MATCH($C1129,'Hist. prices'!$C$8:$C$82,0),MATCH(P$1124,'Hist. prices'!$I$5:$AB$5,0))</f>
        <v>0</v>
      </c>
      <c r="Q1129" s="218">
        <f>INDEX('Hist. prices'!$I$8:$AB$82,MATCH($C1129,'Hist. prices'!$C$8:$C$82,0),MATCH(Q$1124,'Hist. prices'!$I$5:$AB$5,0))</f>
        <v>0</v>
      </c>
      <c r="R1129" s="218">
        <f>INDEX('Hist. prices'!$I$8:$AB$82,MATCH($C1129,'Hist. prices'!$C$8:$C$82,0),MATCH(R$1124,'Hist. prices'!$I$5:$AB$5,0))</f>
        <v>0</v>
      </c>
      <c r="S1129" s="218">
        <f>INDEX('Hist. prices'!$I$8:$AB$82,MATCH($C1129,'Hist. prices'!$C$8:$C$82,0),MATCH(S$1124,'Hist. prices'!$I$5:$AB$5,0))</f>
        <v>0</v>
      </c>
      <c r="T1129" s="218">
        <f>INDEX('Hist. prices'!$I$8:$AB$82,MATCH($C1129,'Hist. prices'!$C$8:$C$82,0),MATCH(T$1124,'Hist. prices'!$I$5:$AB$5,0))</f>
        <v>0</v>
      </c>
      <c r="U1129" s="218">
        <f>INDEX('Hist. prices'!$I$8:$AB$82,MATCH($C1129,'Hist. prices'!$C$8:$C$82,0),MATCH(U$1124,'Hist. prices'!$I$5:$AB$5,0))</f>
        <v>0</v>
      </c>
      <c r="V1129" s="218">
        <f>INDEX('Hist. prices'!$I$8:$AB$82,MATCH($C1129,'Hist. prices'!$C$8:$C$82,0),MATCH(V$1124,'Hist. prices'!$I$5:$AB$5,0))</f>
        <v>0</v>
      </c>
      <c r="W1129" s="218">
        <f>INDEX('Hist. prices'!$I$8:$AB$82,MATCH($C1129,'Hist. prices'!$C$8:$C$82,0),MATCH(W$1124,'Hist. prices'!$I$5:$AB$5,0))</f>
        <v>0</v>
      </c>
      <c r="X1129" s="218">
        <f>INDEX('Hist. prices'!$I$8:$AB$82,MATCH($C1129,'Hist. prices'!$C$8:$C$82,0),MATCH(X$1124,'Hist. prices'!$I$5:$AB$5,0))</f>
        <v>0</v>
      </c>
      <c r="Y1129" s="218">
        <f>INDEX('Hist. prices'!$I$8:$AB$82,MATCH($C1129,'Hist. prices'!$C$8:$C$82,0),MATCH(Y$1124,'Hist. prices'!$I$5:$AB$5,0))</f>
        <v>0</v>
      </c>
      <c r="Z1129" s="218">
        <f>INDEX('Hist. prices'!$I$8:$AB$82,MATCH($C1129,'Hist. prices'!$C$8:$C$82,0),MATCH(Z$1124,'Hist. prices'!$I$5:$AB$5,0))</f>
        <v>0</v>
      </c>
      <c r="AA1129" s="218">
        <f>INDEX('Hist. prices'!$I$8:$AB$82,MATCH($C1129,'Hist. prices'!$C$8:$C$82,0),MATCH(AA$1124,'Hist. prices'!$I$5:$AB$5,0))</f>
        <v>0</v>
      </c>
      <c r="AB1129" s="218">
        <f>INDEX('Hist. prices'!$I$8:$AB$82,MATCH($C1129,'Hist. prices'!$C$8:$C$82,0),MATCH(AB$1124,'Hist. prices'!$I$5:$AB$5,0))</f>
        <v>0</v>
      </c>
      <c r="AC1129" s="187"/>
      <c r="AD1129" s="19"/>
      <c r="AE1129" s="19"/>
      <c r="AF1129" s="19"/>
      <c r="AG1129" s="19"/>
    </row>
    <row r="1130" spans="1:33" hidden="1" outlineLevel="3" x14ac:dyDescent="0.2">
      <c r="A1130" s="19"/>
      <c r="B1130" s="97"/>
      <c r="C1130" s="506">
        <f t="shared" si="216"/>
        <v>0</v>
      </c>
      <c r="D1130" s="505">
        <f t="shared" si="215"/>
        <v>0</v>
      </c>
      <c r="E1130" s="58"/>
      <c r="F1130" s="223"/>
      <c r="G1130" s="58"/>
      <c r="H1130" s="58"/>
      <c r="I1130" s="218">
        <f>INDEX('Hist. prices'!$I$8:$AB$82,MATCH($C1130,'Hist. prices'!$C$8:$C$82,0),MATCH(I$1124,'Hist. prices'!$I$5:$AB$5,0))</f>
        <v>0</v>
      </c>
      <c r="J1130" s="218">
        <f>INDEX('Hist. prices'!$I$8:$AB$82,MATCH($C1130,'Hist. prices'!$C$8:$C$82,0),MATCH(J$1124,'Hist. prices'!$I$5:$AB$5,0))</f>
        <v>0</v>
      </c>
      <c r="K1130" s="218">
        <f>INDEX('Hist. prices'!$I$8:$AB$82,MATCH($C1130,'Hist. prices'!$C$8:$C$82,0),MATCH(K$1124,'Hist. prices'!$I$5:$AB$5,0))</f>
        <v>0</v>
      </c>
      <c r="L1130" s="218">
        <f>INDEX('Hist. prices'!$I$8:$AB$82,MATCH($C1130,'Hist. prices'!$C$8:$C$82,0),MATCH(L$1124,'Hist. prices'!$I$5:$AB$5,0))</f>
        <v>0</v>
      </c>
      <c r="M1130" s="218">
        <f>INDEX('Hist. prices'!$I$8:$AB$82,MATCH($C1130,'Hist. prices'!$C$8:$C$82,0),MATCH(M$1124,'Hist. prices'!$I$5:$AB$5,0))</f>
        <v>0</v>
      </c>
      <c r="N1130" s="218">
        <f>INDEX('Hist. prices'!$I$8:$AB$82,MATCH($C1130,'Hist. prices'!$C$8:$C$82,0),MATCH(N$1124,'Hist. prices'!$I$5:$AB$5,0))</f>
        <v>0</v>
      </c>
      <c r="O1130" s="218">
        <f>INDEX('Hist. prices'!$I$8:$AB$82,MATCH($C1130,'Hist. prices'!$C$8:$C$82,0),MATCH(O$1124,'Hist. prices'!$I$5:$AB$5,0))</f>
        <v>0</v>
      </c>
      <c r="P1130" s="218">
        <f>INDEX('Hist. prices'!$I$8:$AB$82,MATCH($C1130,'Hist. prices'!$C$8:$C$82,0),MATCH(P$1124,'Hist. prices'!$I$5:$AB$5,0))</f>
        <v>0</v>
      </c>
      <c r="Q1130" s="218">
        <f>INDEX('Hist. prices'!$I$8:$AB$82,MATCH($C1130,'Hist. prices'!$C$8:$C$82,0),MATCH(Q$1124,'Hist. prices'!$I$5:$AB$5,0))</f>
        <v>0</v>
      </c>
      <c r="R1130" s="218">
        <f>INDEX('Hist. prices'!$I$8:$AB$82,MATCH($C1130,'Hist. prices'!$C$8:$C$82,0),MATCH(R$1124,'Hist. prices'!$I$5:$AB$5,0))</f>
        <v>0</v>
      </c>
      <c r="S1130" s="218">
        <f>INDEX('Hist. prices'!$I$8:$AB$82,MATCH($C1130,'Hist. prices'!$C$8:$C$82,0),MATCH(S$1124,'Hist. prices'!$I$5:$AB$5,0))</f>
        <v>0</v>
      </c>
      <c r="T1130" s="218">
        <f>INDEX('Hist. prices'!$I$8:$AB$82,MATCH($C1130,'Hist. prices'!$C$8:$C$82,0),MATCH(T$1124,'Hist. prices'!$I$5:$AB$5,0))</f>
        <v>0</v>
      </c>
      <c r="U1130" s="218">
        <f>INDEX('Hist. prices'!$I$8:$AB$82,MATCH($C1130,'Hist. prices'!$C$8:$C$82,0),MATCH(U$1124,'Hist. prices'!$I$5:$AB$5,0))</f>
        <v>0</v>
      </c>
      <c r="V1130" s="218">
        <f>INDEX('Hist. prices'!$I$8:$AB$82,MATCH($C1130,'Hist. prices'!$C$8:$C$82,0),MATCH(V$1124,'Hist. prices'!$I$5:$AB$5,0))</f>
        <v>0</v>
      </c>
      <c r="W1130" s="218">
        <f>INDEX('Hist. prices'!$I$8:$AB$82,MATCH($C1130,'Hist. prices'!$C$8:$C$82,0),MATCH(W$1124,'Hist. prices'!$I$5:$AB$5,0))</f>
        <v>0</v>
      </c>
      <c r="X1130" s="218">
        <f>INDEX('Hist. prices'!$I$8:$AB$82,MATCH($C1130,'Hist. prices'!$C$8:$C$82,0),MATCH(X$1124,'Hist. prices'!$I$5:$AB$5,0))</f>
        <v>0</v>
      </c>
      <c r="Y1130" s="218">
        <f>INDEX('Hist. prices'!$I$8:$AB$82,MATCH($C1130,'Hist. prices'!$C$8:$C$82,0),MATCH(Y$1124,'Hist. prices'!$I$5:$AB$5,0))</f>
        <v>0</v>
      </c>
      <c r="Z1130" s="218">
        <f>INDEX('Hist. prices'!$I$8:$AB$82,MATCH($C1130,'Hist. prices'!$C$8:$C$82,0),MATCH(Z$1124,'Hist. prices'!$I$5:$AB$5,0))</f>
        <v>0</v>
      </c>
      <c r="AA1130" s="218">
        <f>INDEX('Hist. prices'!$I$8:$AB$82,MATCH($C1130,'Hist. prices'!$C$8:$C$82,0),MATCH(AA$1124,'Hist. prices'!$I$5:$AB$5,0))</f>
        <v>0</v>
      </c>
      <c r="AB1130" s="218">
        <f>INDEX('Hist. prices'!$I$8:$AB$82,MATCH($C1130,'Hist. prices'!$C$8:$C$82,0),MATCH(AB$1124,'Hist. prices'!$I$5:$AB$5,0))</f>
        <v>0</v>
      </c>
      <c r="AC1130" s="187"/>
      <c r="AD1130" s="19"/>
      <c r="AE1130" s="19"/>
      <c r="AF1130" s="19"/>
      <c r="AG1130" s="19"/>
    </row>
    <row r="1131" spans="1:33" hidden="1" outlineLevel="3" x14ac:dyDescent="0.2">
      <c r="A1131" s="19"/>
      <c r="B1131" s="97"/>
      <c r="C1131" s="506">
        <f t="shared" si="216"/>
        <v>0</v>
      </c>
      <c r="D1131" s="505">
        <f t="shared" si="215"/>
        <v>0</v>
      </c>
      <c r="E1131" s="58"/>
      <c r="F1131" s="223"/>
      <c r="G1131" s="58"/>
      <c r="H1131" s="58"/>
      <c r="I1131" s="218">
        <f>INDEX('Hist. prices'!$I$8:$AB$82,MATCH($C1131,'Hist. prices'!$C$8:$C$82,0),MATCH(I$1124,'Hist. prices'!$I$5:$AB$5,0))</f>
        <v>0</v>
      </c>
      <c r="J1131" s="218">
        <f>INDEX('Hist. prices'!$I$8:$AB$82,MATCH($C1131,'Hist. prices'!$C$8:$C$82,0),MATCH(J$1124,'Hist. prices'!$I$5:$AB$5,0))</f>
        <v>0</v>
      </c>
      <c r="K1131" s="218">
        <f>INDEX('Hist. prices'!$I$8:$AB$82,MATCH($C1131,'Hist. prices'!$C$8:$C$82,0),MATCH(K$1124,'Hist. prices'!$I$5:$AB$5,0))</f>
        <v>0</v>
      </c>
      <c r="L1131" s="218">
        <f>INDEX('Hist. prices'!$I$8:$AB$82,MATCH($C1131,'Hist. prices'!$C$8:$C$82,0),MATCH(L$1124,'Hist. prices'!$I$5:$AB$5,0))</f>
        <v>0</v>
      </c>
      <c r="M1131" s="218">
        <f>INDEX('Hist. prices'!$I$8:$AB$82,MATCH($C1131,'Hist. prices'!$C$8:$C$82,0),MATCH(M$1124,'Hist. prices'!$I$5:$AB$5,0))</f>
        <v>0</v>
      </c>
      <c r="N1131" s="218">
        <f>INDEX('Hist. prices'!$I$8:$AB$82,MATCH($C1131,'Hist. prices'!$C$8:$C$82,0),MATCH(N$1124,'Hist. prices'!$I$5:$AB$5,0))</f>
        <v>0</v>
      </c>
      <c r="O1131" s="218">
        <f>INDEX('Hist. prices'!$I$8:$AB$82,MATCH($C1131,'Hist. prices'!$C$8:$C$82,0),MATCH(O$1124,'Hist. prices'!$I$5:$AB$5,0))</f>
        <v>0</v>
      </c>
      <c r="P1131" s="218">
        <f>INDEX('Hist. prices'!$I$8:$AB$82,MATCH($C1131,'Hist. prices'!$C$8:$C$82,0),MATCH(P$1124,'Hist. prices'!$I$5:$AB$5,0))</f>
        <v>0</v>
      </c>
      <c r="Q1131" s="218">
        <f>INDEX('Hist. prices'!$I$8:$AB$82,MATCH($C1131,'Hist. prices'!$C$8:$C$82,0),MATCH(Q$1124,'Hist. prices'!$I$5:$AB$5,0))</f>
        <v>0</v>
      </c>
      <c r="R1131" s="218">
        <f>INDEX('Hist. prices'!$I$8:$AB$82,MATCH($C1131,'Hist. prices'!$C$8:$C$82,0),MATCH(R$1124,'Hist. prices'!$I$5:$AB$5,0))</f>
        <v>0</v>
      </c>
      <c r="S1131" s="218">
        <f>INDEX('Hist. prices'!$I$8:$AB$82,MATCH($C1131,'Hist. prices'!$C$8:$C$82,0),MATCH(S$1124,'Hist. prices'!$I$5:$AB$5,0))</f>
        <v>0</v>
      </c>
      <c r="T1131" s="218">
        <f>INDEX('Hist. prices'!$I$8:$AB$82,MATCH($C1131,'Hist. prices'!$C$8:$C$82,0),MATCH(T$1124,'Hist. prices'!$I$5:$AB$5,0))</f>
        <v>0</v>
      </c>
      <c r="U1131" s="218">
        <f>INDEX('Hist. prices'!$I$8:$AB$82,MATCH($C1131,'Hist. prices'!$C$8:$C$82,0),MATCH(U$1124,'Hist. prices'!$I$5:$AB$5,0))</f>
        <v>0</v>
      </c>
      <c r="V1131" s="218">
        <f>INDEX('Hist. prices'!$I$8:$AB$82,MATCH($C1131,'Hist. prices'!$C$8:$C$82,0),MATCH(V$1124,'Hist. prices'!$I$5:$AB$5,0))</f>
        <v>0</v>
      </c>
      <c r="W1131" s="218">
        <f>INDEX('Hist. prices'!$I$8:$AB$82,MATCH($C1131,'Hist. prices'!$C$8:$C$82,0),MATCH(W$1124,'Hist. prices'!$I$5:$AB$5,0))</f>
        <v>0</v>
      </c>
      <c r="X1131" s="218">
        <f>INDEX('Hist. prices'!$I$8:$AB$82,MATCH($C1131,'Hist. prices'!$C$8:$C$82,0),MATCH(X$1124,'Hist. prices'!$I$5:$AB$5,0))</f>
        <v>0</v>
      </c>
      <c r="Y1131" s="218">
        <f>INDEX('Hist. prices'!$I$8:$AB$82,MATCH($C1131,'Hist. prices'!$C$8:$C$82,0),MATCH(Y$1124,'Hist. prices'!$I$5:$AB$5,0))</f>
        <v>0</v>
      </c>
      <c r="Z1131" s="218">
        <f>INDEX('Hist. prices'!$I$8:$AB$82,MATCH($C1131,'Hist. prices'!$C$8:$C$82,0),MATCH(Z$1124,'Hist. prices'!$I$5:$AB$5,0))</f>
        <v>0</v>
      </c>
      <c r="AA1131" s="218">
        <f>INDEX('Hist. prices'!$I$8:$AB$82,MATCH($C1131,'Hist. prices'!$C$8:$C$82,0),MATCH(AA$1124,'Hist. prices'!$I$5:$AB$5,0))</f>
        <v>0</v>
      </c>
      <c r="AB1131" s="218">
        <f>INDEX('Hist. prices'!$I$8:$AB$82,MATCH($C1131,'Hist. prices'!$C$8:$C$82,0),MATCH(AB$1124,'Hist. prices'!$I$5:$AB$5,0))</f>
        <v>0</v>
      </c>
      <c r="AC1131" s="187"/>
      <c r="AD1131" s="19"/>
      <c r="AE1131" s="19"/>
      <c r="AF1131" s="19"/>
      <c r="AG1131" s="19"/>
    </row>
    <row r="1132" spans="1:33" hidden="1" outlineLevel="3" x14ac:dyDescent="0.2">
      <c r="A1132" s="19"/>
      <c r="B1132" s="97"/>
      <c r="C1132" s="506">
        <f t="shared" si="216"/>
        <v>0</v>
      </c>
      <c r="D1132" s="505">
        <f t="shared" si="215"/>
        <v>0</v>
      </c>
      <c r="E1132" s="58"/>
      <c r="F1132" s="223"/>
      <c r="G1132" s="58"/>
      <c r="H1132" s="58"/>
      <c r="I1132" s="218">
        <f>INDEX('Hist. prices'!$I$8:$AB$82,MATCH($C1132,'Hist. prices'!$C$8:$C$82,0),MATCH(I$1124,'Hist. prices'!$I$5:$AB$5,0))</f>
        <v>0</v>
      </c>
      <c r="J1132" s="218">
        <f>INDEX('Hist. prices'!$I$8:$AB$82,MATCH($C1132,'Hist. prices'!$C$8:$C$82,0),MATCH(J$1124,'Hist. prices'!$I$5:$AB$5,0))</f>
        <v>0</v>
      </c>
      <c r="K1132" s="218">
        <f>INDEX('Hist. prices'!$I$8:$AB$82,MATCH($C1132,'Hist. prices'!$C$8:$C$82,0),MATCH(K$1124,'Hist. prices'!$I$5:$AB$5,0))</f>
        <v>0</v>
      </c>
      <c r="L1132" s="218">
        <f>INDEX('Hist. prices'!$I$8:$AB$82,MATCH($C1132,'Hist. prices'!$C$8:$C$82,0),MATCH(L$1124,'Hist. prices'!$I$5:$AB$5,0))</f>
        <v>0</v>
      </c>
      <c r="M1132" s="218">
        <f>INDEX('Hist. prices'!$I$8:$AB$82,MATCH($C1132,'Hist. prices'!$C$8:$C$82,0),MATCH(M$1124,'Hist. prices'!$I$5:$AB$5,0))</f>
        <v>0</v>
      </c>
      <c r="N1132" s="218">
        <f>INDEX('Hist. prices'!$I$8:$AB$82,MATCH($C1132,'Hist. prices'!$C$8:$C$82,0),MATCH(N$1124,'Hist. prices'!$I$5:$AB$5,0))</f>
        <v>0</v>
      </c>
      <c r="O1132" s="218">
        <f>INDEX('Hist. prices'!$I$8:$AB$82,MATCH($C1132,'Hist. prices'!$C$8:$C$82,0),MATCH(O$1124,'Hist. prices'!$I$5:$AB$5,0))</f>
        <v>0</v>
      </c>
      <c r="P1132" s="218">
        <f>INDEX('Hist. prices'!$I$8:$AB$82,MATCH($C1132,'Hist. prices'!$C$8:$C$82,0),MATCH(P$1124,'Hist. prices'!$I$5:$AB$5,0))</f>
        <v>0</v>
      </c>
      <c r="Q1132" s="218">
        <f>INDEX('Hist. prices'!$I$8:$AB$82,MATCH($C1132,'Hist. prices'!$C$8:$C$82,0),MATCH(Q$1124,'Hist. prices'!$I$5:$AB$5,0))</f>
        <v>0</v>
      </c>
      <c r="R1132" s="218">
        <f>INDEX('Hist. prices'!$I$8:$AB$82,MATCH($C1132,'Hist. prices'!$C$8:$C$82,0),MATCH(R$1124,'Hist. prices'!$I$5:$AB$5,0))</f>
        <v>0</v>
      </c>
      <c r="S1132" s="218">
        <f>INDEX('Hist. prices'!$I$8:$AB$82,MATCH($C1132,'Hist. prices'!$C$8:$C$82,0),MATCH(S$1124,'Hist. prices'!$I$5:$AB$5,0))</f>
        <v>0</v>
      </c>
      <c r="T1132" s="218">
        <f>INDEX('Hist. prices'!$I$8:$AB$82,MATCH($C1132,'Hist. prices'!$C$8:$C$82,0),MATCH(T$1124,'Hist. prices'!$I$5:$AB$5,0))</f>
        <v>0</v>
      </c>
      <c r="U1132" s="218">
        <f>INDEX('Hist. prices'!$I$8:$AB$82,MATCH($C1132,'Hist. prices'!$C$8:$C$82,0),MATCH(U$1124,'Hist. prices'!$I$5:$AB$5,0))</f>
        <v>0</v>
      </c>
      <c r="V1132" s="218">
        <f>INDEX('Hist. prices'!$I$8:$AB$82,MATCH($C1132,'Hist. prices'!$C$8:$C$82,0),MATCH(V$1124,'Hist. prices'!$I$5:$AB$5,0))</f>
        <v>0</v>
      </c>
      <c r="W1132" s="218">
        <f>INDEX('Hist. prices'!$I$8:$AB$82,MATCH($C1132,'Hist. prices'!$C$8:$C$82,0),MATCH(W$1124,'Hist. prices'!$I$5:$AB$5,0))</f>
        <v>0</v>
      </c>
      <c r="X1132" s="218">
        <f>INDEX('Hist. prices'!$I$8:$AB$82,MATCH($C1132,'Hist. prices'!$C$8:$C$82,0),MATCH(X$1124,'Hist. prices'!$I$5:$AB$5,0))</f>
        <v>0</v>
      </c>
      <c r="Y1132" s="218">
        <f>INDEX('Hist. prices'!$I$8:$AB$82,MATCH($C1132,'Hist. prices'!$C$8:$C$82,0),MATCH(Y$1124,'Hist. prices'!$I$5:$AB$5,0))</f>
        <v>0</v>
      </c>
      <c r="Z1132" s="218">
        <f>INDEX('Hist. prices'!$I$8:$AB$82,MATCH($C1132,'Hist. prices'!$C$8:$C$82,0),MATCH(Z$1124,'Hist. prices'!$I$5:$AB$5,0))</f>
        <v>0</v>
      </c>
      <c r="AA1132" s="218">
        <f>INDEX('Hist. prices'!$I$8:$AB$82,MATCH($C1132,'Hist. prices'!$C$8:$C$82,0),MATCH(AA$1124,'Hist. prices'!$I$5:$AB$5,0))</f>
        <v>0</v>
      </c>
      <c r="AB1132" s="218">
        <f>INDEX('Hist. prices'!$I$8:$AB$82,MATCH($C1132,'Hist. prices'!$C$8:$C$82,0),MATCH(AB$1124,'Hist. prices'!$I$5:$AB$5,0))</f>
        <v>0</v>
      </c>
      <c r="AC1132" s="187"/>
      <c r="AD1132" s="19"/>
      <c r="AE1132" s="19"/>
      <c r="AF1132" s="19"/>
      <c r="AG1132" s="19"/>
    </row>
    <row r="1133" spans="1:33" hidden="1" outlineLevel="3" x14ac:dyDescent="0.2">
      <c r="A1133" s="19"/>
      <c r="B1133" s="97"/>
      <c r="C1133" s="506">
        <f t="shared" si="216"/>
        <v>0</v>
      </c>
      <c r="D1133" s="505">
        <f t="shared" si="215"/>
        <v>0</v>
      </c>
      <c r="E1133" s="58"/>
      <c r="F1133" s="223"/>
      <c r="G1133" s="58"/>
      <c r="H1133" s="58"/>
      <c r="I1133" s="218">
        <f>INDEX('Hist. prices'!$I$8:$AB$82,MATCH($C1133,'Hist. prices'!$C$8:$C$82,0),MATCH(I$1124,'Hist. prices'!$I$5:$AB$5,0))</f>
        <v>0</v>
      </c>
      <c r="J1133" s="218">
        <f>INDEX('Hist. prices'!$I$8:$AB$82,MATCH($C1133,'Hist. prices'!$C$8:$C$82,0),MATCH(J$1124,'Hist. prices'!$I$5:$AB$5,0))</f>
        <v>0</v>
      </c>
      <c r="K1133" s="218">
        <f>INDEX('Hist. prices'!$I$8:$AB$82,MATCH($C1133,'Hist. prices'!$C$8:$C$82,0),MATCH(K$1124,'Hist. prices'!$I$5:$AB$5,0))</f>
        <v>0</v>
      </c>
      <c r="L1133" s="218">
        <f>INDEX('Hist. prices'!$I$8:$AB$82,MATCH($C1133,'Hist. prices'!$C$8:$C$82,0),MATCH(L$1124,'Hist. prices'!$I$5:$AB$5,0))</f>
        <v>0</v>
      </c>
      <c r="M1133" s="218">
        <f>INDEX('Hist. prices'!$I$8:$AB$82,MATCH($C1133,'Hist. prices'!$C$8:$C$82,0),MATCH(M$1124,'Hist. prices'!$I$5:$AB$5,0))</f>
        <v>0</v>
      </c>
      <c r="N1133" s="218">
        <f>INDEX('Hist. prices'!$I$8:$AB$82,MATCH($C1133,'Hist. prices'!$C$8:$C$82,0),MATCH(N$1124,'Hist. prices'!$I$5:$AB$5,0))</f>
        <v>0</v>
      </c>
      <c r="O1133" s="218">
        <f>INDEX('Hist. prices'!$I$8:$AB$82,MATCH($C1133,'Hist. prices'!$C$8:$C$82,0),MATCH(O$1124,'Hist. prices'!$I$5:$AB$5,0))</f>
        <v>0</v>
      </c>
      <c r="P1133" s="218">
        <f>INDEX('Hist. prices'!$I$8:$AB$82,MATCH($C1133,'Hist. prices'!$C$8:$C$82,0),MATCH(P$1124,'Hist. prices'!$I$5:$AB$5,0))</f>
        <v>0</v>
      </c>
      <c r="Q1133" s="218">
        <f>INDEX('Hist. prices'!$I$8:$AB$82,MATCH($C1133,'Hist. prices'!$C$8:$C$82,0),MATCH(Q$1124,'Hist. prices'!$I$5:$AB$5,0))</f>
        <v>0</v>
      </c>
      <c r="R1133" s="218">
        <f>INDEX('Hist. prices'!$I$8:$AB$82,MATCH($C1133,'Hist. prices'!$C$8:$C$82,0),MATCH(R$1124,'Hist. prices'!$I$5:$AB$5,0))</f>
        <v>0</v>
      </c>
      <c r="S1133" s="218">
        <f>INDEX('Hist. prices'!$I$8:$AB$82,MATCH($C1133,'Hist. prices'!$C$8:$C$82,0),MATCH(S$1124,'Hist. prices'!$I$5:$AB$5,0))</f>
        <v>0</v>
      </c>
      <c r="T1133" s="218">
        <f>INDEX('Hist. prices'!$I$8:$AB$82,MATCH($C1133,'Hist. prices'!$C$8:$C$82,0),MATCH(T$1124,'Hist. prices'!$I$5:$AB$5,0))</f>
        <v>0</v>
      </c>
      <c r="U1133" s="218">
        <f>INDEX('Hist. prices'!$I$8:$AB$82,MATCH($C1133,'Hist. prices'!$C$8:$C$82,0),MATCH(U$1124,'Hist. prices'!$I$5:$AB$5,0))</f>
        <v>0</v>
      </c>
      <c r="V1133" s="218">
        <f>INDEX('Hist. prices'!$I$8:$AB$82,MATCH($C1133,'Hist. prices'!$C$8:$C$82,0),MATCH(V$1124,'Hist. prices'!$I$5:$AB$5,0))</f>
        <v>0</v>
      </c>
      <c r="W1133" s="218">
        <f>INDEX('Hist. prices'!$I$8:$AB$82,MATCH($C1133,'Hist. prices'!$C$8:$C$82,0),MATCH(W$1124,'Hist. prices'!$I$5:$AB$5,0))</f>
        <v>0</v>
      </c>
      <c r="X1133" s="218">
        <f>INDEX('Hist. prices'!$I$8:$AB$82,MATCH($C1133,'Hist. prices'!$C$8:$C$82,0),MATCH(X$1124,'Hist. prices'!$I$5:$AB$5,0))</f>
        <v>0</v>
      </c>
      <c r="Y1133" s="218">
        <f>INDEX('Hist. prices'!$I$8:$AB$82,MATCH($C1133,'Hist. prices'!$C$8:$C$82,0),MATCH(Y$1124,'Hist. prices'!$I$5:$AB$5,0))</f>
        <v>0</v>
      </c>
      <c r="Z1133" s="218">
        <f>INDEX('Hist. prices'!$I$8:$AB$82,MATCH($C1133,'Hist. prices'!$C$8:$C$82,0),MATCH(Z$1124,'Hist. prices'!$I$5:$AB$5,0))</f>
        <v>0</v>
      </c>
      <c r="AA1133" s="218">
        <f>INDEX('Hist. prices'!$I$8:$AB$82,MATCH($C1133,'Hist. prices'!$C$8:$C$82,0),MATCH(AA$1124,'Hist. prices'!$I$5:$AB$5,0))</f>
        <v>0</v>
      </c>
      <c r="AB1133" s="218">
        <f>INDEX('Hist. prices'!$I$8:$AB$82,MATCH($C1133,'Hist. prices'!$C$8:$C$82,0),MATCH(AB$1124,'Hist. prices'!$I$5:$AB$5,0))</f>
        <v>0</v>
      </c>
      <c r="AC1133" s="187"/>
      <c r="AD1133" s="19"/>
      <c r="AE1133" s="19"/>
      <c r="AF1133" s="19"/>
      <c r="AG1133" s="19"/>
    </row>
    <row r="1134" spans="1:33" hidden="1" outlineLevel="3" x14ac:dyDescent="0.2">
      <c r="A1134" s="19"/>
      <c r="B1134" s="97"/>
      <c r="C1134" s="506">
        <f t="shared" si="216"/>
        <v>0</v>
      </c>
      <c r="D1134" s="505">
        <f t="shared" si="215"/>
        <v>0</v>
      </c>
      <c r="E1134" s="58"/>
      <c r="F1134" s="223"/>
      <c r="G1134" s="58"/>
      <c r="H1134" s="58"/>
      <c r="I1134" s="218">
        <f>INDEX('Hist. prices'!$I$8:$AB$82,MATCH($C1134,'Hist. prices'!$C$8:$C$82,0),MATCH(I$1124,'Hist. prices'!$I$5:$AB$5,0))</f>
        <v>0</v>
      </c>
      <c r="J1134" s="218">
        <f>INDEX('Hist. prices'!$I$8:$AB$82,MATCH($C1134,'Hist. prices'!$C$8:$C$82,0),MATCH(J$1124,'Hist. prices'!$I$5:$AB$5,0))</f>
        <v>0</v>
      </c>
      <c r="K1134" s="218">
        <f>INDEX('Hist. prices'!$I$8:$AB$82,MATCH($C1134,'Hist. prices'!$C$8:$C$82,0),MATCH(K$1124,'Hist. prices'!$I$5:$AB$5,0))</f>
        <v>0</v>
      </c>
      <c r="L1134" s="218">
        <f>INDEX('Hist. prices'!$I$8:$AB$82,MATCH($C1134,'Hist. prices'!$C$8:$C$82,0),MATCH(L$1124,'Hist. prices'!$I$5:$AB$5,0))</f>
        <v>0</v>
      </c>
      <c r="M1134" s="218">
        <f>INDEX('Hist. prices'!$I$8:$AB$82,MATCH($C1134,'Hist. prices'!$C$8:$C$82,0),MATCH(M$1124,'Hist. prices'!$I$5:$AB$5,0))</f>
        <v>0</v>
      </c>
      <c r="N1134" s="218">
        <f>INDEX('Hist. prices'!$I$8:$AB$82,MATCH($C1134,'Hist. prices'!$C$8:$C$82,0),MATCH(N$1124,'Hist. prices'!$I$5:$AB$5,0))</f>
        <v>0</v>
      </c>
      <c r="O1134" s="218">
        <f>INDEX('Hist. prices'!$I$8:$AB$82,MATCH($C1134,'Hist. prices'!$C$8:$C$82,0),MATCH(O$1124,'Hist. prices'!$I$5:$AB$5,0))</f>
        <v>0</v>
      </c>
      <c r="P1134" s="218">
        <f>INDEX('Hist. prices'!$I$8:$AB$82,MATCH($C1134,'Hist. prices'!$C$8:$C$82,0),MATCH(P$1124,'Hist. prices'!$I$5:$AB$5,0))</f>
        <v>0</v>
      </c>
      <c r="Q1134" s="218">
        <f>INDEX('Hist. prices'!$I$8:$AB$82,MATCH($C1134,'Hist. prices'!$C$8:$C$82,0),MATCH(Q$1124,'Hist. prices'!$I$5:$AB$5,0))</f>
        <v>0</v>
      </c>
      <c r="R1134" s="218">
        <f>INDEX('Hist. prices'!$I$8:$AB$82,MATCH($C1134,'Hist. prices'!$C$8:$C$82,0),MATCH(R$1124,'Hist. prices'!$I$5:$AB$5,0))</f>
        <v>0</v>
      </c>
      <c r="S1134" s="218">
        <f>INDEX('Hist. prices'!$I$8:$AB$82,MATCH($C1134,'Hist. prices'!$C$8:$C$82,0),MATCH(S$1124,'Hist. prices'!$I$5:$AB$5,0))</f>
        <v>0</v>
      </c>
      <c r="T1134" s="218">
        <f>INDEX('Hist. prices'!$I$8:$AB$82,MATCH($C1134,'Hist. prices'!$C$8:$C$82,0),MATCH(T$1124,'Hist. prices'!$I$5:$AB$5,0))</f>
        <v>0</v>
      </c>
      <c r="U1134" s="218">
        <f>INDEX('Hist. prices'!$I$8:$AB$82,MATCH($C1134,'Hist. prices'!$C$8:$C$82,0),MATCH(U$1124,'Hist. prices'!$I$5:$AB$5,0))</f>
        <v>0</v>
      </c>
      <c r="V1134" s="218">
        <f>INDEX('Hist. prices'!$I$8:$AB$82,MATCH($C1134,'Hist. prices'!$C$8:$C$82,0),MATCH(V$1124,'Hist. prices'!$I$5:$AB$5,0))</f>
        <v>0</v>
      </c>
      <c r="W1134" s="218">
        <f>INDEX('Hist. prices'!$I$8:$AB$82,MATCH($C1134,'Hist. prices'!$C$8:$C$82,0),MATCH(W$1124,'Hist. prices'!$I$5:$AB$5,0))</f>
        <v>0</v>
      </c>
      <c r="X1134" s="218">
        <f>INDEX('Hist. prices'!$I$8:$AB$82,MATCH($C1134,'Hist. prices'!$C$8:$C$82,0),MATCH(X$1124,'Hist. prices'!$I$5:$AB$5,0))</f>
        <v>0</v>
      </c>
      <c r="Y1134" s="218">
        <f>INDEX('Hist. prices'!$I$8:$AB$82,MATCH($C1134,'Hist. prices'!$C$8:$C$82,0),MATCH(Y$1124,'Hist. prices'!$I$5:$AB$5,0))</f>
        <v>0</v>
      </c>
      <c r="Z1134" s="218">
        <f>INDEX('Hist. prices'!$I$8:$AB$82,MATCH($C1134,'Hist. prices'!$C$8:$C$82,0),MATCH(Z$1124,'Hist. prices'!$I$5:$AB$5,0))</f>
        <v>0</v>
      </c>
      <c r="AA1134" s="218">
        <f>INDEX('Hist. prices'!$I$8:$AB$82,MATCH($C1134,'Hist. prices'!$C$8:$C$82,0),MATCH(AA$1124,'Hist. prices'!$I$5:$AB$5,0))</f>
        <v>0</v>
      </c>
      <c r="AB1134" s="218">
        <f>INDEX('Hist. prices'!$I$8:$AB$82,MATCH($C1134,'Hist. prices'!$C$8:$C$82,0),MATCH(AB$1124,'Hist. prices'!$I$5:$AB$5,0))</f>
        <v>0</v>
      </c>
      <c r="AC1134" s="187"/>
      <c r="AD1134" s="19"/>
      <c r="AE1134" s="19"/>
      <c r="AF1134" s="19"/>
      <c r="AG1134" s="19"/>
    </row>
    <row r="1135" spans="1:33" hidden="1" outlineLevel="3" x14ac:dyDescent="0.2">
      <c r="A1135" s="19"/>
      <c r="B1135" s="98"/>
      <c r="C1135" s="506">
        <f t="shared" si="216"/>
        <v>0</v>
      </c>
      <c r="D1135" s="505">
        <f t="shared" si="215"/>
        <v>0</v>
      </c>
      <c r="E1135" s="58"/>
      <c r="F1135" s="223"/>
      <c r="G1135" s="58"/>
      <c r="H1135" s="58"/>
      <c r="I1135" s="218">
        <f>INDEX('Hist. prices'!$I$8:$AB$82,MATCH($C1135,'Hist. prices'!$C$8:$C$82,0),MATCH(I$1124,'Hist. prices'!$I$5:$AB$5,0))</f>
        <v>0</v>
      </c>
      <c r="J1135" s="218">
        <f>INDEX('Hist. prices'!$I$8:$AB$82,MATCH($C1135,'Hist. prices'!$C$8:$C$82,0),MATCH(J$1124,'Hist. prices'!$I$5:$AB$5,0))</f>
        <v>0</v>
      </c>
      <c r="K1135" s="218">
        <f>INDEX('Hist. prices'!$I$8:$AB$82,MATCH($C1135,'Hist. prices'!$C$8:$C$82,0),MATCH(K$1124,'Hist. prices'!$I$5:$AB$5,0))</f>
        <v>0</v>
      </c>
      <c r="L1135" s="218">
        <f>INDEX('Hist. prices'!$I$8:$AB$82,MATCH($C1135,'Hist. prices'!$C$8:$C$82,0),MATCH(L$1124,'Hist. prices'!$I$5:$AB$5,0))</f>
        <v>0</v>
      </c>
      <c r="M1135" s="218">
        <f>INDEX('Hist. prices'!$I$8:$AB$82,MATCH($C1135,'Hist. prices'!$C$8:$C$82,0),MATCH(M$1124,'Hist. prices'!$I$5:$AB$5,0))</f>
        <v>0</v>
      </c>
      <c r="N1135" s="218">
        <f>INDEX('Hist. prices'!$I$8:$AB$82,MATCH($C1135,'Hist. prices'!$C$8:$C$82,0),MATCH(N$1124,'Hist. prices'!$I$5:$AB$5,0))</f>
        <v>0</v>
      </c>
      <c r="O1135" s="218">
        <f>INDEX('Hist. prices'!$I$8:$AB$82,MATCH($C1135,'Hist. prices'!$C$8:$C$82,0),MATCH(O$1124,'Hist. prices'!$I$5:$AB$5,0))</f>
        <v>0</v>
      </c>
      <c r="P1135" s="218">
        <f>INDEX('Hist. prices'!$I$8:$AB$82,MATCH($C1135,'Hist. prices'!$C$8:$C$82,0),MATCH(P$1124,'Hist. prices'!$I$5:$AB$5,0))</f>
        <v>0</v>
      </c>
      <c r="Q1135" s="218">
        <f>INDEX('Hist. prices'!$I$8:$AB$82,MATCH($C1135,'Hist. prices'!$C$8:$C$82,0),MATCH(Q$1124,'Hist. prices'!$I$5:$AB$5,0))</f>
        <v>0</v>
      </c>
      <c r="R1135" s="218">
        <f>INDEX('Hist. prices'!$I$8:$AB$82,MATCH($C1135,'Hist. prices'!$C$8:$C$82,0),MATCH(R$1124,'Hist. prices'!$I$5:$AB$5,0))</f>
        <v>0</v>
      </c>
      <c r="S1135" s="218">
        <f>INDEX('Hist. prices'!$I$8:$AB$82,MATCH($C1135,'Hist. prices'!$C$8:$C$82,0),MATCH(S$1124,'Hist. prices'!$I$5:$AB$5,0))</f>
        <v>0</v>
      </c>
      <c r="T1135" s="218">
        <f>INDEX('Hist. prices'!$I$8:$AB$82,MATCH($C1135,'Hist. prices'!$C$8:$C$82,0),MATCH(T$1124,'Hist. prices'!$I$5:$AB$5,0))</f>
        <v>0</v>
      </c>
      <c r="U1135" s="218">
        <f>INDEX('Hist. prices'!$I$8:$AB$82,MATCH($C1135,'Hist. prices'!$C$8:$C$82,0),MATCH(U$1124,'Hist. prices'!$I$5:$AB$5,0))</f>
        <v>0</v>
      </c>
      <c r="V1135" s="218">
        <f>INDEX('Hist. prices'!$I$8:$AB$82,MATCH($C1135,'Hist. prices'!$C$8:$C$82,0),MATCH(V$1124,'Hist. prices'!$I$5:$AB$5,0))</f>
        <v>0</v>
      </c>
      <c r="W1135" s="218">
        <f>INDEX('Hist. prices'!$I$8:$AB$82,MATCH($C1135,'Hist. prices'!$C$8:$C$82,0),MATCH(W$1124,'Hist. prices'!$I$5:$AB$5,0))</f>
        <v>0</v>
      </c>
      <c r="X1135" s="218">
        <f>INDEX('Hist. prices'!$I$8:$AB$82,MATCH($C1135,'Hist. prices'!$C$8:$C$82,0),MATCH(X$1124,'Hist. prices'!$I$5:$AB$5,0))</f>
        <v>0</v>
      </c>
      <c r="Y1135" s="218">
        <f>INDEX('Hist. prices'!$I$8:$AB$82,MATCH($C1135,'Hist. prices'!$C$8:$C$82,0),MATCH(Y$1124,'Hist. prices'!$I$5:$AB$5,0))</f>
        <v>0</v>
      </c>
      <c r="Z1135" s="218">
        <f>INDEX('Hist. prices'!$I$8:$AB$82,MATCH($C1135,'Hist. prices'!$C$8:$C$82,0),MATCH(Z$1124,'Hist. prices'!$I$5:$AB$5,0))</f>
        <v>0</v>
      </c>
      <c r="AA1135" s="218">
        <f>INDEX('Hist. prices'!$I$8:$AB$82,MATCH($C1135,'Hist. prices'!$C$8:$C$82,0),MATCH(AA$1124,'Hist. prices'!$I$5:$AB$5,0))</f>
        <v>0</v>
      </c>
      <c r="AB1135" s="218">
        <f>INDEX('Hist. prices'!$I$8:$AB$82,MATCH($C1135,'Hist. prices'!$C$8:$C$82,0),MATCH(AB$1124,'Hist. prices'!$I$5:$AB$5,0))</f>
        <v>0</v>
      </c>
      <c r="AC1135" s="187"/>
      <c r="AD1135" s="19"/>
      <c r="AE1135" s="19"/>
      <c r="AF1135" s="19"/>
      <c r="AG1135" s="19"/>
    </row>
    <row r="1136" spans="1:33" hidden="1" outlineLevel="3" x14ac:dyDescent="0.2">
      <c r="A1136" s="19"/>
      <c r="B1136" s="97"/>
      <c r="C1136" s="506">
        <f t="shared" si="216"/>
        <v>0</v>
      </c>
      <c r="D1136" s="505">
        <f t="shared" si="215"/>
        <v>0</v>
      </c>
      <c r="E1136" s="58"/>
      <c r="F1136" s="223"/>
      <c r="G1136" s="58"/>
      <c r="H1136" s="58"/>
      <c r="I1136" s="218">
        <f>INDEX('Hist. prices'!$I$8:$AB$82,MATCH($C1136,'Hist. prices'!$C$8:$C$82,0),MATCH(I$1124,'Hist. prices'!$I$5:$AB$5,0))</f>
        <v>0</v>
      </c>
      <c r="J1136" s="218">
        <f>INDEX('Hist. prices'!$I$8:$AB$82,MATCH($C1136,'Hist. prices'!$C$8:$C$82,0),MATCH(J$1124,'Hist. prices'!$I$5:$AB$5,0))</f>
        <v>0</v>
      </c>
      <c r="K1136" s="218">
        <f>INDEX('Hist. prices'!$I$8:$AB$82,MATCH($C1136,'Hist. prices'!$C$8:$C$82,0),MATCH(K$1124,'Hist. prices'!$I$5:$AB$5,0))</f>
        <v>0</v>
      </c>
      <c r="L1136" s="218">
        <f>INDEX('Hist. prices'!$I$8:$AB$82,MATCH($C1136,'Hist. prices'!$C$8:$C$82,0),MATCH(L$1124,'Hist. prices'!$I$5:$AB$5,0))</f>
        <v>0</v>
      </c>
      <c r="M1136" s="218">
        <f>INDEX('Hist. prices'!$I$8:$AB$82,MATCH($C1136,'Hist. prices'!$C$8:$C$82,0),MATCH(M$1124,'Hist. prices'!$I$5:$AB$5,0))</f>
        <v>0</v>
      </c>
      <c r="N1136" s="218">
        <f>INDEX('Hist. prices'!$I$8:$AB$82,MATCH($C1136,'Hist. prices'!$C$8:$C$82,0),MATCH(N$1124,'Hist. prices'!$I$5:$AB$5,0))</f>
        <v>0</v>
      </c>
      <c r="O1136" s="218">
        <f>INDEX('Hist. prices'!$I$8:$AB$82,MATCH($C1136,'Hist. prices'!$C$8:$C$82,0),MATCH(O$1124,'Hist. prices'!$I$5:$AB$5,0))</f>
        <v>0</v>
      </c>
      <c r="P1136" s="218">
        <f>INDEX('Hist. prices'!$I$8:$AB$82,MATCH($C1136,'Hist. prices'!$C$8:$C$82,0),MATCH(P$1124,'Hist. prices'!$I$5:$AB$5,0))</f>
        <v>0</v>
      </c>
      <c r="Q1136" s="218">
        <f>INDEX('Hist. prices'!$I$8:$AB$82,MATCH($C1136,'Hist. prices'!$C$8:$C$82,0),MATCH(Q$1124,'Hist. prices'!$I$5:$AB$5,0))</f>
        <v>0</v>
      </c>
      <c r="R1136" s="218">
        <f>INDEX('Hist. prices'!$I$8:$AB$82,MATCH($C1136,'Hist. prices'!$C$8:$C$82,0),MATCH(R$1124,'Hist. prices'!$I$5:$AB$5,0))</f>
        <v>0</v>
      </c>
      <c r="S1136" s="218">
        <f>INDEX('Hist. prices'!$I$8:$AB$82,MATCH($C1136,'Hist. prices'!$C$8:$C$82,0),MATCH(S$1124,'Hist. prices'!$I$5:$AB$5,0))</f>
        <v>0</v>
      </c>
      <c r="T1136" s="218">
        <f>INDEX('Hist. prices'!$I$8:$AB$82,MATCH($C1136,'Hist. prices'!$C$8:$C$82,0),MATCH(T$1124,'Hist. prices'!$I$5:$AB$5,0))</f>
        <v>0</v>
      </c>
      <c r="U1136" s="218">
        <f>INDEX('Hist. prices'!$I$8:$AB$82,MATCH($C1136,'Hist. prices'!$C$8:$C$82,0),MATCH(U$1124,'Hist. prices'!$I$5:$AB$5,0))</f>
        <v>0</v>
      </c>
      <c r="V1136" s="218">
        <f>INDEX('Hist. prices'!$I$8:$AB$82,MATCH($C1136,'Hist. prices'!$C$8:$C$82,0),MATCH(V$1124,'Hist. prices'!$I$5:$AB$5,0))</f>
        <v>0</v>
      </c>
      <c r="W1136" s="218">
        <f>INDEX('Hist. prices'!$I$8:$AB$82,MATCH($C1136,'Hist. prices'!$C$8:$C$82,0),MATCH(W$1124,'Hist. prices'!$I$5:$AB$5,0))</f>
        <v>0</v>
      </c>
      <c r="X1136" s="218">
        <f>INDEX('Hist. prices'!$I$8:$AB$82,MATCH($C1136,'Hist. prices'!$C$8:$C$82,0),MATCH(X$1124,'Hist. prices'!$I$5:$AB$5,0))</f>
        <v>0</v>
      </c>
      <c r="Y1136" s="218">
        <f>INDEX('Hist. prices'!$I$8:$AB$82,MATCH($C1136,'Hist. prices'!$C$8:$C$82,0),MATCH(Y$1124,'Hist. prices'!$I$5:$AB$5,0))</f>
        <v>0</v>
      </c>
      <c r="Z1136" s="218">
        <f>INDEX('Hist. prices'!$I$8:$AB$82,MATCH($C1136,'Hist. prices'!$C$8:$C$82,0),MATCH(Z$1124,'Hist. prices'!$I$5:$AB$5,0))</f>
        <v>0</v>
      </c>
      <c r="AA1136" s="218">
        <f>INDEX('Hist. prices'!$I$8:$AB$82,MATCH($C1136,'Hist. prices'!$C$8:$C$82,0),MATCH(AA$1124,'Hist. prices'!$I$5:$AB$5,0))</f>
        <v>0</v>
      </c>
      <c r="AB1136" s="218">
        <f>INDEX('Hist. prices'!$I$8:$AB$82,MATCH($C1136,'Hist. prices'!$C$8:$C$82,0),MATCH(AB$1124,'Hist. prices'!$I$5:$AB$5,0))</f>
        <v>0</v>
      </c>
      <c r="AC1136" s="187"/>
      <c r="AD1136" s="19"/>
      <c r="AE1136" s="19"/>
      <c r="AF1136" s="19"/>
      <c r="AG1136" s="19"/>
    </row>
    <row r="1137" spans="1:33" hidden="1" outlineLevel="3" x14ac:dyDescent="0.2">
      <c r="A1137" s="19"/>
      <c r="B1137" s="97"/>
      <c r="C1137" s="506">
        <f t="shared" si="216"/>
        <v>0</v>
      </c>
      <c r="D1137" s="505">
        <f t="shared" si="215"/>
        <v>0</v>
      </c>
      <c r="E1137" s="58"/>
      <c r="F1137" s="223"/>
      <c r="G1137" s="58"/>
      <c r="H1137" s="58"/>
      <c r="I1137" s="218">
        <f>INDEX('Hist. prices'!$I$8:$AB$82,MATCH($C1137,'Hist. prices'!$C$8:$C$82,0),MATCH(I$1124,'Hist. prices'!$I$5:$AB$5,0))</f>
        <v>0</v>
      </c>
      <c r="J1137" s="218">
        <f>INDEX('Hist. prices'!$I$8:$AB$82,MATCH($C1137,'Hist. prices'!$C$8:$C$82,0),MATCH(J$1124,'Hist. prices'!$I$5:$AB$5,0))</f>
        <v>0</v>
      </c>
      <c r="K1137" s="218">
        <f>INDEX('Hist. prices'!$I$8:$AB$82,MATCH($C1137,'Hist. prices'!$C$8:$C$82,0),MATCH(K$1124,'Hist. prices'!$I$5:$AB$5,0))</f>
        <v>0</v>
      </c>
      <c r="L1137" s="218">
        <f>INDEX('Hist. prices'!$I$8:$AB$82,MATCH($C1137,'Hist. prices'!$C$8:$C$82,0),MATCH(L$1124,'Hist. prices'!$I$5:$AB$5,0))</f>
        <v>0</v>
      </c>
      <c r="M1137" s="218">
        <f>INDEX('Hist. prices'!$I$8:$AB$82,MATCH($C1137,'Hist. prices'!$C$8:$C$82,0),MATCH(M$1124,'Hist. prices'!$I$5:$AB$5,0))</f>
        <v>0</v>
      </c>
      <c r="N1137" s="218">
        <f>INDEX('Hist. prices'!$I$8:$AB$82,MATCH($C1137,'Hist. prices'!$C$8:$C$82,0),MATCH(N$1124,'Hist. prices'!$I$5:$AB$5,0))</f>
        <v>0</v>
      </c>
      <c r="O1137" s="218">
        <f>INDEX('Hist. prices'!$I$8:$AB$82,MATCH($C1137,'Hist. prices'!$C$8:$C$82,0),MATCH(O$1124,'Hist. prices'!$I$5:$AB$5,0))</f>
        <v>0</v>
      </c>
      <c r="P1137" s="218">
        <f>INDEX('Hist. prices'!$I$8:$AB$82,MATCH($C1137,'Hist. prices'!$C$8:$C$82,0),MATCH(P$1124,'Hist. prices'!$I$5:$AB$5,0))</f>
        <v>0</v>
      </c>
      <c r="Q1137" s="218">
        <f>INDEX('Hist. prices'!$I$8:$AB$82,MATCH($C1137,'Hist. prices'!$C$8:$C$82,0),MATCH(Q$1124,'Hist. prices'!$I$5:$AB$5,0))</f>
        <v>0</v>
      </c>
      <c r="R1137" s="218">
        <f>INDEX('Hist. prices'!$I$8:$AB$82,MATCH($C1137,'Hist. prices'!$C$8:$C$82,0),MATCH(R$1124,'Hist. prices'!$I$5:$AB$5,0))</f>
        <v>0</v>
      </c>
      <c r="S1137" s="218">
        <f>INDEX('Hist. prices'!$I$8:$AB$82,MATCH($C1137,'Hist. prices'!$C$8:$C$82,0),MATCH(S$1124,'Hist. prices'!$I$5:$AB$5,0))</f>
        <v>0</v>
      </c>
      <c r="T1137" s="218">
        <f>INDEX('Hist. prices'!$I$8:$AB$82,MATCH($C1137,'Hist. prices'!$C$8:$C$82,0),MATCH(T$1124,'Hist. prices'!$I$5:$AB$5,0))</f>
        <v>0</v>
      </c>
      <c r="U1137" s="218">
        <f>INDEX('Hist. prices'!$I$8:$AB$82,MATCH($C1137,'Hist. prices'!$C$8:$C$82,0),MATCH(U$1124,'Hist. prices'!$I$5:$AB$5,0))</f>
        <v>0</v>
      </c>
      <c r="V1137" s="218">
        <f>INDEX('Hist. prices'!$I$8:$AB$82,MATCH($C1137,'Hist. prices'!$C$8:$C$82,0),MATCH(V$1124,'Hist. prices'!$I$5:$AB$5,0))</f>
        <v>0</v>
      </c>
      <c r="W1137" s="218">
        <f>INDEX('Hist. prices'!$I$8:$AB$82,MATCH($C1137,'Hist. prices'!$C$8:$C$82,0),MATCH(W$1124,'Hist. prices'!$I$5:$AB$5,0))</f>
        <v>0</v>
      </c>
      <c r="X1137" s="218">
        <f>INDEX('Hist. prices'!$I$8:$AB$82,MATCH($C1137,'Hist. prices'!$C$8:$C$82,0),MATCH(X$1124,'Hist. prices'!$I$5:$AB$5,0))</f>
        <v>0</v>
      </c>
      <c r="Y1137" s="218">
        <f>INDEX('Hist. prices'!$I$8:$AB$82,MATCH($C1137,'Hist. prices'!$C$8:$C$82,0),MATCH(Y$1124,'Hist. prices'!$I$5:$AB$5,0))</f>
        <v>0</v>
      </c>
      <c r="Z1137" s="218">
        <f>INDEX('Hist. prices'!$I$8:$AB$82,MATCH($C1137,'Hist. prices'!$C$8:$C$82,0),MATCH(Z$1124,'Hist. prices'!$I$5:$AB$5,0))</f>
        <v>0</v>
      </c>
      <c r="AA1137" s="218">
        <f>INDEX('Hist. prices'!$I$8:$AB$82,MATCH($C1137,'Hist. prices'!$C$8:$C$82,0),MATCH(AA$1124,'Hist. prices'!$I$5:$AB$5,0))</f>
        <v>0</v>
      </c>
      <c r="AB1137" s="218">
        <f>INDEX('Hist. prices'!$I$8:$AB$82,MATCH($C1137,'Hist. prices'!$C$8:$C$82,0),MATCH(AB$1124,'Hist. prices'!$I$5:$AB$5,0))</f>
        <v>0</v>
      </c>
      <c r="AC1137" s="187"/>
      <c r="AD1137" s="19"/>
      <c r="AE1137" s="19"/>
      <c r="AF1137" s="19"/>
      <c r="AG1137" s="19"/>
    </row>
    <row r="1138" spans="1:33" hidden="1" outlineLevel="3" x14ac:dyDescent="0.2">
      <c r="A1138" s="19"/>
      <c r="B1138" s="97"/>
      <c r="C1138" s="506">
        <f t="shared" si="216"/>
        <v>0</v>
      </c>
      <c r="D1138" s="505">
        <f t="shared" si="215"/>
        <v>0</v>
      </c>
      <c r="E1138" s="58"/>
      <c r="F1138" s="223"/>
      <c r="G1138" s="58"/>
      <c r="H1138" s="58"/>
      <c r="I1138" s="218">
        <f>INDEX('Hist. prices'!$I$8:$AB$82,MATCH($C1138,'Hist. prices'!$C$8:$C$82,0),MATCH(I$1124,'Hist. prices'!$I$5:$AB$5,0))</f>
        <v>0</v>
      </c>
      <c r="J1138" s="218">
        <f>INDEX('Hist. prices'!$I$8:$AB$82,MATCH($C1138,'Hist. prices'!$C$8:$C$82,0),MATCH(J$1124,'Hist. prices'!$I$5:$AB$5,0))</f>
        <v>0</v>
      </c>
      <c r="K1138" s="218">
        <f>INDEX('Hist. prices'!$I$8:$AB$82,MATCH($C1138,'Hist. prices'!$C$8:$C$82,0),MATCH(K$1124,'Hist. prices'!$I$5:$AB$5,0))</f>
        <v>0</v>
      </c>
      <c r="L1138" s="218">
        <f>INDEX('Hist. prices'!$I$8:$AB$82,MATCH($C1138,'Hist. prices'!$C$8:$C$82,0),MATCH(L$1124,'Hist. prices'!$I$5:$AB$5,0))</f>
        <v>0</v>
      </c>
      <c r="M1138" s="218">
        <f>INDEX('Hist. prices'!$I$8:$AB$82,MATCH($C1138,'Hist. prices'!$C$8:$C$82,0),MATCH(M$1124,'Hist. prices'!$I$5:$AB$5,0))</f>
        <v>0</v>
      </c>
      <c r="N1138" s="218">
        <f>INDEX('Hist. prices'!$I$8:$AB$82,MATCH($C1138,'Hist. prices'!$C$8:$C$82,0),MATCH(N$1124,'Hist. prices'!$I$5:$AB$5,0))</f>
        <v>0</v>
      </c>
      <c r="O1138" s="218">
        <f>INDEX('Hist. prices'!$I$8:$AB$82,MATCH($C1138,'Hist. prices'!$C$8:$C$82,0),MATCH(O$1124,'Hist. prices'!$I$5:$AB$5,0))</f>
        <v>0</v>
      </c>
      <c r="P1138" s="218">
        <f>INDEX('Hist. prices'!$I$8:$AB$82,MATCH($C1138,'Hist. prices'!$C$8:$C$82,0),MATCH(P$1124,'Hist. prices'!$I$5:$AB$5,0))</f>
        <v>0</v>
      </c>
      <c r="Q1138" s="218">
        <f>INDEX('Hist. prices'!$I$8:$AB$82,MATCH($C1138,'Hist. prices'!$C$8:$C$82,0),MATCH(Q$1124,'Hist. prices'!$I$5:$AB$5,0))</f>
        <v>0</v>
      </c>
      <c r="R1138" s="218">
        <f>INDEX('Hist. prices'!$I$8:$AB$82,MATCH($C1138,'Hist. prices'!$C$8:$C$82,0),MATCH(R$1124,'Hist. prices'!$I$5:$AB$5,0))</f>
        <v>0</v>
      </c>
      <c r="S1138" s="218">
        <f>INDEX('Hist. prices'!$I$8:$AB$82,MATCH($C1138,'Hist. prices'!$C$8:$C$82,0),MATCH(S$1124,'Hist. prices'!$I$5:$AB$5,0))</f>
        <v>0</v>
      </c>
      <c r="T1138" s="218">
        <f>INDEX('Hist. prices'!$I$8:$AB$82,MATCH($C1138,'Hist. prices'!$C$8:$C$82,0),MATCH(T$1124,'Hist. prices'!$I$5:$AB$5,0))</f>
        <v>0</v>
      </c>
      <c r="U1138" s="218">
        <f>INDEX('Hist. prices'!$I$8:$AB$82,MATCH($C1138,'Hist. prices'!$C$8:$C$82,0),MATCH(U$1124,'Hist. prices'!$I$5:$AB$5,0))</f>
        <v>0</v>
      </c>
      <c r="V1138" s="218">
        <f>INDEX('Hist. prices'!$I$8:$AB$82,MATCH($C1138,'Hist. prices'!$C$8:$C$82,0),MATCH(V$1124,'Hist. prices'!$I$5:$AB$5,0))</f>
        <v>0</v>
      </c>
      <c r="W1138" s="218">
        <f>INDEX('Hist. prices'!$I$8:$AB$82,MATCH($C1138,'Hist. prices'!$C$8:$C$82,0),MATCH(W$1124,'Hist. prices'!$I$5:$AB$5,0))</f>
        <v>0</v>
      </c>
      <c r="X1138" s="218">
        <f>INDEX('Hist. prices'!$I$8:$AB$82,MATCH($C1138,'Hist. prices'!$C$8:$C$82,0),MATCH(X$1124,'Hist. prices'!$I$5:$AB$5,0))</f>
        <v>0</v>
      </c>
      <c r="Y1138" s="218">
        <f>INDEX('Hist. prices'!$I$8:$AB$82,MATCH($C1138,'Hist. prices'!$C$8:$C$82,0),MATCH(Y$1124,'Hist. prices'!$I$5:$AB$5,0))</f>
        <v>0</v>
      </c>
      <c r="Z1138" s="218">
        <f>INDEX('Hist. prices'!$I$8:$AB$82,MATCH($C1138,'Hist. prices'!$C$8:$C$82,0),MATCH(Z$1124,'Hist. prices'!$I$5:$AB$5,0))</f>
        <v>0</v>
      </c>
      <c r="AA1138" s="218">
        <f>INDEX('Hist. prices'!$I$8:$AB$82,MATCH($C1138,'Hist. prices'!$C$8:$C$82,0),MATCH(AA$1124,'Hist. prices'!$I$5:$AB$5,0))</f>
        <v>0</v>
      </c>
      <c r="AB1138" s="218">
        <f>INDEX('Hist. prices'!$I$8:$AB$82,MATCH($C1138,'Hist. prices'!$C$8:$C$82,0),MATCH(AB$1124,'Hist. prices'!$I$5:$AB$5,0))</f>
        <v>0</v>
      </c>
      <c r="AC1138" s="187"/>
      <c r="AD1138" s="19"/>
      <c r="AE1138" s="19"/>
      <c r="AF1138" s="19"/>
      <c r="AG1138" s="19"/>
    </row>
    <row r="1139" spans="1:33" hidden="1" outlineLevel="3" x14ac:dyDescent="0.2">
      <c r="A1139" s="19"/>
      <c r="B1139" s="97"/>
      <c r="C1139" s="506">
        <f t="shared" si="216"/>
        <v>0</v>
      </c>
      <c r="D1139" s="505">
        <f t="shared" si="215"/>
        <v>0</v>
      </c>
      <c r="E1139" s="58"/>
      <c r="F1139" s="223"/>
      <c r="G1139" s="58"/>
      <c r="H1139" s="58"/>
      <c r="I1139" s="218">
        <f>INDEX('Hist. prices'!$I$8:$AB$82,MATCH($C1139,'Hist. prices'!$C$8:$C$82,0),MATCH(I$1124,'Hist. prices'!$I$5:$AB$5,0))</f>
        <v>0</v>
      </c>
      <c r="J1139" s="218">
        <f>INDEX('Hist. prices'!$I$8:$AB$82,MATCH($C1139,'Hist. prices'!$C$8:$C$82,0),MATCH(J$1124,'Hist. prices'!$I$5:$AB$5,0))</f>
        <v>0</v>
      </c>
      <c r="K1139" s="218">
        <f>INDEX('Hist. prices'!$I$8:$AB$82,MATCH($C1139,'Hist. prices'!$C$8:$C$82,0),MATCH(K$1124,'Hist. prices'!$I$5:$AB$5,0))</f>
        <v>0</v>
      </c>
      <c r="L1139" s="218">
        <f>INDEX('Hist. prices'!$I$8:$AB$82,MATCH($C1139,'Hist. prices'!$C$8:$C$82,0),MATCH(L$1124,'Hist. prices'!$I$5:$AB$5,0))</f>
        <v>0</v>
      </c>
      <c r="M1139" s="218">
        <f>INDEX('Hist. prices'!$I$8:$AB$82,MATCH($C1139,'Hist. prices'!$C$8:$C$82,0),MATCH(M$1124,'Hist. prices'!$I$5:$AB$5,0))</f>
        <v>0</v>
      </c>
      <c r="N1139" s="218">
        <f>INDEX('Hist. prices'!$I$8:$AB$82,MATCH($C1139,'Hist. prices'!$C$8:$C$82,0),MATCH(N$1124,'Hist. prices'!$I$5:$AB$5,0))</f>
        <v>0</v>
      </c>
      <c r="O1139" s="218">
        <f>INDEX('Hist. prices'!$I$8:$AB$82,MATCH($C1139,'Hist. prices'!$C$8:$C$82,0),MATCH(O$1124,'Hist. prices'!$I$5:$AB$5,0))</f>
        <v>0</v>
      </c>
      <c r="P1139" s="218">
        <f>INDEX('Hist. prices'!$I$8:$AB$82,MATCH($C1139,'Hist. prices'!$C$8:$C$82,0),MATCH(P$1124,'Hist. prices'!$I$5:$AB$5,0))</f>
        <v>0</v>
      </c>
      <c r="Q1139" s="218">
        <f>INDEX('Hist. prices'!$I$8:$AB$82,MATCH($C1139,'Hist. prices'!$C$8:$C$82,0),MATCH(Q$1124,'Hist. prices'!$I$5:$AB$5,0))</f>
        <v>0</v>
      </c>
      <c r="R1139" s="218">
        <f>INDEX('Hist. prices'!$I$8:$AB$82,MATCH($C1139,'Hist. prices'!$C$8:$C$82,0),MATCH(R$1124,'Hist. prices'!$I$5:$AB$5,0))</f>
        <v>0</v>
      </c>
      <c r="S1139" s="218">
        <f>INDEX('Hist. prices'!$I$8:$AB$82,MATCH($C1139,'Hist. prices'!$C$8:$C$82,0),MATCH(S$1124,'Hist. prices'!$I$5:$AB$5,0))</f>
        <v>0</v>
      </c>
      <c r="T1139" s="218">
        <f>INDEX('Hist. prices'!$I$8:$AB$82,MATCH($C1139,'Hist. prices'!$C$8:$C$82,0),MATCH(T$1124,'Hist. prices'!$I$5:$AB$5,0))</f>
        <v>0</v>
      </c>
      <c r="U1139" s="218">
        <f>INDEX('Hist. prices'!$I$8:$AB$82,MATCH($C1139,'Hist. prices'!$C$8:$C$82,0),MATCH(U$1124,'Hist. prices'!$I$5:$AB$5,0))</f>
        <v>0</v>
      </c>
      <c r="V1139" s="218">
        <f>INDEX('Hist. prices'!$I$8:$AB$82,MATCH($C1139,'Hist. prices'!$C$8:$C$82,0),MATCH(V$1124,'Hist. prices'!$I$5:$AB$5,0))</f>
        <v>0</v>
      </c>
      <c r="W1139" s="218">
        <f>INDEX('Hist. prices'!$I$8:$AB$82,MATCH($C1139,'Hist. prices'!$C$8:$C$82,0),MATCH(W$1124,'Hist. prices'!$I$5:$AB$5,0))</f>
        <v>0</v>
      </c>
      <c r="X1139" s="218">
        <f>INDEX('Hist. prices'!$I$8:$AB$82,MATCH($C1139,'Hist. prices'!$C$8:$C$82,0),MATCH(X$1124,'Hist. prices'!$I$5:$AB$5,0))</f>
        <v>0</v>
      </c>
      <c r="Y1139" s="218">
        <f>INDEX('Hist. prices'!$I$8:$AB$82,MATCH($C1139,'Hist. prices'!$C$8:$C$82,0),MATCH(Y$1124,'Hist. prices'!$I$5:$AB$5,0))</f>
        <v>0</v>
      </c>
      <c r="Z1139" s="218">
        <f>INDEX('Hist. prices'!$I$8:$AB$82,MATCH($C1139,'Hist. prices'!$C$8:$C$82,0),MATCH(Z$1124,'Hist. prices'!$I$5:$AB$5,0))</f>
        <v>0</v>
      </c>
      <c r="AA1139" s="218">
        <f>INDEX('Hist. prices'!$I$8:$AB$82,MATCH($C1139,'Hist. prices'!$C$8:$C$82,0),MATCH(AA$1124,'Hist. prices'!$I$5:$AB$5,0))</f>
        <v>0</v>
      </c>
      <c r="AB1139" s="218">
        <f>INDEX('Hist. prices'!$I$8:$AB$82,MATCH($C1139,'Hist. prices'!$C$8:$C$82,0),MATCH(AB$1124,'Hist. prices'!$I$5:$AB$5,0))</f>
        <v>0</v>
      </c>
      <c r="AC1139" s="187"/>
      <c r="AD1139" s="19"/>
      <c r="AE1139" s="19"/>
      <c r="AF1139" s="19"/>
      <c r="AG1139" s="19"/>
    </row>
    <row r="1140" spans="1:33" hidden="1" outlineLevel="3" x14ac:dyDescent="0.2">
      <c r="A1140" s="19"/>
      <c r="B1140" s="97"/>
      <c r="C1140" s="506">
        <f t="shared" si="216"/>
        <v>0</v>
      </c>
      <c r="D1140" s="505">
        <f t="shared" si="215"/>
        <v>0</v>
      </c>
      <c r="E1140" s="58"/>
      <c r="F1140" s="223"/>
      <c r="G1140" s="58"/>
      <c r="H1140" s="58"/>
      <c r="I1140" s="218">
        <f>INDEX('Hist. prices'!$I$8:$AB$82,MATCH($C1140,'Hist. prices'!$C$8:$C$82,0),MATCH(I$1124,'Hist. prices'!$I$5:$AB$5,0))</f>
        <v>0</v>
      </c>
      <c r="J1140" s="218">
        <f>INDEX('Hist. prices'!$I$8:$AB$82,MATCH($C1140,'Hist. prices'!$C$8:$C$82,0),MATCH(J$1124,'Hist. prices'!$I$5:$AB$5,0))</f>
        <v>0</v>
      </c>
      <c r="K1140" s="218">
        <f>INDEX('Hist. prices'!$I$8:$AB$82,MATCH($C1140,'Hist. prices'!$C$8:$C$82,0),MATCH(K$1124,'Hist. prices'!$I$5:$AB$5,0))</f>
        <v>0</v>
      </c>
      <c r="L1140" s="218">
        <f>INDEX('Hist. prices'!$I$8:$AB$82,MATCH($C1140,'Hist. prices'!$C$8:$C$82,0),MATCH(L$1124,'Hist. prices'!$I$5:$AB$5,0))</f>
        <v>0</v>
      </c>
      <c r="M1140" s="218">
        <f>INDEX('Hist. prices'!$I$8:$AB$82,MATCH($C1140,'Hist. prices'!$C$8:$C$82,0),MATCH(M$1124,'Hist. prices'!$I$5:$AB$5,0))</f>
        <v>0</v>
      </c>
      <c r="N1140" s="218">
        <f>INDEX('Hist. prices'!$I$8:$AB$82,MATCH($C1140,'Hist. prices'!$C$8:$C$82,0),MATCH(N$1124,'Hist. prices'!$I$5:$AB$5,0))</f>
        <v>0</v>
      </c>
      <c r="O1140" s="218">
        <f>INDEX('Hist. prices'!$I$8:$AB$82,MATCH($C1140,'Hist. prices'!$C$8:$C$82,0),MATCH(O$1124,'Hist. prices'!$I$5:$AB$5,0))</f>
        <v>0</v>
      </c>
      <c r="P1140" s="218">
        <f>INDEX('Hist. prices'!$I$8:$AB$82,MATCH($C1140,'Hist. prices'!$C$8:$C$82,0),MATCH(P$1124,'Hist. prices'!$I$5:$AB$5,0))</f>
        <v>0</v>
      </c>
      <c r="Q1140" s="218">
        <f>INDEX('Hist. prices'!$I$8:$AB$82,MATCH($C1140,'Hist. prices'!$C$8:$C$82,0),MATCH(Q$1124,'Hist. prices'!$I$5:$AB$5,0))</f>
        <v>0</v>
      </c>
      <c r="R1140" s="218">
        <f>INDEX('Hist. prices'!$I$8:$AB$82,MATCH($C1140,'Hist. prices'!$C$8:$C$82,0),MATCH(R$1124,'Hist. prices'!$I$5:$AB$5,0))</f>
        <v>0</v>
      </c>
      <c r="S1140" s="218">
        <f>INDEX('Hist. prices'!$I$8:$AB$82,MATCH($C1140,'Hist. prices'!$C$8:$C$82,0),MATCH(S$1124,'Hist. prices'!$I$5:$AB$5,0))</f>
        <v>0</v>
      </c>
      <c r="T1140" s="218">
        <f>INDEX('Hist. prices'!$I$8:$AB$82,MATCH($C1140,'Hist. prices'!$C$8:$C$82,0),MATCH(T$1124,'Hist. prices'!$I$5:$AB$5,0))</f>
        <v>0</v>
      </c>
      <c r="U1140" s="218">
        <f>INDEX('Hist. prices'!$I$8:$AB$82,MATCH($C1140,'Hist. prices'!$C$8:$C$82,0),MATCH(U$1124,'Hist. prices'!$I$5:$AB$5,0))</f>
        <v>0</v>
      </c>
      <c r="V1140" s="218">
        <f>INDEX('Hist. prices'!$I$8:$AB$82,MATCH($C1140,'Hist. prices'!$C$8:$C$82,0),MATCH(V$1124,'Hist. prices'!$I$5:$AB$5,0))</f>
        <v>0</v>
      </c>
      <c r="W1140" s="218">
        <f>INDEX('Hist. prices'!$I$8:$AB$82,MATCH($C1140,'Hist. prices'!$C$8:$C$82,0),MATCH(W$1124,'Hist. prices'!$I$5:$AB$5,0))</f>
        <v>0</v>
      </c>
      <c r="X1140" s="218">
        <f>INDEX('Hist. prices'!$I$8:$AB$82,MATCH($C1140,'Hist. prices'!$C$8:$C$82,0),MATCH(X$1124,'Hist. prices'!$I$5:$AB$5,0))</f>
        <v>0</v>
      </c>
      <c r="Y1140" s="218">
        <f>INDEX('Hist. prices'!$I$8:$AB$82,MATCH($C1140,'Hist. prices'!$C$8:$C$82,0),MATCH(Y$1124,'Hist. prices'!$I$5:$AB$5,0))</f>
        <v>0</v>
      </c>
      <c r="Z1140" s="218">
        <f>INDEX('Hist. prices'!$I$8:$AB$82,MATCH($C1140,'Hist. prices'!$C$8:$C$82,0),MATCH(Z$1124,'Hist. prices'!$I$5:$AB$5,0))</f>
        <v>0</v>
      </c>
      <c r="AA1140" s="218">
        <f>INDEX('Hist. prices'!$I$8:$AB$82,MATCH($C1140,'Hist. prices'!$C$8:$C$82,0),MATCH(AA$1124,'Hist. prices'!$I$5:$AB$5,0))</f>
        <v>0</v>
      </c>
      <c r="AB1140" s="218">
        <f>INDEX('Hist. prices'!$I$8:$AB$82,MATCH($C1140,'Hist. prices'!$C$8:$C$82,0),MATCH(AB$1124,'Hist. prices'!$I$5:$AB$5,0))</f>
        <v>0</v>
      </c>
      <c r="AC1140" s="187"/>
      <c r="AD1140" s="19"/>
      <c r="AE1140" s="19"/>
      <c r="AF1140" s="19"/>
      <c r="AG1140" s="19"/>
    </row>
    <row r="1141" spans="1:33" hidden="1" outlineLevel="3" x14ac:dyDescent="0.2">
      <c r="A1141" s="19"/>
      <c r="B1141" s="97"/>
      <c r="C1141" s="506">
        <f t="shared" si="216"/>
        <v>0</v>
      </c>
      <c r="D1141" s="505">
        <f t="shared" si="215"/>
        <v>0</v>
      </c>
      <c r="E1141" s="58"/>
      <c r="F1141" s="223"/>
      <c r="G1141" s="58"/>
      <c r="H1141" s="58"/>
      <c r="I1141" s="218">
        <f>INDEX('Hist. prices'!$I$8:$AB$82,MATCH($C1141,'Hist. prices'!$C$8:$C$82,0),MATCH(I$1124,'Hist. prices'!$I$5:$AB$5,0))</f>
        <v>0</v>
      </c>
      <c r="J1141" s="218">
        <f>INDEX('Hist. prices'!$I$8:$AB$82,MATCH($C1141,'Hist. prices'!$C$8:$C$82,0),MATCH(J$1124,'Hist. prices'!$I$5:$AB$5,0))</f>
        <v>0</v>
      </c>
      <c r="K1141" s="218">
        <f>INDEX('Hist. prices'!$I$8:$AB$82,MATCH($C1141,'Hist. prices'!$C$8:$C$82,0),MATCH(K$1124,'Hist. prices'!$I$5:$AB$5,0))</f>
        <v>0</v>
      </c>
      <c r="L1141" s="218">
        <f>INDEX('Hist. prices'!$I$8:$AB$82,MATCH($C1141,'Hist. prices'!$C$8:$C$82,0),MATCH(L$1124,'Hist. prices'!$I$5:$AB$5,0))</f>
        <v>0</v>
      </c>
      <c r="M1141" s="218">
        <f>INDEX('Hist. prices'!$I$8:$AB$82,MATCH($C1141,'Hist. prices'!$C$8:$C$82,0),MATCH(M$1124,'Hist. prices'!$I$5:$AB$5,0))</f>
        <v>0</v>
      </c>
      <c r="N1141" s="218">
        <f>INDEX('Hist. prices'!$I$8:$AB$82,MATCH($C1141,'Hist. prices'!$C$8:$C$82,0),MATCH(N$1124,'Hist. prices'!$I$5:$AB$5,0))</f>
        <v>0</v>
      </c>
      <c r="O1141" s="218">
        <f>INDEX('Hist. prices'!$I$8:$AB$82,MATCH($C1141,'Hist. prices'!$C$8:$C$82,0),MATCH(O$1124,'Hist. prices'!$I$5:$AB$5,0))</f>
        <v>0</v>
      </c>
      <c r="P1141" s="218">
        <f>INDEX('Hist. prices'!$I$8:$AB$82,MATCH($C1141,'Hist. prices'!$C$8:$C$82,0),MATCH(P$1124,'Hist. prices'!$I$5:$AB$5,0))</f>
        <v>0</v>
      </c>
      <c r="Q1141" s="218">
        <f>INDEX('Hist. prices'!$I$8:$AB$82,MATCH($C1141,'Hist. prices'!$C$8:$C$82,0),MATCH(Q$1124,'Hist. prices'!$I$5:$AB$5,0))</f>
        <v>0</v>
      </c>
      <c r="R1141" s="218">
        <f>INDEX('Hist. prices'!$I$8:$AB$82,MATCH($C1141,'Hist. prices'!$C$8:$C$82,0),MATCH(R$1124,'Hist. prices'!$I$5:$AB$5,0))</f>
        <v>0</v>
      </c>
      <c r="S1141" s="218">
        <f>INDEX('Hist. prices'!$I$8:$AB$82,MATCH($C1141,'Hist. prices'!$C$8:$C$82,0),MATCH(S$1124,'Hist. prices'!$I$5:$AB$5,0))</f>
        <v>0</v>
      </c>
      <c r="T1141" s="218">
        <f>INDEX('Hist. prices'!$I$8:$AB$82,MATCH($C1141,'Hist. prices'!$C$8:$C$82,0),MATCH(T$1124,'Hist. prices'!$I$5:$AB$5,0))</f>
        <v>0</v>
      </c>
      <c r="U1141" s="218">
        <f>INDEX('Hist. prices'!$I$8:$AB$82,MATCH($C1141,'Hist. prices'!$C$8:$C$82,0),MATCH(U$1124,'Hist. prices'!$I$5:$AB$5,0))</f>
        <v>0</v>
      </c>
      <c r="V1141" s="218">
        <f>INDEX('Hist. prices'!$I$8:$AB$82,MATCH($C1141,'Hist. prices'!$C$8:$C$82,0),MATCH(V$1124,'Hist. prices'!$I$5:$AB$5,0))</f>
        <v>0</v>
      </c>
      <c r="W1141" s="218">
        <f>INDEX('Hist. prices'!$I$8:$AB$82,MATCH($C1141,'Hist. prices'!$C$8:$C$82,0),MATCH(W$1124,'Hist. prices'!$I$5:$AB$5,0))</f>
        <v>0</v>
      </c>
      <c r="X1141" s="218">
        <f>INDEX('Hist. prices'!$I$8:$AB$82,MATCH($C1141,'Hist. prices'!$C$8:$C$82,0),MATCH(X$1124,'Hist. prices'!$I$5:$AB$5,0))</f>
        <v>0</v>
      </c>
      <c r="Y1141" s="218">
        <f>INDEX('Hist. prices'!$I$8:$AB$82,MATCH($C1141,'Hist. prices'!$C$8:$C$82,0),MATCH(Y$1124,'Hist. prices'!$I$5:$AB$5,0))</f>
        <v>0</v>
      </c>
      <c r="Z1141" s="218">
        <f>INDEX('Hist. prices'!$I$8:$AB$82,MATCH($C1141,'Hist. prices'!$C$8:$C$82,0),MATCH(Z$1124,'Hist. prices'!$I$5:$AB$5,0))</f>
        <v>0</v>
      </c>
      <c r="AA1141" s="218">
        <f>INDEX('Hist. prices'!$I$8:$AB$82,MATCH($C1141,'Hist. prices'!$C$8:$C$82,0),MATCH(AA$1124,'Hist. prices'!$I$5:$AB$5,0))</f>
        <v>0</v>
      </c>
      <c r="AB1141" s="218">
        <f>INDEX('Hist. prices'!$I$8:$AB$82,MATCH($C1141,'Hist. prices'!$C$8:$C$82,0),MATCH(AB$1124,'Hist. prices'!$I$5:$AB$5,0))</f>
        <v>0</v>
      </c>
      <c r="AC1141" s="187"/>
      <c r="AD1141" s="19"/>
      <c r="AE1141" s="19"/>
      <c r="AF1141" s="19"/>
      <c r="AG1141" s="19"/>
    </row>
    <row r="1142" spans="1:33" hidden="1" outlineLevel="3" x14ac:dyDescent="0.2">
      <c r="A1142" s="19"/>
      <c r="B1142" s="98"/>
      <c r="C1142" s="506">
        <f t="shared" si="216"/>
        <v>0</v>
      </c>
      <c r="D1142" s="505">
        <f t="shared" si="215"/>
        <v>0</v>
      </c>
      <c r="E1142" s="58"/>
      <c r="F1142" s="223"/>
      <c r="G1142" s="58"/>
      <c r="H1142" s="58"/>
      <c r="I1142" s="218">
        <f>INDEX('Hist. prices'!$I$8:$AB$82,MATCH($C1142,'Hist. prices'!$C$8:$C$82,0),MATCH(I$1124,'Hist. prices'!$I$5:$AB$5,0))</f>
        <v>0</v>
      </c>
      <c r="J1142" s="218">
        <f>INDEX('Hist. prices'!$I$8:$AB$82,MATCH($C1142,'Hist. prices'!$C$8:$C$82,0),MATCH(J$1124,'Hist. prices'!$I$5:$AB$5,0))</f>
        <v>0</v>
      </c>
      <c r="K1142" s="218">
        <f>INDEX('Hist. prices'!$I$8:$AB$82,MATCH($C1142,'Hist. prices'!$C$8:$C$82,0),MATCH(K$1124,'Hist. prices'!$I$5:$AB$5,0))</f>
        <v>0</v>
      </c>
      <c r="L1142" s="218">
        <f>INDEX('Hist. prices'!$I$8:$AB$82,MATCH($C1142,'Hist. prices'!$C$8:$C$82,0),MATCH(L$1124,'Hist. prices'!$I$5:$AB$5,0))</f>
        <v>0</v>
      </c>
      <c r="M1142" s="218">
        <f>INDEX('Hist. prices'!$I$8:$AB$82,MATCH($C1142,'Hist. prices'!$C$8:$C$82,0),MATCH(M$1124,'Hist. prices'!$I$5:$AB$5,0))</f>
        <v>0</v>
      </c>
      <c r="N1142" s="218">
        <f>INDEX('Hist. prices'!$I$8:$AB$82,MATCH($C1142,'Hist. prices'!$C$8:$C$82,0),MATCH(N$1124,'Hist. prices'!$I$5:$AB$5,0))</f>
        <v>0</v>
      </c>
      <c r="O1142" s="218">
        <f>INDEX('Hist. prices'!$I$8:$AB$82,MATCH($C1142,'Hist. prices'!$C$8:$C$82,0),MATCH(O$1124,'Hist. prices'!$I$5:$AB$5,0))</f>
        <v>0</v>
      </c>
      <c r="P1142" s="218">
        <f>INDEX('Hist. prices'!$I$8:$AB$82,MATCH($C1142,'Hist. prices'!$C$8:$C$82,0),MATCH(P$1124,'Hist. prices'!$I$5:$AB$5,0))</f>
        <v>0</v>
      </c>
      <c r="Q1142" s="218">
        <f>INDEX('Hist. prices'!$I$8:$AB$82,MATCH($C1142,'Hist. prices'!$C$8:$C$82,0),MATCH(Q$1124,'Hist. prices'!$I$5:$AB$5,0))</f>
        <v>0</v>
      </c>
      <c r="R1142" s="218">
        <f>INDEX('Hist. prices'!$I$8:$AB$82,MATCH($C1142,'Hist. prices'!$C$8:$C$82,0),MATCH(R$1124,'Hist. prices'!$I$5:$AB$5,0))</f>
        <v>0</v>
      </c>
      <c r="S1142" s="218">
        <f>INDEX('Hist. prices'!$I$8:$AB$82,MATCH($C1142,'Hist. prices'!$C$8:$C$82,0),MATCH(S$1124,'Hist. prices'!$I$5:$AB$5,0))</f>
        <v>0</v>
      </c>
      <c r="T1142" s="218">
        <f>INDEX('Hist. prices'!$I$8:$AB$82,MATCH($C1142,'Hist. prices'!$C$8:$C$82,0),MATCH(T$1124,'Hist. prices'!$I$5:$AB$5,0))</f>
        <v>0</v>
      </c>
      <c r="U1142" s="218">
        <f>INDEX('Hist. prices'!$I$8:$AB$82,MATCH($C1142,'Hist. prices'!$C$8:$C$82,0),MATCH(U$1124,'Hist. prices'!$I$5:$AB$5,0))</f>
        <v>0</v>
      </c>
      <c r="V1142" s="218">
        <f>INDEX('Hist. prices'!$I$8:$AB$82,MATCH($C1142,'Hist. prices'!$C$8:$C$82,0),MATCH(V$1124,'Hist. prices'!$I$5:$AB$5,0))</f>
        <v>0</v>
      </c>
      <c r="W1142" s="218">
        <f>INDEX('Hist. prices'!$I$8:$AB$82,MATCH($C1142,'Hist. prices'!$C$8:$C$82,0),MATCH(W$1124,'Hist. prices'!$I$5:$AB$5,0))</f>
        <v>0</v>
      </c>
      <c r="X1142" s="218">
        <f>INDEX('Hist. prices'!$I$8:$AB$82,MATCH($C1142,'Hist. prices'!$C$8:$C$82,0),MATCH(X$1124,'Hist. prices'!$I$5:$AB$5,0))</f>
        <v>0</v>
      </c>
      <c r="Y1142" s="218">
        <f>INDEX('Hist. prices'!$I$8:$AB$82,MATCH($C1142,'Hist. prices'!$C$8:$C$82,0),MATCH(Y$1124,'Hist. prices'!$I$5:$AB$5,0))</f>
        <v>0</v>
      </c>
      <c r="Z1142" s="218">
        <f>INDEX('Hist. prices'!$I$8:$AB$82,MATCH($C1142,'Hist. prices'!$C$8:$C$82,0),MATCH(Z$1124,'Hist. prices'!$I$5:$AB$5,0))</f>
        <v>0</v>
      </c>
      <c r="AA1142" s="218">
        <f>INDEX('Hist. prices'!$I$8:$AB$82,MATCH($C1142,'Hist. prices'!$C$8:$C$82,0),MATCH(AA$1124,'Hist. prices'!$I$5:$AB$5,0))</f>
        <v>0</v>
      </c>
      <c r="AB1142" s="218">
        <f>INDEX('Hist. prices'!$I$8:$AB$82,MATCH($C1142,'Hist. prices'!$C$8:$C$82,0),MATCH(AB$1124,'Hist. prices'!$I$5:$AB$5,0))</f>
        <v>0</v>
      </c>
      <c r="AC1142" s="187"/>
      <c r="AD1142" s="19"/>
      <c r="AE1142" s="19"/>
      <c r="AF1142" s="19"/>
      <c r="AG1142" s="19"/>
    </row>
    <row r="1143" spans="1:33" hidden="1" outlineLevel="3" x14ac:dyDescent="0.2">
      <c r="A1143" s="19"/>
      <c r="B1143" s="97"/>
      <c r="C1143" s="506">
        <f t="shared" si="216"/>
        <v>0</v>
      </c>
      <c r="D1143" s="505">
        <f t="shared" si="215"/>
        <v>0</v>
      </c>
      <c r="E1143" s="58"/>
      <c r="F1143" s="223"/>
      <c r="G1143" s="58"/>
      <c r="H1143" s="58"/>
      <c r="I1143" s="218">
        <f>INDEX('Hist. prices'!$I$8:$AB$82,MATCH($C1143,'Hist. prices'!$C$8:$C$82,0),MATCH(I$1124,'Hist. prices'!$I$5:$AB$5,0))</f>
        <v>0</v>
      </c>
      <c r="J1143" s="218">
        <f>INDEX('Hist. prices'!$I$8:$AB$82,MATCH($C1143,'Hist. prices'!$C$8:$C$82,0),MATCH(J$1124,'Hist. prices'!$I$5:$AB$5,0))</f>
        <v>0</v>
      </c>
      <c r="K1143" s="218">
        <f>INDEX('Hist. prices'!$I$8:$AB$82,MATCH($C1143,'Hist. prices'!$C$8:$C$82,0),MATCH(K$1124,'Hist. prices'!$I$5:$AB$5,0))</f>
        <v>0</v>
      </c>
      <c r="L1143" s="218">
        <f>INDEX('Hist. prices'!$I$8:$AB$82,MATCH($C1143,'Hist. prices'!$C$8:$C$82,0),MATCH(L$1124,'Hist. prices'!$I$5:$AB$5,0))</f>
        <v>0</v>
      </c>
      <c r="M1143" s="218">
        <f>INDEX('Hist. prices'!$I$8:$AB$82,MATCH($C1143,'Hist. prices'!$C$8:$C$82,0),MATCH(M$1124,'Hist. prices'!$I$5:$AB$5,0))</f>
        <v>0</v>
      </c>
      <c r="N1143" s="218">
        <f>INDEX('Hist. prices'!$I$8:$AB$82,MATCH($C1143,'Hist. prices'!$C$8:$C$82,0),MATCH(N$1124,'Hist. prices'!$I$5:$AB$5,0))</f>
        <v>0</v>
      </c>
      <c r="O1143" s="218">
        <f>INDEX('Hist. prices'!$I$8:$AB$82,MATCH($C1143,'Hist. prices'!$C$8:$C$82,0),MATCH(O$1124,'Hist. prices'!$I$5:$AB$5,0))</f>
        <v>0</v>
      </c>
      <c r="P1143" s="218">
        <f>INDEX('Hist. prices'!$I$8:$AB$82,MATCH($C1143,'Hist. prices'!$C$8:$C$82,0),MATCH(P$1124,'Hist. prices'!$I$5:$AB$5,0))</f>
        <v>0</v>
      </c>
      <c r="Q1143" s="218">
        <f>INDEX('Hist. prices'!$I$8:$AB$82,MATCH($C1143,'Hist. prices'!$C$8:$C$82,0),MATCH(Q$1124,'Hist. prices'!$I$5:$AB$5,0))</f>
        <v>0</v>
      </c>
      <c r="R1143" s="218">
        <f>INDEX('Hist. prices'!$I$8:$AB$82,MATCH($C1143,'Hist. prices'!$C$8:$C$82,0),MATCH(R$1124,'Hist. prices'!$I$5:$AB$5,0))</f>
        <v>0</v>
      </c>
      <c r="S1143" s="218">
        <f>INDEX('Hist. prices'!$I$8:$AB$82,MATCH($C1143,'Hist. prices'!$C$8:$C$82,0),MATCH(S$1124,'Hist. prices'!$I$5:$AB$5,0))</f>
        <v>0</v>
      </c>
      <c r="T1143" s="218">
        <f>INDEX('Hist. prices'!$I$8:$AB$82,MATCH($C1143,'Hist. prices'!$C$8:$C$82,0),MATCH(T$1124,'Hist. prices'!$I$5:$AB$5,0))</f>
        <v>0</v>
      </c>
      <c r="U1143" s="218">
        <f>INDEX('Hist. prices'!$I$8:$AB$82,MATCH($C1143,'Hist. prices'!$C$8:$C$82,0),MATCH(U$1124,'Hist. prices'!$I$5:$AB$5,0))</f>
        <v>0</v>
      </c>
      <c r="V1143" s="218">
        <f>INDEX('Hist. prices'!$I$8:$AB$82,MATCH($C1143,'Hist. prices'!$C$8:$C$82,0),MATCH(V$1124,'Hist. prices'!$I$5:$AB$5,0))</f>
        <v>0</v>
      </c>
      <c r="W1143" s="218">
        <f>INDEX('Hist. prices'!$I$8:$AB$82,MATCH($C1143,'Hist. prices'!$C$8:$C$82,0),MATCH(W$1124,'Hist. prices'!$I$5:$AB$5,0))</f>
        <v>0</v>
      </c>
      <c r="X1143" s="218">
        <f>INDEX('Hist. prices'!$I$8:$AB$82,MATCH($C1143,'Hist. prices'!$C$8:$C$82,0),MATCH(X$1124,'Hist. prices'!$I$5:$AB$5,0))</f>
        <v>0</v>
      </c>
      <c r="Y1143" s="218">
        <f>INDEX('Hist. prices'!$I$8:$AB$82,MATCH($C1143,'Hist. prices'!$C$8:$C$82,0),MATCH(Y$1124,'Hist. prices'!$I$5:$AB$5,0))</f>
        <v>0</v>
      </c>
      <c r="Z1143" s="218">
        <f>INDEX('Hist. prices'!$I$8:$AB$82,MATCH($C1143,'Hist. prices'!$C$8:$C$82,0),MATCH(Z$1124,'Hist. prices'!$I$5:$AB$5,0))</f>
        <v>0</v>
      </c>
      <c r="AA1143" s="218">
        <f>INDEX('Hist. prices'!$I$8:$AB$82,MATCH($C1143,'Hist. prices'!$C$8:$C$82,0),MATCH(AA$1124,'Hist. prices'!$I$5:$AB$5,0))</f>
        <v>0</v>
      </c>
      <c r="AB1143" s="218">
        <f>INDEX('Hist. prices'!$I$8:$AB$82,MATCH($C1143,'Hist. prices'!$C$8:$C$82,0),MATCH(AB$1124,'Hist. prices'!$I$5:$AB$5,0))</f>
        <v>0</v>
      </c>
      <c r="AC1143" s="187"/>
      <c r="AD1143" s="19"/>
      <c r="AE1143" s="19"/>
      <c r="AF1143" s="19"/>
      <c r="AG1143" s="19"/>
    </row>
    <row r="1144" spans="1:33" hidden="1" outlineLevel="3" x14ac:dyDescent="0.2">
      <c r="A1144" s="19"/>
      <c r="B1144" s="97"/>
      <c r="C1144" s="506">
        <f t="shared" si="216"/>
        <v>0</v>
      </c>
      <c r="D1144" s="505">
        <f t="shared" si="215"/>
        <v>0</v>
      </c>
      <c r="E1144" s="58"/>
      <c r="F1144" s="223"/>
      <c r="G1144" s="58"/>
      <c r="H1144" s="58"/>
      <c r="I1144" s="218">
        <f>INDEX('Hist. prices'!$I$8:$AB$82,MATCH($C1144,'Hist. prices'!$C$8:$C$82,0),MATCH(I$1124,'Hist. prices'!$I$5:$AB$5,0))</f>
        <v>0</v>
      </c>
      <c r="J1144" s="218">
        <f>INDEX('Hist. prices'!$I$8:$AB$82,MATCH($C1144,'Hist. prices'!$C$8:$C$82,0),MATCH(J$1124,'Hist. prices'!$I$5:$AB$5,0))</f>
        <v>0</v>
      </c>
      <c r="K1144" s="218">
        <f>INDEX('Hist. prices'!$I$8:$AB$82,MATCH($C1144,'Hist. prices'!$C$8:$C$82,0),MATCH(K$1124,'Hist. prices'!$I$5:$AB$5,0))</f>
        <v>0</v>
      </c>
      <c r="L1144" s="218">
        <f>INDEX('Hist. prices'!$I$8:$AB$82,MATCH($C1144,'Hist. prices'!$C$8:$C$82,0),MATCH(L$1124,'Hist. prices'!$I$5:$AB$5,0))</f>
        <v>0</v>
      </c>
      <c r="M1144" s="218">
        <f>INDEX('Hist. prices'!$I$8:$AB$82,MATCH($C1144,'Hist. prices'!$C$8:$C$82,0),MATCH(M$1124,'Hist. prices'!$I$5:$AB$5,0))</f>
        <v>0</v>
      </c>
      <c r="N1144" s="218">
        <f>INDEX('Hist. prices'!$I$8:$AB$82,MATCH($C1144,'Hist. prices'!$C$8:$C$82,0),MATCH(N$1124,'Hist. prices'!$I$5:$AB$5,0))</f>
        <v>0</v>
      </c>
      <c r="O1144" s="218">
        <f>INDEX('Hist. prices'!$I$8:$AB$82,MATCH($C1144,'Hist. prices'!$C$8:$C$82,0),MATCH(O$1124,'Hist. prices'!$I$5:$AB$5,0))</f>
        <v>0</v>
      </c>
      <c r="P1144" s="218">
        <f>INDEX('Hist. prices'!$I$8:$AB$82,MATCH($C1144,'Hist. prices'!$C$8:$C$82,0),MATCH(P$1124,'Hist. prices'!$I$5:$AB$5,0))</f>
        <v>0</v>
      </c>
      <c r="Q1144" s="218">
        <f>INDEX('Hist. prices'!$I$8:$AB$82,MATCH($C1144,'Hist. prices'!$C$8:$C$82,0),MATCH(Q$1124,'Hist. prices'!$I$5:$AB$5,0))</f>
        <v>0</v>
      </c>
      <c r="R1144" s="218">
        <f>INDEX('Hist. prices'!$I$8:$AB$82,MATCH($C1144,'Hist. prices'!$C$8:$C$82,0),MATCH(R$1124,'Hist. prices'!$I$5:$AB$5,0))</f>
        <v>0</v>
      </c>
      <c r="S1144" s="218">
        <f>INDEX('Hist. prices'!$I$8:$AB$82,MATCH($C1144,'Hist. prices'!$C$8:$C$82,0),MATCH(S$1124,'Hist. prices'!$I$5:$AB$5,0))</f>
        <v>0</v>
      </c>
      <c r="T1144" s="218">
        <f>INDEX('Hist. prices'!$I$8:$AB$82,MATCH($C1144,'Hist. prices'!$C$8:$C$82,0),MATCH(T$1124,'Hist. prices'!$I$5:$AB$5,0))</f>
        <v>0</v>
      </c>
      <c r="U1144" s="218">
        <f>INDEX('Hist. prices'!$I$8:$AB$82,MATCH($C1144,'Hist. prices'!$C$8:$C$82,0),MATCH(U$1124,'Hist. prices'!$I$5:$AB$5,0))</f>
        <v>0</v>
      </c>
      <c r="V1144" s="218">
        <f>INDEX('Hist. prices'!$I$8:$AB$82,MATCH($C1144,'Hist. prices'!$C$8:$C$82,0),MATCH(V$1124,'Hist. prices'!$I$5:$AB$5,0))</f>
        <v>0</v>
      </c>
      <c r="W1144" s="218">
        <f>INDEX('Hist. prices'!$I$8:$AB$82,MATCH($C1144,'Hist. prices'!$C$8:$C$82,0),MATCH(W$1124,'Hist. prices'!$I$5:$AB$5,0))</f>
        <v>0</v>
      </c>
      <c r="X1144" s="218">
        <f>INDEX('Hist. prices'!$I$8:$AB$82,MATCH($C1144,'Hist. prices'!$C$8:$C$82,0),MATCH(X$1124,'Hist. prices'!$I$5:$AB$5,0))</f>
        <v>0</v>
      </c>
      <c r="Y1144" s="218">
        <f>INDEX('Hist. prices'!$I$8:$AB$82,MATCH($C1144,'Hist. prices'!$C$8:$C$82,0),MATCH(Y$1124,'Hist. prices'!$I$5:$AB$5,0))</f>
        <v>0</v>
      </c>
      <c r="Z1144" s="218">
        <f>INDEX('Hist. prices'!$I$8:$AB$82,MATCH($C1144,'Hist. prices'!$C$8:$C$82,0),MATCH(Z$1124,'Hist. prices'!$I$5:$AB$5,0))</f>
        <v>0</v>
      </c>
      <c r="AA1144" s="218">
        <f>INDEX('Hist. prices'!$I$8:$AB$82,MATCH($C1144,'Hist. prices'!$C$8:$C$82,0),MATCH(AA$1124,'Hist. prices'!$I$5:$AB$5,0))</f>
        <v>0</v>
      </c>
      <c r="AB1144" s="218">
        <f>INDEX('Hist. prices'!$I$8:$AB$82,MATCH($C1144,'Hist. prices'!$C$8:$C$82,0),MATCH(AB$1124,'Hist. prices'!$I$5:$AB$5,0))</f>
        <v>0</v>
      </c>
      <c r="AC1144" s="187"/>
      <c r="AD1144" s="19"/>
      <c r="AE1144" s="19"/>
      <c r="AF1144" s="19"/>
      <c r="AG1144" s="19"/>
    </row>
    <row r="1145" spans="1:33" hidden="1" outlineLevel="3" x14ac:dyDescent="0.2">
      <c r="A1145" s="19"/>
      <c r="B1145" s="97"/>
      <c r="C1145" s="506">
        <f t="shared" si="216"/>
        <v>0</v>
      </c>
      <c r="D1145" s="505">
        <f t="shared" si="215"/>
        <v>0</v>
      </c>
      <c r="E1145" s="58"/>
      <c r="F1145" s="223"/>
      <c r="G1145" s="58"/>
      <c r="H1145" s="58"/>
      <c r="I1145" s="218">
        <f>INDEX('Hist. prices'!$I$8:$AB$82,MATCH($C1145,'Hist. prices'!$C$8:$C$82,0),MATCH(I$1124,'Hist. prices'!$I$5:$AB$5,0))</f>
        <v>0</v>
      </c>
      <c r="J1145" s="218">
        <f>INDEX('Hist. prices'!$I$8:$AB$82,MATCH($C1145,'Hist. prices'!$C$8:$C$82,0),MATCH(J$1124,'Hist. prices'!$I$5:$AB$5,0))</f>
        <v>0</v>
      </c>
      <c r="K1145" s="218">
        <f>INDEX('Hist. prices'!$I$8:$AB$82,MATCH($C1145,'Hist. prices'!$C$8:$C$82,0),MATCH(K$1124,'Hist. prices'!$I$5:$AB$5,0))</f>
        <v>0</v>
      </c>
      <c r="L1145" s="218">
        <f>INDEX('Hist. prices'!$I$8:$AB$82,MATCH($C1145,'Hist. prices'!$C$8:$C$82,0),MATCH(L$1124,'Hist. prices'!$I$5:$AB$5,0))</f>
        <v>0</v>
      </c>
      <c r="M1145" s="218">
        <f>INDEX('Hist. prices'!$I$8:$AB$82,MATCH($C1145,'Hist. prices'!$C$8:$C$82,0),MATCH(M$1124,'Hist. prices'!$I$5:$AB$5,0))</f>
        <v>0</v>
      </c>
      <c r="N1145" s="218">
        <f>INDEX('Hist. prices'!$I$8:$AB$82,MATCH($C1145,'Hist. prices'!$C$8:$C$82,0),MATCH(N$1124,'Hist. prices'!$I$5:$AB$5,0))</f>
        <v>0</v>
      </c>
      <c r="O1145" s="218">
        <f>INDEX('Hist. prices'!$I$8:$AB$82,MATCH($C1145,'Hist. prices'!$C$8:$C$82,0),MATCH(O$1124,'Hist. prices'!$I$5:$AB$5,0))</f>
        <v>0</v>
      </c>
      <c r="P1145" s="218">
        <f>INDEX('Hist. prices'!$I$8:$AB$82,MATCH($C1145,'Hist. prices'!$C$8:$C$82,0),MATCH(P$1124,'Hist. prices'!$I$5:$AB$5,0))</f>
        <v>0</v>
      </c>
      <c r="Q1145" s="218">
        <f>INDEX('Hist. prices'!$I$8:$AB$82,MATCH($C1145,'Hist. prices'!$C$8:$C$82,0),MATCH(Q$1124,'Hist. prices'!$I$5:$AB$5,0))</f>
        <v>0</v>
      </c>
      <c r="R1145" s="218">
        <f>INDEX('Hist. prices'!$I$8:$AB$82,MATCH($C1145,'Hist. prices'!$C$8:$C$82,0),MATCH(R$1124,'Hist. prices'!$I$5:$AB$5,0))</f>
        <v>0</v>
      </c>
      <c r="S1145" s="218">
        <f>INDEX('Hist. prices'!$I$8:$AB$82,MATCH($C1145,'Hist. prices'!$C$8:$C$82,0),MATCH(S$1124,'Hist. prices'!$I$5:$AB$5,0))</f>
        <v>0</v>
      </c>
      <c r="T1145" s="218">
        <f>INDEX('Hist. prices'!$I$8:$AB$82,MATCH($C1145,'Hist. prices'!$C$8:$C$82,0),MATCH(T$1124,'Hist. prices'!$I$5:$AB$5,0))</f>
        <v>0</v>
      </c>
      <c r="U1145" s="218">
        <f>INDEX('Hist. prices'!$I$8:$AB$82,MATCH($C1145,'Hist. prices'!$C$8:$C$82,0),MATCH(U$1124,'Hist. prices'!$I$5:$AB$5,0))</f>
        <v>0</v>
      </c>
      <c r="V1145" s="218">
        <f>INDEX('Hist. prices'!$I$8:$AB$82,MATCH($C1145,'Hist. prices'!$C$8:$C$82,0),MATCH(V$1124,'Hist. prices'!$I$5:$AB$5,0))</f>
        <v>0</v>
      </c>
      <c r="W1145" s="218">
        <f>INDEX('Hist. prices'!$I$8:$AB$82,MATCH($C1145,'Hist. prices'!$C$8:$C$82,0),MATCH(W$1124,'Hist. prices'!$I$5:$AB$5,0))</f>
        <v>0</v>
      </c>
      <c r="X1145" s="218">
        <f>INDEX('Hist. prices'!$I$8:$AB$82,MATCH($C1145,'Hist. prices'!$C$8:$C$82,0),MATCH(X$1124,'Hist. prices'!$I$5:$AB$5,0))</f>
        <v>0</v>
      </c>
      <c r="Y1145" s="218">
        <f>INDEX('Hist. prices'!$I$8:$AB$82,MATCH($C1145,'Hist. prices'!$C$8:$C$82,0),MATCH(Y$1124,'Hist. prices'!$I$5:$AB$5,0))</f>
        <v>0</v>
      </c>
      <c r="Z1145" s="218">
        <f>INDEX('Hist. prices'!$I$8:$AB$82,MATCH($C1145,'Hist. prices'!$C$8:$C$82,0),MATCH(Z$1124,'Hist. prices'!$I$5:$AB$5,0))</f>
        <v>0</v>
      </c>
      <c r="AA1145" s="218">
        <f>INDEX('Hist. prices'!$I$8:$AB$82,MATCH($C1145,'Hist. prices'!$C$8:$C$82,0),MATCH(AA$1124,'Hist. prices'!$I$5:$AB$5,0))</f>
        <v>0</v>
      </c>
      <c r="AB1145" s="218">
        <f>INDEX('Hist. prices'!$I$8:$AB$82,MATCH($C1145,'Hist. prices'!$C$8:$C$82,0),MATCH(AB$1124,'Hist. prices'!$I$5:$AB$5,0))</f>
        <v>0</v>
      </c>
      <c r="AC1145" s="187"/>
      <c r="AD1145" s="19"/>
      <c r="AE1145" s="19"/>
      <c r="AF1145" s="19"/>
      <c r="AG1145" s="19"/>
    </row>
    <row r="1146" spans="1:33" hidden="1" outlineLevel="3" x14ac:dyDescent="0.2">
      <c r="A1146" s="19"/>
      <c r="B1146" s="97"/>
      <c r="C1146" s="506">
        <f t="shared" si="216"/>
        <v>0</v>
      </c>
      <c r="D1146" s="505">
        <f t="shared" si="215"/>
        <v>0</v>
      </c>
      <c r="E1146" s="58"/>
      <c r="F1146" s="223"/>
      <c r="G1146" s="58"/>
      <c r="H1146" s="58"/>
      <c r="I1146" s="218">
        <f>INDEX('Hist. prices'!$I$8:$AB$82,MATCH($C1146,'Hist. prices'!$C$8:$C$82,0),MATCH(I$1124,'Hist. prices'!$I$5:$AB$5,0))</f>
        <v>0</v>
      </c>
      <c r="J1146" s="218">
        <f>INDEX('Hist. prices'!$I$8:$AB$82,MATCH($C1146,'Hist. prices'!$C$8:$C$82,0),MATCH(J$1124,'Hist. prices'!$I$5:$AB$5,0))</f>
        <v>0</v>
      </c>
      <c r="K1146" s="218">
        <f>INDEX('Hist. prices'!$I$8:$AB$82,MATCH($C1146,'Hist. prices'!$C$8:$C$82,0),MATCH(K$1124,'Hist. prices'!$I$5:$AB$5,0))</f>
        <v>0</v>
      </c>
      <c r="L1146" s="218">
        <f>INDEX('Hist. prices'!$I$8:$AB$82,MATCH($C1146,'Hist. prices'!$C$8:$C$82,0),MATCH(L$1124,'Hist. prices'!$I$5:$AB$5,0))</f>
        <v>0</v>
      </c>
      <c r="M1146" s="218">
        <f>INDEX('Hist. prices'!$I$8:$AB$82,MATCH($C1146,'Hist. prices'!$C$8:$C$82,0),MATCH(M$1124,'Hist. prices'!$I$5:$AB$5,0))</f>
        <v>0</v>
      </c>
      <c r="N1146" s="218">
        <f>INDEX('Hist. prices'!$I$8:$AB$82,MATCH($C1146,'Hist. prices'!$C$8:$C$82,0),MATCH(N$1124,'Hist. prices'!$I$5:$AB$5,0))</f>
        <v>0</v>
      </c>
      <c r="O1146" s="218">
        <f>INDEX('Hist. prices'!$I$8:$AB$82,MATCH($C1146,'Hist. prices'!$C$8:$C$82,0),MATCH(O$1124,'Hist. prices'!$I$5:$AB$5,0))</f>
        <v>0</v>
      </c>
      <c r="P1146" s="218">
        <f>INDEX('Hist. prices'!$I$8:$AB$82,MATCH($C1146,'Hist. prices'!$C$8:$C$82,0),MATCH(P$1124,'Hist. prices'!$I$5:$AB$5,0))</f>
        <v>0</v>
      </c>
      <c r="Q1146" s="218">
        <f>INDEX('Hist. prices'!$I$8:$AB$82,MATCH($C1146,'Hist. prices'!$C$8:$C$82,0),MATCH(Q$1124,'Hist. prices'!$I$5:$AB$5,0))</f>
        <v>0</v>
      </c>
      <c r="R1146" s="218">
        <f>INDEX('Hist. prices'!$I$8:$AB$82,MATCH($C1146,'Hist. prices'!$C$8:$C$82,0),MATCH(R$1124,'Hist. prices'!$I$5:$AB$5,0))</f>
        <v>0</v>
      </c>
      <c r="S1146" s="218">
        <f>INDEX('Hist. prices'!$I$8:$AB$82,MATCH($C1146,'Hist. prices'!$C$8:$C$82,0),MATCH(S$1124,'Hist. prices'!$I$5:$AB$5,0))</f>
        <v>0</v>
      </c>
      <c r="T1146" s="218">
        <f>INDEX('Hist. prices'!$I$8:$AB$82,MATCH($C1146,'Hist. prices'!$C$8:$C$82,0),MATCH(T$1124,'Hist. prices'!$I$5:$AB$5,0))</f>
        <v>0</v>
      </c>
      <c r="U1146" s="218">
        <f>INDEX('Hist. prices'!$I$8:$AB$82,MATCH($C1146,'Hist. prices'!$C$8:$C$82,0),MATCH(U$1124,'Hist. prices'!$I$5:$AB$5,0))</f>
        <v>0</v>
      </c>
      <c r="V1146" s="218">
        <f>INDEX('Hist. prices'!$I$8:$AB$82,MATCH($C1146,'Hist. prices'!$C$8:$C$82,0),MATCH(V$1124,'Hist. prices'!$I$5:$AB$5,0))</f>
        <v>0</v>
      </c>
      <c r="W1146" s="218">
        <f>INDEX('Hist. prices'!$I$8:$AB$82,MATCH($C1146,'Hist. prices'!$C$8:$C$82,0),MATCH(W$1124,'Hist. prices'!$I$5:$AB$5,0))</f>
        <v>0</v>
      </c>
      <c r="X1146" s="218">
        <f>INDEX('Hist. prices'!$I$8:$AB$82,MATCH($C1146,'Hist. prices'!$C$8:$C$82,0),MATCH(X$1124,'Hist. prices'!$I$5:$AB$5,0))</f>
        <v>0</v>
      </c>
      <c r="Y1146" s="218">
        <f>INDEX('Hist. prices'!$I$8:$AB$82,MATCH($C1146,'Hist. prices'!$C$8:$C$82,0),MATCH(Y$1124,'Hist. prices'!$I$5:$AB$5,0))</f>
        <v>0</v>
      </c>
      <c r="Z1146" s="218">
        <f>INDEX('Hist. prices'!$I$8:$AB$82,MATCH($C1146,'Hist. prices'!$C$8:$C$82,0),MATCH(Z$1124,'Hist. prices'!$I$5:$AB$5,0))</f>
        <v>0</v>
      </c>
      <c r="AA1146" s="218">
        <f>INDEX('Hist. prices'!$I$8:$AB$82,MATCH($C1146,'Hist. prices'!$C$8:$C$82,0),MATCH(AA$1124,'Hist. prices'!$I$5:$AB$5,0))</f>
        <v>0</v>
      </c>
      <c r="AB1146" s="218">
        <f>INDEX('Hist. prices'!$I$8:$AB$82,MATCH($C1146,'Hist. prices'!$C$8:$C$82,0),MATCH(AB$1124,'Hist. prices'!$I$5:$AB$5,0))</f>
        <v>0</v>
      </c>
      <c r="AC1146" s="187"/>
      <c r="AD1146" s="19"/>
      <c r="AE1146" s="19"/>
      <c r="AF1146" s="19"/>
      <c r="AG1146" s="19"/>
    </row>
    <row r="1147" spans="1:33" hidden="1" outlineLevel="3" x14ac:dyDescent="0.2">
      <c r="A1147" s="19"/>
      <c r="B1147" s="97"/>
      <c r="C1147" s="506">
        <f t="shared" si="216"/>
        <v>0</v>
      </c>
      <c r="D1147" s="505">
        <f t="shared" si="215"/>
        <v>0</v>
      </c>
      <c r="E1147" s="58"/>
      <c r="F1147" s="223"/>
      <c r="G1147" s="58"/>
      <c r="H1147" s="58"/>
      <c r="I1147" s="218">
        <f>INDEX('Hist. prices'!$I$8:$AB$82,MATCH($C1147,'Hist. prices'!$C$8:$C$82,0),MATCH(I$1124,'Hist. prices'!$I$5:$AB$5,0))</f>
        <v>0</v>
      </c>
      <c r="J1147" s="218">
        <f>INDEX('Hist. prices'!$I$8:$AB$82,MATCH($C1147,'Hist. prices'!$C$8:$C$82,0),MATCH(J$1124,'Hist. prices'!$I$5:$AB$5,0))</f>
        <v>0</v>
      </c>
      <c r="K1147" s="218">
        <f>INDEX('Hist. prices'!$I$8:$AB$82,MATCH($C1147,'Hist. prices'!$C$8:$C$82,0),MATCH(K$1124,'Hist. prices'!$I$5:$AB$5,0))</f>
        <v>0</v>
      </c>
      <c r="L1147" s="218">
        <f>INDEX('Hist. prices'!$I$8:$AB$82,MATCH($C1147,'Hist. prices'!$C$8:$C$82,0),MATCH(L$1124,'Hist. prices'!$I$5:$AB$5,0))</f>
        <v>0</v>
      </c>
      <c r="M1147" s="218">
        <f>INDEX('Hist. prices'!$I$8:$AB$82,MATCH($C1147,'Hist. prices'!$C$8:$C$82,0),MATCH(M$1124,'Hist. prices'!$I$5:$AB$5,0))</f>
        <v>0</v>
      </c>
      <c r="N1147" s="218">
        <f>INDEX('Hist. prices'!$I$8:$AB$82,MATCH($C1147,'Hist. prices'!$C$8:$C$82,0),MATCH(N$1124,'Hist. prices'!$I$5:$AB$5,0))</f>
        <v>0</v>
      </c>
      <c r="O1147" s="218">
        <f>INDEX('Hist. prices'!$I$8:$AB$82,MATCH($C1147,'Hist. prices'!$C$8:$C$82,0),MATCH(O$1124,'Hist. prices'!$I$5:$AB$5,0))</f>
        <v>0</v>
      </c>
      <c r="P1147" s="218">
        <f>INDEX('Hist. prices'!$I$8:$AB$82,MATCH($C1147,'Hist. prices'!$C$8:$C$82,0),MATCH(P$1124,'Hist. prices'!$I$5:$AB$5,0))</f>
        <v>0</v>
      </c>
      <c r="Q1147" s="218">
        <f>INDEX('Hist. prices'!$I$8:$AB$82,MATCH($C1147,'Hist. prices'!$C$8:$C$82,0),MATCH(Q$1124,'Hist. prices'!$I$5:$AB$5,0))</f>
        <v>0</v>
      </c>
      <c r="R1147" s="218">
        <f>INDEX('Hist. prices'!$I$8:$AB$82,MATCH($C1147,'Hist. prices'!$C$8:$C$82,0),MATCH(R$1124,'Hist. prices'!$I$5:$AB$5,0))</f>
        <v>0</v>
      </c>
      <c r="S1147" s="218">
        <f>INDEX('Hist. prices'!$I$8:$AB$82,MATCH($C1147,'Hist. prices'!$C$8:$C$82,0),MATCH(S$1124,'Hist. prices'!$I$5:$AB$5,0))</f>
        <v>0</v>
      </c>
      <c r="T1147" s="218">
        <f>INDEX('Hist. prices'!$I$8:$AB$82,MATCH($C1147,'Hist. prices'!$C$8:$C$82,0),MATCH(T$1124,'Hist. prices'!$I$5:$AB$5,0))</f>
        <v>0</v>
      </c>
      <c r="U1147" s="218">
        <f>INDEX('Hist. prices'!$I$8:$AB$82,MATCH($C1147,'Hist. prices'!$C$8:$C$82,0),MATCH(U$1124,'Hist. prices'!$I$5:$AB$5,0))</f>
        <v>0</v>
      </c>
      <c r="V1147" s="218">
        <f>INDEX('Hist. prices'!$I$8:$AB$82,MATCH($C1147,'Hist. prices'!$C$8:$C$82,0),MATCH(V$1124,'Hist. prices'!$I$5:$AB$5,0))</f>
        <v>0</v>
      </c>
      <c r="W1147" s="218">
        <f>INDEX('Hist. prices'!$I$8:$AB$82,MATCH($C1147,'Hist. prices'!$C$8:$C$82,0),MATCH(W$1124,'Hist. prices'!$I$5:$AB$5,0))</f>
        <v>0</v>
      </c>
      <c r="X1147" s="218">
        <f>INDEX('Hist. prices'!$I$8:$AB$82,MATCH($C1147,'Hist. prices'!$C$8:$C$82,0),MATCH(X$1124,'Hist. prices'!$I$5:$AB$5,0))</f>
        <v>0</v>
      </c>
      <c r="Y1147" s="218">
        <f>INDEX('Hist. prices'!$I$8:$AB$82,MATCH($C1147,'Hist. prices'!$C$8:$C$82,0),MATCH(Y$1124,'Hist. prices'!$I$5:$AB$5,0))</f>
        <v>0</v>
      </c>
      <c r="Z1147" s="218">
        <f>INDEX('Hist. prices'!$I$8:$AB$82,MATCH($C1147,'Hist. prices'!$C$8:$C$82,0),MATCH(Z$1124,'Hist. prices'!$I$5:$AB$5,0))</f>
        <v>0</v>
      </c>
      <c r="AA1147" s="218">
        <f>INDEX('Hist. prices'!$I$8:$AB$82,MATCH($C1147,'Hist. prices'!$C$8:$C$82,0),MATCH(AA$1124,'Hist. prices'!$I$5:$AB$5,0))</f>
        <v>0</v>
      </c>
      <c r="AB1147" s="218">
        <f>INDEX('Hist. prices'!$I$8:$AB$82,MATCH($C1147,'Hist. prices'!$C$8:$C$82,0),MATCH(AB$1124,'Hist. prices'!$I$5:$AB$5,0))</f>
        <v>0</v>
      </c>
      <c r="AC1147" s="187"/>
      <c r="AD1147" s="19"/>
      <c r="AE1147" s="19"/>
      <c r="AF1147" s="19"/>
      <c r="AG1147" s="19"/>
    </row>
    <row r="1148" spans="1:33" hidden="1" outlineLevel="3" x14ac:dyDescent="0.2">
      <c r="A1148" s="19"/>
      <c r="B1148" s="97"/>
      <c r="C1148" s="506">
        <f t="shared" si="216"/>
        <v>0</v>
      </c>
      <c r="D1148" s="505">
        <f t="shared" si="215"/>
        <v>0</v>
      </c>
      <c r="E1148" s="58"/>
      <c r="F1148" s="223"/>
      <c r="G1148" s="58"/>
      <c r="H1148" s="58"/>
      <c r="I1148" s="218">
        <f>INDEX('Hist. prices'!$I$8:$AB$82,MATCH($C1148,'Hist. prices'!$C$8:$C$82,0),MATCH(I$1124,'Hist. prices'!$I$5:$AB$5,0))</f>
        <v>0</v>
      </c>
      <c r="J1148" s="218">
        <f>INDEX('Hist. prices'!$I$8:$AB$82,MATCH($C1148,'Hist. prices'!$C$8:$C$82,0),MATCH(J$1124,'Hist. prices'!$I$5:$AB$5,0))</f>
        <v>0</v>
      </c>
      <c r="K1148" s="218">
        <f>INDEX('Hist. prices'!$I$8:$AB$82,MATCH($C1148,'Hist. prices'!$C$8:$C$82,0),MATCH(K$1124,'Hist. prices'!$I$5:$AB$5,0))</f>
        <v>0</v>
      </c>
      <c r="L1148" s="218">
        <f>INDEX('Hist. prices'!$I$8:$AB$82,MATCH($C1148,'Hist. prices'!$C$8:$C$82,0),MATCH(L$1124,'Hist. prices'!$I$5:$AB$5,0))</f>
        <v>0</v>
      </c>
      <c r="M1148" s="218">
        <f>INDEX('Hist. prices'!$I$8:$AB$82,MATCH($C1148,'Hist. prices'!$C$8:$C$82,0),MATCH(M$1124,'Hist. prices'!$I$5:$AB$5,0))</f>
        <v>0</v>
      </c>
      <c r="N1148" s="218">
        <f>INDEX('Hist. prices'!$I$8:$AB$82,MATCH($C1148,'Hist. prices'!$C$8:$C$82,0),MATCH(N$1124,'Hist. prices'!$I$5:$AB$5,0))</f>
        <v>0</v>
      </c>
      <c r="O1148" s="218">
        <f>INDEX('Hist. prices'!$I$8:$AB$82,MATCH($C1148,'Hist. prices'!$C$8:$C$82,0),MATCH(O$1124,'Hist. prices'!$I$5:$AB$5,0))</f>
        <v>0</v>
      </c>
      <c r="P1148" s="218">
        <f>INDEX('Hist. prices'!$I$8:$AB$82,MATCH($C1148,'Hist. prices'!$C$8:$C$82,0),MATCH(P$1124,'Hist. prices'!$I$5:$AB$5,0))</f>
        <v>0</v>
      </c>
      <c r="Q1148" s="218">
        <f>INDEX('Hist. prices'!$I$8:$AB$82,MATCH($C1148,'Hist. prices'!$C$8:$C$82,0),MATCH(Q$1124,'Hist. prices'!$I$5:$AB$5,0))</f>
        <v>0</v>
      </c>
      <c r="R1148" s="218">
        <f>INDEX('Hist. prices'!$I$8:$AB$82,MATCH($C1148,'Hist. prices'!$C$8:$C$82,0),MATCH(R$1124,'Hist. prices'!$I$5:$AB$5,0))</f>
        <v>0</v>
      </c>
      <c r="S1148" s="218">
        <f>INDEX('Hist. prices'!$I$8:$AB$82,MATCH($C1148,'Hist. prices'!$C$8:$C$82,0),MATCH(S$1124,'Hist. prices'!$I$5:$AB$5,0))</f>
        <v>0</v>
      </c>
      <c r="T1148" s="218">
        <f>INDEX('Hist. prices'!$I$8:$AB$82,MATCH($C1148,'Hist. prices'!$C$8:$C$82,0),MATCH(T$1124,'Hist. prices'!$I$5:$AB$5,0))</f>
        <v>0</v>
      </c>
      <c r="U1148" s="218">
        <f>INDEX('Hist. prices'!$I$8:$AB$82,MATCH($C1148,'Hist. prices'!$C$8:$C$82,0),MATCH(U$1124,'Hist. prices'!$I$5:$AB$5,0))</f>
        <v>0</v>
      </c>
      <c r="V1148" s="218">
        <f>INDEX('Hist. prices'!$I$8:$AB$82,MATCH($C1148,'Hist. prices'!$C$8:$C$82,0),MATCH(V$1124,'Hist. prices'!$I$5:$AB$5,0))</f>
        <v>0</v>
      </c>
      <c r="W1148" s="218">
        <f>INDEX('Hist. prices'!$I$8:$AB$82,MATCH($C1148,'Hist. prices'!$C$8:$C$82,0),MATCH(W$1124,'Hist. prices'!$I$5:$AB$5,0))</f>
        <v>0</v>
      </c>
      <c r="X1148" s="218">
        <f>INDEX('Hist. prices'!$I$8:$AB$82,MATCH($C1148,'Hist. prices'!$C$8:$C$82,0),MATCH(X$1124,'Hist. prices'!$I$5:$AB$5,0))</f>
        <v>0</v>
      </c>
      <c r="Y1148" s="218">
        <f>INDEX('Hist. prices'!$I$8:$AB$82,MATCH($C1148,'Hist. prices'!$C$8:$C$82,0),MATCH(Y$1124,'Hist. prices'!$I$5:$AB$5,0))</f>
        <v>0</v>
      </c>
      <c r="Z1148" s="218">
        <f>INDEX('Hist. prices'!$I$8:$AB$82,MATCH($C1148,'Hist. prices'!$C$8:$C$82,0),MATCH(Z$1124,'Hist. prices'!$I$5:$AB$5,0))</f>
        <v>0</v>
      </c>
      <c r="AA1148" s="218">
        <f>INDEX('Hist. prices'!$I$8:$AB$82,MATCH($C1148,'Hist. prices'!$C$8:$C$82,0),MATCH(AA$1124,'Hist. prices'!$I$5:$AB$5,0))</f>
        <v>0</v>
      </c>
      <c r="AB1148" s="218">
        <f>INDEX('Hist. prices'!$I$8:$AB$82,MATCH($C1148,'Hist. prices'!$C$8:$C$82,0),MATCH(AB$1124,'Hist. prices'!$I$5:$AB$5,0))</f>
        <v>0</v>
      </c>
      <c r="AC1148" s="187"/>
      <c r="AD1148" s="19"/>
      <c r="AE1148" s="19"/>
      <c r="AF1148" s="19"/>
      <c r="AG1148" s="19"/>
    </row>
    <row r="1149" spans="1:33" hidden="1" outlineLevel="3" x14ac:dyDescent="0.2">
      <c r="A1149" s="19"/>
      <c r="B1149" s="98"/>
      <c r="C1149" s="506">
        <f t="shared" si="216"/>
        <v>0</v>
      </c>
      <c r="D1149" s="505">
        <f t="shared" si="215"/>
        <v>0</v>
      </c>
      <c r="E1149" s="58"/>
      <c r="F1149" s="223"/>
      <c r="G1149" s="58"/>
      <c r="H1149" s="58"/>
      <c r="I1149" s="218">
        <f>INDEX('Hist. prices'!$I$8:$AB$82,MATCH($C1149,'Hist. prices'!$C$8:$C$82,0),MATCH(I$1124,'Hist. prices'!$I$5:$AB$5,0))</f>
        <v>0</v>
      </c>
      <c r="J1149" s="218">
        <f>INDEX('Hist. prices'!$I$8:$AB$82,MATCH($C1149,'Hist. prices'!$C$8:$C$82,0),MATCH(J$1124,'Hist. prices'!$I$5:$AB$5,0))</f>
        <v>0</v>
      </c>
      <c r="K1149" s="218">
        <f>INDEX('Hist. prices'!$I$8:$AB$82,MATCH($C1149,'Hist. prices'!$C$8:$C$82,0),MATCH(K$1124,'Hist. prices'!$I$5:$AB$5,0))</f>
        <v>0</v>
      </c>
      <c r="L1149" s="218">
        <f>INDEX('Hist. prices'!$I$8:$AB$82,MATCH($C1149,'Hist. prices'!$C$8:$C$82,0),MATCH(L$1124,'Hist. prices'!$I$5:$AB$5,0))</f>
        <v>0</v>
      </c>
      <c r="M1149" s="218">
        <f>INDEX('Hist. prices'!$I$8:$AB$82,MATCH($C1149,'Hist. prices'!$C$8:$C$82,0),MATCH(M$1124,'Hist. prices'!$I$5:$AB$5,0))</f>
        <v>0</v>
      </c>
      <c r="N1149" s="218">
        <f>INDEX('Hist. prices'!$I$8:$AB$82,MATCH($C1149,'Hist. prices'!$C$8:$C$82,0),MATCH(N$1124,'Hist. prices'!$I$5:$AB$5,0))</f>
        <v>0</v>
      </c>
      <c r="O1149" s="218">
        <f>INDEX('Hist. prices'!$I$8:$AB$82,MATCH($C1149,'Hist. prices'!$C$8:$C$82,0),MATCH(O$1124,'Hist. prices'!$I$5:$AB$5,0))</f>
        <v>0</v>
      </c>
      <c r="P1149" s="218">
        <f>INDEX('Hist. prices'!$I$8:$AB$82,MATCH($C1149,'Hist. prices'!$C$8:$C$82,0),MATCH(P$1124,'Hist. prices'!$I$5:$AB$5,0))</f>
        <v>0</v>
      </c>
      <c r="Q1149" s="218">
        <f>INDEX('Hist. prices'!$I$8:$AB$82,MATCH($C1149,'Hist. prices'!$C$8:$C$82,0),MATCH(Q$1124,'Hist. prices'!$I$5:$AB$5,0))</f>
        <v>0</v>
      </c>
      <c r="R1149" s="218">
        <f>INDEX('Hist. prices'!$I$8:$AB$82,MATCH($C1149,'Hist. prices'!$C$8:$C$82,0),MATCH(R$1124,'Hist. prices'!$I$5:$AB$5,0))</f>
        <v>0</v>
      </c>
      <c r="S1149" s="218">
        <f>INDEX('Hist. prices'!$I$8:$AB$82,MATCH($C1149,'Hist. prices'!$C$8:$C$82,0),MATCH(S$1124,'Hist. prices'!$I$5:$AB$5,0))</f>
        <v>0</v>
      </c>
      <c r="T1149" s="218">
        <f>INDEX('Hist. prices'!$I$8:$AB$82,MATCH($C1149,'Hist. prices'!$C$8:$C$82,0),MATCH(T$1124,'Hist. prices'!$I$5:$AB$5,0))</f>
        <v>0</v>
      </c>
      <c r="U1149" s="218">
        <f>INDEX('Hist. prices'!$I$8:$AB$82,MATCH($C1149,'Hist. prices'!$C$8:$C$82,0),MATCH(U$1124,'Hist. prices'!$I$5:$AB$5,0))</f>
        <v>0</v>
      </c>
      <c r="V1149" s="218">
        <f>INDEX('Hist. prices'!$I$8:$AB$82,MATCH($C1149,'Hist. prices'!$C$8:$C$82,0),MATCH(V$1124,'Hist. prices'!$I$5:$AB$5,0))</f>
        <v>0</v>
      </c>
      <c r="W1149" s="218">
        <f>INDEX('Hist. prices'!$I$8:$AB$82,MATCH($C1149,'Hist. prices'!$C$8:$C$82,0),MATCH(W$1124,'Hist. prices'!$I$5:$AB$5,0))</f>
        <v>0</v>
      </c>
      <c r="X1149" s="218">
        <f>INDEX('Hist. prices'!$I$8:$AB$82,MATCH($C1149,'Hist. prices'!$C$8:$C$82,0),MATCH(X$1124,'Hist. prices'!$I$5:$AB$5,0))</f>
        <v>0</v>
      </c>
      <c r="Y1149" s="218">
        <f>INDEX('Hist. prices'!$I$8:$AB$82,MATCH($C1149,'Hist. prices'!$C$8:$C$82,0),MATCH(Y$1124,'Hist. prices'!$I$5:$AB$5,0))</f>
        <v>0</v>
      </c>
      <c r="Z1149" s="218">
        <f>INDEX('Hist. prices'!$I$8:$AB$82,MATCH($C1149,'Hist. prices'!$C$8:$C$82,0),MATCH(Z$1124,'Hist. prices'!$I$5:$AB$5,0))</f>
        <v>0</v>
      </c>
      <c r="AA1149" s="218">
        <f>INDEX('Hist. prices'!$I$8:$AB$82,MATCH($C1149,'Hist. prices'!$C$8:$C$82,0),MATCH(AA$1124,'Hist. prices'!$I$5:$AB$5,0))</f>
        <v>0</v>
      </c>
      <c r="AB1149" s="218">
        <f>INDEX('Hist. prices'!$I$8:$AB$82,MATCH($C1149,'Hist. prices'!$C$8:$C$82,0),MATCH(AB$1124,'Hist. prices'!$I$5:$AB$5,0))</f>
        <v>0</v>
      </c>
      <c r="AC1149" s="187"/>
      <c r="AD1149" s="19"/>
      <c r="AE1149" s="19"/>
      <c r="AF1149" s="19"/>
      <c r="AG1149" s="19"/>
    </row>
    <row r="1150" spans="1:33" hidden="1" outlineLevel="3" x14ac:dyDescent="0.2">
      <c r="A1150" s="19"/>
      <c r="B1150" s="97"/>
      <c r="C1150" s="506">
        <f t="shared" si="216"/>
        <v>0</v>
      </c>
      <c r="D1150" s="505">
        <f t="shared" si="215"/>
        <v>0</v>
      </c>
      <c r="E1150" s="58"/>
      <c r="F1150" s="223"/>
      <c r="G1150" s="58"/>
      <c r="H1150" s="58"/>
      <c r="I1150" s="218">
        <f>INDEX('Hist. prices'!$I$8:$AB$82,MATCH($C1150,'Hist. prices'!$C$8:$C$82,0),MATCH(I$1124,'Hist. prices'!$I$5:$AB$5,0))</f>
        <v>0</v>
      </c>
      <c r="J1150" s="218">
        <f>INDEX('Hist. prices'!$I$8:$AB$82,MATCH($C1150,'Hist. prices'!$C$8:$C$82,0),MATCH(J$1124,'Hist. prices'!$I$5:$AB$5,0))</f>
        <v>0</v>
      </c>
      <c r="K1150" s="218">
        <f>INDEX('Hist. prices'!$I$8:$AB$82,MATCH($C1150,'Hist. prices'!$C$8:$C$82,0),MATCH(K$1124,'Hist. prices'!$I$5:$AB$5,0))</f>
        <v>0</v>
      </c>
      <c r="L1150" s="218">
        <f>INDEX('Hist. prices'!$I$8:$AB$82,MATCH($C1150,'Hist. prices'!$C$8:$C$82,0),MATCH(L$1124,'Hist. prices'!$I$5:$AB$5,0))</f>
        <v>0</v>
      </c>
      <c r="M1150" s="218">
        <f>INDEX('Hist. prices'!$I$8:$AB$82,MATCH($C1150,'Hist. prices'!$C$8:$C$82,0),MATCH(M$1124,'Hist. prices'!$I$5:$AB$5,0))</f>
        <v>0</v>
      </c>
      <c r="N1150" s="218">
        <f>INDEX('Hist. prices'!$I$8:$AB$82,MATCH($C1150,'Hist. prices'!$C$8:$C$82,0),MATCH(N$1124,'Hist. prices'!$I$5:$AB$5,0))</f>
        <v>0</v>
      </c>
      <c r="O1150" s="218">
        <f>INDEX('Hist. prices'!$I$8:$AB$82,MATCH($C1150,'Hist. prices'!$C$8:$C$82,0),MATCH(O$1124,'Hist. prices'!$I$5:$AB$5,0))</f>
        <v>0</v>
      </c>
      <c r="P1150" s="218">
        <f>INDEX('Hist. prices'!$I$8:$AB$82,MATCH($C1150,'Hist. prices'!$C$8:$C$82,0),MATCH(P$1124,'Hist. prices'!$I$5:$AB$5,0))</f>
        <v>0</v>
      </c>
      <c r="Q1150" s="218">
        <f>INDEX('Hist. prices'!$I$8:$AB$82,MATCH($C1150,'Hist. prices'!$C$8:$C$82,0),MATCH(Q$1124,'Hist. prices'!$I$5:$AB$5,0))</f>
        <v>0</v>
      </c>
      <c r="R1150" s="218">
        <f>INDEX('Hist. prices'!$I$8:$AB$82,MATCH($C1150,'Hist. prices'!$C$8:$C$82,0),MATCH(R$1124,'Hist. prices'!$I$5:$AB$5,0))</f>
        <v>0</v>
      </c>
      <c r="S1150" s="218">
        <f>INDEX('Hist. prices'!$I$8:$AB$82,MATCH($C1150,'Hist. prices'!$C$8:$C$82,0),MATCH(S$1124,'Hist. prices'!$I$5:$AB$5,0))</f>
        <v>0</v>
      </c>
      <c r="T1150" s="218">
        <f>INDEX('Hist. prices'!$I$8:$AB$82,MATCH($C1150,'Hist. prices'!$C$8:$C$82,0),MATCH(T$1124,'Hist. prices'!$I$5:$AB$5,0))</f>
        <v>0</v>
      </c>
      <c r="U1150" s="218">
        <f>INDEX('Hist. prices'!$I$8:$AB$82,MATCH($C1150,'Hist. prices'!$C$8:$C$82,0),MATCH(U$1124,'Hist. prices'!$I$5:$AB$5,0))</f>
        <v>0</v>
      </c>
      <c r="V1150" s="218">
        <f>INDEX('Hist. prices'!$I$8:$AB$82,MATCH($C1150,'Hist. prices'!$C$8:$C$82,0),MATCH(V$1124,'Hist. prices'!$I$5:$AB$5,0))</f>
        <v>0</v>
      </c>
      <c r="W1150" s="218">
        <f>INDEX('Hist. prices'!$I$8:$AB$82,MATCH($C1150,'Hist. prices'!$C$8:$C$82,0),MATCH(W$1124,'Hist. prices'!$I$5:$AB$5,0))</f>
        <v>0</v>
      </c>
      <c r="X1150" s="218">
        <f>INDEX('Hist. prices'!$I$8:$AB$82,MATCH($C1150,'Hist. prices'!$C$8:$C$82,0),MATCH(X$1124,'Hist. prices'!$I$5:$AB$5,0))</f>
        <v>0</v>
      </c>
      <c r="Y1150" s="218">
        <f>INDEX('Hist. prices'!$I$8:$AB$82,MATCH($C1150,'Hist. prices'!$C$8:$C$82,0),MATCH(Y$1124,'Hist. prices'!$I$5:$AB$5,0))</f>
        <v>0</v>
      </c>
      <c r="Z1150" s="218">
        <f>INDEX('Hist. prices'!$I$8:$AB$82,MATCH($C1150,'Hist. prices'!$C$8:$C$82,0),MATCH(Z$1124,'Hist. prices'!$I$5:$AB$5,0))</f>
        <v>0</v>
      </c>
      <c r="AA1150" s="218">
        <f>INDEX('Hist. prices'!$I$8:$AB$82,MATCH($C1150,'Hist. prices'!$C$8:$C$82,0),MATCH(AA$1124,'Hist. prices'!$I$5:$AB$5,0))</f>
        <v>0</v>
      </c>
      <c r="AB1150" s="218">
        <f>INDEX('Hist. prices'!$I$8:$AB$82,MATCH($C1150,'Hist. prices'!$C$8:$C$82,0),MATCH(AB$1124,'Hist. prices'!$I$5:$AB$5,0))</f>
        <v>0</v>
      </c>
      <c r="AC1150" s="187"/>
      <c r="AD1150" s="19"/>
      <c r="AE1150" s="19"/>
      <c r="AF1150" s="19"/>
      <c r="AG1150" s="19"/>
    </row>
    <row r="1151" spans="1:33" hidden="1" outlineLevel="3" x14ac:dyDescent="0.2">
      <c r="A1151" s="19"/>
      <c r="B1151" s="97"/>
      <c r="C1151" s="506">
        <f t="shared" si="216"/>
        <v>0</v>
      </c>
      <c r="D1151" s="505">
        <f t="shared" si="215"/>
        <v>0</v>
      </c>
      <c r="E1151" s="58"/>
      <c r="F1151" s="223"/>
      <c r="G1151" s="58"/>
      <c r="H1151" s="58"/>
      <c r="I1151" s="218">
        <f>INDEX('Hist. prices'!$I$8:$AB$82,MATCH($C1151,'Hist. prices'!$C$8:$C$82,0),MATCH(I$1124,'Hist. prices'!$I$5:$AB$5,0))</f>
        <v>0</v>
      </c>
      <c r="J1151" s="218">
        <f>INDEX('Hist. prices'!$I$8:$AB$82,MATCH($C1151,'Hist. prices'!$C$8:$C$82,0),MATCH(J$1124,'Hist. prices'!$I$5:$AB$5,0))</f>
        <v>0</v>
      </c>
      <c r="K1151" s="218">
        <f>INDEX('Hist. prices'!$I$8:$AB$82,MATCH($C1151,'Hist. prices'!$C$8:$C$82,0),MATCH(K$1124,'Hist. prices'!$I$5:$AB$5,0))</f>
        <v>0</v>
      </c>
      <c r="L1151" s="218">
        <f>INDEX('Hist. prices'!$I$8:$AB$82,MATCH($C1151,'Hist. prices'!$C$8:$C$82,0),MATCH(L$1124,'Hist. prices'!$I$5:$AB$5,0))</f>
        <v>0</v>
      </c>
      <c r="M1151" s="218">
        <f>INDEX('Hist. prices'!$I$8:$AB$82,MATCH($C1151,'Hist. prices'!$C$8:$C$82,0),MATCH(M$1124,'Hist. prices'!$I$5:$AB$5,0))</f>
        <v>0</v>
      </c>
      <c r="N1151" s="218">
        <f>INDEX('Hist. prices'!$I$8:$AB$82,MATCH($C1151,'Hist. prices'!$C$8:$C$82,0),MATCH(N$1124,'Hist. prices'!$I$5:$AB$5,0))</f>
        <v>0</v>
      </c>
      <c r="O1151" s="218">
        <f>INDEX('Hist. prices'!$I$8:$AB$82,MATCH($C1151,'Hist. prices'!$C$8:$C$82,0),MATCH(O$1124,'Hist. prices'!$I$5:$AB$5,0))</f>
        <v>0</v>
      </c>
      <c r="P1151" s="218">
        <f>INDEX('Hist. prices'!$I$8:$AB$82,MATCH($C1151,'Hist. prices'!$C$8:$C$82,0),MATCH(P$1124,'Hist. prices'!$I$5:$AB$5,0))</f>
        <v>0</v>
      </c>
      <c r="Q1151" s="218">
        <f>INDEX('Hist. prices'!$I$8:$AB$82,MATCH($C1151,'Hist. prices'!$C$8:$C$82,0),MATCH(Q$1124,'Hist. prices'!$I$5:$AB$5,0))</f>
        <v>0</v>
      </c>
      <c r="R1151" s="218">
        <f>INDEX('Hist. prices'!$I$8:$AB$82,MATCH($C1151,'Hist. prices'!$C$8:$C$82,0),MATCH(R$1124,'Hist. prices'!$I$5:$AB$5,0))</f>
        <v>0</v>
      </c>
      <c r="S1151" s="218">
        <f>INDEX('Hist. prices'!$I$8:$AB$82,MATCH($C1151,'Hist. prices'!$C$8:$C$82,0),MATCH(S$1124,'Hist. prices'!$I$5:$AB$5,0))</f>
        <v>0</v>
      </c>
      <c r="T1151" s="218">
        <f>INDEX('Hist. prices'!$I$8:$AB$82,MATCH($C1151,'Hist. prices'!$C$8:$C$82,0),MATCH(T$1124,'Hist. prices'!$I$5:$AB$5,0))</f>
        <v>0</v>
      </c>
      <c r="U1151" s="218">
        <f>INDEX('Hist. prices'!$I$8:$AB$82,MATCH($C1151,'Hist. prices'!$C$8:$C$82,0),MATCH(U$1124,'Hist. prices'!$I$5:$AB$5,0))</f>
        <v>0</v>
      </c>
      <c r="V1151" s="218">
        <f>INDEX('Hist. prices'!$I$8:$AB$82,MATCH($C1151,'Hist. prices'!$C$8:$C$82,0),MATCH(V$1124,'Hist. prices'!$I$5:$AB$5,0))</f>
        <v>0</v>
      </c>
      <c r="W1151" s="218">
        <f>INDEX('Hist. prices'!$I$8:$AB$82,MATCH($C1151,'Hist. prices'!$C$8:$C$82,0),MATCH(W$1124,'Hist. prices'!$I$5:$AB$5,0))</f>
        <v>0</v>
      </c>
      <c r="X1151" s="218">
        <f>INDEX('Hist. prices'!$I$8:$AB$82,MATCH($C1151,'Hist. prices'!$C$8:$C$82,0),MATCH(X$1124,'Hist. prices'!$I$5:$AB$5,0))</f>
        <v>0</v>
      </c>
      <c r="Y1151" s="218">
        <f>INDEX('Hist. prices'!$I$8:$AB$82,MATCH($C1151,'Hist. prices'!$C$8:$C$82,0),MATCH(Y$1124,'Hist. prices'!$I$5:$AB$5,0))</f>
        <v>0</v>
      </c>
      <c r="Z1151" s="218">
        <f>INDEX('Hist. prices'!$I$8:$AB$82,MATCH($C1151,'Hist. prices'!$C$8:$C$82,0),MATCH(Z$1124,'Hist. prices'!$I$5:$AB$5,0))</f>
        <v>0</v>
      </c>
      <c r="AA1151" s="218">
        <f>INDEX('Hist. prices'!$I$8:$AB$82,MATCH($C1151,'Hist. prices'!$C$8:$C$82,0),MATCH(AA$1124,'Hist. prices'!$I$5:$AB$5,0))</f>
        <v>0</v>
      </c>
      <c r="AB1151" s="218">
        <f>INDEX('Hist. prices'!$I$8:$AB$82,MATCH($C1151,'Hist. prices'!$C$8:$C$82,0),MATCH(AB$1124,'Hist. prices'!$I$5:$AB$5,0))</f>
        <v>0</v>
      </c>
      <c r="AC1151" s="187"/>
      <c r="AD1151" s="19"/>
      <c r="AE1151" s="19"/>
      <c r="AF1151" s="19"/>
      <c r="AG1151" s="19"/>
    </row>
    <row r="1152" spans="1:33" hidden="1" outlineLevel="3" x14ac:dyDescent="0.2">
      <c r="A1152" s="19"/>
      <c r="B1152" s="97"/>
      <c r="C1152" s="506">
        <f t="shared" si="216"/>
        <v>0</v>
      </c>
      <c r="D1152" s="505">
        <f t="shared" si="215"/>
        <v>0</v>
      </c>
      <c r="E1152" s="58"/>
      <c r="F1152" s="223"/>
      <c r="G1152" s="58"/>
      <c r="H1152" s="58"/>
      <c r="I1152" s="218">
        <f>INDEX('Hist. prices'!$I$8:$AB$82,MATCH($C1152,'Hist. prices'!$C$8:$C$82,0),MATCH(I$1124,'Hist. prices'!$I$5:$AB$5,0))</f>
        <v>0</v>
      </c>
      <c r="J1152" s="218">
        <f>INDEX('Hist. prices'!$I$8:$AB$82,MATCH($C1152,'Hist. prices'!$C$8:$C$82,0),MATCH(J$1124,'Hist. prices'!$I$5:$AB$5,0))</f>
        <v>0</v>
      </c>
      <c r="K1152" s="218">
        <f>INDEX('Hist. prices'!$I$8:$AB$82,MATCH($C1152,'Hist. prices'!$C$8:$C$82,0),MATCH(K$1124,'Hist. prices'!$I$5:$AB$5,0))</f>
        <v>0</v>
      </c>
      <c r="L1152" s="218">
        <f>INDEX('Hist. prices'!$I$8:$AB$82,MATCH($C1152,'Hist. prices'!$C$8:$C$82,0),MATCH(L$1124,'Hist. prices'!$I$5:$AB$5,0))</f>
        <v>0</v>
      </c>
      <c r="M1152" s="218">
        <f>INDEX('Hist. prices'!$I$8:$AB$82,MATCH($C1152,'Hist. prices'!$C$8:$C$82,0),MATCH(M$1124,'Hist. prices'!$I$5:$AB$5,0))</f>
        <v>0</v>
      </c>
      <c r="N1152" s="218">
        <f>INDEX('Hist. prices'!$I$8:$AB$82,MATCH($C1152,'Hist. prices'!$C$8:$C$82,0),MATCH(N$1124,'Hist. prices'!$I$5:$AB$5,0))</f>
        <v>0</v>
      </c>
      <c r="O1152" s="218">
        <f>INDEX('Hist. prices'!$I$8:$AB$82,MATCH($C1152,'Hist. prices'!$C$8:$C$82,0),MATCH(O$1124,'Hist. prices'!$I$5:$AB$5,0))</f>
        <v>0</v>
      </c>
      <c r="P1152" s="218">
        <f>INDEX('Hist. prices'!$I$8:$AB$82,MATCH($C1152,'Hist. prices'!$C$8:$C$82,0),MATCH(P$1124,'Hist. prices'!$I$5:$AB$5,0))</f>
        <v>0</v>
      </c>
      <c r="Q1152" s="218">
        <f>INDEX('Hist. prices'!$I$8:$AB$82,MATCH($C1152,'Hist. prices'!$C$8:$C$82,0),MATCH(Q$1124,'Hist. prices'!$I$5:$AB$5,0))</f>
        <v>0</v>
      </c>
      <c r="R1152" s="218">
        <f>INDEX('Hist. prices'!$I$8:$AB$82,MATCH($C1152,'Hist. prices'!$C$8:$C$82,0),MATCH(R$1124,'Hist. prices'!$I$5:$AB$5,0))</f>
        <v>0</v>
      </c>
      <c r="S1152" s="218">
        <f>INDEX('Hist. prices'!$I$8:$AB$82,MATCH($C1152,'Hist. prices'!$C$8:$C$82,0),MATCH(S$1124,'Hist. prices'!$I$5:$AB$5,0))</f>
        <v>0</v>
      </c>
      <c r="T1152" s="218">
        <f>INDEX('Hist. prices'!$I$8:$AB$82,MATCH($C1152,'Hist. prices'!$C$8:$C$82,0),MATCH(T$1124,'Hist. prices'!$I$5:$AB$5,0))</f>
        <v>0</v>
      </c>
      <c r="U1152" s="218">
        <f>INDEX('Hist. prices'!$I$8:$AB$82,MATCH($C1152,'Hist. prices'!$C$8:$C$82,0),MATCH(U$1124,'Hist. prices'!$I$5:$AB$5,0))</f>
        <v>0</v>
      </c>
      <c r="V1152" s="218">
        <f>INDEX('Hist. prices'!$I$8:$AB$82,MATCH($C1152,'Hist. prices'!$C$8:$C$82,0),MATCH(V$1124,'Hist. prices'!$I$5:$AB$5,0))</f>
        <v>0</v>
      </c>
      <c r="W1152" s="218">
        <f>INDEX('Hist. prices'!$I$8:$AB$82,MATCH($C1152,'Hist. prices'!$C$8:$C$82,0),MATCH(W$1124,'Hist. prices'!$I$5:$AB$5,0))</f>
        <v>0</v>
      </c>
      <c r="X1152" s="218">
        <f>INDEX('Hist. prices'!$I$8:$AB$82,MATCH($C1152,'Hist. prices'!$C$8:$C$82,0),MATCH(X$1124,'Hist. prices'!$I$5:$AB$5,0))</f>
        <v>0</v>
      </c>
      <c r="Y1152" s="218">
        <f>INDEX('Hist. prices'!$I$8:$AB$82,MATCH($C1152,'Hist. prices'!$C$8:$C$82,0),MATCH(Y$1124,'Hist. prices'!$I$5:$AB$5,0))</f>
        <v>0</v>
      </c>
      <c r="Z1152" s="218">
        <f>INDEX('Hist. prices'!$I$8:$AB$82,MATCH($C1152,'Hist. prices'!$C$8:$C$82,0),MATCH(Z$1124,'Hist. prices'!$I$5:$AB$5,0))</f>
        <v>0</v>
      </c>
      <c r="AA1152" s="218">
        <f>INDEX('Hist. prices'!$I$8:$AB$82,MATCH($C1152,'Hist. prices'!$C$8:$C$82,0),MATCH(AA$1124,'Hist. prices'!$I$5:$AB$5,0))</f>
        <v>0</v>
      </c>
      <c r="AB1152" s="218">
        <f>INDEX('Hist. prices'!$I$8:$AB$82,MATCH($C1152,'Hist. prices'!$C$8:$C$82,0),MATCH(AB$1124,'Hist. prices'!$I$5:$AB$5,0))</f>
        <v>0</v>
      </c>
      <c r="AC1152" s="187"/>
      <c r="AD1152" s="19"/>
      <c r="AE1152" s="19"/>
      <c r="AF1152" s="19"/>
      <c r="AG1152" s="19"/>
    </row>
    <row r="1153" spans="1:33" hidden="1" outlineLevel="3" x14ac:dyDescent="0.2">
      <c r="A1153" s="19"/>
      <c r="B1153" s="97"/>
      <c r="C1153" s="506">
        <f t="shared" si="216"/>
        <v>0</v>
      </c>
      <c r="D1153" s="505">
        <f t="shared" si="215"/>
        <v>0</v>
      </c>
      <c r="E1153" s="58"/>
      <c r="F1153" s="223"/>
      <c r="G1153" s="58"/>
      <c r="H1153" s="58"/>
      <c r="I1153" s="218">
        <f>INDEX('Hist. prices'!$I$8:$AB$82,MATCH($C1153,'Hist. prices'!$C$8:$C$82,0),MATCH(I$1124,'Hist. prices'!$I$5:$AB$5,0))</f>
        <v>0</v>
      </c>
      <c r="J1153" s="218">
        <f>INDEX('Hist. prices'!$I$8:$AB$82,MATCH($C1153,'Hist. prices'!$C$8:$C$82,0),MATCH(J$1124,'Hist. prices'!$I$5:$AB$5,0))</f>
        <v>0</v>
      </c>
      <c r="K1153" s="218">
        <f>INDEX('Hist. prices'!$I$8:$AB$82,MATCH($C1153,'Hist. prices'!$C$8:$C$82,0),MATCH(K$1124,'Hist. prices'!$I$5:$AB$5,0))</f>
        <v>0</v>
      </c>
      <c r="L1153" s="218">
        <f>INDEX('Hist. prices'!$I$8:$AB$82,MATCH($C1153,'Hist. prices'!$C$8:$C$82,0),MATCH(L$1124,'Hist. prices'!$I$5:$AB$5,0))</f>
        <v>0</v>
      </c>
      <c r="M1153" s="218">
        <f>INDEX('Hist. prices'!$I$8:$AB$82,MATCH($C1153,'Hist. prices'!$C$8:$C$82,0),MATCH(M$1124,'Hist. prices'!$I$5:$AB$5,0))</f>
        <v>0</v>
      </c>
      <c r="N1153" s="218">
        <f>INDEX('Hist. prices'!$I$8:$AB$82,MATCH($C1153,'Hist. prices'!$C$8:$C$82,0),MATCH(N$1124,'Hist. prices'!$I$5:$AB$5,0))</f>
        <v>0</v>
      </c>
      <c r="O1153" s="218">
        <f>INDEX('Hist. prices'!$I$8:$AB$82,MATCH($C1153,'Hist. prices'!$C$8:$C$82,0),MATCH(O$1124,'Hist. prices'!$I$5:$AB$5,0))</f>
        <v>0</v>
      </c>
      <c r="P1153" s="218">
        <f>INDEX('Hist. prices'!$I$8:$AB$82,MATCH($C1153,'Hist. prices'!$C$8:$C$82,0),MATCH(P$1124,'Hist. prices'!$I$5:$AB$5,0))</f>
        <v>0</v>
      </c>
      <c r="Q1153" s="218">
        <f>INDEX('Hist. prices'!$I$8:$AB$82,MATCH($C1153,'Hist. prices'!$C$8:$C$82,0),MATCH(Q$1124,'Hist. prices'!$I$5:$AB$5,0))</f>
        <v>0</v>
      </c>
      <c r="R1153" s="218">
        <f>INDEX('Hist. prices'!$I$8:$AB$82,MATCH($C1153,'Hist. prices'!$C$8:$C$82,0),MATCH(R$1124,'Hist. prices'!$I$5:$AB$5,0))</f>
        <v>0</v>
      </c>
      <c r="S1153" s="218">
        <f>INDEX('Hist. prices'!$I$8:$AB$82,MATCH($C1153,'Hist. prices'!$C$8:$C$82,0),MATCH(S$1124,'Hist. prices'!$I$5:$AB$5,0))</f>
        <v>0</v>
      </c>
      <c r="T1153" s="218">
        <f>INDEX('Hist. prices'!$I$8:$AB$82,MATCH($C1153,'Hist. prices'!$C$8:$C$82,0),MATCH(T$1124,'Hist. prices'!$I$5:$AB$5,0))</f>
        <v>0</v>
      </c>
      <c r="U1153" s="218">
        <f>INDEX('Hist. prices'!$I$8:$AB$82,MATCH($C1153,'Hist. prices'!$C$8:$C$82,0),MATCH(U$1124,'Hist. prices'!$I$5:$AB$5,0))</f>
        <v>0</v>
      </c>
      <c r="V1153" s="218">
        <f>INDEX('Hist. prices'!$I$8:$AB$82,MATCH($C1153,'Hist. prices'!$C$8:$C$82,0),MATCH(V$1124,'Hist. prices'!$I$5:$AB$5,0))</f>
        <v>0</v>
      </c>
      <c r="W1153" s="218">
        <f>INDEX('Hist. prices'!$I$8:$AB$82,MATCH($C1153,'Hist. prices'!$C$8:$C$82,0),MATCH(W$1124,'Hist. prices'!$I$5:$AB$5,0))</f>
        <v>0</v>
      </c>
      <c r="X1153" s="218">
        <f>INDEX('Hist. prices'!$I$8:$AB$82,MATCH($C1153,'Hist. prices'!$C$8:$C$82,0),MATCH(X$1124,'Hist. prices'!$I$5:$AB$5,0))</f>
        <v>0</v>
      </c>
      <c r="Y1153" s="218">
        <f>INDEX('Hist. prices'!$I$8:$AB$82,MATCH($C1153,'Hist. prices'!$C$8:$C$82,0),MATCH(Y$1124,'Hist. prices'!$I$5:$AB$5,0))</f>
        <v>0</v>
      </c>
      <c r="Z1153" s="218">
        <f>INDEX('Hist. prices'!$I$8:$AB$82,MATCH($C1153,'Hist. prices'!$C$8:$C$82,0),MATCH(Z$1124,'Hist. prices'!$I$5:$AB$5,0))</f>
        <v>0</v>
      </c>
      <c r="AA1153" s="218">
        <f>INDEX('Hist. prices'!$I$8:$AB$82,MATCH($C1153,'Hist. prices'!$C$8:$C$82,0),MATCH(AA$1124,'Hist. prices'!$I$5:$AB$5,0))</f>
        <v>0</v>
      </c>
      <c r="AB1153" s="218">
        <f>INDEX('Hist. prices'!$I$8:$AB$82,MATCH($C1153,'Hist. prices'!$C$8:$C$82,0),MATCH(AB$1124,'Hist. prices'!$I$5:$AB$5,0))</f>
        <v>0</v>
      </c>
      <c r="AC1153" s="187"/>
      <c r="AD1153" s="19"/>
      <c r="AE1153" s="19"/>
      <c r="AF1153" s="19"/>
      <c r="AG1153" s="19"/>
    </row>
    <row r="1154" spans="1:33" hidden="1" outlineLevel="3" x14ac:dyDescent="0.2">
      <c r="A1154" s="19"/>
      <c r="B1154" s="97"/>
      <c r="C1154" s="506">
        <f t="shared" si="216"/>
        <v>0</v>
      </c>
      <c r="D1154" s="505">
        <f t="shared" si="215"/>
        <v>0</v>
      </c>
      <c r="E1154" s="58"/>
      <c r="F1154" s="223"/>
      <c r="G1154" s="58"/>
      <c r="H1154" s="58"/>
      <c r="I1154" s="218">
        <f>INDEX('Hist. prices'!$I$8:$AB$82,MATCH($C1154,'Hist. prices'!$C$8:$C$82,0),MATCH(I$1124,'Hist. prices'!$I$5:$AB$5,0))</f>
        <v>0</v>
      </c>
      <c r="J1154" s="218">
        <f>INDEX('Hist. prices'!$I$8:$AB$82,MATCH($C1154,'Hist. prices'!$C$8:$C$82,0),MATCH(J$1124,'Hist. prices'!$I$5:$AB$5,0))</f>
        <v>0</v>
      </c>
      <c r="K1154" s="218">
        <f>INDEX('Hist. prices'!$I$8:$AB$82,MATCH($C1154,'Hist. prices'!$C$8:$C$82,0),MATCH(K$1124,'Hist. prices'!$I$5:$AB$5,0))</f>
        <v>0</v>
      </c>
      <c r="L1154" s="218">
        <f>INDEX('Hist. prices'!$I$8:$AB$82,MATCH($C1154,'Hist. prices'!$C$8:$C$82,0),MATCH(L$1124,'Hist. prices'!$I$5:$AB$5,0))</f>
        <v>0</v>
      </c>
      <c r="M1154" s="218">
        <f>INDEX('Hist. prices'!$I$8:$AB$82,MATCH($C1154,'Hist. prices'!$C$8:$C$82,0),MATCH(M$1124,'Hist. prices'!$I$5:$AB$5,0))</f>
        <v>0</v>
      </c>
      <c r="N1154" s="218">
        <f>INDEX('Hist. prices'!$I$8:$AB$82,MATCH($C1154,'Hist. prices'!$C$8:$C$82,0),MATCH(N$1124,'Hist. prices'!$I$5:$AB$5,0))</f>
        <v>0</v>
      </c>
      <c r="O1154" s="218">
        <f>INDEX('Hist. prices'!$I$8:$AB$82,MATCH($C1154,'Hist. prices'!$C$8:$C$82,0),MATCH(O$1124,'Hist. prices'!$I$5:$AB$5,0))</f>
        <v>0</v>
      </c>
      <c r="P1154" s="218">
        <f>INDEX('Hist. prices'!$I$8:$AB$82,MATCH($C1154,'Hist. prices'!$C$8:$C$82,0),MATCH(P$1124,'Hist. prices'!$I$5:$AB$5,0))</f>
        <v>0</v>
      </c>
      <c r="Q1154" s="218">
        <f>INDEX('Hist. prices'!$I$8:$AB$82,MATCH($C1154,'Hist. prices'!$C$8:$C$82,0),MATCH(Q$1124,'Hist. prices'!$I$5:$AB$5,0))</f>
        <v>0</v>
      </c>
      <c r="R1154" s="218">
        <f>INDEX('Hist. prices'!$I$8:$AB$82,MATCH($C1154,'Hist. prices'!$C$8:$C$82,0),MATCH(R$1124,'Hist. prices'!$I$5:$AB$5,0))</f>
        <v>0</v>
      </c>
      <c r="S1154" s="218">
        <f>INDEX('Hist. prices'!$I$8:$AB$82,MATCH($C1154,'Hist. prices'!$C$8:$C$82,0),MATCH(S$1124,'Hist. prices'!$I$5:$AB$5,0))</f>
        <v>0</v>
      </c>
      <c r="T1154" s="218">
        <f>INDEX('Hist. prices'!$I$8:$AB$82,MATCH($C1154,'Hist. prices'!$C$8:$C$82,0),MATCH(T$1124,'Hist. prices'!$I$5:$AB$5,0))</f>
        <v>0</v>
      </c>
      <c r="U1154" s="218">
        <f>INDEX('Hist. prices'!$I$8:$AB$82,MATCH($C1154,'Hist. prices'!$C$8:$C$82,0),MATCH(U$1124,'Hist. prices'!$I$5:$AB$5,0))</f>
        <v>0</v>
      </c>
      <c r="V1154" s="218">
        <f>INDEX('Hist. prices'!$I$8:$AB$82,MATCH($C1154,'Hist. prices'!$C$8:$C$82,0),MATCH(V$1124,'Hist. prices'!$I$5:$AB$5,0))</f>
        <v>0</v>
      </c>
      <c r="W1154" s="218">
        <f>INDEX('Hist. prices'!$I$8:$AB$82,MATCH($C1154,'Hist. prices'!$C$8:$C$82,0),MATCH(W$1124,'Hist. prices'!$I$5:$AB$5,0))</f>
        <v>0</v>
      </c>
      <c r="X1154" s="218">
        <f>INDEX('Hist. prices'!$I$8:$AB$82,MATCH($C1154,'Hist. prices'!$C$8:$C$82,0),MATCH(X$1124,'Hist. prices'!$I$5:$AB$5,0))</f>
        <v>0</v>
      </c>
      <c r="Y1154" s="218">
        <f>INDEX('Hist. prices'!$I$8:$AB$82,MATCH($C1154,'Hist. prices'!$C$8:$C$82,0),MATCH(Y$1124,'Hist. prices'!$I$5:$AB$5,0))</f>
        <v>0</v>
      </c>
      <c r="Z1154" s="218">
        <f>INDEX('Hist. prices'!$I$8:$AB$82,MATCH($C1154,'Hist. prices'!$C$8:$C$82,0),MATCH(Z$1124,'Hist. prices'!$I$5:$AB$5,0))</f>
        <v>0</v>
      </c>
      <c r="AA1154" s="218">
        <f>INDEX('Hist. prices'!$I$8:$AB$82,MATCH($C1154,'Hist. prices'!$C$8:$C$82,0),MATCH(AA$1124,'Hist. prices'!$I$5:$AB$5,0))</f>
        <v>0</v>
      </c>
      <c r="AB1154" s="218">
        <f>INDEX('Hist. prices'!$I$8:$AB$82,MATCH($C1154,'Hist. prices'!$C$8:$C$82,0),MATCH(AB$1124,'Hist. prices'!$I$5:$AB$5,0))</f>
        <v>0</v>
      </c>
      <c r="AC1154" s="187"/>
      <c r="AD1154" s="19"/>
      <c r="AE1154" s="19"/>
      <c r="AF1154" s="19"/>
      <c r="AG1154" s="19"/>
    </row>
    <row r="1155" spans="1:33" hidden="1" outlineLevel="3" x14ac:dyDescent="0.2">
      <c r="A1155" s="19"/>
      <c r="B1155" s="97"/>
      <c r="C1155" s="506">
        <f t="shared" si="216"/>
        <v>0</v>
      </c>
      <c r="D1155" s="505">
        <f t="shared" si="215"/>
        <v>0</v>
      </c>
      <c r="E1155" s="58"/>
      <c r="F1155" s="223"/>
      <c r="G1155" s="58"/>
      <c r="H1155" s="58"/>
      <c r="I1155" s="218">
        <f>INDEX('Hist. prices'!$I$8:$AB$82,MATCH($C1155,'Hist. prices'!$C$8:$C$82,0),MATCH(I$1124,'Hist. prices'!$I$5:$AB$5,0))</f>
        <v>0</v>
      </c>
      <c r="J1155" s="218">
        <f>INDEX('Hist. prices'!$I$8:$AB$82,MATCH($C1155,'Hist. prices'!$C$8:$C$82,0),MATCH(J$1124,'Hist. prices'!$I$5:$AB$5,0))</f>
        <v>0</v>
      </c>
      <c r="K1155" s="218">
        <f>INDEX('Hist. prices'!$I$8:$AB$82,MATCH($C1155,'Hist. prices'!$C$8:$C$82,0),MATCH(K$1124,'Hist. prices'!$I$5:$AB$5,0))</f>
        <v>0</v>
      </c>
      <c r="L1155" s="218">
        <f>INDEX('Hist. prices'!$I$8:$AB$82,MATCH($C1155,'Hist. prices'!$C$8:$C$82,0),MATCH(L$1124,'Hist. prices'!$I$5:$AB$5,0))</f>
        <v>0</v>
      </c>
      <c r="M1155" s="218">
        <f>INDEX('Hist. prices'!$I$8:$AB$82,MATCH($C1155,'Hist. prices'!$C$8:$C$82,0),MATCH(M$1124,'Hist. prices'!$I$5:$AB$5,0))</f>
        <v>0</v>
      </c>
      <c r="N1155" s="218">
        <f>INDEX('Hist. prices'!$I$8:$AB$82,MATCH($C1155,'Hist. prices'!$C$8:$C$82,0),MATCH(N$1124,'Hist. prices'!$I$5:$AB$5,0))</f>
        <v>0</v>
      </c>
      <c r="O1155" s="218">
        <f>INDEX('Hist. prices'!$I$8:$AB$82,MATCH($C1155,'Hist. prices'!$C$8:$C$82,0),MATCH(O$1124,'Hist. prices'!$I$5:$AB$5,0))</f>
        <v>0</v>
      </c>
      <c r="P1155" s="218">
        <f>INDEX('Hist. prices'!$I$8:$AB$82,MATCH($C1155,'Hist. prices'!$C$8:$C$82,0),MATCH(P$1124,'Hist. prices'!$I$5:$AB$5,0))</f>
        <v>0</v>
      </c>
      <c r="Q1155" s="218">
        <f>INDEX('Hist. prices'!$I$8:$AB$82,MATCH($C1155,'Hist. prices'!$C$8:$C$82,0),MATCH(Q$1124,'Hist. prices'!$I$5:$AB$5,0))</f>
        <v>0</v>
      </c>
      <c r="R1155" s="218">
        <f>INDEX('Hist. prices'!$I$8:$AB$82,MATCH($C1155,'Hist. prices'!$C$8:$C$82,0),MATCH(R$1124,'Hist. prices'!$I$5:$AB$5,0))</f>
        <v>0</v>
      </c>
      <c r="S1155" s="218">
        <f>INDEX('Hist. prices'!$I$8:$AB$82,MATCH($C1155,'Hist. prices'!$C$8:$C$82,0),MATCH(S$1124,'Hist. prices'!$I$5:$AB$5,0))</f>
        <v>0</v>
      </c>
      <c r="T1155" s="218">
        <f>INDEX('Hist. prices'!$I$8:$AB$82,MATCH($C1155,'Hist. prices'!$C$8:$C$82,0),MATCH(T$1124,'Hist. prices'!$I$5:$AB$5,0))</f>
        <v>0</v>
      </c>
      <c r="U1155" s="218">
        <f>INDEX('Hist. prices'!$I$8:$AB$82,MATCH($C1155,'Hist. prices'!$C$8:$C$82,0),MATCH(U$1124,'Hist. prices'!$I$5:$AB$5,0))</f>
        <v>0</v>
      </c>
      <c r="V1155" s="218">
        <f>INDEX('Hist. prices'!$I$8:$AB$82,MATCH($C1155,'Hist. prices'!$C$8:$C$82,0),MATCH(V$1124,'Hist. prices'!$I$5:$AB$5,0))</f>
        <v>0</v>
      </c>
      <c r="W1155" s="218">
        <f>INDEX('Hist. prices'!$I$8:$AB$82,MATCH($C1155,'Hist. prices'!$C$8:$C$82,0),MATCH(W$1124,'Hist. prices'!$I$5:$AB$5,0))</f>
        <v>0</v>
      </c>
      <c r="X1155" s="218">
        <f>INDEX('Hist. prices'!$I$8:$AB$82,MATCH($C1155,'Hist. prices'!$C$8:$C$82,0),MATCH(X$1124,'Hist. prices'!$I$5:$AB$5,0))</f>
        <v>0</v>
      </c>
      <c r="Y1155" s="218">
        <f>INDEX('Hist. prices'!$I$8:$AB$82,MATCH($C1155,'Hist. prices'!$C$8:$C$82,0),MATCH(Y$1124,'Hist. prices'!$I$5:$AB$5,0))</f>
        <v>0</v>
      </c>
      <c r="Z1155" s="218">
        <f>INDEX('Hist. prices'!$I$8:$AB$82,MATCH($C1155,'Hist. prices'!$C$8:$C$82,0),MATCH(Z$1124,'Hist. prices'!$I$5:$AB$5,0))</f>
        <v>0</v>
      </c>
      <c r="AA1155" s="218">
        <f>INDEX('Hist. prices'!$I$8:$AB$82,MATCH($C1155,'Hist. prices'!$C$8:$C$82,0),MATCH(AA$1124,'Hist. prices'!$I$5:$AB$5,0))</f>
        <v>0</v>
      </c>
      <c r="AB1155" s="218">
        <f>INDEX('Hist. prices'!$I$8:$AB$82,MATCH($C1155,'Hist. prices'!$C$8:$C$82,0),MATCH(AB$1124,'Hist. prices'!$I$5:$AB$5,0))</f>
        <v>0</v>
      </c>
      <c r="AC1155" s="187"/>
      <c r="AD1155" s="19"/>
      <c r="AE1155" s="19"/>
      <c r="AF1155" s="19"/>
      <c r="AG1155" s="19"/>
    </row>
    <row r="1156" spans="1:33" hidden="1" outlineLevel="3" x14ac:dyDescent="0.2">
      <c r="A1156" s="19"/>
      <c r="B1156" s="98"/>
      <c r="C1156" s="506">
        <f t="shared" si="216"/>
        <v>0</v>
      </c>
      <c r="D1156" s="505">
        <f t="shared" si="215"/>
        <v>0</v>
      </c>
      <c r="E1156" s="58"/>
      <c r="F1156" s="223"/>
      <c r="G1156" s="58"/>
      <c r="H1156" s="58"/>
      <c r="I1156" s="218">
        <f>INDEX('Hist. prices'!$I$8:$AB$82,MATCH($C1156,'Hist. prices'!$C$8:$C$82,0),MATCH(I$1124,'Hist. prices'!$I$5:$AB$5,0))</f>
        <v>0</v>
      </c>
      <c r="J1156" s="218">
        <f>INDEX('Hist. prices'!$I$8:$AB$82,MATCH($C1156,'Hist. prices'!$C$8:$C$82,0),MATCH(J$1124,'Hist. prices'!$I$5:$AB$5,0))</f>
        <v>0</v>
      </c>
      <c r="K1156" s="218">
        <f>INDEX('Hist. prices'!$I$8:$AB$82,MATCH($C1156,'Hist. prices'!$C$8:$C$82,0),MATCH(K$1124,'Hist. prices'!$I$5:$AB$5,0))</f>
        <v>0</v>
      </c>
      <c r="L1156" s="218">
        <f>INDEX('Hist. prices'!$I$8:$AB$82,MATCH($C1156,'Hist. prices'!$C$8:$C$82,0),MATCH(L$1124,'Hist. prices'!$I$5:$AB$5,0))</f>
        <v>0</v>
      </c>
      <c r="M1156" s="218">
        <f>INDEX('Hist. prices'!$I$8:$AB$82,MATCH($C1156,'Hist. prices'!$C$8:$C$82,0),MATCH(M$1124,'Hist. prices'!$I$5:$AB$5,0))</f>
        <v>0</v>
      </c>
      <c r="N1156" s="218">
        <f>INDEX('Hist. prices'!$I$8:$AB$82,MATCH($C1156,'Hist. prices'!$C$8:$C$82,0),MATCH(N$1124,'Hist. prices'!$I$5:$AB$5,0))</f>
        <v>0</v>
      </c>
      <c r="O1156" s="218">
        <f>INDEX('Hist. prices'!$I$8:$AB$82,MATCH($C1156,'Hist. prices'!$C$8:$C$82,0),MATCH(O$1124,'Hist. prices'!$I$5:$AB$5,0))</f>
        <v>0</v>
      </c>
      <c r="P1156" s="218">
        <f>INDEX('Hist. prices'!$I$8:$AB$82,MATCH($C1156,'Hist. prices'!$C$8:$C$82,0),MATCH(P$1124,'Hist. prices'!$I$5:$AB$5,0))</f>
        <v>0</v>
      </c>
      <c r="Q1156" s="218">
        <f>INDEX('Hist. prices'!$I$8:$AB$82,MATCH($C1156,'Hist. prices'!$C$8:$C$82,0),MATCH(Q$1124,'Hist. prices'!$I$5:$AB$5,0))</f>
        <v>0</v>
      </c>
      <c r="R1156" s="218">
        <f>INDEX('Hist. prices'!$I$8:$AB$82,MATCH($C1156,'Hist. prices'!$C$8:$C$82,0),MATCH(R$1124,'Hist. prices'!$I$5:$AB$5,0))</f>
        <v>0</v>
      </c>
      <c r="S1156" s="218">
        <f>INDEX('Hist. prices'!$I$8:$AB$82,MATCH($C1156,'Hist. prices'!$C$8:$C$82,0),MATCH(S$1124,'Hist. prices'!$I$5:$AB$5,0))</f>
        <v>0</v>
      </c>
      <c r="T1156" s="218">
        <f>INDEX('Hist. prices'!$I$8:$AB$82,MATCH($C1156,'Hist. prices'!$C$8:$C$82,0),MATCH(T$1124,'Hist. prices'!$I$5:$AB$5,0))</f>
        <v>0</v>
      </c>
      <c r="U1156" s="218">
        <f>INDEX('Hist. prices'!$I$8:$AB$82,MATCH($C1156,'Hist. prices'!$C$8:$C$82,0),MATCH(U$1124,'Hist. prices'!$I$5:$AB$5,0))</f>
        <v>0</v>
      </c>
      <c r="V1156" s="218">
        <f>INDEX('Hist. prices'!$I$8:$AB$82,MATCH($C1156,'Hist. prices'!$C$8:$C$82,0),MATCH(V$1124,'Hist. prices'!$I$5:$AB$5,0))</f>
        <v>0</v>
      </c>
      <c r="W1156" s="218">
        <f>INDEX('Hist. prices'!$I$8:$AB$82,MATCH($C1156,'Hist. prices'!$C$8:$C$82,0),MATCH(W$1124,'Hist. prices'!$I$5:$AB$5,0))</f>
        <v>0</v>
      </c>
      <c r="X1156" s="218">
        <f>INDEX('Hist. prices'!$I$8:$AB$82,MATCH($C1156,'Hist. prices'!$C$8:$C$82,0),MATCH(X$1124,'Hist. prices'!$I$5:$AB$5,0))</f>
        <v>0</v>
      </c>
      <c r="Y1156" s="218">
        <f>INDEX('Hist. prices'!$I$8:$AB$82,MATCH($C1156,'Hist. prices'!$C$8:$C$82,0),MATCH(Y$1124,'Hist. prices'!$I$5:$AB$5,0))</f>
        <v>0</v>
      </c>
      <c r="Z1156" s="218">
        <f>INDEX('Hist. prices'!$I$8:$AB$82,MATCH($C1156,'Hist. prices'!$C$8:$C$82,0),MATCH(Z$1124,'Hist. prices'!$I$5:$AB$5,0))</f>
        <v>0</v>
      </c>
      <c r="AA1156" s="218">
        <f>INDEX('Hist. prices'!$I$8:$AB$82,MATCH($C1156,'Hist. prices'!$C$8:$C$82,0),MATCH(AA$1124,'Hist. prices'!$I$5:$AB$5,0))</f>
        <v>0</v>
      </c>
      <c r="AB1156" s="218">
        <f>INDEX('Hist. prices'!$I$8:$AB$82,MATCH($C1156,'Hist. prices'!$C$8:$C$82,0),MATCH(AB$1124,'Hist. prices'!$I$5:$AB$5,0))</f>
        <v>0</v>
      </c>
      <c r="AC1156" s="187"/>
      <c r="AD1156" s="19"/>
      <c r="AE1156" s="19"/>
      <c r="AF1156" s="19"/>
      <c r="AG1156" s="19"/>
    </row>
    <row r="1157" spans="1:33" outlineLevel="2" collapsed="1" x14ac:dyDescent="0.2">
      <c r="A1157" s="19"/>
      <c r="B1157" s="19"/>
      <c r="C1157" s="560"/>
      <c r="D1157" s="559"/>
      <c r="E1157" s="58"/>
      <c r="F1157" s="66"/>
      <c r="G1157" s="58"/>
      <c r="H1157" s="58"/>
      <c r="I1157" s="186"/>
      <c r="J1157" s="186"/>
      <c r="K1157" s="187"/>
      <c r="L1157" s="187"/>
      <c r="M1157" s="187"/>
      <c r="N1157" s="188"/>
      <c r="O1157" s="188"/>
      <c r="P1157" s="188"/>
      <c r="Q1157" s="188"/>
      <c r="R1157" s="188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9"/>
      <c r="AE1157" s="19"/>
      <c r="AF1157" s="19"/>
      <c r="AG1157" s="19"/>
    </row>
    <row r="1158" spans="1:33" outlineLevel="1" x14ac:dyDescent="0.2">
      <c r="A1158" s="19"/>
      <c r="B1158" s="19"/>
      <c r="C1158" s="217"/>
      <c r="D1158" s="536"/>
      <c r="E1158" s="58"/>
      <c r="F1158" s="66"/>
      <c r="G1158" s="58"/>
      <c r="H1158" s="58"/>
      <c r="I1158" s="186"/>
      <c r="J1158" s="186"/>
      <c r="K1158" s="187"/>
      <c r="L1158" s="187"/>
      <c r="M1158" s="187"/>
      <c r="N1158" s="188"/>
      <c r="O1158" s="188"/>
      <c r="P1158" s="188"/>
      <c r="Q1158" s="188"/>
      <c r="R1158" s="188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9"/>
      <c r="AE1158" s="19"/>
      <c r="AF1158" s="19"/>
      <c r="AG1158" s="19"/>
    </row>
    <row r="1159" spans="1:33" outlineLevel="1" x14ac:dyDescent="0.2">
      <c r="A1159" s="19"/>
      <c r="B1159" s="19"/>
      <c r="C1159" s="167" t="s">
        <v>219</v>
      </c>
      <c r="D1159" s="512"/>
      <c r="E1159" s="20"/>
      <c r="F1159" s="167"/>
      <c r="G1159" s="22"/>
      <c r="H1159" s="22"/>
      <c r="I1159" s="187"/>
      <c r="J1159" s="187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9"/>
      <c r="AE1159" s="19"/>
      <c r="AF1159" s="19"/>
      <c r="AG1159" s="19"/>
    </row>
    <row r="1160" spans="1:33" outlineLevel="2" x14ac:dyDescent="0.2">
      <c r="A1160" s="19"/>
      <c r="B1160" s="19"/>
      <c r="C1160" s="506" t="str">
        <f t="shared" ref="C1160:D1189" si="217">C1127</f>
        <v>Small business time of use consumption</v>
      </c>
      <c r="D1160" s="505" t="str">
        <f t="shared" si="217"/>
        <v>yes</v>
      </c>
      <c r="E1160" s="20"/>
      <c r="F1160" s="223"/>
      <c r="G1160" s="22"/>
      <c r="H1160" s="22"/>
      <c r="I1160" s="218">
        <f>INDEX('Hist. prices'!$I$86:$AB$160,MATCH($C1160,'Hist. prices'!$C$86:$C$160,0),MATCH(I$1124,'Hist. prices'!$I$5:$AB$5,0))</f>
        <v>0</v>
      </c>
      <c r="J1160" s="218">
        <f>INDEX('Hist. prices'!$I$86:$AB$160,MATCH($C1160,'Hist. prices'!$C$86:$C$160,0),MATCH(J$1124,'Hist. prices'!$I$5:$AB$5,0))</f>
        <v>0</v>
      </c>
      <c r="K1160" s="218">
        <f>INDEX('Hist. prices'!$I$86:$AB$160,MATCH($C1160,'Hist. prices'!$C$86:$C$160,0),MATCH(K$1124,'Hist. prices'!$I$5:$AB$5,0))</f>
        <v>2.2109999999999999</v>
      </c>
      <c r="L1160" s="218">
        <f>INDEX('Hist. prices'!$I$86:$AB$160,MATCH($C1160,'Hist. prices'!$C$86:$C$160,0),MATCH(L$1124,'Hist. prices'!$I$5:$AB$5,0))</f>
        <v>1.327</v>
      </c>
      <c r="M1160" s="218">
        <f>INDEX('Hist. prices'!$I$86:$AB$160,MATCH($C1160,'Hist. prices'!$C$86:$C$160,0),MATCH(M$1124,'Hist. prices'!$I$5:$AB$5,0))</f>
        <v>0.33200000000000002</v>
      </c>
      <c r="N1160" s="218">
        <f>INDEX('Hist. prices'!$I$86:$AB$160,MATCH($C1160,'Hist. prices'!$C$86:$C$160,0),MATCH(N$1124,'Hist. prices'!$I$5:$AB$5,0))</f>
        <v>0</v>
      </c>
      <c r="O1160" s="218">
        <f>INDEX('Hist. prices'!$I$86:$AB$160,MATCH($C1160,'Hist. prices'!$C$86:$C$160,0),MATCH(O$1124,'Hist. prices'!$I$5:$AB$5,0))</f>
        <v>0</v>
      </c>
      <c r="P1160" s="218">
        <f>INDEX('Hist. prices'!$I$86:$AB$160,MATCH($C1160,'Hist. prices'!$C$86:$C$160,0),MATCH(P$1124,'Hist. prices'!$I$5:$AB$5,0))</f>
        <v>0</v>
      </c>
      <c r="Q1160" s="218">
        <f>INDEX('Hist. prices'!$I$86:$AB$160,MATCH($C1160,'Hist. prices'!$C$86:$C$160,0),MATCH(Q$1124,'Hist. prices'!$I$5:$AB$5,0))</f>
        <v>0</v>
      </c>
      <c r="R1160" s="218">
        <f>INDEX('Hist. prices'!$I$86:$AB$160,MATCH($C1160,'Hist. prices'!$C$86:$C$160,0),MATCH(R$1124,'Hist. prices'!$I$5:$AB$5,0))</f>
        <v>0</v>
      </c>
      <c r="S1160" s="218">
        <f>INDEX('Hist. prices'!$I$86:$AB$160,MATCH($C1160,'Hist. prices'!$C$86:$C$160,0),MATCH(S$1124,'Hist. prices'!$I$5:$AB$5,0))</f>
        <v>0</v>
      </c>
      <c r="T1160" s="218">
        <f>INDEX('Hist. prices'!$I$86:$AB$160,MATCH($C1160,'Hist. prices'!$C$86:$C$160,0),MATCH(T$1124,'Hist. prices'!$I$5:$AB$5,0))</f>
        <v>0</v>
      </c>
      <c r="U1160" s="218">
        <f>INDEX('Hist. prices'!$I$86:$AB$160,MATCH($C1160,'Hist. prices'!$C$86:$C$160,0),MATCH(U$1124,'Hist. prices'!$I$5:$AB$5,0))</f>
        <v>0</v>
      </c>
      <c r="V1160" s="218">
        <f>INDEX('Hist. prices'!$I$86:$AB$160,MATCH($C1160,'Hist. prices'!$C$86:$C$160,0),MATCH(V$1124,'Hist. prices'!$I$5:$AB$5,0))</f>
        <v>0</v>
      </c>
      <c r="W1160" s="218">
        <f>INDEX('Hist. prices'!$I$86:$AB$160,MATCH($C1160,'Hist. prices'!$C$86:$C$160,0),MATCH(W$1124,'Hist. prices'!$I$5:$AB$5,0))</f>
        <v>0</v>
      </c>
      <c r="X1160" s="218">
        <f>INDEX('Hist. prices'!$I$86:$AB$160,MATCH($C1160,'Hist. prices'!$C$86:$C$160,0),MATCH(X$1124,'Hist. prices'!$I$5:$AB$5,0))</f>
        <v>0</v>
      </c>
      <c r="Y1160" s="218">
        <f>INDEX('Hist. prices'!$I$86:$AB$160,MATCH($C1160,'Hist. prices'!$C$86:$C$160,0),MATCH(Y$1124,'Hist. prices'!$I$5:$AB$5,0))</f>
        <v>0</v>
      </c>
      <c r="Z1160" s="218">
        <f>INDEX('Hist. prices'!$I$86:$AB$160,MATCH($C1160,'Hist. prices'!$C$86:$C$160,0),MATCH(Z$1124,'Hist. prices'!$I$5:$AB$5,0))</f>
        <v>0</v>
      </c>
      <c r="AA1160" s="218">
        <f>INDEX('Hist. prices'!$I$86:$AB$160,MATCH($C1160,'Hist. prices'!$C$86:$C$160,0),MATCH(AA$1124,'Hist. prices'!$I$5:$AB$5,0))</f>
        <v>0</v>
      </c>
      <c r="AB1160" s="218">
        <f>INDEX('Hist. prices'!$I$86:$AB$160,MATCH($C1160,'Hist. prices'!$C$86:$C$160,0),MATCH(AB$1124,'Hist. prices'!$I$5:$AB$5,0))</f>
        <v>0</v>
      </c>
      <c r="AC1160" s="187"/>
      <c r="AD1160" s="19"/>
      <c r="AE1160" s="19"/>
      <c r="AF1160" s="19"/>
      <c r="AG1160" s="19"/>
    </row>
    <row r="1161" spans="1:33" s="59" customFormat="1" outlineLevel="2" x14ac:dyDescent="0.2">
      <c r="A1161" s="57"/>
      <c r="B1161" s="57"/>
      <c r="C1161" s="506" t="str">
        <f t="shared" si="217"/>
        <v>Small business general light and power</v>
      </c>
      <c r="D1161" s="505" t="str">
        <f t="shared" si="217"/>
        <v>no</v>
      </c>
      <c r="E1161" s="58"/>
      <c r="F1161" s="223"/>
      <c r="G1161" s="58"/>
      <c r="H1161" s="58"/>
      <c r="I1161" s="218">
        <f>INDEX('Hist. prices'!$I$86:$AB$160,MATCH($C1161,'Hist. prices'!$C$86:$C$160,0),MATCH(I$1124,'Hist. prices'!$I$5:$AB$5,0))</f>
        <v>0</v>
      </c>
      <c r="J1161" s="218">
        <f>INDEX('Hist. prices'!$I$86:$AB$160,MATCH($C1161,'Hist. prices'!$C$86:$C$160,0),MATCH(J$1124,'Hist. prices'!$I$5:$AB$5,0))</f>
        <v>1.86</v>
      </c>
      <c r="K1161" s="218">
        <f>INDEX('Hist. prices'!$I$86:$AB$160,MATCH($C1161,'Hist. prices'!$C$86:$C$160,0),MATCH(K$1124,'Hist. prices'!$I$5:$AB$5,0))</f>
        <v>0</v>
      </c>
      <c r="L1161" s="218">
        <f>INDEX('Hist. prices'!$I$86:$AB$160,MATCH($C1161,'Hist. prices'!$C$86:$C$160,0),MATCH(L$1124,'Hist. prices'!$I$5:$AB$5,0))</f>
        <v>0</v>
      </c>
      <c r="M1161" s="218">
        <f>INDEX('Hist. prices'!$I$86:$AB$160,MATCH($C1161,'Hist. prices'!$C$86:$C$160,0),MATCH(M$1124,'Hist. prices'!$I$5:$AB$5,0))</f>
        <v>0</v>
      </c>
      <c r="N1161" s="218">
        <f>INDEX('Hist. prices'!$I$86:$AB$160,MATCH($C1161,'Hist. prices'!$C$86:$C$160,0),MATCH(N$1124,'Hist. prices'!$I$5:$AB$5,0))</f>
        <v>0</v>
      </c>
      <c r="O1161" s="218">
        <f>INDEX('Hist. prices'!$I$86:$AB$160,MATCH($C1161,'Hist. prices'!$C$86:$C$160,0),MATCH(O$1124,'Hist. prices'!$I$5:$AB$5,0))</f>
        <v>0</v>
      </c>
      <c r="P1161" s="218">
        <f>INDEX('Hist. prices'!$I$86:$AB$160,MATCH($C1161,'Hist. prices'!$C$86:$C$160,0),MATCH(P$1124,'Hist. prices'!$I$5:$AB$5,0))</f>
        <v>0</v>
      </c>
      <c r="Q1161" s="218">
        <f>INDEX('Hist. prices'!$I$86:$AB$160,MATCH($C1161,'Hist. prices'!$C$86:$C$160,0),MATCH(Q$1124,'Hist. prices'!$I$5:$AB$5,0))</f>
        <v>0</v>
      </c>
      <c r="R1161" s="218">
        <f>INDEX('Hist. prices'!$I$86:$AB$160,MATCH($C1161,'Hist. prices'!$C$86:$C$160,0),MATCH(R$1124,'Hist. prices'!$I$5:$AB$5,0))</f>
        <v>0</v>
      </c>
      <c r="S1161" s="218">
        <f>INDEX('Hist. prices'!$I$86:$AB$160,MATCH($C1161,'Hist. prices'!$C$86:$C$160,0),MATCH(S$1124,'Hist. prices'!$I$5:$AB$5,0))</f>
        <v>0</v>
      </c>
      <c r="T1161" s="218">
        <f>INDEX('Hist. prices'!$I$86:$AB$160,MATCH($C1161,'Hist. prices'!$C$86:$C$160,0),MATCH(T$1124,'Hist. prices'!$I$5:$AB$5,0))</f>
        <v>0</v>
      </c>
      <c r="U1161" s="218">
        <f>INDEX('Hist. prices'!$I$86:$AB$160,MATCH($C1161,'Hist. prices'!$C$86:$C$160,0),MATCH(U$1124,'Hist. prices'!$I$5:$AB$5,0))</f>
        <v>0</v>
      </c>
      <c r="V1161" s="218">
        <f>INDEX('Hist. prices'!$I$86:$AB$160,MATCH($C1161,'Hist. prices'!$C$86:$C$160,0),MATCH(V$1124,'Hist. prices'!$I$5:$AB$5,0))</f>
        <v>0</v>
      </c>
      <c r="W1161" s="218">
        <f>INDEX('Hist. prices'!$I$86:$AB$160,MATCH($C1161,'Hist. prices'!$C$86:$C$160,0),MATCH(W$1124,'Hist. prices'!$I$5:$AB$5,0))</f>
        <v>0</v>
      </c>
      <c r="X1161" s="218">
        <f>INDEX('Hist. prices'!$I$86:$AB$160,MATCH($C1161,'Hist. prices'!$C$86:$C$160,0),MATCH(X$1124,'Hist. prices'!$I$5:$AB$5,0))</f>
        <v>0</v>
      </c>
      <c r="Y1161" s="218">
        <f>INDEX('Hist. prices'!$I$86:$AB$160,MATCH($C1161,'Hist. prices'!$C$86:$C$160,0),MATCH(Y$1124,'Hist. prices'!$I$5:$AB$5,0))</f>
        <v>0</v>
      </c>
      <c r="Z1161" s="218">
        <f>INDEX('Hist. prices'!$I$86:$AB$160,MATCH($C1161,'Hist. prices'!$C$86:$C$160,0),MATCH(Z$1124,'Hist. prices'!$I$5:$AB$5,0))</f>
        <v>0</v>
      </c>
      <c r="AA1161" s="218">
        <f>INDEX('Hist. prices'!$I$86:$AB$160,MATCH($C1161,'Hist. prices'!$C$86:$C$160,0),MATCH(AA$1124,'Hist. prices'!$I$5:$AB$5,0))</f>
        <v>0</v>
      </c>
      <c r="AB1161" s="218">
        <f>INDEX('Hist. prices'!$I$86:$AB$160,MATCH($C1161,'Hist. prices'!$C$86:$C$160,0),MATCH(AB$1124,'Hist. prices'!$I$5:$AB$5,0))</f>
        <v>0</v>
      </c>
      <c r="AC1161" s="187"/>
      <c r="AD1161" s="57"/>
      <c r="AE1161" s="57"/>
      <c r="AF1161" s="57"/>
      <c r="AG1161" s="57"/>
    </row>
    <row r="1162" spans="1:33" outlineLevel="2" x14ac:dyDescent="0.2">
      <c r="A1162" s="19"/>
      <c r="B1162" s="19"/>
      <c r="C1162" s="506">
        <f t="shared" si="217"/>
        <v>0</v>
      </c>
      <c r="D1162" s="505">
        <f t="shared" si="217"/>
        <v>0</v>
      </c>
      <c r="E1162" s="58"/>
      <c r="F1162" s="223"/>
      <c r="G1162" s="58"/>
      <c r="H1162" s="58"/>
      <c r="I1162" s="218">
        <f>INDEX('Hist. prices'!$I$86:$AB$160,MATCH($C1162,'Hist. prices'!$C$86:$C$160,0),MATCH(I$1124,'Hist. prices'!$I$5:$AB$5,0))</f>
        <v>0</v>
      </c>
      <c r="J1162" s="218">
        <f>INDEX('Hist. prices'!$I$86:$AB$160,MATCH($C1162,'Hist. prices'!$C$86:$C$160,0),MATCH(J$1124,'Hist. prices'!$I$5:$AB$5,0))</f>
        <v>0</v>
      </c>
      <c r="K1162" s="218">
        <f>INDEX('Hist. prices'!$I$86:$AB$160,MATCH($C1162,'Hist. prices'!$C$86:$C$160,0),MATCH(K$1124,'Hist. prices'!$I$5:$AB$5,0))</f>
        <v>0</v>
      </c>
      <c r="L1162" s="218">
        <f>INDEX('Hist. prices'!$I$86:$AB$160,MATCH($C1162,'Hist. prices'!$C$86:$C$160,0),MATCH(L$1124,'Hist. prices'!$I$5:$AB$5,0))</f>
        <v>0</v>
      </c>
      <c r="M1162" s="218">
        <f>INDEX('Hist. prices'!$I$86:$AB$160,MATCH($C1162,'Hist. prices'!$C$86:$C$160,0),MATCH(M$1124,'Hist. prices'!$I$5:$AB$5,0))</f>
        <v>0</v>
      </c>
      <c r="N1162" s="218">
        <f>INDEX('Hist. prices'!$I$86:$AB$160,MATCH($C1162,'Hist. prices'!$C$86:$C$160,0),MATCH(N$1124,'Hist. prices'!$I$5:$AB$5,0))</f>
        <v>0</v>
      </c>
      <c r="O1162" s="218">
        <f>INDEX('Hist. prices'!$I$86:$AB$160,MATCH($C1162,'Hist. prices'!$C$86:$C$160,0),MATCH(O$1124,'Hist. prices'!$I$5:$AB$5,0))</f>
        <v>0</v>
      </c>
      <c r="P1162" s="218">
        <f>INDEX('Hist. prices'!$I$86:$AB$160,MATCH($C1162,'Hist. prices'!$C$86:$C$160,0),MATCH(P$1124,'Hist. prices'!$I$5:$AB$5,0))</f>
        <v>0</v>
      </c>
      <c r="Q1162" s="218">
        <f>INDEX('Hist. prices'!$I$86:$AB$160,MATCH($C1162,'Hist. prices'!$C$86:$C$160,0),MATCH(Q$1124,'Hist. prices'!$I$5:$AB$5,0))</f>
        <v>0</v>
      </c>
      <c r="R1162" s="218">
        <f>INDEX('Hist. prices'!$I$86:$AB$160,MATCH($C1162,'Hist. prices'!$C$86:$C$160,0),MATCH(R$1124,'Hist. prices'!$I$5:$AB$5,0))</f>
        <v>0</v>
      </c>
      <c r="S1162" s="218">
        <f>INDEX('Hist. prices'!$I$86:$AB$160,MATCH($C1162,'Hist. prices'!$C$86:$C$160,0),MATCH(S$1124,'Hist. prices'!$I$5:$AB$5,0))</f>
        <v>0</v>
      </c>
      <c r="T1162" s="218">
        <f>INDEX('Hist. prices'!$I$86:$AB$160,MATCH($C1162,'Hist. prices'!$C$86:$C$160,0),MATCH(T$1124,'Hist. prices'!$I$5:$AB$5,0))</f>
        <v>0</v>
      </c>
      <c r="U1162" s="218">
        <f>INDEX('Hist. prices'!$I$86:$AB$160,MATCH($C1162,'Hist. prices'!$C$86:$C$160,0),MATCH(U$1124,'Hist. prices'!$I$5:$AB$5,0))</f>
        <v>0</v>
      </c>
      <c r="V1162" s="218">
        <f>INDEX('Hist. prices'!$I$86:$AB$160,MATCH($C1162,'Hist. prices'!$C$86:$C$160,0),MATCH(V$1124,'Hist. prices'!$I$5:$AB$5,0))</f>
        <v>0</v>
      </c>
      <c r="W1162" s="218">
        <f>INDEX('Hist. prices'!$I$86:$AB$160,MATCH($C1162,'Hist. prices'!$C$86:$C$160,0),MATCH(W$1124,'Hist. prices'!$I$5:$AB$5,0))</f>
        <v>0</v>
      </c>
      <c r="X1162" s="218">
        <f>INDEX('Hist. prices'!$I$86:$AB$160,MATCH($C1162,'Hist. prices'!$C$86:$C$160,0),MATCH(X$1124,'Hist. prices'!$I$5:$AB$5,0))</f>
        <v>0</v>
      </c>
      <c r="Y1162" s="218">
        <f>INDEX('Hist. prices'!$I$86:$AB$160,MATCH($C1162,'Hist. prices'!$C$86:$C$160,0),MATCH(Y$1124,'Hist. prices'!$I$5:$AB$5,0))</f>
        <v>0</v>
      </c>
      <c r="Z1162" s="218">
        <f>INDEX('Hist. prices'!$I$86:$AB$160,MATCH($C1162,'Hist. prices'!$C$86:$C$160,0),MATCH(Z$1124,'Hist. prices'!$I$5:$AB$5,0))</f>
        <v>0</v>
      </c>
      <c r="AA1162" s="218">
        <f>INDEX('Hist. prices'!$I$86:$AB$160,MATCH($C1162,'Hist. prices'!$C$86:$C$160,0),MATCH(AA$1124,'Hist. prices'!$I$5:$AB$5,0))</f>
        <v>0</v>
      </c>
      <c r="AB1162" s="218">
        <f>INDEX('Hist. prices'!$I$86:$AB$160,MATCH($C1162,'Hist. prices'!$C$86:$C$160,0),MATCH(AB$1124,'Hist. prices'!$I$5:$AB$5,0))</f>
        <v>0</v>
      </c>
      <c r="AC1162" s="187"/>
      <c r="AD1162" s="19"/>
      <c r="AE1162" s="19"/>
      <c r="AF1162" s="19"/>
      <c r="AG1162" s="19"/>
    </row>
    <row r="1163" spans="1:33" hidden="1" outlineLevel="3" x14ac:dyDescent="0.2">
      <c r="A1163" s="19"/>
      <c r="B1163" s="19"/>
      <c r="C1163" s="506">
        <f t="shared" si="217"/>
        <v>0</v>
      </c>
      <c r="D1163" s="505">
        <f t="shared" si="217"/>
        <v>0</v>
      </c>
      <c r="E1163" s="58"/>
      <c r="F1163" s="223"/>
      <c r="G1163" s="58"/>
      <c r="H1163" s="58"/>
      <c r="I1163" s="218">
        <f>INDEX('Hist. prices'!$I$86:$AB$160,MATCH($C1163,'Hist. prices'!$C$86:$C$160,0),MATCH(I$1124,'Hist. prices'!$I$5:$AB$5,0))</f>
        <v>0</v>
      </c>
      <c r="J1163" s="218">
        <f>INDEX('Hist. prices'!$I$86:$AB$160,MATCH($C1163,'Hist. prices'!$C$86:$C$160,0),MATCH(J$1124,'Hist. prices'!$I$5:$AB$5,0))</f>
        <v>0</v>
      </c>
      <c r="K1163" s="218">
        <f>INDEX('Hist. prices'!$I$86:$AB$160,MATCH($C1163,'Hist. prices'!$C$86:$C$160,0),MATCH(K$1124,'Hist. prices'!$I$5:$AB$5,0))</f>
        <v>0</v>
      </c>
      <c r="L1163" s="218">
        <f>INDEX('Hist. prices'!$I$86:$AB$160,MATCH($C1163,'Hist. prices'!$C$86:$C$160,0),MATCH(L$1124,'Hist. prices'!$I$5:$AB$5,0))</f>
        <v>0</v>
      </c>
      <c r="M1163" s="218">
        <f>INDEX('Hist. prices'!$I$86:$AB$160,MATCH($C1163,'Hist. prices'!$C$86:$C$160,0),MATCH(M$1124,'Hist. prices'!$I$5:$AB$5,0))</f>
        <v>0</v>
      </c>
      <c r="N1163" s="218">
        <f>INDEX('Hist. prices'!$I$86:$AB$160,MATCH($C1163,'Hist. prices'!$C$86:$C$160,0),MATCH(N$1124,'Hist. prices'!$I$5:$AB$5,0))</f>
        <v>0</v>
      </c>
      <c r="O1163" s="218">
        <f>INDEX('Hist. prices'!$I$86:$AB$160,MATCH($C1163,'Hist. prices'!$C$86:$C$160,0),MATCH(O$1124,'Hist. prices'!$I$5:$AB$5,0))</f>
        <v>0</v>
      </c>
      <c r="P1163" s="218">
        <f>INDEX('Hist. prices'!$I$86:$AB$160,MATCH($C1163,'Hist. prices'!$C$86:$C$160,0),MATCH(P$1124,'Hist. prices'!$I$5:$AB$5,0))</f>
        <v>0</v>
      </c>
      <c r="Q1163" s="218">
        <f>INDEX('Hist. prices'!$I$86:$AB$160,MATCH($C1163,'Hist. prices'!$C$86:$C$160,0),MATCH(Q$1124,'Hist. prices'!$I$5:$AB$5,0))</f>
        <v>0</v>
      </c>
      <c r="R1163" s="218">
        <f>INDEX('Hist. prices'!$I$86:$AB$160,MATCH($C1163,'Hist. prices'!$C$86:$C$160,0),MATCH(R$1124,'Hist. prices'!$I$5:$AB$5,0))</f>
        <v>0</v>
      </c>
      <c r="S1163" s="218">
        <f>INDEX('Hist. prices'!$I$86:$AB$160,MATCH($C1163,'Hist. prices'!$C$86:$C$160,0),MATCH(S$1124,'Hist. prices'!$I$5:$AB$5,0))</f>
        <v>0</v>
      </c>
      <c r="T1163" s="218">
        <f>INDEX('Hist. prices'!$I$86:$AB$160,MATCH($C1163,'Hist. prices'!$C$86:$C$160,0),MATCH(T$1124,'Hist. prices'!$I$5:$AB$5,0))</f>
        <v>0</v>
      </c>
      <c r="U1163" s="218">
        <f>INDEX('Hist. prices'!$I$86:$AB$160,MATCH($C1163,'Hist. prices'!$C$86:$C$160,0),MATCH(U$1124,'Hist. prices'!$I$5:$AB$5,0))</f>
        <v>0</v>
      </c>
      <c r="V1163" s="218">
        <f>INDEX('Hist. prices'!$I$86:$AB$160,MATCH($C1163,'Hist. prices'!$C$86:$C$160,0),MATCH(V$1124,'Hist. prices'!$I$5:$AB$5,0))</f>
        <v>0</v>
      </c>
      <c r="W1163" s="218">
        <f>INDEX('Hist. prices'!$I$86:$AB$160,MATCH($C1163,'Hist. prices'!$C$86:$C$160,0),MATCH(W$1124,'Hist. prices'!$I$5:$AB$5,0))</f>
        <v>0</v>
      </c>
      <c r="X1163" s="218">
        <f>INDEX('Hist. prices'!$I$86:$AB$160,MATCH($C1163,'Hist. prices'!$C$86:$C$160,0),MATCH(X$1124,'Hist. prices'!$I$5:$AB$5,0))</f>
        <v>0</v>
      </c>
      <c r="Y1163" s="218">
        <f>INDEX('Hist. prices'!$I$86:$AB$160,MATCH($C1163,'Hist. prices'!$C$86:$C$160,0),MATCH(Y$1124,'Hist. prices'!$I$5:$AB$5,0))</f>
        <v>0</v>
      </c>
      <c r="Z1163" s="218">
        <f>INDEX('Hist. prices'!$I$86:$AB$160,MATCH($C1163,'Hist. prices'!$C$86:$C$160,0),MATCH(Z$1124,'Hist. prices'!$I$5:$AB$5,0))</f>
        <v>0</v>
      </c>
      <c r="AA1163" s="218">
        <f>INDEX('Hist. prices'!$I$86:$AB$160,MATCH($C1163,'Hist. prices'!$C$86:$C$160,0),MATCH(AA$1124,'Hist. prices'!$I$5:$AB$5,0))</f>
        <v>0</v>
      </c>
      <c r="AB1163" s="218">
        <f>INDEX('Hist. prices'!$I$86:$AB$160,MATCH($C1163,'Hist. prices'!$C$86:$C$160,0),MATCH(AB$1124,'Hist. prices'!$I$5:$AB$5,0))</f>
        <v>0</v>
      </c>
      <c r="AC1163" s="187"/>
      <c r="AD1163" s="19"/>
      <c r="AE1163" s="19"/>
      <c r="AF1163" s="19"/>
      <c r="AG1163" s="19"/>
    </row>
    <row r="1164" spans="1:33" hidden="1" outlineLevel="3" x14ac:dyDescent="0.2">
      <c r="A1164" s="19"/>
      <c r="B1164" s="19"/>
      <c r="C1164" s="506">
        <f t="shared" si="217"/>
        <v>0</v>
      </c>
      <c r="D1164" s="505">
        <f t="shared" si="217"/>
        <v>0</v>
      </c>
      <c r="E1164" s="58"/>
      <c r="F1164" s="223"/>
      <c r="G1164" s="58"/>
      <c r="H1164" s="58"/>
      <c r="I1164" s="218">
        <f>INDEX('Hist. prices'!$I$86:$AB$160,MATCH($C1164,'Hist. prices'!$C$86:$C$160,0),MATCH(I$1124,'Hist. prices'!$I$5:$AB$5,0))</f>
        <v>0</v>
      </c>
      <c r="J1164" s="218">
        <f>INDEX('Hist. prices'!$I$86:$AB$160,MATCH($C1164,'Hist. prices'!$C$86:$C$160,0),MATCH(J$1124,'Hist. prices'!$I$5:$AB$5,0))</f>
        <v>0</v>
      </c>
      <c r="K1164" s="218">
        <f>INDEX('Hist. prices'!$I$86:$AB$160,MATCH($C1164,'Hist. prices'!$C$86:$C$160,0),MATCH(K$1124,'Hist. prices'!$I$5:$AB$5,0))</f>
        <v>0</v>
      </c>
      <c r="L1164" s="218">
        <f>INDEX('Hist. prices'!$I$86:$AB$160,MATCH($C1164,'Hist. prices'!$C$86:$C$160,0),MATCH(L$1124,'Hist. prices'!$I$5:$AB$5,0))</f>
        <v>0</v>
      </c>
      <c r="M1164" s="218">
        <f>INDEX('Hist. prices'!$I$86:$AB$160,MATCH($C1164,'Hist. prices'!$C$86:$C$160,0),MATCH(M$1124,'Hist. prices'!$I$5:$AB$5,0))</f>
        <v>0</v>
      </c>
      <c r="N1164" s="218">
        <f>INDEX('Hist. prices'!$I$86:$AB$160,MATCH($C1164,'Hist. prices'!$C$86:$C$160,0),MATCH(N$1124,'Hist. prices'!$I$5:$AB$5,0))</f>
        <v>0</v>
      </c>
      <c r="O1164" s="218">
        <f>INDEX('Hist. prices'!$I$86:$AB$160,MATCH($C1164,'Hist. prices'!$C$86:$C$160,0),MATCH(O$1124,'Hist. prices'!$I$5:$AB$5,0))</f>
        <v>0</v>
      </c>
      <c r="P1164" s="218">
        <f>INDEX('Hist. prices'!$I$86:$AB$160,MATCH($C1164,'Hist. prices'!$C$86:$C$160,0),MATCH(P$1124,'Hist. prices'!$I$5:$AB$5,0))</f>
        <v>0</v>
      </c>
      <c r="Q1164" s="218">
        <f>INDEX('Hist. prices'!$I$86:$AB$160,MATCH($C1164,'Hist. prices'!$C$86:$C$160,0),MATCH(Q$1124,'Hist. prices'!$I$5:$AB$5,0))</f>
        <v>0</v>
      </c>
      <c r="R1164" s="218">
        <f>INDEX('Hist. prices'!$I$86:$AB$160,MATCH($C1164,'Hist. prices'!$C$86:$C$160,0),MATCH(R$1124,'Hist. prices'!$I$5:$AB$5,0))</f>
        <v>0</v>
      </c>
      <c r="S1164" s="218">
        <f>INDEX('Hist. prices'!$I$86:$AB$160,MATCH($C1164,'Hist. prices'!$C$86:$C$160,0),MATCH(S$1124,'Hist. prices'!$I$5:$AB$5,0))</f>
        <v>0</v>
      </c>
      <c r="T1164" s="218">
        <f>INDEX('Hist. prices'!$I$86:$AB$160,MATCH($C1164,'Hist. prices'!$C$86:$C$160,0),MATCH(T$1124,'Hist. prices'!$I$5:$AB$5,0))</f>
        <v>0</v>
      </c>
      <c r="U1164" s="218">
        <f>INDEX('Hist. prices'!$I$86:$AB$160,MATCH($C1164,'Hist. prices'!$C$86:$C$160,0),MATCH(U$1124,'Hist. prices'!$I$5:$AB$5,0))</f>
        <v>0</v>
      </c>
      <c r="V1164" s="218">
        <f>INDEX('Hist. prices'!$I$86:$AB$160,MATCH($C1164,'Hist. prices'!$C$86:$C$160,0),MATCH(V$1124,'Hist. prices'!$I$5:$AB$5,0))</f>
        <v>0</v>
      </c>
      <c r="W1164" s="218">
        <f>INDEX('Hist. prices'!$I$86:$AB$160,MATCH($C1164,'Hist. prices'!$C$86:$C$160,0),MATCH(W$1124,'Hist. prices'!$I$5:$AB$5,0))</f>
        <v>0</v>
      </c>
      <c r="X1164" s="218">
        <f>INDEX('Hist. prices'!$I$86:$AB$160,MATCH($C1164,'Hist. prices'!$C$86:$C$160,0),MATCH(X$1124,'Hist. prices'!$I$5:$AB$5,0))</f>
        <v>0</v>
      </c>
      <c r="Y1164" s="218">
        <f>INDEX('Hist. prices'!$I$86:$AB$160,MATCH($C1164,'Hist. prices'!$C$86:$C$160,0),MATCH(Y$1124,'Hist. prices'!$I$5:$AB$5,0))</f>
        <v>0</v>
      </c>
      <c r="Z1164" s="218">
        <f>INDEX('Hist. prices'!$I$86:$AB$160,MATCH($C1164,'Hist. prices'!$C$86:$C$160,0),MATCH(Z$1124,'Hist. prices'!$I$5:$AB$5,0))</f>
        <v>0</v>
      </c>
      <c r="AA1164" s="218">
        <f>INDEX('Hist. prices'!$I$86:$AB$160,MATCH($C1164,'Hist. prices'!$C$86:$C$160,0),MATCH(AA$1124,'Hist. prices'!$I$5:$AB$5,0))</f>
        <v>0</v>
      </c>
      <c r="AB1164" s="218">
        <f>INDEX('Hist. prices'!$I$86:$AB$160,MATCH($C1164,'Hist. prices'!$C$86:$C$160,0),MATCH(AB$1124,'Hist. prices'!$I$5:$AB$5,0))</f>
        <v>0</v>
      </c>
      <c r="AC1164" s="187"/>
      <c r="AD1164" s="19"/>
      <c r="AE1164" s="19"/>
      <c r="AF1164" s="19"/>
      <c r="AG1164" s="19"/>
    </row>
    <row r="1165" spans="1:33" hidden="1" outlineLevel="3" x14ac:dyDescent="0.2">
      <c r="A1165" s="19"/>
      <c r="B1165" s="19"/>
      <c r="C1165" s="506">
        <f t="shared" si="217"/>
        <v>0</v>
      </c>
      <c r="D1165" s="505">
        <f t="shared" si="217"/>
        <v>0</v>
      </c>
      <c r="E1165" s="58"/>
      <c r="F1165" s="223"/>
      <c r="G1165" s="58"/>
      <c r="H1165" s="58"/>
      <c r="I1165" s="218">
        <f>INDEX('Hist. prices'!$I$86:$AB$160,MATCH($C1165,'Hist. prices'!$C$86:$C$160,0),MATCH(I$1124,'Hist. prices'!$I$5:$AB$5,0))</f>
        <v>0</v>
      </c>
      <c r="J1165" s="218">
        <f>INDEX('Hist. prices'!$I$86:$AB$160,MATCH($C1165,'Hist. prices'!$C$86:$C$160,0),MATCH(J$1124,'Hist. prices'!$I$5:$AB$5,0))</f>
        <v>0</v>
      </c>
      <c r="K1165" s="218">
        <f>INDEX('Hist. prices'!$I$86:$AB$160,MATCH($C1165,'Hist. prices'!$C$86:$C$160,0),MATCH(K$1124,'Hist. prices'!$I$5:$AB$5,0))</f>
        <v>0</v>
      </c>
      <c r="L1165" s="218">
        <f>INDEX('Hist. prices'!$I$86:$AB$160,MATCH($C1165,'Hist. prices'!$C$86:$C$160,0),MATCH(L$1124,'Hist. prices'!$I$5:$AB$5,0))</f>
        <v>0</v>
      </c>
      <c r="M1165" s="218">
        <f>INDEX('Hist. prices'!$I$86:$AB$160,MATCH($C1165,'Hist. prices'!$C$86:$C$160,0),MATCH(M$1124,'Hist. prices'!$I$5:$AB$5,0))</f>
        <v>0</v>
      </c>
      <c r="N1165" s="218">
        <f>INDEX('Hist. prices'!$I$86:$AB$160,MATCH($C1165,'Hist. prices'!$C$86:$C$160,0),MATCH(N$1124,'Hist. prices'!$I$5:$AB$5,0))</f>
        <v>0</v>
      </c>
      <c r="O1165" s="218">
        <f>INDEX('Hist. prices'!$I$86:$AB$160,MATCH($C1165,'Hist. prices'!$C$86:$C$160,0),MATCH(O$1124,'Hist. prices'!$I$5:$AB$5,0))</f>
        <v>0</v>
      </c>
      <c r="P1165" s="218">
        <f>INDEX('Hist. prices'!$I$86:$AB$160,MATCH($C1165,'Hist. prices'!$C$86:$C$160,0),MATCH(P$1124,'Hist. prices'!$I$5:$AB$5,0))</f>
        <v>0</v>
      </c>
      <c r="Q1165" s="218">
        <f>INDEX('Hist. prices'!$I$86:$AB$160,MATCH($C1165,'Hist. prices'!$C$86:$C$160,0),MATCH(Q$1124,'Hist. prices'!$I$5:$AB$5,0))</f>
        <v>0</v>
      </c>
      <c r="R1165" s="218">
        <f>INDEX('Hist. prices'!$I$86:$AB$160,MATCH($C1165,'Hist. prices'!$C$86:$C$160,0),MATCH(R$1124,'Hist. prices'!$I$5:$AB$5,0))</f>
        <v>0</v>
      </c>
      <c r="S1165" s="218">
        <f>INDEX('Hist. prices'!$I$86:$AB$160,MATCH($C1165,'Hist. prices'!$C$86:$C$160,0),MATCH(S$1124,'Hist. prices'!$I$5:$AB$5,0))</f>
        <v>0</v>
      </c>
      <c r="T1165" s="218">
        <f>INDEX('Hist. prices'!$I$86:$AB$160,MATCH($C1165,'Hist. prices'!$C$86:$C$160,0),MATCH(T$1124,'Hist. prices'!$I$5:$AB$5,0))</f>
        <v>0</v>
      </c>
      <c r="U1165" s="218">
        <f>INDEX('Hist. prices'!$I$86:$AB$160,MATCH($C1165,'Hist. prices'!$C$86:$C$160,0),MATCH(U$1124,'Hist. prices'!$I$5:$AB$5,0))</f>
        <v>0</v>
      </c>
      <c r="V1165" s="218">
        <f>INDEX('Hist. prices'!$I$86:$AB$160,MATCH($C1165,'Hist. prices'!$C$86:$C$160,0),MATCH(V$1124,'Hist. prices'!$I$5:$AB$5,0))</f>
        <v>0</v>
      </c>
      <c r="W1165" s="218">
        <f>INDEX('Hist. prices'!$I$86:$AB$160,MATCH($C1165,'Hist. prices'!$C$86:$C$160,0),MATCH(W$1124,'Hist. prices'!$I$5:$AB$5,0))</f>
        <v>0</v>
      </c>
      <c r="X1165" s="218">
        <f>INDEX('Hist. prices'!$I$86:$AB$160,MATCH($C1165,'Hist. prices'!$C$86:$C$160,0),MATCH(X$1124,'Hist. prices'!$I$5:$AB$5,0))</f>
        <v>0</v>
      </c>
      <c r="Y1165" s="218">
        <f>INDEX('Hist. prices'!$I$86:$AB$160,MATCH($C1165,'Hist. prices'!$C$86:$C$160,0),MATCH(Y$1124,'Hist. prices'!$I$5:$AB$5,0))</f>
        <v>0</v>
      </c>
      <c r="Z1165" s="218">
        <f>INDEX('Hist. prices'!$I$86:$AB$160,MATCH($C1165,'Hist. prices'!$C$86:$C$160,0),MATCH(Z$1124,'Hist. prices'!$I$5:$AB$5,0))</f>
        <v>0</v>
      </c>
      <c r="AA1165" s="218">
        <f>INDEX('Hist. prices'!$I$86:$AB$160,MATCH($C1165,'Hist. prices'!$C$86:$C$160,0),MATCH(AA$1124,'Hist. prices'!$I$5:$AB$5,0))</f>
        <v>0</v>
      </c>
      <c r="AB1165" s="218">
        <f>INDEX('Hist. prices'!$I$86:$AB$160,MATCH($C1165,'Hist. prices'!$C$86:$C$160,0),MATCH(AB$1124,'Hist. prices'!$I$5:$AB$5,0))</f>
        <v>0</v>
      </c>
      <c r="AC1165" s="187"/>
      <c r="AD1165" s="19"/>
      <c r="AE1165" s="19"/>
      <c r="AF1165" s="19"/>
      <c r="AG1165" s="19"/>
    </row>
    <row r="1166" spans="1:33" hidden="1" outlineLevel="3" x14ac:dyDescent="0.2">
      <c r="A1166" s="19"/>
      <c r="B1166" s="19"/>
      <c r="C1166" s="506">
        <f t="shared" si="217"/>
        <v>0</v>
      </c>
      <c r="D1166" s="505">
        <f t="shared" si="217"/>
        <v>0</v>
      </c>
      <c r="E1166" s="58"/>
      <c r="F1166" s="223"/>
      <c r="G1166" s="58"/>
      <c r="H1166" s="58"/>
      <c r="I1166" s="218">
        <f>INDEX('Hist. prices'!$I$86:$AB$160,MATCH($C1166,'Hist. prices'!$C$86:$C$160,0),MATCH(I$1124,'Hist. prices'!$I$5:$AB$5,0))</f>
        <v>0</v>
      </c>
      <c r="J1166" s="218">
        <f>INDEX('Hist. prices'!$I$86:$AB$160,MATCH($C1166,'Hist. prices'!$C$86:$C$160,0),MATCH(J$1124,'Hist. prices'!$I$5:$AB$5,0))</f>
        <v>0</v>
      </c>
      <c r="K1166" s="218">
        <f>INDEX('Hist. prices'!$I$86:$AB$160,MATCH($C1166,'Hist. prices'!$C$86:$C$160,0),MATCH(K$1124,'Hist. prices'!$I$5:$AB$5,0))</f>
        <v>0</v>
      </c>
      <c r="L1166" s="218">
        <f>INDEX('Hist. prices'!$I$86:$AB$160,MATCH($C1166,'Hist. prices'!$C$86:$C$160,0),MATCH(L$1124,'Hist. prices'!$I$5:$AB$5,0))</f>
        <v>0</v>
      </c>
      <c r="M1166" s="218">
        <f>INDEX('Hist. prices'!$I$86:$AB$160,MATCH($C1166,'Hist. prices'!$C$86:$C$160,0),MATCH(M$1124,'Hist. prices'!$I$5:$AB$5,0))</f>
        <v>0</v>
      </c>
      <c r="N1166" s="218">
        <f>INDEX('Hist. prices'!$I$86:$AB$160,MATCH($C1166,'Hist. prices'!$C$86:$C$160,0),MATCH(N$1124,'Hist. prices'!$I$5:$AB$5,0))</f>
        <v>0</v>
      </c>
      <c r="O1166" s="218">
        <f>INDEX('Hist. prices'!$I$86:$AB$160,MATCH($C1166,'Hist. prices'!$C$86:$C$160,0),MATCH(O$1124,'Hist. prices'!$I$5:$AB$5,0))</f>
        <v>0</v>
      </c>
      <c r="P1166" s="218">
        <f>INDEX('Hist. prices'!$I$86:$AB$160,MATCH($C1166,'Hist. prices'!$C$86:$C$160,0),MATCH(P$1124,'Hist. prices'!$I$5:$AB$5,0))</f>
        <v>0</v>
      </c>
      <c r="Q1166" s="218">
        <f>INDEX('Hist. prices'!$I$86:$AB$160,MATCH($C1166,'Hist. prices'!$C$86:$C$160,0),MATCH(Q$1124,'Hist. prices'!$I$5:$AB$5,0))</f>
        <v>0</v>
      </c>
      <c r="R1166" s="218">
        <f>INDEX('Hist. prices'!$I$86:$AB$160,MATCH($C1166,'Hist. prices'!$C$86:$C$160,0),MATCH(R$1124,'Hist. prices'!$I$5:$AB$5,0))</f>
        <v>0</v>
      </c>
      <c r="S1166" s="218">
        <f>INDEX('Hist. prices'!$I$86:$AB$160,MATCH($C1166,'Hist. prices'!$C$86:$C$160,0),MATCH(S$1124,'Hist. prices'!$I$5:$AB$5,0))</f>
        <v>0</v>
      </c>
      <c r="T1166" s="218">
        <f>INDEX('Hist. prices'!$I$86:$AB$160,MATCH($C1166,'Hist. prices'!$C$86:$C$160,0),MATCH(T$1124,'Hist. prices'!$I$5:$AB$5,0))</f>
        <v>0</v>
      </c>
      <c r="U1166" s="218">
        <f>INDEX('Hist. prices'!$I$86:$AB$160,MATCH($C1166,'Hist. prices'!$C$86:$C$160,0),MATCH(U$1124,'Hist. prices'!$I$5:$AB$5,0))</f>
        <v>0</v>
      </c>
      <c r="V1166" s="218">
        <f>INDEX('Hist. prices'!$I$86:$AB$160,MATCH($C1166,'Hist. prices'!$C$86:$C$160,0),MATCH(V$1124,'Hist. prices'!$I$5:$AB$5,0))</f>
        <v>0</v>
      </c>
      <c r="W1166" s="218">
        <f>INDEX('Hist. prices'!$I$86:$AB$160,MATCH($C1166,'Hist. prices'!$C$86:$C$160,0),MATCH(W$1124,'Hist. prices'!$I$5:$AB$5,0))</f>
        <v>0</v>
      </c>
      <c r="X1166" s="218">
        <f>INDEX('Hist. prices'!$I$86:$AB$160,MATCH($C1166,'Hist. prices'!$C$86:$C$160,0),MATCH(X$1124,'Hist. prices'!$I$5:$AB$5,0))</f>
        <v>0</v>
      </c>
      <c r="Y1166" s="218">
        <f>INDEX('Hist. prices'!$I$86:$AB$160,MATCH($C1166,'Hist. prices'!$C$86:$C$160,0),MATCH(Y$1124,'Hist. prices'!$I$5:$AB$5,0))</f>
        <v>0</v>
      </c>
      <c r="Z1166" s="218">
        <f>INDEX('Hist. prices'!$I$86:$AB$160,MATCH($C1166,'Hist. prices'!$C$86:$C$160,0),MATCH(Z$1124,'Hist. prices'!$I$5:$AB$5,0))</f>
        <v>0</v>
      </c>
      <c r="AA1166" s="218">
        <f>INDEX('Hist. prices'!$I$86:$AB$160,MATCH($C1166,'Hist. prices'!$C$86:$C$160,0),MATCH(AA$1124,'Hist. prices'!$I$5:$AB$5,0))</f>
        <v>0</v>
      </c>
      <c r="AB1166" s="218">
        <f>INDEX('Hist. prices'!$I$86:$AB$160,MATCH($C1166,'Hist. prices'!$C$86:$C$160,0),MATCH(AB$1124,'Hist. prices'!$I$5:$AB$5,0))</f>
        <v>0</v>
      </c>
      <c r="AC1166" s="187"/>
      <c r="AD1166" s="19"/>
      <c r="AE1166" s="19"/>
      <c r="AF1166" s="19"/>
      <c r="AG1166" s="19"/>
    </row>
    <row r="1167" spans="1:33" hidden="1" outlineLevel="3" x14ac:dyDescent="0.2">
      <c r="A1167" s="19"/>
      <c r="B1167" s="19"/>
      <c r="C1167" s="506">
        <f t="shared" si="217"/>
        <v>0</v>
      </c>
      <c r="D1167" s="505">
        <f t="shared" si="217"/>
        <v>0</v>
      </c>
      <c r="E1167" s="58"/>
      <c r="F1167" s="223"/>
      <c r="G1167" s="58"/>
      <c r="H1167" s="58"/>
      <c r="I1167" s="218">
        <f>INDEX('Hist. prices'!$I$86:$AB$160,MATCH($C1167,'Hist. prices'!$C$86:$C$160,0),MATCH(I$1124,'Hist. prices'!$I$5:$AB$5,0))</f>
        <v>0</v>
      </c>
      <c r="J1167" s="218">
        <f>INDEX('Hist. prices'!$I$86:$AB$160,MATCH($C1167,'Hist. prices'!$C$86:$C$160,0),MATCH(J$1124,'Hist. prices'!$I$5:$AB$5,0))</f>
        <v>0</v>
      </c>
      <c r="K1167" s="218">
        <f>INDEX('Hist. prices'!$I$86:$AB$160,MATCH($C1167,'Hist. prices'!$C$86:$C$160,0),MATCH(K$1124,'Hist. prices'!$I$5:$AB$5,0))</f>
        <v>0</v>
      </c>
      <c r="L1167" s="218">
        <f>INDEX('Hist. prices'!$I$86:$AB$160,MATCH($C1167,'Hist. prices'!$C$86:$C$160,0),MATCH(L$1124,'Hist. prices'!$I$5:$AB$5,0))</f>
        <v>0</v>
      </c>
      <c r="M1167" s="218">
        <f>INDEX('Hist. prices'!$I$86:$AB$160,MATCH($C1167,'Hist. prices'!$C$86:$C$160,0),MATCH(M$1124,'Hist. prices'!$I$5:$AB$5,0))</f>
        <v>0</v>
      </c>
      <c r="N1167" s="218">
        <f>INDEX('Hist. prices'!$I$86:$AB$160,MATCH($C1167,'Hist. prices'!$C$86:$C$160,0),MATCH(N$1124,'Hist. prices'!$I$5:$AB$5,0))</f>
        <v>0</v>
      </c>
      <c r="O1167" s="218">
        <f>INDEX('Hist. prices'!$I$86:$AB$160,MATCH($C1167,'Hist. prices'!$C$86:$C$160,0),MATCH(O$1124,'Hist. prices'!$I$5:$AB$5,0))</f>
        <v>0</v>
      </c>
      <c r="P1167" s="218">
        <f>INDEX('Hist. prices'!$I$86:$AB$160,MATCH($C1167,'Hist. prices'!$C$86:$C$160,0),MATCH(P$1124,'Hist. prices'!$I$5:$AB$5,0))</f>
        <v>0</v>
      </c>
      <c r="Q1167" s="218">
        <f>INDEX('Hist. prices'!$I$86:$AB$160,MATCH($C1167,'Hist. prices'!$C$86:$C$160,0),MATCH(Q$1124,'Hist. prices'!$I$5:$AB$5,0))</f>
        <v>0</v>
      </c>
      <c r="R1167" s="218">
        <f>INDEX('Hist. prices'!$I$86:$AB$160,MATCH($C1167,'Hist. prices'!$C$86:$C$160,0),MATCH(R$1124,'Hist. prices'!$I$5:$AB$5,0))</f>
        <v>0</v>
      </c>
      <c r="S1167" s="218">
        <f>INDEX('Hist. prices'!$I$86:$AB$160,MATCH($C1167,'Hist. prices'!$C$86:$C$160,0),MATCH(S$1124,'Hist. prices'!$I$5:$AB$5,0))</f>
        <v>0</v>
      </c>
      <c r="T1167" s="218">
        <f>INDEX('Hist. prices'!$I$86:$AB$160,MATCH($C1167,'Hist. prices'!$C$86:$C$160,0),MATCH(T$1124,'Hist. prices'!$I$5:$AB$5,0))</f>
        <v>0</v>
      </c>
      <c r="U1167" s="218">
        <f>INDEX('Hist. prices'!$I$86:$AB$160,MATCH($C1167,'Hist. prices'!$C$86:$C$160,0),MATCH(U$1124,'Hist. prices'!$I$5:$AB$5,0))</f>
        <v>0</v>
      </c>
      <c r="V1167" s="218">
        <f>INDEX('Hist. prices'!$I$86:$AB$160,MATCH($C1167,'Hist. prices'!$C$86:$C$160,0),MATCH(V$1124,'Hist. prices'!$I$5:$AB$5,0))</f>
        <v>0</v>
      </c>
      <c r="W1167" s="218">
        <f>INDEX('Hist. prices'!$I$86:$AB$160,MATCH($C1167,'Hist. prices'!$C$86:$C$160,0),MATCH(W$1124,'Hist. prices'!$I$5:$AB$5,0))</f>
        <v>0</v>
      </c>
      <c r="X1167" s="218">
        <f>INDEX('Hist. prices'!$I$86:$AB$160,MATCH($C1167,'Hist. prices'!$C$86:$C$160,0),MATCH(X$1124,'Hist. prices'!$I$5:$AB$5,0))</f>
        <v>0</v>
      </c>
      <c r="Y1167" s="218">
        <f>INDEX('Hist. prices'!$I$86:$AB$160,MATCH($C1167,'Hist. prices'!$C$86:$C$160,0),MATCH(Y$1124,'Hist. prices'!$I$5:$AB$5,0))</f>
        <v>0</v>
      </c>
      <c r="Z1167" s="218">
        <f>INDEX('Hist. prices'!$I$86:$AB$160,MATCH($C1167,'Hist. prices'!$C$86:$C$160,0),MATCH(Z$1124,'Hist. prices'!$I$5:$AB$5,0))</f>
        <v>0</v>
      </c>
      <c r="AA1167" s="218">
        <f>INDEX('Hist. prices'!$I$86:$AB$160,MATCH($C1167,'Hist. prices'!$C$86:$C$160,0),MATCH(AA$1124,'Hist. prices'!$I$5:$AB$5,0))</f>
        <v>0</v>
      </c>
      <c r="AB1167" s="218">
        <f>INDEX('Hist. prices'!$I$86:$AB$160,MATCH($C1167,'Hist. prices'!$C$86:$C$160,0),MATCH(AB$1124,'Hist. prices'!$I$5:$AB$5,0))</f>
        <v>0</v>
      </c>
      <c r="AC1167" s="187"/>
      <c r="AD1167" s="19"/>
      <c r="AE1167" s="19"/>
      <c r="AF1167" s="19"/>
      <c r="AG1167" s="19"/>
    </row>
    <row r="1168" spans="1:33" hidden="1" outlineLevel="3" x14ac:dyDescent="0.2">
      <c r="A1168" s="19"/>
      <c r="B1168" s="19"/>
      <c r="C1168" s="506">
        <f t="shared" si="217"/>
        <v>0</v>
      </c>
      <c r="D1168" s="505">
        <f t="shared" si="217"/>
        <v>0</v>
      </c>
      <c r="E1168" s="58"/>
      <c r="F1168" s="223"/>
      <c r="G1168" s="58"/>
      <c r="H1168" s="58"/>
      <c r="I1168" s="218">
        <f>INDEX('Hist. prices'!$I$86:$AB$160,MATCH($C1168,'Hist. prices'!$C$86:$C$160,0),MATCH(I$1124,'Hist. prices'!$I$5:$AB$5,0))</f>
        <v>0</v>
      </c>
      <c r="J1168" s="218">
        <f>INDEX('Hist. prices'!$I$86:$AB$160,MATCH($C1168,'Hist. prices'!$C$86:$C$160,0),MATCH(J$1124,'Hist. prices'!$I$5:$AB$5,0))</f>
        <v>0</v>
      </c>
      <c r="K1168" s="218">
        <f>INDEX('Hist. prices'!$I$86:$AB$160,MATCH($C1168,'Hist. prices'!$C$86:$C$160,0),MATCH(K$1124,'Hist. prices'!$I$5:$AB$5,0))</f>
        <v>0</v>
      </c>
      <c r="L1168" s="218">
        <f>INDEX('Hist. prices'!$I$86:$AB$160,MATCH($C1168,'Hist. prices'!$C$86:$C$160,0),MATCH(L$1124,'Hist. prices'!$I$5:$AB$5,0))</f>
        <v>0</v>
      </c>
      <c r="M1168" s="218">
        <f>INDEX('Hist. prices'!$I$86:$AB$160,MATCH($C1168,'Hist. prices'!$C$86:$C$160,0),MATCH(M$1124,'Hist. prices'!$I$5:$AB$5,0))</f>
        <v>0</v>
      </c>
      <c r="N1168" s="218">
        <f>INDEX('Hist. prices'!$I$86:$AB$160,MATCH($C1168,'Hist. prices'!$C$86:$C$160,0),MATCH(N$1124,'Hist. prices'!$I$5:$AB$5,0))</f>
        <v>0</v>
      </c>
      <c r="O1168" s="218">
        <f>INDEX('Hist. prices'!$I$86:$AB$160,MATCH($C1168,'Hist. prices'!$C$86:$C$160,0),MATCH(O$1124,'Hist. prices'!$I$5:$AB$5,0))</f>
        <v>0</v>
      </c>
      <c r="P1168" s="218">
        <f>INDEX('Hist. prices'!$I$86:$AB$160,MATCH($C1168,'Hist. prices'!$C$86:$C$160,0),MATCH(P$1124,'Hist. prices'!$I$5:$AB$5,0))</f>
        <v>0</v>
      </c>
      <c r="Q1168" s="218">
        <f>INDEX('Hist. prices'!$I$86:$AB$160,MATCH($C1168,'Hist. prices'!$C$86:$C$160,0),MATCH(Q$1124,'Hist. prices'!$I$5:$AB$5,0))</f>
        <v>0</v>
      </c>
      <c r="R1168" s="218">
        <f>INDEX('Hist. prices'!$I$86:$AB$160,MATCH($C1168,'Hist. prices'!$C$86:$C$160,0),MATCH(R$1124,'Hist. prices'!$I$5:$AB$5,0))</f>
        <v>0</v>
      </c>
      <c r="S1168" s="218">
        <f>INDEX('Hist. prices'!$I$86:$AB$160,MATCH($C1168,'Hist. prices'!$C$86:$C$160,0),MATCH(S$1124,'Hist. prices'!$I$5:$AB$5,0))</f>
        <v>0</v>
      </c>
      <c r="T1168" s="218">
        <f>INDEX('Hist. prices'!$I$86:$AB$160,MATCH($C1168,'Hist. prices'!$C$86:$C$160,0),MATCH(T$1124,'Hist. prices'!$I$5:$AB$5,0))</f>
        <v>0</v>
      </c>
      <c r="U1168" s="218">
        <f>INDEX('Hist. prices'!$I$86:$AB$160,MATCH($C1168,'Hist. prices'!$C$86:$C$160,0),MATCH(U$1124,'Hist. prices'!$I$5:$AB$5,0))</f>
        <v>0</v>
      </c>
      <c r="V1168" s="218">
        <f>INDEX('Hist. prices'!$I$86:$AB$160,MATCH($C1168,'Hist. prices'!$C$86:$C$160,0),MATCH(V$1124,'Hist. prices'!$I$5:$AB$5,0))</f>
        <v>0</v>
      </c>
      <c r="W1168" s="218">
        <f>INDEX('Hist. prices'!$I$86:$AB$160,MATCH($C1168,'Hist. prices'!$C$86:$C$160,0),MATCH(W$1124,'Hist. prices'!$I$5:$AB$5,0))</f>
        <v>0</v>
      </c>
      <c r="X1168" s="218">
        <f>INDEX('Hist. prices'!$I$86:$AB$160,MATCH($C1168,'Hist. prices'!$C$86:$C$160,0),MATCH(X$1124,'Hist. prices'!$I$5:$AB$5,0))</f>
        <v>0</v>
      </c>
      <c r="Y1168" s="218">
        <f>INDEX('Hist. prices'!$I$86:$AB$160,MATCH($C1168,'Hist. prices'!$C$86:$C$160,0),MATCH(Y$1124,'Hist. prices'!$I$5:$AB$5,0))</f>
        <v>0</v>
      </c>
      <c r="Z1168" s="218">
        <f>INDEX('Hist. prices'!$I$86:$AB$160,MATCH($C1168,'Hist. prices'!$C$86:$C$160,0),MATCH(Z$1124,'Hist. prices'!$I$5:$AB$5,0))</f>
        <v>0</v>
      </c>
      <c r="AA1168" s="218">
        <f>INDEX('Hist. prices'!$I$86:$AB$160,MATCH($C1168,'Hist. prices'!$C$86:$C$160,0),MATCH(AA$1124,'Hist. prices'!$I$5:$AB$5,0))</f>
        <v>0</v>
      </c>
      <c r="AB1168" s="218">
        <f>INDEX('Hist. prices'!$I$86:$AB$160,MATCH($C1168,'Hist. prices'!$C$86:$C$160,0),MATCH(AB$1124,'Hist. prices'!$I$5:$AB$5,0))</f>
        <v>0</v>
      </c>
      <c r="AC1168" s="187"/>
      <c r="AD1168" s="19"/>
      <c r="AE1168" s="19"/>
      <c r="AF1168" s="19"/>
      <c r="AG1168" s="19"/>
    </row>
    <row r="1169" spans="1:33" hidden="1" outlineLevel="3" x14ac:dyDescent="0.2">
      <c r="A1169" s="19"/>
      <c r="B1169" s="19"/>
      <c r="C1169" s="506">
        <f t="shared" si="217"/>
        <v>0</v>
      </c>
      <c r="D1169" s="505">
        <f t="shared" si="217"/>
        <v>0</v>
      </c>
      <c r="E1169" s="58"/>
      <c r="F1169" s="223"/>
      <c r="G1169" s="58"/>
      <c r="H1169" s="58"/>
      <c r="I1169" s="218">
        <f>INDEX('Hist. prices'!$I$86:$AB$160,MATCH($C1169,'Hist. prices'!$C$86:$C$160,0),MATCH(I$1124,'Hist. prices'!$I$5:$AB$5,0))</f>
        <v>0</v>
      </c>
      <c r="J1169" s="218">
        <f>INDEX('Hist. prices'!$I$86:$AB$160,MATCH($C1169,'Hist. prices'!$C$86:$C$160,0),MATCH(J$1124,'Hist. prices'!$I$5:$AB$5,0))</f>
        <v>0</v>
      </c>
      <c r="K1169" s="218">
        <f>INDEX('Hist. prices'!$I$86:$AB$160,MATCH($C1169,'Hist. prices'!$C$86:$C$160,0),MATCH(K$1124,'Hist. prices'!$I$5:$AB$5,0))</f>
        <v>0</v>
      </c>
      <c r="L1169" s="218">
        <f>INDEX('Hist. prices'!$I$86:$AB$160,MATCH($C1169,'Hist. prices'!$C$86:$C$160,0),MATCH(L$1124,'Hist. prices'!$I$5:$AB$5,0))</f>
        <v>0</v>
      </c>
      <c r="M1169" s="218">
        <f>INDEX('Hist. prices'!$I$86:$AB$160,MATCH($C1169,'Hist. prices'!$C$86:$C$160,0),MATCH(M$1124,'Hist. prices'!$I$5:$AB$5,0))</f>
        <v>0</v>
      </c>
      <c r="N1169" s="218">
        <f>INDEX('Hist. prices'!$I$86:$AB$160,MATCH($C1169,'Hist. prices'!$C$86:$C$160,0),MATCH(N$1124,'Hist. prices'!$I$5:$AB$5,0))</f>
        <v>0</v>
      </c>
      <c r="O1169" s="218">
        <f>INDEX('Hist. prices'!$I$86:$AB$160,MATCH($C1169,'Hist. prices'!$C$86:$C$160,0),MATCH(O$1124,'Hist. prices'!$I$5:$AB$5,0))</f>
        <v>0</v>
      </c>
      <c r="P1169" s="218">
        <f>INDEX('Hist. prices'!$I$86:$AB$160,MATCH($C1169,'Hist. prices'!$C$86:$C$160,0),MATCH(P$1124,'Hist. prices'!$I$5:$AB$5,0))</f>
        <v>0</v>
      </c>
      <c r="Q1169" s="218">
        <f>INDEX('Hist. prices'!$I$86:$AB$160,MATCH($C1169,'Hist. prices'!$C$86:$C$160,0),MATCH(Q$1124,'Hist. prices'!$I$5:$AB$5,0))</f>
        <v>0</v>
      </c>
      <c r="R1169" s="218">
        <f>INDEX('Hist. prices'!$I$86:$AB$160,MATCH($C1169,'Hist. prices'!$C$86:$C$160,0),MATCH(R$1124,'Hist. prices'!$I$5:$AB$5,0))</f>
        <v>0</v>
      </c>
      <c r="S1169" s="218">
        <f>INDEX('Hist. prices'!$I$86:$AB$160,MATCH($C1169,'Hist. prices'!$C$86:$C$160,0),MATCH(S$1124,'Hist. prices'!$I$5:$AB$5,0))</f>
        <v>0</v>
      </c>
      <c r="T1169" s="218">
        <f>INDEX('Hist. prices'!$I$86:$AB$160,MATCH($C1169,'Hist. prices'!$C$86:$C$160,0),MATCH(T$1124,'Hist. prices'!$I$5:$AB$5,0))</f>
        <v>0</v>
      </c>
      <c r="U1169" s="218">
        <f>INDEX('Hist. prices'!$I$86:$AB$160,MATCH($C1169,'Hist. prices'!$C$86:$C$160,0),MATCH(U$1124,'Hist. prices'!$I$5:$AB$5,0))</f>
        <v>0</v>
      </c>
      <c r="V1169" s="218">
        <f>INDEX('Hist. prices'!$I$86:$AB$160,MATCH($C1169,'Hist. prices'!$C$86:$C$160,0),MATCH(V$1124,'Hist. prices'!$I$5:$AB$5,0))</f>
        <v>0</v>
      </c>
      <c r="W1169" s="218">
        <f>INDEX('Hist. prices'!$I$86:$AB$160,MATCH($C1169,'Hist. prices'!$C$86:$C$160,0),MATCH(W$1124,'Hist. prices'!$I$5:$AB$5,0))</f>
        <v>0</v>
      </c>
      <c r="X1169" s="218">
        <f>INDEX('Hist. prices'!$I$86:$AB$160,MATCH($C1169,'Hist. prices'!$C$86:$C$160,0),MATCH(X$1124,'Hist. prices'!$I$5:$AB$5,0))</f>
        <v>0</v>
      </c>
      <c r="Y1169" s="218">
        <f>INDEX('Hist. prices'!$I$86:$AB$160,MATCH($C1169,'Hist. prices'!$C$86:$C$160,0),MATCH(Y$1124,'Hist. prices'!$I$5:$AB$5,0))</f>
        <v>0</v>
      </c>
      <c r="Z1169" s="218">
        <f>INDEX('Hist. prices'!$I$86:$AB$160,MATCH($C1169,'Hist. prices'!$C$86:$C$160,0),MATCH(Z$1124,'Hist. prices'!$I$5:$AB$5,0))</f>
        <v>0</v>
      </c>
      <c r="AA1169" s="218">
        <f>INDEX('Hist. prices'!$I$86:$AB$160,MATCH($C1169,'Hist. prices'!$C$86:$C$160,0),MATCH(AA$1124,'Hist. prices'!$I$5:$AB$5,0))</f>
        <v>0</v>
      </c>
      <c r="AB1169" s="218">
        <f>INDEX('Hist. prices'!$I$86:$AB$160,MATCH($C1169,'Hist. prices'!$C$86:$C$160,0),MATCH(AB$1124,'Hist. prices'!$I$5:$AB$5,0))</f>
        <v>0</v>
      </c>
      <c r="AC1169" s="187"/>
      <c r="AD1169" s="19"/>
      <c r="AE1169" s="19"/>
      <c r="AF1169" s="19"/>
      <c r="AG1169" s="19"/>
    </row>
    <row r="1170" spans="1:33" hidden="1" outlineLevel="3" x14ac:dyDescent="0.2">
      <c r="A1170" s="19"/>
      <c r="B1170" s="19"/>
      <c r="C1170" s="506">
        <f t="shared" si="217"/>
        <v>0</v>
      </c>
      <c r="D1170" s="505">
        <f t="shared" si="217"/>
        <v>0</v>
      </c>
      <c r="E1170" s="58"/>
      <c r="F1170" s="223"/>
      <c r="G1170" s="58"/>
      <c r="H1170" s="58"/>
      <c r="I1170" s="218">
        <f>INDEX('Hist. prices'!$I$86:$AB$160,MATCH($C1170,'Hist. prices'!$C$86:$C$160,0),MATCH(I$1124,'Hist. prices'!$I$5:$AB$5,0))</f>
        <v>0</v>
      </c>
      <c r="J1170" s="218">
        <f>INDEX('Hist. prices'!$I$86:$AB$160,MATCH($C1170,'Hist. prices'!$C$86:$C$160,0),MATCH(J$1124,'Hist. prices'!$I$5:$AB$5,0))</f>
        <v>0</v>
      </c>
      <c r="K1170" s="218">
        <f>INDEX('Hist. prices'!$I$86:$AB$160,MATCH($C1170,'Hist. prices'!$C$86:$C$160,0),MATCH(K$1124,'Hist. prices'!$I$5:$AB$5,0))</f>
        <v>0</v>
      </c>
      <c r="L1170" s="218">
        <f>INDEX('Hist. prices'!$I$86:$AB$160,MATCH($C1170,'Hist. prices'!$C$86:$C$160,0),MATCH(L$1124,'Hist. prices'!$I$5:$AB$5,0))</f>
        <v>0</v>
      </c>
      <c r="M1170" s="218">
        <f>INDEX('Hist. prices'!$I$86:$AB$160,MATCH($C1170,'Hist. prices'!$C$86:$C$160,0),MATCH(M$1124,'Hist. prices'!$I$5:$AB$5,0))</f>
        <v>0</v>
      </c>
      <c r="N1170" s="218">
        <f>INDEX('Hist. prices'!$I$86:$AB$160,MATCH($C1170,'Hist. prices'!$C$86:$C$160,0),MATCH(N$1124,'Hist. prices'!$I$5:$AB$5,0))</f>
        <v>0</v>
      </c>
      <c r="O1170" s="218">
        <f>INDEX('Hist. prices'!$I$86:$AB$160,MATCH($C1170,'Hist. prices'!$C$86:$C$160,0),MATCH(O$1124,'Hist. prices'!$I$5:$AB$5,0))</f>
        <v>0</v>
      </c>
      <c r="P1170" s="218">
        <f>INDEX('Hist. prices'!$I$86:$AB$160,MATCH($C1170,'Hist. prices'!$C$86:$C$160,0),MATCH(P$1124,'Hist. prices'!$I$5:$AB$5,0))</f>
        <v>0</v>
      </c>
      <c r="Q1170" s="218">
        <f>INDEX('Hist. prices'!$I$86:$AB$160,MATCH($C1170,'Hist. prices'!$C$86:$C$160,0),MATCH(Q$1124,'Hist. prices'!$I$5:$AB$5,0))</f>
        <v>0</v>
      </c>
      <c r="R1170" s="218">
        <f>INDEX('Hist. prices'!$I$86:$AB$160,MATCH($C1170,'Hist. prices'!$C$86:$C$160,0),MATCH(R$1124,'Hist. prices'!$I$5:$AB$5,0))</f>
        <v>0</v>
      </c>
      <c r="S1170" s="218">
        <f>INDEX('Hist. prices'!$I$86:$AB$160,MATCH($C1170,'Hist. prices'!$C$86:$C$160,0),MATCH(S$1124,'Hist. prices'!$I$5:$AB$5,0))</f>
        <v>0</v>
      </c>
      <c r="T1170" s="218">
        <f>INDEX('Hist. prices'!$I$86:$AB$160,MATCH($C1170,'Hist. prices'!$C$86:$C$160,0),MATCH(T$1124,'Hist. prices'!$I$5:$AB$5,0))</f>
        <v>0</v>
      </c>
      <c r="U1170" s="218">
        <f>INDEX('Hist. prices'!$I$86:$AB$160,MATCH($C1170,'Hist. prices'!$C$86:$C$160,0),MATCH(U$1124,'Hist. prices'!$I$5:$AB$5,0))</f>
        <v>0</v>
      </c>
      <c r="V1170" s="218">
        <f>INDEX('Hist. prices'!$I$86:$AB$160,MATCH($C1170,'Hist. prices'!$C$86:$C$160,0),MATCH(V$1124,'Hist. prices'!$I$5:$AB$5,0))</f>
        <v>0</v>
      </c>
      <c r="W1170" s="218">
        <f>INDEX('Hist. prices'!$I$86:$AB$160,MATCH($C1170,'Hist. prices'!$C$86:$C$160,0),MATCH(W$1124,'Hist. prices'!$I$5:$AB$5,0))</f>
        <v>0</v>
      </c>
      <c r="X1170" s="218">
        <f>INDEX('Hist. prices'!$I$86:$AB$160,MATCH($C1170,'Hist. prices'!$C$86:$C$160,0),MATCH(X$1124,'Hist. prices'!$I$5:$AB$5,0))</f>
        <v>0</v>
      </c>
      <c r="Y1170" s="218">
        <f>INDEX('Hist. prices'!$I$86:$AB$160,MATCH($C1170,'Hist. prices'!$C$86:$C$160,0),MATCH(Y$1124,'Hist. prices'!$I$5:$AB$5,0))</f>
        <v>0</v>
      </c>
      <c r="Z1170" s="218">
        <f>INDEX('Hist. prices'!$I$86:$AB$160,MATCH($C1170,'Hist. prices'!$C$86:$C$160,0),MATCH(Z$1124,'Hist. prices'!$I$5:$AB$5,0))</f>
        <v>0</v>
      </c>
      <c r="AA1170" s="218">
        <f>INDEX('Hist. prices'!$I$86:$AB$160,MATCH($C1170,'Hist. prices'!$C$86:$C$160,0),MATCH(AA$1124,'Hist. prices'!$I$5:$AB$5,0))</f>
        <v>0</v>
      </c>
      <c r="AB1170" s="218">
        <f>INDEX('Hist. prices'!$I$86:$AB$160,MATCH($C1170,'Hist. prices'!$C$86:$C$160,0),MATCH(AB$1124,'Hist. prices'!$I$5:$AB$5,0))</f>
        <v>0</v>
      </c>
      <c r="AC1170" s="187"/>
      <c r="AD1170" s="19"/>
      <c r="AE1170" s="19"/>
      <c r="AF1170" s="19"/>
      <c r="AG1170" s="19"/>
    </row>
    <row r="1171" spans="1:33" hidden="1" outlineLevel="3" x14ac:dyDescent="0.2">
      <c r="A1171" s="19"/>
      <c r="B1171" s="19"/>
      <c r="C1171" s="506">
        <f t="shared" si="217"/>
        <v>0</v>
      </c>
      <c r="D1171" s="505">
        <f t="shared" si="217"/>
        <v>0</v>
      </c>
      <c r="E1171" s="58"/>
      <c r="F1171" s="223"/>
      <c r="G1171" s="58"/>
      <c r="H1171" s="58"/>
      <c r="I1171" s="218">
        <f>INDEX('Hist. prices'!$I$86:$AB$160,MATCH($C1171,'Hist. prices'!$C$86:$C$160,0),MATCH(I$1124,'Hist. prices'!$I$5:$AB$5,0))</f>
        <v>0</v>
      </c>
      <c r="J1171" s="218">
        <f>INDEX('Hist. prices'!$I$86:$AB$160,MATCH($C1171,'Hist. prices'!$C$86:$C$160,0),MATCH(J$1124,'Hist. prices'!$I$5:$AB$5,0))</f>
        <v>0</v>
      </c>
      <c r="K1171" s="218">
        <f>INDEX('Hist. prices'!$I$86:$AB$160,MATCH($C1171,'Hist. prices'!$C$86:$C$160,0),MATCH(K$1124,'Hist. prices'!$I$5:$AB$5,0))</f>
        <v>0</v>
      </c>
      <c r="L1171" s="218">
        <f>INDEX('Hist. prices'!$I$86:$AB$160,MATCH($C1171,'Hist. prices'!$C$86:$C$160,0),MATCH(L$1124,'Hist. prices'!$I$5:$AB$5,0))</f>
        <v>0</v>
      </c>
      <c r="M1171" s="218">
        <f>INDEX('Hist. prices'!$I$86:$AB$160,MATCH($C1171,'Hist. prices'!$C$86:$C$160,0),MATCH(M$1124,'Hist. prices'!$I$5:$AB$5,0))</f>
        <v>0</v>
      </c>
      <c r="N1171" s="218">
        <f>INDEX('Hist. prices'!$I$86:$AB$160,MATCH($C1171,'Hist. prices'!$C$86:$C$160,0),MATCH(N$1124,'Hist. prices'!$I$5:$AB$5,0))</f>
        <v>0</v>
      </c>
      <c r="O1171" s="218">
        <f>INDEX('Hist. prices'!$I$86:$AB$160,MATCH($C1171,'Hist. prices'!$C$86:$C$160,0),MATCH(O$1124,'Hist. prices'!$I$5:$AB$5,0))</f>
        <v>0</v>
      </c>
      <c r="P1171" s="218">
        <f>INDEX('Hist. prices'!$I$86:$AB$160,MATCH($C1171,'Hist. prices'!$C$86:$C$160,0),MATCH(P$1124,'Hist. prices'!$I$5:$AB$5,0))</f>
        <v>0</v>
      </c>
      <c r="Q1171" s="218">
        <f>INDEX('Hist. prices'!$I$86:$AB$160,MATCH($C1171,'Hist. prices'!$C$86:$C$160,0),MATCH(Q$1124,'Hist. prices'!$I$5:$AB$5,0))</f>
        <v>0</v>
      </c>
      <c r="R1171" s="218">
        <f>INDEX('Hist. prices'!$I$86:$AB$160,MATCH($C1171,'Hist. prices'!$C$86:$C$160,0),MATCH(R$1124,'Hist. prices'!$I$5:$AB$5,0))</f>
        <v>0</v>
      </c>
      <c r="S1171" s="218">
        <f>INDEX('Hist. prices'!$I$86:$AB$160,MATCH($C1171,'Hist. prices'!$C$86:$C$160,0),MATCH(S$1124,'Hist. prices'!$I$5:$AB$5,0))</f>
        <v>0</v>
      </c>
      <c r="T1171" s="218">
        <f>INDEX('Hist. prices'!$I$86:$AB$160,MATCH($C1171,'Hist. prices'!$C$86:$C$160,0),MATCH(T$1124,'Hist. prices'!$I$5:$AB$5,0))</f>
        <v>0</v>
      </c>
      <c r="U1171" s="218">
        <f>INDEX('Hist. prices'!$I$86:$AB$160,MATCH($C1171,'Hist. prices'!$C$86:$C$160,0),MATCH(U$1124,'Hist. prices'!$I$5:$AB$5,0))</f>
        <v>0</v>
      </c>
      <c r="V1171" s="218">
        <f>INDEX('Hist. prices'!$I$86:$AB$160,MATCH($C1171,'Hist. prices'!$C$86:$C$160,0),MATCH(V$1124,'Hist. prices'!$I$5:$AB$5,0))</f>
        <v>0</v>
      </c>
      <c r="W1171" s="218">
        <f>INDEX('Hist. prices'!$I$86:$AB$160,MATCH($C1171,'Hist. prices'!$C$86:$C$160,0),MATCH(W$1124,'Hist. prices'!$I$5:$AB$5,0))</f>
        <v>0</v>
      </c>
      <c r="X1171" s="218">
        <f>INDEX('Hist. prices'!$I$86:$AB$160,MATCH($C1171,'Hist. prices'!$C$86:$C$160,0),MATCH(X$1124,'Hist. prices'!$I$5:$AB$5,0))</f>
        <v>0</v>
      </c>
      <c r="Y1171" s="218">
        <f>INDEX('Hist. prices'!$I$86:$AB$160,MATCH($C1171,'Hist. prices'!$C$86:$C$160,0),MATCH(Y$1124,'Hist. prices'!$I$5:$AB$5,0))</f>
        <v>0</v>
      </c>
      <c r="Z1171" s="218">
        <f>INDEX('Hist. prices'!$I$86:$AB$160,MATCH($C1171,'Hist. prices'!$C$86:$C$160,0),MATCH(Z$1124,'Hist. prices'!$I$5:$AB$5,0))</f>
        <v>0</v>
      </c>
      <c r="AA1171" s="218">
        <f>INDEX('Hist. prices'!$I$86:$AB$160,MATCH($C1171,'Hist. prices'!$C$86:$C$160,0),MATCH(AA$1124,'Hist. prices'!$I$5:$AB$5,0))</f>
        <v>0</v>
      </c>
      <c r="AB1171" s="218">
        <f>INDEX('Hist. prices'!$I$86:$AB$160,MATCH($C1171,'Hist. prices'!$C$86:$C$160,0),MATCH(AB$1124,'Hist. prices'!$I$5:$AB$5,0))</f>
        <v>0</v>
      </c>
      <c r="AC1171" s="187"/>
      <c r="AD1171" s="19"/>
      <c r="AE1171" s="19"/>
      <c r="AF1171" s="19"/>
      <c r="AG1171" s="19"/>
    </row>
    <row r="1172" spans="1:33" hidden="1" outlineLevel="3" x14ac:dyDescent="0.2">
      <c r="A1172" s="19"/>
      <c r="B1172" s="19"/>
      <c r="C1172" s="506">
        <f t="shared" si="217"/>
        <v>0</v>
      </c>
      <c r="D1172" s="505">
        <f t="shared" si="217"/>
        <v>0</v>
      </c>
      <c r="E1172" s="58"/>
      <c r="F1172" s="223"/>
      <c r="G1172" s="58"/>
      <c r="H1172" s="58"/>
      <c r="I1172" s="218">
        <f>INDEX('Hist. prices'!$I$86:$AB$160,MATCH($C1172,'Hist. prices'!$C$86:$C$160,0),MATCH(I$1124,'Hist. prices'!$I$5:$AB$5,0))</f>
        <v>0</v>
      </c>
      <c r="J1172" s="218">
        <f>INDEX('Hist. prices'!$I$86:$AB$160,MATCH($C1172,'Hist. prices'!$C$86:$C$160,0),MATCH(J$1124,'Hist. prices'!$I$5:$AB$5,0))</f>
        <v>0</v>
      </c>
      <c r="K1172" s="218">
        <f>INDEX('Hist. prices'!$I$86:$AB$160,MATCH($C1172,'Hist. prices'!$C$86:$C$160,0),MATCH(K$1124,'Hist. prices'!$I$5:$AB$5,0))</f>
        <v>0</v>
      </c>
      <c r="L1172" s="218">
        <f>INDEX('Hist. prices'!$I$86:$AB$160,MATCH($C1172,'Hist. prices'!$C$86:$C$160,0),MATCH(L$1124,'Hist. prices'!$I$5:$AB$5,0))</f>
        <v>0</v>
      </c>
      <c r="M1172" s="218">
        <f>INDEX('Hist. prices'!$I$86:$AB$160,MATCH($C1172,'Hist. prices'!$C$86:$C$160,0),MATCH(M$1124,'Hist. prices'!$I$5:$AB$5,0))</f>
        <v>0</v>
      </c>
      <c r="N1172" s="218">
        <f>INDEX('Hist. prices'!$I$86:$AB$160,MATCH($C1172,'Hist. prices'!$C$86:$C$160,0),MATCH(N$1124,'Hist. prices'!$I$5:$AB$5,0))</f>
        <v>0</v>
      </c>
      <c r="O1172" s="218">
        <f>INDEX('Hist. prices'!$I$86:$AB$160,MATCH($C1172,'Hist. prices'!$C$86:$C$160,0),MATCH(O$1124,'Hist. prices'!$I$5:$AB$5,0))</f>
        <v>0</v>
      </c>
      <c r="P1172" s="218">
        <f>INDEX('Hist. prices'!$I$86:$AB$160,MATCH($C1172,'Hist. prices'!$C$86:$C$160,0),MATCH(P$1124,'Hist. prices'!$I$5:$AB$5,0))</f>
        <v>0</v>
      </c>
      <c r="Q1172" s="218">
        <f>INDEX('Hist. prices'!$I$86:$AB$160,MATCH($C1172,'Hist. prices'!$C$86:$C$160,0),MATCH(Q$1124,'Hist. prices'!$I$5:$AB$5,0))</f>
        <v>0</v>
      </c>
      <c r="R1172" s="218">
        <f>INDEX('Hist. prices'!$I$86:$AB$160,MATCH($C1172,'Hist. prices'!$C$86:$C$160,0),MATCH(R$1124,'Hist. prices'!$I$5:$AB$5,0))</f>
        <v>0</v>
      </c>
      <c r="S1172" s="218">
        <f>INDEX('Hist. prices'!$I$86:$AB$160,MATCH($C1172,'Hist. prices'!$C$86:$C$160,0),MATCH(S$1124,'Hist. prices'!$I$5:$AB$5,0))</f>
        <v>0</v>
      </c>
      <c r="T1172" s="218">
        <f>INDEX('Hist. prices'!$I$86:$AB$160,MATCH($C1172,'Hist. prices'!$C$86:$C$160,0),MATCH(T$1124,'Hist. prices'!$I$5:$AB$5,0))</f>
        <v>0</v>
      </c>
      <c r="U1172" s="218">
        <f>INDEX('Hist. prices'!$I$86:$AB$160,MATCH($C1172,'Hist. prices'!$C$86:$C$160,0),MATCH(U$1124,'Hist. prices'!$I$5:$AB$5,0))</f>
        <v>0</v>
      </c>
      <c r="V1172" s="218">
        <f>INDEX('Hist. prices'!$I$86:$AB$160,MATCH($C1172,'Hist. prices'!$C$86:$C$160,0),MATCH(V$1124,'Hist. prices'!$I$5:$AB$5,0))</f>
        <v>0</v>
      </c>
      <c r="W1172" s="218">
        <f>INDEX('Hist. prices'!$I$86:$AB$160,MATCH($C1172,'Hist. prices'!$C$86:$C$160,0),MATCH(W$1124,'Hist. prices'!$I$5:$AB$5,0))</f>
        <v>0</v>
      </c>
      <c r="X1172" s="218">
        <f>INDEX('Hist. prices'!$I$86:$AB$160,MATCH($C1172,'Hist. prices'!$C$86:$C$160,0),MATCH(X$1124,'Hist. prices'!$I$5:$AB$5,0))</f>
        <v>0</v>
      </c>
      <c r="Y1172" s="218">
        <f>INDEX('Hist. prices'!$I$86:$AB$160,MATCH($C1172,'Hist. prices'!$C$86:$C$160,0),MATCH(Y$1124,'Hist. prices'!$I$5:$AB$5,0))</f>
        <v>0</v>
      </c>
      <c r="Z1172" s="218">
        <f>INDEX('Hist. prices'!$I$86:$AB$160,MATCH($C1172,'Hist. prices'!$C$86:$C$160,0),MATCH(Z$1124,'Hist. prices'!$I$5:$AB$5,0))</f>
        <v>0</v>
      </c>
      <c r="AA1172" s="218">
        <f>INDEX('Hist. prices'!$I$86:$AB$160,MATCH($C1172,'Hist. prices'!$C$86:$C$160,0),MATCH(AA$1124,'Hist. prices'!$I$5:$AB$5,0))</f>
        <v>0</v>
      </c>
      <c r="AB1172" s="218">
        <f>INDEX('Hist. prices'!$I$86:$AB$160,MATCH($C1172,'Hist. prices'!$C$86:$C$160,0),MATCH(AB$1124,'Hist. prices'!$I$5:$AB$5,0))</f>
        <v>0</v>
      </c>
      <c r="AC1172" s="187"/>
      <c r="AD1172" s="19"/>
      <c r="AE1172" s="19"/>
      <c r="AF1172" s="19"/>
      <c r="AG1172" s="19"/>
    </row>
    <row r="1173" spans="1:33" hidden="1" outlineLevel="3" x14ac:dyDescent="0.2">
      <c r="A1173" s="19"/>
      <c r="B1173" s="19"/>
      <c r="C1173" s="506">
        <f t="shared" si="217"/>
        <v>0</v>
      </c>
      <c r="D1173" s="505">
        <f t="shared" si="217"/>
        <v>0</v>
      </c>
      <c r="E1173" s="58"/>
      <c r="F1173" s="223"/>
      <c r="G1173" s="58"/>
      <c r="H1173" s="58"/>
      <c r="I1173" s="218">
        <f>INDEX('Hist. prices'!$I$86:$AB$160,MATCH($C1173,'Hist. prices'!$C$86:$C$160,0),MATCH(I$1124,'Hist. prices'!$I$5:$AB$5,0))</f>
        <v>0</v>
      </c>
      <c r="J1173" s="218">
        <f>INDEX('Hist. prices'!$I$86:$AB$160,MATCH($C1173,'Hist. prices'!$C$86:$C$160,0),MATCH(J$1124,'Hist. prices'!$I$5:$AB$5,0))</f>
        <v>0</v>
      </c>
      <c r="K1173" s="218">
        <f>INDEX('Hist. prices'!$I$86:$AB$160,MATCH($C1173,'Hist. prices'!$C$86:$C$160,0),MATCH(K$1124,'Hist. prices'!$I$5:$AB$5,0))</f>
        <v>0</v>
      </c>
      <c r="L1173" s="218">
        <f>INDEX('Hist. prices'!$I$86:$AB$160,MATCH($C1173,'Hist. prices'!$C$86:$C$160,0),MATCH(L$1124,'Hist. prices'!$I$5:$AB$5,0))</f>
        <v>0</v>
      </c>
      <c r="M1173" s="218">
        <f>INDEX('Hist. prices'!$I$86:$AB$160,MATCH($C1173,'Hist. prices'!$C$86:$C$160,0),MATCH(M$1124,'Hist. prices'!$I$5:$AB$5,0))</f>
        <v>0</v>
      </c>
      <c r="N1173" s="218">
        <f>INDEX('Hist. prices'!$I$86:$AB$160,MATCH($C1173,'Hist. prices'!$C$86:$C$160,0),MATCH(N$1124,'Hist. prices'!$I$5:$AB$5,0))</f>
        <v>0</v>
      </c>
      <c r="O1173" s="218">
        <f>INDEX('Hist. prices'!$I$86:$AB$160,MATCH($C1173,'Hist. prices'!$C$86:$C$160,0),MATCH(O$1124,'Hist. prices'!$I$5:$AB$5,0))</f>
        <v>0</v>
      </c>
      <c r="P1173" s="218">
        <f>INDEX('Hist. prices'!$I$86:$AB$160,MATCH($C1173,'Hist. prices'!$C$86:$C$160,0),MATCH(P$1124,'Hist. prices'!$I$5:$AB$5,0))</f>
        <v>0</v>
      </c>
      <c r="Q1173" s="218">
        <f>INDEX('Hist. prices'!$I$86:$AB$160,MATCH($C1173,'Hist. prices'!$C$86:$C$160,0),MATCH(Q$1124,'Hist. prices'!$I$5:$AB$5,0))</f>
        <v>0</v>
      </c>
      <c r="R1173" s="218">
        <f>INDEX('Hist. prices'!$I$86:$AB$160,MATCH($C1173,'Hist. prices'!$C$86:$C$160,0),MATCH(R$1124,'Hist. prices'!$I$5:$AB$5,0))</f>
        <v>0</v>
      </c>
      <c r="S1173" s="218">
        <f>INDEX('Hist. prices'!$I$86:$AB$160,MATCH($C1173,'Hist. prices'!$C$86:$C$160,0),MATCH(S$1124,'Hist. prices'!$I$5:$AB$5,0))</f>
        <v>0</v>
      </c>
      <c r="T1173" s="218">
        <f>INDEX('Hist. prices'!$I$86:$AB$160,MATCH($C1173,'Hist. prices'!$C$86:$C$160,0),MATCH(T$1124,'Hist. prices'!$I$5:$AB$5,0))</f>
        <v>0</v>
      </c>
      <c r="U1173" s="218">
        <f>INDEX('Hist. prices'!$I$86:$AB$160,MATCH($C1173,'Hist. prices'!$C$86:$C$160,0),MATCH(U$1124,'Hist. prices'!$I$5:$AB$5,0))</f>
        <v>0</v>
      </c>
      <c r="V1173" s="218">
        <f>INDEX('Hist. prices'!$I$86:$AB$160,MATCH($C1173,'Hist. prices'!$C$86:$C$160,0),MATCH(V$1124,'Hist. prices'!$I$5:$AB$5,0))</f>
        <v>0</v>
      </c>
      <c r="W1173" s="218">
        <f>INDEX('Hist. prices'!$I$86:$AB$160,MATCH($C1173,'Hist. prices'!$C$86:$C$160,0),MATCH(W$1124,'Hist. prices'!$I$5:$AB$5,0))</f>
        <v>0</v>
      </c>
      <c r="X1173" s="218">
        <f>INDEX('Hist. prices'!$I$86:$AB$160,MATCH($C1173,'Hist. prices'!$C$86:$C$160,0),MATCH(X$1124,'Hist. prices'!$I$5:$AB$5,0))</f>
        <v>0</v>
      </c>
      <c r="Y1173" s="218">
        <f>INDEX('Hist. prices'!$I$86:$AB$160,MATCH($C1173,'Hist. prices'!$C$86:$C$160,0),MATCH(Y$1124,'Hist. prices'!$I$5:$AB$5,0))</f>
        <v>0</v>
      </c>
      <c r="Z1173" s="218">
        <f>INDEX('Hist. prices'!$I$86:$AB$160,MATCH($C1173,'Hist. prices'!$C$86:$C$160,0),MATCH(Z$1124,'Hist. prices'!$I$5:$AB$5,0))</f>
        <v>0</v>
      </c>
      <c r="AA1173" s="218">
        <f>INDEX('Hist. prices'!$I$86:$AB$160,MATCH($C1173,'Hist. prices'!$C$86:$C$160,0),MATCH(AA$1124,'Hist. prices'!$I$5:$AB$5,0))</f>
        <v>0</v>
      </c>
      <c r="AB1173" s="218">
        <f>INDEX('Hist. prices'!$I$86:$AB$160,MATCH($C1173,'Hist. prices'!$C$86:$C$160,0),MATCH(AB$1124,'Hist. prices'!$I$5:$AB$5,0))</f>
        <v>0</v>
      </c>
      <c r="AC1173" s="187"/>
      <c r="AD1173" s="19"/>
      <c r="AE1173" s="19"/>
      <c r="AF1173" s="19"/>
      <c r="AG1173" s="19"/>
    </row>
    <row r="1174" spans="1:33" hidden="1" outlineLevel="3" x14ac:dyDescent="0.2">
      <c r="A1174" s="19"/>
      <c r="B1174" s="19"/>
      <c r="C1174" s="506">
        <f t="shared" si="217"/>
        <v>0</v>
      </c>
      <c r="D1174" s="505">
        <f t="shared" si="217"/>
        <v>0</v>
      </c>
      <c r="E1174" s="58"/>
      <c r="F1174" s="223"/>
      <c r="G1174" s="58"/>
      <c r="H1174" s="58"/>
      <c r="I1174" s="218">
        <f>INDEX('Hist. prices'!$I$86:$AB$160,MATCH($C1174,'Hist. prices'!$C$86:$C$160,0),MATCH(I$1124,'Hist. prices'!$I$5:$AB$5,0))</f>
        <v>0</v>
      </c>
      <c r="J1174" s="218">
        <f>INDEX('Hist. prices'!$I$86:$AB$160,MATCH($C1174,'Hist. prices'!$C$86:$C$160,0),MATCH(J$1124,'Hist. prices'!$I$5:$AB$5,0))</f>
        <v>0</v>
      </c>
      <c r="K1174" s="218">
        <f>INDEX('Hist. prices'!$I$86:$AB$160,MATCH($C1174,'Hist. prices'!$C$86:$C$160,0),MATCH(K$1124,'Hist. prices'!$I$5:$AB$5,0))</f>
        <v>0</v>
      </c>
      <c r="L1174" s="218">
        <f>INDEX('Hist. prices'!$I$86:$AB$160,MATCH($C1174,'Hist. prices'!$C$86:$C$160,0),MATCH(L$1124,'Hist. prices'!$I$5:$AB$5,0))</f>
        <v>0</v>
      </c>
      <c r="M1174" s="218">
        <f>INDEX('Hist. prices'!$I$86:$AB$160,MATCH($C1174,'Hist. prices'!$C$86:$C$160,0),MATCH(M$1124,'Hist. prices'!$I$5:$AB$5,0))</f>
        <v>0</v>
      </c>
      <c r="N1174" s="218">
        <f>INDEX('Hist. prices'!$I$86:$AB$160,MATCH($C1174,'Hist. prices'!$C$86:$C$160,0),MATCH(N$1124,'Hist. prices'!$I$5:$AB$5,0))</f>
        <v>0</v>
      </c>
      <c r="O1174" s="218">
        <f>INDEX('Hist. prices'!$I$86:$AB$160,MATCH($C1174,'Hist. prices'!$C$86:$C$160,0),MATCH(O$1124,'Hist. prices'!$I$5:$AB$5,0))</f>
        <v>0</v>
      </c>
      <c r="P1174" s="218">
        <f>INDEX('Hist. prices'!$I$86:$AB$160,MATCH($C1174,'Hist. prices'!$C$86:$C$160,0),MATCH(P$1124,'Hist. prices'!$I$5:$AB$5,0))</f>
        <v>0</v>
      </c>
      <c r="Q1174" s="218">
        <f>INDEX('Hist. prices'!$I$86:$AB$160,MATCH($C1174,'Hist. prices'!$C$86:$C$160,0),MATCH(Q$1124,'Hist. prices'!$I$5:$AB$5,0))</f>
        <v>0</v>
      </c>
      <c r="R1174" s="218">
        <f>INDEX('Hist. prices'!$I$86:$AB$160,MATCH($C1174,'Hist. prices'!$C$86:$C$160,0),MATCH(R$1124,'Hist. prices'!$I$5:$AB$5,0))</f>
        <v>0</v>
      </c>
      <c r="S1174" s="218">
        <f>INDEX('Hist. prices'!$I$86:$AB$160,MATCH($C1174,'Hist. prices'!$C$86:$C$160,0),MATCH(S$1124,'Hist. prices'!$I$5:$AB$5,0))</f>
        <v>0</v>
      </c>
      <c r="T1174" s="218">
        <f>INDEX('Hist. prices'!$I$86:$AB$160,MATCH($C1174,'Hist. prices'!$C$86:$C$160,0),MATCH(T$1124,'Hist. prices'!$I$5:$AB$5,0))</f>
        <v>0</v>
      </c>
      <c r="U1174" s="218">
        <f>INDEX('Hist. prices'!$I$86:$AB$160,MATCH($C1174,'Hist. prices'!$C$86:$C$160,0),MATCH(U$1124,'Hist. prices'!$I$5:$AB$5,0))</f>
        <v>0</v>
      </c>
      <c r="V1174" s="218">
        <f>INDEX('Hist. prices'!$I$86:$AB$160,MATCH($C1174,'Hist. prices'!$C$86:$C$160,0),MATCH(V$1124,'Hist. prices'!$I$5:$AB$5,0))</f>
        <v>0</v>
      </c>
      <c r="W1174" s="218">
        <f>INDEX('Hist. prices'!$I$86:$AB$160,MATCH($C1174,'Hist. prices'!$C$86:$C$160,0),MATCH(W$1124,'Hist. prices'!$I$5:$AB$5,0))</f>
        <v>0</v>
      </c>
      <c r="X1174" s="218">
        <f>INDEX('Hist. prices'!$I$86:$AB$160,MATCH($C1174,'Hist. prices'!$C$86:$C$160,0),MATCH(X$1124,'Hist. prices'!$I$5:$AB$5,0))</f>
        <v>0</v>
      </c>
      <c r="Y1174" s="218">
        <f>INDEX('Hist. prices'!$I$86:$AB$160,MATCH($C1174,'Hist. prices'!$C$86:$C$160,0),MATCH(Y$1124,'Hist. prices'!$I$5:$AB$5,0))</f>
        <v>0</v>
      </c>
      <c r="Z1174" s="218">
        <f>INDEX('Hist. prices'!$I$86:$AB$160,MATCH($C1174,'Hist. prices'!$C$86:$C$160,0),MATCH(Z$1124,'Hist. prices'!$I$5:$AB$5,0))</f>
        <v>0</v>
      </c>
      <c r="AA1174" s="218">
        <f>INDEX('Hist. prices'!$I$86:$AB$160,MATCH($C1174,'Hist. prices'!$C$86:$C$160,0),MATCH(AA$1124,'Hist. prices'!$I$5:$AB$5,0))</f>
        <v>0</v>
      </c>
      <c r="AB1174" s="218">
        <f>INDEX('Hist. prices'!$I$86:$AB$160,MATCH($C1174,'Hist. prices'!$C$86:$C$160,0),MATCH(AB$1124,'Hist. prices'!$I$5:$AB$5,0))</f>
        <v>0</v>
      </c>
      <c r="AC1174" s="187"/>
      <c r="AD1174" s="19"/>
      <c r="AE1174" s="19"/>
      <c r="AF1174" s="19"/>
      <c r="AG1174" s="19"/>
    </row>
    <row r="1175" spans="1:33" hidden="1" outlineLevel="3" x14ac:dyDescent="0.2">
      <c r="A1175" s="19"/>
      <c r="B1175" s="19"/>
      <c r="C1175" s="506">
        <f t="shared" si="217"/>
        <v>0</v>
      </c>
      <c r="D1175" s="505">
        <f t="shared" si="217"/>
        <v>0</v>
      </c>
      <c r="E1175" s="58"/>
      <c r="F1175" s="223"/>
      <c r="G1175" s="58"/>
      <c r="H1175" s="58"/>
      <c r="I1175" s="218">
        <f>INDEX('Hist. prices'!$I$86:$AB$160,MATCH($C1175,'Hist. prices'!$C$86:$C$160,0),MATCH(I$1124,'Hist. prices'!$I$5:$AB$5,0))</f>
        <v>0</v>
      </c>
      <c r="J1175" s="218">
        <f>INDEX('Hist. prices'!$I$86:$AB$160,MATCH($C1175,'Hist. prices'!$C$86:$C$160,0),MATCH(J$1124,'Hist. prices'!$I$5:$AB$5,0))</f>
        <v>0</v>
      </c>
      <c r="K1175" s="218">
        <f>INDEX('Hist. prices'!$I$86:$AB$160,MATCH($C1175,'Hist. prices'!$C$86:$C$160,0),MATCH(K$1124,'Hist. prices'!$I$5:$AB$5,0))</f>
        <v>0</v>
      </c>
      <c r="L1175" s="218">
        <f>INDEX('Hist. prices'!$I$86:$AB$160,MATCH($C1175,'Hist. prices'!$C$86:$C$160,0),MATCH(L$1124,'Hist. prices'!$I$5:$AB$5,0))</f>
        <v>0</v>
      </c>
      <c r="M1175" s="218">
        <f>INDEX('Hist. prices'!$I$86:$AB$160,MATCH($C1175,'Hist. prices'!$C$86:$C$160,0),MATCH(M$1124,'Hist. prices'!$I$5:$AB$5,0))</f>
        <v>0</v>
      </c>
      <c r="N1175" s="218">
        <f>INDEX('Hist. prices'!$I$86:$AB$160,MATCH($C1175,'Hist. prices'!$C$86:$C$160,0),MATCH(N$1124,'Hist. prices'!$I$5:$AB$5,0))</f>
        <v>0</v>
      </c>
      <c r="O1175" s="218">
        <f>INDEX('Hist. prices'!$I$86:$AB$160,MATCH($C1175,'Hist. prices'!$C$86:$C$160,0),MATCH(O$1124,'Hist. prices'!$I$5:$AB$5,0))</f>
        <v>0</v>
      </c>
      <c r="P1175" s="218">
        <f>INDEX('Hist. prices'!$I$86:$AB$160,MATCH($C1175,'Hist. prices'!$C$86:$C$160,0),MATCH(P$1124,'Hist. prices'!$I$5:$AB$5,0))</f>
        <v>0</v>
      </c>
      <c r="Q1175" s="218">
        <f>INDEX('Hist. prices'!$I$86:$AB$160,MATCH($C1175,'Hist. prices'!$C$86:$C$160,0),MATCH(Q$1124,'Hist. prices'!$I$5:$AB$5,0))</f>
        <v>0</v>
      </c>
      <c r="R1175" s="218">
        <f>INDEX('Hist. prices'!$I$86:$AB$160,MATCH($C1175,'Hist. prices'!$C$86:$C$160,0),MATCH(R$1124,'Hist. prices'!$I$5:$AB$5,0))</f>
        <v>0</v>
      </c>
      <c r="S1175" s="218">
        <f>INDEX('Hist. prices'!$I$86:$AB$160,MATCH($C1175,'Hist. prices'!$C$86:$C$160,0),MATCH(S$1124,'Hist. prices'!$I$5:$AB$5,0))</f>
        <v>0</v>
      </c>
      <c r="T1175" s="218">
        <f>INDEX('Hist. prices'!$I$86:$AB$160,MATCH($C1175,'Hist. prices'!$C$86:$C$160,0),MATCH(T$1124,'Hist. prices'!$I$5:$AB$5,0))</f>
        <v>0</v>
      </c>
      <c r="U1175" s="218">
        <f>INDEX('Hist. prices'!$I$86:$AB$160,MATCH($C1175,'Hist. prices'!$C$86:$C$160,0),MATCH(U$1124,'Hist. prices'!$I$5:$AB$5,0))</f>
        <v>0</v>
      </c>
      <c r="V1175" s="218">
        <f>INDEX('Hist. prices'!$I$86:$AB$160,MATCH($C1175,'Hist. prices'!$C$86:$C$160,0),MATCH(V$1124,'Hist. prices'!$I$5:$AB$5,0))</f>
        <v>0</v>
      </c>
      <c r="W1175" s="218">
        <f>INDEX('Hist. prices'!$I$86:$AB$160,MATCH($C1175,'Hist. prices'!$C$86:$C$160,0),MATCH(W$1124,'Hist. prices'!$I$5:$AB$5,0))</f>
        <v>0</v>
      </c>
      <c r="X1175" s="218">
        <f>INDEX('Hist. prices'!$I$86:$AB$160,MATCH($C1175,'Hist. prices'!$C$86:$C$160,0),MATCH(X$1124,'Hist. prices'!$I$5:$AB$5,0))</f>
        <v>0</v>
      </c>
      <c r="Y1175" s="218">
        <f>INDEX('Hist. prices'!$I$86:$AB$160,MATCH($C1175,'Hist. prices'!$C$86:$C$160,0),MATCH(Y$1124,'Hist. prices'!$I$5:$AB$5,0))</f>
        <v>0</v>
      </c>
      <c r="Z1175" s="218">
        <f>INDEX('Hist. prices'!$I$86:$AB$160,MATCH($C1175,'Hist. prices'!$C$86:$C$160,0),MATCH(Z$1124,'Hist. prices'!$I$5:$AB$5,0))</f>
        <v>0</v>
      </c>
      <c r="AA1175" s="218">
        <f>INDEX('Hist. prices'!$I$86:$AB$160,MATCH($C1175,'Hist. prices'!$C$86:$C$160,0),MATCH(AA$1124,'Hist. prices'!$I$5:$AB$5,0))</f>
        <v>0</v>
      </c>
      <c r="AB1175" s="218">
        <f>INDEX('Hist. prices'!$I$86:$AB$160,MATCH($C1175,'Hist. prices'!$C$86:$C$160,0),MATCH(AB$1124,'Hist. prices'!$I$5:$AB$5,0))</f>
        <v>0</v>
      </c>
      <c r="AC1175" s="187"/>
      <c r="AD1175" s="19"/>
      <c r="AE1175" s="19"/>
      <c r="AF1175" s="19"/>
      <c r="AG1175" s="19"/>
    </row>
    <row r="1176" spans="1:33" hidden="1" outlineLevel="3" x14ac:dyDescent="0.2">
      <c r="A1176" s="19"/>
      <c r="B1176" s="19"/>
      <c r="C1176" s="506">
        <f t="shared" si="217"/>
        <v>0</v>
      </c>
      <c r="D1176" s="505">
        <f t="shared" si="217"/>
        <v>0</v>
      </c>
      <c r="E1176" s="58"/>
      <c r="F1176" s="223"/>
      <c r="G1176" s="58"/>
      <c r="H1176" s="58"/>
      <c r="I1176" s="218">
        <f>INDEX('Hist. prices'!$I$86:$AB$160,MATCH($C1176,'Hist. prices'!$C$86:$C$160,0),MATCH(I$1124,'Hist. prices'!$I$5:$AB$5,0))</f>
        <v>0</v>
      </c>
      <c r="J1176" s="218">
        <f>INDEX('Hist. prices'!$I$86:$AB$160,MATCH($C1176,'Hist. prices'!$C$86:$C$160,0),MATCH(J$1124,'Hist. prices'!$I$5:$AB$5,0))</f>
        <v>0</v>
      </c>
      <c r="K1176" s="218">
        <f>INDEX('Hist. prices'!$I$86:$AB$160,MATCH($C1176,'Hist. prices'!$C$86:$C$160,0),MATCH(K$1124,'Hist. prices'!$I$5:$AB$5,0))</f>
        <v>0</v>
      </c>
      <c r="L1176" s="218">
        <f>INDEX('Hist. prices'!$I$86:$AB$160,MATCH($C1176,'Hist. prices'!$C$86:$C$160,0),MATCH(L$1124,'Hist. prices'!$I$5:$AB$5,0))</f>
        <v>0</v>
      </c>
      <c r="M1176" s="218">
        <f>INDEX('Hist. prices'!$I$86:$AB$160,MATCH($C1176,'Hist. prices'!$C$86:$C$160,0),MATCH(M$1124,'Hist. prices'!$I$5:$AB$5,0))</f>
        <v>0</v>
      </c>
      <c r="N1176" s="218">
        <f>INDEX('Hist. prices'!$I$86:$AB$160,MATCH($C1176,'Hist. prices'!$C$86:$C$160,0),MATCH(N$1124,'Hist. prices'!$I$5:$AB$5,0))</f>
        <v>0</v>
      </c>
      <c r="O1176" s="218">
        <f>INDEX('Hist. prices'!$I$86:$AB$160,MATCH($C1176,'Hist. prices'!$C$86:$C$160,0),MATCH(O$1124,'Hist. prices'!$I$5:$AB$5,0))</f>
        <v>0</v>
      </c>
      <c r="P1176" s="218">
        <f>INDEX('Hist. prices'!$I$86:$AB$160,MATCH($C1176,'Hist. prices'!$C$86:$C$160,0),MATCH(P$1124,'Hist. prices'!$I$5:$AB$5,0))</f>
        <v>0</v>
      </c>
      <c r="Q1176" s="218">
        <f>INDEX('Hist. prices'!$I$86:$AB$160,MATCH($C1176,'Hist. prices'!$C$86:$C$160,0),MATCH(Q$1124,'Hist. prices'!$I$5:$AB$5,0))</f>
        <v>0</v>
      </c>
      <c r="R1176" s="218">
        <f>INDEX('Hist. prices'!$I$86:$AB$160,MATCH($C1176,'Hist. prices'!$C$86:$C$160,0),MATCH(R$1124,'Hist. prices'!$I$5:$AB$5,0))</f>
        <v>0</v>
      </c>
      <c r="S1176" s="218">
        <f>INDEX('Hist. prices'!$I$86:$AB$160,MATCH($C1176,'Hist. prices'!$C$86:$C$160,0),MATCH(S$1124,'Hist. prices'!$I$5:$AB$5,0))</f>
        <v>0</v>
      </c>
      <c r="T1176" s="218">
        <f>INDEX('Hist. prices'!$I$86:$AB$160,MATCH($C1176,'Hist. prices'!$C$86:$C$160,0),MATCH(T$1124,'Hist. prices'!$I$5:$AB$5,0))</f>
        <v>0</v>
      </c>
      <c r="U1176" s="218">
        <f>INDEX('Hist. prices'!$I$86:$AB$160,MATCH($C1176,'Hist. prices'!$C$86:$C$160,0),MATCH(U$1124,'Hist. prices'!$I$5:$AB$5,0))</f>
        <v>0</v>
      </c>
      <c r="V1176" s="218">
        <f>INDEX('Hist. prices'!$I$86:$AB$160,MATCH($C1176,'Hist. prices'!$C$86:$C$160,0),MATCH(V$1124,'Hist. prices'!$I$5:$AB$5,0))</f>
        <v>0</v>
      </c>
      <c r="W1176" s="218">
        <f>INDEX('Hist. prices'!$I$86:$AB$160,MATCH($C1176,'Hist. prices'!$C$86:$C$160,0),MATCH(W$1124,'Hist. prices'!$I$5:$AB$5,0))</f>
        <v>0</v>
      </c>
      <c r="X1176" s="218">
        <f>INDEX('Hist. prices'!$I$86:$AB$160,MATCH($C1176,'Hist. prices'!$C$86:$C$160,0),MATCH(X$1124,'Hist. prices'!$I$5:$AB$5,0))</f>
        <v>0</v>
      </c>
      <c r="Y1176" s="218">
        <f>INDEX('Hist. prices'!$I$86:$AB$160,MATCH($C1176,'Hist. prices'!$C$86:$C$160,0),MATCH(Y$1124,'Hist. prices'!$I$5:$AB$5,0))</f>
        <v>0</v>
      </c>
      <c r="Z1176" s="218">
        <f>INDEX('Hist. prices'!$I$86:$AB$160,MATCH($C1176,'Hist. prices'!$C$86:$C$160,0),MATCH(Z$1124,'Hist. prices'!$I$5:$AB$5,0))</f>
        <v>0</v>
      </c>
      <c r="AA1176" s="218">
        <f>INDEX('Hist. prices'!$I$86:$AB$160,MATCH($C1176,'Hist. prices'!$C$86:$C$160,0),MATCH(AA$1124,'Hist. prices'!$I$5:$AB$5,0))</f>
        <v>0</v>
      </c>
      <c r="AB1176" s="218">
        <f>INDEX('Hist. prices'!$I$86:$AB$160,MATCH($C1176,'Hist. prices'!$C$86:$C$160,0),MATCH(AB$1124,'Hist. prices'!$I$5:$AB$5,0))</f>
        <v>0</v>
      </c>
      <c r="AC1176" s="187"/>
      <c r="AD1176" s="19"/>
      <c r="AE1176" s="19"/>
      <c r="AF1176" s="19"/>
      <c r="AG1176" s="19"/>
    </row>
    <row r="1177" spans="1:33" hidden="1" outlineLevel="3" x14ac:dyDescent="0.2">
      <c r="A1177" s="19"/>
      <c r="B1177" s="19"/>
      <c r="C1177" s="506">
        <f t="shared" si="217"/>
        <v>0</v>
      </c>
      <c r="D1177" s="505">
        <f t="shared" si="217"/>
        <v>0</v>
      </c>
      <c r="E1177" s="58"/>
      <c r="F1177" s="223"/>
      <c r="G1177" s="58"/>
      <c r="H1177" s="58"/>
      <c r="I1177" s="218">
        <f>INDEX('Hist. prices'!$I$86:$AB$160,MATCH($C1177,'Hist. prices'!$C$86:$C$160,0),MATCH(I$1124,'Hist. prices'!$I$5:$AB$5,0))</f>
        <v>0</v>
      </c>
      <c r="J1177" s="218">
        <f>INDEX('Hist. prices'!$I$86:$AB$160,MATCH($C1177,'Hist. prices'!$C$86:$C$160,0),MATCH(J$1124,'Hist. prices'!$I$5:$AB$5,0))</f>
        <v>0</v>
      </c>
      <c r="K1177" s="218">
        <f>INDEX('Hist. prices'!$I$86:$AB$160,MATCH($C1177,'Hist. prices'!$C$86:$C$160,0),MATCH(K$1124,'Hist. prices'!$I$5:$AB$5,0))</f>
        <v>0</v>
      </c>
      <c r="L1177" s="218">
        <f>INDEX('Hist. prices'!$I$86:$AB$160,MATCH($C1177,'Hist. prices'!$C$86:$C$160,0),MATCH(L$1124,'Hist. prices'!$I$5:$AB$5,0))</f>
        <v>0</v>
      </c>
      <c r="M1177" s="218">
        <f>INDEX('Hist. prices'!$I$86:$AB$160,MATCH($C1177,'Hist. prices'!$C$86:$C$160,0),MATCH(M$1124,'Hist. prices'!$I$5:$AB$5,0))</f>
        <v>0</v>
      </c>
      <c r="N1177" s="218">
        <f>INDEX('Hist. prices'!$I$86:$AB$160,MATCH($C1177,'Hist. prices'!$C$86:$C$160,0),MATCH(N$1124,'Hist. prices'!$I$5:$AB$5,0))</f>
        <v>0</v>
      </c>
      <c r="O1177" s="218">
        <f>INDEX('Hist. prices'!$I$86:$AB$160,MATCH($C1177,'Hist. prices'!$C$86:$C$160,0),MATCH(O$1124,'Hist. prices'!$I$5:$AB$5,0))</f>
        <v>0</v>
      </c>
      <c r="P1177" s="218">
        <f>INDEX('Hist. prices'!$I$86:$AB$160,MATCH($C1177,'Hist. prices'!$C$86:$C$160,0),MATCH(P$1124,'Hist. prices'!$I$5:$AB$5,0))</f>
        <v>0</v>
      </c>
      <c r="Q1177" s="218">
        <f>INDEX('Hist. prices'!$I$86:$AB$160,MATCH($C1177,'Hist. prices'!$C$86:$C$160,0),MATCH(Q$1124,'Hist. prices'!$I$5:$AB$5,0))</f>
        <v>0</v>
      </c>
      <c r="R1177" s="218">
        <f>INDEX('Hist. prices'!$I$86:$AB$160,MATCH($C1177,'Hist. prices'!$C$86:$C$160,0),MATCH(R$1124,'Hist. prices'!$I$5:$AB$5,0))</f>
        <v>0</v>
      </c>
      <c r="S1177" s="218">
        <f>INDEX('Hist. prices'!$I$86:$AB$160,MATCH($C1177,'Hist. prices'!$C$86:$C$160,0),MATCH(S$1124,'Hist. prices'!$I$5:$AB$5,0))</f>
        <v>0</v>
      </c>
      <c r="T1177" s="218">
        <f>INDEX('Hist. prices'!$I$86:$AB$160,MATCH($C1177,'Hist. prices'!$C$86:$C$160,0),MATCH(T$1124,'Hist. prices'!$I$5:$AB$5,0))</f>
        <v>0</v>
      </c>
      <c r="U1177" s="218">
        <f>INDEX('Hist. prices'!$I$86:$AB$160,MATCH($C1177,'Hist. prices'!$C$86:$C$160,0),MATCH(U$1124,'Hist. prices'!$I$5:$AB$5,0))</f>
        <v>0</v>
      </c>
      <c r="V1177" s="218">
        <f>INDEX('Hist. prices'!$I$86:$AB$160,MATCH($C1177,'Hist. prices'!$C$86:$C$160,0),MATCH(V$1124,'Hist. prices'!$I$5:$AB$5,0))</f>
        <v>0</v>
      </c>
      <c r="W1177" s="218">
        <f>INDEX('Hist. prices'!$I$86:$AB$160,MATCH($C1177,'Hist. prices'!$C$86:$C$160,0),MATCH(W$1124,'Hist. prices'!$I$5:$AB$5,0))</f>
        <v>0</v>
      </c>
      <c r="X1177" s="218">
        <f>INDEX('Hist. prices'!$I$86:$AB$160,MATCH($C1177,'Hist. prices'!$C$86:$C$160,0),MATCH(X$1124,'Hist. prices'!$I$5:$AB$5,0))</f>
        <v>0</v>
      </c>
      <c r="Y1177" s="218">
        <f>INDEX('Hist. prices'!$I$86:$AB$160,MATCH($C1177,'Hist. prices'!$C$86:$C$160,0),MATCH(Y$1124,'Hist. prices'!$I$5:$AB$5,0))</f>
        <v>0</v>
      </c>
      <c r="Z1177" s="218">
        <f>INDEX('Hist. prices'!$I$86:$AB$160,MATCH($C1177,'Hist. prices'!$C$86:$C$160,0),MATCH(Z$1124,'Hist. prices'!$I$5:$AB$5,0))</f>
        <v>0</v>
      </c>
      <c r="AA1177" s="218">
        <f>INDEX('Hist. prices'!$I$86:$AB$160,MATCH($C1177,'Hist. prices'!$C$86:$C$160,0),MATCH(AA$1124,'Hist. prices'!$I$5:$AB$5,0))</f>
        <v>0</v>
      </c>
      <c r="AB1177" s="218">
        <f>INDEX('Hist. prices'!$I$86:$AB$160,MATCH($C1177,'Hist. prices'!$C$86:$C$160,0),MATCH(AB$1124,'Hist. prices'!$I$5:$AB$5,0))</f>
        <v>0</v>
      </c>
      <c r="AC1177" s="187"/>
      <c r="AD1177" s="19"/>
      <c r="AE1177" s="19"/>
      <c r="AF1177" s="19"/>
      <c r="AG1177" s="19"/>
    </row>
    <row r="1178" spans="1:33" hidden="1" outlineLevel="3" x14ac:dyDescent="0.2">
      <c r="A1178" s="19"/>
      <c r="B1178" s="19"/>
      <c r="C1178" s="506">
        <f t="shared" si="217"/>
        <v>0</v>
      </c>
      <c r="D1178" s="505">
        <f t="shared" si="217"/>
        <v>0</v>
      </c>
      <c r="E1178" s="58"/>
      <c r="F1178" s="223"/>
      <c r="G1178" s="58"/>
      <c r="H1178" s="58"/>
      <c r="I1178" s="218">
        <f>INDEX('Hist. prices'!$I$86:$AB$160,MATCH($C1178,'Hist. prices'!$C$86:$C$160,0),MATCH(I$1124,'Hist. prices'!$I$5:$AB$5,0))</f>
        <v>0</v>
      </c>
      <c r="J1178" s="218">
        <f>INDEX('Hist. prices'!$I$86:$AB$160,MATCH($C1178,'Hist. prices'!$C$86:$C$160,0),MATCH(J$1124,'Hist. prices'!$I$5:$AB$5,0))</f>
        <v>0</v>
      </c>
      <c r="K1178" s="218">
        <f>INDEX('Hist. prices'!$I$86:$AB$160,MATCH($C1178,'Hist. prices'!$C$86:$C$160,0),MATCH(K$1124,'Hist. prices'!$I$5:$AB$5,0))</f>
        <v>0</v>
      </c>
      <c r="L1178" s="218">
        <f>INDEX('Hist. prices'!$I$86:$AB$160,MATCH($C1178,'Hist. prices'!$C$86:$C$160,0),MATCH(L$1124,'Hist. prices'!$I$5:$AB$5,0))</f>
        <v>0</v>
      </c>
      <c r="M1178" s="218">
        <f>INDEX('Hist. prices'!$I$86:$AB$160,MATCH($C1178,'Hist. prices'!$C$86:$C$160,0),MATCH(M$1124,'Hist. prices'!$I$5:$AB$5,0))</f>
        <v>0</v>
      </c>
      <c r="N1178" s="218">
        <f>INDEX('Hist. prices'!$I$86:$AB$160,MATCH($C1178,'Hist. prices'!$C$86:$C$160,0),MATCH(N$1124,'Hist. prices'!$I$5:$AB$5,0))</f>
        <v>0</v>
      </c>
      <c r="O1178" s="218">
        <f>INDEX('Hist. prices'!$I$86:$AB$160,MATCH($C1178,'Hist. prices'!$C$86:$C$160,0),MATCH(O$1124,'Hist. prices'!$I$5:$AB$5,0))</f>
        <v>0</v>
      </c>
      <c r="P1178" s="218">
        <f>INDEX('Hist. prices'!$I$86:$AB$160,MATCH($C1178,'Hist. prices'!$C$86:$C$160,0),MATCH(P$1124,'Hist. prices'!$I$5:$AB$5,0))</f>
        <v>0</v>
      </c>
      <c r="Q1178" s="218">
        <f>INDEX('Hist. prices'!$I$86:$AB$160,MATCH($C1178,'Hist. prices'!$C$86:$C$160,0),MATCH(Q$1124,'Hist. prices'!$I$5:$AB$5,0))</f>
        <v>0</v>
      </c>
      <c r="R1178" s="218">
        <f>INDEX('Hist. prices'!$I$86:$AB$160,MATCH($C1178,'Hist. prices'!$C$86:$C$160,0),MATCH(R$1124,'Hist. prices'!$I$5:$AB$5,0))</f>
        <v>0</v>
      </c>
      <c r="S1178" s="218">
        <f>INDEX('Hist. prices'!$I$86:$AB$160,MATCH($C1178,'Hist. prices'!$C$86:$C$160,0),MATCH(S$1124,'Hist. prices'!$I$5:$AB$5,0))</f>
        <v>0</v>
      </c>
      <c r="T1178" s="218">
        <f>INDEX('Hist. prices'!$I$86:$AB$160,MATCH($C1178,'Hist. prices'!$C$86:$C$160,0),MATCH(T$1124,'Hist. prices'!$I$5:$AB$5,0))</f>
        <v>0</v>
      </c>
      <c r="U1178" s="218">
        <f>INDEX('Hist. prices'!$I$86:$AB$160,MATCH($C1178,'Hist. prices'!$C$86:$C$160,0),MATCH(U$1124,'Hist. prices'!$I$5:$AB$5,0))</f>
        <v>0</v>
      </c>
      <c r="V1178" s="218">
        <f>INDEX('Hist. prices'!$I$86:$AB$160,MATCH($C1178,'Hist. prices'!$C$86:$C$160,0),MATCH(V$1124,'Hist. prices'!$I$5:$AB$5,0))</f>
        <v>0</v>
      </c>
      <c r="W1178" s="218">
        <f>INDEX('Hist. prices'!$I$86:$AB$160,MATCH($C1178,'Hist. prices'!$C$86:$C$160,0),MATCH(W$1124,'Hist. prices'!$I$5:$AB$5,0))</f>
        <v>0</v>
      </c>
      <c r="X1178" s="218">
        <f>INDEX('Hist. prices'!$I$86:$AB$160,MATCH($C1178,'Hist. prices'!$C$86:$C$160,0),MATCH(X$1124,'Hist. prices'!$I$5:$AB$5,0))</f>
        <v>0</v>
      </c>
      <c r="Y1178" s="218">
        <f>INDEX('Hist. prices'!$I$86:$AB$160,MATCH($C1178,'Hist. prices'!$C$86:$C$160,0),MATCH(Y$1124,'Hist. prices'!$I$5:$AB$5,0))</f>
        <v>0</v>
      </c>
      <c r="Z1178" s="218">
        <f>INDEX('Hist. prices'!$I$86:$AB$160,MATCH($C1178,'Hist. prices'!$C$86:$C$160,0),MATCH(Z$1124,'Hist. prices'!$I$5:$AB$5,0))</f>
        <v>0</v>
      </c>
      <c r="AA1178" s="218">
        <f>INDEX('Hist. prices'!$I$86:$AB$160,MATCH($C1178,'Hist. prices'!$C$86:$C$160,0),MATCH(AA$1124,'Hist. prices'!$I$5:$AB$5,0))</f>
        <v>0</v>
      </c>
      <c r="AB1178" s="218">
        <f>INDEX('Hist. prices'!$I$86:$AB$160,MATCH($C1178,'Hist. prices'!$C$86:$C$160,0),MATCH(AB$1124,'Hist. prices'!$I$5:$AB$5,0))</f>
        <v>0</v>
      </c>
      <c r="AC1178" s="187"/>
      <c r="AD1178" s="19"/>
      <c r="AE1178" s="19"/>
      <c r="AF1178" s="19"/>
      <c r="AG1178" s="19"/>
    </row>
    <row r="1179" spans="1:33" hidden="1" outlineLevel="3" x14ac:dyDescent="0.2">
      <c r="A1179" s="19"/>
      <c r="B1179" s="19"/>
      <c r="C1179" s="506">
        <f t="shared" si="217"/>
        <v>0</v>
      </c>
      <c r="D1179" s="505">
        <f t="shared" si="217"/>
        <v>0</v>
      </c>
      <c r="E1179" s="58"/>
      <c r="F1179" s="223"/>
      <c r="G1179" s="58"/>
      <c r="H1179" s="58"/>
      <c r="I1179" s="218">
        <f>INDEX('Hist. prices'!$I$86:$AB$160,MATCH($C1179,'Hist. prices'!$C$86:$C$160,0),MATCH(I$1124,'Hist. prices'!$I$5:$AB$5,0))</f>
        <v>0</v>
      </c>
      <c r="J1179" s="218">
        <f>INDEX('Hist. prices'!$I$86:$AB$160,MATCH($C1179,'Hist. prices'!$C$86:$C$160,0),MATCH(J$1124,'Hist. prices'!$I$5:$AB$5,0))</f>
        <v>0</v>
      </c>
      <c r="K1179" s="218">
        <f>INDEX('Hist. prices'!$I$86:$AB$160,MATCH($C1179,'Hist. prices'!$C$86:$C$160,0),MATCH(K$1124,'Hist. prices'!$I$5:$AB$5,0))</f>
        <v>0</v>
      </c>
      <c r="L1179" s="218">
        <f>INDEX('Hist. prices'!$I$86:$AB$160,MATCH($C1179,'Hist. prices'!$C$86:$C$160,0),MATCH(L$1124,'Hist. prices'!$I$5:$AB$5,0))</f>
        <v>0</v>
      </c>
      <c r="M1179" s="218">
        <f>INDEX('Hist. prices'!$I$86:$AB$160,MATCH($C1179,'Hist. prices'!$C$86:$C$160,0),MATCH(M$1124,'Hist. prices'!$I$5:$AB$5,0))</f>
        <v>0</v>
      </c>
      <c r="N1179" s="218">
        <f>INDEX('Hist. prices'!$I$86:$AB$160,MATCH($C1179,'Hist. prices'!$C$86:$C$160,0),MATCH(N$1124,'Hist. prices'!$I$5:$AB$5,0))</f>
        <v>0</v>
      </c>
      <c r="O1179" s="218">
        <f>INDEX('Hist. prices'!$I$86:$AB$160,MATCH($C1179,'Hist. prices'!$C$86:$C$160,0),MATCH(O$1124,'Hist. prices'!$I$5:$AB$5,0))</f>
        <v>0</v>
      </c>
      <c r="P1179" s="218">
        <f>INDEX('Hist. prices'!$I$86:$AB$160,MATCH($C1179,'Hist. prices'!$C$86:$C$160,0),MATCH(P$1124,'Hist. prices'!$I$5:$AB$5,0))</f>
        <v>0</v>
      </c>
      <c r="Q1179" s="218">
        <f>INDEX('Hist. prices'!$I$86:$AB$160,MATCH($C1179,'Hist. prices'!$C$86:$C$160,0),MATCH(Q$1124,'Hist. prices'!$I$5:$AB$5,0))</f>
        <v>0</v>
      </c>
      <c r="R1179" s="218">
        <f>INDEX('Hist. prices'!$I$86:$AB$160,MATCH($C1179,'Hist. prices'!$C$86:$C$160,0),MATCH(R$1124,'Hist. prices'!$I$5:$AB$5,0))</f>
        <v>0</v>
      </c>
      <c r="S1179" s="218">
        <f>INDEX('Hist. prices'!$I$86:$AB$160,MATCH($C1179,'Hist. prices'!$C$86:$C$160,0),MATCH(S$1124,'Hist. prices'!$I$5:$AB$5,0))</f>
        <v>0</v>
      </c>
      <c r="T1179" s="218">
        <f>INDEX('Hist. prices'!$I$86:$AB$160,MATCH($C1179,'Hist. prices'!$C$86:$C$160,0),MATCH(T$1124,'Hist. prices'!$I$5:$AB$5,0))</f>
        <v>0</v>
      </c>
      <c r="U1179" s="218">
        <f>INDEX('Hist. prices'!$I$86:$AB$160,MATCH($C1179,'Hist. prices'!$C$86:$C$160,0),MATCH(U$1124,'Hist. prices'!$I$5:$AB$5,0))</f>
        <v>0</v>
      </c>
      <c r="V1179" s="218">
        <f>INDEX('Hist. prices'!$I$86:$AB$160,MATCH($C1179,'Hist. prices'!$C$86:$C$160,0),MATCH(V$1124,'Hist. prices'!$I$5:$AB$5,0))</f>
        <v>0</v>
      </c>
      <c r="W1179" s="218">
        <f>INDEX('Hist. prices'!$I$86:$AB$160,MATCH($C1179,'Hist. prices'!$C$86:$C$160,0),MATCH(W$1124,'Hist. prices'!$I$5:$AB$5,0))</f>
        <v>0</v>
      </c>
      <c r="X1179" s="218">
        <f>INDEX('Hist. prices'!$I$86:$AB$160,MATCH($C1179,'Hist. prices'!$C$86:$C$160,0),MATCH(X$1124,'Hist. prices'!$I$5:$AB$5,0))</f>
        <v>0</v>
      </c>
      <c r="Y1179" s="218">
        <f>INDEX('Hist. prices'!$I$86:$AB$160,MATCH($C1179,'Hist. prices'!$C$86:$C$160,0),MATCH(Y$1124,'Hist. prices'!$I$5:$AB$5,0))</f>
        <v>0</v>
      </c>
      <c r="Z1179" s="218">
        <f>INDEX('Hist. prices'!$I$86:$AB$160,MATCH($C1179,'Hist. prices'!$C$86:$C$160,0),MATCH(Z$1124,'Hist. prices'!$I$5:$AB$5,0))</f>
        <v>0</v>
      </c>
      <c r="AA1179" s="218">
        <f>INDEX('Hist. prices'!$I$86:$AB$160,MATCH($C1179,'Hist. prices'!$C$86:$C$160,0),MATCH(AA$1124,'Hist. prices'!$I$5:$AB$5,0))</f>
        <v>0</v>
      </c>
      <c r="AB1179" s="218">
        <f>INDEX('Hist. prices'!$I$86:$AB$160,MATCH($C1179,'Hist. prices'!$C$86:$C$160,0),MATCH(AB$1124,'Hist. prices'!$I$5:$AB$5,0))</f>
        <v>0</v>
      </c>
      <c r="AC1179" s="187"/>
      <c r="AD1179" s="19"/>
      <c r="AE1179" s="19"/>
      <c r="AF1179" s="19"/>
      <c r="AG1179" s="19"/>
    </row>
    <row r="1180" spans="1:33" hidden="1" outlineLevel="3" x14ac:dyDescent="0.2">
      <c r="A1180" s="19"/>
      <c r="B1180" s="19"/>
      <c r="C1180" s="506">
        <f t="shared" si="217"/>
        <v>0</v>
      </c>
      <c r="D1180" s="505">
        <f t="shared" si="217"/>
        <v>0</v>
      </c>
      <c r="E1180" s="58"/>
      <c r="F1180" s="223"/>
      <c r="G1180" s="58"/>
      <c r="H1180" s="58"/>
      <c r="I1180" s="218">
        <f>INDEX('Hist. prices'!$I$86:$AB$160,MATCH($C1180,'Hist. prices'!$C$86:$C$160,0),MATCH(I$1124,'Hist. prices'!$I$5:$AB$5,0))</f>
        <v>0</v>
      </c>
      <c r="J1180" s="218">
        <f>INDEX('Hist. prices'!$I$86:$AB$160,MATCH($C1180,'Hist. prices'!$C$86:$C$160,0),MATCH(J$1124,'Hist. prices'!$I$5:$AB$5,0))</f>
        <v>0</v>
      </c>
      <c r="K1180" s="218">
        <f>INDEX('Hist. prices'!$I$86:$AB$160,MATCH($C1180,'Hist. prices'!$C$86:$C$160,0),MATCH(K$1124,'Hist. prices'!$I$5:$AB$5,0))</f>
        <v>0</v>
      </c>
      <c r="L1180" s="218">
        <f>INDEX('Hist. prices'!$I$86:$AB$160,MATCH($C1180,'Hist. prices'!$C$86:$C$160,0),MATCH(L$1124,'Hist. prices'!$I$5:$AB$5,0))</f>
        <v>0</v>
      </c>
      <c r="M1180" s="218">
        <f>INDEX('Hist. prices'!$I$86:$AB$160,MATCH($C1180,'Hist. prices'!$C$86:$C$160,0),MATCH(M$1124,'Hist. prices'!$I$5:$AB$5,0))</f>
        <v>0</v>
      </c>
      <c r="N1180" s="218">
        <f>INDEX('Hist. prices'!$I$86:$AB$160,MATCH($C1180,'Hist. prices'!$C$86:$C$160,0),MATCH(N$1124,'Hist. prices'!$I$5:$AB$5,0))</f>
        <v>0</v>
      </c>
      <c r="O1180" s="218">
        <f>INDEX('Hist. prices'!$I$86:$AB$160,MATCH($C1180,'Hist. prices'!$C$86:$C$160,0),MATCH(O$1124,'Hist. prices'!$I$5:$AB$5,0))</f>
        <v>0</v>
      </c>
      <c r="P1180" s="218">
        <f>INDEX('Hist. prices'!$I$86:$AB$160,MATCH($C1180,'Hist. prices'!$C$86:$C$160,0),MATCH(P$1124,'Hist. prices'!$I$5:$AB$5,0))</f>
        <v>0</v>
      </c>
      <c r="Q1180" s="218">
        <f>INDEX('Hist. prices'!$I$86:$AB$160,MATCH($C1180,'Hist. prices'!$C$86:$C$160,0),MATCH(Q$1124,'Hist. prices'!$I$5:$AB$5,0))</f>
        <v>0</v>
      </c>
      <c r="R1180" s="218">
        <f>INDEX('Hist. prices'!$I$86:$AB$160,MATCH($C1180,'Hist. prices'!$C$86:$C$160,0),MATCH(R$1124,'Hist. prices'!$I$5:$AB$5,0))</f>
        <v>0</v>
      </c>
      <c r="S1180" s="218">
        <f>INDEX('Hist. prices'!$I$86:$AB$160,MATCH($C1180,'Hist. prices'!$C$86:$C$160,0),MATCH(S$1124,'Hist. prices'!$I$5:$AB$5,0))</f>
        <v>0</v>
      </c>
      <c r="T1180" s="218">
        <f>INDEX('Hist. prices'!$I$86:$AB$160,MATCH($C1180,'Hist. prices'!$C$86:$C$160,0),MATCH(T$1124,'Hist. prices'!$I$5:$AB$5,0))</f>
        <v>0</v>
      </c>
      <c r="U1180" s="218">
        <f>INDEX('Hist. prices'!$I$86:$AB$160,MATCH($C1180,'Hist. prices'!$C$86:$C$160,0),MATCH(U$1124,'Hist. prices'!$I$5:$AB$5,0))</f>
        <v>0</v>
      </c>
      <c r="V1180" s="218">
        <f>INDEX('Hist. prices'!$I$86:$AB$160,MATCH($C1180,'Hist. prices'!$C$86:$C$160,0),MATCH(V$1124,'Hist. prices'!$I$5:$AB$5,0))</f>
        <v>0</v>
      </c>
      <c r="W1180" s="218">
        <f>INDEX('Hist. prices'!$I$86:$AB$160,MATCH($C1180,'Hist. prices'!$C$86:$C$160,0),MATCH(W$1124,'Hist. prices'!$I$5:$AB$5,0))</f>
        <v>0</v>
      </c>
      <c r="X1180" s="218">
        <f>INDEX('Hist. prices'!$I$86:$AB$160,MATCH($C1180,'Hist. prices'!$C$86:$C$160,0),MATCH(X$1124,'Hist. prices'!$I$5:$AB$5,0))</f>
        <v>0</v>
      </c>
      <c r="Y1180" s="218">
        <f>INDEX('Hist. prices'!$I$86:$AB$160,MATCH($C1180,'Hist. prices'!$C$86:$C$160,0),MATCH(Y$1124,'Hist. prices'!$I$5:$AB$5,0))</f>
        <v>0</v>
      </c>
      <c r="Z1180" s="218">
        <f>INDEX('Hist. prices'!$I$86:$AB$160,MATCH($C1180,'Hist. prices'!$C$86:$C$160,0),MATCH(Z$1124,'Hist. prices'!$I$5:$AB$5,0))</f>
        <v>0</v>
      </c>
      <c r="AA1180" s="218">
        <f>INDEX('Hist. prices'!$I$86:$AB$160,MATCH($C1180,'Hist. prices'!$C$86:$C$160,0),MATCH(AA$1124,'Hist. prices'!$I$5:$AB$5,0))</f>
        <v>0</v>
      </c>
      <c r="AB1180" s="218">
        <f>INDEX('Hist. prices'!$I$86:$AB$160,MATCH($C1180,'Hist. prices'!$C$86:$C$160,0),MATCH(AB$1124,'Hist. prices'!$I$5:$AB$5,0))</f>
        <v>0</v>
      </c>
      <c r="AC1180" s="187"/>
      <c r="AD1180" s="19"/>
      <c r="AE1180" s="19"/>
      <c r="AF1180" s="19"/>
      <c r="AG1180" s="19"/>
    </row>
    <row r="1181" spans="1:33" hidden="1" outlineLevel="3" x14ac:dyDescent="0.2">
      <c r="A1181" s="19"/>
      <c r="B1181" s="19"/>
      <c r="C1181" s="506">
        <f t="shared" si="217"/>
        <v>0</v>
      </c>
      <c r="D1181" s="505">
        <f t="shared" si="217"/>
        <v>0</v>
      </c>
      <c r="E1181" s="58"/>
      <c r="F1181" s="223"/>
      <c r="G1181" s="58"/>
      <c r="H1181" s="58"/>
      <c r="I1181" s="218">
        <f>INDEX('Hist. prices'!$I$86:$AB$160,MATCH($C1181,'Hist. prices'!$C$86:$C$160,0),MATCH(I$1124,'Hist. prices'!$I$5:$AB$5,0))</f>
        <v>0</v>
      </c>
      <c r="J1181" s="218">
        <f>INDEX('Hist. prices'!$I$86:$AB$160,MATCH($C1181,'Hist. prices'!$C$86:$C$160,0),MATCH(J$1124,'Hist. prices'!$I$5:$AB$5,0))</f>
        <v>0</v>
      </c>
      <c r="K1181" s="218">
        <f>INDEX('Hist. prices'!$I$86:$AB$160,MATCH($C1181,'Hist. prices'!$C$86:$C$160,0),MATCH(K$1124,'Hist. prices'!$I$5:$AB$5,0))</f>
        <v>0</v>
      </c>
      <c r="L1181" s="218">
        <f>INDEX('Hist. prices'!$I$86:$AB$160,MATCH($C1181,'Hist. prices'!$C$86:$C$160,0),MATCH(L$1124,'Hist. prices'!$I$5:$AB$5,0))</f>
        <v>0</v>
      </c>
      <c r="M1181" s="218">
        <f>INDEX('Hist. prices'!$I$86:$AB$160,MATCH($C1181,'Hist. prices'!$C$86:$C$160,0),MATCH(M$1124,'Hist. prices'!$I$5:$AB$5,0))</f>
        <v>0</v>
      </c>
      <c r="N1181" s="218">
        <f>INDEX('Hist. prices'!$I$86:$AB$160,MATCH($C1181,'Hist. prices'!$C$86:$C$160,0),MATCH(N$1124,'Hist. prices'!$I$5:$AB$5,0))</f>
        <v>0</v>
      </c>
      <c r="O1181" s="218">
        <f>INDEX('Hist. prices'!$I$86:$AB$160,MATCH($C1181,'Hist. prices'!$C$86:$C$160,0),MATCH(O$1124,'Hist. prices'!$I$5:$AB$5,0))</f>
        <v>0</v>
      </c>
      <c r="P1181" s="218">
        <f>INDEX('Hist. prices'!$I$86:$AB$160,MATCH($C1181,'Hist. prices'!$C$86:$C$160,0),MATCH(P$1124,'Hist. prices'!$I$5:$AB$5,0))</f>
        <v>0</v>
      </c>
      <c r="Q1181" s="218">
        <f>INDEX('Hist. prices'!$I$86:$AB$160,MATCH($C1181,'Hist. prices'!$C$86:$C$160,0),MATCH(Q$1124,'Hist. prices'!$I$5:$AB$5,0))</f>
        <v>0</v>
      </c>
      <c r="R1181" s="218">
        <f>INDEX('Hist. prices'!$I$86:$AB$160,MATCH($C1181,'Hist. prices'!$C$86:$C$160,0),MATCH(R$1124,'Hist. prices'!$I$5:$AB$5,0))</f>
        <v>0</v>
      </c>
      <c r="S1181" s="218">
        <f>INDEX('Hist. prices'!$I$86:$AB$160,MATCH($C1181,'Hist. prices'!$C$86:$C$160,0),MATCH(S$1124,'Hist. prices'!$I$5:$AB$5,0))</f>
        <v>0</v>
      </c>
      <c r="T1181" s="218">
        <f>INDEX('Hist. prices'!$I$86:$AB$160,MATCH($C1181,'Hist. prices'!$C$86:$C$160,0),MATCH(T$1124,'Hist. prices'!$I$5:$AB$5,0))</f>
        <v>0</v>
      </c>
      <c r="U1181" s="218">
        <f>INDEX('Hist. prices'!$I$86:$AB$160,MATCH($C1181,'Hist. prices'!$C$86:$C$160,0),MATCH(U$1124,'Hist. prices'!$I$5:$AB$5,0))</f>
        <v>0</v>
      </c>
      <c r="V1181" s="218">
        <f>INDEX('Hist. prices'!$I$86:$AB$160,MATCH($C1181,'Hist. prices'!$C$86:$C$160,0),MATCH(V$1124,'Hist. prices'!$I$5:$AB$5,0))</f>
        <v>0</v>
      </c>
      <c r="W1181" s="218">
        <f>INDEX('Hist. prices'!$I$86:$AB$160,MATCH($C1181,'Hist. prices'!$C$86:$C$160,0),MATCH(W$1124,'Hist. prices'!$I$5:$AB$5,0))</f>
        <v>0</v>
      </c>
      <c r="X1181" s="218">
        <f>INDEX('Hist. prices'!$I$86:$AB$160,MATCH($C1181,'Hist. prices'!$C$86:$C$160,0),MATCH(X$1124,'Hist. prices'!$I$5:$AB$5,0))</f>
        <v>0</v>
      </c>
      <c r="Y1181" s="218">
        <f>INDEX('Hist. prices'!$I$86:$AB$160,MATCH($C1181,'Hist. prices'!$C$86:$C$160,0),MATCH(Y$1124,'Hist. prices'!$I$5:$AB$5,0))</f>
        <v>0</v>
      </c>
      <c r="Z1181" s="218">
        <f>INDEX('Hist. prices'!$I$86:$AB$160,MATCH($C1181,'Hist. prices'!$C$86:$C$160,0),MATCH(Z$1124,'Hist. prices'!$I$5:$AB$5,0))</f>
        <v>0</v>
      </c>
      <c r="AA1181" s="218">
        <f>INDEX('Hist. prices'!$I$86:$AB$160,MATCH($C1181,'Hist. prices'!$C$86:$C$160,0),MATCH(AA$1124,'Hist. prices'!$I$5:$AB$5,0))</f>
        <v>0</v>
      </c>
      <c r="AB1181" s="218">
        <f>INDEX('Hist. prices'!$I$86:$AB$160,MATCH($C1181,'Hist. prices'!$C$86:$C$160,0),MATCH(AB$1124,'Hist. prices'!$I$5:$AB$5,0))</f>
        <v>0</v>
      </c>
      <c r="AC1181" s="187"/>
      <c r="AD1181" s="19"/>
      <c r="AE1181" s="19"/>
      <c r="AF1181" s="19"/>
      <c r="AG1181" s="19"/>
    </row>
    <row r="1182" spans="1:33" hidden="1" outlineLevel="3" x14ac:dyDescent="0.2">
      <c r="A1182" s="19"/>
      <c r="B1182" s="19"/>
      <c r="C1182" s="506">
        <f t="shared" si="217"/>
        <v>0</v>
      </c>
      <c r="D1182" s="505">
        <f t="shared" si="217"/>
        <v>0</v>
      </c>
      <c r="E1182" s="58"/>
      <c r="F1182" s="223"/>
      <c r="G1182" s="58"/>
      <c r="H1182" s="58"/>
      <c r="I1182" s="218">
        <f>INDEX('Hist. prices'!$I$86:$AB$160,MATCH($C1182,'Hist. prices'!$C$86:$C$160,0),MATCH(I$1124,'Hist. prices'!$I$5:$AB$5,0))</f>
        <v>0</v>
      </c>
      <c r="J1182" s="218">
        <f>INDEX('Hist. prices'!$I$86:$AB$160,MATCH($C1182,'Hist. prices'!$C$86:$C$160,0),MATCH(J$1124,'Hist. prices'!$I$5:$AB$5,0))</f>
        <v>0</v>
      </c>
      <c r="K1182" s="218">
        <f>INDEX('Hist. prices'!$I$86:$AB$160,MATCH($C1182,'Hist. prices'!$C$86:$C$160,0),MATCH(K$1124,'Hist. prices'!$I$5:$AB$5,0))</f>
        <v>0</v>
      </c>
      <c r="L1182" s="218">
        <f>INDEX('Hist. prices'!$I$86:$AB$160,MATCH($C1182,'Hist. prices'!$C$86:$C$160,0),MATCH(L$1124,'Hist. prices'!$I$5:$AB$5,0))</f>
        <v>0</v>
      </c>
      <c r="M1182" s="218">
        <f>INDEX('Hist. prices'!$I$86:$AB$160,MATCH($C1182,'Hist. prices'!$C$86:$C$160,0),MATCH(M$1124,'Hist. prices'!$I$5:$AB$5,0))</f>
        <v>0</v>
      </c>
      <c r="N1182" s="218">
        <f>INDEX('Hist. prices'!$I$86:$AB$160,MATCH($C1182,'Hist. prices'!$C$86:$C$160,0),MATCH(N$1124,'Hist. prices'!$I$5:$AB$5,0))</f>
        <v>0</v>
      </c>
      <c r="O1182" s="218">
        <f>INDEX('Hist. prices'!$I$86:$AB$160,MATCH($C1182,'Hist. prices'!$C$86:$C$160,0),MATCH(O$1124,'Hist. prices'!$I$5:$AB$5,0))</f>
        <v>0</v>
      </c>
      <c r="P1182" s="218">
        <f>INDEX('Hist. prices'!$I$86:$AB$160,MATCH($C1182,'Hist. prices'!$C$86:$C$160,0),MATCH(P$1124,'Hist. prices'!$I$5:$AB$5,0))</f>
        <v>0</v>
      </c>
      <c r="Q1182" s="218">
        <f>INDEX('Hist. prices'!$I$86:$AB$160,MATCH($C1182,'Hist. prices'!$C$86:$C$160,0),MATCH(Q$1124,'Hist. prices'!$I$5:$AB$5,0))</f>
        <v>0</v>
      </c>
      <c r="R1182" s="218">
        <f>INDEX('Hist. prices'!$I$86:$AB$160,MATCH($C1182,'Hist. prices'!$C$86:$C$160,0),MATCH(R$1124,'Hist. prices'!$I$5:$AB$5,0))</f>
        <v>0</v>
      </c>
      <c r="S1182" s="218">
        <f>INDEX('Hist. prices'!$I$86:$AB$160,MATCH($C1182,'Hist. prices'!$C$86:$C$160,0),MATCH(S$1124,'Hist. prices'!$I$5:$AB$5,0))</f>
        <v>0</v>
      </c>
      <c r="T1182" s="218">
        <f>INDEX('Hist. prices'!$I$86:$AB$160,MATCH($C1182,'Hist. prices'!$C$86:$C$160,0),MATCH(T$1124,'Hist. prices'!$I$5:$AB$5,0))</f>
        <v>0</v>
      </c>
      <c r="U1182" s="218">
        <f>INDEX('Hist. prices'!$I$86:$AB$160,MATCH($C1182,'Hist. prices'!$C$86:$C$160,0),MATCH(U$1124,'Hist. prices'!$I$5:$AB$5,0))</f>
        <v>0</v>
      </c>
      <c r="V1182" s="218">
        <f>INDEX('Hist. prices'!$I$86:$AB$160,MATCH($C1182,'Hist. prices'!$C$86:$C$160,0),MATCH(V$1124,'Hist. prices'!$I$5:$AB$5,0))</f>
        <v>0</v>
      </c>
      <c r="W1182" s="218">
        <f>INDEX('Hist. prices'!$I$86:$AB$160,MATCH($C1182,'Hist. prices'!$C$86:$C$160,0),MATCH(W$1124,'Hist. prices'!$I$5:$AB$5,0))</f>
        <v>0</v>
      </c>
      <c r="X1182" s="218">
        <f>INDEX('Hist. prices'!$I$86:$AB$160,MATCH($C1182,'Hist. prices'!$C$86:$C$160,0),MATCH(X$1124,'Hist. prices'!$I$5:$AB$5,0))</f>
        <v>0</v>
      </c>
      <c r="Y1182" s="218">
        <f>INDEX('Hist. prices'!$I$86:$AB$160,MATCH($C1182,'Hist. prices'!$C$86:$C$160,0),MATCH(Y$1124,'Hist. prices'!$I$5:$AB$5,0))</f>
        <v>0</v>
      </c>
      <c r="Z1182" s="218">
        <f>INDEX('Hist. prices'!$I$86:$AB$160,MATCH($C1182,'Hist. prices'!$C$86:$C$160,0),MATCH(Z$1124,'Hist. prices'!$I$5:$AB$5,0))</f>
        <v>0</v>
      </c>
      <c r="AA1182" s="218">
        <f>INDEX('Hist. prices'!$I$86:$AB$160,MATCH($C1182,'Hist. prices'!$C$86:$C$160,0),MATCH(AA$1124,'Hist. prices'!$I$5:$AB$5,0))</f>
        <v>0</v>
      </c>
      <c r="AB1182" s="218">
        <f>INDEX('Hist. prices'!$I$86:$AB$160,MATCH($C1182,'Hist. prices'!$C$86:$C$160,0),MATCH(AB$1124,'Hist. prices'!$I$5:$AB$5,0))</f>
        <v>0</v>
      </c>
      <c r="AC1182" s="187"/>
      <c r="AD1182" s="19"/>
      <c r="AE1182" s="19"/>
      <c r="AF1182" s="19"/>
      <c r="AG1182" s="19"/>
    </row>
    <row r="1183" spans="1:33" hidden="1" outlineLevel="3" x14ac:dyDescent="0.2">
      <c r="A1183" s="19"/>
      <c r="B1183" s="19"/>
      <c r="C1183" s="506">
        <f t="shared" si="217"/>
        <v>0</v>
      </c>
      <c r="D1183" s="505">
        <f t="shared" si="217"/>
        <v>0</v>
      </c>
      <c r="E1183" s="58"/>
      <c r="F1183" s="223"/>
      <c r="G1183" s="58"/>
      <c r="H1183" s="58"/>
      <c r="I1183" s="218">
        <f>INDEX('Hist. prices'!$I$86:$AB$160,MATCH($C1183,'Hist. prices'!$C$86:$C$160,0),MATCH(I$1124,'Hist. prices'!$I$5:$AB$5,0))</f>
        <v>0</v>
      </c>
      <c r="J1183" s="218">
        <f>INDEX('Hist. prices'!$I$86:$AB$160,MATCH($C1183,'Hist. prices'!$C$86:$C$160,0),MATCH(J$1124,'Hist. prices'!$I$5:$AB$5,0))</f>
        <v>0</v>
      </c>
      <c r="K1183" s="218">
        <f>INDEX('Hist. prices'!$I$86:$AB$160,MATCH($C1183,'Hist. prices'!$C$86:$C$160,0),MATCH(K$1124,'Hist. prices'!$I$5:$AB$5,0))</f>
        <v>0</v>
      </c>
      <c r="L1183" s="218">
        <f>INDEX('Hist. prices'!$I$86:$AB$160,MATCH($C1183,'Hist. prices'!$C$86:$C$160,0),MATCH(L$1124,'Hist. prices'!$I$5:$AB$5,0))</f>
        <v>0</v>
      </c>
      <c r="M1183" s="218">
        <f>INDEX('Hist. prices'!$I$86:$AB$160,MATCH($C1183,'Hist. prices'!$C$86:$C$160,0),MATCH(M$1124,'Hist. prices'!$I$5:$AB$5,0))</f>
        <v>0</v>
      </c>
      <c r="N1183" s="218">
        <f>INDEX('Hist. prices'!$I$86:$AB$160,MATCH($C1183,'Hist. prices'!$C$86:$C$160,0),MATCH(N$1124,'Hist. prices'!$I$5:$AB$5,0))</f>
        <v>0</v>
      </c>
      <c r="O1183" s="218">
        <f>INDEX('Hist. prices'!$I$86:$AB$160,MATCH($C1183,'Hist. prices'!$C$86:$C$160,0),MATCH(O$1124,'Hist. prices'!$I$5:$AB$5,0))</f>
        <v>0</v>
      </c>
      <c r="P1183" s="218">
        <f>INDEX('Hist. prices'!$I$86:$AB$160,MATCH($C1183,'Hist. prices'!$C$86:$C$160,0),MATCH(P$1124,'Hist. prices'!$I$5:$AB$5,0))</f>
        <v>0</v>
      </c>
      <c r="Q1183" s="218">
        <f>INDEX('Hist. prices'!$I$86:$AB$160,MATCH($C1183,'Hist. prices'!$C$86:$C$160,0),MATCH(Q$1124,'Hist. prices'!$I$5:$AB$5,0))</f>
        <v>0</v>
      </c>
      <c r="R1183" s="218">
        <f>INDEX('Hist. prices'!$I$86:$AB$160,MATCH($C1183,'Hist. prices'!$C$86:$C$160,0),MATCH(R$1124,'Hist. prices'!$I$5:$AB$5,0))</f>
        <v>0</v>
      </c>
      <c r="S1183" s="218">
        <f>INDEX('Hist. prices'!$I$86:$AB$160,MATCH($C1183,'Hist. prices'!$C$86:$C$160,0),MATCH(S$1124,'Hist. prices'!$I$5:$AB$5,0))</f>
        <v>0</v>
      </c>
      <c r="T1183" s="218">
        <f>INDEX('Hist. prices'!$I$86:$AB$160,MATCH($C1183,'Hist. prices'!$C$86:$C$160,0),MATCH(T$1124,'Hist. prices'!$I$5:$AB$5,0))</f>
        <v>0</v>
      </c>
      <c r="U1183" s="218">
        <f>INDEX('Hist. prices'!$I$86:$AB$160,MATCH($C1183,'Hist. prices'!$C$86:$C$160,0),MATCH(U$1124,'Hist. prices'!$I$5:$AB$5,0))</f>
        <v>0</v>
      </c>
      <c r="V1183" s="218">
        <f>INDEX('Hist. prices'!$I$86:$AB$160,MATCH($C1183,'Hist. prices'!$C$86:$C$160,0),MATCH(V$1124,'Hist. prices'!$I$5:$AB$5,0))</f>
        <v>0</v>
      </c>
      <c r="W1183" s="218">
        <f>INDEX('Hist. prices'!$I$86:$AB$160,MATCH($C1183,'Hist. prices'!$C$86:$C$160,0),MATCH(W$1124,'Hist. prices'!$I$5:$AB$5,0))</f>
        <v>0</v>
      </c>
      <c r="X1183" s="218">
        <f>INDEX('Hist. prices'!$I$86:$AB$160,MATCH($C1183,'Hist. prices'!$C$86:$C$160,0),MATCH(X$1124,'Hist. prices'!$I$5:$AB$5,0))</f>
        <v>0</v>
      </c>
      <c r="Y1183" s="218">
        <f>INDEX('Hist. prices'!$I$86:$AB$160,MATCH($C1183,'Hist. prices'!$C$86:$C$160,0),MATCH(Y$1124,'Hist. prices'!$I$5:$AB$5,0))</f>
        <v>0</v>
      </c>
      <c r="Z1183" s="218">
        <f>INDEX('Hist. prices'!$I$86:$AB$160,MATCH($C1183,'Hist. prices'!$C$86:$C$160,0),MATCH(Z$1124,'Hist. prices'!$I$5:$AB$5,0))</f>
        <v>0</v>
      </c>
      <c r="AA1183" s="218">
        <f>INDEX('Hist. prices'!$I$86:$AB$160,MATCH($C1183,'Hist. prices'!$C$86:$C$160,0),MATCH(AA$1124,'Hist. prices'!$I$5:$AB$5,0))</f>
        <v>0</v>
      </c>
      <c r="AB1183" s="218">
        <f>INDEX('Hist. prices'!$I$86:$AB$160,MATCH($C1183,'Hist. prices'!$C$86:$C$160,0),MATCH(AB$1124,'Hist. prices'!$I$5:$AB$5,0))</f>
        <v>0</v>
      </c>
      <c r="AC1183" s="187"/>
      <c r="AD1183" s="19"/>
      <c r="AE1183" s="19"/>
      <c r="AF1183" s="19"/>
      <c r="AG1183" s="19"/>
    </row>
    <row r="1184" spans="1:33" hidden="1" outlineLevel="3" x14ac:dyDescent="0.2">
      <c r="A1184" s="19"/>
      <c r="B1184" s="19"/>
      <c r="C1184" s="506">
        <f t="shared" si="217"/>
        <v>0</v>
      </c>
      <c r="D1184" s="505">
        <f t="shared" si="217"/>
        <v>0</v>
      </c>
      <c r="E1184" s="58"/>
      <c r="F1184" s="223"/>
      <c r="G1184" s="58"/>
      <c r="H1184" s="58"/>
      <c r="I1184" s="218">
        <f>INDEX('Hist. prices'!$I$86:$AB$160,MATCH($C1184,'Hist. prices'!$C$86:$C$160,0),MATCH(I$1124,'Hist. prices'!$I$5:$AB$5,0))</f>
        <v>0</v>
      </c>
      <c r="J1184" s="218">
        <f>INDEX('Hist. prices'!$I$86:$AB$160,MATCH($C1184,'Hist. prices'!$C$86:$C$160,0),MATCH(J$1124,'Hist. prices'!$I$5:$AB$5,0))</f>
        <v>0</v>
      </c>
      <c r="K1184" s="218">
        <f>INDEX('Hist. prices'!$I$86:$AB$160,MATCH($C1184,'Hist. prices'!$C$86:$C$160,0),MATCH(K$1124,'Hist. prices'!$I$5:$AB$5,0))</f>
        <v>0</v>
      </c>
      <c r="L1184" s="218">
        <f>INDEX('Hist. prices'!$I$86:$AB$160,MATCH($C1184,'Hist. prices'!$C$86:$C$160,0),MATCH(L$1124,'Hist. prices'!$I$5:$AB$5,0))</f>
        <v>0</v>
      </c>
      <c r="M1184" s="218">
        <f>INDEX('Hist. prices'!$I$86:$AB$160,MATCH($C1184,'Hist. prices'!$C$86:$C$160,0),MATCH(M$1124,'Hist. prices'!$I$5:$AB$5,0))</f>
        <v>0</v>
      </c>
      <c r="N1184" s="218">
        <f>INDEX('Hist. prices'!$I$86:$AB$160,MATCH($C1184,'Hist. prices'!$C$86:$C$160,0),MATCH(N$1124,'Hist. prices'!$I$5:$AB$5,0))</f>
        <v>0</v>
      </c>
      <c r="O1184" s="218">
        <f>INDEX('Hist. prices'!$I$86:$AB$160,MATCH($C1184,'Hist. prices'!$C$86:$C$160,0),MATCH(O$1124,'Hist. prices'!$I$5:$AB$5,0))</f>
        <v>0</v>
      </c>
      <c r="P1184" s="218">
        <f>INDEX('Hist. prices'!$I$86:$AB$160,MATCH($C1184,'Hist. prices'!$C$86:$C$160,0),MATCH(P$1124,'Hist. prices'!$I$5:$AB$5,0))</f>
        <v>0</v>
      </c>
      <c r="Q1184" s="218">
        <f>INDEX('Hist. prices'!$I$86:$AB$160,MATCH($C1184,'Hist. prices'!$C$86:$C$160,0),MATCH(Q$1124,'Hist. prices'!$I$5:$AB$5,0))</f>
        <v>0</v>
      </c>
      <c r="R1184" s="218">
        <f>INDEX('Hist. prices'!$I$86:$AB$160,MATCH($C1184,'Hist. prices'!$C$86:$C$160,0),MATCH(R$1124,'Hist. prices'!$I$5:$AB$5,0))</f>
        <v>0</v>
      </c>
      <c r="S1184" s="218">
        <f>INDEX('Hist. prices'!$I$86:$AB$160,MATCH($C1184,'Hist. prices'!$C$86:$C$160,0),MATCH(S$1124,'Hist. prices'!$I$5:$AB$5,0))</f>
        <v>0</v>
      </c>
      <c r="T1184" s="218">
        <f>INDEX('Hist. prices'!$I$86:$AB$160,MATCH($C1184,'Hist. prices'!$C$86:$C$160,0),MATCH(T$1124,'Hist. prices'!$I$5:$AB$5,0))</f>
        <v>0</v>
      </c>
      <c r="U1184" s="218">
        <f>INDEX('Hist. prices'!$I$86:$AB$160,MATCH($C1184,'Hist. prices'!$C$86:$C$160,0),MATCH(U$1124,'Hist. prices'!$I$5:$AB$5,0))</f>
        <v>0</v>
      </c>
      <c r="V1184" s="218">
        <f>INDEX('Hist. prices'!$I$86:$AB$160,MATCH($C1184,'Hist. prices'!$C$86:$C$160,0),MATCH(V$1124,'Hist. prices'!$I$5:$AB$5,0))</f>
        <v>0</v>
      </c>
      <c r="W1184" s="218">
        <f>INDEX('Hist. prices'!$I$86:$AB$160,MATCH($C1184,'Hist. prices'!$C$86:$C$160,0),MATCH(W$1124,'Hist. prices'!$I$5:$AB$5,0))</f>
        <v>0</v>
      </c>
      <c r="X1184" s="218">
        <f>INDEX('Hist. prices'!$I$86:$AB$160,MATCH($C1184,'Hist. prices'!$C$86:$C$160,0),MATCH(X$1124,'Hist. prices'!$I$5:$AB$5,0))</f>
        <v>0</v>
      </c>
      <c r="Y1184" s="218">
        <f>INDEX('Hist. prices'!$I$86:$AB$160,MATCH($C1184,'Hist. prices'!$C$86:$C$160,0),MATCH(Y$1124,'Hist. prices'!$I$5:$AB$5,0))</f>
        <v>0</v>
      </c>
      <c r="Z1184" s="218">
        <f>INDEX('Hist. prices'!$I$86:$AB$160,MATCH($C1184,'Hist. prices'!$C$86:$C$160,0),MATCH(Z$1124,'Hist. prices'!$I$5:$AB$5,0))</f>
        <v>0</v>
      </c>
      <c r="AA1184" s="218">
        <f>INDEX('Hist. prices'!$I$86:$AB$160,MATCH($C1184,'Hist. prices'!$C$86:$C$160,0),MATCH(AA$1124,'Hist. prices'!$I$5:$AB$5,0))</f>
        <v>0</v>
      </c>
      <c r="AB1184" s="218">
        <f>INDEX('Hist. prices'!$I$86:$AB$160,MATCH($C1184,'Hist. prices'!$C$86:$C$160,0),MATCH(AB$1124,'Hist. prices'!$I$5:$AB$5,0))</f>
        <v>0</v>
      </c>
      <c r="AC1184" s="187"/>
      <c r="AD1184" s="19"/>
      <c r="AE1184" s="19"/>
      <c r="AF1184" s="19"/>
      <c r="AG1184" s="19"/>
    </row>
    <row r="1185" spans="1:33" hidden="1" outlineLevel="3" x14ac:dyDescent="0.2">
      <c r="A1185" s="19"/>
      <c r="B1185" s="19"/>
      <c r="C1185" s="506">
        <f t="shared" si="217"/>
        <v>0</v>
      </c>
      <c r="D1185" s="505">
        <f t="shared" si="217"/>
        <v>0</v>
      </c>
      <c r="E1185" s="58"/>
      <c r="F1185" s="223"/>
      <c r="G1185" s="58"/>
      <c r="H1185" s="58"/>
      <c r="I1185" s="218">
        <f>INDEX('Hist. prices'!$I$86:$AB$160,MATCH($C1185,'Hist. prices'!$C$86:$C$160,0),MATCH(I$1124,'Hist. prices'!$I$5:$AB$5,0))</f>
        <v>0</v>
      </c>
      <c r="J1185" s="218">
        <f>INDEX('Hist. prices'!$I$86:$AB$160,MATCH($C1185,'Hist. prices'!$C$86:$C$160,0),MATCH(J$1124,'Hist. prices'!$I$5:$AB$5,0))</f>
        <v>0</v>
      </c>
      <c r="K1185" s="218">
        <f>INDEX('Hist. prices'!$I$86:$AB$160,MATCH($C1185,'Hist. prices'!$C$86:$C$160,0),MATCH(K$1124,'Hist. prices'!$I$5:$AB$5,0))</f>
        <v>0</v>
      </c>
      <c r="L1185" s="218">
        <f>INDEX('Hist. prices'!$I$86:$AB$160,MATCH($C1185,'Hist. prices'!$C$86:$C$160,0),MATCH(L$1124,'Hist. prices'!$I$5:$AB$5,0))</f>
        <v>0</v>
      </c>
      <c r="M1185" s="218">
        <f>INDEX('Hist. prices'!$I$86:$AB$160,MATCH($C1185,'Hist. prices'!$C$86:$C$160,0),MATCH(M$1124,'Hist. prices'!$I$5:$AB$5,0))</f>
        <v>0</v>
      </c>
      <c r="N1185" s="218">
        <f>INDEX('Hist. prices'!$I$86:$AB$160,MATCH($C1185,'Hist. prices'!$C$86:$C$160,0),MATCH(N$1124,'Hist. prices'!$I$5:$AB$5,0))</f>
        <v>0</v>
      </c>
      <c r="O1185" s="218">
        <f>INDEX('Hist. prices'!$I$86:$AB$160,MATCH($C1185,'Hist. prices'!$C$86:$C$160,0),MATCH(O$1124,'Hist. prices'!$I$5:$AB$5,0))</f>
        <v>0</v>
      </c>
      <c r="P1185" s="218">
        <f>INDEX('Hist. prices'!$I$86:$AB$160,MATCH($C1185,'Hist. prices'!$C$86:$C$160,0),MATCH(P$1124,'Hist. prices'!$I$5:$AB$5,0))</f>
        <v>0</v>
      </c>
      <c r="Q1185" s="218">
        <f>INDEX('Hist. prices'!$I$86:$AB$160,MATCH($C1185,'Hist. prices'!$C$86:$C$160,0),MATCH(Q$1124,'Hist. prices'!$I$5:$AB$5,0))</f>
        <v>0</v>
      </c>
      <c r="R1185" s="218">
        <f>INDEX('Hist. prices'!$I$86:$AB$160,MATCH($C1185,'Hist. prices'!$C$86:$C$160,0),MATCH(R$1124,'Hist. prices'!$I$5:$AB$5,0))</f>
        <v>0</v>
      </c>
      <c r="S1185" s="218">
        <f>INDEX('Hist. prices'!$I$86:$AB$160,MATCH($C1185,'Hist. prices'!$C$86:$C$160,0),MATCH(S$1124,'Hist. prices'!$I$5:$AB$5,0))</f>
        <v>0</v>
      </c>
      <c r="T1185" s="218">
        <f>INDEX('Hist. prices'!$I$86:$AB$160,MATCH($C1185,'Hist. prices'!$C$86:$C$160,0),MATCH(T$1124,'Hist. prices'!$I$5:$AB$5,0))</f>
        <v>0</v>
      </c>
      <c r="U1185" s="218">
        <f>INDEX('Hist. prices'!$I$86:$AB$160,MATCH($C1185,'Hist. prices'!$C$86:$C$160,0),MATCH(U$1124,'Hist. prices'!$I$5:$AB$5,0))</f>
        <v>0</v>
      </c>
      <c r="V1185" s="218">
        <f>INDEX('Hist. prices'!$I$86:$AB$160,MATCH($C1185,'Hist. prices'!$C$86:$C$160,0),MATCH(V$1124,'Hist. prices'!$I$5:$AB$5,0))</f>
        <v>0</v>
      </c>
      <c r="W1185" s="218">
        <f>INDEX('Hist. prices'!$I$86:$AB$160,MATCH($C1185,'Hist. prices'!$C$86:$C$160,0),MATCH(W$1124,'Hist. prices'!$I$5:$AB$5,0))</f>
        <v>0</v>
      </c>
      <c r="X1185" s="218">
        <f>INDEX('Hist. prices'!$I$86:$AB$160,MATCH($C1185,'Hist. prices'!$C$86:$C$160,0),MATCH(X$1124,'Hist. prices'!$I$5:$AB$5,0))</f>
        <v>0</v>
      </c>
      <c r="Y1185" s="218">
        <f>INDEX('Hist. prices'!$I$86:$AB$160,MATCH($C1185,'Hist. prices'!$C$86:$C$160,0),MATCH(Y$1124,'Hist. prices'!$I$5:$AB$5,0))</f>
        <v>0</v>
      </c>
      <c r="Z1185" s="218">
        <f>INDEX('Hist. prices'!$I$86:$AB$160,MATCH($C1185,'Hist. prices'!$C$86:$C$160,0),MATCH(Z$1124,'Hist. prices'!$I$5:$AB$5,0))</f>
        <v>0</v>
      </c>
      <c r="AA1185" s="218">
        <f>INDEX('Hist. prices'!$I$86:$AB$160,MATCH($C1185,'Hist. prices'!$C$86:$C$160,0),MATCH(AA$1124,'Hist. prices'!$I$5:$AB$5,0))</f>
        <v>0</v>
      </c>
      <c r="AB1185" s="218">
        <f>INDEX('Hist. prices'!$I$86:$AB$160,MATCH($C1185,'Hist. prices'!$C$86:$C$160,0),MATCH(AB$1124,'Hist. prices'!$I$5:$AB$5,0))</f>
        <v>0</v>
      </c>
      <c r="AC1185" s="187"/>
      <c r="AD1185" s="19"/>
      <c r="AE1185" s="19"/>
      <c r="AF1185" s="19"/>
      <c r="AG1185" s="19"/>
    </row>
    <row r="1186" spans="1:33" hidden="1" outlineLevel="3" x14ac:dyDescent="0.2">
      <c r="A1186" s="19"/>
      <c r="B1186" s="19"/>
      <c r="C1186" s="506">
        <f t="shared" si="217"/>
        <v>0</v>
      </c>
      <c r="D1186" s="505">
        <f t="shared" si="217"/>
        <v>0</v>
      </c>
      <c r="E1186" s="58"/>
      <c r="F1186" s="223"/>
      <c r="G1186" s="58"/>
      <c r="H1186" s="58"/>
      <c r="I1186" s="218">
        <f>INDEX('Hist. prices'!$I$86:$AB$160,MATCH($C1186,'Hist. prices'!$C$86:$C$160,0),MATCH(I$1124,'Hist. prices'!$I$5:$AB$5,0))</f>
        <v>0</v>
      </c>
      <c r="J1186" s="218">
        <f>INDEX('Hist. prices'!$I$86:$AB$160,MATCH($C1186,'Hist. prices'!$C$86:$C$160,0),MATCH(J$1124,'Hist. prices'!$I$5:$AB$5,0))</f>
        <v>0</v>
      </c>
      <c r="K1186" s="218">
        <f>INDEX('Hist. prices'!$I$86:$AB$160,MATCH($C1186,'Hist. prices'!$C$86:$C$160,0),MATCH(K$1124,'Hist. prices'!$I$5:$AB$5,0))</f>
        <v>0</v>
      </c>
      <c r="L1186" s="218">
        <f>INDEX('Hist. prices'!$I$86:$AB$160,MATCH($C1186,'Hist. prices'!$C$86:$C$160,0),MATCH(L$1124,'Hist. prices'!$I$5:$AB$5,0))</f>
        <v>0</v>
      </c>
      <c r="M1186" s="218">
        <f>INDEX('Hist. prices'!$I$86:$AB$160,MATCH($C1186,'Hist. prices'!$C$86:$C$160,0),MATCH(M$1124,'Hist. prices'!$I$5:$AB$5,0))</f>
        <v>0</v>
      </c>
      <c r="N1186" s="218">
        <f>INDEX('Hist. prices'!$I$86:$AB$160,MATCH($C1186,'Hist. prices'!$C$86:$C$160,0),MATCH(N$1124,'Hist. prices'!$I$5:$AB$5,0))</f>
        <v>0</v>
      </c>
      <c r="O1186" s="218">
        <f>INDEX('Hist. prices'!$I$86:$AB$160,MATCH($C1186,'Hist. prices'!$C$86:$C$160,0),MATCH(O$1124,'Hist. prices'!$I$5:$AB$5,0))</f>
        <v>0</v>
      </c>
      <c r="P1186" s="218">
        <f>INDEX('Hist. prices'!$I$86:$AB$160,MATCH($C1186,'Hist. prices'!$C$86:$C$160,0),MATCH(P$1124,'Hist. prices'!$I$5:$AB$5,0))</f>
        <v>0</v>
      </c>
      <c r="Q1186" s="218">
        <f>INDEX('Hist. prices'!$I$86:$AB$160,MATCH($C1186,'Hist. prices'!$C$86:$C$160,0),MATCH(Q$1124,'Hist. prices'!$I$5:$AB$5,0))</f>
        <v>0</v>
      </c>
      <c r="R1186" s="218">
        <f>INDEX('Hist. prices'!$I$86:$AB$160,MATCH($C1186,'Hist. prices'!$C$86:$C$160,0),MATCH(R$1124,'Hist. prices'!$I$5:$AB$5,0))</f>
        <v>0</v>
      </c>
      <c r="S1186" s="218">
        <f>INDEX('Hist. prices'!$I$86:$AB$160,MATCH($C1186,'Hist. prices'!$C$86:$C$160,0),MATCH(S$1124,'Hist. prices'!$I$5:$AB$5,0))</f>
        <v>0</v>
      </c>
      <c r="T1186" s="218">
        <f>INDEX('Hist. prices'!$I$86:$AB$160,MATCH($C1186,'Hist. prices'!$C$86:$C$160,0),MATCH(T$1124,'Hist. prices'!$I$5:$AB$5,0))</f>
        <v>0</v>
      </c>
      <c r="U1186" s="218">
        <f>INDEX('Hist. prices'!$I$86:$AB$160,MATCH($C1186,'Hist. prices'!$C$86:$C$160,0),MATCH(U$1124,'Hist. prices'!$I$5:$AB$5,0))</f>
        <v>0</v>
      </c>
      <c r="V1186" s="218">
        <f>INDEX('Hist. prices'!$I$86:$AB$160,MATCH($C1186,'Hist. prices'!$C$86:$C$160,0),MATCH(V$1124,'Hist. prices'!$I$5:$AB$5,0))</f>
        <v>0</v>
      </c>
      <c r="W1186" s="218">
        <f>INDEX('Hist. prices'!$I$86:$AB$160,MATCH($C1186,'Hist. prices'!$C$86:$C$160,0),MATCH(W$1124,'Hist. prices'!$I$5:$AB$5,0))</f>
        <v>0</v>
      </c>
      <c r="X1186" s="218">
        <f>INDEX('Hist. prices'!$I$86:$AB$160,MATCH($C1186,'Hist. prices'!$C$86:$C$160,0),MATCH(X$1124,'Hist. prices'!$I$5:$AB$5,0))</f>
        <v>0</v>
      </c>
      <c r="Y1186" s="218">
        <f>INDEX('Hist. prices'!$I$86:$AB$160,MATCH($C1186,'Hist. prices'!$C$86:$C$160,0),MATCH(Y$1124,'Hist. prices'!$I$5:$AB$5,0))</f>
        <v>0</v>
      </c>
      <c r="Z1186" s="218">
        <f>INDEX('Hist. prices'!$I$86:$AB$160,MATCH($C1186,'Hist. prices'!$C$86:$C$160,0),MATCH(Z$1124,'Hist. prices'!$I$5:$AB$5,0))</f>
        <v>0</v>
      </c>
      <c r="AA1186" s="218">
        <f>INDEX('Hist. prices'!$I$86:$AB$160,MATCH($C1186,'Hist. prices'!$C$86:$C$160,0),MATCH(AA$1124,'Hist. prices'!$I$5:$AB$5,0))</f>
        <v>0</v>
      </c>
      <c r="AB1186" s="218">
        <f>INDEX('Hist. prices'!$I$86:$AB$160,MATCH($C1186,'Hist. prices'!$C$86:$C$160,0),MATCH(AB$1124,'Hist. prices'!$I$5:$AB$5,0))</f>
        <v>0</v>
      </c>
      <c r="AC1186" s="187"/>
      <c r="AD1186" s="19"/>
      <c r="AE1186" s="19"/>
      <c r="AF1186" s="19"/>
      <c r="AG1186" s="19"/>
    </row>
    <row r="1187" spans="1:33" hidden="1" outlineLevel="3" x14ac:dyDescent="0.2">
      <c r="A1187" s="19"/>
      <c r="B1187" s="19"/>
      <c r="C1187" s="506">
        <f t="shared" si="217"/>
        <v>0</v>
      </c>
      <c r="D1187" s="505">
        <f t="shared" si="217"/>
        <v>0</v>
      </c>
      <c r="E1187" s="58"/>
      <c r="F1187" s="223"/>
      <c r="G1187" s="58"/>
      <c r="H1187" s="58"/>
      <c r="I1187" s="218">
        <f>INDEX('Hist. prices'!$I$86:$AB$160,MATCH($C1187,'Hist. prices'!$C$86:$C$160,0),MATCH(I$1124,'Hist. prices'!$I$5:$AB$5,0))</f>
        <v>0</v>
      </c>
      <c r="J1187" s="218">
        <f>INDEX('Hist. prices'!$I$86:$AB$160,MATCH($C1187,'Hist. prices'!$C$86:$C$160,0),MATCH(J$1124,'Hist. prices'!$I$5:$AB$5,0))</f>
        <v>0</v>
      </c>
      <c r="K1187" s="218">
        <f>INDEX('Hist. prices'!$I$86:$AB$160,MATCH($C1187,'Hist. prices'!$C$86:$C$160,0),MATCH(K$1124,'Hist. prices'!$I$5:$AB$5,0))</f>
        <v>0</v>
      </c>
      <c r="L1187" s="218">
        <f>INDEX('Hist. prices'!$I$86:$AB$160,MATCH($C1187,'Hist. prices'!$C$86:$C$160,0),MATCH(L$1124,'Hist. prices'!$I$5:$AB$5,0))</f>
        <v>0</v>
      </c>
      <c r="M1187" s="218">
        <f>INDEX('Hist. prices'!$I$86:$AB$160,MATCH($C1187,'Hist. prices'!$C$86:$C$160,0),MATCH(M$1124,'Hist. prices'!$I$5:$AB$5,0))</f>
        <v>0</v>
      </c>
      <c r="N1187" s="218">
        <f>INDEX('Hist. prices'!$I$86:$AB$160,MATCH($C1187,'Hist. prices'!$C$86:$C$160,0),MATCH(N$1124,'Hist. prices'!$I$5:$AB$5,0))</f>
        <v>0</v>
      </c>
      <c r="O1187" s="218">
        <f>INDEX('Hist. prices'!$I$86:$AB$160,MATCH($C1187,'Hist. prices'!$C$86:$C$160,0),MATCH(O$1124,'Hist. prices'!$I$5:$AB$5,0))</f>
        <v>0</v>
      </c>
      <c r="P1187" s="218">
        <f>INDEX('Hist. prices'!$I$86:$AB$160,MATCH($C1187,'Hist. prices'!$C$86:$C$160,0),MATCH(P$1124,'Hist. prices'!$I$5:$AB$5,0))</f>
        <v>0</v>
      </c>
      <c r="Q1187" s="218">
        <f>INDEX('Hist. prices'!$I$86:$AB$160,MATCH($C1187,'Hist. prices'!$C$86:$C$160,0),MATCH(Q$1124,'Hist. prices'!$I$5:$AB$5,0))</f>
        <v>0</v>
      </c>
      <c r="R1187" s="218">
        <f>INDEX('Hist. prices'!$I$86:$AB$160,MATCH($C1187,'Hist. prices'!$C$86:$C$160,0),MATCH(R$1124,'Hist. prices'!$I$5:$AB$5,0))</f>
        <v>0</v>
      </c>
      <c r="S1187" s="218">
        <f>INDEX('Hist. prices'!$I$86:$AB$160,MATCH($C1187,'Hist. prices'!$C$86:$C$160,0),MATCH(S$1124,'Hist. prices'!$I$5:$AB$5,0))</f>
        <v>0</v>
      </c>
      <c r="T1187" s="218">
        <f>INDEX('Hist. prices'!$I$86:$AB$160,MATCH($C1187,'Hist. prices'!$C$86:$C$160,0),MATCH(T$1124,'Hist. prices'!$I$5:$AB$5,0))</f>
        <v>0</v>
      </c>
      <c r="U1187" s="218">
        <f>INDEX('Hist. prices'!$I$86:$AB$160,MATCH($C1187,'Hist. prices'!$C$86:$C$160,0),MATCH(U$1124,'Hist. prices'!$I$5:$AB$5,0))</f>
        <v>0</v>
      </c>
      <c r="V1187" s="218">
        <f>INDEX('Hist. prices'!$I$86:$AB$160,MATCH($C1187,'Hist. prices'!$C$86:$C$160,0),MATCH(V$1124,'Hist. prices'!$I$5:$AB$5,0))</f>
        <v>0</v>
      </c>
      <c r="W1187" s="218">
        <f>INDEX('Hist. prices'!$I$86:$AB$160,MATCH($C1187,'Hist. prices'!$C$86:$C$160,0),MATCH(W$1124,'Hist. prices'!$I$5:$AB$5,0))</f>
        <v>0</v>
      </c>
      <c r="X1187" s="218">
        <f>INDEX('Hist. prices'!$I$86:$AB$160,MATCH($C1187,'Hist. prices'!$C$86:$C$160,0),MATCH(X$1124,'Hist. prices'!$I$5:$AB$5,0))</f>
        <v>0</v>
      </c>
      <c r="Y1187" s="218">
        <f>INDEX('Hist. prices'!$I$86:$AB$160,MATCH($C1187,'Hist. prices'!$C$86:$C$160,0),MATCH(Y$1124,'Hist. prices'!$I$5:$AB$5,0))</f>
        <v>0</v>
      </c>
      <c r="Z1187" s="218">
        <f>INDEX('Hist. prices'!$I$86:$AB$160,MATCH($C1187,'Hist. prices'!$C$86:$C$160,0),MATCH(Z$1124,'Hist. prices'!$I$5:$AB$5,0))</f>
        <v>0</v>
      </c>
      <c r="AA1187" s="218">
        <f>INDEX('Hist. prices'!$I$86:$AB$160,MATCH($C1187,'Hist. prices'!$C$86:$C$160,0),MATCH(AA$1124,'Hist. prices'!$I$5:$AB$5,0))</f>
        <v>0</v>
      </c>
      <c r="AB1187" s="218">
        <f>INDEX('Hist. prices'!$I$86:$AB$160,MATCH($C1187,'Hist. prices'!$C$86:$C$160,0),MATCH(AB$1124,'Hist. prices'!$I$5:$AB$5,0))</f>
        <v>0</v>
      </c>
      <c r="AC1187" s="187"/>
      <c r="AD1187" s="19"/>
      <c r="AE1187" s="19"/>
      <c r="AF1187" s="19"/>
      <c r="AG1187" s="19"/>
    </row>
    <row r="1188" spans="1:33" hidden="1" outlineLevel="3" x14ac:dyDescent="0.2">
      <c r="A1188" s="19"/>
      <c r="B1188" s="19"/>
      <c r="C1188" s="506">
        <f t="shared" si="217"/>
        <v>0</v>
      </c>
      <c r="D1188" s="505">
        <f t="shared" si="217"/>
        <v>0</v>
      </c>
      <c r="E1188" s="58"/>
      <c r="F1188" s="223"/>
      <c r="G1188" s="58"/>
      <c r="H1188" s="58"/>
      <c r="I1188" s="218">
        <f>INDEX('Hist. prices'!$I$86:$AB$160,MATCH($C1188,'Hist. prices'!$C$86:$C$160,0),MATCH(I$1124,'Hist. prices'!$I$5:$AB$5,0))</f>
        <v>0</v>
      </c>
      <c r="J1188" s="218">
        <f>INDEX('Hist. prices'!$I$86:$AB$160,MATCH($C1188,'Hist. prices'!$C$86:$C$160,0),MATCH(J$1124,'Hist. prices'!$I$5:$AB$5,0))</f>
        <v>0</v>
      </c>
      <c r="K1188" s="218">
        <f>INDEX('Hist. prices'!$I$86:$AB$160,MATCH($C1188,'Hist. prices'!$C$86:$C$160,0),MATCH(K$1124,'Hist. prices'!$I$5:$AB$5,0))</f>
        <v>0</v>
      </c>
      <c r="L1188" s="218">
        <f>INDEX('Hist. prices'!$I$86:$AB$160,MATCH($C1188,'Hist. prices'!$C$86:$C$160,0),MATCH(L$1124,'Hist. prices'!$I$5:$AB$5,0))</f>
        <v>0</v>
      </c>
      <c r="M1188" s="218">
        <f>INDEX('Hist. prices'!$I$86:$AB$160,MATCH($C1188,'Hist. prices'!$C$86:$C$160,0),MATCH(M$1124,'Hist. prices'!$I$5:$AB$5,0))</f>
        <v>0</v>
      </c>
      <c r="N1188" s="218">
        <f>INDEX('Hist. prices'!$I$86:$AB$160,MATCH($C1188,'Hist. prices'!$C$86:$C$160,0),MATCH(N$1124,'Hist. prices'!$I$5:$AB$5,0))</f>
        <v>0</v>
      </c>
      <c r="O1188" s="218">
        <f>INDEX('Hist. prices'!$I$86:$AB$160,MATCH($C1188,'Hist. prices'!$C$86:$C$160,0),MATCH(O$1124,'Hist. prices'!$I$5:$AB$5,0))</f>
        <v>0</v>
      </c>
      <c r="P1188" s="218">
        <f>INDEX('Hist. prices'!$I$86:$AB$160,MATCH($C1188,'Hist. prices'!$C$86:$C$160,0),MATCH(P$1124,'Hist. prices'!$I$5:$AB$5,0))</f>
        <v>0</v>
      </c>
      <c r="Q1188" s="218">
        <f>INDEX('Hist. prices'!$I$86:$AB$160,MATCH($C1188,'Hist. prices'!$C$86:$C$160,0),MATCH(Q$1124,'Hist. prices'!$I$5:$AB$5,0))</f>
        <v>0</v>
      </c>
      <c r="R1188" s="218">
        <f>INDEX('Hist. prices'!$I$86:$AB$160,MATCH($C1188,'Hist. prices'!$C$86:$C$160,0),MATCH(R$1124,'Hist. prices'!$I$5:$AB$5,0))</f>
        <v>0</v>
      </c>
      <c r="S1188" s="218">
        <f>INDEX('Hist. prices'!$I$86:$AB$160,MATCH($C1188,'Hist. prices'!$C$86:$C$160,0),MATCH(S$1124,'Hist. prices'!$I$5:$AB$5,0))</f>
        <v>0</v>
      </c>
      <c r="T1188" s="218">
        <f>INDEX('Hist. prices'!$I$86:$AB$160,MATCH($C1188,'Hist. prices'!$C$86:$C$160,0),MATCH(T$1124,'Hist. prices'!$I$5:$AB$5,0))</f>
        <v>0</v>
      </c>
      <c r="U1188" s="218">
        <f>INDEX('Hist. prices'!$I$86:$AB$160,MATCH($C1188,'Hist. prices'!$C$86:$C$160,0),MATCH(U$1124,'Hist. prices'!$I$5:$AB$5,0))</f>
        <v>0</v>
      </c>
      <c r="V1188" s="218">
        <f>INDEX('Hist. prices'!$I$86:$AB$160,MATCH($C1188,'Hist. prices'!$C$86:$C$160,0),MATCH(V$1124,'Hist. prices'!$I$5:$AB$5,0))</f>
        <v>0</v>
      </c>
      <c r="W1188" s="218">
        <f>INDEX('Hist. prices'!$I$86:$AB$160,MATCH($C1188,'Hist. prices'!$C$86:$C$160,0),MATCH(W$1124,'Hist. prices'!$I$5:$AB$5,0))</f>
        <v>0</v>
      </c>
      <c r="X1188" s="218">
        <f>INDEX('Hist. prices'!$I$86:$AB$160,MATCH($C1188,'Hist. prices'!$C$86:$C$160,0),MATCH(X$1124,'Hist. prices'!$I$5:$AB$5,0))</f>
        <v>0</v>
      </c>
      <c r="Y1188" s="218">
        <f>INDEX('Hist. prices'!$I$86:$AB$160,MATCH($C1188,'Hist. prices'!$C$86:$C$160,0),MATCH(Y$1124,'Hist. prices'!$I$5:$AB$5,0))</f>
        <v>0</v>
      </c>
      <c r="Z1188" s="218">
        <f>INDEX('Hist. prices'!$I$86:$AB$160,MATCH($C1188,'Hist. prices'!$C$86:$C$160,0),MATCH(Z$1124,'Hist. prices'!$I$5:$AB$5,0))</f>
        <v>0</v>
      </c>
      <c r="AA1188" s="218">
        <f>INDEX('Hist. prices'!$I$86:$AB$160,MATCH($C1188,'Hist. prices'!$C$86:$C$160,0),MATCH(AA$1124,'Hist. prices'!$I$5:$AB$5,0))</f>
        <v>0</v>
      </c>
      <c r="AB1188" s="218">
        <f>INDEX('Hist. prices'!$I$86:$AB$160,MATCH($C1188,'Hist. prices'!$C$86:$C$160,0),MATCH(AB$1124,'Hist. prices'!$I$5:$AB$5,0))</f>
        <v>0</v>
      </c>
      <c r="AC1188" s="187"/>
      <c r="AD1188" s="19"/>
      <c r="AE1188" s="19"/>
      <c r="AF1188" s="19"/>
      <c r="AG1188" s="19"/>
    </row>
    <row r="1189" spans="1:33" hidden="1" outlineLevel="3" x14ac:dyDescent="0.2">
      <c r="A1189" s="19"/>
      <c r="B1189" s="19"/>
      <c r="C1189" s="506">
        <f t="shared" si="217"/>
        <v>0</v>
      </c>
      <c r="D1189" s="505">
        <f t="shared" si="217"/>
        <v>0</v>
      </c>
      <c r="E1189" s="58"/>
      <c r="F1189" s="223"/>
      <c r="G1189" s="58"/>
      <c r="H1189" s="58"/>
      <c r="I1189" s="218">
        <f>INDEX('Hist. prices'!$I$86:$AB$160,MATCH($C1189,'Hist. prices'!$C$86:$C$160,0),MATCH(I$1124,'Hist. prices'!$I$5:$AB$5,0))</f>
        <v>0</v>
      </c>
      <c r="J1189" s="218">
        <f>INDEX('Hist. prices'!$I$86:$AB$160,MATCH($C1189,'Hist. prices'!$C$86:$C$160,0),MATCH(J$1124,'Hist. prices'!$I$5:$AB$5,0))</f>
        <v>0</v>
      </c>
      <c r="K1189" s="218">
        <f>INDEX('Hist. prices'!$I$86:$AB$160,MATCH($C1189,'Hist. prices'!$C$86:$C$160,0),MATCH(K$1124,'Hist. prices'!$I$5:$AB$5,0))</f>
        <v>0</v>
      </c>
      <c r="L1189" s="218">
        <f>INDEX('Hist. prices'!$I$86:$AB$160,MATCH($C1189,'Hist. prices'!$C$86:$C$160,0),MATCH(L$1124,'Hist. prices'!$I$5:$AB$5,0))</f>
        <v>0</v>
      </c>
      <c r="M1189" s="218">
        <f>INDEX('Hist. prices'!$I$86:$AB$160,MATCH($C1189,'Hist. prices'!$C$86:$C$160,0),MATCH(M$1124,'Hist. prices'!$I$5:$AB$5,0))</f>
        <v>0</v>
      </c>
      <c r="N1189" s="218">
        <f>INDEX('Hist. prices'!$I$86:$AB$160,MATCH($C1189,'Hist. prices'!$C$86:$C$160,0),MATCH(N$1124,'Hist. prices'!$I$5:$AB$5,0))</f>
        <v>0</v>
      </c>
      <c r="O1189" s="218">
        <f>INDEX('Hist. prices'!$I$86:$AB$160,MATCH($C1189,'Hist. prices'!$C$86:$C$160,0),MATCH(O$1124,'Hist. prices'!$I$5:$AB$5,0))</f>
        <v>0</v>
      </c>
      <c r="P1189" s="218">
        <f>INDEX('Hist. prices'!$I$86:$AB$160,MATCH($C1189,'Hist. prices'!$C$86:$C$160,0),MATCH(P$1124,'Hist. prices'!$I$5:$AB$5,0))</f>
        <v>0</v>
      </c>
      <c r="Q1189" s="218">
        <f>INDEX('Hist. prices'!$I$86:$AB$160,MATCH($C1189,'Hist. prices'!$C$86:$C$160,0),MATCH(Q$1124,'Hist. prices'!$I$5:$AB$5,0))</f>
        <v>0</v>
      </c>
      <c r="R1189" s="218">
        <f>INDEX('Hist. prices'!$I$86:$AB$160,MATCH($C1189,'Hist. prices'!$C$86:$C$160,0),MATCH(R$1124,'Hist. prices'!$I$5:$AB$5,0))</f>
        <v>0</v>
      </c>
      <c r="S1189" s="218">
        <f>INDEX('Hist. prices'!$I$86:$AB$160,MATCH($C1189,'Hist. prices'!$C$86:$C$160,0),MATCH(S$1124,'Hist. prices'!$I$5:$AB$5,0))</f>
        <v>0</v>
      </c>
      <c r="T1189" s="218">
        <f>INDEX('Hist. prices'!$I$86:$AB$160,MATCH($C1189,'Hist. prices'!$C$86:$C$160,0),MATCH(T$1124,'Hist. prices'!$I$5:$AB$5,0))</f>
        <v>0</v>
      </c>
      <c r="U1189" s="218">
        <f>INDEX('Hist. prices'!$I$86:$AB$160,MATCH($C1189,'Hist. prices'!$C$86:$C$160,0),MATCH(U$1124,'Hist. prices'!$I$5:$AB$5,0))</f>
        <v>0</v>
      </c>
      <c r="V1189" s="218">
        <f>INDEX('Hist. prices'!$I$86:$AB$160,MATCH($C1189,'Hist. prices'!$C$86:$C$160,0),MATCH(V$1124,'Hist. prices'!$I$5:$AB$5,0))</f>
        <v>0</v>
      </c>
      <c r="W1189" s="218">
        <f>INDEX('Hist. prices'!$I$86:$AB$160,MATCH($C1189,'Hist. prices'!$C$86:$C$160,0),MATCH(W$1124,'Hist. prices'!$I$5:$AB$5,0))</f>
        <v>0</v>
      </c>
      <c r="X1189" s="218">
        <f>INDEX('Hist. prices'!$I$86:$AB$160,MATCH($C1189,'Hist. prices'!$C$86:$C$160,0),MATCH(X$1124,'Hist. prices'!$I$5:$AB$5,0))</f>
        <v>0</v>
      </c>
      <c r="Y1189" s="218">
        <f>INDEX('Hist. prices'!$I$86:$AB$160,MATCH($C1189,'Hist. prices'!$C$86:$C$160,0),MATCH(Y$1124,'Hist. prices'!$I$5:$AB$5,0))</f>
        <v>0</v>
      </c>
      <c r="Z1189" s="218">
        <f>INDEX('Hist. prices'!$I$86:$AB$160,MATCH($C1189,'Hist. prices'!$C$86:$C$160,0),MATCH(Z$1124,'Hist. prices'!$I$5:$AB$5,0))</f>
        <v>0</v>
      </c>
      <c r="AA1189" s="218">
        <f>INDEX('Hist. prices'!$I$86:$AB$160,MATCH($C1189,'Hist. prices'!$C$86:$C$160,0),MATCH(AA$1124,'Hist. prices'!$I$5:$AB$5,0))</f>
        <v>0</v>
      </c>
      <c r="AB1189" s="218">
        <f>INDEX('Hist. prices'!$I$86:$AB$160,MATCH($C1189,'Hist. prices'!$C$86:$C$160,0),MATCH(AB$1124,'Hist. prices'!$I$5:$AB$5,0))</f>
        <v>0</v>
      </c>
      <c r="AC1189" s="187"/>
      <c r="AD1189" s="19"/>
      <c r="AE1189" s="19"/>
      <c r="AF1189" s="19"/>
      <c r="AG1189" s="19"/>
    </row>
    <row r="1190" spans="1:33" outlineLevel="2" collapsed="1" x14ac:dyDescent="0.2">
      <c r="A1190" s="19"/>
      <c r="B1190" s="19"/>
      <c r="C1190" s="538"/>
      <c r="D1190" s="536"/>
      <c r="E1190" s="58"/>
      <c r="F1190" s="66"/>
      <c r="G1190" s="58"/>
      <c r="H1190" s="58"/>
      <c r="I1190" s="186"/>
      <c r="J1190" s="186"/>
      <c r="K1190" s="187"/>
      <c r="L1190" s="187"/>
      <c r="M1190" s="187"/>
      <c r="N1190" s="188"/>
      <c r="O1190" s="188"/>
      <c r="P1190" s="188"/>
      <c r="Q1190" s="188"/>
      <c r="R1190" s="188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9"/>
      <c r="AE1190" s="19"/>
      <c r="AF1190" s="19"/>
      <c r="AG1190" s="19"/>
    </row>
    <row r="1191" spans="1:33" outlineLevel="1" x14ac:dyDescent="0.2">
      <c r="A1191" s="19"/>
      <c r="B1191" s="19"/>
      <c r="C1191" s="217"/>
      <c r="D1191" s="536"/>
      <c r="E1191" s="58"/>
      <c r="F1191" s="66"/>
      <c r="G1191" s="58"/>
      <c r="H1191" s="58"/>
      <c r="I1191" s="186"/>
      <c r="J1191" s="186"/>
      <c r="K1191" s="187"/>
      <c r="L1191" s="187"/>
      <c r="M1191" s="187"/>
      <c r="N1191" s="188"/>
      <c r="O1191" s="188"/>
      <c r="P1191" s="188"/>
      <c r="Q1191" s="188"/>
      <c r="R1191" s="188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9"/>
      <c r="AE1191" s="19"/>
      <c r="AF1191" s="19"/>
      <c r="AG1191" s="19"/>
    </row>
    <row r="1192" spans="1:33" outlineLevel="1" x14ac:dyDescent="0.2">
      <c r="A1192" s="19"/>
      <c r="B1192" s="19"/>
      <c r="C1192" s="167" t="s">
        <v>220</v>
      </c>
      <c r="D1192" s="512"/>
      <c r="E1192" s="20"/>
      <c r="F1192" s="167"/>
      <c r="G1192" s="22"/>
      <c r="H1192" s="22"/>
      <c r="I1192" s="187"/>
      <c r="J1192" s="187"/>
      <c r="K1192" s="187"/>
      <c r="L1192" s="187"/>
      <c r="M1192" s="187"/>
      <c r="N1192" s="187"/>
      <c r="O1192" s="187"/>
      <c r="P1192" s="187"/>
      <c r="Q1192" s="187"/>
      <c r="R1192" s="187"/>
      <c r="S1192" s="187"/>
      <c r="T1192" s="187"/>
      <c r="U1192" s="187"/>
      <c r="V1192" s="187"/>
      <c r="W1192" s="187"/>
      <c r="X1192" s="187"/>
      <c r="Y1192" s="187"/>
      <c r="Z1192" s="187"/>
      <c r="AA1192" s="187"/>
      <c r="AB1192" s="187"/>
      <c r="AC1192" s="187"/>
      <c r="AD1192" s="19"/>
      <c r="AE1192" s="19"/>
      <c r="AF1192" s="19"/>
      <c r="AG1192" s="19"/>
    </row>
    <row r="1193" spans="1:33" outlineLevel="2" x14ac:dyDescent="0.2">
      <c r="A1193" s="19"/>
      <c r="B1193" s="19"/>
      <c r="C1193" s="506" t="str">
        <f t="shared" ref="C1193:D1222" si="218">C1127</f>
        <v>Small business time of use consumption</v>
      </c>
      <c r="D1193" s="505" t="str">
        <f t="shared" si="218"/>
        <v>yes</v>
      </c>
      <c r="E1193" s="20"/>
      <c r="F1193" s="223"/>
      <c r="G1193" s="22"/>
      <c r="H1193" s="22"/>
      <c r="I1193" s="218">
        <f>INDEX('Hist. prices'!$I$164:$AB$238,MATCH($C1193,'Hist. prices'!$C$164:$C$238,0),MATCH(I$1124,'Hist. prices'!$I$5:$AB$5,0))</f>
        <v>0</v>
      </c>
      <c r="J1193" s="218">
        <f>INDEX('Hist. prices'!$I$164:$AB$238,MATCH($C1193,'Hist. prices'!$C$164:$C$238,0),MATCH(J$1124,'Hist. prices'!$I$5:$AB$5,0))</f>
        <v>0</v>
      </c>
      <c r="K1193" s="218">
        <f>INDEX('Hist. prices'!$I$164:$AB$238,MATCH($C1193,'Hist. prices'!$C$164:$C$238,0),MATCH(K$1124,'Hist. prices'!$I$5:$AB$5,0))</f>
        <v>0</v>
      </c>
      <c r="L1193" s="218">
        <f>INDEX('Hist. prices'!$I$164:$AB$238,MATCH($C1193,'Hist. prices'!$C$164:$C$238,0),MATCH(L$1124,'Hist. prices'!$I$5:$AB$5,0))</f>
        <v>0</v>
      </c>
      <c r="M1193" s="218">
        <f>INDEX('Hist. prices'!$I$164:$AB$238,MATCH($C1193,'Hist. prices'!$C$164:$C$238,0),MATCH(M$1124,'Hist. prices'!$I$5:$AB$5,0))</f>
        <v>0</v>
      </c>
      <c r="N1193" s="218">
        <f>INDEX('Hist. prices'!$I$164:$AB$238,MATCH($C1193,'Hist. prices'!$C$164:$C$238,0),MATCH(N$1124,'Hist. prices'!$I$5:$AB$5,0))</f>
        <v>0</v>
      </c>
      <c r="O1193" s="218">
        <f>INDEX('Hist. prices'!$I$164:$AB$238,MATCH($C1193,'Hist. prices'!$C$164:$C$238,0),MATCH(O$1124,'Hist. prices'!$I$5:$AB$5,0))</f>
        <v>0</v>
      </c>
      <c r="P1193" s="218">
        <f>INDEX('Hist. prices'!$I$164:$AB$238,MATCH($C1193,'Hist. prices'!$C$164:$C$238,0),MATCH(P$1124,'Hist. prices'!$I$5:$AB$5,0))</f>
        <v>0</v>
      </c>
      <c r="Q1193" s="218">
        <f>INDEX('Hist. prices'!$I$164:$AB$238,MATCH($C1193,'Hist. prices'!$C$164:$C$238,0),MATCH(Q$1124,'Hist. prices'!$I$5:$AB$5,0))</f>
        <v>0</v>
      </c>
      <c r="R1193" s="218">
        <f>INDEX('Hist. prices'!$I$164:$AB$238,MATCH($C1193,'Hist. prices'!$C$164:$C$238,0),MATCH(R$1124,'Hist. prices'!$I$5:$AB$5,0))</f>
        <v>0</v>
      </c>
      <c r="S1193" s="218">
        <f>INDEX('Hist. prices'!$I$164:$AB$238,MATCH($C1193,'Hist. prices'!$C$164:$C$238,0),MATCH(S$1124,'Hist. prices'!$I$5:$AB$5,0))</f>
        <v>0</v>
      </c>
      <c r="T1193" s="218">
        <f>INDEX('Hist. prices'!$I$164:$AB$238,MATCH($C1193,'Hist. prices'!$C$164:$C$238,0),MATCH(T$1124,'Hist. prices'!$I$5:$AB$5,0))</f>
        <v>0</v>
      </c>
      <c r="U1193" s="218">
        <f>INDEX('Hist. prices'!$I$164:$AB$238,MATCH($C1193,'Hist. prices'!$C$164:$C$238,0),MATCH(U$1124,'Hist. prices'!$I$5:$AB$5,0))</f>
        <v>0</v>
      </c>
      <c r="V1193" s="218">
        <f>INDEX('Hist. prices'!$I$164:$AB$238,MATCH($C1193,'Hist. prices'!$C$164:$C$238,0),MATCH(V$1124,'Hist. prices'!$I$5:$AB$5,0))</f>
        <v>0</v>
      </c>
      <c r="W1193" s="218">
        <f>INDEX('Hist. prices'!$I$164:$AB$238,MATCH($C1193,'Hist. prices'!$C$164:$C$238,0),MATCH(W$1124,'Hist. prices'!$I$5:$AB$5,0))</f>
        <v>0</v>
      </c>
      <c r="X1193" s="218">
        <f>INDEX('Hist. prices'!$I$164:$AB$238,MATCH($C1193,'Hist. prices'!$C$164:$C$238,0),MATCH(X$1124,'Hist. prices'!$I$5:$AB$5,0))</f>
        <v>0</v>
      </c>
      <c r="Y1193" s="218">
        <f>INDEX('Hist. prices'!$I$164:$AB$238,MATCH($C1193,'Hist. prices'!$C$164:$C$238,0),MATCH(Y$1124,'Hist. prices'!$I$5:$AB$5,0))</f>
        <v>0</v>
      </c>
      <c r="Z1193" s="218">
        <f>INDEX('Hist. prices'!$I$164:$AB$238,MATCH($C1193,'Hist. prices'!$C$164:$C$238,0),MATCH(Z$1124,'Hist. prices'!$I$5:$AB$5,0))</f>
        <v>0</v>
      </c>
      <c r="AA1193" s="218">
        <f>INDEX('Hist. prices'!$I$164:$AB$238,MATCH($C1193,'Hist. prices'!$C$164:$C$238,0),MATCH(AA$1124,'Hist. prices'!$I$5:$AB$5,0))</f>
        <v>0</v>
      </c>
      <c r="AB1193" s="218">
        <f>INDEX('Hist. prices'!$I$164:$AB$238,MATCH($C1193,'Hist. prices'!$C$164:$C$238,0),MATCH(AB$1124,'Hist. prices'!$I$5:$AB$5,0))</f>
        <v>0</v>
      </c>
      <c r="AC1193" s="187"/>
      <c r="AD1193" s="19"/>
      <c r="AE1193" s="19"/>
      <c r="AF1193" s="19"/>
      <c r="AG1193" s="19"/>
    </row>
    <row r="1194" spans="1:33" s="59" customFormat="1" outlineLevel="2" x14ac:dyDescent="0.2">
      <c r="A1194" s="57"/>
      <c r="B1194" s="57"/>
      <c r="C1194" s="506" t="str">
        <f t="shared" si="218"/>
        <v>Small business general light and power</v>
      </c>
      <c r="D1194" s="505" t="str">
        <f t="shared" si="218"/>
        <v>no</v>
      </c>
      <c r="E1194" s="58"/>
      <c r="F1194" s="223"/>
      <c r="G1194" s="58"/>
      <c r="H1194" s="58"/>
      <c r="I1194" s="218">
        <f>INDEX('Hist. prices'!$I$164:$AB$238,MATCH($C1194,'Hist. prices'!$C$164:$C$238,0),MATCH(I$1124,'Hist. prices'!$I$5:$AB$5,0))</f>
        <v>0</v>
      </c>
      <c r="J1194" s="218">
        <f>INDEX('Hist. prices'!$I$164:$AB$238,MATCH($C1194,'Hist. prices'!$C$164:$C$238,0),MATCH(J$1124,'Hist. prices'!$I$5:$AB$5,0))</f>
        <v>0</v>
      </c>
      <c r="K1194" s="218">
        <f>INDEX('Hist. prices'!$I$164:$AB$238,MATCH($C1194,'Hist. prices'!$C$164:$C$238,0),MATCH(K$1124,'Hist. prices'!$I$5:$AB$5,0))</f>
        <v>0</v>
      </c>
      <c r="L1194" s="218">
        <f>INDEX('Hist. prices'!$I$164:$AB$238,MATCH($C1194,'Hist. prices'!$C$164:$C$238,0),MATCH(L$1124,'Hist. prices'!$I$5:$AB$5,0))</f>
        <v>0</v>
      </c>
      <c r="M1194" s="218">
        <f>INDEX('Hist. prices'!$I$164:$AB$238,MATCH($C1194,'Hist. prices'!$C$164:$C$238,0),MATCH(M$1124,'Hist. prices'!$I$5:$AB$5,0))</f>
        <v>0</v>
      </c>
      <c r="N1194" s="218">
        <f>INDEX('Hist. prices'!$I$164:$AB$238,MATCH($C1194,'Hist. prices'!$C$164:$C$238,0),MATCH(N$1124,'Hist. prices'!$I$5:$AB$5,0))</f>
        <v>0</v>
      </c>
      <c r="O1194" s="218">
        <f>INDEX('Hist. prices'!$I$164:$AB$238,MATCH($C1194,'Hist. prices'!$C$164:$C$238,0),MATCH(O$1124,'Hist. prices'!$I$5:$AB$5,0))</f>
        <v>0</v>
      </c>
      <c r="P1194" s="218">
        <f>INDEX('Hist. prices'!$I$164:$AB$238,MATCH($C1194,'Hist. prices'!$C$164:$C$238,0),MATCH(P$1124,'Hist. prices'!$I$5:$AB$5,0))</f>
        <v>0</v>
      </c>
      <c r="Q1194" s="218">
        <f>INDEX('Hist. prices'!$I$164:$AB$238,MATCH($C1194,'Hist. prices'!$C$164:$C$238,0),MATCH(Q$1124,'Hist. prices'!$I$5:$AB$5,0))</f>
        <v>0</v>
      </c>
      <c r="R1194" s="218">
        <f>INDEX('Hist. prices'!$I$164:$AB$238,MATCH($C1194,'Hist. prices'!$C$164:$C$238,0),MATCH(R$1124,'Hist. prices'!$I$5:$AB$5,0))</f>
        <v>0</v>
      </c>
      <c r="S1194" s="218">
        <f>INDEX('Hist. prices'!$I$164:$AB$238,MATCH($C1194,'Hist. prices'!$C$164:$C$238,0),MATCH(S$1124,'Hist. prices'!$I$5:$AB$5,0))</f>
        <v>0</v>
      </c>
      <c r="T1194" s="218">
        <f>INDEX('Hist. prices'!$I$164:$AB$238,MATCH($C1194,'Hist. prices'!$C$164:$C$238,0),MATCH(T$1124,'Hist. prices'!$I$5:$AB$5,0))</f>
        <v>0</v>
      </c>
      <c r="U1194" s="218">
        <f>INDEX('Hist. prices'!$I$164:$AB$238,MATCH($C1194,'Hist. prices'!$C$164:$C$238,0),MATCH(U$1124,'Hist. prices'!$I$5:$AB$5,0))</f>
        <v>0</v>
      </c>
      <c r="V1194" s="218">
        <f>INDEX('Hist. prices'!$I$164:$AB$238,MATCH($C1194,'Hist. prices'!$C$164:$C$238,0),MATCH(V$1124,'Hist. prices'!$I$5:$AB$5,0))</f>
        <v>0</v>
      </c>
      <c r="W1194" s="218">
        <f>INDEX('Hist. prices'!$I$164:$AB$238,MATCH($C1194,'Hist. prices'!$C$164:$C$238,0),MATCH(W$1124,'Hist. prices'!$I$5:$AB$5,0))</f>
        <v>0</v>
      </c>
      <c r="X1194" s="218">
        <f>INDEX('Hist. prices'!$I$164:$AB$238,MATCH($C1194,'Hist. prices'!$C$164:$C$238,0),MATCH(X$1124,'Hist. prices'!$I$5:$AB$5,0))</f>
        <v>0</v>
      </c>
      <c r="Y1194" s="218">
        <f>INDEX('Hist. prices'!$I$164:$AB$238,MATCH($C1194,'Hist. prices'!$C$164:$C$238,0),MATCH(Y$1124,'Hist. prices'!$I$5:$AB$5,0))</f>
        <v>0</v>
      </c>
      <c r="Z1194" s="218">
        <f>INDEX('Hist. prices'!$I$164:$AB$238,MATCH($C1194,'Hist. prices'!$C$164:$C$238,0),MATCH(Z$1124,'Hist. prices'!$I$5:$AB$5,0))</f>
        <v>0</v>
      </c>
      <c r="AA1194" s="218">
        <f>INDEX('Hist. prices'!$I$164:$AB$238,MATCH($C1194,'Hist. prices'!$C$164:$C$238,0),MATCH(AA$1124,'Hist. prices'!$I$5:$AB$5,0))</f>
        <v>0</v>
      </c>
      <c r="AB1194" s="218">
        <f>INDEX('Hist. prices'!$I$164:$AB$238,MATCH($C1194,'Hist. prices'!$C$164:$C$238,0),MATCH(AB$1124,'Hist. prices'!$I$5:$AB$5,0))</f>
        <v>0</v>
      </c>
      <c r="AC1194" s="187"/>
      <c r="AD1194" s="57"/>
      <c r="AE1194" s="57"/>
      <c r="AF1194" s="57"/>
      <c r="AG1194" s="57"/>
    </row>
    <row r="1195" spans="1:33" outlineLevel="2" x14ac:dyDescent="0.2">
      <c r="A1195" s="19"/>
      <c r="B1195" s="19"/>
      <c r="C1195" s="506">
        <f t="shared" si="218"/>
        <v>0</v>
      </c>
      <c r="D1195" s="505">
        <f t="shared" si="218"/>
        <v>0</v>
      </c>
      <c r="E1195" s="58"/>
      <c r="F1195" s="223"/>
      <c r="G1195" s="58"/>
      <c r="H1195" s="58"/>
      <c r="I1195" s="218">
        <f>INDEX('Hist. prices'!$I$164:$AB$238,MATCH($C1195,'Hist. prices'!$C$164:$C$238,0),MATCH(I$1124,'Hist. prices'!$I$5:$AB$5,0))</f>
        <v>0</v>
      </c>
      <c r="J1195" s="218">
        <f>INDEX('Hist. prices'!$I$164:$AB$238,MATCH($C1195,'Hist. prices'!$C$164:$C$238,0),MATCH(J$1124,'Hist. prices'!$I$5:$AB$5,0))</f>
        <v>0</v>
      </c>
      <c r="K1195" s="218">
        <f>INDEX('Hist. prices'!$I$164:$AB$238,MATCH($C1195,'Hist. prices'!$C$164:$C$238,0),MATCH(K$1124,'Hist. prices'!$I$5:$AB$5,0))</f>
        <v>0</v>
      </c>
      <c r="L1195" s="218">
        <f>INDEX('Hist. prices'!$I$164:$AB$238,MATCH($C1195,'Hist. prices'!$C$164:$C$238,0),MATCH(L$1124,'Hist. prices'!$I$5:$AB$5,0))</f>
        <v>0</v>
      </c>
      <c r="M1195" s="218">
        <f>INDEX('Hist. prices'!$I$164:$AB$238,MATCH($C1195,'Hist. prices'!$C$164:$C$238,0),MATCH(M$1124,'Hist. prices'!$I$5:$AB$5,0))</f>
        <v>0</v>
      </c>
      <c r="N1195" s="218">
        <f>INDEX('Hist. prices'!$I$164:$AB$238,MATCH($C1195,'Hist. prices'!$C$164:$C$238,0),MATCH(N$1124,'Hist. prices'!$I$5:$AB$5,0))</f>
        <v>0</v>
      </c>
      <c r="O1195" s="218">
        <f>INDEX('Hist. prices'!$I$164:$AB$238,MATCH($C1195,'Hist. prices'!$C$164:$C$238,0),MATCH(O$1124,'Hist. prices'!$I$5:$AB$5,0))</f>
        <v>0</v>
      </c>
      <c r="P1195" s="218">
        <f>INDEX('Hist. prices'!$I$164:$AB$238,MATCH($C1195,'Hist. prices'!$C$164:$C$238,0),MATCH(P$1124,'Hist. prices'!$I$5:$AB$5,0))</f>
        <v>0</v>
      </c>
      <c r="Q1195" s="218">
        <f>INDEX('Hist. prices'!$I$164:$AB$238,MATCH($C1195,'Hist. prices'!$C$164:$C$238,0),MATCH(Q$1124,'Hist. prices'!$I$5:$AB$5,0))</f>
        <v>0</v>
      </c>
      <c r="R1195" s="218">
        <f>INDEX('Hist. prices'!$I$164:$AB$238,MATCH($C1195,'Hist. prices'!$C$164:$C$238,0),MATCH(R$1124,'Hist. prices'!$I$5:$AB$5,0))</f>
        <v>0</v>
      </c>
      <c r="S1195" s="218">
        <f>INDEX('Hist. prices'!$I$164:$AB$238,MATCH($C1195,'Hist. prices'!$C$164:$C$238,0),MATCH(S$1124,'Hist. prices'!$I$5:$AB$5,0))</f>
        <v>0</v>
      </c>
      <c r="T1195" s="218">
        <f>INDEX('Hist. prices'!$I$164:$AB$238,MATCH($C1195,'Hist. prices'!$C$164:$C$238,0),MATCH(T$1124,'Hist. prices'!$I$5:$AB$5,0))</f>
        <v>0</v>
      </c>
      <c r="U1195" s="218">
        <f>INDEX('Hist. prices'!$I$164:$AB$238,MATCH($C1195,'Hist. prices'!$C$164:$C$238,0),MATCH(U$1124,'Hist. prices'!$I$5:$AB$5,0))</f>
        <v>0</v>
      </c>
      <c r="V1195" s="218">
        <f>INDEX('Hist. prices'!$I$164:$AB$238,MATCH($C1195,'Hist. prices'!$C$164:$C$238,0),MATCH(V$1124,'Hist. prices'!$I$5:$AB$5,0))</f>
        <v>0</v>
      </c>
      <c r="W1195" s="218">
        <f>INDEX('Hist. prices'!$I$164:$AB$238,MATCH($C1195,'Hist. prices'!$C$164:$C$238,0),MATCH(W$1124,'Hist. prices'!$I$5:$AB$5,0))</f>
        <v>0</v>
      </c>
      <c r="X1195" s="218">
        <f>INDEX('Hist. prices'!$I$164:$AB$238,MATCH($C1195,'Hist. prices'!$C$164:$C$238,0),MATCH(X$1124,'Hist. prices'!$I$5:$AB$5,0))</f>
        <v>0</v>
      </c>
      <c r="Y1195" s="218">
        <f>INDEX('Hist. prices'!$I$164:$AB$238,MATCH($C1195,'Hist. prices'!$C$164:$C$238,0),MATCH(Y$1124,'Hist. prices'!$I$5:$AB$5,0))</f>
        <v>0</v>
      </c>
      <c r="Z1195" s="218">
        <f>INDEX('Hist. prices'!$I$164:$AB$238,MATCH($C1195,'Hist. prices'!$C$164:$C$238,0),MATCH(Z$1124,'Hist. prices'!$I$5:$AB$5,0))</f>
        <v>0</v>
      </c>
      <c r="AA1195" s="218">
        <f>INDEX('Hist. prices'!$I$164:$AB$238,MATCH($C1195,'Hist. prices'!$C$164:$C$238,0),MATCH(AA$1124,'Hist. prices'!$I$5:$AB$5,0))</f>
        <v>0</v>
      </c>
      <c r="AB1195" s="218">
        <f>INDEX('Hist. prices'!$I$164:$AB$238,MATCH($C1195,'Hist. prices'!$C$164:$C$238,0),MATCH(AB$1124,'Hist. prices'!$I$5:$AB$5,0))</f>
        <v>0</v>
      </c>
      <c r="AC1195" s="187"/>
      <c r="AD1195" s="19"/>
      <c r="AE1195" s="19"/>
      <c r="AF1195" s="19"/>
      <c r="AG1195" s="19"/>
    </row>
    <row r="1196" spans="1:33" hidden="1" outlineLevel="3" x14ac:dyDescent="0.2">
      <c r="A1196" s="19"/>
      <c r="B1196" s="19"/>
      <c r="C1196" s="506">
        <f t="shared" si="218"/>
        <v>0</v>
      </c>
      <c r="D1196" s="505">
        <f t="shared" si="218"/>
        <v>0</v>
      </c>
      <c r="E1196" s="58"/>
      <c r="F1196" s="223"/>
      <c r="G1196" s="58"/>
      <c r="H1196" s="58"/>
      <c r="I1196" s="218">
        <f>INDEX('Hist. prices'!$I$164:$AB$238,MATCH($C1196,'Hist. prices'!$C$164:$C$238,0),MATCH(I$1124,'Hist. prices'!$I$5:$AB$5,0))</f>
        <v>0</v>
      </c>
      <c r="J1196" s="218">
        <f>INDEX('Hist. prices'!$I$164:$AB$238,MATCH($C1196,'Hist. prices'!$C$164:$C$238,0),MATCH(J$1124,'Hist. prices'!$I$5:$AB$5,0))</f>
        <v>0</v>
      </c>
      <c r="K1196" s="218">
        <f>INDEX('Hist. prices'!$I$164:$AB$238,MATCH($C1196,'Hist. prices'!$C$164:$C$238,0),MATCH(K$1124,'Hist. prices'!$I$5:$AB$5,0))</f>
        <v>0</v>
      </c>
      <c r="L1196" s="218">
        <f>INDEX('Hist. prices'!$I$164:$AB$238,MATCH($C1196,'Hist. prices'!$C$164:$C$238,0),MATCH(L$1124,'Hist. prices'!$I$5:$AB$5,0))</f>
        <v>0</v>
      </c>
      <c r="M1196" s="218">
        <f>INDEX('Hist. prices'!$I$164:$AB$238,MATCH($C1196,'Hist. prices'!$C$164:$C$238,0),MATCH(M$1124,'Hist. prices'!$I$5:$AB$5,0))</f>
        <v>0</v>
      </c>
      <c r="N1196" s="218">
        <f>INDEX('Hist. prices'!$I$164:$AB$238,MATCH($C1196,'Hist. prices'!$C$164:$C$238,0),MATCH(N$1124,'Hist. prices'!$I$5:$AB$5,0))</f>
        <v>0</v>
      </c>
      <c r="O1196" s="218">
        <f>INDEX('Hist. prices'!$I$164:$AB$238,MATCH($C1196,'Hist. prices'!$C$164:$C$238,0),MATCH(O$1124,'Hist. prices'!$I$5:$AB$5,0))</f>
        <v>0</v>
      </c>
      <c r="P1196" s="218">
        <f>INDEX('Hist. prices'!$I$164:$AB$238,MATCH($C1196,'Hist. prices'!$C$164:$C$238,0),MATCH(P$1124,'Hist. prices'!$I$5:$AB$5,0))</f>
        <v>0</v>
      </c>
      <c r="Q1196" s="218">
        <f>INDEX('Hist. prices'!$I$164:$AB$238,MATCH($C1196,'Hist. prices'!$C$164:$C$238,0),MATCH(Q$1124,'Hist. prices'!$I$5:$AB$5,0))</f>
        <v>0</v>
      </c>
      <c r="R1196" s="218">
        <f>INDEX('Hist. prices'!$I$164:$AB$238,MATCH($C1196,'Hist. prices'!$C$164:$C$238,0),MATCH(R$1124,'Hist. prices'!$I$5:$AB$5,0))</f>
        <v>0</v>
      </c>
      <c r="S1196" s="218">
        <f>INDEX('Hist. prices'!$I$164:$AB$238,MATCH($C1196,'Hist. prices'!$C$164:$C$238,0),MATCH(S$1124,'Hist. prices'!$I$5:$AB$5,0))</f>
        <v>0</v>
      </c>
      <c r="T1196" s="218">
        <f>INDEX('Hist. prices'!$I$164:$AB$238,MATCH($C1196,'Hist. prices'!$C$164:$C$238,0),MATCH(T$1124,'Hist. prices'!$I$5:$AB$5,0))</f>
        <v>0</v>
      </c>
      <c r="U1196" s="218">
        <f>INDEX('Hist. prices'!$I$164:$AB$238,MATCH($C1196,'Hist. prices'!$C$164:$C$238,0),MATCH(U$1124,'Hist. prices'!$I$5:$AB$5,0))</f>
        <v>0</v>
      </c>
      <c r="V1196" s="218">
        <f>INDEX('Hist. prices'!$I$164:$AB$238,MATCH($C1196,'Hist. prices'!$C$164:$C$238,0),MATCH(V$1124,'Hist. prices'!$I$5:$AB$5,0))</f>
        <v>0</v>
      </c>
      <c r="W1196" s="218">
        <f>INDEX('Hist. prices'!$I$164:$AB$238,MATCH($C1196,'Hist. prices'!$C$164:$C$238,0),MATCH(W$1124,'Hist. prices'!$I$5:$AB$5,0))</f>
        <v>0</v>
      </c>
      <c r="X1196" s="218">
        <f>INDEX('Hist. prices'!$I$164:$AB$238,MATCH($C1196,'Hist. prices'!$C$164:$C$238,0),MATCH(X$1124,'Hist. prices'!$I$5:$AB$5,0))</f>
        <v>0</v>
      </c>
      <c r="Y1196" s="218">
        <f>INDEX('Hist. prices'!$I$164:$AB$238,MATCH($C1196,'Hist. prices'!$C$164:$C$238,0),MATCH(Y$1124,'Hist. prices'!$I$5:$AB$5,0))</f>
        <v>0</v>
      </c>
      <c r="Z1196" s="218">
        <f>INDEX('Hist. prices'!$I$164:$AB$238,MATCH($C1196,'Hist. prices'!$C$164:$C$238,0),MATCH(Z$1124,'Hist. prices'!$I$5:$AB$5,0))</f>
        <v>0</v>
      </c>
      <c r="AA1196" s="218">
        <f>INDEX('Hist. prices'!$I$164:$AB$238,MATCH($C1196,'Hist. prices'!$C$164:$C$238,0),MATCH(AA$1124,'Hist. prices'!$I$5:$AB$5,0))</f>
        <v>0</v>
      </c>
      <c r="AB1196" s="218">
        <f>INDEX('Hist. prices'!$I$164:$AB$238,MATCH($C1196,'Hist. prices'!$C$164:$C$238,0),MATCH(AB$1124,'Hist. prices'!$I$5:$AB$5,0))</f>
        <v>0</v>
      </c>
      <c r="AC1196" s="187"/>
      <c r="AD1196" s="19"/>
      <c r="AE1196" s="19"/>
      <c r="AF1196" s="19"/>
      <c r="AG1196" s="19"/>
    </row>
    <row r="1197" spans="1:33" hidden="1" outlineLevel="3" x14ac:dyDescent="0.2">
      <c r="A1197" s="19"/>
      <c r="B1197" s="19"/>
      <c r="C1197" s="506">
        <f t="shared" si="218"/>
        <v>0</v>
      </c>
      <c r="D1197" s="505">
        <f t="shared" si="218"/>
        <v>0</v>
      </c>
      <c r="E1197" s="58"/>
      <c r="F1197" s="223"/>
      <c r="G1197" s="58"/>
      <c r="H1197" s="58"/>
      <c r="I1197" s="218">
        <f>INDEX('Hist. prices'!$I$164:$AB$238,MATCH($C1197,'Hist. prices'!$C$164:$C$238,0),MATCH(I$1124,'Hist. prices'!$I$5:$AB$5,0))</f>
        <v>0</v>
      </c>
      <c r="J1197" s="218">
        <f>INDEX('Hist. prices'!$I$164:$AB$238,MATCH($C1197,'Hist. prices'!$C$164:$C$238,0),MATCH(J$1124,'Hist. prices'!$I$5:$AB$5,0))</f>
        <v>0</v>
      </c>
      <c r="K1197" s="218">
        <f>INDEX('Hist. prices'!$I$164:$AB$238,MATCH($C1197,'Hist. prices'!$C$164:$C$238,0),MATCH(K$1124,'Hist. prices'!$I$5:$AB$5,0))</f>
        <v>0</v>
      </c>
      <c r="L1197" s="218">
        <f>INDEX('Hist. prices'!$I$164:$AB$238,MATCH($C1197,'Hist. prices'!$C$164:$C$238,0),MATCH(L$1124,'Hist. prices'!$I$5:$AB$5,0))</f>
        <v>0</v>
      </c>
      <c r="M1197" s="218">
        <f>INDEX('Hist. prices'!$I$164:$AB$238,MATCH($C1197,'Hist. prices'!$C$164:$C$238,0),MATCH(M$1124,'Hist. prices'!$I$5:$AB$5,0))</f>
        <v>0</v>
      </c>
      <c r="N1197" s="218">
        <f>INDEX('Hist. prices'!$I$164:$AB$238,MATCH($C1197,'Hist. prices'!$C$164:$C$238,0),MATCH(N$1124,'Hist. prices'!$I$5:$AB$5,0))</f>
        <v>0</v>
      </c>
      <c r="O1197" s="218">
        <f>INDEX('Hist. prices'!$I$164:$AB$238,MATCH($C1197,'Hist. prices'!$C$164:$C$238,0),MATCH(O$1124,'Hist. prices'!$I$5:$AB$5,0))</f>
        <v>0</v>
      </c>
      <c r="P1197" s="218">
        <f>INDEX('Hist. prices'!$I$164:$AB$238,MATCH($C1197,'Hist. prices'!$C$164:$C$238,0),MATCH(P$1124,'Hist. prices'!$I$5:$AB$5,0))</f>
        <v>0</v>
      </c>
      <c r="Q1197" s="218">
        <f>INDEX('Hist. prices'!$I$164:$AB$238,MATCH($C1197,'Hist. prices'!$C$164:$C$238,0),MATCH(Q$1124,'Hist. prices'!$I$5:$AB$5,0))</f>
        <v>0</v>
      </c>
      <c r="R1197" s="218">
        <f>INDEX('Hist. prices'!$I$164:$AB$238,MATCH($C1197,'Hist. prices'!$C$164:$C$238,0),MATCH(R$1124,'Hist. prices'!$I$5:$AB$5,0))</f>
        <v>0</v>
      </c>
      <c r="S1197" s="218">
        <f>INDEX('Hist. prices'!$I$164:$AB$238,MATCH($C1197,'Hist. prices'!$C$164:$C$238,0),MATCH(S$1124,'Hist. prices'!$I$5:$AB$5,0))</f>
        <v>0</v>
      </c>
      <c r="T1197" s="218">
        <f>INDEX('Hist. prices'!$I$164:$AB$238,MATCH($C1197,'Hist. prices'!$C$164:$C$238,0),MATCH(T$1124,'Hist. prices'!$I$5:$AB$5,0))</f>
        <v>0</v>
      </c>
      <c r="U1197" s="218">
        <f>INDEX('Hist. prices'!$I$164:$AB$238,MATCH($C1197,'Hist. prices'!$C$164:$C$238,0),MATCH(U$1124,'Hist. prices'!$I$5:$AB$5,0))</f>
        <v>0</v>
      </c>
      <c r="V1197" s="218">
        <f>INDEX('Hist. prices'!$I$164:$AB$238,MATCH($C1197,'Hist. prices'!$C$164:$C$238,0),MATCH(V$1124,'Hist. prices'!$I$5:$AB$5,0))</f>
        <v>0</v>
      </c>
      <c r="W1197" s="218">
        <f>INDEX('Hist. prices'!$I$164:$AB$238,MATCH($C1197,'Hist. prices'!$C$164:$C$238,0),MATCH(W$1124,'Hist. prices'!$I$5:$AB$5,0))</f>
        <v>0</v>
      </c>
      <c r="X1197" s="218">
        <f>INDEX('Hist. prices'!$I$164:$AB$238,MATCH($C1197,'Hist. prices'!$C$164:$C$238,0),MATCH(X$1124,'Hist. prices'!$I$5:$AB$5,0))</f>
        <v>0</v>
      </c>
      <c r="Y1197" s="218">
        <f>INDEX('Hist. prices'!$I$164:$AB$238,MATCH($C1197,'Hist. prices'!$C$164:$C$238,0),MATCH(Y$1124,'Hist. prices'!$I$5:$AB$5,0))</f>
        <v>0</v>
      </c>
      <c r="Z1197" s="218">
        <f>INDEX('Hist. prices'!$I$164:$AB$238,MATCH($C1197,'Hist. prices'!$C$164:$C$238,0),MATCH(Z$1124,'Hist. prices'!$I$5:$AB$5,0))</f>
        <v>0</v>
      </c>
      <c r="AA1197" s="218">
        <f>INDEX('Hist. prices'!$I$164:$AB$238,MATCH($C1197,'Hist. prices'!$C$164:$C$238,0),MATCH(AA$1124,'Hist. prices'!$I$5:$AB$5,0))</f>
        <v>0</v>
      </c>
      <c r="AB1197" s="218">
        <f>INDEX('Hist. prices'!$I$164:$AB$238,MATCH($C1197,'Hist. prices'!$C$164:$C$238,0),MATCH(AB$1124,'Hist. prices'!$I$5:$AB$5,0))</f>
        <v>0</v>
      </c>
      <c r="AC1197" s="187"/>
      <c r="AD1197" s="19"/>
      <c r="AE1197" s="19"/>
      <c r="AF1197" s="19"/>
      <c r="AG1197" s="19"/>
    </row>
    <row r="1198" spans="1:33" hidden="1" outlineLevel="3" x14ac:dyDescent="0.2">
      <c r="A1198" s="19"/>
      <c r="B1198" s="19"/>
      <c r="C1198" s="506">
        <f t="shared" si="218"/>
        <v>0</v>
      </c>
      <c r="D1198" s="505">
        <f t="shared" si="218"/>
        <v>0</v>
      </c>
      <c r="E1198" s="58"/>
      <c r="F1198" s="223"/>
      <c r="G1198" s="58"/>
      <c r="H1198" s="58"/>
      <c r="I1198" s="218">
        <f>INDEX('Hist. prices'!$I$164:$AB$238,MATCH($C1198,'Hist. prices'!$C$164:$C$238,0),MATCH(I$1124,'Hist. prices'!$I$5:$AB$5,0))</f>
        <v>0</v>
      </c>
      <c r="J1198" s="218">
        <f>INDEX('Hist. prices'!$I$164:$AB$238,MATCH($C1198,'Hist. prices'!$C$164:$C$238,0),MATCH(J$1124,'Hist. prices'!$I$5:$AB$5,0))</f>
        <v>0</v>
      </c>
      <c r="K1198" s="218">
        <f>INDEX('Hist. prices'!$I$164:$AB$238,MATCH($C1198,'Hist. prices'!$C$164:$C$238,0),MATCH(K$1124,'Hist. prices'!$I$5:$AB$5,0))</f>
        <v>0</v>
      </c>
      <c r="L1198" s="218">
        <f>INDEX('Hist. prices'!$I$164:$AB$238,MATCH($C1198,'Hist. prices'!$C$164:$C$238,0),MATCH(L$1124,'Hist. prices'!$I$5:$AB$5,0))</f>
        <v>0</v>
      </c>
      <c r="M1198" s="218">
        <f>INDEX('Hist. prices'!$I$164:$AB$238,MATCH($C1198,'Hist. prices'!$C$164:$C$238,0),MATCH(M$1124,'Hist. prices'!$I$5:$AB$5,0))</f>
        <v>0</v>
      </c>
      <c r="N1198" s="218">
        <f>INDEX('Hist. prices'!$I$164:$AB$238,MATCH($C1198,'Hist. prices'!$C$164:$C$238,0),MATCH(N$1124,'Hist. prices'!$I$5:$AB$5,0))</f>
        <v>0</v>
      </c>
      <c r="O1198" s="218">
        <f>INDEX('Hist. prices'!$I$164:$AB$238,MATCH($C1198,'Hist. prices'!$C$164:$C$238,0),MATCH(O$1124,'Hist. prices'!$I$5:$AB$5,0))</f>
        <v>0</v>
      </c>
      <c r="P1198" s="218">
        <f>INDEX('Hist. prices'!$I$164:$AB$238,MATCH($C1198,'Hist. prices'!$C$164:$C$238,0),MATCH(P$1124,'Hist. prices'!$I$5:$AB$5,0))</f>
        <v>0</v>
      </c>
      <c r="Q1198" s="218">
        <f>INDEX('Hist. prices'!$I$164:$AB$238,MATCH($C1198,'Hist. prices'!$C$164:$C$238,0),MATCH(Q$1124,'Hist. prices'!$I$5:$AB$5,0))</f>
        <v>0</v>
      </c>
      <c r="R1198" s="218">
        <f>INDEX('Hist. prices'!$I$164:$AB$238,MATCH($C1198,'Hist. prices'!$C$164:$C$238,0),MATCH(R$1124,'Hist. prices'!$I$5:$AB$5,0))</f>
        <v>0</v>
      </c>
      <c r="S1198" s="218">
        <f>INDEX('Hist. prices'!$I$164:$AB$238,MATCH($C1198,'Hist. prices'!$C$164:$C$238,0),MATCH(S$1124,'Hist. prices'!$I$5:$AB$5,0))</f>
        <v>0</v>
      </c>
      <c r="T1198" s="218">
        <f>INDEX('Hist. prices'!$I$164:$AB$238,MATCH($C1198,'Hist. prices'!$C$164:$C$238,0),MATCH(T$1124,'Hist. prices'!$I$5:$AB$5,0))</f>
        <v>0</v>
      </c>
      <c r="U1198" s="218">
        <f>INDEX('Hist. prices'!$I$164:$AB$238,MATCH($C1198,'Hist. prices'!$C$164:$C$238,0),MATCH(U$1124,'Hist. prices'!$I$5:$AB$5,0))</f>
        <v>0</v>
      </c>
      <c r="V1198" s="218">
        <f>INDEX('Hist. prices'!$I$164:$AB$238,MATCH($C1198,'Hist. prices'!$C$164:$C$238,0),MATCH(V$1124,'Hist. prices'!$I$5:$AB$5,0))</f>
        <v>0</v>
      </c>
      <c r="W1198" s="218">
        <f>INDEX('Hist. prices'!$I$164:$AB$238,MATCH($C1198,'Hist. prices'!$C$164:$C$238,0),MATCH(W$1124,'Hist. prices'!$I$5:$AB$5,0))</f>
        <v>0</v>
      </c>
      <c r="X1198" s="218">
        <f>INDEX('Hist. prices'!$I$164:$AB$238,MATCH($C1198,'Hist. prices'!$C$164:$C$238,0),MATCH(X$1124,'Hist. prices'!$I$5:$AB$5,0))</f>
        <v>0</v>
      </c>
      <c r="Y1198" s="218">
        <f>INDEX('Hist. prices'!$I$164:$AB$238,MATCH($C1198,'Hist. prices'!$C$164:$C$238,0),MATCH(Y$1124,'Hist. prices'!$I$5:$AB$5,0))</f>
        <v>0</v>
      </c>
      <c r="Z1198" s="218">
        <f>INDEX('Hist. prices'!$I$164:$AB$238,MATCH($C1198,'Hist. prices'!$C$164:$C$238,0),MATCH(Z$1124,'Hist. prices'!$I$5:$AB$5,0))</f>
        <v>0</v>
      </c>
      <c r="AA1198" s="218">
        <f>INDEX('Hist. prices'!$I$164:$AB$238,MATCH($C1198,'Hist. prices'!$C$164:$C$238,0),MATCH(AA$1124,'Hist. prices'!$I$5:$AB$5,0))</f>
        <v>0</v>
      </c>
      <c r="AB1198" s="218">
        <f>INDEX('Hist. prices'!$I$164:$AB$238,MATCH($C1198,'Hist. prices'!$C$164:$C$238,0),MATCH(AB$1124,'Hist. prices'!$I$5:$AB$5,0))</f>
        <v>0</v>
      </c>
      <c r="AC1198" s="187"/>
      <c r="AD1198" s="19"/>
      <c r="AE1198" s="19"/>
      <c r="AF1198" s="19"/>
      <c r="AG1198" s="19"/>
    </row>
    <row r="1199" spans="1:33" hidden="1" outlineLevel="3" x14ac:dyDescent="0.2">
      <c r="A1199" s="19"/>
      <c r="B1199" s="19"/>
      <c r="C1199" s="506">
        <f t="shared" si="218"/>
        <v>0</v>
      </c>
      <c r="D1199" s="505">
        <f t="shared" si="218"/>
        <v>0</v>
      </c>
      <c r="E1199" s="58"/>
      <c r="F1199" s="223"/>
      <c r="G1199" s="58"/>
      <c r="H1199" s="58"/>
      <c r="I1199" s="218">
        <f>INDEX('Hist. prices'!$I$164:$AB$238,MATCH($C1199,'Hist. prices'!$C$164:$C$238,0),MATCH(I$1124,'Hist. prices'!$I$5:$AB$5,0))</f>
        <v>0</v>
      </c>
      <c r="J1199" s="218">
        <f>INDEX('Hist. prices'!$I$164:$AB$238,MATCH($C1199,'Hist. prices'!$C$164:$C$238,0),MATCH(J$1124,'Hist. prices'!$I$5:$AB$5,0))</f>
        <v>0</v>
      </c>
      <c r="K1199" s="218">
        <f>INDEX('Hist. prices'!$I$164:$AB$238,MATCH($C1199,'Hist. prices'!$C$164:$C$238,0),MATCH(K$1124,'Hist. prices'!$I$5:$AB$5,0))</f>
        <v>0</v>
      </c>
      <c r="L1199" s="218">
        <f>INDEX('Hist. prices'!$I$164:$AB$238,MATCH($C1199,'Hist. prices'!$C$164:$C$238,0),MATCH(L$1124,'Hist. prices'!$I$5:$AB$5,0))</f>
        <v>0</v>
      </c>
      <c r="M1199" s="218">
        <f>INDEX('Hist. prices'!$I$164:$AB$238,MATCH($C1199,'Hist. prices'!$C$164:$C$238,0),MATCH(M$1124,'Hist. prices'!$I$5:$AB$5,0))</f>
        <v>0</v>
      </c>
      <c r="N1199" s="218">
        <f>INDEX('Hist. prices'!$I$164:$AB$238,MATCH($C1199,'Hist. prices'!$C$164:$C$238,0),MATCH(N$1124,'Hist. prices'!$I$5:$AB$5,0))</f>
        <v>0</v>
      </c>
      <c r="O1199" s="218">
        <f>INDEX('Hist. prices'!$I$164:$AB$238,MATCH($C1199,'Hist. prices'!$C$164:$C$238,0),MATCH(O$1124,'Hist. prices'!$I$5:$AB$5,0))</f>
        <v>0</v>
      </c>
      <c r="P1199" s="218">
        <f>INDEX('Hist. prices'!$I$164:$AB$238,MATCH($C1199,'Hist. prices'!$C$164:$C$238,0),MATCH(P$1124,'Hist. prices'!$I$5:$AB$5,0))</f>
        <v>0</v>
      </c>
      <c r="Q1199" s="218">
        <f>INDEX('Hist. prices'!$I$164:$AB$238,MATCH($C1199,'Hist. prices'!$C$164:$C$238,0),MATCH(Q$1124,'Hist. prices'!$I$5:$AB$5,0))</f>
        <v>0</v>
      </c>
      <c r="R1199" s="218">
        <f>INDEX('Hist. prices'!$I$164:$AB$238,MATCH($C1199,'Hist. prices'!$C$164:$C$238,0),MATCH(R$1124,'Hist. prices'!$I$5:$AB$5,0))</f>
        <v>0</v>
      </c>
      <c r="S1199" s="218">
        <f>INDEX('Hist. prices'!$I$164:$AB$238,MATCH($C1199,'Hist. prices'!$C$164:$C$238,0),MATCH(S$1124,'Hist. prices'!$I$5:$AB$5,0))</f>
        <v>0</v>
      </c>
      <c r="T1199" s="218">
        <f>INDEX('Hist. prices'!$I$164:$AB$238,MATCH($C1199,'Hist. prices'!$C$164:$C$238,0),MATCH(T$1124,'Hist. prices'!$I$5:$AB$5,0))</f>
        <v>0</v>
      </c>
      <c r="U1199" s="218">
        <f>INDEX('Hist. prices'!$I$164:$AB$238,MATCH($C1199,'Hist. prices'!$C$164:$C$238,0),MATCH(U$1124,'Hist. prices'!$I$5:$AB$5,0))</f>
        <v>0</v>
      </c>
      <c r="V1199" s="218">
        <f>INDEX('Hist. prices'!$I$164:$AB$238,MATCH($C1199,'Hist. prices'!$C$164:$C$238,0),MATCH(V$1124,'Hist. prices'!$I$5:$AB$5,0))</f>
        <v>0</v>
      </c>
      <c r="W1199" s="218">
        <f>INDEX('Hist. prices'!$I$164:$AB$238,MATCH($C1199,'Hist. prices'!$C$164:$C$238,0),MATCH(W$1124,'Hist. prices'!$I$5:$AB$5,0))</f>
        <v>0</v>
      </c>
      <c r="X1199" s="218">
        <f>INDEX('Hist. prices'!$I$164:$AB$238,MATCH($C1199,'Hist. prices'!$C$164:$C$238,0),MATCH(X$1124,'Hist. prices'!$I$5:$AB$5,0))</f>
        <v>0</v>
      </c>
      <c r="Y1199" s="218">
        <f>INDEX('Hist. prices'!$I$164:$AB$238,MATCH($C1199,'Hist. prices'!$C$164:$C$238,0),MATCH(Y$1124,'Hist. prices'!$I$5:$AB$5,0))</f>
        <v>0</v>
      </c>
      <c r="Z1199" s="218">
        <f>INDEX('Hist. prices'!$I$164:$AB$238,MATCH($C1199,'Hist. prices'!$C$164:$C$238,0),MATCH(Z$1124,'Hist. prices'!$I$5:$AB$5,0))</f>
        <v>0</v>
      </c>
      <c r="AA1199" s="218">
        <f>INDEX('Hist. prices'!$I$164:$AB$238,MATCH($C1199,'Hist. prices'!$C$164:$C$238,0),MATCH(AA$1124,'Hist. prices'!$I$5:$AB$5,0))</f>
        <v>0</v>
      </c>
      <c r="AB1199" s="218">
        <f>INDEX('Hist. prices'!$I$164:$AB$238,MATCH($C1199,'Hist. prices'!$C$164:$C$238,0),MATCH(AB$1124,'Hist. prices'!$I$5:$AB$5,0))</f>
        <v>0</v>
      </c>
      <c r="AC1199" s="187"/>
      <c r="AD1199" s="19"/>
      <c r="AE1199" s="19"/>
      <c r="AF1199" s="19"/>
      <c r="AG1199" s="19"/>
    </row>
    <row r="1200" spans="1:33" hidden="1" outlineLevel="3" x14ac:dyDescent="0.2">
      <c r="A1200" s="19"/>
      <c r="B1200" s="19"/>
      <c r="C1200" s="506">
        <f t="shared" si="218"/>
        <v>0</v>
      </c>
      <c r="D1200" s="505">
        <f t="shared" si="218"/>
        <v>0</v>
      </c>
      <c r="E1200" s="58"/>
      <c r="F1200" s="223"/>
      <c r="G1200" s="58"/>
      <c r="H1200" s="58"/>
      <c r="I1200" s="218">
        <f>INDEX('Hist. prices'!$I$164:$AB$238,MATCH($C1200,'Hist. prices'!$C$164:$C$238,0),MATCH(I$1124,'Hist. prices'!$I$5:$AB$5,0))</f>
        <v>0</v>
      </c>
      <c r="J1200" s="218">
        <f>INDEX('Hist. prices'!$I$164:$AB$238,MATCH($C1200,'Hist. prices'!$C$164:$C$238,0),MATCH(J$1124,'Hist. prices'!$I$5:$AB$5,0))</f>
        <v>0</v>
      </c>
      <c r="K1200" s="218">
        <f>INDEX('Hist. prices'!$I$164:$AB$238,MATCH($C1200,'Hist. prices'!$C$164:$C$238,0),MATCH(K$1124,'Hist. prices'!$I$5:$AB$5,0))</f>
        <v>0</v>
      </c>
      <c r="L1200" s="218">
        <f>INDEX('Hist. prices'!$I$164:$AB$238,MATCH($C1200,'Hist. prices'!$C$164:$C$238,0),MATCH(L$1124,'Hist. prices'!$I$5:$AB$5,0))</f>
        <v>0</v>
      </c>
      <c r="M1200" s="218">
        <f>INDEX('Hist. prices'!$I$164:$AB$238,MATCH($C1200,'Hist. prices'!$C$164:$C$238,0),MATCH(M$1124,'Hist. prices'!$I$5:$AB$5,0))</f>
        <v>0</v>
      </c>
      <c r="N1200" s="218">
        <f>INDEX('Hist. prices'!$I$164:$AB$238,MATCH($C1200,'Hist. prices'!$C$164:$C$238,0),MATCH(N$1124,'Hist. prices'!$I$5:$AB$5,0))</f>
        <v>0</v>
      </c>
      <c r="O1200" s="218">
        <f>INDEX('Hist. prices'!$I$164:$AB$238,MATCH($C1200,'Hist. prices'!$C$164:$C$238,0),MATCH(O$1124,'Hist. prices'!$I$5:$AB$5,0))</f>
        <v>0</v>
      </c>
      <c r="P1200" s="218">
        <f>INDEX('Hist. prices'!$I$164:$AB$238,MATCH($C1200,'Hist. prices'!$C$164:$C$238,0),MATCH(P$1124,'Hist. prices'!$I$5:$AB$5,0))</f>
        <v>0</v>
      </c>
      <c r="Q1200" s="218">
        <f>INDEX('Hist. prices'!$I$164:$AB$238,MATCH($C1200,'Hist. prices'!$C$164:$C$238,0),MATCH(Q$1124,'Hist. prices'!$I$5:$AB$5,0))</f>
        <v>0</v>
      </c>
      <c r="R1200" s="218">
        <f>INDEX('Hist. prices'!$I$164:$AB$238,MATCH($C1200,'Hist. prices'!$C$164:$C$238,0),MATCH(R$1124,'Hist. prices'!$I$5:$AB$5,0))</f>
        <v>0</v>
      </c>
      <c r="S1200" s="218">
        <f>INDEX('Hist. prices'!$I$164:$AB$238,MATCH($C1200,'Hist. prices'!$C$164:$C$238,0),MATCH(S$1124,'Hist. prices'!$I$5:$AB$5,0))</f>
        <v>0</v>
      </c>
      <c r="T1200" s="218">
        <f>INDEX('Hist. prices'!$I$164:$AB$238,MATCH($C1200,'Hist. prices'!$C$164:$C$238,0),MATCH(T$1124,'Hist. prices'!$I$5:$AB$5,0))</f>
        <v>0</v>
      </c>
      <c r="U1200" s="218">
        <f>INDEX('Hist. prices'!$I$164:$AB$238,MATCH($C1200,'Hist. prices'!$C$164:$C$238,0),MATCH(U$1124,'Hist. prices'!$I$5:$AB$5,0))</f>
        <v>0</v>
      </c>
      <c r="V1200" s="218">
        <f>INDEX('Hist. prices'!$I$164:$AB$238,MATCH($C1200,'Hist. prices'!$C$164:$C$238,0),MATCH(V$1124,'Hist. prices'!$I$5:$AB$5,0))</f>
        <v>0</v>
      </c>
      <c r="W1200" s="218">
        <f>INDEX('Hist. prices'!$I$164:$AB$238,MATCH($C1200,'Hist. prices'!$C$164:$C$238,0),MATCH(W$1124,'Hist. prices'!$I$5:$AB$5,0))</f>
        <v>0</v>
      </c>
      <c r="X1200" s="218">
        <f>INDEX('Hist. prices'!$I$164:$AB$238,MATCH($C1200,'Hist. prices'!$C$164:$C$238,0),MATCH(X$1124,'Hist. prices'!$I$5:$AB$5,0))</f>
        <v>0</v>
      </c>
      <c r="Y1200" s="218">
        <f>INDEX('Hist. prices'!$I$164:$AB$238,MATCH($C1200,'Hist. prices'!$C$164:$C$238,0),MATCH(Y$1124,'Hist. prices'!$I$5:$AB$5,0))</f>
        <v>0</v>
      </c>
      <c r="Z1200" s="218">
        <f>INDEX('Hist. prices'!$I$164:$AB$238,MATCH($C1200,'Hist. prices'!$C$164:$C$238,0),MATCH(Z$1124,'Hist. prices'!$I$5:$AB$5,0))</f>
        <v>0</v>
      </c>
      <c r="AA1200" s="218">
        <f>INDEX('Hist. prices'!$I$164:$AB$238,MATCH($C1200,'Hist. prices'!$C$164:$C$238,0),MATCH(AA$1124,'Hist. prices'!$I$5:$AB$5,0))</f>
        <v>0</v>
      </c>
      <c r="AB1200" s="218">
        <f>INDEX('Hist. prices'!$I$164:$AB$238,MATCH($C1200,'Hist. prices'!$C$164:$C$238,0),MATCH(AB$1124,'Hist. prices'!$I$5:$AB$5,0))</f>
        <v>0</v>
      </c>
      <c r="AC1200" s="187"/>
      <c r="AD1200" s="19"/>
      <c r="AE1200" s="19"/>
      <c r="AF1200" s="19"/>
      <c r="AG1200" s="19"/>
    </row>
    <row r="1201" spans="1:33" hidden="1" outlineLevel="3" x14ac:dyDescent="0.2">
      <c r="A1201" s="19"/>
      <c r="B1201" s="19"/>
      <c r="C1201" s="506">
        <f t="shared" si="218"/>
        <v>0</v>
      </c>
      <c r="D1201" s="505">
        <f t="shared" si="218"/>
        <v>0</v>
      </c>
      <c r="E1201" s="58"/>
      <c r="F1201" s="223"/>
      <c r="G1201" s="58"/>
      <c r="H1201" s="58"/>
      <c r="I1201" s="218">
        <f>INDEX('Hist. prices'!$I$164:$AB$238,MATCH($C1201,'Hist. prices'!$C$164:$C$238,0),MATCH(I$1124,'Hist. prices'!$I$5:$AB$5,0))</f>
        <v>0</v>
      </c>
      <c r="J1201" s="218">
        <f>INDEX('Hist. prices'!$I$164:$AB$238,MATCH($C1201,'Hist. prices'!$C$164:$C$238,0),MATCH(J$1124,'Hist. prices'!$I$5:$AB$5,0))</f>
        <v>0</v>
      </c>
      <c r="K1201" s="218">
        <f>INDEX('Hist. prices'!$I$164:$AB$238,MATCH($C1201,'Hist. prices'!$C$164:$C$238,0),MATCH(K$1124,'Hist. prices'!$I$5:$AB$5,0))</f>
        <v>0</v>
      </c>
      <c r="L1201" s="218">
        <f>INDEX('Hist. prices'!$I$164:$AB$238,MATCH($C1201,'Hist. prices'!$C$164:$C$238,0),MATCH(L$1124,'Hist. prices'!$I$5:$AB$5,0))</f>
        <v>0</v>
      </c>
      <c r="M1201" s="218">
        <f>INDEX('Hist. prices'!$I$164:$AB$238,MATCH($C1201,'Hist. prices'!$C$164:$C$238,0),MATCH(M$1124,'Hist. prices'!$I$5:$AB$5,0))</f>
        <v>0</v>
      </c>
      <c r="N1201" s="218">
        <f>INDEX('Hist. prices'!$I$164:$AB$238,MATCH($C1201,'Hist. prices'!$C$164:$C$238,0),MATCH(N$1124,'Hist. prices'!$I$5:$AB$5,0))</f>
        <v>0</v>
      </c>
      <c r="O1201" s="218">
        <f>INDEX('Hist. prices'!$I$164:$AB$238,MATCH($C1201,'Hist. prices'!$C$164:$C$238,0),MATCH(O$1124,'Hist. prices'!$I$5:$AB$5,0))</f>
        <v>0</v>
      </c>
      <c r="P1201" s="218">
        <f>INDEX('Hist. prices'!$I$164:$AB$238,MATCH($C1201,'Hist. prices'!$C$164:$C$238,0),MATCH(P$1124,'Hist. prices'!$I$5:$AB$5,0))</f>
        <v>0</v>
      </c>
      <c r="Q1201" s="218">
        <f>INDEX('Hist. prices'!$I$164:$AB$238,MATCH($C1201,'Hist. prices'!$C$164:$C$238,0),MATCH(Q$1124,'Hist. prices'!$I$5:$AB$5,0))</f>
        <v>0</v>
      </c>
      <c r="R1201" s="218">
        <f>INDEX('Hist. prices'!$I$164:$AB$238,MATCH($C1201,'Hist. prices'!$C$164:$C$238,0),MATCH(R$1124,'Hist. prices'!$I$5:$AB$5,0))</f>
        <v>0</v>
      </c>
      <c r="S1201" s="218">
        <f>INDEX('Hist. prices'!$I$164:$AB$238,MATCH($C1201,'Hist. prices'!$C$164:$C$238,0),MATCH(S$1124,'Hist. prices'!$I$5:$AB$5,0))</f>
        <v>0</v>
      </c>
      <c r="T1201" s="218">
        <f>INDEX('Hist. prices'!$I$164:$AB$238,MATCH($C1201,'Hist. prices'!$C$164:$C$238,0),MATCH(T$1124,'Hist. prices'!$I$5:$AB$5,0))</f>
        <v>0</v>
      </c>
      <c r="U1201" s="218">
        <f>INDEX('Hist. prices'!$I$164:$AB$238,MATCH($C1201,'Hist. prices'!$C$164:$C$238,0),MATCH(U$1124,'Hist. prices'!$I$5:$AB$5,0))</f>
        <v>0</v>
      </c>
      <c r="V1201" s="218">
        <f>INDEX('Hist. prices'!$I$164:$AB$238,MATCH($C1201,'Hist. prices'!$C$164:$C$238,0),MATCH(V$1124,'Hist. prices'!$I$5:$AB$5,0))</f>
        <v>0</v>
      </c>
      <c r="W1201" s="218">
        <f>INDEX('Hist. prices'!$I$164:$AB$238,MATCH($C1201,'Hist. prices'!$C$164:$C$238,0),MATCH(W$1124,'Hist. prices'!$I$5:$AB$5,0))</f>
        <v>0</v>
      </c>
      <c r="X1201" s="218">
        <f>INDEX('Hist. prices'!$I$164:$AB$238,MATCH($C1201,'Hist. prices'!$C$164:$C$238,0),MATCH(X$1124,'Hist. prices'!$I$5:$AB$5,0))</f>
        <v>0</v>
      </c>
      <c r="Y1201" s="218">
        <f>INDEX('Hist. prices'!$I$164:$AB$238,MATCH($C1201,'Hist. prices'!$C$164:$C$238,0),MATCH(Y$1124,'Hist. prices'!$I$5:$AB$5,0))</f>
        <v>0</v>
      </c>
      <c r="Z1201" s="218">
        <f>INDEX('Hist. prices'!$I$164:$AB$238,MATCH($C1201,'Hist. prices'!$C$164:$C$238,0),MATCH(Z$1124,'Hist. prices'!$I$5:$AB$5,0))</f>
        <v>0</v>
      </c>
      <c r="AA1201" s="218">
        <f>INDEX('Hist. prices'!$I$164:$AB$238,MATCH($C1201,'Hist. prices'!$C$164:$C$238,0),MATCH(AA$1124,'Hist. prices'!$I$5:$AB$5,0))</f>
        <v>0</v>
      </c>
      <c r="AB1201" s="218">
        <f>INDEX('Hist. prices'!$I$164:$AB$238,MATCH($C1201,'Hist. prices'!$C$164:$C$238,0),MATCH(AB$1124,'Hist. prices'!$I$5:$AB$5,0))</f>
        <v>0</v>
      </c>
      <c r="AC1201" s="187"/>
      <c r="AD1201" s="19"/>
      <c r="AE1201" s="19"/>
      <c r="AF1201" s="19"/>
      <c r="AG1201" s="19"/>
    </row>
    <row r="1202" spans="1:33" hidden="1" outlineLevel="3" x14ac:dyDescent="0.2">
      <c r="A1202" s="19"/>
      <c r="B1202" s="19"/>
      <c r="C1202" s="506">
        <f t="shared" si="218"/>
        <v>0</v>
      </c>
      <c r="D1202" s="505">
        <f t="shared" si="218"/>
        <v>0</v>
      </c>
      <c r="E1202" s="58"/>
      <c r="F1202" s="223"/>
      <c r="G1202" s="58"/>
      <c r="H1202" s="58"/>
      <c r="I1202" s="218">
        <f>INDEX('Hist. prices'!$I$164:$AB$238,MATCH($C1202,'Hist. prices'!$C$164:$C$238,0),MATCH(I$1124,'Hist. prices'!$I$5:$AB$5,0))</f>
        <v>0</v>
      </c>
      <c r="J1202" s="218">
        <f>INDEX('Hist. prices'!$I$164:$AB$238,MATCH($C1202,'Hist. prices'!$C$164:$C$238,0),MATCH(J$1124,'Hist. prices'!$I$5:$AB$5,0))</f>
        <v>0</v>
      </c>
      <c r="K1202" s="218">
        <f>INDEX('Hist. prices'!$I$164:$AB$238,MATCH($C1202,'Hist. prices'!$C$164:$C$238,0),MATCH(K$1124,'Hist. prices'!$I$5:$AB$5,0))</f>
        <v>0</v>
      </c>
      <c r="L1202" s="218">
        <f>INDEX('Hist. prices'!$I$164:$AB$238,MATCH($C1202,'Hist. prices'!$C$164:$C$238,0),MATCH(L$1124,'Hist. prices'!$I$5:$AB$5,0))</f>
        <v>0</v>
      </c>
      <c r="M1202" s="218">
        <f>INDEX('Hist. prices'!$I$164:$AB$238,MATCH($C1202,'Hist. prices'!$C$164:$C$238,0),MATCH(M$1124,'Hist. prices'!$I$5:$AB$5,0))</f>
        <v>0</v>
      </c>
      <c r="N1202" s="218">
        <f>INDEX('Hist. prices'!$I$164:$AB$238,MATCH($C1202,'Hist. prices'!$C$164:$C$238,0),MATCH(N$1124,'Hist. prices'!$I$5:$AB$5,0))</f>
        <v>0</v>
      </c>
      <c r="O1202" s="218">
        <f>INDEX('Hist. prices'!$I$164:$AB$238,MATCH($C1202,'Hist. prices'!$C$164:$C$238,0),MATCH(O$1124,'Hist. prices'!$I$5:$AB$5,0))</f>
        <v>0</v>
      </c>
      <c r="P1202" s="218">
        <f>INDEX('Hist. prices'!$I$164:$AB$238,MATCH($C1202,'Hist. prices'!$C$164:$C$238,0),MATCH(P$1124,'Hist. prices'!$I$5:$AB$5,0))</f>
        <v>0</v>
      </c>
      <c r="Q1202" s="218">
        <f>INDEX('Hist. prices'!$I$164:$AB$238,MATCH($C1202,'Hist. prices'!$C$164:$C$238,0),MATCH(Q$1124,'Hist. prices'!$I$5:$AB$5,0))</f>
        <v>0</v>
      </c>
      <c r="R1202" s="218">
        <f>INDEX('Hist. prices'!$I$164:$AB$238,MATCH($C1202,'Hist. prices'!$C$164:$C$238,0),MATCH(R$1124,'Hist. prices'!$I$5:$AB$5,0))</f>
        <v>0</v>
      </c>
      <c r="S1202" s="218">
        <f>INDEX('Hist. prices'!$I$164:$AB$238,MATCH($C1202,'Hist. prices'!$C$164:$C$238,0),MATCH(S$1124,'Hist. prices'!$I$5:$AB$5,0))</f>
        <v>0</v>
      </c>
      <c r="T1202" s="218">
        <f>INDEX('Hist. prices'!$I$164:$AB$238,MATCH($C1202,'Hist. prices'!$C$164:$C$238,0),MATCH(T$1124,'Hist. prices'!$I$5:$AB$5,0))</f>
        <v>0</v>
      </c>
      <c r="U1202" s="218">
        <f>INDEX('Hist. prices'!$I$164:$AB$238,MATCH($C1202,'Hist. prices'!$C$164:$C$238,0),MATCH(U$1124,'Hist. prices'!$I$5:$AB$5,0))</f>
        <v>0</v>
      </c>
      <c r="V1202" s="218">
        <f>INDEX('Hist. prices'!$I$164:$AB$238,MATCH($C1202,'Hist. prices'!$C$164:$C$238,0),MATCH(V$1124,'Hist. prices'!$I$5:$AB$5,0))</f>
        <v>0</v>
      </c>
      <c r="W1202" s="218">
        <f>INDEX('Hist. prices'!$I$164:$AB$238,MATCH($C1202,'Hist. prices'!$C$164:$C$238,0),MATCH(W$1124,'Hist. prices'!$I$5:$AB$5,0))</f>
        <v>0</v>
      </c>
      <c r="X1202" s="218">
        <f>INDEX('Hist. prices'!$I$164:$AB$238,MATCH($C1202,'Hist. prices'!$C$164:$C$238,0),MATCH(X$1124,'Hist. prices'!$I$5:$AB$5,0))</f>
        <v>0</v>
      </c>
      <c r="Y1202" s="218">
        <f>INDEX('Hist. prices'!$I$164:$AB$238,MATCH($C1202,'Hist. prices'!$C$164:$C$238,0),MATCH(Y$1124,'Hist. prices'!$I$5:$AB$5,0))</f>
        <v>0</v>
      </c>
      <c r="Z1202" s="218">
        <f>INDEX('Hist. prices'!$I$164:$AB$238,MATCH($C1202,'Hist. prices'!$C$164:$C$238,0),MATCH(Z$1124,'Hist. prices'!$I$5:$AB$5,0))</f>
        <v>0</v>
      </c>
      <c r="AA1202" s="218">
        <f>INDEX('Hist. prices'!$I$164:$AB$238,MATCH($C1202,'Hist. prices'!$C$164:$C$238,0),MATCH(AA$1124,'Hist. prices'!$I$5:$AB$5,0))</f>
        <v>0</v>
      </c>
      <c r="AB1202" s="218">
        <f>INDEX('Hist. prices'!$I$164:$AB$238,MATCH($C1202,'Hist. prices'!$C$164:$C$238,0),MATCH(AB$1124,'Hist. prices'!$I$5:$AB$5,0))</f>
        <v>0</v>
      </c>
      <c r="AC1202" s="187"/>
      <c r="AD1202" s="19"/>
      <c r="AE1202" s="19"/>
      <c r="AF1202" s="19"/>
      <c r="AG1202" s="19"/>
    </row>
    <row r="1203" spans="1:33" hidden="1" outlineLevel="3" x14ac:dyDescent="0.2">
      <c r="A1203" s="19"/>
      <c r="B1203" s="19"/>
      <c r="C1203" s="506">
        <f t="shared" si="218"/>
        <v>0</v>
      </c>
      <c r="D1203" s="505">
        <f t="shared" si="218"/>
        <v>0</v>
      </c>
      <c r="E1203" s="58"/>
      <c r="F1203" s="223"/>
      <c r="G1203" s="58"/>
      <c r="H1203" s="58"/>
      <c r="I1203" s="218">
        <f>INDEX('Hist. prices'!$I$164:$AB$238,MATCH($C1203,'Hist. prices'!$C$164:$C$238,0),MATCH(I$1124,'Hist. prices'!$I$5:$AB$5,0))</f>
        <v>0</v>
      </c>
      <c r="J1203" s="218">
        <f>INDEX('Hist. prices'!$I$164:$AB$238,MATCH($C1203,'Hist. prices'!$C$164:$C$238,0),MATCH(J$1124,'Hist. prices'!$I$5:$AB$5,0))</f>
        <v>0</v>
      </c>
      <c r="K1203" s="218">
        <f>INDEX('Hist. prices'!$I$164:$AB$238,MATCH($C1203,'Hist. prices'!$C$164:$C$238,0),MATCH(K$1124,'Hist. prices'!$I$5:$AB$5,0))</f>
        <v>0</v>
      </c>
      <c r="L1203" s="218">
        <f>INDEX('Hist. prices'!$I$164:$AB$238,MATCH($C1203,'Hist. prices'!$C$164:$C$238,0),MATCH(L$1124,'Hist. prices'!$I$5:$AB$5,0))</f>
        <v>0</v>
      </c>
      <c r="M1203" s="218">
        <f>INDEX('Hist. prices'!$I$164:$AB$238,MATCH($C1203,'Hist. prices'!$C$164:$C$238,0),MATCH(M$1124,'Hist. prices'!$I$5:$AB$5,0))</f>
        <v>0</v>
      </c>
      <c r="N1203" s="218">
        <f>INDEX('Hist. prices'!$I$164:$AB$238,MATCH($C1203,'Hist. prices'!$C$164:$C$238,0),MATCH(N$1124,'Hist. prices'!$I$5:$AB$5,0))</f>
        <v>0</v>
      </c>
      <c r="O1203" s="218">
        <f>INDEX('Hist. prices'!$I$164:$AB$238,MATCH($C1203,'Hist. prices'!$C$164:$C$238,0),MATCH(O$1124,'Hist. prices'!$I$5:$AB$5,0))</f>
        <v>0</v>
      </c>
      <c r="P1203" s="218">
        <f>INDEX('Hist. prices'!$I$164:$AB$238,MATCH($C1203,'Hist. prices'!$C$164:$C$238,0),MATCH(P$1124,'Hist. prices'!$I$5:$AB$5,0))</f>
        <v>0</v>
      </c>
      <c r="Q1203" s="218">
        <f>INDEX('Hist. prices'!$I$164:$AB$238,MATCH($C1203,'Hist. prices'!$C$164:$C$238,0),MATCH(Q$1124,'Hist. prices'!$I$5:$AB$5,0))</f>
        <v>0</v>
      </c>
      <c r="R1203" s="218">
        <f>INDEX('Hist. prices'!$I$164:$AB$238,MATCH($C1203,'Hist. prices'!$C$164:$C$238,0),MATCH(R$1124,'Hist. prices'!$I$5:$AB$5,0))</f>
        <v>0</v>
      </c>
      <c r="S1203" s="218">
        <f>INDEX('Hist. prices'!$I$164:$AB$238,MATCH($C1203,'Hist. prices'!$C$164:$C$238,0),MATCH(S$1124,'Hist. prices'!$I$5:$AB$5,0))</f>
        <v>0</v>
      </c>
      <c r="T1203" s="218">
        <f>INDEX('Hist. prices'!$I$164:$AB$238,MATCH($C1203,'Hist. prices'!$C$164:$C$238,0),MATCH(T$1124,'Hist. prices'!$I$5:$AB$5,0))</f>
        <v>0</v>
      </c>
      <c r="U1203" s="218">
        <f>INDEX('Hist. prices'!$I$164:$AB$238,MATCH($C1203,'Hist. prices'!$C$164:$C$238,0),MATCH(U$1124,'Hist. prices'!$I$5:$AB$5,0))</f>
        <v>0</v>
      </c>
      <c r="V1203" s="218">
        <f>INDEX('Hist. prices'!$I$164:$AB$238,MATCH($C1203,'Hist. prices'!$C$164:$C$238,0),MATCH(V$1124,'Hist. prices'!$I$5:$AB$5,0))</f>
        <v>0</v>
      </c>
      <c r="W1203" s="218">
        <f>INDEX('Hist. prices'!$I$164:$AB$238,MATCH($C1203,'Hist. prices'!$C$164:$C$238,0),MATCH(W$1124,'Hist. prices'!$I$5:$AB$5,0))</f>
        <v>0</v>
      </c>
      <c r="X1203" s="218">
        <f>INDEX('Hist. prices'!$I$164:$AB$238,MATCH($C1203,'Hist. prices'!$C$164:$C$238,0),MATCH(X$1124,'Hist. prices'!$I$5:$AB$5,0))</f>
        <v>0</v>
      </c>
      <c r="Y1203" s="218">
        <f>INDEX('Hist. prices'!$I$164:$AB$238,MATCH($C1203,'Hist. prices'!$C$164:$C$238,0),MATCH(Y$1124,'Hist. prices'!$I$5:$AB$5,0))</f>
        <v>0</v>
      </c>
      <c r="Z1203" s="218">
        <f>INDEX('Hist. prices'!$I$164:$AB$238,MATCH($C1203,'Hist. prices'!$C$164:$C$238,0),MATCH(Z$1124,'Hist. prices'!$I$5:$AB$5,0))</f>
        <v>0</v>
      </c>
      <c r="AA1203" s="218">
        <f>INDEX('Hist. prices'!$I$164:$AB$238,MATCH($C1203,'Hist. prices'!$C$164:$C$238,0),MATCH(AA$1124,'Hist. prices'!$I$5:$AB$5,0))</f>
        <v>0</v>
      </c>
      <c r="AB1203" s="218">
        <f>INDEX('Hist. prices'!$I$164:$AB$238,MATCH($C1203,'Hist. prices'!$C$164:$C$238,0),MATCH(AB$1124,'Hist. prices'!$I$5:$AB$5,0))</f>
        <v>0</v>
      </c>
      <c r="AC1203" s="187"/>
      <c r="AD1203" s="19"/>
      <c r="AE1203" s="19"/>
      <c r="AF1203" s="19"/>
      <c r="AG1203" s="19"/>
    </row>
    <row r="1204" spans="1:33" hidden="1" outlineLevel="3" x14ac:dyDescent="0.2">
      <c r="A1204" s="19"/>
      <c r="B1204" s="19"/>
      <c r="C1204" s="506">
        <f t="shared" si="218"/>
        <v>0</v>
      </c>
      <c r="D1204" s="505">
        <f t="shared" si="218"/>
        <v>0</v>
      </c>
      <c r="E1204" s="58"/>
      <c r="F1204" s="223"/>
      <c r="G1204" s="58"/>
      <c r="H1204" s="58"/>
      <c r="I1204" s="218">
        <f>INDEX('Hist. prices'!$I$164:$AB$238,MATCH($C1204,'Hist. prices'!$C$164:$C$238,0),MATCH(I$1124,'Hist. prices'!$I$5:$AB$5,0))</f>
        <v>0</v>
      </c>
      <c r="J1204" s="218">
        <f>INDEX('Hist. prices'!$I$164:$AB$238,MATCH($C1204,'Hist. prices'!$C$164:$C$238,0),MATCH(J$1124,'Hist. prices'!$I$5:$AB$5,0))</f>
        <v>0</v>
      </c>
      <c r="K1204" s="218">
        <f>INDEX('Hist. prices'!$I$164:$AB$238,MATCH($C1204,'Hist. prices'!$C$164:$C$238,0),MATCH(K$1124,'Hist. prices'!$I$5:$AB$5,0))</f>
        <v>0</v>
      </c>
      <c r="L1204" s="218">
        <f>INDEX('Hist. prices'!$I$164:$AB$238,MATCH($C1204,'Hist. prices'!$C$164:$C$238,0),MATCH(L$1124,'Hist. prices'!$I$5:$AB$5,0))</f>
        <v>0</v>
      </c>
      <c r="M1204" s="218">
        <f>INDEX('Hist. prices'!$I$164:$AB$238,MATCH($C1204,'Hist. prices'!$C$164:$C$238,0),MATCH(M$1124,'Hist. prices'!$I$5:$AB$5,0))</f>
        <v>0</v>
      </c>
      <c r="N1204" s="218">
        <f>INDEX('Hist. prices'!$I$164:$AB$238,MATCH($C1204,'Hist. prices'!$C$164:$C$238,0),MATCH(N$1124,'Hist. prices'!$I$5:$AB$5,0))</f>
        <v>0</v>
      </c>
      <c r="O1204" s="218">
        <f>INDEX('Hist. prices'!$I$164:$AB$238,MATCH($C1204,'Hist. prices'!$C$164:$C$238,0),MATCH(O$1124,'Hist. prices'!$I$5:$AB$5,0))</f>
        <v>0</v>
      </c>
      <c r="P1204" s="218">
        <f>INDEX('Hist. prices'!$I$164:$AB$238,MATCH($C1204,'Hist. prices'!$C$164:$C$238,0),MATCH(P$1124,'Hist. prices'!$I$5:$AB$5,0))</f>
        <v>0</v>
      </c>
      <c r="Q1204" s="218">
        <f>INDEX('Hist. prices'!$I$164:$AB$238,MATCH($C1204,'Hist. prices'!$C$164:$C$238,0),MATCH(Q$1124,'Hist. prices'!$I$5:$AB$5,0))</f>
        <v>0</v>
      </c>
      <c r="R1204" s="218">
        <f>INDEX('Hist. prices'!$I$164:$AB$238,MATCH($C1204,'Hist. prices'!$C$164:$C$238,0),MATCH(R$1124,'Hist. prices'!$I$5:$AB$5,0))</f>
        <v>0</v>
      </c>
      <c r="S1204" s="218">
        <f>INDEX('Hist. prices'!$I$164:$AB$238,MATCH($C1204,'Hist. prices'!$C$164:$C$238,0),MATCH(S$1124,'Hist. prices'!$I$5:$AB$5,0))</f>
        <v>0</v>
      </c>
      <c r="T1204" s="218">
        <f>INDEX('Hist. prices'!$I$164:$AB$238,MATCH($C1204,'Hist. prices'!$C$164:$C$238,0),MATCH(T$1124,'Hist. prices'!$I$5:$AB$5,0))</f>
        <v>0</v>
      </c>
      <c r="U1204" s="218">
        <f>INDEX('Hist. prices'!$I$164:$AB$238,MATCH($C1204,'Hist. prices'!$C$164:$C$238,0),MATCH(U$1124,'Hist. prices'!$I$5:$AB$5,0))</f>
        <v>0</v>
      </c>
      <c r="V1204" s="218">
        <f>INDEX('Hist. prices'!$I$164:$AB$238,MATCH($C1204,'Hist. prices'!$C$164:$C$238,0),MATCH(V$1124,'Hist. prices'!$I$5:$AB$5,0))</f>
        <v>0</v>
      </c>
      <c r="W1204" s="218">
        <f>INDEX('Hist. prices'!$I$164:$AB$238,MATCH($C1204,'Hist. prices'!$C$164:$C$238,0),MATCH(W$1124,'Hist. prices'!$I$5:$AB$5,0))</f>
        <v>0</v>
      </c>
      <c r="X1204" s="218">
        <f>INDEX('Hist. prices'!$I$164:$AB$238,MATCH($C1204,'Hist. prices'!$C$164:$C$238,0),MATCH(X$1124,'Hist. prices'!$I$5:$AB$5,0))</f>
        <v>0</v>
      </c>
      <c r="Y1204" s="218">
        <f>INDEX('Hist. prices'!$I$164:$AB$238,MATCH($C1204,'Hist. prices'!$C$164:$C$238,0),MATCH(Y$1124,'Hist. prices'!$I$5:$AB$5,0))</f>
        <v>0</v>
      </c>
      <c r="Z1204" s="218">
        <f>INDEX('Hist. prices'!$I$164:$AB$238,MATCH($C1204,'Hist. prices'!$C$164:$C$238,0),MATCH(Z$1124,'Hist. prices'!$I$5:$AB$5,0))</f>
        <v>0</v>
      </c>
      <c r="AA1204" s="218">
        <f>INDEX('Hist. prices'!$I$164:$AB$238,MATCH($C1204,'Hist. prices'!$C$164:$C$238,0),MATCH(AA$1124,'Hist. prices'!$I$5:$AB$5,0))</f>
        <v>0</v>
      </c>
      <c r="AB1204" s="218">
        <f>INDEX('Hist. prices'!$I$164:$AB$238,MATCH($C1204,'Hist. prices'!$C$164:$C$238,0),MATCH(AB$1124,'Hist. prices'!$I$5:$AB$5,0))</f>
        <v>0</v>
      </c>
      <c r="AC1204" s="187"/>
      <c r="AD1204" s="19"/>
      <c r="AE1204" s="19"/>
      <c r="AF1204" s="19"/>
      <c r="AG1204" s="19"/>
    </row>
    <row r="1205" spans="1:33" hidden="1" outlineLevel="3" x14ac:dyDescent="0.2">
      <c r="A1205" s="19"/>
      <c r="B1205" s="19"/>
      <c r="C1205" s="506">
        <f t="shared" si="218"/>
        <v>0</v>
      </c>
      <c r="D1205" s="505">
        <f t="shared" si="218"/>
        <v>0</v>
      </c>
      <c r="E1205" s="58"/>
      <c r="F1205" s="223"/>
      <c r="G1205" s="58"/>
      <c r="H1205" s="58"/>
      <c r="I1205" s="218">
        <f>INDEX('Hist. prices'!$I$164:$AB$238,MATCH($C1205,'Hist. prices'!$C$164:$C$238,0),MATCH(I$1124,'Hist. prices'!$I$5:$AB$5,0))</f>
        <v>0</v>
      </c>
      <c r="J1205" s="218">
        <f>INDEX('Hist. prices'!$I$164:$AB$238,MATCH($C1205,'Hist. prices'!$C$164:$C$238,0),MATCH(J$1124,'Hist. prices'!$I$5:$AB$5,0))</f>
        <v>0</v>
      </c>
      <c r="K1205" s="218">
        <f>INDEX('Hist. prices'!$I$164:$AB$238,MATCH($C1205,'Hist. prices'!$C$164:$C$238,0),MATCH(K$1124,'Hist. prices'!$I$5:$AB$5,0))</f>
        <v>0</v>
      </c>
      <c r="L1205" s="218">
        <f>INDEX('Hist. prices'!$I$164:$AB$238,MATCH($C1205,'Hist. prices'!$C$164:$C$238,0),MATCH(L$1124,'Hist. prices'!$I$5:$AB$5,0))</f>
        <v>0</v>
      </c>
      <c r="M1205" s="218">
        <f>INDEX('Hist. prices'!$I$164:$AB$238,MATCH($C1205,'Hist. prices'!$C$164:$C$238,0),MATCH(M$1124,'Hist. prices'!$I$5:$AB$5,0))</f>
        <v>0</v>
      </c>
      <c r="N1205" s="218">
        <f>INDEX('Hist. prices'!$I$164:$AB$238,MATCH($C1205,'Hist. prices'!$C$164:$C$238,0),MATCH(N$1124,'Hist. prices'!$I$5:$AB$5,0))</f>
        <v>0</v>
      </c>
      <c r="O1205" s="218">
        <f>INDEX('Hist. prices'!$I$164:$AB$238,MATCH($C1205,'Hist. prices'!$C$164:$C$238,0),MATCH(O$1124,'Hist. prices'!$I$5:$AB$5,0))</f>
        <v>0</v>
      </c>
      <c r="P1205" s="218">
        <f>INDEX('Hist. prices'!$I$164:$AB$238,MATCH($C1205,'Hist. prices'!$C$164:$C$238,0),MATCH(P$1124,'Hist. prices'!$I$5:$AB$5,0))</f>
        <v>0</v>
      </c>
      <c r="Q1205" s="218">
        <f>INDEX('Hist. prices'!$I$164:$AB$238,MATCH($C1205,'Hist. prices'!$C$164:$C$238,0),MATCH(Q$1124,'Hist. prices'!$I$5:$AB$5,0))</f>
        <v>0</v>
      </c>
      <c r="R1205" s="218">
        <f>INDEX('Hist. prices'!$I$164:$AB$238,MATCH($C1205,'Hist. prices'!$C$164:$C$238,0),MATCH(R$1124,'Hist. prices'!$I$5:$AB$5,0))</f>
        <v>0</v>
      </c>
      <c r="S1205" s="218">
        <f>INDEX('Hist. prices'!$I$164:$AB$238,MATCH($C1205,'Hist. prices'!$C$164:$C$238,0),MATCH(S$1124,'Hist. prices'!$I$5:$AB$5,0))</f>
        <v>0</v>
      </c>
      <c r="T1205" s="218">
        <f>INDEX('Hist. prices'!$I$164:$AB$238,MATCH($C1205,'Hist. prices'!$C$164:$C$238,0),MATCH(T$1124,'Hist. prices'!$I$5:$AB$5,0))</f>
        <v>0</v>
      </c>
      <c r="U1205" s="218">
        <f>INDEX('Hist. prices'!$I$164:$AB$238,MATCH($C1205,'Hist. prices'!$C$164:$C$238,0),MATCH(U$1124,'Hist. prices'!$I$5:$AB$5,0))</f>
        <v>0</v>
      </c>
      <c r="V1205" s="218">
        <f>INDEX('Hist. prices'!$I$164:$AB$238,MATCH($C1205,'Hist. prices'!$C$164:$C$238,0),MATCH(V$1124,'Hist. prices'!$I$5:$AB$5,0))</f>
        <v>0</v>
      </c>
      <c r="W1205" s="218">
        <f>INDEX('Hist. prices'!$I$164:$AB$238,MATCH($C1205,'Hist. prices'!$C$164:$C$238,0),MATCH(W$1124,'Hist. prices'!$I$5:$AB$5,0))</f>
        <v>0</v>
      </c>
      <c r="X1205" s="218">
        <f>INDEX('Hist. prices'!$I$164:$AB$238,MATCH($C1205,'Hist. prices'!$C$164:$C$238,0),MATCH(X$1124,'Hist. prices'!$I$5:$AB$5,0))</f>
        <v>0</v>
      </c>
      <c r="Y1205" s="218">
        <f>INDEX('Hist. prices'!$I$164:$AB$238,MATCH($C1205,'Hist. prices'!$C$164:$C$238,0),MATCH(Y$1124,'Hist. prices'!$I$5:$AB$5,0))</f>
        <v>0</v>
      </c>
      <c r="Z1205" s="218">
        <f>INDEX('Hist. prices'!$I$164:$AB$238,MATCH($C1205,'Hist. prices'!$C$164:$C$238,0),MATCH(Z$1124,'Hist. prices'!$I$5:$AB$5,0))</f>
        <v>0</v>
      </c>
      <c r="AA1205" s="218">
        <f>INDEX('Hist. prices'!$I$164:$AB$238,MATCH($C1205,'Hist. prices'!$C$164:$C$238,0),MATCH(AA$1124,'Hist. prices'!$I$5:$AB$5,0))</f>
        <v>0</v>
      </c>
      <c r="AB1205" s="218">
        <f>INDEX('Hist. prices'!$I$164:$AB$238,MATCH($C1205,'Hist. prices'!$C$164:$C$238,0),MATCH(AB$1124,'Hist. prices'!$I$5:$AB$5,0))</f>
        <v>0</v>
      </c>
      <c r="AC1205" s="187"/>
      <c r="AD1205" s="19"/>
      <c r="AE1205" s="19"/>
      <c r="AF1205" s="19"/>
      <c r="AG1205" s="19"/>
    </row>
    <row r="1206" spans="1:33" hidden="1" outlineLevel="3" x14ac:dyDescent="0.2">
      <c r="A1206" s="19"/>
      <c r="B1206" s="19"/>
      <c r="C1206" s="506">
        <f t="shared" si="218"/>
        <v>0</v>
      </c>
      <c r="D1206" s="505">
        <f t="shared" si="218"/>
        <v>0</v>
      </c>
      <c r="E1206" s="58"/>
      <c r="F1206" s="223"/>
      <c r="G1206" s="58"/>
      <c r="H1206" s="58"/>
      <c r="I1206" s="218">
        <f>INDEX('Hist. prices'!$I$164:$AB$238,MATCH($C1206,'Hist. prices'!$C$164:$C$238,0),MATCH(I$1124,'Hist. prices'!$I$5:$AB$5,0))</f>
        <v>0</v>
      </c>
      <c r="J1206" s="218">
        <f>INDEX('Hist. prices'!$I$164:$AB$238,MATCH($C1206,'Hist. prices'!$C$164:$C$238,0),MATCH(J$1124,'Hist. prices'!$I$5:$AB$5,0))</f>
        <v>0</v>
      </c>
      <c r="K1206" s="218">
        <f>INDEX('Hist. prices'!$I$164:$AB$238,MATCH($C1206,'Hist. prices'!$C$164:$C$238,0),MATCH(K$1124,'Hist. prices'!$I$5:$AB$5,0))</f>
        <v>0</v>
      </c>
      <c r="L1206" s="218">
        <f>INDEX('Hist. prices'!$I$164:$AB$238,MATCH($C1206,'Hist. prices'!$C$164:$C$238,0),MATCH(L$1124,'Hist. prices'!$I$5:$AB$5,0))</f>
        <v>0</v>
      </c>
      <c r="M1206" s="218">
        <f>INDEX('Hist. prices'!$I$164:$AB$238,MATCH($C1206,'Hist. prices'!$C$164:$C$238,0),MATCH(M$1124,'Hist. prices'!$I$5:$AB$5,0))</f>
        <v>0</v>
      </c>
      <c r="N1206" s="218">
        <f>INDEX('Hist. prices'!$I$164:$AB$238,MATCH($C1206,'Hist. prices'!$C$164:$C$238,0),MATCH(N$1124,'Hist. prices'!$I$5:$AB$5,0))</f>
        <v>0</v>
      </c>
      <c r="O1206" s="218">
        <f>INDEX('Hist. prices'!$I$164:$AB$238,MATCH($C1206,'Hist. prices'!$C$164:$C$238,0),MATCH(O$1124,'Hist. prices'!$I$5:$AB$5,0))</f>
        <v>0</v>
      </c>
      <c r="P1206" s="218">
        <f>INDEX('Hist. prices'!$I$164:$AB$238,MATCH($C1206,'Hist. prices'!$C$164:$C$238,0),MATCH(P$1124,'Hist. prices'!$I$5:$AB$5,0))</f>
        <v>0</v>
      </c>
      <c r="Q1206" s="218">
        <f>INDEX('Hist. prices'!$I$164:$AB$238,MATCH($C1206,'Hist. prices'!$C$164:$C$238,0),MATCH(Q$1124,'Hist. prices'!$I$5:$AB$5,0))</f>
        <v>0</v>
      </c>
      <c r="R1206" s="218">
        <f>INDEX('Hist. prices'!$I$164:$AB$238,MATCH($C1206,'Hist. prices'!$C$164:$C$238,0),MATCH(R$1124,'Hist. prices'!$I$5:$AB$5,0))</f>
        <v>0</v>
      </c>
      <c r="S1206" s="218">
        <f>INDEX('Hist. prices'!$I$164:$AB$238,MATCH($C1206,'Hist. prices'!$C$164:$C$238,0),MATCH(S$1124,'Hist. prices'!$I$5:$AB$5,0))</f>
        <v>0</v>
      </c>
      <c r="T1206" s="218">
        <f>INDEX('Hist. prices'!$I$164:$AB$238,MATCH($C1206,'Hist. prices'!$C$164:$C$238,0),MATCH(T$1124,'Hist. prices'!$I$5:$AB$5,0))</f>
        <v>0</v>
      </c>
      <c r="U1206" s="218">
        <f>INDEX('Hist. prices'!$I$164:$AB$238,MATCH($C1206,'Hist. prices'!$C$164:$C$238,0),MATCH(U$1124,'Hist. prices'!$I$5:$AB$5,0))</f>
        <v>0</v>
      </c>
      <c r="V1206" s="218">
        <f>INDEX('Hist. prices'!$I$164:$AB$238,MATCH($C1206,'Hist. prices'!$C$164:$C$238,0),MATCH(V$1124,'Hist. prices'!$I$5:$AB$5,0))</f>
        <v>0</v>
      </c>
      <c r="W1206" s="218">
        <f>INDEX('Hist. prices'!$I$164:$AB$238,MATCH($C1206,'Hist. prices'!$C$164:$C$238,0),MATCH(W$1124,'Hist. prices'!$I$5:$AB$5,0))</f>
        <v>0</v>
      </c>
      <c r="X1206" s="218">
        <f>INDEX('Hist. prices'!$I$164:$AB$238,MATCH($C1206,'Hist. prices'!$C$164:$C$238,0),MATCH(X$1124,'Hist. prices'!$I$5:$AB$5,0))</f>
        <v>0</v>
      </c>
      <c r="Y1206" s="218">
        <f>INDEX('Hist. prices'!$I$164:$AB$238,MATCH($C1206,'Hist. prices'!$C$164:$C$238,0),MATCH(Y$1124,'Hist. prices'!$I$5:$AB$5,0))</f>
        <v>0</v>
      </c>
      <c r="Z1206" s="218">
        <f>INDEX('Hist. prices'!$I$164:$AB$238,MATCH($C1206,'Hist. prices'!$C$164:$C$238,0),MATCH(Z$1124,'Hist. prices'!$I$5:$AB$5,0))</f>
        <v>0</v>
      </c>
      <c r="AA1206" s="218">
        <f>INDEX('Hist. prices'!$I$164:$AB$238,MATCH($C1206,'Hist. prices'!$C$164:$C$238,0),MATCH(AA$1124,'Hist. prices'!$I$5:$AB$5,0))</f>
        <v>0</v>
      </c>
      <c r="AB1206" s="218">
        <f>INDEX('Hist. prices'!$I$164:$AB$238,MATCH($C1206,'Hist. prices'!$C$164:$C$238,0),MATCH(AB$1124,'Hist. prices'!$I$5:$AB$5,0))</f>
        <v>0</v>
      </c>
      <c r="AC1206" s="187"/>
      <c r="AD1206" s="19"/>
      <c r="AE1206" s="19"/>
      <c r="AF1206" s="19"/>
      <c r="AG1206" s="19"/>
    </row>
    <row r="1207" spans="1:33" hidden="1" outlineLevel="3" x14ac:dyDescent="0.2">
      <c r="A1207" s="19"/>
      <c r="B1207" s="19"/>
      <c r="C1207" s="506">
        <f t="shared" si="218"/>
        <v>0</v>
      </c>
      <c r="D1207" s="505">
        <f t="shared" si="218"/>
        <v>0</v>
      </c>
      <c r="E1207" s="58"/>
      <c r="F1207" s="223"/>
      <c r="G1207" s="58"/>
      <c r="H1207" s="58"/>
      <c r="I1207" s="218">
        <f>INDEX('Hist. prices'!$I$164:$AB$238,MATCH($C1207,'Hist. prices'!$C$164:$C$238,0),MATCH(I$1124,'Hist. prices'!$I$5:$AB$5,0))</f>
        <v>0</v>
      </c>
      <c r="J1207" s="218">
        <f>INDEX('Hist. prices'!$I$164:$AB$238,MATCH($C1207,'Hist. prices'!$C$164:$C$238,0),MATCH(J$1124,'Hist. prices'!$I$5:$AB$5,0))</f>
        <v>0</v>
      </c>
      <c r="K1207" s="218">
        <f>INDEX('Hist. prices'!$I$164:$AB$238,MATCH($C1207,'Hist. prices'!$C$164:$C$238,0),MATCH(K$1124,'Hist. prices'!$I$5:$AB$5,0))</f>
        <v>0</v>
      </c>
      <c r="L1207" s="218">
        <f>INDEX('Hist. prices'!$I$164:$AB$238,MATCH($C1207,'Hist. prices'!$C$164:$C$238,0),MATCH(L$1124,'Hist. prices'!$I$5:$AB$5,0))</f>
        <v>0</v>
      </c>
      <c r="M1207" s="218">
        <f>INDEX('Hist. prices'!$I$164:$AB$238,MATCH($C1207,'Hist. prices'!$C$164:$C$238,0),MATCH(M$1124,'Hist. prices'!$I$5:$AB$5,0))</f>
        <v>0</v>
      </c>
      <c r="N1207" s="218">
        <f>INDEX('Hist. prices'!$I$164:$AB$238,MATCH($C1207,'Hist. prices'!$C$164:$C$238,0),MATCH(N$1124,'Hist. prices'!$I$5:$AB$5,0))</f>
        <v>0</v>
      </c>
      <c r="O1207" s="218">
        <f>INDEX('Hist. prices'!$I$164:$AB$238,MATCH($C1207,'Hist. prices'!$C$164:$C$238,0),MATCH(O$1124,'Hist. prices'!$I$5:$AB$5,0))</f>
        <v>0</v>
      </c>
      <c r="P1207" s="218">
        <f>INDEX('Hist. prices'!$I$164:$AB$238,MATCH($C1207,'Hist. prices'!$C$164:$C$238,0),MATCH(P$1124,'Hist. prices'!$I$5:$AB$5,0))</f>
        <v>0</v>
      </c>
      <c r="Q1207" s="218">
        <f>INDEX('Hist. prices'!$I$164:$AB$238,MATCH($C1207,'Hist. prices'!$C$164:$C$238,0),MATCH(Q$1124,'Hist. prices'!$I$5:$AB$5,0))</f>
        <v>0</v>
      </c>
      <c r="R1207" s="218">
        <f>INDEX('Hist. prices'!$I$164:$AB$238,MATCH($C1207,'Hist. prices'!$C$164:$C$238,0),MATCH(R$1124,'Hist. prices'!$I$5:$AB$5,0))</f>
        <v>0</v>
      </c>
      <c r="S1207" s="218">
        <f>INDEX('Hist. prices'!$I$164:$AB$238,MATCH($C1207,'Hist. prices'!$C$164:$C$238,0),MATCH(S$1124,'Hist. prices'!$I$5:$AB$5,0))</f>
        <v>0</v>
      </c>
      <c r="T1207" s="218">
        <f>INDEX('Hist. prices'!$I$164:$AB$238,MATCH($C1207,'Hist. prices'!$C$164:$C$238,0),MATCH(T$1124,'Hist. prices'!$I$5:$AB$5,0))</f>
        <v>0</v>
      </c>
      <c r="U1207" s="218">
        <f>INDEX('Hist. prices'!$I$164:$AB$238,MATCH($C1207,'Hist. prices'!$C$164:$C$238,0),MATCH(U$1124,'Hist. prices'!$I$5:$AB$5,0))</f>
        <v>0</v>
      </c>
      <c r="V1207" s="218">
        <f>INDEX('Hist. prices'!$I$164:$AB$238,MATCH($C1207,'Hist. prices'!$C$164:$C$238,0),MATCH(V$1124,'Hist. prices'!$I$5:$AB$5,0))</f>
        <v>0</v>
      </c>
      <c r="W1207" s="218">
        <f>INDEX('Hist. prices'!$I$164:$AB$238,MATCH($C1207,'Hist. prices'!$C$164:$C$238,0),MATCH(W$1124,'Hist. prices'!$I$5:$AB$5,0))</f>
        <v>0</v>
      </c>
      <c r="X1207" s="218">
        <f>INDEX('Hist. prices'!$I$164:$AB$238,MATCH($C1207,'Hist. prices'!$C$164:$C$238,0),MATCH(X$1124,'Hist. prices'!$I$5:$AB$5,0))</f>
        <v>0</v>
      </c>
      <c r="Y1207" s="218">
        <f>INDEX('Hist. prices'!$I$164:$AB$238,MATCH($C1207,'Hist. prices'!$C$164:$C$238,0),MATCH(Y$1124,'Hist. prices'!$I$5:$AB$5,0))</f>
        <v>0</v>
      </c>
      <c r="Z1207" s="218">
        <f>INDEX('Hist. prices'!$I$164:$AB$238,MATCH($C1207,'Hist. prices'!$C$164:$C$238,0),MATCH(Z$1124,'Hist. prices'!$I$5:$AB$5,0))</f>
        <v>0</v>
      </c>
      <c r="AA1207" s="218">
        <f>INDEX('Hist. prices'!$I$164:$AB$238,MATCH($C1207,'Hist. prices'!$C$164:$C$238,0),MATCH(AA$1124,'Hist. prices'!$I$5:$AB$5,0))</f>
        <v>0</v>
      </c>
      <c r="AB1207" s="218">
        <f>INDEX('Hist. prices'!$I$164:$AB$238,MATCH($C1207,'Hist. prices'!$C$164:$C$238,0),MATCH(AB$1124,'Hist. prices'!$I$5:$AB$5,0))</f>
        <v>0</v>
      </c>
      <c r="AC1207" s="187"/>
      <c r="AD1207" s="19"/>
      <c r="AE1207" s="19"/>
      <c r="AF1207" s="19"/>
      <c r="AG1207" s="19"/>
    </row>
    <row r="1208" spans="1:33" hidden="1" outlineLevel="3" x14ac:dyDescent="0.2">
      <c r="A1208" s="19"/>
      <c r="B1208" s="19"/>
      <c r="C1208" s="506">
        <f t="shared" si="218"/>
        <v>0</v>
      </c>
      <c r="D1208" s="505">
        <f t="shared" si="218"/>
        <v>0</v>
      </c>
      <c r="E1208" s="58"/>
      <c r="F1208" s="223"/>
      <c r="G1208" s="58"/>
      <c r="H1208" s="58"/>
      <c r="I1208" s="218">
        <f>INDEX('Hist. prices'!$I$164:$AB$238,MATCH($C1208,'Hist. prices'!$C$164:$C$238,0),MATCH(I$1124,'Hist. prices'!$I$5:$AB$5,0))</f>
        <v>0</v>
      </c>
      <c r="J1208" s="218">
        <f>INDEX('Hist. prices'!$I$164:$AB$238,MATCH($C1208,'Hist. prices'!$C$164:$C$238,0),MATCH(J$1124,'Hist. prices'!$I$5:$AB$5,0))</f>
        <v>0</v>
      </c>
      <c r="K1208" s="218">
        <f>INDEX('Hist. prices'!$I$164:$AB$238,MATCH($C1208,'Hist. prices'!$C$164:$C$238,0),MATCH(K$1124,'Hist. prices'!$I$5:$AB$5,0))</f>
        <v>0</v>
      </c>
      <c r="L1208" s="218">
        <f>INDEX('Hist. prices'!$I$164:$AB$238,MATCH($C1208,'Hist. prices'!$C$164:$C$238,0),MATCH(L$1124,'Hist. prices'!$I$5:$AB$5,0))</f>
        <v>0</v>
      </c>
      <c r="M1208" s="218">
        <f>INDEX('Hist. prices'!$I$164:$AB$238,MATCH($C1208,'Hist. prices'!$C$164:$C$238,0),MATCH(M$1124,'Hist. prices'!$I$5:$AB$5,0))</f>
        <v>0</v>
      </c>
      <c r="N1208" s="218">
        <f>INDEX('Hist. prices'!$I$164:$AB$238,MATCH($C1208,'Hist. prices'!$C$164:$C$238,0),MATCH(N$1124,'Hist. prices'!$I$5:$AB$5,0))</f>
        <v>0</v>
      </c>
      <c r="O1208" s="218">
        <f>INDEX('Hist. prices'!$I$164:$AB$238,MATCH($C1208,'Hist. prices'!$C$164:$C$238,0),MATCH(O$1124,'Hist. prices'!$I$5:$AB$5,0))</f>
        <v>0</v>
      </c>
      <c r="P1208" s="218">
        <f>INDEX('Hist. prices'!$I$164:$AB$238,MATCH($C1208,'Hist. prices'!$C$164:$C$238,0),MATCH(P$1124,'Hist. prices'!$I$5:$AB$5,0))</f>
        <v>0</v>
      </c>
      <c r="Q1208" s="218">
        <f>INDEX('Hist. prices'!$I$164:$AB$238,MATCH($C1208,'Hist. prices'!$C$164:$C$238,0),MATCH(Q$1124,'Hist. prices'!$I$5:$AB$5,0))</f>
        <v>0</v>
      </c>
      <c r="R1208" s="218">
        <f>INDEX('Hist. prices'!$I$164:$AB$238,MATCH($C1208,'Hist. prices'!$C$164:$C$238,0),MATCH(R$1124,'Hist. prices'!$I$5:$AB$5,0))</f>
        <v>0</v>
      </c>
      <c r="S1208" s="218">
        <f>INDEX('Hist. prices'!$I$164:$AB$238,MATCH($C1208,'Hist. prices'!$C$164:$C$238,0),MATCH(S$1124,'Hist. prices'!$I$5:$AB$5,0))</f>
        <v>0</v>
      </c>
      <c r="T1208" s="218">
        <f>INDEX('Hist. prices'!$I$164:$AB$238,MATCH($C1208,'Hist. prices'!$C$164:$C$238,0),MATCH(T$1124,'Hist. prices'!$I$5:$AB$5,0))</f>
        <v>0</v>
      </c>
      <c r="U1208" s="218">
        <f>INDEX('Hist. prices'!$I$164:$AB$238,MATCH($C1208,'Hist. prices'!$C$164:$C$238,0),MATCH(U$1124,'Hist. prices'!$I$5:$AB$5,0))</f>
        <v>0</v>
      </c>
      <c r="V1208" s="218">
        <f>INDEX('Hist. prices'!$I$164:$AB$238,MATCH($C1208,'Hist. prices'!$C$164:$C$238,0),MATCH(V$1124,'Hist. prices'!$I$5:$AB$5,0))</f>
        <v>0</v>
      </c>
      <c r="W1208" s="218">
        <f>INDEX('Hist. prices'!$I$164:$AB$238,MATCH($C1208,'Hist. prices'!$C$164:$C$238,0),MATCH(W$1124,'Hist. prices'!$I$5:$AB$5,0))</f>
        <v>0</v>
      </c>
      <c r="X1208" s="218">
        <f>INDEX('Hist. prices'!$I$164:$AB$238,MATCH($C1208,'Hist. prices'!$C$164:$C$238,0),MATCH(X$1124,'Hist. prices'!$I$5:$AB$5,0))</f>
        <v>0</v>
      </c>
      <c r="Y1208" s="218">
        <f>INDEX('Hist. prices'!$I$164:$AB$238,MATCH($C1208,'Hist. prices'!$C$164:$C$238,0),MATCH(Y$1124,'Hist. prices'!$I$5:$AB$5,0))</f>
        <v>0</v>
      </c>
      <c r="Z1208" s="218">
        <f>INDEX('Hist. prices'!$I$164:$AB$238,MATCH($C1208,'Hist. prices'!$C$164:$C$238,0),MATCH(Z$1124,'Hist. prices'!$I$5:$AB$5,0))</f>
        <v>0</v>
      </c>
      <c r="AA1208" s="218">
        <f>INDEX('Hist. prices'!$I$164:$AB$238,MATCH($C1208,'Hist. prices'!$C$164:$C$238,0),MATCH(AA$1124,'Hist. prices'!$I$5:$AB$5,0))</f>
        <v>0</v>
      </c>
      <c r="AB1208" s="218">
        <f>INDEX('Hist. prices'!$I$164:$AB$238,MATCH($C1208,'Hist. prices'!$C$164:$C$238,0),MATCH(AB$1124,'Hist. prices'!$I$5:$AB$5,0))</f>
        <v>0</v>
      </c>
      <c r="AC1208" s="187"/>
      <c r="AD1208" s="19"/>
      <c r="AE1208" s="19"/>
      <c r="AF1208" s="19"/>
      <c r="AG1208" s="19"/>
    </row>
    <row r="1209" spans="1:33" hidden="1" outlineLevel="3" x14ac:dyDescent="0.2">
      <c r="A1209" s="19"/>
      <c r="B1209" s="19"/>
      <c r="C1209" s="506">
        <f t="shared" si="218"/>
        <v>0</v>
      </c>
      <c r="D1209" s="505">
        <f t="shared" si="218"/>
        <v>0</v>
      </c>
      <c r="E1209" s="58"/>
      <c r="F1209" s="223"/>
      <c r="G1209" s="58"/>
      <c r="H1209" s="58"/>
      <c r="I1209" s="218">
        <f>INDEX('Hist. prices'!$I$164:$AB$238,MATCH($C1209,'Hist. prices'!$C$164:$C$238,0),MATCH(I$1124,'Hist. prices'!$I$5:$AB$5,0))</f>
        <v>0</v>
      </c>
      <c r="J1209" s="218">
        <f>INDEX('Hist. prices'!$I$164:$AB$238,MATCH($C1209,'Hist. prices'!$C$164:$C$238,0),MATCH(J$1124,'Hist. prices'!$I$5:$AB$5,0))</f>
        <v>0</v>
      </c>
      <c r="K1209" s="218">
        <f>INDEX('Hist. prices'!$I$164:$AB$238,MATCH($C1209,'Hist. prices'!$C$164:$C$238,0),MATCH(K$1124,'Hist. prices'!$I$5:$AB$5,0))</f>
        <v>0</v>
      </c>
      <c r="L1209" s="218">
        <f>INDEX('Hist. prices'!$I$164:$AB$238,MATCH($C1209,'Hist. prices'!$C$164:$C$238,0),MATCH(L$1124,'Hist. prices'!$I$5:$AB$5,0))</f>
        <v>0</v>
      </c>
      <c r="M1209" s="218">
        <f>INDEX('Hist. prices'!$I$164:$AB$238,MATCH($C1209,'Hist. prices'!$C$164:$C$238,0),MATCH(M$1124,'Hist. prices'!$I$5:$AB$5,0))</f>
        <v>0</v>
      </c>
      <c r="N1209" s="218">
        <f>INDEX('Hist. prices'!$I$164:$AB$238,MATCH($C1209,'Hist. prices'!$C$164:$C$238,0),MATCH(N$1124,'Hist. prices'!$I$5:$AB$5,0))</f>
        <v>0</v>
      </c>
      <c r="O1209" s="218">
        <f>INDEX('Hist. prices'!$I$164:$AB$238,MATCH($C1209,'Hist. prices'!$C$164:$C$238,0),MATCH(O$1124,'Hist. prices'!$I$5:$AB$5,0))</f>
        <v>0</v>
      </c>
      <c r="P1209" s="218">
        <f>INDEX('Hist. prices'!$I$164:$AB$238,MATCH($C1209,'Hist. prices'!$C$164:$C$238,0),MATCH(P$1124,'Hist. prices'!$I$5:$AB$5,0))</f>
        <v>0</v>
      </c>
      <c r="Q1209" s="218">
        <f>INDEX('Hist. prices'!$I$164:$AB$238,MATCH($C1209,'Hist. prices'!$C$164:$C$238,0),MATCH(Q$1124,'Hist. prices'!$I$5:$AB$5,0))</f>
        <v>0</v>
      </c>
      <c r="R1209" s="218">
        <f>INDEX('Hist. prices'!$I$164:$AB$238,MATCH($C1209,'Hist. prices'!$C$164:$C$238,0),MATCH(R$1124,'Hist. prices'!$I$5:$AB$5,0))</f>
        <v>0</v>
      </c>
      <c r="S1209" s="218">
        <f>INDEX('Hist. prices'!$I$164:$AB$238,MATCH($C1209,'Hist. prices'!$C$164:$C$238,0),MATCH(S$1124,'Hist. prices'!$I$5:$AB$5,0))</f>
        <v>0</v>
      </c>
      <c r="T1209" s="218">
        <f>INDEX('Hist. prices'!$I$164:$AB$238,MATCH($C1209,'Hist. prices'!$C$164:$C$238,0),MATCH(T$1124,'Hist. prices'!$I$5:$AB$5,0))</f>
        <v>0</v>
      </c>
      <c r="U1209" s="218">
        <f>INDEX('Hist. prices'!$I$164:$AB$238,MATCH($C1209,'Hist. prices'!$C$164:$C$238,0),MATCH(U$1124,'Hist. prices'!$I$5:$AB$5,0))</f>
        <v>0</v>
      </c>
      <c r="V1209" s="218">
        <f>INDEX('Hist. prices'!$I$164:$AB$238,MATCH($C1209,'Hist. prices'!$C$164:$C$238,0),MATCH(V$1124,'Hist. prices'!$I$5:$AB$5,0))</f>
        <v>0</v>
      </c>
      <c r="W1209" s="218">
        <f>INDEX('Hist. prices'!$I$164:$AB$238,MATCH($C1209,'Hist. prices'!$C$164:$C$238,0),MATCH(W$1124,'Hist. prices'!$I$5:$AB$5,0))</f>
        <v>0</v>
      </c>
      <c r="X1209" s="218">
        <f>INDEX('Hist. prices'!$I$164:$AB$238,MATCH($C1209,'Hist. prices'!$C$164:$C$238,0),MATCH(X$1124,'Hist. prices'!$I$5:$AB$5,0))</f>
        <v>0</v>
      </c>
      <c r="Y1209" s="218">
        <f>INDEX('Hist. prices'!$I$164:$AB$238,MATCH($C1209,'Hist. prices'!$C$164:$C$238,0),MATCH(Y$1124,'Hist. prices'!$I$5:$AB$5,0))</f>
        <v>0</v>
      </c>
      <c r="Z1209" s="218">
        <f>INDEX('Hist. prices'!$I$164:$AB$238,MATCH($C1209,'Hist. prices'!$C$164:$C$238,0),MATCH(Z$1124,'Hist. prices'!$I$5:$AB$5,0))</f>
        <v>0</v>
      </c>
      <c r="AA1209" s="218">
        <f>INDEX('Hist. prices'!$I$164:$AB$238,MATCH($C1209,'Hist. prices'!$C$164:$C$238,0),MATCH(AA$1124,'Hist. prices'!$I$5:$AB$5,0))</f>
        <v>0</v>
      </c>
      <c r="AB1209" s="218">
        <f>INDEX('Hist. prices'!$I$164:$AB$238,MATCH($C1209,'Hist. prices'!$C$164:$C$238,0),MATCH(AB$1124,'Hist. prices'!$I$5:$AB$5,0))</f>
        <v>0</v>
      </c>
      <c r="AC1209" s="187"/>
      <c r="AD1209" s="19"/>
      <c r="AE1209" s="19"/>
      <c r="AF1209" s="19"/>
      <c r="AG1209" s="19"/>
    </row>
    <row r="1210" spans="1:33" hidden="1" outlineLevel="3" x14ac:dyDescent="0.2">
      <c r="A1210" s="19"/>
      <c r="B1210" s="19"/>
      <c r="C1210" s="506">
        <f t="shared" si="218"/>
        <v>0</v>
      </c>
      <c r="D1210" s="505">
        <f t="shared" si="218"/>
        <v>0</v>
      </c>
      <c r="E1210" s="58"/>
      <c r="F1210" s="223"/>
      <c r="G1210" s="58"/>
      <c r="H1210" s="58"/>
      <c r="I1210" s="218">
        <f>INDEX('Hist. prices'!$I$164:$AB$238,MATCH($C1210,'Hist. prices'!$C$164:$C$238,0),MATCH(I$1124,'Hist. prices'!$I$5:$AB$5,0))</f>
        <v>0</v>
      </c>
      <c r="J1210" s="218">
        <f>INDEX('Hist. prices'!$I$164:$AB$238,MATCH($C1210,'Hist. prices'!$C$164:$C$238,0),MATCH(J$1124,'Hist. prices'!$I$5:$AB$5,0))</f>
        <v>0</v>
      </c>
      <c r="K1210" s="218">
        <f>INDEX('Hist. prices'!$I$164:$AB$238,MATCH($C1210,'Hist. prices'!$C$164:$C$238,0),MATCH(K$1124,'Hist. prices'!$I$5:$AB$5,0))</f>
        <v>0</v>
      </c>
      <c r="L1210" s="218">
        <f>INDEX('Hist. prices'!$I$164:$AB$238,MATCH($C1210,'Hist. prices'!$C$164:$C$238,0),MATCH(L$1124,'Hist. prices'!$I$5:$AB$5,0))</f>
        <v>0</v>
      </c>
      <c r="M1210" s="218">
        <f>INDEX('Hist. prices'!$I$164:$AB$238,MATCH($C1210,'Hist. prices'!$C$164:$C$238,0),MATCH(M$1124,'Hist. prices'!$I$5:$AB$5,0))</f>
        <v>0</v>
      </c>
      <c r="N1210" s="218">
        <f>INDEX('Hist. prices'!$I$164:$AB$238,MATCH($C1210,'Hist. prices'!$C$164:$C$238,0),MATCH(N$1124,'Hist. prices'!$I$5:$AB$5,0))</f>
        <v>0</v>
      </c>
      <c r="O1210" s="218">
        <f>INDEX('Hist. prices'!$I$164:$AB$238,MATCH($C1210,'Hist. prices'!$C$164:$C$238,0),MATCH(O$1124,'Hist. prices'!$I$5:$AB$5,0))</f>
        <v>0</v>
      </c>
      <c r="P1210" s="218">
        <f>INDEX('Hist. prices'!$I$164:$AB$238,MATCH($C1210,'Hist. prices'!$C$164:$C$238,0),MATCH(P$1124,'Hist. prices'!$I$5:$AB$5,0))</f>
        <v>0</v>
      </c>
      <c r="Q1210" s="218">
        <f>INDEX('Hist. prices'!$I$164:$AB$238,MATCH($C1210,'Hist. prices'!$C$164:$C$238,0),MATCH(Q$1124,'Hist. prices'!$I$5:$AB$5,0))</f>
        <v>0</v>
      </c>
      <c r="R1210" s="218">
        <f>INDEX('Hist. prices'!$I$164:$AB$238,MATCH($C1210,'Hist. prices'!$C$164:$C$238,0),MATCH(R$1124,'Hist. prices'!$I$5:$AB$5,0))</f>
        <v>0</v>
      </c>
      <c r="S1210" s="218">
        <f>INDEX('Hist. prices'!$I$164:$AB$238,MATCH($C1210,'Hist. prices'!$C$164:$C$238,0),MATCH(S$1124,'Hist. prices'!$I$5:$AB$5,0))</f>
        <v>0</v>
      </c>
      <c r="T1210" s="218">
        <f>INDEX('Hist. prices'!$I$164:$AB$238,MATCH($C1210,'Hist. prices'!$C$164:$C$238,0),MATCH(T$1124,'Hist. prices'!$I$5:$AB$5,0))</f>
        <v>0</v>
      </c>
      <c r="U1210" s="218">
        <f>INDEX('Hist. prices'!$I$164:$AB$238,MATCH($C1210,'Hist. prices'!$C$164:$C$238,0),MATCH(U$1124,'Hist. prices'!$I$5:$AB$5,0))</f>
        <v>0</v>
      </c>
      <c r="V1210" s="218">
        <f>INDEX('Hist. prices'!$I$164:$AB$238,MATCH($C1210,'Hist. prices'!$C$164:$C$238,0),MATCH(V$1124,'Hist. prices'!$I$5:$AB$5,0))</f>
        <v>0</v>
      </c>
      <c r="W1210" s="218">
        <f>INDEX('Hist. prices'!$I$164:$AB$238,MATCH($C1210,'Hist. prices'!$C$164:$C$238,0),MATCH(W$1124,'Hist. prices'!$I$5:$AB$5,0))</f>
        <v>0</v>
      </c>
      <c r="X1210" s="218">
        <f>INDEX('Hist. prices'!$I$164:$AB$238,MATCH($C1210,'Hist. prices'!$C$164:$C$238,0),MATCH(X$1124,'Hist. prices'!$I$5:$AB$5,0))</f>
        <v>0</v>
      </c>
      <c r="Y1210" s="218">
        <f>INDEX('Hist. prices'!$I$164:$AB$238,MATCH($C1210,'Hist. prices'!$C$164:$C$238,0),MATCH(Y$1124,'Hist. prices'!$I$5:$AB$5,0))</f>
        <v>0</v>
      </c>
      <c r="Z1210" s="218">
        <f>INDEX('Hist. prices'!$I$164:$AB$238,MATCH($C1210,'Hist. prices'!$C$164:$C$238,0),MATCH(Z$1124,'Hist. prices'!$I$5:$AB$5,0))</f>
        <v>0</v>
      </c>
      <c r="AA1210" s="218">
        <f>INDEX('Hist. prices'!$I$164:$AB$238,MATCH($C1210,'Hist. prices'!$C$164:$C$238,0),MATCH(AA$1124,'Hist. prices'!$I$5:$AB$5,0))</f>
        <v>0</v>
      </c>
      <c r="AB1210" s="218">
        <f>INDEX('Hist. prices'!$I$164:$AB$238,MATCH($C1210,'Hist. prices'!$C$164:$C$238,0),MATCH(AB$1124,'Hist. prices'!$I$5:$AB$5,0))</f>
        <v>0</v>
      </c>
      <c r="AC1210" s="187"/>
      <c r="AD1210" s="19"/>
      <c r="AE1210" s="19"/>
      <c r="AF1210" s="19"/>
      <c r="AG1210" s="19"/>
    </row>
    <row r="1211" spans="1:33" hidden="1" outlineLevel="3" x14ac:dyDescent="0.2">
      <c r="A1211" s="19"/>
      <c r="B1211" s="19"/>
      <c r="C1211" s="506">
        <f t="shared" si="218"/>
        <v>0</v>
      </c>
      <c r="D1211" s="505">
        <f t="shared" si="218"/>
        <v>0</v>
      </c>
      <c r="E1211" s="58"/>
      <c r="F1211" s="223"/>
      <c r="G1211" s="58"/>
      <c r="H1211" s="58"/>
      <c r="I1211" s="218">
        <f>INDEX('Hist. prices'!$I$164:$AB$238,MATCH($C1211,'Hist. prices'!$C$164:$C$238,0),MATCH(I$1124,'Hist. prices'!$I$5:$AB$5,0))</f>
        <v>0</v>
      </c>
      <c r="J1211" s="218">
        <f>INDEX('Hist. prices'!$I$164:$AB$238,MATCH($C1211,'Hist. prices'!$C$164:$C$238,0),MATCH(J$1124,'Hist. prices'!$I$5:$AB$5,0))</f>
        <v>0</v>
      </c>
      <c r="K1211" s="218">
        <f>INDEX('Hist. prices'!$I$164:$AB$238,MATCH($C1211,'Hist. prices'!$C$164:$C$238,0),MATCH(K$1124,'Hist. prices'!$I$5:$AB$5,0))</f>
        <v>0</v>
      </c>
      <c r="L1211" s="218">
        <f>INDEX('Hist. prices'!$I$164:$AB$238,MATCH($C1211,'Hist. prices'!$C$164:$C$238,0),MATCH(L$1124,'Hist. prices'!$I$5:$AB$5,0))</f>
        <v>0</v>
      </c>
      <c r="M1211" s="218">
        <f>INDEX('Hist. prices'!$I$164:$AB$238,MATCH($C1211,'Hist. prices'!$C$164:$C$238,0),MATCH(M$1124,'Hist. prices'!$I$5:$AB$5,0))</f>
        <v>0</v>
      </c>
      <c r="N1211" s="218">
        <f>INDEX('Hist. prices'!$I$164:$AB$238,MATCH($C1211,'Hist. prices'!$C$164:$C$238,0),MATCH(N$1124,'Hist. prices'!$I$5:$AB$5,0))</f>
        <v>0</v>
      </c>
      <c r="O1211" s="218">
        <f>INDEX('Hist. prices'!$I$164:$AB$238,MATCH($C1211,'Hist. prices'!$C$164:$C$238,0),MATCH(O$1124,'Hist. prices'!$I$5:$AB$5,0))</f>
        <v>0</v>
      </c>
      <c r="P1211" s="218">
        <f>INDEX('Hist. prices'!$I$164:$AB$238,MATCH($C1211,'Hist. prices'!$C$164:$C$238,0),MATCH(P$1124,'Hist. prices'!$I$5:$AB$5,0))</f>
        <v>0</v>
      </c>
      <c r="Q1211" s="218">
        <f>INDEX('Hist. prices'!$I$164:$AB$238,MATCH($C1211,'Hist. prices'!$C$164:$C$238,0),MATCH(Q$1124,'Hist. prices'!$I$5:$AB$5,0))</f>
        <v>0</v>
      </c>
      <c r="R1211" s="218">
        <f>INDEX('Hist. prices'!$I$164:$AB$238,MATCH($C1211,'Hist. prices'!$C$164:$C$238,0),MATCH(R$1124,'Hist. prices'!$I$5:$AB$5,0))</f>
        <v>0</v>
      </c>
      <c r="S1211" s="218">
        <f>INDEX('Hist. prices'!$I$164:$AB$238,MATCH($C1211,'Hist. prices'!$C$164:$C$238,0),MATCH(S$1124,'Hist. prices'!$I$5:$AB$5,0))</f>
        <v>0</v>
      </c>
      <c r="T1211" s="218">
        <f>INDEX('Hist. prices'!$I$164:$AB$238,MATCH($C1211,'Hist. prices'!$C$164:$C$238,0),MATCH(T$1124,'Hist. prices'!$I$5:$AB$5,0))</f>
        <v>0</v>
      </c>
      <c r="U1211" s="218">
        <f>INDEX('Hist. prices'!$I$164:$AB$238,MATCH($C1211,'Hist. prices'!$C$164:$C$238,0),MATCH(U$1124,'Hist. prices'!$I$5:$AB$5,0))</f>
        <v>0</v>
      </c>
      <c r="V1211" s="218">
        <f>INDEX('Hist. prices'!$I$164:$AB$238,MATCH($C1211,'Hist. prices'!$C$164:$C$238,0),MATCH(V$1124,'Hist. prices'!$I$5:$AB$5,0))</f>
        <v>0</v>
      </c>
      <c r="W1211" s="218">
        <f>INDEX('Hist. prices'!$I$164:$AB$238,MATCH($C1211,'Hist. prices'!$C$164:$C$238,0),MATCH(W$1124,'Hist. prices'!$I$5:$AB$5,0))</f>
        <v>0</v>
      </c>
      <c r="X1211" s="218">
        <f>INDEX('Hist. prices'!$I$164:$AB$238,MATCH($C1211,'Hist. prices'!$C$164:$C$238,0),MATCH(X$1124,'Hist. prices'!$I$5:$AB$5,0))</f>
        <v>0</v>
      </c>
      <c r="Y1211" s="218">
        <f>INDEX('Hist. prices'!$I$164:$AB$238,MATCH($C1211,'Hist. prices'!$C$164:$C$238,0),MATCH(Y$1124,'Hist. prices'!$I$5:$AB$5,0))</f>
        <v>0</v>
      </c>
      <c r="Z1211" s="218">
        <f>INDEX('Hist. prices'!$I$164:$AB$238,MATCH($C1211,'Hist. prices'!$C$164:$C$238,0),MATCH(Z$1124,'Hist. prices'!$I$5:$AB$5,0))</f>
        <v>0</v>
      </c>
      <c r="AA1211" s="218">
        <f>INDEX('Hist. prices'!$I$164:$AB$238,MATCH($C1211,'Hist. prices'!$C$164:$C$238,0),MATCH(AA$1124,'Hist. prices'!$I$5:$AB$5,0))</f>
        <v>0</v>
      </c>
      <c r="AB1211" s="218">
        <f>INDEX('Hist. prices'!$I$164:$AB$238,MATCH($C1211,'Hist. prices'!$C$164:$C$238,0),MATCH(AB$1124,'Hist. prices'!$I$5:$AB$5,0))</f>
        <v>0</v>
      </c>
      <c r="AC1211" s="187"/>
      <c r="AD1211" s="19"/>
      <c r="AE1211" s="19"/>
      <c r="AF1211" s="19"/>
      <c r="AG1211" s="19"/>
    </row>
    <row r="1212" spans="1:33" hidden="1" outlineLevel="3" x14ac:dyDescent="0.2">
      <c r="A1212" s="19"/>
      <c r="B1212" s="19"/>
      <c r="C1212" s="506">
        <f t="shared" si="218"/>
        <v>0</v>
      </c>
      <c r="D1212" s="505">
        <f t="shared" si="218"/>
        <v>0</v>
      </c>
      <c r="E1212" s="58"/>
      <c r="F1212" s="223"/>
      <c r="G1212" s="58"/>
      <c r="H1212" s="58"/>
      <c r="I1212" s="218">
        <f>INDEX('Hist. prices'!$I$164:$AB$238,MATCH($C1212,'Hist. prices'!$C$164:$C$238,0),MATCH(I$1124,'Hist. prices'!$I$5:$AB$5,0))</f>
        <v>0</v>
      </c>
      <c r="J1212" s="218">
        <f>INDEX('Hist. prices'!$I$164:$AB$238,MATCH($C1212,'Hist. prices'!$C$164:$C$238,0),MATCH(J$1124,'Hist. prices'!$I$5:$AB$5,0))</f>
        <v>0</v>
      </c>
      <c r="K1212" s="218">
        <f>INDEX('Hist. prices'!$I$164:$AB$238,MATCH($C1212,'Hist. prices'!$C$164:$C$238,0),MATCH(K$1124,'Hist. prices'!$I$5:$AB$5,0))</f>
        <v>0</v>
      </c>
      <c r="L1212" s="218">
        <f>INDEX('Hist. prices'!$I$164:$AB$238,MATCH($C1212,'Hist. prices'!$C$164:$C$238,0),MATCH(L$1124,'Hist. prices'!$I$5:$AB$5,0))</f>
        <v>0</v>
      </c>
      <c r="M1212" s="218">
        <f>INDEX('Hist. prices'!$I$164:$AB$238,MATCH($C1212,'Hist. prices'!$C$164:$C$238,0),MATCH(M$1124,'Hist. prices'!$I$5:$AB$5,0))</f>
        <v>0</v>
      </c>
      <c r="N1212" s="218">
        <f>INDEX('Hist. prices'!$I$164:$AB$238,MATCH($C1212,'Hist. prices'!$C$164:$C$238,0),MATCH(N$1124,'Hist. prices'!$I$5:$AB$5,0))</f>
        <v>0</v>
      </c>
      <c r="O1212" s="218">
        <f>INDEX('Hist. prices'!$I$164:$AB$238,MATCH($C1212,'Hist. prices'!$C$164:$C$238,0),MATCH(O$1124,'Hist. prices'!$I$5:$AB$5,0))</f>
        <v>0</v>
      </c>
      <c r="P1212" s="218">
        <f>INDEX('Hist. prices'!$I$164:$AB$238,MATCH($C1212,'Hist. prices'!$C$164:$C$238,0),MATCH(P$1124,'Hist. prices'!$I$5:$AB$5,0))</f>
        <v>0</v>
      </c>
      <c r="Q1212" s="218">
        <f>INDEX('Hist. prices'!$I$164:$AB$238,MATCH($C1212,'Hist. prices'!$C$164:$C$238,0),MATCH(Q$1124,'Hist. prices'!$I$5:$AB$5,0))</f>
        <v>0</v>
      </c>
      <c r="R1212" s="218">
        <f>INDEX('Hist. prices'!$I$164:$AB$238,MATCH($C1212,'Hist. prices'!$C$164:$C$238,0),MATCH(R$1124,'Hist. prices'!$I$5:$AB$5,0))</f>
        <v>0</v>
      </c>
      <c r="S1212" s="218">
        <f>INDEX('Hist. prices'!$I$164:$AB$238,MATCH($C1212,'Hist. prices'!$C$164:$C$238,0),MATCH(S$1124,'Hist. prices'!$I$5:$AB$5,0))</f>
        <v>0</v>
      </c>
      <c r="T1212" s="218">
        <f>INDEX('Hist. prices'!$I$164:$AB$238,MATCH($C1212,'Hist. prices'!$C$164:$C$238,0),MATCH(T$1124,'Hist. prices'!$I$5:$AB$5,0))</f>
        <v>0</v>
      </c>
      <c r="U1212" s="218">
        <f>INDEX('Hist. prices'!$I$164:$AB$238,MATCH($C1212,'Hist. prices'!$C$164:$C$238,0),MATCH(U$1124,'Hist. prices'!$I$5:$AB$5,0))</f>
        <v>0</v>
      </c>
      <c r="V1212" s="218">
        <f>INDEX('Hist. prices'!$I$164:$AB$238,MATCH($C1212,'Hist. prices'!$C$164:$C$238,0),MATCH(V$1124,'Hist. prices'!$I$5:$AB$5,0))</f>
        <v>0</v>
      </c>
      <c r="W1212" s="218">
        <f>INDEX('Hist. prices'!$I$164:$AB$238,MATCH($C1212,'Hist. prices'!$C$164:$C$238,0),MATCH(W$1124,'Hist. prices'!$I$5:$AB$5,0))</f>
        <v>0</v>
      </c>
      <c r="X1212" s="218">
        <f>INDEX('Hist. prices'!$I$164:$AB$238,MATCH($C1212,'Hist. prices'!$C$164:$C$238,0),MATCH(X$1124,'Hist. prices'!$I$5:$AB$5,0))</f>
        <v>0</v>
      </c>
      <c r="Y1212" s="218">
        <f>INDEX('Hist. prices'!$I$164:$AB$238,MATCH($C1212,'Hist. prices'!$C$164:$C$238,0),MATCH(Y$1124,'Hist. prices'!$I$5:$AB$5,0))</f>
        <v>0</v>
      </c>
      <c r="Z1212" s="218">
        <f>INDEX('Hist. prices'!$I$164:$AB$238,MATCH($C1212,'Hist. prices'!$C$164:$C$238,0),MATCH(Z$1124,'Hist. prices'!$I$5:$AB$5,0))</f>
        <v>0</v>
      </c>
      <c r="AA1212" s="218">
        <f>INDEX('Hist. prices'!$I$164:$AB$238,MATCH($C1212,'Hist. prices'!$C$164:$C$238,0),MATCH(AA$1124,'Hist. prices'!$I$5:$AB$5,0))</f>
        <v>0</v>
      </c>
      <c r="AB1212" s="218">
        <f>INDEX('Hist. prices'!$I$164:$AB$238,MATCH($C1212,'Hist. prices'!$C$164:$C$238,0),MATCH(AB$1124,'Hist. prices'!$I$5:$AB$5,0))</f>
        <v>0</v>
      </c>
      <c r="AC1212" s="187"/>
      <c r="AD1212" s="19"/>
      <c r="AE1212" s="19"/>
      <c r="AF1212" s="19"/>
      <c r="AG1212" s="19"/>
    </row>
    <row r="1213" spans="1:33" hidden="1" outlineLevel="3" x14ac:dyDescent="0.2">
      <c r="A1213" s="19"/>
      <c r="B1213" s="19"/>
      <c r="C1213" s="506">
        <f t="shared" si="218"/>
        <v>0</v>
      </c>
      <c r="D1213" s="505">
        <f t="shared" si="218"/>
        <v>0</v>
      </c>
      <c r="E1213" s="58"/>
      <c r="F1213" s="223"/>
      <c r="G1213" s="58"/>
      <c r="H1213" s="58"/>
      <c r="I1213" s="218">
        <f>INDEX('Hist. prices'!$I$164:$AB$238,MATCH($C1213,'Hist. prices'!$C$164:$C$238,0),MATCH(I$1124,'Hist. prices'!$I$5:$AB$5,0))</f>
        <v>0</v>
      </c>
      <c r="J1213" s="218">
        <f>INDEX('Hist. prices'!$I$164:$AB$238,MATCH($C1213,'Hist. prices'!$C$164:$C$238,0),MATCH(J$1124,'Hist. prices'!$I$5:$AB$5,0))</f>
        <v>0</v>
      </c>
      <c r="K1213" s="218">
        <f>INDEX('Hist. prices'!$I$164:$AB$238,MATCH($C1213,'Hist. prices'!$C$164:$C$238,0),MATCH(K$1124,'Hist. prices'!$I$5:$AB$5,0))</f>
        <v>0</v>
      </c>
      <c r="L1213" s="218">
        <f>INDEX('Hist. prices'!$I$164:$AB$238,MATCH($C1213,'Hist. prices'!$C$164:$C$238,0),MATCH(L$1124,'Hist. prices'!$I$5:$AB$5,0))</f>
        <v>0</v>
      </c>
      <c r="M1213" s="218">
        <f>INDEX('Hist. prices'!$I$164:$AB$238,MATCH($C1213,'Hist. prices'!$C$164:$C$238,0),MATCH(M$1124,'Hist. prices'!$I$5:$AB$5,0))</f>
        <v>0</v>
      </c>
      <c r="N1213" s="218">
        <f>INDEX('Hist. prices'!$I$164:$AB$238,MATCH($C1213,'Hist. prices'!$C$164:$C$238,0),MATCH(N$1124,'Hist. prices'!$I$5:$AB$5,0))</f>
        <v>0</v>
      </c>
      <c r="O1213" s="218">
        <f>INDEX('Hist. prices'!$I$164:$AB$238,MATCH($C1213,'Hist. prices'!$C$164:$C$238,0),MATCH(O$1124,'Hist. prices'!$I$5:$AB$5,0))</f>
        <v>0</v>
      </c>
      <c r="P1213" s="218">
        <f>INDEX('Hist. prices'!$I$164:$AB$238,MATCH($C1213,'Hist. prices'!$C$164:$C$238,0),MATCH(P$1124,'Hist. prices'!$I$5:$AB$5,0))</f>
        <v>0</v>
      </c>
      <c r="Q1213" s="218">
        <f>INDEX('Hist. prices'!$I$164:$AB$238,MATCH($C1213,'Hist. prices'!$C$164:$C$238,0),MATCH(Q$1124,'Hist. prices'!$I$5:$AB$5,0))</f>
        <v>0</v>
      </c>
      <c r="R1213" s="218">
        <f>INDEX('Hist. prices'!$I$164:$AB$238,MATCH($C1213,'Hist. prices'!$C$164:$C$238,0),MATCH(R$1124,'Hist. prices'!$I$5:$AB$5,0))</f>
        <v>0</v>
      </c>
      <c r="S1213" s="218">
        <f>INDEX('Hist. prices'!$I$164:$AB$238,MATCH($C1213,'Hist. prices'!$C$164:$C$238,0),MATCH(S$1124,'Hist. prices'!$I$5:$AB$5,0))</f>
        <v>0</v>
      </c>
      <c r="T1213" s="218">
        <f>INDEX('Hist. prices'!$I$164:$AB$238,MATCH($C1213,'Hist. prices'!$C$164:$C$238,0),MATCH(T$1124,'Hist. prices'!$I$5:$AB$5,0))</f>
        <v>0</v>
      </c>
      <c r="U1213" s="218">
        <f>INDEX('Hist. prices'!$I$164:$AB$238,MATCH($C1213,'Hist. prices'!$C$164:$C$238,0),MATCH(U$1124,'Hist. prices'!$I$5:$AB$5,0))</f>
        <v>0</v>
      </c>
      <c r="V1213" s="218">
        <f>INDEX('Hist. prices'!$I$164:$AB$238,MATCH($C1213,'Hist. prices'!$C$164:$C$238,0),MATCH(V$1124,'Hist. prices'!$I$5:$AB$5,0))</f>
        <v>0</v>
      </c>
      <c r="W1213" s="218">
        <f>INDEX('Hist. prices'!$I$164:$AB$238,MATCH($C1213,'Hist. prices'!$C$164:$C$238,0),MATCH(W$1124,'Hist. prices'!$I$5:$AB$5,0))</f>
        <v>0</v>
      </c>
      <c r="X1213" s="218">
        <f>INDEX('Hist. prices'!$I$164:$AB$238,MATCH($C1213,'Hist. prices'!$C$164:$C$238,0),MATCH(X$1124,'Hist. prices'!$I$5:$AB$5,0))</f>
        <v>0</v>
      </c>
      <c r="Y1213" s="218">
        <f>INDEX('Hist. prices'!$I$164:$AB$238,MATCH($C1213,'Hist. prices'!$C$164:$C$238,0),MATCH(Y$1124,'Hist. prices'!$I$5:$AB$5,0))</f>
        <v>0</v>
      </c>
      <c r="Z1213" s="218">
        <f>INDEX('Hist. prices'!$I$164:$AB$238,MATCH($C1213,'Hist. prices'!$C$164:$C$238,0),MATCH(Z$1124,'Hist. prices'!$I$5:$AB$5,0))</f>
        <v>0</v>
      </c>
      <c r="AA1213" s="218">
        <f>INDEX('Hist. prices'!$I$164:$AB$238,MATCH($C1213,'Hist. prices'!$C$164:$C$238,0),MATCH(AA$1124,'Hist. prices'!$I$5:$AB$5,0))</f>
        <v>0</v>
      </c>
      <c r="AB1213" s="218">
        <f>INDEX('Hist. prices'!$I$164:$AB$238,MATCH($C1213,'Hist. prices'!$C$164:$C$238,0),MATCH(AB$1124,'Hist. prices'!$I$5:$AB$5,0))</f>
        <v>0</v>
      </c>
      <c r="AC1213" s="187"/>
      <c r="AD1213" s="19"/>
      <c r="AE1213" s="19"/>
      <c r="AF1213" s="19"/>
      <c r="AG1213" s="19"/>
    </row>
    <row r="1214" spans="1:33" hidden="1" outlineLevel="3" x14ac:dyDescent="0.2">
      <c r="A1214" s="19"/>
      <c r="B1214" s="19"/>
      <c r="C1214" s="506">
        <f t="shared" si="218"/>
        <v>0</v>
      </c>
      <c r="D1214" s="505">
        <f t="shared" si="218"/>
        <v>0</v>
      </c>
      <c r="E1214" s="58"/>
      <c r="F1214" s="223"/>
      <c r="G1214" s="58"/>
      <c r="H1214" s="58"/>
      <c r="I1214" s="218">
        <f>INDEX('Hist. prices'!$I$164:$AB$238,MATCH($C1214,'Hist. prices'!$C$164:$C$238,0),MATCH(I$1124,'Hist. prices'!$I$5:$AB$5,0))</f>
        <v>0</v>
      </c>
      <c r="J1214" s="218">
        <f>INDEX('Hist. prices'!$I$164:$AB$238,MATCH($C1214,'Hist. prices'!$C$164:$C$238,0),MATCH(J$1124,'Hist. prices'!$I$5:$AB$5,0))</f>
        <v>0</v>
      </c>
      <c r="K1214" s="218">
        <f>INDEX('Hist. prices'!$I$164:$AB$238,MATCH($C1214,'Hist. prices'!$C$164:$C$238,0),MATCH(K$1124,'Hist. prices'!$I$5:$AB$5,0))</f>
        <v>0</v>
      </c>
      <c r="L1214" s="218">
        <f>INDEX('Hist. prices'!$I$164:$AB$238,MATCH($C1214,'Hist. prices'!$C$164:$C$238,0),MATCH(L$1124,'Hist. prices'!$I$5:$AB$5,0))</f>
        <v>0</v>
      </c>
      <c r="M1214" s="218">
        <f>INDEX('Hist. prices'!$I$164:$AB$238,MATCH($C1214,'Hist. prices'!$C$164:$C$238,0),MATCH(M$1124,'Hist. prices'!$I$5:$AB$5,0))</f>
        <v>0</v>
      </c>
      <c r="N1214" s="218">
        <f>INDEX('Hist. prices'!$I$164:$AB$238,MATCH($C1214,'Hist. prices'!$C$164:$C$238,0),MATCH(N$1124,'Hist. prices'!$I$5:$AB$5,0))</f>
        <v>0</v>
      </c>
      <c r="O1214" s="218">
        <f>INDEX('Hist. prices'!$I$164:$AB$238,MATCH($C1214,'Hist. prices'!$C$164:$C$238,0),MATCH(O$1124,'Hist. prices'!$I$5:$AB$5,0))</f>
        <v>0</v>
      </c>
      <c r="P1214" s="218">
        <f>INDEX('Hist. prices'!$I$164:$AB$238,MATCH($C1214,'Hist. prices'!$C$164:$C$238,0),MATCH(P$1124,'Hist. prices'!$I$5:$AB$5,0))</f>
        <v>0</v>
      </c>
      <c r="Q1214" s="218">
        <f>INDEX('Hist. prices'!$I$164:$AB$238,MATCH($C1214,'Hist. prices'!$C$164:$C$238,0),MATCH(Q$1124,'Hist. prices'!$I$5:$AB$5,0))</f>
        <v>0</v>
      </c>
      <c r="R1214" s="218">
        <f>INDEX('Hist. prices'!$I$164:$AB$238,MATCH($C1214,'Hist. prices'!$C$164:$C$238,0),MATCH(R$1124,'Hist. prices'!$I$5:$AB$5,0))</f>
        <v>0</v>
      </c>
      <c r="S1214" s="218">
        <f>INDEX('Hist. prices'!$I$164:$AB$238,MATCH($C1214,'Hist. prices'!$C$164:$C$238,0),MATCH(S$1124,'Hist. prices'!$I$5:$AB$5,0))</f>
        <v>0</v>
      </c>
      <c r="T1214" s="218">
        <f>INDEX('Hist. prices'!$I$164:$AB$238,MATCH($C1214,'Hist. prices'!$C$164:$C$238,0),MATCH(T$1124,'Hist. prices'!$I$5:$AB$5,0))</f>
        <v>0</v>
      </c>
      <c r="U1214" s="218">
        <f>INDEX('Hist. prices'!$I$164:$AB$238,MATCH($C1214,'Hist. prices'!$C$164:$C$238,0),MATCH(U$1124,'Hist. prices'!$I$5:$AB$5,0))</f>
        <v>0</v>
      </c>
      <c r="V1214" s="218">
        <f>INDEX('Hist. prices'!$I$164:$AB$238,MATCH($C1214,'Hist. prices'!$C$164:$C$238,0),MATCH(V$1124,'Hist. prices'!$I$5:$AB$5,0))</f>
        <v>0</v>
      </c>
      <c r="W1214" s="218">
        <f>INDEX('Hist. prices'!$I$164:$AB$238,MATCH($C1214,'Hist. prices'!$C$164:$C$238,0),MATCH(W$1124,'Hist. prices'!$I$5:$AB$5,0))</f>
        <v>0</v>
      </c>
      <c r="X1214" s="218">
        <f>INDEX('Hist. prices'!$I$164:$AB$238,MATCH($C1214,'Hist. prices'!$C$164:$C$238,0),MATCH(X$1124,'Hist. prices'!$I$5:$AB$5,0))</f>
        <v>0</v>
      </c>
      <c r="Y1214" s="218">
        <f>INDEX('Hist. prices'!$I$164:$AB$238,MATCH($C1214,'Hist. prices'!$C$164:$C$238,0),MATCH(Y$1124,'Hist. prices'!$I$5:$AB$5,0))</f>
        <v>0</v>
      </c>
      <c r="Z1214" s="218">
        <f>INDEX('Hist. prices'!$I$164:$AB$238,MATCH($C1214,'Hist. prices'!$C$164:$C$238,0),MATCH(Z$1124,'Hist. prices'!$I$5:$AB$5,0))</f>
        <v>0</v>
      </c>
      <c r="AA1214" s="218">
        <f>INDEX('Hist. prices'!$I$164:$AB$238,MATCH($C1214,'Hist. prices'!$C$164:$C$238,0),MATCH(AA$1124,'Hist. prices'!$I$5:$AB$5,0))</f>
        <v>0</v>
      </c>
      <c r="AB1214" s="218">
        <f>INDEX('Hist. prices'!$I$164:$AB$238,MATCH($C1214,'Hist. prices'!$C$164:$C$238,0),MATCH(AB$1124,'Hist. prices'!$I$5:$AB$5,0))</f>
        <v>0</v>
      </c>
      <c r="AC1214" s="187"/>
      <c r="AD1214" s="19"/>
      <c r="AE1214" s="19"/>
      <c r="AF1214" s="19"/>
      <c r="AG1214" s="19"/>
    </row>
    <row r="1215" spans="1:33" hidden="1" outlineLevel="3" x14ac:dyDescent="0.2">
      <c r="A1215" s="19"/>
      <c r="B1215" s="19"/>
      <c r="C1215" s="506">
        <f t="shared" si="218"/>
        <v>0</v>
      </c>
      <c r="D1215" s="505">
        <f t="shared" si="218"/>
        <v>0</v>
      </c>
      <c r="E1215" s="58"/>
      <c r="F1215" s="223"/>
      <c r="G1215" s="58"/>
      <c r="H1215" s="58"/>
      <c r="I1215" s="218">
        <f>INDEX('Hist. prices'!$I$164:$AB$238,MATCH($C1215,'Hist. prices'!$C$164:$C$238,0),MATCH(I$1124,'Hist. prices'!$I$5:$AB$5,0))</f>
        <v>0</v>
      </c>
      <c r="J1215" s="218">
        <f>INDEX('Hist. prices'!$I$164:$AB$238,MATCH($C1215,'Hist. prices'!$C$164:$C$238,0),MATCH(J$1124,'Hist. prices'!$I$5:$AB$5,0))</f>
        <v>0</v>
      </c>
      <c r="K1215" s="218">
        <f>INDEX('Hist. prices'!$I$164:$AB$238,MATCH($C1215,'Hist. prices'!$C$164:$C$238,0),MATCH(K$1124,'Hist. prices'!$I$5:$AB$5,0))</f>
        <v>0</v>
      </c>
      <c r="L1215" s="218">
        <f>INDEX('Hist. prices'!$I$164:$AB$238,MATCH($C1215,'Hist. prices'!$C$164:$C$238,0),MATCH(L$1124,'Hist. prices'!$I$5:$AB$5,0))</f>
        <v>0</v>
      </c>
      <c r="M1215" s="218">
        <f>INDEX('Hist. prices'!$I$164:$AB$238,MATCH($C1215,'Hist. prices'!$C$164:$C$238,0),MATCH(M$1124,'Hist. prices'!$I$5:$AB$5,0))</f>
        <v>0</v>
      </c>
      <c r="N1215" s="218">
        <f>INDEX('Hist. prices'!$I$164:$AB$238,MATCH($C1215,'Hist. prices'!$C$164:$C$238,0),MATCH(N$1124,'Hist. prices'!$I$5:$AB$5,0))</f>
        <v>0</v>
      </c>
      <c r="O1215" s="218">
        <f>INDEX('Hist. prices'!$I$164:$AB$238,MATCH($C1215,'Hist. prices'!$C$164:$C$238,0),MATCH(O$1124,'Hist. prices'!$I$5:$AB$5,0))</f>
        <v>0</v>
      </c>
      <c r="P1215" s="218">
        <f>INDEX('Hist. prices'!$I$164:$AB$238,MATCH($C1215,'Hist. prices'!$C$164:$C$238,0),MATCH(P$1124,'Hist. prices'!$I$5:$AB$5,0))</f>
        <v>0</v>
      </c>
      <c r="Q1215" s="218">
        <f>INDEX('Hist. prices'!$I$164:$AB$238,MATCH($C1215,'Hist. prices'!$C$164:$C$238,0),MATCH(Q$1124,'Hist. prices'!$I$5:$AB$5,0))</f>
        <v>0</v>
      </c>
      <c r="R1215" s="218">
        <f>INDEX('Hist. prices'!$I$164:$AB$238,MATCH($C1215,'Hist. prices'!$C$164:$C$238,0),MATCH(R$1124,'Hist. prices'!$I$5:$AB$5,0))</f>
        <v>0</v>
      </c>
      <c r="S1215" s="218">
        <f>INDEX('Hist. prices'!$I$164:$AB$238,MATCH($C1215,'Hist. prices'!$C$164:$C$238,0),MATCH(S$1124,'Hist. prices'!$I$5:$AB$5,0))</f>
        <v>0</v>
      </c>
      <c r="T1215" s="218">
        <f>INDEX('Hist. prices'!$I$164:$AB$238,MATCH($C1215,'Hist. prices'!$C$164:$C$238,0),MATCH(T$1124,'Hist. prices'!$I$5:$AB$5,0))</f>
        <v>0</v>
      </c>
      <c r="U1215" s="218">
        <f>INDEX('Hist. prices'!$I$164:$AB$238,MATCH($C1215,'Hist. prices'!$C$164:$C$238,0),MATCH(U$1124,'Hist. prices'!$I$5:$AB$5,0))</f>
        <v>0</v>
      </c>
      <c r="V1215" s="218">
        <f>INDEX('Hist. prices'!$I$164:$AB$238,MATCH($C1215,'Hist. prices'!$C$164:$C$238,0),MATCH(V$1124,'Hist. prices'!$I$5:$AB$5,0))</f>
        <v>0</v>
      </c>
      <c r="W1215" s="218">
        <f>INDEX('Hist. prices'!$I$164:$AB$238,MATCH($C1215,'Hist. prices'!$C$164:$C$238,0),MATCH(W$1124,'Hist. prices'!$I$5:$AB$5,0))</f>
        <v>0</v>
      </c>
      <c r="X1215" s="218">
        <f>INDEX('Hist. prices'!$I$164:$AB$238,MATCH($C1215,'Hist. prices'!$C$164:$C$238,0),MATCH(X$1124,'Hist. prices'!$I$5:$AB$5,0))</f>
        <v>0</v>
      </c>
      <c r="Y1215" s="218">
        <f>INDEX('Hist. prices'!$I$164:$AB$238,MATCH($C1215,'Hist. prices'!$C$164:$C$238,0),MATCH(Y$1124,'Hist. prices'!$I$5:$AB$5,0))</f>
        <v>0</v>
      </c>
      <c r="Z1215" s="218">
        <f>INDEX('Hist. prices'!$I$164:$AB$238,MATCH($C1215,'Hist. prices'!$C$164:$C$238,0),MATCH(Z$1124,'Hist. prices'!$I$5:$AB$5,0))</f>
        <v>0</v>
      </c>
      <c r="AA1215" s="218">
        <f>INDEX('Hist. prices'!$I$164:$AB$238,MATCH($C1215,'Hist. prices'!$C$164:$C$238,0),MATCH(AA$1124,'Hist. prices'!$I$5:$AB$5,0))</f>
        <v>0</v>
      </c>
      <c r="AB1215" s="218">
        <f>INDEX('Hist. prices'!$I$164:$AB$238,MATCH($C1215,'Hist. prices'!$C$164:$C$238,0),MATCH(AB$1124,'Hist. prices'!$I$5:$AB$5,0))</f>
        <v>0</v>
      </c>
      <c r="AC1215" s="187"/>
      <c r="AD1215" s="19"/>
      <c r="AE1215" s="19"/>
      <c r="AF1215" s="19"/>
      <c r="AG1215" s="19"/>
    </row>
    <row r="1216" spans="1:33" hidden="1" outlineLevel="3" x14ac:dyDescent="0.2">
      <c r="A1216" s="19"/>
      <c r="B1216" s="19"/>
      <c r="C1216" s="506">
        <f t="shared" si="218"/>
        <v>0</v>
      </c>
      <c r="D1216" s="505">
        <f t="shared" si="218"/>
        <v>0</v>
      </c>
      <c r="E1216" s="58"/>
      <c r="F1216" s="223"/>
      <c r="G1216" s="58"/>
      <c r="H1216" s="58"/>
      <c r="I1216" s="218">
        <f>INDEX('Hist. prices'!$I$164:$AB$238,MATCH($C1216,'Hist. prices'!$C$164:$C$238,0),MATCH(I$1124,'Hist. prices'!$I$5:$AB$5,0))</f>
        <v>0</v>
      </c>
      <c r="J1216" s="218">
        <f>INDEX('Hist. prices'!$I$164:$AB$238,MATCH($C1216,'Hist. prices'!$C$164:$C$238,0),MATCH(J$1124,'Hist. prices'!$I$5:$AB$5,0))</f>
        <v>0</v>
      </c>
      <c r="K1216" s="218">
        <f>INDEX('Hist. prices'!$I$164:$AB$238,MATCH($C1216,'Hist. prices'!$C$164:$C$238,0),MATCH(K$1124,'Hist. prices'!$I$5:$AB$5,0))</f>
        <v>0</v>
      </c>
      <c r="L1216" s="218">
        <f>INDEX('Hist. prices'!$I$164:$AB$238,MATCH($C1216,'Hist. prices'!$C$164:$C$238,0),MATCH(L$1124,'Hist. prices'!$I$5:$AB$5,0))</f>
        <v>0</v>
      </c>
      <c r="M1216" s="218">
        <f>INDEX('Hist. prices'!$I$164:$AB$238,MATCH($C1216,'Hist. prices'!$C$164:$C$238,0),MATCH(M$1124,'Hist. prices'!$I$5:$AB$5,0))</f>
        <v>0</v>
      </c>
      <c r="N1216" s="218">
        <f>INDEX('Hist. prices'!$I$164:$AB$238,MATCH($C1216,'Hist. prices'!$C$164:$C$238,0),MATCH(N$1124,'Hist. prices'!$I$5:$AB$5,0))</f>
        <v>0</v>
      </c>
      <c r="O1216" s="218">
        <f>INDEX('Hist. prices'!$I$164:$AB$238,MATCH($C1216,'Hist. prices'!$C$164:$C$238,0),MATCH(O$1124,'Hist. prices'!$I$5:$AB$5,0))</f>
        <v>0</v>
      </c>
      <c r="P1216" s="218">
        <f>INDEX('Hist. prices'!$I$164:$AB$238,MATCH($C1216,'Hist. prices'!$C$164:$C$238,0),MATCH(P$1124,'Hist. prices'!$I$5:$AB$5,0))</f>
        <v>0</v>
      </c>
      <c r="Q1216" s="218">
        <f>INDEX('Hist. prices'!$I$164:$AB$238,MATCH($C1216,'Hist. prices'!$C$164:$C$238,0),MATCH(Q$1124,'Hist. prices'!$I$5:$AB$5,0))</f>
        <v>0</v>
      </c>
      <c r="R1216" s="218">
        <f>INDEX('Hist. prices'!$I$164:$AB$238,MATCH($C1216,'Hist. prices'!$C$164:$C$238,0),MATCH(R$1124,'Hist. prices'!$I$5:$AB$5,0))</f>
        <v>0</v>
      </c>
      <c r="S1216" s="218">
        <f>INDEX('Hist. prices'!$I$164:$AB$238,MATCH($C1216,'Hist. prices'!$C$164:$C$238,0),MATCH(S$1124,'Hist. prices'!$I$5:$AB$5,0))</f>
        <v>0</v>
      </c>
      <c r="T1216" s="218">
        <f>INDEX('Hist. prices'!$I$164:$AB$238,MATCH($C1216,'Hist. prices'!$C$164:$C$238,0),MATCH(T$1124,'Hist. prices'!$I$5:$AB$5,0))</f>
        <v>0</v>
      </c>
      <c r="U1216" s="218">
        <f>INDEX('Hist. prices'!$I$164:$AB$238,MATCH($C1216,'Hist. prices'!$C$164:$C$238,0),MATCH(U$1124,'Hist. prices'!$I$5:$AB$5,0))</f>
        <v>0</v>
      </c>
      <c r="V1216" s="218">
        <f>INDEX('Hist. prices'!$I$164:$AB$238,MATCH($C1216,'Hist. prices'!$C$164:$C$238,0),MATCH(V$1124,'Hist. prices'!$I$5:$AB$5,0))</f>
        <v>0</v>
      </c>
      <c r="W1216" s="218">
        <f>INDEX('Hist. prices'!$I$164:$AB$238,MATCH($C1216,'Hist. prices'!$C$164:$C$238,0),MATCH(W$1124,'Hist. prices'!$I$5:$AB$5,0))</f>
        <v>0</v>
      </c>
      <c r="X1216" s="218">
        <f>INDEX('Hist. prices'!$I$164:$AB$238,MATCH($C1216,'Hist. prices'!$C$164:$C$238,0),MATCH(X$1124,'Hist. prices'!$I$5:$AB$5,0))</f>
        <v>0</v>
      </c>
      <c r="Y1216" s="218">
        <f>INDEX('Hist. prices'!$I$164:$AB$238,MATCH($C1216,'Hist. prices'!$C$164:$C$238,0),MATCH(Y$1124,'Hist. prices'!$I$5:$AB$5,0))</f>
        <v>0</v>
      </c>
      <c r="Z1216" s="218">
        <f>INDEX('Hist. prices'!$I$164:$AB$238,MATCH($C1216,'Hist. prices'!$C$164:$C$238,0),MATCH(Z$1124,'Hist. prices'!$I$5:$AB$5,0))</f>
        <v>0</v>
      </c>
      <c r="AA1216" s="218">
        <f>INDEX('Hist. prices'!$I$164:$AB$238,MATCH($C1216,'Hist. prices'!$C$164:$C$238,0),MATCH(AA$1124,'Hist. prices'!$I$5:$AB$5,0))</f>
        <v>0</v>
      </c>
      <c r="AB1216" s="218">
        <f>INDEX('Hist. prices'!$I$164:$AB$238,MATCH($C1216,'Hist. prices'!$C$164:$C$238,0),MATCH(AB$1124,'Hist. prices'!$I$5:$AB$5,0))</f>
        <v>0</v>
      </c>
      <c r="AC1216" s="187"/>
      <c r="AD1216" s="19"/>
      <c r="AE1216" s="19"/>
      <c r="AF1216" s="19"/>
      <c r="AG1216" s="19"/>
    </row>
    <row r="1217" spans="1:33" hidden="1" outlineLevel="3" x14ac:dyDescent="0.2">
      <c r="A1217" s="19"/>
      <c r="B1217" s="19"/>
      <c r="C1217" s="506">
        <f t="shared" si="218"/>
        <v>0</v>
      </c>
      <c r="D1217" s="505">
        <f t="shared" si="218"/>
        <v>0</v>
      </c>
      <c r="E1217" s="58"/>
      <c r="F1217" s="223"/>
      <c r="G1217" s="58"/>
      <c r="H1217" s="58"/>
      <c r="I1217" s="218">
        <f>INDEX('Hist. prices'!$I$164:$AB$238,MATCH($C1217,'Hist. prices'!$C$164:$C$238,0),MATCH(I$1124,'Hist. prices'!$I$5:$AB$5,0))</f>
        <v>0</v>
      </c>
      <c r="J1217" s="218">
        <f>INDEX('Hist. prices'!$I$164:$AB$238,MATCH($C1217,'Hist. prices'!$C$164:$C$238,0),MATCH(J$1124,'Hist. prices'!$I$5:$AB$5,0))</f>
        <v>0</v>
      </c>
      <c r="K1217" s="218">
        <f>INDEX('Hist. prices'!$I$164:$AB$238,MATCH($C1217,'Hist. prices'!$C$164:$C$238,0),MATCH(K$1124,'Hist. prices'!$I$5:$AB$5,0))</f>
        <v>0</v>
      </c>
      <c r="L1217" s="218">
        <f>INDEX('Hist. prices'!$I$164:$AB$238,MATCH($C1217,'Hist. prices'!$C$164:$C$238,0),MATCH(L$1124,'Hist. prices'!$I$5:$AB$5,0))</f>
        <v>0</v>
      </c>
      <c r="M1217" s="218">
        <f>INDEX('Hist. prices'!$I$164:$AB$238,MATCH($C1217,'Hist. prices'!$C$164:$C$238,0),MATCH(M$1124,'Hist. prices'!$I$5:$AB$5,0))</f>
        <v>0</v>
      </c>
      <c r="N1217" s="218">
        <f>INDEX('Hist. prices'!$I$164:$AB$238,MATCH($C1217,'Hist. prices'!$C$164:$C$238,0),MATCH(N$1124,'Hist. prices'!$I$5:$AB$5,0))</f>
        <v>0</v>
      </c>
      <c r="O1217" s="218">
        <f>INDEX('Hist. prices'!$I$164:$AB$238,MATCH($C1217,'Hist. prices'!$C$164:$C$238,0),MATCH(O$1124,'Hist. prices'!$I$5:$AB$5,0))</f>
        <v>0</v>
      </c>
      <c r="P1217" s="218">
        <f>INDEX('Hist. prices'!$I$164:$AB$238,MATCH($C1217,'Hist. prices'!$C$164:$C$238,0),MATCH(P$1124,'Hist. prices'!$I$5:$AB$5,0))</f>
        <v>0</v>
      </c>
      <c r="Q1217" s="218">
        <f>INDEX('Hist. prices'!$I$164:$AB$238,MATCH($C1217,'Hist. prices'!$C$164:$C$238,0),MATCH(Q$1124,'Hist. prices'!$I$5:$AB$5,0))</f>
        <v>0</v>
      </c>
      <c r="R1217" s="218">
        <f>INDEX('Hist. prices'!$I$164:$AB$238,MATCH($C1217,'Hist. prices'!$C$164:$C$238,0),MATCH(R$1124,'Hist. prices'!$I$5:$AB$5,0))</f>
        <v>0</v>
      </c>
      <c r="S1217" s="218">
        <f>INDEX('Hist. prices'!$I$164:$AB$238,MATCH($C1217,'Hist. prices'!$C$164:$C$238,0),MATCH(S$1124,'Hist. prices'!$I$5:$AB$5,0))</f>
        <v>0</v>
      </c>
      <c r="T1217" s="218">
        <f>INDEX('Hist. prices'!$I$164:$AB$238,MATCH($C1217,'Hist. prices'!$C$164:$C$238,0),MATCH(T$1124,'Hist. prices'!$I$5:$AB$5,0))</f>
        <v>0</v>
      </c>
      <c r="U1217" s="218">
        <f>INDEX('Hist. prices'!$I$164:$AB$238,MATCH($C1217,'Hist. prices'!$C$164:$C$238,0),MATCH(U$1124,'Hist. prices'!$I$5:$AB$5,0))</f>
        <v>0</v>
      </c>
      <c r="V1217" s="218">
        <f>INDEX('Hist. prices'!$I$164:$AB$238,MATCH($C1217,'Hist. prices'!$C$164:$C$238,0),MATCH(V$1124,'Hist. prices'!$I$5:$AB$5,0))</f>
        <v>0</v>
      </c>
      <c r="W1217" s="218">
        <f>INDEX('Hist. prices'!$I$164:$AB$238,MATCH($C1217,'Hist. prices'!$C$164:$C$238,0),MATCH(W$1124,'Hist. prices'!$I$5:$AB$5,0))</f>
        <v>0</v>
      </c>
      <c r="X1217" s="218">
        <f>INDEX('Hist. prices'!$I$164:$AB$238,MATCH($C1217,'Hist. prices'!$C$164:$C$238,0),MATCH(X$1124,'Hist. prices'!$I$5:$AB$5,0))</f>
        <v>0</v>
      </c>
      <c r="Y1217" s="218">
        <f>INDEX('Hist. prices'!$I$164:$AB$238,MATCH($C1217,'Hist. prices'!$C$164:$C$238,0),MATCH(Y$1124,'Hist. prices'!$I$5:$AB$5,0))</f>
        <v>0</v>
      </c>
      <c r="Z1217" s="218">
        <f>INDEX('Hist. prices'!$I$164:$AB$238,MATCH($C1217,'Hist. prices'!$C$164:$C$238,0),MATCH(Z$1124,'Hist. prices'!$I$5:$AB$5,0))</f>
        <v>0</v>
      </c>
      <c r="AA1217" s="218">
        <f>INDEX('Hist. prices'!$I$164:$AB$238,MATCH($C1217,'Hist. prices'!$C$164:$C$238,0),MATCH(AA$1124,'Hist. prices'!$I$5:$AB$5,0))</f>
        <v>0</v>
      </c>
      <c r="AB1217" s="218">
        <f>INDEX('Hist. prices'!$I$164:$AB$238,MATCH($C1217,'Hist. prices'!$C$164:$C$238,0),MATCH(AB$1124,'Hist. prices'!$I$5:$AB$5,0))</f>
        <v>0</v>
      </c>
      <c r="AC1217" s="187"/>
      <c r="AD1217" s="19"/>
      <c r="AE1217" s="19"/>
      <c r="AF1217" s="19"/>
      <c r="AG1217" s="19"/>
    </row>
    <row r="1218" spans="1:33" hidden="1" outlineLevel="3" x14ac:dyDescent="0.2">
      <c r="A1218" s="19"/>
      <c r="B1218" s="19"/>
      <c r="C1218" s="506">
        <f t="shared" si="218"/>
        <v>0</v>
      </c>
      <c r="D1218" s="505">
        <f t="shared" si="218"/>
        <v>0</v>
      </c>
      <c r="E1218" s="58"/>
      <c r="F1218" s="223"/>
      <c r="G1218" s="58"/>
      <c r="H1218" s="58"/>
      <c r="I1218" s="218">
        <f>INDEX('Hist. prices'!$I$164:$AB$238,MATCH($C1218,'Hist. prices'!$C$164:$C$238,0),MATCH(I$1124,'Hist. prices'!$I$5:$AB$5,0))</f>
        <v>0</v>
      </c>
      <c r="J1218" s="218">
        <f>INDEX('Hist. prices'!$I$164:$AB$238,MATCH($C1218,'Hist. prices'!$C$164:$C$238,0),MATCH(J$1124,'Hist. prices'!$I$5:$AB$5,0))</f>
        <v>0</v>
      </c>
      <c r="K1218" s="218">
        <f>INDEX('Hist. prices'!$I$164:$AB$238,MATCH($C1218,'Hist. prices'!$C$164:$C$238,0),MATCH(K$1124,'Hist. prices'!$I$5:$AB$5,0))</f>
        <v>0</v>
      </c>
      <c r="L1218" s="218">
        <f>INDEX('Hist. prices'!$I$164:$AB$238,MATCH($C1218,'Hist. prices'!$C$164:$C$238,0),MATCH(L$1124,'Hist. prices'!$I$5:$AB$5,0))</f>
        <v>0</v>
      </c>
      <c r="M1218" s="218">
        <f>INDEX('Hist. prices'!$I$164:$AB$238,MATCH($C1218,'Hist. prices'!$C$164:$C$238,0),MATCH(M$1124,'Hist. prices'!$I$5:$AB$5,0))</f>
        <v>0</v>
      </c>
      <c r="N1218" s="218">
        <f>INDEX('Hist. prices'!$I$164:$AB$238,MATCH($C1218,'Hist. prices'!$C$164:$C$238,0),MATCH(N$1124,'Hist. prices'!$I$5:$AB$5,0))</f>
        <v>0</v>
      </c>
      <c r="O1218" s="218">
        <f>INDEX('Hist. prices'!$I$164:$AB$238,MATCH($C1218,'Hist. prices'!$C$164:$C$238,0),MATCH(O$1124,'Hist. prices'!$I$5:$AB$5,0))</f>
        <v>0</v>
      </c>
      <c r="P1218" s="218">
        <f>INDEX('Hist. prices'!$I$164:$AB$238,MATCH($C1218,'Hist. prices'!$C$164:$C$238,0),MATCH(P$1124,'Hist. prices'!$I$5:$AB$5,0))</f>
        <v>0</v>
      </c>
      <c r="Q1218" s="218">
        <f>INDEX('Hist. prices'!$I$164:$AB$238,MATCH($C1218,'Hist. prices'!$C$164:$C$238,0),MATCH(Q$1124,'Hist. prices'!$I$5:$AB$5,0))</f>
        <v>0</v>
      </c>
      <c r="R1218" s="218">
        <f>INDEX('Hist. prices'!$I$164:$AB$238,MATCH($C1218,'Hist. prices'!$C$164:$C$238,0),MATCH(R$1124,'Hist. prices'!$I$5:$AB$5,0))</f>
        <v>0</v>
      </c>
      <c r="S1218" s="218">
        <f>INDEX('Hist. prices'!$I$164:$AB$238,MATCH($C1218,'Hist. prices'!$C$164:$C$238,0),MATCH(S$1124,'Hist. prices'!$I$5:$AB$5,0))</f>
        <v>0</v>
      </c>
      <c r="T1218" s="218">
        <f>INDEX('Hist. prices'!$I$164:$AB$238,MATCH($C1218,'Hist. prices'!$C$164:$C$238,0),MATCH(T$1124,'Hist. prices'!$I$5:$AB$5,0))</f>
        <v>0</v>
      </c>
      <c r="U1218" s="218">
        <f>INDEX('Hist. prices'!$I$164:$AB$238,MATCH($C1218,'Hist. prices'!$C$164:$C$238,0),MATCH(U$1124,'Hist. prices'!$I$5:$AB$5,0))</f>
        <v>0</v>
      </c>
      <c r="V1218" s="218">
        <f>INDEX('Hist. prices'!$I$164:$AB$238,MATCH($C1218,'Hist. prices'!$C$164:$C$238,0),MATCH(V$1124,'Hist. prices'!$I$5:$AB$5,0))</f>
        <v>0</v>
      </c>
      <c r="W1218" s="218">
        <f>INDEX('Hist. prices'!$I$164:$AB$238,MATCH($C1218,'Hist. prices'!$C$164:$C$238,0),MATCH(W$1124,'Hist. prices'!$I$5:$AB$5,0))</f>
        <v>0</v>
      </c>
      <c r="X1218" s="218">
        <f>INDEX('Hist. prices'!$I$164:$AB$238,MATCH($C1218,'Hist. prices'!$C$164:$C$238,0),MATCH(X$1124,'Hist. prices'!$I$5:$AB$5,0))</f>
        <v>0</v>
      </c>
      <c r="Y1218" s="218">
        <f>INDEX('Hist. prices'!$I$164:$AB$238,MATCH($C1218,'Hist. prices'!$C$164:$C$238,0),MATCH(Y$1124,'Hist. prices'!$I$5:$AB$5,0))</f>
        <v>0</v>
      </c>
      <c r="Z1218" s="218">
        <f>INDEX('Hist. prices'!$I$164:$AB$238,MATCH($C1218,'Hist. prices'!$C$164:$C$238,0),MATCH(Z$1124,'Hist. prices'!$I$5:$AB$5,0))</f>
        <v>0</v>
      </c>
      <c r="AA1218" s="218">
        <f>INDEX('Hist. prices'!$I$164:$AB$238,MATCH($C1218,'Hist. prices'!$C$164:$C$238,0),MATCH(AA$1124,'Hist. prices'!$I$5:$AB$5,0))</f>
        <v>0</v>
      </c>
      <c r="AB1218" s="218">
        <f>INDEX('Hist. prices'!$I$164:$AB$238,MATCH($C1218,'Hist. prices'!$C$164:$C$238,0),MATCH(AB$1124,'Hist. prices'!$I$5:$AB$5,0))</f>
        <v>0</v>
      </c>
      <c r="AC1218" s="187"/>
      <c r="AD1218" s="19"/>
      <c r="AE1218" s="19"/>
      <c r="AF1218" s="19"/>
      <c r="AG1218" s="19"/>
    </row>
    <row r="1219" spans="1:33" hidden="1" outlineLevel="3" x14ac:dyDescent="0.2">
      <c r="A1219" s="19"/>
      <c r="B1219" s="19"/>
      <c r="C1219" s="506">
        <f t="shared" si="218"/>
        <v>0</v>
      </c>
      <c r="D1219" s="505">
        <f t="shared" si="218"/>
        <v>0</v>
      </c>
      <c r="E1219" s="58"/>
      <c r="F1219" s="223"/>
      <c r="G1219" s="58"/>
      <c r="H1219" s="58"/>
      <c r="I1219" s="218">
        <f>INDEX('Hist. prices'!$I$164:$AB$238,MATCH($C1219,'Hist. prices'!$C$164:$C$238,0),MATCH(I$1124,'Hist. prices'!$I$5:$AB$5,0))</f>
        <v>0</v>
      </c>
      <c r="J1219" s="218">
        <f>INDEX('Hist. prices'!$I$164:$AB$238,MATCH($C1219,'Hist. prices'!$C$164:$C$238,0),MATCH(J$1124,'Hist. prices'!$I$5:$AB$5,0))</f>
        <v>0</v>
      </c>
      <c r="K1219" s="218">
        <f>INDEX('Hist. prices'!$I$164:$AB$238,MATCH($C1219,'Hist. prices'!$C$164:$C$238,0),MATCH(K$1124,'Hist. prices'!$I$5:$AB$5,0))</f>
        <v>0</v>
      </c>
      <c r="L1219" s="218">
        <f>INDEX('Hist. prices'!$I$164:$AB$238,MATCH($C1219,'Hist. prices'!$C$164:$C$238,0),MATCH(L$1124,'Hist. prices'!$I$5:$AB$5,0))</f>
        <v>0</v>
      </c>
      <c r="M1219" s="218">
        <f>INDEX('Hist. prices'!$I$164:$AB$238,MATCH($C1219,'Hist. prices'!$C$164:$C$238,0),MATCH(M$1124,'Hist. prices'!$I$5:$AB$5,0))</f>
        <v>0</v>
      </c>
      <c r="N1219" s="218">
        <f>INDEX('Hist. prices'!$I$164:$AB$238,MATCH($C1219,'Hist. prices'!$C$164:$C$238,0),MATCH(N$1124,'Hist. prices'!$I$5:$AB$5,0))</f>
        <v>0</v>
      </c>
      <c r="O1219" s="218">
        <f>INDEX('Hist. prices'!$I$164:$AB$238,MATCH($C1219,'Hist. prices'!$C$164:$C$238,0),MATCH(O$1124,'Hist. prices'!$I$5:$AB$5,0))</f>
        <v>0</v>
      </c>
      <c r="P1219" s="218">
        <f>INDEX('Hist. prices'!$I$164:$AB$238,MATCH($C1219,'Hist. prices'!$C$164:$C$238,0),MATCH(P$1124,'Hist. prices'!$I$5:$AB$5,0))</f>
        <v>0</v>
      </c>
      <c r="Q1219" s="218">
        <f>INDEX('Hist. prices'!$I$164:$AB$238,MATCH($C1219,'Hist. prices'!$C$164:$C$238,0),MATCH(Q$1124,'Hist. prices'!$I$5:$AB$5,0))</f>
        <v>0</v>
      </c>
      <c r="R1219" s="218">
        <f>INDEX('Hist. prices'!$I$164:$AB$238,MATCH($C1219,'Hist. prices'!$C$164:$C$238,0),MATCH(R$1124,'Hist. prices'!$I$5:$AB$5,0))</f>
        <v>0</v>
      </c>
      <c r="S1219" s="218">
        <f>INDEX('Hist. prices'!$I$164:$AB$238,MATCH($C1219,'Hist. prices'!$C$164:$C$238,0),MATCH(S$1124,'Hist. prices'!$I$5:$AB$5,0))</f>
        <v>0</v>
      </c>
      <c r="T1219" s="218">
        <f>INDEX('Hist. prices'!$I$164:$AB$238,MATCH($C1219,'Hist. prices'!$C$164:$C$238,0),MATCH(T$1124,'Hist. prices'!$I$5:$AB$5,0))</f>
        <v>0</v>
      </c>
      <c r="U1219" s="218">
        <f>INDEX('Hist. prices'!$I$164:$AB$238,MATCH($C1219,'Hist. prices'!$C$164:$C$238,0),MATCH(U$1124,'Hist. prices'!$I$5:$AB$5,0))</f>
        <v>0</v>
      </c>
      <c r="V1219" s="218">
        <f>INDEX('Hist. prices'!$I$164:$AB$238,MATCH($C1219,'Hist. prices'!$C$164:$C$238,0),MATCH(V$1124,'Hist. prices'!$I$5:$AB$5,0))</f>
        <v>0</v>
      </c>
      <c r="W1219" s="218">
        <f>INDEX('Hist. prices'!$I$164:$AB$238,MATCH($C1219,'Hist. prices'!$C$164:$C$238,0),MATCH(W$1124,'Hist. prices'!$I$5:$AB$5,0))</f>
        <v>0</v>
      </c>
      <c r="X1219" s="218">
        <f>INDEX('Hist. prices'!$I$164:$AB$238,MATCH($C1219,'Hist. prices'!$C$164:$C$238,0),MATCH(X$1124,'Hist. prices'!$I$5:$AB$5,0))</f>
        <v>0</v>
      </c>
      <c r="Y1219" s="218">
        <f>INDEX('Hist. prices'!$I$164:$AB$238,MATCH($C1219,'Hist. prices'!$C$164:$C$238,0),MATCH(Y$1124,'Hist. prices'!$I$5:$AB$5,0))</f>
        <v>0</v>
      </c>
      <c r="Z1219" s="218">
        <f>INDEX('Hist. prices'!$I$164:$AB$238,MATCH($C1219,'Hist. prices'!$C$164:$C$238,0),MATCH(Z$1124,'Hist. prices'!$I$5:$AB$5,0))</f>
        <v>0</v>
      </c>
      <c r="AA1219" s="218">
        <f>INDEX('Hist. prices'!$I$164:$AB$238,MATCH($C1219,'Hist. prices'!$C$164:$C$238,0),MATCH(AA$1124,'Hist. prices'!$I$5:$AB$5,0))</f>
        <v>0</v>
      </c>
      <c r="AB1219" s="218">
        <f>INDEX('Hist. prices'!$I$164:$AB$238,MATCH($C1219,'Hist. prices'!$C$164:$C$238,0),MATCH(AB$1124,'Hist. prices'!$I$5:$AB$5,0))</f>
        <v>0</v>
      </c>
      <c r="AC1219" s="187"/>
      <c r="AD1219" s="19"/>
      <c r="AE1219" s="19"/>
      <c r="AF1219" s="19"/>
      <c r="AG1219" s="19"/>
    </row>
    <row r="1220" spans="1:33" hidden="1" outlineLevel="3" x14ac:dyDescent="0.2">
      <c r="A1220" s="19"/>
      <c r="B1220" s="19"/>
      <c r="C1220" s="506">
        <f t="shared" si="218"/>
        <v>0</v>
      </c>
      <c r="D1220" s="505">
        <f t="shared" si="218"/>
        <v>0</v>
      </c>
      <c r="E1220" s="58"/>
      <c r="F1220" s="223"/>
      <c r="G1220" s="58"/>
      <c r="H1220" s="58"/>
      <c r="I1220" s="218">
        <f>INDEX('Hist. prices'!$I$164:$AB$238,MATCH($C1220,'Hist. prices'!$C$164:$C$238,0),MATCH(I$1124,'Hist. prices'!$I$5:$AB$5,0))</f>
        <v>0</v>
      </c>
      <c r="J1220" s="218">
        <f>INDEX('Hist. prices'!$I$164:$AB$238,MATCH($C1220,'Hist. prices'!$C$164:$C$238,0),MATCH(J$1124,'Hist. prices'!$I$5:$AB$5,0))</f>
        <v>0</v>
      </c>
      <c r="K1220" s="218">
        <f>INDEX('Hist. prices'!$I$164:$AB$238,MATCH($C1220,'Hist. prices'!$C$164:$C$238,0),MATCH(K$1124,'Hist. prices'!$I$5:$AB$5,0))</f>
        <v>0</v>
      </c>
      <c r="L1220" s="218">
        <f>INDEX('Hist. prices'!$I$164:$AB$238,MATCH($C1220,'Hist. prices'!$C$164:$C$238,0),MATCH(L$1124,'Hist. prices'!$I$5:$AB$5,0))</f>
        <v>0</v>
      </c>
      <c r="M1220" s="218">
        <f>INDEX('Hist. prices'!$I$164:$AB$238,MATCH($C1220,'Hist. prices'!$C$164:$C$238,0),MATCH(M$1124,'Hist. prices'!$I$5:$AB$5,0))</f>
        <v>0</v>
      </c>
      <c r="N1220" s="218">
        <f>INDEX('Hist. prices'!$I$164:$AB$238,MATCH($C1220,'Hist. prices'!$C$164:$C$238,0),MATCH(N$1124,'Hist. prices'!$I$5:$AB$5,0))</f>
        <v>0</v>
      </c>
      <c r="O1220" s="218">
        <f>INDEX('Hist. prices'!$I$164:$AB$238,MATCH($C1220,'Hist. prices'!$C$164:$C$238,0),MATCH(O$1124,'Hist. prices'!$I$5:$AB$5,0))</f>
        <v>0</v>
      </c>
      <c r="P1220" s="218">
        <f>INDEX('Hist. prices'!$I$164:$AB$238,MATCH($C1220,'Hist. prices'!$C$164:$C$238,0),MATCH(P$1124,'Hist. prices'!$I$5:$AB$5,0))</f>
        <v>0</v>
      </c>
      <c r="Q1220" s="218">
        <f>INDEX('Hist. prices'!$I$164:$AB$238,MATCH($C1220,'Hist. prices'!$C$164:$C$238,0),MATCH(Q$1124,'Hist. prices'!$I$5:$AB$5,0))</f>
        <v>0</v>
      </c>
      <c r="R1220" s="218">
        <f>INDEX('Hist. prices'!$I$164:$AB$238,MATCH($C1220,'Hist. prices'!$C$164:$C$238,0),MATCH(R$1124,'Hist. prices'!$I$5:$AB$5,0))</f>
        <v>0</v>
      </c>
      <c r="S1220" s="218">
        <f>INDEX('Hist. prices'!$I$164:$AB$238,MATCH($C1220,'Hist. prices'!$C$164:$C$238,0),MATCH(S$1124,'Hist. prices'!$I$5:$AB$5,0))</f>
        <v>0</v>
      </c>
      <c r="T1220" s="218">
        <f>INDEX('Hist. prices'!$I$164:$AB$238,MATCH($C1220,'Hist. prices'!$C$164:$C$238,0),MATCH(T$1124,'Hist. prices'!$I$5:$AB$5,0))</f>
        <v>0</v>
      </c>
      <c r="U1220" s="218">
        <f>INDEX('Hist. prices'!$I$164:$AB$238,MATCH($C1220,'Hist. prices'!$C$164:$C$238,0),MATCH(U$1124,'Hist. prices'!$I$5:$AB$5,0))</f>
        <v>0</v>
      </c>
      <c r="V1220" s="218">
        <f>INDEX('Hist. prices'!$I$164:$AB$238,MATCH($C1220,'Hist. prices'!$C$164:$C$238,0),MATCH(V$1124,'Hist. prices'!$I$5:$AB$5,0))</f>
        <v>0</v>
      </c>
      <c r="W1220" s="218">
        <f>INDEX('Hist. prices'!$I$164:$AB$238,MATCH($C1220,'Hist. prices'!$C$164:$C$238,0),MATCH(W$1124,'Hist. prices'!$I$5:$AB$5,0))</f>
        <v>0</v>
      </c>
      <c r="X1220" s="218">
        <f>INDEX('Hist. prices'!$I$164:$AB$238,MATCH($C1220,'Hist. prices'!$C$164:$C$238,0),MATCH(X$1124,'Hist. prices'!$I$5:$AB$5,0))</f>
        <v>0</v>
      </c>
      <c r="Y1220" s="218">
        <f>INDEX('Hist. prices'!$I$164:$AB$238,MATCH($C1220,'Hist. prices'!$C$164:$C$238,0),MATCH(Y$1124,'Hist. prices'!$I$5:$AB$5,0))</f>
        <v>0</v>
      </c>
      <c r="Z1220" s="218">
        <f>INDEX('Hist. prices'!$I$164:$AB$238,MATCH($C1220,'Hist. prices'!$C$164:$C$238,0),MATCH(Z$1124,'Hist. prices'!$I$5:$AB$5,0))</f>
        <v>0</v>
      </c>
      <c r="AA1220" s="218">
        <f>INDEX('Hist. prices'!$I$164:$AB$238,MATCH($C1220,'Hist. prices'!$C$164:$C$238,0),MATCH(AA$1124,'Hist. prices'!$I$5:$AB$5,0))</f>
        <v>0</v>
      </c>
      <c r="AB1220" s="218">
        <f>INDEX('Hist. prices'!$I$164:$AB$238,MATCH($C1220,'Hist. prices'!$C$164:$C$238,0),MATCH(AB$1124,'Hist. prices'!$I$5:$AB$5,0))</f>
        <v>0</v>
      </c>
      <c r="AC1220" s="187"/>
      <c r="AD1220" s="19"/>
      <c r="AE1220" s="19"/>
      <c r="AF1220" s="19"/>
      <c r="AG1220" s="19"/>
    </row>
    <row r="1221" spans="1:33" hidden="1" outlineLevel="3" x14ac:dyDescent="0.2">
      <c r="A1221" s="19"/>
      <c r="B1221" s="19"/>
      <c r="C1221" s="506">
        <f t="shared" si="218"/>
        <v>0</v>
      </c>
      <c r="D1221" s="505">
        <f t="shared" si="218"/>
        <v>0</v>
      </c>
      <c r="E1221" s="58"/>
      <c r="F1221" s="223"/>
      <c r="G1221" s="58"/>
      <c r="H1221" s="58"/>
      <c r="I1221" s="218">
        <f>INDEX('Hist. prices'!$I$164:$AB$238,MATCH($C1221,'Hist. prices'!$C$164:$C$238,0),MATCH(I$1124,'Hist. prices'!$I$5:$AB$5,0))</f>
        <v>0</v>
      </c>
      <c r="J1221" s="218">
        <f>INDEX('Hist. prices'!$I$164:$AB$238,MATCH($C1221,'Hist. prices'!$C$164:$C$238,0),MATCH(J$1124,'Hist. prices'!$I$5:$AB$5,0))</f>
        <v>0</v>
      </c>
      <c r="K1221" s="218">
        <f>INDEX('Hist. prices'!$I$164:$AB$238,MATCH($C1221,'Hist. prices'!$C$164:$C$238,0),MATCH(K$1124,'Hist. prices'!$I$5:$AB$5,0))</f>
        <v>0</v>
      </c>
      <c r="L1221" s="218">
        <f>INDEX('Hist. prices'!$I$164:$AB$238,MATCH($C1221,'Hist. prices'!$C$164:$C$238,0),MATCH(L$1124,'Hist. prices'!$I$5:$AB$5,0))</f>
        <v>0</v>
      </c>
      <c r="M1221" s="218">
        <f>INDEX('Hist. prices'!$I$164:$AB$238,MATCH($C1221,'Hist. prices'!$C$164:$C$238,0),MATCH(M$1124,'Hist. prices'!$I$5:$AB$5,0))</f>
        <v>0</v>
      </c>
      <c r="N1221" s="218">
        <f>INDEX('Hist. prices'!$I$164:$AB$238,MATCH($C1221,'Hist. prices'!$C$164:$C$238,0),MATCH(N$1124,'Hist. prices'!$I$5:$AB$5,0))</f>
        <v>0</v>
      </c>
      <c r="O1221" s="218">
        <f>INDEX('Hist. prices'!$I$164:$AB$238,MATCH($C1221,'Hist. prices'!$C$164:$C$238,0),MATCH(O$1124,'Hist. prices'!$I$5:$AB$5,0))</f>
        <v>0</v>
      </c>
      <c r="P1221" s="218">
        <f>INDEX('Hist. prices'!$I$164:$AB$238,MATCH($C1221,'Hist. prices'!$C$164:$C$238,0),MATCH(P$1124,'Hist. prices'!$I$5:$AB$5,0))</f>
        <v>0</v>
      </c>
      <c r="Q1221" s="218">
        <f>INDEX('Hist. prices'!$I$164:$AB$238,MATCH($C1221,'Hist. prices'!$C$164:$C$238,0),MATCH(Q$1124,'Hist. prices'!$I$5:$AB$5,0))</f>
        <v>0</v>
      </c>
      <c r="R1221" s="218">
        <f>INDEX('Hist. prices'!$I$164:$AB$238,MATCH($C1221,'Hist. prices'!$C$164:$C$238,0),MATCH(R$1124,'Hist. prices'!$I$5:$AB$5,0))</f>
        <v>0</v>
      </c>
      <c r="S1221" s="218">
        <f>INDEX('Hist. prices'!$I$164:$AB$238,MATCH($C1221,'Hist. prices'!$C$164:$C$238,0),MATCH(S$1124,'Hist. prices'!$I$5:$AB$5,0))</f>
        <v>0</v>
      </c>
      <c r="T1221" s="218">
        <f>INDEX('Hist. prices'!$I$164:$AB$238,MATCH($C1221,'Hist. prices'!$C$164:$C$238,0),MATCH(T$1124,'Hist. prices'!$I$5:$AB$5,0))</f>
        <v>0</v>
      </c>
      <c r="U1221" s="218">
        <f>INDEX('Hist. prices'!$I$164:$AB$238,MATCH($C1221,'Hist. prices'!$C$164:$C$238,0),MATCH(U$1124,'Hist. prices'!$I$5:$AB$5,0))</f>
        <v>0</v>
      </c>
      <c r="V1221" s="218">
        <f>INDEX('Hist. prices'!$I$164:$AB$238,MATCH($C1221,'Hist. prices'!$C$164:$C$238,0),MATCH(V$1124,'Hist. prices'!$I$5:$AB$5,0))</f>
        <v>0</v>
      </c>
      <c r="W1221" s="218">
        <f>INDEX('Hist. prices'!$I$164:$AB$238,MATCH($C1221,'Hist. prices'!$C$164:$C$238,0),MATCH(W$1124,'Hist. prices'!$I$5:$AB$5,0))</f>
        <v>0</v>
      </c>
      <c r="X1221" s="218">
        <f>INDEX('Hist. prices'!$I$164:$AB$238,MATCH($C1221,'Hist. prices'!$C$164:$C$238,0),MATCH(X$1124,'Hist. prices'!$I$5:$AB$5,0))</f>
        <v>0</v>
      </c>
      <c r="Y1221" s="218">
        <f>INDEX('Hist. prices'!$I$164:$AB$238,MATCH($C1221,'Hist. prices'!$C$164:$C$238,0),MATCH(Y$1124,'Hist. prices'!$I$5:$AB$5,0))</f>
        <v>0</v>
      </c>
      <c r="Z1221" s="218">
        <f>INDEX('Hist. prices'!$I$164:$AB$238,MATCH($C1221,'Hist. prices'!$C$164:$C$238,0),MATCH(Z$1124,'Hist. prices'!$I$5:$AB$5,0))</f>
        <v>0</v>
      </c>
      <c r="AA1221" s="218">
        <f>INDEX('Hist. prices'!$I$164:$AB$238,MATCH($C1221,'Hist. prices'!$C$164:$C$238,0),MATCH(AA$1124,'Hist. prices'!$I$5:$AB$5,0))</f>
        <v>0</v>
      </c>
      <c r="AB1221" s="218">
        <f>INDEX('Hist. prices'!$I$164:$AB$238,MATCH($C1221,'Hist. prices'!$C$164:$C$238,0),MATCH(AB$1124,'Hist. prices'!$I$5:$AB$5,0))</f>
        <v>0</v>
      </c>
      <c r="AC1221" s="187"/>
      <c r="AD1221" s="19"/>
      <c r="AE1221" s="19"/>
      <c r="AF1221" s="19"/>
      <c r="AG1221" s="19"/>
    </row>
    <row r="1222" spans="1:33" hidden="1" outlineLevel="3" x14ac:dyDescent="0.2">
      <c r="A1222" s="19"/>
      <c r="B1222" s="19"/>
      <c r="C1222" s="506">
        <f t="shared" si="218"/>
        <v>0</v>
      </c>
      <c r="D1222" s="505">
        <f t="shared" si="218"/>
        <v>0</v>
      </c>
      <c r="E1222" s="58"/>
      <c r="F1222" s="223"/>
      <c r="G1222" s="58"/>
      <c r="H1222" s="58"/>
      <c r="I1222" s="218">
        <f>INDEX('Hist. prices'!$I$164:$AB$238,MATCH($C1222,'Hist. prices'!$C$164:$C$238,0),MATCH(I$1124,'Hist. prices'!$I$5:$AB$5,0))</f>
        <v>0</v>
      </c>
      <c r="J1222" s="218">
        <f>INDEX('Hist. prices'!$I$164:$AB$238,MATCH($C1222,'Hist. prices'!$C$164:$C$238,0),MATCH(J$1124,'Hist. prices'!$I$5:$AB$5,0))</f>
        <v>0</v>
      </c>
      <c r="K1222" s="218">
        <f>INDEX('Hist. prices'!$I$164:$AB$238,MATCH($C1222,'Hist. prices'!$C$164:$C$238,0),MATCH(K$1124,'Hist. prices'!$I$5:$AB$5,0))</f>
        <v>0</v>
      </c>
      <c r="L1222" s="218">
        <f>INDEX('Hist. prices'!$I$164:$AB$238,MATCH($C1222,'Hist. prices'!$C$164:$C$238,0),MATCH(L$1124,'Hist. prices'!$I$5:$AB$5,0))</f>
        <v>0</v>
      </c>
      <c r="M1222" s="218">
        <f>INDEX('Hist. prices'!$I$164:$AB$238,MATCH($C1222,'Hist. prices'!$C$164:$C$238,0),MATCH(M$1124,'Hist. prices'!$I$5:$AB$5,0))</f>
        <v>0</v>
      </c>
      <c r="N1222" s="218">
        <f>INDEX('Hist. prices'!$I$164:$AB$238,MATCH($C1222,'Hist. prices'!$C$164:$C$238,0),MATCH(N$1124,'Hist. prices'!$I$5:$AB$5,0))</f>
        <v>0</v>
      </c>
      <c r="O1222" s="218">
        <f>INDEX('Hist. prices'!$I$164:$AB$238,MATCH($C1222,'Hist. prices'!$C$164:$C$238,0),MATCH(O$1124,'Hist. prices'!$I$5:$AB$5,0))</f>
        <v>0</v>
      </c>
      <c r="P1222" s="218">
        <f>INDEX('Hist. prices'!$I$164:$AB$238,MATCH($C1222,'Hist. prices'!$C$164:$C$238,0),MATCH(P$1124,'Hist. prices'!$I$5:$AB$5,0))</f>
        <v>0</v>
      </c>
      <c r="Q1222" s="218">
        <f>INDEX('Hist. prices'!$I$164:$AB$238,MATCH($C1222,'Hist. prices'!$C$164:$C$238,0),MATCH(Q$1124,'Hist. prices'!$I$5:$AB$5,0))</f>
        <v>0</v>
      </c>
      <c r="R1222" s="218">
        <f>INDEX('Hist. prices'!$I$164:$AB$238,MATCH($C1222,'Hist. prices'!$C$164:$C$238,0),MATCH(R$1124,'Hist. prices'!$I$5:$AB$5,0))</f>
        <v>0</v>
      </c>
      <c r="S1222" s="218">
        <f>INDEX('Hist. prices'!$I$164:$AB$238,MATCH($C1222,'Hist. prices'!$C$164:$C$238,0),MATCH(S$1124,'Hist. prices'!$I$5:$AB$5,0))</f>
        <v>0</v>
      </c>
      <c r="T1222" s="218">
        <f>INDEX('Hist. prices'!$I$164:$AB$238,MATCH($C1222,'Hist. prices'!$C$164:$C$238,0),MATCH(T$1124,'Hist. prices'!$I$5:$AB$5,0))</f>
        <v>0</v>
      </c>
      <c r="U1222" s="218">
        <f>INDEX('Hist. prices'!$I$164:$AB$238,MATCH($C1222,'Hist. prices'!$C$164:$C$238,0),MATCH(U$1124,'Hist. prices'!$I$5:$AB$5,0))</f>
        <v>0</v>
      </c>
      <c r="V1222" s="218">
        <f>INDEX('Hist. prices'!$I$164:$AB$238,MATCH($C1222,'Hist. prices'!$C$164:$C$238,0),MATCH(V$1124,'Hist. prices'!$I$5:$AB$5,0))</f>
        <v>0</v>
      </c>
      <c r="W1222" s="218">
        <f>INDEX('Hist. prices'!$I$164:$AB$238,MATCH($C1222,'Hist. prices'!$C$164:$C$238,0),MATCH(W$1124,'Hist. prices'!$I$5:$AB$5,0))</f>
        <v>0</v>
      </c>
      <c r="X1222" s="218">
        <f>INDEX('Hist. prices'!$I$164:$AB$238,MATCH($C1222,'Hist. prices'!$C$164:$C$238,0),MATCH(X$1124,'Hist. prices'!$I$5:$AB$5,0))</f>
        <v>0</v>
      </c>
      <c r="Y1222" s="218">
        <f>INDEX('Hist. prices'!$I$164:$AB$238,MATCH($C1222,'Hist. prices'!$C$164:$C$238,0),MATCH(Y$1124,'Hist. prices'!$I$5:$AB$5,0))</f>
        <v>0</v>
      </c>
      <c r="Z1222" s="218">
        <f>INDEX('Hist. prices'!$I$164:$AB$238,MATCH($C1222,'Hist. prices'!$C$164:$C$238,0),MATCH(Z$1124,'Hist. prices'!$I$5:$AB$5,0))</f>
        <v>0</v>
      </c>
      <c r="AA1222" s="218">
        <f>INDEX('Hist. prices'!$I$164:$AB$238,MATCH($C1222,'Hist. prices'!$C$164:$C$238,0),MATCH(AA$1124,'Hist. prices'!$I$5:$AB$5,0))</f>
        <v>0</v>
      </c>
      <c r="AB1222" s="218">
        <f>INDEX('Hist. prices'!$I$164:$AB$238,MATCH($C1222,'Hist. prices'!$C$164:$C$238,0),MATCH(AB$1124,'Hist. prices'!$I$5:$AB$5,0))</f>
        <v>0</v>
      </c>
      <c r="AC1222" s="187"/>
      <c r="AD1222" s="19"/>
      <c r="AE1222" s="19"/>
      <c r="AF1222" s="19"/>
      <c r="AG1222" s="19"/>
    </row>
    <row r="1223" spans="1:33" outlineLevel="2" collapsed="1" x14ac:dyDescent="0.2">
      <c r="A1223" s="19"/>
      <c r="B1223" s="19"/>
      <c r="C1223" s="538"/>
      <c r="D1223" s="536"/>
      <c r="E1223" s="58"/>
      <c r="F1223" s="66"/>
      <c r="G1223" s="58"/>
      <c r="H1223" s="58"/>
      <c r="I1223" s="186"/>
      <c r="J1223" s="186"/>
      <c r="K1223" s="187"/>
      <c r="L1223" s="187"/>
      <c r="M1223" s="187"/>
      <c r="N1223" s="188"/>
      <c r="O1223" s="188"/>
      <c r="P1223" s="188"/>
      <c r="Q1223" s="188"/>
      <c r="R1223" s="188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9"/>
      <c r="AE1223" s="19"/>
      <c r="AF1223" s="19"/>
      <c r="AG1223" s="19"/>
    </row>
    <row r="1224" spans="1:33" outlineLevel="1" x14ac:dyDescent="0.2">
      <c r="A1224" s="19"/>
      <c r="B1224" s="19"/>
      <c r="C1224" s="66"/>
      <c r="D1224" s="58"/>
      <c r="E1224" s="58"/>
      <c r="F1224" s="66"/>
      <c r="G1224" s="58"/>
      <c r="H1224" s="58"/>
      <c r="I1224" s="58"/>
      <c r="J1224" s="58"/>
      <c r="K1224" s="20"/>
      <c r="L1224" s="20"/>
      <c r="M1224" s="20"/>
      <c r="N1224" s="37"/>
      <c r="O1224" s="37"/>
      <c r="P1224" s="37"/>
      <c r="Q1224" s="37"/>
      <c r="R1224" s="37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</row>
    <row r="1225" spans="1:33" x14ac:dyDescent="0.2">
      <c r="A1225" s="19"/>
      <c r="B1225" s="19"/>
      <c r="C1225" s="36"/>
      <c r="D1225" s="20"/>
      <c r="E1225" s="20"/>
      <c r="F1225" s="36"/>
      <c r="G1225" s="22"/>
      <c r="H1225" s="22"/>
      <c r="I1225" s="22"/>
      <c r="J1225" s="20"/>
      <c r="K1225" s="20"/>
      <c r="L1225" s="20"/>
      <c r="M1225" s="20"/>
      <c r="N1225" s="37"/>
      <c r="O1225" s="37"/>
      <c r="P1225" s="37"/>
      <c r="Q1225" s="37"/>
      <c r="R1225" s="37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19"/>
      <c r="AF1225" s="19"/>
      <c r="AG1225" s="19"/>
    </row>
    <row r="1226" spans="1:33" ht="12.75" x14ac:dyDescent="0.2">
      <c r="A1226" s="11"/>
      <c r="B1226" s="12" t="s">
        <v>8</v>
      </c>
      <c r="C1226" s="11"/>
      <c r="D1226" s="11"/>
      <c r="E1226" s="11"/>
      <c r="F1226" s="11"/>
      <c r="G1226" s="13"/>
      <c r="H1226" s="13"/>
      <c r="I1226" s="13"/>
      <c r="J1226" s="13"/>
      <c r="K1226" s="13"/>
      <c r="L1226" s="13"/>
      <c r="M1226" s="13"/>
      <c r="N1226" s="14"/>
      <c r="O1226" s="15"/>
      <c r="P1226" s="14"/>
      <c r="Q1226" s="15"/>
      <c r="R1226" s="14"/>
      <c r="S1226" s="14"/>
      <c r="T1226" s="14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</row>
  </sheetData>
  <sheetProtection formatColumns="0" formatRows="0"/>
  <hyperlinks>
    <hyperlink ref="I1" location="'Pricing model'!A51" display="Back to Index" xr:uid="{00000000-0004-0000-1D00-000000000000}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5">
    <tabColor theme="1"/>
  </sheetPr>
  <dimension ref="A1:XES143"/>
  <sheetViews>
    <sheetView showGridLines="0" workbookViewId="0"/>
  </sheetViews>
  <sheetFormatPr defaultColWidth="0" defaultRowHeight="11.25" zeroHeight="1" x14ac:dyDescent="0.2"/>
  <cols>
    <col min="1" max="2" width="1.28515625" style="19" customWidth="1"/>
    <col min="3" max="3" width="36" style="19" customWidth="1"/>
    <col min="4" max="4" width="14.5703125" style="38" customWidth="1"/>
    <col min="5" max="5" width="13.5703125" style="38" customWidth="1"/>
    <col min="6" max="6" width="9.140625" style="38" customWidth="1"/>
    <col min="7" max="7" width="12.85546875" style="20" customWidth="1"/>
    <col min="8" max="9" width="12.85546875" style="19" customWidth="1"/>
    <col min="10" max="14" width="9.28515625" style="19" customWidth="1"/>
    <col min="15" max="24" width="9.28515625" style="19" hidden="1" customWidth="1"/>
    <col min="25" max="312" width="9" style="19" hidden="1" customWidth="1"/>
    <col min="313" max="16372" width="9" style="19" hidden="1"/>
    <col min="16373" max="16373" width="0" style="19" hidden="1"/>
    <col min="16374" max="16384" width="9" style="19" hidden="1"/>
  </cols>
  <sheetData>
    <row r="1" spans="1:31" s="1" customFormat="1" ht="15.75" x14ac:dyDescent="0.25">
      <c r="B1" s="2" t="str">
        <f>'Pricing model'!G2&amp;" - "&amp;'Pricing model'!G3</f>
        <v>AER pricing model - TasNetworks 2022–23</v>
      </c>
      <c r="C1" s="2"/>
      <c r="D1" s="2"/>
      <c r="E1" s="2"/>
      <c r="F1" s="3"/>
      <c r="G1" s="160" t="s">
        <v>0</v>
      </c>
      <c r="H1" s="3"/>
      <c r="I1" s="3"/>
      <c r="J1" s="280"/>
      <c r="K1" s="18"/>
      <c r="L1" s="111"/>
      <c r="M1" s="111"/>
      <c r="N1" s="112"/>
      <c r="O1" s="51"/>
      <c r="P1" s="51"/>
      <c r="Q1" s="18"/>
      <c r="R1" s="18"/>
      <c r="S1" s="111"/>
      <c r="T1" s="113"/>
      <c r="U1" s="18"/>
      <c r="V1" s="114"/>
      <c r="W1" s="113"/>
      <c r="X1" s="18"/>
    </row>
    <row r="2" spans="1:31" s="1" customFormat="1" ht="12.75" x14ac:dyDescent="0.2">
      <c r="B2" s="265" t="str">
        <f>'Pricing model'!C52</f>
        <v>Lookups</v>
      </c>
      <c r="C2" s="265"/>
      <c r="D2" s="265"/>
      <c r="E2" s="265"/>
      <c r="F2" s="292"/>
      <c r="G2" s="292"/>
      <c r="H2" s="292"/>
      <c r="I2" s="292"/>
    </row>
    <row r="3" spans="1:31" s="9" customFormat="1" ht="12.75" x14ac:dyDescent="0.2">
      <c r="B3" s="265">
        <f>'Pricing model'!D52</f>
        <v>0</v>
      </c>
      <c r="D3" s="481"/>
      <c r="E3" s="481"/>
    </row>
    <row r="4" spans="1:31" s="9" customFormat="1" x14ac:dyDescent="0.2">
      <c r="D4" s="481"/>
      <c r="E4" s="481"/>
    </row>
    <row r="5" spans="1:31" s="18" customFormat="1" ht="12.75" x14ac:dyDescent="0.2">
      <c r="A5" s="11"/>
      <c r="B5" s="12" t="s">
        <v>20</v>
      </c>
      <c r="C5" s="11"/>
      <c r="D5" s="11"/>
      <c r="E5" s="11"/>
      <c r="F5" s="13"/>
      <c r="G5" s="13"/>
      <c r="H5" s="13"/>
      <c r="I5" s="13"/>
      <c r="J5" s="14"/>
      <c r="K5" s="15"/>
      <c r="L5" s="14"/>
      <c r="M5" s="14"/>
      <c r="N5" s="15"/>
      <c r="O5" s="14"/>
      <c r="P5" s="14"/>
      <c r="Q5" s="14"/>
      <c r="R5" s="14"/>
      <c r="S5" s="14"/>
      <c r="T5" s="14"/>
      <c r="U5" s="14"/>
      <c r="V5" s="14"/>
      <c r="W5" s="15"/>
      <c r="X5" s="15"/>
      <c r="Y5" s="16"/>
      <c r="Z5" s="16"/>
      <c r="AA5" s="16"/>
      <c r="AB5" s="16"/>
      <c r="AC5" s="16"/>
      <c r="AD5" s="17"/>
      <c r="AE5" s="17"/>
    </row>
    <row r="6" spans="1:31" x14ac:dyDescent="0.2"/>
    <row r="7" spans="1:31" x14ac:dyDescent="0.2">
      <c r="C7" s="21" t="str">
        <f>B5</f>
        <v>Unit Denominations</v>
      </c>
      <c r="D7" s="22" t="s">
        <v>3</v>
      </c>
      <c r="E7" s="22"/>
      <c r="F7" s="23"/>
      <c r="G7" s="23" t="s">
        <v>21</v>
      </c>
      <c r="H7" s="23"/>
    </row>
    <row r="8" spans="1:31" x14ac:dyDescent="0.2">
      <c r="C8" s="36" t="s">
        <v>173</v>
      </c>
      <c r="D8" s="20" t="s">
        <v>6</v>
      </c>
      <c r="E8" s="20"/>
      <c r="F8" s="20"/>
      <c r="G8" s="482" t="s">
        <v>174</v>
      </c>
      <c r="H8" s="23"/>
    </row>
    <row r="9" spans="1:31" x14ac:dyDescent="0.2">
      <c r="C9" s="36" t="s">
        <v>22</v>
      </c>
      <c r="D9" s="20" t="s">
        <v>6</v>
      </c>
      <c r="E9" s="20"/>
      <c r="F9" s="20"/>
      <c r="G9" s="482" t="s">
        <v>23</v>
      </c>
    </row>
    <row r="10" spans="1:31" x14ac:dyDescent="0.2">
      <c r="C10" s="36" t="s">
        <v>24</v>
      </c>
      <c r="D10" s="20" t="s">
        <v>6</v>
      </c>
      <c r="E10" s="20"/>
      <c r="F10" s="20"/>
      <c r="G10" s="482" t="s">
        <v>25</v>
      </c>
    </row>
    <row r="11" spans="1:31" x14ac:dyDescent="0.2">
      <c r="C11" s="36" t="s">
        <v>26</v>
      </c>
      <c r="D11" s="20" t="s">
        <v>6</v>
      </c>
      <c r="E11" s="20"/>
      <c r="F11" s="20"/>
      <c r="G11" s="482" t="s">
        <v>15</v>
      </c>
      <c r="U11" s="483"/>
    </row>
    <row r="12" spans="1:31" x14ac:dyDescent="0.2">
      <c r="F12" s="19"/>
      <c r="G12" s="19"/>
    </row>
    <row r="13" spans="1:31" x14ac:dyDescent="0.2">
      <c r="C13" s="36" t="s">
        <v>13</v>
      </c>
      <c r="D13" s="20" t="s">
        <v>6</v>
      </c>
      <c r="E13" s="20"/>
      <c r="F13" s="20"/>
      <c r="G13" s="482" t="s">
        <v>19</v>
      </c>
    </row>
    <row r="14" spans="1:31" x14ac:dyDescent="0.2">
      <c r="C14" s="36" t="s">
        <v>11</v>
      </c>
      <c r="D14" s="20" t="s">
        <v>6</v>
      </c>
      <c r="E14" s="20"/>
      <c r="F14" s="20"/>
      <c r="G14" s="482" t="s">
        <v>27</v>
      </c>
    </row>
    <row r="15" spans="1:31" x14ac:dyDescent="0.2">
      <c r="C15" s="36" t="s">
        <v>28</v>
      </c>
      <c r="D15" s="20" t="s">
        <v>6</v>
      </c>
      <c r="E15" s="20"/>
      <c r="F15" s="20"/>
      <c r="G15" s="482" t="s">
        <v>29</v>
      </c>
    </row>
    <row r="16" spans="1:31" x14ac:dyDescent="0.2">
      <c r="C16" s="36" t="s">
        <v>30</v>
      </c>
      <c r="D16" s="20" t="s">
        <v>6</v>
      </c>
      <c r="E16" s="20"/>
      <c r="F16" s="20"/>
      <c r="G16" s="482" t="s">
        <v>31</v>
      </c>
    </row>
    <row r="17" spans="3:7" x14ac:dyDescent="0.2">
      <c r="C17" s="36"/>
      <c r="D17" s="20"/>
      <c r="E17" s="20"/>
      <c r="F17" s="20"/>
      <c r="G17" s="19"/>
    </row>
    <row r="18" spans="3:7" x14ac:dyDescent="0.2">
      <c r="C18" s="36" t="s">
        <v>183</v>
      </c>
      <c r="D18" s="20" t="s">
        <v>6</v>
      </c>
      <c r="E18" s="20"/>
      <c r="F18" s="20"/>
      <c r="G18" s="482" t="s">
        <v>170</v>
      </c>
    </row>
    <row r="19" spans="3:7" x14ac:dyDescent="0.2">
      <c r="C19" s="36" t="s">
        <v>184</v>
      </c>
      <c r="D19" s="20" t="s">
        <v>6</v>
      </c>
      <c r="E19" s="20"/>
      <c r="F19" s="20"/>
      <c r="G19" s="482" t="s">
        <v>171</v>
      </c>
    </row>
    <row r="20" spans="3:7" x14ac:dyDescent="0.2">
      <c r="C20" s="36" t="s">
        <v>185</v>
      </c>
      <c r="D20" s="20" t="s">
        <v>6</v>
      </c>
      <c r="E20" s="20"/>
      <c r="F20" s="20"/>
      <c r="G20" s="482" t="s">
        <v>172</v>
      </c>
    </row>
    <row r="21" spans="3:7" x14ac:dyDescent="0.2">
      <c r="C21" s="36" t="s">
        <v>182</v>
      </c>
      <c r="D21" s="20" t="s">
        <v>6</v>
      </c>
      <c r="E21" s="20"/>
      <c r="F21" s="20"/>
      <c r="G21" s="482" t="s">
        <v>181</v>
      </c>
    </row>
    <row r="22" spans="3:7" x14ac:dyDescent="0.2">
      <c r="C22" s="36" t="s">
        <v>558</v>
      </c>
      <c r="D22" s="20" t="s">
        <v>6</v>
      </c>
      <c r="E22" s="20"/>
      <c r="F22" s="20"/>
      <c r="G22" s="482" t="s">
        <v>555</v>
      </c>
    </row>
    <row r="23" spans="3:7" x14ac:dyDescent="0.2">
      <c r="C23" s="36" t="s">
        <v>557</v>
      </c>
      <c r="D23" s="20" t="s">
        <v>6</v>
      </c>
      <c r="E23" s="20"/>
      <c r="F23" s="20"/>
      <c r="G23" s="482" t="s">
        <v>556</v>
      </c>
    </row>
    <row r="24" spans="3:7" x14ac:dyDescent="0.2">
      <c r="C24" s="36" t="s">
        <v>179</v>
      </c>
      <c r="D24" s="20" t="s">
        <v>6</v>
      </c>
      <c r="E24" s="20"/>
      <c r="F24" s="20"/>
      <c r="G24" s="482" t="s">
        <v>175</v>
      </c>
    </row>
    <row r="25" spans="3:7" x14ac:dyDescent="0.2">
      <c r="C25" s="36" t="s">
        <v>178</v>
      </c>
      <c r="D25" s="20" t="s">
        <v>6</v>
      </c>
      <c r="E25" s="20"/>
      <c r="F25" s="20"/>
      <c r="G25" s="482" t="s">
        <v>176</v>
      </c>
    </row>
    <row r="26" spans="3:7" x14ac:dyDescent="0.2">
      <c r="C26" s="36" t="s">
        <v>235</v>
      </c>
      <c r="D26" s="20" t="s">
        <v>6</v>
      </c>
      <c r="E26" s="20"/>
      <c r="F26" s="20"/>
      <c r="G26" s="482" t="s">
        <v>238</v>
      </c>
    </row>
    <row r="27" spans="3:7" x14ac:dyDescent="0.2">
      <c r="C27" s="36" t="s">
        <v>236</v>
      </c>
      <c r="D27" s="20" t="s">
        <v>6</v>
      </c>
      <c r="E27" s="20"/>
      <c r="F27" s="20"/>
      <c r="G27" s="482" t="s">
        <v>237</v>
      </c>
    </row>
    <row r="28" spans="3:7" x14ac:dyDescent="0.2">
      <c r="C28" s="36" t="str">
        <f>General!F26&amp; " charges"</f>
        <v>NA charges</v>
      </c>
      <c r="D28" s="20"/>
      <c r="E28" s="20"/>
      <c r="F28" s="20"/>
      <c r="G28" s="482" t="str">
        <f>ossn</f>
        <v>NA</v>
      </c>
    </row>
    <row r="29" spans="3:7" x14ac:dyDescent="0.2">
      <c r="C29" s="36" t="s">
        <v>180</v>
      </c>
      <c r="D29" s="20" t="s">
        <v>6</v>
      </c>
      <c r="E29" s="20"/>
      <c r="F29" s="20"/>
      <c r="G29" s="482" t="s">
        <v>177</v>
      </c>
    </row>
    <row r="30" spans="3:7" x14ac:dyDescent="0.2">
      <c r="C30" s="36" t="s">
        <v>372</v>
      </c>
      <c r="D30" s="20" t="s">
        <v>6</v>
      </c>
      <c r="E30" s="20"/>
      <c r="F30" s="20"/>
      <c r="G30" s="482" t="s">
        <v>373</v>
      </c>
    </row>
    <row r="31" spans="3:7" x14ac:dyDescent="0.2">
      <c r="C31" s="36"/>
      <c r="D31" s="20"/>
      <c r="E31" s="20"/>
      <c r="F31" s="20"/>
      <c r="G31" s="19"/>
    </row>
    <row r="32" spans="3:7" x14ac:dyDescent="0.2">
      <c r="C32" s="36" t="s">
        <v>16</v>
      </c>
      <c r="D32" s="20" t="s">
        <v>6</v>
      </c>
      <c r="E32" s="20"/>
      <c r="F32" s="20"/>
      <c r="G32" s="482" t="s">
        <v>16</v>
      </c>
    </row>
    <row r="33" spans="1:31" x14ac:dyDescent="0.2">
      <c r="C33" s="36" t="s">
        <v>17</v>
      </c>
      <c r="D33" s="20" t="s">
        <v>6</v>
      </c>
      <c r="E33" s="20"/>
      <c r="F33" s="20"/>
      <c r="G33" s="482" t="s">
        <v>17</v>
      </c>
    </row>
    <row r="34" spans="1:31" x14ac:dyDescent="0.2">
      <c r="C34" s="36"/>
      <c r="D34" s="20"/>
      <c r="E34" s="20"/>
      <c r="F34" s="20"/>
      <c r="G34" s="19"/>
    </row>
    <row r="35" spans="1:31" s="18" customFormat="1" ht="12.75" x14ac:dyDescent="0.2">
      <c r="A35" s="11"/>
      <c r="B35" s="12" t="s">
        <v>32</v>
      </c>
      <c r="C35" s="11"/>
      <c r="D35" s="11"/>
      <c r="E35" s="11"/>
      <c r="F35" s="13"/>
      <c r="G35" s="13"/>
      <c r="H35" s="13"/>
      <c r="I35" s="13"/>
      <c r="J35" s="14"/>
      <c r="K35" s="15"/>
      <c r="L35" s="14"/>
      <c r="M35" s="14"/>
      <c r="N35" s="15"/>
      <c r="O35" s="14"/>
      <c r="P35" s="14"/>
      <c r="Q35" s="14"/>
      <c r="R35" s="14"/>
      <c r="S35" s="14"/>
      <c r="T35" s="14"/>
      <c r="U35" s="14"/>
      <c r="V35" s="14"/>
      <c r="W35" s="15"/>
      <c r="X35" s="15"/>
      <c r="Y35" s="16"/>
      <c r="Z35" s="16"/>
      <c r="AA35" s="16"/>
      <c r="AB35" s="16"/>
      <c r="AC35" s="16"/>
      <c r="AD35" s="17"/>
      <c r="AE35" s="17"/>
    </row>
    <row r="36" spans="1:31" x14ac:dyDescent="0.2"/>
    <row r="37" spans="1:31" x14ac:dyDescent="0.2">
      <c r="C37" s="21" t="str">
        <f>B35</f>
        <v>Months</v>
      </c>
      <c r="D37" s="22" t="s">
        <v>3</v>
      </c>
      <c r="E37" s="22"/>
      <c r="F37" s="23"/>
      <c r="G37" s="23" t="s">
        <v>21</v>
      </c>
      <c r="H37" s="23"/>
    </row>
    <row r="38" spans="1:31" x14ac:dyDescent="0.2">
      <c r="C38" s="36" t="s">
        <v>33</v>
      </c>
      <c r="D38" s="20" t="s">
        <v>6</v>
      </c>
      <c r="E38" s="20"/>
      <c r="F38" s="20"/>
      <c r="G38" s="484">
        <v>36526</v>
      </c>
      <c r="H38" s="23"/>
    </row>
    <row r="39" spans="1:31" x14ac:dyDescent="0.2">
      <c r="C39" s="36" t="s">
        <v>34</v>
      </c>
      <c r="D39" s="20" t="s">
        <v>6</v>
      </c>
      <c r="E39" s="20"/>
      <c r="F39" s="20"/>
      <c r="G39" s="484">
        <v>36557</v>
      </c>
      <c r="H39" s="23"/>
    </row>
    <row r="40" spans="1:31" x14ac:dyDescent="0.2">
      <c r="C40" s="36" t="s">
        <v>35</v>
      </c>
      <c r="D40" s="20" t="s">
        <v>6</v>
      </c>
      <c r="E40" s="20"/>
      <c r="F40" s="20"/>
      <c r="G40" s="484">
        <v>36586</v>
      </c>
      <c r="H40" s="23"/>
    </row>
    <row r="41" spans="1:31" x14ac:dyDescent="0.2">
      <c r="C41" s="36" t="s">
        <v>36</v>
      </c>
      <c r="D41" s="20" t="s">
        <v>6</v>
      </c>
      <c r="E41" s="20"/>
      <c r="F41" s="20"/>
      <c r="G41" s="484">
        <v>36617</v>
      </c>
    </row>
    <row r="42" spans="1:31" x14ac:dyDescent="0.2">
      <c r="C42" s="36" t="s">
        <v>37</v>
      </c>
      <c r="D42" s="20" t="s">
        <v>6</v>
      </c>
      <c r="E42" s="20"/>
      <c r="F42" s="20"/>
      <c r="G42" s="484">
        <v>36647</v>
      </c>
    </row>
    <row r="43" spans="1:31" x14ac:dyDescent="0.2">
      <c r="C43" s="36" t="s">
        <v>38</v>
      </c>
      <c r="D43" s="20" t="s">
        <v>6</v>
      </c>
      <c r="E43" s="20"/>
      <c r="F43" s="20"/>
      <c r="G43" s="484">
        <v>36678</v>
      </c>
      <c r="U43" s="483"/>
    </row>
    <row r="44" spans="1:31" x14ac:dyDescent="0.2">
      <c r="C44" s="36" t="s">
        <v>39</v>
      </c>
      <c r="D44" s="20" t="s">
        <v>6</v>
      </c>
      <c r="E44" s="20"/>
      <c r="F44" s="20"/>
      <c r="G44" s="484">
        <v>36708</v>
      </c>
      <c r="U44" s="483"/>
    </row>
    <row r="45" spans="1:31" x14ac:dyDescent="0.2">
      <c r="C45" s="36" t="s">
        <v>40</v>
      </c>
      <c r="D45" s="20" t="s">
        <v>6</v>
      </c>
      <c r="E45" s="20"/>
      <c r="F45" s="20"/>
      <c r="G45" s="484">
        <v>36739</v>
      </c>
      <c r="U45" s="483"/>
    </row>
    <row r="46" spans="1:31" x14ac:dyDescent="0.2">
      <c r="C46" s="36" t="s">
        <v>41</v>
      </c>
      <c r="D46" s="20" t="s">
        <v>6</v>
      </c>
      <c r="E46" s="20"/>
      <c r="F46" s="20"/>
      <c r="G46" s="484">
        <v>36770</v>
      </c>
      <c r="U46" s="483"/>
    </row>
    <row r="47" spans="1:31" x14ac:dyDescent="0.2">
      <c r="C47" s="36" t="s">
        <v>42</v>
      </c>
      <c r="D47" s="20" t="s">
        <v>6</v>
      </c>
      <c r="E47" s="20"/>
      <c r="F47" s="20"/>
      <c r="G47" s="484">
        <v>36800</v>
      </c>
      <c r="U47" s="483"/>
    </row>
    <row r="48" spans="1:31" x14ac:dyDescent="0.2">
      <c r="C48" s="36" t="s">
        <v>43</v>
      </c>
      <c r="D48" s="20" t="s">
        <v>6</v>
      </c>
      <c r="E48" s="20"/>
      <c r="F48" s="20"/>
      <c r="G48" s="484">
        <v>36831</v>
      </c>
      <c r="U48" s="483"/>
    </row>
    <row r="49" spans="1:31" x14ac:dyDescent="0.2">
      <c r="C49" s="36" t="s">
        <v>44</v>
      </c>
      <c r="D49" s="20" t="s">
        <v>6</v>
      </c>
      <c r="E49" s="20"/>
      <c r="F49" s="20"/>
      <c r="G49" s="484">
        <v>36861</v>
      </c>
      <c r="U49" s="483"/>
    </row>
    <row r="50" spans="1:31" x14ac:dyDescent="0.2">
      <c r="C50" s="36"/>
      <c r="D50" s="20"/>
      <c r="E50" s="20"/>
      <c r="F50" s="20"/>
      <c r="U50" s="483"/>
    </row>
    <row r="51" spans="1:31" s="18" customFormat="1" ht="12.75" x14ac:dyDescent="0.2">
      <c r="A51" s="11"/>
      <c r="B51" s="12" t="s">
        <v>45</v>
      </c>
      <c r="C51" s="11"/>
      <c r="D51" s="11"/>
      <c r="E51" s="11"/>
      <c r="F51" s="13"/>
      <c r="G51" s="13"/>
      <c r="H51" s="13"/>
      <c r="I51" s="13"/>
      <c r="J51" s="14"/>
      <c r="K51" s="15"/>
      <c r="L51" s="14"/>
      <c r="M51" s="14"/>
      <c r="N51" s="15"/>
      <c r="O51" s="14"/>
      <c r="P51" s="14"/>
      <c r="Q51" s="14"/>
      <c r="R51" s="14"/>
      <c r="S51" s="14"/>
      <c r="T51" s="14"/>
      <c r="U51" s="14"/>
      <c r="V51" s="14"/>
      <c r="W51" s="15"/>
      <c r="X51" s="15"/>
      <c r="Y51" s="16"/>
      <c r="Z51" s="16"/>
      <c r="AA51" s="16"/>
      <c r="AB51" s="16"/>
      <c r="AC51" s="16"/>
      <c r="AD51" s="17"/>
      <c r="AE51" s="17"/>
    </row>
    <row r="52" spans="1:31" x14ac:dyDescent="0.2"/>
    <row r="53" spans="1:31" x14ac:dyDescent="0.2">
      <c r="C53" s="21" t="str">
        <f>B51</f>
        <v>Years</v>
      </c>
      <c r="D53" s="22" t="s">
        <v>3</v>
      </c>
      <c r="E53" s="22"/>
      <c r="F53" s="23"/>
      <c r="G53" s="23" t="s">
        <v>46</v>
      </c>
      <c r="H53" s="23" t="s">
        <v>47</v>
      </c>
      <c r="I53" s="23" t="s">
        <v>48</v>
      </c>
      <c r="K53" s="23" t="s">
        <v>97</v>
      </c>
      <c r="L53" s="23" t="s">
        <v>98</v>
      </c>
      <c r="M53" s="23"/>
    </row>
    <row r="54" spans="1:31" x14ac:dyDescent="0.2">
      <c r="C54" s="485">
        <v>42522</v>
      </c>
      <c r="D54" s="20" t="s">
        <v>6</v>
      </c>
      <c r="E54" s="20"/>
      <c r="F54" s="20"/>
      <c r="G54" s="393">
        <v>2016</v>
      </c>
      <c r="H54" s="486">
        <f t="shared" ref="H54:H80" si="0">DATE(G54,MONTH(yearending),1)</f>
        <v>42522</v>
      </c>
      <c r="I54" s="487" t="str">
        <f>G54-1&amp;"–"&amp;RIGHT(G54,2)</f>
        <v>2015–16</v>
      </c>
      <c r="K54" s="486">
        <f>DATE(G54,MONTH(G49),1)</f>
        <v>42705</v>
      </c>
      <c r="L54" s="488">
        <f>G54</f>
        <v>2016</v>
      </c>
      <c r="M54" s="401"/>
    </row>
    <row r="55" spans="1:31" x14ac:dyDescent="0.2">
      <c r="C55" s="485">
        <v>42887</v>
      </c>
      <c r="D55" s="20" t="s">
        <v>6</v>
      </c>
      <c r="E55" s="20"/>
      <c r="F55" s="20"/>
      <c r="G55" s="393">
        <v>2017</v>
      </c>
      <c r="H55" s="486">
        <f t="shared" si="0"/>
        <v>42887</v>
      </c>
      <c r="I55" s="487" t="str">
        <f>G55-1&amp;"–"&amp;RIGHT(G55,2)</f>
        <v>2016–17</v>
      </c>
      <c r="K55" s="486">
        <f>DATE(G55,MONTH(G49),1)</f>
        <v>43070</v>
      </c>
      <c r="L55" s="488">
        <f>G55</f>
        <v>2017</v>
      </c>
      <c r="M55" s="401"/>
    </row>
    <row r="56" spans="1:31" x14ac:dyDescent="0.2">
      <c r="C56" s="485">
        <v>43252</v>
      </c>
      <c r="D56" s="20" t="s">
        <v>6</v>
      </c>
      <c r="E56" s="20"/>
      <c r="F56" s="20"/>
      <c r="G56" s="393">
        <v>2018</v>
      </c>
      <c r="H56" s="486">
        <f t="shared" si="0"/>
        <v>43252</v>
      </c>
      <c r="I56" s="487" t="str">
        <f>G56-1&amp;"–"&amp;RIGHT(G56,2)</f>
        <v>2017–18</v>
      </c>
      <c r="K56" s="486">
        <f>DATE(G56,MONTH(G49),1)</f>
        <v>43435</v>
      </c>
      <c r="L56" s="488">
        <f>G56</f>
        <v>2018</v>
      </c>
      <c r="M56" s="401"/>
    </row>
    <row r="57" spans="1:31" x14ac:dyDescent="0.2">
      <c r="C57" s="485">
        <v>43617</v>
      </c>
      <c r="D57" s="20" t="s">
        <v>6</v>
      </c>
      <c r="E57" s="20"/>
      <c r="F57" s="20"/>
      <c r="G57" s="393">
        <v>2019</v>
      </c>
      <c r="H57" s="486">
        <f t="shared" si="0"/>
        <v>43617</v>
      </c>
      <c r="I57" s="487" t="str">
        <f>G57-1&amp;"–"&amp;RIGHT(G57,2)</f>
        <v>2018–19</v>
      </c>
      <c r="K57" s="486">
        <f>DATE(G57,MONTH(G49),1)</f>
        <v>43800</v>
      </c>
      <c r="L57" s="488">
        <f>G57</f>
        <v>2019</v>
      </c>
      <c r="M57" s="401"/>
    </row>
    <row r="58" spans="1:31" x14ac:dyDescent="0.2">
      <c r="C58" s="485">
        <v>43983</v>
      </c>
      <c r="D58" s="20" t="s">
        <v>6</v>
      </c>
      <c r="E58" s="20"/>
      <c r="F58" s="20"/>
      <c r="G58" s="393">
        <v>2020</v>
      </c>
      <c r="H58" s="486">
        <f t="shared" si="0"/>
        <v>43983</v>
      </c>
      <c r="I58" s="487" t="str">
        <f t="shared" ref="I58:I68" si="1">G58-1&amp;"–"&amp;RIGHT(G58,2)</f>
        <v>2019–20</v>
      </c>
      <c r="K58" s="486">
        <f>DATE(G58,MONTH(G49),1)</f>
        <v>44166</v>
      </c>
      <c r="L58" s="488">
        <f>G58</f>
        <v>2020</v>
      </c>
      <c r="M58" s="401"/>
      <c r="U58" s="483"/>
    </row>
    <row r="59" spans="1:31" x14ac:dyDescent="0.2">
      <c r="C59" s="485">
        <v>44348</v>
      </c>
      <c r="D59" s="20" t="s">
        <v>6</v>
      </c>
      <c r="E59" s="20"/>
      <c r="F59" s="20"/>
      <c r="G59" s="393">
        <v>2021</v>
      </c>
      <c r="H59" s="486">
        <f t="shared" si="0"/>
        <v>44348</v>
      </c>
      <c r="I59" s="487" t="str">
        <f t="shared" si="1"/>
        <v>2020–21</v>
      </c>
      <c r="K59" s="486">
        <f>H59</f>
        <v>44348</v>
      </c>
      <c r="L59" s="489" t="s">
        <v>99</v>
      </c>
      <c r="M59" s="490"/>
      <c r="U59" s="483"/>
    </row>
    <row r="60" spans="1:31" x14ac:dyDescent="0.2">
      <c r="C60" s="485">
        <v>44713</v>
      </c>
      <c r="D60" s="20" t="s">
        <v>6</v>
      </c>
      <c r="E60" s="20"/>
      <c r="F60" s="20"/>
      <c r="G60" s="393">
        <v>2022</v>
      </c>
      <c r="H60" s="486">
        <f t="shared" si="0"/>
        <v>44713</v>
      </c>
      <c r="I60" s="487" t="str">
        <f t="shared" si="1"/>
        <v>2021–22</v>
      </c>
      <c r="K60" s="486">
        <f t="shared" ref="K60:K77" si="2">H60</f>
        <v>44713</v>
      </c>
      <c r="L60" s="487" t="str">
        <f>I60</f>
        <v>2021–22</v>
      </c>
      <c r="M60" s="112"/>
      <c r="U60" s="483"/>
    </row>
    <row r="61" spans="1:31" x14ac:dyDescent="0.2">
      <c r="C61" s="485">
        <v>45078</v>
      </c>
      <c r="D61" s="20" t="s">
        <v>6</v>
      </c>
      <c r="E61" s="20"/>
      <c r="F61" s="20"/>
      <c r="G61" s="393">
        <v>2023</v>
      </c>
      <c r="H61" s="486">
        <f t="shared" si="0"/>
        <v>45078</v>
      </c>
      <c r="I61" s="487" t="str">
        <f t="shared" si="1"/>
        <v>2022–23</v>
      </c>
      <c r="K61" s="486">
        <f t="shared" si="2"/>
        <v>45078</v>
      </c>
      <c r="L61" s="487" t="str">
        <f t="shared" ref="L61:L77" si="3">I61</f>
        <v>2022–23</v>
      </c>
      <c r="M61" s="112"/>
      <c r="U61" s="483"/>
    </row>
    <row r="62" spans="1:31" x14ac:dyDescent="0.2">
      <c r="C62" s="485">
        <v>45444</v>
      </c>
      <c r="D62" s="20" t="s">
        <v>6</v>
      </c>
      <c r="E62" s="20"/>
      <c r="F62" s="20"/>
      <c r="G62" s="393">
        <v>2024</v>
      </c>
      <c r="H62" s="486">
        <f t="shared" si="0"/>
        <v>45444</v>
      </c>
      <c r="I62" s="487" t="str">
        <f t="shared" si="1"/>
        <v>2023–24</v>
      </c>
      <c r="K62" s="486">
        <f t="shared" si="2"/>
        <v>45444</v>
      </c>
      <c r="L62" s="487" t="str">
        <f t="shared" si="3"/>
        <v>2023–24</v>
      </c>
      <c r="M62" s="112"/>
      <c r="U62" s="483"/>
    </row>
    <row r="63" spans="1:31" x14ac:dyDescent="0.2">
      <c r="C63" s="485">
        <v>45809</v>
      </c>
      <c r="D63" s="20" t="s">
        <v>6</v>
      </c>
      <c r="E63" s="20"/>
      <c r="F63" s="20"/>
      <c r="G63" s="393">
        <v>2025</v>
      </c>
      <c r="H63" s="486">
        <f t="shared" si="0"/>
        <v>45809</v>
      </c>
      <c r="I63" s="487" t="str">
        <f t="shared" si="1"/>
        <v>2024–25</v>
      </c>
      <c r="K63" s="486">
        <f t="shared" si="2"/>
        <v>45809</v>
      </c>
      <c r="L63" s="487" t="str">
        <f t="shared" si="3"/>
        <v>2024–25</v>
      </c>
      <c r="M63" s="112"/>
      <c r="U63" s="483"/>
    </row>
    <row r="64" spans="1:31" x14ac:dyDescent="0.2">
      <c r="C64" s="485">
        <v>46174</v>
      </c>
      <c r="D64" s="20" t="s">
        <v>6</v>
      </c>
      <c r="E64" s="20"/>
      <c r="F64" s="20"/>
      <c r="G64" s="393">
        <v>2026</v>
      </c>
      <c r="H64" s="486">
        <f t="shared" si="0"/>
        <v>46174</v>
      </c>
      <c r="I64" s="487" t="str">
        <f t="shared" si="1"/>
        <v>2025–26</v>
      </c>
      <c r="K64" s="486">
        <f t="shared" si="2"/>
        <v>46174</v>
      </c>
      <c r="L64" s="487" t="str">
        <f t="shared" si="3"/>
        <v>2025–26</v>
      </c>
      <c r="M64" s="112"/>
      <c r="U64" s="483"/>
    </row>
    <row r="65" spans="3:21" x14ac:dyDescent="0.2">
      <c r="C65" s="485">
        <v>46539</v>
      </c>
      <c r="D65" s="20" t="s">
        <v>6</v>
      </c>
      <c r="E65" s="20"/>
      <c r="F65" s="20"/>
      <c r="G65" s="393">
        <v>2027</v>
      </c>
      <c r="H65" s="486">
        <f t="shared" si="0"/>
        <v>46539</v>
      </c>
      <c r="I65" s="487" t="str">
        <f t="shared" si="1"/>
        <v>2026–27</v>
      </c>
      <c r="K65" s="486">
        <f t="shared" si="2"/>
        <v>46539</v>
      </c>
      <c r="L65" s="487" t="str">
        <f t="shared" si="3"/>
        <v>2026–27</v>
      </c>
      <c r="M65" s="112"/>
      <c r="U65" s="483"/>
    </row>
    <row r="66" spans="3:21" x14ac:dyDescent="0.2">
      <c r="C66" s="485">
        <v>46905</v>
      </c>
      <c r="D66" s="20" t="s">
        <v>6</v>
      </c>
      <c r="E66" s="20"/>
      <c r="F66" s="20"/>
      <c r="G66" s="393">
        <v>2028</v>
      </c>
      <c r="H66" s="486">
        <f t="shared" si="0"/>
        <v>46905</v>
      </c>
      <c r="I66" s="487" t="str">
        <f t="shared" si="1"/>
        <v>2027–28</v>
      </c>
      <c r="K66" s="486">
        <f t="shared" si="2"/>
        <v>46905</v>
      </c>
      <c r="L66" s="487" t="str">
        <f t="shared" si="3"/>
        <v>2027–28</v>
      </c>
      <c r="M66" s="112"/>
      <c r="U66" s="483"/>
    </row>
    <row r="67" spans="3:21" x14ac:dyDescent="0.2">
      <c r="C67" s="485">
        <v>47270</v>
      </c>
      <c r="D67" s="20" t="s">
        <v>6</v>
      </c>
      <c r="E67" s="20"/>
      <c r="F67" s="20"/>
      <c r="G67" s="393">
        <v>2029</v>
      </c>
      <c r="H67" s="486">
        <f t="shared" si="0"/>
        <v>47270</v>
      </c>
      <c r="I67" s="487" t="str">
        <f t="shared" si="1"/>
        <v>2028–29</v>
      </c>
      <c r="K67" s="486">
        <f t="shared" si="2"/>
        <v>47270</v>
      </c>
      <c r="L67" s="487" t="str">
        <f t="shared" si="3"/>
        <v>2028–29</v>
      </c>
      <c r="M67" s="112"/>
      <c r="U67" s="483"/>
    </row>
    <row r="68" spans="3:21" x14ac:dyDescent="0.2">
      <c r="C68" s="485">
        <v>47635</v>
      </c>
      <c r="D68" s="20" t="s">
        <v>6</v>
      </c>
      <c r="E68" s="20"/>
      <c r="F68" s="20"/>
      <c r="G68" s="393">
        <v>2030</v>
      </c>
      <c r="H68" s="486">
        <f t="shared" si="0"/>
        <v>47635</v>
      </c>
      <c r="I68" s="487" t="str">
        <f t="shared" si="1"/>
        <v>2029–30</v>
      </c>
      <c r="K68" s="486">
        <f t="shared" si="2"/>
        <v>47635</v>
      </c>
      <c r="L68" s="487" t="str">
        <f t="shared" si="3"/>
        <v>2029–30</v>
      </c>
      <c r="M68" s="112"/>
      <c r="U68" s="483"/>
    </row>
    <row r="69" spans="3:21" x14ac:dyDescent="0.2">
      <c r="C69" s="485">
        <v>48000</v>
      </c>
      <c r="D69" s="20" t="s">
        <v>6</v>
      </c>
      <c r="E69" s="20"/>
      <c r="F69" s="20"/>
      <c r="G69" s="393">
        <v>2031</v>
      </c>
      <c r="H69" s="486">
        <f t="shared" si="0"/>
        <v>48000</v>
      </c>
      <c r="I69" s="487" t="str">
        <f t="shared" ref="I69:I77" si="4">G69-1&amp;"–"&amp;RIGHT(G69,2)</f>
        <v>2030–31</v>
      </c>
      <c r="K69" s="486">
        <f t="shared" si="2"/>
        <v>48000</v>
      </c>
      <c r="L69" s="487" t="str">
        <f t="shared" si="3"/>
        <v>2030–31</v>
      </c>
      <c r="M69" s="112"/>
      <c r="U69" s="483"/>
    </row>
    <row r="70" spans="3:21" x14ac:dyDescent="0.2">
      <c r="C70" s="485">
        <v>48366</v>
      </c>
      <c r="D70" s="20" t="s">
        <v>6</v>
      </c>
      <c r="E70" s="20"/>
      <c r="F70" s="20"/>
      <c r="G70" s="393">
        <v>2032</v>
      </c>
      <c r="H70" s="486">
        <f t="shared" si="0"/>
        <v>48366</v>
      </c>
      <c r="I70" s="487" t="str">
        <f t="shared" si="4"/>
        <v>2031–32</v>
      </c>
      <c r="K70" s="486">
        <f t="shared" si="2"/>
        <v>48366</v>
      </c>
      <c r="L70" s="487" t="str">
        <f t="shared" si="3"/>
        <v>2031–32</v>
      </c>
      <c r="M70" s="112"/>
      <c r="U70" s="483"/>
    </row>
    <row r="71" spans="3:21" x14ac:dyDescent="0.2">
      <c r="C71" s="485">
        <v>48731</v>
      </c>
      <c r="D71" s="20" t="s">
        <v>6</v>
      </c>
      <c r="E71" s="20"/>
      <c r="F71" s="20"/>
      <c r="G71" s="393">
        <v>2033</v>
      </c>
      <c r="H71" s="486">
        <f t="shared" si="0"/>
        <v>48731</v>
      </c>
      <c r="I71" s="487" t="str">
        <f t="shared" si="4"/>
        <v>2032–33</v>
      </c>
      <c r="K71" s="486">
        <f t="shared" si="2"/>
        <v>48731</v>
      </c>
      <c r="L71" s="487" t="str">
        <f t="shared" si="3"/>
        <v>2032–33</v>
      </c>
      <c r="M71" s="112"/>
      <c r="U71" s="483"/>
    </row>
    <row r="72" spans="3:21" x14ac:dyDescent="0.2">
      <c r="C72" s="485">
        <v>49096</v>
      </c>
      <c r="D72" s="20" t="s">
        <v>6</v>
      </c>
      <c r="E72" s="20"/>
      <c r="F72" s="20"/>
      <c r="G72" s="393">
        <v>2034</v>
      </c>
      <c r="H72" s="486">
        <f t="shared" si="0"/>
        <v>49096</v>
      </c>
      <c r="I72" s="487" t="str">
        <f t="shared" si="4"/>
        <v>2033–34</v>
      </c>
      <c r="K72" s="486">
        <f t="shared" si="2"/>
        <v>49096</v>
      </c>
      <c r="L72" s="487" t="str">
        <f t="shared" si="3"/>
        <v>2033–34</v>
      </c>
      <c r="M72" s="112"/>
      <c r="U72" s="483"/>
    </row>
    <row r="73" spans="3:21" x14ac:dyDescent="0.2">
      <c r="C73" s="485">
        <v>49461</v>
      </c>
      <c r="D73" s="20" t="s">
        <v>6</v>
      </c>
      <c r="E73" s="20"/>
      <c r="F73" s="20"/>
      <c r="G73" s="393">
        <v>2035</v>
      </c>
      <c r="H73" s="486">
        <f t="shared" si="0"/>
        <v>49461</v>
      </c>
      <c r="I73" s="487" t="str">
        <f t="shared" si="4"/>
        <v>2034–35</v>
      </c>
      <c r="K73" s="486">
        <f t="shared" si="2"/>
        <v>49461</v>
      </c>
      <c r="L73" s="487" t="str">
        <f t="shared" si="3"/>
        <v>2034–35</v>
      </c>
      <c r="M73" s="112"/>
      <c r="U73" s="483"/>
    </row>
    <row r="74" spans="3:21" x14ac:dyDescent="0.2">
      <c r="C74" s="485">
        <v>49827</v>
      </c>
      <c r="D74" s="20" t="s">
        <v>6</v>
      </c>
      <c r="E74" s="20"/>
      <c r="F74" s="20"/>
      <c r="G74" s="393">
        <v>2036</v>
      </c>
      <c r="H74" s="486">
        <f t="shared" si="0"/>
        <v>49827</v>
      </c>
      <c r="I74" s="487" t="str">
        <f t="shared" si="4"/>
        <v>2035–36</v>
      </c>
      <c r="K74" s="486">
        <f t="shared" si="2"/>
        <v>49827</v>
      </c>
      <c r="L74" s="487" t="str">
        <f t="shared" si="3"/>
        <v>2035–36</v>
      </c>
      <c r="M74" s="112"/>
      <c r="U74" s="483"/>
    </row>
    <row r="75" spans="3:21" x14ac:dyDescent="0.2">
      <c r="C75" s="485">
        <v>50192</v>
      </c>
      <c r="D75" s="20" t="s">
        <v>6</v>
      </c>
      <c r="E75" s="20"/>
      <c r="F75" s="20"/>
      <c r="G75" s="393">
        <v>2037</v>
      </c>
      <c r="H75" s="486">
        <f t="shared" si="0"/>
        <v>50192</v>
      </c>
      <c r="I75" s="487" t="str">
        <f t="shared" si="4"/>
        <v>2036–37</v>
      </c>
      <c r="K75" s="486">
        <f t="shared" si="2"/>
        <v>50192</v>
      </c>
      <c r="L75" s="487" t="str">
        <f t="shared" si="3"/>
        <v>2036–37</v>
      </c>
      <c r="M75" s="112"/>
      <c r="U75" s="483"/>
    </row>
    <row r="76" spans="3:21" x14ac:dyDescent="0.2">
      <c r="C76" s="485">
        <v>50557</v>
      </c>
      <c r="D76" s="20" t="s">
        <v>6</v>
      </c>
      <c r="E76" s="20"/>
      <c r="F76" s="20"/>
      <c r="G76" s="393">
        <v>2038</v>
      </c>
      <c r="H76" s="486">
        <f t="shared" si="0"/>
        <v>50557</v>
      </c>
      <c r="I76" s="487" t="str">
        <f t="shared" si="4"/>
        <v>2037–38</v>
      </c>
      <c r="K76" s="486">
        <f t="shared" si="2"/>
        <v>50557</v>
      </c>
      <c r="L76" s="487" t="str">
        <f t="shared" si="3"/>
        <v>2037–38</v>
      </c>
      <c r="M76" s="112"/>
      <c r="U76" s="483"/>
    </row>
    <row r="77" spans="3:21" x14ac:dyDescent="0.2">
      <c r="C77" s="485">
        <v>50922</v>
      </c>
      <c r="D77" s="20" t="s">
        <v>6</v>
      </c>
      <c r="E77" s="20"/>
      <c r="F77" s="20"/>
      <c r="G77" s="393">
        <v>2039</v>
      </c>
      <c r="H77" s="486">
        <f t="shared" si="0"/>
        <v>50922</v>
      </c>
      <c r="I77" s="487" t="str">
        <f t="shared" si="4"/>
        <v>2038–39</v>
      </c>
      <c r="K77" s="486">
        <f t="shared" si="2"/>
        <v>50922</v>
      </c>
      <c r="L77" s="487" t="str">
        <f t="shared" si="3"/>
        <v>2038–39</v>
      </c>
      <c r="M77" s="112"/>
      <c r="U77" s="483"/>
    </row>
    <row r="78" spans="3:21" x14ac:dyDescent="0.2">
      <c r="C78" s="485">
        <v>51288</v>
      </c>
      <c r="D78" s="20" t="s">
        <v>6</v>
      </c>
      <c r="E78" s="20"/>
      <c r="F78" s="20"/>
      <c r="G78" s="393">
        <v>2040</v>
      </c>
      <c r="H78" s="486">
        <f t="shared" si="0"/>
        <v>51288</v>
      </c>
      <c r="I78" s="487" t="str">
        <f>G78-1&amp;"–"&amp;RIGHT(G78,2)</f>
        <v>2039–40</v>
      </c>
      <c r="K78" s="486">
        <f t="shared" ref="K78:L80" si="5">H78</f>
        <v>51288</v>
      </c>
      <c r="L78" s="487" t="str">
        <f t="shared" si="5"/>
        <v>2039–40</v>
      </c>
      <c r="M78" s="112"/>
      <c r="U78" s="483"/>
    </row>
    <row r="79" spans="3:21" x14ac:dyDescent="0.2">
      <c r="C79" s="485">
        <v>51653</v>
      </c>
      <c r="D79" s="20" t="s">
        <v>6</v>
      </c>
      <c r="E79" s="20"/>
      <c r="F79" s="20"/>
      <c r="G79" s="393">
        <v>2041</v>
      </c>
      <c r="H79" s="486">
        <f t="shared" si="0"/>
        <v>51653</v>
      </c>
      <c r="I79" s="487" t="str">
        <f>G79-1&amp;"–"&amp;RIGHT(G79,2)</f>
        <v>2040–41</v>
      </c>
      <c r="K79" s="486">
        <f t="shared" si="5"/>
        <v>51653</v>
      </c>
      <c r="L79" s="487" t="str">
        <f t="shared" si="5"/>
        <v>2040–41</v>
      </c>
      <c r="M79" s="112"/>
      <c r="U79" s="483"/>
    </row>
    <row r="80" spans="3:21" x14ac:dyDescent="0.2">
      <c r="C80" s="485">
        <v>52018</v>
      </c>
      <c r="D80" s="20" t="s">
        <v>6</v>
      </c>
      <c r="E80" s="20"/>
      <c r="F80" s="20"/>
      <c r="G80" s="393">
        <v>2042</v>
      </c>
      <c r="H80" s="486">
        <f t="shared" si="0"/>
        <v>52018</v>
      </c>
      <c r="I80" s="487" t="str">
        <f>G80-1&amp;"–"&amp;RIGHT(G80,2)</f>
        <v>2041–42</v>
      </c>
      <c r="K80" s="486">
        <f t="shared" si="5"/>
        <v>52018</v>
      </c>
      <c r="L80" s="487" t="str">
        <f t="shared" si="5"/>
        <v>2041–42</v>
      </c>
      <c r="M80" s="112"/>
      <c r="U80" s="483"/>
    </row>
    <row r="81" spans="1:31" x14ac:dyDescent="0.2">
      <c r="H81" s="19" t="s">
        <v>18</v>
      </c>
    </row>
    <row r="82" spans="1:31" s="18" customFormat="1" ht="12.75" x14ac:dyDescent="0.2">
      <c r="A82" s="11"/>
      <c r="B82" s="12" t="s">
        <v>49</v>
      </c>
      <c r="C82" s="11"/>
      <c r="D82" s="11"/>
      <c r="E82" s="11"/>
      <c r="F82" s="13"/>
      <c r="G82" s="13"/>
      <c r="H82" s="13"/>
      <c r="I82" s="13"/>
      <c r="J82" s="14"/>
      <c r="K82" s="15"/>
      <c r="L82" s="14"/>
      <c r="M82" s="14"/>
      <c r="N82" s="15"/>
      <c r="O82" s="14"/>
      <c r="P82" s="14"/>
      <c r="Q82" s="14"/>
      <c r="R82" s="14"/>
      <c r="S82" s="14"/>
      <c r="T82" s="14"/>
      <c r="U82" s="14"/>
      <c r="V82" s="14"/>
      <c r="W82" s="15"/>
      <c r="X82" s="15"/>
      <c r="Y82" s="16"/>
      <c r="Z82" s="16"/>
      <c r="AA82" s="16"/>
      <c r="AB82" s="16"/>
      <c r="AC82" s="16"/>
      <c r="AD82" s="17"/>
      <c r="AE82" s="17"/>
    </row>
    <row r="83" spans="1:31" x14ac:dyDescent="0.2"/>
    <row r="84" spans="1:31" x14ac:dyDescent="0.2">
      <c r="C84" s="21" t="str">
        <f>B82</f>
        <v>Regulatory years</v>
      </c>
      <c r="D84" s="22" t="s">
        <v>3</v>
      </c>
      <c r="E84" s="22"/>
      <c r="F84" s="23"/>
      <c r="G84" s="23" t="s">
        <v>50</v>
      </c>
      <c r="H84" s="23" t="s">
        <v>7</v>
      </c>
      <c r="I84" s="162" t="s">
        <v>696</v>
      </c>
      <c r="J84" s="24"/>
    </row>
    <row r="85" spans="1:31" x14ac:dyDescent="0.2">
      <c r="C85" s="36" t="s">
        <v>52</v>
      </c>
      <c r="D85" s="20" t="s">
        <v>51</v>
      </c>
      <c r="E85" s="20"/>
      <c r="F85" s="20"/>
      <c r="G85" s="488" t="str">
        <f>RCP_firstyear</f>
        <v>2019–20</v>
      </c>
      <c r="H85" s="486">
        <f>INDEX($H$58:$H$80,MATCH(G85,$I$58:$I$80))</f>
        <v>43983</v>
      </c>
      <c r="I85" s="565">
        <f>IF(G85&gt;forecastyear,0,1)</f>
        <v>1</v>
      </c>
      <c r="J85" s="491"/>
      <c r="L85" s="491"/>
      <c r="M85" s="491"/>
      <c r="N85" s="491"/>
      <c r="U85" s="483"/>
    </row>
    <row r="86" spans="1:31" x14ac:dyDescent="0.2">
      <c r="C86" s="36" t="s">
        <v>53</v>
      </c>
      <c r="D86" s="20" t="s">
        <v>51</v>
      </c>
      <c r="E86" s="20"/>
      <c r="F86" s="20"/>
      <c r="G86" s="488" t="str">
        <f>INDEX(Lookups!I58:I68,MATCH(RCP_firstyear,Lookups!I58:I68)+1)</f>
        <v>2020–21</v>
      </c>
      <c r="H86" s="486">
        <f>INDEX($H$58:$H$80,MATCH(G86,$I$58:$I$80))</f>
        <v>44348</v>
      </c>
      <c r="I86" s="565">
        <f>IF(G86&gt;forecastyear,0,1)</f>
        <v>1</v>
      </c>
      <c r="J86" s="491"/>
      <c r="L86" s="491"/>
      <c r="M86" s="491"/>
      <c r="N86" s="491"/>
      <c r="U86" s="483"/>
    </row>
    <row r="87" spans="1:31" x14ac:dyDescent="0.2">
      <c r="C87" s="36" t="s">
        <v>54</v>
      </c>
      <c r="D87" s="20" t="s">
        <v>51</v>
      </c>
      <c r="E87" s="20"/>
      <c r="F87" s="20"/>
      <c r="G87" s="488" t="str">
        <f>INDEX(Lookups!I58:I68,MATCH(RCP_firstyear,Lookups!I58:I68)+2)</f>
        <v>2021–22</v>
      </c>
      <c r="H87" s="486">
        <f>INDEX($H$58:$H$80,MATCH(G87,$I$58:$I$80))</f>
        <v>44713</v>
      </c>
      <c r="I87" s="565">
        <f>IF(G87&gt;forecastyear,0,1)</f>
        <v>1</v>
      </c>
      <c r="J87" s="491"/>
      <c r="L87" s="491"/>
      <c r="M87" s="491"/>
      <c r="N87" s="491"/>
      <c r="U87" s="483"/>
    </row>
    <row r="88" spans="1:31" x14ac:dyDescent="0.2">
      <c r="C88" s="36" t="s">
        <v>55</v>
      </c>
      <c r="D88" s="20" t="s">
        <v>51</v>
      </c>
      <c r="E88" s="20"/>
      <c r="F88" s="20"/>
      <c r="G88" s="488" t="str">
        <f>INDEX(Lookups!I58:I68,MATCH(RCP_firstyear,Lookups!I58:I68)+3)</f>
        <v>2022–23</v>
      </c>
      <c r="H88" s="486">
        <f>INDEX($H$58:$H$80,MATCH(G88,$I$58:$I$80))</f>
        <v>45078</v>
      </c>
      <c r="I88" s="565">
        <f>IF(G88&gt;forecastyear,0,1)</f>
        <v>1</v>
      </c>
      <c r="J88" s="491"/>
      <c r="L88" s="491"/>
      <c r="M88" s="491"/>
      <c r="N88" s="491"/>
      <c r="U88" s="483"/>
    </row>
    <row r="89" spans="1:31" x14ac:dyDescent="0.2">
      <c r="C89" s="36" t="s">
        <v>56</v>
      </c>
      <c r="D89" s="20" t="s">
        <v>51</v>
      </c>
      <c r="E89" s="20"/>
      <c r="F89" s="20"/>
      <c r="G89" s="488" t="str">
        <f>INDEX(Lookups!I58:I68,MATCH(RCP_firstyear,Lookups!I58:I68)+4)</f>
        <v>2023–24</v>
      </c>
      <c r="H89" s="486">
        <f>INDEX($H$58:$H$80,MATCH(G89,$I$58:$I$80))</f>
        <v>45444</v>
      </c>
      <c r="I89" s="565">
        <f>IF(G89&gt;forecastyear,0,1)</f>
        <v>0</v>
      </c>
      <c r="J89" s="491"/>
      <c r="L89" s="491"/>
      <c r="M89" s="491"/>
      <c r="N89" s="491"/>
      <c r="U89" s="483"/>
    </row>
    <row r="90" spans="1:31" x14ac:dyDescent="0.2">
      <c r="C90" s="36"/>
      <c r="D90" s="20"/>
      <c r="E90" s="20"/>
      <c r="F90" s="20"/>
      <c r="G90" s="401"/>
      <c r="H90" s="490"/>
      <c r="U90" s="483"/>
    </row>
    <row r="91" spans="1:31" s="18" customFormat="1" ht="12.75" x14ac:dyDescent="0.2">
      <c r="A91" s="11"/>
      <c r="B91" s="12" t="s">
        <v>402</v>
      </c>
      <c r="C91" s="11"/>
      <c r="D91" s="11"/>
      <c r="E91" s="11"/>
      <c r="F91" s="13"/>
      <c r="G91" s="13"/>
      <c r="H91" s="13"/>
      <c r="I91" s="13"/>
      <c r="J91" s="14"/>
      <c r="K91" s="15"/>
      <c r="L91" s="14"/>
      <c r="M91" s="14"/>
      <c r="N91" s="15"/>
      <c r="O91" s="14"/>
      <c r="P91" s="14"/>
      <c r="Q91" s="14"/>
      <c r="R91" s="14"/>
      <c r="S91" s="14"/>
      <c r="T91" s="14"/>
      <c r="U91" s="14"/>
      <c r="V91" s="14"/>
      <c r="W91" s="15"/>
      <c r="X91" s="15"/>
      <c r="Y91" s="16"/>
      <c r="Z91" s="16"/>
      <c r="AA91" s="16"/>
      <c r="AB91" s="16"/>
      <c r="AC91" s="16"/>
      <c r="AD91" s="17"/>
      <c r="AE91" s="17"/>
    </row>
    <row r="92" spans="1:31" x14ac:dyDescent="0.2">
      <c r="C92" s="36"/>
      <c r="D92" s="20"/>
      <c r="E92" s="20"/>
      <c r="F92" s="20"/>
      <c r="G92" s="401"/>
      <c r="H92" s="490"/>
      <c r="U92" s="483"/>
    </row>
    <row r="93" spans="1:31" x14ac:dyDescent="0.2">
      <c r="C93" s="492" t="str">
        <f>IF(INDEX($I$127:$I$141,MATCH(DNSP,$G$127:$G$141,0))="Vic",Metering!C42,Metering!C7)</f>
        <v>Business LV - Single Phase</v>
      </c>
      <c r="D93" s="20"/>
      <c r="E93" s="20"/>
      <c r="F93" s="20"/>
      <c r="G93" s="401"/>
      <c r="H93" s="490"/>
      <c r="U93" s="483"/>
    </row>
    <row r="94" spans="1:31" x14ac:dyDescent="0.2">
      <c r="C94" s="492" t="str">
        <f>IF(INDEX($I$127:$I$141,MATCH(DNSP,$G$127:$G$141,0))="Vic",Metering!C43,Metering!C8)</f>
        <v>Business LV - Multi Phase</v>
      </c>
      <c r="D94" s="20"/>
      <c r="E94" s="20"/>
      <c r="F94" s="20"/>
      <c r="G94" s="401"/>
      <c r="H94" s="490"/>
      <c r="U94" s="483"/>
    </row>
    <row r="95" spans="1:31" x14ac:dyDescent="0.2">
      <c r="C95" s="492" t="str">
        <f>IF(INDEX($I$127:$I$141,MATCH(DNSP,$G$127:$G$141,0))="Vic",Metering!C44,Metering!C9)</f>
        <v>Business LV - CT Meters</v>
      </c>
      <c r="D95" s="20"/>
      <c r="E95" s="20"/>
      <c r="F95" s="20"/>
      <c r="G95" s="401"/>
      <c r="H95" s="490"/>
      <c r="U95" s="483"/>
    </row>
    <row r="96" spans="1:31" x14ac:dyDescent="0.2">
      <c r="C96" s="492" t="str">
        <f>IF(INDEX($I$127:$I$141,MATCH(DNSP,$G$127:$G$141,0))="Vic",Metering!C45,Metering!C10)</f>
        <v>Domestic LV - Single Phase</v>
      </c>
      <c r="D96" s="20"/>
      <c r="E96" s="20"/>
      <c r="F96" s="20"/>
      <c r="G96" s="401"/>
      <c r="H96" s="490"/>
      <c r="U96" s="483"/>
    </row>
    <row r="97" spans="3:21" x14ac:dyDescent="0.2">
      <c r="C97" s="492" t="str">
        <f>IF(INDEX($I$127:$I$141,MATCH(DNSP,$G$127:$G$141,0))="Vic",Metering!C46,Metering!C11)</f>
        <v>Domestic LV - Multi Phase</v>
      </c>
      <c r="D97" s="20"/>
      <c r="E97" s="20"/>
      <c r="F97" s="20"/>
      <c r="G97" s="401"/>
      <c r="H97" s="490"/>
      <c r="U97" s="483"/>
    </row>
    <row r="98" spans="3:21" x14ac:dyDescent="0.2">
      <c r="C98" s="492" t="str">
        <f>IF(INDEX($I$127:$I$141,MATCH(DNSP,$G$127:$G$141,0))="Vic",Metering!C47,Metering!C12)</f>
        <v>Domestic LV - CT Meters</v>
      </c>
      <c r="D98" s="20"/>
      <c r="E98" s="20"/>
      <c r="F98" s="20"/>
      <c r="G98" s="401"/>
      <c r="H98" s="490"/>
      <c r="U98" s="483"/>
    </row>
    <row r="99" spans="3:21" x14ac:dyDescent="0.2">
      <c r="C99" s="492" t="str">
        <f>IF(INDEX($I$127:$I$141,MATCH(DNSP,$G$127:$G$141,0))="Vic",Metering!C48,Metering!C13)</f>
        <v>Other meters</v>
      </c>
      <c r="D99" s="20"/>
      <c r="E99" s="20"/>
      <c r="F99" s="20"/>
      <c r="G99" s="401"/>
      <c r="H99" s="490"/>
      <c r="U99" s="483"/>
    </row>
    <row r="100" spans="3:21" x14ac:dyDescent="0.2">
      <c r="C100" s="492">
        <f>IF(INDEX($I$127:$I$141,MATCH(DNSP,$G$127:$G$141,0))="Vic",0,Metering!C14)</f>
        <v>0</v>
      </c>
      <c r="D100" s="20"/>
      <c r="E100" s="20"/>
      <c r="F100" s="20"/>
      <c r="G100" s="401"/>
      <c r="H100" s="490"/>
      <c r="U100" s="483"/>
    </row>
    <row r="101" spans="3:21" x14ac:dyDescent="0.2">
      <c r="C101" s="492">
        <f>IF(INDEX($I$127:$I$141,MATCH(DNSP,$G$127:$G$141,0))="Vic",0,Metering!C15)</f>
        <v>0</v>
      </c>
      <c r="D101" s="20"/>
      <c r="E101" s="20"/>
      <c r="F101" s="20"/>
      <c r="G101" s="401"/>
      <c r="H101" s="490"/>
      <c r="U101" s="483"/>
    </row>
    <row r="102" spans="3:21" x14ac:dyDescent="0.2">
      <c r="C102" s="492">
        <f>IF(INDEX($I$127:$I$141,MATCH(DNSP,$G$127:$G$141,0))="Vic",0,Metering!C16)</f>
        <v>0</v>
      </c>
      <c r="D102" s="20"/>
      <c r="E102" s="20"/>
      <c r="F102" s="20"/>
      <c r="G102" s="401"/>
      <c r="H102" s="490"/>
      <c r="U102" s="483"/>
    </row>
    <row r="103" spans="3:21" x14ac:dyDescent="0.2">
      <c r="C103" s="492">
        <f>IF(INDEX($I$127:$I$141,MATCH(DNSP,$G$127:$G$141,0))="Vic",0,Metering!C17)</f>
        <v>0</v>
      </c>
      <c r="D103" s="20"/>
      <c r="E103" s="20"/>
      <c r="F103" s="20"/>
      <c r="G103" s="401"/>
      <c r="H103" s="490"/>
      <c r="U103" s="483"/>
    </row>
    <row r="104" spans="3:21" x14ac:dyDescent="0.2">
      <c r="C104" s="492">
        <f>IF(INDEX($I$127:$I$141,MATCH(DNSP,$G$127:$G$141,0))="Vic",0,Metering!C18)</f>
        <v>0</v>
      </c>
      <c r="D104" s="20"/>
      <c r="E104" s="20"/>
      <c r="F104" s="20"/>
      <c r="G104" s="401"/>
      <c r="H104" s="490"/>
      <c r="U104" s="483"/>
    </row>
    <row r="105" spans="3:21" x14ac:dyDescent="0.2">
      <c r="C105" s="492">
        <f>IF(INDEX($I$127:$I$141,MATCH(DNSP,$G$127:$G$141,0))="Vic",0,Metering!C19)</f>
        <v>0</v>
      </c>
      <c r="D105" s="20"/>
      <c r="E105" s="20"/>
      <c r="F105" s="20"/>
      <c r="G105" s="401"/>
      <c r="H105" s="490"/>
      <c r="U105" s="483"/>
    </row>
    <row r="106" spans="3:21" x14ac:dyDescent="0.2">
      <c r="C106" s="492">
        <f>IF(INDEX($I$127:$I$141,MATCH(DNSP,$G$127:$G$141,0))="Vic",0,Metering!C20)</f>
        <v>0</v>
      </c>
      <c r="D106" s="20"/>
      <c r="E106" s="20"/>
      <c r="F106" s="20"/>
      <c r="G106" s="401"/>
      <c r="H106" s="490"/>
      <c r="U106" s="483"/>
    </row>
    <row r="107" spans="3:21" x14ac:dyDescent="0.2">
      <c r="C107" s="492">
        <f>IF(INDEX($I$127:$I$141,MATCH(DNSP,$G$127:$G$141,0))="Vic",0,Metering!C21)</f>
        <v>0</v>
      </c>
      <c r="D107" s="20"/>
      <c r="E107" s="20"/>
      <c r="F107" s="20"/>
      <c r="G107" s="401"/>
      <c r="H107" s="490"/>
      <c r="U107" s="483"/>
    </row>
    <row r="108" spans="3:21" x14ac:dyDescent="0.2">
      <c r="C108" s="492">
        <f>IF(INDEX($I$127:$I$141,MATCH(DNSP,$G$127:$G$141,0))="Vic",0,Metering!C22)</f>
        <v>0</v>
      </c>
      <c r="D108" s="20"/>
      <c r="E108" s="20"/>
      <c r="F108" s="20"/>
      <c r="G108" s="401"/>
      <c r="H108" s="490"/>
      <c r="U108" s="483"/>
    </row>
    <row r="109" spans="3:21" x14ac:dyDescent="0.2">
      <c r="C109" s="492">
        <f>IF(INDEX($I$127:$I$141,MATCH(DNSP,$G$127:$G$141,0))="Vic",0,Metering!C23)</f>
        <v>0</v>
      </c>
      <c r="D109" s="20"/>
      <c r="E109" s="20"/>
      <c r="F109" s="20"/>
      <c r="G109" s="401"/>
      <c r="H109" s="490"/>
      <c r="U109" s="483"/>
    </row>
    <row r="110" spans="3:21" x14ac:dyDescent="0.2">
      <c r="C110" s="492">
        <f>IF(INDEX($I$127:$I$141,MATCH(DNSP,$G$127:$G$141,0))="Vic",0,Metering!C24)</f>
        <v>0</v>
      </c>
      <c r="D110" s="20"/>
      <c r="E110" s="20"/>
      <c r="F110" s="20"/>
      <c r="G110" s="401"/>
      <c r="H110" s="490"/>
      <c r="U110" s="483"/>
    </row>
    <row r="111" spans="3:21" x14ac:dyDescent="0.2">
      <c r="C111" s="492">
        <f>IF(INDEX($I$127:$I$141,MATCH(DNSP,$G$127:$G$141,0))="Vic",0,Metering!C25)</f>
        <v>0</v>
      </c>
      <c r="D111" s="20"/>
      <c r="E111" s="20"/>
      <c r="F111" s="20"/>
      <c r="G111" s="401"/>
      <c r="H111" s="490"/>
      <c r="U111" s="483"/>
    </row>
    <row r="112" spans="3:21" x14ac:dyDescent="0.2">
      <c r="C112" s="492">
        <f>IF(INDEX($I$127:$I$141,MATCH(DNSP,$G$127:$G$141,0))="Vic",0,Metering!C26)</f>
        <v>0</v>
      </c>
      <c r="D112" s="20"/>
      <c r="E112" s="20"/>
      <c r="F112" s="20"/>
      <c r="G112" s="401"/>
      <c r="H112" s="490"/>
      <c r="U112" s="483"/>
    </row>
    <row r="113" spans="1:31" x14ac:dyDescent="0.2">
      <c r="C113" s="492">
        <f>IF(INDEX($I$127:$I$141,MATCH(DNSP,$G$127:$G$141,0))="Vic",0,Metering!C27)</f>
        <v>0</v>
      </c>
      <c r="D113" s="20"/>
      <c r="E113" s="20"/>
      <c r="F113" s="20"/>
      <c r="G113" s="401"/>
      <c r="H113" s="490"/>
      <c r="U113" s="483"/>
    </row>
    <row r="114" spans="1:31" x14ac:dyDescent="0.2">
      <c r="C114" s="492">
        <f>IF(INDEX($I$127:$I$141,MATCH(DNSP,$G$127:$G$141,0))="Vic",0,Metering!C28)</f>
        <v>0</v>
      </c>
      <c r="D114" s="20"/>
      <c r="E114" s="20"/>
      <c r="F114" s="20"/>
      <c r="G114" s="401"/>
      <c r="H114" s="490"/>
      <c r="U114" s="483"/>
    </row>
    <row r="115" spans="1:31" x14ac:dyDescent="0.2">
      <c r="C115" s="492">
        <f>IF(INDEX($I$127:$I$141,MATCH(DNSP,$G$127:$G$141,0))="Vic",0,Metering!C29)</f>
        <v>0</v>
      </c>
      <c r="D115" s="20"/>
      <c r="E115" s="20"/>
      <c r="F115" s="20"/>
      <c r="G115" s="401"/>
      <c r="H115" s="490"/>
      <c r="U115" s="483"/>
    </row>
    <row r="116" spans="1:31" x14ac:dyDescent="0.2">
      <c r="C116" s="492">
        <f>IF(INDEX($I$127:$I$141,MATCH(DNSP,$G$127:$G$141,0))="Vic",0,Metering!C30)</f>
        <v>0</v>
      </c>
      <c r="D116" s="20"/>
      <c r="E116" s="20"/>
      <c r="F116" s="20"/>
      <c r="G116" s="401"/>
      <c r="H116" s="490"/>
      <c r="U116" s="483"/>
    </row>
    <row r="117" spans="1:31" x14ac:dyDescent="0.2">
      <c r="C117" s="492">
        <f>IF(INDEX($I$127:$I$141,MATCH(DNSP,$G$127:$G$141,0))="Vic",0,Metering!C31)</f>
        <v>0</v>
      </c>
      <c r="D117" s="20"/>
      <c r="E117" s="20"/>
      <c r="F117" s="20"/>
      <c r="G117" s="401"/>
      <c r="H117" s="490"/>
      <c r="U117" s="483"/>
    </row>
    <row r="118" spans="1:31" x14ac:dyDescent="0.2">
      <c r="C118" s="492">
        <f>IF(INDEX($I$127:$I$141,MATCH(DNSP,$G$127:$G$141,0))="Vic",0,Metering!C32)</f>
        <v>0</v>
      </c>
      <c r="D118" s="20"/>
      <c r="E118" s="20"/>
      <c r="F118" s="20"/>
      <c r="G118" s="401"/>
      <c r="H118" s="490"/>
      <c r="U118" s="483"/>
    </row>
    <row r="119" spans="1:31" x14ac:dyDescent="0.2">
      <c r="C119" s="492">
        <f>IF(INDEX($I$127:$I$141,MATCH(DNSP,$G$127:$G$141,0))="Vic",0,Metering!C33)</f>
        <v>0</v>
      </c>
      <c r="D119" s="20"/>
      <c r="E119" s="20"/>
      <c r="F119" s="20"/>
      <c r="G119" s="401"/>
      <c r="H119" s="490"/>
      <c r="U119" s="483"/>
    </row>
    <row r="120" spans="1:31" x14ac:dyDescent="0.2">
      <c r="C120" s="492">
        <f>IF(INDEX($I$127:$I$141,MATCH(DNSP,$G$127:$G$141,0))="Vic",0,Metering!C34)</f>
        <v>0</v>
      </c>
      <c r="D120" s="20"/>
      <c r="E120" s="20"/>
      <c r="F120" s="20"/>
      <c r="G120" s="401"/>
      <c r="H120" s="490"/>
      <c r="U120" s="483"/>
    </row>
    <row r="121" spans="1:31" x14ac:dyDescent="0.2">
      <c r="C121" s="492">
        <f>IF(INDEX($I$127:$I$141,MATCH(DNSP,$G$127:$G$141,0))="Vic",0,Metering!C35)</f>
        <v>0</v>
      </c>
      <c r="D121" s="20"/>
      <c r="E121" s="20"/>
      <c r="F121" s="20"/>
      <c r="G121" s="401"/>
      <c r="H121" s="490"/>
      <c r="U121" s="483"/>
    </row>
    <row r="122" spans="1:31" x14ac:dyDescent="0.2">
      <c r="C122" s="492">
        <f>IF(INDEX($I$127:$I$141,MATCH(DNSP,$G$127:$G$141,0))="Vic",0,Metering!C36)</f>
        <v>0</v>
      </c>
      <c r="D122" s="20"/>
      <c r="E122" s="20"/>
      <c r="F122" s="20"/>
      <c r="G122" s="401"/>
      <c r="H122" s="490"/>
      <c r="U122" s="483"/>
    </row>
    <row r="123" spans="1:31" x14ac:dyDescent="0.2">
      <c r="C123" s="36"/>
      <c r="D123" s="20"/>
      <c r="E123" s="20"/>
      <c r="F123" s="20"/>
      <c r="G123" s="401"/>
      <c r="H123" s="490"/>
      <c r="U123" s="483"/>
    </row>
    <row r="124" spans="1:31" s="18" customFormat="1" ht="12.75" x14ac:dyDescent="0.2">
      <c r="A124" s="11"/>
      <c r="B124" s="12" t="s">
        <v>61</v>
      </c>
      <c r="C124" s="11"/>
      <c r="D124" s="11"/>
      <c r="E124" s="11"/>
      <c r="F124" s="13"/>
      <c r="G124" s="13"/>
      <c r="H124" s="13"/>
      <c r="I124" s="13"/>
      <c r="J124" s="14"/>
      <c r="K124" s="15"/>
      <c r="L124" s="14"/>
      <c r="M124" s="14"/>
      <c r="N124" s="15"/>
      <c r="O124" s="14"/>
      <c r="P124" s="14"/>
      <c r="Q124" s="14"/>
      <c r="R124" s="14"/>
      <c r="S124" s="14"/>
      <c r="T124" s="14"/>
      <c r="U124" s="14"/>
      <c r="V124" s="14"/>
      <c r="W124" s="15"/>
      <c r="X124" s="15"/>
      <c r="Y124" s="16"/>
      <c r="Z124" s="16"/>
      <c r="AA124" s="16"/>
      <c r="AB124" s="16"/>
      <c r="AC124" s="16"/>
      <c r="AD124" s="17"/>
      <c r="AE124" s="17"/>
    </row>
    <row r="125" spans="1:31" x14ac:dyDescent="0.2"/>
    <row r="126" spans="1:31" x14ac:dyDescent="0.2">
      <c r="C126" s="21" t="str">
        <f>B124</f>
        <v>DNSP name</v>
      </c>
      <c r="D126" s="22" t="s">
        <v>3</v>
      </c>
      <c r="E126" s="22"/>
      <c r="F126" s="23"/>
      <c r="G126" s="23"/>
      <c r="H126" s="23"/>
    </row>
    <row r="127" spans="1:31" x14ac:dyDescent="0.2">
      <c r="C127" s="36"/>
      <c r="D127" s="20" t="s">
        <v>6</v>
      </c>
      <c r="E127" s="20"/>
      <c r="F127" s="20"/>
      <c r="G127" s="691" t="s">
        <v>6</v>
      </c>
      <c r="H127" s="692"/>
      <c r="I127" s="478" t="s">
        <v>93</v>
      </c>
    </row>
    <row r="128" spans="1:31" x14ac:dyDescent="0.2">
      <c r="C128" s="36"/>
      <c r="D128" s="20" t="s">
        <v>6</v>
      </c>
      <c r="E128" s="20"/>
      <c r="F128" s="20"/>
      <c r="G128" s="493" t="s">
        <v>63</v>
      </c>
      <c r="H128" s="494"/>
      <c r="I128" s="478" t="s">
        <v>90</v>
      </c>
    </row>
    <row r="129" spans="1:31" x14ac:dyDescent="0.2">
      <c r="C129" s="36"/>
      <c r="D129" s="20" t="s">
        <v>6</v>
      </c>
      <c r="E129" s="20"/>
      <c r="F129" s="20"/>
      <c r="G129" s="691" t="s">
        <v>62</v>
      </c>
      <c r="H129" s="692"/>
      <c r="I129" s="478" t="s">
        <v>92</v>
      </c>
    </row>
    <row r="130" spans="1:31" x14ac:dyDescent="0.2">
      <c r="C130" s="36"/>
      <c r="D130" s="20" t="s">
        <v>6</v>
      </c>
      <c r="E130" s="20"/>
      <c r="F130" s="20"/>
      <c r="G130" s="691" t="s">
        <v>64</v>
      </c>
      <c r="H130" s="692"/>
      <c r="I130" s="478" t="s">
        <v>92</v>
      </c>
    </row>
    <row r="131" spans="1:31" x14ac:dyDescent="0.2">
      <c r="C131" s="36"/>
      <c r="D131" s="20" t="s">
        <v>6</v>
      </c>
      <c r="E131" s="20"/>
      <c r="F131" s="20"/>
      <c r="G131" s="691" t="s">
        <v>65</v>
      </c>
      <c r="H131" s="692"/>
      <c r="I131" s="478" t="s">
        <v>90</v>
      </c>
    </row>
    <row r="132" spans="1:31" x14ac:dyDescent="0.2">
      <c r="C132" s="36"/>
      <c r="D132" s="20" t="s">
        <v>6</v>
      </c>
      <c r="E132" s="20"/>
      <c r="F132" s="20"/>
      <c r="G132" s="691" t="s">
        <v>66</v>
      </c>
      <c r="H132" s="692"/>
      <c r="I132" s="478" t="s">
        <v>91</v>
      </c>
    </row>
    <row r="133" spans="1:31" x14ac:dyDescent="0.2">
      <c r="C133" s="36"/>
      <c r="D133" s="20" t="s">
        <v>6</v>
      </c>
      <c r="E133" s="20"/>
      <c r="F133" s="20"/>
      <c r="G133" s="691" t="s">
        <v>67</v>
      </c>
      <c r="H133" s="692"/>
      <c r="I133" s="478" t="s">
        <v>91</v>
      </c>
    </row>
    <row r="134" spans="1:31" x14ac:dyDescent="0.2">
      <c r="C134" s="36"/>
      <c r="D134" s="20" t="s">
        <v>6</v>
      </c>
      <c r="E134" s="20"/>
      <c r="F134" s="20"/>
      <c r="G134" s="691" t="s">
        <v>68</v>
      </c>
      <c r="H134" s="692"/>
      <c r="I134" s="478" t="s">
        <v>90</v>
      </c>
    </row>
    <row r="135" spans="1:31" x14ac:dyDescent="0.2">
      <c r="C135" s="36"/>
      <c r="D135" s="20" t="s">
        <v>6</v>
      </c>
      <c r="E135" s="20"/>
      <c r="F135" s="20"/>
      <c r="G135" s="691" t="s">
        <v>69</v>
      </c>
      <c r="H135" s="692"/>
      <c r="I135" s="478" t="s">
        <v>93</v>
      </c>
    </row>
    <row r="136" spans="1:31" x14ac:dyDescent="0.2">
      <c r="C136" s="36"/>
      <c r="D136" s="20" t="s">
        <v>6</v>
      </c>
      <c r="E136" s="20"/>
      <c r="F136" s="20"/>
      <c r="G136" s="691" t="s">
        <v>70</v>
      </c>
      <c r="H136" s="692"/>
      <c r="I136" s="478" t="s">
        <v>92</v>
      </c>
    </row>
    <row r="137" spans="1:31" x14ac:dyDescent="0.2">
      <c r="C137" s="36"/>
      <c r="D137" s="20" t="s">
        <v>6</v>
      </c>
      <c r="E137" s="20"/>
      <c r="F137" s="20"/>
      <c r="G137" s="691" t="s">
        <v>71</v>
      </c>
      <c r="H137" s="692"/>
      <c r="I137" s="478" t="s">
        <v>92</v>
      </c>
    </row>
    <row r="138" spans="1:31" x14ac:dyDescent="0.2">
      <c r="C138" s="36"/>
      <c r="D138" s="20" t="s">
        <v>6</v>
      </c>
      <c r="E138" s="20"/>
      <c r="F138" s="20"/>
      <c r="G138" s="691" t="s">
        <v>72</v>
      </c>
      <c r="H138" s="692"/>
      <c r="I138" s="478" t="s">
        <v>94</v>
      </c>
    </row>
    <row r="139" spans="1:31" x14ac:dyDescent="0.2">
      <c r="C139" s="36"/>
      <c r="D139" s="20" t="s">
        <v>6</v>
      </c>
      <c r="E139" s="20"/>
      <c r="F139" s="20"/>
      <c r="G139" s="691" t="s">
        <v>5</v>
      </c>
      <c r="H139" s="692"/>
      <c r="I139" s="478" t="s">
        <v>95</v>
      </c>
    </row>
    <row r="140" spans="1:31" x14ac:dyDescent="0.2">
      <c r="C140" s="36"/>
      <c r="D140" s="20" t="s">
        <v>6</v>
      </c>
      <c r="E140" s="20"/>
      <c r="F140" s="20"/>
      <c r="G140" s="691" t="s">
        <v>73</v>
      </c>
      <c r="H140" s="692"/>
      <c r="I140" s="478" t="s">
        <v>96</v>
      </c>
    </row>
    <row r="141" spans="1:31" x14ac:dyDescent="0.2">
      <c r="C141" s="36"/>
      <c r="D141" s="20" t="s">
        <v>6</v>
      </c>
      <c r="E141" s="20"/>
      <c r="F141" s="20"/>
      <c r="G141" s="691" t="s">
        <v>74</v>
      </c>
      <c r="H141" s="692"/>
      <c r="I141" s="478" t="s">
        <v>92</v>
      </c>
    </row>
    <row r="142" spans="1:31" x14ac:dyDescent="0.2"/>
    <row r="143" spans="1:31" s="18" customFormat="1" ht="12.75" x14ac:dyDescent="0.2">
      <c r="A143" s="11"/>
      <c r="B143" s="12" t="s">
        <v>8</v>
      </c>
      <c r="C143" s="11"/>
      <c r="D143" s="11"/>
      <c r="E143" s="11"/>
      <c r="F143" s="13"/>
      <c r="G143" s="13"/>
      <c r="H143" s="13"/>
      <c r="I143" s="13"/>
      <c r="J143" s="14"/>
      <c r="K143" s="15"/>
      <c r="L143" s="14"/>
      <c r="M143" s="14"/>
      <c r="N143" s="15"/>
      <c r="O143" s="14"/>
      <c r="P143" s="14"/>
      <c r="Q143" s="14"/>
      <c r="R143" s="14"/>
      <c r="S143" s="14"/>
      <c r="T143" s="14"/>
      <c r="U143" s="14"/>
      <c r="V143" s="14"/>
      <c r="W143" s="15"/>
      <c r="X143" s="15"/>
      <c r="Y143" s="16"/>
      <c r="Z143" s="16"/>
      <c r="AA143" s="16"/>
      <c r="AB143" s="16"/>
      <c r="AC143" s="16"/>
      <c r="AD143" s="17"/>
      <c r="AE143" s="17"/>
    </row>
  </sheetData>
  <sheetProtection formatColumns="0" formatRows="0"/>
  <mergeCells count="14">
    <mergeCell ref="G136:H136"/>
    <mergeCell ref="G141:H141"/>
    <mergeCell ref="G140:H140"/>
    <mergeCell ref="G139:H139"/>
    <mergeCell ref="G138:H138"/>
    <mergeCell ref="G137:H137"/>
    <mergeCell ref="G129:H129"/>
    <mergeCell ref="G127:H127"/>
    <mergeCell ref="G135:H135"/>
    <mergeCell ref="G134:H134"/>
    <mergeCell ref="G133:H133"/>
    <mergeCell ref="G132:H132"/>
    <mergeCell ref="G131:H131"/>
    <mergeCell ref="G130:H130"/>
  </mergeCells>
  <phoneticPr fontId="31" type="noConversion"/>
  <hyperlinks>
    <hyperlink ref="G1" location="'Pricing model'!A51" display="Back to Index" xr:uid="{00000000-0004-0000-1E00-000000000000}"/>
  </hyperlinks>
  <pageMargins left="0.7" right="0.7" top="0.75" bottom="0.75" header="0.3" footer="0.3"/>
  <pageSetup paperSize="9" orientation="portrait" verticalDpi="4" r:id="rId1"/>
  <ignoredErrors>
    <ignoredError sqref="G1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6">
    <tabColor theme="1"/>
  </sheetPr>
  <dimension ref="A1:AI77"/>
  <sheetViews>
    <sheetView showGridLines="0" zoomScaleNormal="100" workbookViewId="0"/>
  </sheetViews>
  <sheetFormatPr defaultColWidth="0" defaultRowHeight="0" customHeight="1" zeroHeight="1" x14ac:dyDescent="0.2"/>
  <cols>
    <col min="1" max="2" width="1.28515625" style="19" customWidth="1"/>
    <col min="3" max="3" width="16.28515625" style="19" customWidth="1"/>
    <col min="4" max="4" width="15.42578125" style="19" customWidth="1"/>
    <col min="5" max="5" width="18.7109375" style="19" customWidth="1"/>
    <col min="6" max="6" width="12.85546875" style="19" customWidth="1"/>
    <col min="7" max="7" width="17" style="19" customWidth="1"/>
    <col min="8" max="8" width="102" style="19" customWidth="1"/>
    <col min="9" max="9" width="4.140625" style="19" customWidth="1"/>
    <col min="10" max="10" width="5.5703125" style="19" customWidth="1"/>
    <col min="11" max="11" width="8" style="19" hidden="1" customWidth="1"/>
    <col min="12" max="19" width="8.42578125" style="19" hidden="1" customWidth="1"/>
    <col min="20" max="20" width="1.28515625" style="19" hidden="1" customWidth="1"/>
    <col min="21" max="21" width="9" style="19" hidden="1" customWidth="1"/>
    <col min="22" max="22" width="1.28515625" style="19" hidden="1" customWidth="1"/>
    <col min="23" max="16384" width="9" style="19" hidden="1"/>
  </cols>
  <sheetData>
    <row r="1" spans="1:35" s="1" customFormat="1" ht="15.75" x14ac:dyDescent="0.25">
      <c r="B1" s="2" t="str">
        <f>'Pricing model'!G2&amp;" - "&amp;'Pricing model'!G3</f>
        <v>AER pricing model - TasNetworks 2022–23</v>
      </c>
      <c r="C1" s="2"/>
      <c r="D1" s="2"/>
      <c r="E1" s="2"/>
      <c r="F1" s="3"/>
      <c r="G1" s="160" t="s">
        <v>0</v>
      </c>
      <c r="H1" s="3"/>
      <c r="I1" s="280"/>
      <c r="J1" s="18"/>
      <c r="K1" s="111"/>
      <c r="L1" s="111"/>
      <c r="M1" s="112"/>
      <c r="N1" s="51"/>
      <c r="O1" s="51"/>
      <c r="P1" s="18"/>
      <c r="Q1" s="18"/>
      <c r="R1" s="111"/>
      <c r="S1" s="113"/>
      <c r="T1" s="18"/>
      <c r="U1" s="114"/>
      <c r="V1" s="113"/>
      <c r="W1" s="18"/>
    </row>
    <row r="2" spans="1:35" s="1" customFormat="1" ht="12.75" x14ac:dyDescent="0.2">
      <c r="B2" s="265" t="str">
        <f>'Pricing model'!C53</f>
        <v>Model update log</v>
      </c>
      <c r="C2" s="265"/>
      <c r="D2" s="265"/>
      <c r="E2" s="265"/>
      <c r="F2" s="292"/>
      <c r="G2" s="292"/>
      <c r="H2" s="292"/>
    </row>
    <row r="3" spans="1:35" s="9" customFormat="1" ht="12.75" x14ac:dyDescent="0.2">
      <c r="B3" s="265">
        <f>'Pricing model'!D105</f>
        <v>0</v>
      </c>
      <c r="D3" s="481"/>
      <c r="E3" s="481"/>
    </row>
    <row r="4" spans="1:35" s="9" customFormat="1" ht="11.25" x14ac:dyDescent="0.2">
      <c r="D4" s="481"/>
      <c r="E4" s="481"/>
    </row>
    <row r="5" spans="1:35" s="18" customFormat="1" ht="12.75" x14ac:dyDescent="0.2">
      <c r="A5" s="11"/>
      <c r="B5" s="12"/>
      <c r="C5" s="12" t="s">
        <v>416</v>
      </c>
      <c r="D5" s="11"/>
      <c r="E5" s="11"/>
      <c r="F5" s="11"/>
      <c r="G5" s="11"/>
      <c r="H5" s="11"/>
      <c r="I5" s="11"/>
      <c r="J5" s="11"/>
      <c r="K5" s="13"/>
      <c r="L5" s="13"/>
      <c r="M5" s="13"/>
      <c r="N5" s="13"/>
      <c r="O5" s="14"/>
      <c r="P5" s="15"/>
      <c r="Q5" s="14"/>
      <c r="R5" s="15"/>
      <c r="S5" s="14"/>
      <c r="T5" s="14"/>
      <c r="U5" s="14"/>
      <c r="V5" s="14"/>
      <c r="W5" s="14"/>
      <c r="X5" s="14"/>
      <c r="Y5" s="14"/>
      <c r="Z5" s="14"/>
      <c r="AA5" s="15"/>
      <c r="AB5" s="15"/>
      <c r="AC5" s="16"/>
      <c r="AD5" s="16"/>
      <c r="AE5" s="16"/>
      <c r="AF5" s="16"/>
      <c r="AG5" s="16"/>
      <c r="AH5" s="17"/>
      <c r="AI5" s="17"/>
    </row>
    <row r="6" spans="1:35" ht="11.25" x14ac:dyDescent="0.2">
      <c r="C6" s="118"/>
      <c r="D6" s="38"/>
      <c r="E6" s="38"/>
      <c r="F6" s="38"/>
      <c r="G6" s="131"/>
      <c r="H6" s="266"/>
      <c r="I6" s="158"/>
    </row>
    <row r="7" spans="1:35" ht="11.25" x14ac:dyDescent="0.2">
      <c r="C7" s="267" t="s">
        <v>718</v>
      </c>
      <c r="D7" s="127" t="s">
        <v>719</v>
      </c>
      <c r="E7" s="127" t="s">
        <v>302</v>
      </c>
      <c r="F7" s="268"/>
      <c r="G7" s="572"/>
      <c r="H7" s="270"/>
      <c r="I7" s="158"/>
    </row>
    <row r="8" spans="1:35" ht="11.25" x14ac:dyDescent="0.2">
      <c r="C8" s="118" t="s">
        <v>720</v>
      </c>
      <c r="E8" s="19" t="s">
        <v>723</v>
      </c>
      <c r="F8" s="38"/>
      <c r="G8" s="131"/>
      <c r="H8" s="266"/>
      <c r="I8" s="158"/>
    </row>
    <row r="9" spans="1:35" ht="11.25" x14ac:dyDescent="0.2">
      <c r="C9" s="118"/>
      <c r="D9" s="491"/>
      <c r="E9" s="19" t="s">
        <v>772</v>
      </c>
      <c r="F9" s="38"/>
      <c r="G9" s="131"/>
      <c r="H9" s="266"/>
      <c r="I9" s="158"/>
    </row>
    <row r="10" spans="1:35" ht="11.25" x14ac:dyDescent="0.2">
      <c r="C10" s="118"/>
      <c r="D10" s="491"/>
      <c r="E10" s="24" t="s">
        <v>827</v>
      </c>
      <c r="F10" s="38"/>
      <c r="G10" s="131"/>
      <c r="H10" s="266"/>
      <c r="I10" s="158"/>
    </row>
    <row r="11" spans="1:35" ht="11.25" x14ac:dyDescent="0.2">
      <c r="C11" s="118"/>
      <c r="D11" s="491"/>
      <c r="E11" s="24" t="s">
        <v>828</v>
      </c>
      <c r="F11" s="38"/>
      <c r="G11" s="131"/>
      <c r="H11" s="266"/>
      <c r="I11" s="158"/>
    </row>
    <row r="12" spans="1:35" ht="11.25" x14ac:dyDescent="0.2">
      <c r="C12" s="118"/>
      <c r="D12" s="491"/>
      <c r="E12" s="24" t="s">
        <v>829</v>
      </c>
      <c r="F12" s="38"/>
      <c r="G12" s="131"/>
      <c r="H12" s="266"/>
      <c r="I12" s="158"/>
    </row>
    <row r="13" spans="1:35" ht="11.25" x14ac:dyDescent="0.2">
      <c r="C13" s="118"/>
      <c r="D13" s="579" t="s">
        <v>721</v>
      </c>
      <c r="E13" s="24" t="s">
        <v>722</v>
      </c>
      <c r="F13" s="38"/>
      <c r="G13" s="131"/>
      <c r="H13" s="266"/>
      <c r="I13" s="158"/>
    </row>
    <row r="14" spans="1:35" ht="11.25" x14ac:dyDescent="0.2">
      <c r="C14" s="118"/>
      <c r="D14" s="491" t="s">
        <v>748</v>
      </c>
      <c r="E14" s="19" t="s">
        <v>749</v>
      </c>
      <c r="F14" s="38"/>
      <c r="G14" s="131"/>
      <c r="H14" s="266"/>
      <c r="I14" s="158"/>
    </row>
    <row r="15" spans="1:35" ht="11.25" x14ac:dyDescent="0.2">
      <c r="C15" s="118"/>
      <c r="D15" s="491" t="s">
        <v>724</v>
      </c>
      <c r="E15" s="19" t="s">
        <v>725</v>
      </c>
      <c r="F15" s="38"/>
      <c r="G15" s="131"/>
      <c r="H15" s="266"/>
      <c r="I15" s="158"/>
    </row>
    <row r="16" spans="1:35" ht="11.25" x14ac:dyDescent="0.2">
      <c r="C16" s="118"/>
      <c r="D16" s="491" t="s">
        <v>726</v>
      </c>
      <c r="E16" s="19" t="s">
        <v>727</v>
      </c>
      <c r="F16" s="38"/>
      <c r="G16" s="131"/>
      <c r="H16" s="266"/>
      <c r="I16" s="158"/>
    </row>
    <row r="17" spans="3:9" ht="11.25" x14ac:dyDescent="0.2">
      <c r="C17" s="118"/>
      <c r="D17" s="491" t="s">
        <v>728</v>
      </c>
      <c r="E17" s="19" t="s">
        <v>729</v>
      </c>
      <c r="F17" s="38"/>
      <c r="G17" s="131"/>
      <c r="H17" s="266"/>
      <c r="I17" s="158"/>
    </row>
    <row r="18" spans="3:9" ht="11.25" x14ac:dyDescent="0.2">
      <c r="C18" s="118"/>
      <c r="D18" s="491" t="s">
        <v>735</v>
      </c>
      <c r="E18" s="19" t="s">
        <v>736</v>
      </c>
      <c r="F18" s="38"/>
      <c r="G18" s="131"/>
      <c r="H18" s="266"/>
      <c r="I18" s="158"/>
    </row>
    <row r="19" spans="3:9" ht="11.25" x14ac:dyDescent="0.2">
      <c r="C19" s="118"/>
      <c r="D19" s="491" t="s">
        <v>730</v>
      </c>
      <c r="E19" s="19" t="s">
        <v>731</v>
      </c>
      <c r="F19" s="38"/>
      <c r="G19" s="131"/>
      <c r="H19" s="266"/>
      <c r="I19" s="158"/>
    </row>
    <row r="20" spans="3:9" ht="11.25" x14ac:dyDescent="0.2">
      <c r="C20" s="118"/>
      <c r="D20" s="491" t="s">
        <v>732</v>
      </c>
      <c r="E20" s="19" t="s">
        <v>737</v>
      </c>
      <c r="F20" s="38"/>
      <c r="G20" s="131"/>
      <c r="H20" s="266"/>
      <c r="I20" s="158"/>
    </row>
    <row r="21" spans="3:9" ht="11.25" x14ac:dyDescent="0.2">
      <c r="C21" s="118"/>
      <c r="D21" s="491" t="s">
        <v>738</v>
      </c>
      <c r="E21" s="19" t="s">
        <v>739</v>
      </c>
      <c r="F21" s="38"/>
      <c r="G21" s="131"/>
      <c r="H21" s="266"/>
      <c r="I21" s="158"/>
    </row>
    <row r="22" spans="3:9" ht="11.25" x14ac:dyDescent="0.2">
      <c r="C22" s="118"/>
      <c r="D22" s="579" t="s">
        <v>773</v>
      </c>
      <c r="E22" s="24" t="s">
        <v>774</v>
      </c>
      <c r="F22" s="38"/>
      <c r="G22" s="131"/>
      <c r="H22" s="266"/>
      <c r="I22" s="158"/>
    </row>
    <row r="23" spans="3:9" ht="11.25" x14ac:dyDescent="0.2">
      <c r="C23" s="118"/>
      <c r="D23" s="579" t="s">
        <v>775</v>
      </c>
      <c r="E23" s="24" t="s">
        <v>774</v>
      </c>
      <c r="F23" s="38"/>
      <c r="G23" s="131"/>
      <c r="H23" s="266"/>
      <c r="I23" s="158"/>
    </row>
    <row r="24" spans="3:9" ht="11.25" x14ac:dyDescent="0.2">
      <c r="C24" s="118"/>
      <c r="D24" s="579" t="s">
        <v>776</v>
      </c>
      <c r="E24" s="24" t="s">
        <v>774</v>
      </c>
      <c r="F24" s="38"/>
      <c r="G24" s="131"/>
      <c r="H24" s="266"/>
      <c r="I24" s="158"/>
    </row>
    <row r="25" spans="3:9" ht="11.25" x14ac:dyDescent="0.2">
      <c r="C25" s="118"/>
      <c r="D25" s="491" t="s">
        <v>740</v>
      </c>
      <c r="E25" s="19" t="s">
        <v>741</v>
      </c>
      <c r="F25" s="38"/>
      <c r="G25" s="131"/>
      <c r="H25" s="266"/>
      <c r="I25" s="158"/>
    </row>
    <row r="26" spans="3:9" ht="11.25" x14ac:dyDescent="0.2">
      <c r="C26" s="118"/>
      <c r="D26" s="491" t="s">
        <v>742</v>
      </c>
      <c r="E26" s="19" t="s">
        <v>743</v>
      </c>
      <c r="F26" s="38"/>
      <c r="G26" s="131"/>
      <c r="H26" s="266"/>
      <c r="I26" s="158"/>
    </row>
    <row r="27" spans="3:9" ht="11.25" x14ac:dyDescent="0.2">
      <c r="C27" s="118"/>
      <c r="D27" s="491" t="s">
        <v>712</v>
      </c>
      <c r="E27" s="19" t="s">
        <v>747</v>
      </c>
      <c r="F27" s="38"/>
      <c r="G27" s="131"/>
      <c r="H27" s="266"/>
      <c r="I27" s="158"/>
    </row>
    <row r="28" spans="3:9" ht="11.25" x14ac:dyDescent="0.2">
      <c r="C28" s="118"/>
      <c r="D28" s="491" t="s">
        <v>745</v>
      </c>
      <c r="E28" s="19" t="s">
        <v>744</v>
      </c>
      <c r="F28" s="38"/>
      <c r="G28" s="131"/>
      <c r="H28" s="266"/>
      <c r="I28" s="158"/>
    </row>
    <row r="29" spans="3:9" ht="11.25" x14ac:dyDescent="0.2">
      <c r="C29" s="118"/>
      <c r="D29" s="491" t="s">
        <v>746</v>
      </c>
      <c r="E29" s="19" t="s">
        <v>743</v>
      </c>
      <c r="F29" s="38"/>
      <c r="G29" s="131"/>
      <c r="H29" s="266"/>
      <c r="I29" s="158"/>
    </row>
    <row r="30" spans="3:9" ht="11.25" x14ac:dyDescent="0.2">
      <c r="C30" s="118"/>
      <c r="D30" s="24" t="s">
        <v>777</v>
      </c>
      <c r="E30" s="24" t="s">
        <v>778</v>
      </c>
      <c r="F30" s="38"/>
      <c r="G30" s="131"/>
      <c r="H30" s="266"/>
      <c r="I30" s="158"/>
    </row>
    <row r="31" spans="3:9" ht="11.25" x14ac:dyDescent="0.2">
      <c r="C31" s="118"/>
      <c r="D31" s="24" t="s">
        <v>779</v>
      </c>
      <c r="E31" s="24" t="s">
        <v>774</v>
      </c>
      <c r="F31" s="38"/>
      <c r="G31" s="131"/>
      <c r="H31" s="266"/>
      <c r="I31" s="158"/>
    </row>
    <row r="32" spans="3:9" ht="11.25" x14ac:dyDescent="0.2">
      <c r="C32" s="118"/>
      <c r="D32" s="24" t="s">
        <v>780</v>
      </c>
      <c r="E32" s="24" t="s">
        <v>781</v>
      </c>
      <c r="F32" s="38"/>
      <c r="G32" s="131"/>
      <c r="H32" s="266"/>
      <c r="I32" s="158"/>
    </row>
    <row r="33" spans="3:9" ht="11.25" x14ac:dyDescent="0.2">
      <c r="C33" s="118"/>
      <c r="D33" s="579" t="s">
        <v>789</v>
      </c>
      <c r="E33" s="24" t="s">
        <v>788</v>
      </c>
      <c r="F33" s="38"/>
      <c r="G33" s="131"/>
      <c r="H33" s="266"/>
      <c r="I33" s="158"/>
    </row>
    <row r="34" spans="3:9" ht="11.25" x14ac:dyDescent="0.2">
      <c r="C34" s="118"/>
      <c r="D34" s="19" t="s">
        <v>750</v>
      </c>
      <c r="E34" s="19" t="s">
        <v>751</v>
      </c>
      <c r="F34" s="38"/>
      <c r="G34" s="131"/>
      <c r="H34" s="266"/>
      <c r="I34" s="158"/>
    </row>
    <row r="35" spans="3:9" ht="11.25" x14ac:dyDescent="0.2">
      <c r="C35" s="118"/>
      <c r="D35" s="579" t="s">
        <v>830</v>
      </c>
      <c r="E35" s="24" t="s">
        <v>831</v>
      </c>
      <c r="F35" s="38"/>
      <c r="G35" s="131"/>
      <c r="H35" s="266"/>
      <c r="I35" s="158"/>
    </row>
    <row r="36" spans="3:9" ht="11.25" x14ac:dyDescent="0.2">
      <c r="C36" s="118"/>
      <c r="D36" s="24" t="s">
        <v>782</v>
      </c>
      <c r="E36" s="24" t="s">
        <v>783</v>
      </c>
      <c r="F36" s="38"/>
      <c r="G36" s="131"/>
      <c r="H36" s="266"/>
      <c r="I36" s="158"/>
    </row>
    <row r="37" spans="3:9" ht="11.25" x14ac:dyDescent="0.2">
      <c r="C37" s="118"/>
      <c r="D37" s="24" t="s">
        <v>752</v>
      </c>
      <c r="E37" s="24" t="s">
        <v>755</v>
      </c>
      <c r="F37" s="38"/>
      <c r="G37" s="131"/>
      <c r="H37" s="266"/>
      <c r="I37" s="158"/>
    </row>
    <row r="38" spans="3:9" ht="11.25" x14ac:dyDescent="0.2">
      <c r="C38" s="118"/>
      <c r="D38" s="24" t="s">
        <v>784</v>
      </c>
      <c r="E38" s="24" t="s">
        <v>783</v>
      </c>
      <c r="F38" s="38"/>
      <c r="G38" s="131"/>
      <c r="H38" s="266"/>
      <c r="I38" s="158"/>
    </row>
    <row r="39" spans="3:9" ht="11.25" x14ac:dyDescent="0.2">
      <c r="C39" s="118"/>
      <c r="D39" s="24" t="s">
        <v>753</v>
      </c>
      <c r="E39" s="24" t="s">
        <v>755</v>
      </c>
      <c r="F39" s="38"/>
      <c r="G39" s="131"/>
      <c r="H39" s="266"/>
      <c r="I39" s="158"/>
    </row>
    <row r="40" spans="3:9" ht="11.25" x14ac:dyDescent="0.2">
      <c r="C40" s="118"/>
      <c r="D40" s="24" t="s">
        <v>785</v>
      </c>
      <c r="E40" s="24" t="s">
        <v>783</v>
      </c>
      <c r="F40" s="38"/>
      <c r="G40" s="131"/>
      <c r="H40" s="266"/>
      <c r="I40" s="158"/>
    </row>
    <row r="41" spans="3:9" ht="11.25" x14ac:dyDescent="0.2">
      <c r="C41" s="118"/>
      <c r="D41" s="24" t="s">
        <v>754</v>
      </c>
      <c r="E41" s="24" t="s">
        <v>755</v>
      </c>
      <c r="F41" s="38"/>
      <c r="G41" s="131"/>
      <c r="H41" s="266"/>
      <c r="I41" s="158"/>
    </row>
    <row r="42" spans="3:9" ht="11.25" x14ac:dyDescent="0.2">
      <c r="C42" s="118"/>
      <c r="D42" s="24" t="s">
        <v>786</v>
      </c>
      <c r="E42" s="24" t="s">
        <v>783</v>
      </c>
      <c r="F42" s="38"/>
      <c r="G42" s="131"/>
      <c r="H42" s="266"/>
      <c r="I42" s="158"/>
    </row>
    <row r="43" spans="3:9" ht="11.25" x14ac:dyDescent="0.2">
      <c r="C43" s="118"/>
      <c r="F43" s="38"/>
      <c r="G43" s="131"/>
      <c r="H43" s="266"/>
      <c r="I43" s="158"/>
    </row>
    <row r="44" spans="3:9" ht="11.25" x14ac:dyDescent="0.2">
      <c r="C44" s="118"/>
      <c r="F44" s="38"/>
      <c r="G44" s="131"/>
      <c r="H44" s="266"/>
      <c r="I44" s="158"/>
    </row>
    <row r="45" spans="3:9" ht="11.25" x14ac:dyDescent="0.2">
      <c r="C45" s="118"/>
      <c r="F45" s="38"/>
      <c r="G45" s="131"/>
      <c r="H45" s="266"/>
      <c r="I45" s="158"/>
    </row>
    <row r="46" spans="3:9" ht="11.25" x14ac:dyDescent="0.2">
      <c r="C46" s="118"/>
      <c r="F46" s="38"/>
      <c r="G46" s="131"/>
      <c r="H46" s="266"/>
      <c r="I46" s="158"/>
    </row>
    <row r="47" spans="3:9" ht="11.25" x14ac:dyDescent="0.2">
      <c r="C47" s="118"/>
      <c r="F47" s="38"/>
      <c r="G47" s="131"/>
      <c r="H47" s="266"/>
      <c r="I47" s="158"/>
    </row>
    <row r="48" spans="3:9" ht="11.25" x14ac:dyDescent="0.2">
      <c r="C48" s="118"/>
      <c r="F48" s="38"/>
      <c r="G48" s="131"/>
      <c r="H48" s="266"/>
      <c r="I48" s="158"/>
    </row>
    <row r="49" spans="1:35" ht="11.25" x14ac:dyDescent="0.2">
      <c r="C49" s="118"/>
      <c r="F49" s="38"/>
      <c r="G49" s="131"/>
      <c r="H49" s="266"/>
      <c r="I49" s="158"/>
    </row>
    <row r="50" spans="1:35" ht="11.25" x14ac:dyDescent="0.2">
      <c r="C50" s="118"/>
      <c r="F50" s="38"/>
      <c r="G50" s="131"/>
      <c r="H50" s="266"/>
      <c r="I50" s="158"/>
    </row>
    <row r="51" spans="1:35" ht="11.25" x14ac:dyDescent="0.2">
      <c r="C51" s="118"/>
      <c r="F51" s="38"/>
      <c r="G51" s="131"/>
      <c r="H51" s="266"/>
      <c r="I51" s="158"/>
    </row>
    <row r="52" spans="1:35" ht="11.25" x14ac:dyDescent="0.2">
      <c r="C52" s="118"/>
      <c r="F52" s="38"/>
      <c r="G52" s="131"/>
      <c r="H52" s="266"/>
      <c r="I52" s="158"/>
    </row>
    <row r="53" spans="1:35" ht="11.25" x14ac:dyDescent="0.2">
      <c r="C53" s="118"/>
      <c r="F53" s="38"/>
      <c r="G53" s="131"/>
      <c r="H53" s="266"/>
      <c r="I53" s="158"/>
    </row>
    <row r="54" spans="1:35" ht="11.25" x14ac:dyDescent="0.2">
      <c r="C54" s="118"/>
      <c r="F54" s="38"/>
      <c r="G54" s="131"/>
      <c r="H54" s="266"/>
      <c r="I54" s="158"/>
    </row>
    <row r="55" spans="1:35" ht="11.25" x14ac:dyDescent="0.2">
      <c r="C55" s="118"/>
      <c r="F55" s="38"/>
      <c r="G55" s="131"/>
      <c r="H55" s="266"/>
      <c r="I55" s="158"/>
    </row>
    <row r="56" spans="1:35" ht="11.25" x14ac:dyDescent="0.2">
      <c r="C56" s="118"/>
      <c r="F56" s="38"/>
      <c r="G56" s="131"/>
      <c r="H56" s="266"/>
      <c r="I56" s="158"/>
    </row>
    <row r="57" spans="1:35" ht="11.25" x14ac:dyDescent="0.2">
      <c r="C57" s="118"/>
      <c r="F57" s="38"/>
      <c r="G57" s="131"/>
      <c r="H57" s="266"/>
      <c r="I57" s="158"/>
    </row>
    <row r="58" spans="1:35" ht="11.25" x14ac:dyDescent="0.2">
      <c r="C58" s="118"/>
      <c r="F58" s="38"/>
      <c r="G58" s="131"/>
      <c r="H58" s="266"/>
      <c r="I58" s="158"/>
    </row>
    <row r="59" spans="1:35" ht="11.25" x14ac:dyDescent="0.2">
      <c r="C59" s="118"/>
      <c r="F59" s="38"/>
      <c r="G59" s="131"/>
      <c r="H59" s="266"/>
      <c r="I59" s="158"/>
    </row>
    <row r="60" spans="1:35" ht="11.25" x14ac:dyDescent="0.2">
      <c r="C60" s="118"/>
      <c r="F60" s="38"/>
      <c r="G60" s="131"/>
      <c r="H60" s="266"/>
      <c r="I60" s="158"/>
    </row>
    <row r="61" spans="1:35" ht="11.25" x14ac:dyDescent="0.2">
      <c r="C61" s="118"/>
      <c r="F61" s="38"/>
      <c r="G61" s="131"/>
      <c r="H61" s="266"/>
      <c r="I61" s="158"/>
    </row>
    <row r="62" spans="1:35" ht="12.75" x14ac:dyDescent="0.2">
      <c r="C62" s="573"/>
      <c r="F62" s="38"/>
      <c r="G62" s="38"/>
      <c r="H62" s="38"/>
      <c r="I62" s="133"/>
    </row>
    <row r="63" spans="1:35" s="18" customFormat="1" ht="12.75" x14ac:dyDescent="0.2">
      <c r="A63" s="11"/>
      <c r="B63" s="12" t="s">
        <v>8</v>
      </c>
      <c r="C63" s="11"/>
      <c r="D63" s="11"/>
      <c r="E63" s="11"/>
      <c r="F63" s="11"/>
      <c r="G63" s="11"/>
      <c r="H63" s="11"/>
      <c r="I63" s="11"/>
      <c r="J63" s="11"/>
      <c r="K63" s="13"/>
      <c r="L63" s="13"/>
      <c r="M63" s="13"/>
      <c r="N63" s="13"/>
      <c r="O63" s="14"/>
      <c r="P63" s="15"/>
      <c r="Q63" s="14"/>
      <c r="R63" s="15"/>
      <c r="S63" s="14"/>
      <c r="T63" s="14"/>
      <c r="U63" s="14"/>
      <c r="V63" s="14"/>
      <c r="W63" s="14"/>
      <c r="X63" s="14"/>
      <c r="Y63" s="14"/>
      <c r="Z63" s="14"/>
      <c r="AA63" s="15"/>
      <c r="AB63" s="15"/>
      <c r="AC63" s="16"/>
      <c r="AD63" s="16"/>
      <c r="AE63" s="16"/>
      <c r="AF63" s="16"/>
      <c r="AG63" s="16"/>
      <c r="AH63" s="17"/>
      <c r="AI63" s="17"/>
    </row>
    <row r="64" spans="1:35" ht="11.25" hidden="1" x14ac:dyDescent="0.2">
      <c r="D64" s="38"/>
      <c r="E64" s="38"/>
      <c r="F64" s="38"/>
      <c r="G64" s="38"/>
      <c r="H64" s="38"/>
      <c r="I64" s="38"/>
      <c r="K64" s="45"/>
    </row>
    <row r="65" spans="3:11" ht="11.25" hidden="1" x14ac:dyDescent="0.2">
      <c r="D65" s="38"/>
      <c r="E65" s="38"/>
      <c r="F65" s="38"/>
      <c r="G65" s="38"/>
      <c r="H65" s="38"/>
      <c r="I65" s="38"/>
      <c r="K65" s="45"/>
    </row>
    <row r="66" spans="3:11" ht="11.25" hidden="1" x14ac:dyDescent="0.2">
      <c r="D66" s="38"/>
      <c r="E66" s="38"/>
      <c r="F66" s="38"/>
      <c r="G66" s="38"/>
      <c r="H66" s="38"/>
      <c r="I66" s="38"/>
      <c r="K66" s="45"/>
    </row>
    <row r="67" spans="3:11" ht="11.25" hidden="1" x14ac:dyDescent="0.2">
      <c r="D67" s="38"/>
      <c r="E67" s="38"/>
      <c r="F67" s="38"/>
      <c r="G67" s="38"/>
      <c r="H67" s="38"/>
      <c r="I67" s="38"/>
      <c r="K67" s="45"/>
    </row>
    <row r="68" spans="3:11" ht="11.25" hidden="1" x14ac:dyDescent="0.2">
      <c r="D68" s="38"/>
      <c r="E68" s="38"/>
      <c r="F68" s="38"/>
      <c r="G68" s="38"/>
      <c r="H68" s="38"/>
      <c r="I68" s="38"/>
      <c r="K68" s="45"/>
    </row>
    <row r="69" spans="3:11" ht="11.25" hidden="1" x14ac:dyDescent="0.2">
      <c r="C69" s="38"/>
      <c r="D69" s="38"/>
      <c r="E69" s="38"/>
      <c r="F69" s="38"/>
      <c r="G69" s="38"/>
      <c r="H69" s="38"/>
      <c r="I69" s="38"/>
      <c r="K69" s="45"/>
    </row>
    <row r="70" spans="3:11" ht="11.25" hidden="1" x14ac:dyDescent="0.2">
      <c r="C70" s="38"/>
      <c r="D70" s="38"/>
      <c r="E70" s="38"/>
      <c r="F70" s="38"/>
      <c r="G70" s="38"/>
      <c r="H70" s="38"/>
      <c r="I70" s="38"/>
      <c r="K70" s="45"/>
    </row>
    <row r="71" spans="3:11" ht="11.25" hidden="1" x14ac:dyDescent="0.2">
      <c r="C71" s="38"/>
      <c r="D71" s="38"/>
      <c r="E71" s="38"/>
      <c r="F71" s="38"/>
      <c r="G71" s="38"/>
      <c r="H71" s="38"/>
      <c r="I71" s="38"/>
    </row>
    <row r="72" spans="3:11" ht="11.25" hidden="1" x14ac:dyDescent="0.2">
      <c r="D72" s="38"/>
      <c r="E72" s="38"/>
      <c r="F72" s="38"/>
      <c r="G72" s="38"/>
      <c r="H72" s="38"/>
      <c r="I72" s="38"/>
    </row>
    <row r="73" spans="3:11" ht="11.25" hidden="1" x14ac:dyDescent="0.2">
      <c r="D73" s="38"/>
      <c r="E73" s="38"/>
      <c r="F73" s="38"/>
      <c r="G73" s="38"/>
      <c r="H73" s="38"/>
      <c r="I73" s="38"/>
    </row>
    <row r="74" spans="3:11" ht="11.25" hidden="1" x14ac:dyDescent="0.2">
      <c r="D74" s="38"/>
      <c r="E74" s="38"/>
      <c r="F74" s="38"/>
      <c r="G74" s="38"/>
      <c r="H74" s="38"/>
      <c r="I74" s="38"/>
    </row>
    <row r="75" spans="3:11" ht="11.25" hidden="1" x14ac:dyDescent="0.2">
      <c r="D75" s="38"/>
      <c r="E75" s="38"/>
      <c r="F75" s="38"/>
      <c r="G75" s="38"/>
      <c r="H75" s="38"/>
      <c r="I75" s="38"/>
    </row>
    <row r="76" spans="3:11" ht="11.25" hidden="1" x14ac:dyDescent="0.2">
      <c r="D76" s="38"/>
      <c r="E76" s="38"/>
      <c r="F76" s="38"/>
      <c r="G76" s="38"/>
      <c r="H76" s="38"/>
      <c r="I76" s="38"/>
    </row>
    <row r="77" spans="3:11" ht="12.75" hidden="1" x14ac:dyDescent="0.2">
      <c r="C77" s="44"/>
      <c r="D77" s="38"/>
      <c r="E77" s="38"/>
      <c r="F77" s="38"/>
      <c r="G77" s="38"/>
      <c r="H77" s="38"/>
      <c r="I77" s="38"/>
    </row>
  </sheetData>
  <phoneticPr fontId="31" type="noConversion"/>
  <hyperlinks>
    <hyperlink ref="G1" location="'Pricing model'!A51" display="Back to Index" xr:uid="{00000000-0004-0000-1F00-000000000000}"/>
  </hyperlinks>
  <pageMargins left="0.7" right="0.7" top="0.75" bottom="0.75" header="0.3" footer="0.3"/>
  <pageSetup paperSize="9" orientation="portrait" verticalDpi="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7" tint="0.79998168889431442"/>
  </sheetPr>
  <dimension ref="A1:Z99"/>
  <sheetViews>
    <sheetView showGridLines="0" zoomScaleNormal="100" workbookViewId="0">
      <selection activeCell="J11" sqref="J11"/>
    </sheetView>
  </sheetViews>
  <sheetFormatPr defaultColWidth="0" defaultRowHeight="11.25" zeroHeight="1" outlineLevelRow="1" x14ac:dyDescent="0.2"/>
  <cols>
    <col min="1" max="2" width="1.42578125" style="18" customWidth="1"/>
    <col min="3" max="3" width="43.42578125" style="18" customWidth="1"/>
    <col min="4" max="6" width="11.42578125" style="18" customWidth="1"/>
    <col min="7" max="9" width="2.85546875" style="18" customWidth="1"/>
    <col min="10" max="18" width="9.28515625" style="18" customWidth="1"/>
    <col min="19" max="19" width="11" style="18" customWidth="1"/>
    <col min="20" max="20" width="9.28515625" style="18" customWidth="1"/>
    <col min="21" max="23" width="3.85546875" style="18" customWidth="1"/>
    <col min="24" max="16384" width="8" style="18" hidden="1"/>
  </cols>
  <sheetData>
    <row r="1" spans="1:26" ht="15.75" x14ac:dyDescent="0.25">
      <c r="A1" s="1"/>
      <c r="B1" s="2" t="str">
        <f>'Outputs&gt;&gt;'!B1</f>
        <v>AER pricing model - TasNetworks 2022–23</v>
      </c>
      <c r="C1" s="2"/>
      <c r="D1" s="2"/>
      <c r="E1" s="2"/>
      <c r="F1" s="3"/>
      <c r="G1" s="3"/>
      <c r="H1" s="3"/>
      <c r="I1" s="3"/>
      <c r="J1" s="160" t="s">
        <v>0</v>
      </c>
      <c r="K1" s="1"/>
      <c r="L1" s="111"/>
      <c r="M1" s="112"/>
      <c r="N1" s="112"/>
      <c r="O1" s="51"/>
      <c r="R1" s="111"/>
      <c r="S1" s="113"/>
      <c r="U1" s="114"/>
      <c r="V1" s="113"/>
      <c r="W1" s="1"/>
    </row>
    <row r="2" spans="1:26" ht="13.5" thickBot="1" x14ac:dyDescent="0.25">
      <c r="A2" s="6"/>
      <c r="B2" s="7" t="str">
        <f>'Outputs&gt;&gt;'!C8</f>
        <v>Compliance</v>
      </c>
      <c r="C2" s="7"/>
      <c r="D2" s="7"/>
      <c r="E2" s="7"/>
      <c r="F2" s="8"/>
      <c r="G2" s="8"/>
      <c r="H2" s="8"/>
      <c r="I2" s="8"/>
      <c r="J2" s="1"/>
      <c r="K2" s="1"/>
      <c r="L2" s="1"/>
      <c r="M2" s="1"/>
      <c r="N2" s="1"/>
      <c r="O2" s="1"/>
      <c r="P2" s="1"/>
      <c r="Q2" s="1"/>
      <c r="R2" s="1"/>
      <c r="S2" s="231" t="str">
        <f>IF(COUNTIF(S5:S98,"NON-COMPLIANT")&gt;0,"NON-COMPLIANT","COMPLIANT")</f>
        <v>COMPLIANT</v>
      </c>
      <c r="T2" s="6"/>
      <c r="U2" s="6"/>
      <c r="V2" s="6"/>
      <c r="W2" s="6"/>
    </row>
    <row r="3" spans="1:26" x14ac:dyDescent="0.2">
      <c r="A3" s="27"/>
      <c r="B3" s="296" t="str">
        <f>'Outputs&gt;&gt;'!D8</f>
        <v xml:space="preserve">Compliance checks against total allowable revenues, unders/overs closing balances, side constraint thresholds, trial tariff thresholds, and standalone and avoidable costs. </v>
      </c>
      <c r="C3" s="27"/>
      <c r="D3" s="28"/>
      <c r="E3" s="28"/>
      <c r="F3" s="28"/>
      <c r="G3" s="28"/>
      <c r="H3" s="28"/>
      <c r="I3" s="28"/>
      <c r="J3" s="291"/>
      <c r="K3" s="287"/>
      <c r="L3" s="287"/>
      <c r="M3" s="287"/>
      <c r="N3" s="287"/>
      <c r="O3" s="287"/>
      <c r="P3" s="287"/>
      <c r="Q3" s="287"/>
      <c r="R3" s="287"/>
      <c r="S3" s="30"/>
      <c r="T3" s="31"/>
      <c r="U3" s="31"/>
      <c r="V3" s="31"/>
      <c r="W3" s="31"/>
    </row>
    <row r="4" spans="1:26" x14ac:dyDescent="0.2">
      <c r="A4" s="9"/>
      <c r="B4" s="9"/>
      <c r="C4" s="78"/>
      <c r="D4" s="10"/>
      <c r="E4" s="10"/>
      <c r="F4" s="10"/>
      <c r="G4" s="10"/>
      <c r="H4" s="10"/>
      <c r="I4" s="10"/>
      <c r="J4" s="288"/>
      <c r="K4" s="288"/>
      <c r="L4" s="288"/>
      <c r="M4" s="288"/>
      <c r="N4" s="288"/>
      <c r="O4" s="288"/>
      <c r="P4" s="288"/>
      <c r="Q4" s="288"/>
      <c r="R4" s="290"/>
      <c r="S4" s="9"/>
      <c r="T4" s="9"/>
      <c r="U4" s="9"/>
      <c r="V4" s="9"/>
      <c r="W4" s="9"/>
      <c r="X4" s="9"/>
      <c r="Y4" s="9"/>
      <c r="Z4" s="9"/>
    </row>
    <row r="5" spans="1:26" ht="12.75" x14ac:dyDescent="0.2">
      <c r="A5" s="11"/>
      <c r="B5" s="12" t="s">
        <v>643</v>
      </c>
      <c r="C5" s="11"/>
      <c r="D5" s="32"/>
      <c r="E5" s="32" t="s">
        <v>11</v>
      </c>
      <c r="F5" s="33"/>
      <c r="G5" s="34"/>
      <c r="H5" s="34"/>
      <c r="I5" s="34"/>
      <c r="J5" s="33" t="str">
        <f>forecastyear</f>
        <v>2022–23</v>
      </c>
      <c r="K5" s="33"/>
      <c r="L5" s="33"/>
      <c r="M5" s="35"/>
      <c r="N5" s="35"/>
      <c r="O5" s="35"/>
      <c r="P5" s="35"/>
      <c r="Q5" s="35"/>
      <c r="R5" s="14"/>
      <c r="S5" s="222" t="s">
        <v>317</v>
      </c>
      <c r="T5" s="15"/>
      <c r="U5" s="15"/>
      <c r="V5" s="15"/>
      <c r="W5" s="15"/>
      <c r="X5" s="15"/>
      <c r="Y5" s="15"/>
      <c r="Z5" s="15"/>
    </row>
    <row r="6" spans="1:26" x14ac:dyDescent="0.2">
      <c r="A6" s="19"/>
      <c r="B6" s="19"/>
      <c r="C6" s="79"/>
      <c r="D6" s="20"/>
      <c r="E6" s="20"/>
      <c r="F6" s="22"/>
      <c r="G6" s="22"/>
      <c r="H6" s="22"/>
      <c r="I6" s="20"/>
      <c r="J6" s="20"/>
      <c r="K6" s="20"/>
      <c r="L6" s="20"/>
      <c r="M6" s="37"/>
      <c r="N6" s="37"/>
      <c r="O6" s="37"/>
      <c r="P6" s="37"/>
      <c r="Q6" s="37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">
      <c r="A7" s="19"/>
      <c r="B7" s="19"/>
      <c r="C7" s="167" t="s">
        <v>136</v>
      </c>
      <c r="D7" s="20"/>
      <c r="E7" s="20"/>
      <c r="F7" s="22"/>
      <c r="G7" s="22"/>
      <c r="H7" s="22"/>
      <c r="I7" s="20"/>
      <c r="J7" s="20"/>
      <c r="K7" s="20"/>
      <c r="L7" s="20"/>
      <c r="M7" s="37"/>
      <c r="N7" s="37"/>
      <c r="O7" s="37"/>
      <c r="P7" s="37"/>
      <c r="Q7" s="37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">
      <c r="A8" s="19"/>
      <c r="B8" s="19"/>
      <c r="C8" s="508" t="str">
        <f>"Revenue from tariffs (forecast for "&amp;forecastyear&amp;")"</f>
        <v>Revenue from tariffs (forecast for 2022–23)</v>
      </c>
      <c r="D8" s="20"/>
      <c r="E8" s="458" t="str">
        <f>IF(C8=0,0,revenueunits)</f>
        <v>$millions</v>
      </c>
      <c r="F8" s="22"/>
      <c r="G8" s="22"/>
      <c r="H8" s="22"/>
      <c r="I8" s="20"/>
      <c r="J8" s="358">
        <f>'Rev. summary'!$P$18</f>
        <v>255.81769292253571</v>
      </c>
      <c r="K8" s="447"/>
      <c r="L8" s="448"/>
      <c r="M8" s="448"/>
      <c r="N8" s="448"/>
      <c r="O8" s="448"/>
      <c r="P8" s="448"/>
      <c r="Q8" s="448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">
      <c r="A9" s="19"/>
      <c r="B9" s="19"/>
      <c r="C9" s="508" t="str">
        <f>"Revenue from trial tariffs (forecast for "&amp;forecastyear&amp;")"</f>
        <v>Revenue from trial tariffs (forecast for 2022–23)</v>
      </c>
      <c r="D9" s="20"/>
      <c r="E9" s="458" t="str">
        <f>IF(C9=0,0,revenueunits)</f>
        <v>$millions</v>
      </c>
      <c r="F9" s="22"/>
      <c r="G9" s="22"/>
      <c r="H9" s="22"/>
      <c r="I9" s="20"/>
      <c r="J9" s="358">
        <f>'Trial tariffs'!$J$27</f>
        <v>0</v>
      </c>
      <c r="K9" s="447"/>
      <c r="L9" s="448"/>
      <c r="M9" s="448"/>
      <c r="N9" s="448"/>
      <c r="O9" s="448"/>
      <c r="P9" s="448"/>
      <c r="Q9" s="448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">
      <c r="A10" s="19"/>
      <c r="B10" s="19"/>
      <c r="C10" s="509" t="s">
        <v>318</v>
      </c>
      <c r="D10" s="20"/>
      <c r="E10" s="458" t="str">
        <f>IF(C10=0,0,revenueunits)</f>
        <v>$millions</v>
      </c>
      <c r="F10" s="22"/>
      <c r="G10" s="22"/>
      <c r="H10" s="22"/>
      <c r="I10" s="20"/>
      <c r="J10" s="358">
        <f>SUM(J8,J9)</f>
        <v>255.81769292253571</v>
      </c>
      <c r="K10" s="447"/>
      <c r="L10" s="448"/>
      <c r="M10" s="448"/>
      <c r="N10" s="448"/>
      <c r="O10" s="448"/>
      <c r="P10" s="448"/>
      <c r="Q10" s="448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">
      <c r="A11" s="19"/>
      <c r="B11" s="19"/>
      <c r="C11" s="509" t="s">
        <v>319</v>
      </c>
      <c r="D11" s="20"/>
      <c r="E11" s="458" t="str">
        <f>IF(C11=0,0,revenueunits)</f>
        <v>$millions</v>
      </c>
      <c r="F11" s="22"/>
      <c r="G11" s="22"/>
      <c r="H11" s="22"/>
      <c r="I11" s="20"/>
      <c r="J11" s="358">
        <f>INDEX(TAR!M17:Q17,1,MATCH(forecastyear,TAR!M5:Q5,0))</f>
        <v>256.99123490627989</v>
      </c>
      <c r="K11" s="605"/>
      <c r="L11" s="448"/>
      <c r="M11" s="448"/>
      <c r="N11" s="448"/>
      <c r="O11" s="448"/>
      <c r="P11" s="448"/>
      <c r="Q11" s="448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">
      <c r="A12" s="19"/>
      <c r="B12" s="19"/>
      <c r="C12" s="449"/>
      <c r="D12" s="20"/>
      <c r="E12" s="510"/>
      <c r="F12" s="22"/>
      <c r="G12" s="22"/>
      <c r="H12" s="22"/>
      <c r="I12" s="20"/>
      <c r="J12" s="459"/>
      <c r="K12" s="451"/>
      <c r="L12" s="451"/>
      <c r="M12" s="451"/>
      <c r="N12" s="451"/>
      <c r="O12" s="451"/>
      <c r="P12" s="451"/>
      <c r="Q12" s="451"/>
      <c r="R12" s="19"/>
      <c r="S12" s="451" t="str">
        <f>IF(J10&gt;J11,"NON-COMPLIANT","COMPLIANT")</f>
        <v>COMPLIANT</v>
      </c>
      <c r="T12" s="19"/>
      <c r="U12" s="19"/>
      <c r="V12" s="19"/>
      <c r="W12" s="19"/>
      <c r="X12" s="19"/>
      <c r="Y12" s="19"/>
      <c r="Z12" s="19"/>
    </row>
    <row r="13" spans="1:26" x14ac:dyDescent="0.2">
      <c r="A13" s="19"/>
      <c r="B13" s="19"/>
      <c r="C13" s="452" t="s">
        <v>137</v>
      </c>
      <c r="D13" s="20"/>
      <c r="E13" s="511"/>
      <c r="F13" s="22"/>
      <c r="G13" s="22"/>
      <c r="H13" s="22"/>
      <c r="I13" s="20"/>
      <c r="J13" s="460"/>
      <c r="K13" s="355"/>
      <c r="L13" s="355"/>
      <c r="M13" s="355"/>
      <c r="N13" s="355"/>
      <c r="O13" s="355"/>
      <c r="P13" s="355"/>
      <c r="Q13" s="355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">
      <c r="A14" s="19"/>
      <c r="B14" s="19"/>
      <c r="C14" s="508" t="str">
        <f>"Revenue from tariffs (forecast for "&amp;forecastyear&amp;")"</f>
        <v>Revenue from tariffs (forecast for 2022–23)</v>
      </c>
      <c r="D14" s="20"/>
      <c r="E14" s="458" t="str">
        <f>IF(C14=0,0,revenueunits)</f>
        <v>$millions</v>
      </c>
      <c r="F14" s="22"/>
      <c r="G14" s="22"/>
      <c r="H14" s="22"/>
      <c r="I14" s="20"/>
      <c r="J14" s="358">
        <f>'Rev. summary'!$Q$18</f>
        <v>72.222508101742264</v>
      </c>
      <c r="K14" s="447"/>
      <c r="L14" s="448"/>
      <c r="M14" s="448"/>
      <c r="N14" s="448"/>
      <c r="O14" s="448"/>
      <c r="P14" s="448"/>
      <c r="Q14" s="448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">
      <c r="A15" s="19"/>
      <c r="B15" s="19"/>
      <c r="C15" s="508" t="str">
        <f>"Revenue from trial tariffs (forecast for "&amp;forecastyear&amp;")"</f>
        <v>Revenue from trial tariffs (forecast for 2022–23)</v>
      </c>
      <c r="D15" s="20"/>
      <c r="E15" s="458" t="str">
        <f>IF(C15=0,0,revenueunits)</f>
        <v>$millions</v>
      </c>
      <c r="F15" s="22"/>
      <c r="G15" s="22"/>
      <c r="H15" s="22"/>
      <c r="I15" s="20"/>
      <c r="J15" s="358">
        <f>'Trial tariffs'!$K$27</f>
        <v>0</v>
      </c>
      <c r="K15" s="447"/>
      <c r="L15" s="448"/>
      <c r="M15" s="448"/>
      <c r="N15" s="448"/>
      <c r="O15" s="448"/>
      <c r="P15" s="448"/>
      <c r="Q15" s="448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">
      <c r="A16" s="19"/>
      <c r="B16" s="19"/>
      <c r="C16" s="508" t="str">
        <f>"Cross-boundary revenue (forecast for "&amp;forecastyear&amp;")"</f>
        <v>Cross-boundary revenue (forecast for 2022–23)</v>
      </c>
      <c r="D16" s="20"/>
      <c r="E16" s="458" t="str">
        <f>IF(C16=0,0,revenueunits)</f>
        <v>$millions</v>
      </c>
      <c r="F16" s="22"/>
      <c r="G16" s="22"/>
      <c r="H16" s="22"/>
      <c r="I16" s="20"/>
      <c r="J16" s="358">
        <f>INDEX(Financial!M40:Q40,1,MATCH(forecastyear,Financial!M37:Q37,0))</f>
        <v>0</v>
      </c>
      <c r="K16" s="447"/>
      <c r="L16" s="448"/>
      <c r="M16" s="448"/>
      <c r="N16" s="448"/>
      <c r="O16" s="448"/>
      <c r="P16" s="448"/>
      <c r="Q16" s="448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">
      <c r="A17" s="19"/>
      <c r="B17" s="19"/>
      <c r="C17" s="509" t="s">
        <v>648</v>
      </c>
      <c r="D17" s="20"/>
      <c r="E17" s="458" t="str">
        <f>IF(C17=0,0,revenueunits)</f>
        <v>$millions</v>
      </c>
      <c r="F17" s="22"/>
      <c r="G17" s="22"/>
      <c r="H17" s="22"/>
      <c r="I17" s="20"/>
      <c r="J17" s="358">
        <f>SUM(J14,J15,J16)</f>
        <v>72.222508101742264</v>
      </c>
      <c r="K17" s="447"/>
      <c r="L17" s="448"/>
      <c r="M17" s="448"/>
      <c r="N17" s="448"/>
      <c r="O17" s="448"/>
      <c r="P17" s="448"/>
      <c r="Q17" s="448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">
      <c r="A18" s="19"/>
      <c r="B18" s="19"/>
      <c r="C18" s="509" t="s">
        <v>319</v>
      </c>
      <c r="D18" s="20"/>
      <c r="E18" s="458" t="str">
        <f>IF(C18=0,0,revenueunits)</f>
        <v>$millions</v>
      </c>
      <c r="F18" s="22"/>
      <c r="G18" s="22"/>
      <c r="H18" s="22"/>
      <c r="I18" s="20"/>
      <c r="J18" s="358">
        <f>INDEX(TAR!M26:Q26,1,MATCH(forecastyear,TAR!M22:Q22,0))</f>
        <v>72.405911086327919</v>
      </c>
      <c r="K18" s="447"/>
      <c r="L18" s="448"/>
      <c r="M18" s="448"/>
      <c r="N18" s="448"/>
      <c r="O18" s="448"/>
      <c r="P18" s="448"/>
      <c r="Q18" s="448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">
      <c r="A19" s="19"/>
      <c r="B19" s="19"/>
      <c r="C19" s="449"/>
      <c r="D19" s="20"/>
      <c r="E19" s="510"/>
      <c r="F19" s="22"/>
      <c r="G19" s="22"/>
      <c r="H19" s="22"/>
      <c r="I19" s="20"/>
      <c r="J19" s="459"/>
      <c r="K19" s="451"/>
      <c r="L19" s="451"/>
      <c r="M19" s="451"/>
      <c r="N19" s="451"/>
      <c r="O19" s="451"/>
      <c r="P19" s="451"/>
      <c r="Q19" s="451"/>
      <c r="R19" s="19"/>
      <c r="S19" s="451" t="str">
        <f>IF(J17&gt;J18,"NON-COMPLIANT","COMPLIANT")</f>
        <v>COMPLIANT</v>
      </c>
      <c r="T19" s="19"/>
      <c r="U19" s="19"/>
      <c r="V19" s="19"/>
      <c r="W19" s="19"/>
      <c r="X19" s="19"/>
      <c r="Y19" s="19"/>
      <c r="Z19" s="19"/>
    </row>
    <row r="20" spans="1:26" hidden="1" outlineLevel="1" x14ac:dyDescent="0.2">
      <c r="A20" s="19"/>
      <c r="B20" s="19"/>
      <c r="C20" s="452" t="s">
        <v>138</v>
      </c>
      <c r="D20" s="20"/>
      <c r="E20" s="511"/>
      <c r="F20" s="22"/>
      <c r="G20" s="22"/>
      <c r="H20" s="22"/>
      <c r="I20" s="20"/>
      <c r="J20" s="460"/>
      <c r="K20" s="355"/>
      <c r="L20" s="355"/>
      <c r="M20" s="355"/>
      <c r="N20" s="355"/>
      <c r="O20" s="355"/>
      <c r="P20" s="355"/>
      <c r="Q20" s="355"/>
      <c r="R20" s="19"/>
      <c r="S20" s="19"/>
      <c r="T20" s="19"/>
      <c r="U20" s="19"/>
      <c r="V20" s="19"/>
      <c r="W20" s="19"/>
      <c r="X20" s="19"/>
      <c r="Y20" s="19"/>
      <c r="Z20" s="19"/>
    </row>
    <row r="21" spans="1:26" hidden="1" outlineLevel="1" x14ac:dyDescent="0.2">
      <c r="A21" s="19"/>
      <c r="B21" s="19"/>
      <c r="C21" s="508" t="str">
        <f>"Revenue from tariffs (forecast for "&amp;forecastyear&amp;")"</f>
        <v>Revenue from tariffs (forecast for 2022–23)</v>
      </c>
      <c r="D21" s="20"/>
      <c r="E21" s="458" t="str">
        <f>IF(C21=0,0,revenueunits)</f>
        <v>$millions</v>
      </c>
      <c r="F21" s="22"/>
      <c r="G21" s="22"/>
      <c r="H21" s="22"/>
      <c r="I21" s="20"/>
      <c r="J21" s="358">
        <f>'Rev. summary'!$R$18</f>
        <v>0</v>
      </c>
      <c r="K21" s="447"/>
      <c r="L21" s="448"/>
      <c r="M21" s="448"/>
      <c r="N21" s="448"/>
      <c r="O21" s="448"/>
      <c r="P21" s="448"/>
      <c r="Q21" s="448"/>
      <c r="R21" s="19"/>
      <c r="S21" s="19"/>
      <c r="T21" s="19"/>
      <c r="U21" s="19"/>
      <c r="V21" s="19"/>
      <c r="W21" s="19"/>
      <c r="X21" s="19"/>
      <c r="Y21" s="19"/>
      <c r="Z21" s="19"/>
    </row>
    <row r="22" spans="1:26" hidden="1" outlineLevel="1" x14ac:dyDescent="0.2">
      <c r="A22" s="19"/>
      <c r="B22" s="19"/>
      <c r="C22" s="508" t="str">
        <f>"Revenue from trial tariffs (forecast for "&amp;forecastyear&amp;")"</f>
        <v>Revenue from trial tariffs (forecast for 2022–23)</v>
      </c>
      <c r="D22" s="20"/>
      <c r="E22" s="458" t="str">
        <f>IF(C22=0,0,revenueunits)</f>
        <v>$millions</v>
      </c>
      <c r="F22" s="22"/>
      <c r="G22" s="22"/>
      <c r="H22" s="22"/>
      <c r="I22" s="20"/>
      <c r="J22" s="358">
        <f>'Trial tariffs'!$L$27</f>
        <v>0</v>
      </c>
      <c r="K22" s="447"/>
      <c r="L22" s="448"/>
      <c r="M22" s="448"/>
      <c r="N22" s="448"/>
      <c r="O22" s="448"/>
      <c r="P22" s="448"/>
      <c r="Q22" s="448"/>
      <c r="R22" s="19"/>
      <c r="S22" s="19"/>
      <c r="T22" s="19"/>
      <c r="U22" s="19"/>
      <c r="V22" s="19"/>
      <c r="W22" s="19"/>
      <c r="X22" s="19"/>
      <c r="Y22" s="19"/>
      <c r="Z22" s="19"/>
    </row>
    <row r="23" spans="1:26" hidden="1" outlineLevel="1" x14ac:dyDescent="0.2">
      <c r="A23" s="19"/>
      <c r="B23" s="19"/>
      <c r="C23" s="509" t="s">
        <v>321</v>
      </c>
      <c r="D23" s="20"/>
      <c r="E23" s="458" t="str">
        <f>IF(C23=0,0,revenueunits)</f>
        <v>$millions</v>
      </c>
      <c r="F23" s="22"/>
      <c r="G23" s="22"/>
      <c r="H23" s="22"/>
      <c r="I23" s="20"/>
      <c r="J23" s="358">
        <f>SUM(J21,J22)</f>
        <v>0</v>
      </c>
      <c r="K23" s="447"/>
      <c r="L23" s="448"/>
      <c r="M23" s="448"/>
      <c r="N23" s="448"/>
      <c r="O23" s="448"/>
      <c r="P23" s="448"/>
      <c r="Q23" s="448"/>
      <c r="R23" s="19"/>
      <c r="S23" s="19"/>
      <c r="T23" s="19"/>
      <c r="U23" s="19"/>
      <c r="V23" s="19"/>
      <c r="W23" s="19"/>
      <c r="X23" s="19"/>
      <c r="Y23" s="19"/>
      <c r="Z23" s="19"/>
    </row>
    <row r="24" spans="1:26" hidden="1" outlineLevel="1" x14ac:dyDescent="0.2">
      <c r="A24" s="19"/>
      <c r="B24" s="19"/>
      <c r="C24" s="509" t="s">
        <v>319</v>
      </c>
      <c r="D24" s="20"/>
      <c r="E24" s="458" t="str">
        <f>IF(C24=0,0,revenueunits)</f>
        <v>$millions</v>
      </c>
      <c r="F24" s="22"/>
      <c r="G24" s="22"/>
      <c r="H24" s="22"/>
      <c r="I24" s="20"/>
      <c r="J24" s="358">
        <f>INDEX(TAR!M32:Q32,1,MATCH(forecastyear,TAR!M28:Q28,0))</f>
        <v>0</v>
      </c>
      <c r="K24" s="447"/>
      <c r="L24" s="448"/>
      <c r="M24" s="448"/>
      <c r="N24" s="448"/>
      <c r="O24" s="448"/>
      <c r="P24" s="448"/>
      <c r="Q24" s="448"/>
      <c r="R24" s="19"/>
      <c r="S24" s="24"/>
      <c r="T24" s="19"/>
      <c r="U24" s="19"/>
      <c r="V24" s="19"/>
      <c r="W24" s="19"/>
      <c r="X24" s="19"/>
      <c r="Y24" s="19"/>
      <c r="Z24" s="19"/>
    </row>
    <row r="25" spans="1:26" hidden="1" outlineLevel="1" x14ac:dyDescent="0.2">
      <c r="A25" s="19"/>
      <c r="B25" s="19"/>
      <c r="C25" s="449"/>
      <c r="D25" s="20"/>
      <c r="E25" s="510"/>
      <c r="F25" s="22"/>
      <c r="G25" s="22"/>
      <c r="H25" s="22"/>
      <c r="I25" s="20"/>
      <c r="J25" s="459"/>
      <c r="K25" s="451"/>
      <c r="L25" s="451"/>
      <c r="M25" s="451"/>
      <c r="N25" s="451"/>
      <c r="O25" s="451"/>
      <c r="P25" s="451"/>
      <c r="Q25" s="451"/>
      <c r="R25" s="19"/>
      <c r="S25" s="451" t="str">
        <f>IF(J23&gt;J24,"NON-COMPLIANT","COMPLIANT")</f>
        <v>COMPLIANT</v>
      </c>
      <c r="T25" s="19"/>
      <c r="U25" s="19"/>
      <c r="V25" s="19"/>
      <c r="W25" s="19"/>
      <c r="X25" s="19"/>
      <c r="Y25" s="19"/>
      <c r="Z25" s="19"/>
    </row>
    <row r="26" spans="1:26" hidden="1" outlineLevel="1" x14ac:dyDescent="0.2">
      <c r="A26" s="19"/>
      <c r="B26" s="19"/>
      <c r="C26" s="452" t="s">
        <v>320</v>
      </c>
      <c r="D26" s="20"/>
      <c r="E26" s="511"/>
      <c r="F26" s="22"/>
      <c r="G26" s="22"/>
      <c r="H26" s="22"/>
      <c r="I26" s="20"/>
      <c r="J26" s="460"/>
      <c r="K26" s="355"/>
      <c r="L26" s="355"/>
      <c r="M26" s="355"/>
      <c r="N26" s="355"/>
      <c r="O26" s="355"/>
      <c r="P26" s="355"/>
      <c r="Q26" s="355"/>
      <c r="R26" s="19"/>
      <c r="S26" s="19"/>
      <c r="T26" s="19"/>
      <c r="U26" s="19"/>
      <c r="V26" s="19"/>
      <c r="W26" s="19"/>
      <c r="X26" s="19"/>
      <c r="Y26" s="19"/>
      <c r="Z26" s="19"/>
    </row>
    <row r="27" spans="1:26" hidden="1" outlineLevel="1" x14ac:dyDescent="0.2">
      <c r="A27" s="19"/>
      <c r="B27" s="19"/>
      <c r="C27" s="509" t="s">
        <v>322</v>
      </c>
      <c r="D27" s="20"/>
      <c r="E27" s="458" t="str">
        <f>IF(C27=0,0,revenueunits)</f>
        <v>$millions</v>
      </c>
      <c r="F27" s="22"/>
      <c r="G27" s="22"/>
      <c r="H27" s="22"/>
      <c r="I27" s="20"/>
      <c r="J27" s="358">
        <f>'Rev. summary'!$Q$132</f>
        <v>0</v>
      </c>
      <c r="K27" s="447"/>
      <c r="L27" s="448"/>
      <c r="M27" s="448"/>
      <c r="N27" s="448"/>
      <c r="O27" s="448"/>
      <c r="P27" s="448"/>
      <c r="Q27" s="448"/>
      <c r="R27" s="19"/>
      <c r="S27" s="19"/>
      <c r="T27" s="19"/>
      <c r="U27" s="19"/>
      <c r="V27" s="19"/>
      <c r="W27" s="19"/>
      <c r="X27" s="19"/>
      <c r="Y27" s="19"/>
      <c r="Z27" s="19"/>
    </row>
    <row r="28" spans="1:26" hidden="1" outlineLevel="1" x14ac:dyDescent="0.2">
      <c r="A28" s="19"/>
      <c r="B28" s="19"/>
      <c r="C28" s="509" t="s">
        <v>319</v>
      </c>
      <c r="D28" s="20"/>
      <c r="E28" s="458" t="str">
        <f>IF(C28=0,0,revenueunits)</f>
        <v>$millions</v>
      </c>
      <c r="F28" s="22"/>
      <c r="G28" s="22"/>
      <c r="H28" s="22"/>
      <c r="I28" s="20"/>
      <c r="J28" s="358">
        <f>INDEX(TAR!M43:Q43,1,MATCH(forecastyear,TAR!M34:Q34,0))</f>
        <v>0</v>
      </c>
      <c r="K28" s="447"/>
      <c r="L28" s="448"/>
      <c r="M28" s="448"/>
      <c r="N28" s="448"/>
      <c r="O28" s="448"/>
      <c r="P28" s="448"/>
      <c r="Q28" s="448"/>
      <c r="R28" s="19"/>
      <c r="S28" s="24"/>
      <c r="T28" s="19"/>
      <c r="U28" s="19"/>
      <c r="V28" s="19"/>
      <c r="W28" s="19"/>
      <c r="X28" s="19"/>
      <c r="Y28" s="19"/>
      <c r="Z28" s="19"/>
    </row>
    <row r="29" spans="1:26" hidden="1" outlineLevel="1" x14ac:dyDescent="0.2">
      <c r="A29" s="19"/>
      <c r="B29" s="19"/>
      <c r="C29" s="449"/>
      <c r="D29" s="20"/>
      <c r="E29" s="450"/>
      <c r="F29" s="22"/>
      <c r="G29" s="22"/>
      <c r="H29" s="22"/>
      <c r="I29" s="20"/>
      <c r="J29" s="451"/>
      <c r="K29" s="451"/>
      <c r="L29" s="451"/>
      <c r="M29" s="451"/>
      <c r="N29" s="451"/>
      <c r="O29" s="451"/>
      <c r="P29" s="451"/>
      <c r="Q29" s="451"/>
      <c r="R29" s="19"/>
      <c r="S29" s="451" t="str">
        <f>IF(J27&gt;J28,"NON-COMPLIANT","COMPLIANT")</f>
        <v>COMPLIANT</v>
      </c>
      <c r="T29" s="19"/>
      <c r="U29" s="19"/>
      <c r="V29" s="19"/>
      <c r="W29" s="19"/>
      <c r="X29" s="19"/>
      <c r="Y29" s="19"/>
      <c r="Z29" s="19"/>
    </row>
    <row r="30" spans="1:26" collapsed="1" x14ac:dyDescent="0.2">
      <c r="A30" s="19"/>
      <c r="B30" s="19"/>
      <c r="C30" s="51"/>
      <c r="D30" s="20"/>
      <c r="E30" s="20"/>
      <c r="F30" s="22"/>
      <c r="G30" s="22"/>
      <c r="H30" s="22"/>
      <c r="I30" s="20"/>
      <c r="J30" s="20"/>
      <c r="K30" s="20"/>
      <c r="L30" s="20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2.75" x14ac:dyDescent="0.2">
      <c r="A31" s="11"/>
      <c r="B31" s="12" t="s">
        <v>329</v>
      </c>
      <c r="C31" s="11"/>
      <c r="D31" s="32"/>
      <c r="E31" s="32" t="s">
        <v>11</v>
      </c>
      <c r="F31" s="33"/>
      <c r="G31" s="34"/>
      <c r="H31" s="34"/>
      <c r="I31" s="34"/>
      <c r="J31" s="33" t="s">
        <v>330</v>
      </c>
      <c r="K31" s="33"/>
      <c r="L31" s="33"/>
      <c r="M31" s="33"/>
      <c r="N31" s="55"/>
      <c r="O31" s="33"/>
      <c r="P31" s="33"/>
      <c r="Q31" s="33"/>
      <c r="R31" s="14"/>
      <c r="S31" s="33" t="s">
        <v>578</v>
      </c>
      <c r="T31" s="15"/>
      <c r="U31" s="15"/>
      <c r="V31" s="15"/>
      <c r="W31" s="15"/>
      <c r="X31" s="15"/>
      <c r="Y31" s="15"/>
      <c r="Z31" s="15"/>
    </row>
    <row r="32" spans="1:26" x14ac:dyDescent="0.2">
      <c r="A32" s="19"/>
      <c r="B32" s="19"/>
      <c r="C32" s="79"/>
      <c r="D32" s="20"/>
      <c r="E32" s="20"/>
      <c r="F32" s="22"/>
      <c r="G32" s="22"/>
      <c r="H32" s="22"/>
      <c r="I32" s="20"/>
      <c r="J32" s="20"/>
      <c r="K32" s="20"/>
      <c r="M32" s="37"/>
      <c r="N32" s="37"/>
      <c r="O32" s="37"/>
      <c r="P32" s="37"/>
      <c r="Q32" s="37"/>
      <c r="R32" s="19"/>
      <c r="S32" s="20"/>
      <c r="T32" s="19"/>
      <c r="U32" s="19"/>
      <c r="V32" s="19"/>
      <c r="W32" s="19"/>
      <c r="X32" s="19"/>
      <c r="Y32" s="19"/>
      <c r="Z32" s="19"/>
    </row>
    <row r="33" spans="1:26" x14ac:dyDescent="0.2">
      <c r="A33" s="19"/>
      <c r="B33" s="19"/>
      <c r="C33" s="508" t="s">
        <v>136</v>
      </c>
      <c r="D33" s="512"/>
      <c r="E33" s="458" t="str">
        <f>IF(C33=0,0,revenueunits)</f>
        <v>$millions</v>
      </c>
      <c r="F33" s="22"/>
      <c r="G33" s="22"/>
      <c r="H33" s="22"/>
      <c r="I33" s="20"/>
      <c r="J33" s="358">
        <f>INDEX(Accounts!J24:Q24,1,MATCH(forecastyear,Accounts!J11:Q11,0))</f>
        <v>-0.75071351011286225</v>
      </c>
      <c r="K33" s="453"/>
      <c r="M33" s="453"/>
      <c r="N33" s="453"/>
      <c r="O33" s="453"/>
      <c r="P33" s="453"/>
      <c r="Q33" s="453"/>
      <c r="R33" s="19"/>
      <c r="S33" s="453" t="str">
        <f>IF(J33&gt;0,"NON-COMPLIANT","COMPLIANT")</f>
        <v>COMPLIANT</v>
      </c>
      <c r="T33" s="604"/>
      <c r="U33" s="19"/>
      <c r="V33" s="19"/>
      <c r="W33" s="19"/>
      <c r="X33" s="19"/>
      <c r="Y33" s="19"/>
      <c r="Z33" s="19"/>
    </row>
    <row r="34" spans="1:26" x14ac:dyDescent="0.2">
      <c r="A34" s="19"/>
      <c r="B34" s="19"/>
      <c r="C34" s="508" t="s">
        <v>137</v>
      </c>
      <c r="D34" s="512"/>
      <c r="E34" s="458" t="str">
        <f>IF(C34=0,0,revenueunits)</f>
        <v>$millions</v>
      </c>
      <c r="F34" s="22"/>
      <c r="G34" s="22"/>
      <c r="H34" s="22"/>
      <c r="I34" s="20"/>
      <c r="J34" s="358">
        <f>INDEX(Accounts!J39:Q39,1,MATCH(forecastyear,Accounts!J26:Q26,0))</f>
        <v>-7.2914588780604694E-2</v>
      </c>
      <c r="K34" s="453"/>
      <c r="M34" s="453"/>
      <c r="N34" s="453"/>
      <c r="O34" s="453"/>
      <c r="P34" s="453"/>
      <c r="Q34" s="453"/>
      <c r="R34" s="19"/>
      <c r="S34" s="453" t="str">
        <f>IF(J34&gt;0,"NON-COMPLIANT","COMPLIANT")</f>
        <v>COMPLIANT</v>
      </c>
      <c r="T34" s="19"/>
      <c r="U34" s="19"/>
      <c r="V34" s="19"/>
      <c r="W34" s="19"/>
      <c r="X34" s="19"/>
      <c r="Y34" s="19"/>
      <c r="Z34" s="19"/>
    </row>
    <row r="35" spans="1:26" hidden="1" outlineLevel="1" x14ac:dyDescent="0.2">
      <c r="A35" s="19"/>
      <c r="B35" s="19"/>
      <c r="C35" s="508" t="s">
        <v>138</v>
      </c>
      <c r="D35" s="512"/>
      <c r="E35" s="458" t="str">
        <f>IF(C35=0,0,revenueunits)</f>
        <v>$millions</v>
      </c>
      <c r="F35" s="22"/>
      <c r="G35" s="22"/>
      <c r="H35" s="22"/>
      <c r="I35" s="20"/>
      <c r="J35" s="358">
        <f>INDEX(Accounts!J53:Q53,1,MATCH(forecastyear,Accounts!J41:Q41,0))</f>
        <v>0</v>
      </c>
      <c r="K35" s="453"/>
      <c r="M35" s="453"/>
      <c r="N35" s="453"/>
      <c r="O35" s="453"/>
      <c r="P35" s="453"/>
      <c r="Q35" s="453"/>
      <c r="R35" s="19"/>
      <c r="S35" s="453" t="str">
        <f>IF(J35&gt;0,"NON-COMPLIANT","COMPLIANT")</f>
        <v>COMPLIANT</v>
      </c>
      <c r="T35" s="19"/>
      <c r="U35" s="19"/>
      <c r="V35" s="19"/>
      <c r="W35" s="19"/>
      <c r="X35" s="19"/>
      <c r="Y35" s="19"/>
      <c r="Z35" s="19"/>
    </row>
    <row r="36" spans="1:26" hidden="1" outlineLevel="1" x14ac:dyDescent="0.2">
      <c r="A36" s="19"/>
      <c r="B36" s="19"/>
      <c r="C36" s="508" t="s">
        <v>320</v>
      </c>
      <c r="D36" s="512"/>
      <c r="E36" s="458" t="str">
        <f>IF(C36=0,0,revenueunits)</f>
        <v>$millions</v>
      </c>
      <c r="F36" s="22"/>
      <c r="G36" s="22"/>
      <c r="H36" s="22"/>
      <c r="I36" s="20"/>
      <c r="J36" s="358">
        <f>INDEX(Accounts!J67:Q67,1,MATCH(forecastyear,Accounts!J55:Q55,0))</f>
        <v>0</v>
      </c>
      <c r="K36" s="453"/>
      <c r="M36" s="453"/>
      <c r="N36" s="453"/>
      <c r="O36" s="453"/>
      <c r="P36" s="453"/>
      <c r="Q36" s="453"/>
      <c r="R36" s="19"/>
      <c r="S36" s="453" t="str">
        <f>IF(J36&gt;0,"NON-COMPLIANT","COMPLIANT")</f>
        <v>COMPLIANT</v>
      </c>
      <c r="T36" s="19"/>
      <c r="U36" s="19"/>
      <c r="V36" s="19"/>
      <c r="W36" s="19"/>
      <c r="X36" s="19"/>
      <c r="Y36" s="19"/>
      <c r="Z36" s="19"/>
    </row>
    <row r="37" spans="1:26" collapsed="1" x14ac:dyDescent="0.2">
      <c r="A37" s="19"/>
      <c r="B37" s="19"/>
      <c r="C37" s="51"/>
      <c r="D37" s="20"/>
      <c r="E37" s="20"/>
      <c r="F37" s="22"/>
      <c r="G37" s="22"/>
      <c r="H37" s="22"/>
      <c r="I37" s="20"/>
      <c r="J37" s="20"/>
      <c r="K37" s="20"/>
      <c r="L37" s="20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2.75" x14ac:dyDescent="0.2">
      <c r="A38" s="11"/>
      <c r="B38" s="12" t="s">
        <v>332</v>
      </c>
      <c r="C38" s="11"/>
      <c r="D38" s="32"/>
      <c r="E38" s="32" t="str">
        <f>E5</f>
        <v>Unit</v>
      </c>
      <c r="F38" s="32"/>
      <c r="G38" s="32"/>
      <c r="H38" s="32"/>
      <c r="I38" s="32"/>
      <c r="J38" s="32" t="s">
        <v>334</v>
      </c>
      <c r="K38" s="32"/>
      <c r="L38" s="32" t="str">
        <f>"PP ("&amp;L39&amp;")"</f>
        <v>PP (Incremental)</v>
      </c>
      <c r="M38" s="32"/>
      <c r="N38" s="32" t="str">
        <f>"PP ("&amp;N39&amp;")"</f>
        <v>PP (Alternate)</v>
      </c>
      <c r="O38" s="32"/>
      <c r="P38" s="32"/>
      <c r="Q38" s="32"/>
      <c r="R38" s="54"/>
      <c r="S38" s="32" t="s">
        <v>317</v>
      </c>
      <c r="T38" s="15"/>
      <c r="U38" s="15"/>
      <c r="V38" s="15"/>
      <c r="W38" s="15"/>
      <c r="X38" s="15"/>
      <c r="Y38" s="15"/>
      <c r="Z38" s="15"/>
    </row>
    <row r="39" spans="1:26" x14ac:dyDescent="0.2">
      <c r="A39" s="19"/>
      <c r="B39" s="19"/>
      <c r="C39" s="51"/>
      <c r="D39" s="20"/>
      <c r="E39" s="20"/>
      <c r="F39" s="20"/>
      <c r="G39" s="20"/>
      <c r="H39" s="20"/>
      <c r="I39" s="20"/>
      <c r="J39" s="20"/>
      <c r="K39" s="20"/>
      <c r="L39" s="146" t="s">
        <v>336</v>
      </c>
      <c r="M39" s="147"/>
      <c r="N39" s="147" t="s">
        <v>337</v>
      </c>
      <c r="O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x14ac:dyDescent="0.2">
      <c r="A40" s="19"/>
      <c r="B40" s="19"/>
      <c r="C40" s="508" t="str">
        <f>'SC revenue'!C27</f>
        <v>Residential</v>
      </c>
      <c r="D40" s="512"/>
      <c r="E40" s="458" t="s">
        <v>19</v>
      </c>
      <c r="F40" s="20"/>
      <c r="G40" s="22"/>
      <c r="H40" s="22"/>
      <c r="I40" s="20"/>
      <c r="J40" s="234">
        <f>IFERROR('SC revenue'!N27/'SC revenue'!J27-1,0)</f>
        <v>-2.6127695107983184E-2</v>
      </c>
      <c r="K40" s="361"/>
      <c r="L40" s="234">
        <f>INDEX('SC revenue'!$H$16:$L$16,1,MATCH(forecastyear,'SC revenue'!$H$5:$L$5,0))</f>
        <v>5.3862858119005264E-2</v>
      </c>
      <c r="M40" s="361"/>
      <c r="N40" s="234">
        <f>INDEX('SC revenue'!$H$22:$L$22,1,MATCH(forecastyear,'SC revenue'!$H$5:$L$5,0))</f>
        <v>3.1589243973152437E-2</v>
      </c>
      <c r="O40" s="361"/>
      <c r="Q40" s="361"/>
      <c r="R40" s="19"/>
      <c r="S40" s="454" t="str">
        <f>IF(C40=0,0,IF(forecastyear=RCP_firstyear,0,IF(J40&gt;INDEX(L40:N40,1,MATCH(General!$F$29,$L$39:$N$39,0)),"NON-COMPLIANT","COMPLIANT")))</f>
        <v>COMPLIANT</v>
      </c>
      <c r="T40" s="19"/>
      <c r="U40" s="19"/>
      <c r="V40" s="19"/>
      <c r="W40" s="19"/>
      <c r="X40" s="19"/>
      <c r="Y40" s="19"/>
      <c r="Z40" s="19"/>
    </row>
    <row r="41" spans="1:26" x14ac:dyDescent="0.2">
      <c r="A41" s="19"/>
      <c r="B41" s="19"/>
      <c r="C41" s="508" t="str">
        <f>'SC revenue'!C28</f>
        <v>Small Business LV</v>
      </c>
      <c r="D41" s="512"/>
      <c r="E41" s="458" t="s">
        <v>19</v>
      </c>
      <c r="F41" s="20"/>
      <c r="G41" s="22"/>
      <c r="H41" s="22"/>
      <c r="I41" s="20"/>
      <c r="J41" s="234">
        <f>IFERROR('SC revenue'!N28/'SC revenue'!J28-1,0)</f>
        <v>4.5995879083549074E-3</v>
      </c>
      <c r="K41" s="361"/>
      <c r="L41" s="234">
        <f>$L$40</f>
        <v>5.3862858119005264E-2</v>
      </c>
      <c r="M41" s="361"/>
      <c r="N41" s="234">
        <f>$N$40</f>
        <v>3.1589243973152437E-2</v>
      </c>
      <c r="O41" s="361"/>
      <c r="Q41" s="361"/>
      <c r="R41" s="19"/>
      <c r="S41" s="454" t="str">
        <f>IF(C41=0,0,IF(forecastyear=RCP_firstyear,0,IF(J41&gt;INDEX(L41:N41,1,MATCH(General!$F$29,$L$39:$N$39,0)),"NON-COMPLIANT","COMPLIANT")))</f>
        <v>COMPLIANT</v>
      </c>
      <c r="T41" s="19"/>
      <c r="U41" s="19"/>
      <c r="V41" s="19"/>
      <c r="W41" s="19"/>
      <c r="X41" s="19"/>
      <c r="Y41" s="19"/>
      <c r="Z41" s="19"/>
    </row>
    <row r="42" spans="1:26" x14ac:dyDescent="0.2">
      <c r="A42" s="19"/>
      <c r="B42" s="19"/>
      <c r="C42" s="508" t="str">
        <f>'SC revenue'!C29</f>
        <v>Large Business LV</v>
      </c>
      <c r="D42" s="512"/>
      <c r="E42" s="458" t="s">
        <v>19</v>
      </c>
      <c r="F42" s="20"/>
      <c r="G42" s="22"/>
      <c r="H42" s="22"/>
      <c r="I42" s="20"/>
      <c r="J42" s="234">
        <f>IFERROR('SC revenue'!N29/'SC revenue'!J29-1,0)</f>
        <v>-1.0796806593475261E-2</v>
      </c>
      <c r="K42" s="361"/>
      <c r="L42" s="234">
        <f t="shared" ref="L42:L50" si="0">$L$40</f>
        <v>5.3862858119005264E-2</v>
      </c>
      <c r="M42" s="361"/>
      <c r="N42" s="234">
        <f t="shared" ref="N42:N50" si="1">$N$40</f>
        <v>3.1589243973152437E-2</v>
      </c>
      <c r="O42" s="361"/>
      <c r="Q42" s="361"/>
      <c r="R42" s="19"/>
      <c r="S42" s="454" t="str">
        <f>IF(C42=0,0,IF(forecastyear=RCP_firstyear,0,IF(J42&gt;INDEX(L42:N42,1,MATCH(General!$F$29,$L$39:$N$39,0)),"NON-COMPLIANT","COMPLIANT")))</f>
        <v>COMPLIANT</v>
      </c>
      <c r="T42" s="19"/>
      <c r="U42" s="19"/>
      <c r="V42" s="19"/>
      <c r="W42" s="19"/>
      <c r="X42" s="19"/>
      <c r="Y42" s="19"/>
      <c r="Z42" s="19"/>
    </row>
    <row r="43" spans="1:26" x14ac:dyDescent="0.2">
      <c r="A43" s="19"/>
      <c r="B43" s="19"/>
      <c r="C43" s="508" t="str">
        <f>'SC revenue'!C30</f>
        <v>Irrigation</v>
      </c>
      <c r="D43" s="512"/>
      <c r="E43" s="458" t="s">
        <v>19</v>
      </c>
      <c r="F43" s="20"/>
      <c r="G43" s="22"/>
      <c r="H43" s="22"/>
      <c r="I43" s="20"/>
      <c r="J43" s="234">
        <f>IFERROR('SC revenue'!N30/'SC revenue'!J30-1,0)</f>
        <v>1.9842536114877518E-2</v>
      </c>
      <c r="K43" s="361"/>
      <c r="L43" s="234">
        <f t="shared" si="0"/>
        <v>5.3862858119005264E-2</v>
      </c>
      <c r="M43" s="361"/>
      <c r="N43" s="234">
        <f t="shared" si="1"/>
        <v>3.1589243973152437E-2</v>
      </c>
      <c r="O43" s="361"/>
      <c r="Q43" s="361"/>
      <c r="R43" s="19"/>
      <c r="S43" s="454" t="str">
        <f>IF(C43=0,0,IF(forecastyear=RCP_firstyear,0,IF(J43&gt;INDEX(L43:N43,1,MATCH(General!$F$29,$L$39:$N$39,0)),"NON-COMPLIANT","COMPLIANT")))</f>
        <v>COMPLIANT</v>
      </c>
      <c r="T43" s="19"/>
      <c r="U43" s="19"/>
      <c r="V43" s="19"/>
      <c r="W43" s="19"/>
      <c r="X43" s="19"/>
      <c r="Y43" s="19"/>
      <c r="Z43" s="19"/>
    </row>
    <row r="44" spans="1:26" x14ac:dyDescent="0.2">
      <c r="A44" s="19"/>
      <c r="B44" s="19"/>
      <c r="C44" s="508" t="str">
        <f>'SC revenue'!C31</f>
        <v>Large Business HV</v>
      </c>
      <c r="D44" s="512"/>
      <c r="E44" s="458" t="s">
        <v>19</v>
      </c>
      <c r="F44" s="20"/>
      <c r="G44" s="22"/>
      <c r="H44" s="22"/>
      <c r="I44" s="20"/>
      <c r="J44" s="234">
        <f>IFERROR('SC revenue'!N31/'SC revenue'!J31-1,0)</f>
        <v>-5.6043856155325589E-3</v>
      </c>
      <c r="K44" s="361"/>
      <c r="L44" s="234">
        <f t="shared" si="0"/>
        <v>5.3862858119005264E-2</v>
      </c>
      <c r="M44" s="361"/>
      <c r="N44" s="234">
        <f t="shared" si="1"/>
        <v>3.1589243973152437E-2</v>
      </c>
      <c r="O44" s="361"/>
      <c r="Q44" s="361"/>
      <c r="R44" s="19"/>
      <c r="S44" s="454" t="str">
        <f>IF(C44=0,0,IF(forecastyear=RCP_firstyear,0,IF(J44&gt;INDEX(L44:N44,1,MATCH(General!$F$29,$L$39:$N$39,0)),"NON-COMPLIANT","COMPLIANT")))</f>
        <v>COMPLIANT</v>
      </c>
      <c r="T44" s="19"/>
      <c r="U44" s="19"/>
      <c r="V44" s="19"/>
      <c r="W44" s="19"/>
      <c r="X44" s="19"/>
      <c r="Y44" s="19"/>
      <c r="Z44" s="19"/>
    </row>
    <row r="45" spans="1:26" x14ac:dyDescent="0.2">
      <c r="A45" s="19"/>
      <c r="B45" s="19"/>
      <c r="C45" s="508" t="str">
        <f>'SC revenue'!C32</f>
        <v>Uncontrolled energy</v>
      </c>
      <c r="D45" s="512"/>
      <c r="E45" s="458" t="s">
        <v>19</v>
      </c>
      <c r="F45" s="20"/>
      <c r="G45" s="22"/>
      <c r="H45" s="22"/>
      <c r="I45" s="20"/>
      <c r="J45" s="234">
        <f>IFERROR('SC revenue'!N32/'SC revenue'!J32-1,0)</f>
        <v>5.0488683091336028E-2</v>
      </c>
      <c r="K45" s="361"/>
      <c r="L45" s="234">
        <f t="shared" si="0"/>
        <v>5.3862858119005264E-2</v>
      </c>
      <c r="M45" s="361"/>
      <c r="N45" s="234">
        <f t="shared" si="1"/>
        <v>3.1589243973152437E-2</v>
      </c>
      <c r="O45" s="361"/>
      <c r="Q45" s="361"/>
      <c r="R45" s="19"/>
      <c r="S45" s="454" t="str">
        <f>IF(C45=0,0,IF(forecastyear=RCP_firstyear,0,IF(J45&gt;INDEX(L45:N45,1,MATCH(General!$F$29,$L$39:$N$39,0)),"NON-COMPLIANT","COMPLIANT")))</f>
        <v>COMPLIANT</v>
      </c>
      <c r="T45" s="19"/>
      <c r="U45" s="19"/>
      <c r="V45" s="19"/>
      <c r="W45" s="19"/>
      <c r="X45" s="19"/>
      <c r="Y45" s="19"/>
      <c r="Z45" s="19"/>
    </row>
    <row r="46" spans="1:26" x14ac:dyDescent="0.2">
      <c r="A46" s="19"/>
      <c r="B46" s="19"/>
      <c r="C46" s="508" t="str">
        <f>'SC revenue'!C33</f>
        <v>Controlled energy</v>
      </c>
      <c r="D46" s="512"/>
      <c r="E46" s="458" t="s">
        <v>19</v>
      </c>
      <c r="F46" s="20"/>
      <c r="G46" s="22"/>
      <c r="H46" s="22"/>
      <c r="I46" s="20"/>
      <c r="J46" s="234">
        <f>IFERROR('SC revenue'!N33/'SC revenue'!J33-1,0)</f>
        <v>1.7147177718861872E-2</v>
      </c>
      <c r="K46" s="361"/>
      <c r="L46" s="234">
        <f t="shared" si="0"/>
        <v>5.3862858119005264E-2</v>
      </c>
      <c r="M46" s="361"/>
      <c r="N46" s="234">
        <f t="shared" si="1"/>
        <v>3.1589243973152437E-2</v>
      </c>
      <c r="O46" s="361"/>
      <c r="Q46" s="361"/>
      <c r="R46" s="19"/>
      <c r="S46" s="454" t="str">
        <f>IF(C46=0,0,IF(forecastyear=RCP_firstyear,0,IF(J46&gt;INDEX(L46:N46,1,MATCH(General!$F$29,$L$39:$N$39,0)),"NON-COMPLIANT","COMPLIANT")))</f>
        <v>COMPLIANT</v>
      </c>
      <c r="T46" s="19"/>
      <c r="U46" s="19"/>
      <c r="V46" s="19"/>
      <c r="W46" s="19"/>
      <c r="X46" s="19"/>
      <c r="Y46" s="19"/>
      <c r="Z46" s="19"/>
    </row>
    <row r="47" spans="1:26" x14ac:dyDescent="0.2">
      <c r="A47" s="19"/>
      <c r="B47" s="19"/>
      <c r="C47" s="508" t="str">
        <f>'SC revenue'!C34</f>
        <v>Unmetered supplies</v>
      </c>
      <c r="D47" s="512"/>
      <c r="E47" s="458" t="s">
        <v>19</v>
      </c>
      <c r="F47" s="20"/>
      <c r="G47" s="22"/>
      <c r="H47" s="22"/>
      <c r="I47" s="20"/>
      <c r="J47" s="234">
        <f>IFERROR('SC revenue'!N34/'SC revenue'!J34-1,0)</f>
        <v>2.3470433945533831E-3</v>
      </c>
      <c r="K47" s="361"/>
      <c r="L47" s="234">
        <f t="shared" si="0"/>
        <v>5.3862858119005264E-2</v>
      </c>
      <c r="M47" s="361"/>
      <c r="N47" s="234">
        <f t="shared" si="1"/>
        <v>3.1589243973152437E-2</v>
      </c>
      <c r="O47" s="361"/>
      <c r="Q47" s="361"/>
      <c r="R47" s="19"/>
      <c r="S47" s="454" t="str">
        <f>IF(C47=0,0,IF(forecastyear=RCP_firstyear,0,IF(J47&gt;INDEX(L47:N47,1,MATCH(General!$F$29,$L$39:$N$39,0)),"NON-COMPLIANT","COMPLIANT")))</f>
        <v>COMPLIANT</v>
      </c>
      <c r="T47" s="19"/>
      <c r="U47" s="19"/>
      <c r="V47" s="19"/>
      <c r="W47" s="19"/>
      <c r="X47" s="19"/>
      <c r="Y47" s="19"/>
      <c r="Z47" s="19"/>
    </row>
    <row r="48" spans="1:26" x14ac:dyDescent="0.2">
      <c r="A48" s="19"/>
      <c r="B48" s="19"/>
      <c r="C48" s="508" t="str">
        <f>'SC revenue'!C35</f>
        <v>Street lighting</v>
      </c>
      <c r="D48" s="512"/>
      <c r="E48" s="458" t="s">
        <v>19</v>
      </c>
      <c r="F48" s="20"/>
      <c r="G48" s="22"/>
      <c r="H48" s="22"/>
      <c r="I48" s="20"/>
      <c r="J48" s="234">
        <f>IFERROR('SC revenue'!N35/'SC revenue'!J35-1,0)</f>
        <v>1.2048192771084265E-2</v>
      </c>
      <c r="K48" s="361"/>
      <c r="L48" s="234">
        <f t="shared" si="0"/>
        <v>5.3862858119005264E-2</v>
      </c>
      <c r="M48" s="361"/>
      <c r="N48" s="234">
        <f t="shared" si="1"/>
        <v>3.1589243973152437E-2</v>
      </c>
      <c r="O48" s="361"/>
      <c r="Q48" s="361"/>
      <c r="R48" s="19"/>
      <c r="S48" s="454" t="str">
        <f>IF(C48=0,0,IF(forecastyear=RCP_firstyear,0,IF(J48&gt;INDEX(L48:N48,1,MATCH(General!$F$29,$L$39:$N$39,0)),"NON-COMPLIANT","COMPLIANT")))</f>
        <v>COMPLIANT</v>
      </c>
      <c r="T48" s="19"/>
      <c r="U48" s="19"/>
      <c r="V48" s="19"/>
      <c r="W48" s="19"/>
      <c r="X48" s="19"/>
      <c r="Y48" s="19"/>
      <c r="Z48" s="19"/>
    </row>
    <row r="49" spans="1:26" x14ac:dyDescent="0.2">
      <c r="A49" s="19"/>
      <c r="B49" s="19"/>
      <c r="C49" s="508" t="str">
        <f>'SC revenue'!C36</f>
        <v>ITC</v>
      </c>
      <c r="D49" s="512"/>
      <c r="E49" s="458" t="s">
        <v>19</v>
      </c>
      <c r="F49" s="20"/>
      <c r="G49" s="22"/>
      <c r="H49" s="22"/>
      <c r="I49" s="20"/>
      <c r="J49" s="234">
        <f>IFERROR('SC revenue'!N36/'SC revenue'!J36-1,0)</f>
        <v>-5.2485474363633822E-3</v>
      </c>
      <c r="K49" s="361"/>
      <c r="L49" s="234">
        <f t="shared" si="0"/>
        <v>5.3862858119005264E-2</v>
      </c>
      <c r="M49" s="361"/>
      <c r="N49" s="234">
        <f t="shared" si="1"/>
        <v>3.1589243973152437E-2</v>
      </c>
      <c r="O49" s="361"/>
      <c r="Q49" s="361"/>
      <c r="R49" s="19"/>
      <c r="S49" s="454" t="str">
        <f>IF(C49=0,0,IF(forecastyear=RCP_firstyear,0,IF(J49&gt;INDEX(L49:N49,1,MATCH(General!$F$29,$L$39:$N$39,0)),"NON-COMPLIANT","COMPLIANT")))</f>
        <v>COMPLIANT</v>
      </c>
      <c r="T49" s="19"/>
      <c r="U49" s="19"/>
      <c r="V49" s="19"/>
      <c r="W49" s="19"/>
      <c r="X49" s="19"/>
      <c r="Y49" s="19"/>
      <c r="Z49" s="19"/>
    </row>
    <row r="50" spans="1:26" x14ac:dyDescent="0.2">
      <c r="A50" s="19"/>
      <c r="B50" s="19"/>
      <c r="C50" s="508">
        <f>'SC revenue'!C37</f>
        <v>0</v>
      </c>
      <c r="D50" s="512"/>
      <c r="E50" s="458" t="s">
        <v>19</v>
      </c>
      <c r="F50" s="20"/>
      <c r="G50" s="22"/>
      <c r="H50" s="22"/>
      <c r="I50" s="20"/>
      <c r="J50" s="234">
        <f>IFERROR('SC revenue'!N37/'SC revenue'!J37-1,0)</f>
        <v>0</v>
      </c>
      <c r="K50" s="361"/>
      <c r="L50" s="234">
        <f t="shared" si="0"/>
        <v>5.3862858119005264E-2</v>
      </c>
      <c r="M50" s="361"/>
      <c r="N50" s="234">
        <f t="shared" si="1"/>
        <v>3.1589243973152437E-2</v>
      </c>
      <c r="O50" s="361"/>
      <c r="Q50" s="361"/>
      <c r="R50" s="19"/>
      <c r="S50" s="454">
        <f>IF(C50=0,0,IF(forecastyear=RCP_firstyear,0,IF(J50&gt;INDEX(L50:N50,1,MATCH(General!$F$29,$L$39:$N$39,0)),"NON-COMPLIANT","COMPLIANT")))</f>
        <v>0</v>
      </c>
      <c r="T50" s="19"/>
      <c r="U50" s="19"/>
      <c r="V50" s="19"/>
      <c r="W50" s="19"/>
      <c r="X50" s="19"/>
      <c r="Y50" s="19"/>
      <c r="Z50" s="19"/>
    </row>
    <row r="51" spans="1:26" x14ac:dyDescent="0.2">
      <c r="A51" s="19"/>
      <c r="B51" s="19"/>
      <c r="C51" s="256"/>
      <c r="D51" s="512"/>
      <c r="E51" s="513"/>
      <c r="F51" s="20"/>
      <c r="G51" s="22"/>
      <c r="H51" s="22"/>
      <c r="I51" s="20"/>
      <c r="J51" s="94"/>
      <c r="K51" s="361"/>
      <c r="L51" s="94"/>
      <c r="M51" s="361"/>
      <c r="N51" s="94"/>
      <c r="O51" s="361"/>
      <c r="Q51" s="361"/>
      <c r="R51" s="19"/>
      <c r="S51" s="361"/>
      <c r="T51" s="19"/>
      <c r="U51" s="19"/>
      <c r="V51" s="19"/>
      <c r="W51" s="19"/>
      <c r="X51" s="19"/>
      <c r="Y51" s="19"/>
      <c r="Z51" s="19"/>
    </row>
    <row r="52" spans="1:26" hidden="1" outlineLevel="1" x14ac:dyDescent="0.2">
      <c r="A52" s="19"/>
      <c r="B52" s="19"/>
      <c r="C52" s="167" t="s">
        <v>320</v>
      </c>
      <c r="D52" s="512"/>
      <c r="E52" s="513"/>
      <c r="F52" s="20"/>
      <c r="G52" s="22"/>
      <c r="H52" s="22"/>
      <c r="I52" s="20"/>
      <c r="J52" s="94"/>
      <c r="K52" s="361"/>
      <c r="L52" s="94"/>
      <c r="M52" s="361"/>
      <c r="N52" s="94"/>
      <c r="O52" s="361"/>
      <c r="Q52" s="361"/>
      <c r="R52" s="19"/>
      <c r="S52" s="361"/>
      <c r="T52" s="19"/>
      <c r="U52" s="19"/>
      <c r="V52" s="19"/>
      <c r="W52" s="19"/>
      <c r="X52" s="19"/>
      <c r="Y52" s="19"/>
      <c r="Z52" s="19"/>
    </row>
    <row r="53" spans="1:26" hidden="1" outlineLevel="1" x14ac:dyDescent="0.2">
      <c r="A53" s="19"/>
      <c r="B53" s="19"/>
      <c r="C53" s="508">
        <f>'SC revenue'!C130</f>
        <v>0</v>
      </c>
      <c r="D53" s="512"/>
      <c r="E53" s="458" t="s">
        <v>19</v>
      </c>
      <c r="F53" s="20"/>
      <c r="G53" s="22"/>
      <c r="H53" s="22"/>
      <c r="I53" s="20"/>
      <c r="J53" s="234">
        <f>IFERROR('SC revenue'!K130/'SC revenue'!I130-1,0)</f>
        <v>0</v>
      </c>
      <c r="K53" s="361"/>
      <c r="L53" s="234">
        <f>INDEX('SC revenue'!$H$127:$L$127,1,MATCH(forecastyear,'SC revenue'!$H$120:$L$120,0))</f>
        <v>5.5682593856655194E-2</v>
      </c>
      <c r="M53" s="361"/>
      <c r="N53" s="94"/>
      <c r="O53" s="361"/>
      <c r="Q53" s="361"/>
      <c r="R53" s="19"/>
      <c r="S53" s="454">
        <f t="shared" ref="S53:S59" si="2">IF(C53=0,0,IF(forecastyear=RCP_firstyear,0,IF(J53&gt;L53,"NON-COMPLIANT","COMPLIANT")))</f>
        <v>0</v>
      </c>
      <c r="T53" s="19"/>
      <c r="U53" s="19"/>
      <c r="V53" s="19"/>
      <c r="W53" s="19"/>
      <c r="X53" s="19"/>
      <c r="Y53" s="19"/>
      <c r="Z53" s="19"/>
    </row>
    <row r="54" spans="1:26" hidden="1" outlineLevel="1" x14ac:dyDescent="0.2">
      <c r="A54" s="19"/>
      <c r="B54" s="19"/>
      <c r="C54" s="508">
        <f>'SC revenue'!C131</f>
        <v>0</v>
      </c>
      <c r="D54" s="512"/>
      <c r="E54" s="458" t="s">
        <v>19</v>
      </c>
      <c r="F54" s="20"/>
      <c r="G54" s="22"/>
      <c r="H54" s="22"/>
      <c r="I54" s="20"/>
      <c r="J54" s="234">
        <f>IFERROR('SC revenue'!K131/'SC revenue'!I131-1,0)</f>
        <v>0</v>
      </c>
      <c r="K54" s="361"/>
      <c r="L54" s="234">
        <f t="shared" ref="L54:L59" si="3">$L$53</f>
        <v>5.5682593856655194E-2</v>
      </c>
      <c r="M54" s="361"/>
      <c r="N54" s="94"/>
      <c r="O54" s="361"/>
      <c r="Q54" s="361"/>
      <c r="R54" s="19"/>
      <c r="S54" s="454">
        <f t="shared" si="2"/>
        <v>0</v>
      </c>
      <c r="T54" s="19"/>
      <c r="U54" s="19"/>
      <c r="V54" s="19"/>
      <c r="W54" s="19"/>
      <c r="X54" s="19"/>
      <c r="Y54" s="19"/>
      <c r="Z54" s="19"/>
    </row>
    <row r="55" spans="1:26" hidden="1" outlineLevel="1" x14ac:dyDescent="0.2">
      <c r="A55" s="19"/>
      <c r="B55" s="19"/>
      <c r="C55" s="508">
        <f>'SC revenue'!C132</f>
        <v>0</v>
      </c>
      <c r="D55" s="512"/>
      <c r="E55" s="458" t="s">
        <v>19</v>
      </c>
      <c r="F55" s="20"/>
      <c r="G55" s="22"/>
      <c r="H55" s="22"/>
      <c r="I55" s="20"/>
      <c r="J55" s="234">
        <f>IFERROR('SC revenue'!K132/'SC revenue'!I132-1,0)</f>
        <v>0</v>
      </c>
      <c r="K55" s="361"/>
      <c r="L55" s="234">
        <f t="shared" si="3"/>
        <v>5.5682593856655194E-2</v>
      </c>
      <c r="M55" s="361"/>
      <c r="N55" s="94"/>
      <c r="O55" s="361"/>
      <c r="Q55" s="361"/>
      <c r="R55" s="19"/>
      <c r="S55" s="454">
        <f t="shared" si="2"/>
        <v>0</v>
      </c>
      <c r="T55" s="19"/>
      <c r="U55" s="19"/>
      <c r="V55" s="19"/>
      <c r="W55" s="19"/>
      <c r="X55" s="19"/>
      <c r="Y55" s="19"/>
      <c r="Z55" s="19"/>
    </row>
    <row r="56" spans="1:26" hidden="1" outlineLevel="1" x14ac:dyDescent="0.2">
      <c r="A56" s="19"/>
      <c r="B56" s="19"/>
      <c r="C56" s="508">
        <f>'SC revenue'!C133</f>
        <v>0</v>
      </c>
      <c r="D56" s="512"/>
      <c r="E56" s="458" t="s">
        <v>19</v>
      </c>
      <c r="F56" s="20"/>
      <c r="G56" s="22"/>
      <c r="H56" s="22"/>
      <c r="I56" s="20"/>
      <c r="J56" s="234">
        <f>IFERROR('SC revenue'!K133/'SC revenue'!I133-1,0)</f>
        <v>0</v>
      </c>
      <c r="K56" s="361"/>
      <c r="L56" s="234">
        <f t="shared" si="3"/>
        <v>5.5682593856655194E-2</v>
      </c>
      <c r="M56" s="361"/>
      <c r="N56" s="94"/>
      <c r="O56" s="361"/>
      <c r="Q56" s="361"/>
      <c r="R56" s="19"/>
      <c r="S56" s="454">
        <f t="shared" si="2"/>
        <v>0</v>
      </c>
      <c r="T56" s="19"/>
      <c r="U56" s="19"/>
      <c r="V56" s="19"/>
      <c r="W56" s="19"/>
      <c r="X56" s="19"/>
      <c r="Y56" s="19"/>
      <c r="Z56" s="19"/>
    </row>
    <row r="57" spans="1:26" hidden="1" outlineLevel="1" x14ac:dyDescent="0.2">
      <c r="A57" s="19"/>
      <c r="B57" s="19"/>
      <c r="C57" s="508">
        <f>'SC revenue'!C134</f>
        <v>0</v>
      </c>
      <c r="D57" s="512"/>
      <c r="E57" s="458" t="s">
        <v>19</v>
      </c>
      <c r="F57" s="20"/>
      <c r="G57" s="22"/>
      <c r="H57" s="22"/>
      <c r="I57" s="20"/>
      <c r="J57" s="234">
        <f>IFERROR('SC revenue'!K134/'SC revenue'!I134-1,0)</f>
        <v>0</v>
      </c>
      <c r="K57" s="361"/>
      <c r="L57" s="234">
        <f t="shared" si="3"/>
        <v>5.5682593856655194E-2</v>
      </c>
      <c r="M57" s="361"/>
      <c r="N57" s="94"/>
      <c r="O57" s="361"/>
      <c r="Q57" s="361"/>
      <c r="R57" s="19"/>
      <c r="S57" s="454">
        <f t="shared" si="2"/>
        <v>0</v>
      </c>
      <c r="T57" s="19"/>
      <c r="U57" s="19"/>
      <c r="V57" s="19"/>
      <c r="W57" s="19"/>
      <c r="X57" s="19"/>
      <c r="Y57" s="19"/>
      <c r="Z57" s="19"/>
    </row>
    <row r="58" spans="1:26" hidden="1" outlineLevel="1" x14ac:dyDescent="0.2">
      <c r="A58" s="19"/>
      <c r="B58" s="19"/>
      <c r="C58" s="508">
        <f>'SC revenue'!C135</f>
        <v>0</v>
      </c>
      <c r="D58" s="512"/>
      <c r="E58" s="458" t="s">
        <v>19</v>
      </c>
      <c r="F58" s="20"/>
      <c r="G58" s="22"/>
      <c r="H58" s="22"/>
      <c r="I58" s="20"/>
      <c r="J58" s="234">
        <f>IFERROR('SC revenue'!K135/'SC revenue'!I135-1,0)</f>
        <v>0</v>
      </c>
      <c r="K58" s="361"/>
      <c r="L58" s="234">
        <f t="shared" si="3"/>
        <v>5.5682593856655194E-2</v>
      </c>
      <c r="M58" s="361"/>
      <c r="N58" s="94"/>
      <c r="O58" s="361"/>
      <c r="Q58" s="361"/>
      <c r="R58" s="19"/>
      <c r="S58" s="454">
        <f t="shared" si="2"/>
        <v>0</v>
      </c>
      <c r="T58" s="19"/>
      <c r="U58" s="19"/>
      <c r="V58" s="19"/>
      <c r="W58" s="19"/>
      <c r="X58" s="19"/>
      <c r="Y58" s="19"/>
      <c r="Z58" s="19"/>
    </row>
    <row r="59" spans="1:26" hidden="1" outlineLevel="1" x14ac:dyDescent="0.2">
      <c r="A59" s="19"/>
      <c r="B59" s="19"/>
      <c r="C59" s="508">
        <f>'SC revenue'!C136</f>
        <v>0</v>
      </c>
      <c r="D59" s="512"/>
      <c r="E59" s="458" t="s">
        <v>19</v>
      </c>
      <c r="F59" s="20"/>
      <c r="G59" s="22"/>
      <c r="H59" s="22"/>
      <c r="I59" s="20"/>
      <c r="J59" s="234">
        <f>IFERROR('SC revenue'!K136/'SC revenue'!I136-1,0)</f>
        <v>0</v>
      </c>
      <c r="K59" s="361"/>
      <c r="L59" s="234">
        <f t="shared" si="3"/>
        <v>5.5682593856655194E-2</v>
      </c>
      <c r="M59" s="361"/>
      <c r="N59" s="94"/>
      <c r="O59" s="361"/>
      <c r="Q59" s="361"/>
      <c r="R59" s="19"/>
      <c r="S59" s="454">
        <f t="shared" si="2"/>
        <v>0</v>
      </c>
      <c r="T59" s="19"/>
      <c r="U59" s="19"/>
      <c r="V59" s="19"/>
      <c r="W59" s="19"/>
      <c r="X59" s="19"/>
      <c r="Y59" s="19"/>
      <c r="Z59" s="19"/>
    </row>
    <row r="60" spans="1:26" collapsed="1" x14ac:dyDescent="0.2">
      <c r="A60" s="19"/>
      <c r="B60" s="19"/>
      <c r="C60" s="79"/>
      <c r="D60" s="20"/>
      <c r="E60" s="455"/>
      <c r="F60" s="20"/>
      <c r="G60" s="22"/>
      <c r="H60" s="22"/>
      <c r="I60" s="20"/>
      <c r="J60" s="94"/>
      <c r="K60" s="361"/>
      <c r="L60" s="94"/>
      <c r="M60" s="361"/>
      <c r="N60" s="94"/>
      <c r="O60" s="361"/>
      <c r="P60" s="361"/>
      <c r="Q60" s="361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2.75" x14ac:dyDescent="0.2">
      <c r="A61" s="11"/>
      <c r="B61" s="12" t="s">
        <v>333</v>
      </c>
      <c r="C61" s="11"/>
      <c r="D61" s="32"/>
      <c r="E61" s="32" t="str">
        <f>E5</f>
        <v>Unit</v>
      </c>
      <c r="F61" s="33" t="s">
        <v>325</v>
      </c>
      <c r="G61" s="34"/>
      <c r="H61" s="34"/>
      <c r="I61" s="34"/>
      <c r="J61" s="33" t="str">
        <f>RCPminus3</f>
        <v>2016–17</v>
      </c>
      <c r="K61" s="33" t="str">
        <f>RCPminus2</f>
        <v>2017–18</v>
      </c>
      <c r="L61" s="33" t="str">
        <f>RCPminus1</f>
        <v>2018–19</v>
      </c>
      <c r="M61" s="35" t="str">
        <f>RCP_firstyear</f>
        <v>2019–20</v>
      </c>
      <c r="N61" s="35" t="str">
        <f>RCP_secondyear</f>
        <v>2020–21</v>
      </c>
      <c r="O61" s="35" t="str">
        <f>RCP_thirdyear</f>
        <v>2021–22</v>
      </c>
      <c r="P61" s="35" t="str">
        <f>RCP_fourthyear</f>
        <v>2022–23</v>
      </c>
      <c r="Q61" s="35" t="str">
        <f>RCP_lastyear</f>
        <v>2023–24</v>
      </c>
      <c r="R61" s="14"/>
      <c r="S61" s="14"/>
      <c r="T61" s="15"/>
      <c r="U61" s="15"/>
      <c r="V61" s="15"/>
      <c r="W61" s="15"/>
      <c r="X61" s="15"/>
      <c r="Y61" s="15"/>
      <c r="Z61" s="15"/>
    </row>
    <row r="62" spans="1:26" hidden="1" outlineLevel="1" x14ac:dyDescent="0.2">
      <c r="A62" s="19"/>
      <c r="B62" s="19"/>
      <c r="C62" s="51"/>
      <c r="D62" s="20"/>
      <c r="E62" s="20"/>
      <c r="F62" s="20"/>
      <c r="G62" s="20"/>
      <c r="H62" s="20"/>
      <c r="I62" s="20"/>
      <c r="J62" s="20"/>
      <c r="K62" s="20"/>
      <c r="L62" s="20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idden="1" outlineLevel="1" x14ac:dyDescent="0.2">
      <c r="A63" s="19"/>
      <c r="B63" s="19"/>
      <c r="C63" s="508">
        <f>'Trial tariffs'!C7</f>
        <v>0</v>
      </c>
      <c r="D63" s="512"/>
      <c r="E63" s="458" t="s">
        <v>19</v>
      </c>
      <c r="F63" s="145" t="str">
        <f>IF(C63=0,"",General!$F$21)</f>
        <v/>
      </c>
      <c r="G63" s="22"/>
      <c r="H63" s="22"/>
      <c r="I63" s="362"/>
      <c r="J63" s="457">
        <f>IFERROR(IF(J$61=forecastyear,'Trial tariffs'!$J7,IF(J$61=currentyear,'Hist. revenue'!$AC482*revenuemultiplier,'Trial tariffs'!J218))/J$10,0)</f>
        <v>0</v>
      </c>
      <c r="K63" s="457">
        <f>IFERROR(IF(K$61=forecastyear,'Trial tariffs'!$J7,IF(K$61=currentyear,'Hist. revenue'!$AC482*revenuemultiplier,'Trial tariffs'!K218))/K$10,0)</f>
        <v>0</v>
      </c>
      <c r="L63" s="457">
        <f>IFERROR(IF(L$61=forecastyear,'Trial tariffs'!$J7,IF(L$61=currentyear,'Hist. revenue'!$AC482*revenuemultiplier,'Trial tariffs'!L218))/L$10,0)</f>
        <v>0</v>
      </c>
      <c r="M63" s="457">
        <f>IFERROR(IF(M$61=forecastyear,'Trial tariffs'!$J7,IF(M$61=currentyear,'Hist. revenue'!$AC482*revenuemultiplier,'Trial tariffs'!M218))/M$10,0)</f>
        <v>0</v>
      </c>
      <c r="N63" s="457">
        <f>IFERROR(IF(N$61=forecastyear,'Trial tariffs'!$J7,IF(N$61=currentyear,'Hist. revenue'!$AC482*revenuemultiplier,'Trial tariffs'!N218))/N$10,0)</f>
        <v>0</v>
      </c>
      <c r="O63" s="457">
        <f>IFERROR(IF(O$61=forecastyear,'Trial tariffs'!$J7,IF(O$61=currentyear,'Hist. revenue'!$AC482*revenuemultiplier,'Trial tariffs'!O218))/O$10,0)</f>
        <v>0</v>
      </c>
      <c r="P63" s="457">
        <f>IFERROR(IF(P$61=forecastyear,'Trial tariffs'!$J7,IF(P$61=currentyear,'Hist. revenue'!$AC482*revenuemultiplier,'Trial tariffs'!P218))/P$10,0)</f>
        <v>0</v>
      </c>
      <c r="Q63" s="457">
        <f>IFERROR(IF(Q$61=forecastyear,'Trial tariffs'!$J7,IF(Q$61=currentyear,'Hist. revenue'!$AC482*revenuemultiplier,'Trial tariffs'!Q218))/Q$10,0)</f>
        <v>0</v>
      </c>
      <c r="R63" s="19"/>
      <c r="S63" s="230">
        <f>IF(C63=0,0,IF(AND(J63&lt;=F63,K63&lt;=F63,L63&lt;=F63,M63&lt;=F63,N63&lt;=F63,O63&lt;=F63,P63&lt;=F63,Q63&lt;=F63),"COMPLIANT","NON-COMPLIANT"))</f>
        <v>0</v>
      </c>
      <c r="T63" s="19"/>
      <c r="U63" s="19"/>
      <c r="V63" s="19"/>
      <c r="W63" s="19"/>
      <c r="X63" s="19"/>
      <c r="Y63" s="19"/>
      <c r="Z63" s="19"/>
    </row>
    <row r="64" spans="1:26" hidden="1" outlineLevel="1" x14ac:dyDescent="0.2">
      <c r="A64" s="19"/>
      <c r="B64" s="19"/>
      <c r="C64" s="508">
        <f>'Trial tariffs'!C8</f>
        <v>0</v>
      </c>
      <c r="D64" s="512"/>
      <c r="E64" s="458" t="s">
        <v>19</v>
      </c>
      <c r="F64" s="145" t="str">
        <f>IF(C64=0,"",General!$F$21)</f>
        <v/>
      </c>
      <c r="G64" s="22"/>
      <c r="H64" s="22"/>
      <c r="I64" s="362"/>
      <c r="J64" s="457">
        <f>IFERROR(IF(J$61=forecastyear,'Trial tariffs'!$J8,IF(J$61=currentyear,'Hist. revenue'!$AC483*revenuemultiplier,'Trial tariffs'!J219))/J$10,0)</f>
        <v>0</v>
      </c>
      <c r="K64" s="457">
        <f>IFERROR(IF(K$61=forecastyear,'Trial tariffs'!$J8,IF(K$61=currentyear,'Hist. revenue'!$AC483*revenuemultiplier,'Trial tariffs'!K219))/K$10,0)</f>
        <v>0</v>
      </c>
      <c r="L64" s="457">
        <f>IFERROR(IF(L$61=forecastyear,'Trial tariffs'!$J8,IF(L$61=currentyear,'Hist. revenue'!$AC483*revenuemultiplier,'Trial tariffs'!L219))/L$10,0)</f>
        <v>0</v>
      </c>
      <c r="M64" s="457">
        <f>IFERROR(IF(M$61=forecastyear,'Trial tariffs'!$J8,IF(M$61=currentyear,'Hist. revenue'!$AC483*revenuemultiplier,'Trial tariffs'!M219))/M$10,0)</f>
        <v>0</v>
      </c>
      <c r="N64" s="457">
        <f>IFERROR(IF(N$61=forecastyear,'Trial tariffs'!$J8,IF(N$61=currentyear,'Hist. revenue'!$AC483*revenuemultiplier,'Trial tariffs'!N219))/N$10,0)</f>
        <v>0</v>
      </c>
      <c r="O64" s="457">
        <f>IFERROR(IF(O$61=forecastyear,'Trial tariffs'!$J8,IF(O$61=currentyear,'Hist. revenue'!$AC483*revenuemultiplier,'Trial tariffs'!O219))/O$10,0)</f>
        <v>0</v>
      </c>
      <c r="P64" s="457">
        <f>IFERROR(IF(P$61=forecastyear,'Trial tariffs'!$J8,IF(P$61=currentyear,'Hist. revenue'!$AC483*revenuemultiplier,'Trial tariffs'!P219))/P$10,0)</f>
        <v>0</v>
      </c>
      <c r="Q64" s="457">
        <f>IFERROR(IF(Q$61=forecastyear,'Trial tariffs'!$J8,IF(Q$61=currentyear,'Hist. revenue'!$AC483*revenuemultiplier,'Trial tariffs'!Q219))/Q$10,0)</f>
        <v>0</v>
      </c>
      <c r="R64" s="19"/>
      <c r="S64" s="230">
        <f t="shared" ref="S64:S83" si="4">IF(C64=0,0,IF(AND(J64&lt;=F64,K64&lt;=F64,L64&lt;=F64,M64&lt;=F64,N64&lt;=F64,O64&lt;=F64,P64&lt;=F64,Q64&lt;=F64),"COMPLIANT","NON-COMPLIANT"))</f>
        <v>0</v>
      </c>
      <c r="T64" s="19"/>
      <c r="U64" s="19"/>
      <c r="V64" s="19"/>
      <c r="W64" s="19"/>
      <c r="X64" s="19"/>
      <c r="Y64" s="19"/>
      <c r="Z64" s="19"/>
    </row>
    <row r="65" spans="1:26" hidden="1" outlineLevel="1" x14ac:dyDescent="0.2">
      <c r="A65" s="19"/>
      <c r="B65" s="19"/>
      <c r="C65" s="508">
        <f>'Trial tariffs'!C9</f>
        <v>0</v>
      </c>
      <c r="D65" s="512"/>
      <c r="E65" s="458" t="s">
        <v>19</v>
      </c>
      <c r="F65" s="145" t="str">
        <f>IF(C65=0,"",General!$F$21)</f>
        <v/>
      </c>
      <c r="G65" s="22"/>
      <c r="H65" s="22"/>
      <c r="I65" s="362"/>
      <c r="J65" s="457">
        <f>IFERROR(IF(J$61=forecastyear,'Trial tariffs'!$J9,IF(J$61=currentyear,'Hist. revenue'!$AC484*revenuemultiplier,'Trial tariffs'!J220))/J$10,0)</f>
        <v>0</v>
      </c>
      <c r="K65" s="457">
        <f>IFERROR(IF(K$61=forecastyear,'Trial tariffs'!$J9,IF(K$61=currentyear,'Hist. revenue'!$AC484*revenuemultiplier,'Trial tariffs'!K220))/K$10,0)</f>
        <v>0</v>
      </c>
      <c r="L65" s="457">
        <f>IFERROR(IF(L$61=forecastyear,'Trial tariffs'!$J9,IF(L$61=currentyear,'Hist. revenue'!$AC484*revenuemultiplier,'Trial tariffs'!L220))/L$10,0)</f>
        <v>0</v>
      </c>
      <c r="M65" s="457">
        <f>IFERROR(IF(M$61=forecastyear,'Trial tariffs'!$J9,IF(M$61=currentyear,'Hist. revenue'!$AC484*revenuemultiplier,'Trial tariffs'!M220))/M$10,0)</f>
        <v>0</v>
      </c>
      <c r="N65" s="457">
        <f>IFERROR(IF(N$61=forecastyear,'Trial tariffs'!$J9,IF(N$61=currentyear,'Hist. revenue'!$AC484*revenuemultiplier,'Trial tariffs'!N220))/N$10,0)</f>
        <v>0</v>
      </c>
      <c r="O65" s="457">
        <f>IFERROR(IF(O$61=forecastyear,'Trial tariffs'!$J9,IF(O$61=currentyear,'Hist. revenue'!$AC484*revenuemultiplier,'Trial tariffs'!O220))/O$10,0)</f>
        <v>0</v>
      </c>
      <c r="P65" s="457">
        <f>IFERROR(IF(P$61=forecastyear,'Trial tariffs'!$J9,IF(P$61=currentyear,'Hist. revenue'!$AC484*revenuemultiplier,'Trial tariffs'!P220))/P$10,0)</f>
        <v>0</v>
      </c>
      <c r="Q65" s="457">
        <f>IFERROR(IF(Q$61=forecastyear,'Trial tariffs'!$J9,IF(Q$61=currentyear,'Hist. revenue'!$AC484*revenuemultiplier,'Trial tariffs'!Q220))/Q$10,0)</f>
        <v>0</v>
      </c>
      <c r="R65" s="19"/>
      <c r="S65" s="230">
        <f t="shared" si="4"/>
        <v>0</v>
      </c>
      <c r="T65" s="19"/>
      <c r="U65" s="19"/>
      <c r="V65" s="19"/>
      <c r="W65" s="19"/>
      <c r="X65" s="19"/>
      <c r="Y65" s="19"/>
      <c r="Z65" s="19"/>
    </row>
    <row r="66" spans="1:26" hidden="1" outlineLevel="1" x14ac:dyDescent="0.2">
      <c r="A66" s="19"/>
      <c r="B66" s="19"/>
      <c r="C66" s="508">
        <f>'Trial tariffs'!C10</f>
        <v>0</v>
      </c>
      <c r="D66" s="512"/>
      <c r="E66" s="458" t="s">
        <v>19</v>
      </c>
      <c r="F66" s="145" t="str">
        <f>IF(C66=0,"",General!$F$21)</f>
        <v/>
      </c>
      <c r="G66" s="22"/>
      <c r="H66" s="22"/>
      <c r="I66" s="362"/>
      <c r="J66" s="457">
        <f>IFERROR(IF(J$61=forecastyear,'Trial tariffs'!$J10,IF(J$61=currentyear,'Hist. revenue'!$AC485*revenuemultiplier,'Trial tariffs'!J221))/J$10,0)</f>
        <v>0</v>
      </c>
      <c r="K66" s="457">
        <f>IFERROR(IF(K$61=forecastyear,'Trial tariffs'!$J10,IF(K$61=currentyear,'Hist. revenue'!$AC485*revenuemultiplier,'Trial tariffs'!K221))/K$10,0)</f>
        <v>0</v>
      </c>
      <c r="L66" s="457">
        <f>IFERROR(IF(L$61=forecastyear,'Trial tariffs'!$J10,IF(L$61=currentyear,'Hist. revenue'!$AC485*revenuemultiplier,'Trial tariffs'!L221))/L$10,0)</f>
        <v>0</v>
      </c>
      <c r="M66" s="457">
        <f>IFERROR(IF(M$61=forecastyear,'Trial tariffs'!$J10,IF(M$61=currentyear,'Hist. revenue'!$AC485*revenuemultiplier,'Trial tariffs'!M221))/M$10,0)</f>
        <v>0</v>
      </c>
      <c r="N66" s="457">
        <f>IFERROR(IF(N$61=forecastyear,'Trial tariffs'!$J10,IF(N$61=currentyear,'Hist. revenue'!$AC485*revenuemultiplier,'Trial tariffs'!N221))/N$10,0)</f>
        <v>0</v>
      </c>
      <c r="O66" s="457">
        <f>IFERROR(IF(O$61=forecastyear,'Trial tariffs'!$J10,IF(O$61=currentyear,'Hist. revenue'!$AC485*revenuemultiplier,'Trial tariffs'!O221))/O$10,0)</f>
        <v>0</v>
      </c>
      <c r="P66" s="457">
        <f>IFERROR(IF(P$61=forecastyear,'Trial tariffs'!$J10,IF(P$61=currentyear,'Hist. revenue'!$AC485*revenuemultiplier,'Trial tariffs'!P221))/P$10,0)</f>
        <v>0</v>
      </c>
      <c r="Q66" s="457">
        <f>IFERROR(IF(Q$61=forecastyear,'Trial tariffs'!$J10,IF(Q$61=currentyear,'Hist. revenue'!$AC485*revenuemultiplier,'Trial tariffs'!Q221))/Q$10,0)</f>
        <v>0</v>
      </c>
      <c r="R66" s="19"/>
      <c r="S66" s="230">
        <f t="shared" si="4"/>
        <v>0</v>
      </c>
      <c r="T66" s="19"/>
      <c r="U66" s="19"/>
      <c r="V66" s="19"/>
      <c r="W66" s="19"/>
      <c r="X66" s="19"/>
      <c r="Y66" s="19"/>
      <c r="Z66" s="19"/>
    </row>
    <row r="67" spans="1:26" hidden="1" outlineLevel="1" x14ac:dyDescent="0.2">
      <c r="A67" s="19"/>
      <c r="B67" s="19"/>
      <c r="C67" s="508">
        <f>'Trial tariffs'!C11</f>
        <v>0</v>
      </c>
      <c r="D67" s="512"/>
      <c r="E67" s="458" t="s">
        <v>19</v>
      </c>
      <c r="F67" s="145" t="str">
        <f>IF(C67=0,"",General!$F$21)</f>
        <v/>
      </c>
      <c r="G67" s="22"/>
      <c r="H67" s="22"/>
      <c r="I67" s="362"/>
      <c r="J67" s="457">
        <f>IFERROR(IF(J$61=forecastyear,'Trial tariffs'!$J11,IF(J$61=currentyear,'Hist. revenue'!$AC486*revenuemultiplier,'Trial tariffs'!J222))/J$10,0)</f>
        <v>0</v>
      </c>
      <c r="K67" s="457">
        <f>IFERROR(IF(K$61=forecastyear,'Trial tariffs'!$J11,IF(K$61=currentyear,'Hist. revenue'!$AC486*revenuemultiplier,'Trial tariffs'!K222))/K$10,0)</f>
        <v>0</v>
      </c>
      <c r="L67" s="457">
        <f>IFERROR(IF(L$61=forecastyear,'Trial tariffs'!$J11,IF(L$61=currentyear,'Hist. revenue'!$AC486*revenuemultiplier,'Trial tariffs'!L222))/L$10,0)</f>
        <v>0</v>
      </c>
      <c r="M67" s="457">
        <f>IFERROR(IF(M$61=forecastyear,'Trial tariffs'!$J11,IF(M$61=currentyear,'Hist. revenue'!$AC486*revenuemultiplier,'Trial tariffs'!M222))/M$10,0)</f>
        <v>0</v>
      </c>
      <c r="N67" s="457">
        <f>IFERROR(IF(N$61=forecastyear,'Trial tariffs'!$J11,IF(N$61=currentyear,'Hist. revenue'!$AC486*revenuemultiplier,'Trial tariffs'!N222))/N$10,0)</f>
        <v>0</v>
      </c>
      <c r="O67" s="457">
        <f>IFERROR(IF(O$61=forecastyear,'Trial tariffs'!$J11,IF(O$61=currentyear,'Hist. revenue'!$AC486*revenuemultiplier,'Trial tariffs'!O222))/O$10,0)</f>
        <v>0</v>
      </c>
      <c r="P67" s="457">
        <f>IFERROR(IF(P$61=forecastyear,'Trial tariffs'!$J11,IF(P$61=currentyear,'Hist. revenue'!$AC486*revenuemultiplier,'Trial tariffs'!P222))/P$10,0)</f>
        <v>0</v>
      </c>
      <c r="Q67" s="457">
        <f>IFERROR(IF(Q$61=forecastyear,'Trial tariffs'!$J11,IF(Q$61=currentyear,'Hist. revenue'!$AC486*revenuemultiplier,'Trial tariffs'!Q222))/Q$10,0)</f>
        <v>0</v>
      </c>
      <c r="R67" s="19"/>
      <c r="S67" s="230">
        <f t="shared" si="4"/>
        <v>0</v>
      </c>
      <c r="T67" s="19"/>
      <c r="U67" s="19"/>
      <c r="V67" s="19"/>
      <c r="W67" s="19"/>
      <c r="X67" s="19"/>
      <c r="Y67" s="19"/>
      <c r="Z67" s="19"/>
    </row>
    <row r="68" spans="1:26" hidden="1" outlineLevel="1" x14ac:dyDescent="0.2">
      <c r="A68" s="19"/>
      <c r="B68" s="19"/>
      <c r="C68" s="508">
        <f>'Trial tariffs'!C12</f>
        <v>0</v>
      </c>
      <c r="D68" s="512"/>
      <c r="E68" s="458" t="s">
        <v>19</v>
      </c>
      <c r="F68" s="145" t="str">
        <f>IF(C68=0,"",General!$F$21)</f>
        <v/>
      </c>
      <c r="G68" s="22"/>
      <c r="H68" s="22"/>
      <c r="I68" s="362"/>
      <c r="J68" s="457">
        <f>IFERROR(IF(J$61=forecastyear,'Trial tariffs'!$J12,IF(J$61=currentyear,'Hist. revenue'!$AC487*revenuemultiplier,'Trial tariffs'!J223))/J$10,0)</f>
        <v>0</v>
      </c>
      <c r="K68" s="457">
        <f>IFERROR(IF(K$61=forecastyear,'Trial tariffs'!$J12,IF(K$61=currentyear,'Hist. revenue'!$AC487*revenuemultiplier,'Trial tariffs'!K223))/K$10,0)</f>
        <v>0</v>
      </c>
      <c r="L68" s="457">
        <f>IFERROR(IF(L$61=forecastyear,'Trial tariffs'!$J12,IF(L$61=currentyear,'Hist. revenue'!$AC487*revenuemultiplier,'Trial tariffs'!L223))/L$10,0)</f>
        <v>0</v>
      </c>
      <c r="M68" s="457">
        <f>IFERROR(IF(M$61=forecastyear,'Trial tariffs'!$J12,IF(M$61=currentyear,'Hist. revenue'!$AC487*revenuemultiplier,'Trial tariffs'!M223))/M$10,0)</f>
        <v>0</v>
      </c>
      <c r="N68" s="457">
        <f>IFERROR(IF(N$61=forecastyear,'Trial tariffs'!$J12,IF(N$61=currentyear,'Hist. revenue'!$AC487*revenuemultiplier,'Trial tariffs'!N223))/N$10,0)</f>
        <v>0</v>
      </c>
      <c r="O68" s="457">
        <f>IFERROR(IF(O$61=forecastyear,'Trial tariffs'!$J12,IF(O$61=currentyear,'Hist. revenue'!$AC487*revenuemultiplier,'Trial tariffs'!O223))/O$10,0)</f>
        <v>0</v>
      </c>
      <c r="P68" s="457">
        <f>IFERROR(IF(P$61=forecastyear,'Trial tariffs'!$J12,IF(P$61=currentyear,'Hist. revenue'!$AC487*revenuemultiplier,'Trial tariffs'!P223))/P$10,0)</f>
        <v>0</v>
      </c>
      <c r="Q68" s="457">
        <f>IFERROR(IF(Q$61=forecastyear,'Trial tariffs'!$J12,IF(Q$61=currentyear,'Hist. revenue'!$AC487*revenuemultiplier,'Trial tariffs'!Q223))/Q$10,0)</f>
        <v>0</v>
      </c>
      <c r="R68" s="19"/>
      <c r="S68" s="230">
        <f t="shared" si="4"/>
        <v>0</v>
      </c>
      <c r="T68" s="19"/>
      <c r="U68" s="19"/>
      <c r="V68" s="19"/>
      <c r="W68" s="19"/>
      <c r="X68" s="19"/>
      <c r="Y68" s="19"/>
      <c r="Z68" s="19"/>
    </row>
    <row r="69" spans="1:26" hidden="1" outlineLevel="1" x14ac:dyDescent="0.2">
      <c r="A69" s="19"/>
      <c r="B69" s="19"/>
      <c r="C69" s="508">
        <f>'Trial tariffs'!C13</f>
        <v>0</v>
      </c>
      <c r="D69" s="512"/>
      <c r="E69" s="458"/>
      <c r="F69" s="145" t="str">
        <f>IF(C69=0,"",General!$F$21)</f>
        <v/>
      </c>
      <c r="G69" s="22"/>
      <c r="H69" s="22"/>
      <c r="I69" s="362"/>
      <c r="J69" s="457">
        <f>IFERROR(IF(J$61=forecastyear,'Trial tariffs'!$J13,IF(J$61=currentyear,'Hist. revenue'!$AC488*revenuemultiplier,'Trial tariffs'!J224))/J$10,0)</f>
        <v>0</v>
      </c>
      <c r="K69" s="457">
        <f>IFERROR(IF(K$61=forecastyear,'Trial tariffs'!$J13,IF(K$61=currentyear,'Hist. revenue'!$AC488*revenuemultiplier,'Trial tariffs'!K224))/K$10,0)</f>
        <v>0</v>
      </c>
      <c r="L69" s="457">
        <f>IFERROR(IF(L$61=forecastyear,'Trial tariffs'!$J13,IF(L$61=currentyear,'Hist. revenue'!$AC488*revenuemultiplier,'Trial tariffs'!L224))/L$10,0)</f>
        <v>0</v>
      </c>
      <c r="M69" s="457">
        <f>IFERROR(IF(M$61=forecastyear,'Trial tariffs'!$J13,IF(M$61=currentyear,'Hist. revenue'!$AC488*revenuemultiplier,'Trial tariffs'!M224))/M$10,0)</f>
        <v>0</v>
      </c>
      <c r="N69" s="457">
        <f>IFERROR(IF(N$61=forecastyear,'Trial tariffs'!$J13,IF(N$61=currentyear,'Hist. revenue'!$AC488*revenuemultiplier,'Trial tariffs'!N224))/N$10,0)</f>
        <v>0</v>
      </c>
      <c r="O69" s="457">
        <f>IFERROR(IF(O$61=forecastyear,'Trial tariffs'!$J13,IF(O$61=currentyear,'Hist. revenue'!$AC488*revenuemultiplier,'Trial tariffs'!O224))/O$10,0)</f>
        <v>0</v>
      </c>
      <c r="P69" s="457">
        <f>IFERROR(IF(P$61=forecastyear,'Trial tariffs'!$J13,IF(P$61=currentyear,'Hist. revenue'!$AC488*revenuemultiplier,'Trial tariffs'!P224))/P$10,0)</f>
        <v>0</v>
      </c>
      <c r="Q69" s="457">
        <f>IFERROR(IF(Q$61=forecastyear,'Trial tariffs'!$J13,IF(Q$61=currentyear,'Hist. revenue'!$AC488*revenuemultiplier,'Trial tariffs'!Q224))/Q$10,0)</f>
        <v>0</v>
      </c>
      <c r="R69" s="19"/>
      <c r="S69" s="230">
        <f t="shared" si="4"/>
        <v>0</v>
      </c>
      <c r="T69" s="19"/>
      <c r="U69" s="19"/>
      <c r="V69" s="19"/>
      <c r="W69" s="19"/>
      <c r="X69" s="19"/>
      <c r="Y69" s="19"/>
      <c r="Z69" s="19"/>
    </row>
    <row r="70" spans="1:26" hidden="1" outlineLevel="1" x14ac:dyDescent="0.2">
      <c r="A70" s="19"/>
      <c r="B70" s="19"/>
      <c r="C70" s="508">
        <f>'Trial tariffs'!C14</f>
        <v>0</v>
      </c>
      <c r="D70" s="512"/>
      <c r="E70" s="458"/>
      <c r="F70" s="145" t="str">
        <f>IF(C70=0,"",General!$F$21)</f>
        <v/>
      </c>
      <c r="G70" s="22"/>
      <c r="H70" s="22"/>
      <c r="I70" s="362"/>
      <c r="J70" s="457">
        <f>IFERROR(IF(J$61=forecastyear,'Trial tariffs'!$J14,IF(J$61=currentyear,'Hist. revenue'!$AC489*revenuemultiplier,'Trial tariffs'!J225))/J$10,0)</f>
        <v>0</v>
      </c>
      <c r="K70" s="457">
        <f>IFERROR(IF(K$61=forecastyear,'Trial tariffs'!$J14,IF(K$61=currentyear,'Hist. revenue'!$AC489*revenuemultiplier,'Trial tariffs'!K225))/K$10,0)</f>
        <v>0</v>
      </c>
      <c r="L70" s="457">
        <f>IFERROR(IF(L$61=forecastyear,'Trial tariffs'!$J14,IF(L$61=currentyear,'Hist. revenue'!$AC489*revenuemultiplier,'Trial tariffs'!L225))/L$10,0)</f>
        <v>0</v>
      </c>
      <c r="M70" s="457">
        <f>IFERROR(IF(M$61=forecastyear,'Trial tariffs'!$J14,IF(M$61=currentyear,'Hist. revenue'!$AC489*revenuemultiplier,'Trial tariffs'!M225))/M$10,0)</f>
        <v>0</v>
      </c>
      <c r="N70" s="457">
        <f>IFERROR(IF(N$61=forecastyear,'Trial tariffs'!$J14,IF(N$61=currentyear,'Hist. revenue'!$AC489*revenuemultiplier,'Trial tariffs'!N225))/N$10,0)</f>
        <v>0</v>
      </c>
      <c r="O70" s="457">
        <f>IFERROR(IF(O$61=forecastyear,'Trial tariffs'!$J14,IF(O$61=currentyear,'Hist. revenue'!$AC489*revenuemultiplier,'Trial tariffs'!O225))/O$10,0)</f>
        <v>0</v>
      </c>
      <c r="P70" s="457">
        <f>IFERROR(IF(P$61=forecastyear,'Trial tariffs'!$J14,IF(P$61=currentyear,'Hist. revenue'!$AC489*revenuemultiplier,'Trial tariffs'!P225))/P$10,0)</f>
        <v>0</v>
      </c>
      <c r="Q70" s="457">
        <f>IFERROR(IF(Q$61=forecastyear,'Trial tariffs'!$J14,IF(Q$61=currentyear,'Hist. revenue'!$AC489*revenuemultiplier,'Trial tariffs'!Q225))/Q$10,0)</f>
        <v>0</v>
      </c>
      <c r="R70" s="19"/>
      <c r="S70" s="230">
        <f t="shared" si="4"/>
        <v>0</v>
      </c>
      <c r="T70" s="19"/>
      <c r="U70" s="19"/>
      <c r="V70" s="19"/>
      <c r="W70" s="19"/>
      <c r="X70" s="19"/>
      <c r="Y70" s="19"/>
      <c r="Z70" s="19"/>
    </row>
    <row r="71" spans="1:26" hidden="1" outlineLevel="1" x14ac:dyDescent="0.2">
      <c r="A71" s="19"/>
      <c r="B71" s="19"/>
      <c r="C71" s="508">
        <f>'Trial tariffs'!C15</f>
        <v>0</v>
      </c>
      <c r="D71" s="512"/>
      <c r="E71" s="458"/>
      <c r="F71" s="145" t="str">
        <f>IF(C71=0,"",General!$F$21)</f>
        <v/>
      </c>
      <c r="G71" s="22"/>
      <c r="H71" s="22"/>
      <c r="I71" s="362"/>
      <c r="J71" s="457">
        <f>IFERROR(IF(J$61=forecastyear,'Trial tariffs'!$J15,IF(J$61=currentyear,'Hist. revenue'!$AC490*revenuemultiplier,'Trial tariffs'!J226))/J$10,0)</f>
        <v>0</v>
      </c>
      <c r="K71" s="457">
        <f>IFERROR(IF(K$61=forecastyear,'Trial tariffs'!$J15,IF(K$61=currentyear,'Hist. revenue'!$AC490*revenuemultiplier,'Trial tariffs'!K226))/K$10,0)</f>
        <v>0</v>
      </c>
      <c r="L71" s="457">
        <f>IFERROR(IF(L$61=forecastyear,'Trial tariffs'!$J15,IF(L$61=currentyear,'Hist. revenue'!$AC490*revenuemultiplier,'Trial tariffs'!L226))/L$10,0)</f>
        <v>0</v>
      </c>
      <c r="M71" s="457">
        <f>IFERROR(IF(M$61=forecastyear,'Trial tariffs'!$J15,IF(M$61=currentyear,'Hist. revenue'!$AC490*revenuemultiplier,'Trial tariffs'!M226))/M$10,0)</f>
        <v>0</v>
      </c>
      <c r="N71" s="457">
        <f>IFERROR(IF(N$61=forecastyear,'Trial tariffs'!$J15,IF(N$61=currentyear,'Hist. revenue'!$AC490*revenuemultiplier,'Trial tariffs'!N226))/N$10,0)</f>
        <v>0</v>
      </c>
      <c r="O71" s="457">
        <f>IFERROR(IF(O$61=forecastyear,'Trial tariffs'!$J15,IF(O$61=currentyear,'Hist. revenue'!$AC490*revenuemultiplier,'Trial tariffs'!O226))/O$10,0)</f>
        <v>0</v>
      </c>
      <c r="P71" s="457">
        <f>IFERROR(IF(P$61=forecastyear,'Trial tariffs'!$J15,IF(P$61=currentyear,'Hist. revenue'!$AC490*revenuemultiplier,'Trial tariffs'!P226))/P$10,0)</f>
        <v>0</v>
      </c>
      <c r="Q71" s="457">
        <f>IFERROR(IF(Q$61=forecastyear,'Trial tariffs'!$J15,IF(Q$61=currentyear,'Hist. revenue'!$AC490*revenuemultiplier,'Trial tariffs'!Q226))/Q$10,0)</f>
        <v>0</v>
      </c>
      <c r="R71" s="19"/>
      <c r="S71" s="230">
        <f t="shared" si="4"/>
        <v>0</v>
      </c>
      <c r="T71" s="19"/>
      <c r="U71" s="19"/>
      <c r="V71" s="19"/>
      <c r="W71" s="19"/>
      <c r="X71" s="19"/>
      <c r="Y71" s="19"/>
      <c r="Z71" s="19"/>
    </row>
    <row r="72" spans="1:26" hidden="1" outlineLevel="1" x14ac:dyDescent="0.2">
      <c r="A72" s="19"/>
      <c r="B72" s="19"/>
      <c r="C72" s="508">
        <f>'Trial tariffs'!C16</f>
        <v>0</v>
      </c>
      <c r="D72" s="512"/>
      <c r="E72" s="458"/>
      <c r="F72" s="145" t="str">
        <f>IF(C72=0,"",General!$F$21)</f>
        <v/>
      </c>
      <c r="G72" s="22"/>
      <c r="H72" s="22"/>
      <c r="I72" s="362"/>
      <c r="J72" s="457">
        <f>IFERROR(IF(J$61=forecastyear,'Trial tariffs'!$J16,IF(J$61=currentyear,'Hist. revenue'!$AC491*revenuemultiplier,'Trial tariffs'!J227))/J$10,0)</f>
        <v>0</v>
      </c>
      <c r="K72" s="457">
        <f>IFERROR(IF(K$61=forecastyear,'Trial tariffs'!$J16,IF(K$61=currentyear,'Hist. revenue'!$AC491*revenuemultiplier,'Trial tariffs'!K227))/K$10,0)</f>
        <v>0</v>
      </c>
      <c r="L72" s="457">
        <f>IFERROR(IF(L$61=forecastyear,'Trial tariffs'!$J16,IF(L$61=currentyear,'Hist. revenue'!$AC491*revenuemultiplier,'Trial tariffs'!L227))/L$10,0)</f>
        <v>0</v>
      </c>
      <c r="M72" s="457">
        <f>IFERROR(IF(M$61=forecastyear,'Trial tariffs'!$J16,IF(M$61=currentyear,'Hist. revenue'!$AC491*revenuemultiplier,'Trial tariffs'!M227))/M$10,0)</f>
        <v>0</v>
      </c>
      <c r="N72" s="457">
        <f>IFERROR(IF(N$61=forecastyear,'Trial tariffs'!$J16,IF(N$61=currentyear,'Hist. revenue'!$AC491*revenuemultiplier,'Trial tariffs'!N227))/N$10,0)</f>
        <v>0</v>
      </c>
      <c r="O72" s="457">
        <f>IFERROR(IF(O$61=forecastyear,'Trial tariffs'!$J16,IF(O$61=currentyear,'Hist. revenue'!$AC491*revenuemultiplier,'Trial tariffs'!O227))/O$10,0)</f>
        <v>0</v>
      </c>
      <c r="P72" s="457">
        <f>IFERROR(IF(P$61=forecastyear,'Trial tariffs'!$J16,IF(P$61=currentyear,'Hist. revenue'!$AC491*revenuemultiplier,'Trial tariffs'!P227))/P$10,0)</f>
        <v>0</v>
      </c>
      <c r="Q72" s="457">
        <f>IFERROR(IF(Q$61=forecastyear,'Trial tariffs'!$J16,IF(Q$61=currentyear,'Hist. revenue'!$AC491*revenuemultiplier,'Trial tariffs'!Q227))/Q$10,0)</f>
        <v>0</v>
      </c>
      <c r="R72" s="19"/>
      <c r="S72" s="230">
        <f t="shared" si="4"/>
        <v>0</v>
      </c>
      <c r="T72" s="19"/>
      <c r="U72" s="19"/>
      <c r="V72" s="19"/>
      <c r="W72" s="19"/>
      <c r="X72" s="19"/>
      <c r="Y72" s="19"/>
      <c r="Z72" s="19"/>
    </row>
    <row r="73" spans="1:26" hidden="1" outlineLevel="1" x14ac:dyDescent="0.2">
      <c r="A73" s="19"/>
      <c r="B73" s="19"/>
      <c r="C73" s="508">
        <f>'Trial tariffs'!C17</f>
        <v>0</v>
      </c>
      <c r="D73" s="512"/>
      <c r="E73" s="458"/>
      <c r="F73" s="145" t="str">
        <f>IF(C73=0,"",General!$F$21)</f>
        <v/>
      </c>
      <c r="G73" s="22"/>
      <c r="H73" s="22"/>
      <c r="I73" s="362"/>
      <c r="J73" s="457">
        <f>IFERROR(IF(J$61=forecastyear,'Trial tariffs'!$J17,IF(J$61=currentyear,'Hist. revenue'!$AC492*revenuemultiplier,'Trial tariffs'!J228))/J$10,0)</f>
        <v>0</v>
      </c>
      <c r="K73" s="457">
        <f>IFERROR(IF(K$61=forecastyear,'Trial tariffs'!$J17,IF(K$61=currentyear,'Hist. revenue'!$AC492*revenuemultiplier,'Trial tariffs'!K228))/K$10,0)</f>
        <v>0</v>
      </c>
      <c r="L73" s="457">
        <f>IFERROR(IF(L$61=forecastyear,'Trial tariffs'!$J17,IF(L$61=currentyear,'Hist. revenue'!$AC492*revenuemultiplier,'Trial tariffs'!L228))/L$10,0)</f>
        <v>0</v>
      </c>
      <c r="M73" s="457">
        <f>IFERROR(IF(M$61=forecastyear,'Trial tariffs'!$J17,IF(M$61=currentyear,'Hist. revenue'!$AC492*revenuemultiplier,'Trial tariffs'!M228))/M$10,0)</f>
        <v>0</v>
      </c>
      <c r="N73" s="457">
        <f>IFERROR(IF(N$61=forecastyear,'Trial tariffs'!$J17,IF(N$61=currentyear,'Hist. revenue'!$AC492*revenuemultiplier,'Trial tariffs'!N228))/N$10,0)</f>
        <v>0</v>
      </c>
      <c r="O73" s="457">
        <f>IFERROR(IF(O$61=forecastyear,'Trial tariffs'!$J17,IF(O$61=currentyear,'Hist. revenue'!$AC492*revenuemultiplier,'Trial tariffs'!O228))/O$10,0)</f>
        <v>0</v>
      </c>
      <c r="P73" s="457">
        <f>IFERROR(IF(P$61=forecastyear,'Trial tariffs'!$J17,IF(P$61=currentyear,'Hist. revenue'!$AC492*revenuemultiplier,'Trial tariffs'!P228))/P$10,0)</f>
        <v>0</v>
      </c>
      <c r="Q73" s="457">
        <f>IFERROR(IF(Q$61=forecastyear,'Trial tariffs'!$J17,IF(Q$61=currentyear,'Hist. revenue'!$AC492*revenuemultiplier,'Trial tariffs'!Q228))/Q$10,0)</f>
        <v>0</v>
      </c>
      <c r="R73" s="19"/>
      <c r="S73" s="230">
        <f t="shared" si="4"/>
        <v>0</v>
      </c>
      <c r="T73" s="19"/>
      <c r="U73" s="19"/>
      <c r="V73" s="19"/>
      <c r="W73" s="19"/>
      <c r="X73" s="19"/>
      <c r="Y73" s="19"/>
      <c r="Z73" s="19"/>
    </row>
    <row r="74" spans="1:26" hidden="1" outlineLevel="1" x14ac:dyDescent="0.2">
      <c r="A74" s="19"/>
      <c r="B74" s="19"/>
      <c r="C74" s="508">
        <f>'Trial tariffs'!C18</f>
        <v>0</v>
      </c>
      <c r="D74" s="512"/>
      <c r="E74" s="458"/>
      <c r="F74" s="145" t="str">
        <f>IF(C74=0,"",General!$F$21)</f>
        <v/>
      </c>
      <c r="G74" s="22"/>
      <c r="H74" s="22"/>
      <c r="I74" s="362"/>
      <c r="J74" s="457">
        <f>IFERROR(IF(J$61=forecastyear,'Trial tariffs'!$J18,IF(J$61=currentyear,'Hist. revenue'!$AC493*revenuemultiplier,'Trial tariffs'!J229))/J$10,0)</f>
        <v>0</v>
      </c>
      <c r="K74" s="457">
        <f>IFERROR(IF(K$61=forecastyear,'Trial tariffs'!$J18,IF(K$61=currentyear,'Hist. revenue'!$AC493*revenuemultiplier,'Trial tariffs'!K229))/K$10,0)</f>
        <v>0</v>
      </c>
      <c r="L74" s="457">
        <f>IFERROR(IF(L$61=forecastyear,'Trial tariffs'!$J18,IF(L$61=currentyear,'Hist. revenue'!$AC493*revenuemultiplier,'Trial tariffs'!L229))/L$10,0)</f>
        <v>0</v>
      </c>
      <c r="M74" s="457">
        <f>IFERROR(IF(M$61=forecastyear,'Trial tariffs'!$J18,IF(M$61=currentyear,'Hist. revenue'!$AC493*revenuemultiplier,'Trial tariffs'!M229))/M$10,0)</f>
        <v>0</v>
      </c>
      <c r="N74" s="457">
        <f>IFERROR(IF(N$61=forecastyear,'Trial tariffs'!$J18,IF(N$61=currentyear,'Hist. revenue'!$AC493*revenuemultiplier,'Trial tariffs'!N229))/N$10,0)</f>
        <v>0</v>
      </c>
      <c r="O74" s="457">
        <f>IFERROR(IF(O$61=forecastyear,'Trial tariffs'!$J18,IF(O$61=currentyear,'Hist. revenue'!$AC493*revenuemultiplier,'Trial tariffs'!O229))/O$10,0)</f>
        <v>0</v>
      </c>
      <c r="P74" s="457">
        <f>IFERROR(IF(P$61=forecastyear,'Trial tariffs'!$J18,IF(P$61=currentyear,'Hist. revenue'!$AC493*revenuemultiplier,'Trial tariffs'!P229))/P$10,0)</f>
        <v>0</v>
      </c>
      <c r="Q74" s="457">
        <f>IFERROR(IF(Q$61=forecastyear,'Trial tariffs'!$J18,IF(Q$61=currentyear,'Hist. revenue'!$AC493*revenuemultiplier,'Trial tariffs'!Q229))/Q$10,0)</f>
        <v>0</v>
      </c>
      <c r="R74" s="19"/>
      <c r="S74" s="230">
        <f t="shared" si="4"/>
        <v>0</v>
      </c>
      <c r="T74" s="19"/>
      <c r="U74" s="19"/>
      <c r="V74" s="19"/>
      <c r="W74" s="19"/>
      <c r="X74" s="19"/>
      <c r="Y74" s="19"/>
      <c r="Z74" s="19"/>
    </row>
    <row r="75" spans="1:26" hidden="1" outlineLevel="1" x14ac:dyDescent="0.2">
      <c r="A75" s="19"/>
      <c r="B75" s="19"/>
      <c r="C75" s="508">
        <f>'Trial tariffs'!C19</f>
        <v>0</v>
      </c>
      <c r="D75" s="512"/>
      <c r="E75" s="458"/>
      <c r="F75" s="145" t="str">
        <f>IF(C75=0,"",General!$F$21)</f>
        <v/>
      </c>
      <c r="G75" s="22"/>
      <c r="H75" s="22"/>
      <c r="I75" s="362"/>
      <c r="J75" s="457">
        <f>IFERROR(IF(J$61=forecastyear,'Trial tariffs'!$J19,IF(J$61=currentyear,'Hist. revenue'!$AC494*revenuemultiplier,'Trial tariffs'!J230))/J$10,0)</f>
        <v>0</v>
      </c>
      <c r="K75" s="457">
        <f>IFERROR(IF(K$61=forecastyear,'Trial tariffs'!$J19,IF(K$61=currentyear,'Hist. revenue'!$AC494*revenuemultiplier,'Trial tariffs'!K230))/K$10,0)</f>
        <v>0</v>
      </c>
      <c r="L75" s="457">
        <f>IFERROR(IF(L$61=forecastyear,'Trial tariffs'!$J19,IF(L$61=currentyear,'Hist. revenue'!$AC494*revenuemultiplier,'Trial tariffs'!L230))/L$10,0)</f>
        <v>0</v>
      </c>
      <c r="M75" s="457">
        <f>IFERROR(IF(M$61=forecastyear,'Trial tariffs'!$J19,IF(M$61=currentyear,'Hist. revenue'!$AC494*revenuemultiplier,'Trial tariffs'!M230))/M$10,0)</f>
        <v>0</v>
      </c>
      <c r="N75" s="457">
        <f>IFERROR(IF(N$61=forecastyear,'Trial tariffs'!$J19,IF(N$61=currentyear,'Hist. revenue'!$AC494*revenuemultiplier,'Trial tariffs'!N230))/N$10,0)</f>
        <v>0</v>
      </c>
      <c r="O75" s="457">
        <f>IFERROR(IF(O$61=forecastyear,'Trial tariffs'!$J19,IF(O$61=currentyear,'Hist. revenue'!$AC494*revenuemultiplier,'Trial tariffs'!O230))/O$10,0)</f>
        <v>0</v>
      </c>
      <c r="P75" s="457">
        <f>IFERROR(IF(P$61=forecastyear,'Trial tariffs'!$J19,IF(P$61=currentyear,'Hist. revenue'!$AC494*revenuemultiplier,'Trial tariffs'!P230))/P$10,0)</f>
        <v>0</v>
      </c>
      <c r="Q75" s="457">
        <f>IFERROR(IF(Q$61=forecastyear,'Trial tariffs'!$J19,IF(Q$61=currentyear,'Hist. revenue'!$AC494*revenuemultiplier,'Trial tariffs'!Q230))/Q$10,0)</f>
        <v>0</v>
      </c>
      <c r="R75" s="19"/>
      <c r="S75" s="230">
        <f t="shared" si="4"/>
        <v>0</v>
      </c>
      <c r="T75" s="19"/>
      <c r="U75" s="19"/>
      <c r="V75" s="19"/>
      <c r="W75" s="19"/>
      <c r="X75" s="19"/>
      <c r="Y75" s="19"/>
      <c r="Z75" s="19"/>
    </row>
    <row r="76" spans="1:26" hidden="1" outlineLevel="1" x14ac:dyDescent="0.2">
      <c r="A76" s="19"/>
      <c r="B76" s="19"/>
      <c r="C76" s="508">
        <f>'Trial tariffs'!C20</f>
        <v>0</v>
      </c>
      <c r="D76" s="512"/>
      <c r="E76" s="458"/>
      <c r="F76" s="145" t="str">
        <f>IF(C76=0,"",General!$F$21)</f>
        <v/>
      </c>
      <c r="G76" s="22"/>
      <c r="H76" s="22"/>
      <c r="I76" s="362"/>
      <c r="J76" s="457">
        <f>IFERROR(IF(J$61=forecastyear,'Trial tariffs'!$J20,IF(J$61=currentyear,'Hist. revenue'!$AC495*revenuemultiplier,'Trial tariffs'!J231))/J$10,0)</f>
        <v>0</v>
      </c>
      <c r="K76" s="457">
        <f>IFERROR(IF(K$61=forecastyear,'Trial tariffs'!$J20,IF(K$61=currentyear,'Hist. revenue'!$AC495*revenuemultiplier,'Trial tariffs'!K231))/K$10,0)</f>
        <v>0</v>
      </c>
      <c r="L76" s="457">
        <f>IFERROR(IF(L$61=forecastyear,'Trial tariffs'!$J20,IF(L$61=currentyear,'Hist. revenue'!$AC495*revenuemultiplier,'Trial tariffs'!L231))/L$10,0)</f>
        <v>0</v>
      </c>
      <c r="M76" s="457">
        <f>IFERROR(IF(M$61=forecastyear,'Trial tariffs'!$J20,IF(M$61=currentyear,'Hist. revenue'!$AC495*revenuemultiplier,'Trial tariffs'!M231))/M$10,0)</f>
        <v>0</v>
      </c>
      <c r="N76" s="457">
        <f>IFERROR(IF(N$61=forecastyear,'Trial tariffs'!$J20,IF(N$61=currentyear,'Hist. revenue'!$AC495*revenuemultiplier,'Trial tariffs'!N231))/N$10,0)</f>
        <v>0</v>
      </c>
      <c r="O76" s="457">
        <f>IFERROR(IF(O$61=forecastyear,'Trial tariffs'!$J20,IF(O$61=currentyear,'Hist. revenue'!$AC495*revenuemultiplier,'Trial tariffs'!O231))/O$10,0)</f>
        <v>0</v>
      </c>
      <c r="P76" s="457">
        <f>IFERROR(IF(P$61=forecastyear,'Trial tariffs'!$J20,IF(P$61=currentyear,'Hist. revenue'!$AC495*revenuemultiplier,'Trial tariffs'!P231))/P$10,0)</f>
        <v>0</v>
      </c>
      <c r="Q76" s="457">
        <f>IFERROR(IF(Q$61=forecastyear,'Trial tariffs'!$J20,IF(Q$61=currentyear,'Hist. revenue'!$AC495*revenuemultiplier,'Trial tariffs'!Q231))/Q$10,0)</f>
        <v>0</v>
      </c>
      <c r="R76" s="19"/>
      <c r="S76" s="230">
        <f t="shared" si="4"/>
        <v>0</v>
      </c>
      <c r="T76" s="19"/>
      <c r="U76" s="19"/>
      <c r="V76" s="19"/>
      <c r="W76" s="19"/>
      <c r="X76" s="19"/>
      <c r="Y76" s="19"/>
      <c r="Z76" s="19"/>
    </row>
    <row r="77" spans="1:26" hidden="1" outlineLevel="1" x14ac:dyDescent="0.2">
      <c r="A77" s="19"/>
      <c r="B77" s="19"/>
      <c r="C77" s="508">
        <f>'Trial tariffs'!C21</f>
        <v>0</v>
      </c>
      <c r="D77" s="512"/>
      <c r="E77" s="458"/>
      <c r="F77" s="145" t="str">
        <f>IF(C77=0,"",General!$F$21)</f>
        <v/>
      </c>
      <c r="G77" s="22"/>
      <c r="H77" s="22"/>
      <c r="I77" s="362"/>
      <c r="J77" s="457">
        <f>IFERROR(IF(J$61=forecastyear,'Trial tariffs'!$J21,IF(J$61=currentyear,'Hist. revenue'!$AC496*revenuemultiplier,'Trial tariffs'!J232))/J$10,0)</f>
        <v>0</v>
      </c>
      <c r="K77" s="457">
        <f>IFERROR(IF(K$61=forecastyear,'Trial tariffs'!$J21,IF(K$61=currentyear,'Hist. revenue'!$AC496*revenuemultiplier,'Trial tariffs'!K232))/K$10,0)</f>
        <v>0</v>
      </c>
      <c r="L77" s="457">
        <f>IFERROR(IF(L$61=forecastyear,'Trial tariffs'!$J21,IF(L$61=currentyear,'Hist. revenue'!$AC496*revenuemultiplier,'Trial tariffs'!L232))/L$10,0)</f>
        <v>0</v>
      </c>
      <c r="M77" s="457">
        <f>IFERROR(IF(M$61=forecastyear,'Trial tariffs'!$J21,IF(M$61=currentyear,'Hist. revenue'!$AC496*revenuemultiplier,'Trial tariffs'!M232))/M$10,0)</f>
        <v>0</v>
      </c>
      <c r="N77" s="457">
        <f>IFERROR(IF(N$61=forecastyear,'Trial tariffs'!$J21,IF(N$61=currentyear,'Hist. revenue'!$AC496*revenuemultiplier,'Trial tariffs'!N232))/N$10,0)</f>
        <v>0</v>
      </c>
      <c r="O77" s="457">
        <f>IFERROR(IF(O$61=forecastyear,'Trial tariffs'!$J21,IF(O$61=currentyear,'Hist. revenue'!$AC496*revenuemultiplier,'Trial tariffs'!O232))/O$10,0)</f>
        <v>0</v>
      </c>
      <c r="P77" s="457">
        <f>IFERROR(IF(P$61=forecastyear,'Trial tariffs'!$J21,IF(P$61=currentyear,'Hist. revenue'!$AC496*revenuemultiplier,'Trial tariffs'!P232))/P$10,0)</f>
        <v>0</v>
      </c>
      <c r="Q77" s="457">
        <f>IFERROR(IF(Q$61=forecastyear,'Trial tariffs'!$J21,IF(Q$61=currentyear,'Hist. revenue'!$AC496*revenuemultiplier,'Trial tariffs'!Q232))/Q$10,0)</f>
        <v>0</v>
      </c>
      <c r="R77" s="19"/>
      <c r="S77" s="230">
        <f t="shared" si="4"/>
        <v>0</v>
      </c>
      <c r="T77" s="19"/>
      <c r="U77" s="19"/>
      <c r="V77" s="19"/>
      <c r="W77" s="19"/>
      <c r="X77" s="19"/>
      <c r="Y77" s="19"/>
      <c r="Z77" s="19"/>
    </row>
    <row r="78" spans="1:26" hidden="1" outlineLevel="1" x14ac:dyDescent="0.2">
      <c r="A78" s="19"/>
      <c r="B78" s="19"/>
      <c r="C78" s="508">
        <f>'Trial tariffs'!C22</f>
        <v>0</v>
      </c>
      <c r="D78" s="512"/>
      <c r="E78" s="458"/>
      <c r="F78" s="145" t="str">
        <f>IF(C78=0,"",General!$F$21)</f>
        <v/>
      </c>
      <c r="G78" s="22"/>
      <c r="H78" s="22"/>
      <c r="I78" s="362"/>
      <c r="J78" s="457">
        <f>IFERROR(IF(J$61=forecastyear,'Trial tariffs'!$J22,IF(J$61=currentyear,'Hist. revenue'!$AC497*revenuemultiplier,'Trial tariffs'!J233))/J$10,0)</f>
        <v>0</v>
      </c>
      <c r="K78" s="457">
        <f>IFERROR(IF(K$61=forecastyear,'Trial tariffs'!$J22,IF(K$61=currentyear,'Hist. revenue'!$AC497*revenuemultiplier,'Trial tariffs'!K233))/K$10,0)</f>
        <v>0</v>
      </c>
      <c r="L78" s="457">
        <f>IFERROR(IF(L$61=forecastyear,'Trial tariffs'!$J22,IF(L$61=currentyear,'Hist. revenue'!$AC497*revenuemultiplier,'Trial tariffs'!L233))/L$10,0)</f>
        <v>0</v>
      </c>
      <c r="M78" s="457">
        <f>IFERROR(IF(M$61=forecastyear,'Trial tariffs'!$J22,IF(M$61=currentyear,'Hist. revenue'!$AC497*revenuemultiplier,'Trial tariffs'!M233))/M$10,0)</f>
        <v>0</v>
      </c>
      <c r="N78" s="457">
        <f>IFERROR(IF(N$61=forecastyear,'Trial tariffs'!$J22,IF(N$61=currentyear,'Hist. revenue'!$AC497*revenuemultiplier,'Trial tariffs'!N233))/N$10,0)</f>
        <v>0</v>
      </c>
      <c r="O78" s="457">
        <f>IFERROR(IF(O$61=forecastyear,'Trial tariffs'!$J22,IF(O$61=currentyear,'Hist. revenue'!$AC497*revenuemultiplier,'Trial tariffs'!O233))/O$10,0)</f>
        <v>0</v>
      </c>
      <c r="P78" s="457">
        <f>IFERROR(IF(P$61=forecastyear,'Trial tariffs'!$J22,IF(P$61=currentyear,'Hist. revenue'!$AC497*revenuemultiplier,'Trial tariffs'!P233))/P$10,0)</f>
        <v>0</v>
      </c>
      <c r="Q78" s="457">
        <f>IFERROR(IF(Q$61=forecastyear,'Trial tariffs'!$J22,IF(Q$61=currentyear,'Hist. revenue'!$AC497*revenuemultiplier,'Trial tariffs'!Q233))/Q$10,0)</f>
        <v>0</v>
      </c>
      <c r="R78" s="19"/>
      <c r="S78" s="230">
        <f t="shared" si="4"/>
        <v>0</v>
      </c>
      <c r="T78" s="19"/>
      <c r="U78" s="19"/>
      <c r="V78" s="19"/>
      <c r="W78" s="19"/>
      <c r="X78" s="19"/>
      <c r="Y78" s="19"/>
      <c r="Z78" s="19"/>
    </row>
    <row r="79" spans="1:26" hidden="1" outlineLevel="1" x14ac:dyDescent="0.2">
      <c r="A79" s="19"/>
      <c r="B79" s="19"/>
      <c r="C79" s="508">
        <f>'Trial tariffs'!C23</f>
        <v>0</v>
      </c>
      <c r="D79" s="512"/>
      <c r="E79" s="458"/>
      <c r="F79" s="145" t="str">
        <f>IF(C79=0,"",General!$F$21)</f>
        <v/>
      </c>
      <c r="G79" s="22"/>
      <c r="H79" s="22"/>
      <c r="I79" s="362"/>
      <c r="J79" s="457">
        <f>IFERROR(IF(J$61=forecastyear,'Trial tariffs'!$J23,IF(J$61=currentyear,'Hist. revenue'!$AC498*revenuemultiplier,'Trial tariffs'!J234))/J$10,0)</f>
        <v>0</v>
      </c>
      <c r="K79" s="457">
        <f>IFERROR(IF(K$61=forecastyear,'Trial tariffs'!$J23,IF(K$61=currentyear,'Hist. revenue'!$AC498*revenuemultiplier,'Trial tariffs'!K234))/K$10,0)</f>
        <v>0</v>
      </c>
      <c r="L79" s="457">
        <f>IFERROR(IF(L$61=forecastyear,'Trial tariffs'!$J23,IF(L$61=currentyear,'Hist. revenue'!$AC498*revenuemultiplier,'Trial tariffs'!L234))/L$10,0)</f>
        <v>0</v>
      </c>
      <c r="M79" s="457">
        <f>IFERROR(IF(M$61=forecastyear,'Trial tariffs'!$J23,IF(M$61=currentyear,'Hist. revenue'!$AC498*revenuemultiplier,'Trial tariffs'!M234))/M$10,0)</f>
        <v>0</v>
      </c>
      <c r="N79" s="457">
        <f>IFERROR(IF(N$61=forecastyear,'Trial tariffs'!$J23,IF(N$61=currentyear,'Hist. revenue'!$AC498*revenuemultiplier,'Trial tariffs'!N234))/N$10,0)</f>
        <v>0</v>
      </c>
      <c r="O79" s="457">
        <f>IFERROR(IF(O$61=forecastyear,'Trial tariffs'!$J23,IF(O$61=currentyear,'Hist. revenue'!$AC498*revenuemultiplier,'Trial tariffs'!O234))/O$10,0)</f>
        <v>0</v>
      </c>
      <c r="P79" s="457">
        <f>IFERROR(IF(P$61=forecastyear,'Trial tariffs'!$J23,IF(P$61=currentyear,'Hist. revenue'!$AC498*revenuemultiplier,'Trial tariffs'!P234))/P$10,0)</f>
        <v>0</v>
      </c>
      <c r="Q79" s="457">
        <f>IFERROR(IF(Q$61=forecastyear,'Trial tariffs'!$J23,IF(Q$61=currentyear,'Hist. revenue'!$AC498*revenuemultiplier,'Trial tariffs'!Q234))/Q$10,0)</f>
        <v>0</v>
      </c>
      <c r="R79" s="19"/>
      <c r="S79" s="230">
        <f t="shared" si="4"/>
        <v>0</v>
      </c>
      <c r="T79" s="19"/>
      <c r="U79" s="19"/>
      <c r="V79" s="19"/>
      <c r="W79" s="19"/>
      <c r="X79" s="19"/>
      <c r="Y79" s="19"/>
      <c r="Z79" s="19"/>
    </row>
    <row r="80" spans="1:26" hidden="1" outlineLevel="1" x14ac:dyDescent="0.2">
      <c r="A80" s="19"/>
      <c r="B80" s="19"/>
      <c r="C80" s="508">
        <f>'Trial tariffs'!C24</f>
        <v>0</v>
      </c>
      <c r="D80" s="512"/>
      <c r="E80" s="458"/>
      <c r="F80" s="145" t="str">
        <f>IF(C80=0,"",General!$F$21)</f>
        <v/>
      </c>
      <c r="G80" s="22"/>
      <c r="H80" s="22"/>
      <c r="I80" s="362"/>
      <c r="J80" s="457">
        <f>IFERROR(IF(J$61=forecastyear,'Trial tariffs'!$J24,IF(J$61=currentyear,'Hist. revenue'!$AC499*revenuemultiplier,'Trial tariffs'!J235))/J$10,0)</f>
        <v>0</v>
      </c>
      <c r="K80" s="457">
        <f>IFERROR(IF(K$61=forecastyear,'Trial tariffs'!$J24,IF(K$61=currentyear,'Hist. revenue'!$AC499*revenuemultiplier,'Trial tariffs'!K235))/K$10,0)</f>
        <v>0</v>
      </c>
      <c r="L80" s="457">
        <f>IFERROR(IF(L$61=forecastyear,'Trial tariffs'!$J24,IF(L$61=currentyear,'Hist. revenue'!$AC499*revenuemultiplier,'Trial tariffs'!L235))/L$10,0)</f>
        <v>0</v>
      </c>
      <c r="M80" s="457">
        <f>IFERROR(IF(M$61=forecastyear,'Trial tariffs'!$J24,IF(M$61=currentyear,'Hist. revenue'!$AC499*revenuemultiplier,'Trial tariffs'!M235))/M$10,0)</f>
        <v>0</v>
      </c>
      <c r="N80" s="457">
        <f>IFERROR(IF(N$61=forecastyear,'Trial tariffs'!$J24,IF(N$61=currentyear,'Hist. revenue'!$AC499*revenuemultiplier,'Trial tariffs'!N235))/N$10,0)</f>
        <v>0</v>
      </c>
      <c r="O80" s="457">
        <f>IFERROR(IF(O$61=forecastyear,'Trial tariffs'!$J24,IF(O$61=currentyear,'Hist. revenue'!$AC499*revenuemultiplier,'Trial tariffs'!O235))/O$10,0)</f>
        <v>0</v>
      </c>
      <c r="P80" s="457">
        <f>IFERROR(IF(P$61=forecastyear,'Trial tariffs'!$J24,IF(P$61=currentyear,'Hist. revenue'!$AC499*revenuemultiplier,'Trial tariffs'!P235))/P$10,0)</f>
        <v>0</v>
      </c>
      <c r="Q80" s="457">
        <f>IFERROR(IF(Q$61=forecastyear,'Trial tariffs'!$J24,IF(Q$61=currentyear,'Hist. revenue'!$AC499*revenuemultiplier,'Trial tariffs'!Q235))/Q$10,0)</f>
        <v>0</v>
      </c>
      <c r="R80" s="19"/>
      <c r="S80" s="230">
        <f t="shared" si="4"/>
        <v>0</v>
      </c>
      <c r="T80" s="19"/>
      <c r="U80" s="19"/>
      <c r="V80" s="19"/>
      <c r="W80" s="19"/>
      <c r="X80" s="19"/>
      <c r="Y80" s="19"/>
      <c r="Z80" s="19"/>
    </row>
    <row r="81" spans="1:26" hidden="1" outlineLevel="1" x14ac:dyDescent="0.2">
      <c r="A81" s="19"/>
      <c r="B81" s="19"/>
      <c r="C81" s="508">
        <f>'Trial tariffs'!C25</f>
        <v>0</v>
      </c>
      <c r="D81" s="512"/>
      <c r="E81" s="458"/>
      <c r="F81" s="145" t="str">
        <f>IF(C81=0,"",General!$F$21)</f>
        <v/>
      </c>
      <c r="G81" s="22"/>
      <c r="H81" s="22"/>
      <c r="I81" s="362"/>
      <c r="J81" s="457">
        <f>IFERROR(IF(J$61=forecastyear,'Trial tariffs'!$J25,IF(J$61=currentyear,'Hist. revenue'!$AC500*revenuemultiplier,'Trial tariffs'!J236))/J$10,0)</f>
        <v>0</v>
      </c>
      <c r="K81" s="457">
        <f>IFERROR(IF(K$61=forecastyear,'Trial tariffs'!$J25,IF(K$61=currentyear,'Hist. revenue'!$AC500*revenuemultiplier,'Trial tariffs'!K236))/K$10,0)</f>
        <v>0</v>
      </c>
      <c r="L81" s="457">
        <f>IFERROR(IF(L$61=forecastyear,'Trial tariffs'!$J25,IF(L$61=currentyear,'Hist. revenue'!$AC500*revenuemultiplier,'Trial tariffs'!L236))/L$10,0)</f>
        <v>0</v>
      </c>
      <c r="M81" s="457">
        <f>IFERROR(IF(M$61=forecastyear,'Trial tariffs'!$J25,IF(M$61=currentyear,'Hist. revenue'!$AC500*revenuemultiplier,'Trial tariffs'!M236))/M$10,0)</f>
        <v>0</v>
      </c>
      <c r="N81" s="457">
        <f>IFERROR(IF(N$61=forecastyear,'Trial tariffs'!$J25,IF(N$61=currentyear,'Hist. revenue'!$AC500*revenuemultiplier,'Trial tariffs'!N236))/N$10,0)</f>
        <v>0</v>
      </c>
      <c r="O81" s="457">
        <f>IFERROR(IF(O$61=forecastyear,'Trial tariffs'!$J25,IF(O$61=currentyear,'Hist. revenue'!$AC500*revenuemultiplier,'Trial tariffs'!O236))/O$10,0)</f>
        <v>0</v>
      </c>
      <c r="P81" s="457">
        <f>IFERROR(IF(P$61=forecastyear,'Trial tariffs'!$J25,IF(P$61=currentyear,'Hist. revenue'!$AC500*revenuemultiplier,'Trial tariffs'!P236))/P$10,0)</f>
        <v>0</v>
      </c>
      <c r="Q81" s="457">
        <f>IFERROR(IF(Q$61=forecastyear,'Trial tariffs'!$J25,IF(Q$61=currentyear,'Hist. revenue'!$AC500*revenuemultiplier,'Trial tariffs'!Q236))/Q$10,0)</f>
        <v>0</v>
      </c>
      <c r="R81" s="19"/>
      <c r="S81" s="230">
        <f t="shared" si="4"/>
        <v>0</v>
      </c>
      <c r="T81" s="19"/>
      <c r="U81" s="19"/>
      <c r="V81" s="19"/>
      <c r="W81" s="19"/>
      <c r="X81" s="19"/>
      <c r="Y81" s="19"/>
      <c r="Z81" s="19"/>
    </row>
    <row r="82" spans="1:26" hidden="1" outlineLevel="1" x14ac:dyDescent="0.2">
      <c r="A82" s="19"/>
      <c r="B82" s="19"/>
      <c r="C82" s="508">
        <f>'Trial tariffs'!C26</f>
        <v>0</v>
      </c>
      <c r="D82" s="512"/>
      <c r="E82" s="458"/>
      <c r="F82" s="145" t="str">
        <f>IF(C82=0,"",General!$F$21)</f>
        <v/>
      </c>
      <c r="G82" s="22"/>
      <c r="H82" s="22"/>
      <c r="I82" s="362"/>
      <c r="J82" s="457">
        <f>IFERROR(IF(J$61=forecastyear,'Trial tariffs'!$J26,IF(J$61=currentyear,'Hist. revenue'!$AC501*revenuemultiplier,'Trial tariffs'!J237))/J$10,0)</f>
        <v>0</v>
      </c>
      <c r="K82" s="457">
        <f>IFERROR(IF(K$61=forecastyear,'Trial tariffs'!$J26,IF(K$61=currentyear,'Hist. revenue'!$AC501*revenuemultiplier,'Trial tariffs'!K237))/K$10,0)</f>
        <v>0</v>
      </c>
      <c r="L82" s="457">
        <f>IFERROR(IF(L$61=forecastyear,'Trial tariffs'!$J26,IF(L$61=currentyear,'Hist. revenue'!$AC501*revenuemultiplier,'Trial tariffs'!L237))/L$10,0)</f>
        <v>0</v>
      </c>
      <c r="M82" s="457">
        <f>IFERROR(IF(M$61=forecastyear,'Trial tariffs'!$J26,IF(M$61=currentyear,'Hist. revenue'!$AC501*revenuemultiplier,'Trial tariffs'!M237))/M$10,0)</f>
        <v>0</v>
      </c>
      <c r="N82" s="457">
        <f>IFERROR(IF(N$61=forecastyear,'Trial tariffs'!$J26,IF(N$61=currentyear,'Hist. revenue'!$AC501*revenuemultiplier,'Trial tariffs'!N237))/N$10,0)</f>
        <v>0</v>
      </c>
      <c r="O82" s="457">
        <f>IFERROR(IF(O$61=forecastyear,'Trial tariffs'!$J26,IF(O$61=currentyear,'Hist. revenue'!$AC501*revenuemultiplier,'Trial tariffs'!O237))/O$10,0)</f>
        <v>0</v>
      </c>
      <c r="P82" s="457">
        <f>IFERROR(IF(P$61=forecastyear,'Trial tariffs'!$J26,IF(P$61=currentyear,'Hist. revenue'!$AC501*revenuemultiplier,'Trial tariffs'!P237))/P$10,0)</f>
        <v>0</v>
      </c>
      <c r="Q82" s="457">
        <f>IFERROR(IF(Q$61=forecastyear,'Trial tariffs'!$J26,IF(Q$61=currentyear,'Hist. revenue'!$AC501*revenuemultiplier,'Trial tariffs'!Q237))/Q$10,0)</f>
        <v>0</v>
      </c>
      <c r="R82" s="19"/>
      <c r="S82" s="230">
        <f t="shared" si="4"/>
        <v>0</v>
      </c>
      <c r="T82" s="19"/>
      <c r="U82" s="19"/>
      <c r="V82" s="19"/>
      <c r="W82" s="19"/>
      <c r="X82" s="19"/>
      <c r="Y82" s="19"/>
      <c r="Z82" s="19"/>
    </row>
    <row r="83" spans="1:26" hidden="1" outlineLevel="1" x14ac:dyDescent="0.2">
      <c r="A83" s="19"/>
      <c r="B83" s="19"/>
      <c r="C83" s="507" t="s">
        <v>324</v>
      </c>
      <c r="D83" s="512"/>
      <c r="E83" s="458" t="s">
        <v>19</v>
      </c>
      <c r="F83" s="145">
        <f>General!$F$22</f>
        <v>0.05</v>
      </c>
      <c r="G83" s="22"/>
      <c r="H83" s="22"/>
      <c r="I83" s="362"/>
      <c r="J83" s="457">
        <f>IFERROR(J$9/J$10,0)</f>
        <v>0</v>
      </c>
      <c r="K83" s="457">
        <f t="shared" ref="K83:Q83" si="5">IFERROR(K$9/K$10,0)</f>
        <v>0</v>
      </c>
      <c r="L83" s="457">
        <f t="shared" si="5"/>
        <v>0</v>
      </c>
      <c r="M83" s="457">
        <f t="shared" si="5"/>
        <v>0</v>
      </c>
      <c r="N83" s="457">
        <f t="shared" si="5"/>
        <v>0</v>
      </c>
      <c r="O83" s="457">
        <f t="shared" si="5"/>
        <v>0</v>
      </c>
      <c r="P83" s="457">
        <f t="shared" si="5"/>
        <v>0</v>
      </c>
      <c r="Q83" s="457">
        <f t="shared" si="5"/>
        <v>0</v>
      </c>
      <c r="R83" s="19"/>
      <c r="S83" s="230" t="str">
        <f t="shared" si="4"/>
        <v>COMPLIANT</v>
      </c>
      <c r="T83" s="19"/>
      <c r="U83" s="19"/>
      <c r="V83" s="19"/>
      <c r="W83" s="19"/>
      <c r="X83" s="19"/>
      <c r="Y83" s="19"/>
      <c r="Z83" s="19"/>
    </row>
    <row r="84" spans="1:26" collapsed="1" x14ac:dyDescent="0.2">
      <c r="A84" s="19"/>
      <c r="B84" s="19"/>
      <c r="C84" s="456"/>
      <c r="D84" s="20"/>
      <c r="E84" s="455"/>
      <c r="F84" s="20"/>
      <c r="G84" s="22"/>
      <c r="H84" s="22"/>
      <c r="I84" s="20"/>
      <c r="J84" s="361"/>
      <c r="K84" s="361"/>
      <c r="L84" s="361"/>
      <c r="M84" s="361"/>
      <c r="N84" s="361"/>
      <c r="O84" s="361"/>
      <c r="P84" s="361"/>
      <c r="Q84" s="361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2.75" x14ac:dyDescent="0.2">
      <c r="A85" s="11"/>
      <c r="B85" s="12" t="s">
        <v>544</v>
      </c>
      <c r="C85" s="11"/>
      <c r="D85" s="32"/>
      <c r="E85" s="32" t="str">
        <f>E5</f>
        <v>Unit</v>
      </c>
      <c r="F85" s="32"/>
      <c r="G85" s="32"/>
      <c r="H85" s="32"/>
      <c r="I85" s="32"/>
      <c r="J85" s="32" t="s">
        <v>326</v>
      </c>
      <c r="K85" s="32"/>
      <c r="L85" s="32" t="s">
        <v>328</v>
      </c>
      <c r="M85" s="32"/>
      <c r="N85" s="32" t="s">
        <v>327</v>
      </c>
      <c r="O85" s="32"/>
      <c r="P85" s="32"/>
      <c r="Q85" s="32"/>
      <c r="R85" s="54"/>
      <c r="S85" s="32" t="s">
        <v>317</v>
      </c>
      <c r="T85" s="15"/>
      <c r="U85" s="15"/>
      <c r="V85" s="15"/>
      <c r="W85" s="15"/>
      <c r="X85" s="15"/>
      <c r="Y85" s="15"/>
      <c r="Z85" s="15"/>
    </row>
    <row r="86" spans="1:26" x14ac:dyDescent="0.2">
      <c r="A86" s="19"/>
      <c r="B86" s="19"/>
      <c r="C86" s="51"/>
      <c r="D86" s="20"/>
      <c r="E86" s="20"/>
      <c r="F86" s="20"/>
      <c r="G86" s="20"/>
      <c r="H86" s="20"/>
      <c r="I86" s="20"/>
      <c r="J86" s="20"/>
      <c r="K86" s="20"/>
      <c r="L86" s="20"/>
      <c r="M86" s="19"/>
      <c r="N86" s="19"/>
      <c r="O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x14ac:dyDescent="0.2">
      <c r="A87" s="19"/>
      <c r="B87" s="19"/>
      <c r="C87" s="438" t="str">
        <f>Tariffs!C7</f>
        <v>Residential</v>
      </c>
      <c r="D87" s="512"/>
      <c r="E87" s="458" t="str">
        <f t="shared" ref="E87:E97" si="6">IF(C87=0,0,saaunits)</f>
        <v>$millions</v>
      </c>
      <c r="F87" s="20"/>
      <c r="G87" s="22"/>
      <c r="H87" s="22"/>
      <c r="I87" s="20"/>
      <c r="J87" s="306">
        <f>IFERROR(INDEX('Rev. summary'!$P$7:$P$17,MATCH(Compliance!C87,'Rev. summary'!$C$7:$C$17,0))*saamultiplier/IF(saaunits=Lookups!$G$30,INDEX('Total qty'!$O$8:$O$18,MATCH(Compliance!C87,'Total qty'!$C$8:$C$18,0))/consmultiplier,1),0)</f>
        <v>121.08100033978971</v>
      </c>
      <c r="K87" s="374"/>
      <c r="L87" s="306">
        <f>INDEX('Tariff costs'!$L$7:$Q$17,MATCH(C87,'Tariff costs'!$C$7:$C$17,0),MATCH(forecastyear,'Tariff costs'!$L$5:$Q$5,0))</f>
        <v>9.1433716740301474</v>
      </c>
      <c r="M87" s="374"/>
      <c r="N87" s="306">
        <f>INDEX('Tariff costs'!$L$21:$Q$31,MATCH(C87,'Tariff costs'!$C$21:$C$31,0),MATCH(forecastyear,'Tariff costs'!$L$19:$Q$19,0))</f>
        <v>1105.1242542968989</v>
      </c>
      <c r="O87" s="361"/>
      <c r="Q87" s="361"/>
      <c r="R87" s="19"/>
      <c r="S87" s="454" t="str">
        <f>IF(C87=0,0,IF(J87=0,0,IF(L87&lt;=J87,IF(J87&lt;=N87,"COMPLIANT","NON-COMPLIANT"),"NON-COMPLIANT")))</f>
        <v>COMPLIANT</v>
      </c>
      <c r="T87" s="19"/>
      <c r="U87" s="19"/>
      <c r="V87" s="19"/>
      <c r="W87" s="19"/>
      <c r="X87" s="19"/>
      <c r="Y87" s="19"/>
      <c r="Z87" s="19"/>
    </row>
    <row r="88" spans="1:26" x14ac:dyDescent="0.2">
      <c r="A88" s="19"/>
      <c r="B88" s="19"/>
      <c r="C88" s="438" t="str">
        <f>Tariffs!C8</f>
        <v>Small Business LV</v>
      </c>
      <c r="D88" s="512"/>
      <c r="E88" s="458" t="str">
        <f t="shared" si="6"/>
        <v>$millions</v>
      </c>
      <c r="F88" s="20"/>
      <c r="G88" s="22"/>
      <c r="H88" s="22"/>
      <c r="I88" s="20"/>
      <c r="J88" s="306">
        <f>IFERROR(INDEX('Rev. summary'!$P$7:$P$17,MATCH(Compliance!C88,'Rev. summary'!$C$7:$C$17,0))*saamultiplier/IF(saaunits=Lookups!$G$30,INDEX('Total qty'!$O$8:$O$18,MATCH(Compliance!C88,'Total qty'!$C$8:$C$18,0))/consmultiplier,1),0)</f>
        <v>60.650901070362487</v>
      </c>
      <c r="K88" s="374"/>
      <c r="L88" s="306">
        <f>INDEX('Tariff costs'!$L$7:$Q$17,MATCH(C88,'Tariff costs'!$C$7:$C$17,0),MATCH(forecastyear,'Tariff costs'!$L$5:$Q$5,0))</f>
        <v>3.3843366994141593</v>
      </c>
      <c r="M88" s="374"/>
      <c r="N88" s="306">
        <f>INDEX('Tariff costs'!$L$21:$Q$31,MATCH(C88,'Tariff costs'!$C$21:$C$31,0),MATCH(forecastyear,'Tariff costs'!$L$19:$Q$19,0))</f>
        <v>1318.5613958468566</v>
      </c>
      <c r="O88" s="361"/>
      <c r="Q88" s="361"/>
      <c r="R88" s="19"/>
      <c r="S88" s="454" t="str">
        <f t="shared" ref="S88:S97" si="7">IF(C88=0,0,IF(J88=0,0,IF(L88&lt;=J88,IF(J88&lt;=N88,"COMPLIANT","NON-COMPLIANT"),"NON-COMPLIANT")))</f>
        <v>COMPLIANT</v>
      </c>
      <c r="T88" s="19"/>
      <c r="U88" s="19"/>
      <c r="V88" s="19"/>
      <c r="W88" s="19"/>
      <c r="X88" s="19"/>
      <c r="Y88" s="19"/>
      <c r="Z88" s="19"/>
    </row>
    <row r="89" spans="1:26" x14ac:dyDescent="0.2">
      <c r="A89" s="19"/>
      <c r="B89" s="19"/>
      <c r="C89" s="438" t="str">
        <f>Tariffs!C9</f>
        <v>Large Business LV</v>
      </c>
      <c r="D89" s="512"/>
      <c r="E89" s="458" t="str">
        <f t="shared" si="6"/>
        <v>$millions</v>
      </c>
      <c r="F89" s="20"/>
      <c r="G89" s="22"/>
      <c r="H89" s="22"/>
      <c r="I89" s="20"/>
      <c r="J89" s="306">
        <f>IFERROR(INDEX('Rev. summary'!$P$7:$P$17,MATCH(Compliance!C89,'Rev. summary'!$C$7:$C$17,0))*saamultiplier/IF(saaunits=Lookups!$G$30,INDEX('Total qty'!$O$8:$O$18,MATCH(Compliance!C89,'Total qty'!$C$8:$C$18,0))/consmultiplier,1),0)</f>
        <v>14.889905497366902</v>
      </c>
      <c r="K89" s="374"/>
      <c r="L89" s="306">
        <f>INDEX('Tariff costs'!$L$7:$Q$17,MATCH(C89,'Tariff costs'!$C$7:$C$17,0),MATCH(forecastyear,'Tariff costs'!$L$5:$Q$5,0))</f>
        <v>1.2607189060080581</v>
      </c>
      <c r="M89" s="374"/>
      <c r="N89" s="306">
        <f>INDEX('Tariff costs'!$L$21:$Q$31,MATCH(C89,'Tariff costs'!$C$21:$C$31,0),MATCH(forecastyear,'Tariff costs'!$L$19:$Q$19,0))</f>
        <v>658.84924847972923</v>
      </c>
      <c r="O89" s="361"/>
      <c r="Q89" s="361"/>
      <c r="R89" s="19"/>
      <c r="S89" s="454" t="str">
        <f t="shared" si="7"/>
        <v>COMPLIANT</v>
      </c>
      <c r="T89" s="19"/>
      <c r="U89" s="19"/>
      <c r="V89" s="19"/>
      <c r="W89" s="19"/>
      <c r="X89" s="19"/>
      <c r="Y89" s="19"/>
      <c r="Z89" s="19"/>
    </row>
    <row r="90" spans="1:26" x14ac:dyDescent="0.2">
      <c r="A90" s="19"/>
      <c r="B90" s="19"/>
      <c r="C90" s="438" t="str">
        <f>Tariffs!C10</f>
        <v>Irrigation</v>
      </c>
      <c r="D90" s="512"/>
      <c r="E90" s="458" t="str">
        <f t="shared" si="6"/>
        <v>$millions</v>
      </c>
      <c r="F90" s="20"/>
      <c r="G90" s="22"/>
      <c r="H90" s="22"/>
      <c r="I90" s="20"/>
      <c r="J90" s="306">
        <f>IFERROR(INDEX('Rev. summary'!$P$7:$P$17,MATCH(Compliance!C90,'Rev. summary'!$C$7:$C$17,0))*saamultiplier/IF(saaunits=Lookups!$G$30,INDEX('Total qty'!$O$8:$O$18,MATCH(Compliance!C90,'Total qty'!$C$8:$C$18,0))/consmultiplier,1),0)</f>
        <v>7.8995566499676313</v>
      </c>
      <c r="K90" s="374"/>
      <c r="L90" s="306">
        <f>INDEX('Tariff costs'!$L$7:$Q$17,MATCH(C90,'Tariff costs'!$C$7:$C$17,0),MATCH(forecastyear,'Tariff costs'!$L$5:$Q$5,0))</f>
        <v>0.58878228457118675</v>
      </c>
      <c r="M90" s="374"/>
      <c r="N90" s="306">
        <f>INDEX('Tariff costs'!$L$21:$Q$31,MATCH(C90,'Tariff costs'!$C$21:$C$31,0),MATCH(forecastyear,'Tariff costs'!$L$19:$Q$19,0))</f>
        <v>219.78495880914491</v>
      </c>
      <c r="O90" s="361"/>
      <c r="Q90" s="361"/>
      <c r="R90" s="19"/>
      <c r="S90" s="454" t="str">
        <f t="shared" si="7"/>
        <v>COMPLIANT</v>
      </c>
      <c r="T90" s="19"/>
      <c r="U90" s="19"/>
      <c r="V90" s="19"/>
      <c r="W90" s="19"/>
      <c r="X90" s="19"/>
      <c r="Y90" s="19"/>
      <c r="Z90" s="19"/>
    </row>
    <row r="91" spans="1:26" x14ac:dyDescent="0.2">
      <c r="A91" s="19"/>
      <c r="B91" s="19"/>
      <c r="C91" s="438" t="str">
        <f>Tariffs!C11</f>
        <v>Large Business HV</v>
      </c>
      <c r="D91" s="512"/>
      <c r="E91" s="458" t="str">
        <f t="shared" si="6"/>
        <v>$millions</v>
      </c>
      <c r="F91" s="20"/>
      <c r="G91" s="22"/>
      <c r="H91" s="22"/>
      <c r="I91" s="20"/>
      <c r="J91" s="306">
        <f>IFERROR(INDEX('Rev. summary'!$P$7:$P$17,MATCH(Compliance!C91,'Rev. summary'!$C$7:$C$17,0))*saamultiplier/IF(saaunits=Lookups!$G$30,INDEX('Total qty'!$O$8:$O$18,MATCH(Compliance!C91,'Total qty'!$C$8:$C$18,0))/consmultiplier,1),0)</f>
        <v>7.5421503559610885</v>
      </c>
      <c r="K91" s="374"/>
      <c r="L91" s="306">
        <f>INDEX('Tariff costs'!$L$7:$Q$17,MATCH(C91,'Tariff costs'!$C$7:$C$17,0),MATCH(forecastyear,'Tariff costs'!$L$5:$Q$5,0))</f>
        <v>0.43006785138810577</v>
      </c>
      <c r="M91" s="374"/>
      <c r="N91" s="306">
        <f>INDEX('Tariff costs'!$L$21:$Q$31,MATCH(C91,'Tariff costs'!$C$21:$C$31,0),MATCH(forecastyear,'Tariff costs'!$L$19:$Q$19,0))</f>
        <v>658.01859742510931</v>
      </c>
      <c r="O91" s="361"/>
      <c r="Q91" s="361"/>
      <c r="R91" s="19"/>
      <c r="S91" s="454" t="str">
        <f t="shared" si="7"/>
        <v>COMPLIANT</v>
      </c>
      <c r="T91" s="19"/>
      <c r="U91" s="19"/>
      <c r="V91" s="19"/>
      <c r="W91" s="19"/>
      <c r="X91" s="19"/>
      <c r="Y91" s="19"/>
      <c r="Z91" s="19"/>
    </row>
    <row r="92" spans="1:26" x14ac:dyDescent="0.2">
      <c r="A92" s="19"/>
      <c r="B92" s="19"/>
      <c r="C92" s="438" t="str">
        <f>Tariffs!C12</f>
        <v>Uncontrolled energy</v>
      </c>
      <c r="D92" s="512"/>
      <c r="E92" s="458" t="str">
        <f t="shared" si="6"/>
        <v>$millions</v>
      </c>
      <c r="F92" s="20"/>
      <c r="G92" s="22"/>
      <c r="H92" s="22"/>
      <c r="I92" s="20"/>
      <c r="J92" s="306">
        <f>IFERROR(INDEX('Rev. summary'!$P$7:$P$17,MATCH(Compliance!C92,'Rev. summary'!$C$7:$C$17,0))*saamultiplier/IF(saaunits=Lookups!$G$30,INDEX('Total qty'!$O$8:$O$18,MATCH(Compliance!C92,'Total qty'!$C$8:$C$18,0))/consmultiplier,1),0)</f>
        <v>38.266316198077284</v>
      </c>
      <c r="K92" s="374"/>
      <c r="L92" s="306">
        <f>INDEX('Tariff costs'!$L$7:$Q$17,MATCH(C92,'Tariff costs'!$C$7:$C$17,0),MATCH(forecastyear,'Tariff costs'!$L$5:$Q$5,0))</f>
        <v>0</v>
      </c>
      <c r="M92" s="374"/>
      <c r="N92" s="306">
        <f>INDEX('Tariff costs'!$L$21:$Q$31,MATCH(C92,'Tariff costs'!$C$21:$C$31,0),MATCH(forecastyear,'Tariff costs'!$L$19:$Q$19,0))</f>
        <v>219.1961765245737</v>
      </c>
      <c r="O92" s="361"/>
      <c r="Q92" s="361"/>
      <c r="R92" s="19"/>
      <c r="S92" s="454" t="str">
        <f t="shared" si="7"/>
        <v>COMPLIANT</v>
      </c>
      <c r="T92" s="19"/>
      <c r="U92" s="19"/>
      <c r="V92" s="19"/>
      <c r="W92" s="19"/>
      <c r="X92" s="19"/>
      <c r="Y92" s="19"/>
      <c r="Z92" s="19"/>
    </row>
    <row r="93" spans="1:26" x14ac:dyDescent="0.2">
      <c r="A93" s="19"/>
      <c r="B93" s="19"/>
      <c r="C93" s="438" t="str">
        <f>Tariffs!C13</f>
        <v>Controlled energy</v>
      </c>
      <c r="D93" s="512"/>
      <c r="E93" s="458" t="str">
        <f t="shared" si="6"/>
        <v>$millions</v>
      </c>
      <c r="F93" s="20"/>
      <c r="G93" s="22"/>
      <c r="H93" s="22"/>
      <c r="I93" s="20"/>
      <c r="J93" s="306">
        <f>IFERROR(INDEX('Rev. summary'!$P$7:$P$17,MATCH(Compliance!C93,'Rev. summary'!$C$7:$C$17,0))*saamultiplier/IF(saaunits=Lookups!$G$30,INDEX('Total qty'!$O$8:$O$18,MATCH(Compliance!C93,'Total qty'!$C$8:$C$18,0))/consmultiplier,1),0)</f>
        <v>1.27983897711229</v>
      </c>
      <c r="K93" s="374"/>
      <c r="L93" s="306">
        <f>INDEX('Tariff costs'!$L$7:$Q$17,MATCH(C93,'Tariff costs'!$C$7:$C$17,0),MATCH(forecastyear,'Tariff costs'!$L$5:$Q$5,0))</f>
        <v>0</v>
      </c>
      <c r="M93" s="374"/>
      <c r="N93" s="306">
        <f>INDEX('Tariff costs'!$L$21:$Q$31,MATCH(C93,'Tariff costs'!$C$21:$C$31,0),MATCH(forecastyear,'Tariff costs'!$L$19:$Q$19,0))</f>
        <v>438.3923530491474</v>
      </c>
      <c r="O93" s="361"/>
      <c r="Q93" s="361"/>
      <c r="R93" s="19"/>
      <c r="S93" s="454" t="str">
        <f t="shared" si="7"/>
        <v>COMPLIANT</v>
      </c>
      <c r="T93" s="19"/>
      <c r="U93" s="19"/>
      <c r="V93" s="19"/>
      <c r="W93" s="19"/>
      <c r="X93" s="19"/>
      <c r="Y93" s="19"/>
      <c r="Z93" s="19"/>
    </row>
    <row r="94" spans="1:26" x14ac:dyDescent="0.2">
      <c r="A94" s="19"/>
      <c r="B94" s="19"/>
      <c r="C94" s="438" t="str">
        <f>Tariffs!C14</f>
        <v>Unmetered supplies</v>
      </c>
      <c r="D94" s="512"/>
      <c r="E94" s="458" t="str">
        <f t="shared" si="6"/>
        <v>$millions</v>
      </c>
      <c r="F94" s="20"/>
      <c r="G94" s="22"/>
      <c r="H94" s="22"/>
      <c r="I94" s="20"/>
      <c r="J94" s="306">
        <f>IFERROR(INDEX('Rev. summary'!$P$7:$P$17,MATCH(Compliance!C94,'Rev. summary'!$C$7:$C$17,0))*saamultiplier/IF(saaunits=Lookups!$G$30,INDEX('Total qty'!$O$8:$O$18,MATCH(Compliance!C94,'Total qty'!$C$8:$C$18,0))/consmultiplier,1),0)</f>
        <v>0.89914586951200737</v>
      </c>
      <c r="K94" s="374"/>
      <c r="L94" s="306">
        <f>INDEX('Tariff costs'!$L$7:$Q$17,MATCH(C94,'Tariff costs'!$C$7:$C$17,0),MATCH(forecastyear,'Tariff costs'!$L$5:$Q$5,0))</f>
        <v>4.0789551640790143E-2</v>
      </c>
      <c r="M94" s="374"/>
      <c r="N94" s="306">
        <f>INDEX('Tariff costs'!$L$21:$Q$31,MATCH(C94,'Tariff costs'!$C$21:$C$31,0),MATCH(forecastyear,'Tariff costs'!$L$19:$Q$19,0))</f>
        <v>219.23696607621449</v>
      </c>
      <c r="O94" s="361"/>
      <c r="Q94" s="361"/>
      <c r="R94" s="19"/>
      <c r="S94" s="454" t="str">
        <f t="shared" si="7"/>
        <v>COMPLIANT</v>
      </c>
      <c r="T94" s="19"/>
      <c r="U94" s="19"/>
      <c r="V94" s="19"/>
      <c r="W94" s="19"/>
      <c r="X94" s="19"/>
      <c r="Y94" s="19"/>
      <c r="Z94" s="19"/>
    </row>
    <row r="95" spans="1:26" x14ac:dyDescent="0.2">
      <c r="A95" s="19"/>
      <c r="B95" s="19"/>
      <c r="C95" s="438" t="str">
        <f>Tariffs!C15</f>
        <v>Street lighting</v>
      </c>
      <c r="D95" s="512"/>
      <c r="E95" s="458" t="str">
        <f t="shared" si="6"/>
        <v>$millions</v>
      </c>
      <c r="F95" s="20"/>
      <c r="G95" s="22"/>
      <c r="H95" s="22"/>
      <c r="I95" s="20"/>
      <c r="J95" s="306">
        <f>IFERROR(INDEX('Rev. summary'!$P$7:$P$17,MATCH(Compliance!C95,'Rev. summary'!$C$7:$C$17,0))*saamultiplier/IF(saaunits=Lookups!$G$30,INDEX('Total qty'!$O$8:$O$18,MATCH(Compliance!C95,'Total qty'!$C$8:$C$18,0))/consmultiplier,1),0)</f>
        <v>1.1120561369067714</v>
      </c>
      <c r="K95" s="374"/>
      <c r="L95" s="306">
        <f>INDEX('Tariff costs'!$L$7:$Q$17,MATCH(C95,'Tariff costs'!$C$7:$C$17,0),MATCH(forecastyear,'Tariff costs'!$L$5:$Q$5,0))</f>
        <v>9.2016475227335054E-2</v>
      </c>
      <c r="M95" s="374"/>
      <c r="N95" s="306">
        <f>INDEX('Tariff costs'!$L$21:$Q$31,MATCH(C95,'Tariff costs'!$C$21:$C$31,0),MATCH(forecastyear,'Tariff costs'!$L$19:$Q$19,0))</f>
        <v>219.28819299980103</v>
      </c>
      <c r="O95" s="361"/>
      <c r="Q95" s="361"/>
      <c r="R95" s="19"/>
      <c r="S95" s="454" t="str">
        <f t="shared" si="7"/>
        <v>COMPLIANT</v>
      </c>
      <c r="T95" s="19"/>
      <c r="U95" s="19"/>
      <c r="V95" s="19"/>
      <c r="W95" s="19"/>
      <c r="X95" s="19"/>
      <c r="Y95" s="19"/>
      <c r="Z95" s="19"/>
    </row>
    <row r="96" spans="1:26" x14ac:dyDescent="0.2">
      <c r="A96" s="19"/>
      <c r="B96" s="19"/>
      <c r="C96" s="438" t="str">
        <f>Tariffs!C16</f>
        <v>ITC</v>
      </c>
      <c r="D96" s="512"/>
      <c r="E96" s="458" t="str">
        <f t="shared" si="6"/>
        <v>$millions</v>
      </c>
      <c r="F96" s="20"/>
      <c r="G96" s="22"/>
      <c r="H96" s="22"/>
      <c r="I96" s="20"/>
      <c r="J96" s="306">
        <f>IFERROR(INDEX('Rev. summary'!$P$7:$P$17,MATCH(Compliance!C96,'Rev. summary'!$C$7:$C$17,0))*saamultiplier/IF(saaunits=Lookups!$G$30,INDEX('Total qty'!$O$8:$O$18,MATCH(Compliance!C96,'Total qty'!$C$8:$C$18,0))/consmultiplier,1),0)</f>
        <v>2.1968218274795355</v>
      </c>
      <c r="K96" s="374"/>
      <c r="L96" s="306">
        <f>INDEX('Tariff costs'!$L$7:$Q$17,MATCH(C96,'Tariff costs'!$C$7:$C$17,0),MATCH(forecastyear,'Tariff costs'!$L$5:$Q$5,0))</f>
        <v>4.1176381864158437E-2</v>
      </c>
      <c r="M96" s="374"/>
      <c r="N96" s="306">
        <f>INDEX('Tariff costs'!$L$21:$Q$31,MATCH(C96,'Tariff costs'!$C$21:$C$31,0),MATCH(forecastyear,'Tariff costs'!$L$19:$Q$19,0))</f>
        <v>219.23735290643788</v>
      </c>
      <c r="O96" s="361"/>
      <c r="Q96" s="361"/>
      <c r="R96" s="19"/>
      <c r="S96" s="454" t="str">
        <f t="shared" si="7"/>
        <v>COMPLIANT</v>
      </c>
      <c r="T96" s="19"/>
      <c r="U96" s="19"/>
      <c r="V96" s="19"/>
      <c r="W96" s="19"/>
      <c r="X96" s="19"/>
      <c r="Y96" s="19"/>
      <c r="Z96" s="19"/>
    </row>
    <row r="97" spans="1:26" x14ac:dyDescent="0.2">
      <c r="A97" s="19"/>
      <c r="B97" s="19"/>
      <c r="C97" s="438">
        <f>Tariffs!C17</f>
        <v>0</v>
      </c>
      <c r="D97" s="512"/>
      <c r="E97" s="458">
        <f t="shared" si="6"/>
        <v>0</v>
      </c>
      <c r="F97" s="20"/>
      <c r="G97" s="22"/>
      <c r="H97" s="22"/>
      <c r="I97" s="20"/>
      <c r="J97" s="306">
        <f>IFERROR(INDEX('Rev. summary'!$P$7:$P$17,MATCH(Compliance!C97,'Rev. summary'!$C$7:$C$17,0))*saamultiplier/IF(saaunits=Lookups!$G$30,INDEX('Total qty'!$O$8:$O$18,MATCH(Compliance!C97,'Total qty'!$C$8:$C$18,0))/consmultiplier,1),0)</f>
        <v>0</v>
      </c>
      <c r="K97" s="374"/>
      <c r="L97" s="306">
        <f>INDEX('Tariff costs'!$L$7:$Q$17,MATCH(C97,'Tariff costs'!$C$7:$C$17,0),MATCH(forecastyear,'Tariff costs'!$L$5:$Q$5,0))</f>
        <v>0</v>
      </c>
      <c r="M97" s="374"/>
      <c r="N97" s="306">
        <f>INDEX('Tariff costs'!$L$21:$Q$31,MATCH(C97,'Tariff costs'!$C$21:$C$31,0),MATCH(forecastyear,'Tariff costs'!$L$19:$Q$19,0))</f>
        <v>0</v>
      </c>
      <c r="O97" s="361"/>
      <c r="Q97" s="361"/>
      <c r="R97" s="19"/>
      <c r="S97" s="454">
        <f t="shared" si="7"/>
        <v>0</v>
      </c>
      <c r="T97" s="19"/>
      <c r="U97" s="19"/>
      <c r="V97" s="19"/>
      <c r="W97" s="19"/>
      <c r="X97" s="19"/>
      <c r="Y97" s="19"/>
      <c r="Z97" s="19"/>
    </row>
    <row r="98" spans="1:26" x14ac:dyDescent="0.2">
      <c r="A98" s="19"/>
      <c r="B98" s="19"/>
      <c r="C98" s="51"/>
      <c r="D98" s="20"/>
      <c r="E98" s="20"/>
      <c r="F98" s="20"/>
      <c r="G98" s="22"/>
      <c r="H98" s="22"/>
      <c r="I98" s="20"/>
      <c r="J98" s="20"/>
      <c r="K98" s="20"/>
      <c r="L98" s="20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2.75" x14ac:dyDescent="0.2">
      <c r="A99" s="11"/>
      <c r="B99" s="12" t="s">
        <v>8</v>
      </c>
      <c r="C99" s="11"/>
      <c r="D99" s="11"/>
      <c r="E99" s="11"/>
      <c r="F99" s="13"/>
      <c r="G99" s="13"/>
      <c r="H99" s="13"/>
      <c r="I99" s="13"/>
      <c r="J99" s="13"/>
      <c r="K99" s="13"/>
      <c r="L99" s="13"/>
      <c r="M99" s="14"/>
      <c r="N99" s="15"/>
      <c r="O99" s="14"/>
      <c r="P99" s="15"/>
      <c r="Q99" s="14"/>
      <c r="R99" s="14"/>
      <c r="S99" s="14"/>
      <c r="T99" s="15"/>
      <c r="U99" s="15"/>
      <c r="V99" s="15"/>
      <c r="W99" s="15"/>
      <c r="X99" s="15"/>
      <c r="Y99" s="15"/>
      <c r="Z99" s="15"/>
    </row>
  </sheetData>
  <sheetProtection formatColumns="0" formatRows="0"/>
  <conditionalFormatting sqref="J12:Q12">
    <cfRule type="cellIs" dxfId="50" priority="43" operator="equal">
      <formula>"NON-COMPLIANT"</formula>
    </cfRule>
    <cfRule type="cellIs" dxfId="49" priority="44" operator="equal">
      <formula>"COMPLIANT"</formula>
    </cfRule>
  </conditionalFormatting>
  <conditionalFormatting sqref="J19:Q19">
    <cfRule type="cellIs" dxfId="48" priority="41" operator="equal">
      <formula>"NON-COMPLIANT"</formula>
    </cfRule>
    <cfRule type="cellIs" dxfId="47" priority="42" operator="equal">
      <formula>"COMPLIANT"</formula>
    </cfRule>
  </conditionalFormatting>
  <conditionalFormatting sqref="J25:Q25">
    <cfRule type="cellIs" dxfId="46" priority="39" operator="equal">
      <formula>"NON-COMPLIANT"</formula>
    </cfRule>
    <cfRule type="cellIs" dxfId="45" priority="40" operator="equal">
      <formula>"COMPLIANT"</formula>
    </cfRule>
  </conditionalFormatting>
  <conditionalFormatting sqref="J29:Q29">
    <cfRule type="cellIs" dxfId="44" priority="37" operator="equal">
      <formula>"NON-COMPLIANT"</formula>
    </cfRule>
    <cfRule type="cellIs" dxfId="43" priority="38" operator="equal">
      <formula>"COMPLIANT"</formula>
    </cfRule>
  </conditionalFormatting>
  <conditionalFormatting sqref="J63:Q83">
    <cfRule type="expression" dxfId="42" priority="35">
      <formula>J63&gt;$F63</formula>
    </cfRule>
  </conditionalFormatting>
  <conditionalFormatting sqref="S87:S97">
    <cfRule type="cellIs" dxfId="41" priority="33" operator="equal">
      <formula>"NON-COMPLIANT"</formula>
    </cfRule>
    <cfRule type="cellIs" dxfId="40" priority="34" operator="equal">
      <formula>"COMPLIANT"</formula>
    </cfRule>
  </conditionalFormatting>
  <conditionalFormatting sqref="S33:S36">
    <cfRule type="cellIs" dxfId="39" priority="23" operator="equal">
      <formula>"NON-COMPLIANT"</formula>
    </cfRule>
    <cfRule type="cellIs" dxfId="38" priority="24" operator="equal">
      <formula>"COMPLIANT"</formula>
    </cfRule>
  </conditionalFormatting>
  <conditionalFormatting sqref="U40:Z60">
    <cfRule type="cellIs" dxfId="37" priority="21" operator="equal">
      <formula>"Check"</formula>
    </cfRule>
    <cfRule type="cellIs" dxfId="36" priority="22" operator="equal">
      <formula>"Ok"</formula>
    </cfRule>
  </conditionalFormatting>
  <conditionalFormatting sqref="P60 S40:S52">
    <cfRule type="cellIs" dxfId="35" priority="19" operator="equal">
      <formula>"NON-COMPLIANT"</formula>
    </cfRule>
    <cfRule type="cellIs" dxfId="34" priority="20" operator="equal">
      <formula>"COMPLIANT"</formula>
    </cfRule>
  </conditionalFormatting>
  <conditionalFormatting sqref="S53:S59">
    <cfRule type="cellIs" dxfId="33" priority="17" operator="equal">
      <formula>"NON-COMPLIANT"</formula>
    </cfRule>
    <cfRule type="cellIs" dxfId="32" priority="18" operator="equal">
      <formula>"COMPLIANT"</formula>
    </cfRule>
  </conditionalFormatting>
  <conditionalFormatting sqref="S40:S59">
    <cfRule type="cellIs" dxfId="31" priority="15" operator="equal">
      <formula>"NON-COMPLIANT"</formula>
    </cfRule>
    <cfRule type="cellIs" dxfId="30" priority="16" operator="equal">
      <formula>"COMPLIANT"</formula>
    </cfRule>
  </conditionalFormatting>
  <conditionalFormatting sqref="S12">
    <cfRule type="cellIs" dxfId="29" priority="13" operator="equal">
      <formula>"NON-COMPLIANT"</formula>
    </cfRule>
    <cfRule type="cellIs" dxfId="28" priority="14" operator="equal">
      <formula>"COMPLIANT"</formula>
    </cfRule>
  </conditionalFormatting>
  <conditionalFormatting sqref="S19">
    <cfRule type="cellIs" dxfId="27" priority="11" operator="equal">
      <formula>"NON-COMPLIANT"</formula>
    </cfRule>
    <cfRule type="cellIs" dxfId="26" priority="12" operator="equal">
      <formula>"COMPLIANT"</formula>
    </cfRule>
  </conditionalFormatting>
  <conditionalFormatting sqref="S25">
    <cfRule type="cellIs" dxfId="25" priority="9" operator="equal">
      <formula>"NON-COMPLIANT"</formula>
    </cfRule>
    <cfRule type="cellIs" dxfId="24" priority="10" operator="equal">
      <formula>"COMPLIANT"</formula>
    </cfRule>
  </conditionalFormatting>
  <conditionalFormatting sqref="S29">
    <cfRule type="cellIs" dxfId="23" priority="7" operator="equal">
      <formula>"NON-COMPLIANT"</formula>
    </cfRule>
    <cfRule type="cellIs" dxfId="22" priority="8" operator="equal">
      <formula>"COMPLIANT"</formula>
    </cfRule>
  </conditionalFormatting>
  <conditionalFormatting sqref="S63:S83">
    <cfRule type="cellIs" dxfId="21" priority="5" operator="equal">
      <formula>"NON-COMPLIANT"</formula>
    </cfRule>
    <cfRule type="cellIs" dxfId="20" priority="6" operator="equal">
      <formula>"COMPLIANT"</formula>
    </cfRule>
  </conditionalFormatting>
  <conditionalFormatting sqref="S2">
    <cfRule type="cellIs" dxfId="19" priority="3" operator="equal">
      <formula>"NON-COMPLIANT"</formula>
    </cfRule>
    <cfRule type="cellIs" dxfId="18" priority="4" operator="equal">
      <formula>"COMPLIANT"</formula>
    </cfRule>
  </conditionalFormatting>
  <conditionalFormatting sqref="M1:Q30">
    <cfRule type="expression" dxfId="17" priority="2">
      <formula>M$5=forecastyear</formula>
    </cfRule>
  </conditionalFormatting>
  <conditionalFormatting sqref="M61:Q84">
    <cfRule type="expression" dxfId="16" priority="1">
      <formula>M$5=forecastyear</formula>
    </cfRule>
  </conditionalFormatting>
  <hyperlinks>
    <hyperlink ref="J1" location="'Pricing model'!A51" display="Back to Index" xr:uid="{00000000-0004-0000-0300-000000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300-000000000000}">
          <x14:formula1>
            <xm:f>Lookups!$G$9:$G$16</xm:f>
          </x14:formula1>
          <xm:sqref>E40:E60 E63:E84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9">
    <tabColor theme="7" tint="0.79998168889431442"/>
  </sheetPr>
  <dimension ref="A1:AS190"/>
  <sheetViews>
    <sheetView showGridLines="0" topLeftCell="A23" zoomScaleNormal="100" workbookViewId="0">
      <selection activeCell="A88" sqref="A88:AD189"/>
    </sheetView>
  </sheetViews>
  <sheetFormatPr defaultColWidth="0" defaultRowHeight="11.25" zeroHeight="1" outlineLevelRow="2" outlineLevelCol="1" x14ac:dyDescent="0.2"/>
  <cols>
    <col min="1" max="2" width="1.42578125" style="18" customWidth="1"/>
    <col min="3" max="3" width="46" style="18" customWidth="1"/>
    <col min="4" max="4" width="16.85546875" style="18" customWidth="1"/>
    <col min="5" max="5" width="12.85546875" style="18" customWidth="1"/>
    <col min="6" max="6" width="15.85546875" style="18" customWidth="1"/>
    <col min="7" max="7" width="16.140625" style="18" hidden="1" customWidth="1"/>
    <col min="8" max="8" width="7.140625" style="111" customWidth="1"/>
    <col min="9" max="21" width="10.28515625" style="18" customWidth="1"/>
    <col min="22" max="22" width="9.28515625" style="18" customWidth="1"/>
    <col min="23" max="28" width="9.28515625" style="18" hidden="1" customWidth="1" outlineLevel="1"/>
    <col min="29" max="29" width="111.85546875" style="18" customWidth="1" collapsed="1"/>
    <col min="30" max="30" width="2.42578125" style="18" customWidth="1"/>
    <col min="31" max="33" width="8" style="18" hidden="1" customWidth="1"/>
    <col min="34" max="43" width="9.28515625" style="18" hidden="1" customWidth="1"/>
    <col min="44" max="45" width="0" style="18" hidden="1" customWidth="1"/>
    <col min="46" max="16384" width="8" style="18" hidden="1"/>
  </cols>
  <sheetData>
    <row r="1" spans="1:33" ht="15.75" x14ac:dyDescent="0.25">
      <c r="A1" s="1"/>
      <c r="B1" s="2" t="str">
        <f>'Outputs&gt;&gt;'!B1</f>
        <v>AER pricing model - TasNetworks 2022–23</v>
      </c>
      <c r="C1" s="2"/>
      <c r="D1" s="2"/>
      <c r="E1" s="2"/>
      <c r="F1" s="2"/>
      <c r="G1" s="3"/>
      <c r="H1" s="328"/>
      <c r="I1" s="160" t="s">
        <v>0</v>
      </c>
      <c r="J1" s="111"/>
      <c r="K1" s="112"/>
      <c r="L1" s="112"/>
      <c r="M1" s="51"/>
      <c r="P1" s="111"/>
      <c r="Q1" s="113"/>
      <c r="S1" s="114"/>
      <c r="T1" s="113"/>
      <c r="U1" s="5"/>
      <c r="V1" s="3"/>
      <c r="W1" s="3"/>
      <c r="X1" s="3"/>
      <c r="Y1" s="5"/>
      <c r="Z1" s="5"/>
      <c r="AA1" s="5"/>
      <c r="AB1" s="5"/>
      <c r="AC1" s="5"/>
      <c r="AD1" s="1"/>
    </row>
    <row r="2" spans="1:33" ht="13.5" thickBot="1" x14ac:dyDescent="0.25">
      <c r="A2" s="6"/>
      <c r="B2" s="7" t="str">
        <f>'Outputs&gt;&gt;'!C9</f>
        <v>Price comparisons</v>
      </c>
      <c r="C2" s="7"/>
      <c r="D2" s="7"/>
      <c r="E2" s="7"/>
      <c r="F2" s="7"/>
      <c r="G2" s="8"/>
      <c r="H2" s="329"/>
      <c r="I2" s="8"/>
      <c r="J2" s="8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3" x14ac:dyDescent="0.2">
      <c r="A3" s="27"/>
      <c r="B3" s="296" t="str">
        <f>'Outputs&gt;&gt;'!D9</f>
        <v>Compliance checks of proposed prices against relevant indicative prices from previous indicative schedule</v>
      </c>
      <c r="C3" s="27"/>
      <c r="D3" s="28"/>
      <c r="E3" s="28"/>
      <c r="F3" s="28"/>
      <c r="G3" s="28"/>
      <c r="H3" s="330"/>
      <c r="I3" s="28"/>
      <c r="J3" s="28"/>
      <c r="K3" s="29"/>
      <c r="L3" s="30"/>
      <c r="M3" s="30"/>
      <c r="N3" s="30"/>
      <c r="O3" s="30"/>
      <c r="P3" s="30"/>
      <c r="Q3" s="30"/>
      <c r="R3" s="30"/>
      <c r="S3" s="30"/>
      <c r="T3" s="30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3" x14ac:dyDescent="0.2">
      <c r="A4" s="9"/>
      <c r="B4" s="9"/>
      <c r="C4" s="9"/>
      <c r="D4" s="10"/>
      <c r="E4" s="10"/>
      <c r="F4" s="10"/>
      <c r="G4" s="10"/>
      <c r="H4" s="331"/>
      <c r="I4" s="10"/>
      <c r="J4" s="10"/>
      <c r="K4" s="50"/>
      <c r="L4" s="50"/>
      <c r="M4" s="50"/>
      <c r="N4" s="50"/>
      <c r="O4" s="50"/>
      <c r="P4" s="50"/>
      <c r="Q4" s="50"/>
      <c r="R4" s="50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</row>
    <row r="5" spans="1:33" ht="37.5" customHeight="1" x14ac:dyDescent="0.2">
      <c r="A5" s="11"/>
      <c r="B5" s="12" t="str">
        <f>"Compliance table 6 | Comparison to indicative "&amp;forecastyear&amp;" prices"</f>
        <v>Compliance table 6 | Comparison to indicative 2022–23 prices</v>
      </c>
      <c r="C5" s="11"/>
      <c r="D5" s="32"/>
      <c r="E5" s="32" t="str">
        <f>tariffid1</f>
        <v>Code</v>
      </c>
      <c r="F5" s="32" t="str">
        <f>tariffid2</f>
        <v>Trans. Node</v>
      </c>
      <c r="G5" s="33" t="str">
        <f>tariffid3</f>
        <v>Other identifier</v>
      </c>
      <c r="H5" s="63"/>
      <c r="I5" s="597" t="str">
        <f>'Prop. prices'!I5</f>
        <v>Service</v>
      </c>
      <c r="J5" s="597" t="str">
        <f>'Prop. prices'!J5</f>
        <v>All energy</v>
      </c>
      <c r="K5" s="597" t="str">
        <f>'Prop. prices'!K5</f>
        <v>Peak energy</v>
      </c>
      <c r="L5" s="597" t="str">
        <f>'Prop. prices'!L5</f>
        <v>Shoulder energy</v>
      </c>
      <c r="M5" s="597" t="str">
        <f>'Prop. prices'!M5</f>
        <v>Off-peak energy</v>
      </c>
      <c r="N5" s="597" t="str">
        <f>'Prop. prices'!N5</f>
        <v>All demand</v>
      </c>
      <c r="O5" s="597" t="str">
        <f>'Prop. prices'!O5</f>
        <v>Peak demand</v>
      </c>
      <c r="P5" s="597" t="str">
        <f>'Prop. prices'!P5</f>
        <v>Off-peak demand</v>
      </c>
      <c r="Q5" s="597" t="str">
        <f>'Prop. prices'!Q5</f>
        <v>Specified demand</v>
      </c>
      <c r="R5" s="597" t="str">
        <f>'Prop. prices'!R5</f>
        <v>Excess daily demand</v>
      </c>
      <c r="S5" s="597" t="str">
        <f>'Prop. prices'!S5</f>
        <v>Daily demand connection</v>
      </c>
      <c r="T5" s="597" t="str">
        <f>'Prop. prices'!T5</f>
        <v>Excess daily demand connection</v>
      </c>
      <c r="U5" s="597" t="str">
        <f>'Prop. prices'!U5</f>
        <v>All demand (lamps)</v>
      </c>
      <c r="V5" s="169">
        <f>'Prop. prices'!V5</f>
        <v>0</v>
      </c>
      <c r="W5" s="169">
        <f>'Prop. prices'!W5</f>
        <v>0</v>
      </c>
      <c r="X5" s="169">
        <f>'Prop. prices'!X5</f>
        <v>0</v>
      </c>
      <c r="Y5" s="169">
        <f>'Prop. prices'!Y5</f>
        <v>0</v>
      </c>
      <c r="Z5" s="169">
        <f>'Prop. prices'!Z5</f>
        <v>0</v>
      </c>
      <c r="AA5" s="169">
        <f>'Prop. prices'!AA5</f>
        <v>0</v>
      </c>
      <c r="AB5" s="169">
        <f>'Prop. prices'!AB5</f>
        <v>0</v>
      </c>
      <c r="AC5" s="340" t="s">
        <v>14</v>
      </c>
      <c r="AD5" s="15"/>
      <c r="AE5" s="15"/>
      <c r="AF5" s="15"/>
      <c r="AG5" s="15"/>
    </row>
    <row r="6" spans="1:33" outlineLevel="1" x14ac:dyDescent="0.2">
      <c r="A6" s="19"/>
      <c r="B6" s="19"/>
      <c r="C6" s="36"/>
      <c r="D6" s="20"/>
      <c r="E6" s="20"/>
      <c r="F6" s="20"/>
      <c r="G6" s="22"/>
      <c r="H6" s="332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9"/>
      <c r="AD6" s="19"/>
      <c r="AE6" s="19"/>
      <c r="AF6" s="19"/>
      <c r="AG6" s="19"/>
    </row>
    <row r="7" spans="1:33" outlineLevel="1" x14ac:dyDescent="0.2">
      <c r="A7" s="19"/>
      <c r="B7" s="19"/>
      <c r="C7" s="167" t="s">
        <v>338</v>
      </c>
      <c r="D7" s="20"/>
      <c r="E7" s="20"/>
      <c r="F7" s="20"/>
      <c r="G7" s="22"/>
      <c r="H7" s="332"/>
      <c r="I7" s="327">
        <f>IF(forecastyear=RCP_firstyear,ROW('Indicative prices'!I8),IF(forecastyear=RCP_secondyear,ROW('Indicative prices'!I86),IF(forecastyear=RCP_thirdyear,ROW('Indicative prices'!I164),IF(forecastyear=RCP_fourthyear,ROW('Indicative prices'!I242),IF(forecastyear=RCP_lastyear,ROW('Indicative prices'!I320),"")))))</f>
        <v>242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19"/>
      <c r="AD7" s="19"/>
      <c r="AE7" s="19"/>
      <c r="AF7" s="19"/>
      <c r="AG7" s="19"/>
    </row>
    <row r="8" spans="1:33" outlineLevel="1" x14ac:dyDescent="0.2">
      <c r="A8" s="19"/>
      <c r="B8" s="19"/>
      <c r="C8" s="506" t="str">
        <f>Qty!C8</f>
        <v>Residential time of use consumption</v>
      </c>
      <c r="D8" s="505" t="str">
        <f>Qty!D8</f>
        <v>Residential</v>
      </c>
      <c r="E8" s="505" t="str">
        <f>Qty!E8</f>
        <v>TAS93</v>
      </c>
      <c r="F8" s="505">
        <f>Qty!F8</f>
        <v>0</v>
      </c>
      <c r="G8" s="505">
        <f>Qty!G8</f>
        <v>0</v>
      </c>
      <c r="H8" s="333">
        <v>0</v>
      </c>
      <c r="I8" s="219" cm="1">
        <f t="array" ref="I8">IFERROR(('Tariff schedule'!I19/INDEX('Indicative prices'!I$1:I$916,'Price comparisons'!$I$7+$H8))-1,0)</f>
        <v>0</v>
      </c>
      <c r="J8" s="219" cm="1">
        <f t="array" ref="J8">IFERROR(('Tariff schedule'!J19/INDEX('Indicative prices'!J$1:J$916,'Price comparisons'!$I$7+$H8))-1,0)</f>
        <v>0</v>
      </c>
      <c r="K8" s="219" cm="1">
        <f t="array" ref="K8">IFERROR(('Tariff schedule'!K19/INDEX('Indicative prices'!K$1:K$916,'Price comparisons'!$I$7+$H8))-1,0)</f>
        <v>-5.7744477457692733E-2</v>
      </c>
      <c r="L8" s="219" cm="1">
        <f t="array" ref="L8">IFERROR(('Tariff schedule'!L19/INDEX('Indicative prices'!L$1:L$916,'Price comparisons'!$I$7+$H8))-1,0)</f>
        <v>0</v>
      </c>
      <c r="M8" s="219" cm="1">
        <f t="array" ref="M8">IFERROR(('Tariff schedule'!M19/INDEX('Indicative prices'!M$1:M$916,'Price comparisons'!$I$7+$H8))-1,0)</f>
        <v>-5.8120762027768835E-2</v>
      </c>
      <c r="N8" s="219" cm="1">
        <f t="array" ref="N8">IFERROR(('Tariff schedule'!N19/INDEX('Indicative prices'!N$1:N$916,'Price comparisons'!$I$7+$H8))-1,0)</f>
        <v>0</v>
      </c>
      <c r="O8" s="219" cm="1">
        <f t="array" ref="O8">IFERROR(('Tariff schedule'!O19/INDEX('Indicative prices'!O$1:O$916,'Price comparisons'!$I$7+$H8))-1,0)</f>
        <v>0</v>
      </c>
      <c r="P8" s="219" cm="1">
        <f t="array" ref="P8">IFERROR(('Tariff schedule'!P19/INDEX('Indicative prices'!P$1:P$916,'Price comparisons'!$I$7+$H8))-1,0)</f>
        <v>0</v>
      </c>
      <c r="Q8" s="219" cm="1">
        <f t="array" ref="Q8">IFERROR(('Tariff schedule'!Q19/INDEX('Indicative prices'!Q$1:Q$916,'Price comparisons'!$I$7+$H8))-1,0)</f>
        <v>0</v>
      </c>
      <c r="R8" s="219" cm="1">
        <f t="array" ref="R8">IFERROR(('Tariff schedule'!R19/INDEX('Indicative prices'!R$1:R$916,'Price comparisons'!$I$7+$H8))-1,0)</f>
        <v>0</v>
      </c>
      <c r="S8" s="219" cm="1">
        <f t="array" ref="S8">IFERROR(('Tariff schedule'!S19/INDEX('Indicative prices'!S$1:S$916,'Price comparisons'!$I$7+$H8))-1,0)</f>
        <v>0</v>
      </c>
      <c r="T8" s="219" cm="1">
        <f t="array" ref="T8">IFERROR(('Tariff schedule'!T19/INDEX('Indicative prices'!T$1:T$916,'Price comparisons'!$I$7+$H8))-1,0)</f>
        <v>0</v>
      </c>
      <c r="U8" s="219" cm="1">
        <f t="array" ref="U8">IFERROR(('Tariff schedule'!U19/INDEX('Indicative prices'!U$1:U$916,'Price comparisons'!$I$7+$H8))-1,0)</f>
        <v>0</v>
      </c>
      <c r="V8" s="219" cm="1">
        <f t="array" ref="V8">IFERROR(('Tariff schedule'!V19/INDEX('Indicative prices'!V$1:V$916,'Price comparisons'!$I$7+$H8))-1,0)</f>
        <v>0</v>
      </c>
      <c r="W8" s="219" cm="1">
        <f t="array" ref="W8">IFERROR(('Tariff schedule'!W19/INDEX('Indicative prices'!W$1:W$916,'Price comparisons'!$I$7+$H8))-1,0)</f>
        <v>0</v>
      </c>
      <c r="X8" s="219" cm="1">
        <f t="array" ref="X8">IFERROR(('Tariff schedule'!X19/INDEX('Indicative prices'!X$1:X$916,'Price comparisons'!$I$7+$H8))-1,0)</f>
        <v>0</v>
      </c>
      <c r="Y8" s="219" cm="1">
        <f t="array" ref="Y8">IFERROR(('Tariff schedule'!Y19/INDEX('Indicative prices'!Y$1:Y$916,'Price comparisons'!$I$7+$H8))-1,0)</f>
        <v>0</v>
      </c>
      <c r="Z8" s="219" cm="1">
        <f t="array" ref="Z8">IFERROR(('Tariff schedule'!Z19/INDEX('Indicative prices'!Z$1:Z$916,'Price comparisons'!$I$7+$H8))-1,0)</f>
        <v>0</v>
      </c>
      <c r="AA8" s="219" cm="1">
        <f t="array" ref="AA8">IFERROR(('Tariff schedule'!AA19/INDEX('Indicative prices'!AA$1:AA$916,'Price comparisons'!$I$7+$H8))-1,0)</f>
        <v>0</v>
      </c>
      <c r="AB8" s="219" cm="1">
        <f t="array" ref="AB8">IFERROR(('Tariff schedule'!AB19/INDEX('Indicative prices'!AB$1:AB$916,'Price comparisons'!$I$7+$H8))-1,0)</f>
        <v>0</v>
      </c>
      <c r="AC8" s="220"/>
      <c r="AD8" s="19"/>
      <c r="AE8" s="19"/>
      <c r="AF8" s="19"/>
      <c r="AG8" s="19"/>
    </row>
    <row r="9" spans="1:33" s="59" customFormat="1" outlineLevel="1" x14ac:dyDescent="0.2">
      <c r="A9" s="57"/>
      <c r="B9" s="57"/>
      <c r="C9" s="506" t="str">
        <f>Qty!C9</f>
        <v>Residential general light and power</v>
      </c>
      <c r="D9" s="505" t="str">
        <f>Qty!D9</f>
        <v>Residential</v>
      </c>
      <c r="E9" s="505" t="str">
        <f>Qty!E9</f>
        <v>TAS31</v>
      </c>
      <c r="F9" s="505">
        <f>Qty!F9</f>
        <v>0</v>
      </c>
      <c r="G9" s="505">
        <f>Qty!G9</f>
        <v>0</v>
      </c>
      <c r="H9" s="333">
        <v>1</v>
      </c>
      <c r="I9" s="219" cm="1">
        <f t="array" ref="I9">IFERROR(('Tariff schedule'!I20/INDEX('Indicative prices'!I$1:I$916,'Price comparisons'!$I$7+$H9))-1,0)</f>
        <v>0</v>
      </c>
      <c r="J9" s="219" cm="1">
        <f t="array" ref="J9">IFERROR(('Tariff schedule'!J20/INDEX('Indicative prices'!J$1:J$916,'Price comparisons'!$I$7+$H9))-1,0)</f>
        <v>-8.7446784029455937E-2</v>
      </c>
      <c r="K9" s="219" cm="1">
        <f t="array" ref="K9">IFERROR(('Tariff schedule'!K20/INDEX('Indicative prices'!K$1:K$916,'Price comparisons'!$I$7+$H9))-1,0)</f>
        <v>0</v>
      </c>
      <c r="L9" s="219" cm="1">
        <f t="array" ref="L9">IFERROR(('Tariff schedule'!L20/INDEX('Indicative prices'!L$1:L$916,'Price comparisons'!$I$7+$H9))-1,0)</f>
        <v>0</v>
      </c>
      <c r="M9" s="219" cm="1">
        <f t="array" ref="M9">IFERROR(('Tariff schedule'!M20/INDEX('Indicative prices'!M$1:M$916,'Price comparisons'!$I$7+$H9))-1,0)</f>
        <v>0</v>
      </c>
      <c r="N9" s="219" cm="1">
        <f t="array" ref="N9">IFERROR(('Tariff schedule'!N20/INDEX('Indicative prices'!N$1:N$916,'Price comparisons'!$I$7+$H9))-1,0)</f>
        <v>0</v>
      </c>
      <c r="O9" s="219" cm="1">
        <f t="array" ref="O9">IFERROR(('Tariff schedule'!O20/INDEX('Indicative prices'!O$1:O$916,'Price comparisons'!$I$7+$H9))-1,0)</f>
        <v>0</v>
      </c>
      <c r="P9" s="219" cm="1">
        <f t="array" ref="P9">IFERROR(('Tariff schedule'!P20/INDEX('Indicative prices'!P$1:P$916,'Price comparisons'!$I$7+$H9))-1,0)</f>
        <v>0</v>
      </c>
      <c r="Q9" s="219" cm="1">
        <f t="array" ref="Q9">IFERROR(('Tariff schedule'!Q20/INDEX('Indicative prices'!Q$1:Q$916,'Price comparisons'!$I$7+$H9))-1,0)</f>
        <v>0</v>
      </c>
      <c r="R9" s="219" cm="1">
        <f t="array" ref="R9">IFERROR(('Tariff schedule'!R20/INDEX('Indicative prices'!R$1:R$916,'Price comparisons'!$I$7+$H9))-1,0)</f>
        <v>0</v>
      </c>
      <c r="S9" s="219" cm="1">
        <f t="array" ref="S9">IFERROR(('Tariff schedule'!S20/INDEX('Indicative prices'!S$1:S$916,'Price comparisons'!$I$7+$H9))-1,0)</f>
        <v>0</v>
      </c>
      <c r="T9" s="219" cm="1">
        <f t="array" ref="T9">IFERROR(('Tariff schedule'!T20/INDEX('Indicative prices'!T$1:T$916,'Price comparisons'!$I$7+$H9))-1,0)</f>
        <v>0</v>
      </c>
      <c r="U9" s="219" cm="1">
        <f t="array" ref="U9">IFERROR(('Tariff schedule'!U20/INDEX('Indicative prices'!U$1:U$916,'Price comparisons'!$I$7+$H9))-1,0)</f>
        <v>0</v>
      </c>
      <c r="V9" s="219" cm="1">
        <f t="array" ref="V9">IFERROR(('Tariff schedule'!V20/INDEX('Indicative prices'!V$1:V$916,'Price comparisons'!$I$7+$H9))-1,0)</f>
        <v>0</v>
      </c>
      <c r="W9" s="219" cm="1">
        <f t="array" ref="W9">IFERROR(('Tariff schedule'!W20/INDEX('Indicative prices'!W$1:W$916,'Price comparisons'!$I$7+$H9))-1,0)</f>
        <v>0</v>
      </c>
      <c r="X9" s="219" cm="1">
        <f t="array" ref="X9">IFERROR(('Tariff schedule'!X20/INDEX('Indicative prices'!X$1:X$916,'Price comparisons'!$I$7+$H9))-1,0)</f>
        <v>0</v>
      </c>
      <c r="Y9" s="219" cm="1">
        <f t="array" ref="Y9">IFERROR(('Tariff schedule'!Y20/INDEX('Indicative prices'!Y$1:Y$916,'Price comparisons'!$I$7+$H9))-1,0)</f>
        <v>0</v>
      </c>
      <c r="Z9" s="219" cm="1">
        <f t="array" ref="Z9">IFERROR(('Tariff schedule'!Z20/INDEX('Indicative prices'!Z$1:Z$916,'Price comparisons'!$I$7+$H9))-1,0)</f>
        <v>0</v>
      </c>
      <c r="AA9" s="219" cm="1">
        <f t="array" ref="AA9">IFERROR(('Tariff schedule'!AA20/INDEX('Indicative prices'!AA$1:AA$916,'Price comparisons'!$I$7+$H9))-1,0)</f>
        <v>0</v>
      </c>
      <c r="AB9" s="219" cm="1">
        <f t="array" ref="AB9">IFERROR(('Tariff schedule'!AB20/INDEX('Indicative prices'!AB$1:AB$916,'Price comparisons'!$I$7+$H9))-1,0)</f>
        <v>0</v>
      </c>
      <c r="AC9" s="220"/>
      <c r="AD9" s="57"/>
      <c r="AE9" s="57"/>
      <c r="AF9" s="57"/>
      <c r="AG9" s="57"/>
    </row>
    <row r="10" spans="1:33" outlineLevel="1" x14ac:dyDescent="0.2">
      <c r="A10" s="19"/>
      <c r="B10" s="19"/>
      <c r="C10" s="506" t="str">
        <f>Qty!C10</f>
        <v>Residential time of use demand</v>
      </c>
      <c r="D10" s="505" t="str">
        <f>Qty!D10</f>
        <v>Residential</v>
      </c>
      <c r="E10" s="505" t="str">
        <f>Qty!E10</f>
        <v>TAS87</v>
      </c>
      <c r="F10" s="505">
        <f>Qty!F10</f>
        <v>0</v>
      </c>
      <c r="G10" s="505">
        <f>Qty!G10</f>
        <v>0</v>
      </c>
      <c r="H10" s="333">
        <v>2</v>
      </c>
      <c r="I10" s="219" cm="1">
        <f t="array" ref="I10">IFERROR(('Tariff schedule'!I21/INDEX('Indicative prices'!I$1:I$916,'Price comparisons'!$I$7+$H10))-1,0)</f>
        <v>0</v>
      </c>
      <c r="J10" s="219" cm="1">
        <f t="array" ref="J10">IFERROR(('Tariff schedule'!J21/INDEX('Indicative prices'!J$1:J$916,'Price comparisons'!$I$7+$H10))-1,0)</f>
        <v>0</v>
      </c>
      <c r="K10" s="219" cm="1">
        <f t="array" ref="K10">IFERROR(('Tariff schedule'!K21/INDEX('Indicative prices'!K$1:K$916,'Price comparisons'!$I$7+$H10))-1,0)</f>
        <v>0</v>
      </c>
      <c r="L10" s="219" cm="1">
        <f t="array" ref="L10">IFERROR(('Tariff schedule'!L21/INDEX('Indicative prices'!L$1:L$916,'Price comparisons'!$I$7+$H10))-1,0)</f>
        <v>0</v>
      </c>
      <c r="M10" s="219" cm="1">
        <f t="array" ref="M10">IFERROR(('Tariff schedule'!M21/INDEX('Indicative prices'!M$1:M$916,'Price comparisons'!$I$7+$H10))-1,0)</f>
        <v>0</v>
      </c>
      <c r="N10" s="219" cm="1">
        <f t="array" ref="N10">IFERROR(('Tariff schedule'!N21/INDEX('Indicative prices'!N$1:N$916,'Price comparisons'!$I$7+$H10))-1,0)</f>
        <v>0</v>
      </c>
      <c r="O10" s="219" cm="1">
        <f t="array" ref="O10">IFERROR(('Tariff schedule'!O21/INDEX('Indicative prices'!O$1:O$916,'Price comparisons'!$I$7+$H10))-1,0)</f>
        <v>-5.9249897780916494E-2</v>
      </c>
      <c r="P10" s="219" cm="1">
        <f t="array" ref="P10">IFERROR(('Tariff schedule'!P21/INDEX('Indicative prices'!P$1:P$916,'Price comparisons'!$I$7+$H10))-1,0)</f>
        <v>-5.9299567461978397E-2</v>
      </c>
      <c r="Q10" s="219" cm="1">
        <f t="array" ref="Q10">IFERROR(('Tariff schedule'!Q21/INDEX('Indicative prices'!Q$1:Q$916,'Price comparisons'!$I$7+$H10))-1,0)</f>
        <v>0</v>
      </c>
      <c r="R10" s="219" cm="1">
        <f t="array" ref="R10">IFERROR(('Tariff schedule'!R21/INDEX('Indicative prices'!R$1:R$916,'Price comparisons'!$I$7+$H10))-1,0)</f>
        <v>0</v>
      </c>
      <c r="S10" s="219" cm="1">
        <f t="array" ref="S10">IFERROR(('Tariff schedule'!S21/INDEX('Indicative prices'!S$1:S$916,'Price comparisons'!$I$7+$H10))-1,0)</f>
        <v>0</v>
      </c>
      <c r="T10" s="219" cm="1">
        <f t="array" ref="T10">IFERROR(('Tariff schedule'!T21/INDEX('Indicative prices'!T$1:T$916,'Price comparisons'!$I$7+$H10))-1,0)</f>
        <v>0</v>
      </c>
      <c r="U10" s="219" cm="1">
        <f t="array" ref="U10">IFERROR(('Tariff schedule'!U21/INDEX('Indicative prices'!U$1:U$916,'Price comparisons'!$I$7+$H10))-1,0)</f>
        <v>0</v>
      </c>
      <c r="V10" s="219" cm="1">
        <f t="array" ref="V10">IFERROR(('Tariff schedule'!V21/INDEX('Indicative prices'!V$1:V$916,'Price comparisons'!$I$7+$H10))-1,0)</f>
        <v>0</v>
      </c>
      <c r="W10" s="219" cm="1">
        <f t="array" ref="W10">IFERROR(('Tariff schedule'!W21/INDEX('Indicative prices'!W$1:W$916,'Price comparisons'!$I$7+$H10))-1,0)</f>
        <v>0</v>
      </c>
      <c r="X10" s="219" cm="1">
        <f t="array" ref="X10">IFERROR(('Tariff schedule'!X21/INDEX('Indicative prices'!X$1:X$916,'Price comparisons'!$I$7+$H10))-1,0)</f>
        <v>0</v>
      </c>
      <c r="Y10" s="219" cm="1">
        <f t="array" ref="Y10">IFERROR(('Tariff schedule'!Y21/INDEX('Indicative prices'!Y$1:Y$916,'Price comparisons'!$I$7+$H10))-1,0)</f>
        <v>0</v>
      </c>
      <c r="Z10" s="219" cm="1">
        <f t="array" ref="Z10">IFERROR(('Tariff schedule'!Z21/INDEX('Indicative prices'!Z$1:Z$916,'Price comparisons'!$I$7+$H10))-1,0)</f>
        <v>0</v>
      </c>
      <c r="AA10" s="219" cm="1">
        <f t="array" ref="AA10">IFERROR(('Tariff schedule'!AA21/INDEX('Indicative prices'!AA$1:AA$916,'Price comparisons'!$I$7+$H10))-1,0)</f>
        <v>0</v>
      </c>
      <c r="AB10" s="219" cm="1">
        <f t="array" ref="AB10">IFERROR(('Tariff schedule'!AB21/INDEX('Indicative prices'!AB$1:AB$916,'Price comparisons'!$I$7+$H10))-1,0)</f>
        <v>0</v>
      </c>
      <c r="AC10" s="220"/>
      <c r="AD10" s="19"/>
      <c r="AE10" s="19"/>
      <c r="AF10" s="19"/>
      <c r="AG10" s="19"/>
    </row>
    <row r="11" spans="1:33" outlineLevel="1" x14ac:dyDescent="0.2">
      <c r="A11" s="19"/>
      <c r="B11" s="19"/>
      <c r="C11" s="506" t="str">
        <f>Qty!C11</f>
        <v>Residential time of use demand DER</v>
      </c>
      <c r="D11" s="505" t="str">
        <f>Qty!D11</f>
        <v>Residential</v>
      </c>
      <c r="E11" s="505" t="str">
        <f>Qty!E11</f>
        <v>TAS97</v>
      </c>
      <c r="F11" s="505">
        <f>Qty!F11</f>
        <v>0</v>
      </c>
      <c r="G11" s="505">
        <f>Qty!G11</f>
        <v>0</v>
      </c>
      <c r="H11" s="333">
        <v>3</v>
      </c>
      <c r="I11" s="219" cm="1">
        <f t="array" ref="I11">IFERROR(('Tariff schedule'!I22/INDEX('Indicative prices'!I$1:I$916,'Price comparisons'!$I$7+$H11))-1,0)</f>
        <v>0</v>
      </c>
      <c r="J11" s="219" cm="1">
        <f t="array" ref="J11">IFERROR(('Tariff schedule'!J22/INDEX('Indicative prices'!J$1:J$916,'Price comparisons'!$I$7+$H11))-1,0)</f>
        <v>0</v>
      </c>
      <c r="K11" s="219" cm="1">
        <f t="array" ref="K11">IFERROR(('Tariff schedule'!K22/INDEX('Indicative prices'!K$1:K$916,'Price comparisons'!$I$7+$H11))-1,0)</f>
        <v>0</v>
      </c>
      <c r="L11" s="219" cm="1">
        <f t="array" ref="L11">IFERROR(('Tariff schedule'!L22/INDEX('Indicative prices'!L$1:L$916,'Price comparisons'!$I$7+$H11))-1,0)</f>
        <v>0</v>
      </c>
      <c r="M11" s="219" cm="1">
        <f t="array" ref="M11">IFERROR(('Tariff schedule'!M22/INDEX('Indicative prices'!M$1:M$916,'Price comparisons'!$I$7+$H11))-1,0)</f>
        <v>0</v>
      </c>
      <c r="N11" s="219" cm="1">
        <f t="array" ref="N11">IFERROR(('Tariff schedule'!N22/INDEX('Indicative prices'!N$1:N$916,'Price comparisons'!$I$7+$H11))-1,0)</f>
        <v>0</v>
      </c>
      <c r="O11" s="219" cm="1">
        <f t="array" ref="O11">IFERROR(('Tariff schedule'!O22/INDEX('Indicative prices'!O$1:O$916,'Price comparisons'!$I$7+$H11))-1,0)</f>
        <v>-5.9249897780916494E-2</v>
      </c>
      <c r="P11" s="219" cm="1">
        <f t="array" ref="P11">IFERROR(('Tariff schedule'!P22/INDEX('Indicative prices'!P$1:P$916,'Price comparisons'!$I$7+$H11))-1,0)</f>
        <v>-5.9299567461978397E-2</v>
      </c>
      <c r="Q11" s="219" cm="1">
        <f t="array" ref="Q11">IFERROR(('Tariff schedule'!Q22/INDEX('Indicative prices'!Q$1:Q$916,'Price comparisons'!$I$7+$H11))-1,0)</f>
        <v>0</v>
      </c>
      <c r="R11" s="219" cm="1">
        <f t="array" ref="R11">IFERROR(('Tariff schedule'!R22/INDEX('Indicative prices'!R$1:R$916,'Price comparisons'!$I$7+$H11))-1,0)</f>
        <v>0</v>
      </c>
      <c r="S11" s="219" cm="1">
        <f t="array" ref="S11">IFERROR(('Tariff schedule'!S22/INDEX('Indicative prices'!S$1:S$916,'Price comparisons'!$I$7+$H11))-1,0)</f>
        <v>0</v>
      </c>
      <c r="T11" s="219" cm="1">
        <f t="array" ref="T11">IFERROR(('Tariff schedule'!T22/INDEX('Indicative prices'!T$1:T$916,'Price comparisons'!$I$7+$H11))-1,0)</f>
        <v>0</v>
      </c>
      <c r="U11" s="219" cm="1">
        <f t="array" ref="U11">IFERROR(('Tariff schedule'!U22/INDEX('Indicative prices'!U$1:U$916,'Price comparisons'!$I$7+$H11))-1,0)</f>
        <v>0</v>
      </c>
      <c r="V11" s="219" cm="1">
        <f t="array" ref="V11">IFERROR(('Tariff schedule'!V22/INDEX('Indicative prices'!V$1:V$916,'Price comparisons'!$I$7+$H11))-1,0)</f>
        <v>0</v>
      </c>
      <c r="W11" s="219" cm="1">
        <f t="array" ref="W11">IFERROR(('Tariff schedule'!W22/INDEX('Indicative prices'!W$1:W$916,'Price comparisons'!$I$7+$H11))-1,0)</f>
        <v>0</v>
      </c>
      <c r="X11" s="219" cm="1">
        <f t="array" ref="X11">IFERROR(('Tariff schedule'!X22/INDEX('Indicative prices'!X$1:X$916,'Price comparisons'!$I$7+$H11))-1,0)</f>
        <v>0</v>
      </c>
      <c r="Y11" s="219" cm="1">
        <f t="array" ref="Y11">IFERROR(('Tariff schedule'!Y22/INDEX('Indicative prices'!Y$1:Y$916,'Price comparisons'!$I$7+$H11))-1,0)</f>
        <v>0</v>
      </c>
      <c r="Z11" s="219" cm="1">
        <f t="array" ref="Z11">IFERROR(('Tariff schedule'!Z22/INDEX('Indicative prices'!Z$1:Z$916,'Price comparisons'!$I$7+$H11))-1,0)</f>
        <v>0</v>
      </c>
      <c r="AA11" s="219" cm="1">
        <f t="array" ref="AA11">IFERROR(('Tariff schedule'!AA22/INDEX('Indicative prices'!AA$1:AA$916,'Price comparisons'!$I$7+$H11))-1,0)</f>
        <v>0</v>
      </c>
      <c r="AB11" s="219" cm="1">
        <f t="array" ref="AB11">IFERROR(('Tariff schedule'!AB22/INDEX('Indicative prices'!AB$1:AB$916,'Price comparisons'!$I$7+$H11))-1,0)</f>
        <v>0</v>
      </c>
      <c r="AC11" s="220"/>
      <c r="AD11" s="19"/>
      <c r="AE11" s="19"/>
      <c r="AF11" s="19"/>
      <c r="AG11" s="19"/>
    </row>
    <row r="12" spans="1:33" outlineLevel="1" x14ac:dyDescent="0.2">
      <c r="A12" s="19"/>
      <c r="B12" s="19"/>
      <c r="C12" s="506" t="str">
        <f>Qty!C12</f>
        <v>Residential pay as you go</v>
      </c>
      <c r="D12" s="505" t="str">
        <f>Qty!D12</f>
        <v>Residential</v>
      </c>
      <c r="E12" s="505" t="str">
        <f>Qty!E12</f>
        <v>TAS101</v>
      </c>
      <c r="F12" s="505">
        <f>Qty!F12</f>
        <v>0</v>
      </c>
      <c r="G12" s="505">
        <f>Qty!G12</f>
        <v>0</v>
      </c>
      <c r="H12" s="333">
        <v>4</v>
      </c>
      <c r="I12" s="219" cm="1">
        <f t="array" ref="I12">IFERROR(('Tariff schedule'!I23/INDEX('Indicative prices'!I$1:I$916,'Price comparisons'!$I$7+$H12))-1,0)</f>
        <v>0</v>
      </c>
      <c r="J12" s="219" cm="1">
        <f t="array" ref="J12">IFERROR(('Tariff schedule'!J23/INDEX('Indicative prices'!J$1:J$916,'Price comparisons'!$I$7+$H12))-1,0)</f>
        <v>-5.3109985716140784E-2</v>
      </c>
      <c r="K12" s="219" cm="1">
        <f t="array" ref="K12">IFERROR(('Tariff schedule'!K23/INDEX('Indicative prices'!K$1:K$916,'Price comparisons'!$I$7+$H12))-1,0)</f>
        <v>0</v>
      </c>
      <c r="L12" s="219" cm="1">
        <f t="array" ref="L12">IFERROR(('Tariff schedule'!L23/INDEX('Indicative prices'!L$1:L$916,'Price comparisons'!$I$7+$H12))-1,0)</f>
        <v>0</v>
      </c>
      <c r="M12" s="219" cm="1">
        <f t="array" ref="M12">IFERROR(('Tariff schedule'!M23/INDEX('Indicative prices'!M$1:M$916,'Price comparisons'!$I$7+$H12))-1,0)</f>
        <v>0</v>
      </c>
      <c r="N12" s="219" cm="1">
        <f t="array" ref="N12">IFERROR(('Tariff schedule'!N23/INDEX('Indicative prices'!N$1:N$916,'Price comparisons'!$I$7+$H12))-1,0)</f>
        <v>0</v>
      </c>
      <c r="O12" s="219" cm="1">
        <f t="array" ref="O12">IFERROR(('Tariff schedule'!O23/INDEX('Indicative prices'!O$1:O$916,'Price comparisons'!$I$7+$H12))-1,0)</f>
        <v>0</v>
      </c>
      <c r="P12" s="219" cm="1">
        <f t="array" ref="P12">IFERROR(('Tariff schedule'!P23/INDEX('Indicative prices'!P$1:P$916,'Price comparisons'!$I$7+$H12))-1,0)</f>
        <v>0</v>
      </c>
      <c r="Q12" s="219" cm="1">
        <f t="array" ref="Q12">IFERROR(('Tariff schedule'!Q23/INDEX('Indicative prices'!Q$1:Q$916,'Price comparisons'!$I$7+$H12))-1,0)</f>
        <v>0</v>
      </c>
      <c r="R12" s="219" cm="1">
        <f t="array" ref="R12">IFERROR(('Tariff schedule'!R23/INDEX('Indicative prices'!R$1:R$916,'Price comparisons'!$I$7+$H12))-1,0)</f>
        <v>0</v>
      </c>
      <c r="S12" s="219" cm="1">
        <f t="array" ref="S12">IFERROR(('Tariff schedule'!S23/INDEX('Indicative prices'!S$1:S$916,'Price comparisons'!$I$7+$H12))-1,0)</f>
        <v>0</v>
      </c>
      <c r="T12" s="219" cm="1">
        <f t="array" ref="T12">IFERROR(('Tariff schedule'!T23/INDEX('Indicative prices'!T$1:T$916,'Price comparisons'!$I$7+$H12))-1,0)</f>
        <v>0</v>
      </c>
      <c r="U12" s="219" cm="1">
        <f t="array" ref="U12">IFERROR(('Tariff schedule'!U23/INDEX('Indicative prices'!U$1:U$916,'Price comparisons'!$I$7+$H12))-1,0)</f>
        <v>0</v>
      </c>
      <c r="V12" s="219" cm="1">
        <f t="array" ref="V12">IFERROR(('Tariff schedule'!V23/INDEX('Indicative prices'!V$1:V$916,'Price comparisons'!$I$7+$H12))-1,0)</f>
        <v>0</v>
      </c>
      <c r="W12" s="219" cm="1">
        <f t="array" ref="W12">IFERROR(('Tariff schedule'!W23/INDEX('Indicative prices'!W$1:W$916,'Price comparisons'!$I$7+$H12))-1,0)</f>
        <v>0</v>
      </c>
      <c r="X12" s="219" cm="1">
        <f t="array" ref="X12">IFERROR(('Tariff schedule'!X23/INDEX('Indicative prices'!X$1:X$916,'Price comparisons'!$I$7+$H12))-1,0)</f>
        <v>0</v>
      </c>
      <c r="Y12" s="219" cm="1">
        <f t="array" ref="Y12">IFERROR(('Tariff schedule'!Y23/INDEX('Indicative prices'!Y$1:Y$916,'Price comparisons'!$I$7+$H12))-1,0)</f>
        <v>0</v>
      </c>
      <c r="Z12" s="219" cm="1">
        <f t="array" ref="Z12">IFERROR(('Tariff schedule'!Z23/INDEX('Indicative prices'!Z$1:Z$916,'Price comparisons'!$I$7+$H12))-1,0)</f>
        <v>0</v>
      </c>
      <c r="AA12" s="219" cm="1">
        <f t="array" ref="AA12">IFERROR(('Tariff schedule'!AA23/INDEX('Indicative prices'!AA$1:AA$916,'Price comparisons'!$I$7+$H12))-1,0)</f>
        <v>0</v>
      </c>
      <c r="AB12" s="219" cm="1">
        <f t="array" ref="AB12">IFERROR(('Tariff schedule'!AB23/INDEX('Indicative prices'!AB$1:AB$916,'Price comparisons'!$I$7+$H12))-1,0)</f>
        <v>0</v>
      </c>
      <c r="AC12" s="220"/>
      <c r="AD12" s="19"/>
      <c r="AE12" s="19"/>
      <c r="AF12" s="19"/>
      <c r="AG12" s="19"/>
    </row>
    <row r="13" spans="1:33" outlineLevel="1" x14ac:dyDescent="0.2">
      <c r="A13" s="19"/>
      <c r="B13" s="19"/>
      <c r="C13" s="506" t="str">
        <f>Qty!C13</f>
        <v>Residential pay as you go time of use</v>
      </c>
      <c r="D13" s="505" t="str">
        <f>Qty!D13</f>
        <v>Residential</v>
      </c>
      <c r="E13" s="505" t="str">
        <f>Qty!E13</f>
        <v>TAS92</v>
      </c>
      <c r="F13" s="505">
        <f>Qty!F13</f>
        <v>0</v>
      </c>
      <c r="G13" s="505">
        <f>Qty!G13</f>
        <v>0</v>
      </c>
      <c r="H13" s="333">
        <v>5</v>
      </c>
      <c r="I13" s="219" cm="1">
        <f t="array" ref="I13">IFERROR(('Tariff schedule'!I24/INDEX('Indicative prices'!I$1:I$916,'Price comparisons'!$I$7+$H13))-1,0)</f>
        <v>0</v>
      </c>
      <c r="J13" s="219" cm="1">
        <f t="array" ref="J13">IFERROR(('Tariff schedule'!J24/INDEX('Indicative prices'!J$1:J$916,'Price comparisons'!$I$7+$H13))-1,0)</f>
        <v>0</v>
      </c>
      <c r="K13" s="219" cm="1">
        <f t="array" ref="K13">IFERROR(('Tariff schedule'!K24/INDEX('Indicative prices'!K$1:K$916,'Price comparisons'!$I$7+$H13))-1,0)</f>
        <v>-5.7744477457692733E-2</v>
      </c>
      <c r="L13" s="219" cm="1">
        <f t="array" ref="L13">IFERROR(('Tariff schedule'!L24/INDEX('Indicative prices'!L$1:L$916,'Price comparisons'!$I$7+$H13))-1,0)</f>
        <v>0</v>
      </c>
      <c r="M13" s="219" cm="1">
        <f t="array" ref="M13">IFERROR(('Tariff schedule'!M24/INDEX('Indicative prices'!M$1:M$916,'Price comparisons'!$I$7+$H13))-1,0)</f>
        <v>-5.8120762027768835E-2</v>
      </c>
      <c r="N13" s="219" cm="1">
        <f t="array" ref="N13">IFERROR(('Tariff schedule'!N24/INDEX('Indicative prices'!N$1:N$916,'Price comparisons'!$I$7+$H13))-1,0)</f>
        <v>0</v>
      </c>
      <c r="O13" s="219" cm="1">
        <f t="array" ref="O13">IFERROR(('Tariff schedule'!O24/INDEX('Indicative prices'!O$1:O$916,'Price comparisons'!$I$7+$H13))-1,0)</f>
        <v>0</v>
      </c>
      <c r="P13" s="219" cm="1">
        <f t="array" ref="P13">IFERROR(('Tariff schedule'!P24/INDEX('Indicative prices'!P$1:P$916,'Price comparisons'!$I$7+$H13))-1,0)</f>
        <v>0</v>
      </c>
      <c r="Q13" s="219" cm="1">
        <f t="array" ref="Q13">IFERROR(('Tariff schedule'!Q24/INDEX('Indicative prices'!Q$1:Q$916,'Price comparisons'!$I$7+$H13))-1,0)</f>
        <v>0</v>
      </c>
      <c r="R13" s="219" cm="1">
        <f t="array" ref="R13">IFERROR(('Tariff schedule'!R24/INDEX('Indicative prices'!R$1:R$916,'Price comparisons'!$I$7+$H13))-1,0)</f>
        <v>0</v>
      </c>
      <c r="S13" s="219" cm="1">
        <f t="array" ref="S13">IFERROR(('Tariff schedule'!S24/INDEX('Indicative prices'!S$1:S$916,'Price comparisons'!$I$7+$H13))-1,0)</f>
        <v>0</v>
      </c>
      <c r="T13" s="219" cm="1">
        <f t="array" ref="T13">IFERROR(('Tariff schedule'!T24/INDEX('Indicative prices'!T$1:T$916,'Price comparisons'!$I$7+$H13))-1,0)</f>
        <v>0</v>
      </c>
      <c r="U13" s="219" cm="1">
        <f t="array" ref="U13">IFERROR(('Tariff schedule'!U24/INDEX('Indicative prices'!U$1:U$916,'Price comparisons'!$I$7+$H13))-1,0)</f>
        <v>0</v>
      </c>
      <c r="V13" s="219" cm="1">
        <f t="array" ref="V13">IFERROR(('Tariff schedule'!V24/INDEX('Indicative prices'!V$1:V$916,'Price comparisons'!$I$7+$H13))-1,0)</f>
        <v>0</v>
      </c>
      <c r="W13" s="219" cm="1">
        <f t="array" ref="W13">IFERROR(('Tariff schedule'!W24/INDEX('Indicative prices'!W$1:W$916,'Price comparisons'!$I$7+$H13))-1,0)</f>
        <v>0</v>
      </c>
      <c r="X13" s="219" cm="1">
        <f t="array" ref="X13">IFERROR(('Tariff schedule'!X24/INDEX('Indicative prices'!X$1:X$916,'Price comparisons'!$I$7+$H13))-1,0)</f>
        <v>0</v>
      </c>
      <c r="Y13" s="219" cm="1">
        <f t="array" ref="Y13">IFERROR(('Tariff schedule'!Y24/INDEX('Indicative prices'!Y$1:Y$916,'Price comparisons'!$I$7+$H13))-1,0)</f>
        <v>0</v>
      </c>
      <c r="Z13" s="219" cm="1">
        <f t="array" ref="Z13">IFERROR(('Tariff schedule'!Z24/INDEX('Indicative prices'!Z$1:Z$916,'Price comparisons'!$I$7+$H13))-1,0)</f>
        <v>0</v>
      </c>
      <c r="AA13" s="219" cm="1">
        <f t="array" ref="AA13">IFERROR(('Tariff schedule'!AA24/INDEX('Indicative prices'!AA$1:AA$916,'Price comparisons'!$I$7+$H13))-1,0)</f>
        <v>0</v>
      </c>
      <c r="AB13" s="219" cm="1">
        <f t="array" ref="AB13">IFERROR(('Tariff schedule'!AB24/INDEX('Indicative prices'!AB$1:AB$916,'Price comparisons'!$I$7+$H13))-1,0)</f>
        <v>0</v>
      </c>
      <c r="AC13" s="220"/>
      <c r="AD13" s="19"/>
      <c r="AE13" s="19"/>
      <c r="AF13" s="19"/>
      <c r="AG13" s="19"/>
    </row>
    <row r="14" spans="1:33" outlineLevel="1" x14ac:dyDescent="0.2">
      <c r="A14" s="19"/>
      <c r="B14" s="19"/>
      <c r="C14" s="506" t="str">
        <f>Qty!C14</f>
        <v>Small business time of use consumption</v>
      </c>
      <c r="D14" s="505" t="str">
        <f>Qty!D14</f>
        <v>Small Business LV</v>
      </c>
      <c r="E14" s="505" t="str">
        <f>Qty!E14</f>
        <v>TAS94</v>
      </c>
      <c r="F14" s="505">
        <f>Qty!F14</f>
        <v>0</v>
      </c>
      <c r="G14" s="505">
        <f>Qty!G14</f>
        <v>0</v>
      </c>
      <c r="H14" s="333">
        <v>6</v>
      </c>
      <c r="I14" s="219" cm="1">
        <f t="array" ref="I14">IFERROR(('Tariff schedule'!I25/INDEX('Indicative prices'!I$1:I$916,'Price comparisons'!$I$7+$H14))-1,0)</f>
        <v>0</v>
      </c>
      <c r="J14" s="219" cm="1">
        <f t="array" ref="J14">IFERROR(('Tariff schedule'!J25/INDEX('Indicative prices'!J$1:J$916,'Price comparisons'!$I$7+$H14))-1,0)</f>
        <v>0</v>
      </c>
      <c r="K14" s="219" cm="1">
        <f t="array" ref="K14">IFERROR(('Tariff schedule'!K25/INDEX('Indicative prices'!K$1:K$916,'Price comparisons'!$I$7+$H14))-1,0)</f>
        <v>-5.2524127691165434E-2</v>
      </c>
      <c r="L14" s="219" cm="1">
        <f t="array" ref="L14">IFERROR(('Tariff schedule'!L25/INDEX('Indicative prices'!L$1:L$916,'Price comparisons'!$I$7+$H14))-1,0)</f>
        <v>-5.2436194895591703E-2</v>
      </c>
      <c r="M14" s="219" cm="1">
        <f t="array" ref="M14">IFERROR(('Tariff schedule'!M25/INDEX('Indicative prices'!M$1:M$916,'Price comparisons'!$I$7+$H14))-1,0)</f>
        <v>-5.2566481137909737E-2</v>
      </c>
      <c r="N14" s="219" cm="1">
        <f t="array" ref="N14">IFERROR(('Tariff schedule'!N25/INDEX('Indicative prices'!N$1:N$916,'Price comparisons'!$I$7+$H14))-1,0)</f>
        <v>0</v>
      </c>
      <c r="O14" s="219" cm="1">
        <f t="array" ref="O14">IFERROR(('Tariff schedule'!O25/INDEX('Indicative prices'!O$1:O$916,'Price comparisons'!$I$7+$H14))-1,0)</f>
        <v>0</v>
      </c>
      <c r="P14" s="219" cm="1">
        <f t="array" ref="P14">IFERROR(('Tariff schedule'!P25/INDEX('Indicative prices'!P$1:P$916,'Price comparisons'!$I$7+$H14))-1,0)</f>
        <v>0</v>
      </c>
      <c r="Q14" s="219" cm="1">
        <f t="array" ref="Q14">IFERROR(('Tariff schedule'!Q25/INDEX('Indicative prices'!Q$1:Q$916,'Price comparisons'!$I$7+$H14))-1,0)</f>
        <v>0</v>
      </c>
      <c r="R14" s="219" cm="1">
        <f t="array" ref="R14">IFERROR(('Tariff schedule'!R25/INDEX('Indicative prices'!R$1:R$916,'Price comparisons'!$I$7+$H14))-1,0)</f>
        <v>0</v>
      </c>
      <c r="S14" s="219" cm="1">
        <f t="array" ref="S14">IFERROR(('Tariff schedule'!S25/INDEX('Indicative prices'!S$1:S$916,'Price comparisons'!$I$7+$H14))-1,0)</f>
        <v>0</v>
      </c>
      <c r="T14" s="219" cm="1">
        <f t="array" ref="T14">IFERROR(('Tariff schedule'!T25/INDEX('Indicative prices'!T$1:T$916,'Price comparisons'!$I$7+$H14))-1,0)</f>
        <v>0</v>
      </c>
      <c r="U14" s="219" cm="1">
        <f t="array" ref="U14">IFERROR(('Tariff schedule'!U25/INDEX('Indicative prices'!U$1:U$916,'Price comparisons'!$I$7+$H14))-1,0)</f>
        <v>0</v>
      </c>
      <c r="V14" s="219" cm="1">
        <f t="array" ref="V14">IFERROR(('Tariff schedule'!V25/INDEX('Indicative prices'!V$1:V$916,'Price comparisons'!$I$7+$H14))-1,0)</f>
        <v>0</v>
      </c>
      <c r="W14" s="219" cm="1">
        <f t="array" ref="W14">IFERROR(('Tariff schedule'!W25/INDEX('Indicative prices'!W$1:W$916,'Price comparisons'!$I$7+$H14))-1,0)</f>
        <v>0</v>
      </c>
      <c r="X14" s="219" cm="1">
        <f t="array" ref="X14">IFERROR(('Tariff schedule'!X25/INDEX('Indicative prices'!X$1:X$916,'Price comparisons'!$I$7+$H14))-1,0)</f>
        <v>0</v>
      </c>
      <c r="Y14" s="219" cm="1">
        <f t="array" ref="Y14">IFERROR(('Tariff schedule'!Y25/INDEX('Indicative prices'!Y$1:Y$916,'Price comparisons'!$I$7+$H14))-1,0)</f>
        <v>0</v>
      </c>
      <c r="Z14" s="219" cm="1">
        <f t="array" ref="Z14">IFERROR(('Tariff schedule'!Z25/INDEX('Indicative prices'!Z$1:Z$916,'Price comparisons'!$I$7+$H14))-1,0)</f>
        <v>0</v>
      </c>
      <c r="AA14" s="219" cm="1">
        <f t="array" ref="AA14">IFERROR(('Tariff schedule'!AA25/INDEX('Indicative prices'!AA$1:AA$916,'Price comparisons'!$I$7+$H14))-1,0)</f>
        <v>0</v>
      </c>
      <c r="AB14" s="219" cm="1">
        <f t="array" ref="AB14">IFERROR(('Tariff schedule'!AB25/INDEX('Indicative prices'!AB$1:AB$916,'Price comparisons'!$I$7+$H14))-1,0)</f>
        <v>0</v>
      </c>
      <c r="AC14" s="220"/>
      <c r="AD14" s="19"/>
      <c r="AE14" s="19"/>
      <c r="AF14" s="19"/>
      <c r="AG14" s="19"/>
    </row>
    <row r="15" spans="1:33" outlineLevel="1" x14ac:dyDescent="0.2">
      <c r="A15" s="19"/>
      <c r="B15" s="19"/>
      <c r="C15" s="506" t="str">
        <f>Qty!C15</f>
        <v>Small business general light and power</v>
      </c>
      <c r="D15" s="505" t="str">
        <f>Qty!D15</f>
        <v>Small Business LV</v>
      </c>
      <c r="E15" s="505" t="str">
        <f>Qty!E15</f>
        <v>TAS22</v>
      </c>
      <c r="F15" s="505">
        <f>Qty!F15</f>
        <v>0</v>
      </c>
      <c r="G15" s="505">
        <f>Qty!G15</f>
        <v>0</v>
      </c>
      <c r="H15" s="333">
        <v>7</v>
      </c>
      <c r="I15" s="219" cm="1">
        <f t="array" ref="I15">IFERROR(('Tariff schedule'!I26/INDEX('Indicative prices'!I$1:I$916,'Price comparisons'!$I$7+$H15))-1,0)</f>
        <v>0</v>
      </c>
      <c r="J15" s="219" cm="1">
        <f t="array" ref="J15">IFERROR(('Tariff schedule'!J26/INDEX('Indicative prices'!J$1:J$916,'Price comparisons'!$I$7+$H15))-1,0)</f>
        <v>-4.7359025517168973E-2</v>
      </c>
      <c r="K15" s="219" cm="1">
        <f t="array" ref="K15">IFERROR(('Tariff schedule'!K26/INDEX('Indicative prices'!K$1:K$916,'Price comparisons'!$I$7+$H15))-1,0)</f>
        <v>0</v>
      </c>
      <c r="L15" s="219" cm="1">
        <f t="array" ref="L15">IFERROR(('Tariff schedule'!L26/INDEX('Indicative prices'!L$1:L$916,'Price comparisons'!$I$7+$H15))-1,0)</f>
        <v>0</v>
      </c>
      <c r="M15" s="219" cm="1">
        <f t="array" ref="M15">IFERROR(('Tariff schedule'!M26/INDEX('Indicative prices'!M$1:M$916,'Price comparisons'!$I$7+$H15))-1,0)</f>
        <v>0</v>
      </c>
      <c r="N15" s="219" cm="1">
        <f t="array" ref="N15">IFERROR(('Tariff schedule'!N26/INDEX('Indicative prices'!N$1:N$916,'Price comparisons'!$I$7+$H15))-1,0)</f>
        <v>0</v>
      </c>
      <c r="O15" s="219" cm="1">
        <f t="array" ref="O15">IFERROR(('Tariff schedule'!O26/INDEX('Indicative prices'!O$1:O$916,'Price comparisons'!$I$7+$H15))-1,0)</f>
        <v>0</v>
      </c>
      <c r="P15" s="219" cm="1">
        <f t="array" ref="P15">IFERROR(('Tariff schedule'!P26/INDEX('Indicative prices'!P$1:P$916,'Price comparisons'!$I$7+$H15))-1,0)</f>
        <v>0</v>
      </c>
      <c r="Q15" s="219" cm="1">
        <f t="array" ref="Q15">IFERROR(('Tariff schedule'!Q26/INDEX('Indicative prices'!Q$1:Q$916,'Price comparisons'!$I$7+$H15))-1,0)</f>
        <v>0</v>
      </c>
      <c r="R15" s="219" cm="1">
        <f t="array" ref="R15">IFERROR(('Tariff schedule'!R26/INDEX('Indicative prices'!R$1:R$916,'Price comparisons'!$I$7+$H15))-1,0)</f>
        <v>0</v>
      </c>
      <c r="S15" s="219" cm="1">
        <f t="array" ref="S15">IFERROR(('Tariff schedule'!S26/INDEX('Indicative prices'!S$1:S$916,'Price comparisons'!$I$7+$H15))-1,0)</f>
        <v>0</v>
      </c>
      <c r="T15" s="219" cm="1">
        <f t="array" ref="T15">IFERROR(('Tariff schedule'!T26/INDEX('Indicative prices'!T$1:T$916,'Price comparisons'!$I$7+$H15))-1,0)</f>
        <v>0</v>
      </c>
      <c r="U15" s="219" cm="1">
        <f t="array" ref="U15">IFERROR(('Tariff schedule'!U26/INDEX('Indicative prices'!U$1:U$916,'Price comparisons'!$I$7+$H15))-1,0)</f>
        <v>0</v>
      </c>
      <c r="V15" s="219" cm="1">
        <f t="array" ref="V15">IFERROR(('Tariff schedule'!V26/INDEX('Indicative prices'!V$1:V$916,'Price comparisons'!$I$7+$H15))-1,0)</f>
        <v>0</v>
      </c>
      <c r="W15" s="219" cm="1">
        <f t="array" ref="W15">IFERROR(('Tariff schedule'!W26/INDEX('Indicative prices'!W$1:W$916,'Price comparisons'!$I$7+$H15))-1,0)</f>
        <v>0</v>
      </c>
      <c r="X15" s="219" cm="1">
        <f t="array" ref="X15">IFERROR(('Tariff schedule'!X26/INDEX('Indicative prices'!X$1:X$916,'Price comparisons'!$I$7+$H15))-1,0)</f>
        <v>0</v>
      </c>
      <c r="Y15" s="219" cm="1">
        <f t="array" ref="Y15">IFERROR(('Tariff schedule'!Y26/INDEX('Indicative prices'!Y$1:Y$916,'Price comparisons'!$I$7+$H15))-1,0)</f>
        <v>0</v>
      </c>
      <c r="Z15" s="219" cm="1">
        <f t="array" ref="Z15">IFERROR(('Tariff schedule'!Z26/INDEX('Indicative prices'!Z$1:Z$916,'Price comparisons'!$I$7+$H15))-1,0)</f>
        <v>0</v>
      </c>
      <c r="AA15" s="219" cm="1">
        <f t="array" ref="AA15">IFERROR(('Tariff schedule'!AA26/INDEX('Indicative prices'!AA$1:AA$916,'Price comparisons'!$I$7+$H15))-1,0)</f>
        <v>0</v>
      </c>
      <c r="AB15" s="219" cm="1">
        <f t="array" ref="AB15">IFERROR(('Tariff schedule'!AB26/INDEX('Indicative prices'!AB$1:AB$916,'Price comparisons'!$I$7+$H15))-1,0)</f>
        <v>0</v>
      </c>
      <c r="AC15" s="220"/>
      <c r="AD15" s="19"/>
      <c r="AE15" s="19"/>
      <c r="AF15" s="19"/>
      <c r="AG15" s="19"/>
    </row>
    <row r="16" spans="1:33" outlineLevel="1" x14ac:dyDescent="0.2">
      <c r="A16" s="19"/>
      <c r="B16" s="19"/>
      <c r="C16" s="506" t="str">
        <f>Qty!C16</f>
        <v>Small business time of use demand</v>
      </c>
      <c r="D16" s="505" t="str">
        <f>Qty!D16</f>
        <v>Small Business LV</v>
      </c>
      <c r="E16" s="505" t="str">
        <f>Qty!E16</f>
        <v>TAS88</v>
      </c>
      <c r="F16" s="505">
        <f>Qty!F16</f>
        <v>0</v>
      </c>
      <c r="G16" s="505">
        <f>Qty!G16</f>
        <v>0</v>
      </c>
      <c r="H16" s="333">
        <v>8</v>
      </c>
      <c r="I16" s="219" cm="1">
        <f t="array" ref="I16">IFERROR(('Tariff schedule'!I27/INDEX('Indicative prices'!I$1:I$916,'Price comparisons'!$I$7+$H16))-1,0)</f>
        <v>0</v>
      </c>
      <c r="J16" s="219" cm="1">
        <f t="array" ref="J16">IFERROR(('Tariff schedule'!J27/INDEX('Indicative prices'!J$1:J$916,'Price comparisons'!$I$7+$H16))-1,0)</f>
        <v>0</v>
      </c>
      <c r="K16" s="219" cm="1">
        <f t="array" ref="K16">IFERROR(('Tariff schedule'!K27/INDEX('Indicative prices'!K$1:K$916,'Price comparisons'!$I$7+$H16))-1,0)</f>
        <v>0</v>
      </c>
      <c r="L16" s="219" cm="1">
        <f t="array" ref="L16">IFERROR(('Tariff schedule'!L27/INDEX('Indicative prices'!L$1:L$916,'Price comparisons'!$I$7+$H16))-1,0)</f>
        <v>0</v>
      </c>
      <c r="M16" s="219" cm="1">
        <f t="array" ref="M16">IFERROR(('Tariff schedule'!M27/INDEX('Indicative prices'!M$1:M$916,'Price comparisons'!$I$7+$H16))-1,0)</f>
        <v>0</v>
      </c>
      <c r="N16" s="219" cm="1">
        <f t="array" ref="N16">IFERROR(('Tariff schedule'!N27/INDEX('Indicative prices'!N$1:N$916,'Price comparisons'!$I$7+$H16))-1,0)</f>
        <v>0</v>
      </c>
      <c r="O16" s="219" cm="1">
        <f t="array" ref="O16">IFERROR(('Tariff schedule'!O27/INDEX('Indicative prices'!O$1:O$916,'Price comparisons'!$I$7+$H16))-1,0)</f>
        <v>-3.7593984962406179E-2</v>
      </c>
      <c r="P16" s="219" cm="1">
        <f t="array" ref="P16">IFERROR(('Tariff schedule'!P27/INDEX('Indicative prices'!P$1:P$916,'Price comparisons'!$I$7+$H16))-1,0)</f>
        <v>-3.7548037548037483E-2</v>
      </c>
      <c r="Q16" s="219" cm="1">
        <f t="array" ref="Q16">IFERROR(('Tariff schedule'!Q27/INDEX('Indicative prices'!Q$1:Q$916,'Price comparisons'!$I$7+$H16))-1,0)</f>
        <v>0</v>
      </c>
      <c r="R16" s="219" cm="1">
        <f t="array" ref="R16">IFERROR(('Tariff schedule'!R27/INDEX('Indicative prices'!R$1:R$916,'Price comparisons'!$I$7+$H16))-1,0)</f>
        <v>0</v>
      </c>
      <c r="S16" s="219" cm="1">
        <f t="array" ref="S16">IFERROR(('Tariff schedule'!S27/INDEX('Indicative prices'!S$1:S$916,'Price comparisons'!$I$7+$H16))-1,0)</f>
        <v>0</v>
      </c>
      <c r="T16" s="219" cm="1">
        <f t="array" ref="T16">IFERROR(('Tariff schedule'!T27/INDEX('Indicative prices'!T$1:T$916,'Price comparisons'!$I$7+$H16))-1,0)</f>
        <v>0</v>
      </c>
      <c r="U16" s="219" cm="1">
        <f t="array" ref="U16">IFERROR(('Tariff schedule'!U27/INDEX('Indicative prices'!U$1:U$916,'Price comparisons'!$I$7+$H16))-1,0)</f>
        <v>0</v>
      </c>
      <c r="V16" s="219" cm="1">
        <f t="array" ref="V16">IFERROR(('Tariff schedule'!V27/INDEX('Indicative prices'!V$1:V$916,'Price comparisons'!$I$7+$H16))-1,0)</f>
        <v>0</v>
      </c>
      <c r="W16" s="219" cm="1">
        <f t="array" ref="W16">IFERROR(('Tariff schedule'!W27/INDEX('Indicative prices'!W$1:W$916,'Price comparisons'!$I$7+$H16))-1,0)</f>
        <v>0</v>
      </c>
      <c r="X16" s="219" cm="1">
        <f t="array" ref="X16">IFERROR(('Tariff schedule'!X27/INDEX('Indicative prices'!X$1:X$916,'Price comparisons'!$I$7+$H16))-1,0)</f>
        <v>0</v>
      </c>
      <c r="Y16" s="219" cm="1">
        <f t="array" ref="Y16">IFERROR(('Tariff schedule'!Y27/INDEX('Indicative prices'!Y$1:Y$916,'Price comparisons'!$I$7+$H16))-1,0)</f>
        <v>0</v>
      </c>
      <c r="Z16" s="219" cm="1">
        <f t="array" ref="Z16">IFERROR(('Tariff schedule'!Z27/INDEX('Indicative prices'!Z$1:Z$916,'Price comparisons'!$I$7+$H16))-1,0)</f>
        <v>0</v>
      </c>
      <c r="AA16" s="219" cm="1">
        <f t="array" ref="AA16">IFERROR(('Tariff schedule'!AA27/INDEX('Indicative prices'!AA$1:AA$916,'Price comparisons'!$I$7+$H16))-1,0)</f>
        <v>0</v>
      </c>
      <c r="AB16" s="219" cm="1">
        <f t="array" ref="AB16">IFERROR(('Tariff schedule'!AB27/INDEX('Indicative prices'!AB$1:AB$916,'Price comparisons'!$I$7+$H16))-1,0)</f>
        <v>0</v>
      </c>
      <c r="AC16" s="220"/>
      <c r="AD16" s="19"/>
      <c r="AE16" s="19"/>
      <c r="AF16" s="19"/>
      <c r="AG16" s="19"/>
    </row>
    <row r="17" spans="1:33" outlineLevel="1" x14ac:dyDescent="0.2">
      <c r="A17" s="19"/>
      <c r="B17" s="19"/>
      <c r="C17" s="506" t="str">
        <f>Qty!C17</f>
        <v>Small business time of use demand DER</v>
      </c>
      <c r="D17" s="505" t="str">
        <f>Qty!D17</f>
        <v>Small Business LV</v>
      </c>
      <c r="E17" s="505" t="str">
        <f>Qty!E17</f>
        <v>TAS98</v>
      </c>
      <c r="F17" s="505">
        <f>Qty!F17</f>
        <v>0</v>
      </c>
      <c r="G17" s="505">
        <f>Qty!G17</f>
        <v>0</v>
      </c>
      <c r="H17" s="333">
        <v>9</v>
      </c>
      <c r="I17" s="219" cm="1">
        <f t="array" ref="I17">IFERROR(('Tariff schedule'!I28/INDEX('Indicative prices'!I$1:I$916,'Price comparisons'!$I$7+$H17))-1,0)</f>
        <v>0</v>
      </c>
      <c r="J17" s="219" cm="1">
        <f t="array" ref="J17">IFERROR(('Tariff schedule'!J28/INDEX('Indicative prices'!J$1:J$916,'Price comparisons'!$I$7+$H17))-1,0)</f>
        <v>0</v>
      </c>
      <c r="K17" s="219" cm="1">
        <f t="array" ref="K17">IFERROR(('Tariff schedule'!K28/INDEX('Indicative prices'!K$1:K$916,'Price comparisons'!$I$7+$H17))-1,0)</f>
        <v>0</v>
      </c>
      <c r="L17" s="219" cm="1">
        <f t="array" ref="L17">IFERROR(('Tariff schedule'!L28/INDEX('Indicative prices'!L$1:L$916,'Price comparisons'!$I$7+$H17))-1,0)</f>
        <v>0</v>
      </c>
      <c r="M17" s="219" cm="1">
        <f t="array" ref="M17">IFERROR(('Tariff schedule'!M28/INDEX('Indicative prices'!M$1:M$916,'Price comparisons'!$I$7+$H17))-1,0)</f>
        <v>0</v>
      </c>
      <c r="N17" s="219" cm="1">
        <f t="array" ref="N17">IFERROR(('Tariff schedule'!N28/INDEX('Indicative prices'!N$1:N$916,'Price comparisons'!$I$7+$H17))-1,0)</f>
        <v>0</v>
      </c>
      <c r="O17" s="219" cm="1">
        <f t="array" ref="O17">IFERROR(('Tariff schedule'!O28/INDEX('Indicative prices'!O$1:O$916,'Price comparisons'!$I$7+$H17))-1,0)</f>
        <v>-3.7593984962406179E-2</v>
      </c>
      <c r="P17" s="219" cm="1">
        <f t="array" ref="P17">IFERROR(('Tariff schedule'!P28/INDEX('Indicative prices'!P$1:P$916,'Price comparisons'!$I$7+$H17))-1,0)</f>
        <v>-3.7548037548037483E-2</v>
      </c>
      <c r="Q17" s="219" cm="1">
        <f t="array" ref="Q17">IFERROR(('Tariff schedule'!Q28/INDEX('Indicative prices'!Q$1:Q$916,'Price comparisons'!$I$7+$H17))-1,0)</f>
        <v>0</v>
      </c>
      <c r="R17" s="219" cm="1">
        <f t="array" ref="R17">IFERROR(('Tariff schedule'!R28/INDEX('Indicative prices'!R$1:R$916,'Price comparisons'!$I$7+$H17))-1,0)</f>
        <v>0</v>
      </c>
      <c r="S17" s="219" cm="1">
        <f t="array" ref="S17">IFERROR(('Tariff schedule'!S28/INDEX('Indicative prices'!S$1:S$916,'Price comparisons'!$I$7+$H17))-1,0)</f>
        <v>0</v>
      </c>
      <c r="T17" s="219" cm="1">
        <f t="array" ref="T17">IFERROR(('Tariff schedule'!T28/INDEX('Indicative prices'!T$1:T$916,'Price comparisons'!$I$7+$H17))-1,0)</f>
        <v>0</v>
      </c>
      <c r="U17" s="219" cm="1">
        <f t="array" ref="U17">IFERROR(('Tariff schedule'!U28/INDEX('Indicative prices'!U$1:U$916,'Price comparisons'!$I$7+$H17))-1,0)</f>
        <v>0</v>
      </c>
      <c r="V17" s="219" cm="1">
        <f t="array" ref="V17">IFERROR(('Tariff schedule'!V28/INDEX('Indicative prices'!V$1:V$916,'Price comparisons'!$I$7+$H17))-1,0)</f>
        <v>0</v>
      </c>
      <c r="W17" s="219" cm="1">
        <f t="array" ref="W17">IFERROR(('Tariff schedule'!W28/INDEX('Indicative prices'!W$1:W$916,'Price comparisons'!$I$7+$H17))-1,0)</f>
        <v>0</v>
      </c>
      <c r="X17" s="219" cm="1">
        <f t="array" ref="X17">IFERROR(('Tariff schedule'!X28/INDEX('Indicative prices'!X$1:X$916,'Price comparisons'!$I$7+$H17))-1,0)</f>
        <v>0</v>
      </c>
      <c r="Y17" s="219" cm="1">
        <f t="array" ref="Y17">IFERROR(('Tariff schedule'!Y28/INDEX('Indicative prices'!Y$1:Y$916,'Price comparisons'!$I$7+$H17))-1,0)</f>
        <v>0</v>
      </c>
      <c r="Z17" s="219" cm="1">
        <f t="array" ref="Z17">IFERROR(('Tariff schedule'!Z28/INDEX('Indicative prices'!Z$1:Z$916,'Price comparisons'!$I$7+$H17))-1,0)</f>
        <v>0</v>
      </c>
      <c r="AA17" s="219" cm="1">
        <f t="array" ref="AA17">IFERROR(('Tariff schedule'!AA28/INDEX('Indicative prices'!AA$1:AA$916,'Price comparisons'!$I$7+$H17))-1,0)</f>
        <v>0</v>
      </c>
      <c r="AB17" s="219" cm="1">
        <f t="array" ref="AB17">IFERROR(('Tariff schedule'!AB28/INDEX('Indicative prices'!AB$1:AB$916,'Price comparisons'!$I$7+$H17))-1,0)</f>
        <v>0</v>
      </c>
      <c r="AC17" s="220"/>
      <c r="AD17" s="19"/>
      <c r="AE17" s="19"/>
      <c r="AF17" s="19"/>
      <c r="AG17" s="19"/>
    </row>
    <row r="18" spans="1:33" outlineLevel="1" x14ac:dyDescent="0.2">
      <c r="A18" s="19"/>
      <c r="B18" s="19"/>
      <c r="C18" s="506" t="str">
        <f>Qty!C18</f>
        <v>Large business kVA demand</v>
      </c>
      <c r="D18" s="505" t="str">
        <f>Qty!D18</f>
        <v>Large Business LV</v>
      </c>
      <c r="E18" s="505" t="str">
        <f>Qty!E18</f>
        <v>TAS82</v>
      </c>
      <c r="F18" s="505">
        <f>Qty!F18</f>
        <v>0</v>
      </c>
      <c r="G18" s="505">
        <f>Qty!G18</f>
        <v>0</v>
      </c>
      <c r="H18" s="333">
        <v>10</v>
      </c>
      <c r="I18" s="219" cm="1">
        <f t="array" ref="I18">IFERROR(('Tariff schedule'!I29/INDEX('Indicative prices'!I$1:I$916,'Price comparisons'!$I$7+$H18))-1,0)</f>
        <v>0</v>
      </c>
      <c r="J18" s="219" cm="1">
        <f t="array" ref="J18">IFERROR(('Tariff schedule'!J29/INDEX('Indicative prices'!J$1:J$916,'Price comparisons'!$I$7+$H18))-1,0)</f>
        <v>-4.4407894736842146E-2</v>
      </c>
      <c r="K18" s="219" cm="1">
        <f t="array" ref="K18">IFERROR(('Tariff schedule'!K29/INDEX('Indicative prices'!K$1:K$916,'Price comparisons'!$I$7+$H18))-1,0)</f>
        <v>0</v>
      </c>
      <c r="L18" s="219" cm="1">
        <f t="array" ref="L18">IFERROR(('Tariff schedule'!L29/INDEX('Indicative prices'!L$1:L$916,'Price comparisons'!$I$7+$H18))-1,0)</f>
        <v>0</v>
      </c>
      <c r="M18" s="219" cm="1">
        <f t="array" ref="M18">IFERROR(('Tariff schedule'!M29/INDEX('Indicative prices'!M$1:M$916,'Price comparisons'!$I$7+$H18))-1,0)</f>
        <v>0</v>
      </c>
      <c r="N18" s="219" cm="1">
        <f t="array" ref="N18">IFERROR(('Tariff schedule'!N29/INDEX('Indicative prices'!N$1:N$916,'Price comparisons'!$I$7+$H18))-1,0)</f>
        <v>-4.1862205971266553E-2</v>
      </c>
      <c r="O18" s="219" cm="1">
        <f t="array" ref="O18">IFERROR(('Tariff schedule'!O29/INDEX('Indicative prices'!O$1:O$916,'Price comparisons'!$I$7+$H18))-1,0)</f>
        <v>0</v>
      </c>
      <c r="P18" s="219" cm="1">
        <f t="array" ref="P18">IFERROR(('Tariff schedule'!P29/INDEX('Indicative prices'!P$1:P$916,'Price comparisons'!$I$7+$H18))-1,0)</f>
        <v>0</v>
      </c>
      <c r="Q18" s="219" cm="1">
        <f t="array" ref="Q18">IFERROR(('Tariff schedule'!Q29/INDEX('Indicative prices'!Q$1:Q$916,'Price comparisons'!$I$7+$H18))-1,0)</f>
        <v>0</v>
      </c>
      <c r="R18" s="219" cm="1">
        <f t="array" ref="R18">IFERROR(('Tariff schedule'!R29/INDEX('Indicative prices'!R$1:R$916,'Price comparisons'!$I$7+$H18))-1,0)</f>
        <v>0</v>
      </c>
      <c r="S18" s="219" cm="1">
        <f t="array" ref="S18">IFERROR(('Tariff schedule'!S29/INDEX('Indicative prices'!S$1:S$916,'Price comparisons'!$I$7+$H18))-1,0)</f>
        <v>0</v>
      </c>
      <c r="T18" s="219" cm="1">
        <f t="array" ref="T18">IFERROR(('Tariff schedule'!T29/INDEX('Indicative prices'!T$1:T$916,'Price comparisons'!$I$7+$H18))-1,0)</f>
        <v>0</v>
      </c>
      <c r="U18" s="219" cm="1">
        <f t="array" ref="U18">IFERROR(('Tariff schedule'!U29/INDEX('Indicative prices'!U$1:U$916,'Price comparisons'!$I$7+$H18))-1,0)</f>
        <v>0</v>
      </c>
      <c r="V18" s="219" cm="1">
        <f t="array" ref="V18">IFERROR(('Tariff schedule'!V29/INDEX('Indicative prices'!V$1:V$916,'Price comparisons'!$I$7+$H18))-1,0)</f>
        <v>0</v>
      </c>
      <c r="W18" s="219" cm="1">
        <f t="array" ref="W18">IFERROR(('Tariff schedule'!W29/INDEX('Indicative prices'!W$1:W$916,'Price comparisons'!$I$7+$H18))-1,0)</f>
        <v>0</v>
      </c>
      <c r="X18" s="219" cm="1">
        <f t="array" ref="X18">IFERROR(('Tariff schedule'!X29/INDEX('Indicative prices'!X$1:X$916,'Price comparisons'!$I$7+$H18))-1,0)</f>
        <v>0</v>
      </c>
      <c r="Y18" s="219" cm="1">
        <f t="array" ref="Y18">IFERROR(('Tariff schedule'!Y29/INDEX('Indicative prices'!Y$1:Y$916,'Price comparisons'!$I$7+$H18))-1,0)</f>
        <v>0</v>
      </c>
      <c r="Z18" s="219" cm="1">
        <f t="array" ref="Z18">IFERROR(('Tariff schedule'!Z29/INDEX('Indicative prices'!Z$1:Z$916,'Price comparisons'!$I$7+$H18))-1,0)</f>
        <v>0</v>
      </c>
      <c r="AA18" s="219" cm="1">
        <f t="array" ref="AA18">IFERROR(('Tariff schedule'!AA29/INDEX('Indicative prices'!AA$1:AA$916,'Price comparisons'!$I$7+$H18))-1,0)</f>
        <v>0</v>
      </c>
      <c r="AB18" s="219" cm="1">
        <f t="array" ref="AB18">IFERROR(('Tariff schedule'!AB29/INDEX('Indicative prices'!AB$1:AB$916,'Price comparisons'!$I$7+$H18))-1,0)</f>
        <v>0</v>
      </c>
      <c r="AC18" s="220"/>
      <c r="AD18" s="19"/>
      <c r="AE18" s="19"/>
      <c r="AF18" s="19"/>
      <c r="AG18" s="19"/>
    </row>
    <row r="19" spans="1:33" outlineLevel="1" x14ac:dyDescent="0.2">
      <c r="A19" s="19"/>
      <c r="B19" s="19"/>
      <c r="C19" s="506" t="str">
        <f>Qty!C19</f>
        <v>Large business time of use demand</v>
      </c>
      <c r="D19" s="505" t="str">
        <f>Qty!D19</f>
        <v>Large Business LV</v>
      </c>
      <c r="E19" s="505" t="str">
        <f>Qty!E19</f>
        <v>TAS89</v>
      </c>
      <c r="F19" s="505">
        <f>Qty!F19</f>
        <v>0</v>
      </c>
      <c r="G19" s="505">
        <f>Qty!G19</f>
        <v>0</v>
      </c>
      <c r="H19" s="333">
        <v>11</v>
      </c>
      <c r="I19" s="219" cm="1">
        <f t="array" ref="I19">IFERROR(('Tariff schedule'!I30/INDEX('Indicative prices'!I$1:I$916,'Price comparisons'!$I$7+$H19))-1,0)</f>
        <v>0</v>
      </c>
      <c r="J19" s="219" cm="1">
        <f t="array" ref="J19">IFERROR(('Tariff schedule'!J30/INDEX('Indicative prices'!J$1:J$916,'Price comparisons'!$I$7+$H19))-1,0)</f>
        <v>0</v>
      </c>
      <c r="K19" s="219" cm="1">
        <f t="array" ref="K19">IFERROR(('Tariff schedule'!K30/INDEX('Indicative prices'!K$1:K$916,'Price comparisons'!$I$7+$H19))-1,0)</f>
        <v>0</v>
      </c>
      <c r="L19" s="219" cm="1">
        <f t="array" ref="L19">IFERROR(('Tariff schedule'!L30/INDEX('Indicative prices'!L$1:L$916,'Price comparisons'!$I$7+$H19))-1,0)</f>
        <v>0</v>
      </c>
      <c r="M19" s="219" cm="1">
        <f t="array" ref="M19">IFERROR(('Tariff schedule'!M30/INDEX('Indicative prices'!M$1:M$916,'Price comparisons'!$I$7+$H19))-1,0)</f>
        <v>0</v>
      </c>
      <c r="N19" s="219" cm="1">
        <f t="array" ref="N19">IFERROR(('Tariff schedule'!N30/INDEX('Indicative prices'!N$1:N$916,'Price comparisons'!$I$7+$H19))-1,0)</f>
        <v>0</v>
      </c>
      <c r="O19" s="219" cm="1">
        <f t="array" ref="O19">IFERROR(('Tariff schedule'!O30/INDEX('Indicative prices'!O$1:O$916,'Price comparisons'!$I$7+$H19))-1,0)</f>
        <v>-4.5886802352272382E-2</v>
      </c>
      <c r="P19" s="219" cm="1">
        <f t="array" ref="P19">IFERROR(('Tariff schedule'!P30/INDEX('Indicative prices'!P$1:P$916,'Price comparisons'!$I$7+$H19))-1,0)</f>
        <v>-4.5887218538699037E-2</v>
      </c>
      <c r="Q19" s="219" cm="1">
        <f t="array" ref="Q19">IFERROR(('Tariff schedule'!Q30/INDEX('Indicative prices'!Q$1:Q$916,'Price comparisons'!$I$7+$H19))-1,0)</f>
        <v>0</v>
      </c>
      <c r="R19" s="219" cm="1">
        <f t="array" ref="R19">IFERROR(('Tariff schedule'!R30/INDEX('Indicative prices'!R$1:R$916,'Price comparisons'!$I$7+$H19))-1,0)</f>
        <v>0</v>
      </c>
      <c r="S19" s="219" cm="1">
        <f t="array" ref="S19">IFERROR(('Tariff schedule'!S30/INDEX('Indicative prices'!S$1:S$916,'Price comparisons'!$I$7+$H19))-1,0)</f>
        <v>0</v>
      </c>
      <c r="T19" s="219" cm="1">
        <f t="array" ref="T19">IFERROR(('Tariff schedule'!T30/INDEX('Indicative prices'!T$1:T$916,'Price comparisons'!$I$7+$H19))-1,0)</f>
        <v>0</v>
      </c>
      <c r="U19" s="219" cm="1">
        <f t="array" ref="U19">IFERROR(('Tariff schedule'!U30/INDEX('Indicative prices'!U$1:U$916,'Price comparisons'!$I$7+$H19))-1,0)</f>
        <v>0</v>
      </c>
      <c r="V19" s="219" cm="1">
        <f t="array" ref="V19">IFERROR(('Tariff schedule'!V30/INDEX('Indicative prices'!V$1:V$916,'Price comparisons'!$I$7+$H19))-1,0)</f>
        <v>0</v>
      </c>
      <c r="W19" s="219" cm="1">
        <f t="array" ref="W19">IFERROR(('Tariff schedule'!W30/INDEX('Indicative prices'!W$1:W$916,'Price comparisons'!$I$7+$H19))-1,0)</f>
        <v>0</v>
      </c>
      <c r="X19" s="219" cm="1">
        <f t="array" ref="X19">IFERROR(('Tariff schedule'!X30/INDEX('Indicative prices'!X$1:X$916,'Price comparisons'!$I$7+$H19))-1,0)</f>
        <v>0</v>
      </c>
      <c r="Y19" s="219" cm="1">
        <f t="array" ref="Y19">IFERROR(('Tariff schedule'!Y30/INDEX('Indicative prices'!Y$1:Y$916,'Price comparisons'!$I$7+$H19))-1,0)</f>
        <v>0</v>
      </c>
      <c r="Z19" s="219" cm="1">
        <f t="array" ref="Z19">IFERROR(('Tariff schedule'!Z30/INDEX('Indicative prices'!Z$1:Z$916,'Price comparisons'!$I$7+$H19))-1,0)</f>
        <v>0</v>
      </c>
      <c r="AA19" s="219" cm="1">
        <f t="array" ref="AA19">IFERROR(('Tariff schedule'!AA30/INDEX('Indicative prices'!AA$1:AA$916,'Price comparisons'!$I$7+$H19))-1,0)</f>
        <v>0</v>
      </c>
      <c r="AB19" s="219" cm="1">
        <f t="array" ref="AB19">IFERROR(('Tariff schedule'!AB30/INDEX('Indicative prices'!AB$1:AB$916,'Price comparisons'!$I$7+$H19))-1,0)</f>
        <v>0</v>
      </c>
      <c r="AC19" s="220"/>
      <c r="AD19" s="19"/>
      <c r="AE19" s="19"/>
      <c r="AF19" s="19"/>
      <c r="AG19" s="19"/>
    </row>
    <row r="20" spans="1:33" outlineLevel="1" x14ac:dyDescent="0.2">
      <c r="A20" s="19"/>
      <c r="B20" s="19"/>
      <c r="C20" s="506" t="str">
        <f>Qty!C20</f>
        <v>Irrigation time of use consumption</v>
      </c>
      <c r="D20" s="505" t="str">
        <f>Qty!D20</f>
        <v>Irrigation</v>
      </c>
      <c r="E20" s="505" t="str">
        <f>Qty!E20</f>
        <v>TAS75</v>
      </c>
      <c r="F20" s="505">
        <f>Qty!F20</f>
        <v>0</v>
      </c>
      <c r="G20" s="505">
        <f>Qty!G20</f>
        <v>0</v>
      </c>
      <c r="H20" s="333">
        <v>12</v>
      </c>
      <c r="I20" s="219" cm="1">
        <f t="array" ref="I20">IFERROR(('Tariff schedule'!I31/INDEX('Indicative prices'!I$1:I$916,'Price comparisons'!$I$7+$H20))-1,0)</f>
        <v>0</v>
      </c>
      <c r="J20" s="219" cm="1">
        <f t="array" ref="J20">IFERROR(('Tariff schedule'!J31/INDEX('Indicative prices'!J$1:J$916,'Price comparisons'!$I$7+$H20))-1,0)</f>
        <v>0</v>
      </c>
      <c r="K20" s="219" cm="1">
        <f t="array" ref="K20">IFERROR(('Tariff schedule'!K31/INDEX('Indicative prices'!K$1:K$916,'Price comparisons'!$I$7+$H20))-1,0)</f>
        <v>-7.1022205909341052E-2</v>
      </c>
      <c r="L20" s="219" cm="1">
        <f t="array" ref="L20">IFERROR(('Tariff schedule'!L31/INDEX('Indicative prices'!L$1:L$916,'Price comparisons'!$I$7+$H20))-1,0)</f>
        <v>-7.1253822629969488E-2</v>
      </c>
      <c r="M20" s="219" cm="1">
        <f t="array" ref="M20">IFERROR(('Tariff schedule'!M31/INDEX('Indicative prices'!M$1:M$916,'Price comparisons'!$I$7+$H20))-1,0)</f>
        <v>-7.0948012232415869E-2</v>
      </c>
      <c r="N20" s="219" cm="1">
        <f t="array" ref="N20">IFERROR(('Tariff schedule'!N31/INDEX('Indicative prices'!N$1:N$916,'Price comparisons'!$I$7+$H20))-1,0)</f>
        <v>0</v>
      </c>
      <c r="O20" s="219" cm="1">
        <f t="array" ref="O20">IFERROR(('Tariff schedule'!O31/INDEX('Indicative prices'!O$1:O$916,'Price comparisons'!$I$7+$H20))-1,0)</f>
        <v>0</v>
      </c>
      <c r="P20" s="219" cm="1">
        <f t="array" ref="P20">IFERROR(('Tariff schedule'!P31/INDEX('Indicative prices'!P$1:P$916,'Price comparisons'!$I$7+$H20))-1,0)</f>
        <v>0</v>
      </c>
      <c r="Q20" s="219" cm="1">
        <f t="array" ref="Q20">IFERROR(('Tariff schedule'!Q31/INDEX('Indicative prices'!Q$1:Q$916,'Price comparisons'!$I$7+$H20))-1,0)</f>
        <v>0</v>
      </c>
      <c r="R20" s="219" cm="1">
        <f t="array" ref="R20">IFERROR(('Tariff schedule'!R31/INDEX('Indicative prices'!R$1:R$916,'Price comparisons'!$I$7+$H20))-1,0)</f>
        <v>0</v>
      </c>
      <c r="S20" s="219" cm="1">
        <f t="array" ref="S20">IFERROR(('Tariff schedule'!S31/INDEX('Indicative prices'!S$1:S$916,'Price comparisons'!$I$7+$H20))-1,0)</f>
        <v>0</v>
      </c>
      <c r="T20" s="219" cm="1">
        <f t="array" ref="T20">IFERROR(('Tariff schedule'!T31/INDEX('Indicative prices'!T$1:T$916,'Price comparisons'!$I$7+$H20))-1,0)</f>
        <v>0</v>
      </c>
      <c r="U20" s="219" cm="1">
        <f t="array" ref="U20">IFERROR(('Tariff schedule'!U31/INDEX('Indicative prices'!U$1:U$916,'Price comparisons'!$I$7+$H20))-1,0)</f>
        <v>0</v>
      </c>
      <c r="V20" s="219" cm="1">
        <f t="array" ref="V20">IFERROR(('Tariff schedule'!V31/INDEX('Indicative prices'!V$1:V$916,'Price comparisons'!$I$7+$H20))-1,0)</f>
        <v>0</v>
      </c>
      <c r="W20" s="219" cm="1">
        <f t="array" ref="W20">IFERROR(('Tariff schedule'!W31/INDEX('Indicative prices'!W$1:W$916,'Price comparisons'!$I$7+$H20))-1,0)</f>
        <v>0</v>
      </c>
      <c r="X20" s="219" cm="1">
        <f t="array" ref="X20">IFERROR(('Tariff schedule'!X31/INDEX('Indicative prices'!X$1:X$916,'Price comparisons'!$I$7+$H20))-1,0)</f>
        <v>0</v>
      </c>
      <c r="Y20" s="219" cm="1">
        <f t="array" ref="Y20">IFERROR(('Tariff schedule'!Y31/INDEX('Indicative prices'!Y$1:Y$916,'Price comparisons'!$I$7+$H20))-1,0)</f>
        <v>0</v>
      </c>
      <c r="Z20" s="219" cm="1">
        <f t="array" ref="Z20">IFERROR(('Tariff schedule'!Z31/INDEX('Indicative prices'!Z$1:Z$916,'Price comparisons'!$I$7+$H20))-1,0)</f>
        <v>0</v>
      </c>
      <c r="AA20" s="219" cm="1">
        <f t="array" ref="AA20">IFERROR(('Tariff schedule'!AA31/INDEX('Indicative prices'!AA$1:AA$916,'Price comparisons'!$I$7+$H20))-1,0)</f>
        <v>0</v>
      </c>
      <c r="AB20" s="219" cm="1">
        <f t="array" ref="AB20">IFERROR(('Tariff schedule'!AB31/INDEX('Indicative prices'!AB$1:AB$916,'Price comparisons'!$I$7+$H20))-1,0)</f>
        <v>0</v>
      </c>
      <c r="AC20" s="220"/>
      <c r="AD20" s="19"/>
      <c r="AE20" s="19"/>
      <c r="AF20" s="19"/>
      <c r="AG20" s="19"/>
    </row>
    <row r="21" spans="1:33" outlineLevel="1" x14ac:dyDescent="0.2">
      <c r="A21" s="19"/>
      <c r="B21" s="19"/>
      <c r="C21" s="506" t="str">
        <f>Qty!C21</f>
        <v>Business HV kVA specified demand &lt;2MVA</v>
      </c>
      <c r="D21" s="505" t="str">
        <f>Qty!D21</f>
        <v>Large Business HV</v>
      </c>
      <c r="E21" s="505" t="str">
        <f>Qty!E21</f>
        <v>TASSDM</v>
      </c>
      <c r="F21" s="505">
        <f>Qty!F21</f>
        <v>0</v>
      </c>
      <c r="G21" s="505">
        <f>Qty!G21</f>
        <v>0</v>
      </c>
      <c r="H21" s="333">
        <v>13</v>
      </c>
      <c r="I21" s="219" cm="1">
        <f t="array" ref="I21">IFERROR(('Tariff schedule'!I32/INDEX('Indicative prices'!I$1:I$916,'Price comparisons'!$I$7+$H21))-1,0)</f>
        <v>0</v>
      </c>
      <c r="J21" s="219" cm="1">
        <f t="array" ref="J21">IFERROR(('Tariff schedule'!J32/INDEX('Indicative prices'!J$1:J$916,'Price comparisons'!$I$7+$H21))-1,0)</f>
        <v>0</v>
      </c>
      <c r="K21" s="219" cm="1">
        <f t="array" ref="K21">IFERROR(('Tariff schedule'!K32/INDEX('Indicative prices'!K$1:K$916,'Price comparisons'!$I$7+$H21))-1,0)</f>
        <v>-5.0890585241730735E-3</v>
      </c>
      <c r="L21" s="219" cm="1">
        <f t="array" ref="L21">IFERROR(('Tariff schedule'!L32/INDEX('Indicative prices'!L$1:L$916,'Price comparisons'!$I$7+$H21))-1,0)</f>
        <v>-4.2432814710042788E-3</v>
      </c>
      <c r="M21" s="219" cm="1">
        <f t="array" ref="M21">IFERROR(('Tariff schedule'!M32/INDEX('Indicative prices'!M$1:M$916,'Price comparisons'!$I$7+$H21))-1,0)</f>
        <v>0</v>
      </c>
      <c r="N21" s="219" cm="1">
        <f t="array" ref="N21">IFERROR(('Tariff schedule'!N32/INDEX('Indicative prices'!N$1:N$916,'Price comparisons'!$I$7+$H21))-1,0)</f>
        <v>0</v>
      </c>
      <c r="O21" s="219" cm="1">
        <f t="array" ref="O21">IFERROR(('Tariff schedule'!O32/INDEX('Indicative prices'!O$1:O$916,'Price comparisons'!$I$7+$H21))-1,0)</f>
        <v>0</v>
      </c>
      <c r="P21" s="219" cm="1">
        <f t="array" ref="P21">IFERROR(('Tariff schedule'!P32/INDEX('Indicative prices'!P$1:P$916,'Price comparisons'!$I$7+$H21))-1,0)</f>
        <v>0</v>
      </c>
      <c r="Q21" s="219" cm="1">
        <f t="array" ref="Q21">IFERROR(('Tariff schedule'!Q32/INDEX('Indicative prices'!Q$1:Q$916,'Price comparisons'!$I$7+$H21))-1,0)</f>
        <v>-5.1853322086041653E-2</v>
      </c>
      <c r="R21" s="219" cm="1">
        <f t="array" ref="R21">IFERROR(('Tariff schedule'!R32/INDEX('Indicative prices'!R$1:R$916,'Price comparisons'!$I$7+$H21))-1,0)</f>
        <v>-5.181097751599073E-2</v>
      </c>
      <c r="S21" s="219" cm="1">
        <f t="array" ref="S21">IFERROR(('Tariff schedule'!S32/INDEX('Indicative prices'!S$1:S$916,'Price comparisons'!$I$7+$H21))-1,0)</f>
        <v>0</v>
      </c>
      <c r="T21" s="219" cm="1">
        <f t="array" ref="T21">IFERROR(('Tariff schedule'!T32/INDEX('Indicative prices'!T$1:T$916,'Price comparisons'!$I$7+$H21))-1,0)</f>
        <v>0</v>
      </c>
      <c r="U21" s="219" cm="1">
        <f t="array" ref="U21">IFERROR(('Tariff schedule'!U32/INDEX('Indicative prices'!U$1:U$916,'Price comparisons'!$I$7+$H21))-1,0)</f>
        <v>0</v>
      </c>
      <c r="V21" s="219" cm="1">
        <f t="array" ref="V21">IFERROR(('Tariff schedule'!V32/INDEX('Indicative prices'!V$1:V$916,'Price comparisons'!$I$7+$H21))-1,0)</f>
        <v>0</v>
      </c>
      <c r="W21" s="219" cm="1">
        <f t="array" ref="W21">IFERROR(('Tariff schedule'!W32/INDEX('Indicative prices'!W$1:W$916,'Price comparisons'!$I$7+$H21))-1,0)</f>
        <v>0</v>
      </c>
      <c r="X21" s="219" cm="1">
        <f t="array" ref="X21">IFERROR(('Tariff schedule'!X32/INDEX('Indicative prices'!X$1:X$916,'Price comparisons'!$I$7+$H21))-1,0)</f>
        <v>0</v>
      </c>
      <c r="Y21" s="219" cm="1">
        <f t="array" ref="Y21">IFERROR(('Tariff schedule'!Y32/INDEX('Indicative prices'!Y$1:Y$916,'Price comparisons'!$I$7+$H21))-1,0)</f>
        <v>0</v>
      </c>
      <c r="Z21" s="219" cm="1">
        <f t="array" ref="Z21">IFERROR(('Tariff schedule'!Z32/INDEX('Indicative prices'!Z$1:Z$916,'Price comparisons'!$I$7+$H21))-1,0)</f>
        <v>0</v>
      </c>
      <c r="AA21" s="219" cm="1">
        <f t="array" ref="AA21">IFERROR(('Tariff schedule'!AA32/INDEX('Indicative prices'!AA$1:AA$916,'Price comparisons'!$I$7+$H21))-1,0)</f>
        <v>0</v>
      </c>
      <c r="AB21" s="219" cm="1">
        <f t="array" ref="AB21">IFERROR(('Tariff schedule'!AB32/INDEX('Indicative prices'!AB$1:AB$916,'Price comparisons'!$I$7+$H21))-1,0)</f>
        <v>0</v>
      </c>
      <c r="AC21" s="220"/>
      <c r="AD21" s="19"/>
      <c r="AE21" s="19"/>
      <c r="AF21" s="19"/>
      <c r="AG21" s="19"/>
    </row>
    <row r="22" spans="1:33" outlineLevel="1" x14ac:dyDescent="0.2">
      <c r="A22" s="19"/>
      <c r="B22" s="19"/>
      <c r="C22" s="506" t="str">
        <f>Qty!C22</f>
        <v>Business HV kVA specified demand &gt;2MVA</v>
      </c>
      <c r="D22" s="505" t="str">
        <f>Qty!D22</f>
        <v>Large Business HV</v>
      </c>
      <c r="E22" s="505" t="str">
        <f>Qty!E22</f>
        <v>TAS15*</v>
      </c>
      <c r="F22" s="505">
        <f>Qty!F22</f>
        <v>0</v>
      </c>
      <c r="G22" s="505">
        <f>Qty!G22</f>
        <v>0</v>
      </c>
      <c r="H22" s="333">
        <v>14</v>
      </c>
      <c r="I22" s="219" cm="1">
        <f t="array" ref="I22">IFERROR(('Tariff schedule'!I33/INDEX('Indicative prices'!I$1:I$916,'Price comparisons'!$I$7+$H22))-1,0)</f>
        <v>-1.1102230246251565E-16</v>
      </c>
      <c r="J22" s="219" cm="1">
        <f t="array" ref="J22">IFERROR(('Tariff schedule'!J33/INDEX('Indicative prices'!J$1:J$916,'Price comparisons'!$I$7+$H22))-1,0)</f>
        <v>0</v>
      </c>
      <c r="K22" s="219" cm="1">
        <f t="array" ref="K22">IFERROR(('Tariff schedule'!K33/INDEX('Indicative prices'!K$1:K$916,'Price comparisons'!$I$7+$H22))-1,0)</f>
        <v>-5.5951169888097563E-2</v>
      </c>
      <c r="L22" s="219" cm="1">
        <f t="array" ref="L22">IFERROR(('Tariff schedule'!L33/INDEX('Indicative prices'!L$1:L$916,'Price comparisons'!$I$7+$H22))-1,0)</f>
        <v>-5.5932203389830404E-2</v>
      </c>
      <c r="M22" s="219" cm="1">
        <f t="array" ref="M22">IFERROR(('Tariff schedule'!M33/INDEX('Indicative prices'!M$1:M$916,'Price comparisons'!$I$7+$H22))-1,0)</f>
        <v>-6.0810810810810634E-2</v>
      </c>
      <c r="N22" s="219" cm="1">
        <f t="array" ref="N22">IFERROR(('Tariff schedule'!N33/INDEX('Indicative prices'!N$1:N$916,'Price comparisons'!$I$7+$H22))-1,0)</f>
        <v>0</v>
      </c>
      <c r="O22" s="219" cm="1">
        <f t="array" ref="O22">IFERROR(('Tariff schedule'!O33/INDEX('Indicative prices'!O$1:O$916,'Price comparisons'!$I$7+$H22))-1,0)</f>
        <v>0</v>
      </c>
      <c r="P22" s="219" cm="1">
        <f t="array" ref="P22">IFERROR(('Tariff schedule'!P33/INDEX('Indicative prices'!P$1:P$916,'Price comparisons'!$I$7+$H22))-1,0)</f>
        <v>0</v>
      </c>
      <c r="Q22" s="219" cm="1">
        <f t="array" ref="Q22">IFERROR(('Tariff schedule'!Q33/INDEX('Indicative prices'!Q$1:Q$916,'Price comparisons'!$I$7+$H22))-1,0)</f>
        <v>-6.5902869309540701E-2</v>
      </c>
      <c r="R22" s="219" cm="1">
        <f t="array" ref="R22">IFERROR(('Tariff schedule'!R33/INDEX('Indicative prices'!R$1:R$916,'Price comparisons'!$I$7+$H22))-1,0)</f>
        <v>-6.5959690173972962E-2</v>
      </c>
      <c r="S22" s="219" cm="1">
        <f t="array" ref="S22">IFERROR(('Tariff schedule'!S33/INDEX('Indicative prices'!S$1:S$916,'Price comparisons'!$I$7+$H22))-1,0)</f>
        <v>-6.6852367688022163E-2</v>
      </c>
      <c r="T22" s="219" cm="1">
        <f t="array" ref="T22">IFERROR(('Tariff schedule'!T33/INDEX('Indicative prices'!T$1:T$916,'Price comparisons'!$I$7+$H22))-1,0)</f>
        <v>-6.5290178571428603E-2</v>
      </c>
      <c r="U22" s="219" cm="1">
        <f t="array" ref="U22">IFERROR(('Tariff schedule'!U33/INDEX('Indicative prices'!U$1:U$916,'Price comparisons'!$I$7+$H22))-1,0)</f>
        <v>0</v>
      </c>
      <c r="V22" s="219" cm="1">
        <f t="array" ref="V22">IFERROR(('Tariff schedule'!V33/INDEX('Indicative prices'!V$1:V$916,'Price comparisons'!$I$7+$H22))-1,0)</f>
        <v>0</v>
      </c>
      <c r="W22" s="219" cm="1">
        <f t="array" ref="W22">IFERROR(('Tariff schedule'!W33/INDEX('Indicative prices'!W$1:W$916,'Price comparisons'!$I$7+$H22))-1,0)</f>
        <v>0</v>
      </c>
      <c r="X22" s="219" cm="1">
        <f t="array" ref="X22">IFERROR(('Tariff schedule'!X33/INDEX('Indicative prices'!X$1:X$916,'Price comparisons'!$I$7+$H22))-1,0)</f>
        <v>0</v>
      </c>
      <c r="Y22" s="219" cm="1">
        <f t="array" ref="Y22">IFERROR(('Tariff schedule'!Y33/INDEX('Indicative prices'!Y$1:Y$916,'Price comparisons'!$I$7+$H22))-1,0)</f>
        <v>0</v>
      </c>
      <c r="Z22" s="219" cm="1">
        <f t="array" ref="Z22">IFERROR(('Tariff schedule'!Z33/INDEX('Indicative prices'!Z$1:Z$916,'Price comparisons'!$I$7+$H22))-1,0)</f>
        <v>0</v>
      </c>
      <c r="AA22" s="219" cm="1">
        <f t="array" ref="AA22">IFERROR(('Tariff schedule'!AA33/INDEX('Indicative prices'!AA$1:AA$916,'Price comparisons'!$I$7+$H22))-1,0)</f>
        <v>0</v>
      </c>
      <c r="AB22" s="219" cm="1">
        <f t="array" ref="AB22">IFERROR(('Tariff schedule'!AB33/INDEX('Indicative prices'!AB$1:AB$916,'Price comparisons'!$I$7+$H22))-1,0)</f>
        <v>0</v>
      </c>
      <c r="AC22" s="220"/>
      <c r="AD22" s="19"/>
      <c r="AE22" s="19"/>
      <c r="AF22" s="19"/>
      <c r="AG22" s="19"/>
    </row>
    <row r="23" spans="1:33" outlineLevel="1" x14ac:dyDescent="0.2">
      <c r="A23" s="19"/>
      <c r="B23" s="19"/>
      <c r="C23" s="506" t="str">
        <f>Qty!C23</f>
        <v>Uncontrolled low voltage heating and hot water</v>
      </c>
      <c r="D23" s="505" t="str">
        <f>Qty!D23</f>
        <v>Uncontrolled energy</v>
      </c>
      <c r="E23" s="505" t="str">
        <f>Qty!E23</f>
        <v>TAS41</v>
      </c>
      <c r="F23" s="505">
        <f>Qty!F23</f>
        <v>0</v>
      </c>
      <c r="G23" s="505">
        <f>Qty!G23</f>
        <v>0</v>
      </c>
      <c r="H23" s="333">
        <v>15</v>
      </c>
      <c r="I23" s="219" cm="1">
        <f t="array" ref="I23">IFERROR(('Tariff schedule'!I34/INDEX('Indicative prices'!I$1:I$916,'Price comparisons'!$I$7+$H23))-1,0)</f>
        <v>0</v>
      </c>
      <c r="J23" s="219" cm="1">
        <f t="array" ref="J23">IFERROR(('Tariff schedule'!J34/INDEX('Indicative prices'!J$1:J$916,'Price comparisons'!$I$7+$H23))-1,0)</f>
        <v>-1.9700286243475307E-2</v>
      </c>
      <c r="K23" s="219" cm="1">
        <f t="array" ref="K23">IFERROR(('Tariff schedule'!K34/INDEX('Indicative prices'!K$1:K$916,'Price comparisons'!$I$7+$H23))-1,0)</f>
        <v>0</v>
      </c>
      <c r="L23" s="219" cm="1">
        <f t="array" ref="L23">IFERROR(('Tariff schedule'!L34/INDEX('Indicative prices'!L$1:L$916,'Price comparisons'!$I$7+$H23))-1,0)</f>
        <v>0</v>
      </c>
      <c r="M23" s="219" cm="1">
        <f t="array" ref="M23">IFERROR(('Tariff schedule'!M34/INDEX('Indicative prices'!M$1:M$916,'Price comparisons'!$I$7+$H23))-1,0)</f>
        <v>0</v>
      </c>
      <c r="N23" s="219" cm="1">
        <f t="array" ref="N23">IFERROR(('Tariff schedule'!N34/INDEX('Indicative prices'!N$1:N$916,'Price comparisons'!$I$7+$H23))-1,0)</f>
        <v>0</v>
      </c>
      <c r="O23" s="219" cm="1">
        <f t="array" ref="O23">IFERROR(('Tariff schedule'!O34/INDEX('Indicative prices'!O$1:O$916,'Price comparisons'!$I$7+$H23))-1,0)</f>
        <v>0</v>
      </c>
      <c r="P23" s="219" cm="1">
        <f t="array" ref="P23">IFERROR(('Tariff schedule'!P34/INDEX('Indicative prices'!P$1:P$916,'Price comparisons'!$I$7+$H23))-1,0)</f>
        <v>0</v>
      </c>
      <c r="Q23" s="219" cm="1">
        <f t="array" ref="Q23">IFERROR(('Tariff schedule'!Q34/INDEX('Indicative prices'!Q$1:Q$916,'Price comparisons'!$I$7+$H23))-1,0)</f>
        <v>0</v>
      </c>
      <c r="R23" s="219" cm="1">
        <f t="array" ref="R23">IFERROR(('Tariff schedule'!R34/INDEX('Indicative prices'!R$1:R$916,'Price comparisons'!$I$7+$H23))-1,0)</f>
        <v>0</v>
      </c>
      <c r="S23" s="219" cm="1">
        <f t="array" ref="S23">IFERROR(('Tariff schedule'!S34/INDEX('Indicative prices'!S$1:S$916,'Price comparisons'!$I$7+$H23))-1,0)</f>
        <v>0</v>
      </c>
      <c r="T23" s="219" cm="1">
        <f t="array" ref="T23">IFERROR(('Tariff schedule'!T34/INDEX('Indicative prices'!T$1:T$916,'Price comparisons'!$I$7+$H23))-1,0)</f>
        <v>0</v>
      </c>
      <c r="U23" s="219" cm="1">
        <f t="array" ref="U23">IFERROR(('Tariff schedule'!U34/INDEX('Indicative prices'!U$1:U$916,'Price comparisons'!$I$7+$H23))-1,0)</f>
        <v>0</v>
      </c>
      <c r="V23" s="219" cm="1">
        <f t="array" ref="V23">IFERROR(('Tariff schedule'!V34/INDEX('Indicative prices'!V$1:V$916,'Price comparisons'!$I$7+$H23))-1,0)</f>
        <v>0</v>
      </c>
      <c r="W23" s="219" cm="1">
        <f t="array" ref="W23">IFERROR(('Tariff schedule'!W34/INDEX('Indicative prices'!W$1:W$916,'Price comparisons'!$I$7+$H23))-1,0)</f>
        <v>0</v>
      </c>
      <c r="X23" s="219" cm="1">
        <f t="array" ref="X23">IFERROR(('Tariff schedule'!X34/INDEX('Indicative prices'!X$1:X$916,'Price comparisons'!$I$7+$H23))-1,0)</f>
        <v>0</v>
      </c>
      <c r="Y23" s="219" cm="1">
        <f t="array" ref="Y23">IFERROR(('Tariff schedule'!Y34/INDEX('Indicative prices'!Y$1:Y$916,'Price comparisons'!$I$7+$H23))-1,0)</f>
        <v>0</v>
      </c>
      <c r="Z23" s="219" cm="1">
        <f t="array" ref="Z23">IFERROR(('Tariff schedule'!Z34/INDEX('Indicative prices'!Z$1:Z$916,'Price comparisons'!$I$7+$H23))-1,0)</f>
        <v>0</v>
      </c>
      <c r="AA23" s="219" cm="1">
        <f t="array" ref="AA23">IFERROR(('Tariff schedule'!AA34/INDEX('Indicative prices'!AA$1:AA$916,'Price comparisons'!$I$7+$H23))-1,0)</f>
        <v>0</v>
      </c>
      <c r="AB23" s="219" cm="1">
        <f t="array" ref="AB23">IFERROR(('Tariff schedule'!AB34/INDEX('Indicative prices'!AB$1:AB$916,'Price comparisons'!$I$7+$H23))-1,0)</f>
        <v>0</v>
      </c>
      <c r="AC23" s="220"/>
      <c r="AD23" s="19"/>
      <c r="AE23" s="19"/>
      <c r="AF23" s="19"/>
      <c r="AG23" s="19"/>
    </row>
    <row r="24" spans="1:33" outlineLevel="1" x14ac:dyDescent="0.2">
      <c r="A24" s="19"/>
      <c r="B24" s="19"/>
      <c r="C24" s="506" t="str">
        <f>Qty!C24</f>
        <v>Controlled low voltage night period only</v>
      </c>
      <c r="D24" s="505" t="str">
        <f>Qty!D24</f>
        <v>Controlled energy</v>
      </c>
      <c r="E24" s="505" t="str">
        <f>Qty!E24</f>
        <v>TAS63</v>
      </c>
      <c r="F24" s="505">
        <f>Qty!F24</f>
        <v>0</v>
      </c>
      <c r="G24" s="505">
        <f>Qty!G24</f>
        <v>0</v>
      </c>
      <c r="H24" s="333">
        <v>16</v>
      </c>
      <c r="I24" s="219" cm="1">
        <f t="array" ref="I24">IFERROR(('Tariff schedule'!I35/INDEX('Indicative prices'!I$1:I$916,'Price comparisons'!$I$7+$H24))-1,0)</f>
        <v>0</v>
      </c>
      <c r="J24" s="219" cm="1">
        <f t="array" ref="J24">IFERROR(('Tariff schedule'!J35/INDEX('Indicative prices'!J$1:J$916,'Price comparisons'!$I$7+$H24))-1,0)</f>
        <v>-4.0656205420827374E-2</v>
      </c>
      <c r="K24" s="219" cm="1">
        <f t="array" ref="K24">IFERROR(('Tariff schedule'!K35/INDEX('Indicative prices'!K$1:K$916,'Price comparisons'!$I$7+$H24))-1,0)</f>
        <v>0</v>
      </c>
      <c r="L24" s="219" cm="1">
        <f t="array" ref="L24">IFERROR(('Tariff schedule'!L35/INDEX('Indicative prices'!L$1:L$916,'Price comparisons'!$I$7+$H24))-1,0)</f>
        <v>0</v>
      </c>
      <c r="M24" s="219" cm="1">
        <f t="array" ref="M24">IFERROR(('Tariff schedule'!M35/INDEX('Indicative prices'!M$1:M$916,'Price comparisons'!$I$7+$H24))-1,0)</f>
        <v>0</v>
      </c>
      <c r="N24" s="219" cm="1">
        <f t="array" ref="N24">IFERROR(('Tariff schedule'!N35/INDEX('Indicative prices'!N$1:N$916,'Price comparisons'!$I$7+$H24))-1,0)</f>
        <v>0</v>
      </c>
      <c r="O24" s="219" cm="1">
        <f t="array" ref="O24">IFERROR(('Tariff schedule'!O35/INDEX('Indicative prices'!O$1:O$916,'Price comparisons'!$I$7+$H24))-1,0)</f>
        <v>0</v>
      </c>
      <c r="P24" s="219" cm="1">
        <f t="array" ref="P24">IFERROR(('Tariff schedule'!P35/INDEX('Indicative prices'!P$1:P$916,'Price comparisons'!$I$7+$H24))-1,0)</f>
        <v>0</v>
      </c>
      <c r="Q24" s="219" cm="1">
        <f t="array" ref="Q24">IFERROR(('Tariff schedule'!Q35/INDEX('Indicative prices'!Q$1:Q$916,'Price comparisons'!$I$7+$H24))-1,0)</f>
        <v>0</v>
      </c>
      <c r="R24" s="219" cm="1">
        <f t="array" ref="R24">IFERROR(('Tariff schedule'!R35/INDEX('Indicative prices'!R$1:R$916,'Price comparisons'!$I$7+$H24))-1,0)</f>
        <v>0</v>
      </c>
      <c r="S24" s="219" cm="1">
        <f t="array" ref="S24">IFERROR(('Tariff schedule'!S35/INDEX('Indicative prices'!S$1:S$916,'Price comparisons'!$I$7+$H24))-1,0)</f>
        <v>0</v>
      </c>
      <c r="T24" s="219" cm="1">
        <f t="array" ref="T24">IFERROR(('Tariff schedule'!T35/INDEX('Indicative prices'!T$1:T$916,'Price comparisons'!$I$7+$H24))-1,0)</f>
        <v>0</v>
      </c>
      <c r="U24" s="219" cm="1">
        <f t="array" ref="U24">IFERROR(('Tariff schedule'!U35/INDEX('Indicative prices'!U$1:U$916,'Price comparisons'!$I$7+$H24))-1,0)</f>
        <v>0</v>
      </c>
      <c r="V24" s="219" cm="1">
        <f t="array" ref="V24">IFERROR(('Tariff schedule'!V35/INDEX('Indicative prices'!V$1:V$916,'Price comparisons'!$I$7+$H24))-1,0)</f>
        <v>0</v>
      </c>
      <c r="W24" s="219" cm="1">
        <f t="array" ref="W24">IFERROR(('Tariff schedule'!W35/INDEX('Indicative prices'!W$1:W$916,'Price comparisons'!$I$7+$H24))-1,0)</f>
        <v>0</v>
      </c>
      <c r="X24" s="219" cm="1">
        <f t="array" ref="X24">IFERROR(('Tariff schedule'!X35/INDEX('Indicative prices'!X$1:X$916,'Price comparisons'!$I$7+$H24))-1,0)</f>
        <v>0</v>
      </c>
      <c r="Y24" s="219" cm="1">
        <f t="array" ref="Y24">IFERROR(('Tariff schedule'!Y35/INDEX('Indicative prices'!Y$1:Y$916,'Price comparisons'!$I$7+$H24))-1,0)</f>
        <v>0</v>
      </c>
      <c r="Z24" s="219" cm="1">
        <f t="array" ref="Z24">IFERROR(('Tariff schedule'!Z35/INDEX('Indicative prices'!Z$1:Z$916,'Price comparisons'!$I$7+$H24))-1,0)</f>
        <v>0</v>
      </c>
      <c r="AA24" s="219" cm="1">
        <f t="array" ref="AA24">IFERROR(('Tariff schedule'!AA35/INDEX('Indicative prices'!AA$1:AA$916,'Price comparisons'!$I$7+$H24))-1,0)</f>
        <v>0</v>
      </c>
      <c r="AB24" s="219" cm="1">
        <f t="array" ref="AB24">IFERROR(('Tariff schedule'!AB35/INDEX('Indicative prices'!AB$1:AB$916,'Price comparisons'!$I$7+$H24))-1,0)</f>
        <v>0</v>
      </c>
      <c r="AC24" s="220"/>
      <c r="AD24" s="19"/>
      <c r="AE24" s="19"/>
      <c r="AF24" s="19"/>
      <c r="AG24" s="19"/>
    </row>
    <row r="25" spans="1:33" outlineLevel="1" x14ac:dyDescent="0.2">
      <c r="A25" s="19"/>
      <c r="B25" s="19"/>
      <c r="C25" s="506" t="str">
        <f>Qty!C25</f>
        <v>Controlled low voltage off peak with afternoon boost</v>
      </c>
      <c r="D25" s="505" t="str">
        <f>Qty!D25</f>
        <v>Controlled energy</v>
      </c>
      <c r="E25" s="505" t="str">
        <f>Qty!E25</f>
        <v>TAS61</v>
      </c>
      <c r="F25" s="505">
        <f>Qty!F25</f>
        <v>0</v>
      </c>
      <c r="G25" s="505">
        <f>Qty!G25</f>
        <v>0</v>
      </c>
      <c r="H25" s="333">
        <v>17</v>
      </c>
      <c r="I25" s="219" cm="1">
        <f t="array" ref="I25">IFERROR(('Tariff schedule'!I36/INDEX('Indicative prices'!I$1:I$916,'Price comparisons'!$I$7+$H25))-1,0)</f>
        <v>0</v>
      </c>
      <c r="J25" s="219" cm="1">
        <f t="array" ref="J25">IFERROR(('Tariff schedule'!J36/INDEX('Indicative prices'!J$1:J$916,'Price comparisons'!$I$7+$H25))-1,0)</f>
        <v>-4.0049291435612977E-2</v>
      </c>
      <c r="K25" s="219" cm="1">
        <f t="array" ref="K25">IFERROR(('Tariff schedule'!K36/INDEX('Indicative prices'!K$1:K$916,'Price comparisons'!$I$7+$H25))-1,0)</f>
        <v>0</v>
      </c>
      <c r="L25" s="219" cm="1">
        <f t="array" ref="L25">IFERROR(('Tariff schedule'!L36/INDEX('Indicative prices'!L$1:L$916,'Price comparisons'!$I$7+$H25))-1,0)</f>
        <v>0</v>
      </c>
      <c r="M25" s="219" cm="1">
        <f t="array" ref="M25">IFERROR(('Tariff schedule'!M36/INDEX('Indicative prices'!M$1:M$916,'Price comparisons'!$I$7+$H25))-1,0)</f>
        <v>0</v>
      </c>
      <c r="N25" s="219" cm="1">
        <f t="array" ref="N25">IFERROR(('Tariff schedule'!N36/INDEX('Indicative prices'!N$1:N$916,'Price comparisons'!$I$7+$H25))-1,0)</f>
        <v>0</v>
      </c>
      <c r="O25" s="219" cm="1">
        <f t="array" ref="O25">IFERROR(('Tariff schedule'!O36/INDEX('Indicative prices'!O$1:O$916,'Price comparisons'!$I$7+$H25))-1,0)</f>
        <v>0</v>
      </c>
      <c r="P25" s="219" cm="1">
        <f t="array" ref="P25">IFERROR(('Tariff schedule'!P36/INDEX('Indicative prices'!P$1:P$916,'Price comparisons'!$I$7+$H25))-1,0)</f>
        <v>0</v>
      </c>
      <c r="Q25" s="219" cm="1">
        <f t="array" ref="Q25">IFERROR(('Tariff schedule'!Q36/INDEX('Indicative prices'!Q$1:Q$916,'Price comparisons'!$I$7+$H25))-1,0)</f>
        <v>0</v>
      </c>
      <c r="R25" s="219" cm="1">
        <f t="array" ref="R25">IFERROR(('Tariff schedule'!R36/INDEX('Indicative prices'!R$1:R$916,'Price comparisons'!$I$7+$H25))-1,0)</f>
        <v>0</v>
      </c>
      <c r="S25" s="219" cm="1">
        <f t="array" ref="S25">IFERROR(('Tariff schedule'!S36/INDEX('Indicative prices'!S$1:S$916,'Price comparisons'!$I$7+$H25))-1,0)</f>
        <v>0</v>
      </c>
      <c r="T25" s="219" cm="1">
        <f t="array" ref="T25">IFERROR(('Tariff schedule'!T36/INDEX('Indicative prices'!T$1:T$916,'Price comparisons'!$I$7+$H25))-1,0)</f>
        <v>0</v>
      </c>
      <c r="U25" s="219" cm="1">
        <f t="array" ref="U25">IFERROR(('Tariff schedule'!U36/INDEX('Indicative prices'!U$1:U$916,'Price comparisons'!$I$7+$H25))-1,0)</f>
        <v>0</v>
      </c>
      <c r="V25" s="219" cm="1">
        <f t="array" ref="V25">IFERROR(('Tariff schedule'!V36/INDEX('Indicative prices'!V$1:V$916,'Price comparisons'!$I$7+$H25))-1,0)</f>
        <v>0</v>
      </c>
      <c r="W25" s="219" cm="1">
        <f t="array" ref="W25">IFERROR(('Tariff schedule'!W36/INDEX('Indicative prices'!W$1:W$916,'Price comparisons'!$I$7+$H25))-1,0)</f>
        <v>0</v>
      </c>
      <c r="X25" s="219" cm="1">
        <f t="array" ref="X25">IFERROR(('Tariff schedule'!X36/INDEX('Indicative prices'!X$1:X$916,'Price comparisons'!$I$7+$H25))-1,0)</f>
        <v>0</v>
      </c>
      <c r="Y25" s="219" cm="1">
        <f t="array" ref="Y25">IFERROR(('Tariff schedule'!Y36/INDEX('Indicative prices'!Y$1:Y$916,'Price comparisons'!$I$7+$H25))-1,0)</f>
        <v>0</v>
      </c>
      <c r="Z25" s="219" cm="1">
        <f t="array" ref="Z25">IFERROR(('Tariff schedule'!Z36/INDEX('Indicative prices'!Z$1:Z$916,'Price comparisons'!$I$7+$H25))-1,0)</f>
        <v>0</v>
      </c>
      <c r="AA25" s="219" cm="1">
        <f t="array" ref="AA25">IFERROR(('Tariff schedule'!AA36/INDEX('Indicative prices'!AA$1:AA$916,'Price comparisons'!$I$7+$H25))-1,0)</f>
        <v>0</v>
      </c>
      <c r="AB25" s="219" cm="1">
        <f t="array" ref="AB25">IFERROR(('Tariff schedule'!AB36/INDEX('Indicative prices'!AB$1:AB$916,'Price comparisons'!$I$7+$H25))-1,0)</f>
        <v>0</v>
      </c>
      <c r="AC25" s="220"/>
      <c r="AD25" s="19"/>
      <c r="AE25" s="19"/>
      <c r="AF25" s="19"/>
      <c r="AG25" s="19"/>
    </row>
    <row r="26" spans="1:33" outlineLevel="1" x14ac:dyDescent="0.2">
      <c r="A26" s="19"/>
      <c r="B26" s="19"/>
      <c r="C26" s="506" t="str">
        <f>Qty!C26</f>
        <v>Unmetered supply general</v>
      </c>
      <c r="D26" s="505" t="str">
        <f>Qty!D26</f>
        <v>Unmetered supplies</v>
      </c>
      <c r="E26" s="505" t="str">
        <f>Qty!E26</f>
        <v>TASUMS</v>
      </c>
      <c r="F26" s="505">
        <f>Qty!F26</f>
        <v>0</v>
      </c>
      <c r="G26" s="505">
        <f>Qty!G26</f>
        <v>0</v>
      </c>
      <c r="H26" s="333">
        <v>18</v>
      </c>
      <c r="I26" s="219" cm="1">
        <f t="array" ref="I26">IFERROR(('Tariff schedule'!I37/INDEX('Indicative prices'!I$1:I$916,'Price comparisons'!$I$7+$H26))-1,0)</f>
        <v>0</v>
      </c>
      <c r="J26" s="219" cm="1">
        <f t="array" ref="J26">IFERROR(('Tariff schedule'!J37/INDEX('Indicative prices'!J$1:J$916,'Price comparisons'!$I$7+$H26))-1,0)</f>
        <v>-4.669295572683263E-2</v>
      </c>
      <c r="K26" s="219" cm="1">
        <f t="array" ref="K26">IFERROR(('Tariff schedule'!K37/INDEX('Indicative prices'!K$1:K$916,'Price comparisons'!$I$7+$H26))-1,0)</f>
        <v>0</v>
      </c>
      <c r="L26" s="219" cm="1">
        <f t="array" ref="L26">IFERROR(('Tariff schedule'!L37/INDEX('Indicative prices'!L$1:L$916,'Price comparisons'!$I$7+$H26))-1,0)</f>
        <v>0</v>
      </c>
      <c r="M26" s="219" cm="1">
        <f t="array" ref="M26">IFERROR(('Tariff schedule'!M37/INDEX('Indicative prices'!M$1:M$916,'Price comparisons'!$I$7+$H26))-1,0)</f>
        <v>0</v>
      </c>
      <c r="N26" s="219" cm="1">
        <f t="array" ref="N26">IFERROR(('Tariff schedule'!N37/INDEX('Indicative prices'!N$1:N$916,'Price comparisons'!$I$7+$H26))-1,0)</f>
        <v>0</v>
      </c>
      <c r="O26" s="219" cm="1">
        <f t="array" ref="O26">IFERROR(('Tariff schedule'!O37/INDEX('Indicative prices'!O$1:O$916,'Price comparisons'!$I$7+$H26))-1,0)</f>
        <v>0</v>
      </c>
      <c r="P26" s="219" cm="1">
        <f t="array" ref="P26">IFERROR(('Tariff schedule'!P37/INDEX('Indicative prices'!P$1:P$916,'Price comparisons'!$I$7+$H26))-1,0)</f>
        <v>0</v>
      </c>
      <c r="Q26" s="219" cm="1">
        <f t="array" ref="Q26">IFERROR(('Tariff schedule'!Q37/INDEX('Indicative prices'!Q$1:Q$916,'Price comparisons'!$I$7+$H26))-1,0)</f>
        <v>0</v>
      </c>
      <c r="R26" s="219" cm="1">
        <f t="array" ref="R26">IFERROR(('Tariff schedule'!R37/INDEX('Indicative prices'!R$1:R$916,'Price comparisons'!$I$7+$H26))-1,0)</f>
        <v>0</v>
      </c>
      <c r="S26" s="219" cm="1">
        <f t="array" ref="S26">IFERROR(('Tariff schedule'!S37/INDEX('Indicative prices'!S$1:S$916,'Price comparisons'!$I$7+$H26))-1,0)</f>
        <v>0</v>
      </c>
      <c r="T26" s="219" cm="1">
        <f t="array" ref="T26">IFERROR(('Tariff schedule'!T37/INDEX('Indicative prices'!T$1:T$916,'Price comparisons'!$I$7+$H26))-1,0)</f>
        <v>0</v>
      </c>
      <c r="U26" s="219" cm="1">
        <f t="array" ref="U26">IFERROR(('Tariff schedule'!U37/INDEX('Indicative prices'!U$1:U$916,'Price comparisons'!$I$7+$H26))-1,0)</f>
        <v>0</v>
      </c>
      <c r="V26" s="219" cm="1">
        <f t="array" ref="V26">IFERROR(('Tariff schedule'!V37/INDEX('Indicative prices'!V$1:V$916,'Price comparisons'!$I$7+$H26))-1,0)</f>
        <v>0</v>
      </c>
      <c r="W26" s="219" cm="1">
        <f t="array" ref="W26">IFERROR(('Tariff schedule'!W37/INDEX('Indicative prices'!W$1:W$916,'Price comparisons'!$I$7+$H26))-1,0)</f>
        <v>0</v>
      </c>
      <c r="X26" s="219" cm="1">
        <f t="array" ref="X26">IFERROR(('Tariff schedule'!X37/INDEX('Indicative prices'!X$1:X$916,'Price comparisons'!$I$7+$H26))-1,0)</f>
        <v>0</v>
      </c>
      <c r="Y26" s="219" cm="1">
        <f t="array" ref="Y26">IFERROR(('Tariff schedule'!Y37/INDEX('Indicative prices'!Y$1:Y$916,'Price comparisons'!$I$7+$H26))-1,0)</f>
        <v>0</v>
      </c>
      <c r="Z26" s="219" cm="1">
        <f t="array" ref="Z26">IFERROR(('Tariff schedule'!Z37/INDEX('Indicative prices'!Z$1:Z$916,'Price comparisons'!$I$7+$H26))-1,0)</f>
        <v>0</v>
      </c>
      <c r="AA26" s="219" cm="1">
        <f t="array" ref="AA26">IFERROR(('Tariff schedule'!AA37/INDEX('Indicative prices'!AA$1:AA$916,'Price comparisons'!$I$7+$H26))-1,0)</f>
        <v>0</v>
      </c>
      <c r="AB26" s="219" cm="1">
        <f t="array" ref="AB26">IFERROR(('Tariff schedule'!AB37/INDEX('Indicative prices'!AB$1:AB$916,'Price comparisons'!$I$7+$H26))-1,0)</f>
        <v>0</v>
      </c>
      <c r="AC26" s="220"/>
      <c r="AD26" s="19"/>
      <c r="AE26" s="19"/>
      <c r="AF26" s="19"/>
      <c r="AG26" s="19"/>
    </row>
    <row r="27" spans="1:33" outlineLevel="1" x14ac:dyDescent="0.2">
      <c r="A27" s="19"/>
      <c r="B27" s="19"/>
      <c r="C27" s="506" t="str">
        <f>Qty!C27</f>
        <v>Street lighting</v>
      </c>
      <c r="D27" s="505" t="str">
        <f>Qty!D27</f>
        <v>Street lighting</v>
      </c>
      <c r="E27" s="505" t="str">
        <f>Qty!E27</f>
        <v>TASUMSSL</v>
      </c>
      <c r="F27" s="505">
        <f>Qty!F27</f>
        <v>0</v>
      </c>
      <c r="G27" s="505">
        <f>Qty!G27</f>
        <v>0</v>
      </c>
      <c r="H27" s="333">
        <v>19</v>
      </c>
      <c r="I27" s="219" cm="1">
        <f t="array" ref="I27">IFERROR(('Tariff schedule'!I38/INDEX('Indicative prices'!I$1:I$916,'Price comparisons'!$I$7+$H27))-1,0)</f>
        <v>0</v>
      </c>
      <c r="J27" s="219" cm="1">
        <f t="array" ref="J27">IFERROR(('Tariff schedule'!J38/INDEX('Indicative prices'!J$1:J$916,'Price comparisons'!$I$7+$H27))-1,0)</f>
        <v>0</v>
      </c>
      <c r="K27" s="219" cm="1">
        <f t="array" ref="K27">IFERROR(('Tariff schedule'!K38/INDEX('Indicative prices'!K$1:K$916,'Price comparisons'!$I$7+$H27))-1,0)</f>
        <v>0</v>
      </c>
      <c r="L27" s="219" cm="1">
        <f t="array" ref="L27">IFERROR(('Tariff schedule'!L38/INDEX('Indicative prices'!L$1:L$916,'Price comparisons'!$I$7+$H27))-1,0)</f>
        <v>0</v>
      </c>
      <c r="M27" s="219" cm="1">
        <f t="array" ref="M27">IFERROR(('Tariff schedule'!M38/INDEX('Indicative prices'!M$1:M$916,'Price comparisons'!$I$7+$H27))-1,0)</f>
        <v>0</v>
      </c>
      <c r="N27" s="219" cm="1">
        <f t="array" ref="N27">IFERROR(('Tariff schedule'!N38/INDEX('Indicative prices'!N$1:N$916,'Price comparisons'!$I$7+$H27))-1,0)</f>
        <v>0</v>
      </c>
      <c r="O27" s="219" cm="1">
        <f t="array" ref="O27">IFERROR(('Tariff schedule'!O38/INDEX('Indicative prices'!O$1:O$916,'Price comparisons'!$I$7+$H27))-1,0)</f>
        <v>0</v>
      </c>
      <c r="P27" s="219" cm="1">
        <f t="array" ref="P27">IFERROR(('Tariff schedule'!P38/INDEX('Indicative prices'!P$1:P$916,'Price comparisons'!$I$7+$H27))-1,0)</f>
        <v>0</v>
      </c>
      <c r="Q27" s="219" cm="1">
        <f t="array" ref="Q27">IFERROR(('Tariff schedule'!Q38/INDEX('Indicative prices'!Q$1:Q$916,'Price comparisons'!$I$7+$H27))-1,0)</f>
        <v>0</v>
      </c>
      <c r="R27" s="219" cm="1">
        <f t="array" ref="R27">IFERROR(('Tariff schedule'!R38/INDEX('Indicative prices'!R$1:R$916,'Price comparisons'!$I$7+$H27))-1,0)</f>
        <v>0</v>
      </c>
      <c r="S27" s="219" cm="1">
        <f t="array" ref="S27">IFERROR(('Tariff schedule'!S38/INDEX('Indicative prices'!S$1:S$916,'Price comparisons'!$I$7+$H27))-1,0)</f>
        <v>0</v>
      </c>
      <c r="T27" s="219" cm="1">
        <f t="array" ref="T27">IFERROR(('Tariff schedule'!T38/INDEX('Indicative prices'!T$1:T$916,'Price comparisons'!$I$7+$H27))-1,0)</f>
        <v>0</v>
      </c>
      <c r="U27" s="219" cm="1">
        <f t="array" ref="U27">IFERROR(('Tariff schedule'!U38/INDEX('Indicative prices'!U$1:U$916,'Price comparisons'!$I$7+$H27))-1,0)</f>
        <v>-4.3478260869565299E-2</v>
      </c>
      <c r="V27" s="219" cm="1">
        <f t="array" ref="V27">IFERROR(('Tariff schedule'!V38/INDEX('Indicative prices'!V$1:V$916,'Price comparisons'!$I$7+$H27))-1,0)</f>
        <v>0</v>
      </c>
      <c r="W27" s="219" cm="1">
        <f t="array" ref="W27">IFERROR(('Tariff schedule'!W38/INDEX('Indicative prices'!W$1:W$916,'Price comparisons'!$I$7+$H27))-1,0)</f>
        <v>0</v>
      </c>
      <c r="X27" s="219" cm="1">
        <f t="array" ref="X27">IFERROR(('Tariff schedule'!X38/INDEX('Indicative prices'!X$1:X$916,'Price comparisons'!$I$7+$H27))-1,0)</f>
        <v>0</v>
      </c>
      <c r="Y27" s="219" cm="1">
        <f t="array" ref="Y27">IFERROR(('Tariff schedule'!Y38/INDEX('Indicative prices'!Y$1:Y$916,'Price comparisons'!$I$7+$H27))-1,0)</f>
        <v>0</v>
      </c>
      <c r="Z27" s="219" cm="1">
        <f t="array" ref="Z27">IFERROR(('Tariff schedule'!Z38/INDEX('Indicative prices'!Z$1:Z$916,'Price comparisons'!$I$7+$H27))-1,0)</f>
        <v>0</v>
      </c>
      <c r="AA27" s="219" cm="1">
        <f t="array" ref="AA27">IFERROR(('Tariff schedule'!AA38/INDEX('Indicative prices'!AA$1:AA$916,'Price comparisons'!$I$7+$H27))-1,0)</f>
        <v>0</v>
      </c>
      <c r="AB27" s="219" cm="1">
        <f t="array" ref="AB27">IFERROR(('Tariff schedule'!AB38/INDEX('Indicative prices'!AB$1:AB$916,'Price comparisons'!$I$7+$H27))-1,0)</f>
        <v>0</v>
      </c>
      <c r="AC27" s="220"/>
      <c r="AD27" s="19"/>
      <c r="AE27" s="19"/>
      <c r="AF27" s="19"/>
      <c r="AG27" s="19"/>
    </row>
    <row r="28" spans="1:33" outlineLevel="1" x14ac:dyDescent="0.2">
      <c r="A28" s="19"/>
      <c r="B28" s="19"/>
      <c r="C28" s="506">
        <f>Qty!C28</f>
        <v>0</v>
      </c>
      <c r="D28" s="505">
        <f>Qty!D28</f>
        <v>0</v>
      </c>
      <c r="E28" s="505">
        <f>Qty!E28</f>
        <v>0</v>
      </c>
      <c r="F28" s="505">
        <f>Qty!F28</f>
        <v>0</v>
      </c>
      <c r="G28" s="505">
        <f>Qty!G28</f>
        <v>0</v>
      </c>
      <c r="H28" s="333">
        <v>20</v>
      </c>
      <c r="I28" s="219" cm="1">
        <f t="array" ref="I28">IFERROR(('Tariff schedule'!I39/INDEX('Indicative prices'!I$1:I$916,'Price comparisons'!$I$7+$H28))-1,0)</f>
        <v>0</v>
      </c>
      <c r="J28" s="219" cm="1">
        <f t="array" ref="J28">IFERROR(('Tariff schedule'!J39/INDEX('Indicative prices'!J$1:J$916,'Price comparisons'!$I$7+$H28))-1,0)</f>
        <v>0</v>
      </c>
      <c r="K28" s="219" cm="1">
        <f t="array" ref="K28">IFERROR(('Tariff schedule'!K39/INDEX('Indicative prices'!K$1:K$916,'Price comparisons'!$I$7+$H28))-1,0)</f>
        <v>0</v>
      </c>
      <c r="L28" s="219" cm="1">
        <f t="array" ref="L28">IFERROR(('Tariff schedule'!L39/INDEX('Indicative prices'!L$1:L$916,'Price comparisons'!$I$7+$H28))-1,0)</f>
        <v>0</v>
      </c>
      <c r="M28" s="219" cm="1">
        <f t="array" ref="M28">IFERROR(('Tariff schedule'!M39/INDEX('Indicative prices'!M$1:M$916,'Price comparisons'!$I$7+$H28))-1,0)</f>
        <v>0</v>
      </c>
      <c r="N28" s="219" cm="1">
        <f t="array" ref="N28">IFERROR(('Tariff schedule'!N39/INDEX('Indicative prices'!N$1:N$916,'Price comparisons'!$I$7+$H28))-1,0)</f>
        <v>0</v>
      </c>
      <c r="O28" s="219" cm="1">
        <f t="array" ref="O28">IFERROR(('Tariff schedule'!O39/INDEX('Indicative prices'!O$1:O$916,'Price comparisons'!$I$7+$H28))-1,0)</f>
        <v>0</v>
      </c>
      <c r="P28" s="219" cm="1">
        <f t="array" ref="P28">IFERROR(('Tariff schedule'!P39/INDEX('Indicative prices'!P$1:P$916,'Price comparisons'!$I$7+$H28))-1,0)</f>
        <v>0</v>
      </c>
      <c r="Q28" s="219" cm="1">
        <f t="array" ref="Q28">IFERROR(('Tariff schedule'!Q39/INDEX('Indicative prices'!Q$1:Q$916,'Price comparisons'!$I$7+$H28))-1,0)</f>
        <v>0</v>
      </c>
      <c r="R28" s="219" cm="1">
        <f t="array" ref="R28">IFERROR(('Tariff schedule'!R39/INDEX('Indicative prices'!R$1:R$916,'Price comparisons'!$I$7+$H28))-1,0)</f>
        <v>0</v>
      </c>
      <c r="S28" s="219" cm="1">
        <f t="array" ref="S28">IFERROR(('Tariff schedule'!S39/INDEX('Indicative prices'!S$1:S$916,'Price comparisons'!$I$7+$H28))-1,0)</f>
        <v>0</v>
      </c>
      <c r="T28" s="219" cm="1">
        <f t="array" ref="T28">IFERROR(('Tariff schedule'!T39/INDEX('Indicative prices'!T$1:T$916,'Price comparisons'!$I$7+$H28))-1,0)</f>
        <v>0</v>
      </c>
      <c r="U28" s="219" cm="1">
        <f t="array" ref="U28">IFERROR(('Tariff schedule'!U39/INDEX('Indicative prices'!U$1:U$916,'Price comparisons'!$I$7+$H28))-1,0)</f>
        <v>0</v>
      </c>
      <c r="V28" s="219" cm="1">
        <f t="array" ref="V28">IFERROR(('Tariff schedule'!V39/INDEX('Indicative prices'!V$1:V$916,'Price comparisons'!$I$7+$H28))-1,0)</f>
        <v>0</v>
      </c>
      <c r="W28" s="219" cm="1">
        <f t="array" ref="W28">IFERROR(('Tariff schedule'!W39/INDEX('Indicative prices'!W$1:W$916,'Price comparisons'!$I$7+$H28))-1,0)</f>
        <v>0</v>
      </c>
      <c r="X28" s="219" cm="1">
        <f t="array" ref="X28">IFERROR(('Tariff schedule'!X39/INDEX('Indicative prices'!X$1:X$916,'Price comparisons'!$I$7+$H28))-1,0)</f>
        <v>0</v>
      </c>
      <c r="Y28" s="219" cm="1">
        <f t="array" ref="Y28">IFERROR(('Tariff schedule'!Y39/INDEX('Indicative prices'!Y$1:Y$916,'Price comparisons'!$I$7+$H28))-1,0)</f>
        <v>0</v>
      </c>
      <c r="Z28" s="219" cm="1">
        <f t="array" ref="Z28">IFERROR(('Tariff schedule'!Z39/INDEX('Indicative prices'!Z$1:Z$916,'Price comparisons'!$I$7+$H28))-1,0)</f>
        <v>0</v>
      </c>
      <c r="AA28" s="219" cm="1">
        <f t="array" ref="AA28">IFERROR(('Tariff schedule'!AA39/INDEX('Indicative prices'!AA$1:AA$916,'Price comparisons'!$I$7+$H28))-1,0)</f>
        <v>0</v>
      </c>
      <c r="AB28" s="219" cm="1">
        <f t="array" ref="AB28">IFERROR(('Tariff schedule'!AB39/INDEX('Indicative prices'!AB$1:AB$916,'Price comparisons'!$I$7+$H28))-1,0)</f>
        <v>0</v>
      </c>
      <c r="AC28" s="220"/>
      <c r="AD28" s="19"/>
      <c r="AE28" s="19"/>
      <c r="AF28" s="19"/>
      <c r="AG28" s="19"/>
    </row>
    <row r="29" spans="1:33" hidden="1" outlineLevel="2" x14ac:dyDescent="0.2">
      <c r="A29" s="19"/>
      <c r="B29" s="19"/>
      <c r="C29" s="506">
        <f>Qty!C29</f>
        <v>0</v>
      </c>
      <c r="D29" s="505">
        <f>Qty!D29</f>
        <v>0</v>
      </c>
      <c r="E29" s="505">
        <f>Qty!E29</f>
        <v>0</v>
      </c>
      <c r="F29" s="505">
        <f>Qty!F29</f>
        <v>0</v>
      </c>
      <c r="G29" s="505">
        <f>Qty!G29</f>
        <v>0</v>
      </c>
      <c r="H29" s="333">
        <v>21</v>
      </c>
      <c r="I29" s="219" cm="1">
        <f t="array" ref="I29">IFERROR(('Tariff schedule'!I40/INDEX('Indicative prices'!I$1:I$916,'Price comparisons'!$I$7+$H29))-1,0)</f>
        <v>0</v>
      </c>
      <c r="J29" s="219" cm="1">
        <f t="array" ref="J29">IFERROR(('Tariff schedule'!J40/INDEX('Indicative prices'!J$1:J$916,'Price comparisons'!$I$7+$H29))-1,0)</f>
        <v>0</v>
      </c>
      <c r="K29" s="219" cm="1">
        <f t="array" ref="K29">IFERROR(('Tariff schedule'!K40/INDEX('Indicative prices'!K$1:K$916,'Price comparisons'!$I$7+$H29))-1,0)</f>
        <v>0</v>
      </c>
      <c r="L29" s="219" cm="1">
        <f t="array" ref="L29">IFERROR(('Tariff schedule'!L40/INDEX('Indicative prices'!L$1:L$916,'Price comparisons'!$I$7+$H29))-1,0)</f>
        <v>0</v>
      </c>
      <c r="M29" s="219" cm="1">
        <f t="array" ref="M29">IFERROR(('Tariff schedule'!M40/INDEX('Indicative prices'!M$1:M$916,'Price comparisons'!$I$7+$H29))-1,0)</f>
        <v>0</v>
      </c>
      <c r="N29" s="219" cm="1">
        <f t="array" ref="N29">IFERROR(('Tariff schedule'!N40/INDEX('Indicative prices'!N$1:N$916,'Price comparisons'!$I$7+$H29))-1,0)</f>
        <v>0</v>
      </c>
      <c r="O29" s="219" cm="1">
        <f t="array" ref="O29">IFERROR(('Tariff schedule'!O40/INDEX('Indicative prices'!O$1:O$916,'Price comparisons'!$I$7+$H29))-1,0)</f>
        <v>0</v>
      </c>
      <c r="P29" s="219" cm="1">
        <f t="array" ref="P29">IFERROR(('Tariff schedule'!P40/INDEX('Indicative prices'!P$1:P$916,'Price comparisons'!$I$7+$H29))-1,0)</f>
        <v>0</v>
      </c>
      <c r="Q29" s="219" cm="1">
        <f t="array" ref="Q29">IFERROR(('Tariff schedule'!Q40/INDEX('Indicative prices'!Q$1:Q$916,'Price comparisons'!$I$7+$H29))-1,0)</f>
        <v>0</v>
      </c>
      <c r="R29" s="219" cm="1">
        <f t="array" ref="R29">IFERROR(('Tariff schedule'!R40/INDEX('Indicative prices'!R$1:R$916,'Price comparisons'!$I$7+$H29))-1,0)</f>
        <v>0</v>
      </c>
      <c r="S29" s="219" cm="1">
        <f t="array" ref="S29">IFERROR(('Tariff schedule'!S40/INDEX('Indicative prices'!S$1:S$916,'Price comparisons'!$I$7+$H29))-1,0)</f>
        <v>0</v>
      </c>
      <c r="T29" s="219" cm="1">
        <f t="array" ref="T29">IFERROR(('Tariff schedule'!T40/INDEX('Indicative prices'!T$1:T$916,'Price comparisons'!$I$7+$H29))-1,0)</f>
        <v>0</v>
      </c>
      <c r="U29" s="219" cm="1">
        <f t="array" ref="U29">IFERROR(('Tariff schedule'!U40/INDEX('Indicative prices'!U$1:U$916,'Price comparisons'!$I$7+$H29))-1,0)</f>
        <v>0</v>
      </c>
      <c r="V29" s="219" cm="1">
        <f t="array" ref="V29">IFERROR(('Tariff schedule'!V40/INDEX('Indicative prices'!V$1:V$916,'Price comparisons'!$I$7+$H29))-1,0)</f>
        <v>0</v>
      </c>
      <c r="W29" s="219" cm="1">
        <f t="array" ref="W29">IFERROR(('Tariff schedule'!W40/INDEX('Indicative prices'!W$1:W$916,'Price comparisons'!$I$7+$H29))-1,0)</f>
        <v>0</v>
      </c>
      <c r="X29" s="219" cm="1">
        <f t="array" ref="X29">IFERROR(('Tariff schedule'!X40/INDEX('Indicative prices'!X$1:X$916,'Price comparisons'!$I$7+$H29))-1,0)</f>
        <v>0</v>
      </c>
      <c r="Y29" s="219" cm="1">
        <f t="array" ref="Y29">IFERROR(('Tariff schedule'!Y40/INDEX('Indicative prices'!Y$1:Y$916,'Price comparisons'!$I$7+$H29))-1,0)</f>
        <v>0</v>
      </c>
      <c r="Z29" s="219" cm="1">
        <f t="array" ref="Z29">IFERROR(('Tariff schedule'!Z40/INDEX('Indicative prices'!Z$1:Z$916,'Price comparisons'!$I$7+$H29))-1,0)</f>
        <v>0</v>
      </c>
      <c r="AA29" s="219" cm="1">
        <f t="array" ref="AA29">IFERROR(('Tariff schedule'!AA40/INDEX('Indicative prices'!AA$1:AA$916,'Price comparisons'!$I$7+$H29))-1,0)</f>
        <v>0</v>
      </c>
      <c r="AB29" s="219" cm="1">
        <f t="array" ref="AB29">IFERROR(('Tariff schedule'!AB40/INDEX('Indicative prices'!AB$1:AB$916,'Price comparisons'!$I$7+$H29))-1,0)</f>
        <v>0</v>
      </c>
      <c r="AC29" s="220"/>
      <c r="AD29" s="19"/>
      <c r="AE29" s="19"/>
      <c r="AF29" s="19"/>
      <c r="AG29" s="19"/>
    </row>
    <row r="30" spans="1:33" hidden="1" outlineLevel="2" x14ac:dyDescent="0.2">
      <c r="A30" s="19"/>
      <c r="B30" s="19"/>
      <c r="C30" s="506">
        <f>Qty!C30</f>
        <v>0</v>
      </c>
      <c r="D30" s="505">
        <f>Qty!D30</f>
        <v>0</v>
      </c>
      <c r="E30" s="505">
        <f>Qty!E30</f>
        <v>0</v>
      </c>
      <c r="F30" s="505">
        <f>Qty!F30</f>
        <v>0</v>
      </c>
      <c r="G30" s="505">
        <f>Qty!G30</f>
        <v>0</v>
      </c>
      <c r="H30" s="333">
        <v>22</v>
      </c>
      <c r="I30" s="219" cm="1">
        <f t="array" ref="I30">IFERROR(('Tariff schedule'!I41/INDEX('Indicative prices'!I$1:I$916,'Price comparisons'!$I$7+$H30))-1,0)</f>
        <v>0</v>
      </c>
      <c r="J30" s="219" cm="1">
        <f t="array" ref="J30">IFERROR(('Tariff schedule'!J41/INDEX('Indicative prices'!J$1:J$916,'Price comparisons'!$I$7+$H30))-1,0)</f>
        <v>0</v>
      </c>
      <c r="K30" s="219" cm="1">
        <f t="array" ref="K30">IFERROR(('Tariff schedule'!K41/INDEX('Indicative prices'!K$1:K$916,'Price comparisons'!$I$7+$H30))-1,0)</f>
        <v>0</v>
      </c>
      <c r="L30" s="219" cm="1">
        <f t="array" ref="L30">IFERROR(('Tariff schedule'!L41/INDEX('Indicative prices'!L$1:L$916,'Price comparisons'!$I$7+$H30))-1,0)</f>
        <v>0</v>
      </c>
      <c r="M30" s="219" cm="1">
        <f t="array" ref="M30">IFERROR(('Tariff schedule'!M41/INDEX('Indicative prices'!M$1:M$916,'Price comparisons'!$I$7+$H30))-1,0)</f>
        <v>0</v>
      </c>
      <c r="N30" s="219" cm="1">
        <f t="array" ref="N30">IFERROR(('Tariff schedule'!N41/INDEX('Indicative prices'!N$1:N$916,'Price comparisons'!$I$7+$H30))-1,0)</f>
        <v>0</v>
      </c>
      <c r="O30" s="219" cm="1">
        <f t="array" ref="O30">IFERROR(('Tariff schedule'!O41/INDEX('Indicative prices'!O$1:O$916,'Price comparisons'!$I$7+$H30))-1,0)</f>
        <v>0</v>
      </c>
      <c r="P30" s="219" cm="1">
        <f t="array" ref="P30">IFERROR(('Tariff schedule'!P41/INDEX('Indicative prices'!P$1:P$916,'Price comparisons'!$I$7+$H30))-1,0)</f>
        <v>0</v>
      </c>
      <c r="Q30" s="219" cm="1">
        <f t="array" ref="Q30">IFERROR(('Tariff schedule'!Q41/INDEX('Indicative prices'!Q$1:Q$916,'Price comparisons'!$I$7+$H30))-1,0)</f>
        <v>0</v>
      </c>
      <c r="R30" s="219" cm="1">
        <f t="array" ref="R30">IFERROR(('Tariff schedule'!R41/INDEX('Indicative prices'!R$1:R$916,'Price comparisons'!$I$7+$H30))-1,0)</f>
        <v>0</v>
      </c>
      <c r="S30" s="219" cm="1">
        <f t="array" ref="S30">IFERROR(('Tariff schedule'!S41/INDEX('Indicative prices'!S$1:S$916,'Price comparisons'!$I$7+$H30))-1,0)</f>
        <v>0</v>
      </c>
      <c r="T30" s="219" cm="1">
        <f t="array" ref="T30">IFERROR(('Tariff schedule'!T41/INDEX('Indicative prices'!T$1:T$916,'Price comparisons'!$I$7+$H30))-1,0)</f>
        <v>0</v>
      </c>
      <c r="U30" s="219" cm="1">
        <f t="array" ref="U30">IFERROR(('Tariff schedule'!U41/INDEX('Indicative prices'!U$1:U$916,'Price comparisons'!$I$7+$H30))-1,0)</f>
        <v>0</v>
      </c>
      <c r="V30" s="219" cm="1">
        <f t="array" ref="V30">IFERROR(('Tariff schedule'!V41/INDEX('Indicative prices'!V$1:V$916,'Price comparisons'!$I$7+$H30))-1,0)</f>
        <v>0</v>
      </c>
      <c r="W30" s="219" cm="1">
        <f t="array" ref="W30">IFERROR(('Tariff schedule'!W41/INDEX('Indicative prices'!W$1:W$916,'Price comparisons'!$I$7+$H30))-1,0)</f>
        <v>0</v>
      </c>
      <c r="X30" s="219" cm="1">
        <f t="array" ref="X30">IFERROR(('Tariff schedule'!X41/INDEX('Indicative prices'!X$1:X$916,'Price comparisons'!$I$7+$H30))-1,0)</f>
        <v>0</v>
      </c>
      <c r="Y30" s="219" cm="1">
        <f t="array" ref="Y30">IFERROR(('Tariff schedule'!Y41/INDEX('Indicative prices'!Y$1:Y$916,'Price comparisons'!$I$7+$H30))-1,0)</f>
        <v>0</v>
      </c>
      <c r="Z30" s="219" cm="1">
        <f t="array" ref="Z30">IFERROR(('Tariff schedule'!Z41/INDEX('Indicative prices'!Z$1:Z$916,'Price comparisons'!$I$7+$H30))-1,0)</f>
        <v>0</v>
      </c>
      <c r="AA30" s="219" cm="1">
        <f t="array" ref="AA30">IFERROR(('Tariff schedule'!AA41/INDEX('Indicative prices'!AA$1:AA$916,'Price comparisons'!$I$7+$H30))-1,0)</f>
        <v>0</v>
      </c>
      <c r="AB30" s="219" cm="1">
        <f t="array" ref="AB30">IFERROR(('Tariff schedule'!AB41/INDEX('Indicative prices'!AB$1:AB$916,'Price comparisons'!$I$7+$H30))-1,0)</f>
        <v>0</v>
      </c>
      <c r="AC30" s="220"/>
      <c r="AD30" s="19"/>
      <c r="AE30" s="19"/>
      <c r="AF30" s="19"/>
      <c r="AG30" s="19"/>
    </row>
    <row r="31" spans="1:33" hidden="1" outlineLevel="2" x14ac:dyDescent="0.2">
      <c r="A31" s="19"/>
      <c r="B31" s="19"/>
      <c r="C31" s="506">
        <f>Qty!C31</f>
        <v>0</v>
      </c>
      <c r="D31" s="505">
        <f>Qty!D31</f>
        <v>0</v>
      </c>
      <c r="E31" s="505">
        <f>Qty!E31</f>
        <v>0</v>
      </c>
      <c r="F31" s="505">
        <f>Qty!F31</f>
        <v>0</v>
      </c>
      <c r="G31" s="505">
        <f>Qty!G31</f>
        <v>0</v>
      </c>
      <c r="H31" s="333">
        <v>23</v>
      </c>
      <c r="I31" s="219" cm="1">
        <f t="array" ref="I31">IFERROR(('Tariff schedule'!I42/INDEX('Indicative prices'!I$1:I$916,'Price comparisons'!$I$7+$H31))-1,0)</f>
        <v>0</v>
      </c>
      <c r="J31" s="219" cm="1">
        <f t="array" ref="J31">IFERROR(('Tariff schedule'!J42/INDEX('Indicative prices'!J$1:J$916,'Price comparisons'!$I$7+$H31))-1,0)</f>
        <v>0</v>
      </c>
      <c r="K31" s="219" cm="1">
        <f t="array" ref="K31">IFERROR(('Tariff schedule'!K42/INDEX('Indicative prices'!K$1:K$916,'Price comparisons'!$I$7+$H31))-1,0)</f>
        <v>0</v>
      </c>
      <c r="L31" s="219" cm="1">
        <f t="array" ref="L31">IFERROR(('Tariff schedule'!L42/INDEX('Indicative prices'!L$1:L$916,'Price comparisons'!$I$7+$H31))-1,0)</f>
        <v>0</v>
      </c>
      <c r="M31" s="219" cm="1">
        <f t="array" ref="M31">IFERROR(('Tariff schedule'!M42/INDEX('Indicative prices'!M$1:M$916,'Price comparisons'!$I$7+$H31))-1,0)</f>
        <v>0</v>
      </c>
      <c r="N31" s="219" cm="1">
        <f t="array" ref="N31">IFERROR(('Tariff schedule'!N42/INDEX('Indicative prices'!N$1:N$916,'Price comparisons'!$I$7+$H31))-1,0)</f>
        <v>0</v>
      </c>
      <c r="O31" s="219" cm="1">
        <f t="array" ref="O31">IFERROR(('Tariff schedule'!O42/INDEX('Indicative prices'!O$1:O$916,'Price comparisons'!$I$7+$H31))-1,0)</f>
        <v>0</v>
      </c>
      <c r="P31" s="219" cm="1">
        <f t="array" ref="P31">IFERROR(('Tariff schedule'!P42/INDEX('Indicative prices'!P$1:P$916,'Price comparisons'!$I$7+$H31))-1,0)</f>
        <v>0</v>
      </c>
      <c r="Q31" s="219" cm="1">
        <f t="array" ref="Q31">IFERROR(('Tariff schedule'!Q42/INDEX('Indicative prices'!Q$1:Q$916,'Price comparisons'!$I$7+$H31))-1,0)</f>
        <v>0</v>
      </c>
      <c r="R31" s="219" cm="1">
        <f t="array" ref="R31">IFERROR(('Tariff schedule'!R42/INDEX('Indicative prices'!R$1:R$916,'Price comparisons'!$I$7+$H31))-1,0)</f>
        <v>0</v>
      </c>
      <c r="S31" s="219" cm="1">
        <f t="array" ref="S31">IFERROR(('Tariff schedule'!S42/INDEX('Indicative prices'!S$1:S$916,'Price comparisons'!$I$7+$H31))-1,0)</f>
        <v>0</v>
      </c>
      <c r="T31" s="219" cm="1">
        <f t="array" ref="T31">IFERROR(('Tariff schedule'!T42/INDEX('Indicative prices'!T$1:T$916,'Price comparisons'!$I$7+$H31))-1,0)</f>
        <v>0</v>
      </c>
      <c r="U31" s="219" cm="1">
        <f t="array" ref="U31">IFERROR(('Tariff schedule'!U42/INDEX('Indicative prices'!U$1:U$916,'Price comparisons'!$I$7+$H31))-1,0)</f>
        <v>0</v>
      </c>
      <c r="V31" s="219" cm="1">
        <f t="array" ref="V31">IFERROR(('Tariff schedule'!V42/INDEX('Indicative prices'!V$1:V$916,'Price comparisons'!$I$7+$H31))-1,0)</f>
        <v>0</v>
      </c>
      <c r="W31" s="219" cm="1">
        <f t="array" ref="W31">IFERROR(('Tariff schedule'!W42/INDEX('Indicative prices'!W$1:W$916,'Price comparisons'!$I$7+$H31))-1,0)</f>
        <v>0</v>
      </c>
      <c r="X31" s="219" cm="1">
        <f t="array" ref="X31">IFERROR(('Tariff schedule'!X42/INDEX('Indicative prices'!X$1:X$916,'Price comparisons'!$I$7+$H31))-1,0)</f>
        <v>0</v>
      </c>
      <c r="Y31" s="219" cm="1">
        <f t="array" ref="Y31">IFERROR(('Tariff schedule'!Y42/INDEX('Indicative prices'!Y$1:Y$916,'Price comparisons'!$I$7+$H31))-1,0)</f>
        <v>0</v>
      </c>
      <c r="Z31" s="219" cm="1">
        <f t="array" ref="Z31">IFERROR(('Tariff schedule'!Z42/INDEX('Indicative prices'!Z$1:Z$916,'Price comparisons'!$I$7+$H31))-1,0)</f>
        <v>0</v>
      </c>
      <c r="AA31" s="219" cm="1">
        <f t="array" ref="AA31">IFERROR(('Tariff schedule'!AA42/INDEX('Indicative prices'!AA$1:AA$916,'Price comparisons'!$I$7+$H31))-1,0)</f>
        <v>0</v>
      </c>
      <c r="AB31" s="219" cm="1">
        <f t="array" ref="AB31">IFERROR(('Tariff schedule'!AB42/INDEX('Indicative prices'!AB$1:AB$916,'Price comparisons'!$I$7+$H31))-1,0)</f>
        <v>0</v>
      </c>
      <c r="AC31" s="220"/>
      <c r="AD31" s="19"/>
      <c r="AE31" s="19"/>
      <c r="AF31" s="19"/>
      <c r="AG31" s="19"/>
    </row>
    <row r="32" spans="1:33" hidden="1" outlineLevel="2" x14ac:dyDescent="0.2">
      <c r="A32" s="19"/>
      <c r="B32" s="19"/>
      <c r="C32" s="506">
        <f>Qty!C32</f>
        <v>0</v>
      </c>
      <c r="D32" s="505">
        <f>Qty!D32</f>
        <v>0</v>
      </c>
      <c r="E32" s="505">
        <f>Qty!E32</f>
        <v>0</v>
      </c>
      <c r="F32" s="505">
        <f>Qty!F32</f>
        <v>0</v>
      </c>
      <c r="G32" s="505">
        <f>Qty!G32</f>
        <v>0</v>
      </c>
      <c r="H32" s="333">
        <v>24</v>
      </c>
      <c r="I32" s="219" cm="1">
        <f t="array" ref="I32">IFERROR(('Tariff schedule'!I43/INDEX('Indicative prices'!I$1:I$916,'Price comparisons'!$I$7+$H32))-1,0)</f>
        <v>0</v>
      </c>
      <c r="J32" s="219" cm="1">
        <f t="array" ref="J32">IFERROR(('Tariff schedule'!J43/INDEX('Indicative prices'!J$1:J$916,'Price comparisons'!$I$7+$H32))-1,0)</f>
        <v>0</v>
      </c>
      <c r="K32" s="219" cm="1">
        <f t="array" ref="K32">IFERROR(('Tariff schedule'!K43/INDEX('Indicative prices'!K$1:K$916,'Price comparisons'!$I$7+$H32))-1,0)</f>
        <v>0</v>
      </c>
      <c r="L32" s="219" cm="1">
        <f t="array" ref="L32">IFERROR(('Tariff schedule'!L43/INDEX('Indicative prices'!L$1:L$916,'Price comparisons'!$I$7+$H32))-1,0)</f>
        <v>0</v>
      </c>
      <c r="M32" s="219" cm="1">
        <f t="array" ref="M32">IFERROR(('Tariff schedule'!M43/INDEX('Indicative prices'!M$1:M$916,'Price comparisons'!$I$7+$H32))-1,0)</f>
        <v>0</v>
      </c>
      <c r="N32" s="219" cm="1">
        <f t="array" ref="N32">IFERROR(('Tariff schedule'!N43/INDEX('Indicative prices'!N$1:N$916,'Price comparisons'!$I$7+$H32))-1,0)</f>
        <v>0</v>
      </c>
      <c r="O32" s="219" cm="1">
        <f t="array" ref="O32">IFERROR(('Tariff schedule'!O43/INDEX('Indicative prices'!O$1:O$916,'Price comparisons'!$I$7+$H32))-1,0)</f>
        <v>0</v>
      </c>
      <c r="P32" s="219" cm="1">
        <f t="array" ref="P32">IFERROR(('Tariff schedule'!P43/INDEX('Indicative prices'!P$1:P$916,'Price comparisons'!$I$7+$H32))-1,0)</f>
        <v>0</v>
      </c>
      <c r="Q32" s="219" cm="1">
        <f t="array" ref="Q32">IFERROR(('Tariff schedule'!Q43/INDEX('Indicative prices'!Q$1:Q$916,'Price comparisons'!$I$7+$H32))-1,0)</f>
        <v>0</v>
      </c>
      <c r="R32" s="219" cm="1">
        <f t="array" ref="R32">IFERROR(('Tariff schedule'!R43/INDEX('Indicative prices'!R$1:R$916,'Price comparisons'!$I$7+$H32))-1,0)</f>
        <v>0</v>
      </c>
      <c r="S32" s="219" cm="1">
        <f t="array" ref="S32">IFERROR(('Tariff schedule'!S43/INDEX('Indicative prices'!S$1:S$916,'Price comparisons'!$I$7+$H32))-1,0)</f>
        <v>0</v>
      </c>
      <c r="T32" s="219" cm="1">
        <f t="array" ref="T32">IFERROR(('Tariff schedule'!T43/INDEX('Indicative prices'!T$1:T$916,'Price comparisons'!$I$7+$H32))-1,0)</f>
        <v>0</v>
      </c>
      <c r="U32" s="219" cm="1">
        <f t="array" ref="U32">IFERROR(('Tariff schedule'!U43/INDEX('Indicative prices'!U$1:U$916,'Price comparisons'!$I$7+$H32))-1,0)</f>
        <v>0</v>
      </c>
      <c r="V32" s="219" cm="1">
        <f t="array" ref="V32">IFERROR(('Tariff schedule'!V43/INDEX('Indicative prices'!V$1:V$916,'Price comparisons'!$I$7+$H32))-1,0)</f>
        <v>0</v>
      </c>
      <c r="W32" s="219" cm="1">
        <f t="array" ref="W32">IFERROR(('Tariff schedule'!W43/INDEX('Indicative prices'!W$1:W$916,'Price comparisons'!$I$7+$H32))-1,0)</f>
        <v>0</v>
      </c>
      <c r="X32" s="219" cm="1">
        <f t="array" ref="X32">IFERROR(('Tariff schedule'!X43/INDEX('Indicative prices'!X$1:X$916,'Price comparisons'!$I$7+$H32))-1,0)</f>
        <v>0</v>
      </c>
      <c r="Y32" s="219" cm="1">
        <f t="array" ref="Y32">IFERROR(('Tariff schedule'!Y43/INDEX('Indicative prices'!Y$1:Y$916,'Price comparisons'!$I$7+$H32))-1,0)</f>
        <v>0</v>
      </c>
      <c r="Z32" s="219" cm="1">
        <f t="array" ref="Z32">IFERROR(('Tariff schedule'!Z43/INDEX('Indicative prices'!Z$1:Z$916,'Price comparisons'!$I$7+$H32))-1,0)</f>
        <v>0</v>
      </c>
      <c r="AA32" s="219" cm="1">
        <f t="array" ref="AA32">IFERROR(('Tariff schedule'!AA43/INDEX('Indicative prices'!AA$1:AA$916,'Price comparisons'!$I$7+$H32))-1,0)</f>
        <v>0</v>
      </c>
      <c r="AB32" s="219" cm="1">
        <f t="array" ref="AB32">IFERROR(('Tariff schedule'!AB43/INDEX('Indicative prices'!AB$1:AB$916,'Price comparisons'!$I$7+$H32))-1,0)</f>
        <v>0</v>
      </c>
      <c r="AC32" s="220"/>
      <c r="AD32" s="19"/>
      <c r="AE32" s="19"/>
      <c r="AF32" s="19"/>
      <c r="AG32" s="19"/>
    </row>
    <row r="33" spans="1:33" hidden="1" outlineLevel="2" x14ac:dyDescent="0.2">
      <c r="A33" s="19"/>
      <c r="B33" s="19"/>
      <c r="C33" s="506">
        <f>Qty!C33</f>
        <v>0</v>
      </c>
      <c r="D33" s="505">
        <f>Qty!D33</f>
        <v>0</v>
      </c>
      <c r="E33" s="505">
        <f>Qty!E33</f>
        <v>0</v>
      </c>
      <c r="F33" s="505">
        <f>Qty!F33</f>
        <v>0</v>
      </c>
      <c r="G33" s="505">
        <f>Qty!G33</f>
        <v>0</v>
      </c>
      <c r="H33" s="333">
        <v>25</v>
      </c>
      <c r="I33" s="219" cm="1">
        <f t="array" ref="I33">IFERROR(('Tariff schedule'!I44/INDEX('Indicative prices'!I$1:I$916,'Price comparisons'!$I$7+$H33))-1,0)</f>
        <v>0</v>
      </c>
      <c r="J33" s="219" cm="1">
        <f t="array" ref="J33">IFERROR(('Tariff schedule'!J44/INDEX('Indicative prices'!J$1:J$916,'Price comparisons'!$I$7+$H33))-1,0)</f>
        <v>0</v>
      </c>
      <c r="K33" s="219" cm="1">
        <f t="array" ref="K33">IFERROR(('Tariff schedule'!K44/INDEX('Indicative prices'!K$1:K$916,'Price comparisons'!$I$7+$H33))-1,0)</f>
        <v>0</v>
      </c>
      <c r="L33" s="219" cm="1">
        <f t="array" ref="L33">IFERROR(('Tariff schedule'!L44/INDEX('Indicative prices'!L$1:L$916,'Price comparisons'!$I$7+$H33))-1,0)</f>
        <v>0</v>
      </c>
      <c r="M33" s="219" cm="1">
        <f t="array" ref="M33">IFERROR(('Tariff schedule'!M44/INDEX('Indicative prices'!M$1:M$916,'Price comparisons'!$I$7+$H33))-1,0)</f>
        <v>0</v>
      </c>
      <c r="N33" s="219" cm="1">
        <f t="array" ref="N33">IFERROR(('Tariff schedule'!N44/INDEX('Indicative prices'!N$1:N$916,'Price comparisons'!$I$7+$H33))-1,0)</f>
        <v>0</v>
      </c>
      <c r="O33" s="219" cm="1">
        <f t="array" ref="O33">IFERROR(('Tariff schedule'!O44/INDEX('Indicative prices'!O$1:O$916,'Price comparisons'!$I$7+$H33))-1,0)</f>
        <v>0</v>
      </c>
      <c r="P33" s="219" cm="1">
        <f t="array" ref="P33">IFERROR(('Tariff schedule'!P44/INDEX('Indicative prices'!P$1:P$916,'Price comparisons'!$I$7+$H33))-1,0)</f>
        <v>0</v>
      </c>
      <c r="Q33" s="219" cm="1">
        <f t="array" ref="Q33">IFERROR(('Tariff schedule'!Q44/INDEX('Indicative prices'!Q$1:Q$916,'Price comparisons'!$I$7+$H33))-1,0)</f>
        <v>0</v>
      </c>
      <c r="R33" s="219" cm="1">
        <f t="array" ref="R33">IFERROR(('Tariff schedule'!R44/INDEX('Indicative prices'!R$1:R$916,'Price comparisons'!$I$7+$H33))-1,0)</f>
        <v>0</v>
      </c>
      <c r="S33" s="219" cm="1">
        <f t="array" ref="S33">IFERROR(('Tariff schedule'!S44/INDEX('Indicative prices'!S$1:S$916,'Price comparisons'!$I$7+$H33))-1,0)</f>
        <v>0</v>
      </c>
      <c r="T33" s="219" cm="1">
        <f t="array" ref="T33">IFERROR(('Tariff schedule'!T44/INDEX('Indicative prices'!T$1:T$916,'Price comparisons'!$I$7+$H33))-1,0)</f>
        <v>0</v>
      </c>
      <c r="U33" s="219" cm="1">
        <f t="array" ref="U33">IFERROR(('Tariff schedule'!U44/INDEX('Indicative prices'!U$1:U$916,'Price comparisons'!$I$7+$H33))-1,0)</f>
        <v>0</v>
      </c>
      <c r="V33" s="219" cm="1">
        <f t="array" ref="V33">IFERROR(('Tariff schedule'!V44/INDEX('Indicative prices'!V$1:V$916,'Price comparisons'!$I$7+$H33))-1,0)</f>
        <v>0</v>
      </c>
      <c r="W33" s="219" cm="1">
        <f t="array" ref="W33">IFERROR(('Tariff schedule'!W44/INDEX('Indicative prices'!W$1:W$916,'Price comparisons'!$I$7+$H33))-1,0)</f>
        <v>0</v>
      </c>
      <c r="X33" s="219" cm="1">
        <f t="array" ref="X33">IFERROR(('Tariff schedule'!X44/INDEX('Indicative prices'!X$1:X$916,'Price comparisons'!$I$7+$H33))-1,0)</f>
        <v>0</v>
      </c>
      <c r="Y33" s="219" cm="1">
        <f t="array" ref="Y33">IFERROR(('Tariff schedule'!Y44/INDEX('Indicative prices'!Y$1:Y$916,'Price comparisons'!$I$7+$H33))-1,0)</f>
        <v>0</v>
      </c>
      <c r="Z33" s="219" cm="1">
        <f t="array" ref="Z33">IFERROR(('Tariff schedule'!Z44/INDEX('Indicative prices'!Z$1:Z$916,'Price comparisons'!$I$7+$H33))-1,0)</f>
        <v>0</v>
      </c>
      <c r="AA33" s="219" cm="1">
        <f t="array" ref="AA33">IFERROR(('Tariff schedule'!AA44/INDEX('Indicative prices'!AA$1:AA$916,'Price comparisons'!$I$7+$H33))-1,0)</f>
        <v>0</v>
      </c>
      <c r="AB33" s="219" cm="1">
        <f t="array" ref="AB33">IFERROR(('Tariff schedule'!AB44/INDEX('Indicative prices'!AB$1:AB$916,'Price comparisons'!$I$7+$H33))-1,0)</f>
        <v>0</v>
      </c>
      <c r="AC33" s="220"/>
      <c r="AD33" s="19"/>
      <c r="AE33" s="19"/>
      <c r="AF33" s="19"/>
      <c r="AG33" s="19"/>
    </row>
    <row r="34" spans="1:33" hidden="1" outlineLevel="2" x14ac:dyDescent="0.2">
      <c r="A34" s="19"/>
      <c r="B34" s="19"/>
      <c r="C34" s="506">
        <f>Qty!C34</f>
        <v>0</v>
      </c>
      <c r="D34" s="505">
        <f>Qty!D34</f>
        <v>0</v>
      </c>
      <c r="E34" s="505">
        <f>Qty!E34</f>
        <v>0</v>
      </c>
      <c r="F34" s="505">
        <f>Qty!F34</f>
        <v>0</v>
      </c>
      <c r="G34" s="505">
        <f>Qty!G34</f>
        <v>0</v>
      </c>
      <c r="H34" s="333">
        <v>26</v>
      </c>
      <c r="I34" s="219" cm="1">
        <f t="array" ref="I34">IFERROR(('Tariff schedule'!I45/INDEX('Indicative prices'!I$1:I$916,'Price comparisons'!$I$7+$H34))-1,0)</f>
        <v>0</v>
      </c>
      <c r="J34" s="219" cm="1">
        <f t="array" ref="J34">IFERROR(('Tariff schedule'!J45/INDEX('Indicative prices'!J$1:J$916,'Price comparisons'!$I$7+$H34))-1,0)</f>
        <v>0</v>
      </c>
      <c r="K34" s="219" cm="1">
        <f t="array" ref="K34">IFERROR(('Tariff schedule'!K45/INDEX('Indicative prices'!K$1:K$916,'Price comparisons'!$I$7+$H34))-1,0)</f>
        <v>0</v>
      </c>
      <c r="L34" s="219" cm="1">
        <f t="array" ref="L34">IFERROR(('Tariff schedule'!L45/INDEX('Indicative prices'!L$1:L$916,'Price comparisons'!$I$7+$H34))-1,0)</f>
        <v>0</v>
      </c>
      <c r="M34" s="219" cm="1">
        <f t="array" ref="M34">IFERROR(('Tariff schedule'!M45/INDEX('Indicative prices'!M$1:M$916,'Price comparisons'!$I$7+$H34))-1,0)</f>
        <v>0</v>
      </c>
      <c r="N34" s="219" cm="1">
        <f t="array" ref="N34">IFERROR(('Tariff schedule'!N45/INDEX('Indicative prices'!N$1:N$916,'Price comparisons'!$I$7+$H34))-1,0)</f>
        <v>0</v>
      </c>
      <c r="O34" s="219" cm="1">
        <f t="array" ref="O34">IFERROR(('Tariff schedule'!O45/INDEX('Indicative prices'!O$1:O$916,'Price comparisons'!$I$7+$H34))-1,0)</f>
        <v>0</v>
      </c>
      <c r="P34" s="219" cm="1">
        <f t="array" ref="P34">IFERROR(('Tariff schedule'!P45/INDEX('Indicative prices'!P$1:P$916,'Price comparisons'!$I$7+$H34))-1,0)</f>
        <v>0</v>
      </c>
      <c r="Q34" s="219" cm="1">
        <f t="array" ref="Q34">IFERROR(('Tariff schedule'!Q45/INDEX('Indicative prices'!Q$1:Q$916,'Price comparisons'!$I$7+$H34))-1,0)</f>
        <v>0</v>
      </c>
      <c r="R34" s="219" cm="1">
        <f t="array" ref="R34">IFERROR(('Tariff schedule'!R45/INDEX('Indicative prices'!R$1:R$916,'Price comparisons'!$I$7+$H34))-1,0)</f>
        <v>0</v>
      </c>
      <c r="S34" s="219" cm="1">
        <f t="array" ref="S34">IFERROR(('Tariff schedule'!S45/INDEX('Indicative prices'!S$1:S$916,'Price comparisons'!$I$7+$H34))-1,0)</f>
        <v>0</v>
      </c>
      <c r="T34" s="219" cm="1">
        <f t="array" ref="T34">IFERROR(('Tariff schedule'!T45/INDEX('Indicative prices'!T$1:T$916,'Price comparisons'!$I$7+$H34))-1,0)</f>
        <v>0</v>
      </c>
      <c r="U34" s="219" cm="1">
        <f t="array" ref="U34">IFERROR(('Tariff schedule'!U45/INDEX('Indicative prices'!U$1:U$916,'Price comparisons'!$I$7+$H34))-1,0)</f>
        <v>0</v>
      </c>
      <c r="V34" s="219" cm="1">
        <f t="array" ref="V34">IFERROR(('Tariff schedule'!V45/INDEX('Indicative prices'!V$1:V$916,'Price comparisons'!$I$7+$H34))-1,0)</f>
        <v>0</v>
      </c>
      <c r="W34" s="219" cm="1">
        <f t="array" ref="W34">IFERROR(('Tariff schedule'!W45/INDEX('Indicative prices'!W$1:W$916,'Price comparisons'!$I$7+$H34))-1,0)</f>
        <v>0</v>
      </c>
      <c r="X34" s="219" cm="1">
        <f t="array" ref="X34">IFERROR(('Tariff schedule'!X45/INDEX('Indicative prices'!X$1:X$916,'Price comparisons'!$I$7+$H34))-1,0)</f>
        <v>0</v>
      </c>
      <c r="Y34" s="219" cm="1">
        <f t="array" ref="Y34">IFERROR(('Tariff schedule'!Y45/INDEX('Indicative prices'!Y$1:Y$916,'Price comparisons'!$I$7+$H34))-1,0)</f>
        <v>0</v>
      </c>
      <c r="Z34" s="219" cm="1">
        <f t="array" ref="Z34">IFERROR(('Tariff schedule'!Z45/INDEX('Indicative prices'!Z$1:Z$916,'Price comparisons'!$I$7+$H34))-1,0)</f>
        <v>0</v>
      </c>
      <c r="AA34" s="219" cm="1">
        <f t="array" ref="AA34">IFERROR(('Tariff schedule'!AA45/INDEX('Indicative prices'!AA$1:AA$916,'Price comparisons'!$I$7+$H34))-1,0)</f>
        <v>0</v>
      </c>
      <c r="AB34" s="219" cm="1">
        <f t="array" ref="AB34">IFERROR(('Tariff schedule'!AB45/INDEX('Indicative prices'!AB$1:AB$916,'Price comparisons'!$I$7+$H34))-1,0)</f>
        <v>0</v>
      </c>
      <c r="AC34" s="220"/>
      <c r="AD34" s="19"/>
      <c r="AE34" s="19"/>
      <c r="AF34" s="19"/>
      <c r="AG34" s="19"/>
    </row>
    <row r="35" spans="1:33" hidden="1" outlineLevel="2" x14ac:dyDescent="0.2">
      <c r="A35" s="19"/>
      <c r="B35" s="19"/>
      <c r="C35" s="506">
        <f>Qty!C35</f>
        <v>0</v>
      </c>
      <c r="D35" s="505">
        <f>Qty!D35</f>
        <v>0</v>
      </c>
      <c r="E35" s="505">
        <f>Qty!E35</f>
        <v>0</v>
      </c>
      <c r="F35" s="505">
        <f>Qty!F35</f>
        <v>0</v>
      </c>
      <c r="G35" s="505">
        <f>Qty!G35</f>
        <v>0</v>
      </c>
      <c r="H35" s="333">
        <v>27</v>
      </c>
      <c r="I35" s="219" cm="1">
        <f t="array" ref="I35">IFERROR(('Tariff schedule'!I46/INDEX('Indicative prices'!I$1:I$916,'Price comparisons'!$I$7+$H35))-1,0)</f>
        <v>0</v>
      </c>
      <c r="J35" s="219" cm="1">
        <f t="array" ref="J35">IFERROR(('Tariff schedule'!J46/INDEX('Indicative prices'!J$1:J$916,'Price comparisons'!$I$7+$H35))-1,0)</f>
        <v>0</v>
      </c>
      <c r="K35" s="219" cm="1">
        <f t="array" ref="K35">IFERROR(('Tariff schedule'!K46/INDEX('Indicative prices'!K$1:K$916,'Price comparisons'!$I$7+$H35))-1,0)</f>
        <v>0</v>
      </c>
      <c r="L35" s="219" cm="1">
        <f t="array" ref="L35">IFERROR(('Tariff schedule'!L46/INDEX('Indicative prices'!L$1:L$916,'Price comparisons'!$I$7+$H35))-1,0)</f>
        <v>0</v>
      </c>
      <c r="M35" s="219" cm="1">
        <f t="array" ref="M35">IFERROR(('Tariff schedule'!M46/INDEX('Indicative prices'!M$1:M$916,'Price comparisons'!$I$7+$H35))-1,0)</f>
        <v>0</v>
      </c>
      <c r="N35" s="219" cm="1">
        <f t="array" ref="N35">IFERROR(('Tariff schedule'!N46/INDEX('Indicative prices'!N$1:N$916,'Price comparisons'!$I$7+$H35))-1,0)</f>
        <v>0</v>
      </c>
      <c r="O35" s="219" cm="1">
        <f t="array" ref="O35">IFERROR(('Tariff schedule'!O46/INDEX('Indicative prices'!O$1:O$916,'Price comparisons'!$I$7+$H35))-1,0)</f>
        <v>0</v>
      </c>
      <c r="P35" s="219" cm="1">
        <f t="array" ref="P35">IFERROR(('Tariff schedule'!P46/INDEX('Indicative prices'!P$1:P$916,'Price comparisons'!$I$7+$H35))-1,0)</f>
        <v>0</v>
      </c>
      <c r="Q35" s="219" cm="1">
        <f t="array" ref="Q35">IFERROR(('Tariff schedule'!Q46/INDEX('Indicative prices'!Q$1:Q$916,'Price comparisons'!$I$7+$H35))-1,0)</f>
        <v>0</v>
      </c>
      <c r="R35" s="219" cm="1">
        <f t="array" ref="R35">IFERROR(('Tariff schedule'!R46/INDEX('Indicative prices'!R$1:R$916,'Price comparisons'!$I$7+$H35))-1,0)</f>
        <v>0</v>
      </c>
      <c r="S35" s="219" cm="1">
        <f t="array" ref="S35">IFERROR(('Tariff schedule'!S46/INDEX('Indicative prices'!S$1:S$916,'Price comparisons'!$I$7+$H35))-1,0)</f>
        <v>0</v>
      </c>
      <c r="T35" s="219" cm="1">
        <f t="array" ref="T35">IFERROR(('Tariff schedule'!T46/INDEX('Indicative prices'!T$1:T$916,'Price comparisons'!$I$7+$H35))-1,0)</f>
        <v>0</v>
      </c>
      <c r="U35" s="219" cm="1">
        <f t="array" ref="U35">IFERROR(('Tariff schedule'!U46/INDEX('Indicative prices'!U$1:U$916,'Price comparisons'!$I$7+$H35))-1,0)</f>
        <v>0</v>
      </c>
      <c r="V35" s="219" cm="1">
        <f t="array" ref="V35">IFERROR(('Tariff schedule'!V46/INDEX('Indicative prices'!V$1:V$916,'Price comparisons'!$I$7+$H35))-1,0)</f>
        <v>0</v>
      </c>
      <c r="W35" s="219" cm="1">
        <f t="array" ref="W35">IFERROR(('Tariff schedule'!W46/INDEX('Indicative prices'!W$1:W$916,'Price comparisons'!$I$7+$H35))-1,0)</f>
        <v>0</v>
      </c>
      <c r="X35" s="219" cm="1">
        <f t="array" ref="X35">IFERROR(('Tariff schedule'!X46/INDEX('Indicative prices'!X$1:X$916,'Price comparisons'!$I$7+$H35))-1,0)</f>
        <v>0</v>
      </c>
      <c r="Y35" s="219" cm="1">
        <f t="array" ref="Y35">IFERROR(('Tariff schedule'!Y46/INDEX('Indicative prices'!Y$1:Y$916,'Price comparisons'!$I$7+$H35))-1,0)</f>
        <v>0</v>
      </c>
      <c r="Z35" s="219" cm="1">
        <f t="array" ref="Z35">IFERROR(('Tariff schedule'!Z46/INDEX('Indicative prices'!Z$1:Z$916,'Price comparisons'!$I$7+$H35))-1,0)</f>
        <v>0</v>
      </c>
      <c r="AA35" s="219" cm="1">
        <f t="array" ref="AA35">IFERROR(('Tariff schedule'!AA46/INDEX('Indicative prices'!AA$1:AA$916,'Price comparisons'!$I$7+$H35))-1,0)</f>
        <v>0</v>
      </c>
      <c r="AB35" s="219" cm="1">
        <f t="array" ref="AB35">IFERROR(('Tariff schedule'!AB46/INDEX('Indicative prices'!AB$1:AB$916,'Price comparisons'!$I$7+$H35))-1,0)</f>
        <v>0</v>
      </c>
      <c r="AC35" s="220"/>
      <c r="AD35" s="19"/>
      <c r="AE35" s="19"/>
      <c r="AF35" s="19"/>
      <c r="AG35" s="19"/>
    </row>
    <row r="36" spans="1:33" hidden="1" outlineLevel="2" x14ac:dyDescent="0.2">
      <c r="A36" s="19"/>
      <c r="B36" s="19"/>
      <c r="C36" s="506">
        <f>Qty!C36</f>
        <v>0</v>
      </c>
      <c r="D36" s="505">
        <f>Qty!D36</f>
        <v>0</v>
      </c>
      <c r="E36" s="505">
        <f>Qty!E36</f>
        <v>0</v>
      </c>
      <c r="F36" s="505">
        <f>Qty!F36</f>
        <v>0</v>
      </c>
      <c r="G36" s="505">
        <f>Qty!G36</f>
        <v>0</v>
      </c>
      <c r="H36" s="333">
        <v>28</v>
      </c>
      <c r="I36" s="219" cm="1">
        <f t="array" ref="I36">IFERROR(('Tariff schedule'!I47/INDEX('Indicative prices'!I$1:I$916,'Price comparisons'!$I$7+$H36))-1,0)</f>
        <v>0</v>
      </c>
      <c r="J36" s="219" cm="1">
        <f t="array" ref="J36">IFERROR(('Tariff schedule'!J47/INDEX('Indicative prices'!J$1:J$916,'Price comparisons'!$I$7+$H36))-1,0)</f>
        <v>0</v>
      </c>
      <c r="K36" s="219" cm="1">
        <f t="array" ref="K36">IFERROR(('Tariff schedule'!K47/INDEX('Indicative prices'!K$1:K$916,'Price comparisons'!$I$7+$H36))-1,0)</f>
        <v>0</v>
      </c>
      <c r="L36" s="219" cm="1">
        <f t="array" ref="L36">IFERROR(('Tariff schedule'!L47/INDEX('Indicative prices'!L$1:L$916,'Price comparisons'!$I$7+$H36))-1,0)</f>
        <v>0</v>
      </c>
      <c r="M36" s="219" cm="1">
        <f t="array" ref="M36">IFERROR(('Tariff schedule'!M47/INDEX('Indicative prices'!M$1:M$916,'Price comparisons'!$I$7+$H36))-1,0)</f>
        <v>0</v>
      </c>
      <c r="N36" s="219" cm="1">
        <f t="array" ref="N36">IFERROR(('Tariff schedule'!N47/INDEX('Indicative prices'!N$1:N$916,'Price comparisons'!$I$7+$H36))-1,0)</f>
        <v>0</v>
      </c>
      <c r="O36" s="219" cm="1">
        <f t="array" ref="O36">IFERROR(('Tariff schedule'!O47/INDEX('Indicative prices'!O$1:O$916,'Price comparisons'!$I$7+$H36))-1,0)</f>
        <v>0</v>
      </c>
      <c r="P36" s="219" cm="1">
        <f t="array" ref="P36">IFERROR(('Tariff schedule'!P47/INDEX('Indicative prices'!P$1:P$916,'Price comparisons'!$I$7+$H36))-1,0)</f>
        <v>0</v>
      </c>
      <c r="Q36" s="219" cm="1">
        <f t="array" ref="Q36">IFERROR(('Tariff schedule'!Q47/INDEX('Indicative prices'!Q$1:Q$916,'Price comparisons'!$I$7+$H36))-1,0)</f>
        <v>0</v>
      </c>
      <c r="R36" s="219" cm="1">
        <f t="array" ref="R36">IFERROR(('Tariff schedule'!R47/INDEX('Indicative prices'!R$1:R$916,'Price comparisons'!$I$7+$H36))-1,0)</f>
        <v>0</v>
      </c>
      <c r="S36" s="219" cm="1">
        <f t="array" ref="S36">IFERROR(('Tariff schedule'!S47/INDEX('Indicative prices'!S$1:S$916,'Price comparisons'!$I$7+$H36))-1,0)</f>
        <v>0</v>
      </c>
      <c r="T36" s="219" cm="1">
        <f t="array" ref="T36">IFERROR(('Tariff schedule'!T47/INDEX('Indicative prices'!T$1:T$916,'Price comparisons'!$I$7+$H36))-1,0)</f>
        <v>0</v>
      </c>
      <c r="U36" s="219" cm="1">
        <f t="array" ref="U36">IFERROR(('Tariff schedule'!U47/INDEX('Indicative prices'!U$1:U$916,'Price comparisons'!$I$7+$H36))-1,0)</f>
        <v>0</v>
      </c>
      <c r="V36" s="219" cm="1">
        <f t="array" ref="V36">IFERROR(('Tariff schedule'!V47/INDEX('Indicative prices'!V$1:V$916,'Price comparisons'!$I$7+$H36))-1,0)</f>
        <v>0</v>
      </c>
      <c r="W36" s="219" cm="1">
        <f t="array" ref="W36">IFERROR(('Tariff schedule'!W47/INDEX('Indicative prices'!W$1:W$916,'Price comparisons'!$I$7+$H36))-1,0)</f>
        <v>0</v>
      </c>
      <c r="X36" s="219" cm="1">
        <f t="array" ref="X36">IFERROR(('Tariff schedule'!X47/INDEX('Indicative prices'!X$1:X$916,'Price comparisons'!$I$7+$H36))-1,0)</f>
        <v>0</v>
      </c>
      <c r="Y36" s="219" cm="1">
        <f t="array" ref="Y36">IFERROR(('Tariff schedule'!Y47/INDEX('Indicative prices'!Y$1:Y$916,'Price comparisons'!$I$7+$H36))-1,0)</f>
        <v>0</v>
      </c>
      <c r="Z36" s="219" cm="1">
        <f t="array" ref="Z36">IFERROR(('Tariff schedule'!Z47/INDEX('Indicative prices'!Z$1:Z$916,'Price comparisons'!$I$7+$H36))-1,0)</f>
        <v>0</v>
      </c>
      <c r="AA36" s="219" cm="1">
        <f t="array" ref="AA36">IFERROR(('Tariff schedule'!AA47/INDEX('Indicative prices'!AA$1:AA$916,'Price comparisons'!$I$7+$H36))-1,0)</f>
        <v>0</v>
      </c>
      <c r="AB36" s="219" cm="1">
        <f t="array" ref="AB36">IFERROR(('Tariff schedule'!AB47/INDEX('Indicative prices'!AB$1:AB$916,'Price comparisons'!$I$7+$H36))-1,0)</f>
        <v>0</v>
      </c>
      <c r="AC36" s="220"/>
      <c r="AD36" s="19"/>
      <c r="AE36" s="19"/>
      <c r="AF36" s="19"/>
      <c r="AG36" s="19"/>
    </row>
    <row r="37" spans="1:33" hidden="1" outlineLevel="2" x14ac:dyDescent="0.2">
      <c r="A37" s="19"/>
      <c r="B37" s="19"/>
      <c r="C37" s="506">
        <f>Qty!C37</f>
        <v>0</v>
      </c>
      <c r="D37" s="505">
        <f>Qty!D37</f>
        <v>0</v>
      </c>
      <c r="E37" s="505">
        <f>Qty!E37</f>
        <v>0</v>
      </c>
      <c r="F37" s="505">
        <f>Qty!F37</f>
        <v>0</v>
      </c>
      <c r="G37" s="505">
        <f>Qty!G37</f>
        <v>0</v>
      </c>
      <c r="H37" s="333">
        <v>29</v>
      </c>
      <c r="I37" s="219" cm="1">
        <f t="array" ref="I37">IFERROR(('Tariff schedule'!I48/INDEX('Indicative prices'!I$1:I$916,'Price comparisons'!$I$7+$H37))-1,0)</f>
        <v>0</v>
      </c>
      <c r="J37" s="219" cm="1">
        <f t="array" ref="J37">IFERROR(('Tariff schedule'!J48/INDEX('Indicative prices'!J$1:J$916,'Price comparisons'!$I$7+$H37))-1,0)</f>
        <v>0</v>
      </c>
      <c r="K37" s="219" cm="1">
        <f t="array" ref="K37">IFERROR(('Tariff schedule'!K48/INDEX('Indicative prices'!K$1:K$916,'Price comparisons'!$I$7+$H37))-1,0)</f>
        <v>0</v>
      </c>
      <c r="L37" s="219" cm="1">
        <f t="array" ref="L37">IFERROR(('Tariff schedule'!L48/INDEX('Indicative prices'!L$1:L$916,'Price comparisons'!$I$7+$H37))-1,0)</f>
        <v>0</v>
      </c>
      <c r="M37" s="219" cm="1">
        <f t="array" ref="M37">IFERROR(('Tariff schedule'!M48/INDEX('Indicative prices'!M$1:M$916,'Price comparisons'!$I$7+$H37))-1,0)</f>
        <v>0</v>
      </c>
      <c r="N37" s="219" cm="1">
        <f t="array" ref="N37">IFERROR(('Tariff schedule'!N48/INDEX('Indicative prices'!N$1:N$916,'Price comparisons'!$I$7+$H37))-1,0)</f>
        <v>0</v>
      </c>
      <c r="O37" s="219" cm="1">
        <f t="array" ref="O37">IFERROR(('Tariff schedule'!O48/INDEX('Indicative prices'!O$1:O$916,'Price comparisons'!$I$7+$H37))-1,0)</f>
        <v>0</v>
      </c>
      <c r="P37" s="219" cm="1">
        <f t="array" ref="P37">IFERROR(('Tariff schedule'!P48/INDEX('Indicative prices'!P$1:P$916,'Price comparisons'!$I$7+$H37))-1,0)</f>
        <v>0</v>
      </c>
      <c r="Q37" s="219" cm="1">
        <f t="array" ref="Q37">IFERROR(('Tariff schedule'!Q48/INDEX('Indicative prices'!Q$1:Q$916,'Price comparisons'!$I$7+$H37))-1,0)</f>
        <v>0</v>
      </c>
      <c r="R37" s="219" cm="1">
        <f t="array" ref="R37">IFERROR(('Tariff schedule'!R48/INDEX('Indicative prices'!R$1:R$916,'Price comparisons'!$I$7+$H37))-1,0)</f>
        <v>0</v>
      </c>
      <c r="S37" s="219" cm="1">
        <f t="array" ref="S37">IFERROR(('Tariff schedule'!S48/INDEX('Indicative prices'!S$1:S$916,'Price comparisons'!$I$7+$H37))-1,0)</f>
        <v>0</v>
      </c>
      <c r="T37" s="219" cm="1">
        <f t="array" ref="T37">IFERROR(('Tariff schedule'!T48/INDEX('Indicative prices'!T$1:T$916,'Price comparisons'!$I$7+$H37))-1,0)</f>
        <v>0</v>
      </c>
      <c r="U37" s="219" cm="1">
        <f t="array" ref="U37">IFERROR(('Tariff schedule'!U48/INDEX('Indicative prices'!U$1:U$916,'Price comparisons'!$I$7+$H37))-1,0)</f>
        <v>0</v>
      </c>
      <c r="V37" s="219" cm="1">
        <f t="array" ref="V37">IFERROR(('Tariff schedule'!V48/INDEX('Indicative prices'!V$1:V$916,'Price comparisons'!$I$7+$H37))-1,0)</f>
        <v>0</v>
      </c>
      <c r="W37" s="219" cm="1">
        <f t="array" ref="W37">IFERROR(('Tariff schedule'!W48/INDEX('Indicative prices'!W$1:W$916,'Price comparisons'!$I$7+$H37))-1,0)</f>
        <v>0</v>
      </c>
      <c r="X37" s="219" cm="1">
        <f t="array" ref="X37">IFERROR(('Tariff schedule'!X48/INDEX('Indicative prices'!X$1:X$916,'Price comparisons'!$I$7+$H37))-1,0)</f>
        <v>0</v>
      </c>
      <c r="Y37" s="219" cm="1">
        <f t="array" ref="Y37">IFERROR(('Tariff schedule'!Y48/INDEX('Indicative prices'!Y$1:Y$916,'Price comparisons'!$I$7+$H37))-1,0)</f>
        <v>0</v>
      </c>
      <c r="Z37" s="219" cm="1">
        <f t="array" ref="Z37">IFERROR(('Tariff schedule'!Z48/INDEX('Indicative prices'!Z$1:Z$916,'Price comparisons'!$I$7+$H37))-1,0)</f>
        <v>0</v>
      </c>
      <c r="AA37" s="219" cm="1">
        <f t="array" ref="AA37">IFERROR(('Tariff schedule'!AA48/INDEX('Indicative prices'!AA$1:AA$916,'Price comparisons'!$I$7+$H37))-1,0)</f>
        <v>0</v>
      </c>
      <c r="AB37" s="219" cm="1">
        <f t="array" ref="AB37">IFERROR(('Tariff schedule'!AB48/INDEX('Indicative prices'!AB$1:AB$916,'Price comparisons'!$I$7+$H37))-1,0)</f>
        <v>0</v>
      </c>
      <c r="AC37" s="220"/>
      <c r="AD37" s="19"/>
      <c r="AE37" s="19"/>
      <c r="AF37" s="19"/>
      <c r="AG37" s="19"/>
    </row>
    <row r="38" spans="1:33" hidden="1" outlineLevel="2" x14ac:dyDescent="0.2">
      <c r="A38" s="19"/>
      <c r="B38" s="19"/>
      <c r="C38" s="506">
        <f>Qty!C38</f>
        <v>0</v>
      </c>
      <c r="D38" s="505">
        <f>Qty!D38</f>
        <v>0</v>
      </c>
      <c r="E38" s="505">
        <f>Qty!E38</f>
        <v>0</v>
      </c>
      <c r="F38" s="505">
        <f>Qty!F38</f>
        <v>0</v>
      </c>
      <c r="G38" s="505">
        <f>Qty!G38</f>
        <v>0</v>
      </c>
      <c r="H38" s="333">
        <v>30</v>
      </c>
      <c r="I38" s="219" cm="1">
        <f t="array" ref="I38">IFERROR(('Tariff schedule'!I49/INDEX('Indicative prices'!I$1:I$916,'Price comparisons'!$I$7+$H38))-1,0)</f>
        <v>0</v>
      </c>
      <c r="J38" s="219" cm="1">
        <f t="array" ref="J38">IFERROR(('Tariff schedule'!J49/INDEX('Indicative prices'!J$1:J$916,'Price comparisons'!$I$7+$H38))-1,0)</f>
        <v>0</v>
      </c>
      <c r="K38" s="219" cm="1">
        <f t="array" ref="K38">IFERROR(('Tariff schedule'!K49/INDEX('Indicative prices'!K$1:K$916,'Price comparisons'!$I$7+$H38))-1,0)</f>
        <v>0</v>
      </c>
      <c r="L38" s="219" cm="1">
        <f t="array" ref="L38">IFERROR(('Tariff schedule'!L49/INDEX('Indicative prices'!L$1:L$916,'Price comparisons'!$I$7+$H38))-1,0)</f>
        <v>0</v>
      </c>
      <c r="M38" s="219" cm="1">
        <f t="array" ref="M38">IFERROR(('Tariff schedule'!M49/INDEX('Indicative prices'!M$1:M$916,'Price comparisons'!$I$7+$H38))-1,0)</f>
        <v>0</v>
      </c>
      <c r="N38" s="219" cm="1">
        <f t="array" ref="N38">IFERROR(('Tariff schedule'!N49/INDEX('Indicative prices'!N$1:N$916,'Price comparisons'!$I$7+$H38))-1,0)</f>
        <v>0</v>
      </c>
      <c r="O38" s="219" cm="1">
        <f t="array" ref="O38">IFERROR(('Tariff schedule'!O49/INDEX('Indicative prices'!O$1:O$916,'Price comparisons'!$I$7+$H38))-1,0)</f>
        <v>0</v>
      </c>
      <c r="P38" s="219" cm="1">
        <f t="array" ref="P38">IFERROR(('Tariff schedule'!P49/INDEX('Indicative prices'!P$1:P$916,'Price comparisons'!$I$7+$H38))-1,0)</f>
        <v>0</v>
      </c>
      <c r="Q38" s="219" cm="1">
        <f t="array" ref="Q38">IFERROR(('Tariff schedule'!Q49/INDEX('Indicative prices'!Q$1:Q$916,'Price comparisons'!$I$7+$H38))-1,0)</f>
        <v>0</v>
      </c>
      <c r="R38" s="219" cm="1">
        <f t="array" ref="R38">IFERROR(('Tariff schedule'!R49/INDEX('Indicative prices'!R$1:R$916,'Price comparisons'!$I$7+$H38))-1,0)</f>
        <v>0</v>
      </c>
      <c r="S38" s="219" cm="1">
        <f t="array" ref="S38">IFERROR(('Tariff schedule'!S49/INDEX('Indicative prices'!S$1:S$916,'Price comparisons'!$I$7+$H38))-1,0)</f>
        <v>0</v>
      </c>
      <c r="T38" s="219" cm="1">
        <f t="array" ref="T38">IFERROR(('Tariff schedule'!T49/INDEX('Indicative prices'!T$1:T$916,'Price comparisons'!$I$7+$H38))-1,0)</f>
        <v>0</v>
      </c>
      <c r="U38" s="219" cm="1">
        <f t="array" ref="U38">IFERROR(('Tariff schedule'!U49/INDEX('Indicative prices'!U$1:U$916,'Price comparisons'!$I$7+$H38))-1,0)</f>
        <v>0</v>
      </c>
      <c r="V38" s="219" cm="1">
        <f t="array" ref="V38">IFERROR(('Tariff schedule'!V49/INDEX('Indicative prices'!V$1:V$916,'Price comparisons'!$I$7+$H38))-1,0)</f>
        <v>0</v>
      </c>
      <c r="W38" s="219" cm="1">
        <f t="array" ref="W38">IFERROR(('Tariff schedule'!W49/INDEX('Indicative prices'!W$1:W$916,'Price comparisons'!$I$7+$H38))-1,0)</f>
        <v>0</v>
      </c>
      <c r="X38" s="219" cm="1">
        <f t="array" ref="X38">IFERROR(('Tariff schedule'!X49/INDEX('Indicative prices'!X$1:X$916,'Price comparisons'!$I$7+$H38))-1,0)</f>
        <v>0</v>
      </c>
      <c r="Y38" s="219" cm="1">
        <f t="array" ref="Y38">IFERROR(('Tariff schedule'!Y49/INDEX('Indicative prices'!Y$1:Y$916,'Price comparisons'!$I$7+$H38))-1,0)</f>
        <v>0</v>
      </c>
      <c r="Z38" s="219" cm="1">
        <f t="array" ref="Z38">IFERROR(('Tariff schedule'!Z49/INDEX('Indicative prices'!Z$1:Z$916,'Price comparisons'!$I$7+$H38))-1,0)</f>
        <v>0</v>
      </c>
      <c r="AA38" s="219" cm="1">
        <f t="array" ref="AA38">IFERROR(('Tariff schedule'!AA49/INDEX('Indicative prices'!AA$1:AA$916,'Price comparisons'!$I$7+$H38))-1,0)</f>
        <v>0</v>
      </c>
      <c r="AB38" s="219" cm="1">
        <f t="array" ref="AB38">IFERROR(('Tariff schedule'!AB49/INDEX('Indicative prices'!AB$1:AB$916,'Price comparisons'!$I$7+$H38))-1,0)</f>
        <v>0</v>
      </c>
      <c r="AC38" s="220"/>
      <c r="AD38" s="19"/>
      <c r="AE38" s="19"/>
      <c r="AF38" s="19"/>
      <c r="AG38" s="19"/>
    </row>
    <row r="39" spans="1:33" hidden="1" outlineLevel="2" x14ac:dyDescent="0.2">
      <c r="A39" s="19"/>
      <c r="B39" s="19"/>
      <c r="C39" s="506">
        <f>Qty!C39</f>
        <v>0</v>
      </c>
      <c r="D39" s="505">
        <f>Qty!D39</f>
        <v>0</v>
      </c>
      <c r="E39" s="505">
        <f>Qty!E39</f>
        <v>0</v>
      </c>
      <c r="F39" s="505">
        <f>Qty!F39</f>
        <v>0</v>
      </c>
      <c r="G39" s="505">
        <f>Qty!G39</f>
        <v>0</v>
      </c>
      <c r="H39" s="333">
        <v>31</v>
      </c>
      <c r="I39" s="219" cm="1">
        <f t="array" ref="I39">IFERROR(('Tariff schedule'!I50/INDEX('Indicative prices'!I$1:I$916,'Price comparisons'!$I$7+$H39))-1,0)</f>
        <v>0</v>
      </c>
      <c r="J39" s="219" cm="1">
        <f t="array" ref="J39">IFERROR(('Tariff schedule'!J50/INDEX('Indicative prices'!J$1:J$916,'Price comparisons'!$I$7+$H39))-1,0)</f>
        <v>0</v>
      </c>
      <c r="K39" s="219" cm="1">
        <f t="array" ref="K39">IFERROR(('Tariff schedule'!K50/INDEX('Indicative prices'!K$1:K$916,'Price comparisons'!$I$7+$H39))-1,0)</f>
        <v>0</v>
      </c>
      <c r="L39" s="219" cm="1">
        <f t="array" ref="L39">IFERROR(('Tariff schedule'!L50/INDEX('Indicative prices'!L$1:L$916,'Price comparisons'!$I$7+$H39))-1,0)</f>
        <v>0</v>
      </c>
      <c r="M39" s="219" cm="1">
        <f t="array" ref="M39">IFERROR(('Tariff schedule'!M50/INDEX('Indicative prices'!M$1:M$916,'Price comparisons'!$I$7+$H39))-1,0)</f>
        <v>0</v>
      </c>
      <c r="N39" s="219" cm="1">
        <f t="array" ref="N39">IFERROR(('Tariff schedule'!N50/INDEX('Indicative prices'!N$1:N$916,'Price comparisons'!$I$7+$H39))-1,0)</f>
        <v>0</v>
      </c>
      <c r="O39" s="219" cm="1">
        <f t="array" ref="O39">IFERROR(('Tariff schedule'!O50/INDEX('Indicative prices'!O$1:O$916,'Price comparisons'!$I$7+$H39))-1,0)</f>
        <v>0</v>
      </c>
      <c r="P39" s="219" cm="1">
        <f t="array" ref="P39">IFERROR(('Tariff schedule'!P50/INDEX('Indicative prices'!P$1:P$916,'Price comparisons'!$I$7+$H39))-1,0)</f>
        <v>0</v>
      </c>
      <c r="Q39" s="219" cm="1">
        <f t="array" ref="Q39">IFERROR(('Tariff schedule'!Q50/INDEX('Indicative prices'!Q$1:Q$916,'Price comparisons'!$I$7+$H39))-1,0)</f>
        <v>0</v>
      </c>
      <c r="R39" s="219" cm="1">
        <f t="array" ref="R39">IFERROR(('Tariff schedule'!R50/INDEX('Indicative prices'!R$1:R$916,'Price comparisons'!$I$7+$H39))-1,0)</f>
        <v>0</v>
      </c>
      <c r="S39" s="219" cm="1">
        <f t="array" ref="S39">IFERROR(('Tariff schedule'!S50/INDEX('Indicative prices'!S$1:S$916,'Price comparisons'!$I$7+$H39))-1,0)</f>
        <v>0</v>
      </c>
      <c r="T39" s="219" cm="1">
        <f t="array" ref="T39">IFERROR(('Tariff schedule'!T50/INDEX('Indicative prices'!T$1:T$916,'Price comparisons'!$I$7+$H39))-1,0)</f>
        <v>0</v>
      </c>
      <c r="U39" s="219" cm="1">
        <f t="array" ref="U39">IFERROR(('Tariff schedule'!U50/INDEX('Indicative prices'!U$1:U$916,'Price comparisons'!$I$7+$H39))-1,0)</f>
        <v>0</v>
      </c>
      <c r="V39" s="219" cm="1">
        <f t="array" ref="V39">IFERROR(('Tariff schedule'!V50/INDEX('Indicative prices'!V$1:V$916,'Price comparisons'!$I$7+$H39))-1,0)</f>
        <v>0</v>
      </c>
      <c r="W39" s="219" cm="1">
        <f t="array" ref="W39">IFERROR(('Tariff schedule'!W50/INDEX('Indicative prices'!W$1:W$916,'Price comparisons'!$I$7+$H39))-1,0)</f>
        <v>0</v>
      </c>
      <c r="X39" s="219" cm="1">
        <f t="array" ref="X39">IFERROR(('Tariff schedule'!X50/INDEX('Indicative prices'!X$1:X$916,'Price comparisons'!$I$7+$H39))-1,0)</f>
        <v>0</v>
      </c>
      <c r="Y39" s="219" cm="1">
        <f t="array" ref="Y39">IFERROR(('Tariff schedule'!Y50/INDEX('Indicative prices'!Y$1:Y$916,'Price comparisons'!$I$7+$H39))-1,0)</f>
        <v>0</v>
      </c>
      <c r="Z39" s="219" cm="1">
        <f t="array" ref="Z39">IFERROR(('Tariff schedule'!Z50/INDEX('Indicative prices'!Z$1:Z$916,'Price comparisons'!$I$7+$H39))-1,0)</f>
        <v>0</v>
      </c>
      <c r="AA39" s="219" cm="1">
        <f t="array" ref="AA39">IFERROR(('Tariff schedule'!AA50/INDEX('Indicative prices'!AA$1:AA$916,'Price comparisons'!$I$7+$H39))-1,0)</f>
        <v>0</v>
      </c>
      <c r="AB39" s="219" cm="1">
        <f t="array" ref="AB39">IFERROR(('Tariff schedule'!AB50/INDEX('Indicative prices'!AB$1:AB$916,'Price comparisons'!$I$7+$H39))-1,0)</f>
        <v>0</v>
      </c>
      <c r="AC39" s="220"/>
      <c r="AD39" s="19"/>
      <c r="AE39" s="19"/>
      <c r="AF39" s="19"/>
      <c r="AG39" s="19"/>
    </row>
    <row r="40" spans="1:33" hidden="1" outlineLevel="2" x14ac:dyDescent="0.2">
      <c r="A40" s="19"/>
      <c r="B40" s="19"/>
      <c r="C40" s="506">
        <f>Qty!C40</f>
        <v>0</v>
      </c>
      <c r="D40" s="505">
        <f>Qty!D40</f>
        <v>0</v>
      </c>
      <c r="E40" s="505">
        <f>Qty!E40</f>
        <v>0</v>
      </c>
      <c r="F40" s="505">
        <f>Qty!F40</f>
        <v>0</v>
      </c>
      <c r="G40" s="505">
        <f>Qty!G40</f>
        <v>0</v>
      </c>
      <c r="H40" s="333">
        <v>32</v>
      </c>
      <c r="I40" s="219" cm="1">
        <f t="array" ref="I40">IFERROR(('Tariff schedule'!I51/INDEX('Indicative prices'!I$1:I$916,'Price comparisons'!$I$7+$H40))-1,0)</f>
        <v>0</v>
      </c>
      <c r="J40" s="219" cm="1">
        <f t="array" ref="J40">IFERROR(('Tariff schedule'!J51/INDEX('Indicative prices'!J$1:J$916,'Price comparisons'!$I$7+$H40))-1,0)</f>
        <v>0</v>
      </c>
      <c r="K40" s="219" cm="1">
        <f t="array" ref="K40">IFERROR(('Tariff schedule'!K51/INDEX('Indicative prices'!K$1:K$916,'Price comparisons'!$I$7+$H40))-1,0)</f>
        <v>0</v>
      </c>
      <c r="L40" s="219" cm="1">
        <f t="array" ref="L40">IFERROR(('Tariff schedule'!L51/INDEX('Indicative prices'!L$1:L$916,'Price comparisons'!$I$7+$H40))-1,0)</f>
        <v>0</v>
      </c>
      <c r="M40" s="219" cm="1">
        <f t="array" ref="M40">IFERROR(('Tariff schedule'!M51/INDEX('Indicative prices'!M$1:M$916,'Price comparisons'!$I$7+$H40))-1,0)</f>
        <v>0</v>
      </c>
      <c r="N40" s="219" cm="1">
        <f t="array" ref="N40">IFERROR(('Tariff schedule'!N51/INDEX('Indicative prices'!N$1:N$916,'Price comparisons'!$I$7+$H40))-1,0)</f>
        <v>0</v>
      </c>
      <c r="O40" s="219" cm="1">
        <f t="array" ref="O40">IFERROR(('Tariff schedule'!O51/INDEX('Indicative prices'!O$1:O$916,'Price comparisons'!$I$7+$H40))-1,0)</f>
        <v>0</v>
      </c>
      <c r="P40" s="219" cm="1">
        <f t="array" ref="P40">IFERROR(('Tariff schedule'!P51/INDEX('Indicative prices'!P$1:P$916,'Price comparisons'!$I$7+$H40))-1,0)</f>
        <v>0</v>
      </c>
      <c r="Q40" s="219" cm="1">
        <f t="array" ref="Q40">IFERROR(('Tariff schedule'!Q51/INDEX('Indicative prices'!Q$1:Q$916,'Price comparisons'!$I$7+$H40))-1,0)</f>
        <v>0</v>
      </c>
      <c r="R40" s="219" cm="1">
        <f t="array" ref="R40">IFERROR(('Tariff schedule'!R51/INDEX('Indicative prices'!R$1:R$916,'Price comparisons'!$I$7+$H40))-1,0)</f>
        <v>0</v>
      </c>
      <c r="S40" s="219" cm="1">
        <f t="array" ref="S40">IFERROR(('Tariff schedule'!S51/INDEX('Indicative prices'!S$1:S$916,'Price comparisons'!$I$7+$H40))-1,0)</f>
        <v>0</v>
      </c>
      <c r="T40" s="219" cm="1">
        <f t="array" ref="T40">IFERROR(('Tariff schedule'!T51/INDEX('Indicative prices'!T$1:T$916,'Price comparisons'!$I$7+$H40))-1,0)</f>
        <v>0</v>
      </c>
      <c r="U40" s="219" cm="1">
        <f t="array" ref="U40">IFERROR(('Tariff schedule'!U51/INDEX('Indicative prices'!U$1:U$916,'Price comparisons'!$I$7+$H40))-1,0)</f>
        <v>0</v>
      </c>
      <c r="V40" s="219" cm="1">
        <f t="array" ref="V40">IFERROR(('Tariff schedule'!V51/INDEX('Indicative prices'!V$1:V$916,'Price comparisons'!$I$7+$H40))-1,0)</f>
        <v>0</v>
      </c>
      <c r="W40" s="219" cm="1">
        <f t="array" ref="W40">IFERROR(('Tariff schedule'!W51/INDEX('Indicative prices'!W$1:W$916,'Price comparisons'!$I$7+$H40))-1,0)</f>
        <v>0</v>
      </c>
      <c r="X40" s="219" cm="1">
        <f t="array" ref="X40">IFERROR(('Tariff schedule'!X51/INDEX('Indicative prices'!X$1:X$916,'Price comparisons'!$I$7+$H40))-1,0)</f>
        <v>0</v>
      </c>
      <c r="Y40" s="219" cm="1">
        <f t="array" ref="Y40">IFERROR(('Tariff schedule'!Y51/INDEX('Indicative prices'!Y$1:Y$916,'Price comparisons'!$I$7+$H40))-1,0)</f>
        <v>0</v>
      </c>
      <c r="Z40" s="219" cm="1">
        <f t="array" ref="Z40">IFERROR(('Tariff schedule'!Z51/INDEX('Indicative prices'!Z$1:Z$916,'Price comparisons'!$I$7+$H40))-1,0)</f>
        <v>0</v>
      </c>
      <c r="AA40" s="219" cm="1">
        <f t="array" ref="AA40">IFERROR(('Tariff schedule'!AA51/INDEX('Indicative prices'!AA$1:AA$916,'Price comparisons'!$I$7+$H40))-1,0)</f>
        <v>0</v>
      </c>
      <c r="AB40" s="219" cm="1">
        <f t="array" ref="AB40">IFERROR(('Tariff schedule'!AB51/INDEX('Indicative prices'!AB$1:AB$916,'Price comparisons'!$I$7+$H40))-1,0)</f>
        <v>0</v>
      </c>
      <c r="AC40" s="220"/>
      <c r="AD40" s="19"/>
      <c r="AE40" s="19"/>
      <c r="AF40" s="19"/>
      <c r="AG40" s="19"/>
    </row>
    <row r="41" spans="1:33" hidden="1" outlineLevel="2" x14ac:dyDescent="0.2">
      <c r="A41" s="19"/>
      <c r="B41" s="19"/>
      <c r="C41" s="506">
        <f>Qty!C41</f>
        <v>0</v>
      </c>
      <c r="D41" s="505">
        <f>Qty!D41</f>
        <v>0</v>
      </c>
      <c r="E41" s="505">
        <f>Qty!E41</f>
        <v>0</v>
      </c>
      <c r="F41" s="505">
        <f>Qty!F41</f>
        <v>0</v>
      </c>
      <c r="G41" s="505">
        <f>Qty!G41</f>
        <v>0</v>
      </c>
      <c r="H41" s="333">
        <v>33</v>
      </c>
      <c r="I41" s="219" cm="1">
        <f t="array" ref="I41">IFERROR(('Tariff schedule'!I52/INDEX('Indicative prices'!I$1:I$916,'Price comparisons'!$I$7+$H41))-1,0)</f>
        <v>0</v>
      </c>
      <c r="J41" s="219" cm="1">
        <f t="array" ref="J41">IFERROR(('Tariff schedule'!J52/INDEX('Indicative prices'!J$1:J$916,'Price comparisons'!$I$7+$H41))-1,0)</f>
        <v>0</v>
      </c>
      <c r="K41" s="219" cm="1">
        <f t="array" ref="K41">IFERROR(('Tariff schedule'!K52/INDEX('Indicative prices'!K$1:K$916,'Price comparisons'!$I$7+$H41))-1,0)</f>
        <v>0</v>
      </c>
      <c r="L41" s="219" cm="1">
        <f t="array" ref="L41">IFERROR(('Tariff schedule'!L52/INDEX('Indicative prices'!L$1:L$916,'Price comparisons'!$I$7+$H41))-1,0)</f>
        <v>0</v>
      </c>
      <c r="M41" s="219" cm="1">
        <f t="array" ref="M41">IFERROR(('Tariff schedule'!M52/INDEX('Indicative prices'!M$1:M$916,'Price comparisons'!$I$7+$H41))-1,0)</f>
        <v>0</v>
      </c>
      <c r="N41" s="219" cm="1">
        <f t="array" ref="N41">IFERROR(('Tariff schedule'!N52/INDEX('Indicative prices'!N$1:N$916,'Price comparisons'!$I$7+$H41))-1,0)</f>
        <v>0</v>
      </c>
      <c r="O41" s="219" cm="1">
        <f t="array" ref="O41">IFERROR(('Tariff schedule'!O52/INDEX('Indicative prices'!O$1:O$916,'Price comparisons'!$I$7+$H41))-1,0)</f>
        <v>0</v>
      </c>
      <c r="P41" s="219" cm="1">
        <f t="array" ref="P41">IFERROR(('Tariff schedule'!P52/INDEX('Indicative prices'!P$1:P$916,'Price comparisons'!$I$7+$H41))-1,0)</f>
        <v>0</v>
      </c>
      <c r="Q41" s="219" cm="1">
        <f t="array" ref="Q41">IFERROR(('Tariff schedule'!Q52/INDEX('Indicative prices'!Q$1:Q$916,'Price comparisons'!$I$7+$H41))-1,0)</f>
        <v>0</v>
      </c>
      <c r="R41" s="219" cm="1">
        <f t="array" ref="R41">IFERROR(('Tariff schedule'!R52/INDEX('Indicative prices'!R$1:R$916,'Price comparisons'!$I$7+$H41))-1,0)</f>
        <v>0</v>
      </c>
      <c r="S41" s="219" cm="1">
        <f t="array" ref="S41">IFERROR(('Tariff schedule'!S52/INDEX('Indicative prices'!S$1:S$916,'Price comparisons'!$I$7+$H41))-1,0)</f>
        <v>0</v>
      </c>
      <c r="T41" s="219" cm="1">
        <f t="array" ref="T41">IFERROR(('Tariff schedule'!T52/INDEX('Indicative prices'!T$1:T$916,'Price comparisons'!$I$7+$H41))-1,0)</f>
        <v>0</v>
      </c>
      <c r="U41" s="219" cm="1">
        <f t="array" ref="U41">IFERROR(('Tariff schedule'!U52/INDEX('Indicative prices'!U$1:U$916,'Price comparisons'!$I$7+$H41))-1,0)</f>
        <v>0</v>
      </c>
      <c r="V41" s="219" cm="1">
        <f t="array" ref="V41">IFERROR(('Tariff schedule'!V52/INDEX('Indicative prices'!V$1:V$916,'Price comparisons'!$I$7+$H41))-1,0)</f>
        <v>0</v>
      </c>
      <c r="W41" s="219" cm="1">
        <f t="array" ref="W41">IFERROR(('Tariff schedule'!W52/INDEX('Indicative prices'!W$1:W$916,'Price comparisons'!$I$7+$H41))-1,0)</f>
        <v>0</v>
      </c>
      <c r="X41" s="219" cm="1">
        <f t="array" ref="X41">IFERROR(('Tariff schedule'!X52/INDEX('Indicative prices'!X$1:X$916,'Price comparisons'!$I$7+$H41))-1,0)</f>
        <v>0</v>
      </c>
      <c r="Y41" s="219" cm="1">
        <f t="array" ref="Y41">IFERROR(('Tariff schedule'!Y52/INDEX('Indicative prices'!Y$1:Y$916,'Price comparisons'!$I$7+$H41))-1,0)</f>
        <v>0</v>
      </c>
      <c r="Z41" s="219" cm="1">
        <f t="array" ref="Z41">IFERROR(('Tariff schedule'!Z52/INDEX('Indicative prices'!Z$1:Z$916,'Price comparisons'!$I$7+$H41))-1,0)</f>
        <v>0</v>
      </c>
      <c r="AA41" s="219" cm="1">
        <f t="array" ref="AA41">IFERROR(('Tariff schedule'!AA52/INDEX('Indicative prices'!AA$1:AA$916,'Price comparisons'!$I$7+$H41))-1,0)</f>
        <v>0</v>
      </c>
      <c r="AB41" s="219" cm="1">
        <f t="array" ref="AB41">IFERROR(('Tariff schedule'!AB52/INDEX('Indicative prices'!AB$1:AB$916,'Price comparisons'!$I$7+$H41))-1,0)</f>
        <v>0</v>
      </c>
      <c r="AC41" s="220"/>
      <c r="AD41" s="19"/>
      <c r="AE41" s="19"/>
      <c r="AF41" s="19"/>
      <c r="AG41" s="19"/>
    </row>
    <row r="42" spans="1:33" hidden="1" outlineLevel="2" x14ac:dyDescent="0.2">
      <c r="A42" s="19"/>
      <c r="B42" s="19"/>
      <c r="C42" s="506">
        <f>Qty!C42</f>
        <v>0</v>
      </c>
      <c r="D42" s="505">
        <f>Qty!D42</f>
        <v>0</v>
      </c>
      <c r="E42" s="505">
        <f>Qty!E42</f>
        <v>0</v>
      </c>
      <c r="F42" s="505">
        <f>Qty!F42</f>
        <v>0</v>
      </c>
      <c r="G42" s="505">
        <f>Qty!G42</f>
        <v>0</v>
      </c>
      <c r="H42" s="333">
        <v>34</v>
      </c>
      <c r="I42" s="219" cm="1">
        <f t="array" ref="I42">IFERROR(('Tariff schedule'!I53/INDEX('Indicative prices'!I$1:I$916,'Price comparisons'!$I$7+$H42))-1,0)</f>
        <v>0</v>
      </c>
      <c r="J42" s="219" cm="1">
        <f t="array" ref="J42">IFERROR(('Tariff schedule'!J53/INDEX('Indicative prices'!J$1:J$916,'Price comparisons'!$I$7+$H42))-1,0)</f>
        <v>0</v>
      </c>
      <c r="K42" s="219" cm="1">
        <f t="array" ref="K42">IFERROR(('Tariff schedule'!K53/INDEX('Indicative prices'!K$1:K$916,'Price comparisons'!$I$7+$H42))-1,0)</f>
        <v>0</v>
      </c>
      <c r="L42" s="219" cm="1">
        <f t="array" ref="L42">IFERROR(('Tariff schedule'!L53/INDEX('Indicative prices'!L$1:L$916,'Price comparisons'!$I$7+$H42))-1,0)</f>
        <v>0</v>
      </c>
      <c r="M42" s="219" cm="1">
        <f t="array" ref="M42">IFERROR(('Tariff schedule'!M53/INDEX('Indicative prices'!M$1:M$916,'Price comparisons'!$I$7+$H42))-1,0)</f>
        <v>0</v>
      </c>
      <c r="N42" s="219" cm="1">
        <f t="array" ref="N42">IFERROR(('Tariff schedule'!N53/INDEX('Indicative prices'!N$1:N$916,'Price comparisons'!$I$7+$H42))-1,0)</f>
        <v>0</v>
      </c>
      <c r="O42" s="219" cm="1">
        <f t="array" ref="O42">IFERROR(('Tariff schedule'!O53/INDEX('Indicative prices'!O$1:O$916,'Price comparisons'!$I$7+$H42))-1,0)</f>
        <v>0</v>
      </c>
      <c r="P42" s="219" cm="1">
        <f t="array" ref="P42">IFERROR(('Tariff schedule'!P53/INDEX('Indicative prices'!P$1:P$916,'Price comparisons'!$I$7+$H42))-1,0)</f>
        <v>0</v>
      </c>
      <c r="Q42" s="219" cm="1">
        <f t="array" ref="Q42">IFERROR(('Tariff schedule'!Q53/INDEX('Indicative prices'!Q$1:Q$916,'Price comparisons'!$I$7+$H42))-1,0)</f>
        <v>0</v>
      </c>
      <c r="R42" s="219" cm="1">
        <f t="array" ref="R42">IFERROR(('Tariff schedule'!R53/INDEX('Indicative prices'!R$1:R$916,'Price comparisons'!$I$7+$H42))-1,0)</f>
        <v>0</v>
      </c>
      <c r="S42" s="219" cm="1">
        <f t="array" ref="S42">IFERROR(('Tariff schedule'!S53/INDEX('Indicative prices'!S$1:S$916,'Price comparisons'!$I$7+$H42))-1,0)</f>
        <v>0</v>
      </c>
      <c r="T42" s="219" cm="1">
        <f t="array" ref="T42">IFERROR(('Tariff schedule'!T53/INDEX('Indicative prices'!T$1:T$916,'Price comparisons'!$I$7+$H42))-1,0)</f>
        <v>0</v>
      </c>
      <c r="U42" s="219" cm="1">
        <f t="array" ref="U42">IFERROR(('Tariff schedule'!U53/INDEX('Indicative prices'!U$1:U$916,'Price comparisons'!$I$7+$H42))-1,0)</f>
        <v>0</v>
      </c>
      <c r="V42" s="219" cm="1">
        <f t="array" ref="V42">IFERROR(('Tariff schedule'!V53/INDEX('Indicative prices'!V$1:V$916,'Price comparisons'!$I$7+$H42))-1,0)</f>
        <v>0</v>
      </c>
      <c r="W42" s="219" cm="1">
        <f t="array" ref="W42">IFERROR(('Tariff schedule'!W53/INDEX('Indicative prices'!W$1:W$916,'Price comparisons'!$I$7+$H42))-1,0)</f>
        <v>0</v>
      </c>
      <c r="X42" s="219" cm="1">
        <f t="array" ref="X42">IFERROR(('Tariff schedule'!X53/INDEX('Indicative prices'!X$1:X$916,'Price comparisons'!$I$7+$H42))-1,0)</f>
        <v>0</v>
      </c>
      <c r="Y42" s="219" cm="1">
        <f t="array" ref="Y42">IFERROR(('Tariff schedule'!Y53/INDEX('Indicative prices'!Y$1:Y$916,'Price comparisons'!$I$7+$H42))-1,0)</f>
        <v>0</v>
      </c>
      <c r="Z42" s="219" cm="1">
        <f t="array" ref="Z42">IFERROR(('Tariff schedule'!Z53/INDEX('Indicative prices'!Z$1:Z$916,'Price comparisons'!$I$7+$H42))-1,0)</f>
        <v>0</v>
      </c>
      <c r="AA42" s="219" cm="1">
        <f t="array" ref="AA42">IFERROR(('Tariff schedule'!AA53/INDEX('Indicative prices'!AA$1:AA$916,'Price comparisons'!$I$7+$H42))-1,0)</f>
        <v>0</v>
      </c>
      <c r="AB42" s="219" cm="1">
        <f t="array" ref="AB42">IFERROR(('Tariff schedule'!AB53/INDEX('Indicative prices'!AB$1:AB$916,'Price comparisons'!$I$7+$H42))-1,0)</f>
        <v>0</v>
      </c>
      <c r="AC42" s="220"/>
      <c r="AD42" s="19"/>
      <c r="AE42" s="19"/>
      <c r="AF42" s="19"/>
      <c r="AG42" s="19"/>
    </row>
    <row r="43" spans="1:33" hidden="1" outlineLevel="2" x14ac:dyDescent="0.2">
      <c r="A43" s="19"/>
      <c r="B43" s="19"/>
      <c r="C43" s="506">
        <f>Qty!C43</f>
        <v>0</v>
      </c>
      <c r="D43" s="505">
        <f>Qty!D43</f>
        <v>0</v>
      </c>
      <c r="E43" s="505">
        <f>Qty!E43</f>
        <v>0</v>
      </c>
      <c r="F43" s="505">
        <f>Qty!F43</f>
        <v>0</v>
      </c>
      <c r="G43" s="505">
        <f>Qty!G43</f>
        <v>0</v>
      </c>
      <c r="H43" s="333">
        <v>35</v>
      </c>
      <c r="I43" s="219" cm="1">
        <f t="array" ref="I43">IFERROR(('Tariff schedule'!I54/INDEX('Indicative prices'!I$1:I$916,'Price comparisons'!$I$7+$H43))-1,0)</f>
        <v>0</v>
      </c>
      <c r="J43" s="219" cm="1">
        <f t="array" ref="J43">IFERROR(('Tariff schedule'!J54/INDEX('Indicative prices'!J$1:J$916,'Price comparisons'!$I$7+$H43))-1,0)</f>
        <v>0</v>
      </c>
      <c r="K43" s="219" cm="1">
        <f t="array" ref="K43">IFERROR(('Tariff schedule'!K54/INDEX('Indicative prices'!K$1:K$916,'Price comparisons'!$I$7+$H43))-1,0)</f>
        <v>0</v>
      </c>
      <c r="L43" s="219" cm="1">
        <f t="array" ref="L43">IFERROR(('Tariff schedule'!L54/INDEX('Indicative prices'!L$1:L$916,'Price comparisons'!$I$7+$H43))-1,0)</f>
        <v>0</v>
      </c>
      <c r="M43" s="219" cm="1">
        <f t="array" ref="M43">IFERROR(('Tariff schedule'!M54/INDEX('Indicative prices'!M$1:M$916,'Price comparisons'!$I$7+$H43))-1,0)</f>
        <v>0</v>
      </c>
      <c r="N43" s="219" cm="1">
        <f t="array" ref="N43">IFERROR(('Tariff schedule'!N54/INDEX('Indicative prices'!N$1:N$916,'Price comparisons'!$I$7+$H43))-1,0)</f>
        <v>0</v>
      </c>
      <c r="O43" s="219" cm="1">
        <f t="array" ref="O43">IFERROR(('Tariff schedule'!O54/INDEX('Indicative prices'!O$1:O$916,'Price comparisons'!$I$7+$H43))-1,0)</f>
        <v>0</v>
      </c>
      <c r="P43" s="219" cm="1">
        <f t="array" ref="P43">IFERROR(('Tariff schedule'!P54/INDEX('Indicative prices'!P$1:P$916,'Price comparisons'!$I$7+$H43))-1,0)</f>
        <v>0</v>
      </c>
      <c r="Q43" s="219" cm="1">
        <f t="array" ref="Q43">IFERROR(('Tariff schedule'!Q54/INDEX('Indicative prices'!Q$1:Q$916,'Price comparisons'!$I$7+$H43))-1,0)</f>
        <v>0</v>
      </c>
      <c r="R43" s="219" cm="1">
        <f t="array" ref="R43">IFERROR(('Tariff schedule'!R54/INDEX('Indicative prices'!R$1:R$916,'Price comparisons'!$I$7+$H43))-1,0)</f>
        <v>0</v>
      </c>
      <c r="S43" s="219" cm="1">
        <f t="array" ref="S43">IFERROR(('Tariff schedule'!S54/INDEX('Indicative prices'!S$1:S$916,'Price comparisons'!$I$7+$H43))-1,0)</f>
        <v>0</v>
      </c>
      <c r="T43" s="219" cm="1">
        <f t="array" ref="T43">IFERROR(('Tariff schedule'!T54/INDEX('Indicative prices'!T$1:T$916,'Price comparisons'!$I$7+$H43))-1,0)</f>
        <v>0</v>
      </c>
      <c r="U43" s="219" cm="1">
        <f t="array" ref="U43">IFERROR(('Tariff schedule'!U54/INDEX('Indicative prices'!U$1:U$916,'Price comparisons'!$I$7+$H43))-1,0)</f>
        <v>0</v>
      </c>
      <c r="V43" s="219" cm="1">
        <f t="array" ref="V43">IFERROR(('Tariff schedule'!V54/INDEX('Indicative prices'!V$1:V$916,'Price comparisons'!$I$7+$H43))-1,0)</f>
        <v>0</v>
      </c>
      <c r="W43" s="219" cm="1">
        <f t="array" ref="W43">IFERROR(('Tariff schedule'!W54/INDEX('Indicative prices'!W$1:W$916,'Price comparisons'!$I$7+$H43))-1,0)</f>
        <v>0</v>
      </c>
      <c r="X43" s="219" cm="1">
        <f t="array" ref="X43">IFERROR(('Tariff schedule'!X54/INDEX('Indicative prices'!X$1:X$916,'Price comparisons'!$I$7+$H43))-1,0)</f>
        <v>0</v>
      </c>
      <c r="Y43" s="219" cm="1">
        <f t="array" ref="Y43">IFERROR(('Tariff schedule'!Y54/INDEX('Indicative prices'!Y$1:Y$916,'Price comparisons'!$I$7+$H43))-1,0)</f>
        <v>0</v>
      </c>
      <c r="Z43" s="219" cm="1">
        <f t="array" ref="Z43">IFERROR(('Tariff schedule'!Z54/INDEX('Indicative prices'!Z$1:Z$916,'Price comparisons'!$I$7+$H43))-1,0)</f>
        <v>0</v>
      </c>
      <c r="AA43" s="219" cm="1">
        <f t="array" ref="AA43">IFERROR(('Tariff schedule'!AA54/INDEX('Indicative prices'!AA$1:AA$916,'Price comparisons'!$I$7+$H43))-1,0)</f>
        <v>0</v>
      </c>
      <c r="AB43" s="219" cm="1">
        <f t="array" ref="AB43">IFERROR(('Tariff schedule'!AB54/INDEX('Indicative prices'!AB$1:AB$916,'Price comparisons'!$I$7+$H43))-1,0)</f>
        <v>0</v>
      </c>
      <c r="AC43" s="220"/>
      <c r="AD43" s="19"/>
      <c r="AE43" s="19"/>
      <c r="AF43" s="19"/>
      <c r="AG43" s="19"/>
    </row>
    <row r="44" spans="1:33" hidden="1" outlineLevel="2" x14ac:dyDescent="0.2">
      <c r="A44" s="19"/>
      <c r="B44" s="19"/>
      <c r="C44" s="506">
        <f>Qty!C44</f>
        <v>0</v>
      </c>
      <c r="D44" s="505">
        <f>Qty!D44</f>
        <v>0</v>
      </c>
      <c r="E44" s="505">
        <f>Qty!E44</f>
        <v>0</v>
      </c>
      <c r="F44" s="505">
        <f>Qty!F44</f>
        <v>0</v>
      </c>
      <c r="G44" s="505">
        <f>Qty!G44</f>
        <v>0</v>
      </c>
      <c r="H44" s="333">
        <v>36</v>
      </c>
      <c r="I44" s="219" cm="1">
        <f t="array" ref="I44">IFERROR(('Tariff schedule'!I55/INDEX('Indicative prices'!I$1:I$916,'Price comparisons'!$I$7+$H44))-1,0)</f>
        <v>0</v>
      </c>
      <c r="J44" s="219" cm="1">
        <f t="array" ref="J44">IFERROR(('Tariff schedule'!J55/INDEX('Indicative prices'!J$1:J$916,'Price comparisons'!$I$7+$H44))-1,0)</f>
        <v>0</v>
      </c>
      <c r="K44" s="219" cm="1">
        <f t="array" ref="K44">IFERROR(('Tariff schedule'!K55/INDEX('Indicative prices'!K$1:K$916,'Price comparisons'!$I$7+$H44))-1,0)</f>
        <v>0</v>
      </c>
      <c r="L44" s="219" cm="1">
        <f t="array" ref="L44">IFERROR(('Tariff schedule'!L55/INDEX('Indicative prices'!L$1:L$916,'Price comparisons'!$I$7+$H44))-1,0)</f>
        <v>0</v>
      </c>
      <c r="M44" s="219" cm="1">
        <f t="array" ref="M44">IFERROR(('Tariff schedule'!M55/INDEX('Indicative prices'!M$1:M$916,'Price comparisons'!$I$7+$H44))-1,0)</f>
        <v>0</v>
      </c>
      <c r="N44" s="219" cm="1">
        <f t="array" ref="N44">IFERROR(('Tariff schedule'!N55/INDEX('Indicative prices'!N$1:N$916,'Price comparisons'!$I$7+$H44))-1,0)</f>
        <v>0</v>
      </c>
      <c r="O44" s="219" cm="1">
        <f t="array" ref="O44">IFERROR(('Tariff schedule'!O55/INDEX('Indicative prices'!O$1:O$916,'Price comparisons'!$I$7+$H44))-1,0)</f>
        <v>0</v>
      </c>
      <c r="P44" s="219" cm="1">
        <f t="array" ref="P44">IFERROR(('Tariff schedule'!P55/INDEX('Indicative prices'!P$1:P$916,'Price comparisons'!$I$7+$H44))-1,0)</f>
        <v>0</v>
      </c>
      <c r="Q44" s="219" cm="1">
        <f t="array" ref="Q44">IFERROR(('Tariff schedule'!Q55/INDEX('Indicative prices'!Q$1:Q$916,'Price comparisons'!$I$7+$H44))-1,0)</f>
        <v>0</v>
      </c>
      <c r="R44" s="219" cm="1">
        <f t="array" ref="R44">IFERROR(('Tariff schedule'!R55/INDEX('Indicative prices'!R$1:R$916,'Price comparisons'!$I$7+$H44))-1,0)</f>
        <v>0</v>
      </c>
      <c r="S44" s="219" cm="1">
        <f t="array" ref="S44">IFERROR(('Tariff schedule'!S55/INDEX('Indicative prices'!S$1:S$916,'Price comparisons'!$I$7+$H44))-1,0)</f>
        <v>0</v>
      </c>
      <c r="T44" s="219" cm="1">
        <f t="array" ref="T44">IFERROR(('Tariff schedule'!T55/INDEX('Indicative prices'!T$1:T$916,'Price comparisons'!$I$7+$H44))-1,0)</f>
        <v>0</v>
      </c>
      <c r="U44" s="219" cm="1">
        <f t="array" ref="U44">IFERROR(('Tariff schedule'!U55/INDEX('Indicative prices'!U$1:U$916,'Price comparisons'!$I$7+$H44))-1,0)</f>
        <v>0</v>
      </c>
      <c r="V44" s="219" cm="1">
        <f t="array" ref="V44">IFERROR(('Tariff schedule'!V55/INDEX('Indicative prices'!V$1:V$916,'Price comparisons'!$I$7+$H44))-1,0)</f>
        <v>0</v>
      </c>
      <c r="W44" s="219" cm="1">
        <f t="array" ref="W44">IFERROR(('Tariff schedule'!W55/INDEX('Indicative prices'!W$1:W$916,'Price comparisons'!$I$7+$H44))-1,0)</f>
        <v>0</v>
      </c>
      <c r="X44" s="219" cm="1">
        <f t="array" ref="X44">IFERROR(('Tariff schedule'!X55/INDEX('Indicative prices'!X$1:X$916,'Price comparisons'!$I$7+$H44))-1,0)</f>
        <v>0</v>
      </c>
      <c r="Y44" s="219" cm="1">
        <f t="array" ref="Y44">IFERROR(('Tariff schedule'!Y55/INDEX('Indicative prices'!Y$1:Y$916,'Price comparisons'!$I$7+$H44))-1,0)</f>
        <v>0</v>
      </c>
      <c r="Z44" s="219" cm="1">
        <f t="array" ref="Z44">IFERROR(('Tariff schedule'!Z55/INDEX('Indicative prices'!Z$1:Z$916,'Price comparisons'!$I$7+$H44))-1,0)</f>
        <v>0</v>
      </c>
      <c r="AA44" s="219" cm="1">
        <f t="array" ref="AA44">IFERROR(('Tariff schedule'!AA55/INDEX('Indicative prices'!AA$1:AA$916,'Price comparisons'!$I$7+$H44))-1,0)</f>
        <v>0</v>
      </c>
      <c r="AB44" s="219" cm="1">
        <f t="array" ref="AB44">IFERROR(('Tariff schedule'!AB55/INDEX('Indicative prices'!AB$1:AB$916,'Price comparisons'!$I$7+$H44))-1,0)</f>
        <v>0</v>
      </c>
      <c r="AC44" s="220"/>
      <c r="AD44" s="19"/>
      <c r="AE44" s="19"/>
      <c r="AF44" s="19"/>
      <c r="AG44" s="19"/>
    </row>
    <row r="45" spans="1:33" hidden="1" outlineLevel="2" x14ac:dyDescent="0.2">
      <c r="A45" s="19"/>
      <c r="B45" s="19"/>
      <c r="C45" s="506">
        <f>Qty!C45</f>
        <v>0</v>
      </c>
      <c r="D45" s="505">
        <f>Qty!D45</f>
        <v>0</v>
      </c>
      <c r="E45" s="505">
        <f>Qty!E45</f>
        <v>0</v>
      </c>
      <c r="F45" s="505">
        <f>Qty!F45</f>
        <v>0</v>
      </c>
      <c r="G45" s="505">
        <f>Qty!G45</f>
        <v>0</v>
      </c>
      <c r="H45" s="333">
        <v>37</v>
      </c>
      <c r="I45" s="219" cm="1">
        <f t="array" ref="I45">IFERROR(('Tariff schedule'!I56/INDEX('Indicative prices'!I$1:I$916,'Price comparisons'!$I$7+$H45))-1,0)</f>
        <v>0</v>
      </c>
      <c r="J45" s="219" cm="1">
        <f t="array" ref="J45">IFERROR(('Tariff schedule'!J56/INDEX('Indicative prices'!J$1:J$916,'Price comparisons'!$I$7+$H45))-1,0)</f>
        <v>0</v>
      </c>
      <c r="K45" s="219" cm="1">
        <f t="array" ref="K45">IFERROR(('Tariff schedule'!K56/INDEX('Indicative prices'!K$1:K$916,'Price comparisons'!$I$7+$H45))-1,0)</f>
        <v>0</v>
      </c>
      <c r="L45" s="219" cm="1">
        <f t="array" ref="L45">IFERROR(('Tariff schedule'!L56/INDEX('Indicative prices'!L$1:L$916,'Price comparisons'!$I$7+$H45))-1,0)</f>
        <v>0</v>
      </c>
      <c r="M45" s="219" cm="1">
        <f t="array" ref="M45">IFERROR(('Tariff schedule'!M56/INDEX('Indicative prices'!M$1:M$916,'Price comparisons'!$I$7+$H45))-1,0)</f>
        <v>0</v>
      </c>
      <c r="N45" s="219" cm="1">
        <f t="array" ref="N45">IFERROR(('Tariff schedule'!N56/INDEX('Indicative prices'!N$1:N$916,'Price comparisons'!$I$7+$H45))-1,0)</f>
        <v>0</v>
      </c>
      <c r="O45" s="219" cm="1">
        <f t="array" ref="O45">IFERROR(('Tariff schedule'!O56/INDEX('Indicative prices'!O$1:O$916,'Price comparisons'!$I$7+$H45))-1,0)</f>
        <v>0</v>
      </c>
      <c r="P45" s="219" cm="1">
        <f t="array" ref="P45">IFERROR(('Tariff schedule'!P56/INDEX('Indicative prices'!P$1:P$916,'Price comparisons'!$I$7+$H45))-1,0)</f>
        <v>0</v>
      </c>
      <c r="Q45" s="219" cm="1">
        <f t="array" ref="Q45">IFERROR(('Tariff schedule'!Q56/INDEX('Indicative prices'!Q$1:Q$916,'Price comparisons'!$I$7+$H45))-1,0)</f>
        <v>0</v>
      </c>
      <c r="R45" s="219" cm="1">
        <f t="array" ref="R45">IFERROR(('Tariff schedule'!R56/INDEX('Indicative prices'!R$1:R$916,'Price comparisons'!$I$7+$H45))-1,0)</f>
        <v>0</v>
      </c>
      <c r="S45" s="219" cm="1">
        <f t="array" ref="S45">IFERROR(('Tariff schedule'!S56/INDEX('Indicative prices'!S$1:S$916,'Price comparisons'!$I$7+$H45))-1,0)</f>
        <v>0</v>
      </c>
      <c r="T45" s="219" cm="1">
        <f t="array" ref="T45">IFERROR(('Tariff schedule'!T56/INDEX('Indicative prices'!T$1:T$916,'Price comparisons'!$I$7+$H45))-1,0)</f>
        <v>0</v>
      </c>
      <c r="U45" s="219" cm="1">
        <f t="array" ref="U45">IFERROR(('Tariff schedule'!U56/INDEX('Indicative prices'!U$1:U$916,'Price comparisons'!$I$7+$H45))-1,0)</f>
        <v>0</v>
      </c>
      <c r="V45" s="219" cm="1">
        <f t="array" ref="V45">IFERROR(('Tariff schedule'!V56/INDEX('Indicative prices'!V$1:V$916,'Price comparisons'!$I$7+$H45))-1,0)</f>
        <v>0</v>
      </c>
      <c r="W45" s="219" cm="1">
        <f t="array" ref="W45">IFERROR(('Tariff schedule'!W56/INDEX('Indicative prices'!W$1:W$916,'Price comparisons'!$I$7+$H45))-1,0)</f>
        <v>0</v>
      </c>
      <c r="X45" s="219" cm="1">
        <f t="array" ref="X45">IFERROR(('Tariff schedule'!X56/INDEX('Indicative prices'!X$1:X$916,'Price comparisons'!$I$7+$H45))-1,0)</f>
        <v>0</v>
      </c>
      <c r="Y45" s="219" cm="1">
        <f t="array" ref="Y45">IFERROR(('Tariff schedule'!Y56/INDEX('Indicative prices'!Y$1:Y$916,'Price comparisons'!$I$7+$H45))-1,0)</f>
        <v>0</v>
      </c>
      <c r="Z45" s="219" cm="1">
        <f t="array" ref="Z45">IFERROR(('Tariff schedule'!Z56/INDEX('Indicative prices'!Z$1:Z$916,'Price comparisons'!$I$7+$H45))-1,0)</f>
        <v>0</v>
      </c>
      <c r="AA45" s="219" cm="1">
        <f t="array" ref="AA45">IFERROR(('Tariff schedule'!AA56/INDEX('Indicative prices'!AA$1:AA$916,'Price comparisons'!$I$7+$H45))-1,0)</f>
        <v>0</v>
      </c>
      <c r="AB45" s="219" cm="1">
        <f t="array" ref="AB45">IFERROR(('Tariff schedule'!AB56/INDEX('Indicative prices'!AB$1:AB$916,'Price comparisons'!$I$7+$H45))-1,0)</f>
        <v>0</v>
      </c>
      <c r="AC45" s="220"/>
      <c r="AD45" s="19"/>
      <c r="AE45" s="19"/>
      <c r="AF45" s="19"/>
      <c r="AG45" s="19"/>
    </row>
    <row r="46" spans="1:33" hidden="1" outlineLevel="2" x14ac:dyDescent="0.2">
      <c r="A46" s="19"/>
      <c r="B46" s="19"/>
      <c r="C46" s="506">
        <f>Qty!C46</f>
        <v>0</v>
      </c>
      <c r="D46" s="505">
        <f>Qty!D46</f>
        <v>0</v>
      </c>
      <c r="E46" s="505">
        <f>Qty!E46</f>
        <v>0</v>
      </c>
      <c r="F46" s="505">
        <f>Qty!F46</f>
        <v>0</v>
      </c>
      <c r="G46" s="505">
        <f>Qty!G46</f>
        <v>0</v>
      </c>
      <c r="H46" s="333">
        <v>38</v>
      </c>
      <c r="I46" s="219" cm="1">
        <f t="array" ref="I46">IFERROR(('Tariff schedule'!I57/INDEX('Indicative prices'!I$1:I$916,'Price comparisons'!$I$7+$H46))-1,0)</f>
        <v>0</v>
      </c>
      <c r="J46" s="219" cm="1">
        <f t="array" ref="J46">IFERROR(('Tariff schedule'!J57/INDEX('Indicative prices'!J$1:J$916,'Price comparisons'!$I$7+$H46))-1,0)</f>
        <v>0</v>
      </c>
      <c r="K46" s="219" cm="1">
        <f t="array" ref="K46">IFERROR(('Tariff schedule'!K57/INDEX('Indicative prices'!K$1:K$916,'Price comparisons'!$I$7+$H46))-1,0)</f>
        <v>0</v>
      </c>
      <c r="L46" s="219" cm="1">
        <f t="array" ref="L46">IFERROR(('Tariff schedule'!L57/INDEX('Indicative prices'!L$1:L$916,'Price comparisons'!$I$7+$H46))-1,0)</f>
        <v>0</v>
      </c>
      <c r="M46" s="219" cm="1">
        <f t="array" ref="M46">IFERROR(('Tariff schedule'!M57/INDEX('Indicative prices'!M$1:M$916,'Price comparisons'!$I$7+$H46))-1,0)</f>
        <v>0</v>
      </c>
      <c r="N46" s="219" cm="1">
        <f t="array" ref="N46">IFERROR(('Tariff schedule'!N57/INDEX('Indicative prices'!N$1:N$916,'Price comparisons'!$I$7+$H46))-1,0)</f>
        <v>0</v>
      </c>
      <c r="O46" s="219" cm="1">
        <f t="array" ref="O46">IFERROR(('Tariff schedule'!O57/INDEX('Indicative prices'!O$1:O$916,'Price comparisons'!$I$7+$H46))-1,0)</f>
        <v>0</v>
      </c>
      <c r="P46" s="219" cm="1">
        <f t="array" ref="P46">IFERROR(('Tariff schedule'!P57/INDEX('Indicative prices'!P$1:P$916,'Price comparisons'!$I$7+$H46))-1,0)</f>
        <v>0</v>
      </c>
      <c r="Q46" s="219" cm="1">
        <f t="array" ref="Q46">IFERROR(('Tariff schedule'!Q57/INDEX('Indicative prices'!Q$1:Q$916,'Price comparisons'!$I$7+$H46))-1,0)</f>
        <v>0</v>
      </c>
      <c r="R46" s="219" cm="1">
        <f t="array" ref="R46">IFERROR(('Tariff schedule'!R57/INDEX('Indicative prices'!R$1:R$916,'Price comparisons'!$I$7+$H46))-1,0)</f>
        <v>0</v>
      </c>
      <c r="S46" s="219" cm="1">
        <f t="array" ref="S46">IFERROR(('Tariff schedule'!S57/INDEX('Indicative prices'!S$1:S$916,'Price comparisons'!$I$7+$H46))-1,0)</f>
        <v>0</v>
      </c>
      <c r="T46" s="219" cm="1">
        <f t="array" ref="T46">IFERROR(('Tariff schedule'!T57/INDEX('Indicative prices'!T$1:T$916,'Price comparisons'!$I$7+$H46))-1,0)</f>
        <v>0</v>
      </c>
      <c r="U46" s="219" cm="1">
        <f t="array" ref="U46">IFERROR(('Tariff schedule'!U57/INDEX('Indicative prices'!U$1:U$916,'Price comparisons'!$I$7+$H46))-1,0)</f>
        <v>0</v>
      </c>
      <c r="V46" s="219" cm="1">
        <f t="array" ref="V46">IFERROR(('Tariff schedule'!V57/INDEX('Indicative prices'!V$1:V$916,'Price comparisons'!$I$7+$H46))-1,0)</f>
        <v>0</v>
      </c>
      <c r="W46" s="219" cm="1">
        <f t="array" ref="W46">IFERROR(('Tariff schedule'!W57/INDEX('Indicative prices'!W$1:W$916,'Price comparisons'!$I$7+$H46))-1,0)</f>
        <v>0</v>
      </c>
      <c r="X46" s="219" cm="1">
        <f t="array" ref="X46">IFERROR(('Tariff schedule'!X57/INDEX('Indicative prices'!X$1:X$916,'Price comparisons'!$I$7+$H46))-1,0)</f>
        <v>0</v>
      </c>
      <c r="Y46" s="219" cm="1">
        <f t="array" ref="Y46">IFERROR(('Tariff schedule'!Y57/INDEX('Indicative prices'!Y$1:Y$916,'Price comparisons'!$I$7+$H46))-1,0)</f>
        <v>0</v>
      </c>
      <c r="Z46" s="219" cm="1">
        <f t="array" ref="Z46">IFERROR(('Tariff schedule'!Z57/INDEX('Indicative prices'!Z$1:Z$916,'Price comparisons'!$I$7+$H46))-1,0)</f>
        <v>0</v>
      </c>
      <c r="AA46" s="219" cm="1">
        <f t="array" ref="AA46">IFERROR(('Tariff schedule'!AA57/INDEX('Indicative prices'!AA$1:AA$916,'Price comparisons'!$I$7+$H46))-1,0)</f>
        <v>0</v>
      </c>
      <c r="AB46" s="219" cm="1">
        <f t="array" ref="AB46">IFERROR(('Tariff schedule'!AB57/INDEX('Indicative prices'!AB$1:AB$916,'Price comparisons'!$I$7+$H46))-1,0)</f>
        <v>0</v>
      </c>
      <c r="AC46" s="220"/>
      <c r="AD46" s="19"/>
      <c r="AE46" s="19"/>
      <c r="AF46" s="19"/>
      <c r="AG46" s="19"/>
    </row>
    <row r="47" spans="1:33" hidden="1" outlineLevel="2" x14ac:dyDescent="0.2">
      <c r="A47" s="19"/>
      <c r="B47" s="19"/>
      <c r="C47" s="506">
        <f>Qty!C47</f>
        <v>0</v>
      </c>
      <c r="D47" s="505">
        <f>Qty!D47</f>
        <v>0</v>
      </c>
      <c r="E47" s="505">
        <f>Qty!E47</f>
        <v>0</v>
      </c>
      <c r="F47" s="505">
        <f>Qty!F47</f>
        <v>0</v>
      </c>
      <c r="G47" s="505">
        <f>Qty!G47</f>
        <v>0</v>
      </c>
      <c r="H47" s="333">
        <v>39</v>
      </c>
      <c r="I47" s="219" cm="1">
        <f t="array" ref="I47">IFERROR(('Tariff schedule'!I58/INDEX('Indicative prices'!I$1:I$916,'Price comparisons'!$I$7+$H47))-1,0)</f>
        <v>0</v>
      </c>
      <c r="J47" s="219" cm="1">
        <f t="array" ref="J47">IFERROR(('Tariff schedule'!J58/INDEX('Indicative prices'!J$1:J$916,'Price comparisons'!$I$7+$H47))-1,0)</f>
        <v>0</v>
      </c>
      <c r="K47" s="219" cm="1">
        <f t="array" ref="K47">IFERROR(('Tariff schedule'!K58/INDEX('Indicative prices'!K$1:K$916,'Price comparisons'!$I$7+$H47))-1,0)</f>
        <v>0</v>
      </c>
      <c r="L47" s="219" cm="1">
        <f t="array" ref="L47">IFERROR(('Tariff schedule'!L58/INDEX('Indicative prices'!L$1:L$916,'Price comparisons'!$I$7+$H47))-1,0)</f>
        <v>0</v>
      </c>
      <c r="M47" s="219" cm="1">
        <f t="array" ref="M47">IFERROR(('Tariff schedule'!M58/INDEX('Indicative prices'!M$1:M$916,'Price comparisons'!$I$7+$H47))-1,0)</f>
        <v>0</v>
      </c>
      <c r="N47" s="219" cm="1">
        <f t="array" ref="N47">IFERROR(('Tariff schedule'!N58/INDEX('Indicative prices'!N$1:N$916,'Price comparisons'!$I$7+$H47))-1,0)</f>
        <v>0</v>
      </c>
      <c r="O47" s="219" cm="1">
        <f t="array" ref="O47">IFERROR(('Tariff schedule'!O58/INDEX('Indicative prices'!O$1:O$916,'Price comparisons'!$I$7+$H47))-1,0)</f>
        <v>0</v>
      </c>
      <c r="P47" s="219" cm="1">
        <f t="array" ref="P47">IFERROR(('Tariff schedule'!P58/INDEX('Indicative prices'!P$1:P$916,'Price comparisons'!$I$7+$H47))-1,0)</f>
        <v>0</v>
      </c>
      <c r="Q47" s="219" cm="1">
        <f t="array" ref="Q47">IFERROR(('Tariff schedule'!Q58/INDEX('Indicative prices'!Q$1:Q$916,'Price comparisons'!$I$7+$H47))-1,0)</f>
        <v>0</v>
      </c>
      <c r="R47" s="219" cm="1">
        <f t="array" ref="R47">IFERROR(('Tariff schedule'!R58/INDEX('Indicative prices'!R$1:R$916,'Price comparisons'!$I$7+$H47))-1,0)</f>
        <v>0</v>
      </c>
      <c r="S47" s="219" cm="1">
        <f t="array" ref="S47">IFERROR(('Tariff schedule'!S58/INDEX('Indicative prices'!S$1:S$916,'Price comparisons'!$I$7+$H47))-1,0)</f>
        <v>0</v>
      </c>
      <c r="T47" s="219" cm="1">
        <f t="array" ref="T47">IFERROR(('Tariff schedule'!T58/INDEX('Indicative prices'!T$1:T$916,'Price comparisons'!$I$7+$H47))-1,0)</f>
        <v>0</v>
      </c>
      <c r="U47" s="219" cm="1">
        <f t="array" ref="U47">IFERROR(('Tariff schedule'!U58/INDEX('Indicative prices'!U$1:U$916,'Price comparisons'!$I$7+$H47))-1,0)</f>
        <v>0</v>
      </c>
      <c r="V47" s="219" cm="1">
        <f t="array" ref="V47">IFERROR(('Tariff schedule'!V58/INDEX('Indicative prices'!V$1:V$916,'Price comparisons'!$I$7+$H47))-1,0)</f>
        <v>0</v>
      </c>
      <c r="W47" s="219" cm="1">
        <f t="array" ref="W47">IFERROR(('Tariff schedule'!W58/INDEX('Indicative prices'!W$1:W$916,'Price comparisons'!$I$7+$H47))-1,0)</f>
        <v>0</v>
      </c>
      <c r="X47" s="219" cm="1">
        <f t="array" ref="X47">IFERROR(('Tariff schedule'!X58/INDEX('Indicative prices'!X$1:X$916,'Price comparisons'!$I$7+$H47))-1,0)</f>
        <v>0</v>
      </c>
      <c r="Y47" s="219" cm="1">
        <f t="array" ref="Y47">IFERROR(('Tariff schedule'!Y58/INDEX('Indicative prices'!Y$1:Y$916,'Price comparisons'!$I$7+$H47))-1,0)</f>
        <v>0</v>
      </c>
      <c r="Z47" s="219" cm="1">
        <f t="array" ref="Z47">IFERROR(('Tariff schedule'!Z58/INDEX('Indicative prices'!Z$1:Z$916,'Price comparisons'!$I$7+$H47))-1,0)</f>
        <v>0</v>
      </c>
      <c r="AA47" s="219" cm="1">
        <f t="array" ref="AA47">IFERROR(('Tariff schedule'!AA58/INDEX('Indicative prices'!AA$1:AA$916,'Price comparisons'!$I$7+$H47))-1,0)</f>
        <v>0</v>
      </c>
      <c r="AB47" s="219" cm="1">
        <f t="array" ref="AB47">IFERROR(('Tariff schedule'!AB58/INDEX('Indicative prices'!AB$1:AB$916,'Price comparisons'!$I$7+$H47))-1,0)</f>
        <v>0</v>
      </c>
      <c r="AC47" s="220"/>
      <c r="AD47" s="19"/>
      <c r="AE47" s="19"/>
      <c r="AF47" s="19"/>
      <c r="AG47" s="19"/>
    </row>
    <row r="48" spans="1:33" hidden="1" outlineLevel="2" x14ac:dyDescent="0.2">
      <c r="A48" s="19"/>
      <c r="B48" s="19"/>
      <c r="C48" s="506">
        <f>Qty!C48</f>
        <v>0</v>
      </c>
      <c r="D48" s="505">
        <f>Qty!D48</f>
        <v>0</v>
      </c>
      <c r="E48" s="505">
        <f>Qty!E48</f>
        <v>0</v>
      </c>
      <c r="F48" s="505">
        <f>Qty!F48</f>
        <v>0</v>
      </c>
      <c r="G48" s="505">
        <f>Qty!G48</f>
        <v>0</v>
      </c>
      <c r="H48" s="333">
        <v>40</v>
      </c>
      <c r="I48" s="219" cm="1">
        <f t="array" ref="I48">IFERROR(('Tariff schedule'!I59/INDEX('Indicative prices'!I$1:I$916,'Price comparisons'!$I$7+$H48))-1,0)</f>
        <v>0</v>
      </c>
      <c r="J48" s="219" cm="1">
        <f t="array" ref="J48">IFERROR(('Tariff schedule'!J59/INDEX('Indicative prices'!J$1:J$916,'Price comparisons'!$I$7+$H48))-1,0)</f>
        <v>0</v>
      </c>
      <c r="K48" s="219" cm="1">
        <f t="array" ref="K48">IFERROR(('Tariff schedule'!K59/INDEX('Indicative prices'!K$1:K$916,'Price comparisons'!$I$7+$H48))-1,0)</f>
        <v>0</v>
      </c>
      <c r="L48" s="219" cm="1">
        <f t="array" ref="L48">IFERROR(('Tariff schedule'!L59/INDEX('Indicative prices'!L$1:L$916,'Price comparisons'!$I$7+$H48))-1,0)</f>
        <v>0</v>
      </c>
      <c r="M48" s="219" cm="1">
        <f t="array" ref="M48">IFERROR(('Tariff schedule'!M59/INDEX('Indicative prices'!M$1:M$916,'Price comparisons'!$I$7+$H48))-1,0)</f>
        <v>0</v>
      </c>
      <c r="N48" s="219" cm="1">
        <f t="array" ref="N48">IFERROR(('Tariff schedule'!N59/INDEX('Indicative prices'!N$1:N$916,'Price comparisons'!$I$7+$H48))-1,0)</f>
        <v>0</v>
      </c>
      <c r="O48" s="219" cm="1">
        <f t="array" ref="O48">IFERROR(('Tariff schedule'!O59/INDEX('Indicative prices'!O$1:O$916,'Price comparisons'!$I$7+$H48))-1,0)</f>
        <v>0</v>
      </c>
      <c r="P48" s="219" cm="1">
        <f t="array" ref="P48">IFERROR(('Tariff schedule'!P59/INDEX('Indicative prices'!P$1:P$916,'Price comparisons'!$I$7+$H48))-1,0)</f>
        <v>0</v>
      </c>
      <c r="Q48" s="219" cm="1">
        <f t="array" ref="Q48">IFERROR(('Tariff schedule'!Q59/INDEX('Indicative prices'!Q$1:Q$916,'Price comparisons'!$I$7+$H48))-1,0)</f>
        <v>0</v>
      </c>
      <c r="R48" s="219" cm="1">
        <f t="array" ref="R48">IFERROR(('Tariff schedule'!R59/INDEX('Indicative prices'!R$1:R$916,'Price comparisons'!$I$7+$H48))-1,0)</f>
        <v>0</v>
      </c>
      <c r="S48" s="219" cm="1">
        <f t="array" ref="S48">IFERROR(('Tariff schedule'!S59/INDEX('Indicative prices'!S$1:S$916,'Price comparisons'!$I$7+$H48))-1,0)</f>
        <v>0</v>
      </c>
      <c r="T48" s="219" cm="1">
        <f t="array" ref="T48">IFERROR(('Tariff schedule'!T59/INDEX('Indicative prices'!T$1:T$916,'Price comparisons'!$I$7+$H48))-1,0)</f>
        <v>0</v>
      </c>
      <c r="U48" s="219" cm="1">
        <f t="array" ref="U48">IFERROR(('Tariff schedule'!U59/INDEX('Indicative prices'!U$1:U$916,'Price comparisons'!$I$7+$H48))-1,0)</f>
        <v>0</v>
      </c>
      <c r="V48" s="219" cm="1">
        <f t="array" ref="V48">IFERROR(('Tariff schedule'!V59/INDEX('Indicative prices'!V$1:V$916,'Price comparisons'!$I$7+$H48))-1,0)</f>
        <v>0</v>
      </c>
      <c r="W48" s="219" cm="1">
        <f t="array" ref="W48">IFERROR(('Tariff schedule'!W59/INDEX('Indicative prices'!W$1:W$916,'Price comparisons'!$I$7+$H48))-1,0)</f>
        <v>0</v>
      </c>
      <c r="X48" s="219" cm="1">
        <f t="array" ref="X48">IFERROR(('Tariff schedule'!X59/INDEX('Indicative prices'!X$1:X$916,'Price comparisons'!$I$7+$H48))-1,0)</f>
        <v>0</v>
      </c>
      <c r="Y48" s="219" cm="1">
        <f t="array" ref="Y48">IFERROR(('Tariff schedule'!Y59/INDEX('Indicative prices'!Y$1:Y$916,'Price comparisons'!$I$7+$H48))-1,0)</f>
        <v>0</v>
      </c>
      <c r="Z48" s="219" cm="1">
        <f t="array" ref="Z48">IFERROR(('Tariff schedule'!Z59/INDEX('Indicative prices'!Z$1:Z$916,'Price comparisons'!$I$7+$H48))-1,0)</f>
        <v>0</v>
      </c>
      <c r="AA48" s="219" cm="1">
        <f t="array" ref="AA48">IFERROR(('Tariff schedule'!AA59/INDEX('Indicative prices'!AA$1:AA$916,'Price comparisons'!$I$7+$H48))-1,0)</f>
        <v>0</v>
      </c>
      <c r="AB48" s="219" cm="1">
        <f t="array" ref="AB48">IFERROR(('Tariff schedule'!AB59/INDEX('Indicative prices'!AB$1:AB$916,'Price comparisons'!$I$7+$H48))-1,0)</f>
        <v>0</v>
      </c>
      <c r="AC48" s="220"/>
      <c r="AD48" s="19"/>
      <c r="AE48" s="19"/>
      <c r="AF48" s="19"/>
      <c r="AG48" s="19"/>
    </row>
    <row r="49" spans="1:33" hidden="1" outlineLevel="2" x14ac:dyDescent="0.2">
      <c r="A49" s="19"/>
      <c r="B49" s="19"/>
      <c r="C49" s="506">
        <f>Qty!C49</f>
        <v>0</v>
      </c>
      <c r="D49" s="505">
        <f>Qty!D49</f>
        <v>0</v>
      </c>
      <c r="E49" s="505">
        <f>Qty!E49</f>
        <v>0</v>
      </c>
      <c r="F49" s="505">
        <f>Qty!F49</f>
        <v>0</v>
      </c>
      <c r="G49" s="505">
        <f>Qty!G49</f>
        <v>0</v>
      </c>
      <c r="H49" s="333">
        <v>41</v>
      </c>
      <c r="I49" s="219" cm="1">
        <f t="array" ref="I49">IFERROR(('Tariff schedule'!I60/INDEX('Indicative prices'!I$1:I$916,'Price comparisons'!$I$7+$H49))-1,0)</f>
        <v>0</v>
      </c>
      <c r="J49" s="219" cm="1">
        <f t="array" ref="J49">IFERROR(('Tariff schedule'!J60/INDEX('Indicative prices'!J$1:J$916,'Price comparisons'!$I$7+$H49))-1,0)</f>
        <v>0</v>
      </c>
      <c r="K49" s="219" cm="1">
        <f t="array" ref="K49">IFERROR(('Tariff schedule'!K60/INDEX('Indicative prices'!K$1:K$916,'Price comparisons'!$I$7+$H49))-1,0)</f>
        <v>0</v>
      </c>
      <c r="L49" s="219" cm="1">
        <f t="array" ref="L49">IFERROR(('Tariff schedule'!L60/INDEX('Indicative prices'!L$1:L$916,'Price comparisons'!$I$7+$H49))-1,0)</f>
        <v>0</v>
      </c>
      <c r="M49" s="219" cm="1">
        <f t="array" ref="M49">IFERROR(('Tariff schedule'!M60/INDEX('Indicative prices'!M$1:M$916,'Price comparisons'!$I$7+$H49))-1,0)</f>
        <v>0</v>
      </c>
      <c r="N49" s="219" cm="1">
        <f t="array" ref="N49">IFERROR(('Tariff schedule'!N60/INDEX('Indicative prices'!N$1:N$916,'Price comparisons'!$I$7+$H49))-1,0)</f>
        <v>0</v>
      </c>
      <c r="O49" s="219" cm="1">
        <f t="array" ref="O49">IFERROR(('Tariff schedule'!O60/INDEX('Indicative prices'!O$1:O$916,'Price comparisons'!$I$7+$H49))-1,0)</f>
        <v>0</v>
      </c>
      <c r="P49" s="219" cm="1">
        <f t="array" ref="P49">IFERROR(('Tariff schedule'!P60/INDEX('Indicative prices'!P$1:P$916,'Price comparisons'!$I$7+$H49))-1,0)</f>
        <v>0</v>
      </c>
      <c r="Q49" s="219" cm="1">
        <f t="array" ref="Q49">IFERROR(('Tariff schedule'!Q60/INDEX('Indicative prices'!Q$1:Q$916,'Price comparisons'!$I$7+$H49))-1,0)</f>
        <v>0</v>
      </c>
      <c r="R49" s="219" cm="1">
        <f t="array" ref="R49">IFERROR(('Tariff schedule'!R60/INDEX('Indicative prices'!R$1:R$916,'Price comparisons'!$I$7+$H49))-1,0)</f>
        <v>0</v>
      </c>
      <c r="S49" s="219" cm="1">
        <f t="array" ref="S49">IFERROR(('Tariff schedule'!S60/INDEX('Indicative prices'!S$1:S$916,'Price comparisons'!$I$7+$H49))-1,0)</f>
        <v>0</v>
      </c>
      <c r="T49" s="219" cm="1">
        <f t="array" ref="T49">IFERROR(('Tariff schedule'!T60/INDEX('Indicative prices'!T$1:T$916,'Price comparisons'!$I$7+$H49))-1,0)</f>
        <v>0</v>
      </c>
      <c r="U49" s="219" cm="1">
        <f t="array" ref="U49">IFERROR(('Tariff schedule'!U60/INDEX('Indicative prices'!U$1:U$916,'Price comparisons'!$I$7+$H49))-1,0)</f>
        <v>0</v>
      </c>
      <c r="V49" s="219" cm="1">
        <f t="array" ref="V49">IFERROR(('Tariff schedule'!V60/INDEX('Indicative prices'!V$1:V$916,'Price comparisons'!$I$7+$H49))-1,0)</f>
        <v>0</v>
      </c>
      <c r="W49" s="219" cm="1">
        <f t="array" ref="W49">IFERROR(('Tariff schedule'!W60/INDEX('Indicative prices'!W$1:W$916,'Price comparisons'!$I$7+$H49))-1,0)</f>
        <v>0</v>
      </c>
      <c r="X49" s="219" cm="1">
        <f t="array" ref="X49">IFERROR(('Tariff schedule'!X60/INDEX('Indicative prices'!X$1:X$916,'Price comparisons'!$I$7+$H49))-1,0)</f>
        <v>0</v>
      </c>
      <c r="Y49" s="219" cm="1">
        <f t="array" ref="Y49">IFERROR(('Tariff schedule'!Y60/INDEX('Indicative prices'!Y$1:Y$916,'Price comparisons'!$I$7+$H49))-1,0)</f>
        <v>0</v>
      </c>
      <c r="Z49" s="219" cm="1">
        <f t="array" ref="Z49">IFERROR(('Tariff schedule'!Z60/INDEX('Indicative prices'!Z$1:Z$916,'Price comparisons'!$I$7+$H49))-1,0)</f>
        <v>0</v>
      </c>
      <c r="AA49" s="219" cm="1">
        <f t="array" ref="AA49">IFERROR(('Tariff schedule'!AA60/INDEX('Indicative prices'!AA$1:AA$916,'Price comparisons'!$I$7+$H49))-1,0)</f>
        <v>0</v>
      </c>
      <c r="AB49" s="219" cm="1">
        <f t="array" ref="AB49">IFERROR(('Tariff schedule'!AB60/INDEX('Indicative prices'!AB$1:AB$916,'Price comparisons'!$I$7+$H49))-1,0)</f>
        <v>0</v>
      </c>
      <c r="AC49" s="220"/>
      <c r="AD49" s="19"/>
      <c r="AE49" s="19"/>
      <c r="AF49" s="19"/>
      <c r="AG49" s="19"/>
    </row>
    <row r="50" spans="1:33" hidden="1" outlineLevel="2" x14ac:dyDescent="0.2">
      <c r="A50" s="19"/>
      <c r="B50" s="19"/>
      <c r="C50" s="506">
        <f>Qty!C50</f>
        <v>0</v>
      </c>
      <c r="D50" s="505">
        <f>Qty!D50</f>
        <v>0</v>
      </c>
      <c r="E50" s="505">
        <f>Qty!E50</f>
        <v>0</v>
      </c>
      <c r="F50" s="505">
        <f>Qty!F50</f>
        <v>0</v>
      </c>
      <c r="G50" s="505">
        <f>Qty!G50</f>
        <v>0</v>
      </c>
      <c r="H50" s="333">
        <v>42</v>
      </c>
      <c r="I50" s="219" cm="1">
        <f t="array" ref="I50">IFERROR(('Tariff schedule'!I61/INDEX('Indicative prices'!I$1:I$916,'Price comparisons'!$I$7+$H50))-1,0)</f>
        <v>0</v>
      </c>
      <c r="J50" s="219" cm="1">
        <f t="array" ref="J50">IFERROR(('Tariff schedule'!J61/INDEX('Indicative prices'!J$1:J$916,'Price comparisons'!$I$7+$H50))-1,0)</f>
        <v>0</v>
      </c>
      <c r="K50" s="219" cm="1">
        <f t="array" ref="K50">IFERROR(('Tariff schedule'!K61/INDEX('Indicative prices'!K$1:K$916,'Price comparisons'!$I$7+$H50))-1,0)</f>
        <v>0</v>
      </c>
      <c r="L50" s="219" cm="1">
        <f t="array" ref="L50">IFERROR(('Tariff schedule'!L61/INDEX('Indicative prices'!L$1:L$916,'Price comparisons'!$I$7+$H50))-1,0)</f>
        <v>0</v>
      </c>
      <c r="M50" s="219" cm="1">
        <f t="array" ref="M50">IFERROR(('Tariff schedule'!M61/INDEX('Indicative prices'!M$1:M$916,'Price comparisons'!$I$7+$H50))-1,0)</f>
        <v>0</v>
      </c>
      <c r="N50" s="219" cm="1">
        <f t="array" ref="N50">IFERROR(('Tariff schedule'!N61/INDEX('Indicative prices'!N$1:N$916,'Price comparisons'!$I$7+$H50))-1,0)</f>
        <v>0</v>
      </c>
      <c r="O50" s="219" cm="1">
        <f t="array" ref="O50">IFERROR(('Tariff schedule'!O61/INDEX('Indicative prices'!O$1:O$916,'Price comparisons'!$I$7+$H50))-1,0)</f>
        <v>0</v>
      </c>
      <c r="P50" s="219" cm="1">
        <f t="array" ref="P50">IFERROR(('Tariff schedule'!P61/INDEX('Indicative prices'!P$1:P$916,'Price comparisons'!$I$7+$H50))-1,0)</f>
        <v>0</v>
      </c>
      <c r="Q50" s="219" cm="1">
        <f t="array" ref="Q50">IFERROR(('Tariff schedule'!Q61/INDEX('Indicative prices'!Q$1:Q$916,'Price comparisons'!$I$7+$H50))-1,0)</f>
        <v>0</v>
      </c>
      <c r="R50" s="219" cm="1">
        <f t="array" ref="R50">IFERROR(('Tariff schedule'!R61/INDEX('Indicative prices'!R$1:R$916,'Price comparisons'!$I$7+$H50))-1,0)</f>
        <v>0</v>
      </c>
      <c r="S50" s="219" cm="1">
        <f t="array" ref="S50">IFERROR(('Tariff schedule'!S61/INDEX('Indicative prices'!S$1:S$916,'Price comparisons'!$I$7+$H50))-1,0)</f>
        <v>0</v>
      </c>
      <c r="T50" s="219" cm="1">
        <f t="array" ref="T50">IFERROR(('Tariff schedule'!T61/INDEX('Indicative prices'!T$1:T$916,'Price comparisons'!$I$7+$H50))-1,0)</f>
        <v>0</v>
      </c>
      <c r="U50" s="219" cm="1">
        <f t="array" ref="U50">IFERROR(('Tariff schedule'!U61/INDEX('Indicative prices'!U$1:U$916,'Price comparisons'!$I$7+$H50))-1,0)</f>
        <v>0</v>
      </c>
      <c r="V50" s="219" cm="1">
        <f t="array" ref="V50">IFERROR(('Tariff schedule'!V61/INDEX('Indicative prices'!V$1:V$916,'Price comparisons'!$I$7+$H50))-1,0)</f>
        <v>0</v>
      </c>
      <c r="W50" s="219" cm="1">
        <f t="array" ref="W50">IFERROR(('Tariff schedule'!W61/INDEX('Indicative prices'!W$1:W$916,'Price comparisons'!$I$7+$H50))-1,0)</f>
        <v>0</v>
      </c>
      <c r="X50" s="219" cm="1">
        <f t="array" ref="X50">IFERROR(('Tariff schedule'!X61/INDEX('Indicative prices'!X$1:X$916,'Price comparisons'!$I$7+$H50))-1,0)</f>
        <v>0</v>
      </c>
      <c r="Y50" s="219" cm="1">
        <f t="array" ref="Y50">IFERROR(('Tariff schedule'!Y61/INDEX('Indicative prices'!Y$1:Y$916,'Price comparisons'!$I$7+$H50))-1,0)</f>
        <v>0</v>
      </c>
      <c r="Z50" s="219" cm="1">
        <f t="array" ref="Z50">IFERROR(('Tariff schedule'!Z61/INDEX('Indicative prices'!Z$1:Z$916,'Price comparisons'!$I$7+$H50))-1,0)</f>
        <v>0</v>
      </c>
      <c r="AA50" s="219" cm="1">
        <f t="array" ref="AA50">IFERROR(('Tariff schedule'!AA61/INDEX('Indicative prices'!AA$1:AA$916,'Price comparisons'!$I$7+$H50))-1,0)</f>
        <v>0</v>
      </c>
      <c r="AB50" s="219" cm="1">
        <f t="array" ref="AB50">IFERROR(('Tariff schedule'!AB61/INDEX('Indicative prices'!AB$1:AB$916,'Price comparisons'!$I$7+$H50))-1,0)</f>
        <v>0</v>
      </c>
      <c r="AC50" s="220"/>
      <c r="AD50" s="19"/>
      <c r="AE50" s="19"/>
      <c r="AF50" s="19"/>
      <c r="AG50" s="19"/>
    </row>
    <row r="51" spans="1:33" hidden="1" outlineLevel="2" x14ac:dyDescent="0.2">
      <c r="A51" s="19"/>
      <c r="B51" s="19"/>
      <c r="C51" s="506">
        <f>Qty!C51</f>
        <v>0</v>
      </c>
      <c r="D51" s="505">
        <f>Qty!D51</f>
        <v>0</v>
      </c>
      <c r="E51" s="505">
        <f>Qty!E51</f>
        <v>0</v>
      </c>
      <c r="F51" s="505">
        <f>Qty!F51</f>
        <v>0</v>
      </c>
      <c r="G51" s="505">
        <f>Qty!G51</f>
        <v>0</v>
      </c>
      <c r="H51" s="333">
        <v>43</v>
      </c>
      <c r="I51" s="219" cm="1">
        <f t="array" ref="I51">IFERROR(('Tariff schedule'!I62/INDEX('Indicative prices'!I$1:I$916,'Price comparisons'!$I$7+$H51))-1,0)</f>
        <v>0</v>
      </c>
      <c r="J51" s="219" cm="1">
        <f t="array" ref="J51">IFERROR(('Tariff schedule'!J62/INDEX('Indicative prices'!J$1:J$916,'Price comparisons'!$I$7+$H51))-1,0)</f>
        <v>0</v>
      </c>
      <c r="K51" s="219" cm="1">
        <f t="array" ref="K51">IFERROR(('Tariff schedule'!K62/INDEX('Indicative prices'!K$1:K$916,'Price comparisons'!$I$7+$H51))-1,0)</f>
        <v>0</v>
      </c>
      <c r="L51" s="219" cm="1">
        <f t="array" ref="L51">IFERROR(('Tariff schedule'!L62/INDEX('Indicative prices'!L$1:L$916,'Price comparisons'!$I$7+$H51))-1,0)</f>
        <v>0</v>
      </c>
      <c r="M51" s="219" cm="1">
        <f t="array" ref="M51">IFERROR(('Tariff schedule'!M62/INDEX('Indicative prices'!M$1:M$916,'Price comparisons'!$I$7+$H51))-1,0)</f>
        <v>0</v>
      </c>
      <c r="N51" s="219" cm="1">
        <f t="array" ref="N51">IFERROR(('Tariff schedule'!N62/INDEX('Indicative prices'!N$1:N$916,'Price comparisons'!$I$7+$H51))-1,0)</f>
        <v>0</v>
      </c>
      <c r="O51" s="219" cm="1">
        <f t="array" ref="O51">IFERROR(('Tariff schedule'!O62/INDEX('Indicative prices'!O$1:O$916,'Price comparisons'!$I$7+$H51))-1,0)</f>
        <v>0</v>
      </c>
      <c r="P51" s="219" cm="1">
        <f t="array" ref="P51">IFERROR(('Tariff schedule'!P62/INDEX('Indicative prices'!P$1:P$916,'Price comparisons'!$I$7+$H51))-1,0)</f>
        <v>0</v>
      </c>
      <c r="Q51" s="219" cm="1">
        <f t="array" ref="Q51">IFERROR(('Tariff schedule'!Q62/INDEX('Indicative prices'!Q$1:Q$916,'Price comparisons'!$I$7+$H51))-1,0)</f>
        <v>0</v>
      </c>
      <c r="R51" s="219" cm="1">
        <f t="array" ref="R51">IFERROR(('Tariff schedule'!R62/INDEX('Indicative prices'!R$1:R$916,'Price comparisons'!$I$7+$H51))-1,0)</f>
        <v>0</v>
      </c>
      <c r="S51" s="219" cm="1">
        <f t="array" ref="S51">IFERROR(('Tariff schedule'!S62/INDEX('Indicative prices'!S$1:S$916,'Price comparisons'!$I$7+$H51))-1,0)</f>
        <v>0</v>
      </c>
      <c r="T51" s="219" cm="1">
        <f t="array" ref="T51">IFERROR(('Tariff schedule'!T62/INDEX('Indicative prices'!T$1:T$916,'Price comparisons'!$I$7+$H51))-1,0)</f>
        <v>0</v>
      </c>
      <c r="U51" s="219" cm="1">
        <f t="array" ref="U51">IFERROR(('Tariff schedule'!U62/INDEX('Indicative prices'!U$1:U$916,'Price comparisons'!$I$7+$H51))-1,0)</f>
        <v>0</v>
      </c>
      <c r="V51" s="219" cm="1">
        <f t="array" ref="V51">IFERROR(('Tariff schedule'!V62/INDEX('Indicative prices'!V$1:V$916,'Price comparisons'!$I$7+$H51))-1,0)</f>
        <v>0</v>
      </c>
      <c r="W51" s="219" cm="1">
        <f t="array" ref="W51">IFERROR(('Tariff schedule'!W62/INDEX('Indicative prices'!W$1:W$916,'Price comparisons'!$I$7+$H51))-1,0)</f>
        <v>0</v>
      </c>
      <c r="X51" s="219" cm="1">
        <f t="array" ref="X51">IFERROR(('Tariff schedule'!X62/INDEX('Indicative prices'!X$1:X$916,'Price comparisons'!$I$7+$H51))-1,0)</f>
        <v>0</v>
      </c>
      <c r="Y51" s="219" cm="1">
        <f t="array" ref="Y51">IFERROR(('Tariff schedule'!Y62/INDEX('Indicative prices'!Y$1:Y$916,'Price comparisons'!$I$7+$H51))-1,0)</f>
        <v>0</v>
      </c>
      <c r="Z51" s="219" cm="1">
        <f t="array" ref="Z51">IFERROR(('Tariff schedule'!Z62/INDEX('Indicative prices'!Z$1:Z$916,'Price comparisons'!$I$7+$H51))-1,0)</f>
        <v>0</v>
      </c>
      <c r="AA51" s="219" cm="1">
        <f t="array" ref="AA51">IFERROR(('Tariff schedule'!AA62/INDEX('Indicative prices'!AA$1:AA$916,'Price comparisons'!$I$7+$H51))-1,0)</f>
        <v>0</v>
      </c>
      <c r="AB51" s="219" cm="1">
        <f t="array" ref="AB51">IFERROR(('Tariff schedule'!AB62/INDEX('Indicative prices'!AB$1:AB$916,'Price comparisons'!$I$7+$H51))-1,0)</f>
        <v>0</v>
      </c>
      <c r="AC51" s="220"/>
      <c r="AD51" s="19"/>
      <c r="AE51" s="19"/>
      <c r="AF51" s="19"/>
      <c r="AG51" s="19"/>
    </row>
    <row r="52" spans="1:33" hidden="1" outlineLevel="2" x14ac:dyDescent="0.2">
      <c r="A52" s="19"/>
      <c r="B52" s="19"/>
      <c r="C52" s="506">
        <f>Qty!C52</f>
        <v>0</v>
      </c>
      <c r="D52" s="505">
        <f>Qty!D52</f>
        <v>0</v>
      </c>
      <c r="E52" s="505">
        <f>Qty!E52</f>
        <v>0</v>
      </c>
      <c r="F52" s="505">
        <f>Qty!F52</f>
        <v>0</v>
      </c>
      <c r="G52" s="505">
        <f>Qty!G52</f>
        <v>0</v>
      </c>
      <c r="H52" s="333">
        <v>44</v>
      </c>
      <c r="I52" s="219" cm="1">
        <f t="array" ref="I52">IFERROR(('Tariff schedule'!I63/INDEX('Indicative prices'!I$1:I$916,'Price comparisons'!$I$7+$H52))-1,0)</f>
        <v>0</v>
      </c>
      <c r="J52" s="219" cm="1">
        <f t="array" ref="J52">IFERROR(('Tariff schedule'!J63/INDEX('Indicative prices'!J$1:J$916,'Price comparisons'!$I$7+$H52))-1,0)</f>
        <v>0</v>
      </c>
      <c r="K52" s="219" cm="1">
        <f t="array" ref="K52">IFERROR(('Tariff schedule'!K63/INDEX('Indicative prices'!K$1:K$916,'Price comparisons'!$I$7+$H52))-1,0)</f>
        <v>0</v>
      </c>
      <c r="L52" s="219" cm="1">
        <f t="array" ref="L52">IFERROR(('Tariff schedule'!L63/INDEX('Indicative prices'!L$1:L$916,'Price comparisons'!$I$7+$H52))-1,0)</f>
        <v>0</v>
      </c>
      <c r="M52" s="219" cm="1">
        <f t="array" ref="M52">IFERROR(('Tariff schedule'!M63/INDEX('Indicative prices'!M$1:M$916,'Price comparisons'!$I$7+$H52))-1,0)</f>
        <v>0</v>
      </c>
      <c r="N52" s="219" cm="1">
        <f t="array" ref="N52">IFERROR(('Tariff schedule'!N63/INDEX('Indicative prices'!N$1:N$916,'Price comparisons'!$I$7+$H52))-1,0)</f>
        <v>0</v>
      </c>
      <c r="O52" s="219" cm="1">
        <f t="array" ref="O52">IFERROR(('Tariff schedule'!O63/INDEX('Indicative prices'!O$1:O$916,'Price comparisons'!$I$7+$H52))-1,0)</f>
        <v>0</v>
      </c>
      <c r="P52" s="219" cm="1">
        <f t="array" ref="P52">IFERROR(('Tariff schedule'!P63/INDEX('Indicative prices'!P$1:P$916,'Price comparisons'!$I$7+$H52))-1,0)</f>
        <v>0</v>
      </c>
      <c r="Q52" s="219" cm="1">
        <f t="array" ref="Q52">IFERROR(('Tariff schedule'!Q63/INDEX('Indicative prices'!Q$1:Q$916,'Price comparisons'!$I$7+$H52))-1,0)</f>
        <v>0</v>
      </c>
      <c r="R52" s="219" cm="1">
        <f t="array" ref="R52">IFERROR(('Tariff schedule'!R63/INDEX('Indicative prices'!R$1:R$916,'Price comparisons'!$I$7+$H52))-1,0)</f>
        <v>0</v>
      </c>
      <c r="S52" s="219" cm="1">
        <f t="array" ref="S52">IFERROR(('Tariff schedule'!S63/INDEX('Indicative prices'!S$1:S$916,'Price comparisons'!$I$7+$H52))-1,0)</f>
        <v>0</v>
      </c>
      <c r="T52" s="219" cm="1">
        <f t="array" ref="T52">IFERROR(('Tariff schedule'!T63/INDEX('Indicative prices'!T$1:T$916,'Price comparisons'!$I$7+$H52))-1,0)</f>
        <v>0</v>
      </c>
      <c r="U52" s="219" cm="1">
        <f t="array" ref="U52">IFERROR(('Tariff schedule'!U63/INDEX('Indicative prices'!U$1:U$916,'Price comparisons'!$I$7+$H52))-1,0)</f>
        <v>0</v>
      </c>
      <c r="V52" s="219" cm="1">
        <f t="array" ref="V52">IFERROR(('Tariff schedule'!V63/INDEX('Indicative prices'!V$1:V$916,'Price comparisons'!$I$7+$H52))-1,0)</f>
        <v>0</v>
      </c>
      <c r="W52" s="219" cm="1">
        <f t="array" ref="W52">IFERROR(('Tariff schedule'!W63/INDEX('Indicative prices'!W$1:W$916,'Price comparisons'!$I$7+$H52))-1,0)</f>
        <v>0</v>
      </c>
      <c r="X52" s="219" cm="1">
        <f t="array" ref="X52">IFERROR(('Tariff schedule'!X63/INDEX('Indicative prices'!X$1:X$916,'Price comparisons'!$I$7+$H52))-1,0)</f>
        <v>0</v>
      </c>
      <c r="Y52" s="219" cm="1">
        <f t="array" ref="Y52">IFERROR(('Tariff schedule'!Y63/INDEX('Indicative prices'!Y$1:Y$916,'Price comparisons'!$I$7+$H52))-1,0)</f>
        <v>0</v>
      </c>
      <c r="Z52" s="219" cm="1">
        <f t="array" ref="Z52">IFERROR(('Tariff schedule'!Z63/INDEX('Indicative prices'!Z$1:Z$916,'Price comparisons'!$I$7+$H52))-1,0)</f>
        <v>0</v>
      </c>
      <c r="AA52" s="219" cm="1">
        <f t="array" ref="AA52">IFERROR(('Tariff schedule'!AA63/INDEX('Indicative prices'!AA$1:AA$916,'Price comparisons'!$I$7+$H52))-1,0)</f>
        <v>0</v>
      </c>
      <c r="AB52" s="219" cm="1">
        <f t="array" ref="AB52">IFERROR(('Tariff schedule'!AB63/INDEX('Indicative prices'!AB$1:AB$916,'Price comparisons'!$I$7+$H52))-1,0)</f>
        <v>0</v>
      </c>
      <c r="AC52" s="220"/>
      <c r="AD52" s="19"/>
      <c r="AE52" s="19"/>
      <c r="AF52" s="19"/>
      <c r="AG52" s="19"/>
    </row>
    <row r="53" spans="1:33" hidden="1" outlineLevel="2" x14ac:dyDescent="0.2">
      <c r="A53" s="19"/>
      <c r="B53" s="19"/>
      <c r="C53" s="506">
        <f>Qty!C53</f>
        <v>0</v>
      </c>
      <c r="D53" s="505">
        <f>Qty!D53</f>
        <v>0</v>
      </c>
      <c r="E53" s="505">
        <f>Qty!E53</f>
        <v>0</v>
      </c>
      <c r="F53" s="505">
        <f>Qty!F53</f>
        <v>0</v>
      </c>
      <c r="G53" s="505">
        <f>Qty!G53</f>
        <v>0</v>
      </c>
      <c r="H53" s="333">
        <v>45</v>
      </c>
      <c r="I53" s="219" cm="1">
        <f t="array" ref="I53">IFERROR(('Tariff schedule'!I64/INDEX('Indicative prices'!I$1:I$916,'Price comparisons'!$I$7+$H53))-1,0)</f>
        <v>0</v>
      </c>
      <c r="J53" s="219" cm="1">
        <f t="array" ref="J53">IFERROR(('Tariff schedule'!J64/INDEX('Indicative prices'!J$1:J$916,'Price comparisons'!$I$7+$H53))-1,0)</f>
        <v>0</v>
      </c>
      <c r="K53" s="219" cm="1">
        <f t="array" ref="K53">IFERROR(('Tariff schedule'!K64/INDEX('Indicative prices'!K$1:K$916,'Price comparisons'!$I$7+$H53))-1,0)</f>
        <v>0</v>
      </c>
      <c r="L53" s="219" cm="1">
        <f t="array" ref="L53">IFERROR(('Tariff schedule'!L64/INDEX('Indicative prices'!L$1:L$916,'Price comparisons'!$I$7+$H53))-1,0)</f>
        <v>0</v>
      </c>
      <c r="M53" s="219" cm="1">
        <f t="array" ref="M53">IFERROR(('Tariff schedule'!M64/INDEX('Indicative prices'!M$1:M$916,'Price comparisons'!$I$7+$H53))-1,0)</f>
        <v>0</v>
      </c>
      <c r="N53" s="219" cm="1">
        <f t="array" ref="N53">IFERROR(('Tariff schedule'!N64/INDEX('Indicative prices'!N$1:N$916,'Price comparisons'!$I$7+$H53))-1,0)</f>
        <v>0</v>
      </c>
      <c r="O53" s="219" cm="1">
        <f t="array" ref="O53">IFERROR(('Tariff schedule'!O64/INDEX('Indicative prices'!O$1:O$916,'Price comparisons'!$I$7+$H53))-1,0)</f>
        <v>0</v>
      </c>
      <c r="P53" s="219" cm="1">
        <f t="array" ref="P53">IFERROR(('Tariff schedule'!P64/INDEX('Indicative prices'!P$1:P$916,'Price comparisons'!$I$7+$H53))-1,0)</f>
        <v>0</v>
      </c>
      <c r="Q53" s="219" cm="1">
        <f t="array" ref="Q53">IFERROR(('Tariff schedule'!Q64/INDEX('Indicative prices'!Q$1:Q$916,'Price comparisons'!$I$7+$H53))-1,0)</f>
        <v>0</v>
      </c>
      <c r="R53" s="219" cm="1">
        <f t="array" ref="R53">IFERROR(('Tariff schedule'!R64/INDEX('Indicative prices'!R$1:R$916,'Price comparisons'!$I$7+$H53))-1,0)</f>
        <v>0</v>
      </c>
      <c r="S53" s="219" cm="1">
        <f t="array" ref="S53">IFERROR(('Tariff schedule'!S64/INDEX('Indicative prices'!S$1:S$916,'Price comparisons'!$I$7+$H53))-1,0)</f>
        <v>0</v>
      </c>
      <c r="T53" s="219" cm="1">
        <f t="array" ref="T53">IFERROR(('Tariff schedule'!T64/INDEX('Indicative prices'!T$1:T$916,'Price comparisons'!$I$7+$H53))-1,0)</f>
        <v>0</v>
      </c>
      <c r="U53" s="219" cm="1">
        <f t="array" ref="U53">IFERROR(('Tariff schedule'!U64/INDEX('Indicative prices'!U$1:U$916,'Price comparisons'!$I$7+$H53))-1,0)</f>
        <v>0</v>
      </c>
      <c r="V53" s="219" cm="1">
        <f t="array" ref="V53">IFERROR(('Tariff schedule'!V64/INDEX('Indicative prices'!V$1:V$916,'Price comparisons'!$I$7+$H53))-1,0)</f>
        <v>0</v>
      </c>
      <c r="W53" s="219" cm="1">
        <f t="array" ref="W53">IFERROR(('Tariff schedule'!W64/INDEX('Indicative prices'!W$1:W$916,'Price comparisons'!$I$7+$H53))-1,0)</f>
        <v>0</v>
      </c>
      <c r="X53" s="219" cm="1">
        <f t="array" ref="X53">IFERROR(('Tariff schedule'!X64/INDEX('Indicative prices'!X$1:X$916,'Price comparisons'!$I$7+$H53))-1,0)</f>
        <v>0</v>
      </c>
      <c r="Y53" s="219" cm="1">
        <f t="array" ref="Y53">IFERROR(('Tariff schedule'!Y64/INDEX('Indicative prices'!Y$1:Y$916,'Price comparisons'!$I$7+$H53))-1,0)</f>
        <v>0</v>
      </c>
      <c r="Z53" s="219" cm="1">
        <f t="array" ref="Z53">IFERROR(('Tariff schedule'!Z64/INDEX('Indicative prices'!Z$1:Z$916,'Price comparisons'!$I$7+$H53))-1,0)</f>
        <v>0</v>
      </c>
      <c r="AA53" s="219" cm="1">
        <f t="array" ref="AA53">IFERROR(('Tariff schedule'!AA64/INDEX('Indicative prices'!AA$1:AA$916,'Price comparisons'!$I$7+$H53))-1,0)</f>
        <v>0</v>
      </c>
      <c r="AB53" s="219" cm="1">
        <f t="array" ref="AB53">IFERROR(('Tariff schedule'!AB64/INDEX('Indicative prices'!AB$1:AB$916,'Price comparisons'!$I$7+$H53))-1,0)</f>
        <v>0</v>
      </c>
      <c r="AC53" s="220"/>
      <c r="AD53" s="19"/>
      <c r="AE53" s="19"/>
      <c r="AF53" s="19"/>
      <c r="AG53" s="19"/>
    </row>
    <row r="54" spans="1:33" hidden="1" outlineLevel="2" x14ac:dyDescent="0.2">
      <c r="A54" s="19"/>
      <c r="B54" s="19"/>
      <c r="C54" s="506">
        <f>Qty!C54</f>
        <v>0</v>
      </c>
      <c r="D54" s="505">
        <f>Qty!D54</f>
        <v>0</v>
      </c>
      <c r="E54" s="505">
        <f>Qty!E54</f>
        <v>0</v>
      </c>
      <c r="F54" s="505">
        <f>Qty!F54</f>
        <v>0</v>
      </c>
      <c r="G54" s="505">
        <f>Qty!G54</f>
        <v>0</v>
      </c>
      <c r="H54" s="333">
        <v>46</v>
      </c>
      <c r="I54" s="219" cm="1">
        <f t="array" ref="I54">IFERROR(('Tariff schedule'!I65/INDEX('Indicative prices'!I$1:I$916,'Price comparisons'!$I$7+$H54))-1,0)</f>
        <v>0</v>
      </c>
      <c r="J54" s="219" cm="1">
        <f t="array" ref="J54">IFERROR(('Tariff schedule'!J65/INDEX('Indicative prices'!J$1:J$916,'Price comparisons'!$I$7+$H54))-1,0)</f>
        <v>0</v>
      </c>
      <c r="K54" s="219" cm="1">
        <f t="array" ref="K54">IFERROR(('Tariff schedule'!K65/INDEX('Indicative prices'!K$1:K$916,'Price comparisons'!$I$7+$H54))-1,0)</f>
        <v>0</v>
      </c>
      <c r="L54" s="219" cm="1">
        <f t="array" ref="L54">IFERROR(('Tariff schedule'!L65/INDEX('Indicative prices'!L$1:L$916,'Price comparisons'!$I$7+$H54))-1,0)</f>
        <v>0</v>
      </c>
      <c r="M54" s="219" cm="1">
        <f t="array" ref="M54">IFERROR(('Tariff schedule'!M65/INDEX('Indicative prices'!M$1:M$916,'Price comparisons'!$I$7+$H54))-1,0)</f>
        <v>0</v>
      </c>
      <c r="N54" s="219" cm="1">
        <f t="array" ref="N54">IFERROR(('Tariff schedule'!N65/INDEX('Indicative prices'!N$1:N$916,'Price comparisons'!$I$7+$H54))-1,0)</f>
        <v>0</v>
      </c>
      <c r="O54" s="219" cm="1">
        <f t="array" ref="O54">IFERROR(('Tariff schedule'!O65/INDEX('Indicative prices'!O$1:O$916,'Price comparisons'!$I$7+$H54))-1,0)</f>
        <v>0</v>
      </c>
      <c r="P54" s="219" cm="1">
        <f t="array" ref="P54">IFERROR(('Tariff schedule'!P65/INDEX('Indicative prices'!P$1:P$916,'Price comparisons'!$I$7+$H54))-1,0)</f>
        <v>0</v>
      </c>
      <c r="Q54" s="219" cm="1">
        <f t="array" ref="Q54">IFERROR(('Tariff schedule'!Q65/INDEX('Indicative prices'!Q$1:Q$916,'Price comparisons'!$I$7+$H54))-1,0)</f>
        <v>0</v>
      </c>
      <c r="R54" s="219" cm="1">
        <f t="array" ref="R54">IFERROR(('Tariff schedule'!R65/INDEX('Indicative prices'!R$1:R$916,'Price comparisons'!$I$7+$H54))-1,0)</f>
        <v>0</v>
      </c>
      <c r="S54" s="219" cm="1">
        <f t="array" ref="S54">IFERROR(('Tariff schedule'!S65/INDEX('Indicative prices'!S$1:S$916,'Price comparisons'!$I$7+$H54))-1,0)</f>
        <v>0</v>
      </c>
      <c r="T54" s="219" cm="1">
        <f t="array" ref="T54">IFERROR(('Tariff schedule'!T65/INDEX('Indicative prices'!T$1:T$916,'Price comparisons'!$I$7+$H54))-1,0)</f>
        <v>0</v>
      </c>
      <c r="U54" s="219" cm="1">
        <f t="array" ref="U54">IFERROR(('Tariff schedule'!U65/INDEX('Indicative prices'!U$1:U$916,'Price comparisons'!$I$7+$H54))-1,0)</f>
        <v>0</v>
      </c>
      <c r="V54" s="219" cm="1">
        <f t="array" ref="V54">IFERROR(('Tariff schedule'!V65/INDEX('Indicative prices'!V$1:V$916,'Price comparisons'!$I$7+$H54))-1,0)</f>
        <v>0</v>
      </c>
      <c r="W54" s="219" cm="1">
        <f t="array" ref="W54">IFERROR(('Tariff schedule'!W65/INDEX('Indicative prices'!W$1:W$916,'Price comparisons'!$I$7+$H54))-1,0)</f>
        <v>0</v>
      </c>
      <c r="X54" s="219" cm="1">
        <f t="array" ref="X54">IFERROR(('Tariff schedule'!X65/INDEX('Indicative prices'!X$1:X$916,'Price comparisons'!$I$7+$H54))-1,0)</f>
        <v>0</v>
      </c>
      <c r="Y54" s="219" cm="1">
        <f t="array" ref="Y54">IFERROR(('Tariff schedule'!Y65/INDEX('Indicative prices'!Y$1:Y$916,'Price comparisons'!$I$7+$H54))-1,0)</f>
        <v>0</v>
      </c>
      <c r="Z54" s="219" cm="1">
        <f t="array" ref="Z54">IFERROR(('Tariff schedule'!Z65/INDEX('Indicative prices'!Z$1:Z$916,'Price comparisons'!$I$7+$H54))-1,0)</f>
        <v>0</v>
      </c>
      <c r="AA54" s="219" cm="1">
        <f t="array" ref="AA54">IFERROR(('Tariff schedule'!AA65/INDEX('Indicative prices'!AA$1:AA$916,'Price comparisons'!$I$7+$H54))-1,0)</f>
        <v>0</v>
      </c>
      <c r="AB54" s="219" cm="1">
        <f t="array" ref="AB54">IFERROR(('Tariff schedule'!AB65/INDEX('Indicative prices'!AB$1:AB$916,'Price comparisons'!$I$7+$H54))-1,0)</f>
        <v>0</v>
      </c>
      <c r="AC54" s="220"/>
      <c r="AD54" s="19"/>
      <c r="AE54" s="19"/>
      <c r="AF54" s="19"/>
      <c r="AG54" s="19"/>
    </row>
    <row r="55" spans="1:33" hidden="1" outlineLevel="2" x14ac:dyDescent="0.2">
      <c r="A55" s="19"/>
      <c r="B55" s="19"/>
      <c r="C55" s="506">
        <f>Qty!C55</f>
        <v>0</v>
      </c>
      <c r="D55" s="505">
        <f>Qty!D55</f>
        <v>0</v>
      </c>
      <c r="E55" s="505">
        <f>Qty!E55</f>
        <v>0</v>
      </c>
      <c r="F55" s="505">
        <f>Qty!F55</f>
        <v>0</v>
      </c>
      <c r="G55" s="505">
        <f>Qty!G55</f>
        <v>0</v>
      </c>
      <c r="H55" s="333">
        <v>47</v>
      </c>
      <c r="I55" s="219" cm="1">
        <f t="array" ref="I55">IFERROR(('Tariff schedule'!I66/INDEX('Indicative prices'!I$1:I$916,'Price comparisons'!$I$7+$H55))-1,0)</f>
        <v>0</v>
      </c>
      <c r="J55" s="219" cm="1">
        <f t="array" ref="J55">IFERROR(('Tariff schedule'!J66/INDEX('Indicative prices'!J$1:J$916,'Price comparisons'!$I$7+$H55))-1,0)</f>
        <v>0</v>
      </c>
      <c r="K55" s="219" cm="1">
        <f t="array" ref="K55">IFERROR(('Tariff schedule'!K66/INDEX('Indicative prices'!K$1:K$916,'Price comparisons'!$I$7+$H55))-1,0)</f>
        <v>0</v>
      </c>
      <c r="L55" s="219" cm="1">
        <f t="array" ref="L55">IFERROR(('Tariff schedule'!L66/INDEX('Indicative prices'!L$1:L$916,'Price comparisons'!$I$7+$H55))-1,0)</f>
        <v>0</v>
      </c>
      <c r="M55" s="219" cm="1">
        <f t="array" ref="M55">IFERROR(('Tariff schedule'!M66/INDEX('Indicative prices'!M$1:M$916,'Price comparisons'!$I$7+$H55))-1,0)</f>
        <v>0</v>
      </c>
      <c r="N55" s="219" cm="1">
        <f t="array" ref="N55">IFERROR(('Tariff schedule'!N66/INDEX('Indicative prices'!N$1:N$916,'Price comparisons'!$I$7+$H55))-1,0)</f>
        <v>0</v>
      </c>
      <c r="O55" s="219" cm="1">
        <f t="array" ref="O55">IFERROR(('Tariff schedule'!O66/INDEX('Indicative prices'!O$1:O$916,'Price comparisons'!$I$7+$H55))-1,0)</f>
        <v>0</v>
      </c>
      <c r="P55" s="219" cm="1">
        <f t="array" ref="P55">IFERROR(('Tariff schedule'!P66/INDEX('Indicative prices'!P$1:P$916,'Price comparisons'!$I$7+$H55))-1,0)</f>
        <v>0</v>
      </c>
      <c r="Q55" s="219" cm="1">
        <f t="array" ref="Q55">IFERROR(('Tariff schedule'!Q66/INDEX('Indicative prices'!Q$1:Q$916,'Price comparisons'!$I$7+$H55))-1,0)</f>
        <v>0</v>
      </c>
      <c r="R55" s="219" cm="1">
        <f t="array" ref="R55">IFERROR(('Tariff schedule'!R66/INDEX('Indicative prices'!R$1:R$916,'Price comparisons'!$I$7+$H55))-1,0)</f>
        <v>0</v>
      </c>
      <c r="S55" s="219" cm="1">
        <f t="array" ref="S55">IFERROR(('Tariff schedule'!S66/INDEX('Indicative prices'!S$1:S$916,'Price comparisons'!$I$7+$H55))-1,0)</f>
        <v>0</v>
      </c>
      <c r="T55" s="219" cm="1">
        <f t="array" ref="T55">IFERROR(('Tariff schedule'!T66/INDEX('Indicative prices'!T$1:T$916,'Price comparisons'!$I$7+$H55))-1,0)</f>
        <v>0</v>
      </c>
      <c r="U55" s="219" cm="1">
        <f t="array" ref="U55">IFERROR(('Tariff schedule'!U66/INDEX('Indicative prices'!U$1:U$916,'Price comparisons'!$I$7+$H55))-1,0)</f>
        <v>0</v>
      </c>
      <c r="V55" s="219" cm="1">
        <f t="array" ref="V55">IFERROR(('Tariff schedule'!V66/INDEX('Indicative prices'!V$1:V$916,'Price comparisons'!$I$7+$H55))-1,0)</f>
        <v>0</v>
      </c>
      <c r="W55" s="219" cm="1">
        <f t="array" ref="W55">IFERROR(('Tariff schedule'!W66/INDEX('Indicative prices'!W$1:W$916,'Price comparisons'!$I$7+$H55))-1,0)</f>
        <v>0</v>
      </c>
      <c r="X55" s="219" cm="1">
        <f t="array" ref="X55">IFERROR(('Tariff schedule'!X66/INDEX('Indicative prices'!X$1:X$916,'Price comparisons'!$I$7+$H55))-1,0)</f>
        <v>0</v>
      </c>
      <c r="Y55" s="219" cm="1">
        <f t="array" ref="Y55">IFERROR(('Tariff schedule'!Y66/INDEX('Indicative prices'!Y$1:Y$916,'Price comparisons'!$I$7+$H55))-1,0)</f>
        <v>0</v>
      </c>
      <c r="Z55" s="219" cm="1">
        <f t="array" ref="Z55">IFERROR(('Tariff schedule'!Z66/INDEX('Indicative prices'!Z$1:Z$916,'Price comparisons'!$I$7+$H55))-1,0)</f>
        <v>0</v>
      </c>
      <c r="AA55" s="219" cm="1">
        <f t="array" ref="AA55">IFERROR(('Tariff schedule'!AA66/INDEX('Indicative prices'!AA$1:AA$916,'Price comparisons'!$I$7+$H55))-1,0)</f>
        <v>0</v>
      </c>
      <c r="AB55" s="219" cm="1">
        <f t="array" ref="AB55">IFERROR(('Tariff schedule'!AB66/INDEX('Indicative prices'!AB$1:AB$916,'Price comparisons'!$I$7+$H55))-1,0)</f>
        <v>0</v>
      </c>
      <c r="AC55" s="220"/>
      <c r="AD55" s="19"/>
      <c r="AE55" s="19"/>
      <c r="AF55" s="19"/>
      <c r="AG55" s="19"/>
    </row>
    <row r="56" spans="1:33" hidden="1" outlineLevel="2" x14ac:dyDescent="0.2">
      <c r="A56" s="19"/>
      <c r="B56" s="19"/>
      <c r="C56" s="506">
        <f>Qty!C56</f>
        <v>0</v>
      </c>
      <c r="D56" s="505">
        <f>Qty!D56</f>
        <v>0</v>
      </c>
      <c r="E56" s="505">
        <f>Qty!E56</f>
        <v>0</v>
      </c>
      <c r="F56" s="505">
        <f>Qty!F56</f>
        <v>0</v>
      </c>
      <c r="G56" s="505">
        <f>Qty!G56</f>
        <v>0</v>
      </c>
      <c r="H56" s="333">
        <v>48</v>
      </c>
      <c r="I56" s="219" cm="1">
        <f t="array" ref="I56">IFERROR(('Tariff schedule'!I67/INDEX('Indicative prices'!I$1:I$916,'Price comparisons'!$I$7+$H56))-1,0)</f>
        <v>0</v>
      </c>
      <c r="J56" s="219" cm="1">
        <f t="array" ref="J56">IFERROR(('Tariff schedule'!J67/INDEX('Indicative prices'!J$1:J$916,'Price comparisons'!$I$7+$H56))-1,0)</f>
        <v>0</v>
      </c>
      <c r="K56" s="219" cm="1">
        <f t="array" ref="K56">IFERROR(('Tariff schedule'!K67/INDEX('Indicative prices'!K$1:K$916,'Price comparisons'!$I$7+$H56))-1,0)</f>
        <v>0</v>
      </c>
      <c r="L56" s="219" cm="1">
        <f t="array" ref="L56">IFERROR(('Tariff schedule'!L67/INDEX('Indicative prices'!L$1:L$916,'Price comparisons'!$I$7+$H56))-1,0)</f>
        <v>0</v>
      </c>
      <c r="M56" s="219" cm="1">
        <f t="array" ref="M56">IFERROR(('Tariff schedule'!M67/INDEX('Indicative prices'!M$1:M$916,'Price comparisons'!$I$7+$H56))-1,0)</f>
        <v>0</v>
      </c>
      <c r="N56" s="219" cm="1">
        <f t="array" ref="N56">IFERROR(('Tariff schedule'!N67/INDEX('Indicative prices'!N$1:N$916,'Price comparisons'!$I$7+$H56))-1,0)</f>
        <v>0</v>
      </c>
      <c r="O56" s="219" cm="1">
        <f t="array" ref="O56">IFERROR(('Tariff schedule'!O67/INDEX('Indicative prices'!O$1:O$916,'Price comparisons'!$I$7+$H56))-1,0)</f>
        <v>0</v>
      </c>
      <c r="P56" s="219" cm="1">
        <f t="array" ref="P56">IFERROR(('Tariff schedule'!P67/INDEX('Indicative prices'!P$1:P$916,'Price comparisons'!$I$7+$H56))-1,0)</f>
        <v>0</v>
      </c>
      <c r="Q56" s="219" cm="1">
        <f t="array" ref="Q56">IFERROR(('Tariff schedule'!Q67/INDEX('Indicative prices'!Q$1:Q$916,'Price comparisons'!$I$7+$H56))-1,0)</f>
        <v>0</v>
      </c>
      <c r="R56" s="219" cm="1">
        <f t="array" ref="R56">IFERROR(('Tariff schedule'!R67/INDEX('Indicative prices'!R$1:R$916,'Price comparisons'!$I$7+$H56))-1,0)</f>
        <v>0</v>
      </c>
      <c r="S56" s="219" cm="1">
        <f t="array" ref="S56">IFERROR(('Tariff schedule'!S67/INDEX('Indicative prices'!S$1:S$916,'Price comparisons'!$I$7+$H56))-1,0)</f>
        <v>0</v>
      </c>
      <c r="T56" s="219" cm="1">
        <f t="array" ref="T56">IFERROR(('Tariff schedule'!T67/INDEX('Indicative prices'!T$1:T$916,'Price comparisons'!$I$7+$H56))-1,0)</f>
        <v>0</v>
      </c>
      <c r="U56" s="219" cm="1">
        <f t="array" ref="U56">IFERROR(('Tariff schedule'!U67/INDEX('Indicative prices'!U$1:U$916,'Price comparisons'!$I$7+$H56))-1,0)</f>
        <v>0</v>
      </c>
      <c r="V56" s="219" cm="1">
        <f t="array" ref="V56">IFERROR(('Tariff schedule'!V67/INDEX('Indicative prices'!V$1:V$916,'Price comparisons'!$I$7+$H56))-1,0)</f>
        <v>0</v>
      </c>
      <c r="W56" s="219" cm="1">
        <f t="array" ref="W56">IFERROR(('Tariff schedule'!W67/INDEX('Indicative prices'!W$1:W$916,'Price comparisons'!$I$7+$H56))-1,0)</f>
        <v>0</v>
      </c>
      <c r="X56" s="219" cm="1">
        <f t="array" ref="X56">IFERROR(('Tariff schedule'!X67/INDEX('Indicative prices'!X$1:X$916,'Price comparisons'!$I$7+$H56))-1,0)</f>
        <v>0</v>
      </c>
      <c r="Y56" s="219" cm="1">
        <f t="array" ref="Y56">IFERROR(('Tariff schedule'!Y67/INDEX('Indicative prices'!Y$1:Y$916,'Price comparisons'!$I$7+$H56))-1,0)</f>
        <v>0</v>
      </c>
      <c r="Z56" s="219" cm="1">
        <f t="array" ref="Z56">IFERROR(('Tariff schedule'!Z67/INDEX('Indicative prices'!Z$1:Z$916,'Price comparisons'!$I$7+$H56))-1,0)</f>
        <v>0</v>
      </c>
      <c r="AA56" s="219" cm="1">
        <f t="array" ref="AA56">IFERROR(('Tariff schedule'!AA67/INDEX('Indicative prices'!AA$1:AA$916,'Price comparisons'!$I$7+$H56))-1,0)</f>
        <v>0</v>
      </c>
      <c r="AB56" s="219" cm="1">
        <f t="array" ref="AB56">IFERROR(('Tariff schedule'!AB67/INDEX('Indicative prices'!AB$1:AB$916,'Price comparisons'!$I$7+$H56))-1,0)</f>
        <v>0</v>
      </c>
      <c r="AC56" s="220"/>
      <c r="AD56" s="19"/>
      <c r="AE56" s="19"/>
      <c r="AF56" s="19"/>
      <c r="AG56" s="19"/>
    </row>
    <row r="57" spans="1:33" hidden="1" outlineLevel="2" x14ac:dyDescent="0.2">
      <c r="A57" s="19"/>
      <c r="B57" s="19"/>
      <c r="C57" s="506">
        <f>Qty!C57</f>
        <v>0</v>
      </c>
      <c r="D57" s="505">
        <f>Qty!D57</f>
        <v>0</v>
      </c>
      <c r="E57" s="505">
        <f>Qty!E57</f>
        <v>0</v>
      </c>
      <c r="F57" s="505">
        <f>Qty!F57</f>
        <v>0</v>
      </c>
      <c r="G57" s="505">
        <f>Qty!G57</f>
        <v>0</v>
      </c>
      <c r="H57" s="333">
        <v>49</v>
      </c>
      <c r="I57" s="219" cm="1">
        <f t="array" ref="I57">IFERROR(('Tariff schedule'!I68/INDEX('Indicative prices'!I$1:I$916,'Price comparisons'!$I$7+$H57))-1,0)</f>
        <v>0</v>
      </c>
      <c r="J57" s="219" cm="1">
        <f t="array" ref="J57">IFERROR(('Tariff schedule'!J68/INDEX('Indicative prices'!J$1:J$916,'Price comparisons'!$I$7+$H57))-1,0)</f>
        <v>0</v>
      </c>
      <c r="K57" s="219" cm="1">
        <f t="array" ref="K57">IFERROR(('Tariff schedule'!K68/INDEX('Indicative prices'!K$1:K$916,'Price comparisons'!$I$7+$H57))-1,0)</f>
        <v>0</v>
      </c>
      <c r="L57" s="219" cm="1">
        <f t="array" ref="L57">IFERROR(('Tariff schedule'!L68/INDEX('Indicative prices'!L$1:L$916,'Price comparisons'!$I$7+$H57))-1,0)</f>
        <v>0</v>
      </c>
      <c r="M57" s="219" cm="1">
        <f t="array" ref="M57">IFERROR(('Tariff schedule'!M68/INDEX('Indicative prices'!M$1:M$916,'Price comparisons'!$I$7+$H57))-1,0)</f>
        <v>0</v>
      </c>
      <c r="N57" s="219" cm="1">
        <f t="array" ref="N57">IFERROR(('Tariff schedule'!N68/INDEX('Indicative prices'!N$1:N$916,'Price comparisons'!$I$7+$H57))-1,0)</f>
        <v>0</v>
      </c>
      <c r="O57" s="219" cm="1">
        <f t="array" ref="O57">IFERROR(('Tariff schedule'!O68/INDEX('Indicative prices'!O$1:O$916,'Price comparisons'!$I$7+$H57))-1,0)</f>
        <v>0</v>
      </c>
      <c r="P57" s="219" cm="1">
        <f t="array" ref="P57">IFERROR(('Tariff schedule'!P68/INDEX('Indicative prices'!P$1:P$916,'Price comparisons'!$I$7+$H57))-1,0)</f>
        <v>0</v>
      </c>
      <c r="Q57" s="219" cm="1">
        <f t="array" ref="Q57">IFERROR(('Tariff schedule'!Q68/INDEX('Indicative prices'!Q$1:Q$916,'Price comparisons'!$I$7+$H57))-1,0)</f>
        <v>0</v>
      </c>
      <c r="R57" s="219" cm="1">
        <f t="array" ref="R57">IFERROR(('Tariff schedule'!R68/INDEX('Indicative prices'!R$1:R$916,'Price comparisons'!$I$7+$H57))-1,0)</f>
        <v>0</v>
      </c>
      <c r="S57" s="219" cm="1">
        <f t="array" ref="S57">IFERROR(('Tariff schedule'!S68/INDEX('Indicative prices'!S$1:S$916,'Price comparisons'!$I$7+$H57))-1,0)</f>
        <v>0</v>
      </c>
      <c r="T57" s="219" cm="1">
        <f t="array" ref="T57">IFERROR(('Tariff schedule'!T68/INDEX('Indicative prices'!T$1:T$916,'Price comparisons'!$I$7+$H57))-1,0)</f>
        <v>0</v>
      </c>
      <c r="U57" s="219" cm="1">
        <f t="array" ref="U57">IFERROR(('Tariff schedule'!U68/INDEX('Indicative prices'!U$1:U$916,'Price comparisons'!$I$7+$H57))-1,0)</f>
        <v>0</v>
      </c>
      <c r="V57" s="219" cm="1">
        <f t="array" ref="V57">IFERROR(('Tariff schedule'!V68/INDEX('Indicative prices'!V$1:V$916,'Price comparisons'!$I$7+$H57))-1,0)</f>
        <v>0</v>
      </c>
      <c r="W57" s="219" cm="1">
        <f t="array" ref="W57">IFERROR(('Tariff schedule'!W68/INDEX('Indicative prices'!W$1:W$916,'Price comparisons'!$I$7+$H57))-1,0)</f>
        <v>0</v>
      </c>
      <c r="X57" s="219" cm="1">
        <f t="array" ref="X57">IFERROR(('Tariff schedule'!X68/INDEX('Indicative prices'!X$1:X$916,'Price comparisons'!$I$7+$H57))-1,0)</f>
        <v>0</v>
      </c>
      <c r="Y57" s="219" cm="1">
        <f t="array" ref="Y57">IFERROR(('Tariff schedule'!Y68/INDEX('Indicative prices'!Y$1:Y$916,'Price comparisons'!$I$7+$H57))-1,0)</f>
        <v>0</v>
      </c>
      <c r="Z57" s="219" cm="1">
        <f t="array" ref="Z57">IFERROR(('Tariff schedule'!Z68/INDEX('Indicative prices'!Z$1:Z$916,'Price comparisons'!$I$7+$H57))-1,0)</f>
        <v>0</v>
      </c>
      <c r="AA57" s="219" cm="1">
        <f t="array" ref="AA57">IFERROR(('Tariff schedule'!AA68/INDEX('Indicative prices'!AA$1:AA$916,'Price comparisons'!$I$7+$H57))-1,0)</f>
        <v>0</v>
      </c>
      <c r="AB57" s="219" cm="1">
        <f t="array" ref="AB57">IFERROR(('Tariff schedule'!AB68/INDEX('Indicative prices'!AB$1:AB$916,'Price comparisons'!$I$7+$H57))-1,0)</f>
        <v>0</v>
      </c>
      <c r="AC57" s="220"/>
      <c r="AD57" s="19"/>
      <c r="AE57" s="19"/>
      <c r="AF57" s="19"/>
      <c r="AG57" s="19"/>
    </row>
    <row r="58" spans="1:33" hidden="1" outlineLevel="2" x14ac:dyDescent="0.2">
      <c r="A58" s="19"/>
      <c r="B58" s="19"/>
      <c r="C58" s="506">
        <f>Qty!C58</f>
        <v>0</v>
      </c>
      <c r="D58" s="505">
        <f>Qty!D58</f>
        <v>0</v>
      </c>
      <c r="E58" s="505">
        <f>Qty!E58</f>
        <v>0</v>
      </c>
      <c r="F58" s="505">
        <f>Qty!F58</f>
        <v>0</v>
      </c>
      <c r="G58" s="505">
        <f>Qty!G58</f>
        <v>0</v>
      </c>
      <c r="H58" s="333">
        <v>50</v>
      </c>
      <c r="I58" s="219" cm="1">
        <f t="array" ref="I58">IFERROR(('Tariff schedule'!I69/INDEX('Indicative prices'!I$1:I$916,'Price comparisons'!$I$7+$H58))-1,0)</f>
        <v>0</v>
      </c>
      <c r="J58" s="219" cm="1">
        <f t="array" ref="J58">IFERROR(('Tariff schedule'!J69/INDEX('Indicative prices'!J$1:J$916,'Price comparisons'!$I$7+$H58))-1,0)</f>
        <v>0</v>
      </c>
      <c r="K58" s="219" cm="1">
        <f t="array" ref="K58">IFERROR(('Tariff schedule'!K69/INDEX('Indicative prices'!K$1:K$916,'Price comparisons'!$I$7+$H58))-1,0)</f>
        <v>0</v>
      </c>
      <c r="L58" s="219" cm="1">
        <f t="array" ref="L58">IFERROR(('Tariff schedule'!L69/INDEX('Indicative prices'!L$1:L$916,'Price comparisons'!$I$7+$H58))-1,0)</f>
        <v>0</v>
      </c>
      <c r="M58" s="219" cm="1">
        <f t="array" ref="M58">IFERROR(('Tariff schedule'!M69/INDEX('Indicative prices'!M$1:M$916,'Price comparisons'!$I$7+$H58))-1,0)</f>
        <v>0</v>
      </c>
      <c r="N58" s="219" cm="1">
        <f t="array" ref="N58">IFERROR(('Tariff schedule'!N69/INDEX('Indicative prices'!N$1:N$916,'Price comparisons'!$I$7+$H58))-1,0)</f>
        <v>0</v>
      </c>
      <c r="O58" s="219" cm="1">
        <f t="array" ref="O58">IFERROR(('Tariff schedule'!O69/INDEX('Indicative prices'!O$1:O$916,'Price comparisons'!$I$7+$H58))-1,0)</f>
        <v>0</v>
      </c>
      <c r="P58" s="219" cm="1">
        <f t="array" ref="P58">IFERROR(('Tariff schedule'!P69/INDEX('Indicative prices'!P$1:P$916,'Price comparisons'!$I$7+$H58))-1,0)</f>
        <v>0</v>
      </c>
      <c r="Q58" s="219" cm="1">
        <f t="array" ref="Q58">IFERROR(('Tariff schedule'!Q69/INDEX('Indicative prices'!Q$1:Q$916,'Price comparisons'!$I$7+$H58))-1,0)</f>
        <v>0</v>
      </c>
      <c r="R58" s="219" cm="1">
        <f t="array" ref="R58">IFERROR(('Tariff schedule'!R69/INDEX('Indicative prices'!R$1:R$916,'Price comparisons'!$I$7+$H58))-1,0)</f>
        <v>0</v>
      </c>
      <c r="S58" s="219" cm="1">
        <f t="array" ref="S58">IFERROR(('Tariff schedule'!S69/INDEX('Indicative prices'!S$1:S$916,'Price comparisons'!$I$7+$H58))-1,0)</f>
        <v>0</v>
      </c>
      <c r="T58" s="219" cm="1">
        <f t="array" ref="T58">IFERROR(('Tariff schedule'!T69/INDEX('Indicative prices'!T$1:T$916,'Price comparisons'!$I$7+$H58))-1,0)</f>
        <v>0</v>
      </c>
      <c r="U58" s="219" cm="1">
        <f t="array" ref="U58">IFERROR(('Tariff schedule'!U69/INDEX('Indicative prices'!U$1:U$916,'Price comparisons'!$I$7+$H58))-1,0)</f>
        <v>0</v>
      </c>
      <c r="V58" s="219" cm="1">
        <f t="array" ref="V58">IFERROR(('Tariff schedule'!V69/INDEX('Indicative prices'!V$1:V$916,'Price comparisons'!$I$7+$H58))-1,0)</f>
        <v>0</v>
      </c>
      <c r="W58" s="219" cm="1">
        <f t="array" ref="W58">IFERROR(('Tariff schedule'!W69/INDEX('Indicative prices'!W$1:W$916,'Price comparisons'!$I$7+$H58))-1,0)</f>
        <v>0</v>
      </c>
      <c r="X58" s="219" cm="1">
        <f t="array" ref="X58">IFERROR(('Tariff schedule'!X69/INDEX('Indicative prices'!X$1:X$916,'Price comparisons'!$I$7+$H58))-1,0)</f>
        <v>0</v>
      </c>
      <c r="Y58" s="219" cm="1">
        <f t="array" ref="Y58">IFERROR(('Tariff schedule'!Y69/INDEX('Indicative prices'!Y$1:Y$916,'Price comparisons'!$I$7+$H58))-1,0)</f>
        <v>0</v>
      </c>
      <c r="Z58" s="219" cm="1">
        <f t="array" ref="Z58">IFERROR(('Tariff schedule'!Z69/INDEX('Indicative prices'!Z$1:Z$916,'Price comparisons'!$I$7+$H58))-1,0)</f>
        <v>0</v>
      </c>
      <c r="AA58" s="219" cm="1">
        <f t="array" ref="AA58">IFERROR(('Tariff schedule'!AA69/INDEX('Indicative prices'!AA$1:AA$916,'Price comparisons'!$I$7+$H58))-1,0)</f>
        <v>0</v>
      </c>
      <c r="AB58" s="219" cm="1">
        <f t="array" ref="AB58">IFERROR(('Tariff schedule'!AB69/INDEX('Indicative prices'!AB$1:AB$916,'Price comparisons'!$I$7+$H58))-1,0)</f>
        <v>0</v>
      </c>
      <c r="AC58" s="220"/>
      <c r="AD58" s="19"/>
      <c r="AE58" s="19"/>
      <c r="AF58" s="19"/>
      <c r="AG58" s="19"/>
    </row>
    <row r="59" spans="1:33" hidden="1" outlineLevel="2" x14ac:dyDescent="0.2">
      <c r="A59" s="19"/>
      <c r="B59" s="19"/>
      <c r="C59" s="506">
        <f>Qty!C59</f>
        <v>0</v>
      </c>
      <c r="D59" s="505">
        <f>Qty!D59</f>
        <v>0</v>
      </c>
      <c r="E59" s="505">
        <f>Qty!E59</f>
        <v>0</v>
      </c>
      <c r="F59" s="505">
        <f>Qty!F59</f>
        <v>0</v>
      </c>
      <c r="G59" s="505">
        <f>Qty!G59</f>
        <v>0</v>
      </c>
      <c r="H59" s="333">
        <v>51</v>
      </c>
      <c r="I59" s="219" cm="1">
        <f t="array" ref="I59">IFERROR(('Tariff schedule'!I70/INDEX('Indicative prices'!I$1:I$916,'Price comparisons'!$I$7+$H59))-1,0)</f>
        <v>0</v>
      </c>
      <c r="J59" s="219" cm="1">
        <f t="array" ref="J59">IFERROR(('Tariff schedule'!J70/INDEX('Indicative prices'!J$1:J$916,'Price comparisons'!$I$7+$H59))-1,0)</f>
        <v>0</v>
      </c>
      <c r="K59" s="219" cm="1">
        <f t="array" ref="K59">IFERROR(('Tariff schedule'!K70/INDEX('Indicative prices'!K$1:K$916,'Price comparisons'!$I$7+$H59))-1,0)</f>
        <v>0</v>
      </c>
      <c r="L59" s="219" cm="1">
        <f t="array" ref="L59">IFERROR(('Tariff schedule'!L70/INDEX('Indicative prices'!L$1:L$916,'Price comparisons'!$I$7+$H59))-1,0)</f>
        <v>0</v>
      </c>
      <c r="M59" s="219" cm="1">
        <f t="array" ref="M59">IFERROR(('Tariff schedule'!M70/INDEX('Indicative prices'!M$1:M$916,'Price comparisons'!$I$7+$H59))-1,0)</f>
        <v>0</v>
      </c>
      <c r="N59" s="219" cm="1">
        <f t="array" ref="N59">IFERROR(('Tariff schedule'!N70/INDEX('Indicative prices'!N$1:N$916,'Price comparisons'!$I$7+$H59))-1,0)</f>
        <v>0</v>
      </c>
      <c r="O59" s="219" cm="1">
        <f t="array" ref="O59">IFERROR(('Tariff schedule'!O70/INDEX('Indicative prices'!O$1:O$916,'Price comparisons'!$I$7+$H59))-1,0)</f>
        <v>0</v>
      </c>
      <c r="P59" s="219" cm="1">
        <f t="array" ref="P59">IFERROR(('Tariff schedule'!P70/INDEX('Indicative prices'!P$1:P$916,'Price comparisons'!$I$7+$H59))-1,0)</f>
        <v>0</v>
      </c>
      <c r="Q59" s="219" cm="1">
        <f t="array" ref="Q59">IFERROR(('Tariff schedule'!Q70/INDEX('Indicative prices'!Q$1:Q$916,'Price comparisons'!$I$7+$H59))-1,0)</f>
        <v>0</v>
      </c>
      <c r="R59" s="219" cm="1">
        <f t="array" ref="R59">IFERROR(('Tariff schedule'!R70/INDEX('Indicative prices'!R$1:R$916,'Price comparisons'!$I$7+$H59))-1,0)</f>
        <v>0</v>
      </c>
      <c r="S59" s="219" cm="1">
        <f t="array" ref="S59">IFERROR(('Tariff schedule'!S70/INDEX('Indicative prices'!S$1:S$916,'Price comparisons'!$I$7+$H59))-1,0)</f>
        <v>0</v>
      </c>
      <c r="T59" s="219" cm="1">
        <f t="array" ref="T59">IFERROR(('Tariff schedule'!T70/INDEX('Indicative prices'!T$1:T$916,'Price comparisons'!$I$7+$H59))-1,0)</f>
        <v>0</v>
      </c>
      <c r="U59" s="219" cm="1">
        <f t="array" ref="U59">IFERROR(('Tariff schedule'!U70/INDEX('Indicative prices'!U$1:U$916,'Price comparisons'!$I$7+$H59))-1,0)</f>
        <v>0</v>
      </c>
      <c r="V59" s="219" cm="1">
        <f t="array" ref="V59">IFERROR(('Tariff schedule'!V70/INDEX('Indicative prices'!V$1:V$916,'Price comparisons'!$I$7+$H59))-1,0)</f>
        <v>0</v>
      </c>
      <c r="W59" s="219" cm="1">
        <f t="array" ref="W59">IFERROR(('Tariff schedule'!W70/INDEX('Indicative prices'!W$1:W$916,'Price comparisons'!$I$7+$H59))-1,0)</f>
        <v>0</v>
      </c>
      <c r="X59" s="219" cm="1">
        <f t="array" ref="X59">IFERROR(('Tariff schedule'!X70/INDEX('Indicative prices'!X$1:X$916,'Price comparisons'!$I$7+$H59))-1,0)</f>
        <v>0</v>
      </c>
      <c r="Y59" s="219" cm="1">
        <f t="array" ref="Y59">IFERROR(('Tariff schedule'!Y70/INDEX('Indicative prices'!Y$1:Y$916,'Price comparisons'!$I$7+$H59))-1,0)</f>
        <v>0</v>
      </c>
      <c r="Z59" s="219" cm="1">
        <f t="array" ref="Z59">IFERROR(('Tariff schedule'!Z70/INDEX('Indicative prices'!Z$1:Z$916,'Price comparisons'!$I$7+$H59))-1,0)</f>
        <v>0</v>
      </c>
      <c r="AA59" s="219" cm="1">
        <f t="array" ref="AA59">IFERROR(('Tariff schedule'!AA70/INDEX('Indicative prices'!AA$1:AA$916,'Price comparisons'!$I$7+$H59))-1,0)</f>
        <v>0</v>
      </c>
      <c r="AB59" s="219" cm="1">
        <f t="array" ref="AB59">IFERROR(('Tariff schedule'!AB70/INDEX('Indicative prices'!AB$1:AB$916,'Price comparisons'!$I$7+$H59))-1,0)</f>
        <v>0</v>
      </c>
      <c r="AC59" s="220"/>
      <c r="AD59" s="19"/>
      <c r="AE59" s="19"/>
      <c r="AF59" s="19"/>
      <c r="AG59" s="19"/>
    </row>
    <row r="60" spans="1:33" hidden="1" outlineLevel="2" x14ac:dyDescent="0.2">
      <c r="A60" s="19"/>
      <c r="B60" s="19"/>
      <c r="C60" s="506">
        <f>Qty!C60</f>
        <v>0</v>
      </c>
      <c r="D60" s="505">
        <f>Qty!D60</f>
        <v>0</v>
      </c>
      <c r="E60" s="505">
        <f>Qty!E60</f>
        <v>0</v>
      </c>
      <c r="F60" s="505">
        <f>Qty!F60</f>
        <v>0</v>
      </c>
      <c r="G60" s="505">
        <f>Qty!G60</f>
        <v>0</v>
      </c>
      <c r="H60" s="333">
        <v>52</v>
      </c>
      <c r="I60" s="219" cm="1">
        <f t="array" ref="I60">IFERROR(('Tariff schedule'!I71/INDEX('Indicative prices'!I$1:I$916,'Price comparisons'!$I$7+$H60))-1,0)</f>
        <v>0</v>
      </c>
      <c r="J60" s="219" cm="1">
        <f t="array" ref="J60">IFERROR(('Tariff schedule'!J71/INDEX('Indicative prices'!J$1:J$916,'Price comparisons'!$I$7+$H60))-1,0)</f>
        <v>0</v>
      </c>
      <c r="K60" s="219" cm="1">
        <f t="array" ref="K60">IFERROR(('Tariff schedule'!K71/INDEX('Indicative prices'!K$1:K$916,'Price comparisons'!$I$7+$H60))-1,0)</f>
        <v>0</v>
      </c>
      <c r="L60" s="219" cm="1">
        <f t="array" ref="L60">IFERROR(('Tariff schedule'!L71/INDEX('Indicative prices'!L$1:L$916,'Price comparisons'!$I$7+$H60))-1,0)</f>
        <v>0</v>
      </c>
      <c r="M60" s="219" cm="1">
        <f t="array" ref="M60">IFERROR(('Tariff schedule'!M71/INDEX('Indicative prices'!M$1:M$916,'Price comparisons'!$I$7+$H60))-1,0)</f>
        <v>0</v>
      </c>
      <c r="N60" s="219" cm="1">
        <f t="array" ref="N60">IFERROR(('Tariff schedule'!N71/INDEX('Indicative prices'!N$1:N$916,'Price comparisons'!$I$7+$H60))-1,0)</f>
        <v>0</v>
      </c>
      <c r="O60" s="219" cm="1">
        <f t="array" ref="O60">IFERROR(('Tariff schedule'!O71/INDEX('Indicative prices'!O$1:O$916,'Price comparisons'!$I$7+$H60))-1,0)</f>
        <v>0</v>
      </c>
      <c r="P60" s="219" cm="1">
        <f t="array" ref="P60">IFERROR(('Tariff schedule'!P71/INDEX('Indicative prices'!P$1:P$916,'Price comparisons'!$I$7+$H60))-1,0)</f>
        <v>0</v>
      </c>
      <c r="Q60" s="219" cm="1">
        <f t="array" ref="Q60">IFERROR(('Tariff schedule'!Q71/INDEX('Indicative prices'!Q$1:Q$916,'Price comparisons'!$I$7+$H60))-1,0)</f>
        <v>0</v>
      </c>
      <c r="R60" s="219" cm="1">
        <f t="array" ref="R60">IFERROR(('Tariff schedule'!R71/INDEX('Indicative prices'!R$1:R$916,'Price comparisons'!$I$7+$H60))-1,0)</f>
        <v>0</v>
      </c>
      <c r="S60" s="219" cm="1">
        <f t="array" ref="S60">IFERROR(('Tariff schedule'!S71/INDEX('Indicative prices'!S$1:S$916,'Price comparisons'!$I$7+$H60))-1,0)</f>
        <v>0</v>
      </c>
      <c r="T60" s="219" cm="1">
        <f t="array" ref="T60">IFERROR(('Tariff schedule'!T71/INDEX('Indicative prices'!T$1:T$916,'Price comparisons'!$I$7+$H60))-1,0)</f>
        <v>0</v>
      </c>
      <c r="U60" s="219" cm="1">
        <f t="array" ref="U60">IFERROR(('Tariff schedule'!U71/INDEX('Indicative prices'!U$1:U$916,'Price comparisons'!$I$7+$H60))-1,0)</f>
        <v>0</v>
      </c>
      <c r="V60" s="219" cm="1">
        <f t="array" ref="V60">IFERROR(('Tariff schedule'!V71/INDEX('Indicative prices'!V$1:V$916,'Price comparisons'!$I$7+$H60))-1,0)</f>
        <v>0</v>
      </c>
      <c r="W60" s="219" cm="1">
        <f t="array" ref="W60">IFERROR(('Tariff schedule'!W71/INDEX('Indicative prices'!W$1:W$916,'Price comparisons'!$I$7+$H60))-1,0)</f>
        <v>0</v>
      </c>
      <c r="X60" s="219" cm="1">
        <f t="array" ref="X60">IFERROR(('Tariff schedule'!X71/INDEX('Indicative prices'!X$1:X$916,'Price comparisons'!$I$7+$H60))-1,0)</f>
        <v>0</v>
      </c>
      <c r="Y60" s="219" cm="1">
        <f t="array" ref="Y60">IFERROR(('Tariff schedule'!Y71/INDEX('Indicative prices'!Y$1:Y$916,'Price comparisons'!$I$7+$H60))-1,0)</f>
        <v>0</v>
      </c>
      <c r="Z60" s="219" cm="1">
        <f t="array" ref="Z60">IFERROR(('Tariff schedule'!Z71/INDEX('Indicative prices'!Z$1:Z$916,'Price comparisons'!$I$7+$H60))-1,0)</f>
        <v>0</v>
      </c>
      <c r="AA60" s="219" cm="1">
        <f t="array" ref="AA60">IFERROR(('Tariff schedule'!AA71/INDEX('Indicative prices'!AA$1:AA$916,'Price comparisons'!$I$7+$H60))-1,0)</f>
        <v>0</v>
      </c>
      <c r="AB60" s="219" cm="1">
        <f t="array" ref="AB60">IFERROR(('Tariff schedule'!AB71/INDEX('Indicative prices'!AB$1:AB$916,'Price comparisons'!$I$7+$H60))-1,0)</f>
        <v>0</v>
      </c>
      <c r="AC60" s="220"/>
      <c r="AD60" s="19"/>
      <c r="AE60" s="19"/>
      <c r="AF60" s="19"/>
      <c r="AG60" s="19"/>
    </row>
    <row r="61" spans="1:33" hidden="1" outlineLevel="2" x14ac:dyDescent="0.2">
      <c r="A61" s="19"/>
      <c r="B61" s="19"/>
      <c r="C61" s="506">
        <f>Qty!C61</f>
        <v>0</v>
      </c>
      <c r="D61" s="505">
        <f>Qty!D61</f>
        <v>0</v>
      </c>
      <c r="E61" s="505">
        <f>Qty!E61</f>
        <v>0</v>
      </c>
      <c r="F61" s="505">
        <f>Qty!F61</f>
        <v>0</v>
      </c>
      <c r="G61" s="505">
        <f>Qty!G61</f>
        <v>0</v>
      </c>
      <c r="H61" s="333">
        <v>53</v>
      </c>
      <c r="I61" s="219" cm="1">
        <f t="array" ref="I61">IFERROR(('Tariff schedule'!I72/INDEX('Indicative prices'!I$1:I$916,'Price comparisons'!$I$7+$H61))-1,0)</f>
        <v>0</v>
      </c>
      <c r="J61" s="219" cm="1">
        <f t="array" ref="J61">IFERROR(('Tariff schedule'!J72/INDEX('Indicative prices'!J$1:J$916,'Price comparisons'!$I$7+$H61))-1,0)</f>
        <v>0</v>
      </c>
      <c r="K61" s="219" cm="1">
        <f t="array" ref="K61">IFERROR(('Tariff schedule'!K72/INDEX('Indicative prices'!K$1:K$916,'Price comparisons'!$I$7+$H61))-1,0)</f>
        <v>0</v>
      </c>
      <c r="L61" s="219" cm="1">
        <f t="array" ref="L61">IFERROR(('Tariff schedule'!L72/INDEX('Indicative prices'!L$1:L$916,'Price comparisons'!$I$7+$H61))-1,0)</f>
        <v>0</v>
      </c>
      <c r="M61" s="219" cm="1">
        <f t="array" ref="M61">IFERROR(('Tariff schedule'!M72/INDEX('Indicative prices'!M$1:M$916,'Price comparisons'!$I$7+$H61))-1,0)</f>
        <v>0</v>
      </c>
      <c r="N61" s="219" cm="1">
        <f t="array" ref="N61">IFERROR(('Tariff schedule'!N72/INDEX('Indicative prices'!N$1:N$916,'Price comparisons'!$I$7+$H61))-1,0)</f>
        <v>0</v>
      </c>
      <c r="O61" s="219" cm="1">
        <f t="array" ref="O61">IFERROR(('Tariff schedule'!O72/INDEX('Indicative prices'!O$1:O$916,'Price comparisons'!$I$7+$H61))-1,0)</f>
        <v>0</v>
      </c>
      <c r="P61" s="219" cm="1">
        <f t="array" ref="P61">IFERROR(('Tariff schedule'!P72/INDEX('Indicative prices'!P$1:P$916,'Price comparisons'!$I$7+$H61))-1,0)</f>
        <v>0</v>
      </c>
      <c r="Q61" s="219" cm="1">
        <f t="array" ref="Q61">IFERROR(('Tariff schedule'!Q72/INDEX('Indicative prices'!Q$1:Q$916,'Price comparisons'!$I$7+$H61))-1,0)</f>
        <v>0</v>
      </c>
      <c r="R61" s="219" cm="1">
        <f t="array" ref="R61">IFERROR(('Tariff schedule'!R72/INDEX('Indicative prices'!R$1:R$916,'Price comparisons'!$I$7+$H61))-1,0)</f>
        <v>0</v>
      </c>
      <c r="S61" s="219" cm="1">
        <f t="array" ref="S61">IFERROR(('Tariff schedule'!S72/INDEX('Indicative prices'!S$1:S$916,'Price comparisons'!$I$7+$H61))-1,0)</f>
        <v>0</v>
      </c>
      <c r="T61" s="219" cm="1">
        <f t="array" ref="T61">IFERROR(('Tariff schedule'!T72/INDEX('Indicative prices'!T$1:T$916,'Price comparisons'!$I$7+$H61))-1,0)</f>
        <v>0</v>
      </c>
      <c r="U61" s="219" cm="1">
        <f t="array" ref="U61">IFERROR(('Tariff schedule'!U72/INDEX('Indicative prices'!U$1:U$916,'Price comparisons'!$I$7+$H61))-1,0)</f>
        <v>0</v>
      </c>
      <c r="V61" s="219" cm="1">
        <f t="array" ref="V61">IFERROR(('Tariff schedule'!V72/INDEX('Indicative prices'!V$1:V$916,'Price comparisons'!$I$7+$H61))-1,0)</f>
        <v>0</v>
      </c>
      <c r="W61" s="219" cm="1">
        <f t="array" ref="W61">IFERROR(('Tariff schedule'!W72/INDEX('Indicative prices'!W$1:W$916,'Price comparisons'!$I$7+$H61))-1,0)</f>
        <v>0</v>
      </c>
      <c r="X61" s="219" cm="1">
        <f t="array" ref="X61">IFERROR(('Tariff schedule'!X72/INDEX('Indicative prices'!X$1:X$916,'Price comparisons'!$I$7+$H61))-1,0)</f>
        <v>0</v>
      </c>
      <c r="Y61" s="219" cm="1">
        <f t="array" ref="Y61">IFERROR(('Tariff schedule'!Y72/INDEX('Indicative prices'!Y$1:Y$916,'Price comparisons'!$I$7+$H61))-1,0)</f>
        <v>0</v>
      </c>
      <c r="Z61" s="219" cm="1">
        <f t="array" ref="Z61">IFERROR(('Tariff schedule'!Z72/INDEX('Indicative prices'!Z$1:Z$916,'Price comparisons'!$I$7+$H61))-1,0)</f>
        <v>0</v>
      </c>
      <c r="AA61" s="219" cm="1">
        <f t="array" ref="AA61">IFERROR(('Tariff schedule'!AA72/INDEX('Indicative prices'!AA$1:AA$916,'Price comparisons'!$I$7+$H61))-1,0)</f>
        <v>0</v>
      </c>
      <c r="AB61" s="219" cm="1">
        <f t="array" ref="AB61">IFERROR(('Tariff schedule'!AB72/INDEX('Indicative prices'!AB$1:AB$916,'Price comparisons'!$I$7+$H61))-1,0)</f>
        <v>0</v>
      </c>
      <c r="AC61" s="220"/>
      <c r="AD61" s="19"/>
      <c r="AE61" s="19"/>
      <c r="AF61" s="19"/>
      <c r="AG61" s="19"/>
    </row>
    <row r="62" spans="1:33" hidden="1" outlineLevel="2" x14ac:dyDescent="0.2">
      <c r="A62" s="19"/>
      <c r="B62" s="19"/>
      <c r="C62" s="506">
        <f>Qty!C62</f>
        <v>0</v>
      </c>
      <c r="D62" s="505">
        <f>Qty!D62</f>
        <v>0</v>
      </c>
      <c r="E62" s="505">
        <f>Qty!E62</f>
        <v>0</v>
      </c>
      <c r="F62" s="505">
        <f>Qty!F62</f>
        <v>0</v>
      </c>
      <c r="G62" s="505">
        <f>Qty!G62</f>
        <v>0</v>
      </c>
      <c r="H62" s="333">
        <v>54</v>
      </c>
      <c r="I62" s="219" cm="1">
        <f t="array" ref="I62">IFERROR(('Tariff schedule'!I73/INDEX('Indicative prices'!I$1:I$916,'Price comparisons'!$I$7+$H62))-1,0)</f>
        <v>0</v>
      </c>
      <c r="J62" s="219" cm="1">
        <f t="array" ref="J62">IFERROR(('Tariff schedule'!J73/INDEX('Indicative prices'!J$1:J$916,'Price comparisons'!$I$7+$H62))-1,0)</f>
        <v>0</v>
      </c>
      <c r="K62" s="219" cm="1">
        <f t="array" ref="K62">IFERROR(('Tariff schedule'!K73/INDEX('Indicative prices'!K$1:K$916,'Price comparisons'!$I$7+$H62))-1,0)</f>
        <v>0</v>
      </c>
      <c r="L62" s="219" cm="1">
        <f t="array" ref="L62">IFERROR(('Tariff schedule'!L73/INDEX('Indicative prices'!L$1:L$916,'Price comparisons'!$I$7+$H62))-1,0)</f>
        <v>0</v>
      </c>
      <c r="M62" s="219" cm="1">
        <f t="array" ref="M62">IFERROR(('Tariff schedule'!M73/INDEX('Indicative prices'!M$1:M$916,'Price comparisons'!$I$7+$H62))-1,0)</f>
        <v>0</v>
      </c>
      <c r="N62" s="219" cm="1">
        <f t="array" ref="N62">IFERROR(('Tariff schedule'!N73/INDEX('Indicative prices'!N$1:N$916,'Price comparisons'!$I$7+$H62))-1,0)</f>
        <v>0</v>
      </c>
      <c r="O62" s="219" cm="1">
        <f t="array" ref="O62">IFERROR(('Tariff schedule'!O73/INDEX('Indicative prices'!O$1:O$916,'Price comparisons'!$I$7+$H62))-1,0)</f>
        <v>0</v>
      </c>
      <c r="P62" s="219" cm="1">
        <f t="array" ref="P62">IFERROR(('Tariff schedule'!P73/INDEX('Indicative prices'!P$1:P$916,'Price comparisons'!$I$7+$H62))-1,0)</f>
        <v>0</v>
      </c>
      <c r="Q62" s="219" cm="1">
        <f t="array" ref="Q62">IFERROR(('Tariff schedule'!Q73/INDEX('Indicative prices'!Q$1:Q$916,'Price comparisons'!$I$7+$H62))-1,0)</f>
        <v>0</v>
      </c>
      <c r="R62" s="219" cm="1">
        <f t="array" ref="R62">IFERROR(('Tariff schedule'!R73/INDEX('Indicative prices'!R$1:R$916,'Price comparisons'!$I$7+$H62))-1,0)</f>
        <v>0</v>
      </c>
      <c r="S62" s="219" cm="1">
        <f t="array" ref="S62">IFERROR(('Tariff schedule'!S73/INDEX('Indicative prices'!S$1:S$916,'Price comparisons'!$I$7+$H62))-1,0)</f>
        <v>0</v>
      </c>
      <c r="T62" s="219" cm="1">
        <f t="array" ref="T62">IFERROR(('Tariff schedule'!T73/INDEX('Indicative prices'!T$1:T$916,'Price comparisons'!$I$7+$H62))-1,0)</f>
        <v>0</v>
      </c>
      <c r="U62" s="219" cm="1">
        <f t="array" ref="U62">IFERROR(('Tariff schedule'!U73/INDEX('Indicative prices'!U$1:U$916,'Price comparisons'!$I$7+$H62))-1,0)</f>
        <v>0</v>
      </c>
      <c r="V62" s="219" cm="1">
        <f t="array" ref="V62">IFERROR(('Tariff schedule'!V73/INDEX('Indicative prices'!V$1:V$916,'Price comparisons'!$I$7+$H62))-1,0)</f>
        <v>0</v>
      </c>
      <c r="W62" s="219" cm="1">
        <f t="array" ref="W62">IFERROR(('Tariff schedule'!W73/INDEX('Indicative prices'!W$1:W$916,'Price comparisons'!$I$7+$H62))-1,0)</f>
        <v>0</v>
      </c>
      <c r="X62" s="219" cm="1">
        <f t="array" ref="X62">IFERROR(('Tariff schedule'!X73/INDEX('Indicative prices'!X$1:X$916,'Price comparisons'!$I$7+$H62))-1,0)</f>
        <v>0</v>
      </c>
      <c r="Y62" s="219" cm="1">
        <f t="array" ref="Y62">IFERROR(('Tariff schedule'!Y73/INDEX('Indicative prices'!Y$1:Y$916,'Price comparisons'!$I$7+$H62))-1,0)</f>
        <v>0</v>
      </c>
      <c r="Z62" s="219" cm="1">
        <f t="array" ref="Z62">IFERROR(('Tariff schedule'!Z73/INDEX('Indicative prices'!Z$1:Z$916,'Price comparisons'!$I$7+$H62))-1,0)</f>
        <v>0</v>
      </c>
      <c r="AA62" s="219" cm="1">
        <f t="array" ref="AA62">IFERROR(('Tariff schedule'!AA73/INDEX('Indicative prices'!AA$1:AA$916,'Price comparisons'!$I$7+$H62))-1,0)</f>
        <v>0</v>
      </c>
      <c r="AB62" s="219" cm="1">
        <f t="array" ref="AB62">IFERROR(('Tariff schedule'!AB73/INDEX('Indicative prices'!AB$1:AB$916,'Price comparisons'!$I$7+$H62))-1,0)</f>
        <v>0</v>
      </c>
      <c r="AC62" s="220"/>
      <c r="AD62" s="19"/>
      <c r="AE62" s="19"/>
      <c r="AF62" s="19"/>
      <c r="AG62" s="19"/>
    </row>
    <row r="63" spans="1:33" hidden="1" outlineLevel="2" x14ac:dyDescent="0.2">
      <c r="A63" s="19"/>
      <c r="B63" s="19"/>
      <c r="C63" s="506">
        <f>Qty!C63</f>
        <v>0</v>
      </c>
      <c r="D63" s="505">
        <f>Qty!D63</f>
        <v>0</v>
      </c>
      <c r="E63" s="505">
        <f>Qty!E63</f>
        <v>0</v>
      </c>
      <c r="F63" s="505">
        <f>Qty!F63</f>
        <v>0</v>
      </c>
      <c r="G63" s="505">
        <f>Qty!G63</f>
        <v>0</v>
      </c>
      <c r="H63" s="333">
        <v>55</v>
      </c>
      <c r="I63" s="219" cm="1">
        <f t="array" ref="I63">IFERROR(('Tariff schedule'!I74/INDEX('Indicative prices'!I$1:I$916,'Price comparisons'!$I$7+$H63))-1,0)</f>
        <v>0</v>
      </c>
      <c r="J63" s="219" cm="1">
        <f t="array" ref="J63">IFERROR(('Tariff schedule'!J74/INDEX('Indicative prices'!J$1:J$916,'Price comparisons'!$I$7+$H63))-1,0)</f>
        <v>0</v>
      </c>
      <c r="K63" s="219" cm="1">
        <f t="array" ref="K63">IFERROR(('Tariff schedule'!K74/INDEX('Indicative prices'!K$1:K$916,'Price comparisons'!$I$7+$H63))-1,0)</f>
        <v>0</v>
      </c>
      <c r="L63" s="219" cm="1">
        <f t="array" ref="L63">IFERROR(('Tariff schedule'!L74/INDEX('Indicative prices'!L$1:L$916,'Price comparisons'!$I$7+$H63))-1,0)</f>
        <v>0</v>
      </c>
      <c r="M63" s="219" cm="1">
        <f t="array" ref="M63">IFERROR(('Tariff schedule'!M74/INDEX('Indicative prices'!M$1:M$916,'Price comparisons'!$I$7+$H63))-1,0)</f>
        <v>0</v>
      </c>
      <c r="N63" s="219" cm="1">
        <f t="array" ref="N63">IFERROR(('Tariff schedule'!N74/INDEX('Indicative prices'!N$1:N$916,'Price comparisons'!$I$7+$H63))-1,0)</f>
        <v>0</v>
      </c>
      <c r="O63" s="219" cm="1">
        <f t="array" ref="O63">IFERROR(('Tariff schedule'!O74/INDEX('Indicative prices'!O$1:O$916,'Price comparisons'!$I$7+$H63))-1,0)</f>
        <v>0</v>
      </c>
      <c r="P63" s="219" cm="1">
        <f t="array" ref="P63">IFERROR(('Tariff schedule'!P74/INDEX('Indicative prices'!P$1:P$916,'Price comparisons'!$I$7+$H63))-1,0)</f>
        <v>0</v>
      </c>
      <c r="Q63" s="219" cm="1">
        <f t="array" ref="Q63">IFERROR(('Tariff schedule'!Q74/INDEX('Indicative prices'!Q$1:Q$916,'Price comparisons'!$I$7+$H63))-1,0)</f>
        <v>0</v>
      </c>
      <c r="R63" s="219" cm="1">
        <f t="array" ref="R63">IFERROR(('Tariff schedule'!R74/INDEX('Indicative prices'!R$1:R$916,'Price comparisons'!$I$7+$H63))-1,0)</f>
        <v>0</v>
      </c>
      <c r="S63" s="219" cm="1">
        <f t="array" ref="S63">IFERROR(('Tariff schedule'!S74/INDEX('Indicative prices'!S$1:S$916,'Price comparisons'!$I$7+$H63))-1,0)</f>
        <v>0</v>
      </c>
      <c r="T63" s="219" cm="1">
        <f t="array" ref="T63">IFERROR(('Tariff schedule'!T74/INDEX('Indicative prices'!T$1:T$916,'Price comparisons'!$I$7+$H63))-1,0)</f>
        <v>0</v>
      </c>
      <c r="U63" s="219" cm="1">
        <f t="array" ref="U63">IFERROR(('Tariff schedule'!U74/INDEX('Indicative prices'!U$1:U$916,'Price comparisons'!$I$7+$H63))-1,0)</f>
        <v>0</v>
      </c>
      <c r="V63" s="219" cm="1">
        <f t="array" ref="V63">IFERROR(('Tariff schedule'!V74/INDEX('Indicative prices'!V$1:V$916,'Price comparisons'!$I$7+$H63))-1,0)</f>
        <v>0</v>
      </c>
      <c r="W63" s="219" cm="1">
        <f t="array" ref="W63">IFERROR(('Tariff schedule'!W74/INDEX('Indicative prices'!W$1:W$916,'Price comparisons'!$I$7+$H63))-1,0)</f>
        <v>0</v>
      </c>
      <c r="X63" s="219" cm="1">
        <f t="array" ref="X63">IFERROR(('Tariff schedule'!X74/INDEX('Indicative prices'!X$1:X$916,'Price comparisons'!$I$7+$H63))-1,0)</f>
        <v>0</v>
      </c>
      <c r="Y63" s="219" cm="1">
        <f t="array" ref="Y63">IFERROR(('Tariff schedule'!Y74/INDEX('Indicative prices'!Y$1:Y$916,'Price comparisons'!$I$7+$H63))-1,0)</f>
        <v>0</v>
      </c>
      <c r="Z63" s="219" cm="1">
        <f t="array" ref="Z63">IFERROR(('Tariff schedule'!Z74/INDEX('Indicative prices'!Z$1:Z$916,'Price comparisons'!$I$7+$H63))-1,0)</f>
        <v>0</v>
      </c>
      <c r="AA63" s="219" cm="1">
        <f t="array" ref="AA63">IFERROR(('Tariff schedule'!AA74/INDEX('Indicative prices'!AA$1:AA$916,'Price comparisons'!$I$7+$H63))-1,0)</f>
        <v>0</v>
      </c>
      <c r="AB63" s="219" cm="1">
        <f t="array" ref="AB63">IFERROR(('Tariff schedule'!AB74/INDEX('Indicative prices'!AB$1:AB$916,'Price comparisons'!$I$7+$H63))-1,0)</f>
        <v>0</v>
      </c>
      <c r="AC63" s="220"/>
      <c r="AD63" s="19"/>
      <c r="AE63" s="19"/>
      <c r="AF63" s="19"/>
      <c r="AG63" s="19"/>
    </row>
    <row r="64" spans="1:33" hidden="1" outlineLevel="2" x14ac:dyDescent="0.2">
      <c r="A64" s="19"/>
      <c r="B64" s="19"/>
      <c r="C64" s="506">
        <f>Qty!C64</f>
        <v>0</v>
      </c>
      <c r="D64" s="505">
        <f>Qty!D64</f>
        <v>0</v>
      </c>
      <c r="E64" s="505">
        <f>Qty!E64</f>
        <v>0</v>
      </c>
      <c r="F64" s="505">
        <f>Qty!F64</f>
        <v>0</v>
      </c>
      <c r="G64" s="505">
        <f>Qty!G64</f>
        <v>0</v>
      </c>
      <c r="H64" s="333">
        <v>56</v>
      </c>
      <c r="I64" s="219" cm="1">
        <f t="array" ref="I64">IFERROR(('Tariff schedule'!I75/INDEX('Indicative prices'!I$1:I$916,'Price comparisons'!$I$7+$H64))-1,0)</f>
        <v>0</v>
      </c>
      <c r="J64" s="219" cm="1">
        <f t="array" ref="J64">IFERROR(('Tariff schedule'!J75/INDEX('Indicative prices'!J$1:J$916,'Price comparisons'!$I$7+$H64))-1,0)</f>
        <v>0</v>
      </c>
      <c r="K64" s="219" cm="1">
        <f t="array" ref="K64">IFERROR(('Tariff schedule'!K75/INDEX('Indicative prices'!K$1:K$916,'Price comparisons'!$I$7+$H64))-1,0)</f>
        <v>0</v>
      </c>
      <c r="L64" s="219" cm="1">
        <f t="array" ref="L64">IFERROR(('Tariff schedule'!L75/INDEX('Indicative prices'!L$1:L$916,'Price comparisons'!$I$7+$H64))-1,0)</f>
        <v>0</v>
      </c>
      <c r="M64" s="219" cm="1">
        <f t="array" ref="M64">IFERROR(('Tariff schedule'!M75/INDEX('Indicative prices'!M$1:M$916,'Price comparisons'!$I$7+$H64))-1,0)</f>
        <v>0</v>
      </c>
      <c r="N64" s="219" cm="1">
        <f t="array" ref="N64">IFERROR(('Tariff schedule'!N75/INDEX('Indicative prices'!N$1:N$916,'Price comparisons'!$I$7+$H64))-1,0)</f>
        <v>0</v>
      </c>
      <c r="O64" s="219" cm="1">
        <f t="array" ref="O64">IFERROR(('Tariff schedule'!O75/INDEX('Indicative prices'!O$1:O$916,'Price comparisons'!$I$7+$H64))-1,0)</f>
        <v>0</v>
      </c>
      <c r="P64" s="219" cm="1">
        <f t="array" ref="P64">IFERROR(('Tariff schedule'!P75/INDEX('Indicative prices'!P$1:P$916,'Price comparisons'!$I$7+$H64))-1,0)</f>
        <v>0</v>
      </c>
      <c r="Q64" s="219" cm="1">
        <f t="array" ref="Q64">IFERROR(('Tariff schedule'!Q75/INDEX('Indicative prices'!Q$1:Q$916,'Price comparisons'!$I$7+$H64))-1,0)</f>
        <v>0</v>
      </c>
      <c r="R64" s="219" cm="1">
        <f t="array" ref="R64">IFERROR(('Tariff schedule'!R75/INDEX('Indicative prices'!R$1:R$916,'Price comparisons'!$I$7+$H64))-1,0)</f>
        <v>0</v>
      </c>
      <c r="S64" s="219" cm="1">
        <f t="array" ref="S64">IFERROR(('Tariff schedule'!S75/INDEX('Indicative prices'!S$1:S$916,'Price comparisons'!$I$7+$H64))-1,0)</f>
        <v>0</v>
      </c>
      <c r="T64" s="219" cm="1">
        <f t="array" ref="T64">IFERROR(('Tariff schedule'!T75/INDEX('Indicative prices'!T$1:T$916,'Price comparisons'!$I$7+$H64))-1,0)</f>
        <v>0</v>
      </c>
      <c r="U64" s="219" cm="1">
        <f t="array" ref="U64">IFERROR(('Tariff schedule'!U75/INDEX('Indicative prices'!U$1:U$916,'Price comparisons'!$I$7+$H64))-1,0)</f>
        <v>0</v>
      </c>
      <c r="V64" s="219" cm="1">
        <f t="array" ref="V64">IFERROR(('Tariff schedule'!V75/INDEX('Indicative prices'!V$1:V$916,'Price comparisons'!$I$7+$H64))-1,0)</f>
        <v>0</v>
      </c>
      <c r="W64" s="219" cm="1">
        <f t="array" ref="W64">IFERROR(('Tariff schedule'!W75/INDEX('Indicative prices'!W$1:W$916,'Price comparisons'!$I$7+$H64))-1,0)</f>
        <v>0</v>
      </c>
      <c r="X64" s="219" cm="1">
        <f t="array" ref="X64">IFERROR(('Tariff schedule'!X75/INDEX('Indicative prices'!X$1:X$916,'Price comparisons'!$I$7+$H64))-1,0)</f>
        <v>0</v>
      </c>
      <c r="Y64" s="219" cm="1">
        <f t="array" ref="Y64">IFERROR(('Tariff schedule'!Y75/INDEX('Indicative prices'!Y$1:Y$916,'Price comparisons'!$I$7+$H64))-1,0)</f>
        <v>0</v>
      </c>
      <c r="Z64" s="219" cm="1">
        <f t="array" ref="Z64">IFERROR(('Tariff schedule'!Z75/INDEX('Indicative prices'!Z$1:Z$916,'Price comparisons'!$I$7+$H64))-1,0)</f>
        <v>0</v>
      </c>
      <c r="AA64" s="219" cm="1">
        <f t="array" ref="AA64">IFERROR(('Tariff schedule'!AA75/INDEX('Indicative prices'!AA$1:AA$916,'Price comparisons'!$I$7+$H64))-1,0)</f>
        <v>0</v>
      </c>
      <c r="AB64" s="219" cm="1">
        <f t="array" ref="AB64">IFERROR(('Tariff schedule'!AB75/INDEX('Indicative prices'!AB$1:AB$916,'Price comparisons'!$I$7+$H64))-1,0)</f>
        <v>0</v>
      </c>
      <c r="AC64" s="220"/>
      <c r="AD64" s="19"/>
      <c r="AE64" s="19"/>
      <c r="AF64" s="19"/>
      <c r="AG64" s="19"/>
    </row>
    <row r="65" spans="1:33" hidden="1" outlineLevel="2" x14ac:dyDescent="0.2">
      <c r="A65" s="19"/>
      <c r="B65" s="19"/>
      <c r="C65" s="506">
        <f>Qty!C65</f>
        <v>0</v>
      </c>
      <c r="D65" s="505">
        <f>Qty!D65</f>
        <v>0</v>
      </c>
      <c r="E65" s="505">
        <f>Qty!E65</f>
        <v>0</v>
      </c>
      <c r="F65" s="505">
        <f>Qty!F65</f>
        <v>0</v>
      </c>
      <c r="G65" s="505">
        <f>Qty!G65</f>
        <v>0</v>
      </c>
      <c r="H65" s="333">
        <v>57</v>
      </c>
      <c r="I65" s="219" cm="1">
        <f t="array" ref="I65">IFERROR(('Tariff schedule'!I76/INDEX('Indicative prices'!I$1:I$916,'Price comparisons'!$I$7+$H65))-1,0)</f>
        <v>0</v>
      </c>
      <c r="J65" s="219" cm="1">
        <f t="array" ref="J65">IFERROR(('Tariff schedule'!J76/INDEX('Indicative prices'!J$1:J$916,'Price comparisons'!$I$7+$H65))-1,0)</f>
        <v>0</v>
      </c>
      <c r="K65" s="219" cm="1">
        <f t="array" ref="K65">IFERROR(('Tariff schedule'!K76/INDEX('Indicative prices'!K$1:K$916,'Price comparisons'!$I$7+$H65))-1,0)</f>
        <v>0</v>
      </c>
      <c r="L65" s="219" cm="1">
        <f t="array" ref="L65">IFERROR(('Tariff schedule'!L76/INDEX('Indicative prices'!L$1:L$916,'Price comparisons'!$I$7+$H65))-1,0)</f>
        <v>0</v>
      </c>
      <c r="M65" s="219" cm="1">
        <f t="array" ref="M65">IFERROR(('Tariff schedule'!M76/INDEX('Indicative prices'!M$1:M$916,'Price comparisons'!$I$7+$H65))-1,0)</f>
        <v>0</v>
      </c>
      <c r="N65" s="219" cm="1">
        <f t="array" ref="N65">IFERROR(('Tariff schedule'!N76/INDEX('Indicative prices'!N$1:N$916,'Price comparisons'!$I$7+$H65))-1,0)</f>
        <v>0</v>
      </c>
      <c r="O65" s="219" cm="1">
        <f t="array" ref="O65">IFERROR(('Tariff schedule'!O76/INDEX('Indicative prices'!O$1:O$916,'Price comparisons'!$I$7+$H65))-1,0)</f>
        <v>0</v>
      </c>
      <c r="P65" s="219" cm="1">
        <f t="array" ref="P65">IFERROR(('Tariff schedule'!P76/INDEX('Indicative prices'!P$1:P$916,'Price comparisons'!$I$7+$H65))-1,0)</f>
        <v>0</v>
      </c>
      <c r="Q65" s="219" cm="1">
        <f t="array" ref="Q65">IFERROR(('Tariff schedule'!Q76/INDEX('Indicative prices'!Q$1:Q$916,'Price comparisons'!$I$7+$H65))-1,0)</f>
        <v>0</v>
      </c>
      <c r="R65" s="219" cm="1">
        <f t="array" ref="R65">IFERROR(('Tariff schedule'!R76/INDEX('Indicative prices'!R$1:R$916,'Price comparisons'!$I$7+$H65))-1,0)</f>
        <v>0</v>
      </c>
      <c r="S65" s="219" cm="1">
        <f t="array" ref="S65">IFERROR(('Tariff schedule'!S76/INDEX('Indicative prices'!S$1:S$916,'Price comparisons'!$I$7+$H65))-1,0)</f>
        <v>0</v>
      </c>
      <c r="T65" s="219" cm="1">
        <f t="array" ref="T65">IFERROR(('Tariff schedule'!T76/INDEX('Indicative prices'!T$1:T$916,'Price comparisons'!$I$7+$H65))-1,0)</f>
        <v>0</v>
      </c>
      <c r="U65" s="219" cm="1">
        <f t="array" ref="U65">IFERROR(('Tariff schedule'!U76/INDEX('Indicative prices'!U$1:U$916,'Price comparisons'!$I$7+$H65))-1,0)</f>
        <v>0</v>
      </c>
      <c r="V65" s="219" cm="1">
        <f t="array" ref="V65">IFERROR(('Tariff schedule'!V76/INDEX('Indicative prices'!V$1:V$916,'Price comparisons'!$I$7+$H65))-1,0)</f>
        <v>0</v>
      </c>
      <c r="W65" s="219" cm="1">
        <f t="array" ref="W65">IFERROR(('Tariff schedule'!W76/INDEX('Indicative prices'!W$1:W$916,'Price comparisons'!$I$7+$H65))-1,0)</f>
        <v>0</v>
      </c>
      <c r="X65" s="219" cm="1">
        <f t="array" ref="X65">IFERROR(('Tariff schedule'!X76/INDEX('Indicative prices'!X$1:X$916,'Price comparisons'!$I$7+$H65))-1,0)</f>
        <v>0</v>
      </c>
      <c r="Y65" s="219" cm="1">
        <f t="array" ref="Y65">IFERROR(('Tariff schedule'!Y76/INDEX('Indicative prices'!Y$1:Y$916,'Price comparisons'!$I$7+$H65))-1,0)</f>
        <v>0</v>
      </c>
      <c r="Z65" s="219" cm="1">
        <f t="array" ref="Z65">IFERROR(('Tariff schedule'!Z76/INDEX('Indicative prices'!Z$1:Z$916,'Price comparisons'!$I$7+$H65))-1,0)</f>
        <v>0</v>
      </c>
      <c r="AA65" s="219" cm="1">
        <f t="array" ref="AA65">IFERROR(('Tariff schedule'!AA76/INDEX('Indicative prices'!AA$1:AA$916,'Price comparisons'!$I$7+$H65))-1,0)</f>
        <v>0</v>
      </c>
      <c r="AB65" s="219" cm="1">
        <f t="array" ref="AB65">IFERROR(('Tariff schedule'!AB76/INDEX('Indicative prices'!AB$1:AB$916,'Price comparisons'!$I$7+$H65))-1,0)</f>
        <v>0</v>
      </c>
      <c r="AC65" s="220"/>
      <c r="AD65" s="19"/>
      <c r="AE65" s="19"/>
      <c r="AF65" s="19"/>
      <c r="AG65" s="19"/>
    </row>
    <row r="66" spans="1:33" hidden="1" outlineLevel="2" x14ac:dyDescent="0.2">
      <c r="A66" s="19"/>
      <c r="B66" s="19"/>
      <c r="C66" s="506">
        <f>Qty!C66</f>
        <v>0</v>
      </c>
      <c r="D66" s="505">
        <f>Qty!D66</f>
        <v>0</v>
      </c>
      <c r="E66" s="505">
        <f>Qty!E66</f>
        <v>0</v>
      </c>
      <c r="F66" s="505">
        <f>Qty!F66</f>
        <v>0</v>
      </c>
      <c r="G66" s="505">
        <f>Qty!G66</f>
        <v>0</v>
      </c>
      <c r="H66" s="333">
        <v>58</v>
      </c>
      <c r="I66" s="219" cm="1">
        <f t="array" ref="I66">IFERROR(('Tariff schedule'!I77/INDEX('Indicative prices'!I$1:I$916,'Price comparisons'!$I$7+$H66))-1,0)</f>
        <v>0</v>
      </c>
      <c r="J66" s="219" cm="1">
        <f t="array" ref="J66">IFERROR(('Tariff schedule'!J77/INDEX('Indicative prices'!J$1:J$916,'Price comparisons'!$I$7+$H66))-1,0)</f>
        <v>0</v>
      </c>
      <c r="K66" s="219" cm="1">
        <f t="array" ref="K66">IFERROR(('Tariff schedule'!K77/INDEX('Indicative prices'!K$1:K$916,'Price comparisons'!$I$7+$H66))-1,0)</f>
        <v>0</v>
      </c>
      <c r="L66" s="219" cm="1">
        <f t="array" ref="L66">IFERROR(('Tariff schedule'!L77/INDEX('Indicative prices'!L$1:L$916,'Price comparisons'!$I$7+$H66))-1,0)</f>
        <v>0</v>
      </c>
      <c r="M66" s="219" cm="1">
        <f t="array" ref="M66">IFERROR(('Tariff schedule'!M77/INDEX('Indicative prices'!M$1:M$916,'Price comparisons'!$I$7+$H66))-1,0)</f>
        <v>0</v>
      </c>
      <c r="N66" s="219" cm="1">
        <f t="array" ref="N66">IFERROR(('Tariff schedule'!N77/INDEX('Indicative prices'!N$1:N$916,'Price comparisons'!$I$7+$H66))-1,0)</f>
        <v>0</v>
      </c>
      <c r="O66" s="219" cm="1">
        <f t="array" ref="O66">IFERROR(('Tariff schedule'!O77/INDEX('Indicative prices'!O$1:O$916,'Price comparisons'!$I$7+$H66))-1,0)</f>
        <v>0</v>
      </c>
      <c r="P66" s="219" cm="1">
        <f t="array" ref="P66">IFERROR(('Tariff schedule'!P77/INDEX('Indicative prices'!P$1:P$916,'Price comparisons'!$I$7+$H66))-1,0)</f>
        <v>0</v>
      </c>
      <c r="Q66" s="219" cm="1">
        <f t="array" ref="Q66">IFERROR(('Tariff schedule'!Q77/INDEX('Indicative prices'!Q$1:Q$916,'Price comparisons'!$I$7+$H66))-1,0)</f>
        <v>0</v>
      </c>
      <c r="R66" s="219" cm="1">
        <f t="array" ref="R66">IFERROR(('Tariff schedule'!R77/INDEX('Indicative prices'!R$1:R$916,'Price comparisons'!$I$7+$H66))-1,0)</f>
        <v>0</v>
      </c>
      <c r="S66" s="219" cm="1">
        <f t="array" ref="S66">IFERROR(('Tariff schedule'!S77/INDEX('Indicative prices'!S$1:S$916,'Price comparisons'!$I$7+$H66))-1,0)</f>
        <v>0</v>
      </c>
      <c r="T66" s="219" cm="1">
        <f t="array" ref="T66">IFERROR(('Tariff schedule'!T77/INDEX('Indicative prices'!T$1:T$916,'Price comparisons'!$I$7+$H66))-1,0)</f>
        <v>0</v>
      </c>
      <c r="U66" s="219" cm="1">
        <f t="array" ref="U66">IFERROR(('Tariff schedule'!U77/INDEX('Indicative prices'!U$1:U$916,'Price comparisons'!$I$7+$H66))-1,0)</f>
        <v>0</v>
      </c>
      <c r="V66" s="219" cm="1">
        <f t="array" ref="V66">IFERROR(('Tariff schedule'!V77/INDEX('Indicative prices'!V$1:V$916,'Price comparisons'!$I$7+$H66))-1,0)</f>
        <v>0</v>
      </c>
      <c r="W66" s="219" cm="1">
        <f t="array" ref="W66">IFERROR(('Tariff schedule'!W77/INDEX('Indicative prices'!W$1:W$916,'Price comparisons'!$I$7+$H66))-1,0)</f>
        <v>0</v>
      </c>
      <c r="X66" s="219" cm="1">
        <f t="array" ref="X66">IFERROR(('Tariff schedule'!X77/INDEX('Indicative prices'!X$1:X$916,'Price comparisons'!$I$7+$H66))-1,0)</f>
        <v>0</v>
      </c>
      <c r="Y66" s="219" cm="1">
        <f t="array" ref="Y66">IFERROR(('Tariff schedule'!Y77/INDEX('Indicative prices'!Y$1:Y$916,'Price comparisons'!$I$7+$H66))-1,0)</f>
        <v>0</v>
      </c>
      <c r="Z66" s="219" cm="1">
        <f t="array" ref="Z66">IFERROR(('Tariff schedule'!Z77/INDEX('Indicative prices'!Z$1:Z$916,'Price comparisons'!$I$7+$H66))-1,0)</f>
        <v>0</v>
      </c>
      <c r="AA66" s="219" cm="1">
        <f t="array" ref="AA66">IFERROR(('Tariff schedule'!AA77/INDEX('Indicative prices'!AA$1:AA$916,'Price comparisons'!$I$7+$H66))-1,0)</f>
        <v>0</v>
      </c>
      <c r="AB66" s="219" cm="1">
        <f t="array" ref="AB66">IFERROR(('Tariff schedule'!AB77/INDEX('Indicative prices'!AB$1:AB$916,'Price comparisons'!$I$7+$H66))-1,0)</f>
        <v>0</v>
      </c>
      <c r="AC66" s="220"/>
      <c r="AD66" s="19"/>
      <c r="AE66" s="19"/>
      <c r="AF66" s="19"/>
      <c r="AG66" s="19"/>
    </row>
    <row r="67" spans="1:33" hidden="1" outlineLevel="2" x14ac:dyDescent="0.2">
      <c r="A67" s="19"/>
      <c r="B67" s="19"/>
      <c r="C67" s="506">
        <f>Qty!C67</f>
        <v>0</v>
      </c>
      <c r="D67" s="505">
        <f>Qty!D67</f>
        <v>0</v>
      </c>
      <c r="E67" s="505">
        <f>Qty!E67</f>
        <v>0</v>
      </c>
      <c r="F67" s="505">
        <f>Qty!F67</f>
        <v>0</v>
      </c>
      <c r="G67" s="505">
        <f>Qty!G67</f>
        <v>0</v>
      </c>
      <c r="H67" s="333">
        <v>59</v>
      </c>
      <c r="I67" s="219" cm="1">
        <f t="array" ref="I67">IFERROR(('Tariff schedule'!I78/INDEX('Indicative prices'!I$1:I$916,'Price comparisons'!$I$7+$H67))-1,0)</f>
        <v>0</v>
      </c>
      <c r="J67" s="219" cm="1">
        <f t="array" ref="J67">IFERROR(('Tariff schedule'!J78/INDEX('Indicative prices'!J$1:J$916,'Price comparisons'!$I$7+$H67))-1,0)</f>
        <v>0</v>
      </c>
      <c r="K67" s="219" cm="1">
        <f t="array" ref="K67">IFERROR(('Tariff schedule'!K78/INDEX('Indicative prices'!K$1:K$916,'Price comparisons'!$I$7+$H67))-1,0)</f>
        <v>0</v>
      </c>
      <c r="L67" s="219" cm="1">
        <f t="array" ref="L67">IFERROR(('Tariff schedule'!L78/INDEX('Indicative prices'!L$1:L$916,'Price comparisons'!$I$7+$H67))-1,0)</f>
        <v>0</v>
      </c>
      <c r="M67" s="219" cm="1">
        <f t="array" ref="M67">IFERROR(('Tariff schedule'!M78/INDEX('Indicative prices'!M$1:M$916,'Price comparisons'!$I$7+$H67))-1,0)</f>
        <v>0</v>
      </c>
      <c r="N67" s="219" cm="1">
        <f t="array" ref="N67">IFERROR(('Tariff schedule'!N78/INDEX('Indicative prices'!N$1:N$916,'Price comparisons'!$I$7+$H67))-1,0)</f>
        <v>0</v>
      </c>
      <c r="O67" s="219" cm="1">
        <f t="array" ref="O67">IFERROR(('Tariff schedule'!O78/INDEX('Indicative prices'!O$1:O$916,'Price comparisons'!$I$7+$H67))-1,0)</f>
        <v>0</v>
      </c>
      <c r="P67" s="219" cm="1">
        <f t="array" ref="P67">IFERROR(('Tariff schedule'!P78/INDEX('Indicative prices'!P$1:P$916,'Price comparisons'!$I$7+$H67))-1,0)</f>
        <v>0</v>
      </c>
      <c r="Q67" s="219" cm="1">
        <f t="array" ref="Q67">IFERROR(('Tariff schedule'!Q78/INDEX('Indicative prices'!Q$1:Q$916,'Price comparisons'!$I$7+$H67))-1,0)</f>
        <v>0</v>
      </c>
      <c r="R67" s="219" cm="1">
        <f t="array" ref="R67">IFERROR(('Tariff schedule'!R78/INDEX('Indicative prices'!R$1:R$916,'Price comparisons'!$I$7+$H67))-1,0)</f>
        <v>0</v>
      </c>
      <c r="S67" s="219" cm="1">
        <f t="array" ref="S67">IFERROR(('Tariff schedule'!S78/INDEX('Indicative prices'!S$1:S$916,'Price comparisons'!$I$7+$H67))-1,0)</f>
        <v>0</v>
      </c>
      <c r="T67" s="219" cm="1">
        <f t="array" ref="T67">IFERROR(('Tariff schedule'!T78/INDEX('Indicative prices'!T$1:T$916,'Price comparisons'!$I$7+$H67))-1,0)</f>
        <v>0</v>
      </c>
      <c r="U67" s="219" cm="1">
        <f t="array" ref="U67">IFERROR(('Tariff schedule'!U78/INDEX('Indicative prices'!U$1:U$916,'Price comparisons'!$I$7+$H67))-1,0)</f>
        <v>0</v>
      </c>
      <c r="V67" s="219" cm="1">
        <f t="array" ref="V67">IFERROR(('Tariff schedule'!V78/INDEX('Indicative prices'!V$1:V$916,'Price comparisons'!$I$7+$H67))-1,0)</f>
        <v>0</v>
      </c>
      <c r="W67" s="219" cm="1">
        <f t="array" ref="W67">IFERROR(('Tariff schedule'!W78/INDEX('Indicative prices'!W$1:W$916,'Price comparisons'!$I$7+$H67))-1,0)</f>
        <v>0</v>
      </c>
      <c r="X67" s="219" cm="1">
        <f t="array" ref="X67">IFERROR(('Tariff schedule'!X78/INDEX('Indicative prices'!X$1:X$916,'Price comparisons'!$I$7+$H67))-1,0)</f>
        <v>0</v>
      </c>
      <c r="Y67" s="219" cm="1">
        <f t="array" ref="Y67">IFERROR(('Tariff schedule'!Y78/INDEX('Indicative prices'!Y$1:Y$916,'Price comparisons'!$I$7+$H67))-1,0)</f>
        <v>0</v>
      </c>
      <c r="Z67" s="219" cm="1">
        <f t="array" ref="Z67">IFERROR(('Tariff schedule'!Z78/INDEX('Indicative prices'!Z$1:Z$916,'Price comparisons'!$I$7+$H67))-1,0)</f>
        <v>0</v>
      </c>
      <c r="AA67" s="219" cm="1">
        <f t="array" ref="AA67">IFERROR(('Tariff schedule'!AA78/INDEX('Indicative prices'!AA$1:AA$916,'Price comparisons'!$I$7+$H67))-1,0)</f>
        <v>0</v>
      </c>
      <c r="AB67" s="219" cm="1">
        <f t="array" ref="AB67">IFERROR(('Tariff schedule'!AB78/INDEX('Indicative prices'!AB$1:AB$916,'Price comparisons'!$I$7+$H67))-1,0)</f>
        <v>0</v>
      </c>
      <c r="AC67" s="220"/>
      <c r="AD67" s="19"/>
      <c r="AE67" s="19"/>
      <c r="AF67" s="19"/>
      <c r="AG67" s="19"/>
    </row>
    <row r="68" spans="1:33" hidden="1" outlineLevel="2" x14ac:dyDescent="0.2">
      <c r="A68" s="19"/>
      <c r="B68" s="19"/>
      <c r="C68" s="506">
        <f>Qty!C68</f>
        <v>0</v>
      </c>
      <c r="D68" s="505">
        <f>Qty!D68</f>
        <v>0</v>
      </c>
      <c r="E68" s="505">
        <f>Qty!E68</f>
        <v>0</v>
      </c>
      <c r="F68" s="505">
        <f>Qty!F68</f>
        <v>0</v>
      </c>
      <c r="G68" s="505">
        <f>Qty!G68</f>
        <v>0</v>
      </c>
      <c r="H68" s="333">
        <v>60</v>
      </c>
      <c r="I68" s="219" cm="1">
        <f t="array" ref="I68">IFERROR(('Tariff schedule'!I79/INDEX('Indicative prices'!I$1:I$916,'Price comparisons'!$I$7+$H68))-1,0)</f>
        <v>0</v>
      </c>
      <c r="J68" s="219" cm="1">
        <f t="array" ref="J68">IFERROR(('Tariff schedule'!J79/INDEX('Indicative prices'!J$1:J$916,'Price comparisons'!$I$7+$H68))-1,0)</f>
        <v>0</v>
      </c>
      <c r="K68" s="219" cm="1">
        <f t="array" ref="K68">IFERROR(('Tariff schedule'!K79/INDEX('Indicative prices'!K$1:K$916,'Price comparisons'!$I$7+$H68))-1,0)</f>
        <v>0</v>
      </c>
      <c r="L68" s="219" cm="1">
        <f t="array" ref="L68">IFERROR(('Tariff schedule'!L79/INDEX('Indicative prices'!L$1:L$916,'Price comparisons'!$I$7+$H68))-1,0)</f>
        <v>0</v>
      </c>
      <c r="M68" s="219" cm="1">
        <f t="array" ref="M68">IFERROR(('Tariff schedule'!M79/INDEX('Indicative prices'!M$1:M$916,'Price comparisons'!$I$7+$H68))-1,0)</f>
        <v>0</v>
      </c>
      <c r="N68" s="219" cm="1">
        <f t="array" ref="N68">IFERROR(('Tariff schedule'!N79/INDEX('Indicative prices'!N$1:N$916,'Price comparisons'!$I$7+$H68))-1,0)</f>
        <v>0</v>
      </c>
      <c r="O68" s="219" cm="1">
        <f t="array" ref="O68">IFERROR(('Tariff schedule'!O79/INDEX('Indicative prices'!O$1:O$916,'Price comparisons'!$I$7+$H68))-1,0)</f>
        <v>0</v>
      </c>
      <c r="P68" s="219" cm="1">
        <f t="array" ref="P68">IFERROR(('Tariff schedule'!P79/INDEX('Indicative prices'!P$1:P$916,'Price comparisons'!$I$7+$H68))-1,0)</f>
        <v>0</v>
      </c>
      <c r="Q68" s="219" cm="1">
        <f t="array" ref="Q68">IFERROR(('Tariff schedule'!Q79/INDEX('Indicative prices'!Q$1:Q$916,'Price comparisons'!$I$7+$H68))-1,0)</f>
        <v>0</v>
      </c>
      <c r="R68" s="219" cm="1">
        <f t="array" ref="R68">IFERROR(('Tariff schedule'!R79/INDEX('Indicative prices'!R$1:R$916,'Price comparisons'!$I$7+$H68))-1,0)</f>
        <v>0</v>
      </c>
      <c r="S68" s="219" cm="1">
        <f t="array" ref="S68">IFERROR(('Tariff schedule'!S79/INDEX('Indicative prices'!S$1:S$916,'Price comparisons'!$I$7+$H68))-1,0)</f>
        <v>0</v>
      </c>
      <c r="T68" s="219" cm="1">
        <f t="array" ref="T68">IFERROR(('Tariff schedule'!T79/INDEX('Indicative prices'!T$1:T$916,'Price comparisons'!$I$7+$H68))-1,0)</f>
        <v>0</v>
      </c>
      <c r="U68" s="219" cm="1">
        <f t="array" ref="U68">IFERROR(('Tariff schedule'!U79/INDEX('Indicative prices'!U$1:U$916,'Price comparisons'!$I$7+$H68))-1,0)</f>
        <v>0</v>
      </c>
      <c r="V68" s="219" cm="1">
        <f t="array" ref="V68">IFERROR(('Tariff schedule'!V79/INDEX('Indicative prices'!V$1:V$916,'Price comparisons'!$I$7+$H68))-1,0)</f>
        <v>0</v>
      </c>
      <c r="W68" s="219" cm="1">
        <f t="array" ref="W68">IFERROR(('Tariff schedule'!W79/INDEX('Indicative prices'!W$1:W$916,'Price comparisons'!$I$7+$H68))-1,0)</f>
        <v>0</v>
      </c>
      <c r="X68" s="219" cm="1">
        <f t="array" ref="X68">IFERROR(('Tariff schedule'!X79/INDEX('Indicative prices'!X$1:X$916,'Price comparisons'!$I$7+$H68))-1,0)</f>
        <v>0</v>
      </c>
      <c r="Y68" s="219" cm="1">
        <f t="array" ref="Y68">IFERROR(('Tariff schedule'!Y79/INDEX('Indicative prices'!Y$1:Y$916,'Price comparisons'!$I$7+$H68))-1,0)</f>
        <v>0</v>
      </c>
      <c r="Z68" s="219" cm="1">
        <f t="array" ref="Z68">IFERROR(('Tariff schedule'!Z79/INDEX('Indicative prices'!Z$1:Z$916,'Price comparisons'!$I$7+$H68))-1,0)</f>
        <v>0</v>
      </c>
      <c r="AA68" s="219" cm="1">
        <f t="array" ref="AA68">IFERROR(('Tariff schedule'!AA79/INDEX('Indicative prices'!AA$1:AA$916,'Price comparisons'!$I$7+$H68))-1,0)</f>
        <v>0</v>
      </c>
      <c r="AB68" s="219" cm="1">
        <f t="array" ref="AB68">IFERROR(('Tariff schedule'!AB79/INDEX('Indicative prices'!AB$1:AB$916,'Price comparisons'!$I$7+$H68))-1,0)</f>
        <v>0</v>
      </c>
      <c r="AC68" s="220"/>
      <c r="AD68" s="19"/>
      <c r="AE68" s="19"/>
      <c r="AF68" s="19"/>
      <c r="AG68" s="19"/>
    </row>
    <row r="69" spans="1:33" hidden="1" outlineLevel="2" x14ac:dyDescent="0.2">
      <c r="A69" s="19"/>
      <c r="B69" s="19"/>
      <c r="C69" s="506">
        <f>Qty!C69</f>
        <v>0</v>
      </c>
      <c r="D69" s="505">
        <f>Qty!D69</f>
        <v>0</v>
      </c>
      <c r="E69" s="505">
        <f>Qty!E69</f>
        <v>0</v>
      </c>
      <c r="F69" s="505">
        <f>Qty!F69</f>
        <v>0</v>
      </c>
      <c r="G69" s="505">
        <f>Qty!G69</f>
        <v>0</v>
      </c>
      <c r="H69" s="333">
        <v>61</v>
      </c>
      <c r="I69" s="219" cm="1">
        <f t="array" ref="I69">IFERROR(('Tariff schedule'!I80/INDEX('Indicative prices'!I$1:I$916,'Price comparisons'!$I$7+$H69))-1,0)</f>
        <v>0</v>
      </c>
      <c r="J69" s="219" cm="1">
        <f t="array" ref="J69">IFERROR(('Tariff schedule'!J80/INDEX('Indicative prices'!J$1:J$916,'Price comparisons'!$I$7+$H69))-1,0)</f>
        <v>0</v>
      </c>
      <c r="K69" s="219" cm="1">
        <f t="array" ref="K69">IFERROR(('Tariff schedule'!K80/INDEX('Indicative prices'!K$1:K$916,'Price comparisons'!$I$7+$H69))-1,0)</f>
        <v>0</v>
      </c>
      <c r="L69" s="219" cm="1">
        <f t="array" ref="L69">IFERROR(('Tariff schedule'!L80/INDEX('Indicative prices'!L$1:L$916,'Price comparisons'!$I$7+$H69))-1,0)</f>
        <v>0</v>
      </c>
      <c r="M69" s="219" cm="1">
        <f t="array" ref="M69">IFERROR(('Tariff schedule'!M80/INDEX('Indicative prices'!M$1:M$916,'Price comparisons'!$I$7+$H69))-1,0)</f>
        <v>0</v>
      </c>
      <c r="N69" s="219" cm="1">
        <f t="array" ref="N69">IFERROR(('Tariff schedule'!N80/INDEX('Indicative prices'!N$1:N$916,'Price comparisons'!$I$7+$H69))-1,0)</f>
        <v>0</v>
      </c>
      <c r="O69" s="219" cm="1">
        <f t="array" ref="O69">IFERROR(('Tariff schedule'!O80/INDEX('Indicative prices'!O$1:O$916,'Price comparisons'!$I$7+$H69))-1,0)</f>
        <v>0</v>
      </c>
      <c r="P69" s="219" cm="1">
        <f t="array" ref="P69">IFERROR(('Tariff schedule'!P80/INDEX('Indicative prices'!P$1:P$916,'Price comparisons'!$I$7+$H69))-1,0)</f>
        <v>0</v>
      </c>
      <c r="Q69" s="219" cm="1">
        <f t="array" ref="Q69">IFERROR(('Tariff schedule'!Q80/INDEX('Indicative prices'!Q$1:Q$916,'Price comparisons'!$I$7+$H69))-1,0)</f>
        <v>0</v>
      </c>
      <c r="R69" s="219" cm="1">
        <f t="array" ref="R69">IFERROR(('Tariff schedule'!R80/INDEX('Indicative prices'!R$1:R$916,'Price comparisons'!$I$7+$H69))-1,0)</f>
        <v>0</v>
      </c>
      <c r="S69" s="219" cm="1">
        <f t="array" ref="S69">IFERROR(('Tariff schedule'!S80/INDEX('Indicative prices'!S$1:S$916,'Price comparisons'!$I$7+$H69))-1,0)</f>
        <v>0</v>
      </c>
      <c r="T69" s="219" cm="1">
        <f t="array" ref="T69">IFERROR(('Tariff schedule'!T80/INDEX('Indicative prices'!T$1:T$916,'Price comparisons'!$I$7+$H69))-1,0)</f>
        <v>0</v>
      </c>
      <c r="U69" s="219" cm="1">
        <f t="array" ref="U69">IFERROR(('Tariff schedule'!U80/INDEX('Indicative prices'!U$1:U$916,'Price comparisons'!$I$7+$H69))-1,0)</f>
        <v>0</v>
      </c>
      <c r="V69" s="219" cm="1">
        <f t="array" ref="V69">IFERROR(('Tariff schedule'!V80/INDEX('Indicative prices'!V$1:V$916,'Price comparisons'!$I$7+$H69))-1,0)</f>
        <v>0</v>
      </c>
      <c r="W69" s="219" cm="1">
        <f t="array" ref="W69">IFERROR(('Tariff schedule'!W80/INDEX('Indicative prices'!W$1:W$916,'Price comparisons'!$I$7+$H69))-1,0)</f>
        <v>0</v>
      </c>
      <c r="X69" s="219" cm="1">
        <f t="array" ref="X69">IFERROR(('Tariff schedule'!X80/INDEX('Indicative prices'!X$1:X$916,'Price comparisons'!$I$7+$H69))-1,0)</f>
        <v>0</v>
      </c>
      <c r="Y69" s="219" cm="1">
        <f t="array" ref="Y69">IFERROR(('Tariff schedule'!Y80/INDEX('Indicative prices'!Y$1:Y$916,'Price comparisons'!$I$7+$H69))-1,0)</f>
        <v>0</v>
      </c>
      <c r="Z69" s="219" cm="1">
        <f t="array" ref="Z69">IFERROR(('Tariff schedule'!Z80/INDEX('Indicative prices'!Z$1:Z$916,'Price comparisons'!$I$7+$H69))-1,0)</f>
        <v>0</v>
      </c>
      <c r="AA69" s="219" cm="1">
        <f t="array" ref="AA69">IFERROR(('Tariff schedule'!AA80/INDEX('Indicative prices'!AA$1:AA$916,'Price comparisons'!$I$7+$H69))-1,0)</f>
        <v>0</v>
      </c>
      <c r="AB69" s="219" cm="1">
        <f t="array" ref="AB69">IFERROR(('Tariff schedule'!AB80/INDEX('Indicative prices'!AB$1:AB$916,'Price comparisons'!$I$7+$H69))-1,0)</f>
        <v>0</v>
      </c>
      <c r="AC69" s="220"/>
      <c r="AD69" s="19"/>
      <c r="AE69" s="19"/>
      <c r="AF69" s="19"/>
      <c r="AG69" s="19"/>
    </row>
    <row r="70" spans="1:33" hidden="1" outlineLevel="2" x14ac:dyDescent="0.2">
      <c r="A70" s="19"/>
      <c r="B70" s="19"/>
      <c r="C70" s="506">
        <f>Qty!C70</f>
        <v>0</v>
      </c>
      <c r="D70" s="505">
        <f>Qty!D70</f>
        <v>0</v>
      </c>
      <c r="E70" s="505">
        <f>Qty!E70</f>
        <v>0</v>
      </c>
      <c r="F70" s="505">
        <f>Qty!F70</f>
        <v>0</v>
      </c>
      <c r="G70" s="505">
        <f>Qty!G70</f>
        <v>0</v>
      </c>
      <c r="H70" s="333">
        <v>62</v>
      </c>
      <c r="I70" s="219" cm="1">
        <f t="array" ref="I70">IFERROR(('Tariff schedule'!I81/INDEX('Indicative prices'!I$1:I$916,'Price comparisons'!$I$7+$H70))-1,0)</f>
        <v>0</v>
      </c>
      <c r="J70" s="219" cm="1">
        <f t="array" ref="J70">IFERROR(('Tariff schedule'!J81/INDEX('Indicative prices'!J$1:J$916,'Price comparisons'!$I$7+$H70))-1,0)</f>
        <v>0</v>
      </c>
      <c r="K70" s="219" cm="1">
        <f t="array" ref="K70">IFERROR(('Tariff schedule'!K81/INDEX('Indicative prices'!K$1:K$916,'Price comparisons'!$I$7+$H70))-1,0)</f>
        <v>0</v>
      </c>
      <c r="L70" s="219" cm="1">
        <f t="array" ref="L70">IFERROR(('Tariff schedule'!L81/INDEX('Indicative prices'!L$1:L$916,'Price comparisons'!$I$7+$H70))-1,0)</f>
        <v>0</v>
      </c>
      <c r="M70" s="219" cm="1">
        <f t="array" ref="M70">IFERROR(('Tariff schedule'!M81/INDEX('Indicative prices'!M$1:M$916,'Price comparisons'!$I$7+$H70))-1,0)</f>
        <v>0</v>
      </c>
      <c r="N70" s="219" cm="1">
        <f t="array" ref="N70">IFERROR(('Tariff schedule'!N81/INDEX('Indicative prices'!N$1:N$916,'Price comparisons'!$I$7+$H70))-1,0)</f>
        <v>0</v>
      </c>
      <c r="O70" s="219" cm="1">
        <f t="array" ref="O70">IFERROR(('Tariff schedule'!O81/INDEX('Indicative prices'!O$1:O$916,'Price comparisons'!$I$7+$H70))-1,0)</f>
        <v>0</v>
      </c>
      <c r="P70" s="219" cm="1">
        <f t="array" ref="P70">IFERROR(('Tariff schedule'!P81/INDEX('Indicative prices'!P$1:P$916,'Price comparisons'!$I$7+$H70))-1,0)</f>
        <v>0</v>
      </c>
      <c r="Q70" s="219" cm="1">
        <f t="array" ref="Q70">IFERROR(('Tariff schedule'!Q81/INDEX('Indicative prices'!Q$1:Q$916,'Price comparisons'!$I$7+$H70))-1,0)</f>
        <v>0</v>
      </c>
      <c r="R70" s="219" cm="1">
        <f t="array" ref="R70">IFERROR(('Tariff schedule'!R81/INDEX('Indicative prices'!R$1:R$916,'Price comparisons'!$I$7+$H70))-1,0)</f>
        <v>0</v>
      </c>
      <c r="S70" s="219" cm="1">
        <f t="array" ref="S70">IFERROR(('Tariff schedule'!S81/INDEX('Indicative prices'!S$1:S$916,'Price comparisons'!$I$7+$H70))-1,0)</f>
        <v>0</v>
      </c>
      <c r="T70" s="219" cm="1">
        <f t="array" ref="T70">IFERROR(('Tariff schedule'!T81/INDEX('Indicative prices'!T$1:T$916,'Price comparisons'!$I$7+$H70))-1,0)</f>
        <v>0</v>
      </c>
      <c r="U70" s="219" cm="1">
        <f t="array" ref="U70">IFERROR(('Tariff schedule'!U81/INDEX('Indicative prices'!U$1:U$916,'Price comparisons'!$I$7+$H70))-1,0)</f>
        <v>0</v>
      </c>
      <c r="V70" s="219" cm="1">
        <f t="array" ref="V70">IFERROR(('Tariff schedule'!V81/INDEX('Indicative prices'!V$1:V$916,'Price comparisons'!$I$7+$H70))-1,0)</f>
        <v>0</v>
      </c>
      <c r="W70" s="219" cm="1">
        <f t="array" ref="W70">IFERROR(('Tariff schedule'!W81/INDEX('Indicative prices'!W$1:W$916,'Price comparisons'!$I$7+$H70))-1,0)</f>
        <v>0</v>
      </c>
      <c r="X70" s="219" cm="1">
        <f t="array" ref="X70">IFERROR(('Tariff schedule'!X81/INDEX('Indicative prices'!X$1:X$916,'Price comparisons'!$I$7+$H70))-1,0)</f>
        <v>0</v>
      </c>
      <c r="Y70" s="219" cm="1">
        <f t="array" ref="Y70">IFERROR(('Tariff schedule'!Y81/INDEX('Indicative prices'!Y$1:Y$916,'Price comparisons'!$I$7+$H70))-1,0)</f>
        <v>0</v>
      </c>
      <c r="Z70" s="219" cm="1">
        <f t="array" ref="Z70">IFERROR(('Tariff schedule'!Z81/INDEX('Indicative prices'!Z$1:Z$916,'Price comparisons'!$I$7+$H70))-1,0)</f>
        <v>0</v>
      </c>
      <c r="AA70" s="219" cm="1">
        <f t="array" ref="AA70">IFERROR(('Tariff schedule'!AA81/INDEX('Indicative prices'!AA$1:AA$916,'Price comparisons'!$I$7+$H70))-1,0)</f>
        <v>0</v>
      </c>
      <c r="AB70" s="219" cm="1">
        <f t="array" ref="AB70">IFERROR(('Tariff schedule'!AB81/INDEX('Indicative prices'!AB$1:AB$916,'Price comparisons'!$I$7+$H70))-1,0)</f>
        <v>0</v>
      </c>
      <c r="AC70" s="220"/>
      <c r="AD70" s="19"/>
      <c r="AE70" s="19"/>
      <c r="AF70" s="19"/>
      <c r="AG70" s="19"/>
    </row>
    <row r="71" spans="1:33" hidden="1" outlineLevel="2" x14ac:dyDescent="0.2">
      <c r="A71" s="19"/>
      <c r="B71" s="19"/>
      <c r="C71" s="506">
        <f>Qty!C71</f>
        <v>0</v>
      </c>
      <c r="D71" s="505">
        <f>Qty!D71</f>
        <v>0</v>
      </c>
      <c r="E71" s="505">
        <f>Qty!E71</f>
        <v>0</v>
      </c>
      <c r="F71" s="505">
        <f>Qty!F71</f>
        <v>0</v>
      </c>
      <c r="G71" s="505">
        <f>Qty!G71</f>
        <v>0</v>
      </c>
      <c r="H71" s="333">
        <v>63</v>
      </c>
      <c r="I71" s="219" cm="1">
        <f t="array" ref="I71">IFERROR(('Tariff schedule'!I82/INDEX('Indicative prices'!I$1:I$916,'Price comparisons'!$I$7+$H71))-1,0)</f>
        <v>0</v>
      </c>
      <c r="J71" s="219" cm="1">
        <f t="array" ref="J71">IFERROR(('Tariff schedule'!J82/INDEX('Indicative prices'!J$1:J$916,'Price comparisons'!$I$7+$H71))-1,0)</f>
        <v>0</v>
      </c>
      <c r="K71" s="219" cm="1">
        <f t="array" ref="K71">IFERROR(('Tariff schedule'!K82/INDEX('Indicative prices'!K$1:K$916,'Price comparisons'!$I$7+$H71))-1,0)</f>
        <v>0</v>
      </c>
      <c r="L71" s="219" cm="1">
        <f t="array" ref="L71">IFERROR(('Tariff schedule'!L82/INDEX('Indicative prices'!L$1:L$916,'Price comparisons'!$I$7+$H71))-1,0)</f>
        <v>0</v>
      </c>
      <c r="M71" s="219" cm="1">
        <f t="array" ref="M71">IFERROR(('Tariff schedule'!M82/INDEX('Indicative prices'!M$1:M$916,'Price comparisons'!$I$7+$H71))-1,0)</f>
        <v>0</v>
      </c>
      <c r="N71" s="219" cm="1">
        <f t="array" ref="N71">IFERROR(('Tariff schedule'!N82/INDEX('Indicative prices'!N$1:N$916,'Price comparisons'!$I$7+$H71))-1,0)</f>
        <v>0</v>
      </c>
      <c r="O71" s="219" cm="1">
        <f t="array" ref="O71">IFERROR(('Tariff schedule'!O82/INDEX('Indicative prices'!O$1:O$916,'Price comparisons'!$I$7+$H71))-1,0)</f>
        <v>0</v>
      </c>
      <c r="P71" s="219" cm="1">
        <f t="array" ref="P71">IFERROR(('Tariff schedule'!P82/INDEX('Indicative prices'!P$1:P$916,'Price comparisons'!$I$7+$H71))-1,0)</f>
        <v>0</v>
      </c>
      <c r="Q71" s="219" cm="1">
        <f t="array" ref="Q71">IFERROR(('Tariff schedule'!Q82/INDEX('Indicative prices'!Q$1:Q$916,'Price comparisons'!$I$7+$H71))-1,0)</f>
        <v>0</v>
      </c>
      <c r="R71" s="219" cm="1">
        <f t="array" ref="R71">IFERROR(('Tariff schedule'!R82/INDEX('Indicative prices'!R$1:R$916,'Price comparisons'!$I$7+$H71))-1,0)</f>
        <v>0</v>
      </c>
      <c r="S71" s="219" cm="1">
        <f t="array" ref="S71">IFERROR(('Tariff schedule'!S82/INDEX('Indicative prices'!S$1:S$916,'Price comparisons'!$I$7+$H71))-1,0)</f>
        <v>0</v>
      </c>
      <c r="T71" s="219" cm="1">
        <f t="array" ref="T71">IFERROR(('Tariff schedule'!T82/INDEX('Indicative prices'!T$1:T$916,'Price comparisons'!$I$7+$H71))-1,0)</f>
        <v>0</v>
      </c>
      <c r="U71" s="219" cm="1">
        <f t="array" ref="U71">IFERROR(('Tariff schedule'!U82/INDEX('Indicative prices'!U$1:U$916,'Price comparisons'!$I$7+$H71))-1,0)</f>
        <v>0</v>
      </c>
      <c r="V71" s="219" cm="1">
        <f t="array" ref="V71">IFERROR(('Tariff schedule'!V82/INDEX('Indicative prices'!V$1:V$916,'Price comparisons'!$I$7+$H71))-1,0)</f>
        <v>0</v>
      </c>
      <c r="W71" s="219" cm="1">
        <f t="array" ref="W71">IFERROR(('Tariff schedule'!W82/INDEX('Indicative prices'!W$1:W$916,'Price comparisons'!$I$7+$H71))-1,0)</f>
        <v>0</v>
      </c>
      <c r="X71" s="219" cm="1">
        <f t="array" ref="X71">IFERROR(('Tariff schedule'!X82/INDEX('Indicative prices'!X$1:X$916,'Price comparisons'!$I$7+$H71))-1,0)</f>
        <v>0</v>
      </c>
      <c r="Y71" s="219" cm="1">
        <f t="array" ref="Y71">IFERROR(('Tariff schedule'!Y82/INDEX('Indicative prices'!Y$1:Y$916,'Price comparisons'!$I$7+$H71))-1,0)</f>
        <v>0</v>
      </c>
      <c r="Z71" s="219" cm="1">
        <f t="array" ref="Z71">IFERROR(('Tariff schedule'!Z82/INDEX('Indicative prices'!Z$1:Z$916,'Price comparisons'!$I$7+$H71))-1,0)</f>
        <v>0</v>
      </c>
      <c r="AA71" s="219" cm="1">
        <f t="array" ref="AA71">IFERROR(('Tariff schedule'!AA82/INDEX('Indicative prices'!AA$1:AA$916,'Price comparisons'!$I$7+$H71))-1,0)</f>
        <v>0</v>
      </c>
      <c r="AB71" s="219" cm="1">
        <f t="array" ref="AB71">IFERROR(('Tariff schedule'!AB82/INDEX('Indicative prices'!AB$1:AB$916,'Price comparisons'!$I$7+$H71))-1,0)</f>
        <v>0</v>
      </c>
      <c r="AC71" s="220"/>
      <c r="AD71" s="19"/>
      <c r="AE71" s="19"/>
      <c r="AF71" s="19"/>
      <c r="AG71" s="19"/>
    </row>
    <row r="72" spans="1:33" hidden="1" outlineLevel="2" x14ac:dyDescent="0.2">
      <c r="A72" s="19"/>
      <c r="B72" s="19"/>
      <c r="C72" s="506">
        <f>Qty!C72</f>
        <v>0</v>
      </c>
      <c r="D72" s="505">
        <f>Qty!D72</f>
        <v>0</v>
      </c>
      <c r="E72" s="505">
        <f>Qty!E72</f>
        <v>0</v>
      </c>
      <c r="F72" s="505">
        <f>Qty!F72</f>
        <v>0</v>
      </c>
      <c r="G72" s="505">
        <f>Qty!G72</f>
        <v>0</v>
      </c>
      <c r="H72" s="333">
        <v>64</v>
      </c>
      <c r="I72" s="219" cm="1">
        <f t="array" ref="I72">IFERROR(('Tariff schedule'!I83/INDEX('Indicative prices'!I$1:I$916,'Price comparisons'!$I$7+$H72))-1,0)</f>
        <v>0</v>
      </c>
      <c r="J72" s="219" cm="1">
        <f t="array" ref="J72">IFERROR(('Tariff schedule'!J83/INDEX('Indicative prices'!J$1:J$916,'Price comparisons'!$I$7+$H72))-1,0)</f>
        <v>0</v>
      </c>
      <c r="K72" s="219" cm="1">
        <f t="array" ref="K72">IFERROR(('Tariff schedule'!K83/INDEX('Indicative prices'!K$1:K$916,'Price comparisons'!$I$7+$H72))-1,0)</f>
        <v>0</v>
      </c>
      <c r="L72" s="219" cm="1">
        <f t="array" ref="L72">IFERROR(('Tariff schedule'!L83/INDEX('Indicative prices'!L$1:L$916,'Price comparisons'!$I$7+$H72))-1,0)</f>
        <v>0</v>
      </c>
      <c r="M72" s="219" cm="1">
        <f t="array" ref="M72">IFERROR(('Tariff schedule'!M83/INDEX('Indicative prices'!M$1:M$916,'Price comparisons'!$I$7+$H72))-1,0)</f>
        <v>0</v>
      </c>
      <c r="N72" s="219" cm="1">
        <f t="array" ref="N72">IFERROR(('Tariff schedule'!N83/INDEX('Indicative prices'!N$1:N$916,'Price comparisons'!$I$7+$H72))-1,0)</f>
        <v>0</v>
      </c>
      <c r="O72" s="219" cm="1">
        <f t="array" ref="O72">IFERROR(('Tariff schedule'!O83/INDEX('Indicative prices'!O$1:O$916,'Price comparisons'!$I$7+$H72))-1,0)</f>
        <v>0</v>
      </c>
      <c r="P72" s="219" cm="1">
        <f t="array" ref="P72">IFERROR(('Tariff schedule'!P83/INDEX('Indicative prices'!P$1:P$916,'Price comparisons'!$I$7+$H72))-1,0)</f>
        <v>0</v>
      </c>
      <c r="Q72" s="219" cm="1">
        <f t="array" ref="Q72">IFERROR(('Tariff schedule'!Q83/INDEX('Indicative prices'!Q$1:Q$916,'Price comparisons'!$I$7+$H72))-1,0)</f>
        <v>0</v>
      </c>
      <c r="R72" s="219" cm="1">
        <f t="array" ref="R72">IFERROR(('Tariff schedule'!R83/INDEX('Indicative prices'!R$1:R$916,'Price comparisons'!$I$7+$H72))-1,0)</f>
        <v>0</v>
      </c>
      <c r="S72" s="219" cm="1">
        <f t="array" ref="S72">IFERROR(('Tariff schedule'!S83/INDEX('Indicative prices'!S$1:S$916,'Price comparisons'!$I$7+$H72))-1,0)</f>
        <v>0</v>
      </c>
      <c r="T72" s="219" cm="1">
        <f t="array" ref="T72">IFERROR(('Tariff schedule'!T83/INDEX('Indicative prices'!T$1:T$916,'Price comparisons'!$I$7+$H72))-1,0)</f>
        <v>0</v>
      </c>
      <c r="U72" s="219" cm="1">
        <f t="array" ref="U72">IFERROR(('Tariff schedule'!U83/INDEX('Indicative prices'!U$1:U$916,'Price comparisons'!$I$7+$H72))-1,0)</f>
        <v>0</v>
      </c>
      <c r="V72" s="219" cm="1">
        <f t="array" ref="V72">IFERROR(('Tariff schedule'!V83/INDEX('Indicative prices'!V$1:V$916,'Price comparisons'!$I$7+$H72))-1,0)</f>
        <v>0</v>
      </c>
      <c r="W72" s="219" cm="1">
        <f t="array" ref="W72">IFERROR(('Tariff schedule'!W83/INDEX('Indicative prices'!W$1:W$916,'Price comparisons'!$I$7+$H72))-1,0)</f>
        <v>0</v>
      </c>
      <c r="X72" s="219" cm="1">
        <f t="array" ref="X72">IFERROR(('Tariff schedule'!X83/INDEX('Indicative prices'!X$1:X$916,'Price comparisons'!$I$7+$H72))-1,0)</f>
        <v>0</v>
      </c>
      <c r="Y72" s="219" cm="1">
        <f t="array" ref="Y72">IFERROR(('Tariff schedule'!Y83/INDEX('Indicative prices'!Y$1:Y$916,'Price comparisons'!$I$7+$H72))-1,0)</f>
        <v>0</v>
      </c>
      <c r="Z72" s="219" cm="1">
        <f t="array" ref="Z72">IFERROR(('Tariff schedule'!Z83/INDEX('Indicative prices'!Z$1:Z$916,'Price comparisons'!$I$7+$H72))-1,0)</f>
        <v>0</v>
      </c>
      <c r="AA72" s="219" cm="1">
        <f t="array" ref="AA72">IFERROR(('Tariff schedule'!AA83/INDEX('Indicative prices'!AA$1:AA$916,'Price comparisons'!$I$7+$H72))-1,0)</f>
        <v>0</v>
      </c>
      <c r="AB72" s="219" cm="1">
        <f t="array" ref="AB72">IFERROR(('Tariff schedule'!AB83/INDEX('Indicative prices'!AB$1:AB$916,'Price comparisons'!$I$7+$H72))-1,0)</f>
        <v>0</v>
      </c>
      <c r="AC72" s="220"/>
      <c r="AD72" s="19"/>
      <c r="AE72" s="19"/>
      <c r="AF72" s="19"/>
      <c r="AG72" s="19"/>
    </row>
    <row r="73" spans="1:33" hidden="1" outlineLevel="2" x14ac:dyDescent="0.2">
      <c r="A73" s="19"/>
      <c r="B73" s="19"/>
      <c r="C73" s="506">
        <f>Qty!C73</f>
        <v>0</v>
      </c>
      <c r="D73" s="505">
        <f>Qty!D73</f>
        <v>0</v>
      </c>
      <c r="E73" s="505">
        <f>Qty!E73</f>
        <v>0</v>
      </c>
      <c r="F73" s="505">
        <f>Qty!F73</f>
        <v>0</v>
      </c>
      <c r="G73" s="505">
        <f>Qty!G73</f>
        <v>0</v>
      </c>
      <c r="H73" s="333">
        <v>65</v>
      </c>
      <c r="I73" s="219" cm="1">
        <f t="array" ref="I73">IFERROR(('Tariff schedule'!I84/INDEX('Indicative prices'!I$1:I$916,'Price comparisons'!$I$7+$H73))-1,0)</f>
        <v>0</v>
      </c>
      <c r="J73" s="219" cm="1">
        <f t="array" ref="J73">IFERROR(('Tariff schedule'!J84/INDEX('Indicative prices'!J$1:J$916,'Price comparisons'!$I$7+$H73))-1,0)</f>
        <v>0</v>
      </c>
      <c r="K73" s="219" cm="1">
        <f t="array" ref="K73">IFERROR(('Tariff schedule'!K84/INDEX('Indicative prices'!K$1:K$916,'Price comparisons'!$I$7+$H73))-1,0)</f>
        <v>0</v>
      </c>
      <c r="L73" s="219" cm="1">
        <f t="array" ref="L73">IFERROR(('Tariff schedule'!L84/INDEX('Indicative prices'!L$1:L$916,'Price comparisons'!$I$7+$H73))-1,0)</f>
        <v>0</v>
      </c>
      <c r="M73" s="219" cm="1">
        <f t="array" ref="M73">IFERROR(('Tariff schedule'!M84/INDEX('Indicative prices'!M$1:M$916,'Price comparisons'!$I$7+$H73))-1,0)</f>
        <v>0</v>
      </c>
      <c r="N73" s="219" cm="1">
        <f t="array" ref="N73">IFERROR(('Tariff schedule'!N84/INDEX('Indicative prices'!N$1:N$916,'Price comparisons'!$I$7+$H73))-1,0)</f>
        <v>0</v>
      </c>
      <c r="O73" s="219" cm="1">
        <f t="array" ref="O73">IFERROR(('Tariff schedule'!O84/INDEX('Indicative prices'!O$1:O$916,'Price comparisons'!$I$7+$H73))-1,0)</f>
        <v>0</v>
      </c>
      <c r="P73" s="219" cm="1">
        <f t="array" ref="P73">IFERROR(('Tariff schedule'!P84/INDEX('Indicative prices'!P$1:P$916,'Price comparisons'!$I$7+$H73))-1,0)</f>
        <v>0</v>
      </c>
      <c r="Q73" s="219" cm="1">
        <f t="array" ref="Q73">IFERROR(('Tariff schedule'!Q84/INDEX('Indicative prices'!Q$1:Q$916,'Price comparisons'!$I$7+$H73))-1,0)</f>
        <v>0</v>
      </c>
      <c r="R73" s="219" cm="1">
        <f t="array" ref="R73">IFERROR(('Tariff schedule'!R84/INDEX('Indicative prices'!R$1:R$916,'Price comparisons'!$I$7+$H73))-1,0)</f>
        <v>0</v>
      </c>
      <c r="S73" s="219" cm="1">
        <f t="array" ref="S73">IFERROR(('Tariff schedule'!S84/INDEX('Indicative prices'!S$1:S$916,'Price comparisons'!$I$7+$H73))-1,0)</f>
        <v>0</v>
      </c>
      <c r="T73" s="219" cm="1">
        <f t="array" ref="T73">IFERROR(('Tariff schedule'!T84/INDEX('Indicative prices'!T$1:T$916,'Price comparisons'!$I$7+$H73))-1,0)</f>
        <v>0</v>
      </c>
      <c r="U73" s="219" cm="1">
        <f t="array" ref="U73">IFERROR(('Tariff schedule'!U84/INDEX('Indicative prices'!U$1:U$916,'Price comparisons'!$I$7+$H73))-1,0)</f>
        <v>0</v>
      </c>
      <c r="V73" s="219" cm="1">
        <f t="array" ref="V73">IFERROR(('Tariff schedule'!V84/INDEX('Indicative prices'!V$1:V$916,'Price comparisons'!$I$7+$H73))-1,0)</f>
        <v>0</v>
      </c>
      <c r="W73" s="219" cm="1">
        <f t="array" ref="W73">IFERROR(('Tariff schedule'!W84/INDEX('Indicative prices'!W$1:W$916,'Price comparisons'!$I$7+$H73))-1,0)</f>
        <v>0</v>
      </c>
      <c r="X73" s="219" cm="1">
        <f t="array" ref="X73">IFERROR(('Tariff schedule'!X84/INDEX('Indicative prices'!X$1:X$916,'Price comparisons'!$I$7+$H73))-1,0)</f>
        <v>0</v>
      </c>
      <c r="Y73" s="219" cm="1">
        <f t="array" ref="Y73">IFERROR(('Tariff schedule'!Y84/INDEX('Indicative prices'!Y$1:Y$916,'Price comparisons'!$I$7+$H73))-1,0)</f>
        <v>0</v>
      </c>
      <c r="Z73" s="219" cm="1">
        <f t="array" ref="Z73">IFERROR(('Tariff schedule'!Z84/INDEX('Indicative prices'!Z$1:Z$916,'Price comparisons'!$I$7+$H73))-1,0)</f>
        <v>0</v>
      </c>
      <c r="AA73" s="219" cm="1">
        <f t="array" ref="AA73">IFERROR(('Tariff schedule'!AA84/INDEX('Indicative prices'!AA$1:AA$916,'Price comparisons'!$I$7+$H73))-1,0)</f>
        <v>0</v>
      </c>
      <c r="AB73" s="219" cm="1">
        <f t="array" ref="AB73">IFERROR(('Tariff schedule'!AB84/INDEX('Indicative prices'!AB$1:AB$916,'Price comparisons'!$I$7+$H73))-1,0)</f>
        <v>0</v>
      </c>
      <c r="AC73" s="220"/>
      <c r="AD73" s="19"/>
      <c r="AE73" s="19"/>
      <c r="AF73" s="19"/>
      <c r="AG73" s="19"/>
    </row>
    <row r="74" spans="1:33" hidden="1" outlineLevel="2" x14ac:dyDescent="0.2">
      <c r="A74" s="19"/>
      <c r="B74" s="19"/>
      <c r="C74" s="506">
        <f>Qty!C74</f>
        <v>0</v>
      </c>
      <c r="D74" s="505">
        <f>Qty!D74</f>
        <v>0</v>
      </c>
      <c r="E74" s="505">
        <f>Qty!E74</f>
        <v>0</v>
      </c>
      <c r="F74" s="505">
        <f>Qty!F74</f>
        <v>0</v>
      </c>
      <c r="G74" s="505">
        <f>Qty!G74</f>
        <v>0</v>
      </c>
      <c r="H74" s="333">
        <v>66</v>
      </c>
      <c r="I74" s="219" cm="1">
        <f t="array" ref="I74">IFERROR(('Tariff schedule'!I85/INDEX('Indicative prices'!I$1:I$916,'Price comparisons'!$I$7+$H74))-1,0)</f>
        <v>0</v>
      </c>
      <c r="J74" s="219" cm="1">
        <f t="array" ref="J74">IFERROR(('Tariff schedule'!J85/INDEX('Indicative prices'!J$1:J$916,'Price comparisons'!$I$7+$H74))-1,0)</f>
        <v>0</v>
      </c>
      <c r="K74" s="219" cm="1">
        <f t="array" ref="K74">IFERROR(('Tariff schedule'!K85/INDEX('Indicative prices'!K$1:K$916,'Price comparisons'!$I$7+$H74))-1,0)</f>
        <v>0</v>
      </c>
      <c r="L74" s="219" cm="1">
        <f t="array" ref="L74">IFERROR(('Tariff schedule'!L85/INDEX('Indicative prices'!L$1:L$916,'Price comparisons'!$I$7+$H74))-1,0)</f>
        <v>0</v>
      </c>
      <c r="M74" s="219" cm="1">
        <f t="array" ref="M74">IFERROR(('Tariff schedule'!M85/INDEX('Indicative prices'!M$1:M$916,'Price comparisons'!$I$7+$H74))-1,0)</f>
        <v>0</v>
      </c>
      <c r="N74" s="219" cm="1">
        <f t="array" ref="N74">IFERROR(('Tariff schedule'!N85/INDEX('Indicative prices'!N$1:N$916,'Price comparisons'!$I$7+$H74))-1,0)</f>
        <v>0</v>
      </c>
      <c r="O74" s="219" cm="1">
        <f t="array" ref="O74">IFERROR(('Tariff schedule'!O85/INDEX('Indicative prices'!O$1:O$916,'Price comparisons'!$I$7+$H74))-1,0)</f>
        <v>0</v>
      </c>
      <c r="P74" s="219" cm="1">
        <f t="array" ref="P74">IFERROR(('Tariff schedule'!P85/INDEX('Indicative prices'!P$1:P$916,'Price comparisons'!$I$7+$H74))-1,0)</f>
        <v>0</v>
      </c>
      <c r="Q74" s="219" cm="1">
        <f t="array" ref="Q74">IFERROR(('Tariff schedule'!Q85/INDEX('Indicative prices'!Q$1:Q$916,'Price comparisons'!$I$7+$H74))-1,0)</f>
        <v>0</v>
      </c>
      <c r="R74" s="219" cm="1">
        <f t="array" ref="R74">IFERROR(('Tariff schedule'!R85/INDEX('Indicative prices'!R$1:R$916,'Price comparisons'!$I$7+$H74))-1,0)</f>
        <v>0</v>
      </c>
      <c r="S74" s="219" cm="1">
        <f t="array" ref="S74">IFERROR(('Tariff schedule'!S85/INDEX('Indicative prices'!S$1:S$916,'Price comparisons'!$I$7+$H74))-1,0)</f>
        <v>0</v>
      </c>
      <c r="T74" s="219" cm="1">
        <f t="array" ref="T74">IFERROR(('Tariff schedule'!T85/INDEX('Indicative prices'!T$1:T$916,'Price comparisons'!$I$7+$H74))-1,0)</f>
        <v>0</v>
      </c>
      <c r="U74" s="219" cm="1">
        <f t="array" ref="U74">IFERROR(('Tariff schedule'!U85/INDEX('Indicative prices'!U$1:U$916,'Price comparisons'!$I$7+$H74))-1,0)</f>
        <v>0</v>
      </c>
      <c r="V74" s="219" cm="1">
        <f t="array" ref="V74">IFERROR(('Tariff schedule'!V85/INDEX('Indicative prices'!V$1:V$916,'Price comparisons'!$I$7+$H74))-1,0)</f>
        <v>0</v>
      </c>
      <c r="W74" s="219" cm="1">
        <f t="array" ref="W74">IFERROR(('Tariff schedule'!W85/INDEX('Indicative prices'!W$1:W$916,'Price comparisons'!$I$7+$H74))-1,0)</f>
        <v>0</v>
      </c>
      <c r="X74" s="219" cm="1">
        <f t="array" ref="X74">IFERROR(('Tariff schedule'!X85/INDEX('Indicative prices'!X$1:X$916,'Price comparisons'!$I$7+$H74))-1,0)</f>
        <v>0</v>
      </c>
      <c r="Y74" s="219" cm="1">
        <f t="array" ref="Y74">IFERROR(('Tariff schedule'!Y85/INDEX('Indicative prices'!Y$1:Y$916,'Price comparisons'!$I$7+$H74))-1,0)</f>
        <v>0</v>
      </c>
      <c r="Z74" s="219" cm="1">
        <f t="array" ref="Z74">IFERROR(('Tariff schedule'!Z85/INDEX('Indicative prices'!Z$1:Z$916,'Price comparisons'!$I$7+$H74))-1,0)</f>
        <v>0</v>
      </c>
      <c r="AA74" s="219" cm="1">
        <f t="array" ref="AA74">IFERROR(('Tariff schedule'!AA85/INDEX('Indicative prices'!AA$1:AA$916,'Price comparisons'!$I$7+$H74))-1,0)</f>
        <v>0</v>
      </c>
      <c r="AB74" s="219" cm="1">
        <f t="array" ref="AB74">IFERROR(('Tariff schedule'!AB85/INDEX('Indicative prices'!AB$1:AB$916,'Price comparisons'!$I$7+$H74))-1,0)</f>
        <v>0</v>
      </c>
      <c r="AC74" s="220"/>
      <c r="AD74" s="19"/>
      <c r="AE74" s="19"/>
      <c r="AF74" s="19"/>
      <c r="AG74" s="19"/>
    </row>
    <row r="75" spans="1:33" hidden="1" outlineLevel="2" x14ac:dyDescent="0.2">
      <c r="A75" s="19"/>
      <c r="B75" s="19"/>
      <c r="C75" s="506">
        <f>Qty!C75</f>
        <v>0</v>
      </c>
      <c r="D75" s="505">
        <f>Qty!D75</f>
        <v>0</v>
      </c>
      <c r="E75" s="505">
        <f>Qty!E75</f>
        <v>0</v>
      </c>
      <c r="F75" s="505">
        <f>Qty!F75</f>
        <v>0</v>
      </c>
      <c r="G75" s="505">
        <f>Qty!G75</f>
        <v>0</v>
      </c>
      <c r="H75" s="333">
        <v>67</v>
      </c>
      <c r="I75" s="219" cm="1">
        <f t="array" ref="I75">IFERROR(('Tariff schedule'!I86/INDEX('Indicative prices'!I$1:I$916,'Price comparisons'!$I$7+$H75))-1,0)</f>
        <v>0</v>
      </c>
      <c r="J75" s="219" cm="1">
        <f t="array" ref="J75">IFERROR(('Tariff schedule'!J86/INDEX('Indicative prices'!J$1:J$916,'Price comparisons'!$I$7+$H75))-1,0)</f>
        <v>0</v>
      </c>
      <c r="K75" s="219" cm="1">
        <f t="array" ref="K75">IFERROR(('Tariff schedule'!K86/INDEX('Indicative prices'!K$1:K$916,'Price comparisons'!$I$7+$H75))-1,0)</f>
        <v>0</v>
      </c>
      <c r="L75" s="219" cm="1">
        <f t="array" ref="L75">IFERROR(('Tariff schedule'!L86/INDEX('Indicative prices'!L$1:L$916,'Price comparisons'!$I$7+$H75))-1,0)</f>
        <v>0</v>
      </c>
      <c r="M75" s="219" cm="1">
        <f t="array" ref="M75">IFERROR(('Tariff schedule'!M86/INDEX('Indicative prices'!M$1:M$916,'Price comparisons'!$I$7+$H75))-1,0)</f>
        <v>0</v>
      </c>
      <c r="N75" s="219" cm="1">
        <f t="array" ref="N75">IFERROR(('Tariff schedule'!N86/INDEX('Indicative prices'!N$1:N$916,'Price comparisons'!$I$7+$H75))-1,0)</f>
        <v>0</v>
      </c>
      <c r="O75" s="219" cm="1">
        <f t="array" ref="O75">IFERROR(('Tariff schedule'!O86/INDEX('Indicative prices'!O$1:O$916,'Price comparisons'!$I$7+$H75))-1,0)</f>
        <v>0</v>
      </c>
      <c r="P75" s="219" cm="1">
        <f t="array" ref="P75">IFERROR(('Tariff schedule'!P86/INDEX('Indicative prices'!P$1:P$916,'Price comparisons'!$I$7+$H75))-1,0)</f>
        <v>0</v>
      </c>
      <c r="Q75" s="219" cm="1">
        <f t="array" ref="Q75">IFERROR(('Tariff schedule'!Q86/INDEX('Indicative prices'!Q$1:Q$916,'Price comparisons'!$I$7+$H75))-1,0)</f>
        <v>0</v>
      </c>
      <c r="R75" s="219" cm="1">
        <f t="array" ref="R75">IFERROR(('Tariff schedule'!R86/INDEX('Indicative prices'!R$1:R$916,'Price comparisons'!$I$7+$H75))-1,0)</f>
        <v>0</v>
      </c>
      <c r="S75" s="219" cm="1">
        <f t="array" ref="S75">IFERROR(('Tariff schedule'!S86/INDEX('Indicative prices'!S$1:S$916,'Price comparisons'!$I$7+$H75))-1,0)</f>
        <v>0</v>
      </c>
      <c r="T75" s="219" cm="1">
        <f t="array" ref="T75">IFERROR(('Tariff schedule'!T86/INDEX('Indicative prices'!T$1:T$916,'Price comparisons'!$I$7+$H75))-1,0)</f>
        <v>0</v>
      </c>
      <c r="U75" s="219" cm="1">
        <f t="array" ref="U75">IFERROR(('Tariff schedule'!U86/INDEX('Indicative prices'!U$1:U$916,'Price comparisons'!$I$7+$H75))-1,0)</f>
        <v>0</v>
      </c>
      <c r="V75" s="219" cm="1">
        <f t="array" ref="V75">IFERROR(('Tariff schedule'!V86/INDEX('Indicative prices'!V$1:V$916,'Price comparisons'!$I$7+$H75))-1,0)</f>
        <v>0</v>
      </c>
      <c r="W75" s="219" cm="1">
        <f t="array" ref="W75">IFERROR(('Tariff schedule'!W86/INDEX('Indicative prices'!W$1:W$916,'Price comparisons'!$I$7+$H75))-1,0)</f>
        <v>0</v>
      </c>
      <c r="X75" s="219" cm="1">
        <f t="array" ref="X75">IFERROR(('Tariff schedule'!X86/INDEX('Indicative prices'!X$1:X$916,'Price comparisons'!$I$7+$H75))-1,0)</f>
        <v>0</v>
      </c>
      <c r="Y75" s="219" cm="1">
        <f t="array" ref="Y75">IFERROR(('Tariff schedule'!Y86/INDEX('Indicative prices'!Y$1:Y$916,'Price comparisons'!$I$7+$H75))-1,0)</f>
        <v>0</v>
      </c>
      <c r="Z75" s="219" cm="1">
        <f t="array" ref="Z75">IFERROR(('Tariff schedule'!Z86/INDEX('Indicative prices'!Z$1:Z$916,'Price comparisons'!$I$7+$H75))-1,0)</f>
        <v>0</v>
      </c>
      <c r="AA75" s="219" cm="1">
        <f t="array" ref="AA75">IFERROR(('Tariff schedule'!AA86/INDEX('Indicative prices'!AA$1:AA$916,'Price comparisons'!$I$7+$H75))-1,0)</f>
        <v>0</v>
      </c>
      <c r="AB75" s="219" cm="1">
        <f t="array" ref="AB75">IFERROR(('Tariff schedule'!AB86/INDEX('Indicative prices'!AB$1:AB$916,'Price comparisons'!$I$7+$H75))-1,0)</f>
        <v>0</v>
      </c>
      <c r="AC75" s="220"/>
      <c r="AD75" s="19"/>
      <c r="AE75" s="19"/>
      <c r="AF75" s="19"/>
      <c r="AG75" s="19"/>
    </row>
    <row r="76" spans="1:33" hidden="1" outlineLevel="2" x14ac:dyDescent="0.2">
      <c r="A76" s="19"/>
      <c r="B76" s="19"/>
      <c r="C76" s="506">
        <f>Qty!C76</f>
        <v>0</v>
      </c>
      <c r="D76" s="505">
        <f>Qty!D76</f>
        <v>0</v>
      </c>
      <c r="E76" s="505">
        <f>Qty!E76</f>
        <v>0</v>
      </c>
      <c r="F76" s="505">
        <f>Qty!F76</f>
        <v>0</v>
      </c>
      <c r="G76" s="505">
        <f>Qty!G76</f>
        <v>0</v>
      </c>
      <c r="H76" s="333">
        <v>68</v>
      </c>
      <c r="I76" s="219" cm="1">
        <f t="array" ref="I76">IFERROR(('Tariff schedule'!I87/INDEX('Indicative prices'!I$1:I$916,'Price comparisons'!$I$7+$H76))-1,0)</f>
        <v>0</v>
      </c>
      <c r="J76" s="219" cm="1">
        <f t="array" ref="J76">IFERROR(('Tariff schedule'!J87/INDEX('Indicative prices'!J$1:J$916,'Price comparisons'!$I$7+$H76))-1,0)</f>
        <v>0</v>
      </c>
      <c r="K76" s="219" cm="1">
        <f t="array" ref="K76">IFERROR(('Tariff schedule'!K87/INDEX('Indicative prices'!K$1:K$916,'Price comparisons'!$I$7+$H76))-1,0)</f>
        <v>0</v>
      </c>
      <c r="L76" s="219" cm="1">
        <f t="array" ref="L76">IFERROR(('Tariff schedule'!L87/INDEX('Indicative prices'!L$1:L$916,'Price comparisons'!$I$7+$H76))-1,0)</f>
        <v>0</v>
      </c>
      <c r="M76" s="219" cm="1">
        <f t="array" ref="M76">IFERROR(('Tariff schedule'!M87/INDEX('Indicative prices'!M$1:M$916,'Price comparisons'!$I$7+$H76))-1,0)</f>
        <v>0</v>
      </c>
      <c r="N76" s="219" cm="1">
        <f t="array" ref="N76">IFERROR(('Tariff schedule'!N87/INDEX('Indicative prices'!N$1:N$916,'Price comparisons'!$I$7+$H76))-1,0)</f>
        <v>0</v>
      </c>
      <c r="O76" s="219" cm="1">
        <f t="array" ref="O76">IFERROR(('Tariff schedule'!O87/INDEX('Indicative prices'!O$1:O$916,'Price comparisons'!$I$7+$H76))-1,0)</f>
        <v>0</v>
      </c>
      <c r="P76" s="219" cm="1">
        <f t="array" ref="P76">IFERROR(('Tariff schedule'!P87/INDEX('Indicative prices'!P$1:P$916,'Price comparisons'!$I$7+$H76))-1,0)</f>
        <v>0</v>
      </c>
      <c r="Q76" s="219" cm="1">
        <f t="array" ref="Q76">IFERROR(('Tariff schedule'!Q87/INDEX('Indicative prices'!Q$1:Q$916,'Price comparisons'!$I$7+$H76))-1,0)</f>
        <v>0</v>
      </c>
      <c r="R76" s="219" cm="1">
        <f t="array" ref="R76">IFERROR(('Tariff schedule'!R87/INDEX('Indicative prices'!R$1:R$916,'Price comparisons'!$I$7+$H76))-1,0)</f>
        <v>0</v>
      </c>
      <c r="S76" s="219" cm="1">
        <f t="array" ref="S76">IFERROR(('Tariff schedule'!S87/INDEX('Indicative prices'!S$1:S$916,'Price comparisons'!$I$7+$H76))-1,0)</f>
        <v>0</v>
      </c>
      <c r="T76" s="219" cm="1">
        <f t="array" ref="T76">IFERROR(('Tariff schedule'!T87/INDEX('Indicative prices'!T$1:T$916,'Price comparisons'!$I$7+$H76))-1,0)</f>
        <v>0</v>
      </c>
      <c r="U76" s="219" cm="1">
        <f t="array" ref="U76">IFERROR(('Tariff schedule'!U87/INDEX('Indicative prices'!U$1:U$916,'Price comparisons'!$I$7+$H76))-1,0)</f>
        <v>0</v>
      </c>
      <c r="V76" s="219" cm="1">
        <f t="array" ref="V76">IFERROR(('Tariff schedule'!V87/INDEX('Indicative prices'!V$1:V$916,'Price comparisons'!$I$7+$H76))-1,0)</f>
        <v>0</v>
      </c>
      <c r="W76" s="219" cm="1">
        <f t="array" ref="W76">IFERROR(('Tariff schedule'!W87/INDEX('Indicative prices'!W$1:W$916,'Price comparisons'!$I$7+$H76))-1,0)</f>
        <v>0</v>
      </c>
      <c r="X76" s="219" cm="1">
        <f t="array" ref="X76">IFERROR(('Tariff schedule'!X87/INDEX('Indicative prices'!X$1:X$916,'Price comparisons'!$I$7+$H76))-1,0)</f>
        <v>0</v>
      </c>
      <c r="Y76" s="219" cm="1">
        <f t="array" ref="Y76">IFERROR(('Tariff schedule'!Y87/INDEX('Indicative prices'!Y$1:Y$916,'Price comparisons'!$I$7+$H76))-1,0)</f>
        <v>0</v>
      </c>
      <c r="Z76" s="219" cm="1">
        <f t="array" ref="Z76">IFERROR(('Tariff schedule'!Z87/INDEX('Indicative prices'!Z$1:Z$916,'Price comparisons'!$I$7+$H76))-1,0)</f>
        <v>0</v>
      </c>
      <c r="AA76" s="219" cm="1">
        <f t="array" ref="AA76">IFERROR(('Tariff schedule'!AA87/INDEX('Indicative prices'!AA$1:AA$916,'Price comparisons'!$I$7+$H76))-1,0)</f>
        <v>0</v>
      </c>
      <c r="AB76" s="219" cm="1">
        <f t="array" ref="AB76">IFERROR(('Tariff schedule'!AB87/INDEX('Indicative prices'!AB$1:AB$916,'Price comparisons'!$I$7+$H76))-1,0)</f>
        <v>0</v>
      </c>
      <c r="AC76" s="220"/>
      <c r="AD76" s="19"/>
      <c r="AE76" s="19"/>
      <c r="AF76" s="19"/>
      <c r="AG76" s="19"/>
    </row>
    <row r="77" spans="1:33" hidden="1" outlineLevel="2" x14ac:dyDescent="0.2">
      <c r="A77" s="19"/>
      <c r="B77" s="19"/>
      <c r="C77" s="506">
        <f>Qty!C77</f>
        <v>0</v>
      </c>
      <c r="D77" s="505">
        <f>Qty!D77</f>
        <v>0</v>
      </c>
      <c r="E77" s="505">
        <f>Qty!E77</f>
        <v>0</v>
      </c>
      <c r="F77" s="505">
        <f>Qty!F77</f>
        <v>0</v>
      </c>
      <c r="G77" s="505">
        <f>Qty!G77</f>
        <v>0</v>
      </c>
      <c r="H77" s="333">
        <v>69</v>
      </c>
      <c r="I77" s="219" cm="1">
        <f t="array" ref="I77">IFERROR(('Tariff schedule'!I88/INDEX('Indicative prices'!I$1:I$916,'Price comparisons'!$I$7+$H77))-1,0)</f>
        <v>0</v>
      </c>
      <c r="J77" s="219" cm="1">
        <f t="array" ref="J77">IFERROR(('Tariff schedule'!J88/INDEX('Indicative prices'!J$1:J$916,'Price comparisons'!$I$7+$H77))-1,0)</f>
        <v>0</v>
      </c>
      <c r="K77" s="219" cm="1">
        <f t="array" ref="K77">IFERROR(('Tariff schedule'!K88/INDEX('Indicative prices'!K$1:K$916,'Price comparisons'!$I$7+$H77))-1,0)</f>
        <v>0</v>
      </c>
      <c r="L77" s="219" cm="1">
        <f t="array" ref="L77">IFERROR(('Tariff schedule'!L88/INDEX('Indicative prices'!L$1:L$916,'Price comparisons'!$I$7+$H77))-1,0)</f>
        <v>0</v>
      </c>
      <c r="M77" s="219" cm="1">
        <f t="array" ref="M77">IFERROR(('Tariff schedule'!M88/INDEX('Indicative prices'!M$1:M$916,'Price comparisons'!$I$7+$H77))-1,0)</f>
        <v>0</v>
      </c>
      <c r="N77" s="219" cm="1">
        <f t="array" ref="N77">IFERROR(('Tariff schedule'!N88/INDEX('Indicative prices'!N$1:N$916,'Price comparisons'!$I$7+$H77))-1,0)</f>
        <v>0</v>
      </c>
      <c r="O77" s="219" cm="1">
        <f t="array" ref="O77">IFERROR(('Tariff schedule'!O88/INDEX('Indicative prices'!O$1:O$916,'Price comparisons'!$I$7+$H77))-1,0)</f>
        <v>0</v>
      </c>
      <c r="P77" s="219" cm="1">
        <f t="array" ref="P77">IFERROR(('Tariff schedule'!P88/INDEX('Indicative prices'!P$1:P$916,'Price comparisons'!$I$7+$H77))-1,0)</f>
        <v>0</v>
      </c>
      <c r="Q77" s="219" cm="1">
        <f t="array" ref="Q77">IFERROR(('Tariff schedule'!Q88/INDEX('Indicative prices'!Q$1:Q$916,'Price comparisons'!$I$7+$H77))-1,0)</f>
        <v>0</v>
      </c>
      <c r="R77" s="219" cm="1">
        <f t="array" ref="R77">IFERROR(('Tariff schedule'!R88/INDEX('Indicative prices'!R$1:R$916,'Price comparisons'!$I$7+$H77))-1,0)</f>
        <v>0</v>
      </c>
      <c r="S77" s="219" cm="1">
        <f t="array" ref="S77">IFERROR(('Tariff schedule'!S88/INDEX('Indicative prices'!S$1:S$916,'Price comparisons'!$I$7+$H77))-1,0)</f>
        <v>0</v>
      </c>
      <c r="T77" s="219" cm="1">
        <f t="array" ref="T77">IFERROR(('Tariff schedule'!T88/INDEX('Indicative prices'!T$1:T$916,'Price comparisons'!$I$7+$H77))-1,0)</f>
        <v>0</v>
      </c>
      <c r="U77" s="219" cm="1">
        <f t="array" ref="U77">IFERROR(('Tariff schedule'!U88/INDEX('Indicative prices'!U$1:U$916,'Price comparisons'!$I$7+$H77))-1,0)</f>
        <v>0</v>
      </c>
      <c r="V77" s="219" cm="1">
        <f t="array" ref="V77">IFERROR(('Tariff schedule'!V88/INDEX('Indicative prices'!V$1:V$916,'Price comparisons'!$I$7+$H77))-1,0)</f>
        <v>0</v>
      </c>
      <c r="W77" s="219" cm="1">
        <f t="array" ref="W77">IFERROR(('Tariff schedule'!W88/INDEX('Indicative prices'!W$1:W$916,'Price comparisons'!$I$7+$H77))-1,0)</f>
        <v>0</v>
      </c>
      <c r="X77" s="219" cm="1">
        <f t="array" ref="X77">IFERROR(('Tariff schedule'!X88/INDEX('Indicative prices'!X$1:X$916,'Price comparisons'!$I$7+$H77))-1,0)</f>
        <v>0</v>
      </c>
      <c r="Y77" s="219" cm="1">
        <f t="array" ref="Y77">IFERROR(('Tariff schedule'!Y88/INDEX('Indicative prices'!Y$1:Y$916,'Price comparisons'!$I$7+$H77))-1,0)</f>
        <v>0</v>
      </c>
      <c r="Z77" s="219" cm="1">
        <f t="array" ref="Z77">IFERROR(('Tariff schedule'!Z88/INDEX('Indicative prices'!Z$1:Z$916,'Price comparisons'!$I$7+$H77))-1,0)</f>
        <v>0</v>
      </c>
      <c r="AA77" s="219" cm="1">
        <f t="array" ref="AA77">IFERROR(('Tariff schedule'!AA88/INDEX('Indicative prices'!AA$1:AA$916,'Price comparisons'!$I$7+$H77))-1,0)</f>
        <v>0</v>
      </c>
      <c r="AB77" s="219" cm="1">
        <f t="array" ref="AB77">IFERROR(('Tariff schedule'!AB88/INDEX('Indicative prices'!AB$1:AB$916,'Price comparisons'!$I$7+$H77))-1,0)</f>
        <v>0</v>
      </c>
      <c r="AC77" s="220"/>
      <c r="AD77" s="19"/>
      <c r="AE77" s="19"/>
      <c r="AF77" s="19"/>
      <c r="AG77" s="19"/>
    </row>
    <row r="78" spans="1:33" hidden="1" outlineLevel="2" x14ac:dyDescent="0.2">
      <c r="A78" s="19"/>
      <c r="B78" s="19"/>
      <c r="C78" s="506">
        <f>Qty!C78</f>
        <v>0</v>
      </c>
      <c r="D78" s="505">
        <f>Qty!D78</f>
        <v>0</v>
      </c>
      <c r="E78" s="505">
        <f>Qty!E78</f>
        <v>0</v>
      </c>
      <c r="F78" s="505">
        <f>Qty!F78</f>
        <v>0</v>
      </c>
      <c r="G78" s="505">
        <f>Qty!G78</f>
        <v>0</v>
      </c>
      <c r="H78" s="333">
        <v>70</v>
      </c>
      <c r="I78" s="219" cm="1">
        <f t="array" ref="I78">IFERROR(('Tariff schedule'!I89/INDEX('Indicative prices'!I$1:I$916,'Price comparisons'!$I$7+$H78))-1,0)</f>
        <v>0</v>
      </c>
      <c r="J78" s="219" cm="1">
        <f t="array" ref="J78">IFERROR(('Tariff schedule'!J89/INDEX('Indicative prices'!J$1:J$916,'Price comparisons'!$I$7+$H78))-1,0)</f>
        <v>0</v>
      </c>
      <c r="K78" s="219" cm="1">
        <f t="array" ref="K78">IFERROR(('Tariff schedule'!K89/INDEX('Indicative prices'!K$1:K$916,'Price comparisons'!$I$7+$H78))-1,0)</f>
        <v>0</v>
      </c>
      <c r="L78" s="219" cm="1">
        <f t="array" ref="L78">IFERROR(('Tariff schedule'!L89/INDEX('Indicative prices'!L$1:L$916,'Price comparisons'!$I$7+$H78))-1,0)</f>
        <v>0</v>
      </c>
      <c r="M78" s="219" cm="1">
        <f t="array" ref="M78">IFERROR(('Tariff schedule'!M89/INDEX('Indicative prices'!M$1:M$916,'Price comparisons'!$I$7+$H78))-1,0)</f>
        <v>0</v>
      </c>
      <c r="N78" s="219" cm="1">
        <f t="array" ref="N78">IFERROR(('Tariff schedule'!N89/INDEX('Indicative prices'!N$1:N$916,'Price comparisons'!$I$7+$H78))-1,0)</f>
        <v>0</v>
      </c>
      <c r="O78" s="219" cm="1">
        <f t="array" ref="O78">IFERROR(('Tariff schedule'!O89/INDEX('Indicative prices'!O$1:O$916,'Price comparisons'!$I$7+$H78))-1,0)</f>
        <v>0</v>
      </c>
      <c r="P78" s="219" cm="1">
        <f t="array" ref="P78">IFERROR(('Tariff schedule'!P89/INDEX('Indicative prices'!P$1:P$916,'Price comparisons'!$I$7+$H78))-1,0)</f>
        <v>0</v>
      </c>
      <c r="Q78" s="219" cm="1">
        <f t="array" ref="Q78">IFERROR(('Tariff schedule'!Q89/INDEX('Indicative prices'!Q$1:Q$916,'Price comparisons'!$I$7+$H78))-1,0)</f>
        <v>0</v>
      </c>
      <c r="R78" s="219" cm="1">
        <f t="array" ref="R78">IFERROR(('Tariff schedule'!R89/INDEX('Indicative prices'!R$1:R$916,'Price comparisons'!$I$7+$H78))-1,0)</f>
        <v>0</v>
      </c>
      <c r="S78" s="219" cm="1">
        <f t="array" ref="S78">IFERROR(('Tariff schedule'!S89/INDEX('Indicative prices'!S$1:S$916,'Price comparisons'!$I$7+$H78))-1,0)</f>
        <v>0</v>
      </c>
      <c r="T78" s="219" cm="1">
        <f t="array" ref="T78">IFERROR(('Tariff schedule'!T89/INDEX('Indicative prices'!T$1:T$916,'Price comparisons'!$I$7+$H78))-1,0)</f>
        <v>0</v>
      </c>
      <c r="U78" s="219" cm="1">
        <f t="array" ref="U78">IFERROR(('Tariff schedule'!U89/INDEX('Indicative prices'!U$1:U$916,'Price comparisons'!$I$7+$H78))-1,0)</f>
        <v>0</v>
      </c>
      <c r="V78" s="219" cm="1">
        <f t="array" ref="V78">IFERROR(('Tariff schedule'!V89/INDEX('Indicative prices'!V$1:V$916,'Price comparisons'!$I$7+$H78))-1,0)</f>
        <v>0</v>
      </c>
      <c r="W78" s="219" cm="1">
        <f t="array" ref="W78">IFERROR(('Tariff schedule'!W89/INDEX('Indicative prices'!W$1:W$916,'Price comparisons'!$I$7+$H78))-1,0)</f>
        <v>0</v>
      </c>
      <c r="X78" s="219" cm="1">
        <f t="array" ref="X78">IFERROR(('Tariff schedule'!X89/INDEX('Indicative prices'!X$1:X$916,'Price comparisons'!$I$7+$H78))-1,0)</f>
        <v>0</v>
      </c>
      <c r="Y78" s="219" cm="1">
        <f t="array" ref="Y78">IFERROR(('Tariff schedule'!Y89/INDEX('Indicative prices'!Y$1:Y$916,'Price comparisons'!$I$7+$H78))-1,0)</f>
        <v>0</v>
      </c>
      <c r="Z78" s="219" cm="1">
        <f t="array" ref="Z78">IFERROR(('Tariff schedule'!Z89/INDEX('Indicative prices'!Z$1:Z$916,'Price comparisons'!$I$7+$H78))-1,0)</f>
        <v>0</v>
      </c>
      <c r="AA78" s="219" cm="1">
        <f t="array" ref="AA78">IFERROR(('Tariff schedule'!AA89/INDEX('Indicative prices'!AA$1:AA$916,'Price comparisons'!$I$7+$H78))-1,0)</f>
        <v>0</v>
      </c>
      <c r="AB78" s="219" cm="1">
        <f t="array" ref="AB78">IFERROR(('Tariff schedule'!AB89/INDEX('Indicative prices'!AB$1:AB$916,'Price comparisons'!$I$7+$H78))-1,0)</f>
        <v>0</v>
      </c>
      <c r="AC78" s="220"/>
      <c r="AD78" s="19"/>
      <c r="AE78" s="19"/>
      <c r="AF78" s="19"/>
      <c r="AG78" s="19"/>
    </row>
    <row r="79" spans="1:33" hidden="1" outlineLevel="2" x14ac:dyDescent="0.2">
      <c r="A79" s="19"/>
      <c r="B79" s="19"/>
      <c r="C79" s="506">
        <f>Qty!C79</f>
        <v>0</v>
      </c>
      <c r="D79" s="505">
        <f>Qty!D79</f>
        <v>0</v>
      </c>
      <c r="E79" s="505">
        <f>Qty!E79</f>
        <v>0</v>
      </c>
      <c r="F79" s="505">
        <f>Qty!F79</f>
        <v>0</v>
      </c>
      <c r="G79" s="505">
        <f>Qty!G79</f>
        <v>0</v>
      </c>
      <c r="H79" s="333">
        <v>71</v>
      </c>
      <c r="I79" s="219" cm="1">
        <f t="array" ref="I79">IFERROR(('Tariff schedule'!I90/INDEX('Indicative prices'!I$1:I$916,'Price comparisons'!$I$7+$H79))-1,0)</f>
        <v>0</v>
      </c>
      <c r="J79" s="219" cm="1">
        <f t="array" ref="J79">IFERROR(('Tariff schedule'!J90/INDEX('Indicative prices'!J$1:J$916,'Price comparisons'!$I$7+$H79))-1,0)</f>
        <v>0</v>
      </c>
      <c r="K79" s="219" cm="1">
        <f t="array" ref="K79">IFERROR(('Tariff schedule'!K90/INDEX('Indicative prices'!K$1:K$916,'Price comparisons'!$I$7+$H79))-1,0)</f>
        <v>0</v>
      </c>
      <c r="L79" s="219" cm="1">
        <f t="array" ref="L79">IFERROR(('Tariff schedule'!L90/INDEX('Indicative prices'!L$1:L$916,'Price comparisons'!$I$7+$H79))-1,0)</f>
        <v>0</v>
      </c>
      <c r="M79" s="219" cm="1">
        <f t="array" ref="M79">IFERROR(('Tariff schedule'!M90/INDEX('Indicative prices'!M$1:M$916,'Price comparisons'!$I$7+$H79))-1,0)</f>
        <v>0</v>
      </c>
      <c r="N79" s="219" cm="1">
        <f t="array" ref="N79">IFERROR(('Tariff schedule'!N90/INDEX('Indicative prices'!N$1:N$916,'Price comparisons'!$I$7+$H79))-1,0)</f>
        <v>0</v>
      </c>
      <c r="O79" s="219" cm="1">
        <f t="array" ref="O79">IFERROR(('Tariff schedule'!O90/INDEX('Indicative prices'!O$1:O$916,'Price comparisons'!$I$7+$H79))-1,0)</f>
        <v>0</v>
      </c>
      <c r="P79" s="219" cm="1">
        <f t="array" ref="P79">IFERROR(('Tariff schedule'!P90/INDEX('Indicative prices'!P$1:P$916,'Price comparisons'!$I$7+$H79))-1,0)</f>
        <v>0</v>
      </c>
      <c r="Q79" s="219" cm="1">
        <f t="array" ref="Q79">IFERROR(('Tariff schedule'!Q90/INDEX('Indicative prices'!Q$1:Q$916,'Price comparisons'!$I$7+$H79))-1,0)</f>
        <v>0</v>
      </c>
      <c r="R79" s="219" cm="1">
        <f t="array" ref="R79">IFERROR(('Tariff schedule'!R90/INDEX('Indicative prices'!R$1:R$916,'Price comparisons'!$I$7+$H79))-1,0)</f>
        <v>0</v>
      </c>
      <c r="S79" s="219" cm="1">
        <f t="array" ref="S79">IFERROR(('Tariff schedule'!S90/INDEX('Indicative prices'!S$1:S$916,'Price comparisons'!$I$7+$H79))-1,0)</f>
        <v>0</v>
      </c>
      <c r="T79" s="219" cm="1">
        <f t="array" ref="T79">IFERROR(('Tariff schedule'!T90/INDEX('Indicative prices'!T$1:T$916,'Price comparisons'!$I$7+$H79))-1,0)</f>
        <v>0</v>
      </c>
      <c r="U79" s="219" cm="1">
        <f t="array" ref="U79">IFERROR(('Tariff schedule'!U90/INDEX('Indicative prices'!U$1:U$916,'Price comparisons'!$I$7+$H79))-1,0)</f>
        <v>0</v>
      </c>
      <c r="V79" s="219" cm="1">
        <f t="array" ref="V79">IFERROR(('Tariff schedule'!V90/INDEX('Indicative prices'!V$1:V$916,'Price comparisons'!$I$7+$H79))-1,0)</f>
        <v>0</v>
      </c>
      <c r="W79" s="219" cm="1">
        <f t="array" ref="W79">IFERROR(('Tariff schedule'!W90/INDEX('Indicative prices'!W$1:W$916,'Price comparisons'!$I$7+$H79))-1,0)</f>
        <v>0</v>
      </c>
      <c r="X79" s="219" cm="1">
        <f t="array" ref="X79">IFERROR(('Tariff schedule'!X90/INDEX('Indicative prices'!X$1:X$916,'Price comparisons'!$I$7+$H79))-1,0)</f>
        <v>0</v>
      </c>
      <c r="Y79" s="219" cm="1">
        <f t="array" ref="Y79">IFERROR(('Tariff schedule'!Y90/INDEX('Indicative prices'!Y$1:Y$916,'Price comparisons'!$I$7+$H79))-1,0)</f>
        <v>0</v>
      </c>
      <c r="Z79" s="219" cm="1">
        <f t="array" ref="Z79">IFERROR(('Tariff schedule'!Z90/INDEX('Indicative prices'!Z$1:Z$916,'Price comparisons'!$I$7+$H79))-1,0)</f>
        <v>0</v>
      </c>
      <c r="AA79" s="219" cm="1">
        <f t="array" ref="AA79">IFERROR(('Tariff schedule'!AA90/INDEX('Indicative prices'!AA$1:AA$916,'Price comparisons'!$I$7+$H79))-1,0)</f>
        <v>0</v>
      </c>
      <c r="AB79" s="219" cm="1">
        <f t="array" ref="AB79">IFERROR(('Tariff schedule'!AB90/INDEX('Indicative prices'!AB$1:AB$916,'Price comparisons'!$I$7+$H79))-1,0)</f>
        <v>0</v>
      </c>
      <c r="AC79" s="220"/>
      <c r="AD79" s="19"/>
      <c r="AE79" s="19"/>
      <c r="AF79" s="19"/>
      <c r="AG79" s="19"/>
    </row>
    <row r="80" spans="1:33" hidden="1" outlineLevel="2" x14ac:dyDescent="0.2">
      <c r="A80" s="19"/>
      <c r="B80" s="19"/>
      <c r="C80" s="506">
        <f>Qty!C80</f>
        <v>0</v>
      </c>
      <c r="D80" s="505">
        <f>Qty!D80</f>
        <v>0</v>
      </c>
      <c r="E80" s="505">
        <f>Qty!E80</f>
        <v>0</v>
      </c>
      <c r="F80" s="505">
        <f>Qty!F80</f>
        <v>0</v>
      </c>
      <c r="G80" s="505">
        <f>Qty!G80</f>
        <v>0</v>
      </c>
      <c r="H80" s="333">
        <v>72</v>
      </c>
      <c r="I80" s="219" cm="1">
        <f t="array" ref="I80">IFERROR(('Tariff schedule'!I91/INDEX('Indicative prices'!I$1:I$916,'Price comparisons'!$I$7+$H80))-1,0)</f>
        <v>0</v>
      </c>
      <c r="J80" s="219" cm="1">
        <f t="array" ref="J80">IFERROR(('Tariff schedule'!J91/INDEX('Indicative prices'!J$1:J$916,'Price comparisons'!$I$7+$H80))-1,0)</f>
        <v>0</v>
      </c>
      <c r="K80" s="219" cm="1">
        <f t="array" ref="K80">IFERROR(('Tariff schedule'!K91/INDEX('Indicative prices'!K$1:K$916,'Price comparisons'!$I$7+$H80))-1,0)</f>
        <v>0</v>
      </c>
      <c r="L80" s="219" cm="1">
        <f t="array" ref="L80">IFERROR(('Tariff schedule'!L91/INDEX('Indicative prices'!L$1:L$916,'Price comparisons'!$I$7+$H80))-1,0)</f>
        <v>0</v>
      </c>
      <c r="M80" s="219" cm="1">
        <f t="array" ref="M80">IFERROR(('Tariff schedule'!M91/INDEX('Indicative prices'!M$1:M$916,'Price comparisons'!$I$7+$H80))-1,0)</f>
        <v>0</v>
      </c>
      <c r="N80" s="219" cm="1">
        <f t="array" ref="N80">IFERROR(('Tariff schedule'!N91/INDEX('Indicative prices'!N$1:N$916,'Price comparisons'!$I$7+$H80))-1,0)</f>
        <v>0</v>
      </c>
      <c r="O80" s="219" cm="1">
        <f t="array" ref="O80">IFERROR(('Tariff schedule'!O91/INDEX('Indicative prices'!O$1:O$916,'Price comparisons'!$I$7+$H80))-1,0)</f>
        <v>0</v>
      </c>
      <c r="P80" s="219" cm="1">
        <f t="array" ref="P80">IFERROR(('Tariff schedule'!P91/INDEX('Indicative prices'!P$1:P$916,'Price comparisons'!$I$7+$H80))-1,0)</f>
        <v>0</v>
      </c>
      <c r="Q80" s="219" cm="1">
        <f t="array" ref="Q80">IFERROR(('Tariff schedule'!Q91/INDEX('Indicative prices'!Q$1:Q$916,'Price comparisons'!$I$7+$H80))-1,0)</f>
        <v>0</v>
      </c>
      <c r="R80" s="219" cm="1">
        <f t="array" ref="R80">IFERROR(('Tariff schedule'!R91/INDEX('Indicative prices'!R$1:R$916,'Price comparisons'!$I$7+$H80))-1,0)</f>
        <v>0</v>
      </c>
      <c r="S80" s="219" cm="1">
        <f t="array" ref="S80">IFERROR(('Tariff schedule'!S91/INDEX('Indicative prices'!S$1:S$916,'Price comparisons'!$I$7+$H80))-1,0)</f>
        <v>0</v>
      </c>
      <c r="T80" s="219" cm="1">
        <f t="array" ref="T80">IFERROR(('Tariff schedule'!T91/INDEX('Indicative prices'!T$1:T$916,'Price comparisons'!$I$7+$H80))-1,0)</f>
        <v>0</v>
      </c>
      <c r="U80" s="219" cm="1">
        <f t="array" ref="U80">IFERROR(('Tariff schedule'!U91/INDEX('Indicative prices'!U$1:U$916,'Price comparisons'!$I$7+$H80))-1,0)</f>
        <v>0</v>
      </c>
      <c r="V80" s="219" cm="1">
        <f t="array" ref="V80">IFERROR(('Tariff schedule'!V91/INDEX('Indicative prices'!V$1:V$916,'Price comparisons'!$I$7+$H80))-1,0)</f>
        <v>0</v>
      </c>
      <c r="W80" s="219" cm="1">
        <f t="array" ref="W80">IFERROR(('Tariff schedule'!W91/INDEX('Indicative prices'!W$1:W$916,'Price comparisons'!$I$7+$H80))-1,0)</f>
        <v>0</v>
      </c>
      <c r="X80" s="219" cm="1">
        <f t="array" ref="X80">IFERROR(('Tariff schedule'!X91/INDEX('Indicative prices'!X$1:X$916,'Price comparisons'!$I$7+$H80))-1,0)</f>
        <v>0</v>
      </c>
      <c r="Y80" s="219" cm="1">
        <f t="array" ref="Y80">IFERROR(('Tariff schedule'!Y91/INDEX('Indicative prices'!Y$1:Y$916,'Price comparisons'!$I$7+$H80))-1,0)</f>
        <v>0</v>
      </c>
      <c r="Z80" s="219" cm="1">
        <f t="array" ref="Z80">IFERROR(('Tariff schedule'!Z91/INDEX('Indicative prices'!Z$1:Z$916,'Price comparisons'!$I$7+$H80))-1,0)</f>
        <v>0</v>
      </c>
      <c r="AA80" s="219" cm="1">
        <f t="array" ref="AA80">IFERROR(('Tariff schedule'!AA91/INDEX('Indicative prices'!AA$1:AA$916,'Price comparisons'!$I$7+$H80))-1,0)</f>
        <v>0</v>
      </c>
      <c r="AB80" s="219" cm="1">
        <f t="array" ref="AB80">IFERROR(('Tariff schedule'!AB91/INDEX('Indicative prices'!AB$1:AB$916,'Price comparisons'!$I$7+$H80))-1,0)</f>
        <v>0</v>
      </c>
      <c r="AC80" s="220"/>
      <c r="AD80" s="19"/>
      <c r="AE80" s="19"/>
      <c r="AF80" s="19"/>
      <c r="AG80" s="19"/>
    </row>
    <row r="81" spans="1:33" hidden="1" outlineLevel="2" x14ac:dyDescent="0.2">
      <c r="A81" s="19"/>
      <c r="B81" s="19"/>
      <c r="C81" s="506">
        <f>Qty!C81</f>
        <v>0</v>
      </c>
      <c r="D81" s="505">
        <f>Qty!D81</f>
        <v>0</v>
      </c>
      <c r="E81" s="505">
        <f>Qty!E81</f>
        <v>0</v>
      </c>
      <c r="F81" s="505">
        <f>Qty!F81</f>
        <v>0</v>
      </c>
      <c r="G81" s="505">
        <f>Qty!G81</f>
        <v>0</v>
      </c>
      <c r="H81" s="333">
        <v>73</v>
      </c>
      <c r="I81" s="219" cm="1">
        <f t="array" ref="I81">IFERROR(('Tariff schedule'!I92/INDEX('Indicative prices'!I$1:I$916,'Price comparisons'!$I$7+$H81))-1,0)</f>
        <v>0</v>
      </c>
      <c r="J81" s="219" cm="1">
        <f t="array" ref="J81">IFERROR(('Tariff schedule'!J92/INDEX('Indicative prices'!J$1:J$916,'Price comparisons'!$I$7+$H81))-1,0)</f>
        <v>0</v>
      </c>
      <c r="K81" s="219" cm="1">
        <f t="array" ref="K81">IFERROR(('Tariff schedule'!K92/INDEX('Indicative prices'!K$1:K$916,'Price comparisons'!$I$7+$H81))-1,0)</f>
        <v>0</v>
      </c>
      <c r="L81" s="219" cm="1">
        <f t="array" ref="L81">IFERROR(('Tariff schedule'!L92/INDEX('Indicative prices'!L$1:L$916,'Price comparisons'!$I$7+$H81))-1,0)</f>
        <v>0</v>
      </c>
      <c r="M81" s="219" cm="1">
        <f t="array" ref="M81">IFERROR(('Tariff schedule'!M92/INDEX('Indicative prices'!M$1:M$916,'Price comparisons'!$I$7+$H81))-1,0)</f>
        <v>0</v>
      </c>
      <c r="N81" s="219" cm="1">
        <f t="array" ref="N81">IFERROR(('Tariff schedule'!N92/INDEX('Indicative prices'!N$1:N$916,'Price comparisons'!$I$7+$H81))-1,0)</f>
        <v>0</v>
      </c>
      <c r="O81" s="219" cm="1">
        <f t="array" ref="O81">IFERROR(('Tariff schedule'!O92/INDEX('Indicative prices'!O$1:O$916,'Price comparisons'!$I$7+$H81))-1,0)</f>
        <v>0</v>
      </c>
      <c r="P81" s="219" cm="1">
        <f t="array" ref="P81">IFERROR(('Tariff schedule'!P92/INDEX('Indicative prices'!P$1:P$916,'Price comparisons'!$I$7+$H81))-1,0)</f>
        <v>0</v>
      </c>
      <c r="Q81" s="219" cm="1">
        <f t="array" ref="Q81">IFERROR(('Tariff schedule'!Q92/INDEX('Indicative prices'!Q$1:Q$916,'Price comparisons'!$I$7+$H81))-1,0)</f>
        <v>0</v>
      </c>
      <c r="R81" s="219" cm="1">
        <f t="array" ref="R81">IFERROR(('Tariff schedule'!R92/INDEX('Indicative prices'!R$1:R$916,'Price comparisons'!$I$7+$H81))-1,0)</f>
        <v>0</v>
      </c>
      <c r="S81" s="219" cm="1">
        <f t="array" ref="S81">IFERROR(('Tariff schedule'!S92/INDEX('Indicative prices'!S$1:S$916,'Price comparisons'!$I$7+$H81))-1,0)</f>
        <v>0</v>
      </c>
      <c r="T81" s="219" cm="1">
        <f t="array" ref="T81">IFERROR(('Tariff schedule'!T92/INDEX('Indicative prices'!T$1:T$916,'Price comparisons'!$I$7+$H81))-1,0)</f>
        <v>0</v>
      </c>
      <c r="U81" s="219" cm="1">
        <f t="array" ref="U81">IFERROR(('Tariff schedule'!U92/INDEX('Indicative prices'!U$1:U$916,'Price comparisons'!$I$7+$H81))-1,0)</f>
        <v>0</v>
      </c>
      <c r="V81" s="219" cm="1">
        <f t="array" ref="V81">IFERROR(('Tariff schedule'!V92/INDEX('Indicative prices'!V$1:V$916,'Price comparisons'!$I$7+$H81))-1,0)</f>
        <v>0</v>
      </c>
      <c r="W81" s="219" cm="1">
        <f t="array" ref="W81">IFERROR(('Tariff schedule'!W92/INDEX('Indicative prices'!W$1:W$916,'Price comparisons'!$I$7+$H81))-1,0)</f>
        <v>0</v>
      </c>
      <c r="X81" s="219" cm="1">
        <f t="array" ref="X81">IFERROR(('Tariff schedule'!X92/INDEX('Indicative prices'!X$1:X$916,'Price comparisons'!$I$7+$H81))-1,0)</f>
        <v>0</v>
      </c>
      <c r="Y81" s="219" cm="1">
        <f t="array" ref="Y81">IFERROR(('Tariff schedule'!Y92/INDEX('Indicative prices'!Y$1:Y$916,'Price comparisons'!$I$7+$H81))-1,0)</f>
        <v>0</v>
      </c>
      <c r="Z81" s="219" cm="1">
        <f t="array" ref="Z81">IFERROR(('Tariff schedule'!Z92/INDEX('Indicative prices'!Z$1:Z$916,'Price comparisons'!$I$7+$H81))-1,0)</f>
        <v>0</v>
      </c>
      <c r="AA81" s="219" cm="1">
        <f t="array" ref="AA81">IFERROR(('Tariff schedule'!AA92/INDEX('Indicative prices'!AA$1:AA$916,'Price comparisons'!$I$7+$H81))-1,0)</f>
        <v>0</v>
      </c>
      <c r="AB81" s="219" cm="1">
        <f t="array" ref="AB81">IFERROR(('Tariff schedule'!AB92/INDEX('Indicative prices'!AB$1:AB$916,'Price comparisons'!$I$7+$H81))-1,0)</f>
        <v>0</v>
      </c>
      <c r="AC81" s="220"/>
      <c r="AD81" s="19"/>
      <c r="AE81" s="19"/>
      <c r="AF81" s="19"/>
      <c r="AG81" s="19"/>
    </row>
    <row r="82" spans="1:33" hidden="1" outlineLevel="2" x14ac:dyDescent="0.2">
      <c r="A82" s="19"/>
      <c r="B82" s="19"/>
      <c r="C82" s="506">
        <f>Qty!C82</f>
        <v>0</v>
      </c>
      <c r="D82" s="505">
        <f>Qty!D82</f>
        <v>0</v>
      </c>
      <c r="E82" s="505">
        <f>Qty!E82</f>
        <v>0</v>
      </c>
      <c r="F82" s="505">
        <f>Qty!F82</f>
        <v>0</v>
      </c>
      <c r="G82" s="505">
        <f>Qty!G82</f>
        <v>0</v>
      </c>
      <c r="H82" s="333">
        <v>74</v>
      </c>
      <c r="I82" s="219" cm="1">
        <f t="array" ref="I82">IFERROR(('Tariff schedule'!I93/INDEX('Indicative prices'!I$1:I$916,'Price comparisons'!$I$7+$H82))-1,0)</f>
        <v>0</v>
      </c>
      <c r="J82" s="219" cm="1">
        <f t="array" ref="J82">IFERROR(('Tariff schedule'!J93/INDEX('Indicative prices'!J$1:J$916,'Price comparisons'!$I$7+$H82))-1,0)</f>
        <v>0</v>
      </c>
      <c r="K82" s="219" cm="1">
        <f t="array" ref="K82">IFERROR(('Tariff schedule'!K93/INDEX('Indicative prices'!K$1:K$916,'Price comparisons'!$I$7+$H82))-1,0)</f>
        <v>0</v>
      </c>
      <c r="L82" s="219" cm="1">
        <f t="array" ref="L82">IFERROR(('Tariff schedule'!L93/INDEX('Indicative prices'!L$1:L$916,'Price comparisons'!$I$7+$H82))-1,0)</f>
        <v>0</v>
      </c>
      <c r="M82" s="219" cm="1">
        <f t="array" ref="M82">IFERROR(('Tariff schedule'!M93/INDEX('Indicative prices'!M$1:M$916,'Price comparisons'!$I$7+$H82))-1,0)</f>
        <v>0</v>
      </c>
      <c r="N82" s="219" cm="1">
        <f t="array" ref="N82">IFERROR(('Tariff schedule'!N93/INDEX('Indicative prices'!N$1:N$916,'Price comparisons'!$I$7+$H82))-1,0)</f>
        <v>0</v>
      </c>
      <c r="O82" s="219" cm="1">
        <f t="array" ref="O82">IFERROR(('Tariff schedule'!O93/INDEX('Indicative prices'!O$1:O$916,'Price comparisons'!$I$7+$H82))-1,0)</f>
        <v>0</v>
      </c>
      <c r="P82" s="219" cm="1">
        <f t="array" ref="P82">IFERROR(('Tariff schedule'!P93/INDEX('Indicative prices'!P$1:P$916,'Price comparisons'!$I$7+$H82))-1,0)</f>
        <v>0</v>
      </c>
      <c r="Q82" s="219" cm="1">
        <f t="array" ref="Q82">IFERROR(('Tariff schedule'!Q93/INDEX('Indicative prices'!Q$1:Q$916,'Price comparisons'!$I$7+$H82))-1,0)</f>
        <v>0</v>
      </c>
      <c r="R82" s="219" cm="1">
        <f t="array" ref="R82">IFERROR(('Tariff schedule'!R93/INDEX('Indicative prices'!R$1:R$916,'Price comparisons'!$I$7+$H82))-1,0)</f>
        <v>0</v>
      </c>
      <c r="S82" s="219" cm="1">
        <f t="array" ref="S82">IFERROR(('Tariff schedule'!S93/INDEX('Indicative prices'!S$1:S$916,'Price comparisons'!$I$7+$H82))-1,0)</f>
        <v>0</v>
      </c>
      <c r="T82" s="219" cm="1">
        <f t="array" ref="T82">IFERROR(('Tariff schedule'!T93/INDEX('Indicative prices'!T$1:T$916,'Price comparisons'!$I$7+$H82))-1,0)</f>
        <v>0</v>
      </c>
      <c r="U82" s="219" cm="1">
        <f t="array" ref="U82">IFERROR(('Tariff schedule'!U93/INDEX('Indicative prices'!U$1:U$916,'Price comparisons'!$I$7+$H82))-1,0)</f>
        <v>0</v>
      </c>
      <c r="V82" s="219" cm="1">
        <f t="array" ref="V82">IFERROR(('Tariff schedule'!V93/INDEX('Indicative prices'!V$1:V$916,'Price comparisons'!$I$7+$H82))-1,0)</f>
        <v>0</v>
      </c>
      <c r="W82" s="219" cm="1">
        <f t="array" ref="W82">IFERROR(('Tariff schedule'!W93/INDEX('Indicative prices'!W$1:W$916,'Price comparisons'!$I$7+$H82))-1,0)</f>
        <v>0</v>
      </c>
      <c r="X82" s="219" cm="1">
        <f t="array" ref="X82">IFERROR(('Tariff schedule'!X93/INDEX('Indicative prices'!X$1:X$916,'Price comparisons'!$I$7+$H82))-1,0)</f>
        <v>0</v>
      </c>
      <c r="Y82" s="219" cm="1">
        <f t="array" ref="Y82">IFERROR(('Tariff schedule'!Y93/INDEX('Indicative prices'!Y$1:Y$916,'Price comparisons'!$I$7+$H82))-1,0)</f>
        <v>0</v>
      </c>
      <c r="Z82" s="219" cm="1">
        <f t="array" ref="Z82">IFERROR(('Tariff schedule'!Z93/INDEX('Indicative prices'!Z$1:Z$916,'Price comparisons'!$I$7+$H82))-1,0)</f>
        <v>0</v>
      </c>
      <c r="AA82" s="219" cm="1">
        <f t="array" ref="AA82">IFERROR(('Tariff schedule'!AA93/INDEX('Indicative prices'!AA$1:AA$916,'Price comparisons'!$I$7+$H82))-1,0)</f>
        <v>0</v>
      </c>
      <c r="AB82" s="219" cm="1">
        <f t="array" ref="AB82">IFERROR(('Tariff schedule'!AB93/INDEX('Indicative prices'!AB$1:AB$916,'Price comparisons'!$I$7+$H82))-1,0)</f>
        <v>0</v>
      </c>
      <c r="AC82" s="220"/>
      <c r="AD82" s="19"/>
      <c r="AE82" s="19"/>
      <c r="AF82" s="19"/>
      <c r="AG82" s="19"/>
    </row>
    <row r="83" spans="1:33" outlineLevel="1" collapsed="1" x14ac:dyDescent="0.2">
      <c r="A83" s="19"/>
      <c r="B83" s="19"/>
      <c r="C83" s="60"/>
      <c r="D83" s="61"/>
      <c r="E83" s="58"/>
      <c r="F83" s="58"/>
      <c r="G83" s="58"/>
      <c r="H83" s="334"/>
      <c r="I83" s="244"/>
      <c r="J83" s="244"/>
      <c r="K83" s="220"/>
      <c r="L83" s="220"/>
      <c r="M83" s="220"/>
      <c r="N83" s="245"/>
      <c r="O83" s="245"/>
      <c r="P83" s="245"/>
      <c r="Q83" s="245"/>
      <c r="R83" s="245"/>
      <c r="S83" s="220"/>
      <c r="T83" s="220"/>
      <c r="U83" s="220"/>
      <c r="V83" s="220"/>
      <c r="W83" s="220"/>
      <c r="X83" s="220"/>
      <c r="Y83" s="220"/>
      <c r="Z83" s="220"/>
      <c r="AA83" s="220"/>
      <c r="AB83" s="220"/>
      <c r="AC83" s="220"/>
      <c r="AD83" s="19"/>
      <c r="AE83" s="19"/>
      <c r="AF83" s="19"/>
      <c r="AG83" s="19"/>
    </row>
    <row r="84" spans="1:33" x14ac:dyDescent="0.2">
      <c r="A84" s="19"/>
      <c r="B84" s="19"/>
      <c r="C84" s="66"/>
      <c r="D84" s="58"/>
      <c r="E84" s="58"/>
      <c r="F84" s="58"/>
      <c r="G84" s="58"/>
      <c r="H84" s="334"/>
      <c r="I84" s="244"/>
      <c r="J84" s="244"/>
      <c r="K84" s="220"/>
      <c r="L84" s="220"/>
      <c r="M84" s="220"/>
      <c r="N84" s="245"/>
      <c r="O84" s="245"/>
      <c r="P84" s="245"/>
      <c r="Q84" s="245"/>
      <c r="R84" s="245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19"/>
      <c r="AE84" s="19"/>
      <c r="AF84" s="19"/>
      <c r="AG84" s="19"/>
    </row>
    <row r="85" spans="1:33" ht="37.5" customHeight="1" x14ac:dyDescent="0.2">
      <c r="A85" s="11"/>
      <c r="B85" s="12" t="str">
        <f>"Compliance table 7 | Comparison to indicative "&amp;forecastyear&amp;" CONFIDENTIAL tariff prices"</f>
        <v>Compliance table 7 | Comparison to indicative 2022–23 CONFIDENTIAL tariff prices</v>
      </c>
      <c r="C85" s="11"/>
      <c r="D85" s="32"/>
      <c r="E85" s="32" t="str">
        <f>tariffid1</f>
        <v>Code</v>
      </c>
      <c r="F85" s="32" t="str">
        <f>tariffid2</f>
        <v>Trans. Node</v>
      </c>
      <c r="G85" s="32" t="str">
        <f>tariffid3</f>
        <v>Other identifier</v>
      </c>
      <c r="H85" s="335"/>
      <c r="I85" s="603" t="str">
        <f t="shared" ref="I85:AB85" si="0">I5</f>
        <v>Service</v>
      </c>
      <c r="J85" s="603" t="str">
        <f t="shared" si="0"/>
        <v>All energy</v>
      </c>
      <c r="K85" s="603" t="str">
        <f t="shared" si="0"/>
        <v>Peak energy</v>
      </c>
      <c r="L85" s="603" t="str">
        <f t="shared" si="0"/>
        <v>Shoulder energy</v>
      </c>
      <c r="M85" s="603" t="str">
        <f t="shared" si="0"/>
        <v>Off-peak energy</v>
      </c>
      <c r="N85" s="603" t="str">
        <f t="shared" si="0"/>
        <v>All demand</v>
      </c>
      <c r="O85" s="603" t="str">
        <f t="shared" si="0"/>
        <v>Peak demand</v>
      </c>
      <c r="P85" s="603" t="str">
        <f t="shared" si="0"/>
        <v>Off-peak demand</v>
      </c>
      <c r="Q85" s="603" t="str">
        <f t="shared" si="0"/>
        <v>Specified demand</v>
      </c>
      <c r="R85" s="603" t="str">
        <f t="shared" si="0"/>
        <v>Excess daily demand</v>
      </c>
      <c r="S85" s="603" t="str">
        <f t="shared" si="0"/>
        <v>Daily demand connection</v>
      </c>
      <c r="T85" s="603" t="str">
        <f>T5</f>
        <v>Excess daily demand connection</v>
      </c>
      <c r="U85" s="603" t="str">
        <f t="shared" si="0"/>
        <v>All demand (lamps)</v>
      </c>
      <c r="V85" s="183">
        <f t="shared" si="0"/>
        <v>0</v>
      </c>
      <c r="W85" s="183">
        <f t="shared" si="0"/>
        <v>0</v>
      </c>
      <c r="X85" s="183">
        <f t="shared" si="0"/>
        <v>0</v>
      </c>
      <c r="Y85" s="183">
        <f t="shared" si="0"/>
        <v>0</v>
      </c>
      <c r="Z85" s="183">
        <f t="shared" si="0"/>
        <v>0</v>
      </c>
      <c r="AA85" s="183">
        <f t="shared" si="0"/>
        <v>0</v>
      </c>
      <c r="AB85" s="183">
        <f t="shared" si="0"/>
        <v>0</v>
      </c>
      <c r="AC85" s="32"/>
      <c r="AD85" s="15"/>
      <c r="AE85" s="15"/>
      <c r="AF85" s="15"/>
      <c r="AG85" s="15"/>
    </row>
    <row r="86" spans="1:33" outlineLevel="1" x14ac:dyDescent="0.2">
      <c r="A86" s="19"/>
      <c r="B86" s="19"/>
      <c r="C86" s="36"/>
      <c r="D86" s="20"/>
      <c r="E86" s="20"/>
      <c r="F86" s="20"/>
      <c r="G86" s="22"/>
      <c r="H86" s="332"/>
      <c r="I86" s="170">
        <f t="shared" ref="I86:AB86" si="1">I6</f>
        <v>0</v>
      </c>
      <c r="J86" s="170">
        <f t="shared" si="1"/>
        <v>0</v>
      </c>
      <c r="K86" s="170">
        <f t="shared" si="1"/>
        <v>0</v>
      </c>
      <c r="L86" s="170">
        <f t="shared" si="1"/>
        <v>0</v>
      </c>
      <c r="M86" s="170">
        <f t="shared" si="1"/>
        <v>0</v>
      </c>
      <c r="N86" s="170">
        <f t="shared" si="1"/>
        <v>0</v>
      </c>
      <c r="O86" s="170">
        <f t="shared" si="1"/>
        <v>0</v>
      </c>
      <c r="P86" s="170">
        <f t="shared" si="1"/>
        <v>0</v>
      </c>
      <c r="Q86" s="170">
        <f t="shared" si="1"/>
        <v>0</v>
      </c>
      <c r="R86" s="170">
        <f t="shared" si="1"/>
        <v>0</v>
      </c>
      <c r="S86" s="170">
        <f t="shared" si="1"/>
        <v>0</v>
      </c>
      <c r="T86" s="170">
        <f t="shared" si="1"/>
        <v>0</v>
      </c>
      <c r="U86" s="170">
        <f t="shared" si="1"/>
        <v>0</v>
      </c>
      <c r="V86" s="170">
        <f t="shared" si="1"/>
        <v>0</v>
      </c>
      <c r="W86" s="170">
        <f t="shared" si="1"/>
        <v>0</v>
      </c>
      <c r="X86" s="170">
        <f t="shared" si="1"/>
        <v>0</v>
      </c>
      <c r="Y86" s="170">
        <f t="shared" si="1"/>
        <v>0</v>
      </c>
      <c r="Z86" s="170">
        <f t="shared" si="1"/>
        <v>0</v>
      </c>
      <c r="AA86" s="170">
        <f t="shared" si="1"/>
        <v>0</v>
      </c>
      <c r="AB86" s="170">
        <f t="shared" si="1"/>
        <v>0</v>
      </c>
      <c r="AC86" s="22"/>
      <c r="AD86" s="19"/>
      <c r="AE86" s="19"/>
      <c r="AF86" s="19"/>
      <c r="AG86" s="19"/>
    </row>
    <row r="87" spans="1:33" outlineLevel="1" x14ac:dyDescent="0.2">
      <c r="A87" s="19"/>
      <c r="B87" s="19"/>
      <c r="C87" s="167" t="str">
        <f>C7</f>
        <v>Total network prices</v>
      </c>
      <c r="D87" s="20"/>
      <c r="E87" s="20"/>
      <c r="F87" s="20"/>
      <c r="G87" s="22"/>
      <c r="H87" s="332"/>
      <c r="I87" s="327">
        <f>IF(forecastyear=RCP_firstyear,ROW('Indicative prices'!I401),IF(forecastyear=RCP_secondyear,ROW('Indicative prices'!I504),IF(forecastyear=RCP_thirdyear,ROW('Indicative prices'!I607),IF(forecastyear=RCP_fourthyear,ROW('Indicative prices'!I710),IF(forecastyear=RCP_lastyear,ROW('Indicative prices'!I813),"")))))</f>
        <v>710</v>
      </c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19"/>
      <c r="AE87" s="19"/>
      <c r="AF87" s="19"/>
      <c r="AG87" s="19"/>
    </row>
    <row r="88" spans="1:33" outlineLevel="1" x14ac:dyDescent="0.2">
      <c r="A88" s="606"/>
      <c r="B88" s="606"/>
      <c r="C88" s="607"/>
      <c r="D88" s="608"/>
      <c r="E88" s="608"/>
      <c r="F88" s="608"/>
      <c r="G88" s="608"/>
      <c r="H88" s="624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  <c r="Z88" s="625"/>
      <c r="AA88" s="625"/>
      <c r="AB88" s="625"/>
      <c r="AC88" s="626"/>
      <c r="AD88" s="606"/>
      <c r="AE88" s="19"/>
      <c r="AF88" s="19"/>
      <c r="AG88" s="19"/>
    </row>
    <row r="89" spans="1:33" outlineLevel="1" x14ac:dyDescent="0.2">
      <c r="A89" s="606"/>
      <c r="B89" s="606"/>
      <c r="C89" s="607"/>
      <c r="D89" s="608"/>
      <c r="E89" s="608"/>
      <c r="F89" s="608"/>
      <c r="G89" s="608"/>
      <c r="H89" s="624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  <c r="Z89" s="625"/>
      <c r="AA89" s="625"/>
      <c r="AB89" s="625"/>
      <c r="AC89" s="626"/>
      <c r="AD89" s="606"/>
      <c r="AE89" s="19"/>
      <c r="AF89" s="19"/>
      <c r="AG89" s="19"/>
    </row>
    <row r="90" spans="1:33" outlineLevel="1" x14ac:dyDescent="0.2">
      <c r="A90" s="606"/>
      <c r="B90" s="606"/>
      <c r="C90" s="607"/>
      <c r="D90" s="608"/>
      <c r="E90" s="608"/>
      <c r="F90" s="608"/>
      <c r="G90" s="608"/>
      <c r="H90" s="624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  <c r="Z90" s="625"/>
      <c r="AA90" s="625"/>
      <c r="AB90" s="625"/>
      <c r="AC90" s="626"/>
      <c r="AD90" s="606"/>
      <c r="AE90" s="19"/>
      <c r="AF90" s="19"/>
      <c r="AG90" s="19"/>
    </row>
    <row r="91" spans="1:33" outlineLevel="1" x14ac:dyDescent="0.2">
      <c r="A91" s="606"/>
      <c r="B91" s="606"/>
      <c r="C91" s="607"/>
      <c r="D91" s="608"/>
      <c r="E91" s="608"/>
      <c r="F91" s="608"/>
      <c r="G91" s="608"/>
      <c r="H91" s="624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  <c r="Z91" s="625"/>
      <c r="AA91" s="625"/>
      <c r="AB91" s="625"/>
      <c r="AC91" s="626"/>
      <c r="AD91" s="606"/>
      <c r="AE91" s="19"/>
      <c r="AF91" s="19"/>
      <c r="AG91" s="19"/>
    </row>
    <row r="92" spans="1:33" outlineLevel="1" x14ac:dyDescent="0.2">
      <c r="A92" s="606"/>
      <c r="B92" s="606"/>
      <c r="C92" s="607"/>
      <c r="D92" s="608"/>
      <c r="E92" s="608"/>
      <c r="F92" s="608"/>
      <c r="G92" s="608"/>
      <c r="H92" s="624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  <c r="Z92" s="625"/>
      <c r="AA92" s="625"/>
      <c r="AB92" s="625"/>
      <c r="AC92" s="626"/>
      <c r="AD92" s="606"/>
      <c r="AE92" s="19"/>
      <c r="AF92" s="19"/>
      <c r="AG92" s="19"/>
    </row>
    <row r="93" spans="1:33" outlineLevel="1" x14ac:dyDescent="0.2">
      <c r="A93" s="606"/>
      <c r="B93" s="606"/>
      <c r="C93" s="607"/>
      <c r="D93" s="608"/>
      <c r="E93" s="608"/>
      <c r="F93" s="608"/>
      <c r="G93" s="608"/>
      <c r="H93" s="624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  <c r="Z93" s="625"/>
      <c r="AA93" s="625"/>
      <c r="AB93" s="625"/>
      <c r="AC93" s="626"/>
      <c r="AD93" s="606"/>
      <c r="AE93" s="19"/>
      <c r="AF93" s="19"/>
      <c r="AG93" s="19"/>
    </row>
    <row r="94" spans="1:33" outlineLevel="1" x14ac:dyDescent="0.2">
      <c r="A94" s="606"/>
      <c r="B94" s="606"/>
      <c r="C94" s="607"/>
      <c r="D94" s="608"/>
      <c r="E94" s="608"/>
      <c r="F94" s="608"/>
      <c r="G94" s="608"/>
      <c r="H94" s="624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  <c r="Z94" s="625"/>
      <c r="AA94" s="625"/>
      <c r="AB94" s="625"/>
      <c r="AC94" s="626"/>
      <c r="AD94" s="606"/>
      <c r="AE94" s="19"/>
      <c r="AF94" s="19"/>
      <c r="AG94" s="19"/>
    </row>
    <row r="95" spans="1:33" outlineLevel="1" x14ac:dyDescent="0.2">
      <c r="A95" s="606"/>
      <c r="B95" s="606"/>
      <c r="C95" s="607"/>
      <c r="D95" s="608"/>
      <c r="E95" s="608"/>
      <c r="F95" s="608"/>
      <c r="G95" s="608"/>
      <c r="H95" s="624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  <c r="Z95" s="625"/>
      <c r="AA95" s="625"/>
      <c r="AB95" s="625"/>
      <c r="AC95" s="626"/>
      <c r="AD95" s="606"/>
      <c r="AE95" s="19"/>
      <c r="AF95" s="19"/>
      <c r="AG95" s="19"/>
    </row>
    <row r="96" spans="1:33" outlineLevel="1" x14ac:dyDescent="0.2">
      <c r="A96" s="606"/>
      <c r="B96" s="606"/>
      <c r="C96" s="607"/>
      <c r="D96" s="608"/>
      <c r="E96" s="608"/>
      <c r="F96" s="608"/>
      <c r="G96" s="608"/>
      <c r="H96" s="624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  <c r="Z96" s="625"/>
      <c r="AA96" s="625"/>
      <c r="AB96" s="625"/>
      <c r="AC96" s="626"/>
      <c r="AD96" s="606"/>
      <c r="AE96" s="19"/>
      <c r="AF96" s="19"/>
      <c r="AG96" s="19"/>
    </row>
    <row r="97" spans="1:33" outlineLevel="1" x14ac:dyDescent="0.2">
      <c r="A97" s="606"/>
      <c r="B97" s="606"/>
      <c r="C97" s="607"/>
      <c r="D97" s="608"/>
      <c r="E97" s="608"/>
      <c r="F97" s="608"/>
      <c r="G97" s="608"/>
      <c r="H97" s="624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  <c r="Z97" s="625"/>
      <c r="AA97" s="625"/>
      <c r="AB97" s="625"/>
      <c r="AC97" s="626"/>
      <c r="AD97" s="606"/>
      <c r="AE97" s="19"/>
      <c r="AF97" s="19"/>
      <c r="AG97" s="19"/>
    </row>
    <row r="98" spans="1:33" outlineLevel="1" x14ac:dyDescent="0.2">
      <c r="A98" s="606"/>
      <c r="B98" s="606"/>
      <c r="C98" s="607"/>
      <c r="D98" s="608"/>
      <c r="E98" s="608"/>
      <c r="F98" s="608"/>
      <c r="G98" s="608"/>
      <c r="H98" s="624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  <c r="Z98" s="625"/>
      <c r="AA98" s="625"/>
      <c r="AB98" s="625"/>
      <c r="AC98" s="626"/>
      <c r="AD98" s="606"/>
      <c r="AE98" s="19"/>
      <c r="AF98" s="19"/>
      <c r="AG98" s="19"/>
    </row>
    <row r="99" spans="1:33" outlineLevel="1" x14ac:dyDescent="0.2">
      <c r="A99" s="606"/>
      <c r="B99" s="606"/>
      <c r="C99" s="607"/>
      <c r="D99" s="608"/>
      <c r="E99" s="608"/>
      <c r="F99" s="608"/>
      <c r="G99" s="608"/>
      <c r="H99" s="624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  <c r="Z99" s="625"/>
      <c r="AA99" s="625"/>
      <c r="AB99" s="625"/>
      <c r="AC99" s="626"/>
      <c r="AD99" s="606"/>
      <c r="AE99" s="19"/>
      <c r="AF99" s="19"/>
      <c r="AG99" s="19"/>
    </row>
    <row r="100" spans="1:33" outlineLevel="1" x14ac:dyDescent="0.2">
      <c r="A100" s="606"/>
      <c r="B100" s="606"/>
      <c r="C100" s="607"/>
      <c r="D100" s="608"/>
      <c r="E100" s="608"/>
      <c r="F100" s="608"/>
      <c r="G100" s="608"/>
      <c r="H100" s="624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  <c r="Z100" s="625"/>
      <c r="AA100" s="625"/>
      <c r="AB100" s="625"/>
      <c r="AC100" s="626"/>
      <c r="AD100" s="606"/>
      <c r="AE100" s="19"/>
      <c r="AF100" s="19"/>
      <c r="AG100" s="19"/>
    </row>
    <row r="101" spans="1:33" outlineLevel="1" x14ac:dyDescent="0.2">
      <c r="A101" s="606"/>
      <c r="B101" s="606"/>
      <c r="C101" s="607"/>
      <c r="D101" s="608"/>
      <c r="E101" s="608"/>
      <c r="F101" s="608"/>
      <c r="G101" s="608"/>
      <c r="H101" s="624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  <c r="Z101" s="625"/>
      <c r="AA101" s="625"/>
      <c r="AB101" s="625"/>
      <c r="AC101" s="626"/>
      <c r="AD101" s="606"/>
      <c r="AE101" s="19"/>
      <c r="AF101" s="19"/>
      <c r="AG101" s="19"/>
    </row>
    <row r="102" spans="1:33" outlineLevel="1" x14ac:dyDescent="0.2">
      <c r="A102" s="606"/>
      <c r="B102" s="606"/>
      <c r="C102" s="607"/>
      <c r="D102" s="608"/>
      <c r="E102" s="608"/>
      <c r="F102" s="608"/>
      <c r="G102" s="608"/>
      <c r="H102" s="624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  <c r="Z102" s="625"/>
      <c r="AA102" s="625"/>
      <c r="AB102" s="625"/>
      <c r="AC102" s="626"/>
      <c r="AD102" s="606"/>
      <c r="AE102" s="19"/>
      <c r="AF102" s="19"/>
      <c r="AG102" s="19"/>
    </row>
    <row r="103" spans="1:33" outlineLevel="1" x14ac:dyDescent="0.2">
      <c r="A103" s="606"/>
      <c r="B103" s="606"/>
      <c r="C103" s="607"/>
      <c r="D103" s="608"/>
      <c r="E103" s="608"/>
      <c r="F103" s="608"/>
      <c r="G103" s="608"/>
      <c r="H103" s="624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  <c r="Z103" s="625"/>
      <c r="AA103" s="625"/>
      <c r="AB103" s="625"/>
      <c r="AC103" s="626"/>
      <c r="AD103" s="606"/>
      <c r="AE103" s="19"/>
      <c r="AF103" s="19"/>
      <c r="AG103" s="19"/>
    </row>
    <row r="104" spans="1:33" outlineLevel="1" x14ac:dyDescent="0.2">
      <c r="A104" s="606"/>
      <c r="B104" s="606"/>
      <c r="C104" s="607"/>
      <c r="D104" s="608"/>
      <c r="E104" s="608"/>
      <c r="F104" s="608"/>
      <c r="G104" s="608"/>
      <c r="H104" s="624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  <c r="Z104" s="625"/>
      <c r="AA104" s="625"/>
      <c r="AB104" s="625"/>
      <c r="AC104" s="626"/>
      <c r="AD104" s="606"/>
      <c r="AE104" s="19"/>
      <c r="AF104" s="19"/>
      <c r="AG104" s="19"/>
    </row>
    <row r="105" spans="1:33" outlineLevel="1" x14ac:dyDescent="0.2">
      <c r="A105" s="606"/>
      <c r="B105" s="606"/>
      <c r="C105" s="607"/>
      <c r="D105" s="608"/>
      <c r="E105" s="608"/>
      <c r="F105" s="608"/>
      <c r="G105" s="608"/>
      <c r="H105" s="624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  <c r="Z105" s="625"/>
      <c r="AA105" s="625"/>
      <c r="AB105" s="625"/>
      <c r="AC105" s="626"/>
      <c r="AD105" s="606"/>
      <c r="AE105" s="19"/>
      <c r="AF105" s="19"/>
      <c r="AG105" s="19"/>
    </row>
    <row r="106" spans="1:33" outlineLevel="1" x14ac:dyDescent="0.2">
      <c r="A106" s="606"/>
      <c r="B106" s="606"/>
      <c r="C106" s="607"/>
      <c r="D106" s="608"/>
      <c r="E106" s="608"/>
      <c r="F106" s="608"/>
      <c r="G106" s="608"/>
      <c r="H106" s="624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  <c r="Z106" s="625"/>
      <c r="AA106" s="625"/>
      <c r="AB106" s="625"/>
      <c r="AC106" s="626"/>
      <c r="AD106" s="606"/>
      <c r="AE106" s="19"/>
      <c r="AF106" s="19"/>
      <c r="AG106" s="19"/>
    </row>
    <row r="107" spans="1:33" outlineLevel="1" x14ac:dyDescent="0.2">
      <c r="A107" s="606"/>
      <c r="B107" s="606"/>
      <c r="C107" s="607"/>
      <c r="D107" s="608"/>
      <c r="E107" s="608"/>
      <c r="F107" s="608"/>
      <c r="G107" s="608"/>
      <c r="H107" s="624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  <c r="Z107" s="625"/>
      <c r="AA107" s="625"/>
      <c r="AB107" s="625"/>
      <c r="AC107" s="626"/>
      <c r="AD107" s="606"/>
      <c r="AE107" s="19"/>
      <c r="AF107" s="19"/>
      <c r="AG107" s="19"/>
    </row>
    <row r="108" spans="1:33" outlineLevel="1" x14ac:dyDescent="0.2">
      <c r="A108" s="606"/>
      <c r="B108" s="606"/>
      <c r="C108" s="607"/>
      <c r="D108" s="608"/>
      <c r="E108" s="608"/>
      <c r="F108" s="608"/>
      <c r="G108" s="608"/>
      <c r="H108" s="624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  <c r="Z108" s="625"/>
      <c r="AA108" s="625"/>
      <c r="AB108" s="625"/>
      <c r="AC108" s="626"/>
      <c r="AD108" s="606"/>
      <c r="AE108" s="19"/>
      <c r="AF108" s="19"/>
      <c r="AG108" s="19"/>
    </row>
    <row r="109" spans="1:33" outlineLevel="1" x14ac:dyDescent="0.2">
      <c r="A109" s="606"/>
      <c r="B109" s="606"/>
      <c r="C109" s="607"/>
      <c r="D109" s="608"/>
      <c r="E109" s="608"/>
      <c r="F109" s="608"/>
      <c r="G109" s="608"/>
      <c r="H109" s="624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  <c r="Z109" s="625"/>
      <c r="AA109" s="625"/>
      <c r="AB109" s="625"/>
      <c r="AC109" s="626"/>
      <c r="AD109" s="606"/>
      <c r="AE109" s="19"/>
      <c r="AF109" s="19"/>
      <c r="AG109" s="19"/>
    </row>
    <row r="110" spans="1:33" outlineLevel="1" x14ac:dyDescent="0.2">
      <c r="A110" s="606"/>
      <c r="B110" s="606"/>
      <c r="C110" s="607"/>
      <c r="D110" s="608"/>
      <c r="E110" s="608"/>
      <c r="F110" s="608"/>
      <c r="G110" s="608"/>
      <c r="H110" s="624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  <c r="Z110" s="625"/>
      <c r="AA110" s="625"/>
      <c r="AB110" s="625"/>
      <c r="AC110" s="626"/>
      <c r="AD110" s="606"/>
      <c r="AE110" s="19"/>
      <c r="AF110" s="19"/>
      <c r="AG110" s="19"/>
    </row>
    <row r="111" spans="1:33" outlineLevel="1" x14ac:dyDescent="0.2">
      <c r="A111" s="606"/>
      <c r="B111" s="606"/>
      <c r="C111" s="607"/>
      <c r="D111" s="608"/>
      <c r="E111" s="608"/>
      <c r="F111" s="608"/>
      <c r="G111" s="608"/>
      <c r="H111" s="624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  <c r="Z111" s="625"/>
      <c r="AA111" s="625"/>
      <c r="AB111" s="625"/>
      <c r="AC111" s="626"/>
      <c r="AD111" s="606"/>
      <c r="AE111" s="19"/>
      <c r="AF111" s="19"/>
      <c r="AG111" s="19"/>
    </row>
    <row r="112" spans="1:33" outlineLevel="1" x14ac:dyDescent="0.2">
      <c r="A112" s="606"/>
      <c r="B112" s="606"/>
      <c r="C112" s="607"/>
      <c r="D112" s="608"/>
      <c r="E112" s="608"/>
      <c r="F112" s="608"/>
      <c r="G112" s="608"/>
      <c r="H112" s="624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  <c r="Z112" s="625"/>
      <c r="AA112" s="625"/>
      <c r="AB112" s="625"/>
      <c r="AC112" s="626"/>
      <c r="AD112" s="606"/>
      <c r="AE112" s="19"/>
      <c r="AF112" s="19"/>
      <c r="AG112" s="19"/>
    </row>
    <row r="113" spans="1:33" outlineLevel="1" x14ac:dyDescent="0.2">
      <c r="A113" s="606"/>
      <c r="B113" s="606"/>
      <c r="C113" s="607"/>
      <c r="D113" s="608"/>
      <c r="E113" s="608"/>
      <c r="F113" s="608"/>
      <c r="G113" s="608"/>
      <c r="H113" s="624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  <c r="Z113" s="625"/>
      <c r="AA113" s="625"/>
      <c r="AB113" s="625"/>
      <c r="AC113" s="626"/>
      <c r="AD113" s="606"/>
      <c r="AE113" s="19"/>
      <c r="AF113" s="19"/>
      <c r="AG113" s="19"/>
    </row>
    <row r="114" spans="1:33" outlineLevel="1" x14ac:dyDescent="0.2">
      <c r="A114" s="606"/>
      <c r="B114" s="606"/>
      <c r="C114" s="607"/>
      <c r="D114" s="608"/>
      <c r="E114" s="608"/>
      <c r="F114" s="608"/>
      <c r="G114" s="608"/>
      <c r="H114" s="624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  <c r="Z114" s="625"/>
      <c r="AA114" s="625"/>
      <c r="AB114" s="625"/>
      <c r="AC114" s="626"/>
      <c r="AD114" s="606"/>
      <c r="AE114" s="19"/>
      <c r="AF114" s="19"/>
      <c r="AG114" s="19"/>
    </row>
    <row r="115" spans="1:33" outlineLevel="1" x14ac:dyDescent="0.2">
      <c r="A115" s="606"/>
      <c r="B115" s="606"/>
      <c r="C115" s="607"/>
      <c r="D115" s="608"/>
      <c r="E115" s="608"/>
      <c r="F115" s="608"/>
      <c r="G115" s="608"/>
      <c r="H115" s="624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  <c r="Z115" s="625"/>
      <c r="AA115" s="625"/>
      <c r="AB115" s="625"/>
      <c r="AC115" s="626"/>
      <c r="AD115" s="606"/>
      <c r="AE115" s="19"/>
      <c r="AF115" s="19"/>
      <c r="AG115" s="19"/>
    </row>
    <row r="116" spans="1:33" outlineLevel="1" x14ac:dyDescent="0.2">
      <c r="A116" s="606"/>
      <c r="B116" s="606"/>
      <c r="C116" s="607"/>
      <c r="D116" s="608"/>
      <c r="E116" s="608"/>
      <c r="F116" s="608"/>
      <c r="G116" s="608"/>
      <c r="H116" s="624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  <c r="Z116" s="625"/>
      <c r="AA116" s="625"/>
      <c r="AB116" s="625"/>
      <c r="AC116" s="626"/>
      <c r="AD116" s="606"/>
      <c r="AE116" s="19"/>
      <c r="AF116" s="19"/>
      <c r="AG116" s="19"/>
    </row>
    <row r="117" spans="1:33" outlineLevel="1" x14ac:dyDescent="0.2">
      <c r="A117" s="606"/>
      <c r="B117" s="606"/>
      <c r="C117" s="607"/>
      <c r="D117" s="608"/>
      <c r="E117" s="608"/>
      <c r="F117" s="608"/>
      <c r="G117" s="608"/>
      <c r="H117" s="624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  <c r="Z117" s="625"/>
      <c r="AA117" s="625"/>
      <c r="AB117" s="625"/>
      <c r="AC117" s="626"/>
      <c r="AD117" s="606"/>
      <c r="AE117" s="19"/>
      <c r="AF117" s="19"/>
      <c r="AG117" s="19"/>
    </row>
    <row r="118" spans="1:33" outlineLevel="1" x14ac:dyDescent="0.2">
      <c r="A118" s="606"/>
      <c r="B118" s="606"/>
      <c r="C118" s="607"/>
      <c r="D118" s="608"/>
      <c r="E118" s="608"/>
      <c r="F118" s="608"/>
      <c r="G118" s="608"/>
      <c r="H118" s="624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  <c r="Z118" s="625"/>
      <c r="AA118" s="625"/>
      <c r="AB118" s="625"/>
      <c r="AC118" s="626"/>
      <c r="AD118" s="606"/>
      <c r="AE118" s="19"/>
      <c r="AF118" s="19"/>
      <c r="AG118" s="19"/>
    </row>
    <row r="119" spans="1:33" outlineLevel="1" x14ac:dyDescent="0.2">
      <c r="A119" s="606"/>
      <c r="B119" s="606"/>
      <c r="C119" s="607"/>
      <c r="D119" s="608"/>
      <c r="E119" s="608"/>
      <c r="F119" s="608"/>
      <c r="G119" s="608"/>
      <c r="H119" s="624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  <c r="Z119" s="625"/>
      <c r="AA119" s="625"/>
      <c r="AB119" s="625"/>
      <c r="AC119" s="626"/>
      <c r="AD119" s="606"/>
      <c r="AE119" s="19"/>
      <c r="AF119" s="19"/>
      <c r="AG119" s="19"/>
    </row>
    <row r="120" spans="1:33" hidden="1" outlineLevel="2" x14ac:dyDescent="0.2">
      <c r="A120" s="606"/>
      <c r="B120" s="606"/>
      <c r="C120" s="607"/>
      <c r="D120" s="608"/>
      <c r="E120" s="608"/>
      <c r="F120" s="608"/>
      <c r="G120" s="608"/>
      <c r="H120" s="624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  <c r="Z120" s="625"/>
      <c r="AA120" s="625"/>
      <c r="AB120" s="625"/>
      <c r="AC120" s="626"/>
      <c r="AD120" s="606"/>
      <c r="AE120" s="19"/>
      <c r="AF120" s="19"/>
      <c r="AG120" s="19"/>
    </row>
    <row r="121" spans="1:33" hidden="1" outlineLevel="2" x14ac:dyDescent="0.2">
      <c r="A121" s="606"/>
      <c r="B121" s="606"/>
      <c r="C121" s="607"/>
      <c r="D121" s="608"/>
      <c r="E121" s="608"/>
      <c r="F121" s="608"/>
      <c r="G121" s="608"/>
      <c r="H121" s="624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  <c r="Z121" s="625"/>
      <c r="AA121" s="625"/>
      <c r="AB121" s="625"/>
      <c r="AC121" s="626"/>
      <c r="AD121" s="606"/>
      <c r="AE121" s="19"/>
      <c r="AF121" s="19"/>
      <c r="AG121" s="19"/>
    </row>
    <row r="122" spans="1:33" hidden="1" outlineLevel="2" x14ac:dyDescent="0.2">
      <c r="A122" s="606"/>
      <c r="B122" s="606"/>
      <c r="C122" s="607"/>
      <c r="D122" s="608"/>
      <c r="E122" s="608"/>
      <c r="F122" s="608"/>
      <c r="G122" s="608"/>
      <c r="H122" s="624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  <c r="Z122" s="625"/>
      <c r="AA122" s="625"/>
      <c r="AB122" s="625"/>
      <c r="AC122" s="626"/>
      <c r="AD122" s="606"/>
      <c r="AE122" s="19"/>
      <c r="AF122" s="19"/>
      <c r="AG122" s="19"/>
    </row>
    <row r="123" spans="1:33" hidden="1" outlineLevel="2" x14ac:dyDescent="0.2">
      <c r="A123" s="606"/>
      <c r="B123" s="606"/>
      <c r="C123" s="607"/>
      <c r="D123" s="608"/>
      <c r="E123" s="608"/>
      <c r="F123" s="608"/>
      <c r="G123" s="608"/>
      <c r="H123" s="624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  <c r="Z123" s="625"/>
      <c r="AA123" s="625"/>
      <c r="AB123" s="625"/>
      <c r="AC123" s="626"/>
      <c r="AD123" s="606"/>
      <c r="AE123" s="19"/>
      <c r="AF123" s="19"/>
      <c r="AG123" s="19"/>
    </row>
    <row r="124" spans="1:33" hidden="1" outlineLevel="2" x14ac:dyDescent="0.2">
      <c r="A124" s="606"/>
      <c r="B124" s="606"/>
      <c r="C124" s="607"/>
      <c r="D124" s="608"/>
      <c r="E124" s="608"/>
      <c r="F124" s="608"/>
      <c r="G124" s="608"/>
      <c r="H124" s="624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  <c r="Z124" s="625"/>
      <c r="AA124" s="625"/>
      <c r="AB124" s="625"/>
      <c r="AC124" s="626"/>
      <c r="AD124" s="606"/>
      <c r="AE124" s="19"/>
      <c r="AF124" s="19"/>
      <c r="AG124" s="19"/>
    </row>
    <row r="125" spans="1:33" hidden="1" outlineLevel="2" x14ac:dyDescent="0.2">
      <c r="A125" s="606"/>
      <c r="B125" s="606"/>
      <c r="C125" s="607"/>
      <c r="D125" s="608"/>
      <c r="E125" s="608"/>
      <c r="F125" s="608"/>
      <c r="G125" s="608"/>
      <c r="H125" s="624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  <c r="Z125" s="625"/>
      <c r="AA125" s="625"/>
      <c r="AB125" s="625"/>
      <c r="AC125" s="626"/>
      <c r="AD125" s="606"/>
      <c r="AE125" s="19"/>
      <c r="AF125" s="19"/>
      <c r="AG125" s="19"/>
    </row>
    <row r="126" spans="1:33" hidden="1" outlineLevel="2" x14ac:dyDescent="0.2">
      <c r="A126" s="606"/>
      <c r="B126" s="606"/>
      <c r="C126" s="607"/>
      <c r="D126" s="608"/>
      <c r="E126" s="608"/>
      <c r="F126" s="608"/>
      <c r="G126" s="608"/>
      <c r="H126" s="624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  <c r="Z126" s="625"/>
      <c r="AA126" s="625"/>
      <c r="AB126" s="625"/>
      <c r="AC126" s="626"/>
      <c r="AD126" s="606"/>
      <c r="AE126" s="19"/>
      <c r="AF126" s="19"/>
      <c r="AG126" s="19"/>
    </row>
    <row r="127" spans="1:33" hidden="1" outlineLevel="2" x14ac:dyDescent="0.2">
      <c r="A127" s="606"/>
      <c r="B127" s="606"/>
      <c r="C127" s="607"/>
      <c r="D127" s="608"/>
      <c r="E127" s="608"/>
      <c r="F127" s="608"/>
      <c r="G127" s="608"/>
      <c r="H127" s="624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  <c r="Z127" s="625"/>
      <c r="AA127" s="625"/>
      <c r="AB127" s="625"/>
      <c r="AC127" s="626"/>
      <c r="AD127" s="606"/>
      <c r="AE127" s="19"/>
      <c r="AF127" s="19"/>
      <c r="AG127" s="19"/>
    </row>
    <row r="128" spans="1:33" hidden="1" outlineLevel="2" x14ac:dyDescent="0.2">
      <c r="A128" s="606"/>
      <c r="B128" s="606"/>
      <c r="C128" s="607"/>
      <c r="D128" s="608"/>
      <c r="E128" s="608"/>
      <c r="F128" s="608"/>
      <c r="G128" s="608"/>
      <c r="H128" s="624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  <c r="Z128" s="625"/>
      <c r="AA128" s="625"/>
      <c r="AB128" s="625"/>
      <c r="AC128" s="626"/>
      <c r="AD128" s="606"/>
      <c r="AE128" s="19"/>
      <c r="AF128" s="19"/>
      <c r="AG128" s="19"/>
    </row>
    <row r="129" spans="1:33" hidden="1" outlineLevel="2" x14ac:dyDescent="0.2">
      <c r="A129" s="606"/>
      <c r="B129" s="606"/>
      <c r="C129" s="607"/>
      <c r="D129" s="608"/>
      <c r="E129" s="608"/>
      <c r="F129" s="608"/>
      <c r="G129" s="608"/>
      <c r="H129" s="624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  <c r="Z129" s="625"/>
      <c r="AA129" s="625"/>
      <c r="AB129" s="625"/>
      <c r="AC129" s="626"/>
      <c r="AD129" s="606"/>
      <c r="AE129" s="19"/>
      <c r="AF129" s="19"/>
      <c r="AG129" s="19"/>
    </row>
    <row r="130" spans="1:33" hidden="1" outlineLevel="2" x14ac:dyDescent="0.2">
      <c r="A130" s="606"/>
      <c r="B130" s="606"/>
      <c r="C130" s="607"/>
      <c r="D130" s="608"/>
      <c r="E130" s="608"/>
      <c r="F130" s="608"/>
      <c r="G130" s="608"/>
      <c r="H130" s="624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  <c r="Z130" s="625"/>
      <c r="AA130" s="625"/>
      <c r="AB130" s="625"/>
      <c r="AC130" s="626"/>
      <c r="AD130" s="606"/>
      <c r="AE130" s="19"/>
      <c r="AF130" s="19"/>
      <c r="AG130" s="19"/>
    </row>
    <row r="131" spans="1:33" hidden="1" outlineLevel="2" x14ac:dyDescent="0.2">
      <c r="A131" s="606"/>
      <c r="B131" s="606"/>
      <c r="C131" s="607"/>
      <c r="D131" s="608"/>
      <c r="E131" s="608"/>
      <c r="F131" s="608"/>
      <c r="G131" s="608"/>
      <c r="H131" s="624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  <c r="Z131" s="625"/>
      <c r="AA131" s="625"/>
      <c r="AB131" s="625"/>
      <c r="AC131" s="626"/>
      <c r="AD131" s="606"/>
      <c r="AE131" s="19"/>
      <c r="AF131" s="19"/>
      <c r="AG131" s="19"/>
    </row>
    <row r="132" spans="1:33" hidden="1" outlineLevel="2" x14ac:dyDescent="0.2">
      <c r="A132" s="606"/>
      <c r="B132" s="606"/>
      <c r="C132" s="607"/>
      <c r="D132" s="608"/>
      <c r="E132" s="608"/>
      <c r="F132" s="608"/>
      <c r="G132" s="608"/>
      <c r="H132" s="624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  <c r="Z132" s="625"/>
      <c r="AA132" s="625"/>
      <c r="AB132" s="625"/>
      <c r="AC132" s="626"/>
      <c r="AD132" s="606"/>
      <c r="AE132" s="19"/>
      <c r="AF132" s="19"/>
      <c r="AG132" s="19"/>
    </row>
    <row r="133" spans="1:33" hidden="1" outlineLevel="2" x14ac:dyDescent="0.2">
      <c r="A133" s="606"/>
      <c r="B133" s="606"/>
      <c r="C133" s="607"/>
      <c r="D133" s="608"/>
      <c r="E133" s="608"/>
      <c r="F133" s="608"/>
      <c r="G133" s="608"/>
      <c r="H133" s="624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  <c r="Z133" s="625"/>
      <c r="AA133" s="625"/>
      <c r="AB133" s="625"/>
      <c r="AC133" s="626"/>
      <c r="AD133" s="606"/>
      <c r="AE133" s="19"/>
      <c r="AF133" s="19"/>
      <c r="AG133" s="19"/>
    </row>
    <row r="134" spans="1:33" hidden="1" outlineLevel="2" x14ac:dyDescent="0.2">
      <c r="A134" s="606"/>
      <c r="B134" s="606"/>
      <c r="C134" s="607"/>
      <c r="D134" s="608"/>
      <c r="E134" s="608"/>
      <c r="F134" s="608"/>
      <c r="G134" s="608"/>
      <c r="H134" s="624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  <c r="Z134" s="625"/>
      <c r="AA134" s="625"/>
      <c r="AB134" s="625"/>
      <c r="AC134" s="626"/>
      <c r="AD134" s="606"/>
      <c r="AE134" s="19"/>
      <c r="AF134" s="19"/>
      <c r="AG134" s="19"/>
    </row>
    <row r="135" spans="1:33" hidden="1" outlineLevel="2" x14ac:dyDescent="0.2">
      <c r="A135" s="606"/>
      <c r="B135" s="606"/>
      <c r="C135" s="607"/>
      <c r="D135" s="608"/>
      <c r="E135" s="608"/>
      <c r="F135" s="608"/>
      <c r="G135" s="608"/>
      <c r="H135" s="624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  <c r="Z135" s="625"/>
      <c r="AA135" s="625"/>
      <c r="AB135" s="625"/>
      <c r="AC135" s="626"/>
      <c r="AD135" s="606"/>
      <c r="AE135" s="19"/>
      <c r="AF135" s="19"/>
      <c r="AG135" s="19"/>
    </row>
    <row r="136" spans="1:33" hidden="1" outlineLevel="2" x14ac:dyDescent="0.2">
      <c r="A136" s="606"/>
      <c r="B136" s="606"/>
      <c r="C136" s="607"/>
      <c r="D136" s="608"/>
      <c r="E136" s="608"/>
      <c r="F136" s="608"/>
      <c r="G136" s="608"/>
      <c r="H136" s="624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  <c r="Z136" s="625"/>
      <c r="AA136" s="625"/>
      <c r="AB136" s="625"/>
      <c r="AC136" s="626"/>
      <c r="AD136" s="606"/>
      <c r="AE136" s="19"/>
      <c r="AF136" s="19"/>
      <c r="AG136" s="19"/>
    </row>
    <row r="137" spans="1:33" hidden="1" outlineLevel="2" x14ac:dyDescent="0.2">
      <c r="A137" s="606"/>
      <c r="B137" s="606"/>
      <c r="C137" s="607"/>
      <c r="D137" s="608"/>
      <c r="E137" s="608"/>
      <c r="F137" s="608"/>
      <c r="G137" s="608"/>
      <c r="H137" s="624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  <c r="Z137" s="625"/>
      <c r="AA137" s="625"/>
      <c r="AB137" s="625"/>
      <c r="AC137" s="626"/>
      <c r="AD137" s="606"/>
      <c r="AE137" s="19"/>
      <c r="AF137" s="19"/>
      <c r="AG137" s="19"/>
    </row>
    <row r="138" spans="1:33" hidden="1" outlineLevel="2" x14ac:dyDescent="0.2">
      <c r="A138" s="606"/>
      <c r="B138" s="606"/>
      <c r="C138" s="607"/>
      <c r="D138" s="608"/>
      <c r="E138" s="608"/>
      <c r="F138" s="608"/>
      <c r="G138" s="608"/>
      <c r="H138" s="624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  <c r="Z138" s="625"/>
      <c r="AA138" s="625"/>
      <c r="AB138" s="625"/>
      <c r="AC138" s="626"/>
      <c r="AD138" s="606"/>
      <c r="AE138" s="19"/>
      <c r="AF138" s="19"/>
      <c r="AG138" s="19"/>
    </row>
    <row r="139" spans="1:33" hidden="1" outlineLevel="2" x14ac:dyDescent="0.2">
      <c r="A139" s="606"/>
      <c r="B139" s="606"/>
      <c r="C139" s="607"/>
      <c r="D139" s="608"/>
      <c r="E139" s="608"/>
      <c r="F139" s="608"/>
      <c r="G139" s="608"/>
      <c r="H139" s="624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  <c r="Z139" s="625"/>
      <c r="AA139" s="625"/>
      <c r="AB139" s="625"/>
      <c r="AC139" s="626"/>
      <c r="AD139" s="606"/>
      <c r="AE139" s="19"/>
      <c r="AF139" s="19"/>
      <c r="AG139" s="19"/>
    </row>
    <row r="140" spans="1:33" hidden="1" outlineLevel="2" x14ac:dyDescent="0.2">
      <c r="A140" s="606"/>
      <c r="B140" s="606"/>
      <c r="C140" s="607"/>
      <c r="D140" s="608"/>
      <c r="E140" s="608"/>
      <c r="F140" s="608"/>
      <c r="G140" s="608"/>
      <c r="H140" s="624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  <c r="Z140" s="625"/>
      <c r="AA140" s="625"/>
      <c r="AB140" s="625"/>
      <c r="AC140" s="626"/>
      <c r="AD140" s="606"/>
      <c r="AE140" s="19"/>
      <c r="AF140" s="19"/>
      <c r="AG140" s="19"/>
    </row>
    <row r="141" spans="1:33" hidden="1" outlineLevel="2" x14ac:dyDescent="0.2">
      <c r="A141" s="606"/>
      <c r="B141" s="606"/>
      <c r="C141" s="607"/>
      <c r="D141" s="608"/>
      <c r="E141" s="608"/>
      <c r="F141" s="608"/>
      <c r="G141" s="608"/>
      <c r="H141" s="624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  <c r="Z141" s="625"/>
      <c r="AA141" s="625"/>
      <c r="AB141" s="625"/>
      <c r="AC141" s="626"/>
      <c r="AD141" s="606"/>
      <c r="AE141" s="19"/>
      <c r="AF141" s="19"/>
      <c r="AG141" s="19"/>
    </row>
    <row r="142" spans="1:33" hidden="1" outlineLevel="2" x14ac:dyDescent="0.2">
      <c r="A142" s="606"/>
      <c r="B142" s="606"/>
      <c r="C142" s="607"/>
      <c r="D142" s="608"/>
      <c r="E142" s="608"/>
      <c r="F142" s="608"/>
      <c r="G142" s="608"/>
      <c r="H142" s="624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  <c r="Z142" s="625"/>
      <c r="AA142" s="625"/>
      <c r="AB142" s="625"/>
      <c r="AC142" s="626"/>
      <c r="AD142" s="606"/>
      <c r="AE142" s="19"/>
      <c r="AF142" s="19"/>
      <c r="AG142" s="19"/>
    </row>
    <row r="143" spans="1:33" hidden="1" outlineLevel="2" x14ac:dyDescent="0.2">
      <c r="A143" s="606"/>
      <c r="B143" s="606"/>
      <c r="C143" s="607"/>
      <c r="D143" s="608"/>
      <c r="E143" s="608"/>
      <c r="F143" s="608"/>
      <c r="G143" s="608"/>
      <c r="H143" s="624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  <c r="Z143" s="625"/>
      <c r="AA143" s="625"/>
      <c r="AB143" s="625"/>
      <c r="AC143" s="626"/>
      <c r="AD143" s="606"/>
      <c r="AE143" s="19"/>
      <c r="AF143" s="19"/>
      <c r="AG143" s="19"/>
    </row>
    <row r="144" spans="1:33" hidden="1" outlineLevel="2" x14ac:dyDescent="0.2">
      <c r="A144" s="606"/>
      <c r="B144" s="606"/>
      <c r="C144" s="607"/>
      <c r="D144" s="608"/>
      <c r="E144" s="608"/>
      <c r="F144" s="608"/>
      <c r="G144" s="608"/>
      <c r="H144" s="624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  <c r="Z144" s="625"/>
      <c r="AA144" s="625"/>
      <c r="AB144" s="625"/>
      <c r="AC144" s="626"/>
      <c r="AD144" s="606"/>
      <c r="AE144" s="19"/>
      <c r="AF144" s="19"/>
      <c r="AG144" s="19"/>
    </row>
    <row r="145" spans="1:33" hidden="1" outlineLevel="2" x14ac:dyDescent="0.2">
      <c r="A145" s="606"/>
      <c r="B145" s="606"/>
      <c r="C145" s="607"/>
      <c r="D145" s="608"/>
      <c r="E145" s="608"/>
      <c r="F145" s="608"/>
      <c r="G145" s="608"/>
      <c r="H145" s="624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  <c r="Z145" s="625"/>
      <c r="AA145" s="625"/>
      <c r="AB145" s="625"/>
      <c r="AC145" s="626"/>
      <c r="AD145" s="606"/>
      <c r="AE145" s="19"/>
      <c r="AF145" s="19"/>
      <c r="AG145" s="19"/>
    </row>
    <row r="146" spans="1:33" hidden="1" outlineLevel="2" x14ac:dyDescent="0.2">
      <c r="A146" s="606"/>
      <c r="B146" s="606"/>
      <c r="C146" s="607"/>
      <c r="D146" s="608"/>
      <c r="E146" s="608"/>
      <c r="F146" s="608"/>
      <c r="G146" s="608"/>
      <c r="H146" s="624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  <c r="Z146" s="625"/>
      <c r="AA146" s="625"/>
      <c r="AB146" s="625"/>
      <c r="AC146" s="626"/>
      <c r="AD146" s="606"/>
      <c r="AE146" s="19"/>
      <c r="AF146" s="19"/>
      <c r="AG146" s="19"/>
    </row>
    <row r="147" spans="1:33" hidden="1" outlineLevel="2" x14ac:dyDescent="0.2">
      <c r="A147" s="606"/>
      <c r="B147" s="606"/>
      <c r="C147" s="607"/>
      <c r="D147" s="608"/>
      <c r="E147" s="608"/>
      <c r="F147" s="608"/>
      <c r="G147" s="608"/>
      <c r="H147" s="624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  <c r="Z147" s="625"/>
      <c r="AA147" s="625"/>
      <c r="AB147" s="625"/>
      <c r="AC147" s="626"/>
      <c r="AD147" s="606"/>
      <c r="AE147" s="19"/>
      <c r="AF147" s="19"/>
      <c r="AG147" s="19"/>
    </row>
    <row r="148" spans="1:33" hidden="1" outlineLevel="2" x14ac:dyDescent="0.2">
      <c r="A148" s="606"/>
      <c r="B148" s="606"/>
      <c r="C148" s="607"/>
      <c r="D148" s="608"/>
      <c r="E148" s="608"/>
      <c r="F148" s="608"/>
      <c r="G148" s="608"/>
      <c r="H148" s="624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  <c r="Z148" s="625"/>
      <c r="AA148" s="625"/>
      <c r="AB148" s="625"/>
      <c r="AC148" s="626"/>
      <c r="AD148" s="606"/>
      <c r="AE148" s="19"/>
      <c r="AF148" s="19"/>
      <c r="AG148" s="19"/>
    </row>
    <row r="149" spans="1:33" hidden="1" outlineLevel="2" x14ac:dyDescent="0.2">
      <c r="A149" s="606"/>
      <c r="B149" s="606"/>
      <c r="C149" s="607"/>
      <c r="D149" s="608"/>
      <c r="E149" s="608"/>
      <c r="F149" s="608"/>
      <c r="G149" s="608"/>
      <c r="H149" s="624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  <c r="Z149" s="625"/>
      <c r="AA149" s="625"/>
      <c r="AB149" s="625"/>
      <c r="AC149" s="626"/>
      <c r="AD149" s="606"/>
      <c r="AE149" s="19"/>
      <c r="AF149" s="19"/>
      <c r="AG149" s="19"/>
    </row>
    <row r="150" spans="1:33" hidden="1" outlineLevel="2" x14ac:dyDescent="0.2">
      <c r="A150" s="606"/>
      <c r="B150" s="606"/>
      <c r="C150" s="607"/>
      <c r="D150" s="608"/>
      <c r="E150" s="608"/>
      <c r="F150" s="608"/>
      <c r="G150" s="608"/>
      <c r="H150" s="624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  <c r="Z150" s="625"/>
      <c r="AA150" s="625"/>
      <c r="AB150" s="625"/>
      <c r="AC150" s="626"/>
      <c r="AD150" s="606"/>
      <c r="AE150" s="19"/>
      <c r="AF150" s="19"/>
      <c r="AG150" s="19"/>
    </row>
    <row r="151" spans="1:33" hidden="1" outlineLevel="2" x14ac:dyDescent="0.2">
      <c r="A151" s="606"/>
      <c r="B151" s="606"/>
      <c r="C151" s="607"/>
      <c r="D151" s="608"/>
      <c r="E151" s="608"/>
      <c r="F151" s="608"/>
      <c r="G151" s="608"/>
      <c r="H151" s="624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  <c r="Z151" s="625"/>
      <c r="AA151" s="625"/>
      <c r="AB151" s="625"/>
      <c r="AC151" s="626"/>
      <c r="AD151" s="606"/>
      <c r="AE151" s="19"/>
      <c r="AF151" s="19"/>
      <c r="AG151" s="19"/>
    </row>
    <row r="152" spans="1:33" hidden="1" outlineLevel="2" x14ac:dyDescent="0.2">
      <c r="A152" s="606"/>
      <c r="B152" s="606"/>
      <c r="C152" s="607"/>
      <c r="D152" s="608"/>
      <c r="E152" s="608"/>
      <c r="F152" s="608"/>
      <c r="G152" s="608"/>
      <c r="H152" s="624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  <c r="Z152" s="625"/>
      <c r="AA152" s="625"/>
      <c r="AB152" s="625"/>
      <c r="AC152" s="626"/>
      <c r="AD152" s="606"/>
      <c r="AE152" s="19"/>
      <c r="AF152" s="19"/>
      <c r="AG152" s="19"/>
    </row>
    <row r="153" spans="1:33" hidden="1" outlineLevel="2" x14ac:dyDescent="0.2">
      <c r="A153" s="606"/>
      <c r="B153" s="606"/>
      <c r="C153" s="607"/>
      <c r="D153" s="608"/>
      <c r="E153" s="608"/>
      <c r="F153" s="608"/>
      <c r="G153" s="608"/>
      <c r="H153" s="624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  <c r="Z153" s="625"/>
      <c r="AA153" s="625"/>
      <c r="AB153" s="625"/>
      <c r="AC153" s="626"/>
      <c r="AD153" s="606"/>
      <c r="AE153" s="19"/>
      <c r="AF153" s="19"/>
      <c r="AG153" s="19"/>
    </row>
    <row r="154" spans="1:33" hidden="1" outlineLevel="2" x14ac:dyDescent="0.2">
      <c r="A154" s="606"/>
      <c r="B154" s="606"/>
      <c r="C154" s="607"/>
      <c r="D154" s="608"/>
      <c r="E154" s="608"/>
      <c r="F154" s="608"/>
      <c r="G154" s="608"/>
      <c r="H154" s="624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  <c r="Z154" s="625"/>
      <c r="AA154" s="625"/>
      <c r="AB154" s="625"/>
      <c r="AC154" s="626"/>
      <c r="AD154" s="606"/>
      <c r="AE154" s="19"/>
      <c r="AF154" s="19"/>
      <c r="AG154" s="19"/>
    </row>
    <row r="155" spans="1:33" hidden="1" outlineLevel="2" x14ac:dyDescent="0.2">
      <c r="A155" s="606"/>
      <c r="B155" s="606"/>
      <c r="C155" s="607"/>
      <c r="D155" s="608"/>
      <c r="E155" s="608"/>
      <c r="F155" s="608"/>
      <c r="G155" s="608"/>
      <c r="H155" s="624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  <c r="Z155" s="625"/>
      <c r="AA155" s="625"/>
      <c r="AB155" s="625"/>
      <c r="AC155" s="626"/>
      <c r="AD155" s="606"/>
      <c r="AE155" s="19"/>
      <c r="AF155" s="19"/>
      <c r="AG155" s="19"/>
    </row>
    <row r="156" spans="1:33" hidden="1" outlineLevel="2" x14ac:dyDescent="0.2">
      <c r="A156" s="606"/>
      <c r="B156" s="606"/>
      <c r="C156" s="607"/>
      <c r="D156" s="608"/>
      <c r="E156" s="608"/>
      <c r="F156" s="608"/>
      <c r="G156" s="608"/>
      <c r="H156" s="624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  <c r="AA156" s="625"/>
      <c r="AB156" s="625"/>
      <c r="AC156" s="626"/>
      <c r="AD156" s="606"/>
      <c r="AE156" s="19"/>
      <c r="AF156" s="19"/>
      <c r="AG156" s="19"/>
    </row>
    <row r="157" spans="1:33" hidden="1" outlineLevel="2" x14ac:dyDescent="0.2">
      <c r="A157" s="606"/>
      <c r="B157" s="606"/>
      <c r="C157" s="607"/>
      <c r="D157" s="608"/>
      <c r="E157" s="608"/>
      <c r="F157" s="608"/>
      <c r="G157" s="608"/>
      <c r="H157" s="624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  <c r="Z157" s="625"/>
      <c r="AA157" s="625"/>
      <c r="AB157" s="625"/>
      <c r="AC157" s="626"/>
      <c r="AD157" s="606"/>
      <c r="AE157" s="19"/>
      <c r="AF157" s="19"/>
      <c r="AG157" s="19"/>
    </row>
    <row r="158" spans="1:33" hidden="1" outlineLevel="2" x14ac:dyDescent="0.2">
      <c r="A158" s="606"/>
      <c r="B158" s="606"/>
      <c r="C158" s="607"/>
      <c r="D158" s="608"/>
      <c r="E158" s="608"/>
      <c r="F158" s="608"/>
      <c r="G158" s="608"/>
      <c r="H158" s="624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  <c r="Z158" s="625"/>
      <c r="AA158" s="625"/>
      <c r="AB158" s="625"/>
      <c r="AC158" s="626"/>
      <c r="AD158" s="606"/>
      <c r="AE158" s="19"/>
      <c r="AF158" s="19"/>
      <c r="AG158" s="19"/>
    </row>
    <row r="159" spans="1:33" hidden="1" outlineLevel="2" x14ac:dyDescent="0.2">
      <c r="A159" s="606"/>
      <c r="B159" s="606"/>
      <c r="C159" s="607"/>
      <c r="D159" s="608"/>
      <c r="E159" s="608"/>
      <c r="F159" s="608"/>
      <c r="G159" s="608"/>
      <c r="H159" s="624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  <c r="Z159" s="625"/>
      <c r="AA159" s="625"/>
      <c r="AB159" s="625"/>
      <c r="AC159" s="626"/>
      <c r="AD159" s="606"/>
      <c r="AE159" s="19"/>
      <c r="AF159" s="19"/>
      <c r="AG159" s="19"/>
    </row>
    <row r="160" spans="1:33" hidden="1" outlineLevel="2" x14ac:dyDescent="0.2">
      <c r="A160" s="606"/>
      <c r="B160" s="606"/>
      <c r="C160" s="607"/>
      <c r="D160" s="608"/>
      <c r="E160" s="608"/>
      <c r="F160" s="608"/>
      <c r="G160" s="608"/>
      <c r="H160" s="624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  <c r="Z160" s="625"/>
      <c r="AA160" s="625"/>
      <c r="AB160" s="625"/>
      <c r="AC160" s="626"/>
      <c r="AD160" s="606"/>
      <c r="AE160" s="19"/>
      <c r="AF160" s="19"/>
      <c r="AG160" s="19"/>
    </row>
    <row r="161" spans="1:33" hidden="1" outlineLevel="2" x14ac:dyDescent="0.2">
      <c r="A161" s="606"/>
      <c r="B161" s="606"/>
      <c r="C161" s="607"/>
      <c r="D161" s="608"/>
      <c r="E161" s="608"/>
      <c r="F161" s="608"/>
      <c r="G161" s="608"/>
      <c r="H161" s="624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  <c r="Z161" s="625"/>
      <c r="AA161" s="625"/>
      <c r="AB161" s="625"/>
      <c r="AC161" s="626"/>
      <c r="AD161" s="606"/>
      <c r="AE161" s="19"/>
      <c r="AF161" s="19"/>
      <c r="AG161" s="19"/>
    </row>
    <row r="162" spans="1:33" hidden="1" outlineLevel="2" x14ac:dyDescent="0.2">
      <c r="A162" s="606"/>
      <c r="B162" s="606"/>
      <c r="C162" s="607"/>
      <c r="D162" s="608"/>
      <c r="E162" s="608"/>
      <c r="F162" s="608"/>
      <c r="G162" s="608"/>
      <c r="H162" s="624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  <c r="Z162" s="625"/>
      <c r="AA162" s="625"/>
      <c r="AB162" s="625"/>
      <c r="AC162" s="626"/>
      <c r="AD162" s="606"/>
      <c r="AE162" s="19"/>
      <c r="AF162" s="19"/>
      <c r="AG162" s="19"/>
    </row>
    <row r="163" spans="1:33" hidden="1" outlineLevel="2" x14ac:dyDescent="0.2">
      <c r="A163" s="606"/>
      <c r="B163" s="606"/>
      <c r="C163" s="607"/>
      <c r="D163" s="608"/>
      <c r="E163" s="608"/>
      <c r="F163" s="608"/>
      <c r="G163" s="608"/>
      <c r="H163" s="624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  <c r="Z163" s="625"/>
      <c r="AA163" s="625"/>
      <c r="AB163" s="625"/>
      <c r="AC163" s="626"/>
      <c r="AD163" s="606"/>
      <c r="AE163" s="19"/>
      <c r="AF163" s="19"/>
      <c r="AG163" s="19"/>
    </row>
    <row r="164" spans="1:33" hidden="1" outlineLevel="2" x14ac:dyDescent="0.2">
      <c r="A164" s="606"/>
      <c r="B164" s="606"/>
      <c r="C164" s="607"/>
      <c r="D164" s="608"/>
      <c r="E164" s="608"/>
      <c r="F164" s="608"/>
      <c r="G164" s="608"/>
      <c r="H164" s="624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  <c r="Z164" s="625"/>
      <c r="AA164" s="625"/>
      <c r="AB164" s="625"/>
      <c r="AC164" s="626"/>
      <c r="AD164" s="606"/>
      <c r="AE164" s="19"/>
      <c r="AF164" s="19"/>
      <c r="AG164" s="19"/>
    </row>
    <row r="165" spans="1:33" hidden="1" outlineLevel="2" x14ac:dyDescent="0.2">
      <c r="A165" s="606"/>
      <c r="B165" s="606"/>
      <c r="C165" s="607"/>
      <c r="D165" s="608"/>
      <c r="E165" s="608"/>
      <c r="F165" s="608"/>
      <c r="G165" s="608"/>
      <c r="H165" s="624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  <c r="Z165" s="625"/>
      <c r="AA165" s="625"/>
      <c r="AB165" s="625"/>
      <c r="AC165" s="626"/>
      <c r="AD165" s="606"/>
      <c r="AE165" s="19"/>
      <c r="AF165" s="19"/>
      <c r="AG165" s="19"/>
    </row>
    <row r="166" spans="1:33" hidden="1" outlineLevel="2" x14ac:dyDescent="0.2">
      <c r="A166" s="606"/>
      <c r="B166" s="606"/>
      <c r="C166" s="607"/>
      <c r="D166" s="608"/>
      <c r="E166" s="608"/>
      <c r="F166" s="608"/>
      <c r="G166" s="608"/>
      <c r="H166" s="624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  <c r="Z166" s="625"/>
      <c r="AA166" s="625"/>
      <c r="AB166" s="625"/>
      <c r="AC166" s="626"/>
      <c r="AD166" s="606"/>
      <c r="AE166" s="19"/>
      <c r="AF166" s="19"/>
      <c r="AG166" s="19"/>
    </row>
    <row r="167" spans="1:33" hidden="1" outlineLevel="2" x14ac:dyDescent="0.2">
      <c r="A167" s="606"/>
      <c r="B167" s="606"/>
      <c r="C167" s="607"/>
      <c r="D167" s="608"/>
      <c r="E167" s="608"/>
      <c r="F167" s="608"/>
      <c r="G167" s="608"/>
      <c r="H167" s="624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  <c r="Z167" s="625"/>
      <c r="AA167" s="625"/>
      <c r="AB167" s="625"/>
      <c r="AC167" s="626"/>
      <c r="AD167" s="606"/>
      <c r="AE167" s="19"/>
      <c r="AF167" s="19"/>
      <c r="AG167" s="19"/>
    </row>
    <row r="168" spans="1:33" hidden="1" outlineLevel="2" x14ac:dyDescent="0.2">
      <c r="A168" s="606"/>
      <c r="B168" s="606"/>
      <c r="C168" s="607"/>
      <c r="D168" s="608"/>
      <c r="E168" s="608"/>
      <c r="F168" s="608"/>
      <c r="G168" s="608"/>
      <c r="H168" s="624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  <c r="Z168" s="625"/>
      <c r="AA168" s="625"/>
      <c r="AB168" s="625"/>
      <c r="AC168" s="626"/>
      <c r="AD168" s="606"/>
      <c r="AE168" s="19"/>
      <c r="AF168" s="19"/>
      <c r="AG168" s="19"/>
    </row>
    <row r="169" spans="1:33" hidden="1" outlineLevel="2" x14ac:dyDescent="0.2">
      <c r="A169" s="606"/>
      <c r="B169" s="606"/>
      <c r="C169" s="607"/>
      <c r="D169" s="608"/>
      <c r="E169" s="608"/>
      <c r="F169" s="608"/>
      <c r="G169" s="608"/>
      <c r="H169" s="624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  <c r="Z169" s="625"/>
      <c r="AA169" s="625"/>
      <c r="AB169" s="625"/>
      <c r="AC169" s="626"/>
      <c r="AD169" s="606"/>
      <c r="AE169" s="19"/>
      <c r="AF169" s="19"/>
      <c r="AG169" s="19"/>
    </row>
    <row r="170" spans="1:33" hidden="1" outlineLevel="2" x14ac:dyDescent="0.2">
      <c r="A170" s="606"/>
      <c r="B170" s="606"/>
      <c r="C170" s="607"/>
      <c r="D170" s="608"/>
      <c r="E170" s="608"/>
      <c r="F170" s="608"/>
      <c r="G170" s="608"/>
      <c r="H170" s="624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  <c r="Z170" s="625"/>
      <c r="AA170" s="625"/>
      <c r="AB170" s="625"/>
      <c r="AC170" s="626"/>
      <c r="AD170" s="606"/>
      <c r="AE170" s="19"/>
      <c r="AF170" s="19"/>
      <c r="AG170" s="19"/>
    </row>
    <row r="171" spans="1:33" hidden="1" outlineLevel="2" x14ac:dyDescent="0.2">
      <c r="A171" s="606"/>
      <c r="B171" s="606"/>
      <c r="C171" s="607"/>
      <c r="D171" s="608"/>
      <c r="E171" s="608"/>
      <c r="F171" s="608"/>
      <c r="G171" s="608"/>
      <c r="H171" s="624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  <c r="Z171" s="625"/>
      <c r="AA171" s="625"/>
      <c r="AB171" s="625"/>
      <c r="AC171" s="626"/>
      <c r="AD171" s="606"/>
      <c r="AE171" s="19"/>
      <c r="AF171" s="19"/>
      <c r="AG171" s="19"/>
    </row>
    <row r="172" spans="1:33" hidden="1" outlineLevel="2" x14ac:dyDescent="0.2">
      <c r="A172" s="606"/>
      <c r="B172" s="606"/>
      <c r="C172" s="607"/>
      <c r="D172" s="608"/>
      <c r="E172" s="608"/>
      <c r="F172" s="608"/>
      <c r="G172" s="608"/>
      <c r="H172" s="624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  <c r="Z172" s="625"/>
      <c r="AA172" s="625"/>
      <c r="AB172" s="625"/>
      <c r="AC172" s="626"/>
      <c r="AD172" s="606"/>
      <c r="AE172" s="19"/>
      <c r="AF172" s="19"/>
      <c r="AG172" s="19"/>
    </row>
    <row r="173" spans="1:33" hidden="1" outlineLevel="2" x14ac:dyDescent="0.2">
      <c r="A173" s="606"/>
      <c r="B173" s="606"/>
      <c r="C173" s="607"/>
      <c r="D173" s="608"/>
      <c r="E173" s="608"/>
      <c r="F173" s="608"/>
      <c r="G173" s="608"/>
      <c r="H173" s="624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  <c r="Z173" s="625"/>
      <c r="AA173" s="625"/>
      <c r="AB173" s="625"/>
      <c r="AC173" s="626"/>
      <c r="AD173" s="606"/>
      <c r="AE173" s="19"/>
      <c r="AF173" s="19"/>
      <c r="AG173" s="19"/>
    </row>
    <row r="174" spans="1:33" hidden="1" outlineLevel="2" x14ac:dyDescent="0.2">
      <c r="A174" s="606"/>
      <c r="B174" s="606"/>
      <c r="C174" s="607"/>
      <c r="D174" s="608"/>
      <c r="E174" s="608"/>
      <c r="F174" s="608"/>
      <c r="G174" s="608"/>
      <c r="H174" s="624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  <c r="Z174" s="625"/>
      <c r="AA174" s="625"/>
      <c r="AB174" s="625"/>
      <c r="AC174" s="626"/>
      <c r="AD174" s="606"/>
      <c r="AE174" s="19"/>
      <c r="AF174" s="19"/>
      <c r="AG174" s="19"/>
    </row>
    <row r="175" spans="1:33" hidden="1" outlineLevel="2" x14ac:dyDescent="0.2">
      <c r="A175" s="606"/>
      <c r="B175" s="606"/>
      <c r="C175" s="607"/>
      <c r="D175" s="608"/>
      <c r="E175" s="608"/>
      <c r="F175" s="608"/>
      <c r="G175" s="608"/>
      <c r="H175" s="624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  <c r="Z175" s="625"/>
      <c r="AA175" s="625"/>
      <c r="AB175" s="625"/>
      <c r="AC175" s="626"/>
      <c r="AD175" s="606"/>
      <c r="AE175" s="19"/>
      <c r="AF175" s="19"/>
      <c r="AG175" s="19"/>
    </row>
    <row r="176" spans="1:33" hidden="1" outlineLevel="2" x14ac:dyDescent="0.2">
      <c r="A176" s="606"/>
      <c r="B176" s="606"/>
      <c r="C176" s="607"/>
      <c r="D176" s="608"/>
      <c r="E176" s="608"/>
      <c r="F176" s="608"/>
      <c r="G176" s="608"/>
      <c r="H176" s="624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  <c r="Z176" s="625"/>
      <c r="AA176" s="625"/>
      <c r="AB176" s="625"/>
      <c r="AC176" s="626"/>
      <c r="AD176" s="606"/>
      <c r="AE176" s="19"/>
      <c r="AF176" s="19"/>
      <c r="AG176" s="19"/>
    </row>
    <row r="177" spans="1:33" hidden="1" outlineLevel="2" x14ac:dyDescent="0.2">
      <c r="A177" s="606"/>
      <c r="B177" s="606"/>
      <c r="C177" s="607"/>
      <c r="D177" s="608"/>
      <c r="E177" s="608"/>
      <c r="F177" s="608"/>
      <c r="G177" s="608"/>
      <c r="H177" s="624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  <c r="Z177" s="625"/>
      <c r="AA177" s="625"/>
      <c r="AB177" s="625"/>
      <c r="AC177" s="626"/>
      <c r="AD177" s="606"/>
      <c r="AE177" s="19"/>
      <c r="AF177" s="19"/>
      <c r="AG177" s="19"/>
    </row>
    <row r="178" spans="1:33" hidden="1" outlineLevel="2" x14ac:dyDescent="0.2">
      <c r="A178" s="606"/>
      <c r="B178" s="606"/>
      <c r="C178" s="607"/>
      <c r="D178" s="608"/>
      <c r="E178" s="608"/>
      <c r="F178" s="608"/>
      <c r="G178" s="608"/>
      <c r="H178" s="624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  <c r="Z178" s="625"/>
      <c r="AA178" s="625"/>
      <c r="AB178" s="625"/>
      <c r="AC178" s="626"/>
      <c r="AD178" s="606"/>
      <c r="AE178" s="19"/>
      <c r="AF178" s="19"/>
      <c r="AG178" s="19"/>
    </row>
    <row r="179" spans="1:33" hidden="1" outlineLevel="2" x14ac:dyDescent="0.2">
      <c r="A179" s="606"/>
      <c r="B179" s="606"/>
      <c r="C179" s="607"/>
      <c r="D179" s="608"/>
      <c r="E179" s="608"/>
      <c r="F179" s="608"/>
      <c r="G179" s="608"/>
      <c r="H179" s="624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  <c r="Z179" s="625"/>
      <c r="AA179" s="625"/>
      <c r="AB179" s="625"/>
      <c r="AC179" s="626"/>
      <c r="AD179" s="606"/>
      <c r="AE179" s="19"/>
      <c r="AF179" s="19"/>
      <c r="AG179" s="19"/>
    </row>
    <row r="180" spans="1:33" hidden="1" outlineLevel="2" x14ac:dyDescent="0.2">
      <c r="A180" s="606"/>
      <c r="B180" s="606"/>
      <c r="C180" s="607"/>
      <c r="D180" s="608"/>
      <c r="E180" s="608"/>
      <c r="F180" s="608"/>
      <c r="G180" s="608"/>
      <c r="H180" s="624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  <c r="Z180" s="625"/>
      <c r="AA180" s="625"/>
      <c r="AB180" s="625"/>
      <c r="AC180" s="626"/>
      <c r="AD180" s="606"/>
      <c r="AE180" s="19"/>
      <c r="AF180" s="19"/>
      <c r="AG180" s="19"/>
    </row>
    <row r="181" spans="1:33" hidden="1" outlineLevel="2" x14ac:dyDescent="0.2">
      <c r="A181" s="606"/>
      <c r="B181" s="606"/>
      <c r="C181" s="607"/>
      <c r="D181" s="608"/>
      <c r="E181" s="608"/>
      <c r="F181" s="608"/>
      <c r="G181" s="608"/>
      <c r="H181" s="624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6"/>
      <c r="AD181" s="606"/>
      <c r="AE181" s="19"/>
      <c r="AF181" s="19"/>
      <c r="AG181" s="19"/>
    </row>
    <row r="182" spans="1:33" hidden="1" outlineLevel="2" x14ac:dyDescent="0.2">
      <c r="A182" s="606"/>
      <c r="B182" s="606"/>
      <c r="C182" s="607"/>
      <c r="D182" s="608"/>
      <c r="E182" s="608"/>
      <c r="F182" s="608"/>
      <c r="G182" s="608"/>
      <c r="H182" s="624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  <c r="Z182" s="625"/>
      <c r="AA182" s="625"/>
      <c r="AB182" s="625"/>
      <c r="AC182" s="626"/>
      <c r="AD182" s="606"/>
      <c r="AE182" s="19"/>
      <c r="AF182" s="19"/>
      <c r="AG182" s="19"/>
    </row>
    <row r="183" spans="1:33" hidden="1" outlineLevel="2" x14ac:dyDescent="0.2">
      <c r="A183" s="606"/>
      <c r="B183" s="606"/>
      <c r="C183" s="607"/>
      <c r="D183" s="608"/>
      <c r="E183" s="608"/>
      <c r="F183" s="608"/>
      <c r="G183" s="608"/>
      <c r="H183" s="624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  <c r="Z183" s="625"/>
      <c r="AA183" s="625"/>
      <c r="AB183" s="625"/>
      <c r="AC183" s="626"/>
      <c r="AD183" s="606"/>
      <c r="AE183" s="19"/>
      <c r="AF183" s="19"/>
      <c r="AG183" s="19"/>
    </row>
    <row r="184" spans="1:33" hidden="1" outlineLevel="2" x14ac:dyDescent="0.2">
      <c r="A184" s="606"/>
      <c r="B184" s="606"/>
      <c r="C184" s="607"/>
      <c r="D184" s="608"/>
      <c r="E184" s="608"/>
      <c r="F184" s="608"/>
      <c r="G184" s="608"/>
      <c r="H184" s="624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  <c r="Z184" s="625"/>
      <c r="AA184" s="625"/>
      <c r="AB184" s="625"/>
      <c r="AC184" s="626"/>
      <c r="AD184" s="606"/>
      <c r="AE184" s="19"/>
      <c r="AF184" s="19"/>
      <c r="AG184" s="19"/>
    </row>
    <row r="185" spans="1:33" hidden="1" outlineLevel="2" x14ac:dyDescent="0.2">
      <c r="A185" s="606"/>
      <c r="B185" s="606"/>
      <c r="C185" s="607"/>
      <c r="D185" s="608"/>
      <c r="E185" s="608"/>
      <c r="F185" s="608"/>
      <c r="G185" s="608"/>
      <c r="H185" s="624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6"/>
      <c r="AD185" s="606"/>
      <c r="AE185" s="19"/>
      <c r="AF185" s="19"/>
      <c r="AG185" s="19"/>
    </row>
    <row r="186" spans="1:33" hidden="1" outlineLevel="2" x14ac:dyDescent="0.2">
      <c r="A186" s="606"/>
      <c r="B186" s="606"/>
      <c r="C186" s="607"/>
      <c r="D186" s="608"/>
      <c r="E186" s="608"/>
      <c r="F186" s="608"/>
      <c r="G186" s="608"/>
      <c r="H186" s="624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  <c r="Z186" s="625"/>
      <c r="AA186" s="625"/>
      <c r="AB186" s="625"/>
      <c r="AC186" s="626"/>
      <c r="AD186" s="606"/>
      <c r="AE186" s="19"/>
      <c r="AF186" s="19"/>
      <c r="AG186" s="19"/>
    </row>
    <row r="187" spans="1:33" hidden="1" outlineLevel="2" x14ac:dyDescent="0.2">
      <c r="A187" s="606"/>
      <c r="B187" s="606"/>
      <c r="C187" s="607"/>
      <c r="D187" s="608"/>
      <c r="E187" s="608"/>
      <c r="F187" s="608"/>
      <c r="G187" s="608"/>
      <c r="H187" s="624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  <c r="Z187" s="625"/>
      <c r="AA187" s="625"/>
      <c r="AB187" s="625"/>
      <c r="AC187" s="626"/>
      <c r="AD187" s="606"/>
      <c r="AE187" s="19"/>
      <c r="AF187" s="19"/>
      <c r="AG187" s="19"/>
    </row>
    <row r="188" spans="1:33" outlineLevel="1" collapsed="1" x14ac:dyDescent="0.2">
      <c r="A188" s="606"/>
      <c r="B188" s="606"/>
      <c r="C188" s="613"/>
      <c r="D188" s="609"/>
      <c r="E188" s="609"/>
      <c r="F188" s="609"/>
      <c r="G188" s="609"/>
      <c r="H188" s="627"/>
      <c r="I188" s="628"/>
      <c r="J188" s="628"/>
      <c r="K188" s="626"/>
      <c r="L188" s="626"/>
      <c r="M188" s="626"/>
      <c r="N188" s="629"/>
      <c r="O188" s="629"/>
      <c r="P188" s="629"/>
      <c r="Q188" s="629"/>
      <c r="R188" s="629"/>
      <c r="S188" s="626"/>
      <c r="T188" s="626"/>
      <c r="U188" s="626"/>
      <c r="V188" s="626"/>
      <c r="W188" s="626"/>
      <c r="X188" s="626"/>
      <c r="Y188" s="626"/>
      <c r="Z188" s="626"/>
      <c r="AA188" s="626"/>
      <c r="AB188" s="626"/>
      <c r="AC188" s="626"/>
      <c r="AD188" s="606"/>
      <c r="AE188" s="19"/>
      <c r="AF188" s="19"/>
      <c r="AG188" s="19"/>
    </row>
    <row r="189" spans="1:33" x14ac:dyDescent="0.2">
      <c r="A189" s="606"/>
      <c r="B189" s="606"/>
      <c r="C189" s="613"/>
      <c r="D189" s="609"/>
      <c r="E189" s="609"/>
      <c r="F189" s="609"/>
      <c r="G189" s="609"/>
      <c r="H189" s="627"/>
      <c r="I189" s="628"/>
      <c r="J189" s="628"/>
      <c r="K189" s="626"/>
      <c r="L189" s="626"/>
      <c r="M189" s="626"/>
      <c r="N189" s="629"/>
      <c r="O189" s="629"/>
      <c r="P189" s="629"/>
      <c r="Q189" s="629"/>
      <c r="R189" s="629"/>
      <c r="S189" s="626"/>
      <c r="T189" s="626"/>
      <c r="U189" s="626"/>
      <c r="V189" s="626"/>
      <c r="W189" s="626"/>
      <c r="X189" s="626"/>
      <c r="Y189" s="626"/>
      <c r="Z189" s="626"/>
      <c r="AA189" s="626"/>
      <c r="AB189" s="626"/>
      <c r="AC189" s="626"/>
      <c r="AD189" s="606"/>
      <c r="AE189" s="19"/>
      <c r="AF189" s="19"/>
      <c r="AG189" s="19"/>
    </row>
    <row r="190" spans="1:33" ht="12.75" x14ac:dyDescent="0.2">
      <c r="A190" s="11"/>
      <c r="B190" s="12" t="s">
        <v>8</v>
      </c>
      <c r="C190" s="11"/>
      <c r="D190" s="11"/>
      <c r="E190" s="11"/>
      <c r="F190" s="11"/>
      <c r="G190" s="13"/>
      <c r="H190" s="336"/>
      <c r="I190" s="13"/>
      <c r="J190" s="13"/>
      <c r="K190" s="13"/>
      <c r="L190" s="13"/>
      <c r="M190" s="13"/>
      <c r="N190" s="14"/>
      <c r="O190" s="15"/>
      <c r="P190" s="14"/>
      <c r="Q190" s="15"/>
      <c r="R190" s="14"/>
      <c r="S190" s="14"/>
      <c r="T190" s="14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</row>
  </sheetData>
  <sheetProtection formatColumns="0" formatRows="0"/>
  <hyperlinks>
    <hyperlink ref="I1" location="'Pricing model'!A51" display="Back to Index" xr:uid="{00000000-0004-0000-0400-000000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greaterThan" id="{B0D4F4B8-8D9F-4446-99D1-B8E8CAFDCC04}">
            <xm:f>General!$F$20</xm:f>
            <x14:dxf>
              <font>
                <b/>
                <i val="0"/>
              </font>
              <fill>
                <patternFill>
                  <bgColor rgb="FFFF6565"/>
                </patternFill>
              </fill>
            </x14:dxf>
          </x14:cfRule>
          <xm:sqref>I8:AB82</xm:sqref>
        </x14:conditionalFormatting>
        <x14:conditionalFormatting xmlns:xm="http://schemas.microsoft.com/office/excel/2006/main">
          <x14:cfRule type="cellIs" priority="1" operator="greaterThan" id="{83DB7093-5219-42E5-8D4B-C04D8E8B38C4}">
            <xm:f>General!$F$20</xm:f>
            <x14:dxf>
              <font>
                <b/>
                <i val="0"/>
              </font>
              <fill>
                <patternFill>
                  <bgColor rgb="FFFF6565"/>
                </patternFill>
              </fill>
            </x14:dxf>
          </x14:cfRule>
          <xm:sqref>I88:AB187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1">
    <tabColor theme="7" tint="0.79998168889431442"/>
  </sheetPr>
  <dimension ref="A1:AA131"/>
  <sheetViews>
    <sheetView showGridLines="0" topLeftCell="A94" zoomScaleNormal="100" workbookViewId="0">
      <selection activeCell="M127" sqref="M127"/>
    </sheetView>
  </sheetViews>
  <sheetFormatPr defaultColWidth="0" defaultRowHeight="11.25" zeroHeight="1" outlineLevelRow="1" x14ac:dyDescent="0.2"/>
  <cols>
    <col min="1" max="2" width="1.42578125" style="18" customWidth="1"/>
    <col min="3" max="3" width="45.28515625" style="18" customWidth="1"/>
    <col min="4" max="14" width="11.85546875" style="18" customWidth="1"/>
    <col min="15" max="15" width="9.28515625" style="18" customWidth="1"/>
    <col min="16" max="17" width="3.85546875" style="18" customWidth="1"/>
    <col min="18" max="16384" width="8" style="18" hidden="1"/>
  </cols>
  <sheetData>
    <row r="1" spans="1:24" ht="15.75" x14ac:dyDescent="0.25">
      <c r="A1" s="1"/>
      <c r="B1" s="2" t="str">
        <f>'Outputs&gt;&gt;'!B1</f>
        <v>AER pricing model - TasNetworks 2022–23</v>
      </c>
      <c r="C1" s="2"/>
      <c r="D1" s="2"/>
      <c r="E1" s="2"/>
      <c r="F1" s="3"/>
      <c r="G1" s="160" t="s">
        <v>0</v>
      </c>
      <c r="H1" s="3"/>
      <c r="I1" s="3"/>
      <c r="J1" s="3"/>
      <c r="K1" s="4"/>
      <c r="L1" s="1"/>
      <c r="M1" s="111"/>
      <c r="N1" s="112"/>
      <c r="O1" s="112"/>
      <c r="P1" s="113"/>
      <c r="Q1" s="1"/>
    </row>
    <row r="2" spans="1:24" ht="13.5" thickBot="1" x14ac:dyDescent="0.25">
      <c r="A2" s="6"/>
      <c r="B2" s="7" t="str">
        <f>'Outputs&gt;&gt;'!C10</f>
        <v>Tables</v>
      </c>
      <c r="C2" s="7"/>
      <c r="D2" s="7"/>
      <c r="E2" s="7"/>
      <c r="F2" s="8"/>
      <c r="G2" s="8"/>
      <c r="H2" s="8"/>
      <c r="I2" s="8"/>
      <c r="J2" s="8"/>
      <c r="K2" s="6"/>
      <c r="L2" s="6"/>
      <c r="M2" s="6"/>
      <c r="N2" s="6"/>
      <c r="O2" s="6"/>
      <c r="P2" s="6"/>
      <c r="Q2" s="6"/>
    </row>
    <row r="3" spans="1:24" x14ac:dyDescent="0.2">
      <c r="A3" s="27"/>
      <c r="B3" s="296" t="str">
        <f>'Outputs&gt;&gt;'!D10</f>
        <v>Provides output tables for use in pricing proposal documents</v>
      </c>
      <c r="C3" s="27"/>
      <c r="D3" s="28"/>
      <c r="E3" s="28"/>
      <c r="F3" s="28"/>
      <c r="G3" s="28"/>
      <c r="H3" s="28"/>
      <c r="I3" s="28"/>
      <c r="J3" s="28"/>
      <c r="K3" s="29"/>
      <c r="L3" s="30"/>
      <c r="M3" s="30"/>
      <c r="N3" s="30"/>
      <c r="O3" s="30"/>
      <c r="P3" s="31"/>
      <c r="Q3" s="31"/>
    </row>
    <row r="4" spans="1:24" x14ac:dyDescent="0.2">
      <c r="A4" s="9"/>
      <c r="B4" s="9"/>
      <c r="C4" s="78"/>
      <c r="D4" s="10"/>
      <c r="E4" s="10"/>
      <c r="F4" s="10"/>
      <c r="G4" s="10"/>
      <c r="H4" s="10"/>
      <c r="I4" s="10"/>
      <c r="J4" s="10"/>
      <c r="K4" s="50"/>
      <c r="L4" s="50"/>
      <c r="M4" s="50"/>
      <c r="N4" s="50"/>
      <c r="O4" s="50"/>
      <c r="P4" s="9"/>
      <c r="Q4" s="9"/>
      <c r="R4" s="9"/>
      <c r="S4" s="9"/>
      <c r="T4" s="9"/>
    </row>
    <row r="5" spans="1:24" ht="12.75" x14ac:dyDescent="0.2">
      <c r="A5" s="11"/>
      <c r="B5" s="12" t="s">
        <v>396</v>
      </c>
      <c r="C5" s="11"/>
      <c r="D5" s="32"/>
      <c r="E5" s="32"/>
      <c r="F5" s="33"/>
      <c r="G5" s="34"/>
      <c r="H5" s="34"/>
      <c r="I5" s="34"/>
      <c r="J5" s="34"/>
      <c r="K5" s="33"/>
      <c r="L5" s="33"/>
      <c r="M5" s="33"/>
      <c r="N5" s="35"/>
      <c r="O5" s="35"/>
      <c r="P5" s="15"/>
      <c r="Q5" s="15"/>
      <c r="R5" s="15"/>
      <c r="S5" s="15"/>
      <c r="T5" s="15"/>
    </row>
    <row r="6" spans="1:24" x14ac:dyDescent="0.2">
      <c r="A6" s="9"/>
      <c r="B6" s="9"/>
      <c r="C6" s="9"/>
      <c r="D6" s="10"/>
      <c r="E6" s="10"/>
      <c r="F6" s="10"/>
      <c r="G6" s="10"/>
      <c r="H6" s="10"/>
      <c r="I6" s="10"/>
      <c r="J6" s="10"/>
      <c r="K6" s="10"/>
      <c r="L6" s="93"/>
      <c r="M6" s="93"/>
      <c r="N6" s="10"/>
      <c r="O6" s="50"/>
      <c r="P6" s="9"/>
      <c r="Q6" s="9"/>
      <c r="R6" s="9"/>
      <c r="S6" s="9"/>
      <c r="T6" s="9"/>
      <c r="U6" s="9"/>
      <c r="V6" s="9"/>
      <c r="W6" s="9"/>
      <c r="X6" s="9"/>
    </row>
    <row r="7" spans="1:24" x14ac:dyDescent="0.2">
      <c r="A7" s="9"/>
      <c r="B7" s="9"/>
      <c r="C7" s="73" t="str">
        <f>"Expected weighted average revenue - distribution ("&amp;outputtableunits&amp;")"</f>
        <v>Expected weighted average revenue - distribution ($millions)</v>
      </c>
      <c r="D7" s="10"/>
      <c r="E7" s="10"/>
      <c r="F7" s="10"/>
      <c r="G7" s="10"/>
      <c r="H7" s="10"/>
      <c r="I7" s="10"/>
      <c r="J7" s="10"/>
      <c r="K7" s="10"/>
      <c r="L7" s="20"/>
      <c r="M7" s="20"/>
      <c r="N7" s="10"/>
      <c r="O7" s="50"/>
      <c r="P7" s="9"/>
      <c r="Q7" s="9"/>
      <c r="R7" s="9"/>
      <c r="S7" s="9"/>
      <c r="T7" s="9"/>
      <c r="U7" s="9"/>
      <c r="V7" s="9"/>
      <c r="W7" s="9"/>
      <c r="X7" s="9"/>
    </row>
    <row r="8" spans="1:24" ht="22.5" x14ac:dyDescent="0.2">
      <c r="A8" s="9"/>
      <c r="B8" s="9"/>
      <c r="C8" s="233" t="s">
        <v>199</v>
      </c>
      <c r="D8" s="10" t="str">
        <f>currentyear</f>
        <v>2021–22</v>
      </c>
      <c r="E8" s="10" t="str">
        <f>forecastyear</f>
        <v>2022–23</v>
      </c>
      <c r="F8" s="10" t="s">
        <v>315</v>
      </c>
      <c r="G8" s="150" t="str">
        <f>currentyear&amp;" with "&amp;forecastyear&amp;" qtys"</f>
        <v>2021–22 with 2022–23 qtys</v>
      </c>
      <c r="H8" s="151" t="str">
        <f>forecastyear</f>
        <v>2022–23</v>
      </c>
      <c r="I8" s="10" t="s">
        <v>315</v>
      </c>
      <c r="J8" s="10"/>
      <c r="K8" s="10"/>
      <c r="L8" s="20"/>
      <c r="M8" s="20"/>
      <c r="N8" s="10"/>
      <c r="O8" s="50"/>
      <c r="P8" s="9"/>
      <c r="Q8" s="9"/>
      <c r="R8" s="9"/>
      <c r="S8" s="9"/>
      <c r="T8" s="9"/>
      <c r="U8" s="9"/>
      <c r="V8" s="9"/>
      <c r="W8" s="9"/>
      <c r="X8" s="9"/>
    </row>
    <row r="9" spans="1:24" x14ac:dyDescent="0.2">
      <c r="A9" s="9"/>
      <c r="B9" s="9"/>
      <c r="C9" s="492" t="str">
        <f>Tariffs!C7</f>
        <v>Residential</v>
      </c>
      <c r="D9" s="600">
        <f>'Rev. summary'!L7*outputsmultiplier</f>
        <v>121.66456326733294</v>
      </c>
      <c r="E9" s="600">
        <f>'Rev. summary'!P7*outputsmultiplier</f>
        <v>121.08100033978971</v>
      </c>
      <c r="F9" s="234">
        <f>IFERROR(E9/D9-1,0)</f>
        <v>-4.7964905463965257E-3</v>
      </c>
      <c r="G9" s="306">
        <f>'SC revenue'!J27*outputsmultiplier</f>
        <v>124.32944209581481</v>
      </c>
      <c r="H9" s="306">
        <f>E9</f>
        <v>121.08100033978971</v>
      </c>
      <c r="I9" s="234">
        <f>IFERROR(H9/G9-1,0)</f>
        <v>-2.6127695107983184E-2</v>
      </c>
      <c r="J9" s="20"/>
      <c r="K9" s="20"/>
      <c r="L9" s="20"/>
      <c r="M9" s="20"/>
      <c r="N9" s="20"/>
      <c r="O9" s="20"/>
      <c r="P9" s="9"/>
      <c r="Q9" s="9"/>
      <c r="R9" s="9"/>
      <c r="S9" s="9"/>
      <c r="T9" s="9"/>
      <c r="U9" s="9"/>
      <c r="V9" s="9"/>
      <c r="W9" s="9"/>
      <c r="X9" s="9"/>
    </row>
    <row r="10" spans="1:24" x14ac:dyDescent="0.2">
      <c r="A10" s="9"/>
      <c r="B10" s="9"/>
      <c r="C10" s="492" t="str">
        <f>Tariffs!C8</f>
        <v>Small Business LV</v>
      </c>
      <c r="D10" s="600">
        <f>'Rev. summary'!L8*outputsmultiplier</f>
        <v>59.307950157477698</v>
      </c>
      <c r="E10" s="600">
        <f>'Rev. summary'!P8*outputsmultiplier</f>
        <v>60.650901070362487</v>
      </c>
      <c r="F10" s="234">
        <f t="shared" ref="F10:F19" si="0">IFERROR(E10/D10-1,0)</f>
        <v>2.2643691264306209E-2</v>
      </c>
      <c r="G10" s="306">
        <f>'SC revenue'!J28*outputsmultiplier</f>
        <v>60.37320918739556</v>
      </c>
      <c r="H10" s="306">
        <f t="shared" ref="H10:H19" si="1">E10</f>
        <v>60.650901070362487</v>
      </c>
      <c r="I10" s="234">
        <f t="shared" ref="I10:I19" si="2">IFERROR(H10/G10-1,0)</f>
        <v>4.5995879083549074E-3</v>
      </c>
      <c r="J10" s="20"/>
      <c r="K10" s="20"/>
      <c r="L10" s="20"/>
      <c r="M10" s="20"/>
      <c r="N10" s="20"/>
      <c r="O10" s="20"/>
      <c r="P10" s="9"/>
      <c r="Q10" s="9"/>
      <c r="R10" s="9"/>
      <c r="S10" s="9"/>
      <c r="T10" s="9"/>
      <c r="U10" s="9"/>
      <c r="V10" s="9"/>
      <c r="W10" s="9"/>
      <c r="X10" s="9"/>
    </row>
    <row r="11" spans="1:24" x14ac:dyDescent="0.2">
      <c r="A11" s="9"/>
      <c r="B11" s="9"/>
      <c r="C11" s="492" t="str">
        <f>Tariffs!C9</f>
        <v>Large Business LV</v>
      </c>
      <c r="D11" s="600">
        <f>'Rev. summary'!L9*outputsmultiplier</f>
        <v>15.445074549781729</v>
      </c>
      <c r="E11" s="600">
        <f>'Rev. summary'!P9*outputsmultiplier</f>
        <v>14.889905497366902</v>
      </c>
      <c r="F11" s="234">
        <f t="shared" si="0"/>
        <v>-3.5944731158495613E-2</v>
      </c>
      <c r="G11" s="306">
        <f>'SC revenue'!J29*outputsmultiplier</f>
        <v>15.052423603779976</v>
      </c>
      <c r="H11" s="306">
        <f t="shared" si="1"/>
        <v>14.889905497366902</v>
      </c>
      <c r="I11" s="234">
        <f t="shared" si="2"/>
        <v>-1.0796806593475261E-2</v>
      </c>
      <c r="J11" s="20"/>
      <c r="K11" s="20"/>
      <c r="L11" s="20"/>
      <c r="M11" s="20"/>
      <c r="N11" s="20"/>
      <c r="O11" s="20"/>
      <c r="P11" s="9"/>
      <c r="Q11" s="9"/>
      <c r="R11" s="9"/>
      <c r="S11" s="9"/>
      <c r="T11" s="9"/>
      <c r="U11" s="9"/>
      <c r="V11" s="9"/>
      <c r="W11" s="9"/>
      <c r="X11" s="9"/>
    </row>
    <row r="12" spans="1:24" x14ac:dyDescent="0.2">
      <c r="A12" s="9"/>
      <c r="B12" s="9"/>
      <c r="C12" s="492" t="str">
        <f>Tariffs!C10</f>
        <v>Irrigation</v>
      </c>
      <c r="D12" s="600">
        <f>'Rev. summary'!L10*outputsmultiplier</f>
        <v>7.4378149702409893</v>
      </c>
      <c r="E12" s="600">
        <f>'Rev. summary'!P10*outputsmultiplier</f>
        <v>7.8995566499676313</v>
      </c>
      <c r="F12" s="234">
        <f t="shared" si="0"/>
        <v>6.2080285886929154E-2</v>
      </c>
      <c r="G12" s="306">
        <f>'SC revenue'!J30*outputsmultiplier</f>
        <v>7.7458591598476003</v>
      </c>
      <c r="H12" s="306">
        <f t="shared" si="1"/>
        <v>7.8995566499676313</v>
      </c>
      <c r="I12" s="234">
        <f t="shared" si="2"/>
        <v>1.9842536114877518E-2</v>
      </c>
      <c r="J12" s="20"/>
      <c r="K12" s="20"/>
      <c r="L12" s="20"/>
      <c r="M12" s="20"/>
      <c r="N12" s="20"/>
      <c r="O12" s="20"/>
      <c r="P12" s="9"/>
      <c r="Q12" s="9"/>
      <c r="R12" s="9"/>
      <c r="S12" s="9"/>
      <c r="T12" s="9"/>
      <c r="U12" s="9"/>
      <c r="V12" s="9"/>
      <c r="W12" s="9"/>
      <c r="X12" s="9"/>
    </row>
    <row r="13" spans="1:24" x14ac:dyDescent="0.2">
      <c r="A13" s="9"/>
      <c r="B13" s="9"/>
      <c r="C13" s="492" t="str">
        <f>Tariffs!C11</f>
        <v>Large Business HV</v>
      </c>
      <c r="D13" s="600">
        <f>'Rev. summary'!L11*outputsmultiplier</f>
        <v>7.7681710114101179</v>
      </c>
      <c r="E13" s="600">
        <f>'Rev. summary'!P11*outputsmultiplier</f>
        <v>7.5421503559610885</v>
      </c>
      <c r="F13" s="234">
        <f t="shared" si="0"/>
        <v>-2.9095736321592791E-2</v>
      </c>
      <c r="G13" s="306">
        <f>'SC revenue'!J31*outputsmultiplier</f>
        <v>7.5846577024876485</v>
      </c>
      <c r="H13" s="306">
        <f t="shared" si="1"/>
        <v>7.5421503559610885</v>
      </c>
      <c r="I13" s="234">
        <f t="shared" si="2"/>
        <v>-5.6043856155325589E-3</v>
      </c>
      <c r="J13" s="20"/>
      <c r="K13" s="20"/>
      <c r="L13" s="20"/>
      <c r="M13" s="20"/>
      <c r="N13" s="20"/>
      <c r="O13" s="20"/>
      <c r="P13" s="9"/>
      <c r="Q13" s="9"/>
      <c r="R13" s="9"/>
      <c r="S13" s="9"/>
      <c r="T13" s="9"/>
      <c r="U13" s="9"/>
      <c r="V13" s="9"/>
      <c r="W13" s="9"/>
      <c r="X13" s="9"/>
    </row>
    <row r="14" spans="1:24" x14ac:dyDescent="0.2">
      <c r="A14" s="9"/>
      <c r="B14" s="9"/>
      <c r="C14" s="492" t="str">
        <f>Tariffs!C12</f>
        <v>Uncontrolled energy</v>
      </c>
      <c r="D14" s="600">
        <f>'Rev. summary'!L12*outputsmultiplier</f>
        <v>37.674129570339417</v>
      </c>
      <c r="E14" s="600">
        <f>'Rev. summary'!P12*outputsmultiplier</f>
        <v>38.266316198077284</v>
      </c>
      <c r="F14" s="234">
        <f t="shared" si="0"/>
        <v>1.5718654538049215E-2</v>
      </c>
      <c r="G14" s="306">
        <f>'SC revenue'!J32*outputsmultiplier</f>
        <v>36.427157011790648</v>
      </c>
      <c r="H14" s="306">
        <f t="shared" si="1"/>
        <v>38.266316198077284</v>
      </c>
      <c r="I14" s="234">
        <f t="shared" si="2"/>
        <v>5.0488683091336028E-2</v>
      </c>
      <c r="J14" s="20"/>
      <c r="K14" s="20"/>
      <c r="L14" s="20"/>
      <c r="M14" s="20"/>
      <c r="N14" s="20"/>
      <c r="O14" s="20"/>
      <c r="P14" s="9"/>
      <c r="Q14" s="9"/>
      <c r="R14" s="9"/>
      <c r="S14" s="9"/>
      <c r="T14" s="9"/>
      <c r="U14" s="9"/>
      <c r="V14" s="9"/>
      <c r="W14" s="9"/>
      <c r="X14" s="9"/>
    </row>
    <row r="15" spans="1:24" x14ac:dyDescent="0.2">
      <c r="A15" s="9"/>
      <c r="B15" s="9"/>
      <c r="C15" s="492" t="str">
        <f>Tariffs!C13</f>
        <v>Controlled energy</v>
      </c>
      <c r="D15" s="600">
        <f>'Rev. summary'!L13*outputsmultiplier</f>
        <v>1.2605275429958738</v>
      </c>
      <c r="E15" s="600">
        <f>'Rev. summary'!P13*outputsmultiplier</f>
        <v>1.27983897711229</v>
      </c>
      <c r="F15" s="234">
        <f t="shared" si="0"/>
        <v>1.5320120709555463E-2</v>
      </c>
      <c r="G15" s="306">
        <f>'SC revenue'!J33*outputsmultiplier</f>
        <v>1.2582633124761378</v>
      </c>
      <c r="H15" s="306">
        <f t="shared" si="1"/>
        <v>1.27983897711229</v>
      </c>
      <c r="I15" s="234">
        <f t="shared" si="2"/>
        <v>1.7147177718861872E-2</v>
      </c>
      <c r="J15" s="20"/>
      <c r="K15" s="20"/>
      <c r="L15" s="20"/>
      <c r="M15" s="20"/>
      <c r="N15" s="20"/>
      <c r="O15" s="20"/>
      <c r="P15" s="9"/>
      <c r="Q15" s="9"/>
      <c r="R15" s="9"/>
      <c r="S15" s="9"/>
      <c r="T15" s="9"/>
      <c r="U15" s="9"/>
      <c r="V15" s="9"/>
      <c r="W15" s="9"/>
      <c r="X15" s="9"/>
    </row>
    <row r="16" spans="1:24" x14ac:dyDescent="0.2">
      <c r="A16" s="9"/>
      <c r="B16" s="9"/>
      <c r="C16" s="492" t="str">
        <f>Tariffs!C14</f>
        <v>Unmetered supplies</v>
      </c>
      <c r="D16" s="600">
        <f>'Rev. summary'!L14*outputsmultiplier</f>
        <v>0.91556203313502638</v>
      </c>
      <c r="E16" s="600">
        <f>'Rev. summary'!P14*outputsmultiplier</f>
        <v>0.89914586951200737</v>
      </c>
      <c r="F16" s="234">
        <f t="shared" si="0"/>
        <v>-1.7930148945568991E-2</v>
      </c>
      <c r="G16" s="306">
        <f>'SC revenue'!J34*outputsmultiplier</f>
        <v>0.89704047658678732</v>
      </c>
      <c r="H16" s="306">
        <f t="shared" si="1"/>
        <v>0.89914586951200737</v>
      </c>
      <c r="I16" s="234">
        <f t="shared" si="2"/>
        <v>2.3470433945533831E-3</v>
      </c>
      <c r="J16" s="20"/>
      <c r="K16" s="20"/>
      <c r="L16" s="20"/>
      <c r="M16" s="20"/>
      <c r="N16" s="20"/>
      <c r="O16" s="20"/>
      <c r="P16" s="9"/>
      <c r="Q16" s="9"/>
      <c r="R16" s="9"/>
      <c r="S16" s="9"/>
      <c r="T16" s="9"/>
      <c r="U16" s="9"/>
      <c r="V16" s="9"/>
      <c r="W16" s="9"/>
      <c r="X16" s="9"/>
    </row>
    <row r="17" spans="1:24" x14ac:dyDescent="0.2">
      <c r="A17" s="9"/>
      <c r="B17" s="9"/>
      <c r="C17" s="492" t="str">
        <f>Tariffs!C15</f>
        <v>Street lighting</v>
      </c>
      <c r="D17" s="600">
        <f>'Rev. summary'!L15*outputsmultiplier</f>
        <v>1.1354617091592061</v>
      </c>
      <c r="E17" s="600">
        <f>'Rev. summary'!P15*outputsmultiplier</f>
        <v>1.1120561369067714</v>
      </c>
      <c r="F17" s="234">
        <f t="shared" si="0"/>
        <v>-2.0613264246282847E-2</v>
      </c>
      <c r="G17" s="306">
        <f>'SC revenue'!J35*outputsmultiplier</f>
        <v>1.0988173733721671</v>
      </c>
      <c r="H17" s="306">
        <f t="shared" si="1"/>
        <v>1.1120561369067714</v>
      </c>
      <c r="I17" s="234">
        <f t="shared" si="2"/>
        <v>1.2048192771084265E-2</v>
      </c>
      <c r="J17" s="20"/>
      <c r="K17" s="20"/>
      <c r="L17" s="20"/>
      <c r="M17" s="20"/>
      <c r="N17" s="20"/>
      <c r="O17" s="20"/>
      <c r="P17" s="9"/>
      <c r="Q17" s="9"/>
      <c r="R17" s="9"/>
      <c r="S17" s="9"/>
      <c r="T17" s="9"/>
      <c r="U17" s="9"/>
      <c r="V17" s="9"/>
      <c r="W17" s="9"/>
      <c r="X17" s="9"/>
    </row>
    <row r="18" spans="1:24" x14ac:dyDescent="0.2">
      <c r="A18" s="9"/>
      <c r="B18" s="9"/>
      <c r="C18" s="492" t="str">
        <f>Tariffs!C16</f>
        <v>ITC</v>
      </c>
      <c r="D18" s="600">
        <f>'Rev. summary'!L16*outputsmultiplier</f>
        <v>2.2062024874596262</v>
      </c>
      <c r="E18" s="600">
        <f>'Rev. summary'!P16*outputsmultiplier</f>
        <v>2.1968218274795355</v>
      </c>
      <c r="F18" s="234">
        <f t="shared" si="0"/>
        <v>-4.2519487823133861E-3</v>
      </c>
      <c r="G18" s="306">
        <f>'SC revenue'!J36*outputsmultiplier</f>
        <v>2.2084127867498635</v>
      </c>
      <c r="H18" s="306">
        <f t="shared" si="1"/>
        <v>2.1968218274795355</v>
      </c>
      <c r="I18" s="234">
        <f t="shared" si="2"/>
        <v>-5.2485474363633822E-3</v>
      </c>
      <c r="J18" s="20"/>
      <c r="K18" s="20"/>
      <c r="L18" s="20"/>
      <c r="M18" s="20"/>
      <c r="N18" s="20"/>
      <c r="O18" s="20"/>
      <c r="P18" s="9"/>
      <c r="Q18" s="9"/>
      <c r="R18" s="9"/>
      <c r="S18" s="9"/>
      <c r="T18" s="9"/>
      <c r="U18" s="9"/>
      <c r="V18" s="9"/>
      <c r="W18" s="9"/>
      <c r="X18" s="9"/>
    </row>
    <row r="19" spans="1:24" x14ac:dyDescent="0.2">
      <c r="A19" s="9"/>
      <c r="B19" s="9"/>
      <c r="C19" s="492">
        <f>Tariffs!C17</f>
        <v>0</v>
      </c>
      <c r="D19" s="600">
        <f>'Rev. summary'!L17*outputsmultiplier</f>
        <v>0</v>
      </c>
      <c r="E19" s="600">
        <f>'Rev. summary'!P17*outputsmultiplier</f>
        <v>0</v>
      </c>
      <c r="F19" s="234">
        <f t="shared" si="0"/>
        <v>0</v>
      </c>
      <c r="G19" s="306">
        <f>'SC revenue'!J37*outputsmultiplier</f>
        <v>0</v>
      </c>
      <c r="H19" s="306">
        <f t="shared" si="1"/>
        <v>0</v>
      </c>
      <c r="I19" s="234">
        <f t="shared" si="2"/>
        <v>0</v>
      </c>
      <c r="J19" s="20"/>
      <c r="K19" s="20"/>
      <c r="L19" s="20"/>
      <c r="M19" s="20"/>
      <c r="N19" s="20"/>
      <c r="O19" s="20"/>
      <c r="P19" s="9"/>
      <c r="Q19" s="9"/>
      <c r="R19" s="9"/>
      <c r="S19" s="9"/>
      <c r="T19" s="9"/>
      <c r="U19" s="9"/>
      <c r="V19" s="9"/>
      <c r="W19" s="9"/>
      <c r="X19" s="9"/>
    </row>
    <row r="20" spans="1:24" x14ac:dyDescent="0.2">
      <c r="A20" s="9"/>
      <c r="B20" s="9"/>
      <c r="C20" s="515" t="s">
        <v>240</v>
      </c>
      <c r="D20" s="600">
        <f>'Rev. summary'!L18*outputsmultiplier</f>
        <v>254.81545729933262</v>
      </c>
      <c r="E20" s="600">
        <f>'Rev. summary'!P18*outputsmultiplier</f>
        <v>255.81769292253571</v>
      </c>
      <c r="F20" s="234">
        <f>IFERROR(E20/D20-1,0)</f>
        <v>3.933182208902597E-3</v>
      </c>
      <c r="G20" s="306">
        <f>'SC revenue'!J38*outputsmultiplier</f>
        <v>256.9752827103012</v>
      </c>
      <c r="H20" s="306">
        <f>E20</f>
        <v>255.81769292253571</v>
      </c>
      <c r="I20" s="234">
        <f>IFERROR(H20/G20-1,0)</f>
        <v>-4.5046736618263861E-3</v>
      </c>
      <c r="J20" s="20"/>
      <c r="K20" s="20"/>
      <c r="L20" s="20"/>
      <c r="M20" s="20"/>
      <c r="N20" s="20"/>
      <c r="O20" s="20"/>
      <c r="P20" s="9"/>
      <c r="Q20" s="9"/>
      <c r="R20" s="9"/>
      <c r="S20" s="9"/>
      <c r="T20" s="9"/>
      <c r="U20" s="9"/>
      <c r="V20" s="9"/>
      <c r="W20" s="9"/>
      <c r="X20" s="9"/>
    </row>
    <row r="21" spans="1:24" x14ac:dyDescent="0.2">
      <c r="A21" s="19"/>
      <c r="B21" s="19"/>
      <c r="C21" s="51"/>
      <c r="D21" s="20"/>
      <c r="E21" s="20"/>
      <c r="F21" s="22"/>
      <c r="G21" s="22"/>
      <c r="H21" s="22"/>
      <c r="I21" s="20"/>
      <c r="J21" s="20"/>
      <c r="K21" s="20"/>
      <c r="L21" s="20"/>
      <c r="M21" s="20"/>
      <c r="N21" s="19"/>
      <c r="O21" s="19"/>
      <c r="P21" s="19"/>
      <c r="Q21" s="19"/>
      <c r="R21" s="19"/>
      <c r="S21" s="19"/>
      <c r="T21" s="19"/>
    </row>
    <row r="22" spans="1:24" ht="12.75" x14ac:dyDescent="0.2">
      <c r="A22" s="11"/>
      <c r="B22" s="12" t="s">
        <v>344</v>
      </c>
      <c r="C22" s="11"/>
      <c r="D22" s="32"/>
      <c r="E22" s="32"/>
      <c r="F22" s="33"/>
      <c r="G22" s="34"/>
      <c r="H22" s="34"/>
      <c r="I22" s="34"/>
      <c r="J22" s="34"/>
      <c r="K22" s="33"/>
      <c r="L22" s="33"/>
      <c r="M22" s="33"/>
      <c r="N22" s="35"/>
      <c r="O22" s="35"/>
      <c r="P22" s="15"/>
      <c r="Q22" s="15"/>
      <c r="R22" s="15"/>
      <c r="S22" s="15"/>
      <c r="T22" s="15"/>
    </row>
    <row r="23" spans="1:24" x14ac:dyDescent="0.2">
      <c r="A23" s="19"/>
      <c r="B23" s="19"/>
      <c r="C23" s="51"/>
      <c r="D23" s="20"/>
      <c r="E23" s="20"/>
      <c r="F23" s="20"/>
      <c r="O23" s="19"/>
      <c r="P23" s="19"/>
      <c r="Q23" s="19"/>
      <c r="R23" s="19"/>
      <c r="S23" s="19"/>
      <c r="T23" s="19"/>
    </row>
    <row r="24" spans="1:24" x14ac:dyDescent="0.2">
      <c r="A24" s="19"/>
      <c r="B24" s="19"/>
      <c r="C24" s="51"/>
      <c r="D24" s="20"/>
      <c r="E24" s="20"/>
      <c r="F24" s="20"/>
      <c r="H24" s="20"/>
      <c r="I24" s="20"/>
      <c r="J24" s="20"/>
      <c r="K24" s="153" t="str">
        <f>tminus3_year</f>
        <v>2019–20</v>
      </c>
      <c r="L24" s="153" t="str">
        <f>previousyear</f>
        <v>2020–21</v>
      </c>
      <c r="M24" s="153" t="str">
        <f>currentyear</f>
        <v>2021–22</v>
      </c>
      <c r="N24" s="153" t="str">
        <f>forecastyear</f>
        <v>2022–23</v>
      </c>
      <c r="O24" s="19"/>
      <c r="P24" s="19"/>
      <c r="Q24" s="19"/>
      <c r="R24" s="19"/>
      <c r="S24" s="19"/>
      <c r="T24" s="19"/>
    </row>
    <row r="25" spans="1:24" x14ac:dyDescent="0.2">
      <c r="A25" s="19"/>
      <c r="B25" s="19"/>
      <c r="C25" s="82" t="str">
        <f>"Allowable distribution revenue ("&amp;outputtableunits&amp;")"</f>
        <v>Allowable distribution revenue ($millions)</v>
      </c>
      <c r="D25" s="20"/>
      <c r="E25" s="20"/>
      <c r="F25" s="20"/>
      <c r="G25" s="167" t="s">
        <v>347</v>
      </c>
      <c r="H25" s="22"/>
      <c r="I25" s="20"/>
      <c r="J25" s="20"/>
      <c r="K25" s="461" t="s">
        <v>16</v>
      </c>
      <c r="L25" s="461" t="s">
        <v>16</v>
      </c>
      <c r="M25" s="461" t="s">
        <v>17</v>
      </c>
      <c r="N25" s="461" t="s">
        <v>348</v>
      </c>
      <c r="O25" s="19"/>
      <c r="P25" s="19"/>
      <c r="Q25" s="19"/>
      <c r="R25" s="19"/>
      <c r="S25" s="19"/>
      <c r="T25" s="19"/>
    </row>
    <row r="26" spans="1:24" x14ac:dyDescent="0.2">
      <c r="A26" s="152"/>
      <c r="B26" s="19"/>
      <c r="C26" s="360" t="str">
        <f>IF(forecastyear=RCP_firstyear,TAR!C15&amp;" for "&amp;forecastyear&amp;" (ARt)",TAR!C16&amp;" for "&amp;currentyear&amp;" (AARt-1)")</f>
        <v>Adjusted annual smoothed revenue for 2021–22 (AARt-1)</v>
      </c>
      <c r="D26" s="462"/>
      <c r="E26" s="462">
        <f>IF(forecastyear=RCP_firstyear,INDEX(TAR!M15:Q15,1,MATCH(forecastyear,TAR!M5:Q5,0)),INDEX(TAR!M16:Q16,1,MATCH(currentyear,TAR!M5:Q5,0)))*outputsmultiplier</f>
        <v>254.29630594833</v>
      </c>
      <c r="F26" s="20"/>
      <c r="G26" s="516" t="s">
        <v>349</v>
      </c>
      <c r="H26" s="154"/>
      <c r="I26" s="159"/>
      <c r="J26" s="155"/>
      <c r="K26" s="600">
        <f>INDEX(Accounts!$J13:$Q13,1,MATCH(K$24,Accounts!$J$5:$Q$5,0))*outputsmultiplier</f>
        <v>243.88357341</v>
      </c>
      <c r="L26" s="600">
        <f>INDEX(Accounts!$J13:$Q13,1,MATCH(L$24,Accounts!$J$5:$Q$5,0))*outputsmultiplier</f>
        <v>239.24927549186</v>
      </c>
      <c r="M26" s="600">
        <f>INDEX(Accounts!$J13:$Q13,1,MATCH(M$24,Accounts!$J$5:$Q$5,0))*outputsmultiplier</f>
        <v>254.81545729933262</v>
      </c>
      <c r="N26" s="600">
        <f>INDEX(Accounts!$J13:$Q13,1,MATCH(N$24,Accounts!$J$5:$Q$5,0))*outputsmultiplier</f>
        <v>255.81769292253571</v>
      </c>
      <c r="O26" s="361"/>
      <c r="P26" s="19"/>
      <c r="Q26" s="19"/>
      <c r="R26" s="19"/>
      <c r="S26" s="19"/>
      <c r="T26" s="19"/>
    </row>
    <row r="27" spans="1:24" x14ac:dyDescent="0.2">
      <c r="A27" s="19"/>
      <c r="B27" s="19"/>
      <c r="C27" s="349" t="str">
        <f>TAR!C7&amp;" (CPI)"</f>
        <v>Inflation (CPI)</v>
      </c>
      <c r="D27" s="463">
        <f>IF(forecastyear=RCP_firstyear,0,INDEX(TAR!M7:Q7,1,MATCH(forecastyear,TAR!M5:Q5,0)))</f>
        <v>3.4982935153583528E-2</v>
      </c>
      <c r="E27" s="431"/>
      <c r="F27" s="593"/>
      <c r="G27" s="516" t="s">
        <v>350</v>
      </c>
      <c r="H27" s="154"/>
      <c r="I27" s="159"/>
      <c r="J27" s="155"/>
      <c r="K27" s="600">
        <f>INDEX(Accounts!$J14:$Q14,1,MATCH(K$24,Accounts!$J$5:$Q$5,0))*outputsmultiplier</f>
        <v>239.22741043668228</v>
      </c>
      <c r="L27" s="600">
        <f>INDEX(Accounts!$J14:$Q14,1,MATCH(L$24,Accounts!$J$5:$Q$5,0))*outputsmultiplier</f>
        <v>245.71011451340746</v>
      </c>
      <c r="M27" s="600">
        <f>INDEX(Accounts!$J14:$Q14,1,MATCH(M$24,Accounts!$J$5:$Q$5,0))*outputsmultiplier</f>
        <v>254.61275668703399</v>
      </c>
      <c r="N27" s="600">
        <f>INDEX(Accounts!$J14:$Q14,1,MATCH(N$24,Accounts!$J$5:$Q$5,0))*outputsmultiplier</f>
        <v>263.9861811040987</v>
      </c>
      <c r="O27" s="361"/>
      <c r="P27" s="19"/>
      <c r="Q27" s="19"/>
      <c r="R27" s="19"/>
      <c r="S27" s="19"/>
      <c r="T27" s="19"/>
    </row>
    <row r="28" spans="1:24" x14ac:dyDescent="0.2">
      <c r="A28" s="19"/>
      <c r="B28" s="19"/>
      <c r="C28" s="349" t="str">
        <f>TAR!C8&amp;" for "&amp;forecastyear</f>
        <v>X-factor for 2022–23</v>
      </c>
      <c r="D28" s="463">
        <f>IF(forecastyear=RCP_firstyear,0,INDEX(TAR!M8:Q8,1,MATCH(forecastyear,TAR!M5:Q5,0)))</f>
        <v>-8.2127024447308968E-3</v>
      </c>
      <c r="E28" s="431"/>
      <c r="F28" s="593"/>
      <c r="G28" s="519" t="s">
        <v>673</v>
      </c>
      <c r="H28" s="154"/>
      <c r="I28" s="159"/>
      <c r="J28" s="155"/>
      <c r="K28" s="600">
        <f>INDEX(Accounts!$J15:$Q15,1,MATCH(K$24,Accounts!$J$5:$Q$5,0))*outputsmultiplier</f>
        <v>-2.8468453099754769</v>
      </c>
      <c r="L28" s="600">
        <f>INDEX(Accounts!$J15:$Q15,1,MATCH(L$24,Accounts!$J$5:$Q$5,0))*outputsmultiplier</f>
        <v>-11.171360465098264</v>
      </c>
      <c r="M28" s="600">
        <f>INDEX(Accounts!$J15:$Q15,1,MATCH(M$24,Accounts!$J$5:$Q$5,0))*outputsmultiplier</f>
        <v>-6.0402190308146499</v>
      </c>
      <c r="N28" s="600">
        <f>INDEX(Accounts!$J15:$Q15,1,MATCH(N$24,Accounts!$J$5:$Q$5,0))*outputsmultiplier</f>
        <v>-6.9949461978187992</v>
      </c>
      <c r="O28" s="361"/>
      <c r="P28" s="19"/>
      <c r="Q28" s="19"/>
      <c r="R28" s="19"/>
      <c r="S28" s="19"/>
      <c r="T28" s="19"/>
    </row>
    <row r="29" spans="1:24" x14ac:dyDescent="0.2">
      <c r="A29" s="19"/>
      <c r="B29" s="19"/>
      <c r="C29" s="349" t="str">
        <f>TAR!C9</f>
        <v>S factor (STPIS 1.2)</v>
      </c>
      <c r="D29" s="463">
        <f>INDEX(TAR!M9:Q9,1,MATCH(forecastyear,TAR!M5:Q5,0))</f>
        <v>-6.9560159287476164E-3</v>
      </c>
      <c r="E29" s="431"/>
      <c r="F29" s="593"/>
      <c r="G29" s="516" t="s">
        <v>351</v>
      </c>
      <c r="H29" s="154"/>
      <c r="I29" s="159"/>
      <c r="J29" s="155"/>
      <c r="K29" s="600">
        <f>INDEX(Accounts!$J16:$Q16,1,MATCH(K$24,Accounts!$J$5:$Q$5,0))*outputsmultiplier</f>
        <v>0.98031112425</v>
      </c>
      <c r="L29" s="600">
        <f>INDEX(Accounts!$J16:$Q16,1,MATCH(L$24,Accounts!$J$5:$Q$5,0))*outputsmultiplier</f>
        <v>0.67133707266666698</v>
      </c>
      <c r="M29" s="600">
        <f>INDEX(Accounts!$J16:$Q16,1,MATCH(M$24,Accounts!$J$5:$Q$5,0))*outputsmultiplier</f>
        <v>0.61528853869156119</v>
      </c>
      <c r="N29" s="600">
        <f>INDEX(Accounts!$J16:$Q16,1,MATCH(N$24,Accounts!$J$5:$Q$5,0))*outputsmultiplier</f>
        <v>0.44438634010355171</v>
      </c>
      <c r="O29" s="361"/>
      <c r="P29" s="19"/>
      <c r="Q29" s="19"/>
      <c r="R29" s="19"/>
      <c r="S29" s="19"/>
      <c r="T29" s="19"/>
    </row>
    <row r="30" spans="1:24" x14ac:dyDescent="0.2">
      <c r="A30" s="19"/>
      <c r="B30" s="19"/>
      <c r="C30" s="349" t="s">
        <v>343</v>
      </c>
      <c r="D30" s="463">
        <f>IF(AND(forecastyear=RCP_thirdyear,INDEX(TAR!M9:Q9,1,MATCH(RCP_thirdyear,TAR!M5:Q5,0))=0,INDEX(TAR!M9:Q9,1,MATCH(RCP_secondyear,TAR!J5:Q5,0))&lt;&gt;0),(1+INDEX(TAR!M9:Q9,1,MATCH(RCP_firstyear,TAR!M5:Q5,0)))*(1+INDEX(TAR!M9:Q9,1,MATCH(RCP_secondyear,TAR!M5:Q5,0)))-1,0)</f>
        <v>0</v>
      </c>
      <c r="E30" s="431"/>
      <c r="F30" s="20"/>
      <c r="G30" s="517" t="s">
        <v>674</v>
      </c>
      <c r="H30" s="154"/>
      <c r="I30" s="159"/>
      <c r="J30" s="155"/>
      <c r="K30" s="600">
        <f>INDEX(Accounts!$J17:$Q17,1,MATCH(K$24,Accounts!$J$5:$Q$5,0))*outputsmultiplier</f>
        <v>8.4833194075431848</v>
      </c>
      <c r="L30" s="600">
        <f>INDEX(Accounts!$J17:$Q17,1,MATCH(L$24,Accounts!$J$5:$Q$5,0))*outputsmultiplier</f>
        <v>5.3818585162174841</v>
      </c>
      <c r="M30" s="600">
        <f>INDEX(Accounts!$J17:$Q17,1,MATCH(M$24,Accounts!$J$5:$Q$5,0))*outputsmultiplier</f>
        <v>6.8582081818048435</v>
      </c>
      <c r="N30" s="600">
        <f>INDEX(Accounts!$J17:$Q17,1,MATCH(N$24,Accounts!$J$5:$Q$5,0))*outputsmultiplier</f>
        <v>-0.7291556436406208</v>
      </c>
      <c r="O30" s="361"/>
      <c r="P30" s="19"/>
      <c r="Q30" s="19"/>
      <c r="R30" s="19"/>
      <c r="S30" s="19"/>
      <c r="T30" s="19"/>
    </row>
    <row r="31" spans="1:24" x14ac:dyDescent="0.2">
      <c r="A31" s="19"/>
      <c r="B31" s="19"/>
      <c r="C31" s="360" t="str">
        <f>TAR!C16&amp;" for "&amp;forecastyear&amp;" (AARt)"</f>
        <v>Adjusted annual smoothed revenue for 2022–23 (AARt)</v>
      </c>
      <c r="D31" s="462"/>
      <c r="E31" s="462">
        <f>INDEX(TAR!M16:Q16,1,MATCH(forecastyear,TAR!M5:Q5,0))*outputsmultiplier</f>
        <v>263.50805182030763</v>
      </c>
      <c r="F31" s="20"/>
      <c r="G31" s="516" t="s">
        <v>244</v>
      </c>
      <c r="H31" s="154"/>
      <c r="I31" s="159"/>
      <c r="J31" s="155"/>
      <c r="K31" s="600">
        <f>INDEX(Accounts!$J19:$Q19,1,MATCH(K$24,Accounts!$J$5:$Q$5,0))*outputsmultiplier</f>
        <v>5.1763264994919584</v>
      </c>
      <c r="L31" s="600">
        <f>INDEX(Accounts!$J19:$Q19,1,MATCH(L$24,Accounts!$J$5:$Q$5,0))*outputsmultiplier</f>
        <v>11.181124352927746</v>
      </c>
      <c r="M31" s="600">
        <f>INDEX(Accounts!$J19:$Q19,1,MATCH(M$24,Accounts!$J$5:$Q$5,0))*outputsmultiplier</f>
        <v>5.7684044090899755</v>
      </c>
      <c r="N31" s="600">
        <f>INDEX(Accounts!$J19:$Q19,1,MATCH(N$24,Accounts!$J$5:$Q$5,0))*outputsmultiplier</f>
        <v>6.7940758070749121</v>
      </c>
      <c r="O31" s="361"/>
      <c r="P31" s="19"/>
      <c r="Q31" s="19"/>
      <c r="R31" s="19"/>
      <c r="S31" s="19"/>
      <c r="T31" s="19"/>
    </row>
    <row r="32" spans="1:24" x14ac:dyDescent="0.2">
      <c r="A32" s="19"/>
      <c r="B32" s="19"/>
      <c r="C32" s="349" t="str">
        <f>TAR!C11&amp;" (incentive schemes payments applied in "&amp;forecastyear&amp;")"</f>
        <v>I factor (incentive schemes payments applied in 2022–23)</v>
      </c>
      <c r="D32" s="431">
        <f>INDEX(TAR!M11:Q11,1,MATCH(forecastyear,TAR!M5:Q5,0))*outputsmultiplier</f>
        <v>0</v>
      </c>
      <c r="E32" s="431"/>
      <c r="F32" s="20"/>
      <c r="G32" s="516" t="s">
        <v>246</v>
      </c>
      <c r="H32" s="154"/>
      <c r="I32" s="159"/>
      <c r="J32" s="155"/>
      <c r="K32" s="600">
        <f>INDEX(Accounts!$J20:$Q20,1,MATCH(K$24,Accounts!$J$5:$Q$5,0))*outputsmultiplier</f>
        <v>0.23943669565171941</v>
      </c>
      <c r="L32" s="600">
        <f>INDEX(Accounts!$J20:$Q20,1,MATCH(L$24,Accounts!$J$5:$Q$5,0))*outputsmultiplier</f>
        <v>0.50644726172744359</v>
      </c>
      <c r="M32" s="600">
        <f>INDEX(Accounts!$J20:$Q20,1,MATCH(M$24,Accounts!$J$5:$Q$5,0))*outputsmultiplier</f>
        <v>0.19403823244704493</v>
      </c>
      <c r="N32" s="600">
        <f>INDEX(Accounts!$J20:$Q20,1,MATCH(N$24,Accounts!$J$5:$Q$5,0))*outputsmultiplier</f>
        <v>0.40767961923750656</v>
      </c>
      <c r="O32" s="361"/>
      <c r="P32" s="19"/>
      <c r="Q32" s="19"/>
      <c r="R32" s="19"/>
      <c r="S32" s="19"/>
      <c r="T32" s="19"/>
    </row>
    <row r="33" spans="1:20" x14ac:dyDescent="0.2">
      <c r="A33" s="19"/>
      <c r="B33" s="19"/>
      <c r="C33" s="349" t="str">
        <f>TAR!C12&amp;" (annual adjustment factors applied in "&amp;forecastyear&amp;")"</f>
        <v>C factor (annual adjustment factors applied in 2022–23)</v>
      </c>
      <c r="D33" s="431">
        <f>INDEX(TAR!M12:Q12,1,MATCH(forecastyear,TAR!M5:Q5,0))*outputsmultiplier</f>
        <v>0</v>
      </c>
      <c r="E33" s="431"/>
      <c r="F33" s="20"/>
      <c r="G33" s="516" t="s">
        <v>675</v>
      </c>
      <c r="H33" s="154"/>
      <c r="I33" s="159"/>
      <c r="J33" s="155"/>
      <c r="K33" s="600">
        <f>INDEX(Accounts!$J22:$Q22,1,MATCH(K$24,Accounts!$J$5:$Q$5,0))*outputsmultiplier</f>
        <v>5.6364740975677083</v>
      </c>
      <c r="L33" s="600">
        <f>INDEX(Accounts!$J22:$Q22,1,MATCH(L$24,Accounts!$J$5:$Q$5,0))*outputsmultiplier</f>
        <v>-5.7895019488807797</v>
      </c>
      <c r="M33" s="600">
        <f>INDEX(Accounts!$J22:$Q22,1,MATCH(M$24,Accounts!$J$5:$Q$5,0))*outputsmultiplier</f>
        <v>0.81798915099019354</v>
      </c>
      <c r="N33" s="600">
        <f>INDEX(Accounts!$J22:$Q22,1,MATCH(N$24,Accounts!$J$5:$Q$5,0))*outputsmultiplier</f>
        <v>-7.7241018414594205</v>
      </c>
      <c r="O33" s="361"/>
      <c r="P33" s="19"/>
      <c r="Q33" s="19"/>
      <c r="R33" s="19"/>
      <c r="S33" s="19"/>
      <c r="T33" s="19"/>
    </row>
    <row r="34" spans="1:20" x14ac:dyDescent="0.2">
      <c r="A34" s="19"/>
      <c r="B34" s="19"/>
      <c r="C34" s="349" t="str">
        <f>TAR!C13&amp;" (approved cost pass-throughs applied in "&amp;forecastyear&amp;")"</f>
        <v>B factor (approved cost pass-throughs applied in 2022–23)</v>
      </c>
      <c r="D34" s="431">
        <f>INDEX(TAR!M13:Q13,1,MATCH(forecastyear,TAR!M5:Q5,0))*outputsmultiplier</f>
        <v>-6.5168169140277339</v>
      </c>
      <c r="E34" s="431"/>
      <c r="F34" s="20"/>
      <c r="G34" s="516" t="s">
        <v>352</v>
      </c>
      <c r="H34" s="154"/>
      <c r="I34" s="159"/>
      <c r="J34" s="155"/>
      <c r="K34" s="600">
        <f>INDEX(Accounts!$J23:$Q23,1,MATCH(K$24,Accounts!$J$5:$Q$5,0))*outputsmultiplier</f>
        <v>0.12888706021635996</v>
      </c>
      <c r="L34" s="600">
        <f>INDEX(Accounts!$J23:$Q23,1,MATCH(L$24,Accounts!$J$5:$Q$5,0))*outputsmultiplier</f>
        <v>-0.12966525668443363</v>
      </c>
      <c r="M34" s="600">
        <f>INDEX(Accounts!$J23:$Q23,1,MATCH(M$24,Accounts!$J$5:$Q$5,0))*outputsmultiplier</f>
        <v>1.3644014547698338E-2</v>
      </c>
      <c r="N34" s="600">
        <f>INDEX(Accounts!$J23:$Q23,1,MATCH(N$24,Accounts!$J$5:$Q$5,0))*outputsmultiplier</f>
        <v>-0.22836709496586036</v>
      </c>
      <c r="O34" s="361"/>
      <c r="P34" s="19"/>
      <c r="Q34" s="19"/>
      <c r="R34" s="19"/>
      <c r="S34" s="19"/>
      <c r="T34" s="19"/>
    </row>
    <row r="35" spans="1:20" x14ac:dyDescent="0.2">
      <c r="A35" s="19"/>
      <c r="B35" s="19"/>
      <c r="C35" s="360" t="str">
        <f>TAR!C17&amp;" for "&amp;forecastyear&amp;" (TARt)"</f>
        <v>Total allowable revenue for 2022–23 (TARt)</v>
      </c>
      <c r="D35" s="462"/>
      <c r="E35" s="462">
        <f>INDEX(TAR!M17:Q17,1,MATCH(forecastyear,TAR!M5:Q5,0))*outputsmultiplier</f>
        <v>256.99123490627989</v>
      </c>
      <c r="F35" s="20"/>
      <c r="G35" s="517" t="s">
        <v>249</v>
      </c>
      <c r="H35" s="154"/>
      <c r="I35" s="159"/>
      <c r="J35" s="155"/>
      <c r="K35" s="600">
        <f>INDEX(Accounts!$J24:$Q24,1,MATCH(K$24,Accounts!$J$5:$Q$5,0))*outputsmultiplier</f>
        <v>11.181124352927746</v>
      </c>
      <c r="L35" s="600">
        <f>INDEX(Accounts!$J24:$Q24,1,MATCH(L$24,Accounts!$J$5:$Q$5,0))*outputsmultiplier</f>
        <v>5.7684044090899755</v>
      </c>
      <c r="M35" s="600">
        <f>INDEX(Accounts!$J24:$Q24,1,MATCH(M$24,Accounts!$J$5:$Q$5,0))*outputsmultiplier</f>
        <v>6.7940758070749121</v>
      </c>
      <c r="N35" s="600">
        <f>INDEX(Accounts!$J24:$Q24,1,MATCH(N$24,Accounts!$J$5:$Q$5,0))*outputsmultiplier</f>
        <v>-0.75071351011286225</v>
      </c>
      <c r="O35" s="361"/>
      <c r="P35" s="19"/>
      <c r="Q35" s="19"/>
      <c r="R35" s="19"/>
      <c r="S35" s="19"/>
      <c r="T35" s="19"/>
    </row>
    <row r="36" spans="1:20" x14ac:dyDescent="0.2">
      <c r="A36" s="19"/>
      <c r="B36" s="19"/>
      <c r="C36" s="51"/>
      <c r="D36" s="242"/>
      <c r="E36" s="242"/>
      <c r="F36" s="20"/>
      <c r="G36" s="518"/>
      <c r="O36" s="19"/>
      <c r="P36" s="19"/>
      <c r="Q36" s="19"/>
      <c r="R36" s="19"/>
      <c r="S36" s="19"/>
      <c r="T36" s="19"/>
    </row>
    <row r="37" spans="1:20" x14ac:dyDescent="0.2">
      <c r="A37" s="19"/>
      <c r="B37" s="19"/>
      <c r="C37" s="82" t="str">
        <f>"Allowable DPPC revenue ("&amp;outputtableunits&amp;")"</f>
        <v>Allowable DPPC revenue ($millions)</v>
      </c>
      <c r="D37" s="242"/>
      <c r="E37" s="242"/>
      <c r="F37" s="20"/>
      <c r="G37" s="518"/>
      <c r="H37" s="20"/>
      <c r="I37" s="20"/>
      <c r="J37" s="20"/>
      <c r="K37" s="153" t="str">
        <f>tminus3_year</f>
        <v>2019–20</v>
      </c>
      <c r="L37" s="153" t="str">
        <f>previousyear</f>
        <v>2020–21</v>
      </c>
      <c r="M37" s="153" t="str">
        <f>currentyear</f>
        <v>2021–22</v>
      </c>
      <c r="N37" s="153" t="str">
        <f>forecastyear</f>
        <v>2022–23</v>
      </c>
      <c r="O37" s="19"/>
      <c r="P37" s="19"/>
      <c r="Q37" s="19"/>
      <c r="R37" s="19"/>
      <c r="S37" s="19"/>
      <c r="T37" s="19"/>
    </row>
    <row r="38" spans="1:20" x14ac:dyDescent="0.2">
      <c r="A38" s="19"/>
      <c r="B38" s="19"/>
      <c r="C38" s="349" t="str">
        <f>IF(Financial!C44="","",Financial!C44&amp;" charges for "&amp;forecastyear)</f>
        <v>TUOS expenditure charges for 2022–23</v>
      </c>
      <c r="D38" s="431">
        <f>INDEX(Financial!M44:Q44,1,MATCH(forecastyear,Financial!$M$37:$Q$37,0))*outputsmultiplier</f>
        <v>74.222233489163216</v>
      </c>
      <c r="E38" s="431"/>
      <c r="F38" s="20"/>
      <c r="G38" s="167" t="s">
        <v>353</v>
      </c>
      <c r="H38" s="22"/>
      <c r="I38" s="20"/>
      <c r="J38" s="20"/>
      <c r="K38" s="461" t="s">
        <v>16</v>
      </c>
      <c r="L38" s="461" t="s">
        <v>16</v>
      </c>
      <c r="M38" s="461" t="s">
        <v>17</v>
      </c>
      <c r="N38" s="461" t="s">
        <v>348</v>
      </c>
      <c r="O38" s="19"/>
      <c r="P38" s="19"/>
      <c r="Q38" s="19"/>
      <c r="R38" s="19"/>
      <c r="S38" s="19"/>
      <c r="T38" s="19"/>
    </row>
    <row r="39" spans="1:20" x14ac:dyDescent="0.2">
      <c r="A39" s="19"/>
      <c r="B39" s="19"/>
      <c r="C39" s="349" t="str">
        <f>IF(Financial!C45="","",Financial!C45&amp;" charges for "&amp;forecastyear)</f>
        <v>Avoided TUOS charges for 2022–23</v>
      </c>
      <c r="D39" s="431">
        <f>INDEX(Financial!M45:Q45,1,MATCH(forecastyear,Financial!$M$37:$Q$37,0))*outputsmultiplier</f>
        <v>0.12465224</v>
      </c>
      <c r="E39" s="431"/>
      <c r="F39" s="20"/>
      <c r="G39" s="516" t="s">
        <v>357</v>
      </c>
      <c r="H39" s="154"/>
      <c r="I39" s="159"/>
      <c r="J39" s="155"/>
      <c r="K39" s="600">
        <f>INDEX(Accounts!$J28:$Q28,1,MATCH(K$24,Accounts!$J$5:$Q$5,0))*outputsmultiplier</f>
        <v>79.01662072000002</v>
      </c>
      <c r="L39" s="600">
        <f>INDEX(Accounts!$J28:$Q28,1,MATCH(L$24,Accounts!$J$5:$Q$5,0))*outputsmultiplier</f>
        <v>74.472261539999991</v>
      </c>
      <c r="M39" s="600">
        <f>INDEX(Accounts!$J28:$Q28,1,MATCH(M$24,Accounts!$J$5:$Q$5,0))*outputsmultiplier</f>
        <v>67.942807928779516</v>
      </c>
      <c r="N39" s="600">
        <f>INDEX(Accounts!$J28:$Q28,1,MATCH(N$24,Accounts!$J$5:$Q$5,0))*outputsmultiplier</f>
        <v>72.222508101742264</v>
      </c>
      <c r="O39" s="19"/>
      <c r="P39" s="19"/>
      <c r="Q39" s="19"/>
      <c r="R39" s="19"/>
      <c r="S39" s="19"/>
      <c r="T39" s="19"/>
    </row>
    <row r="40" spans="1:20" x14ac:dyDescent="0.2">
      <c r="A40" s="19"/>
      <c r="B40" s="19"/>
      <c r="C40" s="349" t="str">
        <f>IF(Financial!C46="","",Financial!C46&amp;" charges for "&amp;forecastyear)</f>
        <v>Cross-boundary expenditure charges for 2022–23</v>
      </c>
      <c r="D40" s="431">
        <f>INDEX(Financial!M46:Q46,1,MATCH(forecastyear,Financial!$M$37:$Q$37,0))*outputsmultiplier</f>
        <v>0</v>
      </c>
      <c r="E40" s="431"/>
      <c r="F40" s="20"/>
      <c r="G40" s="519" t="s">
        <v>577</v>
      </c>
      <c r="H40" s="341"/>
      <c r="I40" s="342"/>
      <c r="J40" s="342"/>
      <c r="K40" s="600">
        <f>INDEX(Accounts!$J29:$Q29,1,MATCH(K$24,Accounts!$J$5:$Q$5,0))*outputsmultiplier</f>
        <v>0</v>
      </c>
      <c r="L40" s="600">
        <f>INDEX(Accounts!$J29:$Q29,1,MATCH(L$24,Accounts!$J$5:$Q$5,0))*outputsmultiplier</f>
        <v>0</v>
      </c>
      <c r="M40" s="600">
        <f>INDEX(Accounts!$J29:$Q29,1,MATCH(M$24,Accounts!$J$5:$Q$5,0))*outputsmultiplier</f>
        <v>0</v>
      </c>
      <c r="N40" s="600">
        <f>INDEX(Accounts!$J29:$Q29,1,MATCH(N$24,Accounts!$J$5:$Q$5,0))*outputsmultiplier</f>
        <v>0</v>
      </c>
      <c r="O40" s="601"/>
      <c r="P40" s="19"/>
      <c r="Q40" s="19"/>
      <c r="R40" s="19"/>
      <c r="S40" s="19"/>
      <c r="T40" s="19"/>
    </row>
    <row r="41" spans="1:20" x14ac:dyDescent="0.2">
      <c r="A41" s="19"/>
      <c r="B41" s="19"/>
      <c r="C41" s="349" t="str">
        <f>IF(Financial!C47="","",Financial!C47&amp;" charges for "&amp;forecastyear)</f>
        <v/>
      </c>
      <c r="D41" s="431">
        <f>INDEX(Financial!M47:Q47,1,MATCH(forecastyear,Financial!$M$37:$Q$37,0))*outputsmultiplier</f>
        <v>0</v>
      </c>
      <c r="E41" s="431"/>
      <c r="F41" s="20"/>
      <c r="G41" s="516" t="s">
        <v>356</v>
      </c>
      <c r="H41" s="154"/>
      <c r="I41" s="159"/>
      <c r="J41" s="155"/>
      <c r="K41" s="600">
        <f>INDEX(Accounts!$J30:$Q30,1,MATCH(K$24,Accounts!$J$5:$Q$5,0))*outputsmultiplier</f>
        <v>80.818612389999984</v>
      </c>
      <c r="L41" s="600">
        <f>INDEX(Accounts!$J30:$Q30,1,MATCH(L$24,Accounts!$J$5:$Q$5,0))*outputsmultiplier</f>
        <v>76.362028840000008</v>
      </c>
      <c r="M41" s="600">
        <f>INDEX(Accounts!$J30:$Q30,1,MATCH(M$24,Accounts!$J$5:$Q$5,0))*outputsmultiplier</f>
        <v>69.640920058680081</v>
      </c>
      <c r="N41" s="600">
        <f>INDEX(Accounts!$J30:$Q30,1,MATCH(N$24,Accounts!$J$5:$Q$5,0))*outputsmultiplier</f>
        <v>74.346885729163219</v>
      </c>
      <c r="O41" s="19"/>
      <c r="P41" s="19"/>
      <c r="Q41" s="19"/>
      <c r="R41" s="19"/>
      <c r="S41" s="19"/>
      <c r="T41" s="19"/>
    </row>
    <row r="42" spans="1:20" x14ac:dyDescent="0.2">
      <c r="A42" s="19"/>
      <c r="B42" s="19"/>
      <c r="C42" s="349" t="str">
        <f>IF(Financial!C48="","",Financial!C48&amp;" charges for "&amp;forecastyear)</f>
        <v/>
      </c>
      <c r="D42" s="431">
        <f>INDEX(Financial!M48:Q48,1,MATCH(forecastyear,Financial!$M$37:$Q$37,0))*outputsmultiplier</f>
        <v>0</v>
      </c>
      <c r="E42" s="431"/>
      <c r="F42" s="20"/>
      <c r="G42" s="519" t="s">
        <v>673</v>
      </c>
      <c r="H42" s="154"/>
      <c r="I42" s="159"/>
      <c r="J42" s="155"/>
      <c r="K42" s="600">
        <f>INDEX(Accounts!$J31:$Q31,1,MATCH(K$24,Accounts!$J$5:$Q$5,0))*outputsmultiplier</f>
        <v>-6.2892145135907702</v>
      </c>
      <c r="L42" s="600">
        <f>INDEX(Accounts!$J31:$Q31,1,MATCH(L$24,Accounts!$J$5:$Q$5,0))*outputsmultiplier</f>
        <v>-4.9806653902046101</v>
      </c>
      <c r="M42" s="600">
        <f>INDEX(Accounts!$J31:$Q31,1,MATCH(M$24,Accounts!$J$5:$Q$5,0))*outputsmultiplier</f>
        <v>-3.4050602428089234</v>
      </c>
      <c r="N42" s="600">
        <f>INDEX(Accounts!$J31:$Q31,1,MATCH(N$24,Accounts!$J$5:$Q$5,0))*outputsmultiplier</f>
        <v>-1.940974642835295</v>
      </c>
      <c r="O42" s="19"/>
      <c r="P42" s="19"/>
      <c r="Q42" s="19"/>
      <c r="R42" s="19"/>
      <c r="S42" s="19"/>
      <c r="T42" s="19"/>
    </row>
    <row r="43" spans="1:20" x14ac:dyDescent="0.2">
      <c r="A43" s="19"/>
      <c r="B43" s="19"/>
      <c r="C43" s="360" t="str">
        <f>TAR!C24</f>
        <v>Total Forecast DPPC</v>
      </c>
      <c r="D43" s="431"/>
      <c r="E43" s="462">
        <f>INDEX(TAR!M24:Q24,1,MATCH(forecastyear,TAR!M22:Q22,0))*outputsmultiplier</f>
        <v>74.346885729163219</v>
      </c>
      <c r="F43" s="20"/>
      <c r="G43" s="516" t="s">
        <v>351</v>
      </c>
      <c r="H43" s="154"/>
      <c r="I43" s="159"/>
      <c r="J43" s="155"/>
      <c r="K43" s="600">
        <f>INDEX(Accounts!$J32:$Q32,1,MATCH(K$24,Accounts!$J$5:$Q$5,0))*outputsmultiplier</f>
        <v>0.27543036947999999</v>
      </c>
      <c r="L43" s="600">
        <f>INDEX(Accounts!$J32:$Q32,1,MATCH(L$24,Accounts!$J$5:$Q$5,0))*outputsmultiplier</f>
        <v>0.18493027553333333</v>
      </c>
      <c r="M43" s="600">
        <f>INDEX(Accounts!$J32:$Q32,1,MATCH(M$24,Accounts!$J$5:$Q$5,0))*outputsmultiplier</f>
        <v>0.14735878827560842</v>
      </c>
      <c r="N43" s="600">
        <f>INDEX(Accounts!$J32:$Q32,1,MATCH(N$24,Accounts!$J$5:$Q$5,0))*outputsmultiplier</f>
        <v>0.1125822477840485</v>
      </c>
      <c r="O43" s="19"/>
      <c r="P43" s="19"/>
      <c r="Q43" s="19"/>
      <c r="R43" s="19"/>
      <c r="S43" s="19"/>
      <c r="T43" s="19"/>
    </row>
    <row r="44" spans="1:20" x14ac:dyDescent="0.2">
      <c r="A44" s="19"/>
      <c r="B44" s="19"/>
      <c r="C44" s="349" t="str">
        <f>LEFT(TAR!C25,31)&amp;"applied in "&amp;forecastyear</f>
        <v>Under/over-recovery adjustment applied in 2022–23</v>
      </c>
      <c r="D44" s="431">
        <f>INDEX(TAR!M25:Q25,1,MATCH(forecastyear,TAR!M22:Q22,0))*outputsmultiplier</f>
        <v>-1.940974642835295</v>
      </c>
      <c r="E44" s="431"/>
      <c r="F44" s="20"/>
      <c r="G44" s="517" t="s">
        <v>676</v>
      </c>
      <c r="H44" s="154"/>
      <c r="I44" s="159"/>
      <c r="J44" s="155"/>
      <c r="K44" s="600">
        <f>INDEX(Accounts!$J33:$Q33,1,MATCH(K$24,Accounts!$J$5:$Q$5,0))*outputsmultiplier</f>
        <v>4.7626532130708004</v>
      </c>
      <c r="L44" s="600">
        <f>INDEX(Accounts!$J33:$Q33,1,MATCH(L$24,Accounts!$J$5:$Q$5,0))*outputsmultiplier</f>
        <v>3.2758283657379232</v>
      </c>
      <c r="M44" s="600">
        <f>INDEX(Accounts!$J33:$Q33,1,MATCH(M$24,Accounts!$J$5:$Q$5,0))*outputsmultiplier</f>
        <v>1.8543069011839726</v>
      </c>
      <c r="N44" s="600">
        <f>INDEX(Accounts!$J33:$Q33,1,MATCH(N$24,Accounts!$J$5:$Q$5,0))*outputsmultiplier</f>
        <v>-7.0820736801606346E-2</v>
      </c>
      <c r="O44" s="19"/>
      <c r="P44" s="19"/>
      <c r="Q44" s="19"/>
      <c r="R44" s="19"/>
      <c r="S44" s="19"/>
      <c r="T44" s="19"/>
    </row>
    <row r="45" spans="1:20" x14ac:dyDescent="0.2">
      <c r="A45" s="19"/>
      <c r="B45" s="19"/>
      <c r="C45" s="360" t="str">
        <f>TAR!C26&amp;" for "&amp;forecastyear</f>
        <v>Total allowable revenue for 2022–23</v>
      </c>
      <c r="D45" s="462"/>
      <c r="E45" s="462">
        <f>INDEX(TAR!M26:Q26,1,MATCH(forecastyear,TAR!M22:Q22,0))*outputsmultiplier</f>
        <v>72.405911086327919</v>
      </c>
      <c r="F45" s="20"/>
      <c r="G45" s="516" t="s">
        <v>244</v>
      </c>
      <c r="H45" s="154"/>
      <c r="I45" s="159"/>
      <c r="J45" s="155"/>
      <c r="K45" s="600">
        <f>INDEX(Accounts!$J35:$Q35,1,MATCH(K$24,Accounts!$J$5:$Q$5,0))*outputsmultiplier</f>
        <v>6.1486164924880757</v>
      </c>
      <c r="L45" s="600">
        <f>INDEX(Accounts!$J35:$Q35,1,MATCH(L$24,Accounts!$J$5:$Q$5,0))*outputsmultiplier</f>
        <v>4.8715589510972714</v>
      </c>
      <c r="M45" s="600">
        <f>INDEX(Accounts!$J35:$Q35,1,MATCH(M$24,Accounts!$J$5:$Q$5,0))*outputsmultiplier</f>
        <v>3.3491958383889466</v>
      </c>
      <c r="N45" s="600">
        <f>INDEX(Accounts!$J35:$Q35,1,MATCH(N$24,Accounts!$J$5:$Q$5,0))*outputsmultiplier</f>
        <v>1.8852366394390889</v>
      </c>
      <c r="O45" s="19"/>
      <c r="P45" s="19"/>
      <c r="Q45" s="19"/>
      <c r="R45" s="19"/>
      <c r="S45" s="19"/>
      <c r="T45" s="19"/>
    </row>
    <row r="46" spans="1:20" x14ac:dyDescent="0.2">
      <c r="A46" s="19"/>
      <c r="B46" s="19"/>
      <c r="C46" s="51"/>
      <c r="D46" s="242"/>
      <c r="E46" s="242"/>
      <c r="F46" s="20"/>
      <c r="G46" s="516" t="s">
        <v>246</v>
      </c>
      <c r="H46" s="154"/>
      <c r="I46" s="159"/>
      <c r="J46" s="155"/>
      <c r="K46" s="600">
        <f>INDEX(Accounts!$J36:$Q36,1,MATCH(K$24,Accounts!$J$5:$Q$5,0))*outputsmultiplier</f>
        <v>0.2844110424517276</v>
      </c>
      <c r="L46" s="600">
        <f>INDEX(Accounts!$J36:$Q36,1,MATCH(L$24,Accounts!$J$5:$Q$5,0))*outputsmultiplier</f>
        <v>0.22065649332314277</v>
      </c>
      <c r="M46" s="600">
        <f>INDEX(Accounts!$J36:$Q36,1,MATCH(M$24,Accounts!$J$5:$Q$5,0))*outputsmultiplier</f>
        <v>0.11266062406718703</v>
      </c>
      <c r="N46" s="600">
        <f>INDEX(Accounts!$J36:$Q36,1,MATCH(N$24,Accounts!$J$5:$Q$5,0))*outputsmultiplier</f>
        <v>0.1131239299006323</v>
      </c>
      <c r="O46" s="19"/>
      <c r="P46" s="19"/>
      <c r="Q46" s="19"/>
      <c r="R46" s="19"/>
      <c r="S46" s="19"/>
      <c r="T46" s="19"/>
    </row>
    <row r="47" spans="1:20" x14ac:dyDescent="0.2">
      <c r="A47" s="19"/>
      <c r="B47" s="19"/>
      <c r="C47" s="51"/>
      <c r="D47" s="242"/>
      <c r="E47" s="242"/>
      <c r="F47" s="20"/>
      <c r="G47" s="516" t="s">
        <v>675</v>
      </c>
      <c r="H47" s="154"/>
      <c r="I47" s="159"/>
      <c r="J47" s="155"/>
      <c r="K47" s="600">
        <f>INDEX(Accounts!$J37:$Q37,1,MATCH(K$24,Accounts!$J$5:$Q$5,0))*outputsmultiplier</f>
        <v>-1.5265613005199699</v>
      </c>
      <c r="L47" s="600">
        <f>INDEX(Accounts!$J37:$Q37,1,MATCH(L$24,Accounts!$J$5:$Q$5,0))*outputsmultiplier</f>
        <v>-1.7048370244666868</v>
      </c>
      <c r="M47" s="600">
        <f>INDEX(Accounts!$J37:$Q37,1,MATCH(M$24,Accounts!$J$5:$Q$5,0))*outputsmultiplier</f>
        <v>-1.5507533416249508</v>
      </c>
      <c r="N47" s="600">
        <f>INDEX(Accounts!$J37:$Q37,1,MATCH(N$24,Accounts!$J$5:$Q$5,0))*outputsmultiplier</f>
        <v>-2.0117953796369012</v>
      </c>
      <c r="O47" s="19"/>
      <c r="P47" s="19"/>
      <c r="Q47" s="19"/>
      <c r="R47" s="19"/>
      <c r="S47" s="19"/>
      <c r="T47" s="19"/>
    </row>
    <row r="48" spans="1:20" x14ac:dyDescent="0.2">
      <c r="A48" s="19"/>
      <c r="B48" s="19"/>
      <c r="C48" s="51"/>
      <c r="D48" s="242"/>
      <c r="E48" s="242"/>
      <c r="F48" s="20"/>
      <c r="G48" s="516" t="s">
        <v>352</v>
      </c>
      <c r="H48" s="154"/>
      <c r="I48" s="159"/>
      <c r="J48" s="155"/>
      <c r="K48" s="600">
        <f>INDEX(Accounts!$J38:$Q38,1,MATCH(K$24,Accounts!$J$5:$Q$5,0))*outputsmultiplier</f>
        <v>-3.4907283322562738E-2</v>
      </c>
      <c r="L48" s="600">
        <f>INDEX(Accounts!$J38:$Q38,1,MATCH(L$24,Accounts!$J$5:$Q$5,0))*outputsmultiplier</f>
        <v>-3.8182581564781007E-2</v>
      </c>
      <c r="M48" s="600">
        <f>INDEX(Accounts!$J38:$Q38,1,MATCH(M$24,Accounts!$J$5:$Q$5,0))*outputsmultiplier</f>
        <v>-2.5866481392094035E-2</v>
      </c>
      <c r="N48" s="600">
        <f>INDEX(Accounts!$J38:$Q38,1,MATCH(N$24,Accounts!$J$5:$Q$5,0))*outputsmultiplier</f>
        <v>-5.9479778483424721E-2</v>
      </c>
      <c r="O48" s="19"/>
      <c r="P48" s="19"/>
      <c r="Q48" s="19"/>
      <c r="R48" s="19"/>
      <c r="S48" s="19"/>
      <c r="T48" s="19"/>
    </row>
    <row r="49" spans="1:20" x14ac:dyDescent="0.2">
      <c r="A49" s="19"/>
      <c r="B49" s="19"/>
      <c r="F49" s="20"/>
      <c r="G49" s="517" t="s">
        <v>249</v>
      </c>
      <c r="H49" s="154"/>
      <c r="I49" s="159"/>
      <c r="J49" s="155"/>
      <c r="K49" s="600">
        <f>INDEX(Accounts!$J39:$Q39,1,MATCH(K$24,Accounts!$J$5:$Q$5,0))*outputsmultiplier</f>
        <v>4.8715589510972714</v>
      </c>
      <c r="L49" s="600">
        <f>INDEX(Accounts!$J39:$Q39,1,MATCH(L$24,Accounts!$J$5:$Q$5,0))*outputsmultiplier</f>
        <v>3.3491958383889466</v>
      </c>
      <c r="M49" s="600">
        <f>INDEX(Accounts!$J39:$Q39,1,MATCH(M$24,Accounts!$J$5:$Q$5,0))*outputsmultiplier</f>
        <v>1.8852366394390889</v>
      </c>
      <c r="N49" s="600">
        <f>INDEX(Accounts!$J39:$Q39,1,MATCH(N$24,Accounts!$J$5:$Q$5,0))*outputsmultiplier</f>
        <v>-7.2914588780604694E-2</v>
      </c>
      <c r="O49" s="19"/>
      <c r="P49" s="19"/>
      <c r="Q49" s="19"/>
      <c r="R49" s="19"/>
      <c r="S49" s="19"/>
      <c r="T49" s="19"/>
    </row>
    <row r="50" spans="1:20" x14ac:dyDescent="0.2">
      <c r="A50" s="19"/>
      <c r="B50" s="19"/>
      <c r="F50" s="20"/>
      <c r="G50" s="167"/>
      <c r="H50" s="22"/>
      <c r="I50" s="20"/>
      <c r="J50" s="20"/>
      <c r="K50" s="20"/>
      <c r="L50" s="20"/>
      <c r="M50" s="20"/>
      <c r="N50" s="19"/>
      <c r="O50" s="19"/>
      <c r="P50" s="19"/>
      <c r="Q50" s="19"/>
      <c r="R50" s="19"/>
      <c r="S50" s="19"/>
      <c r="T50" s="19"/>
    </row>
    <row r="51" spans="1:20" hidden="1" outlineLevel="1" x14ac:dyDescent="0.2">
      <c r="A51" s="19"/>
      <c r="B51" s="19"/>
      <c r="F51" s="20"/>
      <c r="G51" s="518"/>
      <c r="H51" s="20"/>
      <c r="I51" s="20"/>
      <c r="J51" s="20"/>
      <c r="K51" s="153" t="str">
        <f>tminus3_year</f>
        <v>2019–20</v>
      </c>
      <c r="L51" s="153" t="str">
        <f>previousyear</f>
        <v>2020–21</v>
      </c>
      <c r="M51" s="153" t="str">
        <f>currentyear</f>
        <v>2021–22</v>
      </c>
      <c r="N51" s="153" t="str">
        <f>forecastyear</f>
        <v>2022–23</v>
      </c>
      <c r="O51" s="19"/>
      <c r="P51" s="19"/>
      <c r="Q51" s="19"/>
      <c r="R51" s="19"/>
      <c r="S51" s="19"/>
      <c r="T51" s="19"/>
    </row>
    <row r="52" spans="1:20" hidden="1" outlineLevel="1" x14ac:dyDescent="0.2">
      <c r="A52" s="19"/>
      <c r="B52" s="19"/>
      <c r="C52" s="82" t="str">
        <f>"Allowable JSA revenue ("&amp;outputtableunits&amp;")"</f>
        <v>Allowable JSA revenue ($millions)</v>
      </c>
      <c r="D52" s="242"/>
      <c r="E52" s="242"/>
      <c r="F52" s="20"/>
      <c r="G52" s="167" t="s">
        <v>354</v>
      </c>
      <c r="H52" s="22"/>
      <c r="I52" s="20"/>
      <c r="J52" s="20"/>
      <c r="K52" s="461" t="s">
        <v>16</v>
      </c>
      <c r="L52" s="461" t="s">
        <v>16</v>
      </c>
      <c r="M52" s="461" t="s">
        <v>17</v>
      </c>
      <c r="N52" s="461" t="s">
        <v>348</v>
      </c>
      <c r="O52" s="19"/>
      <c r="P52" s="19"/>
      <c r="Q52" s="19"/>
      <c r="R52" s="19"/>
      <c r="S52" s="19"/>
      <c r="T52" s="19"/>
    </row>
    <row r="53" spans="1:20" hidden="1" outlineLevel="1" x14ac:dyDescent="0.2">
      <c r="A53" s="19"/>
      <c r="B53" s="19"/>
      <c r="C53" s="349" t="str">
        <f>IF(Financial!C63="","",Financial!C63&amp;" charges for "&amp;forecastyear)</f>
        <v>PFiT charges for 2022–23</v>
      </c>
      <c r="D53" s="431">
        <f>INDEX(Financial!M63:Q63,1,MATCH(forecastyear,Financial!$M$60:$Q$60,0))*outputsmultiplier</f>
        <v>0</v>
      </c>
      <c r="E53" s="431"/>
      <c r="F53" s="20"/>
      <c r="G53" s="516" t="s">
        <v>359</v>
      </c>
      <c r="H53" s="154"/>
      <c r="I53" s="159"/>
      <c r="J53" s="155"/>
      <c r="K53" s="306">
        <f>INDEX(Accounts!$J43:$Q43,1,MATCH(K$24,Accounts!$J$5:$Q$5,0))*outputsmultiplier</f>
        <v>0</v>
      </c>
      <c r="L53" s="306">
        <f>INDEX(Accounts!$J43:$Q43,1,MATCH(L$24,Accounts!$J$5:$Q$5,0))*outputsmultiplier</f>
        <v>0</v>
      </c>
      <c r="M53" s="306">
        <f>INDEX(Accounts!$J43:$Q43,1,MATCH(M$24,Accounts!$J$5:$Q$5,0))*outputsmultiplier</f>
        <v>0</v>
      </c>
      <c r="N53" s="306">
        <f>INDEX(Accounts!$J43:$Q43,1,MATCH(N$24,Accounts!$J$5:$Q$5,0))*outputsmultiplier</f>
        <v>0</v>
      </c>
      <c r="O53" s="19"/>
      <c r="P53" s="19"/>
      <c r="Q53" s="19"/>
      <c r="R53" s="19"/>
      <c r="S53" s="19"/>
      <c r="T53" s="19"/>
    </row>
    <row r="54" spans="1:20" hidden="1" outlineLevel="1" x14ac:dyDescent="0.2">
      <c r="A54" s="19"/>
      <c r="B54" s="19"/>
      <c r="C54" s="349" t="str">
        <f>IF(Financial!C64="","",Financial!C64&amp;" charges for "&amp;forecastyear)</f>
        <v>TFiT charges for 2022–23</v>
      </c>
      <c r="D54" s="431">
        <f>INDEX(Financial!M64:Q64,1,MATCH(forecastyear,Financial!$M$60:$Q$60,0))*outputsmultiplier</f>
        <v>0</v>
      </c>
      <c r="E54" s="431"/>
      <c r="F54" s="20"/>
      <c r="G54" s="516" t="s">
        <v>358</v>
      </c>
      <c r="H54" s="154"/>
      <c r="I54" s="159"/>
      <c r="J54" s="155"/>
      <c r="K54" s="306">
        <f>INDEX(Accounts!$J44:$Q44,1,MATCH(K$24,Accounts!$J$5:$Q$5,0))*outputsmultiplier</f>
        <v>0</v>
      </c>
      <c r="L54" s="306">
        <f>INDEX(Accounts!$J44:$Q44,1,MATCH(L$24,Accounts!$J$5:$Q$5,0))*outputsmultiplier</f>
        <v>0</v>
      </c>
      <c r="M54" s="306">
        <f>INDEX(Accounts!$J44:$Q44,1,MATCH(M$24,Accounts!$J$5:$Q$5,0))*outputsmultiplier</f>
        <v>0</v>
      </c>
      <c r="N54" s="306">
        <f>INDEX(Accounts!$J44:$Q44,1,MATCH(N$24,Accounts!$J$5:$Q$5,0))*outputsmultiplier</f>
        <v>0</v>
      </c>
      <c r="O54" s="19"/>
      <c r="P54" s="19"/>
      <c r="Q54" s="19"/>
      <c r="R54" s="19"/>
      <c r="S54" s="19"/>
      <c r="T54" s="19"/>
    </row>
    <row r="55" spans="1:20" hidden="1" outlineLevel="1" x14ac:dyDescent="0.2">
      <c r="A55" s="19"/>
      <c r="B55" s="19"/>
      <c r="C55" s="349" t="str">
        <f>IF(Financial!C65="","",Financial!C65&amp;" charges for "&amp;forecastyear)</f>
        <v>ESV levy charges for 2022–23</v>
      </c>
      <c r="D55" s="431">
        <f>INDEX(Financial!M65:Q65,1,MATCH(forecastyear,Financial!$M$60:$Q$60,0))*outputsmultiplier</f>
        <v>0</v>
      </c>
      <c r="E55" s="431"/>
      <c r="F55" s="20"/>
      <c r="G55" s="519" t="s">
        <v>673</v>
      </c>
      <c r="H55" s="154"/>
      <c r="I55" s="159"/>
      <c r="J55" s="155"/>
      <c r="K55" s="306">
        <f>INDEX(Accounts!$J45:$Q45,1,MATCH(K$24,Accounts!$J$5:$Q$5,0))*outputsmultiplier</f>
        <v>0</v>
      </c>
      <c r="L55" s="306">
        <f>INDEX(Accounts!$J45:$Q45,1,MATCH(L$24,Accounts!$J$5:$Q$5,0))*outputsmultiplier</f>
        <v>0</v>
      </c>
      <c r="M55" s="306">
        <f>INDEX(Accounts!$J45:$Q45,1,MATCH(M$24,Accounts!$J$5:$Q$5,0))*outputsmultiplier</f>
        <v>0</v>
      </c>
      <c r="N55" s="306">
        <f>INDEX(Accounts!$J45:$Q45,1,MATCH(N$24,Accounts!$J$5:$Q$5,0))*outputsmultiplier</f>
        <v>0</v>
      </c>
      <c r="O55" s="19"/>
      <c r="P55" s="19"/>
      <c r="Q55" s="19"/>
      <c r="R55" s="19"/>
      <c r="S55" s="19"/>
      <c r="T55" s="19"/>
    </row>
    <row r="56" spans="1:20" hidden="1" outlineLevel="1" x14ac:dyDescent="0.2">
      <c r="A56" s="19"/>
      <c r="B56" s="19"/>
      <c r="C56" s="349" t="str">
        <f>IF(Financial!C66="","",Financial!C66&amp;" charges for "&amp;forecastyear)</f>
        <v/>
      </c>
      <c r="D56" s="431">
        <f>INDEX(Financial!M66:Q66,1,MATCH(forecastyear,Financial!$M$60:$Q$60,0))*outputsmultiplier</f>
        <v>0</v>
      </c>
      <c r="E56" s="431"/>
      <c r="F56" s="20"/>
      <c r="G56" s="516" t="s">
        <v>351</v>
      </c>
      <c r="H56" s="154"/>
      <c r="I56" s="159"/>
      <c r="J56" s="155"/>
      <c r="K56" s="306">
        <f>INDEX(Accounts!$J46:$Q46,1,MATCH(K$24,Accounts!$J$5:$Q$5,0))*outputsmultiplier</f>
        <v>0</v>
      </c>
      <c r="L56" s="306">
        <f>INDEX(Accounts!$J46:$Q46,1,MATCH(L$24,Accounts!$J$5:$Q$5,0))*outputsmultiplier</f>
        <v>0</v>
      </c>
      <c r="M56" s="306">
        <f>INDEX(Accounts!$J46:$Q46,1,MATCH(M$24,Accounts!$J$5:$Q$5,0))*outputsmultiplier</f>
        <v>0</v>
      </c>
      <c r="N56" s="306">
        <f>INDEX(Accounts!$J46:$Q46,1,MATCH(N$24,Accounts!$J$5:$Q$5,0))*outputsmultiplier</f>
        <v>0</v>
      </c>
      <c r="O56" s="19"/>
      <c r="P56" s="19"/>
      <c r="Q56" s="19"/>
      <c r="R56" s="19"/>
      <c r="S56" s="19"/>
      <c r="T56" s="19"/>
    </row>
    <row r="57" spans="1:20" hidden="1" outlineLevel="1" x14ac:dyDescent="0.2">
      <c r="A57" s="19"/>
      <c r="B57" s="19"/>
      <c r="C57" s="360" t="str">
        <f>TAR!C30</f>
        <v>Total Forecast JSA</v>
      </c>
      <c r="D57" s="431"/>
      <c r="E57" s="462">
        <f>INDEX(TAR!M30:Q30,1,MATCH(forecastyear,TAR!M28:Q28,0))*outputsmultiplier</f>
        <v>0</v>
      </c>
      <c r="F57" s="20"/>
      <c r="G57" s="517" t="s">
        <v>674</v>
      </c>
      <c r="H57" s="154"/>
      <c r="I57" s="159"/>
      <c r="J57" s="155"/>
      <c r="K57" s="306">
        <f>INDEX(Accounts!$J47:$Q47,1,MATCH(K$24,Accounts!$J$5:$Q$5,0))*outputsmultiplier</f>
        <v>0</v>
      </c>
      <c r="L57" s="306">
        <f>INDEX(Accounts!$J47:$Q47,1,MATCH(L$24,Accounts!$J$5:$Q$5,0))*outputsmultiplier</f>
        <v>0</v>
      </c>
      <c r="M57" s="306">
        <f>INDEX(Accounts!$J47:$Q47,1,MATCH(M$24,Accounts!$J$5:$Q$5,0))*outputsmultiplier</f>
        <v>0</v>
      </c>
      <c r="N57" s="306">
        <f>INDEX(Accounts!$J47:$Q47,1,MATCH(N$24,Accounts!$J$5:$Q$5,0))*outputsmultiplier</f>
        <v>0</v>
      </c>
      <c r="O57" s="19"/>
      <c r="P57" s="19"/>
      <c r="Q57" s="19"/>
      <c r="R57" s="19"/>
      <c r="S57" s="19"/>
      <c r="T57" s="19"/>
    </row>
    <row r="58" spans="1:20" hidden="1" outlineLevel="1" x14ac:dyDescent="0.2">
      <c r="A58" s="19"/>
      <c r="B58" s="19"/>
      <c r="C58" s="349" t="str">
        <f>LEFT(TAR!C31,31)&amp;"applied in "&amp;forecastyear</f>
        <v>Under/over-recovery adjustment applied in 2022–23</v>
      </c>
      <c r="D58" s="431">
        <f>INDEX(TAR!M31:Q31,1,MATCH(forecastyear,TAR!M28:Q28,0))*outputsmultiplier</f>
        <v>0</v>
      </c>
      <c r="E58" s="431"/>
      <c r="F58" s="20"/>
      <c r="G58" s="516" t="s">
        <v>244</v>
      </c>
      <c r="H58" s="154"/>
      <c r="I58" s="159"/>
      <c r="J58" s="155"/>
      <c r="K58" s="306">
        <f>INDEX(Accounts!$J49:$Q49,1,MATCH(K$24,Accounts!$J$5:$Q$5,0))*outputsmultiplier</f>
        <v>0</v>
      </c>
      <c r="L58" s="306">
        <f>INDEX(Accounts!$J49:$Q49,1,MATCH(L$24,Accounts!$J$5:$Q$5,0))*outputsmultiplier</f>
        <v>0</v>
      </c>
      <c r="M58" s="306">
        <f>INDEX(Accounts!$J49:$Q49,1,MATCH(M$24,Accounts!$J$5:$Q$5,0))*outputsmultiplier</f>
        <v>0</v>
      </c>
      <c r="N58" s="306">
        <f>INDEX(Accounts!$J49:$Q49,1,MATCH(N$24,Accounts!$J$5:$Q$5,0))*outputsmultiplier</f>
        <v>0</v>
      </c>
      <c r="O58" s="19"/>
      <c r="P58" s="19"/>
      <c r="Q58" s="19"/>
      <c r="R58" s="19"/>
      <c r="S58" s="19"/>
      <c r="T58" s="19"/>
    </row>
    <row r="59" spans="1:20" hidden="1" outlineLevel="1" x14ac:dyDescent="0.2">
      <c r="A59" s="19"/>
      <c r="B59" s="19"/>
      <c r="C59" s="360" t="str">
        <f>TAR!C32&amp;" for "&amp;forecastyear</f>
        <v>Total allowable revenue for 2022–23</v>
      </c>
      <c r="D59" s="462"/>
      <c r="E59" s="462">
        <f>INDEX(TAR!M32:Q32,1,MATCH(forecastyear,TAR!M28:Q28,0))*outputsmultiplier</f>
        <v>0</v>
      </c>
      <c r="F59" s="20"/>
      <c r="G59" s="516" t="s">
        <v>246</v>
      </c>
      <c r="H59" s="154"/>
      <c r="I59" s="159"/>
      <c r="J59" s="155"/>
      <c r="K59" s="306">
        <f>INDEX(Accounts!$J50:$Q50,1,MATCH(K$24,Accounts!$J$5:$Q$5,0))*outputsmultiplier</f>
        <v>0</v>
      </c>
      <c r="L59" s="306">
        <f>INDEX(Accounts!$J50:$Q50,1,MATCH(L$24,Accounts!$J$5:$Q$5,0))*outputsmultiplier</f>
        <v>0</v>
      </c>
      <c r="M59" s="306">
        <f>INDEX(Accounts!$J50:$Q50,1,MATCH(M$24,Accounts!$J$5:$Q$5,0))*outputsmultiplier</f>
        <v>0</v>
      </c>
      <c r="N59" s="306">
        <f>INDEX(Accounts!$J50:$Q50,1,MATCH(N$24,Accounts!$J$5:$Q$5,0))*outputsmultiplier</f>
        <v>0</v>
      </c>
      <c r="O59" s="19"/>
      <c r="P59" s="19"/>
      <c r="Q59" s="19"/>
      <c r="R59" s="19"/>
      <c r="S59" s="19"/>
      <c r="T59" s="19"/>
    </row>
    <row r="60" spans="1:20" hidden="1" outlineLevel="1" x14ac:dyDescent="0.2">
      <c r="A60" s="19"/>
      <c r="B60" s="19"/>
      <c r="C60" s="51"/>
      <c r="D60" s="242"/>
      <c r="E60" s="242"/>
      <c r="F60" s="20"/>
      <c r="G60" s="516" t="s">
        <v>675</v>
      </c>
      <c r="H60" s="154"/>
      <c r="I60" s="159"/>
      <c r="J60" s="155"/>
      <c r="K60" s="306">
        <f>INDEX(Accounts!$J51:$Q51,1,MATCH(K$24,Accounts!$J$5:$Q$5,0))*outputsmultiplier</f>
        <v>0</v>
      </c>
      <c r="L60" s="306">
        <f>INDEX(Accounts!$J51:$Q51,1,MATCH(L$24,Accounts!$J$5:$Q$5,0))*outputsmultiplier</f>
        <v>0</v>
      </c>
      <c r="M60" s="306">
        <f>INDEX(Accounts!$J51:$Q51,1,MATCH(M$24,Accounts!$J$5:$Q$5,0))*outputsmultiplier</f>
        <v>0</v>
      </c>
      <c r="N60" s="306">
        <f>INDEX(Accounts!$J51:$Q51,1,MATCH(N$24,Accounts!$J$5:$Q$5,0))*outputsmultiplier</f>
        <v>0</v>
      </c>
      <c r="O60" s="19"/>
      <c r="P60" s="19"/>
      <c r="Q60" s="19"/>
      <c r="R60" s="19"/>
      <c r="S60" s="19"/>
      <c r="T60" s="19"/>
    </row>
    <row r="61" spans="1:20" hidden="1" outlineLevel="1" x14ac:dyDescent="0.2">
      <c r="A61" s="19"/>
      <c r="B61" s="19"/>
      <c r="F61" s="20"/>
      <c r="G61" s="516" t="s">
        <v>352</v>
      </c>
      <c r="H61" s="154"/>
      <c r="I61" s="159"/>
      <c r="J61" s="155"/>
      <c r="K61" s="306">
        <f>INDEX(Accounts!$J52:$Q52,1,MATCH(K$24,Accounts!$J$5:$Q$5,0))*outputsmultiplier</f>
        <v>0</v>
      </c>
      <c r="L61" s="306">
        <f>INDEX(Accounts!$J52:$Q52,1,MATCH(L$24,Accounts!$J$5:$Q$5,0))*outputsmultiplier</f>
        <v>0</v>
      </c>
      <c r="M61" s="306">
        <f>INDEX(Accounts!$J52:$Q52,1,MATCH(M$24,Accounts!$J$5:$Q$5,0))*outputsmultiplier</f>
        <v>0</v>
      </c>
      <c r="N61" s="306">
        <f>INDEX(Accounts!$J52:$Q52,1,MATCH(N$24,Accounts!$J$5:$Q$5,0))*outputsmultiplier</f>
        <v>0</v>
      </c>
      <c r="O61" s="19"/>
      <c r="P61" s="19"/>
      <c r="Q61" s="19"/>
      <c r="R61" s="19"/>
      <c r="S61" s="19"/>
      <c r="T61" s="19"/>
    </row>
    <row r="62" spans="1:20" hidden="1" outlineLevel="1" x14ac:dyDescent="0.2">
      <c r="A62" s="19"/>
      <c r="B62" s="19"/>
      <c r="F62" s="20"/>
      <c r="G62" s="517" t="s">
        <v>249</v>
      </c>
      <c r="H62" s="154"/>
      <c r="I62" s="159"/>
      <c r="J62" s="155"/>
      <c r="K62" s="306">
        <f>INDEX(Accounts!$J53:$Q53,1,MATCH(K$24,Accounts!$J$5:$Q$5,0))*outputsmultiplier</f>
        <v>0</v>
      </c>
      <c r="L62" s="306">
        <f>INDEX(Accounts!$J53:$Q53,1,MATCH(L$24,Accounts!$J$5:$Q$5,0))*outputsmultiplier</f>
        <v>0</v>
      </c>
      <c r="M62" s="306">
        <f>INDEX(Accounts!$J53:$Q53,1,MATCH(M$24,Accounts!$J$5:$Q$5,0))*outputsmultiplier</f>
        <v>0</v>
      </c>
      <c r="N62" s="306">
        <f>INDEX(Accounts!$J53:$Q53,1,MATCH(N$24,Accounts!$J$5:$Q$5,0))*outputsmultiplier</f>
        <v>0</v>
      </c>
      <c r="O62" s="19"/>
      <c r="P62" s="19"/>
      <c r="Q62" s="19"/>
      <c r="R62" s="19"/>
      <c r="S62" s="19"/>
      <c r="T62" s="19"/>
    </row>
    <row r="63" spans="1:20" hidden="1" outlineLevel="1" x14ac:dyDescent="0.2">
      <c r="A63" s="19"/>
      <c r="B63" s="19"/>
      <c r="F63" s="20"/>
      <c r="G63" s="170"/>
      <c r="H63" s="22"/>
      <c r="I63" s="20"/>
      <c r="J63" s="20"/>
      <c r="K63" s="20"/>
      <c r="L63" s="20"/>
      <c r="M63" s="20"/>
      <c r="N63" s="19"/>
      <c r="O63" s="19"/>
      <c r="P63" s="19"/>
      <c r="Q63" s="19"/>
      <c r="R63" s="19"/>
      <c r="S63" s="19"/>
      <c r="T63" s="19"/>
    </row>
    <row r="64" spans="1:20" hidden="1" outlineLevel="1" x14ac:dyDescent="0.2">
      <c r="A64" s="19"/>
      <c r="B64" s="19"/>
      <c r="F64" s="20"/>
      <c r="G64" s="518"/>
      <c r="H64" s="20"/>
      <c r="I64" s="20"/>
      <c r="J64" s="20"/>
      <c r="K64" s="153" t="str">
        <f>tminus3_year</f>
        <v>2019–20</v>
      </c>
      <c r="L64" s="153" t="str">
        <f>previousyear</f>
        <v>2020–21</v>
      </c>
      <c r="M64" s="153" t="str">
        <f>currentyear</f>
        <v>2021–22</v>
      </c>
      <c r="N64" s="153" t="str">
        <f>forecastyear</f>
        <v>2022–23</v>
      </c>
      <c r="O64" s="19"/>
      <c r="P64" s="19"/>
      <c r="Q64" s="19"/>
      <c r="R64" s="19"/>
      <c r="S64" s="19"/>
      <c r="T64" s="19"/>
    </row>
    <row r="65" spans="1:24" hidden="1" outlineLevel="1" x14ac:dyDescent="0.2">
      <c r="A65" s="19"/>
      <c r="B65" s="19"/>
      <c r="C65" s="82" t="str">
        <f>"Allowable metering revenue ("&amp;outputtableunits&amp;")"</f>
        <v>Allowable metering revenue ($millions)</v>
      </c>
      <c r="D65" s="242"/>
      <c r="E65" s="242"/>
      <c r="F65" s="20"/>
      <c r="G65" s="167" t="s">
        <v>355</v>
      </c>
      <c r="H65" s="22"/>
      <c r="I65" s="20"/>
      <c r="J65" s="20"/>
      <c r="K65" s="461" t="s">
        <v>16</v>
      </c>
      <c r="L65" s="461" t="s">
        <v>16</v>
      </c>
      <c r="M65" s="461" t="s">
        <v>17</v>
      </c>
      <c r="N65" s="461" t="s">
        <v>348</v>
      </c>
      <c r="O65" s="19"/>
      <c r="P65" s="19"/>
      <c r="Q65" s="19"/>
      <c r="R65" s="19"/>
      <c r="S65" s="19"/>
      <c r="T65" s="19"/>
    </row>
    <row r="66" spans="1:24" hidden="1" outlineLevel="1" x14ac:dyDescent="0.2">
      <c r="A66" s="19"/>
      <c r="B66" s="19"/>
      <c r="C66" s="360" t="str">
        <f>IF(forecastyear=RCP_firstyear,TAR!C40&amp;" for "&amp;forecastyear&amp;" (ARt)",TAR!C49&amp;" for "&amp;currentyear&amp;" (AARt-1)")</f>
        <v xml:space="preserve"> for 2021–22 (AARt-1)</v>
      </c>
      <c r="D66" s="462"/>
      <c r="E66" s="462">
        <f>IF(forecastyear=RCP_firstyear,INDEX(TAR!M40:Q40,1,MATCH(forecastyear,TAR!M34:Q34,0)),INDEX(TAR!M41:Q41,1,MATCH(currentyear,TAR!M34:Q34,0)))*outputsmultiplier</f>
        <v>0</v>
      </c>
      <c r="F66" s="20"/>
      <c r="G66" s="516" t="s">
        <v>360</v>
      </c>
      <c r="H66" s="154"/>
      <c r="I66" s="159"/>
      <c r="J66" s="155"/>
      <c r="K66" s="306">
        <f>INDEX(Accounts!$J57:$Q57,1,MATCH(K$24,Accounts!$J$5:$Q$5,0))*outputsmultiplier</f>
        <v>0</v>
      </c>
      <c r="L66" s="306">
        <f>INDEX(Accounts!$J57:$Q57,1,MATCH(L$24,Accounts!$J$5:$Q$5,0))*outputsmultiplier</f>
        <v>0</v>
      </c>
      <c r="M66" s="306">
        <f>INDEX(Accounts!$J57:$Q57,1,MATCH(M$24,Accounts!$J$5:$Q$5,0))*outputsmultiplier</f>
        <v>0</v>
      </c>
      <c r="N66" s="306">
        <f>INDEX(Accounts!$J57:$Q57,1,MATCH(N$24,Accounts!$J$5:$Q$5,0))*outputsmultiplier</f>
        <v>0</v>
      </c>
      <c r="O66" s="19"/>
      <c r="P66" s="19"/>
      <c r="Q66" s="19"/>
      <c r="R66" s="19"/>
      <c r="S66" s="19"/>
      <c r="T66" s="19"/>
    </row>
    <row r="67" spans="1:24" hidden="1" outlineLevel="1" x14ac:dyDescent="0.2">
      <c r="A67" s="19"/>
      <c r="B67" s="19"/>
      <c r="C67" s="349" t="str">
        <f>TAR!C7&amp;" (CPI)"</f>
        <v>Inflation (CPI)</v>
      </c>
      <c r="D67" s="463">
        <f>IF(forecastyear=RCP_firstyear,0,INDEX(TAR!M7:Q7,1,MATCH(forecastyear,TAR!M34:Q34,0)))</f>
        <v>3.4982935153583528E-2</v>
      </c>
      <c r="E67" s="431"/>
      <c r="F67" s="20"/>
      <c r="G67" s="516" t="s">
        <v>361</v>
      </c>
      <c r="H67" s="154"/>
      <c r="I67" s="159"/>
      <c r="J67" s="155"/>
      <c r="K67" s="306">
        <f>INDEX(Accounts!$J58:$Q58,1,MATCH(K$24,Accounts!$J$5:$Q$5,0))*outputsmultiplier</f>
        <v>0</v>
      </c>
      <c r="L67" s="306">
        <f>INDEX(Accounts!$J58:$Q58,1,MATCH(L$24,Accounts!$J$5:$Q$5,0))*outputsmultiplier</f>
        <v>0</v>
      </c>
      <c r="M67" s="306">
        <f>INDEX(Accounts!$J58:$Q58,1,MATCH(M$24,Accounts!$J$5:$Q$5,0))*outputsmultiplier</f>
        <v>0</v>
      </c>
      <c r="N67" s="306">
        <f>INDEX(Accounts!$J58:$Q58,1,MATCH(N$24,Accounts!$J$5:$Q$5,0))*outputsmultiplier</f>
        <v>0</v>
      </c>
      <c r="O67" s="19"/>
      <c r="P67" s="19"/>
      <c r="Q67" s="19"/>
      <c r="R67" s="19"/>
      <c r="S67" s="19"/>
      <c r="T67" s="19"/>
    </row>
    <row r="68" spans="1:24" hidden="1" outlineLevel="1" x14ac:dyDescent="0.2">
      <c r="A68" s="19"/>
      <c r="B68" s="19"/>
      <c r="C68" s="349" t="str">
        <f>TAR!C36&amp;" for "&amp;forecastyear</f>
        <v>Metering x-factor for 2022–23</v>
      </c>
      <c r="D68" s="463">
        <f>IF(forecastyear=RCP_firstyear,0,INDEX(TAR!M36:Q36,1,MATCH(forecastyear,TAR!M34:Q34,0)))</f>
        <v>0</v>
      </c>
      <c r="E68" s="431"/>
      <c r="F68" s="20"/>
      <c r="G68" s="519" t="s">
        <v>673</v>
      </c>
      <c r="H68" s="154"/>
      <c r="I68" s="159"/>
      <c r="J68" s="155"/>
      <c r="K68" s="306">
        <f>INDEX(Accounts!$J59:$Q59,1,MATCH(K$24,Accounts!$J$5:$Q$5,0))*outputsmultiplier</f>
        <v>0</v>
      </c>
      <c r="L68" s="306">
        <f>INDEX(Accounts!$J59:$Q59,1,MATCH(L$24,Accounts!$J$5:$Q$5,0))*outputsmultiplier</f>
        <v>0</v>
      </c>
      <c r="M68" s="306">
        <f>INDEX(Accounts!$J59:$Q59,1,MATCH(M$24,Accounts!$J$5:$Q$5,0))*outputsmultiplier</f>
        <v>0</v>
      </c>
      <c r="N68" s="306">
        <f>INDEX(Accounts!$J59:$Q59,1,MATCH(N$24,Accounts!$J$5:$Q$5,0))*outputsmultiplier</f>
        <v>0</v>
      </c>
      <c r="O68" s="19"/>
      <c r="P68" s="19"/>
      <c r="Q68" s="19"/>
      <c r="R68" s="19"/>
      <c r="S68" s="19"/>
      <c r="T68" s="19"/>
    </row>
    <row r="69" spans="1:24" hidden="1" outlineLevel="1" x14ac:dyDescent="0.2">
      <c r="A69" s="19"/>
      <c r="B69" s="19"/>
      <c r="C69" s="360" t="str">
        <f>TAR!C41&amp;" for "&amp;forecastyear&amp;" (AARt)"</f>
        <v>Adjusted annual smoothed revenue for 2022–23 (AARt)</v>
      </c>
      <c r="D69" s="462"/>
      <c r="E69" s="462">
        <f>INDEX(TAR!M41:Q41,1,MATCH(forecastyear,TAR!M34:Q34,0))*outputsmultiplier</f>
        <v>0</v>
      </c>
      <c r="F69" s="20"/>
      <c r="G69" s="516" t="s">
        <v>351</v>
      </c>
      <c r="H69" s="154"/>
      <c r="I69" s="159"/>
      <c r="J69" s="155"/>
      <c r="K69" s="306">
        <f>INDEX(Accounts!$J60:$Q60,1,MATCH(K$24,Accounts!$J$5:$Q$5,0))*outputsmultiplier</f>
        <v>0</v>
      </c>
      <c r="L69" s="306">
        <f>INDEX(Accounts!$J60:$Q60,1,MATCH(L$24,Accounts!$J$5:$Q$5,0))*outputsmultiplier</f>
        <v>0</v>
      </c>
      <c r="M69" s="306">
        <f>INDEX(Accounts!$J60:$Q60,1,MATCH(M$24,Accounts!$J$5:$Q$5,0))*outputsmultiplier</f>
        <v>0</v>
      </c>
      <c r="N69" s="306">
        <f>INDEX(Accounts!$J60:$Q60,1,MATCH(N$24,Accounts!$J$5:$Q$5,0))*outputsmultiplier</f>
        <v>0</v>
      </c>
      <c r="O69" s="19"/>
      <c r="P69" s="19"/>
      <c r="Q69" s="19"/>
      <c r="R69" s="19"/>
      <c r="S69" s="19"/>
      <c r="T69" s="19"/>
    </row>
    <row r="70" spans="1:24" hidden="1" outlineLevel="1" x14ac:dyDescent="0.2">
      <c r="A70" s="19"/>
      <c r="B70" s="19"/>
      <c r="C70" s="349" t="str">
        <f>TAR!C37&amp;" applied in "&amp;forecastyear</f>
        <v>Total cost pass-throughs applied in 2022–23</v>
      </c>
      <c r="D70" s="431">
        <f>INDEX(TAR!M37:Q37,1,MATCH(forecastyear,TAR!M34:Q34,0))*outputsmultiplier</f>
        <v>0</v>
      </c>
      <c r="E70" s="431"/>
      <c r="F70" s="20"/>
      <c r="G70" s="517" t="s">
        <v>674</v>
      </c>
      <c r="H70" s="154"/>
      <c r="I70" s="159"/>
      <c r="J70" s="155"/>
      <c r="K70" s="306">
        <f>INDEX(Accounts!$J61:$Q61,1,MATCH(K$24,Accounts!$J$5:$Q$5,0))*outputsmultiplier</f>
        <v>0</v>
      </c>
      <c r="L70" s="306">
        <f>INDEX(Accounts!$J61:$Q61,1,MATCH(L$24,Accounts!$J$5:$Q$5,0))*outputsmultiplier</f>
        <v>0</v>
      </c>
      <c r="M70" s="306">
        <f>INDEX(Accounts!$J61:$Q61,1,MATCH(M$24,Accounts!$J$5:$Q$5,0))*outputsmultiplier</f>
        <v>0</v>
      </c>
      <c r="N70" s="306">
        <f>INDEX(Accounts!$J61:$Q61,1,MATCH(N$24,Accounts!$J$5:$Q$5,0))*outputsmultiplier</f>
        <v>0</v>
      </c>
      <c r="O70" s="19"/>
      <c r="P70" s="19"/>
      <c r="Q70" s="19"/>
      <c r="R70" s="19"/>
      <c r="S70" s="19"/>
      <c r="T70" s="19"/>
    </row>
    <row r="71" spans="1:24" hidden="1" outlineLevel="1" x14ac:dyDescent="0.2">
      <c r="A71" s="19"/>
      <c r="B71" s="19"/>
      <c r="C71" s="349" t="str">
        <f>LEFT(TAR!C38,31)&amp;"applied in "&amp;forecastyear</f>
        <v>Under/over-recovery adjustment applied in 2022–23</v>
      </c>
      <c r="D71" s="431">
        <f>INDEX(TAR!M38:Q38,1,MATCH(forecastyear,TAR!M34:Q34,0))*outputsmultiplier</f>
        <v>0</v>
      </c>
      <c r="E71" s="431"/>
      <c r="F71" s="20"/>
      <c r="G71" s="516" t="s">
        <v>244</v>
      </c>
      <c r="H71" s="154"/>
      <c r="I71" s="159"/>
      <c r="J71" s="155"/>
      <c r="K71" s="306">
        <f>INDEX(Accounts!$J63:$Q63,1,MATCH(K$24,Accounts!$J$5:$Q$5,0))*outputsmultiplier</f>
        <v>0</v>
      </c>
      <c r="L71" s="306">
        <f>INDEX(Accounts!$J63:$Q63,1,MATCH(L$24,Accounts!$J$5:$Q$5,0))*outputsmultiplier</f>
        <v>0</v>
      </c>
      <c r="M71" s="306">
        <f>INDEX(Accounts!$J63:$Q63,1,MATCH(M$24,Accounts!$J$5:$Q$5,0))*outputsmultiplier</f>
        <v>0</v>
      </c>
      <c r="N71" s="306">
        <f>INDEX(Accounts!$J63:$Q63,1,MATCH(N$24,Accounts!$J$5:$Q$5,0))*outputsmultiplier</f>
        <v>0</v>
      </c>
      <c r="O71" s="19"/>
      <c r="P71" s="19"/>
      <c r="Q71" s="19"/>
      <c r="R71" s="19"/>
      <c r="S71" s="19"/>
      <c r="T71" s="19"/>
    </row>
    <row r="72" spans="1:24" hidden="1" outlineLevel="1" x14ac:dyDescent="0.2">
      <c r="A72" s="19"/>
      <c r="B72" s="19"/>
      <c r="C72" s="360" t="str">
        <f>TAR!C43&amp;" for "&amp;forecastyear&amp;" (TARMt)"</f>
        <v>Total allowable revenue for 2022–23 (TARMt)</v>
      </c>
      <c r="D72" s="462"/>
      <c r="E72" s="462">
        <f>INDEX(TAR!M43:Q43,1,MATCH(forecastyear,TAR!M34:Q34,0))*outputsmultiplier</f>
        <v>0</v>
      </c>
      <c r="F72" s="20"/>
      <c r="G72" s="516" t="s">
        <v>246</v>
      </c>
      <c r="H72" s="154"/>
      <c r="I72" s="159"/>
      <c r="J72" s="155"/>
      <c r="K72" s="306">
        <f>INDEX(Accounts!$J64:$Q64,1,MATCH(K$24,Accounts!$J$5:$Q$5,0))*outputsmultiplier</f>
        <v>0</v>
      </c>
      <c r="L72" s="306">
        <f>INDEX(Accounts!$J64:$Q64,1,MATCH(L$24,Accounts!$J$5:$Q$5,0))*outputsmultiplier</f>
        <v>0</v>
      </c>
      <c r="M72" s="306">
        <f>INDEX(Accounts!$J64:$Q64,1,MATCH(M$24,Accounts!$J$5:$Q$5,0))*outputsmultiplier</f>
        <v>0</v>
      </c>
      <c r="N72" s="306">
        <f>INDEX(Accounts!$J64:$Q64,1,MATCH(N$24,Accounts!$J$5:$Q$5,0))*outputsmultiplier</f>
        <v>0</v>
      </c>
      <c r="O72" s="19"/>
      <c r="P72" s="19"/>
      <c r="Q72" s="19"/>
      <c r="R72" s="19"/>
      <c r="S72" s="19"/>
      <c r="T72" s="19"/>
    </row>
    <row r="73" spans="1:24" hidden="1" outlineLevel="1" x14ac:dyDescent="0.2">
      <c r="A73" s="19"/>
      <c r="B73" s="19"/>
      <c r="C73" s="51"/>
      <c r="D73" s="20"/>
      <c r="E73" s="20"/>
      <c r="F73" s="20"/>
      <c r="G73" s="516" t="s">
        <v>675</v>
      </c>
      <c r="H73" s="154"/>
      <c r="I73" s="159"/>
      <c r="J73" s="155"/>
      <c r="K73" s="306">
        <f>INDEX(Accounts!$J65:$Q65,1,MATCH(K$24,Accounts!$J$5:$Q$5,0))*outputsmultiplier</f>
        <v>0</v>
      </c>
      <c r="L73" s="306">
        <f>INDEX(Accounts!$J65:$Q65,1,MATCH(L$24,Accounts!$J$5:$Q$5,0))*outputsmultiplier</f>
        <v>0</v>
      </c>
      <c r="M73" s="306">
        <f>INDEX(Accounts!$J65:$Q65,1,MATCH(M$24,Accounts!$J$5:$Q$5,0))*outputsmultiplier</f>
        <v>0</v>
      </c>
      <c r="N73" s="306">
        <f>INDEX(Accounts!$J65:$Q65,1,MATCH(N$24,Accounts!$J$5:$Q$5,0))*outputsmultiplier</f>
        <v>0</v>
      </c>
      <c r="O73" s="19"/>
      <c r="P73" s="19"/>
      <c r="Q73" s="19"/>
      <c r="R73" s="19"/>
      <c r="S73" s="19"/>
      <c r="T73" s="19"/>
    </row>
    <row r="74" spans="1:24" hidden="1" outlineLevel="1" x14ac:dyDescent="0.2">
      <c r="A74" s="19"/>
      <c r="B74" s="19"/>
      <c r="C74" s="51"/>
      <c r="D74" s="20"/>
      <c r="E74" s="20"/>
      <c r="F74" s="20"/>
      <c r="G74" s="516" t="s">
        <v>352</v>
      </c>
      <c r="H74" s="154"/>
      <c r="I74" s="159"/>
      <c r="J74" s="155"/>
      <c r="K74" s="306">
        <f>INDEX(Accounts!$J66:$Q66,1,MATCH(K$24,Accounts!$J$5:$Q$5,0))*outputsmultiplier</f>
        <v>0</v>
      </c>
      <c r="L74" s="306">
        <f>INDEX(Accounts!$J66:$Q66,1,MATCH(L$24,Accounts!$J$5:$Q$5,0))*outputsmultiplier</f>
        <v>0</v>
      </c>
      <c r="M74" s="306">
        <f>INDEX(Accounts!$J66:$Q66,1,MATCH(M$24,Accounts!$J$5:$Q$5,0))*outputsmultiplier</f>
        <v>0</v>
      </c>
      <c r="N74" s="306">
        <f>INDEX(Accounts!$J66:$Q66,1,MATCH(N$24,Accounts!$J$5:$Q$5,0))*outputsmultiplier</f>
        <v>0</v>
      </c>
      <c r="O74" s="19"/>
      <c r="P74" s="19"/>
      <c r="Q74" s="19"/>
      <c r="R74" s="19"/>
      <c r="S74" s="19"/>
      <c r="T74" s="19"/>
    </row>
    <row r="75" spans="1:24" hidden="1" outlineLevel="1" x14ac:dyDescent="0.2">
      <c r="A75" s="19"/>
      <c r="B75" s="19"/>
      <c r="C75" s="51"/>
      <c r="D75" s="20"/>
      <c r="E75" s="20"/>
      <c r="F75" s="20"/>
      <c r="G75" s="517" t="s">
        <v>249</v>
      </c>
      <c r="H75" s="154"/>
      <c r="I75" s="159"/>
      <c r="J75" s="155"/>
      <c r="K75" s="306">
        <f>INDEX(Accounts!$J67:$Q67,1,MATCH(K$24,Accounts!$J$5:$Q$5,0))*outputsmultiplier</f>
        <v>0</v>
      </c>
      <c r="L75" s="306">
        <f>INDEX(Accounts!$J67:$Q67,1,MATCH(L$24,Accounts!$J$5:$Q$5,0))*outputsmultiplier</f>
        <v>0</v>
      </c>
      <c r="M75" s="306">
        <f>INDEX(Accounts!$J67:$Q67,1,MATCH(M$24,Accounts!$J$5:$Q$5,0))*outputsmultiplier</f>
        <v>0</v>
      </c>
      <c r="N75" s="306">
        <f>INDEX(Accounts!$J67:$Q67,1,MATCH(N$24,Accounts!$J$5:$Q$5,0))*outputsmultiplier</f>
        <v>0</v>
      </c>
      <c r="O75" s="19"/>
      <c r="P75" s="19"/>
      <c r="Q75" s="19"/>
      <c r="R75" s="19"/>
      <c r="S75" s="19"/>
      <c r="T75" s="19"/>
    </row>
    <row r="76" spans="1:24" collapsed="1" x14ac:dyDescent="0.2">
      <c r="A76" s="19"/>
      <c r="B76" s="19"/>
      <c r="C76" s="51"/>
      <c r="D76" s="20"/>
      <c r="E76" s="20"/>
      <c r="F76" s="20"/>
      <c r="G76" s="22"/>
      <c r="H76" s="22"/>
      <c r="I76" s="20"/>
      <c r="J76" s="20"/>
      <c r="K76" s="20"/>
      <c r="L76" s="20"/>
      <c r="M76" s="20"/>
      <c r="N76" s="19"/>
      <c r="O76" s="19"/>
      <c r="P76" s="19"/>
      <c r="Q76" s="19"/>
      <c r="R76" s="19"/>
      <c r="S76" s="19"/>
      <c r="T76" s="19"/>
    </row>
    <row r="77" spans="1:24" ht="12.75" x14ac:dyDescent="0.2">
      <c r="A77" s="11"/>
      <c r="B77" s="12" t="s">
        <v>699</v>
      </c>
      <c r="C77" s="11"/>
      <c r="D77" s="32"/>
      <c r="E77" s="32"/>
      <c r="F77" s="33"/>
      <c r="G77" s="34"/>
      <c r="H77" s="34"/>
      <c r="I77" s="34"/>
      <c r="J77" s="34"/>
      <c r="K77" s="33"/>
      <c r="L77" s="33"/>
      <c r="M77" s="33"/>
      <c r="N77" s="35"/>
      <c r="O77" s="35"/>
      <c r="P77" s="15"/>
      <c r="Q77" s="15"/>
      <c r="R77" s="15"/>
      <c r="S77" s="15"/>
      <c r="T77" s="15"/>
    </row>
    <row r="78" spans="1:24" x14ac:dyDescent="0.2">
      <c r="A78" s="19"/>
      <c r="B78" s="19"/>
      <c r="C78" s="51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9"/>
      <c r="O78" s="19"/>
      <c r="P78" s="19"/>
      <c r="Q78" s="19"/>
      <c r="R78" s="19"/>
      <c r="S78" s="19"/>
      <c r="T78" s="19"/>
    </row>
    <row r="79" spans="1:24" x14ac:dyDescent="0.2">
      <c r="A79" s="9"/>
      <c r="B79" s="9"/>
      <c r="C79" s="73" t="str">
        <f>"Side constraints revenue ("&amp;outputtableunits&amp;")"</f>
        <v>Side constraints revenue ($millions)</v>
      </c>
      <c r="D79" s="10"/>
      <c r="E79" s="10"/>
      <c r="F79" s="10"/>
      <c r="G79" s="10"/>
      <c r="I79" s="10"/>
      <c r="J79" s="10"/>
      <c r="K79" s="10"/>
      <c r="L79" s="20"/>
      <c r="M79" s="20"/>
      <c r="N79" s="10"/>
      <c r="O79" s="50"/>
      <c r="P79" s="9"/>
      <c r="Q79" s="9"/>
      <c r="R79" s="9"/>
      <c r="S79" s="9"/>
      <c r="T79" s="9"/>
      <c r="U79" s="9"/>
      <c r="V79" s="9"/>
      <c r="W79" s="9"/>
      <c r="X79" s="9"/>
    </row>
    <row r="80" spans="1:24" ht="22.5" x14ac:dyDescent="0.2">
      <c r="A80" s="9"/>
      <c r="B80" s="9"/>
      <c r="C80" s="233" t="s">
        <v>199</v>
      </c>
      <c r="D80" s="150" t="str">
        <f>currentyear&amp;" with "&amp;forecastyear&amp;" qtys"</f>
        <v>2021–22 with 2022–23 qtys</v>
      </c>
      <c r="E80" s="151" t="str">
        <f>forecastyear</f>
        <v>2022–23</v>
      </c>
      <c r="F80" s="10" t="s">
        <v>315</v>
      </c>
      <c r="G80" s="10"/>
      <c r="H80" s="156" t="s">
        <v>362</v>
      </c>
      <c r="I80" s="20"/>
      <c r="J80" s="20"/>
      <c r="K80" s="10"/>
      <c r="L80" s="50"/>
      <c r="M80" s="9"/>
      <c r="N80" s="9"/>
      <c r="O80" s="9"/>
      <c r="P80" s="9"/>
      <c r="Q80" s="9"/>
      <c r="R80" s="9"/>
      <c r="S80" s="9"/>
      <c r="T80" s="9"/>
      <c r="U80" s="9"/>
    </row>
    <row r="81" spans="1:27" x14ac:dyDescent="0.2">
      <c r="A81" s="9"/>
      <c r="B81" s="9"/>
      <c r="C81" s="492" t="str">
        <f>Tariffs!C7</f>
        <v>Residential</v>
      </c>
      <c r="D81" s="600">
        <f>'SC revenue'!J27*outputsmultiplier</f>
        <v>124.32944209581481</v>
      </c>
      <c r="E81" s="600">
        <f>'Rev. summary'!P7*outputsmultiplier</f>
        <v>121.08100033978971</v>
      </c>
      <c r="F81" s="234">
        <f>IFERROR(E81/D81-1,0)</f>
        <v>-2.6127695107983184E-2</v>
      </c>
      <c r="G81" s="20"/>
      <c r="H81" s="516" t="str">
        <f>'SC revenue'!C7</f>
        <v>Inflation</v>
      </c>
      <c r="I81" s="155"/>
      <c r="J81" s="155"/>
      <c r="K81" s="234">
        <f>INDEX('SC revenue'!H7:L7,1,MATCH(forecastyear,'SC revenue'!$H$5:$L$5,0))</f>
        <v>3.4982935153583528E-2</v>
      </c>
      <c r="L81" s="20"/>
      <c r="M81" s="9"/>
      <c r="N81" s="9"/>
      <c r="O81" s="9"/>
      <c r="P81" s="9"/>
      <c r="Q81" s="9"/>
      <c r="R81" s="9"/>
      <c r="S81" s="9"/>
      <c r="T81" s="9"/>
      <c r="U81" s="9"/>
    </row>
    <row r="82" spans="1:27" x14ac:dyDescent="0.2">
      <c r="A82" s="9"/>
      <c r="B82" s="9"/>
      <c r="C82" s="492" t="str">
        <f>Tariffs!C8</f>
        <v>Small Business LV</v>
      </c>
      <c r="D82" s="600">
        <f>'SC revenue'!J28*outputsmultiplier</f>
        <v>60.37320918739556</v>
      </c>
      <c r="E82" s="600">
        <f>'Rev. summary'!P8*outputsmultiplier</f>
        <v>60.650901070362487</v>
      </c>
      <c r="F82" s="234">
        <f t="shared" ref="F82:F91" si="3">IFERROR(E82/D82-1,0)</f>
        <v>4.5995879083549074E-3</v>
      </c>
      <c r="G82" s="20"/>
      <c r="H82" s="516" t="str">
        <f>'SC revenue'!C8</f>
        <v>X-factor (if X&gt;0, X=0)</v>
      </c>
      <c r="I82" s="155"/>
      <c r="J82" s="155"/>
      <c r="K82" s="234">
        <f>INDEX('SC revenue'!H8:L8,1,MATCH(forecastyear,'SC revenue'!$H$5:$L$5,0))</f>
        <v>-8.2127024447308968E-3</v>
      </c>
      <c r="L82" s="20"/>
      <c r="M82" s="9"/>
      <c r="N82" s="9"/>
      <c r="O82" s="9"/>
      <c r="P82" s="9"/>
      <c r="Q82" s="9"/>
      <c r="R82" s="9"/>
      <c r="S82" s="9"/>
      <c r="T82" s="9"/>
      <c r="U82" s="9"/>
    </row>
    <row r="83" spans="1:27" x14ac:dyDescent="0.2">
      <c r="A83" s="9"/>
      <c r="B83" s="9"/>
      <c r="C83" s="492" t="str">
        <f>Tariffs!C9</f>
        <v>Large Business LV</v>
      </c>
      <c r="D83" s="600">
        <f>'SC revenue'!J29*outputsmultiplier</f>
        <v>15.052423603779976</v>
      </c>
      <c r="E83" s="600">
        <f>'Rev. summary'!P9*outputsmultiplier</f>
        <v>14.889905497366902</v>
      </c>
      <c r="F83" s="234">
        <f t="shared" si="3"/>
        <v>-1.0796806593475261E-2</v>
      </c>
      <c r="G83" s="20"/>
      <c r="H83" s="516" t="str">
        <f>'SC revenue'!C9</f>
        <v>S factor (STPIS 1.2)</v>
      </c>
      <c r="I83" s="155"/>
      <c r="J83" s="155"/>
      <c r="K83" s="234">
        <f>(1+INDEX('SC revenue'!H9:L9,1,MATCH(forecastyear,'SC revenue'!$H$5:$L$5,0)))/(1+INDEX('SC revenue'!H10:L10,1,MATCH(forecastyear,'SC revenue'!$H$5:$L$5,0)))-1</f>
        <v>-6.9560159287476164E-3</v>
      </c>
      <c r="L83" s="20"/>
      <c r="M83" s="9"/>
      <c r="N83" s="9"/>
      <c r="O83" s="9"/>
      <c r="P83" s="9"/>
      <c r="Q83" s="9"/>
      <c r="R83" s="9"/>
      <c r="S83" s="9"/>
      <c r="T83" s="9"/>
      <c r="U83" s="9"/>
    </row>
    <row r="84" spans="1:27" x14ac:dyDescent="0.2">
      <c r="A84" s="9"/>
      <c r="B84" s="9"/>
      <c r="C84" s="492" t="str">
        <f>Tariffs!C10</f>
        <v>Irrigation</v>
      </c>
      <c r="D84" s="600">
        <f>'SC revenue'!J30*outputsmultiplier</f>
        <v>7.7458591598476003</v>
      </c>
      <c r="E84" s="600">
        <f>'Rev. summary'!P10*outputsmultiplier</f>
        <v>7.8995566499676313</v>
      </c>
      <c r="F84" s="234">
        <f t="shared" si="3"/>
        <v>1.9842536114877518E-2</v>
      </c>
      <c r="G84" s="20"/>
      <c r="H84" s="516" t="str">
        <f>'SC revenue'!C13</f>
        <v>I factor</v>
      </c>
      <c r="I84" s="155"/>
      <c r="J84" s="155"/>
      <c r="K84" s="234">
        <f>INDEX(IF(sideconstraintmethod="Incremental",'SC revenue'!H13:L13,'SC revenue'!H19:L19),1,MATCH(forecastyear,'SC revenue'!$H$5:$L$5,0))</f>
        <v>0</v>
      </c>
      <c r="L84" s="20"/>
      <c r="M84" s="9"/>
      <c r="N84" s="9"/>
      <c r="O84" s="9"/>
      <c r="P84" s="9"/>
      <c r="Q84" s="9"/>
      <c r="R84" s="9"/>
      <c r="S84" s="9"/>
      <c r="T84" s="9"/>
      <c r="U84" s="9"/>
    </row>
    <row r="85" spans="1:27" x14ac:dyDescent="0.2">
      <c r="A85" s="9"/>
      <c r="B85" s="9"/>
      <c r="C85" s="492" t="str">
        <f>Tariffs!C11</f>
        <v>Large Business HV</v>
      </c>
      <c r="D85" s="600">
        <f>'SC revenue'!J31*outputsmultiplier</f>
        <v>7.5846577024876485</v>
      </c>
      <c r="E85" s="600">
        <f>'Rev. summary'!P11*outputsmultiplier</f>
        <v>7.5421503559610885</v>
      </c>
      <c r="F85" s="234">
        <f t="shared" si="3"/>
        <v>-5.6043856155325589E-3</v>
      </c>
      <c r="G85" s="20"/>
      <c r="H85" s="516" t="str">
        <f>'SC revenue'!C14</f>
        <v>C factor</v>
      </c>
      <c r="I85" s="155"/>
      <c r="J85" s="155"/>
      <c r="K85" s="234">
        <f>INDEX(IF(sideconstraintmethod="Incremental",'SC revenue'!H14:L14,'SC revenue'!H20:L20),1,MATCH(forecastyear,'SC revenue'!$H$5:$L$5,0))</f>
        <v>0</v>
      </c>
      <c r="L85" s="20"/>
      <c r="M85" s="9"/>
      <c r="N85" s="9"/>
      <c r="O85" s="9"/>
      <c r="P85" s="9"/>
      <c r="Q85" s="9"/>
      <c r="R85" s="9"/>
      <c r="S85" s="9"/>
      <c r="T85" s="9"/>
      <c r="U85" s="9"/>
    </row>
    <row r="86" spans="1:27" x14ac:dyDescent="0.2">
      <c r="A86" s="9"/>
      <c r="B86" s="9"/>
      <c r="C86" s="492" t="str">
        <f>Tariffs!C12</f>
        <v>Uncontrolled energy</v>
      </c>
      <c r="D86" s="600">
        <f>'SC revenue'!J32*outputsmultiplier</f>
        <v>36.427157011790648</v>
      </c>
      <c r="E86" s="600">
        <f>'Rev. summary'!P12*outputsmultiplier</f>
        <v>38.266316198077284</v>
      </c>
      <c r="F86" s="234">
        <f t="shared" si="3"/>
        <v>5.0488683091336028E-2</v>
      </c>
      <c r="G86" s="20"/>
      <c r="H86" s="516" t="str">
        <f>'SC revenue'!C15</f>
        <v>B factor</v>
      </c>
      <c r="I86" s="155"/>
      <c r="J86" s="155"/>
      <c r="K86" s="234">
        <f>INDEX(IF(sideconstraintmethod="Incremental",'SC revenue'!H15:L15,'SC revenue'!H21:L21),1,MATCH(forecastyear,'SC revenue'!$H$5:$L$5,0))</f>
        <v>-3.0860891115785331E-3</v>
      </c>
      <c r="L86" s="20"/>
      <c r="M86" s="9"/>
      <c r="N86" s="9"/>
      <c r="O86" s="9"/>
      <c r="P86" s="9"/>
      <c r="Q86" s="9"/>
      <c r="R86" s="9"/>
      <c r="S86" s="9"/>
      <c r="T86" s="9"/>
      <c r="U86" s="9"/>
    </row>
    <row r="87" spans="1:27" x14ac:dyDescent="0.2">
      <c r="A87" s="9"/>
      <c r="B87" s="9"/>
      <c r="C87" s="492" t="str">
        <f>Tariffs!C13</f>
        <v>Controlled energy</v>
      </c>
      <c r="D87" s="600">
        <f>'SC revenue'!J33*outputsmultiplier</f>
        <v>1.2582633124761378</v>
      </c>
      <c r="E87" s="600">
        <f>'Rev. summary'!P13*outputsmultiplier</f>
        <v>1.27983897711229</v>
      </c>
      <c r="F87" s="234">
        <f t="shared" si="3"/>
        <v>1.7147177718861872E-2</v>
      </c>
      <c r="G87" s="20"/>
      <c r="H87" s="516" t="s">
        <v>363</v>
      </c>
      <c r="I87" s="155"/>
      <c r="J87" s="155"/>
      <c r="K87" s="157">
        <v>0.02</v>
      </c>
      <c r="L87" s="20"/>
      <c r="M87" s="9"/>
      <c r="N87" s="9"/>
      <c r="O87" s="9"/>
      <c r="P87" s="9"/>
      <c r="Q87" s="9"/>
      <c r="R87" s="9"/>
      <c r="S87" s="9"/>
      <c r="T87" s="9"/>
      <c r="U87" s="9"/>
    </row>
    <row r="88" spans="1:27" x14ac:dyDescent="0.2">
      <c r="A88" s="9"/>
      <c r="B88" s="9"/>
      <c r="C88" s="492" t="str">
        <f>Tariffs!C14</f>
        <v>Unmetered supplies</v>
      </c>
      <c r="D88" s="600">
        <f>'SC revenue'!J34*outputsmultiplier</f>
        <v>0.89704047658678732</v>
      </c>
      <c r="E88" s="600">
        <f>'Rev. summary'!P14*outputsmultiplier</f>
        <v>0.89914586951200737</v>
      </c>
      <c r="F88" s="234">
        <f t="shared" si="3"/>
        <v>2.3470433945533831E-3</v>
      </c>
      <c r="G88" s="20"/>
      <c r="H88" s="517" t="str">
        <f>'SC revenue'!C16</f>
        <v>Permissable percentage</v>
      </c>
      <c r="I88" s="155"/>
      <c r="J88" s="155"/>
      <c r="K88" s="234">
        <f>INDEX(IF(sideconstraintmethod="Incremental",'SC revenue'!H16:L16,'SC revenue'!H22:L22),1,MATCH(forecastyear,'SC revenue'!$H$5:$L$5,0))</f>
        <v>5.3862858119005264E-2</v>
      </c>
      <c r="L88" s="20"/>
      <c r="M88" s="9"/>
      <c r="N88" s="9"/>
      <c r="O88" s="9"/>
      <c r="P88" s="9"/>
      <c r="Q88" s="9"/>
      <c r="R88" s="9"/>
      <c r="S88" s="9"/>
      <c r="T88" s="9"/>
      <c r="U88" s="9"/>
    </row>
    <row r="89" spans="1:27" x14ac:dyDescent="0.2">
      <c r="A89" s="9"/>
      <c r="B89" s="9"/>
      <c r="C89" s="492" t="str">
        <f>Tariffs!C15</f>
        <v>Street lighting</v>
      </c>
      <c r="D89" s="600">
        <f>'SC revenue'!J35*outputsmultiplier</f>
        <v>1.0988173733721671</v>
      </c>
      <c r="E89" s="600">
        <f>'Rev. summary'!P15*outputsmultiplier</f>
        <v>1.1120561369067714</v>
      </c>
      <c r="F89" s="234">
        <f t="shared" si="3"/>
        <v>1.2048192771084265E-2</v>
      </c>
      <c r="G89" s="20"/>
      <c r="H89" s="20"/>
      <c r="I89" s="20"/>
      <c r="J89" s="20"/>
      <c r="K89" s="20"/>
      <c r="L89" s="20"/>
      <c r="M89" s="9"/>
      <c r="N89" s="9"/>
      <c r="O89" s="9"/>
      <c r="P89" s="9"/>
      <c r="Q89" s="9"/>
      <c r="R89" s="9"/>
      <c r="S89" s="9"/>
      <c r="T89" s="9"/>
      <c r="U89" s="9"/>
    </row>
    <row r="90" spans="1:27" x14ac:dyDescent="0.2">
      <c r="A90" s="9"/>
      <c r="B90" s="9"/>
      <c r="C90" s="492" t="str">
        <f>Tariffs!C16</f>
        <v>ITC</v>
      </c>
      <c r="D90" s="600">
        <f>'SC revenue'!J36*outputsmultiplier</f>
        <v>2.2084127867498635</v>
      </c>
      <c r="E90" s="600">
        <f>'Rev. summary'!P16*outputsmultiplier</f>
        <v>2.1968218274795355</v>
      </c>
      <c r="F90" s="234">
        <f t="shared" si="3"/>
        <v>-5.2485474363633822E-3</v>
      </c>
      <c r="G90" s="20"/>
      <c r="H90" s="20"/>
      <c r="I90" s="20"/>
      <c r="J90" s="20"/>
      <c r="K90" s="20"/>
      <c r="L90" s="20"/>
      <c r="M90" s="9"/>
      <c r="N90" s="9"/>
      <c r="O90" s="9"/>
      <c r="P90" s="9"/>
      <c r="Q90" s="9"/>
      <c r="R90" s="9"/>
      <c r="S90" s="9"/>
      <c r="T90" s="9"/>
      <c r="U90" s="9"/>
    </row>
    <row r="91" spans="1:27" x14ac:dyDescent="0.2">
      <c r="A91" s="9"/>
      <c r="B91" s="9"/>
      <c r="C91" s="492">
        <f>Tariffs!C17</f>
        <v>0</v>
      </c>
      <c r="D91" s="600">
        <f>'SC revenue'!J37*outputsmultiplier</f>
        <v>0</v>
      </c>
      <c r="E91" s="600">
        <f>'Rev. summary'!P17*outputsmultiplier</f>
        <v>0</v>
      </c>
      <c r="F91" s="234">
        <f t="shared" si="3"/>
        <v>0</v>
      </c>
      <c r="G91" s="20"/>
      <c r="H91" s="20"/>
      <c r="I91" s="20"/>
      <c r="J91" s="20"/>
      <c r="K91" s="20"/>
      <c r="L91" s="20"/>
      <c r="M91" s="9"/>
      <c r="N91" s="9"/>
      <c r="O91" s="9"/>
      <c r="P91" s="9"/>
      <c r="Q91" s="9"/>
      <c r="R91" s="9"/>
      <c r="S91" s="9"/>
      <c r="T91" s="9"/>
      <c r="U91" s="9"/>
    </row>
    <row r="92" spans="1:27" x14ac:dyDescent="0.2">
      <c r="A92" s="9"/>
      <c r="B92" s="9"/>
      <c r="C92" s="515" t="s">
        <v>240</v>
      </c>
      <c r="D92" s="600">
        <f>'SC revenue'!J38*outputsmultiplier</f>
        <v>256.9752827103012</v>
      </c>
      <c r="E92" s="600">
        <f>'Rev. summary'!P18*outputsmultiplier</f>
        <v>255.81769292253571</v>
      </c>
      <c r="F92" s="234">
        <f>IFERROR(E92/D92-1,0)</f>
        <v>-4.5046736618263861E-3</v>
      </c>
      <c r="G92" s="20"/>
      <c r="H92" s="20"/>
      <c r="I92" s="20"/>
      <c r="J92" s="20"/>
      <c r="K92" s="20"/>
      <c r="L92" s="20"/>
      <c r="M92" s="9"/>
      <c r="N92" s="9"/>
      <c r="O92" s="9"/>
      <c r="P92" s="9"/>
      <c r="Q92" s="9"/>
      <c r="R92" s="9"/>
      <c r="S92" s="9"/>
      <c r="T92" s="9"/>
      <c r="U92" s="9"/>
    </row>
    <row r="93" spans="1:27" x14ac:dyDescent="0.2">
      <c r="A93" s="19"/>
      <c r="B93" s="19"/>
      <c r="C93" s="51"/>
      <c r="D93" s="20"/>
      <c r="E93" s="20"/>
      <c r="F93" s="20"/>
      <c r="G93" s="22"/>
      <c r="H93" s="22"/>
      <c r="I93" s="20"/>
      <c r="J93" s="20"/>
      <c r="K93" s="20"/>
      <c r="L93" s="20"/>
      <c r="M93" s="20"/>
      <c r="N93" s="19"/>
      <c r="O93" s="19"/>
      <c r="P93" s="19"/>
      <c r="Q93" s="19"/>
      <c r="R93" s="19"/>
      <c r="S93" s="19"/>
      <c r="T93" s="19"/>
    </row>
    <row r="94" spans="1:27" ht="12.75" x14ac:dyDescent="0.2">
      <c r="A94" s="11"/>
      <c r="B94" s="12" t="s">
        <v>364</v>
      </c>
      <c r="C94" s="11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54">
        <f>S3</f>
        <v>0</v>
      </c>
      <c r="T94" s="14"/>
      <c r="U94" s="15"/>
      <c r="V94" s="15"/>
      <c r="W94" s="15"/>
      <c r="X94" s="15"/>
      <c r="Y94" s="15"/>
      <c r="Z94" s="15"/>
      <c r="AA94" s="15"/>
    </row>
    <row r="95" spans="1:27" x14ac:dyDescent="0.2">
      <c r="A95" s="19"/>
      <c r="B95" s="19"/>
      <c r="C95" s="51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</row>
    <row r="96" spans="1:27" x14ac:dyDescent="0.2">
      <c r="A96" s="19"/>
      <c r="B96" s="19"/>
      <c r="C96" s="73" t="str">
        <f>"Standalone and avoidable cost thresholds ("&amp;saaunits&amp;")"</f>
        <v>Standalone and avoidable cost thresholds ($millions)</v>
      </c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</row>
    <row r="97" spans="1:27" ht="22.5" x14ac:dyDescent="0.2">
      <c r="A97" s="19"/>
      <c r="B97" s="19"/>
      <c r="C97" s="158" t="s">
        <v>199</v>
      </c>
      <c r="D97" s="58" t="s">
        <v>328</v>
      </c>
      <c r="E97" s="58" t="s">
        <v>365</v>
      </c>
      <c r="F97" s="58" t="s">
        <v>327</v>
      </c>
      <c r="G97" s="20"/>
      <c r="H97" s="20"/>
      <c r="I97" s="20"/>
      <c r="J97" s="20"/>
      <c r="K97" s="20"/>
      <c r="L97" s="20"/>
      <c r="M97" s="20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</row>
    <row r="98" spans="1:27" x14ac:dyDescent="0.2">
      <c r="A98" s="19"/>
      <c r="B98" s="19"/>
      <c r="C98" s="508" t="str">
        <f>Tariffs!C7</f>
        <v>Residential</v>
      </c>
      <c r="D98" s="306">
        <f>Compliance!L87</f>
        <v>9.1433716740301474</v>
      </c>
      <c r="E98" s="464">
        <f>Compliance!J87</f>
        <v>121.08100033978971</v>
      </c>
      <c r="F98" s="306">
        <f>Compliance!N87</f>
        <v>1105.1242542968989</v>
      </c>
      <c r="G98" s="22"/>
      <c r="H98" s="22"/>
      <c r="I98" s="20"/>
      <c r="J98" s="20"/>
      <c r="K98" s="94"/>
      <c r="L98" s="361"/>
      <c r="M98" s="94"/>
      <c r="N98" s="361"/>
      <c r="O98" s="94"/>
      <c r="P98" s="361"/>
      <c r="Q98" s="361"/>
      <c r="R98" s="361"/>
      <c r="S98" s="19"/>
      <c r="T98" s="19"/>
      <c r="U98" s="19"/>
      <c r="V98" s="19"/>
      <c r="W98" s="19"/>
      <c r="X98" s="19"/>
      <c r="Y98" s="19"/>
      <c r="Z98" s="19"/>
      <c r="AA98" s="19"/>
    </row>
    <row r="99" spans="1:27" x14ac:dyDescent="0.2">
      <c r="A99" s="19"/>
      <c r="B99" s="19"/>
      <c r="C99" s="508" t="str">
        <f>Tariffs!C8</f>
        <v>Small Business LV</v>
      </c>
      <c r="D99" s="306">
        <f>Compliance!L88</f>
        <v>3.3843366994141593</v>
      </c>
      <c r="E99" s="464">
        <f>Compliance!J88</f>
        <v>60.650901070362487</v>
      </c>
      <c r="F99" s="306">
        <f>Compliance!N88</f>
        <v>1318.5613958468566</v>
      </c>
      <c r="G99" s="22"/>
      <c r="H99" s="22"/>
      <c r="I99" s="20"/>
      <c r="J99" s="20"/>
      <c r="K99" s="94"/>
      <c r="L99" s="361"/>
      <c r="M99" s="94"/>
      <c r="N99" s="361"/>
      <c r="O99" s="94"/>
      <c r="P99" s="361"/>
      <c r="Q99" s="361"/>
      <c r="R99" s="361"/>
      <c r="S99" s="19"/>
      <c r="T99" s="19"/>
      <c r="U99" s="19"/>
      <c r="V99" s="19"/>
      <c r="W99" s="19"/>
      <c r="X99" s="19"/>
      <c r="Y99" s="19"/>
      <c r="Z99" s="19"/>
      <c r="AA99" s="19"/>
    </row>
    <row r="100" spans="1:27" x14ac:dyDescent="0.2">
      <c r="A100" s="19"/>
      <c r="B100" s="19"/>
      <c r="C100" s="508" t="str">
        <f>Tariffs!C9</f>
        <v>Large Business LV</v>
      </c>
      <c r="D100" s="306">
        <f>Compliance!L89</f>
        <v>1.2607189060080581</v>
      </c>
      <c r="E100" s="464">
        <f>Compliance!J89</f>
        <v>14.889905497366902</v>
      </c>
      <c r="F100" s="306">
        <f>Compliance!N89</f>
        <v>658.84924847972923</v>
      </c>
      <c r="G100" s="22"/>
      <c r="H100" s="22"/>
      <c r="I100" s="20"/>
      <c r="J100" s="20"/>
      <c r="K100" s="94"/>
      <c r="L100" s="361"/>
      <c r="M100" s="94"/>
      <c r="N100" s="361"/>
      <c r="O100" s="94"/>
      <c r="P100" s="361"/>
      <c r="Q100" s="361"/>
      <c r="R100" s="361"/>
      <c r="S100" s="19"/>
      <c r="T100" s="19"/>
      <c r="U100" s="19"/>
      <c r="V100" s="19"/>
      <c r="W100" s="19"/>
      <c r="X100" s="19"/>
      <c r="Y100" s="19"/>
      <c r="Z100" s="19"/>
      <c r="AA100" s="19"/>
    </row>
    <row r="101" spans="1:27" x14ac:dyDescent="0.2">
      <c r="A101" s="19"/>
      <c r="B101" s="19"/>
      <c r="C101" s="508" t="str">
        <f>Tariffs!C10</f>
        <v>Irrigation</v>
      </c>
      <c r="D101" s="306">
        <f>Compliance!L90</f>
        <v>0.58878228457118675</v>
      </c>
      <c r="E101" s="464">
        <f>Compliance!J90</f>
        <v>7.8995566499676313</v>
      </c>
      <c r="F101" s="306">
        <f>Compliance!N90</f>
        <v>219.78495880914491</v>
      </c>
      <c r="G101" s="22"/>
      <c r="H101" s="22"/>
      <c r="I101" s="20"/>
      <c r="J101" s="20"/>
      <c r="K101" s="94"/>
      <c r="L101" s="361"/>
      <c r="M101" s="94"/>
      <c r="N101" s="361"/>
      <c r="O101" s="94"/>
      <c r="P101" s="361"/>
      <c r="Q101" s="361"/>
      <c r="R101" s="361"/>
      <c r="S101" s="19"/>
      <c r="T101" s="19"/>
      <c r="U101" s="19"/>
      <c r="V101" s="19"/>
      <c r="W101" s="19"/>
      <c r="X101" s="19"/>
      <c r="Y101" s="19"/>
      <c r="Z101" s="19"/>
      <c r="AA101" s="19"/>
    </row>
    <row r="102" spans="1:27" x14ac:dyDescent="0.2">
      <c r="A102" s="19"/>
      <c r="B102" s="19"/>
      <c r="C102" s="508" t="str">
        <f>Tariffs!C11</f>
        <v>Large Business HV</v>
      </c>
      <c r="D102" s="306">
        <f>Compliance!L91</f>
        <v>0.43006785138810577</v>
      </c>
      <c r="E102" s="464">
        <f>Compliance!J91</f>
        <v>7.5421503559610885</v>
      </c>
      <c r="F102" s="306">
        <f>Compliance!N91</f>
        <v>658.01859742510931</v>
      </c>
      <c r="G102" s="22"/>
      <c r="H102" s="22"/>
      <c r="I102" s="20"/>
      <c r="J102" s="20"/>
      <c r="K102" s="94"/>
      <c r="L102" s="361"/>
      <c r="M102" s="94"/>
      <c r="N102" s="361"/>
      <c r="O102" s="94"/>
      <c r="P102" s="361"/>
      <c r="Q102" s="361"/>
      <c r="R102" s="361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1:27" x14ac:dyDescent="0.2">
      <c r="A103" s="19"/>
      <c r="B103" s="19"/>
      <c r="C103" s="508" t="str">
        <f>Tariffs!C12</f>
        <v>Uncontrolled energy</v>
      </c>
      <c r="D103" s="306">
        <f>Compliance!L92</f>
        <v>0</v>
      </c>
      <c r="E103" s="464">
        <f>Compliance!J92</f>
        <v>38.266316198077284</v>
      </c>
      <c r="F103" s="306">
        <f>Compliance!N92</f>
        <v>219.1961765245737</v>
      </c>
      <c r="G103" s="22"/>
      <c r="H103" s="22"/>
      <c r="I103" s="20"/>
      <c r="J103" s="20"/>
      <c r="K103" s="94"/>
      <c r="L103" s="361"/>
      <c r="M103" s="94"/>
      <c r="N103" s="361"/>
      <c r="O103" s="94"/>
      <c r="P103" s="361"/>
      <c r="Q103" s="361"/>
      <c r="R103" s="361"/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1:27" x14ac:dyDescent="0.2">
      <c r="A104" s="19"/>
      <c r="B104" s="19"/>
      <c r="C104" s="508" t="str">
        <f>Tariffs!C13</f>
        <v>Controlled energy</v>
      </c>
      <c r="D104" s="306">
        <f>Compliance!L93</f>
        <v>0</v>
      </c>
      <c r="E104" s="464">
        <f>Compliance!J93</f>
        <v>1.27983897711229</v>
      </c>
      <c r="F104" s="306">
        <f>Compliance!N93</f>
        <v>438.3923530491474</v>
      </c>
      <c r="G104" s="22"/>
      <c r="H104" s="22"/>
      <c r="I104" s="20"/>
      <c r="J104" s="20"/>
      <c r="K104" s="94"/>
      <c r="L104" s="361"/>
      <c r="M104" s="94"/>
      <c r="N104" s="361"/>
      <c r="O104" s="94"/>
      <c r="P104" s="361"/>
      <c r="Q104" s="361"/>
      <c r="R104" s="361"/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1:27" x14ac:dyDescent="0.2">
      <c r="A105" s="19"/>
      <c r="B105" s="19"/>
      <c r="C105" s="508" t="str">
        <f>Tariffs!C14</f>
        <v>Unmetered supplies</v>
      </c>
      <c r="D105" s="306">
        <f>Compliance!L94</f>
        <v>4.0789551640790143E-2</v>
      </c>
      <c r="E105" s="464">
        <f>Compliance!J94</f>
        <v>0.89914586951200737</v>
      </c>
      <c r="F105" s="306">
        <f>Compliance!N94</f>
        <v>219.23696607621449</v>
      </c>
      <c r="G105" s="22"/>
      <c r="H105" s="22"/>
      <c r="I105" s="20"/>
      <c r="J105" s="20"/>
      <c r="K105" s="94"/>
      <c r="L105" s="361"/>
      <c r="M105" s="94"/>
      <c r="N105" s="361"/>
      <c r="O105" s="94"/>
      <c r="P105" s="361"/>
      <c r="Q105" s="361"/>
      <c r="R105" s="361"/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1:27" x14ac:dyDescent="0.2">
      <c r="A106" s="19"/>
      <c r="B106" s="19"/>
      <c r="C106" s="508" t="str">
        <f>Tariffs!C15</f>
        <v>Street lighting</v>
      </c>
      <c r="D106" s="306">
        <f>Compliance!L95</f>
        <v>9.2016475227335054E-2</v>
      </c>
      <c r="E106" s="464">
        <f>Compliance!J95</f>
        <v>1.1120561369067714</v>
      </c>
      <c r="F106" s="306">
        <f>Compliance!N95</f>
        <v>219.28819299980103</v>
      </c>
      <c r="G106" s="22"/>
      <c r="H106" s="22"/>
      <c r="I106" s="20"/>
      <c r="J106" s="20"/>
      <c r="K106" s="94"/>
      <c r="L106" s="361"/>
      <c r="M106" s="94"/>
      <c r="N106" s="361"/>
      <c r="O106" s="94"/>
      <c r="P106" s="361"/>
      <c r="Q106" s="361"/>
      <c r="R106" s="361"/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1:27" x14ac:dyDescent="0.2">
      <c r="A107" s="19"/>
      <c r="B107" s="19"/>
      <c r="C107" s="508" t="str">
        <f>Tariffs!C16</f>
        <v>ITC</v>
      </c>
      <c r="D107" s="306">
        <f>Compliance!L96</f>
        <v>4.1176381864158437E-2</v>
      </c>
      <c r="E107" s="464">
        <f>Compliance!J96</f>
        <v>2.1968218274795355</v>
      </c>
      <c r="F107" s="306">
        <f>Compliance!N96</f>
        <v>219.23735290643788</v>
      </c>
      <c r="G107" s="22"/>
      <c r="H107" s="22"/>
      <c r="I107" s="20"/>
      <c r="J107" s="20"/>
      <c r="K107" s="94"/>
      <c r="L107" s="361"/>
      <c r="M107" s="94"/>
      <c r="N107" s="361"/>
      <c r="O107" s="94"/>
      <c r="P107" s="361"/>
      <c r="Q107" s="361"/>
      <c r="R107" s="361"/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1:27" x14ac:dyDescent="0.2">
      <c r="A108" s="19"/>
      <c r="B108" s="19"/>
      <c r="C108" s="508">
        <f>Tariffs!C17</f>
        <v>0</v>
      </c>
      <c r="D108" s="306">
        <f>Compliance!L97</f>
        <v>0</v>
      </c>
      <c r="E108" s="464">
        <f>Compliance!J97</f>
        <v>0</v>
      </c>
      <c r="F108" s="306">
        <f>Compliance!N97</f>
        <v>0</v>
      </c>
      <c r="G108" s="22"/>
      <c r="H108" s="22"/>
      <c r="I108" s="20"/>
      <c r="J108" s="20"/>
      <c r="K108" s="94"/>
      <c r="L108" s="361"/>
      <c r="M108" s="94"/>
      <c r="N108" s="361"/>
      <c r="O108" s="94"/>
      <c r="P108" s="361"/>
      <c r="Q108" s="361"/>
      <c r="R108" s="361"/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1:27" x14ac:dyDescent="0.2">
      <c r="A109" s="19"/>
      <c r="B109" s="19"/>
      <c r="C109" s="51"/>
      <c r="D109" s="20"/>
      <c r="E109" s="20"/>
      <c r="F109" s="20"/>
      <c r="G109" s="22"/>
      <c r="H109" s="22"/>
      <c r="I109" s="20"/>
      <c r="J109" s="20"/>
      <c r="K109" s="20"/>
      <c r="L109" s="20"/>
      <c r="M109" s="20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1:27" ht="12.75" x14ac:dyDescent="0.2">
      <c r="A110" s="11"/>
      <c r="B110" s="12" t="s">
        <v>366</v>
      </c>
      <c r="C110" s="11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54">
        <f>S18</f>
        <v>0</v>
      </c>
      <c r="T110" s="14"/>
      <c r="U110" s="15"/>
      <c r="V110" s="15"/>
      <c r="W110" s="15"/>
      <c r="X110" s="15"/>
      <c r="Y110" s="15"/>
      <c r="Z110" s="15"/>
      <c r="AA110" s="15"/>
    </row>
    <row r="111" spans="1:27" x14ac:dyDescent="0.2">
      <c r="A111" s="19"/>
      <c r="B111" s="19"/>
      <c r="C111" s="51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1:27" x14ac:dyDescent="0.2">
      <c r="A112" s="19"/>
      <c r="B112" s="19"/>
      <c r="C112" s="82" t="str">
        <f>"Total energy consumption ("&amp;consoutputs&amp;")"</f>
        <v>Total energy consumption (GWh)</v>
      </c>
      <c r="D112" s="20"/>
      <c r="E112" s="20"/>
      <c r="F112" s="20"/>
      <c r="G112" s="20"/>
      <c r="H112" s="82" t="str">
        <f>"Energy consumption, net of exports ("&amp;consoutputs&amp;")"</f>
        <v>Energy consumption, net of exports (GWh)</v>
      </c>
      <c r="I112" s="20"/>
      <c r="J112" s="20"/>
      <c r="K112" s="20"/>
      <c r="L112" s="20"/>
      <c r="M112" s="20"/>
      <c r="N112" s="20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1:27" ht="22.5" x14ac:dyDescent="0.2">
      <c r="A113" s="19"/>
      <c r="B113" s="19"/>
      <c r="C113" s="158" t="s">
        <v>199</v>
      </c>
      <c r="D113" s="58" t="str">
        <f>previousyear&amp;" actual"</f>
        <v>2020–21 actual</v>
      </c>
      <c r="E113" s="58" t="str">
        <f>currentyear&amp;" estimate"</f>
        <v>2021–22 estimate</v>
      </c>
      <c r="F113" s="58" t="str">
        <f>forecastyear&amp;" forecast"</f>
        <v>2022–23 forecast</v>
      </c>
      <c r="G113" s="20"/>
      <c r="H113" s="158" t="s">
        <v>199</v>
      </c>
      <c r="I113" s="20"/>
      <c r="J113" s="20"/>
      <c r="K113" s="20"/>
      <c r="L113" s="58" t="str">
        <f>previousyear&amp;" actual"</f>
        <v>2020–21 actual</v>
      </c>
      <c r="M113" s="58" t="str">
        <f>currentyear&amp;" estimate"</f>
        <v>2021–22 estimate</v>
      </c>
      <c r="N113" s="58" t="str">
        <f>forecastyear&amp;" forecast"</f>
        <v>2022–23 forecast</v>
      </c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1:27" x14ac:dyDescent="0.2">
      <c r="A114" s="19"/>
      <c r="B114" s="19"/>
      <c r="C114" s="508" t="str">
        <f>Tariffs!C7</f>
        <v>Residential</v>
      </c>
      <c r="D114" s="306">
        <f>'Total qty'!O36</f>
        <v>1123.1444957149988</v>
      </c>
      <c r="E114" s="464">
        <f>'Total qty'!O22</f>
        <v>1167.0413268132045</v>
      </c>
      <c r="F114" s="306">
        <f>'Total qty'!O8</f>
        <v>1213.1052710818817</v>
      </c>
      <c r="G114" s="22"/>
      <c r="H114" s="523" t="str">
        <f>Tariffs!C7</f>
        <v>Residential</v>
      </c>
      <c r="I114" s="159"/>
      <c r="J114" s="159"/>
      <c r="K114" s="465"/>
      <c r="L114" s="306">
        <f>'Total qty'!R36</f>
        <v>1123.1444957149988</v>
      </c>
      <c r="M114" s="464">
        <f>'Total qty'!R22</f>
        <v>1167.0413268132045</v>
      </c>
      <c r="N114" s="306">
        <f>'Total qty'!R8</f>
        <v>1213.1052710818817</v>
      </c>
      <c r="O114" s="94"/>
      <c r="P114" s="361"/>
      <c r="Q114" s="361"/>
      <c r="R114" s="361"/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1:27" x14ac:dyDescent="0.2">
      <c r="A115" s="19"/>
      <c r="B115" s="19"/>
      <c r="C115" s="508" t="str">
        <f>Tariffs!C8</f>
        <v>Small Business LV</v>
      </c>
      <c r="D115" s="306">
        <f>'Total qty'!O37</f>
        <v>703.49219196899992</v>
      </c>
      <c r="E115" s="464">
        <f>'Total qty'!O23</f>
        <v>903.08309466944593</v>
      </c>
      <c r="F115" s="306">
        <f>'Total qty'!O9</f>
        <v>921.46371476914805</v>
      </c>
      <c r="G115" s="22"/>
      <c r="H115" s="523" t="str">
        <f>Tariffs!C8</f>
        <v>Small Business LV</v>
      </c>
      <c r="I115" s="159"/>
      <c r="J115" s="159"/>
      <c r="K115" s="465"/>
      <c r="L115" s="306">
        <f>'Total qty'!R37</f>
        <v>703.49219196899992</v>
      </c>
      <c r="M115" s="464">
        <f>'Total qty'!R23</f>
        <v>903.08309466944593</v>
      </c>
      <c r="N115" s="306">
        <f>'Total qty'!R9</f>
        <v>921.46371476914805</v>
      </c>
      <c r="O115" s="94"/>
      <c r="P115" s="361"/>
      <c r="Q115" s="361"/>
      <c r="R115" s="361"/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1:27" x14ac:dyDescent="0.2">
      <c r="A116" s="19"/>
      <c r="B116" s="19"/>
      <c r="C116" s="508" t="str">
        <f>Tariffs!C9</f>
        <v>Large Business LV</v>
      </c>
      <c r="D116" s="306">
        <f>'Total qty'!O38</f>
        <v>0</v>
      </c>
      <c r="E116" s="464">
        <f>'Total qty'!O24</f>
        <v>454.90171920561403</v>
      </c>
      <c r="F116" s="306">
        <f>'Total qty'!O10</f>
        <v>446.66575577670125</v>
      </c>
      <c r="G116" s="22"/>
      <c r="H116" s="523" t="str">
        <f>Tariffs!C9</f>
        <v>Large Business LV</v>
      </c>
      <c r="I116" s="159"/>
      <c r="J116" s="159"/>
      <c r="K116" s="465"/>
      <c r="L116" s="306">
        <f>'Total qty'!R38</f>
        <v>0</v>
      </c>
      <c r="M116" s="464">
        <f>'Total qty'!R24</f>
        <v>454.90171920561403</v>
      </c>
      <c r="N116" s="306">
        <f>'Total qty'!R10</f>
        <v>446.66575577670125</v>
      </c>
      <c r="O116" s="94"/>
      <c r="P116" s="361"/>
      <c r="Q116" s="361"/>
      <c r="R116" s="361"/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1:27" x14ac:dyDescent="0.2">
      <c r="A117" s="19"/>
      <c r="B117" s="19"/>
      <c r="C117" s="508" t="str">
        <f>Tariffs!C10</f>
        <v>Irrigation</v>
      </c>
      <c r="D117" s="306">
        <f>'Total qty'!O39</f>
        <v>125.06525152999997</v>
      </c>
      <c r="E117" s="464">
        <f>'Total qty'!O25</f>
        <v>134.25447670520001</v>
      </c>
      <c r="F117" s="306">
        <f>'Total qty'!O11</f>
        <v>153.53674261562728</v>
      </c>
      <c r="G117" s="22"/>
      <c r="H117" s="523" t="str">
        <f>Tariffs!C10</f>
        <v>Irrigation</v>
      </c>
      <c r="I117" s="159"/>
      <c r="J117" s="159"/>
      <c r="K117" s="465"/>
      <c r="L117" s="306">
        <f>'Total qty'!R39</f>
        <v>125.06525152999997</v>
      </c>
      <c r="M117" s="464">
        <f>'Total qty'!R25</f>
        <v>134.25447670520001</v>
      </c>
      <c r="N117" s="306">
        <f>'Total qty'!R11</f>
        <v>153.53674261562728</v>
      </c>
      <c r="O117" s="94"/>
      <c r="P117" s="361"/>
      <c r="Q117" s="361"/>
      <c r="R117" s="361"/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1:27" x14ac:dyDescent="0.2">
      <c r="A118" s="19"/>
      <c r="B118" s="19"/>
      <c r="C118" s="508" t="str">
        <f>Tariffs!C11</f>
        <v>Large Business HV</v>
      </c>
      <c r="D118" s="306">
        <f>'Total qty'!O40</f>
        <v>503.19892272499999</v>
      </c>
      <c r="E118" s="464">
        <f>'Total qty'!O26</f>
        <v>527.33517753512376</v>
      </c>
      <c r="F118" s="306">
        <f>'Total qty'!O12</f>
        <v>518.77096237019748</v>
      </c>
      <c r="G118" s="22"/>
      <c r="H118" s="523" t="str">
        <f>Tariffs!C11</f>
        <v>Large Business HV</v>
      </c>
      <c r="I118" s="159"/>
      <c r="J118" s="159"/>
      <c r="K118" s="465"/>
      <c r="L118" s="306">
        <f>'Total qty'!R40</f>
        <v>503.19892272499999</v>
      </c>
      <c r="M118" s="464">
        <f>'Total qty'!R26</f>
        <v>527.33517753512376</v>
      </c>
      <c r="N118" s="306">
        <f>'Total qty'!R12</f>
        <v>518.77096237019748</v>
      </c>
      <c r="O118" s="94"/>
      <c r="P118" s="361"/>
      <c r="Q118" s="361"/>
      <c r="R118" s="361"/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1:27" x14ac:dyDescent="0.2">
      <c r="A119" s="19"/>
      <c r="B119" s="19"/>
      <c r="C119" s="508" t="str">
        <f>Tariffs!C12</f>
        <v>Uncontrolled energy</v>
      </c>
      <c r="D119" s="306">
        <f>'Total qty'!O41</f>
        <v>994.9700362320001</v>
      </c>
      <c r="E119" s="464">
        <f>'Total qty'!O27</f>
        <v>896.87328040335819</v>
      </c>
      <c r="F119" s="306">
        <f>'Total qty'!O13</f>
        <v>866.70779670236607</v>
      </c>
      <c r="G119" s="22"/>
      <c r="H119" s="523" t="str">
        <f>Tariffs!C12</f>
        <v>Uncontrolled energy</v>
      </c>
      <c r="I119" s="159"/>
      <c r="J119" s="159"/>
      <c r="K119" s="465"/>
      <c r="L119" s="306">
        <f>'Total qty'!R41</f>
        <v>994.9700362320001</v>
      </c>
      <c r="M119" s="464">
        <f>'Total qty'!R27</f>
        <v>896.87328040335819</v>
      </c>
      <c r="N119" s="306">
        <f>'Total qty'!R13</f>
        <v>866.70779670236607</v>
      </c>
      <c r="O119" s="94"/>
      <c r="P119" s="361"/>
      <c r="Q119" s="361"/>
      <c r="R119" s="361"/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1:27" x14ac:dyDescent="0.2">
      <c r="A120" s="19"/>
      <c r="B120" s="19"/>
      <c r="C120" s="508" t="str">
        <f>Tariffs!C13</f>
        <v>Controlled energy</v>
      </c>
      <c r="D120" s="306">
        <f>'Total qty'!O42</f>
        <v>39.181717529000004</v>
      </c>
      <c r="E120" s="464">
        <f>'Total qty'!O28</f>
        <v>35.710994277585499</v>
      </c>
      <c r="F120" s="306">
        <f>'Total qty'!O14</f>
        <v>35.567730272019105</v>
      </c>
      <c r="G120" s="22"/>
      <c r="H120" s="523" t="str">
        <f>Tariffs!C13</f>
        <v>Controlled energy</v>
      </c>
      <c r="I120" s="159"/>
      <c r="J120" s="159"/>
      <c r="K120" s="465"/>
      <c r="L120" s="306">
        <f>'Total qty'!R42</f>
        <v>39.181717529000004</v>
      </c>
      <c r="M120" s="464">
        <f>'Total qty'!R28</f>
        <v>35.710994277585499</v>
      </c>
      <c r="N120" s="306">
        <f>'Total qty'!R14</f>
        <v>35.567730272019105</v>
      </c>
      <c r="O120" s="94"/>
      <c r="P120" s="361"/>
      <c r="Q120" s="361"/>
      <c r="R120" s="361"/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1:27" x14ac:dyDescent="0.2">
      <c r="A121" s="19"/>
      <c r="B121" s="19"/>
      <c r="C121" s="508" t="str">
        <f>Tariffs!C14</f>
        <v>Unmetered supplies</v>
      </c>
      <c r="D121" s="306">
        <f>'Total qty'!O43</f>
        <v>7.0839318629999983</v>
      </c>
      <c r="E121" s="464">
        <f>'Total qty'!O29</f>
        <v>7.0871027519397698</v>
      </c>
      <c r="F121" s="306">
        <f>'Total qty'!O15</f>
        <v>6.9343071820168589</v>
      </c>
      <c r="G121" s="22"/>
      <c r="H121" s="523" t="str">
        <f>Tariffs!C14</f>
        <v>Unmetered supplies</v>
      </c>
      <c r="I121" s="159"/>
      <c r="J121" s="159"/>
      <c r="K121" s="465"/>
      <c r="L121" s="306">
        <f>'Total qty'!R43</f>
        <v>7.0839318629999983</v>
      </c>
      <c r="M121" s="464">
        <f>'Total qty'!R29</f>
        <v>7.0871027519397698</v>
      </c>
      <c r="N121" s="306">
        <f>'Total qty'!R15</f>
        <v>6.9343071820168589</v>
      </c>
      <c r="O121" s="94"/>
      <c r="P121" s="361"/>
      <c r="Q121" s="361"/>
      <c r="R121" s="361"/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1:27" x14ac:dyDescent="0.2">
      <c r="A122" s="19"/>
      <c r="B122" s="19"/>
      <c r="C122" s="508" t="str">
        <f>Tariffs!C15</f>
        <v>Street lighting</v>
      </c>
      <c r="D122" s="306">
        <f>'Total qty'!O44</f>
        <v>0</v>
      </c>
      <c r="E122" s="464">
        <f>'Total qty'!O30</f>
        <v>0</v>
      </c>
      <c r="F122" s="306">
        <f>'Total qty'!O16</f>
        <v>0</v>
      </c>
      <c r="G122" s="22"/>
      <c r="H122" s="523" t="str">
        <f>Tariffs!C15</f>
        <v>Street lighting</v>
      </c>
      <c r="I122" s="159"/>
      <c r="J122" s="159"/>
      <c r="K122" s="465"/>
      <c r="L122" s="306">
        <f>'Total qty'!R44</f>
        <v>0</v>
      </c>
      <c r="M122" s="464">
        <f>'Total qty'!R30</f>
        <v>0</v>
      </c>
      <c r="N122" s="306">
        <f>'Total qty'!R16</f>
        <v>0</v>
      </c>
      <c r="O122" s="94"/>
      <c r="P122" s="361"/>
      <c r="Q122" s="361"/>
      <c r="R122" s="361"/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1:27" x14ac:dyDescent="0.2">
      <c r="A123" s="19"/>
      <c r="B123" s="19"/>
      <c r="C123" s="508" t="str">
        <f>Tariffs!C16</f>
        <v>ITC</v>
      </c>
      <c r="D123" s="306">
        <f>'Total qty'!O45</f>
        <v>368.15371555900003</v>
      </c>
      <c r="E123" s="464">
        <f>'Total qty'!O31</f>
        <v>400.21924879759177</v>
      </c>
      <c r="F123" s="306">
        <f>'Total qty'!O17</f>
        <v>400.87148715450735</v>
      </c>
      <c r="G123" s="22"/>
      <c r="H123" s="523" t="str">
        <f>Tariffs!C16</f>
        <v>ITC</v>
      </c>
      <c r="I123" s="159"/>
      <c r="J123" s="159"/>
      <c r="K123" s="465"/>
      <c r="L123" s="306">
        <f>'Total qty'!R45</f>
        <v>368.15371555900003</v>
      </c>
      <c r="M123" s="464">
        <f>'Total qty'!R31</f>
        <v>400.21924879759177</v>
      </c>
      <c r="N123" s="306">
        <f>'Total qty'!R17</f>
        <v>400.87148715450735</v>
      </c>
      <c r="O123" s="94"/>
      <c r="P123" s="361"/>
      <c r="Q123" s="361"/>
      <c r="R123" s="361"/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1:27" x14ac:dyDescent="0.2">
      <c r="A124" s="19"/>
      <c r="B124" s="19"/>
      <c r="C124" s="508">
        <f>Tariffs!C17</f>
        <v>0</v>
      </c>
      <c r="D124" s="306">
        <f>'Total qty'!O46</f>
        <v>0</v>
      </c>
      <c r="E124" s="464">
        <f>'Total qty'!O32</f>
        <v>0</v>
      </c>
      <c r="F124" s="306">
        <f>'Total qty'!O18</f>
        <v>0</v>
      </c>
      <c r="G124" s="22"/>
      <c r="H124" s="523">
        <f>Tariffs!C17</f>
        <v>0</v>
      </c>
      <c r="I124" s="159"/>
      <c r="J124" s="159"/>
      <c r="K124" s="465"/>
      <c r="L124" s="306">
        <f>'Total qty'!R46</f>
        <v>0</v>
      </c>
      <c r="M124" s="464">
        <f>'Total qty'!R32</f>
        <v>0</v>
      </c>
      <c r="N124" s="306">
        <f>'Total qty'!R18</f>
        <v>0</v>
      </c>
      <c r="O124" s="94"/>
      <c r="P124" s="361"/>
      <c r="Q124" s="361"/>
      <c r="R124" s="361"/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1:27" x14ac:dyDescent="0.2">
      <c r="A125" s="19"/>
      <c r="B125" s="19"/>
      <c r="C125" s="520" t="s">
        <v>240</v>
      </c>
      <c r="D125" s="306">
        <f>'Total qty'!O47</f>
        <v>3864.2902631219986</v>
      </c>
      <c r="E125" s="464">
        <f>'Total qty'!O33</f>
        <v>4526.5064211590625</v>
      </c>
      <c r="F125" s="306">
        <f>'Total qty'!O19</f>
        <v>4563.6237679244641</v>
      </c>
      <c r="G125" s="22"/>
      <c r="H125" s="517" t="s">
        <v>240</v>
      </c>
      <c r="I125" s="159"/>
      <c r="J125" s="159"/>
      <c r="K125" s="465"/>
      <c r="L125" s="306">
        <f>'Total qty'!R47</f>
        <v>3864.2902631219986</v>
      </c>
      <c r="M125" s="464">
        <f>'Total qty'!R33</f>
        <v>4526.5064211590625</v>
      </c>
      <c r="N125" s="306">
        <f>'Total qty'!R19</f>
        <v>4563.6237679244641</v>
      </c>
      <c r="O125" s="94"/>
      <c r="P125" s="361"/>
      <c r="Q125" s="361"/>
      <c r="R125" s="361"/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1:27" x14ac:dyDescent="0.2">
      <c r="A126" s="19"/>
      <c r="B126" s="19"/>
      <c r="C126" s="514"/>
      <c r="D126" s="374"/>
      <c r="E126" s="466"/>
      <c r="F126" s="374"/>
      <c r="G126" s="22"/>
      <c r="H126" s="514"/>
      <c r="I126" s="20"/>
      <c r="J126" s="20"/>
      <c r="K126" s="94"/>
      <c r="L126" s="374"/>
      <c r="M126" s="466"/>
      <c r="N126" s="374"/>
      <c r="O126" s="94"/>
      <c r="P126" s="361"/>
      <c r="Q126" s="361"/>
      <c r="R126" s="361"/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1:27" x14ac:dyDescent="0.2">
      <c r="A127" s="19"/>
      <c r="B127" s="19"/>
      <c r="C127" s="492" t="s">
        <v>216</v>
      </c>
      <c r="D127" s="306">
        <f>SUMIF(Tariffs!$O$46:$O$120,"Residential",'Total qty'!$O$209:$O$283)</f>
        <v>1123.1444957149988</v>
      </c>
      <c r="E127" s="306">
        <f>SUMIF(Tariffs!$O$46:$O$120,"Residential",'Total qty'!$O$131:$O$205)</f>
        <v>1167.0413268132047</v>
      </c>
      <c r="F127" s="306">
        <f>SUMIF(Tariffs!$O$46:$O$120,"Residential",'Total qty'!$O$53:$O$127)</f>
        <v>1213.1052710818817</v>
      </c>
      <c r="G127" s="20"/>
      <c r="H127" s="516" t="str">
        <f>C127</f>
        <v>Residential</v>
      </c>
      <c r="I127" s="159"/>
      <c r="J127" s="159"/>
      <c r="K127" s="465"/>
      <c r="L127" s="306">
        <f>SUMIF(Tariffs!$O$46:$O$120,"Residential",'Total qty'!$R$209:$R$283)</f>
        <v>1123.1444957149988</v>
      </c>
      <c r="M127" s="306">
        <f>SUMIF(Tariffs!$O$46:$O$120,"Residential",'Total qty'!$R$131:$R$205)</f>
        <v>1167.0413268132047</v>
      </c>
      <c r="N127" s="306">
        <f>SUMIF(Tariffs!$O$46:$O$120,"Residential",'Total qty'!$R$53:$R$127)</f>
        <v>1213.1052710818817</v>
      </c>
      <c r="O127" s="94"/>
      <c r="P127" s="361"/>
      <c r="Q127" s="361"/>
      <c r="R127" s="361"/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1:27" x14ac:dyDescent="0.2">
      <c r="A128" s="19"/>
      <c r="B128" s="19"/>
      <c r="C128" s="492" t="s">
        <v>217</v>
      </c>
      <c r="D128" s="306">
        <f>SUMIF(Tariffs!$O$46:$O$120,"Small business",'Total qty'!$O$209:$O$283)</f>
        <v>703.49219196900003</v>
      </c>
      <c r="E128" s="306">
        <f>SUMIF(Tariffs!$O$46:$O$120,"Small business",'Total qty'!$O$131:$O$205)</f>
        <v>903.0830946694457</v>
      </c>
      <c r="F128" s="306">
        <f>SUMIF(Tariffs!$O$46:$O$120,"Small business",'Total qty'!$O$53:$O$127)</f>
        <v>921.46371476914805</v>
      </c>
      <c r="G128" s="20"/>
      <c r="H128" s="516" t="str">
        <f>C128</f>
        <v>Small business</v>
      </c>
      <c r="I128" s="159"/>
      <c r="J128" s="159"/>
      <c r="K128" s="465"/>
      <c r="L128" s="306">
        <f>SUMIF(Tariffs!$O$46:$O$120,"Small business",'Total qty'!$R$209:$R$283)</f>
        <v>703.49219196900003</v>
      </c>
      <c r="M128" s="306">
        <f>SUMIF(Tariffs!$O$46:$O$120,"Small business",'Total qty'!$R$131:$R$205)</f>
        <v>903.0830946694457</v>
      </c>
      <c r="N128" s="306">
        <f>SUMIF(Tariffs!$O$46:$O$120,"Small business",'Total qty'!$R$53:$R$127)</f>
        <v>921.46371476914805</v>
      </c>
      <c r="O128" s="94"/>
      <c r="P128" s="361"/>
      <c r="Q128" s="361"/>
      <c r="R128" s="361"/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1:27" x14ac:dyDescent="0.2">
      <c r="A129" s="19"/>
      <c r="B129" s="19"/>
      <c r="C129" s="521" t="s">
        <v>367</v>
      </c>
      <c r="D129" s="306">
        <f>SUM(D127:D128)</f>
        <v>1826.6366876839988</v>
      </c>
      <c r="E129" s="306">
        <f>SUM(E127:E128)</f>
        <v>2070.1244214826502</v>
      </c>
      <c r="F129" s="306">
        <f>SUM(F127:F128)</f>
        <v>2134.5689858510295</v>
      </c>
      <c r="G129" s="22"/>
      <c r="H129" s="522" t="str">
        <f>C129</f>
        <v>Total small customer</v>
      </c>
      <c r="I129" s="159"/>
      <c r="J129" s="159"/>
      <c r="K129" s="465"/>
      <c r="L129" s="306">
        <f>SUM(L127:L128)</f>
        <v>1826.6366876839988</v>
      </c>
      <c r="M129" s="306">
        <f>SUM(M127:M128)</f>
        <v>2070.1244214826502</v>
      </c>
      <c r="N129" s="306">
        <f>SUM(N127:N128)</f>
        <v>2134.5689858510295</v>
      </c>
      <c r="O129" s="94"/>
      <c r="P129" s="361"/>
      <c r="Q129" s="361"/>
      <c r="R129" s="361"/>
      <c r="S129" s="19"/>
      <c r="T129" s="19"/>
      <c r="U129" s="19"/>
      <c r="V129" s="19"/>
      <c r="W129" s="19"/>
      <c r="X129" s="19"/>
      <c r="Y129" s="19"/>
      <c r="Z129" s="19"/>
      <c r="AA129" s="19"/>
    </row>
    <row r="130" spans="1:27" x14ac:dyDescent="0.2">
      <c r="A130" s="19"/>
      <c r="B130" s="19"/>
      <c r="C130" s="51"/>
      <c r="D130" s="20"/>
      <c r="E130" s="20"/>
      <c r="F130" s="20"/>
      <c r="G130" s="22"/>
      <c r="H130" s="22"/>
      <c r="I130" s="20"/>
      <c r="J130" s="20"/>
      <c r="K130" s="20"/>
      <c r="L130" s="20"/>
      <c r="M130" s="20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</row>
    <row r="131" spans="1:27" ht="12.75" x14ac:dyDescent="0.2">
      <c r="A131" s="11"/>
      <c r="B131" s="12" t="s">
        <v>8</v>
      </c>
      <c r="C131" s="11"/>
      <c r="D131" s="11"/>
      <c r="E131" s="11"/>
      <c r="F131" s="13"/>
      <c r="G131" s="13"/>
      <c r="H131" s="13"/>
      <c r="I131" s="13"/>
      <c r="J131" s="13"/>
      <c r="K131" s="13"/>
      <c r="L131" s="13"/>
      <c r="M131" s="13"/>
      <c r="N131" s="14"/>
      <c r="O131" s="15"/>
      <c r="P131" s="15"/>
      <c r="Q131" s="15"/>
      <c r="R131" s="15"/>
      <c r="S131" s="15"/>
      <c r="T131" s="15"/>
    </row>
  </sheetData>
  <sheetProtection formatColumns="0" formatRows="0"/>
  <hyperlinks>
    <hyperlink ref="G1" location="'Pricing model'!A51" display="Back to Index" xr:uid="{00000000-0004-0000-05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2">
    <tabColor theme="7" tint="0.79998168889431442"/>
  </sheetPr>
  <dimension ref="A1:AC138"/>
  <sheetViews>
    <sheetView showGridLines="0" zoomScaleNormal="100" workbookViewId="0">
      <selection activeCell="I13" sqref="I13"/>
    </sheetView>
  </sheetViews>
  <sheetFormatPr defaultColWidth="0" defaultRowHeight="11.25" zeroHeight="1" outlineLevelRow="2" x14ac:dyDescent="0.2"/>
  <cols>
    <col min="1" max="2" width="1.42578125" style="18" customWidth="1"/>
    <col min="3" max="3" width="45.28515625" style="18" customWidth="1"/>
    <col min="4" max="11" width="11.85546875" style="18" customWidth="1"/>
    <col min="12" max="15" width="11.85546875" style="18" hidden="1" customWidth="1"/>
    <col min="16" max="19" width="11.85546875" style="18" customWidth="1"/>
    <col min="20" max="20" width="9.28515625" style="18" customWidth="1"/>
    <col min="21" max="22" width="3.85546875" style="18" customWidth="1"/>
    <col min="23" max="16384" width="8" style="18" hidden="1"/>
  </cols>
  <sheetData>
    <row r="1" spans="1:29" ht="15.75" x14ac:dyDescent="0.25">
      <c r="A1" s="1"/>
      <c r="B1" s="2" t="str">
        <f>'Outputs&gt;&gt;'!B1</f>
        <v>AER pricing model - TasNetworks 2022–23</v>
      </c>
      <c r="C1" s="2"/>
      <c r="D1" s="2"/>
      <c r="E1" s="2"/>
      <c r="F1" s="3"/>
      <c r="G1" s="160" t="s">
        <v>0</v>
      </c>
      <c r="H1" s="3"/>
      <c r="I1" s="3"/>
      <c r="J1" s="4"/>
      <c r="K1" s="1"/>
      <c r="L1" s="1"/>
      <c r="M1" s="1"/>
      <c r="N1" s="1"/>
      <c r="O1" s="1"/>
      <c r="P1" s="111"/>
      <c r="Q1" s="112"/>
      <c r="R1" s="112"/>
      <c r="S1" s="112"/>
      <c r="T1" s="112"/>
      <c r="U1" s="113"/>
      <c r="V1" s="1"/>
    </row>
    <row r="2" spans="1:29" ht="13.5" thickBot="1" x14ac:dyDescent="0.25">
      <c r="A2" s="6"/>
      <c r="B2" s="7" t="str">
        <f>'Outputs&gt;&gt;'!C11</f>
        <v>Cost movements</v>
      </c>
      <c r="C2" s="7"/>
      <c r="D2" s="7"/>
      <c r="E2" s="7"/>
      <c r="F2" s="8"/>
      <c r="G2" s="8"/>
      <c r="H2" s="8"/>
      <c r="I2" s="8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9" x14ac:dyDescent="0.2">
      <c r="A3" s="27"/>
      <c r="B3" s="296" t="str">
        <f>'Outputs&gt;&gt;'!D11</f>
        <v>Provides cost movements summaries</v>
      </c>
      <c r="C3" s="27"/>
      <c r="D3" s="28"/>
      <c r="E3" s="28"/>
      <c r="F3" s="28"/>
      <c r="G3" s="28"/>
      <c r="H3" s="28"/>
      <c r="I3" s="28"/>
      <c r="J3" s="29"/>
      <c r="K3" s="30"/>
      <c r="L3" s="30"/>
      <c r="M3" s="30"/>
      <c r="N3" s="30"/>
      <c r="O3" s="30"/>
      <c r="P3" s="30"/>
      <c r="Q3" s="30"/>
      <c r="R3" s="30"/>
      <c r="S3" s="30"/>
      <c r="T3" s="30"/>
      <c r="U3" s="31"/>
      <c r="V3" s="31"/>
    </row>
    <row r="4" spans="1:29" x14ac:dyDescent="0.2">
      <c r="A4" s="9"/>
      <c r="B4" s="9"/>
      <c r="C4" s="78"/>
      <c r="D4" s="10"/>
      <c r="E4" s="10"/>
      <c r="F4" s="10"/>
      <c r="G4" s="10"/>
      <c r="H4" s="10"/>
      <c r="I4" s="1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9"/>
      <c r="V4" s="9"/>
      <c r="W4" s="9"/>
      <c r="X4" s="9"/>
      <c r="Y4" s="9"/>
    </row>
    <row r="5" spans="1:29" ht="12.75" x14ac:dyDescent="0.2">
      <c r="A5" s="11"/>
      <c r="B5" s="12" t="s">
        <v>398</v>
      </c>
      <c r="C5" s="11"/>
      <c r="D5" s="32"/>
      <c r="E5" s="32"/>
      <c r="F5" s="33"/>
      <c r="G5" s="34"/>
      <c r="H5" s="34"/>
      <c r="I5" s="34"/>
      <c r="J5" s="33"/>
      <c r="K5" s="33"/>
      <c r="L5" s="33"/>
      <c r="M5" s="33"/>
      <c r="N5" s="33"/>
      <c r="O5" s="33"/>
      <c r="P5" s="33"/>
      <c r="Q5" s="35"/>
      <c r="R5" s="35"/>
      <c r="S5" s="35"/>
      <c r="T5" s="35"/>
      <c r="U5" s="15"/>
      <c r="V5" s="15"/>
      <c r="W5" s="15"/>
      <c r="X5" s="15"/>
      <c r="Y5" s="15"/>
    </row>
    <row r="6" spans="1:29" outlineLevel="1" x14ac:dyDescent="0.2">
      <c r="A6" s="9"/>
      <c r="B6" s="9"/>
      <c r="C6" s="9"/>
      <c r="D6" s="10"/>
      <c r="E6" s="10"/>
      <c r="F6" s="10"/>
      <c r="G6" s="10"/>
      <c r="H6" s="10"/>
      <c r="I6" s="10"/>
      <c r="J6" s="10"/>
      <c r="K6" s="93"/>
      <c r="L6" s="93"/>
      <c r="M6" s="93"/>
      <c r="N6" s="93"/>
      <c r="O6" s="93"/>
      <c r="P6" s="93"/>
      <c r="Q6" s="10"/>
      <c r="R6" s="10"/>
      <c r="S6" s="10"/>
      <c r="T6" s="50"/>
      <c r="U6" s="9"/>
      <c r="V6" s="9"/>
      <c r="W6" s="9"/>
      <c r="X6" s="9"/>
      <c r="Y6" s="9"/>
      <c r="Z6" s="9"/>
      <c r="AA6" s="9"/>
      <c r="AB6" s="9"/>
      <c r="AC6" s="9"/>
    </row>
    <row r="7" spans="1:29" outlineLevel="1" x14ac:dyDescent="0.2">
      <c r="A7" s="9"/>
      <c r="B7" s="9"/>
      <c r="C7" s="73" t="str">
        <f>"Network cost movements by tariff ("&amp;dollars&amp;")"</f>
        <v>Network cost movements by tariff ($dollars)</v>
      </c>
      <c r="D7" s="10"/>
      <c r="E7" s="10"/>
      <c r="F7" s="10"/>
      <c r="G7" s="10"/>
      <c r="H7" s="10"/>
      <c r="I7" s="10"/>
      <c r="J7" s="10"/>
      <c r="K7" s="20"/>
      <c r="L7" s="20"/>
      <c r="M7" s="20"/>
      <c r="N7" s="20"/>
      <c r="O7" s="20"/>
      <c r="P7" s="20"/>
      <c r="Q7" s="10"/>
      <c r="R7" s="10"/>
      <c r="S7" s="10"/>
      <c r="T7" s="50"/>
      <c r="U7" s="9"/>
      <c r="V7" s="9"/>
      <c r="W7" s="9"/>
      <c r="X7" s="9"/>
      <c r="Y7" s="9"/>
      <c r="Z7" s="9"/>
      <c r="AA7" s="9"/>
      <c r="AB7" s="9"/>
      <c r="AC7" s="9"/>
    </row>
    <row r="8" spans="1:29" outlineLevel="1" x14ac:dyDescent="0.2">
      <c r="A8" s="9"/>
      <c r="B8" s="9"/>
      <c r="C8" s="233" t="s">
        <v>397</v>
      </c>
      <c r="D8" s="10" t="str">
        <f>currentyear</f>
        <v>2021–22</v>
      </c>
      <c r="E8" s="10" t="str">
        <f>forecastyear</f>
        <v>2022–23</v>
      </c>
      <c r="F8" s="10" t="s">
        <v>399</v>
      </c>
      <c r="G8" s="150" t="s">
        <v>400</v>
      </c>
      <c r="H8" s="151"/>
      <c r="I8" s="20"/>
      <c r="J8" s="10"/>
      <c r="K8" s="20"/>
      <c r="L8" s="20"/>
      <c r="M8" s="20"/>
      <c r="N8" s="20"/>
      <c r="O8" s="20"/>
      <c r="P8" s="20"/>
      <c r="Q8" s="10"/>
      <c r="R8" s="10"/>
      <c r="S8" s="10"/>
      <c r="T8" s="50"/>
      <c r="U8" s="9"/>
      <c r="V8" s="9"/>
      <c r="W8" s="9"/>
      <c r="X8" s="9"/>
      <c r="Y8" s="9"/>
      <c r="Z8" s="9"/>
      <c r="AA8" s="9"/>
      <c r="AB8" s="9"/>
      <c r="AC8" s="9"/>
    </row>
    <row r="9" spans="1:29" outlineLevel="1" x14ac:dyDescent="0.2">
      <c r="A9" s="9"/>
      <c r="B9" s="9"/>
      <c r="C9" s="492" t="str">
        <f>Movements!C11</f>
        <v>Residential time of use consumption</v>
      </c>
      <c r="D9" s="235">
        <f>INDEX(Movements!$G$446:$G$475,MATCH('Cost movements'!C9,Movements!$C$176:$C$205,0))+INDEX(Movements!$O$11:$O$40,MATCH('Cost movements'!C9,Movements!$C$11:$C$40,0))</f>
        <v>756.82669188341129</v>
      </c>
      <c r="E9" s="235">
        <f>INDEX(Movements!$G$176:$G$205,MATCH('Cost movements'!C9,Movements!$C$176:$C$205,0))+INDEX(Movements!$N$11:$N$40,MATCH('Cost movements'!C9,Movements!$C$11:$C$40,0))</f>
        <v>760.64875385486198</v>
      </c>
      <c r="F9" s="306">
        <f>E9-D9</f>
        <v>3.8220619714506938</v>
      </c>
      <c r="G9" s="234">
        <f>IFERROR(F9/D9,0)</f>
        <v>5.0501151881142698E-3</v>
      </c>
      <c r="H9" s="258"/>
      <c r="I9" s="34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9"/>
      <c r="V9" s="9"/>
      <c r="W9" s="9"/>
      <c r="X9" s="9"/>
      <c r="Y9" s="9"/>
      <c r="Z9" s="9"/>
      <c r="AA9" s="9"/>
      <c r="AB9" s="9"/>
      <c r="AC9" s="9"/>
    </row>
    <row r="10" spans="1:29" outlineLevel="1" x14ac:dyDescent="0.2">
      <c r="A10" s="9"/>
      <c r="B10" s="9"/>
      <c r="C10" s="492" t="str">
        <f>Movements!C12</f>
        <v>Residential general light and power</v>
      </c>
      <c r="D10" s="235">
        <f>INDEX(Movements!$G$446:$G$475,MATCH('Cost movements'!C10,Movements!$C$176:$C$205,0))+INDEX(Movements!$O$11:$O$40,MATCH('Cost movements'!C10,Movements!$C$11:$C$40,0))</f>
        <v>511.85773331683311</v>
      </c>
      <c r="E10" s="235">
        <f>INDEX(Movements!$G$176:$G$205,MATCH('Cost movements'!C10,Movements!$C$176:$C$205,0))+INDEX(Movements!$N$11:$N$40,MATCH('Cost movements'!C10,Movements!$C$11:$C$40,0))</f>
        <v>502.63540924521004</v>
      </c>
      <c r="F10" s="306">
        <f t="shared" ref="F10:F38" si="0">E10-D10</f>
        <v>-9.2223240716230634</v>
      </c>
      <c r="G10" s="234">
        <f t="shared" ref="G10:G38" si="1">IFERROR(F10/D10,0)</f>
        <v>-1.8017358088667515E-2</v>
      </c>
      <c r="H10" s="258"/>
      <c r="I10" s="343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9"/>
      <c r="V10" s="9"/>
      <c r="W10" s="9"/>
      <c r="X10" s="9"/>
      <c r="Y10" s="9"/>
      <c r="Z10" s="9"/>
      <c r="AA10" s="9"/>
      <c r="AB10" s="9"/>
      <c r="AC10" s="9"/>
    </row>
    <row r="11" spans="1:29" outlineLevel="1" x14ac:dyDescent="0.2">
      <c r="A11" s="9"/>
      <c r="B11" s="9"/>
      <c r="C11" s="492" t="str">
        <f>Movements!C13</f>
        <v>Residential pay as you go</v>
      </c>
      <c r="D11" s="235">
        <f>INDEX(Movements!$G$446:$G$475,MATCH('Cost movements'!C11,Movements!$C$176:$C$205,0))+INDEX(Movements!$O$11:$O$40,MATCH('Cost movements'!C11,Movements!$C$11:$C$40,0))</f>
        <v>218.47074999999998</v>
      </c>
      <c r="E11" s="235">
        <f>INDEX(Movements!$G$176:$G$205,MATCH('Cost movements'!C11,Movements!$C$176:$C$205,0))+INDEX(Movements!$N$11:$N$40,MATCH('Cost movements'!C11,Movements!$C$11:$C$40,0))</f>
        <v>225.49880000000002</v>
      </c>
      <c r="F11" s="306">
        <f t="shared" si="0"/>
        <v>7.0280500000000359</v>
      </c>
      <c r="G11" s="234">
        <f t="shared" si="1"/>
        <v>3.2169294974270179E-2</v>
      </c>
      <c r="H11" s="258"/>
      <c r="I11" s="343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9"/>
      <c r="V11" s="9"/>
      <c r="W11" s="9"/>
      <c r="X11" s="9"/>
      <c r="Y11" s="9"/>
      <c r="Z11" s="9"/>
      <c r="AA11" s="9"/>
      <c r="AB11" s="9"/>
      <c r="AC11" s="9"/>
    </row>
    <row r="12" spans="1:29" outlineLevel="1" x14ac:dyDescent="0.2">
      <c r="A12" s="9"/>
      <c r="B12" s="9"/>
      <c r="C12" s="492" t="str">
        <f>Movements!C14</f>
        <v>Residential pay as you go time of use</v>
      </c>
      <c r="D12" s="235">
        <f>INDEX(Movements!$G$446:$G$475,MATCH('Cost movements'!C12,Movements!$C$176:$C$205,0))+INDEX(Movements!$O$11:$O$40,MATCH('Cost movements'!C12,Movements!$C$11:$C$40,0))</f>
        <v>234.83369999999999</v>
      </c>
      <c r="E12" s="235">
        <f>INDEX(Movements!$G$176:$G$205,MATCH('Cost movements'!C12,Movements!$C$176:$C$205,0))+INDEX(Movements!$N$11:$N$40,MATCH('Cost movements'!C12,Movements!$C$11:$C$40,0))</f>
        <v>242.35084999999998</v>
      </c>
      <c r="F12" s="306">
        <f t="shared" si="0"/>
        <v>7.5171499999999867</v>
      </c>
      <c r="G12" s="234">
        <f t="shared" si="1"/>
        <v>3.2010524894851067E-2</v>
      </c>
      <c r="H12" s="258"/>
      <c r="I12" s="343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9"/>
      <c r="V12" s="9"/>
      <c r="W12" s="9"/>
      <c r="X12" s="9"/>
      <c r="Y12" s="9"/>
      <c r="Z12" s="9"/>
      <c r="AA12" s="9"/>
      <c r="AB12" s="9"/>
      <c r="AC12" s="9"/>
    </row>
    <row r="13" spans="1:29" outlineLevel="1" x14ac:dyDescent="0.2">
      <c r="A13" s="9"/>
      <c r="B13" s="9"/>
      <c r="C13" s="492">
        <f>Movements!C15</f>
        <v>0</v>
      </c>
      <c r="D13" s="235">
        <f>INDEX(Movements!$G$446:$G$475,MATCH('Cost movements'!C13,Movements!$C$176:$C$205,0))+INDEX(Movements!$O$11:$O$40,MATCH('Cost movements'!C13,Movements!$C$11:$C$40,0))</f>
        <v>0</v>
      </c>
      <c r="E13" s="235">
        <f>INDEX(Movements!$G$176:$G$205,MATCH('Cost movements'!C13,Movements!$C$176:$C$205,0))+INDEX(Movements!$N$11:$N$40,MATCH('Cost movements'!C13,Movements!$C$11:$C$40,0))</f>
        <v>0</v>
      </c>
      <c r="F13" s="306">
        <f t="shared" si="0"/>
        <v>0</v>
      </c>
      <c r="G13" s="234">
        <f t="shared" si="1"/>
        <v>0</v>
      </c>
      <c r="H13" s="258"/>
      <c r="I13" s="343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9"/>
      <c r="V13" s="9"/>
      <c r="W13" s="9"/>
      <c r="X13" s="9"/>
      <c r="Y13" s="9"/>
      <c r="Z13" s="9"/>
      <c r="AA13" s="9"/>
      <c r="AB13" s="9"/>
      <c r="AC13" s="9"/>
    </row>
    <row r="14" spans="1:29" hidden="1" outlineLevel="2" x14ac:dyDescent="0.2">
      <c r="A14" s="9"/>
      <c r="B14" s="9"/>
      <c r="C14" s="492">
        <f>Movements!C16</f>
        <v>0</v>
      </c>
      <c r="D14" s="235">
        <f>INDEX(Movements!$G$446:$G$475,MATCH('Cost movements'!C14,Movements!$C$176:$C$205,0))+INDEX(Movements!$O$11:$O$40,MATCH('Cost movements'!C14,Movements!$C$11:$C$40,0))</f>
        <v>0</v>
      </c>
      <c r="E14" s="235">
        <f>INDEX(Movements!$G$176:$G$205,MATCH('Cost movements'!C14,Movements!$C$176:$C$205,0))+INDEX(Movements!$N$11:$N$40,MATCH('Cost movements'!C14,Movements!$C$11:$C$40,0))</f>
        <v>0</v>
      </c>
      <c r="F14" s="306">
        <f t="shared" si="0"/>
        <v>0</v>
      </c>
      <c r="G14" s="234">
        <f t="shared" si="1"/>
        <v>0</v>
      </c>
      <c r="H14" s="258"/>
      <c r="I14" s="343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9"/>
      <c r="V14" s="9"/>
      <c r="W14" s="9"/>
      <c r="X14" s="9"/>
      <c r="Y14" s="9"/>
      <c r="Z14" s="9"/>
      <c r="AA14" s="9"/>
      <c r="AB14" s="9"/>
      <c r="AC14" s="9"/>
    </row>
    <row r="15" spans="1:29" hidden="1" outlineLevel="2" x14ac:dyDescent="0.2">
      <c r="A15" s="9"/>
      <c r="B15" s="9"/>
      <c r="C15" s="492">
        <f>Movements!C17</f>
        <v>0</v>
      </c>
      <c r="D15" s="235">
        <f>INDEX(Movements!$G$446:$G$475,MATCH('Cost movements'!C15,Movements!$C$176:$C$205,0))+INDEX(Movements!$O$11:$O$40,MATCH('Cost movements'!C15,Movements!$C$11:$C$40,0))</f>
        <v>0</v>
      </c>
      <c r="E15" s="235">
        <f>INDEX(Movements!$G$176:$G$205,MATCH('Cost movements'!C15,Movements!$C$176:$C$205,0))+INDEX(Movements!$N$11:$N$40,MATCH('Cost movements'!C15,Movements!$C$11:$C$40,0))</f>
        <v>0</v>
      </c>
      <c r="F15" s="306">
        <f t="shared" si="0"/>
        <v>0</v>
      </c>
      <c r="G15" s="234">
        <f t="shared" si="1"/>
        <v>0</v>
      </c>
      <c r="H15" s="258"/>
      <c r="I15" s="343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9"/>
      <c r="V15" s="9"/>
      <c r="W15" s="9"/>
      <c r="X15" s="9"/>
      <c r="Y15" s="9"/>
      <c r="Z15" s="9"/>
      <c r="AA15" s="9"/>
      <c r="AB15" s="9"/>
      <c r="AC15" s="9"/>
    </row>
    <row r="16" spans="1:29" hidden="1" outlineLevel="2" x14ac:dyDescent="0.2">
      <c r="A16" s="9"/>
      <c r="B16" s="9"/>
      <c r="C16" s="492">
        <f>Movements!C18</f>
        <v>0</v>
      </c>
      <c r="D16" s="235">
        <f>INDEX(Movements!$G$446:$G$475,MATCH('Cost movements'!C16,Movements!$C$176:$C$205,0))+INDEX(Movements!$O$11:$O$40,MATCH('Cost movements'!C16,Movements!$C$11:$C$40,0))</f>
        <v>0</v>
      </c>
      <c r="E16" s="235">
        <f>INDEX(Movements!$G$176:$G$205,MATCH('Cost movements'!C16,Movements!$C$176:$C$205,0))+INDEX(Movements!$N$11:$N$40,MATCH('Cost movements'!C16,Movements!$C$11:$C$40,0))</f>
        <v>0</v>
      </c>
      <c r="F16" s="306">
        <f t="shared" si="0"/>
        <v>0</v>
      </c>
      <c r="G16" s="234">
        <f t="shared" si="1"/>
        <v>0</v>
      </c>
      <c r="H16" s="258"/>
      <c r="I16" s="343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9"/>
      <c r="V16" s="9"/>
      <c r="W16" s="9"/>
      <c r="X16" s="9"/>
      <c r="Y16" s="9"/>
      <c r="Z16" s="9"/>
      <c r="AA16" s="9"/>
      <c r="AB16" s="9"/>
      <c r="AC16" s="9"/>
    </row>
    <row r="17" spans="1:29" hidden="1" outlineLevel="2" x14ac:dyDescent="0.2">
      <c r="A17" s="9"/>
      <c r="B17" s="9"/>
      <c r="C17" s="492">
        <f>Movements!C19</f>
        <v>0</v>
      </c>
      <c r="D17" s="235">
        <f>INDEX(Movements!$G$446:$G$475,MATCH('Cost movements'!C17,Movements!$C$176:$C$205,0))+INDEX(Movements!$O$11:$O$40,MATCH('Cost movements'!C17,Movements!$C$11:$C$40,0))</f>
        <v>0</v>
      </c>
      <c r="E17" s="235">
        <f>INDEX(Movements!$G$176:$G$205,MATCH('Cost movements'!C17,Movements!$C$176:$C$205,0))+INDEX(Movements!$N$11:$N$40,MATCH('Cost movements'!C17,Movements!$C$11:$C$40,0))</f>
        <v>0</v>
      </c>
      <c r="F17" s="306">
        <f t="shared" si="0"/>
        <v>0</v>
      </c>
      <c r="G17" s="234">
        <f t="shared" si="1"/>
        <v>0</v>
      </c>
      <c r="H17" s="258"/>
      <c r="I17" s="343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9"/>
      <c r="V17" s="9"/>
      <c r="W17" s="9"/>
      <c r="X17" s="9"/>
      <c r="Y17" s="9"/>
      <c r="Z17" s="9"/>
      <c r="AA17" s="9"/>
      <c r="AB17" s="9"/>
      <c r="AC17" s="9"/>
    </row>
    <row r="18" spans="1:29" hidden="1" outlineLevel="2" x14ac:dyDescent="0.2">
      <c r="A18" s="9"/>
      <c r="B18" s="9"/>
      <c r="C18" s="492">
        <f>Movements!C20</f>
        <v>0</v>
      </c>
      <c r="D18" s="235">
        <f>INDEX(Movements!$G$446:$G$475,MATCH('Cost movements'!C18,Movements!$C$176:$C$205,0))+INDEX(Movements!$O$11:$O$40,MATCH('Cost movements'!C18,Movements!$C$11:$C$40,0))</f>
        <v>0</v>
      </c>
      <c r="E18" s="235">
        <f>INDEX(Movements!$G$176:$G$205,MATCH('Cost movements'!C18,Movements!$C$176:$C$205,0))+INDEX(Movements!$N$11:$N$40,MATCH('Cost movements'!C18,Movements!$C$11:$C$40,0))</f>
        <v>0</v>
      </c>
      <c r="F18" s="306">
        <f t="shared" si="0"/>
        <v>0</v>
      </c>
      <c r="G18" s="234">
        <f t="shared" si="1"/>
        <v>0</v>
      </c>
      <c r="H18" s="258"/>
      <c r="I18" s="343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9"/>
      <c r="V18" s="9"/>
      <c r="W18" s="9"/>
      <c r="X18" s="9"/>
      <c r="Y18" s="9"/>
      <c r="Z18" s="9"/>
      <c r="AA18" s="9"/>
      <c r="AB18" s="9"/>
      <c r="AC18" s="9"/>
    </row>
    <row r="19" spans="1:29" hidden="1" outlineLevel="2" x14ac:dyDescent="0.2">
      <c r="A19" s="9"/>
      <c r="B19" s="9"/>
      <c r="C19" s="492">
        <f>Movements!C21</f>
        <v>0</v>
      </c>
      <c r="D19" s="235">
        <f>INDEX(Movements!$G$446:$G$475,MATCH('Cost movements'!C19,Movements!$C$176:$C$205,0))+INDEX(Movements!$O$11:$O$40,MATCH('Cost movements'!C19,Movements!$C$11:$C$40,0))</f>
        <v>0</v>
      </c>
      <c r="E19" s="235">
        <f>INDEX(Movements!$G$176:$G$205,MATCH('Cost movements'!C19,Movements!$C$176:$C$205,0))+INDEX(Movements!$N$11:$N$40,MATCH('Cost movements'!C19,Movements!$C$11:$C$40,0))</f>
        <v>0</v>
      </c>
      <c r="F19" s="306">
        <f t="shared" si="0"/>
        <v>0</v>
      </c>
      <c r="G19" s="234">
        <f t="shared" si="1"/>
        <v>0</v>
      </c>
      <c r="H19" s="258"/>
      <c r="I19" s="343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9"/>
      <c r="V19" s="9"/>
      <c r="W19" s="9"/>
      <c r="X19" s="9"/>
      <c r="Y19" s="9"/>
      <c r="Z19" s="9"/>
      <c r="AA19" s="9"/>
      <c r="AB19" s="9"/>
      <c r="AC19" s="9"/>
    </row>
    <row r="20" spans="1:29" hidden="1" outlineLevel="2" x14ac:dyDescent="0.2">
      <c r="A20" s="9"/>
      <c r="B20" s="9"/>
      <c r="C20" s="492">
        <f>Movements!C22</f>
        <v>0</v>
      </c>
      <c r="D20" s="235">
        <f>INDEX(Movements!$G$446:$G$475,MATCH('Cost movements'!C20,Movements!$C$176:$C$205,0))+INDEX(Movements!$O$11:$O$40,MATCH('Cost movements'!C20,Movements!$C$11:$C$40,0))</f>
        <v>0</v>
      </c>
      <c r="E20" s="235">
        <f>INDEX(Movements!$G$176:$G$205,MATCH('Cost movements'!C20,Movements!$C$176:$C$205,0))+INDEX(Movements!$N$11:$N$40,MATCH('Cost movements'!C20,Movements!$C$11:$C$40,0))</f>
        <v>0</v>
      </c>
      <c r="F20" s="306">
        <f t="shared" si="0"/>
        <v>0</v>
      </c>
      <c r="G20" s="234">
        <f t="shared" si="1"/>
        <v>0</v>
      </c>
      <c r="H20" s="258"/>
      <c r="I20" s="343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9"/>
      <c r="V20" s="9"/>
      <c r="W20" s="9"/>
      <c r="X20" s="9"/>
      <c r="Y20" s="9"/>
      <c r="Z20" s="9"/>
      <c r="AA20" s="9"/>
      <c r="AB20" s="9"/>
      <c r="AC20" s="9"/>
    </row>
    <row r="21" spans="1:29" hidden="1" outlineLevel="2" x14ac:dyDescent="0.2">
      <c r="A21" s="9"/>
      <c r="B21" s="9"/>
      <c r="C21" s="492">
        <f>Movements!C23</f>
        <v>0</v>
      </c>
      <c r="D21" s="235">
        <f>INDEX(Movements!$G$446:$G$475,MATCH('Cost movements'!C21,Movements!$C$176:$C$205,0))+INDEX(Movements!$O$11:$O$40,MATCH('Cost movements'!C21,Movements!$C$11:$C$40,0))</f>
        <v>0</v>
      </c>
      <c r="E21" s="235">
        <f>INDEX(Movements!$G$176:$G$205,MATCH('Cost movements'!C21,Movements!$C$176:$C$205,0))+INDEX(Movements!$N$11:$N$40,MATCH('Cost movements'!C21,Movements!$C$11:$C$40,0))</f>
        <v>0</v>
      </c>
      <c r="F21" s="306">
        <f t="shared" si="0"/>
        <v>0</v>
      </c>
      <c r="G21" s="234">
        <f t="shared" si="1"/>
        <v>0</v>
      </c>
      <c r="H21" s="258"/>
      <c r="I21" s="343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9"/>
      <c r="V21" s="9"/>
      <c r="W21" s="9"/>
      <c r="X21" s="9"/>
      <c r="Y21" s="9"/>
      <c r="Z21" s="9"/>
      <c r="AA21" s="9"/>
      <c r="AB21" s="9"/>
      <c r="AC21" s="9"/>
    </row>
    <row r="22" spans="1:29" hidden="1" outlineLevel="2" x14ac:dyDescent="0.2">
      <c r="A22" s="9"/>
      <c r="B22" s="9"/>
      <c r="C22" s="492">
        <f>Movements!C24</f>
        <v>0</v>
      </c>
      <c r="D22" s="235">
        <f>INDEX(Movements!$G$446:$G$475,MATCH('Cost movements'!C22,Movements!$C$176:$C$205,0))+INDEX(Movements!$O$11:$O$40,MATCH('Cost movements'!C22,Movements!$C$11:$C$40,0))</f>
        <v>0</v>
      </c>
      <c r="E22" s="235">
        <f>INDEX(Movements!$G$176:$G$205,MATCH('Cost movements'!C22,Movements!$C$176:$C$205,0))+INDEX(Movements!$N$11:$N$40,MATCH('Cost movements'!C22,Movements!$C$11:$C$40,0))</f>
        <v>0</v>
      </c>
      <c r="F22" s="306">
        <f t="shared" si="0"/>
        <v>0</v>
      </c>
      <c r="G22" s="234">
        <f t="shared" si="1"/>
        <v>0</v>
      </c>
      <c r="H22" s="258"/>
      <c r="I22" s="343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9"/>
      <c r="V22" s="9"/>
      <c r="W22" s="9"/>
      <c r="X22" s="9"/>
      <c r="Y22" s="9"/>
      <c r="Z22" s="9"/>
      <c r="AA22" s="9"/>
      <c r="AB22" s="9"/>
      <c r="AC22" s="9"/>
    </row>
    <row r="23" spans="1:29" hidden="1" outlineLevel="2" x14ac:dyDescent="0.2">
      <c r="A23" s="9"/>
      <c r="B23" s="9"/>
      <c r="C23" s="492">
        <f>Movements!C25</f>
        <v>0</v>
      </c>
      <c r="D23" s="235">
        <f>INDEX(Movements!$G$446:$G$475,MATCH('Cost movements'!C23,Movements!$C$176:$C$205,0))+INDEX(Movements!$O$11:$O$40,MATCH('Cost movements'!C23,Movements!$C$11:$C$40,0))</f>
        <v>0</v>
      </c>
      <c r="E23" s="235">
        <f>INDEX(Movements!$G$176:$G$205,MATCH('Cost movements'!C23,Movements!$C$176:$C$205,0))+INDEX(Movements!$N$11:$N$40,MATCH('Cost movements'!C23,Movements!$C$11:$C$40,0))</f>
        <v>0</v>
      </c>
      <c r="F23" s="306">
        <f t="shared" si="0"/>
        <v>0</v>
      </c>
      <c r="G23" s="234">
        <f t="shared" si="1"/>
        <v>0</v>
      </c>
      <c r="H23" s="258"/>
      <c r="I23" s="343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9"/>
      <c r="V23" s="9"/>
      <c r="W23" s="9"/>
      <c r="X23" s="9"/>
      <c r="Y23" s="9"/>
      <c r="Z23" s="9"/>
      <c r="AA23" s="9"/>
      <c r="AB23" s="9"/>
      <c r="AC23" s="9"/>
    </row>
    <row r="24" spans="1:29" hidden="1" outlineLevel="2" x14ac:dyDescent="0.2">
      <c r="A24" s="9"/>
      <c r="B24" s="9"/>
      <c r="C24" s="492">
        <f>Movements!C26</f>
        <v>0</v>
      </c>
      <c r="D24" s="235">
        <f>INDEX(Movements!$G$446:$G$475,MATCH('Cost movements'!C24,Movements!$C$176:$C$205,0))+INDEX(Movements!$O$11:$O$40,MATCH('Cost movements'!C24,Movements!$C$11:$C$40,0))</f>
        <v>0</v>
      </c>
      <c r="E24" s="235">
        <f>INDEX(Movements!$G$176:$G$205,MATCH('Cost movements'!C24,Movements!$C$176:$C$205,0))+INDEX(Movements!$N$11:$N$40,MATCH('Cost movements'!C24,Movements!$C$11:$C$40,0))</f>
        <v>0</v>
      </c>
      <c r="F24" s="306">
        <f t="shared" si="0"/>
        <v>0</v>
      </c>
      <c r="G24" s="234">
        <f t="shared" si="1"/>
        <v>0</v>
      </c>
      <c r="H24" s="258"/>
      <c r="I24" s="343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9"/>
      <c r="V24" s="9"/>
      <c r="W24" s="9"/>
      <c r="X24" s="9"/>
      <c r="Y24" s="9"/>
      <c r="Z24" s="9"/>
      <c r="AA24" s="9"/>
      <c r="AB24" s="9"/>
      <c r="AC24" s="9"/>
    </row>
    <row r="25" spans="1:29" hidden="1" outlineLevel="2" x14ac:dyDescent="0.2">
      <c r="A25" s="9"/>
      <c r="B25" s="9"/>
      <c r="C25" s="492">
        <f>Movements!C27</f>
        <v>0</v>
      </c>
      <c r="D25" s="235">
        <f>INDEX(Movements!$G$446:$G$475,MATCH('Cost movements'!C25,Movements!$C$176:$C$205,0))+INDEX(Movements!$O$11:$O$40,MATCH('Cost movements'!C25,Movements!$C$11:$C$40,0))</f>
        <v>0</v>
      </c>
      <c r="E25" s="235">
        <f>INDEX(Movements!$G$176:$G$205,MATCH('Cost movements'!C25,Movements!$C$176:$C$205,0))+INDEX(Movements!$N$11:$N$40,MATCH('Cost movements'!C25,Movements!$C$11:$C$40,0))</f>
        <v>0</v>
      </c>
      <c r="F25" s="306">
        <f t="shared" si="0"/>
        <v>0</v>
      </c>
      <c r="G25" s="234">
        <f t="shared" si="1"/>
        <v>0</v>
      </c>
      <c r="H25" s="258"/>
      <c r="I25" s="343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9"/>
      <c r="V25" s="9"/>
      <c r="W25" s="9"/>
      <c r="X25" s="9"/>
      <c r="Y25" s="9"/>
      <c r="Z25" s="9"/>
      <c r="AA25" s="9"/>
      <c r="AB25" s="9"/>
      <c r="AC25" s="9"/>
    </row>
    <row r="26" spans="1:29" hidden="1" outlineLevel="2" x14ac:dyDescent="0.2">
      <c r="A26" s="9"/>
      <c r="B26" s="9"/>
      <c r="C26" s="492">
        <f>Movements!C28</f>
        <v>0</v>
      </c>
      <c r="D26" s="235">
        <f>INDEX(Movements!$G$446:$G$475,MATCH('Cost movements'!C26,Movements!$C$176:$C$205,0))+INDEX(Movements!$O$11:$O$40,MATCH('Cost movements'!C26,Movements!$C$11:$C$40,0))</f>
        <v>0</v>
      </c>
      <c r="E26" s="235">
        <f>INDEX(Movements!$G$176:$G$205,MATCH('Cost movements'!C26,Movements!$C$176:$C$205,0))+INDEX(Movements!$N$11:$N$40,MATCH('Cost movements'!C26,Movements!$C$11:$C$40,0))</f>
        <v>0</v>
      </c>
      <c r="F26" s="306">
        <f t="shared" si="0"/>
        <v>0</v>
      </c>
      <c r="G26" s="234">
        <f t="shared" si="1"/>
        <v>0</v>
      </c>
      <c r="H26" s="258"/>
      <c r="I26" s="343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9"/>
      <c r="V26" s="9"/>
      <c r="W26" s="9"/>
      <c r="X26" s="9"/>
      <c r="Y26" s="9"/>
      <c r="Z26" s="9"/>
      <c r="AA26" s="9"/>
      <c r="AB26" s="9"/>
      <c r="AC26" s="9"/>
    </row>
    <row r="27" spans="1:29" hidden="1" outlineLevel="2" x14ac:dyDescent="0.2">
      <c r="A27" s="9"/>
      <c r="B27" s="9"/>
      <c r="C27" s="492">
        <f>Movements!C29</f>
        <v>0</v>
      </c>
      <c r="D27" s="235">
        <f>INDEX(Movements!$G$446:$G$475,MATCH('Cost movements'!C27,Movements!$C$176:$C$205,0))+INDEX(Movements!$O$11:$O$40,MATCH('Cost movements'!C27,Movements!$C$11:$C$40,0))</f>
        <v>0</v>
      </c>
      <c r="E27" s="235">
        <f>INDEX(Movements!$G$176:$G$205,MATCH('Cost movements'!C27,Movements!$C$176:$C$205,0))+INDEX(Movements!$N$11:$N$40,MATCH('Cost movements'!C27,Movements!$C$11:$C$40,0))</f>
        <v>0</v>
      </c>
      <c r="F27" s="306">
        <f t="shared" si="0"/>
        <v>0</v>
      </c>
      <c r="G27" s="234">
        <f t="shared" si="1"/>
        <v>0</v>
      </c>
      <c r="H27" s="258"/>
      <c r="I27" s="343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9"/>
      <c r="V27" s="9"/>
      <c r="W27" s="9"/>
      <c r="X27" s="9"/>
      <c r="Y27" s="9"/>
      <c r="Z27" s="9"/>
      <c r="AA27" s="9"/>
      <c r="AB27" s="9"/>
      <c r="AC27" s="9"/>
    </row>
    <row r="28" spans="1:29" hidden="1" outlineLevel="2" x14ac:dyDescent="0.2">
      <c r="A28" s="9"/>
      <c r="B28" s="9"/>
      <c r="C28" s="492">
        <f>Movements!C30</f>
        <v>0</v>
      </c>
      <c r="D28" s="235">
        <f>INDEX(Movements!$G$446:$G$475,MATCH('Cost movements'!C28,Movements!$C$176:$C$205,0))+INDEX(Movements!$O$11:$O$40,MATCH('Cost movements'!C28,Movements!$C$11:$C$40,0))</f>
        <v>0</v>
      </c>
      <c r="E28" s="235">
        <f>INDEX(Movements!$G$176:$G$205,MATCH('Cost movements'!C28,Movements!$C$176:$C$205,0))+INDEX(Movements!$N$11:$N$40,MATCH('Cost movements'!C28,Movements!$C$11:$C$40,0))</f>
        <v>0</v>
      </c>
      <c r="F28" s="306">
        <f t="shared" si="0"/>
        <v>0</v>
      </c>
      <c r="G28" s="234">
        <f t="shared" si="1"/>
        <v>0</v>
      </c>
      <c r="H28" s="258"/>
      <c r="I28" s="343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9"/>
      <c r="V28" s="9"/>
      <c r="W28" s="9"/>
      <c r="X28" s="9"/>
      <c r="Y28" s="9"/>
      <c r="Z28" s="9"/>
      <c r="AA28" s="9"/>
      <c r="AB28" s="9"/>
      <c r="AC28" s="9"/>
    </row>
    <row r="29" spans="1:29" hidden="1" outlineLevel="2" x14ac:dyDescent="0.2">
      <c r="A29" s="9"/>
      <c r="B29" s="9"/>
      <c r="C29" s="492">
        <f>Movements!C31</f>
        <v>0</v>
      </c>
      <c r="D29" s="235">
        <f>INDEX(Movements!$G$446:$G$475,MATCH('Cost movements'!C29,Movements!$C$176:$C$205,0))+INDEX(Movements!$O$11:$O$40,MATCH('Cost movements'!C29,Movements!$C$11:$C$40,0))</f>
        <v>0</v>
      </c>
      <c r="E29" s="235">
        <f>INDEX(Movements!$G$176:$G$205,MATCH('Cost movements'!C29,Movements!$C$176:$C$205,0))+INDEX(Movements!$N$11:$N$40,MATCH('Cost movements'!C29,Movements!$C$11:$C$40,0))</f>
        <v>0</v>
      </c>
      <c r="F29" s="306">
        <f t="shared" si="0"/>
        <v>0</v>
      </c>
      <c r="G29" s="234">
        <f t="shared" si="1"/>
        <v>0</v>
      </c>
      <c r="H29" s="258"/>
      <c r="I29" s="343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9"/>
      <c r="V29" s="9"/>
      <c r="W29" s="9"/>
      <c r="X29" s="9"/>
      <c r="Y29" s="9"/>
      <c r="Z29" s="9"/>
      <c r="AA29" s="9"/>
      <c r="AB29" s="9"/>
      <c r="AC29" s="9"/>
    </row>
    <row r="30" spans="1:29" hidden="1" outlineLevel="2" x14ac:dyDescent="0.2">
      <c r="A30" s="9"/>
      <c r="B30" s="9"/>
      <c r="C30" s="492">
        <f>Movements!C32</f>
        <v>0</v>
      </c>
      <c r="D30" s="235">
        <f>INDEX(Movements!$G$446:$G$475,MATCH('Cost movements'!C30,Movements!$C$176:$C$205,0))+INDEX(Movements!$O$11:$O$40,MATCH('Cost movements'!C30,Movements!$C$11:$C$40,0))</f>
        <v>0</v>
      </c>
      <c r="E30" s="235">
        <f>INDEX(Movements!$G$176:$G$205,MATCH('Cost movements'!C30,Movements!$C$176:$C$205,0))+INDEX(Movements!$N$11:$N$40,MATCH('Cost movements'!C30,Movements!$C$11:$C$40,0))</f>
        <v>0</v>
      </c>
      <c r="F30" s="306">
        <f t="shared" si="0"/>
        <v>0</v>
      </c>
      <c r="G30" s="234">
        <f t="shared" si="1"/>
        <v>0</v>
      </c>
      <c r="H30" s="258"/>
      <c r="I30" s="343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9"/>
      <c r="V30" s="9"/>
      <c r="W30" s="9"/>
      <c r="X30" s="9"/>
      <c r="Y30" s="9"/>
      <c r="Z30" s="9"/>
      <c r="AA30" s="9"/>
      <c r="AB30" s="9"/>
      <c r="AC30" s="9"/>
    </row>
    <row r="31" spans="1:29" hidden="1" outlineLevel="2" x14ac:dyDescent="0.2">
      <c r="A31" s="9"/>
      <c r="B31" s="9"/>
      <c r="C31" s="492">
        <f>Movements!C33</f>
        <v>0</v>
      </c>
      <c r="D31" s="235">
        <f>INDEX(Movements!$G$446:$G$475,MATCH('Cost movements'!C31,Movements!$C$176:$C$205,0))+INDEX(Movements!$O$11:$O$40,MATCH('Cost movements'!C31,Movements!$C$11:$C$40,0))</f>
        <v>0</v>
      </c>
      <c r="E31" s="235">
        <f>INDEX(Movements!$G$176:$G$205,MATCH('Cost movements'!C31,Movements!$C$176:$C$205,0))+INDEX(Movements!$N$11:$N$40,MATCH('Cost movements'!C31,Movements!$C$11:$C$40,0))</f>
        <v>0</v>
      </c>
      <c r="F31" s="306">
        <f t="shared" si="0"/>
        <v>0</v>
      </c>
      <c r="G31" s="234">
        <f t="shared" si="1"/>
        <v>0</v>
      </c>
      <c r="H31" s="258"/>
      <c r="I31" s="343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9"/>
      <c r="V31" s="9"/>
      <c r="W31" s="9"/>
      <c r="X31" s="9"/>
      <c r="Y31" s="9"/>
      <c r="Z31" s="9"/>
      <c r="AA31" s="9"/>
      <c r="AB31" s="9"/>
      <c r="AC31" s="9"/>
    </row>
    <row r="32" spans="1:29" hidden="1" outlineLevel="2" x14ac:dyDescent="0.2">
      <c r="A32" s="9"/>
      <c r="B32" s="9"/>
      <c r="C32" s="492">
        <f>Movements!C34</f>
        <v>0</v>
      </c>
      <c r="D32" s="235">
        <f>INDEX(Movements!$G$446:$G$475,MATCH('Cost movements'!C32,Movements!$C$176:$C$205,0))+INDEX(Movements!$O$11:$O$40,MATCH('Cost movements'!C32,Movements!$C$11:$C$40,0))</f>
        <v>0</v>
      </c>
      <c r="E32" s="235">
        <f>INDEX(Movements!$G$176:$G$205,MATCH('Cost movements'!C32,Movements!$C$176:$C$205,0))+INDEX(Movements!$N$11:$N$40,MATCH('Cost movements'!C32,Movements!$C$11:$C$40,0))</f>
        <v>0</v>
      </c>
      <c r="F32" s="306">
        <f t="shared" si="0"/>
        <v>0</v>
      </c>
      <c r="G32" s="234">
        <f t="shared" si="1"/>
        <v>0</v>
      </c>
      <c r="H32" s="258"/>
      <c r="I32" s="343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9"/>
      <c r="V32" s="9"/>
      <c r="W32" s="9"/>
      <c r="X32" s="9"/>
      <c r="Y32" s="9"/>
      <c r="Z32" s="9"/>
      <c r="AA32" s="9"/>
      <c r="AB32" s="9"/>
      <c r="AC32" s="9"/>
    </row>
    <row r="33" spans="1:29" hidden="1" outlineLevel="2" x14ac:dyDescent="0.2">
      <c r="A33" s="9"/>
      <c r="B33" s="9"/>
      <c r="C33" s="492">
        <f>Movements!C35</f>
        <v>0</v>
      </c>
      <c r="D33" s="235">
        <f>INDEX(Movements!$G$446:$G$475,MATCH('Cost movements'!C33,Movements!$C$176:$C$205,0))+INDEX(Movements!$O$11:$O$40,MATCH('Cost movements'!C33,Movements!$C$11:$C$40,0))</f>
        <v>0</v>
      </c>
      <c r="E33" s="235">
        <f>INDEX(Movements!$G$176:$G$205,MATCH('Cost movements'!C33,Movements!$C$176:$C$205,0))+INDEX(Movements!$N$11:$N$40,MATCH('Cost movements'!C33,Movements!$C$11:$C$40,0))</f>
        <v>0</v>
      </c>
      <c r="F33" s="306">
        <f t="shared" si="0"/>
        <v>0</v>
      </c>
      <c r="G33" s="234">
        <f t="shared" si="1"/>
        <v>0</v>
      </c>
      <c r="H33" s="258"/>
      <c r="I33" s="343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9"/>
      <c r="V33" s="9"/>
      <c r="W33" s="9"/>
      <c r="X33" s="9"/>
      <c r="Y33" s="9"/>
      <c r="Z33" s="9"/>
      <c r="AA33" s="9"/>
      <c r="AB33" s="9"/>
      <c r="AC33" s="9"/>
    </row>
    <row r="34" spans="1:29" hidden="1" outlineLevel="2" x14ac:dyDescent="0.2">
      <c r="A34" s="9"/>
      <c r="B34" s="9"/>
      <c r="C34" s="492">
        <f>Movements!C36</f>
        <v>0</v>
      </c>
      <c r="D34" s="235">
        <f>INDEX(Movements!$G$446:$G$475,MATCH('Cost movements'!C34,Movements!$C$176:$C$205,0))+INDEX(Movements!$O$11:$O$40,MATCH('Cost movements'!C34,Movements!$C$11:$C$40,0))</f>
        <v>0</v>
      </c>
      <c r="E34" s="235">
        <f>INDEX(Movements!$G$176:$G$205,MATCH('Cost movements'!C34,Movements!$C$176:$C$205,0))+INDEX(Movements!$N$11:$N$40,MATCH('Cost movements'!C34,Movements!$C$11:$C$40,0))</f>
        <v>0</v>
      </c>
      <c r="F34" s="306">
        <f t="shared" si="0"/>
        <v>0</v>
      </c>
      <c r="G34" s="234">
        <f t="shared" si="1"/>
        <v>0</v>
      </c>
      <c r="H34" s="258"/>
      <c r="I34" s="343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9"/>
      <c r="V34" s="9"/>
      <c r="W34" s="9"/>
      <c r="X34" s="9"/>
      <c r="Y34" s="9"/>
      <c r="Z34" s="9"/>
      <c r="AA34" s="9"/>
      <c r="AB34" s="9"/>
      <c r="AC34" s="9"/>
    </row>
    <row r="35" spans="1:29" hidden="1" outlineLevel="2" x14ac:dyDescent="0.2">
      <c r="A35" s="9"/>
      <c r="B35" s="9"/>
      <c r="C35" s="492">
        <f>Movements!C37</f>
        <v>0</v>
      </c>
      <c r="D35" s="235">
        <f>INDEX(Movements!$G$446:$G$475,MATCH('Cost movements'!C35,Movements!$C$176:$C$205,0))+INDEX(Movements!$O$11:$O$40,MATCH('Cost movements'!C35,Movements!$C$11:$C$40,0))</f>
        <v>0</v>
      </c>
      <c r="E35" s="235">
        <f>INDEX(Movements!$G$176:$G$205,MATCH('Cost movements'!C35,Movements!$C$176:$C$205,0))+INDEX(Movements!$N$11:$N$40,MATCH('Cost movements'!C35,Movements!$C$11:$C$40,0))</f>
        <v>0</v>
      </c>
      <c r="F35" s="306">
        <f t="shared" si="0"/>
        <v>0</v>
      </c>
      <c r="G35" s="234">
        <f t="shared" si="1"/>
        <v>0</v>
      </c>
      <c r="H35" s="258"/>
      <c r="I35" s="343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9"/>
      <c r="V35" s="9"/>
      <c r="W35" s="9"/>
      <c r="X35" s="9"/>
      <c r="Y35" s="9"/>
      <c r="Z35" s="9"/>
      <c r="AA35" s="9"/>
      <c r="AB35" s="9"/>
      <c r="AC35" s="9"/>
    </row>
    <row r="36" spans="1:29" hidden="1" outlineLevel="2" x14ac:dyDescent="0.2">
      <c r="A36" s="9"/>
      <c r="B36" s="9"/>
      <c r="C36" s="492">
        <f>Movements!C38</f>
        <v>0</v>
      </c>
      <c r="D36" s="235">
        <f>INDEX(Movements!$G$446:$G$475,MATCH('Cost movements'!C36,Movements!$C$176:$C$205,0))+INDEX(Movements!$O$11:$O$40,MATCH('Cost movements'!C36,Movements!$C$11:$C$40,0))</f>
        <v>0</v>
      </c>
      <c r="E36" s="235">
        <f>INDEX(Movements!$G$176:$G$205,MATCH('Cost movements'!C36,Movements!$C$176:$C$205,0))+INDEX(Movements!$N$11:$N$40,MATCH('Cost movements'!C36,Movements!$C$11:$C$40,0))</f>
        <v>0</v>
      </c>
      <c r="F36" s="306">
        <f t="shared" si="0"/>
        <v>0</v>
      </c>
      <c r="G36" s="234">
        <f t="shared" si="1"/>
        <v>0</v>
      </c>
      <c r="H36" s="258"/>
      <c r="I36" s="343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9"/>
      <c r="V36" s="9"/>
      <c r="W36" s="9"/>
      <c r="X36" s="9"/>
      <c r="Y36" s="9"/>
      <c r="Z36" s="9"/>
      <c r="AA36" s="9"/>
      <c r="AB36" s="9"/>
      <c r="AC36" s="9"/>
    </row>
    <row r="37" spans="1:29" hidden="1" outlineLevel="2" x14ac:dyDescent="0.2">
      <c r="A37" s="9"/>
      <c r="B37" s="9"/>
      <c r="C37" s="492">
        <f>Movements!C39</f>
        <v>0</v>
      </c>
      <c r="D37" s="235">
        <f>INDEX(Movements!$G$446:$G$475,MATCH('Cost movements'!C37,Movements!$C$176:$C$205,0))+INDEX(Movements!$O$11:$O$40,MATCH('Cost movements'!C37,Movements!$C$11:$C$40,0))</f>
        <v>0</v>
      </c>
      <c r="E37" s="235">
        <f>INDEX(Movements!$G$176:$G$205,MATCH('Cost movements'!C37,Movements!$C$176:$C$205,0))+INDEX(Movements!$N$11:$N$40,MATCH('Cost movements'!C37,Movements!$C$11:$C$40,0))</f>
        <v>0</v>
      </c>
      <c r="F37" s="306">
        <f t="shared" si="0"/>
        <v>0</v>
      </c>
      <c r="G37" s="234">
        <f t="shared" si="1"/>
        <v>0</v>
      </c>
      <c r="H37" s="258"/>
      <c r="I37" s="343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9"/>
      <c r="V37" s="9"/>
      <c r="W37" s="9"/>
      <c r="X37" s="9"/>
      <c r="Y37" s="9"/>
      <c r="Z37" s="9"/>
      <c r="AA37" s="9"/>
      <c r="AB37" s="9"/>
      <c r="AC37" s="9"/>
    </row>
    <row r="38" spans="1:29" hidden="1" outlineLevel="2" x14ac:dyDescent="0.2">
      <c r="A38" s="9"/>
      <c r="B38" s="9"/>
      <c r="C38" s="492">
        <f>Movements!C40</f>
        <v>0</v>
      </c>
      <c r="D38" s="235">
        <f>INDEX(Movements!$G$446:$G$475,MATCH('Cost movements'!C38,Movements!$C$176:$C$205,0))+INDEX(Movements!$O$11:$O$40,MATCH('Cost movements'!C38,Movements!$C$11:$C$40,0))</f>
        <v>0</v>
      </c>
      <c r="E38" s="235">
        <f>INDEX(Movements!$G$176:$G$205,MATCH('Cost movements'!C38,Movements!$C$176:$C$205,0))+INDEX(Movements!$N$11:$N$40,MATCH('Cost movements'!C38,Movements!$C$11:$C$40,0))</f>
        <v>0</v>
      </c>
      <c r="F38" s="306">
        <f t="shared" si="0"/>
        <v>0</v>
      </c>
      <c r="G38" s="234">
        <f t="shared" si="1"/>
        <v>0</v>
      </c>
      <c r="H38" s="258"/>
      <c r="I38" s="343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9"/>
      <c r="V38" s="9"/>
      <c r="W38" s="9"/>
      <c r="X38" s="9"/>
      <c r="Y38" s="9"/>
      <c r="Z38" s="9"/>
      <c r="AA38" s="9"/>
      <c r="AB38" s="9"/>
      <c r="AC38" s="9"/>
    </row>
    <row r="39" spans="1:29" outlineLevel="1" collapsed="1" x14ac:dyDescent="0.2">
      <c r="A39" s="19"/>
      <c r="B39" s="19"/>
      <c r="C39" s="524"/>
      <c r="D39" s="307"/>
      <c r="E39" s="307"/>
      <c r="F39" s="308"/>
      <c r="G39" s="307"/>
      <c r="H39" s="242"/>
      <c r="I39" s="343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19"/>
      <c r="V39" s="19"/>
      <c r="W39" s="19"/>
      <c r="X39" s="19"/>
      <c r="Y39" s="19"/>
      <c r="Z39" s="19"/>
      <c r="AA39" s="19"/>
      <c r="AB39" s="19"/>
      <c r="AC39" s="19"/>
    </row>
    <row r="40" spans="1:29" outlineLevel="1" x14ac:dyDescent="0.2">
      <c r="A40" s="9"/>
      <c r="B40" s="9"/>
      <c r="C40" s="492" t="str">
        <f>Movements!C42</f>
        <v>Small business time of use consumption</v>
      </c>
      <c r="D40" s="235">
        <f>INDEX(Movements!$G$581:$G$610,MATCH('Cost movements'!C40,Movements!$C$311:$C$340,0))+INDEX(Movements!$O$42:$O$71,MATCH('Cost movements'!C40,Movements!$C$42:$C$71,0))</f>
        <v>4315.2743622477874</v>
      </c>
      <c r="E40" s="235">
        <f>INDEX(Movements!$G$311:$G$340,MATCH('Cost movements'!C40,Movements!$C$311:$C$340,0))+INDEX(Movements!$N$42:$N$71,MATCH('Cost movements'!C40,Movements!$C$42:$C$71,0))</f>
        <v>4386.3319679877341</v>
      </c>
      <c r="F40" s="306">
        <f>E40-D40</f>
        <v>71.057605739946666</v>
      </c>
      <c r="G40" s="234">
        <f>IFERROR(F40/D40,0)</f>
        <v>1.6466532548102781E-2</v>
      </c>
      <c r="H40" s="258"/>
      <c r="I40" s="343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9"/>
      <c r="V40" s="9"/>
      <c r="W40" s="9"/>
      <c r="X40" s="9"/>
      <c r="Y40" s="9"/>
      <c r="Z40" s="9"/>
      <c r="AA40" s="9"/>
      <c r="AB40" s="9"/>
      <c r="AC40" s="9"/>
    </row>
    <row r="41" spans="1:29" outlineLevel="1" x14ac:dyDescent="0.2">
      <c r="A41" s="9"/>
      <c r="B41" s="9"/>
      <c r="C41" s="492" t="str">
        <f>Movements!C43</f>
        <v>Small business general light and power</v>
      </c>
      <c r="D41" s="235">
        <f>INDEX(Movements!$G$581:$G$610,MATCH('Cost movements'!C41,Movements!$C$311:$C$340,0))+INDEX(Movements!$O$42:$O$71,MATCH('Cost movements'!C41,Movements!$C$42:$C$71,0))</f>
        <v>1038.7470509113534</v>
      </c>
      <c r="E41" s="235">
        <f>INDEX(Movements!$G$311:$G$340,MATCH('Cost movements'!C41,Movements!$C$311:$C$340,0))+INDEX(Movements!$N$42:$N$71,MATCH('Cost movements'!C41,Movements!$C$42:$C$71,0))</f>
        <v>1045.0136890162773</v>
      </c>
      <c r="F41" s="306">
        <f t="shared" ref="F41:F69" si="2">E41-D41</f>
        <v>6.2666381049239135</v>
      </c>
      <c r="G41" s="234">
        <f t="shared" ref="G41:G69" si="3">IFERROR(F41/D41,0)</f>
        <v>6.0328817294122046E-3</v>
      </c>
      <c r="H41" s="258"/>
      <c r="I41" s="343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9"/>
      <c r="V41" s="9"/>
      <c r="W41" s="9"/>
      <c r="X41" s="9"/>
      <c r="Y41" s="9"/>
      <c r="Z41" s="9"/>
      <c r="AA41" s="9"/>
      <c r="AB41" s="9"/>
      <c r="AC41" s="9"/>
    </row>
    <row r="42" spans="1:29" outlineLevel="1" x14ac:dyDescent="0.2">
      <c r="A42" s="9"/>
      <c r="B42" s="9"/>
      <c r="C42" s="492">
        <f>Movements!C44</f>
        <v>0</v>
      </c>
      <c r="D42" s="235">
        <f>INDEX(Movements!$G$581:$G$610,MATCH('Cost movements'!C42,Movements!$C$311:$C$340,0))+INDEX(Movements!$O$42:$O$71,MATCH('Cost movements'!C42,Movements!$C$42:$C$71,0))</f>
        <v>0</v>
      </c>
      <c r="E42" s="235">
        <f>INDEX(Movements!$G$311:$G$340,MATCH('Cost movements'!C42,Movements!$C$311:$C$340,0))+INDEX(Movements!$N$42:$N$71,MATCH('Cost movements'!C42,Movements!$C$42:$C$71,0))</f>
        <v>0</v>
      </c>
      <c r="F42" s="306">
        <f t="shared" si="2"/>
        <v>0</v>
      </c>
      <c r="G42" s="234">
        <f t="shared" si="3"/>
        <v>0</v>
      </c>
      <c r="H42" s="258"/>
      <c r="I42" s="343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9"/>
      <c r="V42" s="9"/>
      <c r="W42" s="9"/>
      <c r="X42" s="9"/>
      <c r="Y42" s="9"/>
      <c r="Z42" s="9"/>
      <c r="AA42" s="9"/>
      <c r="AB42" s="9"/>
      <c r="AC42" s="9"/>
    </row>
    <row r="43" spans="1:29" hidden="1" outlineLevel="2" x14ac:dyDescent="0.2">
      <c r="A43" s="9"/>
      <c r="B43" s="9"/>
      <c r="C43" s="492">
        <f>Movements!C45</f>
        <v>0</v>
      </c>
      <c r="D43" s="235">
        <f>INDEX(Movements!$G$581:$G$610,MATCH('Cost movements'!C43,Movements!$C$311:$C$340,0))+INDEX(Movements!$O$42:$O$71,MATCH('Cost movements'!C43,Movements!$C$42:$C$71,0))</f>
        <v>0</v>
      </c>
      <c r="E43" s="235">
        <f>INDEX(Movements!$G$311:$G$340,MATCH('Cost movements'!C43,Movements!$C$311:$C$340,0))+INDEX(Movements!$N$42:$N$71,MATCH('Cost movements'!C43,Movements!$C$42:$C$71,0))</f>
        <v>0</v>
      </c>
      <c r="F43" s="306">
        <f t="shared" si="2"/>
        <v>0</v>
      </c>
      <c r="G43" s="234">
        <f t="shared" si="3"/>
        <v>0</v>
      </c>
      <c r="H43" s="258"/>
      <c r="I43" s="343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9"/>
      <c r="V43" s="9"/>
      <c r="W43" s="9"/>
      <c r="X43" s="9"/>
      <c r="Y43" s="9"/>
      <c r="Z43" s="9"/>
      <c r="AA43" s="9"/>
      <c r="AB43" s="9"/>
      <c r="AC43" s="9"/>
    </row>
    <row r="44" spans="1:29" hidden="1" outlineLevel="2" x14ac:dyDescent="0.2">
      <c r="A44" s="9"/>
      <c r="B44" s="9"/>
      <c r="C44" s="492">
        <f>Movements!C46</f>
        <v>0</v>
      </c>
      <c r="D44" s="235">
        <f>INDEX(Movements!$G$581:$G$610,MATCH('Cost movements'!C44,Movements!$C$311:$C$340,0))+INDEX(Movements!$O$42:$O$71,MATCH('Cost movements'!C44,Movements!$C$42:$C$71,0))</f>
        <v>0</v>
      </c>
      <c r="E44" s="235">
        <f>INDEX(Movements!$G$311:$G$340,MATCH('Cost movements'!C44,Movements!$C$311:$C$340,0))+INDEX(Movements!$N$42:$N$71,MATCH('Cost movements'!C44,Movements!$C$42:$C$71,0))</f>
        <v>0</v>
      </c>
      <c r="F44" s="306">
        <f t="shared" si="2"/>
        <v>0</v>
      </c>
      <c r="G44" s="234">
        <f t="shared" si="3"/>
        <v>0</v>
      </c>
      <c r="H44" s="258"/>
      <c r="I44" s="343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9"/>
      <c r="V44" s="9"/>
      <c r="W44" s="9"/>
      <c r="X44" s="9"/>
      <c r="Y44" s="9"/>
      <c r="Z44" s="9"/>
      <c r="AA44" s="9"/>
      <c r="AB44" s="9"/>
      <c r="AC44" s="9"/>
    </row>
    <row r="45" spans="1:29" hidden="1" outlineLevel="2" x14ac:dyDescent="0.2">
      <c r="A45" s="9"/>
      <c r="B45" s="9"/>
      <c r="C45" s="492">
        <f>Movements!C47</f>
        <v>0</v>
      </c>
      <c r="D45" s="235">
        <f>INDEX(Movements!$G$581:$G$610,MATCH('Cost movements'!C45,Movements!$C$311:$C$340,0))+INDEX(Movements!$O$42:$O$71,MATCH('Cost movements'!C45,Movements!$C$42:$C$71,0))</f>
        <v>0</v>
      </c>
      <c r="E45" s="235">
        <f>INDEX(Movements!$G$311:$G$340,MATCH('Cost movements'!C45,Movements!$C$311:$C$340,0))+INDEX(Movements!$N$42:$N$71,MATCH('Cost movements'!C45,Movements!$C$42:$C$71,0))</f>
        <v>0</v>
      </c>
      <c r="F45" s="306">
        <f t="shared" si="2"/>
        <v>0</v>
      </c>
      <c r="G45" s="234">
        <f t="shared" si="3"/>
        <v>0</v>
      </c>
      <c r="H45" s="258"/>
      <c r="I45" s="343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9"/>
      <c r="V45" s="9"/>
      <c r="W45" s="9"/>
      <c r="X45" s="9"/>
      <c r="Y45" s="9"/>
      <c r="Z45" s="9"/>
      <c r="AA45" s="9"/>
      <c r="AB45" s="9"/>
      <c r="AC45" s="9"/>
    </row>
    <row r="46" spans="1:29" hidden="1" outlineLevel="2" x14ac:dyDescent="0.2">
      <c r="A46" s="9"/>
      <c r="B46" s="9"/>
      <c r="C46" s="492">
        <f>Movements!C48</f>
        <v>0</v>
      </c>
      <c r="D46" s="235">
        <f>INDEX(Movements!$G$581:$G$610,MATCH('Cost movements'!C46,Movements!$C$311:$C$340,0))+INDEX(Movements!$O$42:$O$71,MATCH('Cost movements'!C46,Movements!$C$42:$C$71,0))</f>
        <v>0</v>
      </c>
      <c r="E46" s="235">
        <f>INDEX(Movements!$G$311:$G$340,MATCH('Cost movements'!C46,Movements!$C$311:$C$340,0))+INDEX(Movements!$N$42:$N$71,MATCH('Cost movements'!C46,Movements!$C$42:$C$71,0))</f>
        <v>0</v>
      </c>
      <c r="F46" s="306">
        <f t="shared" si="2"/>
        <v>0</v>
      </c>
      <c r="G46" s="234">
        <f t="shared" si="3"/>
        <v>0</v>
      </c>
      <c r="H46" s="258"/>
      <c r="I46" s="343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9"/>
      <c r="V46" s="9"/>
      <c r="W46" s="9"/>
      <c r="X46" s="9"/>
      <c r="Y46" s="9"/>
      <c r="Z46" s="9"/>
      <c r="AA46" s="9"/>
      <c r="AB46" s="9"/>
      <c r="AC46" s="9"/>
    </row>
    <row r="47" spans="1:29" hidden="1" outlineLevel="2" x14ac:dyDescent="0.2">
      <c r="A47" s="9"/>
      <c r="B47" s="9"/>
      <c r="C47" s="492">
        <f>Movements!C49</f>
        <v>0</v>
      </c>
      <c r="D47" s="235">
        <f>INDEX(Movements!$G$581:$G$610,MATCH('Cost movements'!C47,Movements!$C$311:$C$340,0))+INDEX(Movements!$O$42:$O$71,MATCH('Cost movements'!C47,Movements!$C$42:$C$71,0))</f>
        <v>0</v>
      </c>
      <c r="E47" s="235">
        <f>INDEX(Movements!$G$311:$G$340,MATCH('Cost movements'!C47,Movements!$C$311:$C$340,0))+INDEX(Movements!$N$42:$N$71,MATCH('Cost movements'!C47,Movements!$C$42:$C$71,0))</f>
        <v>0</v>
      </c>
      <c r="F47" s="306">
        <f t="shared" si="2"/>
        <v>0</v>
      </c>
      <c r="G47" s="234">
        <f t="shared" si="3"/>
        <v>0</v>
      </c>
      <c r="H47" s="258"/>
      <c r="I47" s="343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9"/>
      <c r="V47" s="9"/>
      <c r="W47" s="9"/>
      <c r="X47" s="9"/>
      <c r="Y47" s="9"/>
      <c r="Z47" s="9"/>
      <c r="AA47" s="9"/>
      <c r="AB47" s="9"/>
      <c r="AC47" s="9"/>
    </row>
    <row r="48" spans="1:29" hidden="1" outlineLevel="2" x14ac:dyDescent="0.2">
      <c r="A48" s="9"/>
      <c r="B48" s="9"/>
      <c r="C48" s="492">
        <f>Movements!C50</f>
        <v>0</v>
      </c>
      <c r="D48" s="235">
        <f>INDEX(Movements!$G$581:$G$610,MATCH('Cost movements'!C48,Movements!$C$311:$C$340,0))+INDEX(Movements!$O$42:$O$71,MATCH('Cost movements'!C48,Movements!$C$42:$C$71,0))</f>
        <v>0</v>
      </c>
      <c r="E48" s="235">
        <f>INDEX(Movements!$G$311:$G$340,MATCH('Cost movements'!C48,Movements!$C$311:$C$340,0))+INDEX(Movements!$N$42:$N$71,MATCH('Cost movements'!C48,Movements!$C$42:$C$71,0))</f>
        <v>0</v>
      </c>
      <c r="F48" s="306">
        <f t="shared" si="2"/>
        <v>0</v>
      </c>
      <c r="G48" s="234">
        <f t="shared" si="3"/>
        <v>0</v>
      </c>
      <c r="H48" s="258"/>
      <c r="I48" s="343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9"/>
      <c r="V48" s="9"/>
      <c r="W48" s="9"/>
      <c r="X48" s="9"/>
      <c r="Y48" s="9"/>
      <c r="Z48" s="9"/>
      <c r="AA48" s="9"/>
      <c r="AB48" s="9"/>
      <c r="AC48" s="9"/>
    </row>
    <row r="49" spans="1:29" hidden="1" outlineLevel="2" x14ac:dyDescent="0.2">
      <c r="A49" s="9"/>
      <c r="B49" s="9"/>
      <c r="C49" s="492">
        <f>Movements!C51</f>
        <v>0</v>
      </c>
      <c r="D49" s="235">
        <f>INDEX(Movements!$G$581:$G$610,MATCH('Cost movements'!C49,Movements!$C$311:$C$340,0))+INDEX(Movements!$O$42:$O$71,MATCH('Cost movements'!C49,Movements!$C$42:$C$71,0))</f>
        <v>0</v>
      </c>
      <c r="E49" s="235">
        <f>INDEX(Movements!$G$311:$G$340,MATCH('Cost movements'!C49,Movements!$C$311:$C$340,0))+INDEX(Movements!$N$42:$N$71,MATCH('Cost movements'!C49,Movements!$C$42:$C$71,0))</f>
        <v>0</v>
      </c>
      <c r="F49" s="306">
        <f t="shared" si="2"/>
        <v>0</v>
      </c>
      <c r="G49" s="234">
        <f t="shared" si="3"/>
        <v>0</v>
      </c>
      <c r="H49" s="258"/>
      <c r="I49" s="343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9"/>
      <c r="V49" s="9"/>
      <c r="W49" s="9"/>
      <c r="X49" s="9"/>
      <c r="Y49" s="9"/>
      <c r="Z49" s="9"/>
      <c r="AA49" s="9"/>
      <c r="AB49" s="9"/>
      <c r="AC49" s="9"/>
    </row>
    <row r="50" spans="1:29" hidden="1" outlineLevel="2" x14ac:dyDescent="0.2">
      <c r="A50" s="9"/>
      <c r="B50" s="9"/>
      <c r="C50" s="492">
        <f>Movements!C52</f>
        <v>0</v>
      </c>
      <c r="D50" s="235">
        <f>INDEX(Movements!$G$581:$G$610,MATCH('Cost movements'!C50,Movements!$C$311:$C$340,0))+INDEX(Movements!$O$42:$O$71,MATCH('Cost movements'!C50,Movements!$C$42:$C$71,0))</f>
        <v>0</v>
      </c>
      <c r="E50" s="235">
        <f>INDEX(Movements!$G$311:$G$340,MATCH('Cost movements'!C50,Movements!$C$311:$C$340,0))+INDEX(Movements!$N$42:$N$71,MATCH('Cost movements'!C50,Movements!$C$42:$C$71,0))</f>
        <v>0</v>
      </c>
      <c r="F50" s="306">
        <f t="shared" si="2"/>
        <v>0</v>
      </c>
      <c r="G50" s="234">
        <f t="shared" si="3"/>
        <v>0</v>
      </c>
      <c r="H50" s="258"/>
      <c r="I50" s="343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9"/>
      <c r="V50" s="9"/>
      <c r="W50" s="9"/>
      <c r="X50" s="9"/>
      <c r="Y50" s="9"/>
      <c r="Z50" s="9"/>
      <c r="AA50" s="9"/>
      <c r="AB50" s="9"/>
      <c r="AC50" s="9"/>
    </row>
    <row r="51" spans="1:29" hidden="1" outlineLevel="2" x14ac:dyDescent="0.2">
      <c r="A51" s="9"/>
      <c r="B51" s="9"/>
      <c r="C51" s="492">
        <f>Movements!C53</f>
        <v>0</v>
      </c>
      <c r="D51" s="235">
        <f>INDEX(Movements!$G$581:$G$610,MATCH('Cost movements'!C51,Movements!$C$311:$C$340,0))+INDEX(Movements!$O$42:$O$71,MATCH('Cost movements'!C51,Movements!$C$42:$C$71,0))</f>
        <v>0</v>
      </c>
      <c r="E51" s="235">
        <f>INDEX(Movements!$G$311:$G$340,MATCH('Cost movements'!C51,Movements!$C$311:$C$340,0))+INDEX(Movements!$N$42:$N$71,MATCH('Cost movements'!C51,Movements!$C$42:$C$71,0))</f>
        <v>0</v>
      </c>
      <c r="F51" s="306">
        <f t="shared" si="2"/>
        <v>0</v>
      </c>
      <c r="G51" s="234">
        <f t="shared" si="3"/>
        <v>0</v>
      </c>
      <c r="H51" s="258"/>
      <c r="I51" s="343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9"/>
      <c r="V51" s="9"/>
      <c r="W51" s="9"/>
      <c r="X51" s="9"/>
      <c r="Y51" s="9"/>
      <c r="Z51" s="9"/>
      <c r="AA51" s="9"/>
      <c r="AB51" s="9"/>
      <c r="AC51" s="9"/>
    </row>
    <row r="52" spans="1:29" hidden="1" outlineLevel="2" x14ac:dyDescent="0.2">
      <c r="A52" s="9"/>
      <c r="B52" s="9"/>
      <c r="C52" s="492">
        <f>Movements!C54</f>
        <v>0</v>
      </c>
      <c r="D52" s="235">
        <f>INDEX(Movements!$G$581:$G$610,MATCH('Cost movements'!C52,Movements!$C$311:$C$340,0))+INDEX(Movements!$O$42:$O$71,MATCH('Cost movements'!C52,Movements!$C$42:$C$71,0))</f>
        <v>0</v>
      </c>
      <c r="E52" s="235">
        <f>INDEX(Movements!$G$311:$G$340,MATCH('Cost movements'!C52,Movements!$C$311:$C$340,0))+INDEX(Movements!$N$42:$N$71,MATCH('Cost movements'!C52,Movements!$C$42:$C$71,0))</f>
        <v>0</v>
      </c>
      <c r="F52" s="306">
        <f t="shared" si="2"/>
        <v>0</v>
      </c>
      <c r="G52" s="234">
        <f t="shared" si="3"/>
        <v>0</v>
      </c>
      <c r="H52" s="258"/>
      <c r="I52" s="343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9"/>
      <c r="V52" s="9"/>
      <c r="W52" s="9"/>
      <c r="X52" s="9"/>
      <c r="Y52" s="9"/>
      <c r="Z52" s="9"/>
      <c r="AA52" s="9"/>
      <c r="AB52" s="9"/>
      <c r="AC52" s="9"/>
    </row>
    <row r="53" spans="1:29" hidden="1" outlineLevel="2" x14ac:dyDescent="0.2">
      <c r="A53" s="9"/>
      <c r="B53" s="9"/>
      <c r="C53" s="492">
        <f>Movements!C55</f>
        <v>0</v>
      </c>
      <c r="D53" s="235">
        <f>INDEX(Movements!$G$581:$G$610,MATCH('Cost movements'!C53,Movements!$C$311:$C$340,0))+INDEX(Movements!$O$42:$O$71,MATCH('Cost movements'!C53,Movements!$C$42:$C$71,0))</f>
        <v>0</v>
      </c>
      <c r="E53" s="235">
        <f>INDEX(Movements!$G$311:$G$340,MATCH('Cost movements'!C53,Movements!$C$311:$C$340,0))+INDEX(Movements!$N$42:$N$71,MATCH('Cost movements'!C53,Movements!$C$42:$C$71,0))</f>
        <v>0</v>
      </c>
      <c r="F53" s="306">
        <f t="shared" si="2"/>
        <v>0</v>
      </c>
      <c r="G53" s="234">
        <f t="shared" si="3"/>
        <v>0</v>
      </c>
      <c r="H53" s="258"/>
      <c r="I53" s="343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9"/>
      <c r="V53" s="9"/>
      <c r="W53" s="9"/>
      <c r="X53" s="9"/>
      <c r="Y53" s="9"/>
      <c r="Z53" s="9"/>
      <c r="AA53" s="9"/>
      <c r="AB53" s="9"/>
      <c r="AC53" s="9"/>
    </row>
    <row r="54" spans="1:29" hidden="1" outlineLevel="2" x14ac:dyDescent="0.2">
      <c r="A54" s="9"/>
      <c r="B54" s="9"/>
      <c r="C54" s="492">
        <f>Movements!C56</f>
        <v>0</v>
      </c>
      <c r="D54" s="235">
        <f>INDEX(Movements!$G$581:$G$610,MATCH('Cost movements'!C54,Movements!$C$311:$C$340,0))+INDEX(Movements!$O$42:$O$71,MATCH('Cost movements'!C54,Movements!$C$42:$C$71,0))</f>
        <v>0</v>
      </c>
      <c r="E54" s="235">
        <f>INDEX(Movements!$G$311:$G$340,MATCH('Cost movements'!C54,Movements!$C$311:$C$340,0))+INDEX(Movements!$N$42:$N$71,MATCH('Cost movements'!C54,Movements!$C$42:$C$71,0))</f>
        <v>0</v>
      </c>
      <c r="F54" s="306">
        <f t="shared" si="2"/>
        <v>0</v>
      </c>
      <c r="G54" s="234">
        <f t="shared" si="3"/>
        <v>0</v>
      </c>
      <c r="H54" s="258"/>
      <c r="I54" s="343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9"/>
      <c r="V54" s="9"/>
      <c r="W54" s="9"/>
      <c r="X54" s="9"/>
      <c r="Y54" s="9"/>
      <c r="Z54" s="9"/>
      <c r="AA54" s="9"/>
      <c r="AB54" s="9"/>
      <c r="AC54" s="9"/>
    </row>
    <row r="55" spans="1:29" hidden="1" outlineLevel="2" x14ac:dyDescent="0.2">
      <c r="A55" s="9"/>
      <c r="B55" s="9"/>
      <c r="C55" s="492">
        <f>Movements!C57</f>
        <v>0</v>
      </c>
      <c r="D55" s="235">
        <f>INDEX(Movements!$G$581:$G$610,MATCH('Cost movements'!C55,Movements!$C$311:$C$340,0))+INDEX(Movements!$O$42:$O$71,MATCH('Cost movements'!C55,Movements!$C$42:$C$71,0))</f>
        <v>0</v>
      </c>
      <c r="E55" s="235">
        <f>INDEX(Movements!$G$311:$G$340,MATCH('Cost movements'!C55,Movements!$C$311:$C$340,0))+INDEX(Movements!$N$42:$N$71,MATCH('Cost movements'!C55,Movements!$C$42:$C$71,0))</f>
        <v>0</v>
      </c>
      <c r="F55" s="306">
        <f t="shared" si="2"/>
        <v>0</v>
      </c>
      <c r="G55" s="234">
        <f t="shared" si="3"/>
        <v>0</v>
      </c>
      <c r="H55" s="258"/>
      <c r="I55" s="343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9"/>
      <c r="V55" s="9"/>
      <c r="W55" s="9"/>
      <c r="X55" s="9"/>
      <c r="Y55" s="9"/>
      <c r="Z55" s="9"/>
      <c r="AA55" s="9"/>
      <c r="AB55" s="9"/>
      <c r="AC55" s="9"/>
    </row>
    <row r="56" spans="1:29" hidden="1" outlineLevel="2" x14ac:dyDescent="0.2">
      <c r="A56" s="9"/>
      <c r="B56" s="9"/>
      <c r="C56" s="492">
        <f>Movements!C58</f>
        <v>0</v>
      </c>
      <c r="D56" s="235">
        <f>INDEX(Movements!$G$581:$G$610,MATCH('Cost movements'!C56,Movements!$C$311:$C$340,0))+INDEX(Movements!$O$42:$O$71,MATCH('Cost movements'!C56,Movements!$C$42:$C$71,0))</f>
        <v>0</v>
      </c>
      <c r="E56" s="235">
        <f>INDEX(Movements!$G$311:$G$340,MATCH('Cost movements'!C56,Movements!$C$311:$C$340,0))+INDEX(Movements!$N$42:$N$71,MATCH('Cost movements'!C56,Movements!$C$42:$C$71,0))</f>
        <v>0</v>
      </c>
      <c r="F56" s="306">
        <f t="shared" si="2"/>
        <v>0</v>
      </c>
      <c r="G56" s="234">
        <f t="shared" si="3"/>
        <v>0</v>
      </c>
      <c r="H56" s="258"/>
      <c r="I56" s="343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9"/>
      <c r="V56" s="9"/>
      <c r="W56" s="9"/>
      <c r="X56" s="9"/>
      <c r="Y56" s="9"/>
      <c r="Z56" s="9"/>
      <c r="AA56" s="9"/>
      <c r="AB56" s="9"/>
      <c r="AC56" s="9"/>
    </row>
    <row r="57" spans="1:29" hidden="1" outlineLevel="2" x14ac:dyDescent="0.2">
      <c r="A57" s="9"/>
      <c r="B57" s="9"/>
      <c r="C57" s="492">
        <f>Movements!C59</f>
        <v>0</v>
      </c>
      <c r="D57" s="235">
        <f>INDEX(Movements!$G$581:$G$610,MATCH('Cost movements'!C57,Movements!$C$311:$C$340,0))+INDEX(Movements!$O$42:$O$71,MATCH('Cost movements'!C57,Movements!$C$42:$C$71,0))</f>
        <v>0</v>
      </c>
      <c r="E57" s="235">
        <f>INDEX(Movements!$G$311:$G$340,MATCH('Cost movements'!C57,Movements!$C$311:$C$340,0))+INDEX(Movements!$N$42:$N$71,MATCH('Cost movements'!C57,Movements!$C$42:$C$71,0))</f>
        <v>0</v>
      </c>
      <c r="F57" s="306">
        <f t="shared" si="2"/>
        <v>0</v>
      </c>
      <c r="G57" s="234">
        <f t="shared" si="3"/>
        <v>0</v>
      </c>
      <c r="H57" s="258"/>
      <c r="I57" s="343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9"/>
      <c r="V57" s="9"/>
      <c r="W57" s="9"/>
      <c r="X57" s="9"/>
      <c r="Y57" s="9"/>
      <c r="Z57" s="9"/>
      <c r="AA57" s="9"/>
      <c r="AB57" s="9"/>
      <c r="AC57" s="9"/>
    </row>
    <row r="58" spans="1:29" hidden="1" outlineLevel="2" x14ac:dyDescent="0.2">
      <c r="A58" s="9"/>
      <c r="B58" s="9"/>
      <c r="C58" s="492">
        <f>Movements!C60</f>
        <v>0</v>
      </c>
      <c r="D58" s="235">
        <f>INDEX(Movements!$G$581:$G$610,MATCH('Cost movements'!C58,Movements!$C$311:$C$340,0))+INDEX(Movements!$O$42:$O$71,MATCH('Cost movements'!C58,Movements!$C$42:$C$71,0))</f>
        <v>0</v>
      </c>
      <c r="E58" s="235">
        <f>INDEX(Movements!$G$311:$G$340,MATCH('Cost movements'!C58,Movements!$C$311:$C$340,0))+INDEX(Movements!$N$42:$N$71,MATCH('Cost movements'!C58,Movements!$C$42:$C$71,0))</f>
        <v>0</v>
      </c>
      <c r="F58" s="306">
        <f t="shared" si="2"/>
        <v>0</v>
      </c>
      <c r="G58" s="234">
        <f t="shared" si="3"/>
        <v>0</v>
      </c>
      <c r="H58" s="258"/>
      <c r="I58" s="343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9"/>
      <c r="V58" s="9"/>
      <c r="W58" s="9"/>
      <c r="X58" s="9"/>
      <c r="Y58" s="9"/>
      <c r="Z58" s="9"/>
      <c r="AA58" s="9"/>
      <c r="AB58" s="9"/>
      <c r="AC58" s="9"/>
    </row>
    <row r="59" spans="1:29" hidden="1" outlineLevel="2" x14ac:dyDescent="0.2">
      <c r="A59" s="9"/>
      <c r="B59" s="9"/>
      <c r="C59" s="492">
        <f>Movements!C61</f>
        <v>0</v>
      </c>
      <c r="D59" s="235">
        <f>INDEX(Movements!$G$581:$G$610,MATCH('Cost movements'!C59,Movements!$C$311:$C$340,0))+INDEX(Movements!$O$42:$O$71,MATCH('Cost movements'!C59,Movements!$C$42:$C$71,0))</f>
        <v>0</v>
      </c>
      <c r="E59" s="235">
        <f>INDEX(Movements!$G$311:$G$340,MATCH('Cost movements'!C59,Movements!$C$311:$C$340,0))+INDEX(Movements!$N$42:$N$71,MATCH('Cost movements'!C59,Movements!$C$42:$C$71,0))</f>
        <v>0</v>
      </c>
      <c r="F59" s="306">
        <f t="shared" si="2"/>
        <v>0</v>
      </c>
      <c r="G59" s="234">
        <f t="shared" si="3"/>
        <v>0</v>
      </c>
      <c r="H59" s="258"/>
      <c r="I59" s="343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9"/>
      <c r="V59" s="9"/>
      <c r="W59" s="9"/>
      <c r="X59" s="9"/>
      <c r="Y59" s="9"/>
      <c r="Z59" s="9"/>
      <c r="AA59" s="9"/>
      <c r="AB59" s="9"/>
      <c r="AC59" s="9"/>
    </row>
    <row r="60" spans="1:29" hidden="1" outlineLevel="2" x14ac:dyDescent="0.2">
      <c r="A60" s="9"/>
      <c r="B60" s="9"/>
      <c r="C60" s="492">
        <f>Movements!C62</f>
        <v>0</v>
      </c>
      <c r="D60" s="235">
        <f>INDEX(Movements!$G$581:$G$610,MATCH('Cost movements'!C60,Movements!$C$311:$C$340,0))+INDEX(Movements!$O$42:$O$71,MATCH('Cost movements'!C60,Movements!$C$42:$C$71,0))</f>
        <v>0</v>
      </c>
      <c r="E60" s="235">
        <f>INDEX(Movements!$G$311:$G$340,MATCH('Cost movements'!C60,Movements!$C$311:$C$340,0))+INDEX(Movements!$N$42:$N$71,MATCH('Cost movements'!C60,Movements!$C$42:$C$71,0))</f>
        <v>0</v>
      </c>
      <c r="F60" s="306">
        <f t="shared" si="2"/>
        <v>0</v>
      </c>
      <c r="G60" s="234">
        <f t="shared" si="3"/>
        <v>0</v>
      </c>
      <c r="H60" s="258"/>
      <c r="I60" s="343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9"/>
      <c r="V60" s="9"/>
      <c r="W60" s="9"/>
      <c r="X60" s="9"/>
      <c r="Y60" s="9"/>
      <c r="Z60" s="9"/>
      <c r="AA60" s="9"/>
      <c r="AB60" s="9"/>
      <c r="AC60" s="9"/>
    </row>
    <row r="61" spans="1:29" hidden="1" outlineLevel="2" x14ac:dyDescent="0.2">
      <c r="A61" s="9"/>
      <c r="B61" s="9"/>
      <c r="C61" s="492">
        <f>Movements!C63</f>
        <v>0</v>
      </c>
      <c r="D61" s="235">
        <f>INDEX(Movements!$G$581:$G$610,MATCH('Cost movements'!C61,Movements!$C$311:$C$340,0))+INDEX(Movements!$O$42:$O$71,MATCH('Cost movements'!C61,Movements!$C$42:$C$71,0))</f>
        <v>0</v>
      </c>
      <c r="E61" s="235">
        <f>INDEX(Movements!$G$311:$G$340,MATCH('Cost movements'!C61,Movements!$C$311:$C$340,0))+INDEX(Movements!$N$42:$N$71,MATCH('Cost movements'!C61,Movements!$C$42:$C$71,0))</f>
        <v>0</v>
      </c>
      <c r="F61" s="306">
        <f t="shared" si="2"/>
        <v>0</v>
      </c>
      <c r="G61" s="234">
        <f t="shared" si="3"/>
        <v>0</v>
      </c>
      <c r="H61" s="258"/>
      <c r="I61" s="343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9"/>
      <c r="V61" s="9"/>
      <c r="W61" s="9"/>
      <c r="X61" s="9"/>
      <c r="Y61" s="9"/>
      <c r="Z61" s="9"/>
      <c r="AA61" s="9"/>
      <c r="AB61" s="9"/>
      <c r="AC61" s="9"/>
    </row>
    <row r="62" spans="1:29" hidden="1" outlineLevel="2" x14ac:dyDescent="0.2">
      <c r="A62" s="9"/>
      <c r="B62" s="9"/>
      <c r="C62" s="492">
        <f>Movements!C64</f>
        <v>0</v>
      </c>
      <c r="D62" s="235">
        <f>INDEX(Movements!$G$581:$G$610,MATCH('Cost movements'!C62,Movements!$C$311:$C$340,0))+INDEX(Movements!$O$42:$O$71,MATCH('Cost movements'!C62,Movements!$C$42:$C$71,0))</f>
        <v>0</v>
      </c>
      <c r="E62" s="235">
        <f>INDEX(Movements!$G$311:$G$340,MATCH('Cost movements'!C62,Movements!$C$311:$C$340,0))+INDEX(Movements!$N$42:$N$71,MATCH('Cost movements'!C62,Movements!$C$42:$C$71,0))</f>
        <v>0</v>
      </c>
      <c r="F62" s="306">
        <f t="shared" si="2"/>
        <v>0</v>
      </c>
      <c r="G62" s="234">
        <f t="shared" si="3"/>
        <v>0</v>
      </c>
      <c r="H62" s="258"/>
      <c r="I62" s="343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9"/>
      <c r="V62" s="9"/>
      <c r="W62" s="9"/>
      <c r="X62" s="9"/>
      <c r="Y62" s="9"/>
      <c r="Z62" s="9"/>
      <c r="AA62" s="9"/>
      <c r="AB62" s="9"/>
      <c r="AC62" s="9"/>
    </row>
    <row r="63" spans="1:29" hidden="1" outlineLevel="2" x14ac:dyDescent="0.2">
      <c r="A63" s="9"/>
      <c r="B63" s="9"/>
      <c r="C63" s="492">
        <f>Movements!C65</f>
        <v>0</v>
      </c>
      <c r="D63" s="235">
        <f>INDEX(Movements!$G$581:$G$610,MATCH('Cost movements'!C63,Movements!$C$311:$C$340,0))+INDEX(Movements!$O$42:$O$71,MATCH('Cost movements'!C63,Movements!$C$42:$C$71,0))</f>
        <v>0</v>
      </c>
      <c r="E63" s="235">
        <f>INDEX(Movements!$G$311:$G$340,MATCH('Cost movements'!C63,Movements!$C$311:$C$340,0))+INDEX(Movements!$N$42:$N$71,MATCH('Cost movements'!C63,Movements!$C$42:$C$71,0))</f>
        <v>0</v>
      </c>
      <c r="F63" s="306">
        <f t="shared" si="2"/>
        <v>0</v>
      </c>
      <c r="G63" s="234">
        <f t="shared" si="3"/>
        <v>0</v>
      </c>
      <c r="H63" s="258"/>
      <c r="I63" s="343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9"/>
      <c r="V63" s="9"/>
      <c r="W63" s="9"/>
      <c r="X63" s="9"/>
      <c r="Y63" s="9"/>
      <c r="Z63" s="9"/>
      <c r="AA63" s="9"/>
      <c r="AB63" s="9"/>
      <c r="AC63" s="9"/>
    </row>
    <row r="64" spans="1:29" hidden="1" outlineLevel="2" x14ac:dyDescent="0.2">
      <c r="A64" s="9"/>
      <c r="B64" s="9"/>
      <c r="C64" s="492">
        <f>Movements!C66</f>
        <v>0</v>
      </c>
      <c r="D64" s="235">
        <f>INDEX(Movements!$G$581:$G$610,MATCH('Cost movements'!C64,Movements!$C$311:$C$340,0))+INDEX(Movements!$O$42:$O$71,MATCH('Cost movements'!C64,Movements!$C$42:$C$71,0))</f>
        <v>0</v>
      </c>
      <c r="E64" s="235">
        <f>INDEX(Movements!$G$311:$G$340,MATCH('Cost movements'!C64,Movements!$C$311:$C$340,0))+INDEX(Movements!$N$42:$N$71,MATCH('Cost movements'!C64,Movements!$C$42:$C$71,0))</f>
        <v>0</v>
      </c>
      <c r="F64" s="306">
        <f t="shared" si="2"/>
        <v>0</v>
      </c>
      <c r="G64" s="234">
        <f t="shared" si="3"/>
        <v>0</v>
      </c>
      <c r="H64" s="258"/>
      <c r="I64" s="343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9"/>
      <c r="V64" s="9"/>
      <c r="W64" s="9"/>
      <c r="X64" s="9"/>
      <c r="Y64" s="9"/>
      <c r="Z64" s="9"/>
      <c r="AA64" s="9"/>
      <c r="AB64" s="9"/>
      <c r="AC64" s="9"/>
    </row>
    <row r="65" spans="1:29" hidden="1" outlineLevel="2" x14ac:dyDescent="0.2">
      <c r="A65" s="9"/>
      <c r="B65" s="9"/>
      <c r="C65" s="492">
        <f>Movements!C67</f>
        <v>0</v>
      </c>
      <c r="D65" s="235">
        <f>INDEX(Movements!$G$581:$G$610,MATCH('Cost movements'!C65,Movements!$C$311:$C$340,0))+INDEX(Movements!$O$42:$O$71,MATCH('Cost movements'!C65,Movements!$C$42:$C$71,0))</f>
        <v>0</v>
      </c>
      <c r="E65" s="235">
        <f>INDEX(Movements!$G$311:$G$340,MATCH('Cost movements'!C65,Movements!$C$311:$C$340,0))+INDEX(Movements!$N$42:$N$71,MATCH('Cost movements'!C65,Movements!$C$42:$C$71,0))</f>
        <v>0</v>
      </c>
      <c r="F65" s="306">
        <f t="shared" si="2"/>
        <v>0</v>
      </c>
      <c r="G65" s="234">
        <f t="shared" si="3"/>
        <v>0</v>
      </c>
      <c r="H65" s="258"/>
      <c r="I65" s="343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9"/>
      <c r="V65" s="9"/>
      <c r="W65" s="9"/>
      <c r="X65" s="9"/>
      <c r="Y65" s="9"/>
      <c r="Z65" s="9"/>
      <c r="AA65" s="9"/>
      <c r="AB65" s="9"/>
      <c r="AC65" s="9"/>
    </row>
    <row r="66" spans="1:29" hidden="1" outlineLevel="2" x14ac:dyDescent="0.2">
      <c r="A66" s="9"/>
      <c r="B66" s="9"/>
      <c r="C66" s="492">
        <f>Movements!C68</f>
        <v>0</v>
      </c>
      <c r="D66" s="235">
        <f>INDEX(Movements!$G$581:$G$610,MATCH('Cost movements'!C66,Movements!$C$311:$C$340,0))+INDEX(Movements!$O$42:$O$71,MATCH('Cost movements'!C66,Movements!$C$42:$C$71,0))</f>
        <v>0</v>
      </c>
      <c r="E66" s="235">
        <f>INDEX(Movements!$G$311:$G$340,MATCH('Cost movements'!C66,Movements!$C$311:$C$340,0))+INDEX(Movements!$N$42:$N$71,MATCH('Cost movements'!C66,Movements!$C$42:$C$71,0))</f>
        <v>0</v>
      </c>
      <c r="F66" s="306">
        <f t="shared" si="2"/>
        <v>0</v>
      </c>
      <c r="G66" s="234">
        <f t="shared" si="3"/>
        <v>0</v>
      </c>
      <c r="H66" s="258"/>
      <c r="I66" s="343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9"/>
      <c r="V66" s="9"/>
      <c r="W66" s="9"/>
      <c r="X66" s="9"/>
      <c r="Y66" s="9"/>
      <c r="Z66" s="9"/>
      <c r="AA66" s="9"/>
      <c r="AB66" s="9"/>
      <c r="AC66" s="9"/>
    </row>
    <row r="67" spans="1:29" hidden="1" outlineLevel="2" x14ac:dyDescent="0.2">
      <c r="A67" s="9"/>
      <c r="B67" s="9"/>
      <c r="C67" s="492">
        <f>Movements!C69</f>
        <v>0</v>
      </c>
      <c r="D67" s="235">
        <f>INDEX(Movements!$G$581:$G$610,MATCH('Cost movements'!C67,Movements!$C$311:$C$340,0))+INDEX(Movements!$O$42:$O$71,MATCH('Cost movements'!C67,Movements!$C$42:$C$71,0))</f>
        <v>0</v>
      </c>
      <c r="E67" s="235">
        <f>INDEX(Movements!$G$311:$G$340,MATCH('Cost movements'!C67,Movements!$C$311:$C$340,0))+INDEX(Movements!$N$42:$N$71,MATCH('Cost movements'!C67,Movements!$C$42:$C$71,0))</f>
        <v>0</v>
      </c>
      <c r="F67" s="306">
        <f t="shared" si="2"/>
        <v>0</v>
      </c>
      <c r="G67" s="234">
        <f t="shared" si="3"/>
        <v>0</v>
      </c>
      <c r="H67" s="258"/>
      <c r="I67" s="343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9"/>
      <c r="V67" s="9"/>
      <c r="W67" s="9"/>
      <c r="X67" s="9"/>
      <c r="Y67" s="9"/>
      <c r="Z67" s="9"/>
      <c r="AA67" s="9"/>
      <c r="AB67" s="9"/>
      <c r="AC67" s="9"/>
    </row>
    <row r="68" spans="1:29" hidden="1" outlineLevel="2" x14ac:dyDescent="0.2">
      <c r="A68" s="9"/>
      <c r="B68" s="9"/>
      <c r="C68" s="492">
        <f>Movements!C70</f>
        <v>0</v>
      </c>
      <c r="D68" s="235">
        <f>INDEX(Movements!$G$581:$G$610,MATCH('Cost movements'!C68,Movements!$C$311:$C$340,0))+INDEX(Movements!$O$42:$O$71,MATCH('Cost movements'!C68,Movements!$C$42:$C$71,0))</f>
        <v>0</v>
      </c>
      <c r="E68" s="235">
        <f>INDEX(Movements!$G$311:$G$340,MATCH('Cost movements'!C68,Movements!$C$311:$C$340,0))+INDEX(Movements!$N$42:$N$71,MATCH('Cost movements'!C68,Movements!$C$42:$C$71,0))</f>
        <v>0</v>
      </c>
      <c r="F68" s="306">
        <f t="shared" si="2"/>
        <v>0</v>
      </c>
      <c r="G68" s="234">
        <f t="shared" si="3"/>
        <v>0</v>
      </c>
      <c r="H68" s="258"/>
      <c r="I68" s="343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9"/>
      <c r="V68" s="9"/>
      <c r="W68" s="9"/>
      <c r="X68" s="9"/>
      <c r="Y68" s="9"/>
      <c r="Z68" s="9"/>
      <c r="AA68" s="9"/>
      <c r="AB68" s="9"/>
      <c r="AC68" s="9"/>
    </row>
    <row r="69" spans="1:29" hidden="1" outlineLevel="2" x14ac:dyDescent="0.2">
      <c r="A69" s="9"/>
      <c r="B69" s="9"/>
      <c r="C69" s="492">
        <f>Movements!C71</f>
        <v>0</v>
      </c>
      <c r="D69" s="235">
        <f>INDEX(Movements!$G$581:$G$610,MATCH('Cost movements'!C69,Movements!$C$311:$C$340,0))+INDEX(Movements!$O$42:$O$71,MATCH('Cost movements'!C69,Movements!$C$42:$C$71,0))</f>
        <v>0</v>
      </c>
      <c r="E69" s="235">
        <f>INDEX(Movements!$G$311:$G$340,MATCH('Cost movements'!C69,Movements!$C$311:$C$340,0))+INDEX(Movements!$N$42:$N$71,MATCH('Cost movements'!C69,Movements!$C$42:$C$71,0))</f>
        <v>0</v>
      </c>
      <c r="F69" s="306">
        <f t="shared" si="2"/>
        <v>0</v>
      </c>
      <c r="G69" s="234">
        <f t="shared" si="3"/>
        <v>0</v>
      </c>
      <c r="H69" s="258"/>
      <c r="I69" s="343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9"/>
      <c r="V69" s="9"/>
      <c r="W69" s="9"/>
      <c r="X69" s="9"/>
      <c r="Y69" s="9"/>
      <c r="Z69" s="9"/>
      <c r="AA69" s="9"/>
      <c r="AB69" s="9"/>
      <c r="AC69" s="9"/>
    </row>
    <row r="70" spans="1:29" outlineLevel="1" collapsed="1" x14ac:dyDescent="0.2">
      <c r="A70" s="19"/>
      <c r="B70" s="19"/>
      <c r="C70" s="51"/>
      <c r="D70" s="20"/>
      <c r="E70" s="20"/>
      <c r="F70" s="22"/>
      <c r="G70" s="22"/>
      <c r="H70" s="22"/>
      <c r="I70" s="20"/>
      <c r="J70" s="20"/>
      <c r="K70" s="20"/>
      <c r="L70" s="20"/>
      <c r="M70" s="20"/>
      <c r="N70" s="20"/>
      <c r="O70" s="20"/>
      <c r="P70" s="20"/>
      <c r="Q70" s="19"/>
      <c r="R70" s="19"/>
      <c r="S70" s="19"/>
      <c r="T70" s="19"/>
      <c r="U70" s="19"/>
      <c r="V70" s="19"/>
      <c r="W70" s="19"/>
      <c r="X70" s="19"/>
      <c r="Y70" s="19"/>
    </row>
    <row r="71" spans="1:29" x14ac:dyDescent="0.2">
      <c r="A71" s="19"/>
      <c r="B71" s="19"/>
      <c r="C71" s="51"/>
      <c r="D71" s="20"/>
      <c r="E71" s="20"/>
      <c r="F71" s="22"/>
      <c r="G71" s="22"/>
      <c r="H71" s="259"/>
      <c r="I71" s="260"/>
      <c r="J71" s="20"/>
      <c r="K71" s="20"/>
      <c r="L71" s="20"/>
      <c r="M71" s="20"/>
      <c r="N71" s="20"/>
      <c r="O71" s="20"/>
      <c r="P71" s="20"/>
      <c r="Q71" s="19"/>
      <c r="R71" s="19"/>
      <c r="S71" s="19"/>
      <c r="T71" s="19"/>
      <c r="U71" s="19"/>
      <c r="V71" s="19"/>
      <c r="W71" s="19"/>
      <c r="X71" s="19"/>
      <c r="Y71" s="19"/>
    </row>
    <row r="72" spans="1:29" ht="12.75" x14ac:dyDescent="0.2">
      <c r="A72" s="11"/>
      <c r="B72" s="12" t="s">
        <v>538</v>
      </c>
      <c r="C72" s="11"/>
      <c r="D72" s="32"/>
      <c r="E72" s="32"/>
      <c r="F72" s="33"/>
      <c r="G72" s="34"/>
      <c r="H72" s="34"/>
      <c r="I72" s="34"/>
      <c r="J72" s="33"/>
      <c r="K72" s="33"/>
      <c r="L72" s="33"/>
      <c r="M72" s="33"/>
      <c r="N72" s="33"/>
      <c r="O72" s="33"/>
      <c r="P72" s="33"/>
      <c r="Q72" s="35"/>
      <c r="R72" s="35"/>
      <c r="S72" s="35"/>
      <c r="T72" s="35"/>
      <c r="U72" s="15"/>
      <c r="V72" s="15"/>
      <c r="W72" s="15"/>
      <c r="X72" s="15"/>
      <c r="Y72" s="15"/>
    </row>
    <row r="73" spans="1:29" x14ac:dyDescent="0.2">
      <c r="A73" s="19"/>
      <c r="B73" s="19"/>
      <c r="C73" s="51"/>
      <c r="D73" s="20"/>
      <c r="E73" s="20"/>
      <c r="F73" s="20"/>
      <c r="T73" s="19"/>
      <c r="U73" s="19"/>
      <c r="V73" s="19"/>
      <c r="W73" s="19"/>
      <c r="X73" s="19"/>
      <c r="Y73" s="19"/>
    </row>
    <row r="74" spans="1:29" x14ac:dyDescent="0.2">
      <c r="A74" s="19"/>
      <c r="B74" s="19"/>
      <c r="C74" s="51"/>
      <c r="D74" s="683" t="s">
        <v>136</v>
      </c>
      <c r="E74" s="683"/>
      <c r="F74" s="683"/>
      <c r="G74" s="683"/>
      <c r="H74" s="683" t="s">
        <v>536</v>
      </c>
      <c r="I74" s="683"/>
      <c r="J74" s="683"/>
      <c r="K74" s="683"/>
      <c r="L74" s="684" t="s">
        <v>537</v>
      </c>
      <c r="M74" s="684"/>
      <c r="N74" s="684"/>
      <c r="O74" s="684"/>
      <c r="P74" s="684" t="s">
        <v>405</v>
      </c>
      <c r="Q74" s="684"/>
      <c r="R74" s="684"/>
      <c r="S74" s="684"/>
      <c r="T74" s="19"/>
      <c r="U74" s="19"/>
      <c r="V74" s="19"/>
      <c r="W74" s="19"/>
      <c r="X74" s="19"/>
      <c r="Y74" s="19"/>
    </row>
    <row r="75" spans="1:29" x14ac:dyDescent="0.2">
      <c r="A75" s="19"/>
      <c r="B75" s="19"/>
      <c r="C75" s="266" t="s">
        <v>397</v>
      </c>
      <c r="D75" s="20" t="str">
        <f>currentyear</f>
        <v>2021–22</v>
      </c>
      <c r="E75" s="20" t="str">
        <f>forecastyear</f>
        <v>2022–23</v>
      </c>
      <c r="F75" s="20" t="s">
        <v>399</v>
      </c>
      <c r="G75" s="261" t="s">
        <v>400</v>
      </c>
      <c r="H75" s="20" t="str">
        <f>currentyear</f>
        <v>2021–22</v>
      </c>
      <c r="I75" s="20" t="str">
        <f>forecastyear</f>
        <v>2022–23</v>
      </c>
      <c r="J75" s="461" t="s">
        <v>399</v>
      </c>
      <c r="K75" s="461" t="s">
        <v>400</v>
      </c>
      <c r="L75" s="461" t="str">
        <f>currentyear</f>
        <v>2021–22</v>
      </c>
      <c r="M75" s="461" t="str">
        <f>forecastyear</f>
        <v>2022–23</v>
      </c>
      <c r="N75" s="461" t="s">
        <v>399</v>
      </c>
      <c r="O75" s="461" t="s">
        <v>400</v>
      </c>
      <c r="P75" s="461" t="str">
        <f>currentyear</f>
        <v>2021–22</v>
      </c>
      <c r="Q75" s="461" t="str">
        <f>forecastyear</f>
        <v>2022–23</v>
      </c>
      <c r="R75" s="461" t="s">
        <v>399</v>
      </c>
      <c r="S75" s="461" t="s">
        <v>400</v>
      </c>
      <c r="T75" s="19"/>
      <c r="U75" s="19"/>
      <c r="V75" s="19"/>
      <c r="W75" s="19"/>
      <c r="X75" s="19"/>
      <c r="Y75" s="19"/>
    </row>
    <row r="76" spans="1:29" x14ac:dyDescent="0.2">
      <c r="A76" s="152"/>
      <c r="B76" s="19"/>
      <c r="C76" s="492" t="str">
        <f t="shared" ref="C76:C105" si="4">C9</f>
        <v>Residential time of use consumption</v>
      </c>
      <c r="D76" s="235">
        <f>INDEX(Movements!$G$347:$G$376,MATCH('Cost movements'!C76,Movements!$C$77:$C$106,0))</f>
        <v>608.29173427366663</v>
      </c>
      <c r="E76" s="235">
        <f>INDEX(Movements!$G$77:$G$106,MATCH('Cost movements'!C76,Movements!$C$77:$C$106,0))</f>
        <v>602.82538420457661</v>
      </c>
      <c r="F76" s="306">
        <f>E76-D76</f>
        <v>-5.4663500690900264</v>
      </c>
      <c r="G76" s="234">
        <f>IFERROR(F76/D76,0)</f>
        <v>-8.9863954433264583E-3</v>
      </c>
      <c r="H76" s="235">
        <f>INDEX(Movements!$G$380:$G$409,MATCH('Cost movements'!C76,Movements!$C$110:$C$139,0))</f>
        <v>123.94490760974463</v>
      </c>
      <c r="I76" s="235">
        <f>INDEX(Movements!$G$110:$G$139,MATCH('Cost movements'!C76,Movements!$C$110:$C$139,0))</f>
        <v>132.02336965028547</v>
      </c>
      <c r="J76" s="306">
        <f>I76-H76</f>
        <v>8.0784620405408418</v>
      </c>
      <c r="K76" s="234">
        <f>IFERROR(J76/H76,0)</f>
        <v>6.5177845514854435E-2</v>
      </c>
      <c r="L76" s="235">
        <f>INDEX(Movements!$G$413:$G$442,MATCH('Cost movements'!C76,Movements!$C$143:$C$172,0))</f>
        <v>0</v>
      </c>
      <c r="M76" s="235">
        <f>INDEX(Movements!$G$143:$G$172,MATCH('Cost movements'!C76,Movements!$C$143:$C$172,0))</f>
        <v>0</v>
      </c>
      <c r="N76" s="306">
        <f>M76-L76</f>
        <v>0</v>
      </c>
      <c r="O76" s="234">
        <f>IFERROR(N76/L76,0)</f>
        <v>0</v>
      </c>
      <c r="P76" s="235">
        <f>INDEX(Movements!$O$11:$O$40,MATCH('Cost movements'!C76,Movements!$C$11:$C$40,0))</f>
        <v>24.590050000000002</v>
      </c>
      <c r="Q76" s="235">
        <f>INDEX(Movements!$N$11:$N$40,MATCH('Cost movements'!C76,Movements!$C$11:$C$40,0))</f>
        <v>25.799999999999997</v>
      </c>
      <c r="R76" s="306">
        <f>Q76-P76</f>
        <v>1.2099499999999956</v>
      </c>
      <c r="S76" s="234">
        <f>IFERROR(R76/P76,0)</f>
        <v>4.9204861315857253E-2</v>
      </c>
      <c r="T76" s="361"/>
      <c r="U76" s="19"/>
      <c r="V76" s="19"/>
      <c r="W76" s="19"/>
      <c r="X76" s="19"/>
      <c r="Y76" s="19"/>
    </row>
    <row r="77" spans="1:29" x14ac:dyDescent="0.2">
      <c r="A77" s="19"/>
      <c r="B77" s="19"/>
      <c r="C77" s="492" t="str">
        <f t="shared" si="4"/>
        <v>Residential general light and power</v>
      </c>
      <c r="D77" s="235">
        <f>INDEX(Movements!$G$347:$G$376,MATCH('Cost movements'!C77,Movements!$C$77:$C$106,0))</f>
        <v>421.89362957883145</v>
      </c>
      <c r="E77" s="235">
        <f>INDEX(Movements!$G$77:$G$106,MATCH('Cost movements'!C77,Movements!$C$77:$C$106,0))</f>
        <v>407.80603207239545</v>
      </c>
      <c r="F77" s="306">
        <f t="shared" ref="F77:F105" si="5">E77-D77</f>
        <v>-14.087597506435998</v>
      </c>
      <c r="G77" s="234">
        <f t="shared" ref="G77:G105" si="6">IFERROR(F77/D77,0)</f>
        <v>-3.3391349190314591E-2</v>
      </c>
      <c r="H77" s="235">
        <f>INDEX(Movements!$G$380:$G$409,MATCH('Cost movements'!C77,Movements!$C$110:$C$139,0))</f>
        <v>65.374053738001606</v>
      </c>
      <c r="I77" s="235">
        <f>INDEX(Movements!$G$110:$G$139,MATCH('Cost movements'!C77,Movements!$C$110:$C$139,0))</f>
        <v>69.029377172814606</v>
      </c>
      <c r="J77" s="306">
        <f t="shared" ref="J77:J105" si="7">I77-H77</f>
        <v>3.655323434812999</v>
      </c>
      <c r="K77" s="234">
        <f t="shared" ref="K77:K105" si="8">IFERROR(J77/H77,0)</f>
        <v>5.5913978494623748E-2</v>
      </c>
      <c r="L77" s="235">
        <f>INDEX(Movements!$G$413:$G$442,MATCH('Cost movements'!C77,Movements!$C$143:$C$172,0))</f>
        <v>0</v>
      </c>
      <c r="M77" s="235">
        <f>INDEX(Movements!$G$143:$G$172,MATCH('Cost movements'!C77,Movements!$C$143:$C$172,0))</f>
        <v>0</v>
      </c>
      <c r="N77" s="306">
        <f t="shared" ref="N77:N105" si="9">M77-L77</f>
        <v>0</v>
      </c>
      <c r="O77" s="234">
        <f t="shared" ref="O77:O105" si="10">IFERROR(N77/L77,0)</f>
        <v>0</v>
      </c>
      <c r="P77" s="235">
        <f>INDEX(Movements!$O$11:$O$40,MATCH('Cost movements'!C77,Movements!$C$11:$C$40,0))</f>
        <v>24.590050000000002</v>
      </c>
      <c r="Q77" s="235">
        <f>INDEX(Movements!$N$11:$N$40,MATCH('Cost movements'!C77,Movements!$C$11:$C$40,0))</f>
        <v>25.799999999999997</v>
      </c>
      <c r="R77" s="306">
        <f t="shared" ref="R77:R105" si="11">Q77-P77</f>
        <v>1.2099499999999956</v>
      </c>
      <c r="S77" s="234">
        <f t="shared" ref="S77:S105" si="12">IFERROR(R77/P77,0)</f>
        <v>4.9204861315857253E-2</v>
      </c>
      <c r="T77" s="361"/>
      <c r="U77" s="19"/>
      <c r="V77" s="19"/>
      <c r="W77" s="19"/>
      <c r="X77" s="19"/>
      <c r="Y77" s="19"/>
    </row>
    <row r="78" spans="1:29" x14ac:dyDescent="0.2">
      <c r="A78" s="19"/>
      <c r="B78" s="19"/>
      <c r="C78" s="492" t="str">
        <f t="shared" si="4"/>
        <v>Residential pay as you go</v>
      </c>
      <c r="D78" s="235">
        <f>INDEX(Movements!$G$347:$G$376,MATCH('Cost movements'!C78,Movements!$C$77:$C$106,0))</f>
        <v>193.88069999999999</v>
      </c>
      <c r="E78" s="235">
        <f>INDEX(Movements!$G$77:$G$106,MATCH('Cost movements'!C78,Movements!$C$77:$C$106,0))</f>
        <v>199.69880000000001</v>
      </c>
      <c r="F78" s="306">
        <f t="shared" si="5"/>
        <v>5.8181000000000154</v>
      </c>
      <c r="G78" s="234">
        <f t="shared" si="6"/>
        <v>3.0008659964607182E-2</v>
      </c>
      <c r="H78" s="235">
        <f>INDEX(Movements!$G$380:$G$409,MATCH('Cost movements'!C78,Movements!$C$110:$C$139,0))</f>
        <v>0</v>
      </c>
      <c r="I78" s="235">
        <f>INDEX(Movements!$G$110:$G$139,MATCH('Cost movements'!C78,Movements!$C$110:$C$139,0))</f>
        <v>0</v>
      </c>
      <c r="J78" s="306">
        <f t="shared" si="7"/>
        <v>0</v>
      </c>
      <c r="K78" s="234">
        <f t="shared" si="8"/>
        <v>0</v>
      </c>
      <c r="L78" s="235">
        <f>INDEX(Movements!$G$413:$G$442,MATCH('Cost movements'!C78,Movements!$C$143:$C$172,0))</f>
        <v>0</v>
      </c>
      <c r="M78" s="235">
        <f>INDEX(Movements!$G$143:$G$172,MATCH('Cost movements'!C78,Movements!$C$143:$C$172,0))</f>
        <v>0</v>
      </c>
      <c r="N78" s="306">
        <f t="shared" si="9"/>
        <v>0</v>
      </c>
      <c r="O78" s="234">
        <f t="shared" si="10"/>
        <v>0</v>
      </c>
      <c r="P78" s="235">
        <f>INDEX(Movements!$O$11:$O$40,MATCH('Cost movements'!C78,Movements!$C$11:$C$40,0))</f>
        <v>24.590050000000002</v>
      </c>
      <c r="Q78" s="235">
        <f>INDEX(Movements!$N$11:$N$40,MATCH('Cost movements'!C78,Movements!$C$11:$C$40,0))</f>
        <v>25.799999999999997</v>
      </c>
      <c r="R78" s="306">
        <f t="shared" si="11"/>
        <v>1.2099499999999956</v>
      </c>
      <c r="S78" s="234">
        <f t="shared" si="12"/>
        <v>4.9204861315857253E-2</v>
      </c>
      <c r="T78" s="361"/>
      <c r="U78" s="19"/>
      <c r="V78" s="19"/>
      <c r="W78" s="19"/>
      <c r="X78" s="19"/>
      <c r="Y78" s="19"/>
    </row>
    <row r="79" spans="1:29" x14ac:dyDescent="0.2">
      <c r="A79" s="19"/>
      <c r="B79" s="19"/>
      <c r="C79" s="492" t="str">
        <f t="shared" si="4"/>
        <v>Residential pay as you go time of use</v>
      </c>
      <c r="D79" s="235">
        <f>INDEX(Movements!$G$347:$G$376,MATCH('Cost movements'!C79,Movements!$C$77:$C$106,0))</f>
        <v>210.24365</v>
      </c>
      <c r="E79" s="235">
        <f>INDEX(Movements!$G$77:$G$106,MATCH('Cost movements'!C79,Movements!$C$77:$C$106,0))</f>
        <v>216.55085</v>
      </c>
      <c r="F79" s="306">
        <f t="shared" si="5"/>
        <v>6.3071999999999946</v>
      </c>
      <c r="G79" s="234">
        <f t="shared" si="6"/>
        <v>2.9999479175708728E-2</v>
      </c>
      <c r="H79" s="235">
        <f>INDEX(Movements!$G$380:$G$409,MATCH('Cost movements'!C79,Movements!$C$110:$C$139,0))</f>
        <v>0</v>
      </c>
      <c r="I79" s="235">
        <f>INDEX(Movements!$G$110:$G$139,MATCH('Cost movements'!C79,Movements!$C$110:$C$139,0))</f>
        <v>0</v>
      </c>
      <c r="J79" s="306">
        <f t="shared" si="7"/>
        <v>0</v>
      </c>
      <c r="K79" s="234">
        <f t="shared" si="8"/>
        <v>0</v>
      </c>
      <c r="L79" s="235">
        <f>INDEX(Movements!$G$413:$G$442,MATCH('Cost movements'!C79,Movements!$C$143:$C$172,0))</f>
        <v>0</v>
      </c>
      <c r="M79" s="235">
        <f>INDEX(Movements!$G$143:$G$172,MATCH('Cost movements'!C79,Movements!$C$143:$C$172,0))</f>
        <v>0</v>
      </c>
      <c r="N79" s="306">
        <f t="shared" si="9"/>
        <v>0</v>
      </c>
      <c r="O79" s="234">
        <f t="shared" si="10"/>
        <v>0</v>
      </c>
      <c r="P79" s="235">
        <f>INDEX(Movements!$O$11:$O$40,MATCH('Cost movements'!C79,Movements!$C$11:$C$40,0))</f>
        <v>24.590050000000002</v>
      </c>
      <c r="Q79" s="235">
        <f>INDEX(Movements!$N$11:$N$40,MATCH('Cost movements'!C79,Movements!$C$11:$C$40,0))</f>
        <v>25.799999999999997</v>
      </c>
      <c r="R79" s="306">
        <f t="shared" si="11"/>
        <v>1.2099499999999956</v>
      </c>
      <c r="S79" s="234">
        <f t="shared" si="12"/>
        <v>4.9204861315857253E-2</v>
      </c>
      <c r="T79" s="361"/>
      <c r="U79" s="19"/>
      <c r="V79" s="19"/>
      <c r="W79" s="19"/>
      <c r="X79" s="19"/>
      <c r="Y79" s="19"/>
    </row>
    <row r="80" spans="1:29" x14ac:dyDescent="0.2">
      <c r="A80" s="19"/>
      <c r="B80" s="19"/>
      <c r="C80" s="492">
        <f t="shared" si="4"/>
        <v>0</v>
      </c>
      <c r="D80" s="235">
        <f>INDEX(Movements!$G$347:$G$376,MATCH('Cost movements'!C80,Movements!$C$77:$C$106,0))</f>
        <v>0</v>
      </c>
      <c r="E80" s="235">
        <f>INDEX(Movements!$G$77:$G$106,MATCH('Cost movements'!C80,Movements!$C$77:$C$106,0))</f>
        <v>0</v>
      </c>
      <c r="F80" s="306">
        <f t="shared" si="5"/>
        <v>0</v>
      </c>
      <c r="G80" s="234">
        <f t="shared" si="6"/>
        <v>0</v>
      </c>
      <c r="H80" s="235">
        <f>INDEX(Movements!$G$380:$G$409,MATCH('Cost movements'!C80,Movements!$C$110:$C$139,0))</f>
        <v>0</v>
      </c>
      <c r="I80" s="235">
        <f>INDEX(Movements!$G$110:$G$139,MATCH('Cost movements'!C80,Movements!$C$110:$C$139,0))</f>
        <v>0</v>
      </c>
      <c r="J80" s="306">
        <f t="shared" si="7"/>
        <v>0</v>
      </c>
      <c r="K80" s="234">
        <f t="shared" si="8"/>
        <v>0</v>
      </c>
      <c r="L80" s="235">
        <f>INDEX(Movements!$G$413:$G$442,MATCH('Cost movements'!C80,Movements!$C$143:$C$172,0))</f>
        <v>0</v>
      </c>
      <c r="M80" s="235">
        <f>INDEX(Movements!$G$143:$G$172,MATCH('Cost movements'!C80,Movements!$C$143:$C$172,0))</f>
        <v>0</v>
      </c>
      <c r="N80" s="306">
        <f t="shared" si="9"/>
        <v>0</v>
      </c>
      <c r="O80" s="234">
        <f t="shared" si="10"/>
        <v>0</v>
      </c>
      <c r="P80" s="235">
        <f>INDEX(Movements!$O$11:$O$40,MATCH('Cost movements'!C80,Movements!$C$11:$C$40,0))</f>
        <v>0</v>
      </c>
      <c r="Q80" s="235">
        <f>INDEX(Movements!$N$11:$N$40,MATCH('Cost movements'!C80,Movements!$C$11:$C$40,0))</f>
        <v>0</v>
      </c>
      <c r="R80" s="306">
        <f t="shared" si="11"/>
        <v>0</v>
      </c>
      <c r="S80" s="234">
        <f t="shared" si="12"/>
        <v>0</v>
      </c>
      <c r="T80" s="361"/>
      <c r="U80" s="19"/>
      <c r="V80" s="19"/>
      <c r="W80" s="19"/>
      <c r="X80" s="19"/>
      <c r="Y80" s="19"/>
    </row>
    <row r="81" spans="1:25" hidden="1" outlineLevel="1" x14ac:dyDescent="0.2">
      <c r="A81" s="19"/>
      <c r="B81" s="19"/>
      <c r="C81" s="492">
        <f t="shared" si="4"/>
        <v>0</v>
      </c>
      <c r="D81" s="235">
        <f>INDEX(Movements!$G$347:$G$376,MATCH('Cost movements'!C81,Movements!$C$77:$C$106,0))</f>
        <v>0</v>
      </c>
      <c r="E81" s="235">
        <f>INDEX(Movements!$G$77:$G$106,MATCH('Cost movements'!C81,Movements!$C$77:$C$106,0))</f>
        <v>0</v>
      </c>
      <c r="F81" s="306">
        <f t="shared" si="5"/>
        <v>0</v>
      </c>
      <c r="G81" s="234">
        <f t="shared" si="6"/>
        <v>0</v>
      </c>
      <c r="H81" s="235">
        <f>INDEX(Movements!$G$380:$G$409,MATCH('Cost movements'!C81,Movements!$C$110:$C$139,0))</f>
        <v>0</v>
      </c>
      <c r="I81" s="235">
        <f>INDEX(Movements!$G$110:$G$139,MATCH('Cost movements'!C81,Movements!$C$110:$C$139,0))</f>
        <v>0</v>
      </c>
      <c r="J81" s="306">
        <f t="shared" si="7"/>
        <v>0</v>
      </c>
      <c r="K81" s="234">
        <f t="shared" si="8"/>
        <v>0</v>
      </c>
      <c r="L81" s="235">
        <f>INDEX(Movements!$G$413:$G$442,MATCH('Cost movements'!C81,Movements!$C$143:$C$172,0))</f>
        <v>0</v>
      </c>
      <c r="M81" s="235">
        <f>INDEX(Movements!$G$143:$G$172,MATCH('Cost movements'!C81,Movements!$C$143:$C$172,0))</f>
        <v>0</v>
      </c>
      <c r="N81" s="306">
        <f t="shared" si="9"/>
        <v>0</v>
      </c>
      <c r="O81" s="234">
        <f t="shared" si="10"/>
        <v>0</v>
      </c>
      <c r="P81" s="235">
        <f>INDEX(Movements!$O$11:$O$40,MATCH('Cost movements'!C81,Movements!$C$11:$C$40,0))</f>
        <v>0</v>
      </c>
      <c r="Q81" s="235">
        <f>INDEX(Movements!$N$11:$N$40,MATCH('Cost movements'!C81,Movements!$C$11:$C$40,0))</f>
        <v>0</v>
      </c>
      <c r="R81" s="306">
        <f t="shared" si="11"/>
        <v>0</v>
      </c>
      <c r="S81" s="234">
        <f t="shared" si="12"/>
        <v>0</v>
      </c>
      <c r="T81" s="361"/>
      <c r="U81" s="19"/>
      <c r="V81" s="19"/>
      <c r="W81" s="19"/>
      <c r="X81" s="19"/>
      <c r="Y81" s="19"/>
    </row>
    <row r="82" spans="1:25" hidden="1" outlineLevel="1" x14ac:dyDescent="0.2">
      <c r="A82" s="19"/>
      <c r="B82" s="19"/>
      <c r="C82" s="492">
        <f t="shared" si="4"/>
        <v>0</v>
      </c>
      <c r="D82" s="235">
        <f>INDEX(Movements!$G$347:$G$376,MATCH('Cost movements'!C82,Movements!$C$77:$C$106,0))</f>
        <v>0</v>
      </c>
      <c r="E82" s="235">
        <f>INDEX(Movements!$G$77:$G$106,MATCH('Cost movements'!C82,Movements!$C$77:$C$106,0))</f>
        <v>0</v>
      </c>
      <c r="F82" s="306">
        <f t="shared" si="5"/>
        <v>0</v>
      </c>
      <c r="G82" s="234">
        <f t="shared" si="6"/>
        <v>0</v>
      </c>
      <c r="H82" s="235">
        <f>INDEX(Movements!$G$380:$G$409,MATCH('Cost movements'!C82,Movements!$C$110:$C$139,0))</f>
        <v>0</v>
      </c>
      <c r="I82" s="235">
        <f>INDEX(Movements!$G$110:$G$139,MATCH('Cost movements'!C82,Movements!$C$110:$C$139,0))</f>
        <v>0</v>
      </c>
      <c r="J82" s="306">
        <f t="shared" si="7"/>
        <v>0</v>
      </c>
      <c r="K82" s="234">
        <f t="shared" si="8"/>
        <v>0</v>
      </c>
      <c r="L82" s="235">
        <f>INDEX(Movements!$G$413:$G$442,MATCH('Cost movements'!C82,Movements!$C$143:$C$172,0))</f>
        <v>0</v>
      </c>
      <c r="M82" s="235">
        <f>INDEX(Movements!$G$143:$G$172,MATCH('Cost movements'!C82,Movements!$C$143:$C$172,0))</f>
        <v>0</v>
      </c>
      <c r="N82" s="306">
        <f t="shared" si="9"/>
        <v>0</v>
      </c>
      <c r="O82" s="234">
        <f t="shared" si="10"/>
        <v>0</v>
      </c>
      <c r="P82" s="235">
        <f>INDEX(Movements!$O$11:$O$40,MATCH('Cost movements'!C82,Movements!$C$11:$C$40,0))</f>
        <v>0</v>
      </c>
      <c r="Q82" s="235">
        <f>INDEX(Movements!$N$11:$N$40,MATCH('Cost movements'!C82,Movements!$C$11:$C$40,0))</f>
        <v>0</v>
      </c>
      <c r="R82" s="306">
        <f t="shared" si="11"/>
        <v>0</v>
      </c>
      <c r="S82" s="234">
        <f t="shared" si="12"/>
        <v>0</v>
      </c>
      <c r="T82" s="361"/>
      <c r="U82" s="19"/>
      <c r="V82" s="19"/>
      <c r="W82" s="19"/>
      <c r="X82" s="19"/>
      <c r="Y82" s="19"/>
    </row>
    <row r="83" spans="1:25" hidden="1" outlineLevel="1" x14ac:dyDescent="0.2">
      <c r="A83" s="19"/>
      <c r="B83" s="19"/>
      <c r="C83" s="492">
        <f t="shared" si="4"/>
        <v>0</v>
      </c>
      <c r="D83" s="235">
        <f>INDEX(Movements!$G$347:$G$376,MATCH('Cost movements'!C83,Movements!$C$77:$C$106,0))</f>
        <v>0</v>
      </c>
      <c r="E83" s="235">
        <f>INDEX(Movements!$G$77:$G$106,MATCH('Cost movements'!C83,Movements!$C$77:$C$106,0))</f>
        <v>0</v>
      </c>
      <c r="F83" s="306">
        <f t="shared" si="5"/>
        <v>0</v>
      </c>
      <c r="G83" s="234">
        <f t="shared" si="6"/>
        <v>0</v>
      </c>
      <c r="H83" s="235">
        <f>INDEX(Movements!$G$380:$G$409,MATCH('Cost movements'!C83,Movements!$C$110:$C$139,0))</f>
        <v>0</v>
      </c>
      <c r="I83" s="235">
        <f>INDEX(Movements!$G$110:$G$139,MATCH('Cost movements'!C83,Movements!$C$110:$C$139,0))</f>
        <v>0</v>
      </c>
      <c r="J83" s="306">
        <f t="shared" si="7"/>
        <v>0</v>
      </c>
      <c r="K83" s="234">
        <f t="shared" si="8"/>
        <v>0</v>
      </c>
      <c r="L83" s="235">
        <f>INDEX(Movements!$G$413:$G$442,MATCH('Cost movements'!C83,Movements!$C$143:$C$172,0))</f>
        <v>0</v>
      </c>
      <c r="M83" s="235">
        <f>INDEX(Movements!$G$143:$G$172,MATCH('Cost movements'!C83,Movements!$C$143:$C$172,0))</f>
        <v>0</v>
      </c>
      <c r="N83" s="306">
        <f t="shared" si="9"/>
        <v>0</v>
      </c>
      <c r="O83" s="234">
        <f t="shared" si="10"/>
        <v>0</v>
      </c>
      <c r="P83" s="235">
        <f>INDEX(Movements!$O$11:$O$40,MATCH('Cost movements'!C83,Movements!$C$11:$C$40,0))</f>
        <v>0</v>
      </c>
      <c r="Q83" s="235">
        <f>INDEX(Movements!$N$11:$N$40,MATCH('Cost movements'!C83,Movements!$C$11:$C$40,0))</f>
        <v>0</v>
      </c>
      <c r="R83" s="306">
        <f t="shared" si="11"/>
        <v>0</v>
      </c>
      <c r="S83" s="234">
        <f t="shared" si="12"/>
        <v>0</v>
      </c>
      <c r="T83" s="361"/>
      <c r="U83" s="19"/>
      <c r="V83" s="19"/>
      <c r="W83" s="19"/>
      <c r="X83" s="19"/>
      <c r="Y83" s="19"/>
    </row>
    <row r="84" spans="1:25" hidden="1" outlineLevel="1" x14ac:dyDescent="0.2">
      <c r="A84" s="19"/>
      <c r="B84" s="19"/>
      <c r="C84" s="492">
        <f t="shared" si="4"/>
        <v>0</v>
      </c>
      <c r="D84" s="235">
        <f>INDEX(Movements!$G$347:$G$376,MATCH('Cost movements'!C84,Movements!$C$77:$C$106,0))</f>
        <v>0</v>
      </c>
      <c r="E84" s="235">
        <f>INDEX(Movements!$G$77:$G$106,MATCH('Cost movements'!C84,Movements!$C$77:$C$106,0))</f>
        <v>0</v>
      </c>
      <c r="F84" s="306">
        <f t="shared" si="5"/>
        <v>0</v>
      </c>
      <c r="G84" s="234">
        <f t="shared" si="6"/>
        <v>0</v>
      </c>
      <c r="H84" s="235">
        <f>INDEX(Movements!$G$380:$G$409,MATCH('Cost movements'!C84,Movements!$C$110:$C$139,0))</f>
        <v>0</v>
      </c>
      <c r="I84" s="235">
        <f>INDEX(Movements!$G$110:$G$139,MATCH('Cost movements'!C84,Movements!$C$110:$C$139,0))</f>
        <v>0</v>
      </c>
      <c r="J84" s="306">
        <f t="shared" si="7"/>
        <v>0</v>
      </c>
      <c r="K84" s="234">
        <f t="shared" si="8"/>
        <v>0</v>
      </c>
      <c r="L84" s="235">
        <f>INDEX(Movements!$G$413:$G$442,MATCH('Cost movements'!C84,Movements!$C$143:$C$172,0))</f>
        <v>0</v>
      </c>
      <c r="M84" s="235">
        <f>INDEX(Movements!$G$143:$G$172,MATCH('Cost movements'!C84,Movements!$C$143:$C$172,0))</f>
        <v>0</v>
      </c>
      <c r="N84" s="306">
        <f t="shared" si="9"/>
        <v>0</v>
      </c>
      <c r="O84" s="234">
        <f t="shared" si="10"/>
        <v>0</v>
      </c>
      <c r="P84" s="235">
        <f>INDEX(Movements!$O$11:$O$40,MATCH('Cost movements'!C84,Movements!$C$11:$C$40,0))</f>
        <v>0</v>
      </c>
      <c r="Q84" s="235">
        <f>INDEX(Movements!$N$11:$N$40,MATCH('Cost movements'!C84,Movements!$C$11:$C$40,0))</f>
        <v>0</v>
      </c>
      <c r="R84" s="306">
        <f t="shared" si="11"/>
        <v>0</v>
      </c>
      <c r="S84" s="234">
        <f t="shared" si="12"/>
        <v>0</v>
      </c>
      <c r="T84" s="361"/>
      <c r="U84" s="19"/>
      <c r="V84" s="19"/>
      <c r="W84" s="19"/>
      <c r="X84" s="19"/>
      <c r="Y84" s="19"/>
    </row>
    <row r="85" spans="1:25" hidden="1" outlineLevel="1" x14ac:dyDescent="0.2">
      <c r="A85" s="19"/>
      <c r="B85" s="19"/>
      <c r="C85" s="492">
        <f t="shared" si="4"/>
        <v>0</v>
      </c>
      <c r="D85" s="235">
        <f>INDEX(Movements!$G$347:$G$376,MATCH('Cost movements'!C85,Movements!$C$77:$C$106,0))</f>
        <v>0</v>
      </c>
      <c r="E85" s="235">
        <f>INDEX(Movements!$G$77:$G$106,MATCH('Cost movements'!C85,Movements!$C$77:$C$106,0))</f>
        <v>0</v>
      </c>
      <c r="F85" s="306">
        <f t="shared" si="5"/>
        <v>0</v>
      </c>
      <c r="G85" s="234">
        <f t="shared" si="6"/>
        <v>0</v>
      </c>
      <c r="H85" s="235">
        <f>INDEX(Movements!$G$380:$G$409,MATCH('Cost movements'!C85,Movements!$C$110:$C$139,0))</f>
        <v>0</v>
      </c>
      <c r="I85" s="235">
        <f>INDEX(Movements!$G$110:$G$139,MATCH('Cost movements'!C85,Movements!$C$110:$C$139,0))</f>
        <v>0</v>
      </c>
      <c r="J85" s="306">
        <f t="shared" si="7"/>
        <v>0</v>
      </c>
      <c r="K85" s="234">
        <f t="shared" si="8"/>
        <v>0</v>
      </c>
      <c r="L85" s="235">
        <f>INDEX(Movements!$G$413:$G$442,MATCH('Cost movements'!C85,Movements!$C$143:$C$172,0))</f>
        <v>0</v>
      </c>
      <c r="M85" s="235">
        <f>INDEX(Movements!$G$143:$G$172,MATCH('Cost movements'!C85,Movements!$C$143:$C$172,0))</f>
        <v>0</v>
      </c>
      <c r="N85" s="306">
        <f t="shared" si="9"/>
        <v>0</v>
      </c>
      <c r="O85" s="234">
        <f t="shared" si="10"/>
        <v>0</v>
      </c>
      <c r="P85" s="235">
        <f>INDEX(Movements!$O$11:$O$40,MATCH('Cost movements'!C85,Movements!$C$11:$C$40,0))</f>
        <v>0</v>
      </c>
      <c r="Q85" s="235">
        <f>INDEX(Movements!$N$11:$N$40,MATCH('Cost movements'!C85,Movements!$C$11:$C$40,0))</f>
        <v>0</v>
      </c>
      <c r="R85" s="306">
        <f t="shared" si="11"/>
        <v>0</v>
      </c>
      <c r="S85" s="234">
        <f t="shared" si="12"/>
        <v>0</v>
      </c>
      <c r="T85" s="361"/>
      <c r="U85" s="19"/>
      <c r="V85" s="19"/>
      <c r="W85" s="19"/>
      <c r="X85" s="19"/>
      <c r="Y85" s="19"/>
    </row>
    <row r="86" spans="1:25" hidden="1" outlineLevel="1" x14ac:dyDescent="0.2">
      <c r="A86" s="19"/>
      <c r="B86" s="19"/>
      <c r="C86" s="492">
        <f t="shared" si="4"/>
        <v>0</v>
      </c>
      <c r="D86" s="235">
        <f>INDEX(Movements!$G$347:$G$376,MATCH('Cost movements'!C86,Movements!$C$77:$C$106,0))</f>
        <v>0</v>
      </c>
      <c r="E86" s="235">
        <f>INDEX(Movements!$G$77:$G$106,MATCH('Cost movements'!C86,Movements!$C$77:$C$106,0))</f>
        <v>0</v>
      </c>
      <c r="F86" s="306">
        <f t="shared" si="5"/>
        <v>0</v>
      </c>
      <c r="G86" s="234">
        <f t="shared" si="6"/>
        <v>0</v>
      </c>
      <c r="H86" s="235">
        <f>INDEX(Movements!$G$380:$G$409,MATCH('Cost movements'!C86,Movements!$C$110:$C$139,0))</f>
        <v>0</v>
      </c>
      <c r="I86" s="235">
        <f>INDEX(Movements!$G$110:$G$139,MATCH('Cost movements'!C86,Movements!$C$110:$C$139,0))</f>
        <v>0</v>
      </c>
      <c r="J86" s="306">
        <f t="shared" si="7"/>
        <v>0</v>
      </c>
      <c r="K86" s="234">
        <f t="shared" si="8"/>
        <v>0</v>
      </c>
      <c r="L86" s="235">
        <f>INDEX(Movements!$G$413:$G$442,MATCH('Cost movements'!C86,Movements!$C$143:$C$172,0))</f>
        <v>0</v>
      </c>
      <c r="M86" s="235">
        <f>INDEX(Movements!$G$143:$G$172,MATCH('Cost movements'!C86,Movements!$C$143:$C$172,0))</f>
        <v>0</v>
      </c>
      <c r="N86" s="306">
        <f t="shared" si="9"/>
        <v>0</v>
      </c>
      <c r="O86" s="234">
        <f t="shared" si="10"/>
        <v>0</v>
      </c>
      <c r="P86" s="235">
        <f>INDEX(Movements!$O$11:$O$40,MATCH('Cost movements'!C86,Movements!$C$11:$C$40,0))</f>
        <v>0</v>
      </c>
      <c r="Q86" s="235">
        <f>INDEX(Movements!$N$11:$N$40,MATCH('Cost movements'!C86,Movements!$C$11:$C$40,0))</f>
        <v>0</v>
      </c>
      <c r="R86" s="306">
        <f t="shared" si="11"/>
        <v>0</v>
      </c>
      <c r="S86" s="234">
        <f t="shared" si="12"/>
        <v>0</v>
      </c>
      <c r="T86" s="19"/>
      <c r="U86" s="19"/>
      <c r="V86" s="19"/>
      <c r="W86" s="19"/>
      <c r="X86" s="19"/>
      <c r="Y86" s="19"/>
    </row>
    <row r="87" spans="1:25" hidden="1" outlineLevel="1" x14ac:dyDescent="0.2">
      <c r="A87" s="19"/>
      <c r="B87" s="19"/>
      <c r="C87" s="492">
        <f t="shared" si="4"/>
        <v>0</v>
      </c>
      <c r="D87" s="235">
        <f>INDEX(Movements!$G$347:$G$376,MATCH('Cost movements'!C87,Movements!$C$77:$C$106,0))</f>
        <v>0</v>
      </c>
      <c r="E87" s="235">
        <f>INDEX(Movements!$G$77:$G$106,MATCH('Cost movements'!C87,Movements!$C$77:$C$106,0))</f>
        <v>0</v>
      </c>
      <c r="F87" s="306">
        <f t="shared" si="5"/>
        <v>0</v>
      </c>
      <c r="G87" s="234">
        <f t="shared" si="6"/>
        <v>0</v>
      </c>
      <c r="H87" s="235">
        <f>INDEX(Movements!$G$380:$G$409,MATCH('Cost movements'!C87,Movements!$C$110:$C$139,0))</f>
        <v>0</v>
      </c>
      <c r="I87" s="235">
        <f>INDEX(Movements!$G$110:$G$139,MATCH('Cost movements'!C87,Movements!$C$110:$C$139,0))</f>
        <v>0</v>
      </c>
      <c r="J87" s="306">
        <f t="shared" si="7"/>
        <v>0</v>
      </c>
      <c r="K87" s="234">
        <f t="shared" si="8"/>
        <v>0</v>
      </c>
      <c r="L87" s="235">
        <f>INDEX(Movements!$G$413:$G$442,MATCH('Cost movements'!C87,Movements!$C$143:$C$172,0))</f>
        <v>0</v>
      </c>
      <c r="M87" s="235">
        <f>INDEX(Movements!$G$143:$G$172,MATCH('Cost movements'!C87,Movements!$C$143:$C$172,0))</f>
        <v>0</v>
      </c>
      <c r="N87" s="306">
        <f t="shared" si="9"/>
        <v>0</v>
      </c>
      <c r="O87" s="234">
        <f t="shared" si="10"/>
        <v>0</v>
      </c>
      <c r="P87" s="235">
        <f>INDEX(Movements!$O$11:$O$40,MATCH('Cost movements'!C87,Movements!$C$11:$C$40,0))</f>
        <v>0</v>
      </c>
      <c r="Q87" s="235">
        <f>INDEX(Movements!$N$11:$N$40,MATCH('Cost movements'!C87,Movements!$C$11:$C$40,0))</f>
        <v>0</v>
      </c>
      <c r="R87" s="306">
        <f t="shared" si="11"/>
        <v>0</v>
      </c>
      <c r="S87" s="234">
        <f t="shared" si="12"/>
        <v>0</v>
      </c>
      <c r="T87" s="19"/>
      <c r="U87" s="19"/>
      <c r="V87" s="19"/>
      <c r="W87" s="19"/>
      <c r="X87" s="19"/>
      <c r="Y87" s="19"/>
    </row>
    <row r="88" spans="1:25" hidden="1" outlineLevel="1" x14ac:dyDescent="0.2">
      <c r="A88" s="19"/>
      <c r="B88" s="19"/>
      <c r="C88" s="492">
        <f t="shared" si="4"/>
        <v>0</v>
      </c>
      <c r="D88" s="235">
        <f>INDEX(Movements!$G$347:$G$376,MATCH('Cost movements'!C88,Movements!$C$77:$C$106,0))</f>
        <v>0</v>
      </c>
      <c r="E88" s="235">
        <f>INDEX(Movements!$G$77:$G$106,MATCH('Cost movements'!C88,Movements!$C$77:$C$106,0))</f>
        <v>0</v>
      </c>
      <c r="F88" s="306">
        <f t="shared" si="5"/>
        <v>0</v>
      </c>
      <c r="G88" s="234">
        <f t="shared" si="6"/>
        <v>0</v>
      </c>
      <c r="H88" s="235">
        <f>INDEX(Movements!$G$380:$G$409,MATCH('Cost movements'!C88,Movements!$C$110:$C$139,0))</f>
        <v>0</v>
      </c>
      <c r="I88" s="235">
        <f>INDEX(Movements!$G$110:$G$139,MATCH('Cost movements'!C88,Movements!$C$110:$C$139,0))</f>
        <v>0</v>
      </c>
      <c r="J88" s="306">
        <f t="shared" si="7"/>
        <v>0</v>
      </c>
      <c r="K88" s="234">
        <f t="shared" si="8"/>
        <v>0</v>
      </c>
      <c r="L88" s="235">
        <f>INDEX(Movements!$G$413:$G$442,MATCH('Cost movements'!C88,Movements!$C$143:$C$172,0))</f>
        <v>0</v>
      </c>
      <c r="M88" s="235">
        <f>INDEX(Movements!$G$143:$G$172,MATCH('Cost movements'!C88,Movements!$C$143:$C$172,0))</f>
        <v>0</v>
      </c>
      <c r="N88" s="306">
        <f t="shared" si="9"/>
        <v>0</v>
      </c>
      <c r="O88" s="234">
        <f t="shared" si="10"/>
        <v>0</v>
      </c>
      <c r="P88" s="235">
        <f>INDEX(Movements!$O$11:$O$40,MATCH('Cost movements'!C88,Movements!$C$11:$C$40,0))</f>
        <v>0</v>
      </c>
      <c r="Q88" s="235">
        <f>INDEX(Movements!$N$11:$N$40,MATCH('Cost movements'!C88,Movements!$C$11:$C$40,0))</f>
        <v>0</v>
      </c>
      <c r="R88" s="306">
        <f t="shared" si="11"/>
        <v>0</v>
      </c>
      <c r="S88" s="234">
        <f t="shared" si="12"/>
        <v>0</v>
      </c>
      <c r="T88" s="19"/>
      <c r="U88" s="19"/>
      <c r="V88" s="19"/>
      <c r="W88" s="19"/>
      <c r="X88" s="19"/>
      <c r="Y88" s="19"/>
    </row>
    <row r="89" spans="1:25" hidden="1" outlineLevel="1" x14ac:dyDescent="0.2">
      <c r="A89" s="19"/>
      <c r="B89" s="19"/>
      <c r="C89" s="492">
        <f t="shared" si="4"/>
        <v>0</v>
      </c>
      <c r="D89" s="235">
        <f>INDEX(Movements!$G$347:$G$376,MATCH('Cost movements'!C89,Movements!$C$77:$C$106,0))</f>
        <v>0</v>
      </c>
      <c r="E89" s="235">
        <f>INDEX(Movements!$G$77:$G$106,MATCH('Cost movements'!C89,Movements!$C$77:$C$106,0))</f>
        <v>0</v>
      </c>
      <c r="F89" s="306">
        <f t="shared" si="5"/>
        <v>0</v>
      </c>
      <c r="G89" s="234">
        <f t="shared" si="6"/>
        <v>0</v>
      </c>
      <c r="H89" s="235">
        <f>INDEX(Movements!$G$380:$G$409,MATCH('Cost movements'!C89,Movements!$C$110:$C$139,0))</f>
        <v>0</v>
      </c>
      <c r="I89" s="235">
        <f>INDEX(Movements!$G$110:$G$139,MATCH('Cost movements'!C89,Movements!$C$110:$C$139,0))</f>
        <v>0</v>
      </c>
      <c r="J89" s="306">
        <f t="shared" si="7"/>
        <v>0</v>
      </c>
      <c r="K89" s="234">
        <f t="shared" si="8"/>
        <v>0</v>
      </c>
      <c r="L89" s="235">
        <f>INDEX(Movements!$G$413:$G$442,MATCH('Cost movements'!C89,Movements!$C$143:$C$172,0))</f>
        <v>0</v>
      </c>
      <c r="M89" s="235">
        <f>INDEX(Movements!$G$143:$G$172,MATCH('Cost movements'!C89,Movements!$C$143:$C$172,0))</f>
        <v>0</v>
      </c>
      <c r="N89" s="306">
        <f t="shared" si="9"/>
        <v>0</v>
      </c>
      <c r="O89" s="234">
        <f t="shared" si="10"/>
        <v>0</v>
      </c>
      <c r="P89" s="235">
        <f>INDEX(Movements!$O$11:$O$40,MATCH('Cost movements'!C89,Movements!$C$11:$C$40,0))</f>
        <v>0</v>
      </c>
      <c r="Q89" s="235">
        <f>INDEX(Movements!$N$11:$N$40,MATCH('Cost movements'!C89,Movements!$C$11:$C$40,0))</f>
        <v>0</v>
      </c>
      <c r="R89" s="306">
        <f t="shared" si="11"/>
        <v>0</v>
      </c>
      <c r="S89" s="234">
        <f t="shared" si="12"/>
        <v>0</v>
      </c>
      <c r="T89" s="19"/>
      <c r="U89" s="19"/>
      <c r="V89" s="19"/>
      <c r="W89" s="19"/>
      <c r="X89" s="19"/>
      <c r="Y89" s="19"/>
    </row>
    <row r="90" spans="1:25" hidden="1" outlineLevel="1" x14ac:dyDescent="0.2">
      <c r="A90" s="19"/>
      <c r="B90" s="19"/>
      <c r="C90" s="492">
        <f t="shared" si="4"/>
        <v>0</v>
      </c>
      <c r="D90" s="235">
        <f>INDEX(Movements!$G$347:$G$376,MATCH('Cost movements'!C90,Movements!$C$77:$C$106,0))</f>
        <v>0</v>
      </c>
      <c r="E90" s="235">
        <f>INDEX(Movements!$G$77:$G$106,MATCH('Cost movements'!C90,Movements!$C$77:$C$106,0))</f>
        <v>0</v>
      </c>
      <c r="F90" s="306">
        <f t="shared" si="5"/>
        <v>0</v>
      </c>
      <c r="G90" s="234">
        <f t="shared" si="6"/>
        <v>0</v>
      </c>
      <c r="H90" s="235">
        <f>INDEX(Movements!$G$380:$G$409,MATCH('Cost movements'!C90,Movements!$C$110:$C$139,0))</f>
        <v>0</v>
      </c>
      <c r="I90" s="235">
        <f>INDEX(Movements!$G$110:$G$139,MATCH('Cost movements'!C90,Movements!$C$110:$C$139,0))</f>
        <v>0</v>
      </c>
      <c r="J90" s="306">
        <f t="shared" si="7"/>
        <v>0</v>
      </c>
      <c r="K90" s="234">
        <f t="shared" si="8"/>
        <v>0</v>
      </c>
      <c r="L90" s="235">
        <f>INDEX(Movements!$G$413:$G$442,MATCH('Cost movements'!C90,Movements!$C$143:$C$172,0))</f>
        <v>0</v>
      </c>
      <c r="M90" s="235">
        <f>INDEX(Movements!$G$143:$G$172,MATCH('Cost movements'!C90,Movements!$C$143:$C$172,0))</f>
        <v>0</v>
      </c>
      <c r="N90" s="306">
        <f t="shared" si="9"/>
        <v>0</v>
      </c>
      <c r="O90" s="234">
        <f t="shared" si="10"/>
        <v>0</v>
      </c>
      <c r="P90" s="235">
        <f>INDEX(Movements!$O$11:$O$40,MATCH('Cost movements'!C90,Movements!$C$11:$C$40,0))</f>
        <v>0</v>
      </c>
      <c r="Q90" s="235">
        <f>INDEX(Movements!$N$11:$N$40,MATCH('Cost movements'!C90,Movements!$C$11:$C$40,0))</f>
        <v>0</v>
      </c>
      <c r="R90" s="306">
        <f t="shared" si="11"/>
        <v>0</v>
      </c>
      <c r="S90" s="234">
        <f t="shared" si="12"/>
        <v>0</v>
      </c>
      <c r="T90" s="19"/>
      <c r="U90" s="19"/>
      <c r="V90" s="19"/>
      <c r="W90" s="19"/>
      <c r="X90" s="19"/>
      <c r="Y90" s="19"/>
    </row>
    <row r="91" spans="1:25" hidden="1" outlineLevel="1" x14ac:dyDescent="0.2">
      <c r="A91" s="19"/>
      <c r="B91" s="19"/>
      <c r="C91" s="492">
        <f t="shared" si="4"/>
        <v>0</v>
      </c>
      <c r="D91" s="235">
        <f>INDEX(Movements!$G$347:$G$376,MATCH('Cost movements'!C91,Movements!$C$77:$C$106,0))</f>
        <v>0</v>
      </c>
      <c r="E91" s="235">
        <f>INDEX(Movements!$G$77:$G$106,MATCH('Cost movements'!C91,Movements!$C$77:$C$106,0))</f>
        <v>0</v>
      </c>
      <c r="F91" s="306">
        <f t="shared" si="5"/>
        <v>0</v>
      </c>
      <c r="G91" s="234">
        <f t="shared" si="6"/>
        <v>0</v>
      </c>
      <c r="H91" s="235">
        <f>INDEX(Movements!$G$380:$G$409,MATCH('Cost movements'!C91,Movements!$C$110:$C$139,0))</f>
        <v>0</v>
      </c>
      <c r="I91" s="235">
        <f>INDEX(Movements!$G$110:$G$139,MATCH('Cost movements'!C91,Movements!$C$110:$C$139,0))</f>
        <v>0</v>
      </c>
      <c r="J91" s="306">
        <f t="shared" si="7"/>
        <v>0</v>
      </c>
      <c r="K91" s="234">
        <f t="shared" si="8"/>
        <v>0</v>
      </c>
      <c r="L91" s="235">
        <f>INDEX(Movements!$G$413:$G$442,MATCH('Cost movements'!C91,Movements!$C$143:$C$172,0))</f>
        <v>0</v>
      </c>
      <c r="M91" s="235">
        <f>INDEX(Movements!$G$143:$G$172,MATCH('Cost movements'!C91,Movements!$C$143:$C$172,0))</f>
        <v>0</v>
      </c>
      <c r="N91" s="306">
        <f t="shared" si="9"/>
        <v>0</v>
      </c>
      <c r="O91" s="234">
        <f t="shared" si="10"/>
        <v>0</v>
      </c>
      <c r="P91" s="235">
        <f>INDEX(Movements!$O$11:$O$40,MATCH('Cost movements'!C91,Movements!$C$11:$C$40,0))</f>
        <v>0</v>
      </c>
      <c r="Q91" s="235">
        <f>INDEX(Movements!$N$11:$N$40,MATCH('Cost movements'!C91,Movements!$C$11:$C$40,0))</f>
        <v>0</v>
      </c>
      <c r="R91" s="306">
        <f t="shared" si="11"/>
        <v>0</v>
      </c>
      <c r="S91" s="234">
        <f t="shared" si="12"/>
        <v>0</v>
      </c>
      <c r="T91" s="19"/>
      <c r="U91" s="19"/>
      <c r="V91" s="19"/>
      <c r="W91" s="19"/>
      <c r="X91" s="19"/>
      <c r="Y91" s="19"/>
    </row>
    <row r="92" spans="1:25" hidden="1" outlineLevel="1" x14ac:dyDescent="0.2">
      <c r="A92" s="19"/>
      <c r="B92" s="19"/>
      <c r="C92" s="492">
        <f t="shared" si="4"/>
        <v>0</v>
      </c>
      <c r="D92" s="235">
        <f>INDEX(Movements!$G$347:$G$376,MATCH('Cost movements'!C92,Movements!$C$77:$C$106,0))</f>
        <v>0</v>
      </c>
      <c r="E92" s="235">
        <f>INDEX(Movements!$G$77:$G$106,MATCH('Cost movements'!C92,Movements!$C$77:$C$106,0))</f>
        <v>0</v>
      </c>
      <c r="F92" s="306">
        <f t="shared" si="5"/>
        <v>0</v>
      </c>
      <c r="G92" s="234">
        <f t="shared" si="6"/>
        <v>0</v>
      </c>
      <c r="H92" s="235">
        <f>INDEX(Movements!$G$380:$G$409,MATCH('Cost movements'!C92,Movements!$C$110:$C$139,0))</f>
        <v>0</v>
      </c>
      <c r="I92" s="235">
        <f>INDEX(Movements!$G$110:$G$139,MATCH('Cost movements'!C92,Movements!$C$110:$C$139,0))</f>
        <v>0</v>
      </c>
      <c r="J92" s="306">
        <f t="shared" si="7"/>
        <v>0</v>
      </c>
      <c r="K92" s="234">
        <f t="shared" si="8"/>
        <v>0</v>
      </c>
      <c r="L92" s="235">
        <f>INDEX(Movements!$G$413:$G$442,MATCH('Cost movements'!C92,Movements!$C$143:$C$172,0))</f>
        <v>0</v>
      </c>
      <c r="M92" s="235">
        <f>INDEX(Movements!$G$143:$G$172,MATCH('Cost movements'!C92,Movements!$C$143:$C$172,0))</f>
        <v>0</v>
      </c>
      <c r="N92" s="306">
        <f t="shared" si="9"/>
        <v>0</v>
      </c>
      <c r="O92" s="234">
        <f t="shared" si="10"/>
        <v>0</v>
      </c>
      <c r="P92" s="235">
        <f>INDEX(Movements!$O$11:$O$40,MATCH('Cost movements'!C92,Movements!$C$11:$C$40,0))</f>
        <v>0</v>
      </c>
      <c r="Q92" s="235">
        <f>INDEX(Movements!$N$11:$N$40,MATCH('Cost movements'!C92,Movements!$C$11:$C$40,0))</f>
        <v>0</v>
      </c>
      <c r="R92" s="306">
        <f t="shared" si="11"/>
        <v>0</v>
      </c>
      <c r="S92" s="234">
        <f t="shared" si="12"/>
        <v>0</v>
      </c>
      <c r="T92" s="19"/>
      <c r="U92" s="19"/>
      <c r="V92" s="19"/>
      <c r="W92" s="19"/>
      <c r="X92" s="19"/>
      <c r="Y92" s="19"/>
    </row>
    <row r="93" spans="1:25" hidden="1" outlineLevel="1" x14ac:dyDescent="0.2">
      <c r="A93" s="19"/>
      <c r="B93" s="19"/>
      <c r="C93" s="492">
        <f t="shared" si="4"/>
        <v>0</v>
      </c>
      <c r="D93" s="235">
        <f>INDEX(Movements!$G$347:$G$376,MATCH('Cost movements'!C93,Movements!$C$77:$C$106,0))</f>
        <v>0</v>
      </c>
      <c r="E93" s="235">
        <f>INDEX(Movements!$G$77:$G$106,MATCH('Cost movements'!C93,Movements!$C$77:$C$106,0))</f>
        <v>0</v>
      </c>
      <c r="F93" s="306">
        <f t="shared" si="5"/>
        <v>0</v>
      </c>
      <c r="G93" s="234">
        <f t="shared" si="6"/>
        <v>0</v>
      </c>
      <c r="H93" s="235">
        <f>INDEX(Movements!$G$380:$G$409,MATCH('Cost movements'!C93,Movements!$C$110:$C$139,0))</f>
        <v>0</v>
      </c>
      <c r="I93" s="235">
        <f>INDEX(Movements!$G$110:$G$139,MATCH('Cost movements'!C93,Movements!$C$110:$C$139,0))</f>
        <v>0</v>
      </c>
      <c r="J93" s="306">
        <f t="shared" si="7"/>
        <v>0</v>
      </c>
      <c r="K93" s="234">
        <f t="shared" si="8"/>
        <v>0</v>
      </c>
      <c r="L93" s="235">
        <f>INDEX(Movements!$G$413:$G$442,MATCH('Cost movements'!C93,Movements!$C$143:$C$172,0))</f>
        <v>0</v>
      </c>
      <c r="M93" s="235">
        <f>INDEX(Movements!$G$143:$G$172,MATCH('Cost movements'!C93,Movements!$C$143:$C$172,0))</f>
        <v>0</v>
      </c>
      <c r="N93" s="306">
        <f t="shared" si="9"/>
        <v>0</v>
      </c>
      <c r="O93" s="234">
        <f t="shared" si="10"/>
        <v>0</v>
      </c>
      <c r="P93" s="235">
        <f>INDEX(Movements!$O$11:$O$40,MATCH('Cost movements'!C93,Movements!$C$11:$C$40,0))</f>
        <v>0</v>
      </c>
      <c r="Q93" s="235">
        <f>INDEX(Movements!$N$11:$N$40,MATCH('Cost movements'!C93,Movements!$C$11:$C$40,0))</f>
        <v>0</v>
      </c>
      <c r="R93" s="306">
        <f t="shared" si="11"/>
        <v>0</v>
      </c>
      <c r="S93" s="234">
        <f t="shared" si="12"/>
        <v>0</v>
      </c>
      <c r="T93" s="19"/>
      <c r="U93" s="19"/>
      <c r="V93" s="19"/>
      <c r="W93" s="19"/>
      <c r="X93" s="19"/>
      <c r="Y93" s="19"/>
    </row>
    <row r="94" spans="1:25" hidden="1" outlineLevel="1" x14ac:dyDescent="0.2">
      <c r="A94" s="19"/>
      <c r="B94" s="19"/>
      <c r="C94" s="492">
        <f t="shared" si="4"/>
        <v>0</v>
      </c>
      <c r="D94" s="235">
        <f>INDEX(Movements!$G$347:$G$376,MATCH('Cost movements'!C94,Movements!$C$77:$C$106,0))</f>
        <v>0</v>
      </c>
      <c r="E94" s="235">
        <f>INDEX(Movements!$G$77:$G$106,MATCH('Cost movements'!C94,Movements!$C$77:$C$106,0))</f>
        <v>0</v>
      </c>
      <c r="F94" s="306">
        <f t="shared" si="5"/>
        <v>0</v>
      </c>
      <c r="G94" s="234">
        <f t="shared" si="6"/>
        <v>0</v>
      </c>
      <c r="H94" s="235">
        <f>INDEX(Movements!$G$380:$G$409,MATCH('Cost movements'!C94,Movements!$C$110:$C$139,0))</f>
        <v>0</v>
      </c>
      <c r="I94" s="235">
        <f>INDEX(Movements!$G$110:$G$139,MATCH('Cost movements'!C94,Movements!$C$110:$C$139,0))</f>
        <v>0</v>
      </c>
      <c r="J94" s="306">
        <f t="shared" si="7"/>
        <v>0</v>
      </c>
      <c r="K94" s="234">
        <f t="shared" si="8"/>
        <v>0</v>
      </c>
      <c r="L94" s="235">
        <f>INDEX(Movements!$G$413:$G$442,MATCH('Cost movements'!C94,Movements!$C$143:$C$172,0))</f>
        <v>0</v>
      </c>
      <c r="M94" s="235">
        <f>INDEX(Movements!$G$143:$G$172,MATCH('Cost movements'!C94,Movements!$C$143:$C$172,0))</f>
        <v>0</v>
      </c>
      <c r="N94" s="306">
        <f t="shared" si="9"/>
        <v>0</v>
      </c>
      <c r="O94" s="234">
        <f t="shared" si="10"/>
        <v>0</v>
      </c>
      <c r="P94" s="235">
        <f>INDEX(Movements!$O$11:$O$40,MATCH('Cost movements'!C94,Movements!$C$11:$C$40,0))</f>
        <v>0</v>
      </c>
      <c r="Q94" s="235">
        <f>INDEX(Movements!$N$11:$N$40,MATCH('Cost movements'!C94,Movements!$C$11:$C$40,0))</f>
        <v>0</v>
      </c>
      <c r="R94" s="306">
        <f t="shared" si="11"/>
        <v>0</v>
      </c>
      <c r="S94" s="234">
        <f t="shared" si="12"/>
        <v>0</v>
      </c>
      <c r="T94" s="19"/>
      <c r="U94" s="19"/>
      <c r="V94" s="19"/>
      <c r="W94" s="19"/>
      <c r="X94" s="19"/>
      <c r="Y94" s="19"/>
    </row>
    <row r="95" spans="1:25" hidden="1" outlineLevel="1" x14ac:dyDescent="0.2">
      <c r="A95" s="19"/>
      <c r="B95" s="19"/>
      <c r="C95" s="492">
        <f t="shared" si="4"/>
        <v>0</v>
      </c>
      <c r="D95" s="235">
        <f>INDEX(Movements!$G$347:$G$376,MATCH('Cost movements'!C95,Movements!$C$77:$C$106,0))</f>
        <v>0</v>
      </c>
      <c r="E95" s="235">
        <f>INDEX(Movements!$G$77:$G$106,MATCH('Cost movements'!C95,Movements!$C$77:$C$106,0))</f>
        <v>0</v>
      </c>
      <c r="F95" s="306">
        <f t="shared" si="5"/>
        <v>0</v>
      </c>
      <c r="G95" s="234">
        <f t="shared" si="6"/>
        <v>0</v>
      </c>
      <c r="H95" s="235">
        <f>INDEX(Movements!$G$380:$G$409,MATCH('Cost movements'!C95,Movements!$C$110:$C$139,0))</f>
        <v>0</v>
      </c>
      <c r="I95" s="235">
        <f>INDEX(Movements!$G$110:$G$139,MATCH('Cost movements'!C95,Movements!$C$110:$C$139,0))</f>
        <v>0</v>
      </c>
      <c r="J95" s="306">
        <f t="shared" si="7"/>
        <v>0</v>
      </c>
      <c r="K95" s="234">
        <f t="shared" si="8"/>
        <v>0</v>
      </c>
      <c r="L95" s="235">
        <f>INDEX(Movements!$G$413:$G$442,MATCH('Cost movements'!C95,Movements!$C$143:$C$172,0))</f>
        <v>0</v>
      </c>
      <c r="M95" s="235">
        <f>INDEX(Movements!$G$143:$G$172,MATCH('Cost movements'!C95,Movements!$C$143:$C$172,0))</f>
        <v>0</v>
      </c>
      <c r="N95" s="306">
        <f t="shared" si="9"/>
        <v>0</v>
      </c>
      <c r="O95" s="234">
        <f t="shared" si="10"/>
        <v>0</v>
      </c>
      <c r="P95" s="235">
        <f>INDEX(Movements!$O$11:$O$40,MATCH('Cost movements'!C95,Movements!$C$11:$C$40,0))</f>
        <v>0</v>
      </c>
      <c r="Q95" s="235">
        <f>INDEX(Movements!$N$11:$N$40,MATCH('Cost movements'!C95,Movements!$C$11:$C$40,0))</f>
        <v>0</v>
      </c>
      <c r="R95" s="306">
        <f t="shared" si="11"/>
        <v>0</v>
      </c>
      <c r="S95" s="234">
        <f t="shared" si="12"/>
        <v>0</v>
      </c>
      <c r="T95" s="19"/>
      <c r="U95" s="19"/>
      <c r="V95" s="19"/>
      <c r="W95" s="19"/>
      <c r="X95" s="19"/>
      <c r="Y95" s="19"/>
    </row>
    <row r="96" spans="1:25" hidden="1" outlineLevel="1" x14ac:dyDescent="0.2">
      <c r="A96" s="19"/>
      <c r="B96" s="19"/>
      <c r="C96" s="492">
        <f t="shared" si="4"/>
        <v>0</v>
      </c>
      <c r="D96" s="235">
        <f>INDEX(Movements!$G$347:$G$376,MATCH('Cost movements'!C96,Movements!$C$77:$C$106,0))</f>
        <v>0</v>
      </c>
      <c r="E96" s="235">
        <f>INDEX(Movements!$G$77:$G$106,MATCH('Cost movements'!C96,Movements!$C$77:$C$106,0))</f>
        <v>0</v>
      </c>
      <c r="F96" s="306">
        <f t="shared" si="5"/>
        <v>0</v>
      </c>
      <c r="G96" s="234">
        <f t="shared" si="6"/>
        <v>0</v>
      </c>
      <c r="H96" s="235">
        <f>INDEX(Movements!$G$380:$G$409,MATCH('Cost movements'!C96,Movements!$C$110:$C$139,0))</f>
        <v>0</v>
      </c>
      <c r="I96" s="235">
        <f>INDEX(Movements!$G$110:$G$139,MATCH('Cost movements'!C96,Movements!$C$110:$C$139,0))</f>
        <v>0</v>
      </c>
      <c r="J96" s="306">
        <f t="shared" si="7"/>
        <v>0</v>
      </c>
      <c r="K96" s="234">
        <f t="shared" si="8"/>
        <v>0</v>
      </c>
      <c r="L96" s="235">
        <f>INDEX(Movements!$G$413:$G$442,MATCH('Cost movements'!C96,Movements!$C$143:$C$172,0))</f>
        <v>0</v>
      </c>
      <c r="M96" s="235">
        <f>INDEX(Movements!$G$143:$G$172,MATCH('Cost movements'!C96,Movements!$C$143:$C$172,0))</f>
        <v>0</v>
      </c>
      <c r="N96" s="306">
        <f t="shared" si="9"/>
        <v>0</v>
      </c>
      <c r="O96" s="234">
        <f t="shared" si="10"/>
        <v>0</v>
      </c>
      <c r="P96" s="235">
        <f>INDEX(Movements!$O$11:$O$40,MATCH('Cost movements'!C96,Movements!$C$11:$C$40,0))</f>
        <v>0</v>
      </c>
      <c r="Q96" s="235">
        <f>INDEX(Movements!$N$11:$N$40,MATCH('Cost movements'!C96,Movements!$C$11:$C$40,0))</f>
        <v>0</v>
      </c>
      <c r="R96" s="306">
        <f t="shared" si="11"/>
        <v>0</v>
      </c>
      <c r="S96" s="234">
        <f t="shared" si="12"/>
        <v>0</v>
      </c>
      <c r="T96" s="19"/>
      <c r="U96" s="19"/>
      <c r="V96" s="19"/>
      <c r="W96" s="19"/>
      <c r="X96" s="19"/>
      <c r="Y96" s="19"/>
    </row>
    <row r="97" spans="1:25" hidden="1" outlineLevel="1" x14ac:dyDescent="0.2">
      <c r="A97" s="19"/>
      <c r="B97" s="19"/>
      <c r="C97" s="492">
        <f t="shared" si="4"/>
        <v>0</v>
      </c>
      <c r="D97" s="235">
        <f>INDEX(Movements!$G$347:$G$376,MATCH('Cost movements'!C97,Movements!$C$77:$C$106,0))</f>
        <v>0</v>
      </c>
      <c r="E97" s="235">
        <f>INDEX(Movements!$G$77:$G$106,MATCH('Cost movements'!C97,Movements!$C$77:$C$106,0))</f>
        <v>0</v>
      </c>
      <c r="F97" s="306">
        <f t="shared" si="5"/>
        <v>0</v>
      </c>
      <c r="G97" s="234">
        <f t="shared" si="6"/>
        <v>0</v>
      </c>
      <c r="H97" s="235">
        <f>INDEX(Movements!$G$380:$G$409,MATCH('Cost movements'!C97,Movements!$C$110:$C$139,0))</f>
        <v>0</v>
      </c>
      <c r="I97" s="235">
        <f>INDEX(Movements!$G$110:$G$139,MATCH('Cost movements'!C97,Movements!$C$110:$C$139,0))</f>
        <v>0</v>
      </c>
      <c r="J97" s="306">
        <f t="shared" si="7"/>
        <v>0</v>
      </c>
      <c r="K97" s="234">
        <f t="shared" si="8"/>
        <v>0</v>
      </c>
      <c r="L97" s="235">
        <f>INDEX(Movements!$G$413:$G$442,MATCH('Cost movements'!C97,Movements!$C$143:$C$172,0))</f>
        <v>0</v>
      </c>
      <c r="M97" s="235">
        <f>INDEX(Movements!$G$143:$G$172,MATCH('Cost movements'!C97,Movements!$C$143:$C$172,0))</f>
        <v>0</v>
      </c>
      <c r="N97" s="306">
        <f t="shared" si="9"/>
        <v>0</v>
      </c>
      <c r="O97" s="234">
        <f t="shared" si="10"/>
        <v>0</v>
      </c>
      <c r="P97" s="235">
        <f>INDEX(Movements!$O$11:$O$40,MATCH('Cost movements'!C97,Movements!$C$11:$C$40,0))</f>
        <v>0</v>
      </c>
      <c r="Q97" s="235">
        <f>INDEX(Movements!$N$11:$N$40,MATCH('Cost movements'!C97,Movements!$C$11:$C$40,0))</f>
        <v>0</v>
      </c>
      <c r="R97" s="306">
        <f t="shared" si="11"/>
        <v>0</v>
      </c>
      <c r="S97" s="234">
        <f t="shared" si="12"/>
        <v>0</v>
      </c>
      <c r="T97" s="19"/>
      <c r="U97" s="19"/>
      <c r="V97" s="19"/>
      <c r="W97" s="19"/>
      <c r="X97" s="19"/>
      <c r="Y97" s="19"/>
    </row>
    <row r="98" spans="1:25" hidden="1" outlineLevel="1" x14ac:dyDescent="0.2">
      <c r="A98" s="19"/>
      <c r="B98" s="19"/>
      <c r="C98" s="492">
        <f t="shared" si="4"/>
        <v>0</v>
      </c>
      <c r="D98" s="235">
        <f>INDEX(Movements!$G$347:$G$376,MATCH('Cost movements'!C98,Movements!$C$77:$C$106,0))</f>
        <v>0</v>
      </c>
      <c r="E98" s="235">
        <f>INDEX(Movements!$G$77:$G$106,MATCH('Cost movements'!C98,Movements!$C$77:$C$106,0))</f>
        <v>0</v>
      </c>
      <c r="F98" s="306">
        <f t="shared" si="5"/>
        <v>0</v>
      </c>
      <c r="G98" s="234">
        <f t="shared" si="6"/>
        <v>0</v>
      </c>
      <c r="H98" s="235">
        <f>INDEX(Movements!$G$380:$G$409,MATCH('Cost movements'!C98,Movements!$C$110:$C$139,0))</f>
        <v>0</v>
      </c>
      <c r="I98" s="235">
        <f>INDEX(Movements!$G$110:$G$139,MATCH('Cost movements'!C98,Movements!$C$110:$C$139,0))</f>
        <v>0</v>
      </c>
      <c r="J98" s="306">
        <f t="shared" si="7"/>
        <v>0</v>
      </c>
      <c r="K98" s="234">
        <f t="shared" si="8"/>
        <v>0</v>
      </c>
      <c r="L98" s="235">
        <f>INDEX(Movements!$G$413:$G$442,MATCH('Cost movements'!C98,Movements!$C$143:$C$172,0))</f>
        <v>0</v>
      </c>
      <c r="M98" s="235">
        <f>INDEX(Movements!$G$143:$G$172,MATCH('Cost movements'!C98,Movements!$C$143:$C$172,0))</f>
        <v>0</v>
      </c>
      <c r="N98" s="306">
        <f t="shared" si="9"/>
        <v>0</v>
      </c>
      <c r="O98" s="234">
        <f t="shared" si="10"/>
        <v>0</v>
      </c>
      <c r="P98" s="235">
        <f>INDEX(Movements!$O$11:$O$40,MATCH('Cost movements'!C98,Movements!$C$11:$C$40,0))</f>
        <v>0</v>
      </c>
      <c r="Q98" s="235">
        <f>INDEX(Movements!$N$11:$N$40,MATCH('Cost movements'!C98,Movements!$C$11:$C$40,0))</f>
        <v>0</v>
      </c>
      <c r="R98" s="306">
        <f t="shared" si="11"/>
        <v>0</v>
      </c>
      <c r="S98" s="234">
        <f t="shared" si="12"/>
        <v>0</v>
      </c>
      <c r="T98" s="19"/>
      <c r="U98" s="19"/>
      <c r="V98" s="19"/>
      <c r="W98" s="19"/>
      <c r="X98" s="19"/>
      <c r="Y98" s="19"/>
    </row>
    <row r="99" spans="1:25" hidden="1" outlineLevel="1" x14ac:dyDescent="0.2">
      <c r="A99" s="19"/>
      <c r="B99" s="19"/>
      <c r="C99" s="492">
        <f t="shared" si="4"/>
        <v>0</v>
      </c>
      <c r="D99" s="235">
        <f>INDEX(Movements!$G$347:$G$376,MATCH('Cost movements'!C99,Movements!$C$77:$C$106,0))</f>
        <v>0</v>
      </c>
      <c r="E99" s="235">
        <f>INDEX(Movements!$G$77:$G$106,MATCH('Cost movements'!C99,Movements!$C$77:$C$106,0))</f>
        <v>0</v>
      </c>
      <c r="F99" s="306">
        <f t="shared" si="5"/>
        <v>0</v>
      </c>
      <c r="G99" s="234">
        <f t="shared" si="6"/>
        <v>0</v>
      </c>
      <c r="H99" s="235">
        <f>INDEX(Movements!$G$380:$G$409,MATCH('Cost movements'!C99,Movements!$C$110:$C$139,0))</f>
        <v>0</v>
      </c>
      <c r="I99" s="235">
        <f>INDEX(Movements!$G$110:$G$139,MATCH('Cost movements'!C99,Movements!$C$110:$C$139,0))</f>
        <v>0</v>
      </c>
      <c r="J99" s="306">
        <f t="shared" si="7"/>
        <v>0</v>
      </c>
      <c r="K99" s="234">
        <f t="shared" si="8"/>
        <v>0</v>
      </c>
      <c r="L99" s="235">
        <f>INDEX(Movements!$G$413:$G$442,MATCH('Cost movements'!C99,Movements!$C$143:$C$172,0))</f>
        <v>0</v>
      </c>
      <c r="M99" s="235">
        <f>INDEX(Movements!$G$143:$G$172,MATCH('Cost movements'!C99,Movements!$C$143:$C$172,0))</f>
        <v>0</v>
      </c>
      <c r="N99" s="306">
        <f t="shared" si="9"/>
        <v>0</v>
      </c>
      <c r="O99" s="234">
        <f t="shared" si="10"/>
        <v>0</v>
      </c>
      <c r="P99" s="235">
        <f>INDEX(Movements!$O$11:$O$40,MATCH('Cost movements'!C99,Movements!$C$11:$C$40,0))</f>
        <v>0</v>
      </c>
      <c r="Q99" s="235">
        <f>INDEX(Movements!$N$11:$N$40,MATCH('Cost movements'!C99,Movements!$C$11:$C$40,0))</f>
        <v>0</v>
      </c>
      <c r="R99" s="306">
        <f t="shared" si="11"/>
        <v>0</v>
      </c>
      <c r="S99" s="234">
        <f t="shared" si="12"/>
        <v>0</v>
      </c>
      <c r="T99" s="19"/>
      <c r="U99" s="19"/>
      <c r="V99" s="19"/>
      <c r="W99" s="19"/>
      <c r="X99" s="19"/>
      <c r="Y99" s="19"/>
    </row>
    <row r="100" spans="1:25" hidden="1" outlineLevel="1" x14ac:dyDescent="0.2">
      <c r="A100" s="19"/>
      <c r="B100" s="19"/>
      <c r="C100" s="492">
        <f t="shared" si="4"/>
        <v>0</v>
      </c>
      <c r="D100" s="235">
        <f>INDEX(Movements!$G$347:$G$376,MATCH('Cost movements'!C100,Movements!$C$77:$C$106,0))</f>
        <v>0</v>
      </c>
      <c r="E100" s="235">
        <f>INDEX(Movements!$G$77:$G$106,MATCH('Cost movements'!C100,Movements!$C$77:$C$106,0))</f>
        <v>0</v>
      </c>
      <c r="F100" s="306">
        <f t="shared" si="5"/>
        <v>0</v>
      </c>
      <c r="G100" s="234">
        <f t="shared" si="6"/>
        <v>0</v>
      </c>
      <c r="H100" s="235">
        <f>INDEX(Movements!$G$380:$G$409,MATCH('Cost movements'!C100,Movements!$C$110:$C$139,0))</f>
        <v>0</v>
      </c>
      <c r="I100" s="235">
        <f>INDEX(Movements!$G$110:$G$139,MATCH('Cost movements'!C100,Movements!$C$110:$C$139,0))</f>
        <v>0</v>
      </c>
      <c r="J100" s="306">
        <f t="shared" si="7"/>
        <v>0</v>
      </c>
      <c r="K100" s="234">
        <f t="shared" si="8"/>
        <v>0</v>
      </c>
      <c r="L100" s="235">
        <f>INDEX(Movements!$G$413:$G$442,MATCH('Cost movements'!C100,Movements!$C$143:$C$172,0))</f>
        <v>0</v>
      </c>
      <c r="M100" s="235">
        <f>INDEX(Movements!$G$143:$G$172,MATCH('Cost movements'!C100,Movements!$C$143:$C$172,0))</f>
        <v>0</v>
      </c>
      <c r="N100" s="306">
        <f t="shared" si="9"/>
        <v>0</v>
      </c>
      <c r="O100" s="234">
        <f t="shared" si="10"/>
        <v>0</v>
      </c>
      <c r="P100" s="235">
        <f>INDEX(Movements!$O$11:$O$40,MATCH('Cost movements'!C100,Movements!$C$11:$C$40,0))</f>
        <v>0</v>
      </c>
      <c r="Q100" s="235">
        <f>INDEX(Movements!$N$11:$N$40,MATCH('Cost movements'!C100,Movements!$C$11:$C$40,0))</f>
        <v>0</v>
      </c>
      <c r="R100" s="306">
        <f t="shared" si="11"/>
        <v>0</v>
      </c>
      <c r="S100" s="234">
        <f t="shared" si="12"/>
        <v>0</v>
      </c>
      <c r="T100" s="19"/>
      <c r="U100" s="19"/>
      <c r="V100" s="19"/>
      <c r="W100" s="19"/>
      <c r="X100" s="19"/>
      <c r="Y100" s="19"/>
    </row>
    <row r="101" spans="1:25" hidden="1" outlineLevel="1" x14ac:dyDescent="0.2">
      <c r="A101" s="19"/>
      <c r="B101" s="19"/>
      <c r="C101" s="492">
        <f t="shared" si="4"/>
        <v>0</v>
      </c>
      <c r="D101" s="235">
        <f>INDEX(Movements!$G$347:$G$376,MATCH('Cost movements'!C101,Movements!$C$77:$C$106,0))</f>
        <v>0</v>
      </c>
      <c r="E101" s="235">
        <f>INDEX(Movements!$G$77:$G$106,MATCH('Cost movements'!C101,Movements!$C$77:$C$106,0))</f>
        <v>0</v>
      </c>
      <c r="F101" s="306">
        <f t="shared" si="5"/>
        <v>0</v>
      </c>
      <c r="G101" s="234">
        <f t="shared" si="6"/>
        <v>0</v>
      </c>
      <c r="H101" s="235">
        <f>INDEX(Movements!$G$380:$G$409,MATCH('Cost movements'!C101,Movements!$C$110:$C$139,0))</f>
        <v>0</v>
      </c>
      <c r="I101" s="235">
        <f>INDEX(Movements!$G$110:$G$139,MATCH('Cost movements'!C101,Movements!$C$110:$C$139,0))</f>
        <v>0</v>
      </c>
      <c r="J101" s="306">
        <f t="shared" si="7"/>
        <v>0</v>
      </c>
      <c r="K101" s="234">
        <f t="shared" si="8"/>
        <v>0</v>
      </c>
      <c r="L101" s="235">
        <f>INDEX(Movements!$G$413:$G$442,MATCH('Cost movements'!C101,Movements!$C$143:$C$172,0))</f>
        <v>0</v>
      </c>
      <c r="M101" s="235">
        <f>INDEX(Movements!$G$143:$G$172,MATCH('Cost movements'!C101,Movements!$C$143:$C$172,0))</f>
        <v>0</v>
      </c>
      <c r="N101" s="306">
        <f t="shared" si="9"/>
        <v>0</v>
      </c>
      <c r="O101" s="234">
        <f t="shared" si="10"/>
        <v>0</v>
      </c>
      <c r="P101" s="235">
        <f>INDEX(Movements!$O$11:$O$40,MATCH('Cost movements'!C101,Movements!$C$11:$C$40,0))</f>
        <v>0</v>
      </c>
      <c r="Q101" s="235">
        <f>INDEX(Movements!$N$11:$N$40,MATCH('Cost movements'!C101,Movements!$C$11:$C$40,0))</f>
        <v>0</v>
      </c>
      <c r="R101" s="306">
        <f t="shared" si="11"/>
        <v>0</v>
      </c>
      <c r="S101" s="234">
        <f t="shared" si="12"/>
        <v>0</v>
      </c>
      <c r="T101" s="19"/>
      <c r="U101" s="19"/>
      <c r="V101" s="19"/>
      <c r="W101" s="19"/>
      <c r="X101" s="19"/>
      <c r="Y101" s="19"/>
    </row>
    <row r="102" spans="1:25" hidden="1" outlineLevel="1" x14ac:dyDescent="0.2">
      <c r="A102" s="19"/>
      <c r="B102" s="19"/>
      <c r="C102" s="492">
        <f t="shared" si="4"/>
        <v>0</v>
      </c>
      <c r="D102" s="235">
        <f>INDEX(Movements!$G$347:$G$376,MATCH('Cost movements'!C102,Movements!$C$77:$C$106,0))</f>
        <v>0</v>
      </c>
      <c r="E102" s="235">
        <f>INDEX(Movements!$G$77:$G$106,MATCH('Cost movements'!C102,Movements!$C$77:$C$106,0))</f>
        <v>0</v>
      </c>
      <c r="F102" s="306">
        <f t="shared" si="5"/>
        <v>0</v>
      </c>
      <c r="G102" s="234">
        <f t="shared" si="6"/>
        <v>0</v>
      </c>
      <c r="H102" s="235">
        <f>INDEX(Movements!$G$380:$G$409,MATCH('Cost movements'!C102,Movements!$C$110:$C$139,0))</f>
        <v>0</v>
      </c>
      <c r="I102" s="235">
        <f>INDEX(Movements!$G$110:$G$139,MATCH('Cost movements'!C102,Movements!$C$110:$C$139,0))</f>
        <v>0</v>
      </c>
      <c r="J102" s="306">
        <f t="shared" si="7"/>
        <v>0</v>
      </c>
      <c r="K102" s="234">
        <f t="shared" si="8"/>
        <v>0</v>
      </c>
      <c r="L102" s="235">
        <f>INDEX(Movements!$G$413:$G$442,MATCH('Cost movements'!C102,Movements!$C$143:$C$172,0))</f>
        <v>0</v>
      </c>
      <c r="M102" s="235">
        <f>INDEX(Movements!$G$143:$G$172,MATCH('Cost movements'!C102,Movements!$C$143:$C$172,0))</f>
        <v>0</v>
      </c>
      <c r="N102" s="306">
        <f t="shared" si="9"/>
        <v>0</v>
      </c>
      <c r="O102" s="234">
        <f t="shared" si="10"/>
        <v>0</v>
      </c>
      <c r="P102" s="235">
        <f>INDEX(Movements!$O$11:$O$40,MATCH('Cost movements'!C102,Movements!$C$11:$C$40,0))</f>
        <v>0</v>
      </c>
      <c r="Q102" s="235">
        <f>INDEX(Movements!$N$11:$N$40,MATCH('Cost movements'!C102,Movements!$C$11:$C$40,0))</f>
        <v>0</v>
      </c>
      <c r="R102" s="306">
        <f t="shared" si="11"/>
        <v>0</v>
      </c>
      <c r="S102" s="234">
        <f t="shared" si="12"/>
        <v>0</v>
      </c>
      <c r="T102" s="19"/>
      <c r="U102" s="19"/>
      <c r="V102" s="19"/>
      <c r="W102" s="19"/>
      <c r="X102" s="19"/>
      <c r="Y102" s="19"/>
    </row>
    <row r="103" spans="1:25" hidden="1" outlineLevel="1" x14ac:dyDescent="0.2">
      <c r="A103" s="19"/>
      <c r="B103" s="19"/>
      <c r="C103" s="492">
        <f t="shared" si="4"/>
        <v>0</v>
      </c>
      <c r="D103" s="235">
        <f>INDEX(Movements!$G$347:$G$376,MATCH('Cost movements'!C103,Movements!$C$77:$C$106,0))</f>
        <v>0</v>
      </c>
      <c r="E103" s="235">
        <f>INDEX(Movements!$G$77:$G$106,MATCH('Cost movements'!C103,Movements!$C$77:$C$106,0))</f>
        <v>0</v>
      </c>
      <c r="F103" s="306">
        <f t="shared" si="5"/>
        <v>0</v>
      </c>
      <c r="G103" s="234">
        <f t="shared" si="6"/>
        <v>0</v>
      </c>
      <c r="H103" s="235">
        <f>INDEX(Movements!$G$380:$G$409,MATCH('Cost movements'!C103,Movements!$C$110:$C$139,0))</f>
        <v>0</v>
      </c>
      <c r="I103" s="235">
        <f>INDEX(Movements!$G$110:$G$139,MATCH('Cost movements'!C103,Movements!$C$110:$C$139,0))</f>
        <v>0</v>
      </c>
      <c r="J103" s="306">
        <f t="shared" si="7"/>
        <v>0</v>
      </c>
      <c r="K103" s="234">
        <f t="shared" si="8"/>
        <v>0</v>
      </c>
      <c r="L103" s="235">
        <f>INDEX(Movements!$G$413:$G$442,MATCH('Cost movements'!C103,Movements!$C$143:$C$172,0))</f>
        <v>0</v>
      </c>
      <c r="M103" s="235">
        <f>INDEX(Movements!$G$143:$G$172,MATCH('Cost movements'!C103,Movements!$C$143:$C$172,0))</f>
        <v>0</v>
      </c>
      <c r="N103" s="306">
        <f t="shared" si="9"/>
        <v>0</v>
      </c>
      <c r="O103" s="234">
        <f t="shared" si="10"/>
        <v>0</v>
      </c>
      <c r="P103" s="235">
        <f>INDEX(Movements!$O$11:$O$40,MATCH('Cost movements'!C103,Movements!$C$11:$C$40,0))</f>
        <v>0</v>
      </c>
      <c r="Q103" s="235">
        <f>INDEX(Movements!$N$11:$N$40,MATCH('Cost movements'!C103,Movements!$C$11:$C$40,0))</f>
        <v>0</v>
      </c>
      <c r="R103" s="306">
        <f t="shared" si="11"/>
        <v>0</v>
      </c>
      <c r="S103" s="234">
        <f t="shared" si="12"/>
        <v>0</v>
      </c>
      <c r="T103" s="19"/>
      <c r="U103" s="19"/>
      <c r="V103" s="19"/>
      <c r="W103" s="19"/>
      <c r="X103" s="19"/>
      <c r="Y103" s="19"/>
    </row>
    <row r="104" spans="1:25" hidden="1" outlineLevel="1" x14ac:dyDescent="0.2">
      <c r="A104" s="19"/>
      <c r="B104" s="19"/>
      <c r="C104" s="492">
        <f t="shared" si="4"/>
        <v>0</v>
      </c>
      <c r="D104" s="235">
        <f>INDEX(Movements!$G$347:$G$376,MATCH('Cost movements'!C104,Movements!$C$77:$C$106,0))</f>
        <v>0</v>
      </c>
      <c r="E104" s="235">
        <f>INDEX(Movements!$G$77:$G$106,MATCH('Cost movements'!C104,Movements!$C$77:$C$106,0))</f>
        <v>0</v>
      </c>
      <c r="F104" s="306">
        <f t="shared" si="5"/>
        <v>0</v>
      </c>
      <c r="G104" s="234">
        <f t="shared" si="6"/>
        <v>0</v>
      </c>
      <c r="H104" s="235">
        <f>INDEX(Movements!$G$380:$G$409,MATCH('Cost movements'!C104,Movements!$C$110:$C$139,0))</f>
        <v>0</v>
      </c>
      <c r="I104" s="235">
        <f>INDEX(Movements!$G$110:$G$139,MATCH('Cost movements'!C104,Movements!$C$110:$C$139,0))</f>
        <v>0</v>
      </c>
      <c r="J104" s="306">
        <f t="shared" si="7"/>
        <v>0</v>
      </c>
      <c r="K104" s="234">
        <f t="shared" si="8"/>
        <v>0</v>
      </c>
      <c r="L104" s="235">
        <f>INDEX(Movements!$G$413:$G$442,MATCH('Cost movements'!C104,Movements!$C$143:$C$172,0))</f>
        <v>0</v>
      </c>
      <c r="M104" s="235">
        <f>INDEX(Movements!$G$143:$G$172,MATCH('Cost movements'!C104,Movements!$C$143:$C$172,0))</f>
        <v>0</v>
      </c>
      <c r="N104" s="306">
        <f t="shared" si="9"/>
        <v>0</v>
      </c>
      <c r="O104" s="234">
        <f t="shared" si="10"/>
        <v>0</v>
      </c>
      <c r="P104" s="235">
        <f>INDEX(Movements!$O$11:$O$40,MATCH('Cost movements'!C104,Movements!$C$11:$C$40,0))</f>
        <v>0</v>
      </c>
      <c r="Q104" s="235">
        <f>INDEX(Movements!$N$11:$N$40,MATCH('Cost movements'!C104,Movements!$C$11:$C$40,0))</f>
        <v>0</v>
      </c>
      <c r="R104" s="306">
        <f t="shared" si="11"/>
        <v>0</v>
      </c>
      <c r="S104" s="234">
        <f t="shared" si="12"/>
        <v>0</v>
      </c>
      <c r="T104" s="19"/>
      <c r="U104" s="19"/>
      <c r="V104" s="19"/>
      <c r="W104" s="19"/>
      <c r="X104" s="19"/>
      <c r="Y104" s="19"/>
    </row>
    <row r="105" spans="1:25" hidden="1" outlineLevel="1" x14ac:dyDescent="0.2">
      <c r="A105" s="19"/>
      <c r="B105" s="19"/>
      <c r="C105" s="492">
        <f t="shared" si="4"/>
        <v>0</v>
      </c>
      <c r="D105" s="235">
        <f>INDEX(Movements!$G$347:$G$376,MATCH('Cost movements'!C105,Movements!$C$77:$C$106,0))</f>
        <v>0</v>
      </c>
      <c r="E105" s="235">
        <f>INDEX(Movements!$G$77:$G$106,MATCH('Cost movements'!C105,Movements!$C$77:$C$106,0))</f>
        <v>0</v>
      </c>
      <c r="F105" s="306">
        <f t="shared" si="5"/>
        <v>0</v>
      </c>
      <c r="G105" s="234">
        <f t="shared" si="6"/>
        <v>0</v>
      </c>
      <c r="H105" s="235">
        <f>INDEX(Movements!$G$380:$G$409,MATCH('Cost movements'!C105,Movements!$C$110:$C$139,0))</f>
        <v>0</v>
      </c>
      <c r="I105" s="235">
        <f>INDEX(Movements!$G$110:$G$139,MATCH('Cost movements'!C105,Movements!$C$110:$C$139,0))</f>
        <v>0</v>
      </c>
      <c r="J105" s="306">
        <f t="shared" si="7"/>
        <v>0</v>
      </c>
      <c r="K105" s="234">
        <f t="shared" si="8"/>
        <v>0</v>
      </c>
      <c r="L105" s="235">
        <f>INDEX(Movements!$G$413:$G$442,MATCH('Cost movements'!C105,Movements!$C$143:$C$172,0))</f>
        <v>0</v>
      </c>
      <c r="M105" s="235">
        <f>INDEX(Movements!$G$143:$G$172,MATCH('Cost movements'!C105,Movements!$C$143:$C$172,0))</f>
        <v>0</v>
      </c>
      <c r="N105" s="306">
        <f t="shared" si="9"/>
        <v>0</v>
      </c>
      <c r="O105" s="234">
        <f t="shared" si="10"/>
        <v>0</v>
      </c>
      <c r="P105" s="235">
        <f>INDEX(Movements!$O$11:$O$40,MATCH('Cost movements'!C105,Movements!$C$11:$C$40,0))</f>
        <v>0</v>
      </c>
      <c r="Q105" s="235">
        <f>INDEX(Movements!$N$11:$N$40,MATCH('Cost movements'!C105,Movements!$C$11:$C$40,0))</f>
        <v>0</v>
      </c>
      <c r="R105" s="306">
        <f t="shared" si="11"/>
        <v>0</v>
      </c>
      <c r="S105" s="234">
        <f t="shared" si="12"/>
        <v>0</v>
      </c>
      <c r="T105" s="19"/>
      <c r="U105" s="19"/>
      <c r="V105" s="19"/>
      <c r="W105" s="19"/>
      <c r="X105" s="19"/>
      <c r="Y105" s="19"/>
    </row>
    <row r="106" spans="1:25" collapsed="1" x14ac:dyDescent="0.2">
      <c r="A106" s="19"/>
      <c r="B106" s="19"/>
      <c r="C106" s="524"/>
      <c r="D106" s="307"/>
      <c r="E106" s="307"/>
      <c r="F106" s="308"/>
      <c r="G106" s="307"/>
      <c r="H106" s="307"/>
      <c r="I106" s="307"/>
      <c r="J106" s="308"/>
      <c r="K106" s="307"/>
      <c r="L106" s="307"/>
      <c r="M106" s="307"/>
      <c r="N106" s="308"/>
      <c r="O106" s="307"/>
      <c r="P106" s="307"/>
      <c r="Q106" s="307"/>
      <c r="R106" s="308"/>
      <c r="S106" s="307"/>
      <c r="T106" s="19"/>
      <c r="U106" s="19"/>
      <c r="V106" s="19"/>
      <c r="W106" s="19"/>
      <c r="X106" s="19"/>
      <c r="Y106" s="19"/>
    </row>
    <row r="107" spans="1:25" x14ac:dyDescent="0.2">
      <c r="A107" s="19"/>
      <c r="B107" s="19"/>
      <c r="C107" s="492" t="str">
        <f t="shared" ref="C107:C136" si="13">C40</f>
        <v>Small business time of use consumption</v>
      </c>
      <c r="D107" s="235">
        <f>INDEX(Movements!$G$482:$G$511,MATCH('Cost movements'!C107,Movements!$C$212:$C$241,0))</f>
        <v>3402.4291693728392</v>
      </c>
      <c r="E107" s="235">
        <f>INDEX(Movements!$G$212:$G$241,MATCH('Cost movements'!C107,Movements!$C$212:$C$241,0))</f>
        <v>3420.9570648009762</v>
      </c>
      <c r="F107" s="306">
        <f>E107-D107</f>
        <v>18.527895428137072</v>
      </c>
      <c r="G107" s="234">
        <f>IFERROR(F107/D107,0)</f>
        <v>5.4454904145887833E-3</v>
      </c>
      <c r="H107" s="235">
        <f>INDEX(Movements!$G$515:$G$544,MATCH('Cost movements'!C107,Movements!$C$245:$C$274,0))</f>
        <v>888.25514287494877</v>
      </c>
      <c r="I107" s="235">
        <f>INDEX(Movements!$G$245:$G$274,MATCH('Cost movements'!C107,Movements!$C$245:$C$274,0))</f>
        <v>939.57490318675821</v>
      </c>
      <c r="J107" s="306">
        <f>I107-H107</f>
        <v>51.319760311809432</v>
      </c>
      <c r="K107" s="234">
        <f>IFERROR(J107/H107,0)</f>
        <v>5.7775922518958474E-2</v>
      </c>
      <c r="L107" s="235">
        <f>INDEX(Movements!$G$548:$G$577,MATCH('Cost movements'!C107,Movements!$C$278:$C$307,0))</f>
        <v>0</v>
      </c>
      <c r="M107" s="235">
        <f>INDEX(Movements!$G$278:$G$307,MATCH('Cost movements'!C107,Movements!$C$278:$C$307,0))</f>
        <v>0</v>
      </c>
      <c r="N107" s="306">
        <f>M107-L107</f>
        <v>0</v>
      </c>
      <c r="O107" s="234">
        <f>IFERROR(N107/L107,0)</f>
        <v>0</v>
      </c>
      <c r="P107" s="235">
        <f>INDEX(Movements!$O$42:$O$71,MATCH('Cost movements'!C107,Movements!$C$42:$C$71,0))</f>
        <v>24.590050000000002</v>
      </c>
      <c r="Q107" s="235">
        <f>INDEX(Movements!$N$42:$N$71,MATCH('Cost movements'!C107,Movements!$C$42:$C$71,0))</f>
        <v>25.799999999999997</v>
      </c>
      <c r="R107" s="306">
        <f>Q107-P107</f>
        <v>1.2099499999999956</v>
      </c>
      <c r="S107" s="234">
        <f>IFERROR(R107/P107,0)</f>
        <v>4.9204861315857253E-2</v>
      </c>
      <c r="T107" s="19"/>
      <c r="U107" s="19"/>
      <c r="V107" s="19"/>
      <c r="W107" s="19"/>
      <c r="X107" s="19"/>
      <c r="Y107" s="19"/>
    </row>
    <row r="108" spans="1:25" x14ac:dyDescent="0.2">
      <c r="A108" s="19"/>
      <c r="B108" s="19"/>
      <c r="C108" s="492" t="str">
        <f t="shared" si="13"/>
        <v>Small business general light and power</v>
      </c>
      <c r="D108" s="235">
        <f>INDEX(Movements!$G$482:$G$511,MATCH('Cost movements'!C108,Movements!$C$212:$C$241,0))</f>
        <v>844.90768530616424</v>
      </c>
      <c r="E108" s="235">
        <f>INDEX(Movements!$G$212:$G$241,MATCH('Cost movements'!C108,Movements!$C$212:$C$241,0))</f>
        <v>840.50511877509916</v>
      </c>
      <c r="F108" s="306">
        <f t="shared" ref="F108:F136" si="14">E108-D108</f>
        <v>-4.4025665310650766</v>
      </c>
      <c r="G108" s="234">
        <f t="shared" ref="G108:G136" si="15">IFERROR(F108/D108,0)</f>
        <v>-5.2107071667477425E-3</v>
      </c>
      <c r="H108" s="235">
        <f>INDEX(Movements!$G$515:$G$544,MATCH('Cost movements'!C108,Movements!$C$245:$C$274,0))</f>
        <v>168.40251560518914</v>
      </c>
      <c r="I108" s="235">
        <f>INDEX(Movements!$G$245:$G$274,MATCH('Cost movements'!C108,Movements!$C$245:$C$274,0))</f>
        <v>177.81857024117821</v>
      </c>
      <c r="J108" s="306">
        <f t="shared" ref="J108:J136" si="16">I108-H108</f>
        <v>9.4160546359890702</v>
      </c>
      <c r="K108" s="234">
        <f t="shared" ref="K108:K136" si="17">IFERROR(J108/H108,0)</f>
        <v>5.5913978494623658E-2</v>
      </c>
      <c r="L108" s="235">
        <f>INDEX(Movements!$G$548:$G$577,MATCH('Cost movements'!C108,Movements!$C$278:$C$307,0))</f>
        <v>0</v>
      </c>
      <c r="M108" s="235">
        <f>INDEX(Movements!$G$278:$G$307,MATCH('Cost movements'!C108,Movements!$C$278:$C$307,0))</f>
        <v>0</v>
      </c>
      <c r="N108" s="306">
        <f t="shared" ref="N108:N136" si="18">M108-L108</f>
        <v>0</v>
      </c>
      <c r="O108" s="234">
        <f t="shared" ref="O108:O136" si="19">IFERROR(N108/L108,0)</f>
        <v>0</v>
      </c>
      <c r="P108" s="235">
        <f>INDEX(Movements!$O$42:$O$71,MATCH('Cost movements'!C108,Movements!$C$42:$C$71,0))</f>
        <v>25.436849999999996</v>
      </c>
      <c r="Q108" s="235">
        <f>INDEX(Movements!$N$42:$N$71,MATCH('Cost movements'!C108,Movements!$C$42:$C$71,0))</f>
        <v>26.689999999999998</v>
      </c>
      <c r="R108" s="306">
        <f t="shared" ref="R108:R136" si="20">Q108-P108</f>
        <v>1.2531500000000015</v>
      </c>
      <c r="S108" s="234">
        <f t="shared" ref="S108:S136" si="21">IFERROR(R108/P108,0)</f>
        <v>4.9265140927434087E-2</v>
      </c>
      <c r="T108" s="19"/>
      <c r="U108" s="19"/>
      <c r="V108" s="19"/>
      <c r="W108" s="19"/>
      <c r="X108" s="19"/>
      <c r="Y108" s="19"/>
    </row>
    <row r="109" spans="1:25" x14ac:dyDescent="0.2">
      <c r="A109" s="19"/>
      <c r="B109" s="19"/>
      <c r="C109" s="492">
        <f t="shared" si="13"/>
        <v>0</v>
      </c>
      <c r="D109" s="235">
        <f>INDEX(Movements!$G$482:$G$511,MATCH('Cost movements'!C109,Movements!$C$212:$C$241,0))</f>
        <v>0</v>
      </c>
      <c r="E109" s="235">
        <f>INDEX(Movements!$G$212:$G$241,MATCH('Cost movements'!C109,Movements!$C$212:$C$241,0))</f>
        <v>0</v>
      </c>
      <c r="F109" s="306">
        <f t="shared" si="14"/>
        <v>0</v>
      </c>
      <c r="G109" s="234">
        <f t="shared" si="15"/>
        <v>0</v>
      </c>
      <c r="H109" s="235">
        <f>INDEX(Movements!$G$515:$G$544,MATCH('Cost movements'!C109,Movements!$C$245:$C$274,0))</f>
        <v>0</v>
      </c>
      <c r="I109" s="235">
        <f>INDEX(Movements!$G$245:$G$274,MATCH('Cost movements'!C109,Movements!$C$245:$C$274,0))</f>
        <v>0</v>
      </c>
      <c r="J109" s="306">
        <f t="shared" si="16"/>
        <v>0</v>
      </c>
      <c r="K109" s="234">
        <f t="shared" si="17"/>
        <v>0</v>
      </c>
      <c r="L109" s="235">
        <f>INDEX(Movements!$G$548:$G$577,MATCH('Cost movements'!C109,Movements!$C$278:$C$307,0))</f>
        <v>0</v>
      </c>
      <c r="M109" s="235">
        <f>INDEX(Movements!$G$278:$G$307,MATCH('Cost movements'!C109,Movements!$C$278:$C$307,0))</f>
        <v>0</v>
      </c>
      <c r="N109" s="306">
        <f t="shared" si="18"/>
        <v>0</v>
      </c>
      <c r="O109" s="234">
        <f t="shared" si="19"/>
        <v>0</v>
      </c>
      <c r="P109" s="235">
        <f>INDEX(Movements!$O$42:$O$71,MATCH('Cost movements'!C109,Movements!$C$42:$C$71,0))</f>
        <v>0</v>
      </c>
      <c r="Q109" s="235">
        <f>INDEX(Movements!$N$42:$N$71,MATCH('Cost movements'!C109,Movements!$C$42:$C$71,0))</f>
        <v>0</v>
      </c>
      <c r="R109" s="306">
        <f t="shared" si="20"/>
        <v>0</v>
      </c>
      <c r="S109" s="234">
        <f t="shared" si="21"/>
        <v>0</v>
      </c>
      <c r="T109" s="19"/>
      <c r="U109" s="19"/>
      <c r="V109" s="19"/>
      <c r="W109" s="19"/>
      <c r="X109" s="19"/>
      <c r="Y109" s="19"/>
    </row>
    <row r="110" spans="1:25" hidden="1" outlineLevel="1" x14ac:dyDescent="0.2">
      <c r="A110" s="19"/>
      <c r="B110" s="19"/>
      <c r="C110" s="492">
        <f t="shared" si="13"/>
        <v>0</v>
      </c>
      <c r="D110" s="235">
        <f>INDEX(Movements!$G$482:$G$511,MATCH('Cost movements'!C110,Movements!$C$212:$C$241,0))</f>
        <v>0</v>
      </c>
      <c r="E110" s="235">
        <f>INDEX(Movements!$G$212:$G$241,MATCH('Cost movements'!C110,Movements!$C$212:$C$241,0))</f>
        <v>0</v>
      </c>
      <c r="F110" s="306">
        <f t="shared" si="14"/>
        <v>0</v>
      </c>
      <c r="G110" s="234">
        <f t="shared" si="15"/>
        <v>0</v>
      </c>
      <c r="H110" s="235">
        <f>INDEX(Movements!$G$515:$G$544,MATCH('Cost movements'!C110,Movements!$C$245:$C$274,0))</f>
        <v>0</v>
      </c>
      <c r="I110" s="235">
        <f>INDEX(Movements!$G$245:$G$274,MATCH('Cost movements'!C110,Movements!$C$245:$C$274,0))</f>
        <v>0</v>
      </c>
      <c r="J110" s="306">
        <f t="shared" si="16"/>
        <v>0</v>
      </c>
      <c r="K110" s="234">
        <f t="shared" si="17"/>
        <v>0</v>
      </c>
      <c r="L110" s="235">
        <f>INDEX(Movements!$G$548:$G$577,MATCH('Cost movements'!C110,Movements!$C$278:$C$307,0))</f>
        <v>0</v>
      </c>
      <c r="M110" s="235">
        <f>INDEX(Movements!$G$278:$G$307,MATCH('Cost movements'!C110,Movements!$C$278:$C$307,0))</f>
        <v>0</v>
      </c>
      <c r="N110" s="306">
        <f t="shared" si="18"/>
        <v>0</v>
      </c>
      <c r="O110" s="234">
        <f t="shared" si="19"/>
        <v>0</v>
      </c>
      <c r="P110" s="235">
        <f>INDEX(Movements!$O$42:$O$71,MATCH('Cost movements'!C110,Movements!$C$42:$C$71,0))</f>
        <v>0</v>
      </c>
      <c r="Q110" s="235">
        <f>INDEX(Movements!$N$42:$N$71,MATCH('Cost movements'!C110,Movements!$C$42:$C$71,0))</f>
        <v>0</v>
      </c>
      <c r="R110" s="306">
        <f t="shared" si="20"/>
        <v>0</v>
      </c>
      <c r="S110" s="234">
        <f t="shared" si="21"/>
        <v>0</v>
      </c>
      <c r="T110" s="19"/>
      <c r="U110" s="19"/>
      <c r="V110" s="19"/>
      <c r="W110" s="19"/>
      <c r="X110" s="19"/>
      <c r="Y110" s="19"/>
    </row>
    <row r="111" spans="1:25" hidden="1" outlineLevel="1" x14ac:dyDescent="0.2">
      <c r="A111" s="19"/>
      <c r="B111" s="19"/>
      <c r="C111" s="492">
        <f t="shared" si="13"/>
        <v>0</v>
      </c>
      <c r="D111" s="235">
        <f>INDEX(Movements!$G$482:$G$511,MATCH('Cost movements'!C111,Movements!$C$212:$C$241,0))</f>
        <v>0</v>
      </c>
      <c r="E111" s="235">
        <f>INDEX(Movements!$G$212:$G$241,MATCH('Cost movements'!C111,Movements!$C$212:$C$241,0))</f>
        <v>0</v>
      </c>
      <c r="F111" s="306">
        <f t="shared" si="14"/>
        <v>0</v>
      </c>
      <c r="G111" s="234">
        <f t="shared" si="15"/>
        <v>0</v>
      </c>
      <c r="H111" s="235">
        <f>INDEX(Movements!$G$515:$G$544,MATCH('Cost movements'!C111,Movements!$C$245:$C$274,0))</f>
        <v>0</v>
      </c>
      <c r="I111" s="235">
        <f>INDEX(Movements!$G$245:$G$274,MATCH('Cost movements'!C111,Movements!$C$245:$C$274,0))</f>
        <v>0</v>
      </c>
      <c r="J111" s="306">
        <f t="shared" si="16"/>
        <v>0</v>
      </c>
      <c r="K111" s="234">
        <f t="shared" si="17"/>
        <v>0</v>
      </c>
      <c r="L111" s="235">
        <f>INDEX(Movements!$G$548:$G$577,MATCH('Cost movements'!C111,Movements!$C$278:$C$307,0))</f>
        <v>0</v>
      </c>
      <c r="M111" s="235">
        <f>INDEX(Movements!$G$278:$G$307,MATCH('Cost movements'!C111,Movements!$C$278:$C$307,0))</f>
        <v>0</v>
      </c>
      <c r="N111" s="306">
        <f t="shared" si="18"/>
        <v>0</v>
      </c>
      <c r="O111" s="234">
        <f t="shared" si="19"/>
        <v>0</v>
      </c>
      <c r="P111" s="235">
        <f>INDEX(Movements!$O$42:$O$71,MATCH('Cost movements'!C111,Movements!$C$42:$C$71,0))</f>
        <v>0</v>
      </c>
      <c r="Q111" s="235">
        <f>INDEX(Movements!$N$42:$N$71,MATCH('Cost movements'!C111,Movements!$C$42:$C$71,0))</f>
        <v>0</v>
      </c>
      <c r="R111" s="306">
        <f t="shared" si="20"/>
        <v>0</v>
      </c>
      <c r="S111" s="234">
        <f t="shared" si="21"/>
        <v>0</v>
      </c>
      <c r="T111" s="19"/>
      <c r="U111" s="19"/>
      <c r="V111" s="19"/>
      <c r="W111" s="19"/>
      <c r="X111" s="19"/>
      <c r="Y111" s="19"/>
    </row>
    <row r="112" spans="1:25" hidden="1" outlineLevel="1" x14ac:dyDescent="0.2">
      <c r="A112" s="19"/>
      <c r="B112" s="19"/>
      <c r="C112" s="492">
        <f t="shared" si="13"/>
        <v>0</v>
      </c>
      <c r="D112" s="235">
        <f>INDEX(Movements!$G$482:$G$511,MATCH('Cost movements'!C112,Movements!$C$212:$C$241,0))</f>
        <v>0</v>
      </c>
      <c r="E112" s="235">
        <f>INDEX(Movements!$G$212:$G$241,MATCH('Cost movements'!C112,Movements!$C$212:$C$241,0))</f>
        <v>0</v>
      </c>
      <c r="F112" s="306">
        <f t="shared" si="14"/>
        <v>0</v>
      </c>
      <c r="G112" s="234">
        <f t="shared" si="15"/>
        <v>0</v>
      </c>
      <c r="H112" s="235">
        <f>INDEX(Movements!$G$515:$G$544,MATCH('Cost movements'!C112,Movements!$C$245:$C$274,0))</f>
        <v>0</v>
      </c>
      <c r="I112" s="235">
        <f>INDEX(Movements!$G$245:$G$274,MATCH('Cost movements'!C112,Movements!$C$245:$C$274,0))</f>
        <v>0</v>
      </c>
      <c r="J112" s="306">
        <f t="shared" si="16"/>
        <v>0</v>
      </c>
      <c r="K112" s="234">
        <f t="shared" si="17"/>
        <v>0</v>
      </c>
      <c r="L112" s="235">
        <f>INDEX(Movements!$G$548:$G$577,MATCH('Cost movements'!C112,Movements!$C$278:$C$307,0))</f>
        <v>0</v>
      </c>
      <c r="M112" s="235">
        <f>INDEX(Movements!$G$278:$G$307,MATCH('Cost movements'!C112,Movements!$C$278:$C$307,0))</f>
        <v>0</v>
      </c>
      <c r="N112" s="306">
        <f t="shared" si="18"/>
        <v>0</v>
      </c>
      <c r="O112" s="234">
        <f t="shared" si="19"/>
        <v>0</v>
      </c>
      <c r="P112" s="235">
        <f>INDEX(Movements!$O$42:$O$71,MATCH('Cost movements'!C112,Movements!$C$42:$C$71,0))</f>
        <v>0</v>
      </c>
      <c r="Q112" s="235">
        <f>INDEX(Movements!$N$42:$N$71,MATCH('Cost movements'!C112,Movements!$C$42:$C$71,0))</f>
        <v>0</v>
      </c>
      <c r="R112" s="306">
        <f t="shared" si="20"/>
        <v>0</v>
      </c>
      <c r="S112" s="234">
        <f t="shared" si="21"/>
        <v>0</v>
      </c>
      <c r="T112" s="19"/>
      <c r="U112" s="19"/>
      <c r="V112" s="19"/>
      <c r="W112" s="19"/>
      <c r="X112" s="19"/>
      <c r="Y112" s="19"/>
    </row>
    <row r="113" spans="1:25" hidden="1" outlineLevel="1" x14ac:dyDescent="0.2">
      <c r="A113" s="19"/>
      <c r="B113" s="19"/>
      <c r="C113" s="492">
        <f t="shared" si="13"/>
        <v>0</v>
      </c>
      <c r="D113" s="235">
        <f>INDEX(Movements!$G$482:$G$511,MATCH('Cost movements'!C113,Movements!$C$212:$C$241,0))</f>
        <v>0</v>
      </c>
      <c r="E113" s="235">
        <f>INDEX(Movements!$G$212:$G$241,MATCH('Cost movements'!C113,Movements!$C$212:$C$241,0))</f>
        <v>0</v>
      </c>
      <c r="F113" s="306">
        <f t="shared" si="14"/>
        <v>0</v>
      </c>
      <c r="G113" s="234">
        <f t="shared" si="15"/>
        <v>0</v>
      </c>
      <c r="H113" s="235">
        <f>INDEX(Movements!$G$515:$G$544,MATCH('Cost movements'!C113,Movements!$C$245:$C$274,0))</f>
        <v>0</v>
      </c>
      <c r="I113" s="235">
        <f>INDEX(Movements!$G$245:$G$274,MATCH('Cost movements'!C113,Movements!$C$245:$C$274,0))</f>
        <v>0</v>
      </c>
      <c r="J113" s="306">
        <f t="shared" si="16"/>
        <v>0</v>
      </c>
      <c r="K113" s="234">
        <f t="shared" si="17"/>
        <v>0</v>
      </c>
      <c r="L113" s="235">
        <f>INDEX(Movements!$G$548:$G$577,MATCH('Cost movements'!C113,Movements!$C$278:$C$307,0))</f>
        <v>0</v>
      </c>
      <c r="M113" s="235">
        <f>INDEX(Movements!$G$278:$G$307,MATCH('Cost movements'!C113,Movements!$C$278:$C$307,0))</f>
        <v>0</v>
      </c>
      <c r="N113" s="306">
        <f t="shared" si="18"/>
        <v>0</v>
      </c>
      <c r="O113" s="234">
        <f t="shared" si="19"/>
        <v>0</v>
      </c>
      <c r="P113" s="235">
        <f>INDEX(Movements!$O$42:$O$71,MATCH('Cost movements'!C113,Movements!$C$42:$C$71,0))</f>
        <v>0</v>
      </c>
      <c r="Q113" s="235">
        <f>INDEX(Movements!$N$42:$N$71,MATCH('Cost movements'!C113,Movements!$C$42:$C$71,0))</f>
        <v>0</v>
      </c>
      <c r="R113" s="306">
        <f t="shared" si="20"/>
        <v>0</v>
      </c>
      <c r="S113" s="234">
        <f t="shared" si="21"/>
        <v>0</v>
      </c>
      <c r="T113" s="19"/>
      <c r="U113" s="19"/>
      <c r="V113" s="19"/>
      <c r="W113" s="19"/>
      <c r="X113" s="19"/>
      <c r="Y113" s="19"/>
    </row>
    <row r="114" spans="1:25" hidden="1" outlineLevel="1" x14ac:dyDescent="0.2">
      <c r="A114" s="19"/>
      <c r="B114" s="19"/>
      <c r="C114" s="492">
        <f t="shared" si="13"/>
        <v>0</v>
      </c>
      <c r="D114" s="235">
        <f>INDEX(Movements!$G$482:$G$511,MATCH('Cost movements'!C114,Movements!$C$212:$C$241,0))</f>
        <v>0</v>
      </c>
      <c r="E114" s="235">
        <f>INDEX(Movements!$G$212:$G$241,MATCH('Cost movements'!C114,Movements!$C$212:$C$241,0))</f>
        <v>0</v>
      </c>
      <c r="F114" s="306">
        <f t="shared" si="14"/>
        <v>0</v>
      </c>
      <c r="G114" s="234">
        <f t="shared" si="15"/>
        <v>0</v>
      </c>
      <c r="H114" s="235">
        <f>INDEX(Movements!$G$515:$G$544,MATCH('Cost movements'!C114,Movements!$C$245:$C$274,0))</f>
        <v>0</v>
      </c>
      <c r="I114" s="235">
        <f>INDEX(Movements!$G$245:$G$274,MATCH('Cost movements'!C114,Movements!$C$245:$C$274,0))</f>
        <v>0</v>
      </c>
      <c r="J114" s="306">
        <f t="shared" si="16"/>
        <v>0</v>
      </c>
      <c r="K114" s="234">
        <f t="shared" si="17"/>
        <v>0</v>
      </c>
      <c r="L114" s="235">
        <f>INDEX(Movements!$G$548:$G$577,MATCH('Cost movements'!C114,Movements!$C$278:$C$307,0))</f>
        <v>0</v>
      </c>
      <c r="M114" s="235">
        <f>INDEX(Movements!$G$278:$G$307,MATCH('Cost movements'!C114,Movements!$C$278:$C$307,0))</f>
        <v>0</v>
      </c>
      <c r="N114" s="306">
        <f t="shared" si="18"/>
        <v>0</v>
      </c>
      <c r="O114" s="234">
        <f t="shared" si="19"/>
        <v>0</v>
      </c>
      <c r="P114" s="235">
        <f>INDEX(Movements!$O$42:$O$71,MATCH('Cost movements'!C114,Movements!$C$42:$C$71,0))</f>
        <v>0</v>
      </c>
      <c r="Q114" s="235">
        <f>INDEX(Movements!$N$42:$N$71,MATCH('Cost movements'!C114,Movements!$C$42:$C$71,0))</f>
        <v>0</v>
      </c>
      <c r="R114" s="306">
        <f t="shared" si="20"/>
        <v>0</v>
      </c>
      <c r="S114" s="234">
        <f t="shared" si="21"/>
        <v>0</v>
      </c>
      <c r="T114" s="19"/>
      <c r="U114" s="19"/>
      <c r="V114" s="19"/>
      <c r="W114" s="19"/>
      <c r="X114" s="19"/>
      <c r="Y114" s="19"/>
    </row>
    <row r="115" spans="1:25" hidden="1" outlineLevel="1" x14ac:dyDescent="0.2">
      <c r="A115" s="19"/>
      <c r="B115" s="19"/>
      <c r="C115" s="492">
        <f t="shared" si="13"/>
        <v>0</v>
      </c>
      <c r="D115" s="235">
        <f>INDEX(Movements!$G$482:$G$511,MATCH('Cost movements'!C115,Movements!$C$212:$C$241,0))</f>
        <v>0</v>
      </c>
      <c r="E115" s="235">
        <f>INDEX(Movements!$G$212:$G$241,MATCH('Cost movements'!C115,Movements!$C$212:$C$241,0))</f>
        <v>0</v>
      </c>
      <c r="F115" s="306">
        <f t="shared" si="14"/>
        <v>0</v>
      </c>
      <c r="G115" s="234">
        <f t="shared" si="15"/>
        <v>0</v>
      </c>
      <c r="H115" s="235">
        <f>INDEX(Movements!$G$515:$G$544,MATCH('Cost movements'!C115,Movements!$C$245:$C$274,0))</f>
        <v>0</v>
      </c>
      <c r="I115" s="235">
        <f>INDEX(Movements!$G$245:$G$274,MATCH('Cost movements'!C115,Movements!$C$245:$C$274,0))</f>
        <v>0</v>
      </c>
      <c r="J115" s="306">
        <f t="shared" si="16"/>
        <v>0</v>
      </c>
      <c r="K115" s="234">
        <f t="shared" si="17"/>
        <v>0</v>
      </c>
      <c r="L115" s="235">
        <f>INDEX(Movements!$G$548:$G$577,MATCH('Cost movements'!C115,Movements!$C$278:$C$307,0))</f>
        <v>0</v>
      </c>
      <c r="M115" s="235">
        <f>INDEX(Movements!$G$278:$G$307,MATCH('Cost movements'!C115,Movements!$C$278:$C$307,0))</f>
        <v>0</v>
      </c>
      <c r="N115" s="306">
        <f t="shared" si="18"/>
        <v>0</v>
      </c>
      <c r="O115" s="234">
        <f t="shared" si="19"/>
        <v>0</v>
      </c>
      <c r="P115" s="235">
        <f>INDEX(Movements!$O$42:$O$71,MATCH('Cost movements'!C115,Movements!$C$42:$C$71,0))</f>
        <v>0</v>
      </c>
      <c r="Q115" s="235">
        <f>INDEX(Movements!$N$42:$N$71,MATCH('Cost movements'!C115,Movements!$C$42:$C$71,0))</f>
        <v>0</v>
      </c>
      <c r="R115" s="306">
        <f t="shared" si="20"/>
        <v>0</v>
      </c>
      <c r="S115" s="234">
        <f t="shared" si="21"/>
        <v>0</v>
      </c>
      <c r="T115" s="19"/>
      <c r="U115" s="19"/>
      <c r="V115" s="19"/>
      <c r="W115" s="19"/>
      <c r="X115" s="19"/>
      <c r="Y115" s="19"/>
    </row>
    <row r="116" spans="1:25" hidden="1" outlineLevel="1" x14ac:dyDescent="0.2">
      <c r="A116" s="19"/>
      <c r="B116" s="19"/>
      <c r="C116" s="492">
        <f t="shared" si="13"/>
        <v>0</v>
      </c>
      <c r="D116" s="235">
        <f>INDEX(Movements!$G$482:$G$511,MATCH('Cost movements'!C116,Movements!$C$212:$C$241,0))</f>
        <v>0</v>
      </c>
      <c r="E116" s="235">
        <f>INDEX(Movements!$G$212:$G$241,MATCH('Cost movements'!C116,Movements!$C$212:$C$241,0))</f>
        <v>0</v>
      </c>
      <c r="F116" s="306">
        <f t="shared" si="14"/>
        <v>0</v>
      </c>
      <c r="G116" s="234">
        <f t="shared" si="15"/>
        <v>0</v>
      </c>
      <c r="H116" s="235">
        <f>INDEX(Movements!$G$515:$G$544,MATCH('Cost movements'!C116,Movements!$C$245:$C$274,0))</f>
        <v>0</v>
      </c>
      <c r="I116" s="235">
        <f>INDEX(Movements!$G$245:$G$274,MATCH('Cost movements'!C116,Movements!$C$245:$C$274,0))</f>
        <v>0</v>
      </c>
      <c r="J116" s="306">
        <f t="shared" si="16"/>
        <v>0</v>
      </c>
      <c r="K116" s="234">
        <f t="shared" si="17"/>
        <v>0</v>
      </c>
      <c r="L116" s="235">
        <f>INDEX(Movements!$G$548:$G$577,MATCH('Cost movements'!C116,Movements!$C$278:$C$307,0))</f>
        <v>0</v>
      </c>
      <c r="M116" s="235">
        <f>INDEX(Movements!$G$278:$G$307,MATCH('Cost movements'!C116,Movements!$C$278:$C$307,0))</f>
        <v>0</v>
      </c>
      <c r="N116" s="306">
        <f t="shared" si="18"/>
        <v>0</v>
      </c>
      <c r="O116" s="234">
        <f t="shared" si="19"/>
        <v>0</v>
      </c>
      <c r="P116" s="235">
        <f>INDEX(Movements!$O$42:$O$71,MATCH('Cost movements'!C116,Movements!$C$42:$C$71,0))</f>
        <v>0</v>
      </c>
      <c r="Q116" s="235">
        <f>INDEX(Movements!$N$42:$N$71,MATCH('Cost movements'!C116,Movements!$C$42:$C$71,0))</f>
        <v>0</v>
      </c>
      <c r="R116" s="306">
        <f t="shared" si="20"/>
        <v>0</v>
      </c>
      <c r="S116" s="234">
        <f t="shared" si="21"/>
        <v>0</v>
      </c>
      <c r="T116" s="19"/>
      <c r="U116" s="19"/>
      <c r="V116" s="19"/>
      <c r="W116" s="19"/>
      <c r="X116" s="19"/>
      <c r="Y116" s="19"/>
    </row>
    <row r="117" spans="1:25" hidden="1" outlineLevel="1" x14ac:dyDescent="0.2">
      <c r="A117" s="19"/>
      <c r="B117" s="19"/>
      <c r="C117" s="492">
        <f t="shared" si="13"/>
        <v>0</v>
      </c>
      <c r="D117" s="235">
        <f>INDEX(Movements!$G$482:$G$511,MATCH('Cost movements'!C117,Movements!$C$212:$C$241,0))</f>
        <v>0</v>
      </c>
      <c r="E117" s="235">
        <f>INDEX(Movements!$G$212:$G$241,MATCH('Cost movements'!C117,Movements!$C$212:$C$241,0))</f>
        <v>0</v>
      </c>
      <c r="F117" s="306">
        <f t="shared" si="14"/>
        <v>0</v>
      </c>
      <c r="G117" s="234">
        <f t="shared" si="15"/>
        <v>0</v>
      </c>
      <c r="H117" s="235">
        <f>INDEX(Movements!$G$515:$G$544,MATCH('Cost movements'!C117,Movements!$C$245:$C$274,0))</f>
        <v>0</v>
      </c>
      <c r="I117" s="235">
        <f>INDEX(Movements!$G$245:$G$274,MATCH('Cost movements'!C117,Movements!$C$245:$C$274,0))</f>
        <v>0</v>
      </c>
      <c r="J117" s="306">
        <f t="shared" si="16"/>
        <v>0</v>
      </c>
      <c r="K117" s="234">
        <f t="shared" si="17"/>
        <v>0</v>
      </c>
      <c r="L117" s="235">
        <f>INDEX(Movements!$G$548:$G$577,MATCH('Cost movements'!C117,Movements!$C$278:$C$307,0))</f>
        <v>0</v>
      </c>
      <c r="M117" s="235">
        <f>INDEX(Movements!$G$278:$G$307,MATCH('Cost movements'!C117,Movements!$C$278:$C$307,0))</f>
        <v>0</v>
      </c>
      <c r="N117" s="306">
        <f t="shared" si="18"/>
        <v>0</v>
      </c>
      <c r="O117" s="234">
        <f t="shared" si="19"/>
        <v>0</v>
      </c>
      <c r="P117" s="235">
        <f>INDEX(Movements!$O$42:$O$71,MATCH('Cost movements'!C117,Movements!$C$42:$C$71,0))</f>
        <v>0</v>
      </c>
      <c r="Q117" s="235">
        <f>INDEX(Movements!$N$42:$N$71,MATCH('Cost movements'!C117,Movements!$C$42:$C$71,0))</f>
        <v>0</v>
      </c>
      <c r="R117" s="306">
        <f t="shared" si="20"/>
        <v>0</v>
      </c>
      <c r="S117" s="234">
        <f t="shared" si="21"/>
        <v>0</v>
      </c>
      <c r="T117" s="19"/>
      <c r="U117" s="19"/>
      <c r="V117" s="19"/>
      <c r="W117" s="19"/>
      <c r="X117" s="19"/>
      <c r="Y117" s="19"/>
    </row>
    <row r="118" spans="1:25" hidden="1" outlineLevel="1" x14ac:dyDescent="0.2">
      <c r="A118" s="19"/>
      <c r="B118" s="19"/>
      <c r="C118" s="492">
        <f t="shared" si="13"/>
        <v>0</v>
      </c>
      <c r="D118" s="235">
        <f>INDEX(Movements!$G$482:$G$511,MATCH('Cost movements'!C118,Movements!$C$212:$C$241,0))</f>
        <v>0</v>
      </c>
      <c r="E118" s="235">
        <f>INDEX(Movements!$G$212:$G$241,MATCH('Cost movements'!C118,Movements!$C$212:$C$241,0))</f>
        <v>0</v>
      </c>
      <c r="F118" s="306">
        <f t="shared" si="14"/>
        <v>0</v>
      </c>
      <c r="G118" s="234">
        <f t="shared" si="15"/>
        <v>0</v>
      </c>
      <c r="H118" s="235">
        <f>INDEX(Movements!$G$515:$G$544,MATCH('Cost movements'!C118,Movements!$C$245:$C$274,0))</f>
        <v>0</v>
      </c>
      <c r="I118" s="235">
        <f>INDEX(Movements!$G$245:$G$274,MATCH('Cost movements'!C118,Movements!$C$245:$C$274,0))</f>
        <v>0</v>
      </c>
      <c r="J118" s="306">
        <f t="shared" si="16"/>
        <v>0</v>
      </c>
      <c r="K118" s="234">
        <f t="shared" si="17"/>
        <v>0</v>
      </c>
      <c r="L118" s="235">
        <f>INDEX(Movements!$G$548:$G$577,MATCH('Cost movements'!C118,Movements!$C$278:$C$307,0))</f>
        <v>0</v>
      </c>
      <c r="M118" s="235">
        <f>INDEX(Movements!$G$278:$G$307,MATCH('Cost movements'!C118,Movements!$C$278:$C$307,0))</f>
        <v>0</v>
      </c>
      <c r="N118" s="306">
        <f t="shared" si="18"/>
        <v>0</v>
      </c>
      <c r="O118" s="234">
        <f t="shared" si="19"/>
        <v>0</v>
      </c>
      <c r="P118" s="235">
        <f>INDEX(Movements!$O$42:$O$71,MATCH('Cost movements'!C118,Movements!$C$42:$C$71,0))</f>
        <v>0</v>
      </c>
      <c r="Q118" s="235">
        <f>INDEX(Movements!$N$42:$N$71,MATCH('Cost movements'!C118,Movements!$C$42:$C$71,0))</f>
        <v>0</v>
      </c>
      <c r="R118" s="306">
        <f t="shared" si="20"/>
        <v>0</v>
      </c>
      <c r="S118" s="234">
        <f t="shared" si="21"/>
        <v>0</v>
      </c>
      <c r="T118" s="19"/>
      <c r="U118" s="19"/>
      <c r="V118" s="19"/>
      <c r="W118" s="19"/>
      <c r="X118" s="19"/>
      <c r="Y118" s="19"/>
    </row>
    <row r="119" spans="1:25" hidden="1" outlineLevel="1" x14ac:dyDescent="0.2">
      <c r="A119" s="19"/>
      <c r="B119" s="19"/>
      <c r="C119" s="492">
        <f t="shared" si="13"/>
        <v>0</v>
      </c>
      <c r="D119" s="235">
        <f>INDEX(Movements!$G$482:$G$511,MATCH('Cost movements'!C119,Movements!$C$212:$C$241,0))</f>
        <v>0</v>
      </c>
      <c r="E119" s="235">
        <f>INDEX(Movements!$G$212:$G$241,MATCH('Cost movements'!C119,Movements!$C$212:$C$241,0))</f>
        <v>0</v>
      </c>
      <c r="F119" s="306">
        <f t="shared" si="14"/>
        <v>0</v>
      </c>
      <c r="G119" s="234">
        <f t="shared" si="15"/>
        <v>0</v>
      </c>
      <c r="H119" s="235">
        <f>INDEX(Movements!$G$515:$G$544,MATCH('Cost movements'!C119,Movements!$C$245:$C$274,0))</f>
        <v>0</v>
      </c>
      <c r="I119" s="235">
        <f>INDEX(Movements!$G$245:$G$274,MATCH('Cost movements'!C119,Movements!$C$245:$C$274,0))</f>
        <v>0</v>
      </c>
      <c r="J119" s="306">
        <f t="shared" si="16"/>
        <v>0</v>
      </c>
      <c r="K119" s="234">
        <f t="shared" si="17"/>
        <v>0</v>
      </c>
      <c r="L119" s="235">
        <f>INDEX(Movements!$G$548:$G$577,MATCH('Cost movements'!C119,Movements!$C$278:$C$307,0))</f>
        <v>0</v>
      </c>
      <c r="M119" s="235">
        <f>INDEX(Movements!$G$278:$G$307,MATCH('Cost movements'!C119,Movements!$C$278:$C$307,0))</f>
        <v>0</v>
      </c>
      <c r="N119" s="306">
        <f t="shared" si="18"/>
        <v>0</v>
      </c>
      <c r="O119" s="234">
        <f t="shared" si="19"/>
        <v>0</v>
      </c>
      <c r="P119" s="235">
        <f>INDEX(Movements!$O$42:$O$71,MATCH('Cost movements'!C119,Movements!$C$42:$C$71,0))</f>
        <v>0</v>
      </c>
      <c r="Q119" s="235">
        <f>INDEX(Movements!$N$42:$N$71,MATCH('Cost movements'!C119,Movements!$C$42:$C$71,0))</f>
        <v>0</v>
      </c>
      <c r="R119" s="306">
        <f t="shared" si="20"/>
        <v>0</v>
      </c>
      <c r="S119" s="234">
        <f t="shared" si="21"/>
        <v>0</v>
      </c>
      <c r="T119" s="19"/>
      <c r="U119" s="19"/>
      <c r="V119" s="19"/>
      <c r="W119" s="19"/>
      <c r="X119" s="19"/>
      <c r="Y119" s="19"/>
    </row>
    <row r="120" spans="1:25" hidden="1" outlineLevel="1" x14ac:dyDescent="0.2">
      <c r="A120" s="19"/>
      <c r="B120" s="19"/>
      <c r="C120" s="492">
        <f t="shared" si="13"/>
        <v>0</v>
      </c>
      <c r="D120" s="235">
        <f>INDEX(Movements!$G$482:$G$511,MATCH('Cost movements'!C120,Movements!$C$212:$C$241,0))</f>
        <v>0</v>
      </c>
      <c r="E120" s="235">
        <f>INDEX(Movements!$G$212:$G$241,MATCH('Cost movements'!C120,Movements!$C$212:$C$241,0))</f>
        <v>0</v>
      </c>
      <c r="F120" s="306">
        <f t="shared" si="14"/>
        <v>0</v>
      </c>
      <c r="G120" s="234">
        <f t="shared" si="15"/>
        <v>0</v>
      </c>
      <c r="H120" s="235">
        <f>INDEX(Movements!$G$515:$G$544,MATCH('Cost movements'!C120,Movements!$C$245:$C$274,0))</f>
        <v>0</v>
      </c>
      <c r="I120" s="235">
        <f>INDEX(Movements!$G$245:$G$274,MATCH('Cost movements'!C120,Movements!$C$245:$C$274,0))</f>
        <v>0</v>
      </c>
      <c r="J120" s="306">
        <f t="shared" si="16"/>
        <v>0</v>
      </c>
      <c r="K120" s="234">
        <f t="shared" si="17"/>
        <v>0</v>
      </c>
      <c r="L120" s="235">
        <f>INDEX(Movements!$G$548:$G$577,MATCH('Cost movements'!C120,Movements!$C$278:$C$307,0))</f>
        <v>0</v>
      </c>
      <c r="M120" s="235">
        <f>INDEX(Movements!$G$278:$G$307,MATCH('Cost movements'!C120,Movements!$C$278:$C$307,0))</f>
        <v>0</v>
      </c>
      <c r="N120" s="306">
        <f t="shared" si="18"/>
        <v>0</v>
      </c>
      <c r="O120" s="234">
        <f t="shared" si="19"/>
        <v>0</v>
      </c>
      <c r="P120" s="235">
        <f>INDEX(Movements!$O$42:$O$71,MATCH('Cost movements'!C120,Movements!$C$42:$C$71,0))</f>
        <v>0</v>
      </c>
      <c r="Q120" s="235">
        <f>INDEX(Movements!$N$42:$N$71,MATCH('Cost movements'!C120,Movements!$C$42:$C$71,0))</f>
        <v>0</v>
      </c>
      <c r="R120" s="306">
        <f t="shared" si="20"/>
        <v>0</v>
      </c>
      <c r="S120" s="234">
        <f t="shared" si="21"/>
        <v>0</v>
      </c>
      <c r="T120" s="19"/>
      <c r="U120" s="19"/>
      <c r="V120" s="19"/>
      <c r="W120" s="19"/>
      <c r="X120" s="19"/>
      <c r="Y120" s="19"/>
    </row>
    <row r="121" spans="1:25" hidden="1" outlineLevel="1" x14ac:dyDescent="0.2">
      <c r="A121" s="19"/>
      <c r="B121" s="19"/>
      <c r="C121" s="492">
        <f t="shared" si="13"/>
        <v>0</v>
      </c>
      <c r="D121" s="235">
        <f>INDEX(Movements!$G$482:$G$511,MATCH('Cost movements'!C121,Movements!$C$212:$C$241,0))</f>
        <v>0</v>
      </c>
      <c r="E121" s="235">
        <f>INDEX(Movements!$G$212:$G$241,MATCH('Cost movements'!C121,Movements!$C$212:$C$241,0))</f>
        <v>0</v>
      </c>
      <c r="F121" s="306">
        <f t="shared" si="14"/>
        <v>0</v>
      </c>
      <c r="G121" s="234">
        <f t="shared" si="15"/>
        <v>0</v>
      </c>
      <c r="H121" s="235">
        <f>INDEX(Movements!$G$515:$G$544,MATCH('Cost movements'!C121,Movements!$C$245:$C$274,0))</f>
        <v>0</v>
      </c>
      <c r="I121" s="235">
        <f>INDEX(Movements!$G$245:$G$274,MATCH('Cost movements'!C121,Movements!$C$245:$C$274,0))</f>
        <v>0</v>
      </c>
      <c r="J121" s="306">
        <f t="shared" si="16"/>
        <v>0</v>
      </c>
      <c r="K121" s="234">
        <f t="shared" si="17"/>
        <v>0</v>
      </c>
      <c r="L121" s="235">
        <f>INDEX(Movements!$G$548:$G$577,MATCH('Cost movements'!C121,Movements!$C$278:$C$307,0))</f>
        <v>0</v>
      </c>
      <c r="M121" s="235">
        <f>INDEX(Movements!$G$278:$G$307,MATCH('Cost movements'!C121,Movements!$C$278:$C$307,0))</f>
        <v>0</v>
      </c>
      <c r="N121" s="306">
        <f t="shared" si="18"/>
        <v>0</v>
      </c>
      <c r="O121" s="234">
        <f t="shared" si="19"/>
        <v>0</v>
      </c>
      <c r="P121" s="235">
        <f>INDEX(Movements!$O$42:$O$71,MATCH('Cost movements'!C121,Movements!$C$42:$C$71,0))</f>
        <v>0</v>
      </c>
      <c r="Q121" s="235">
        <f>INDEX(Movements!$N$42:$N$71,MATCH('Cost movements'!C121,Movements!$C$42:$C$71,0))</f>
        <v>0</v>
      </c>
      <c r="R121" s="306">
        <f t="shared" si="20"/>
        <v>0</v>
      </c>
      <c r="S121" s="234">
        <f t="shared" si="21"/>
        <v>0</v>
      </c>
      <c r="T121" s="19"/>
      <c r="U121" s="19"/>
      <c r="V121" s="19"/>
      <c r="W121" s="19"/>
      <c r="X121" s="19"/>
      <c r="Y121" s="19"/>
    </row>
    <row r="122" spans="1:25" hidden="1" outlineLevel="1" x14ac:dyDescent="0.2">
      <c r="A122" s="19"/>
      <c r="B122" s="19"/>
      <c r="C122" s="492">
        <f t="shared" si="13"/>
        <v>0</v>
      </c>
      <c r="D122" s="235">
        <f>INDEX(Movements!$G$482:$G$511,MATCH('Cost movements'!C122,Movements!$C$212:$C$241,0))</f>
        <v>0</v>
      </c>
      <c r="E122" s="235">
        <f>INDEX(Movements!$G$212:$G$241,MATCH('Cost movements'!C122,Movements!$C$212:$C$241,0))</f>
        <v>0</v>
      </c>
      <c r="F122" s="306">
        <f t="shared" si="14"/>
        <v>0</v>
      </c>
      <c r="G122" s="234">
        <f t="shared" si="15"/>
        <v>0</v>
      </c>
      <c r="H122" s="235">
        <f>INDEX(Movements!$G$515:$G$544,MATCH('Cost movements'!C122,Movements!$C$245:$C$274,0))</f>
        <v>0</v>
      </c>
      <c r="I122" s="235">
        <f>INDEX(Movements!$G$245:$G$274,MATCH('Cost movements'!C122,Movements!$C$245:$C$274,0))</f>
        <v>0</v>
      </c>
      <c r="J122" s="306">
        <f t="shared" si="16"/>
        <v>0</v>
      </c>
      <c r="K122" s="234">
        <f t="shared" si="17"/>
        <v>0</v>
      </c>
      <c r="L122" s="235">
        <f>INDEX(Movements!$G$548:$G$577,MATCH('Cost movements'!C122,Movements!$C$278:$C$307,0))</f>
        <v>0</v>
      </c>
      <c r="M122" s="235">
        <f>INDEX(Movements!$G$278:$G$307,MATCH('Cost movements'!C122,Movements!$C$278:$C$307,0))</f>
        <v>0</v>
      </c>
      <c r="N122" s="306">
        <f t="shared" si="18"/>
        <v>0</v>
      </c>
      <c r="O122" s="234">
        <f t="shared" si="19"/>
        <v>0</v>
      </c>
      <c r="P122" s="235">
        <f>INDEX(Movements!$O$42:$O$71,MATCH('Cost movements'!C122,Movements!$C$42:$C$71,0))</f>
        <v>0</v>
      </c>
      <c r="Q122" s="235">
        <f>INDEX(Movements!$N$42:$N$71,MATCH('Cost movements'!C122,Movements!$C$42:$C$71,0))</f>
        <v>0</v>
      </c>
      <c r="R122" s="306">
        <f t="shared" si="20"/>
        <v>0</v>
      </c>
      <c r="S122" s="234">
        <f t="shared" si="21"/>
        <v>0</v>
      </c>
      <c r="T122" s="19"/>
      <c r="U122" s="19"/>
      <c r="V122" s="19"/>
      <c r="W122" s="19"/>
      <c r="X122" s="19"/>
      <c r="Y122" s="19"/>
    </row>
    <row r="123" spans="1:25" hidden="1" outlineLevel="1" x14ac:dyDescent="0.2">
      <c r="A123" s="19"/>
      <c r="B123" s="19"/>
      <c r="C123" s="492">
        <f t="shared" si="13"/>
        <v>0</v>
      </c>
      <c r="D123" s="235">
        <f>INDEX(Movements!$G$482:$G$511,MATCH('Cost movements'!C123,Movements!$C$212:$C$241,0))</f>
        <v>0</v>
      </c>
      <c r="E123" s="235">
        <f>INDEX(Movements!$G$212:$G$241,MATCH('Cost movements'!C123,Movements!$C$212:$C$241,0))</f>
        <v>0</v>
      </c>
      <c r="F123" s="306">
        <f t="shared" si="14"/>
        <v>0</v>
      </c>
      <c r="G123" s="234">
        <f t="shared" si="15"/>
        <v>0</v>
      </c>
      <c r="H123" s="235">
        <f>INDEX(Movements!$G$515:$G$544,MATCH('Cost movements'!C123,Movements!$C$245:$C$274,0))</f>
        <v>0</v>
      </c>
      <c r="I123" s="235">
        <f>INDEX(Movements!$G$245:$G$274,MATCH('Cost movements'!C123,Movements!$C$245:$C$274,0))</f>
        <v>0</v>
      </c>
      <c r="J123" s="306">
        <f t="shared" si="16"/>
        <v>0</v>
      </c>
      <c r="K123" s="234">
        <f t="shared" si="17"/>
        <v>0</v>
      </c>
      <c r="L123" s="235">
        <f>INDEX(Movements!$G$548:$G$577,MATCH('Cost movements'!C123,Movements!$C$278:$C$307,0))</f>
        <v>0</v>
      </c>
      <c r="M123" s="235">
        <f>INDEX(Movements!$G$278:$G$307,MATCH('Cost movements'!C123,Movements!$C$278:$C$307,0))</f>
        <v>0</v>
      </c>
      <c r="N123" s="306">
        <f t="shared" si="18"/>
        <v>0</v>
      </c>
      <c r="O123" s="234">
        <f t="shared" si="19"/>
        <v>0</v>
      </c>
      <c r="P123" s="235">
        <f>INDEX(Movements!$O$42:$O$71,MATCH('Cost movements'!C123,Movements!$C$42:$C$71,0))</f>
        <v>0</v>
      </c>
      <c r="Q123" s="235">
        <f>INDEX(Movements!$N$42:$N$71,MATCH('Cost movements'!C123,Movements!$C$42:$C$71,0))</f>
        <v>0</v>
      </c>
      <c r="R123" s="306">
        <f t="shared" si="20"/>
        <v>0</v>
      </c>
      <c r="S123" s="234">
        <f t="shared" si="21"/>
        <v>0</v>
      </c>
      <c r="T123" s="19"/>
      <c r="U123" s="19"/>
      <c r="V123" s="19"/>
      <c r="W123" s="19"/>
      <c r="X123" s="19"/>
      <c r="Y123" s="19"/>
    </row>
    <row r="124" spans="1:25" hidden="1" outlineLevel="1" x14ac:dyDescent="0.2">
      <c r="A124" s="19"/>
      <c r="B124" s="19"/>
      <c r="C124" s="492">
        <f t="shared" si="13"/>
        <v>0</v>
      </c>
      <c r="D124" s="235">
        <f>INDEX(Movements!$G$482:$G$511,MATCH('Cost movements'!C124,Movements!$C$212:$C$241,0))</f>
        <v>0</v>
      </c>
      <c r="E124" s="235">
        <f>INDEX(Movements!$G$212:$G$241,MATCH('Cost movements'!C124,Movements!$C$212:$C$241,0))</f>
        <v>0</v>
      </c>
      <c r="F124" s="306">
        <f t="shared" si="14"/>
        <v>0</v>
      </c>
      <c r="G124" s="234">
        <f t="shared" si="15"/>
        <v>0</v>
      </c>
      <c r="H124" s="235">
        <f>INDEX(Movements!$G$515:$G$544,MATCH('Cost movements'!C124,Movements!$C$245:$C$274,0))</f>
        <v>0</v>
      </c>
      <c r="I124" s="235">
        <f>INDEX(Movements!$G$245:$G$274,MATCH('Cost movements'!C124,Movements!$C$245:$C$274,0))</f>
        <v>0</v>
      </c>
      <c r="J124" s="306">
        <f t="shared" si="16"/>
        <v>0</v>
      </c>
      <c r="K124" s="234">
        <f t="shared" si="17"/>
        <v>0</v>
      </c>
      <c r="L124" s="235">
        <f>INDEX(Movements!$G$548:$G$577,MATCH('Cost movements'!C124,Movements!$C$278:$C$307,0))</f>
        <v>0</v>
      </c>
      <c r="M124" s="235">
        <f>INDEX(Movements!$G$278:$G$307,MATCH('Cost movements'!C124,Movements!$C$278:$C$307,0))</f>
        <v>0</v>
      </c>
      <c r="N124" s="306">
        <f t="shared" si="18"/>
        <v>0</v>
      </c>
      <c r="O124" s="234">
        <f t="shared" si="19"/>
        <v>0</v>
      </c>
      <c r="P124" s="235">
        <f>INDEX(Movements!$O$42:$O$71,MATCH('Cost movements'!C124,Movements!$C$42:$C$71,0))</f>
        <v>0</v>
      </c>
      <c r="Q124" s="235">
        <f>INDEX(Movements!$N$42:$N$71,MATCH('Cost movements'!C124,Movements!$C$42:$C$71,0))</f>
        <v>0</v>
      </c>
      <c r="R124" s="306">
        <f t="shared" si="20"/>
        <v>0</v>
      </c>
      <c r="S124" s="234">
        <f t="shared" si="21"/>
        <v>0</v>
      </c>
      <c r="T124" s="19"/>
      <c r="U124" s="19"/>
      <c r="V124" s="19"/>
      <c r="W124" s="19"/>
      <c r="X124" s="19"/>
      <c r="Y124" s="19"/>
    </row>
    <row r="125" spans="1:25" hidden="1" outlineLevel="1" x14ac:dyDescent="0.2">
      <c r="A125" s="19"/>
      <c r="B125" s="19"/>
      <c r="C125" s="492">
        <f t="shared" si="13"/>
        <v>0</v>
      </c>
      <c r="D125" s="235">
        <f>INDEX(Movements!$G$482:$G$511,MATCH('Cost movements'!C125,Movements!$C$212:$C$241,0))</f>
        <v>0</v>
      </c>
      <c r="E125" s="235">
        <f>INDEX(Movements!$G$212:$G$241,MATCH('Cost movements'!C125,Movements!$C$212:$C$241,0))</f>
        <v>0</v>
      </c>
      <c r="F125" s="306">
        <f t="shared" si="14"/>
        <v>0</v>
      </c>
      <c r="G125" s="234">
        <f t="shared" si="15"/>
        <v>0</v>
      </c>
      <c r="H125" s="235">
        <f>INDEX(Movements!$G$515:$G$544,MATCH('Cost movements'!C125,Movements!$C$245:$C$274,0))</f>
        <v>0</v>
      </c>
      <c r="I125" s="235">
        <f>INDEX(Movements!$G$245:$G$274,MATCH('Cost movements'!C125,Movements!$C$245:$C$274,0))</f>
        <v>0</v>
      </c>
      <c r="J125" s="306">
        <f t="shared" si="16"/>
        <v>0</v>
      </c>
      <c r="K125" s="234">
        <f t="shared" si="17"/>
        <v>0</v>
      </c>
      <c r="L125" s="235">
        <f>INDEX(Movements!$G$548:$G$577,MATCH('Cost movements'!C125,Movements!$C$278:$C$307,0))</f>
        <v>0</v>
      </c>
      <c r="M125" s="235">
        <f>INDEX(Movements!$G$278:$G$307,MATCH('Cost movements'!C125,Movements!$C$278:$C$307,0))</f>
        <v>0</v>
      </c>
      <c r="N125" s="306">
        <f t="shared" si="18"/>
        <v>0</v>
      </c>
      <c r="O125" s="234">
        <f t="shared" si="19"/>
        <v>0</v>
      </c>
      <c r="P125" s="235">
        <f>INDEX(Movements!$O$42:$O$71,MATCH('Cost movements'!C125,Movements!$C$42:$C$71,0))</f>
        <v>0</v>
      </c>
      <c r="Q125" s="235">
        <f>INDEX(Movements!$N$42:$N$71,MATCH('Cost movements'!C125,Movements!$C$42:$C$71,0))</f>
        <v>0</v>
      </c>
      <c r="R125" s="306">
        <f t="shared" si="20"/>
        <v>0</v>
      </c>
      <c r="S125" s="234">
        <f t="shared" si="21"/>
        <v>0</v>
      </c>
      <c r="T125" s="19"/>
      <c r="U125" s="19"/>
      <c r="V125" s="19"/>
      <c r="W125" s="19"/>
      <c r="X125" s="19"/>
      <c r="Y125" s="19"/>
    </row>
    <row r="126" spans="1:25" hidden="1" outlineLevel="1" x14ac:dyDescent="0.2">
      <c r="A126" s="19"/>
      <c r="B126" s="19"/>
      <c r="C126" s="492">
        <f t="shared" si="13"/>
        <v>0</v>
      </c>
      <c r="D126" s="235">
        <f>INDEX(Movements!$G$482:$G$511,MATCH('Cost movements'!C126,Movements!$C$212:$C$241,0))</f>
        <v>0</v>
      </c>
      <c r="E126" s="235">
        <f>INDEX(Movements!$G$212:$G$241,MATCH('Cost movements'!C126,Movements!$C$212:$C$241,0))</f>
        <v>0</v>
      </c>
      <c r="F126" s="306">
        <f t="shared" si="14"/>
        <v>0</v>
      </c>
      <c r="G126" s="234">
        <f t="shared" si="15"/>
        <v>0</v>
      </c>
      <c r="H126" s="235">
        <f>INDEX(Movements!$G$515:$G$544,MATCH('Cost movements'!C126,Movements!$C$245:$C$274,0))</f>
        <v>0</v>
      </c>
      <c r="I126" s="235">
        <f>INDEX(Movements!$G$245:$G$274,MATCH('Cost movements'!C126,Movements!$C$245:$C$274,0))</f>
        <v>0</v>
      </c>
      <c r="J126" s="306">
        <f t="shared" si="16"/>
        <v>0</v>
      </c>
      <c r="K126" s="234">
        <f t="shared" si="17"/>
        <v>0</v>
      </c>
      <c r="L126" s="235">
        <f>INDEX(Movements!$G$548:$G$577,MATCH('Cost movements'!C126,Movements!$C$278:$C$307,0))</f>
        <v>0</v>
      </c>
      <c r="M126" s="235">
        <f>INDEX(Movements!$G$278:$G$307,MATCH('Cost movements'!C126,Movements!$C$278:$C$307,0))</f>
        <v>0</v>
      </c>
      <c r="N126" s="306">
        <f t="shared" si="18"/>
        <v>0</v>
      </c>
      <c r="O126" s="234">
        <f t="shared" si="19"/>
        <v>0</v>
      </c>
      <c r="P126" s="235">
        <f>INDEX(Movements!$O$42:$O$71,MATCH('Cost movements'!C126,Movements!$C$42:$C$71,0))</f>
        <v>0</v>
      </c>
      <c r="Q126" s="235">
        <f>INDEX(Movements!$N$42:$N$71,MATCH('Cost movements'!C126,Movements!$C$42:$C$71,0))</f>
        <v>0</v>
      </c>
      <c r="R126" s="306">
        <f t="shared" si="20"/>
        <v>0</v>
      </c>
      <c r="S126" s="234">
        <f t="shared" si="21"/>
        <v>0</v>
      </c>
      <c r="T126" s="19"/>
      <c r="U126" s="19"/>
      <c r="V126" s="19"/>
      <c r="W126" s="19"/>
      <c r="X126" s="19"/>
      <c r="Y126" s="19"/>
    </row>
    <row r="127" spans="1:25" hidden="1" outlineLevel="1" x14ac:dyDescent="0.2">
      <c r="A127" s="19"/>
      <c r="B127" s="19"/>
      <c r="C127" s="492">
        <f t="shared" si="13"/>
        <v>0</v>
      </c>
      <c r="D127" s="235">
        <f>INDEX(Movements!$G$482:$G$511,MATCH('Cost movements'!C127,Movements!$C$212:$C$241,0))</f>
        <v>0</v>
      </c>
      <c r="E127" s="235">
        <f>INDEX(Movements!$G$212:$G$241,MATCH('Cost movements'!C127,Movements!$C$212:$C$241,0))</f>
        <v>0</v>
      </c>
      <c r="F127" s="306">
        <f t="shared" si="14"/>
        <v>0</v>
      </c>
      <c r="G127" s="234">
        <f t="shared" si="15"/>
        <v>0</v>
      </c>
      <c r="H127" s="235">
        <f>INDEX(Movements!$G$515:$G$544,MATCH('Cost movements'!C127,Movements!$C$245:$C$274,0))</f>
        <v>0</v>
      </c>
      <c r="I127" s="235">
        <f>INDEX(Movements!$G$245:$G$274,MATCH('Cost movements'!C127,Movements!$C$245:$C$274,0))</f>
        <v>0</v>
      </c>
      <c r="J127" s="306">
        <f t="shared" si="16"/>
        <v>0</v>
      </c>
      <c r="K127" s="234">
        <f t="shared" si="17"/>
        <v>0</v>
      </c>
      <c r="L127" s="235">
        <f>INDEX(Movements!$G$548:$G$577,MATCH('Cost movements'!C127,Movements!$C$278:$C$307,0))</f>
        <v>0</v>
      </c>
      <c r="M127" s="235">
        <f>INDEX(Movements!$G$278:$G$307,MATCH('Cost movements'!C127,Movements!$C$278:$C$307,0))</f>
        <v>0</v>
      </c>
      <c r="N127" s="306">
        <f t="shared" si="18"/>
        <v>0</v>
      </c>
      <c r="O127" s="234">
        <f t="shared" si="19"/>
        <v>0</v>
      </c>
      <c r="P127" s="235">
        <f>INDEX(Movements!$O$42:$O$71,MATCH('Cost movements'!C127,Movements!$C$42:$C$71,0))</f>
        <v>0</v>
      </c>
      <c r="Q127" s="235">
        <f>INDEX(Movements!$N$42:$N$71,MATCH('Cost movements'!C127,Movements!$C$42:$C$71,0))</f>
        <v>0</v>
      </c>
      <c r="R127" s="306">
        <f t="shared" si="20"/>
        <v>0</v>
      </c>
      <c r="S127" s="234">
        <f t="shared" si="21"/>
        <v>0</v>
      </c>
      <c r="T127" s="19"/>
      <c r="U127" s="19"/>
      <c r="V127" s="19"/>
      <c r="W127" s="19"/>
      <c r="X127" s="19"/>
      <c r="Y127" s="19"/>
    </row>
    <row r="128" spans="1:25" hidden="1" outlineLevel="1" x14ac:dyDescent="0.2">
      <c r="A128" s="19"/>
      <c r="B128" s="19"/>
      <c r="C128" s="492">
        <f t="shared" si="13"/>
        <v>0</v>
      </c>
      <c r="D128" s="235">
        <f>INDEX(Movements!$G$482:$G$511,MATCH('Cost movements'!C128,Movements!$C$212:$C$241,0))</f>
        <v>0</v>
      </c>
      <c r="E128" s="235">
        <f>INDEX(Movements!$G$212:$G$241,MATCH('Cost movements'!C128,Movements!$C$212:$C$241,0))</f>
        <v>0</v>
      </c>
      <c r="F128" s="306">
        <f t="shared" si="14"/>
        <v>0</v>
      </c>
      <c r="G128" s="234">
        <f t="shared" si="15"/>
        <v>0</v>
      </c>
      <c r="H128" s="235">
        <f>INDEX(Movements!$G$515:$G$544,MATCH('Cost movements'!C128,Movements!$C$245:$C$274,0))</f>
        <v>0</v>
      </c>
      <c r="I128" s="235">
        <f>INDEX(Movements!$G$245:$G$274,MATCH('Cost movements'!C128,Movements!$C$245:$C$274,0))</f>
        <v>0</v>
      </c>
      <c r="J128" s="306">
        <f t="shared" si="16"/>
        <v>0</v>
      </c>
      <c r="K128" s="234">
        <f t="shared" si="17"/>
        <v>0</v>
      </c>
      <c r="L128" s="235">
        <f>INDEX(Movements!$G$548:$G$577,MATCH('Cost movements'!C128,Movements!$C$278:$C$307,0))</f>
        <v>0</v>
      </c>
      <c r="M128" s="235">
        <f>INDEX(Movements!$G$278:$G$307,MATCH('Cost movements'!C128,Movements!$C$278:$C$307,0))</f>
        <v>0</v>
      </c>
      <c r="N128" s="306">
        <f t="shared" si="18"/>
        <v>0</v>
      </c>
      <c r="O128" s="234">
        <f t="shared" si="19"/>
        <v>0</v>
      </c>
      <c r="P128" s="235">
        <f>INDEX(Movements!$O$42:$O$71,MATCH('Cost movements'!C128,Movements!$C$42:$C$71,0))</f>
        <v>0</v>
      </c>
      <c r="Q128" s="235">
        <f>INDEX(Movements!$N$42:$N$71,MATCH('Cost movements'!C128,Movements!$C$42:$C$71,0))</f>
        <v>0</v>
      </c>
      <c r="R128" s="306">
        <f t="shared" si="20"/>
        <v>0</v>
      </c>
      <c r="S128" s="234">
        <f t="shared" si="21"/>
        <v>0</v>
      </c>
      <c r="T128" s="19"/>
      <c r="U128" s="19"/>
      <c r="V128" s="19"/>
      <c r="W128" s="19"/>
      <c r="X128" s="19"/>
      <c r="Y128" s="19"/>
    </row>
    <row r="129" spans="1:25" hidden="1" outlineLevel="1" x14ac:dyDescent="0.2">
      <c r="A129" s="19"/>
      <c r="B129" s="19"/>
      <c r="C129" s="492">
        <f t="shared" si="13"/>
        <v>0</v>
      </c>
      <c r="D129" s="235">
        <f>INDEX(Movements!$G$482:$G$511,MATCH('Cost movements'!C129,Movements!$C$212:$C$241,0))</f>
        <v>0</v>
      </c>
      <c r="E129" s="235">
        <f>INDEX(Movements!$G$212:$G$241,MATCH('Cost movements'!C129,Movements!$C$212:$C$241,0))</f>
        <v>0</v>
      </c>
      <c r="F129" s="306">
        <f t="shared" si="14"/>
        <v>0</v>
      </c>
      <c r="G129" s="234">
        <f t="shared" si="15"/>
        <v>0</v>
      </c>
      <c r="H129" s="235">
        <f>INDEX(Movements!$G$515:$G$544,MATCH('Cost movements'!C129,Movements!$C$245:$C$274,0))</f>
        <v>0</v>
      </c>
      <c r="I129" s="235">
        <f>INDEX(Movements!$G$245:$G$274,MATCH('Cost movements'!C129,Movements!$C$245:$C$274,0))</f>
        <v>0</v>
      </c>
      <c r="J129" s="306">
        <f t="shared" si="16"/>
        <v>0</v>
      </c>
      <c r="K129" s="234">
        <f t="shared" si="17"/>
        <v>0</v>
      </c>
      <c r="L129" s="235">
        <f>INDEX(Movements!$G$548:$G$577,MATCH('Cost movements'!C129,Movements!$C$278:$C$307,0))</f>
        <v>0</v>
      </c>
      <c r="M129" s="235">
        <f>INDEX(Movements!$G$278:$G$307,MATCH('Cost movements'!C129,Movements!$C$278:$C$307,0))</f>
        <v>0</v>
      </c>
      <c r="N129" s="306">
        <f t="shared" si="18"/>
        <v>0</v>
      </c>
      <c r="O129" s="234">
        <f t="shared" si="19"/>
        <v>0</v>
      </c>
      <c r="P129" s="235">
        <f>INDEX(Movements!$O$42:$O$71,MATCH('Cost movements'!C129,Movements!$C$42:$C$71,0))</f>
        <v>0</v>
      </c>
      <c r="Q129" s="235">
        <f>INDEX(Movements!$N$42:$N$71,MATCH('Cost movements'!C129,Movements!$C$42:$C$71,0))</f>
        <v>0</v>
      </c>
      <c r="R129" s="306">
        <f t="shared" si="20"/>
        <v>0</v>
      </c>
      <c r="S129" s="234">
        <f t="shared" si="21"/>
        <v>0</v>
      </c>
      <c r="T129" s="19"/>
      <c r="U129" s="19"/>
      <c r="V129" s="19"/>
      <c r="W129" s="19"/>
      <c r="X129" s="19"/>
      <c r="Y129" s="19"/>
    </row>
    <row r="130" spans="1:25" hidden="1" outlineLevel="1" x14ac:dyDescent="0.2">
      <c r="A130" s="19"/>
      <c r="B130" s="19"/>
      <c r="C130" s="492">
        <f t="shared" si="13"/>
        <v>0</v>
      </c>
      <c r="D130" s="235">
        <f>INDEX(Movements!$G$482:$G$511,MATCH('Cost movements'!C130,Movements!$C$212:$C$241,0))</f>
        <v>0</v>
      </c>
      <c r="E130" s="235">
        <f>INDEX(Movements!$G$212:$G$241,MATCH('Cost movements'!C130,Movements!$C$212:$C$241,0))</f>
        <v>0</v>
      </c>
      <c r="F130" s="306">
        <f t="shared" si="14"/>
        <v>0</v>
      </c>
      <c r="G130" s="234">
        <f t="shared" si="15"/>
        <v>0</v>
      </c>
      <c r="H130" s="235">
        <f>INDEX(Movements!$G$515:$G$544,MATCH('Cost movements'!C130,Movements!$C$245:$C$274,0))</f>
        <v>0</v>
      </c>
      <c r="I130" s="235">
        <f>INDEX(Movements!$G$245:$G$274,MATCH('Cost movements'!C130,Movements!$C$245:$C$274,0))</f>
        <v>0</v>
      </c>
      <c r="J130" s="306">
        <f t="shared" si="16"/>
        <v>0</v>
      </c>
      <c r="K130" s="234">
        <f t="shared" si="17"/>
        <v>0</v>
      </c>
      <c r="L130" s="235">
        <f>INDEX(Movements!$G$548:$G$577,MATCH('Cost movements'!C130,Movements!$C$278:$C$307,0))</f>
        <v>0</v>
      </c>
      <c r="M130" s="235">
        <f>INDEX(Movements!$G$278:$G$307,MATCH('Cost movements'!C130,Movements!$C$278:$C$307,0))</f>
        <v>0</v>
      </c>
      <c r="N130" s="306">
        <f t="shared" si="18"/>
        <v>0</v>
      </c>
      <c r="O130" s="234">
        <f t="shared" si="19"/>
        <v>0</v>
      </c>
      <c r="P130" s="235">
        <f>INDEX(Movements!$O$42:$O$71,MATCH('Cost movements'!C130,Movements!$C$42:$C$71,0))</f>
        <v>0</v>
      </c>
      <c r="Q130" s="235">
        <f>INDEX(Movements!$N$42:$N$71,MATCH('Cost movements'!C130,Movements!$C$42:$C$71,0))</f>
        <v>0</v>
      </c>
      <c r="R130" s="306">
        <f t="shared" si="20"/>
        <v>0</v>
      </c>
      <c r="S130" s="234">
        <f t="shared" si="21"/>
        <v>0</v>
      </c>
      <c r="T130" s="19"/>
      <c r="U130" s="19"/>
      <c r="V130" s="19"/>
      <c r="W130" s="19"/>
      <c r="X130" s="19"/>
      <c r="Y130" s="19"/>
    </row>
    <row r="131" spans="1:25" hidden="1" outlineLevel="1" x14ac:dyDescent="0.2">
      <c r="A131" s="19"/>
      <c r="B131" s="19"/>
      <c r="C131" s="492">
        <f t="shared" si="13"/>
        <v>0</v>
      </c>
      <c r="D131" s="235">
        <f>INDEX(Movements!$G$482:$G$511,MATCH('Cost movements'!C131,Movements!$C$212:$C$241,0))</f>
        <v>0</v>
      </c>
      <c r="E131" s="235">
        <f>INDEX(Movements!$G$212:$G$241,MATCH('Cost movements'!C131,Movements!$C$212:$C$241,0))</f>
        <v>0</v>
      </c>
      <c r="F131" s="306">
        <f t="shared" si="14"/>
        <v>0</v>
      </c>
      <c r="G131" s="234">
        <f t="shared" si="15"/>
        <v>0</v>
      </c>
      <c r="H131" s="235">
        <f>INDEX(Movements!$G$515:$G$544,MATCH('Cost movements'!C131,Movements!$C$245:$C$274,0))</f>
        <v>0</v>
      </c>
      <c r="I131" s="235">
        <f>INDEX(Movements!$G$245:$G$274,MATCH('Cost movements'!C131,Movements!$C$245:$C$274,0))</f>
        <v>0</v>
      </c>
      <c r="J131" s="306">
        <f t="shared" si="16"/>
        <v>0</v>
      </c>
      <c r="K131" s="234">
        <f t="shared" si="17"/>
        <v>0</v>
      </c>
      <c r="L131" s="235">
        <f>INDEX(Movements!$G$548:$G$577,MATCH('Cost movements'!C131,Movements!$C$278:$C$307,0))</f>
        <v>0</v>
      </c>
      <c r="M131" s="235">
        <f>INDEX(Movements!$G$278:$G$307,MATCH('Cost movements'!C131,Movements!$C$278:$C$307,0))</f>
        <v>0</v>
      </c>
      <c r="N131" s="306">
        <f t="shared" si="18"/>
        <v>0</v>
      </c>
      <c r="O131" s="234">
        <f t="shared" si="19"/>
        <v>0</v>
      </c>
      <c r="P131" s="235">
        <f>INDEX(Movements!$O$42:$O$71,MATCH('Cost movements'!C131,Movements!$C$42:$C$71,0))</f>
        <v>0</v>
      </c>
      <c r="Q131" s="235">
        <f>INDEX(Movements!$N$42:$N$71,MATCH('Cost movements'!C131,Movements!$C$42:$C$71,0))</f>
        <v>0</v>
      </c>
      <c r="R131" s="306">
        <f t="shared" si="20"/>
        <v>0</v>
      </c>
      <c r="S131" s="234">
        <f t="shared" si="21"/>
        <v>0</v>
      </c>
      <c r="T131" s="19"/>
      <c r="U131" s="19"/>
      <c r="V131" s="19"/>
      <c r="W131" s="19"/>
      <c r="X131" s="19"/>
      <c r="Y131" s="19"/>
    </row>
    <row r="132" spans="1:25" hidden="1" outlineLevel="1" x14ac:dyDescent="0.2">
      <c r="A132" s="19"/>
      <c r="B132" s="19"/>
      <c r="C132" s="492">
        <f t="shared" si="13"/>
        <v>0</v>
      </c>
      <c r="D132" s="235">
        <f>INDEX(Movements!$G$482:$G$511,MATCH('Cost movements'!C132,Movements!$C$212:$C$241,0))</f>
        <v>0</v>
      </c>
      <c r="E132" s="235">
        <f>INDEX(Movements!$G$212:$G$241,MATCH('Cost movements'!C132,Movements!$C$212:$C$241,0))</f>
        <v>0</v>
      </c>
      <c r="F132" s="306">
        <f t="shared" si="14"/>
        <v>0</v>
      </c>
      <c r="G132" s="234">
        <f t="shared" si="15"/>
        <v>0</v>
      </c>
      <c r="H132" s="235">
        <f>INDEX(Movements!$G$515:$G$544,MATCH('Cost movements'!C132,Movements!$C$245:$C$274,0))</f>
        <v>0</v>
      </c>
      <c r="I132" s="235">
        <f>INDEX(Movements!$G$245:$G$274,MATCH('Cost movements'!C132,Movements!$C$245:$C$274,0))</f>
        <v>0</v>
      </c>
      <c r="J132" s="306">
        <f t="shared" si="16"/>
        <v>0</v>
      </c>
      <c r="K132" s="234">
        <f t="shared" si="17"/>
        <v>0</v>
      </c>
      <c r="L132" s="235">
        <f>INDEX(Movements!$G$548:$G$577,MATCH('Cost movements'!C132,Movements!$C$278:$C$307,0))</f>
        <v>0</v>
      </c>
      <c r="M132" s="235">
        <f>INDEX(Movements!$G$278:$G$307,MATCH('Cost movements'!C132,Movements!$C$278:$C$307,0))</f>
        <v>0</v>
      </c>
      <c r="N132" s="306">
        <f t="shared" si="18"/>
        <v>0</v>
      </c>
      <c r="O132" s="234">
        <f t="shared" si="19"/>
        <v>0</v>
      </c>
      <c r="P132" s="235">
        <f>INDEX(Movements!$O$42:$O$71,MATCH('Cost movements'!C132,Movements!$C$42:$C$71,0))</f>
        <v>0</v>
      </c>
      <c r="Q132" s="235">
        <f>INDEX(Movements!$N$42:$N$71,MATCH('Cost movements'!C132,Movements!$C$42:$C$71,0))</f>
        <v>0</v>
      </c>
      <c r="R132" s="306">
        <f t="shared" si="20"/>
        <v>0</v>
      </c>
      <c r="S132" s="234">
        <f t="shared" si="21"/>
        <v>0</v>
      </c>
      <c r="T132" s="19"/>
      <c r="U132" s="19"/>
      <c r="V132" s="19"/>
      <c r="W132" s="19"/>
      <c r="X132" s="19"/>
      <c r="Y132" s="19"/>
    </row>
    <row r="133" spans="1:25" hidden="1" outlineLevel="1" x14ac:dyDescent="0.2">
      <c r="A133" s="19"/>
      <c r="B133" s="19"/>
      <c r="C133" s="492">
        <f t="shared" si="13"/>
        <v>0</v>
      </c>
      <c r="D133" s="235">
        <f>INDEX(Movements!$G$482:$G$511,MATCH('Cost movements'!C133,Movements!$C$212:$C$241,0))</f>
        <v>0</v>
      </c>
      <c r="E133" s="235">
        <f>INDEX(Movements!$G$212:$G$241,MATCH('Cost movements'!C133,Movements!$C$212:$C$241,0))</f>
        <v>0</v>
      </c>
      <c r="F133" s="306">
        <f t="shared" si="14"/>
        <v>0</v>
      </c>
      <c r="G133" s="234">
        <f t="shared" si="15"/>
        <v>0</v>
      </c>
      <c r="H133" s="235">
        <f>INDEX(Movements!$G$515:$G$544,MATCH('Cost movements'!C133,Movements!$C$245:$C$274,0))</f>
        <v>0</v>
      </c>
      <c r="I133" s="235">
        <f>INDEX(Movements!$G$245:$G$274,MATCH('Cost movements'!C133,Movements!$C$245:$C$274,0))</f>
        <v>0</v>
      </c>
      <c r="J133" s="306">
        <f t="shared" si="16"/>
        <v>0</v>
      </c>
      <c r="K133" s="234">
        <f t="shared" si="17"/>
        <v>0</v>
      </c>
      <c r="L133" s="235">
        <f>INDEX(Movements!$G$548:$G$577,MATCH('Cost movements'!C133,Movements!$C$278:$C$307,0))</f>
        <v>0</v>
      </c>
      <c r="M133" s="235">
        <f>INDEX(Movements!$G$278:$G$307,MATCH('Cost movements'!C133,Movements!$C$278:$C$307,0))</f>
        <v>0</v>
      </c>
      <c r="N133" s="306">
        <f t="shared" si="18"/>
        <v>0</v>
      </c>
      <c r="O133" s="234">
        <f t="shared" si="19"/>
        <v>0</v>
      </c>
      <c r="P133" s="235">
        <f>INDEX(Movements!$O$42:$O$71,MATCH('Cost movements'!C133,Movements!$C$42:$C$71,0))</f>
        <v>0</v>
      </c>
      <c r="Q133" s="235">
        <f>INDEX(Movements!$N$42:$N$71,MATCH('Cost movements'!C133,Movements!$C$42:$C$71,0))</f>
        <v>0</v>
      </c>
      <c r="R133" s="306">
        <f t="shared" si="20"/>
        <v>0</v>
      </c>
      <c r="S133" s="234">
        <f t="shared" si="21"/>
        <v>0</v>
      </c>
      <c r="T133" s="19"/>
      <c r="U133" s="19"/>
      <c r="V133" s="19"/>
      <c r="W133" s="19"/>
      <c r="X133" s="19"/>
      <c r="Y133" s="19"/>
    </row>
    <row r="134" spans="1:25" hidden="1" outlineLevel="1" x14ac:dyDescent="0.2">
      <c r="A134" s="19"/>
      <c r="B134" s="19"/>
      <c r="C134" s="492">
        <f t="shared" si="13"/>
        <v>0</v>
      </c>
      <c r="D134" s="235">
        <f>INDEX(Movements!$G$482:$G$511,MATCH('Cost movements'!C134,Movements!$C$212:$C$241,0))</f>
        <v>0</v>
      </c>
      <c r="E134" s="235">
        <f>INDEX(Movements!$G$212:$G$241,MATCH('Cost movements'!C134,Movements!$C$212:$C$241,0))</f>
        <v>0</v>
      </c>
      <c r="F134" s="306">
        <f t="shared" si="14"/>
        <v>0</v>
      </c>
      <c r="G134" s="234">
        <f t="shared" si="15"/>
        <v>0</v>
      </c>
      <c r="H134" s="235">
        <f>INDEX(Movements!$G$515:$G$544,MATCH('Cost movements'!C134,Movements!$C$245:$C$274,0))</f>
        <v>0</v>
      </c>
      <c r="I134" s="235">
        <f>INDEX(Movements!$G$245:$G$274,MATCH('Cost movements'!C134,Movements!$C$245:$C$274,0))</f>
        <v>0</v>
      </c>
      <c r="J134" s="306">
        <f t="shared" si="16"/>
        <v>0</v>
      </c>
      <c r="K134" s="234">
        <f t="shared" si="17"/>
        <v>0</v>
      </c>
      <c r="L134" s="235">
        <f>INDEX(Movements!$G$548:$G$577,MATCH('Cost movements'!C134,Movements!$C$278:$C$307,0))</f>
        <v>0</v>
      </c>
      <c r="M134" s="235">
        <f>INDEX(Movements!$G$278:$G$307,MATCH('Cost movements'!C134,Movements!$C$278:$C$307,0))</f>
        <v>0</v>
      </c>
      <c r="N134" s="306">
        <f t="shared" si="18"/>
        <v>0</v>
      </c>
      <c r="O134" s="234">
        <f t="shared" si="19"/>
        <v>0</v>
      </c>
      <c r="P134" s="235">
        <f>INDEX(Movements!$O$42:$O$71,MATCH('Cost movements'!C134,Movements!$C$42:$C$71,0))</f>
        <v>0</v>
      </c>
      <c r="Q134" s="235">
        <f>INDEX(Movements!$N$42:$N$71,MATCH('Cost movements'!C134,Movements!$C$42:$C$71,0))</f>
        <v>0</v>
      </c>
      <c r="R134" s="306">
        <f t="shared" si="20"/>
        <v>0</v>
      </c>
      <c r="S134" s="234">
        <f t="shared" si="21"/>
        <v>0</v>
      </c>
      <c r="T134" s="19"/>
      <c r="U134" s="19"/>
      <c r="V134" s="19"/>
      <c r="W134" s="19"/>
      <c r="X134" s="19"/>
      <c r="Y134" s="19"/>
    </row>
    <row r="135" spans="1:25" hidden="1" outlineLevel="1" x14ac:dyDescent="0.2">
      <c r="A135" s="19"/>
      <c r="B135" s="19"/>
      <c r="C135" s="492">
        <f t="shared" si="13"/>
        <v>0</v>
      </c>
      <c r="D135" s="235">
        <f>INDEX(Movements!$G$482:$G$511,MATCH('Cost movements'!C135,Movements!$C$212:$C$241,0))</f>
        <v>0</v>
      </c>
      <c r="E135" s="235">
        <f>INDEX(Movements!$G$212:$G$241,MATCH('Cost movements'!C135,Movements!$C$212:$C$241,0))</f>
        <v>0</v>
      </c>
      <c r="F135" s="306">
        <f t="shared" si="14"/>
        <v>0</v>
      </c>
      <c r="G135" s="234">
        <f t="shared" si="15"/>
        <v>0</v>
      </c>
      <c r="H135" s="235">
        <f>INDEX(Movements!$G$515:$G$544,MATCH('Cost movements'!C135,Movements!$C$245:$C$274,0))</f>
        <v>0</v>
      </c>
      <c r="I135" s="235">
        <f>INDEX(Movements!$G$245:$G$274,MATCH('Cost movements'!C135,Movements!$C$245:$C$274,0))</f>
        <v>0</v>
      </c>
      <c r="J135" s="306">
        <f t="shared" si="16"/>
        <v>0</v>
      </c>
      <c r="K135" s="234">
        <f t="shared" si="17"/>
        <v>0</v>
      </c>
      <c r="L135" s="235">
        <f>INDEX(Movements!$G$548:$G$577,MATCH('Cost movements'!C135,Movements!$C$278:$C$307,0))</f>
        <v>0</v>
      </c>
      <c r="M135" s="235">
        <f>INDEX(Movements!$G$278:$G$307,MATCH('Cost movements'!C135,Movements!$C$278:$C$307,0))</f>
        <v>0</v>
      </c>
      <c r="N135" s="306">
        <f t="shared" si="18"/>
        <v>0</v>
      </c>
      <c r="O135" s="234">
        <f t="shared" si="19"/>
        <v>0</v>
      </c>
      <c r="P135" s="235">
        <f>INDEX(Movements!$O$42:$O$71,MATCH('Cost movements'!C135,Movements!$C$42:$C$71,0))</f>
        <v>0</v>
      </c>
      <c r="Q135" s="235">
        <f>INDEX(Movements!$N$42:$N$71,MATCH('Cost movements'!C135,Movements!$C$42:$C$71,0))</f>
        <v>0</v>
      </c>
      <c r="R135" s="306">
        <f t="shared" si="20"/>
        <v>0</v>
      </c>
      <c r="S135" s="234">
        <f t="shared" si="21"/>
        <v>0</v>
      </c>
      <c r="T135" s="19"/>
      <c r="U135" s="19"/>
      <c r="V135" s="19"/>
      <c r="W135" s="19"/>
      <c r="X135" s="19"/>
      <c r="Y135" s="19"/>
    </row>
    <row r="136" spans="1:25" hidden="1" outlineLevel="1" x14ac:dyDescent="0.2">
      <c r="A136" s="19"/>
      <c r="B136" s="19"/>
      <c r="C136" s="492">
        <f t="shared" si="13"/>
        <v>0</v>
      </c>
      <c r="D136" s="235">
        <f>INDEX(Movements!$G$482:$G$511,MATCH('Cost movements'!C136,Movements!$C$212:$C$241,0))</f>
        <v>0</v>
      </c>
      <c r="E136" s="235">
        <f>INDEX(Movements!$G$212:$G$241,MATCH('Cost movements'!C136,Movements!$C$212:$C$241,0))</f>
        <v>0</v>
      </c>
      <c r="F136" s="306">
        <f t="shared" si="14"/>
        <v>0</v>
      </c>
      <c r="G136" s="234">
        <f t="shared" si="15"/>
        <v>0</v>
      </c>
      <c r="H136" s="235">
        <f>INDEX(Movements!$G$515:$G$544,MATCH('Cost movements'!C136,Movements!$C$245:$C$274,0))</f>
        <v>0</v>
      </c>
      <c r="I136" s="235">
        <f>INDEX(Movements!$G$245:$G$274,MATCH('Cost movements'!C136,Movements!$C$245:$C$274,0))</f>
        <v>0</v>
      </c>
      <c r="J136" s="306">
        <f t="shared" si="16"/>
        <v>0</v>
      </c>
      <c r="K136" s="234">
        <f t="shared" si="17"/>
        <v>0</v>
      </c>
      <c r="L136" s="235">
        <f>INDEX(Movements!$G$548:$G$577,MATCH('Cost movements'!C136,Movements!$C$278:$C$307,0))</f>
        <v>0</v>
      </c>
      <c r="M136" s="235">
        <f>INDEX(Movements!$G$278:$G$307,MATCH('Cost movements'!C136,Movements!$C$278:$C$307,0))</f>
        <v>0</v>
      </c>
      <c r="N136" s="306">
        <f t="shared" si="18"/>
        <v>0</v>
      </c>
      <c r="O136" s="234">
        <f t="shared" si="19"/>
        <v>0</v>
      </c>
      <c r="P136" s="235">
        <f>INDEX(Movements!$O$42:$O$71,MATCH('Cost movements'!C136,Movements!$C$42:$C$71,0))</f>
        <v>0</v>
      </c>
      <c r="Q136" s="235">
        <f>INDEX(Movements!$N$42:$N$71,MATCH('Cost movements'!C136,Movements!$C$42:$C$71,0))</f>
        <v>0</v>
      </c>
      <c r="R136" s="306">
        <f t="shared" si="20"/>
        <v>0</v>
      </c>
      <c r="S136" s="234">
        <f t="shared" si="21"/>
        <v>0</v>
      </c>
      <c r="T136" s="19"/>
      <c r="U136" s="19"/>
      <c r="V136" s="19"/>
      <c r="W136" s="19"/>
      <c r="X136" s="19"/>
      <c r="Y136" s="19"/>
    </row>
    <row r="137" spans="1:25" collapsed="1" x14ac:dyDescent="0.2">
      <c r="A137" s="19"/>
      <c r="B137" s="19"/>
      <c r="C137" s="456"/>
      <c r="D137" s="467"/>
      <c r="E137" s="468"/>
      <c r="F137" s="20"/>
      <c r="G137" s="261"/>
      <c r="H137" s="22"/>
      <c r="I137" s="20"/>
      <c r="J137" s="374"/>
      <c r="K137" s="374"/>
      <c r="L137" s="374"/>
      <c r="M137" s="374"/>
      <c r="N137" s="374"/>
      <c r="O137" s="374"/>
      <c r="P137" s="374"/>
      <c r="Q137" s="374"/>
      <c r="R137" s="374"/>
      <c r="S137" s="374"/>
      <c r="T137" s="19"/>
      <c r="U137" s="19"/>
      <c r="V137" s="19"/>
      <c r="W137" s="19"/>
      <c r="X137" s="19"/>
      <c r="Y137" s="19"/>
    </row>
    <row r="138" spans="1:25" ht="12.75" x14ac:dyDescent="0.2">
      <c r="A138" s="11"/>
      <c r="B138" s="12" t="s">
        <v>8</v>
      </c>
      <c r="C138" s="11"/>
      <c r="D138" s="11"/>
      <c r="E138" s="11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4"/>
      <c r="R138" s="14"/>
      <c r="S138" s="14"/>
      <c r="T138" s="15"/>
      <c r="U138" s="15"/>
      <c r="V138" s="15"/>
      <c r="W138" s="15"/>
      <c r="X138" s="15"/>
      <c r="Y138" s="15"/>
    </row>
  </sheetData>
  <sheetProtection formatColumns="0" formatRows="0"/>
  <mergeCells count="4">
    <mergeCell ref="D74:G74"/>
    <mergeCell ref="H74:K74"/>
    <mergeCell ref="L74:O74"/>
    <mergeCell ref="P74:S74"/>
  </mergeCells>
  <hyperlinks>
    <hyperlink ref="G1" location="'Pricing model'!A51" display="Back to Index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3">
    <tabColor theme="7" tint="0.79998168889431442"/>
  </sheetPr>
  <dimension ref="A1:AB310"/>
  <sheetViews>
    <sheetView showGridLines="0" topLeftCell="A178" zoomScaleNormal="100" workbookViewId="0">
      <selection activeCell="K24" sqref="K24"/>
    </sheetView>
  </sheetViews>
  <sheetFormatPr defaultColWidth="0" defaultRowHeight="11.25" zeroHeight="1" outlineLevelRow="1" x14ac:dyDescent="0.2"/>
  <cols>
    <col min="1" max="2" width="1.42578125" style="18" customWidth="1"/>
    <col min="3" max="3" width="32.85546875" style="18" customWidth="1"/>
    <col min="4" max="10" width="13.28515625" style="18" customWidth="1"/>
    <col min="11" max="13" width="11.85546875" style="18" customWidth="1"/>
    <col min="14" max="14" width="9.28515625" style="18" customWidth="1"/>
    <col min="15" max="15" width="55.140625" style="18" customWidth="1"/>
    <col min="16" max="16" width="9.28515625" style="18" customWidth="1"/>
    <col min="17" max="18" width="3.85546875" style="18" customWidth="1"/>
    <col min="19" max="16384" width="8" style="18" hidden="1"/>
  </cols>
  <sheetData>
    <row r="1" spans="1:25" ht="15.75" x14ac:dyDescent="0.25">
      <c r="A1" s="1"/>
      <c r="B1" s="2" t="str">
        <f>'Outputs&gt;&gt;'!B1</f>
        <v>AER pricing model - TasNetworks 2022–23</v>
      </c>
      <c r="C1" s="2"/>
      <c r="D1" s="2"/>
      <c r="E1" s="2"/>
      <c r="F1" s="3"/>
      <c r="G1" s="160" t="s">
        <v>0</v>
      </c>
      <c r="H1" s="3"/>
      <c r="I1" s="3"/>
      <c r="J1" s="4"/>
      <c r="K1" s="1"/>
      <c r="L1" s="111"/>
      <c r="M1" s="112"/>
      <c r="N1" s="112"/>
      <c r="O1" s="112"/>
      <c r="P1" s="112"/>
      <c r="Q1" s="113"/>
      <c r="R1" s="1"/>
    </row>
    <row r="2" spans="1:25" ht="13.5" thickBot="1" x14ac:dyDescent="0.25">
      <c r="A2" s="6"/>
      <c r="B2" s="7" t="str">
        <f>'Outputs&gt;&gt;'!C12</f>
        <v>Charts</v>
      </c>
      <c r="C2" s="7"/>
      <c r="D2" s="7"/>
      <c r="E2" s="7"/>
      <c r="F2" s="8"/>
      <c r="G2" s="8"/>
      <c r="H2" s="8"/>
      <c r="I2" s="8"/>
      <c r="J2" s="6"/>
      <c r="K2" s="6"/>
      <c r="L2" s="6"/>
      <c r="M2" s="6"/>
      <c r="N2" s="6"/>
      <c r="O2" s="6"/>
      <c r="P2" s="6"/>
      <c r="Q2" s="6"/>
      <c r="R2" s="6"/>
    </row>
    <row r="3" spans="1:25" x14ac:dyDescent="0.2">
      <c r="A3" s="27"/>
      <c r="B3" s="296" t="str">
        <f>'Outputs&gt;&gt;'!D12</f>
        <v>Provides output charts for revenue and cost movements (some editing of charts may be necessary for presentational issues)</v>
      </c>
      <c r="C3" s="27"/>
      <c r="D3" s="28"/>
      <c r="E3" s="28"/>
      <c r="F3" s="28"/>
      <c r="G3" s="28"/>
      <c r="H3" s="28"/>
      <c r="I3" s="28"/>
      <c r="J3" s="29"/>
      <c r="K3" s="30"/>
      <c r="L3" s="30"/>
      <c r="M3" s="30"/>
      <c r="N3" s="30"/>
      <c r="O3" s="30"/>
      <c r="P3" s="30"/>
      <c r="Q3" s="31"/>
      <c r="R3" s="31"/>
    </row>
    <row r="4" spans="1:25" x14ac:dyDescent="0.2">
      <c r="A4" s="9"/>
      <c r="B4" s="9"/>
      <c r="C4" s="78"/>
      <c r="D4" s="10"/>
      <c r="E4" s="10"/>
      <c r="F4" s="10"/>
      <c r="G4" s="10"/>
      <c r="H4" s="10"/>
      <c r="I4" s="10"/>
      <c r="J4" s="50"/>
      <c r="K4" s="50"/>
      <c r="L4" s="50"/>
      <c r="M4" s="50"/>
      <c r="N4" s="50"/>
      <c r="O4" s="50"/>
      <c r="P4" s="50"/>
      <c r="Q4" s="9"/>
      <c r="R4" s="9"/>
      <c r="S4" s="9"/>
      <c r="T4" s="9"/>
      <c r="U4" s="9"/>
    </row>
    <row r="5" spans="1:25" ht="12.75" x14ac:dyDescent="0.2">
      <c r="A5" s="11"/>
      <c r="B5" s="12" t="s">
        <v>514</v>
      </c>
      <c r="C5" s="11"/>
      <c r="D5" s="32"/>
      <c r="E5" s="32"/>
      <c r="F5" s="33"/>
      <c r="G5" s="34"/>
      <c r="H5" s="34"/>
      <c r="I5" s="34"/>
      <c r="J5" s="33"/>
      <c r="K5" s="33"/>
      <c r="L5" s="33"/>
      <c r="M5" s="35"/>
      <c r="N5" s="35"/>
      <c r="O5" s="35"/>
      <c r="P5" s="35"/>
      <c r="Q5" s="15"/>
      <c r="R5" s="15"/>
      <c r="S5" s="15"/>
      <c r="T5" s="15"/>
      <c r="U5" s="15"/>
    </row>
    <row r="6" spans="1:25" outlineLevel="1" x14ac:dyDescent="0.2">
      <c r="A6" s="9"/>
      <c r="B6" s="9"/>
      <c r="C6" s="9"/>
      <c r="D6" s="10"/>
      <c r="E6" s="10"/>
      <c r="F6" s="10"/>
      <c r="G6" s="10"/>
      <c r="H6" s="10"/>
      <c r="I6" s="10"/>
      <c r="J6" s="10"/>
      <c r="K6" s="93"/>
      <c r="L6" s="93"/>
      <c r="M6" s="10"/>
      <c r="N6" s="50"/>
      <c r="O6" s="50"/>
      <c r="P6" s="50"/>
      <c r="Q6" s="9"/>
      <c r="R6" s="9"/>
      <c r="S6" s="9"/>
      <c r="T6" s="9"/>
      <c r="U6" s="9"/>
      <c r="V6" s="9"/>
      <c r="W6" s="9"/>
      <c r="X6" s="9"/>
      <c r="Y6" s="9"/>
    </row>
    <row r="7" spans="1:25" outlineLevel="1" x14ac:dyDescent="0.2">
      <c r="A7" s="9"/>
      <c r="B7" s="9"/>
      <c r="C7" s="9"/>
      <c r="D7" s="10"/>
      <c r="E7" s="10"/>
      <c r="F7" s="10"/>
      <c r="G7" s="10"/>
      <c r="H7" s="10"/>
      <c r="I7" s="10"/>
      <c r="J7" s="10"/>
      <c r="K7" s="20"/>
      <c r="L7" s="20"/>
      <c r="M7" s="10"/>
      <c r="N7" s="50"/>
      <c r="O7" s="50"/>
      <c r="P7" s="50"/>
      <c r="Q7" s="9"/>
      <c r="R7" s="9"/>
      <c r="S7" s="9"/>
      <c r="T7" s="9"/>
      <c r="U7" s="9"/>
      <c r="V7" s="9"/>
      <c r="W7" s="9"/>
      <c r="X7" s="9"/>
      <c r="Y7" s="9"/>
    </row>
    <row r="8" spans="1:25" outlineLevel="1" x14ac:dyDescent="0.2">
      <c r="A8" s="9"/>
      <c r="B8" s="9"/>
      <c r="C8" s="9"/>
      <c r="D8" s="10"/>
      <c r="E8" s="10"/>
      <c r="F8" s="10"/>
      <c r="G8" s="10"/>
      <c r="H8" s="10"/>
      <c r="I8" s="10"/>
      <c r="J8" s="10"/>
      <c r="K8" s="20"/>
      <c r="L8" s="20"/>
      <c r="M8" s="10"/>
      <c r="N8" s="50"/>
      <c r="O8" s="50"/>
      <c r="P8" s="50"/>
      <c r="Q8" s="9"/>
      <c r="R8" s="9"/>
      <c r="S8" s="9"/>
      <c r="T8" s="9"/>
      <c r="U8" s="9"/>
      <c r="V8" s="9"/>
      <c r="W8" s="9"/>
      <c r="X8" s="9"/>
      <c r="Y8" s="9"/>
    </row>
    <row r="9" spans="1:25" outlineLevel="1" x14ac:dyDescent="0.2">
      <c r="A9" s="9"/>
      <c r="B9" s="9"/>
      <c r="C9" s="9"/>
      <c r="D9" s="10"/>
      <c r="E9" s="10"/>
      <c r="F9" s="10"/>
      <c r="G9" s="10"/>
      <c r="H9" s="10"/>
      <c r="I9" s="10"/>
      <c r="J9" s="10"/>
      <c r="K9" s="20"/>
      <c r="L9" s="20"/>
      <c r="M9" s="10"/>
      <c r="N9" s="50"/>
      <c r="O9" s="50"/>
      <c r="P9" s="50"/>
      <c r="Q9" s="9"/>
      <c r="R9" s="9"/>
      <c r="S9" s="9"/>
      <c r="T9" s="9"/>
      <c r="U9" s="9"/>
      <c r="V9" s="9"/>
      <c r="W9" s="9"/>
      <c r="X9" s="9"/>
      <c r="Y9" s="9"/>
    </row>
    <row r="10" spans="1:25" outlineLevel="1" x14ac:dyDescent="0.2">
      <c r="A10" s="9"/>
      <c r="B10" s="9"/>
      <c r="C10" s="9"/>
      <c r="D10" s="10"/>
      <c r="E10" s="10"/>
      <c r="F10" s="10"/>
      <c r="G10" s="10"/>
      <c r="H10" s="10"/>
      <c r="I10" s="10"/>
      <c r="J10" s="10"/>
      <c r="K10" s="20"/>
      <c r="L10" s="20"/>
      <c r="M10" s="10"/>
      <c r="N10" s="50"/>
      <c r="O10" s="50"/>
      <c r="P10" s="50"/>
      <c r="Q10" s="9"/>
      <c r="R10" s="9"/>
      <c r="S10" s="9"/>
      <c r="T10" s="9"/>
      <c r="U10" s="9"/>
      <c r="V10" s="9"/>
      <c r="W10" s="9"/>
      <c r="X10" s="9"/>
      <c r="Y10" s="9"/>
    </row>
    <row r="11" spans="1:25" outlineLevel="1" x14ac:dyDescent="0.2">
      <c r="A11" s="9"/>
      <c r="B11" s="9"/>
      <c r="C11" s="9"/>
      <c r="D11" s="10"/>
      <c r="E11" s="10"/>
      <c r="F11" s="10"/>
      <c r="G11" s="10"/>
      <c r="H11" s="10"/>
      <c r="I11" s="10"/>
      <c r="J11" s="10"/>
      <c r="K11" s="20"/>
      <c r="L11" s="20"/>
      <c r="M11" s="10"/>
      <c r="N11" s="50"/>
      <c r="O11" s="50"/>
      <c r="P11" s="50"/>
      <c r="Q11" s="9"/>
      <c r="R11" s="9"/>
      <c r="S11" s="9"/>
      <c r="T11" s="9"/>
      <c r="U11" s="9"/>
      <c r="V11" s="9"/>
      <c r="W11" s="9"/>
      <c r="X11" s="9"/>
      <c r="Y11" s="9"/>
    </row>
    <row r="12" spans="1:25" outlineLevel="1" x14ac:dyDescent="0.2">
      <c r="A12" s="9"/>
      <c r="B12" s="9"/>
      <c r="C12" s="9"/>
      <c r="D12" s="10"/>
      <c r="E12" s="10"/>
      <c r="F12" s="10"/>
      <c r="G12" s="10"/>
      <c r="H12" s="10"/>
      <c r="I12" s="10"/>
      <c r="J12" s="10"/>
      <c r="K12" s="20"/>
      <c r="L12" s="20"/>
      <c r="M12" s="10"/>
      <c r="N12" s="50"/>
      <c r="O12" s="50"/>
      <c r="P12" s="50"/>
      <c r="Q12" s="9"/>
      <c r="R12" s="9"/>
      <c r="S12" s="9"/>
      <c r="T12" s="9"/>
      <c r="U12" s="9"/>
      <c r="V12" s="9"/>
      <c r="W12" s="9"/>
      <c r="X12" s="9"/>
      <c r="Y12" s="9"/>
    </row>
    <row r="13" spans="1:25" outlineLevel="1" x14ac:dyDescent="0.2">
      <c r="A13" s="9"/>
      <c r="B13" s="9"/>
      <c r="C13" s="9"/>
      <c r="D13" s="10"/>
      <c r="E13" s="10"/>
      <c r="F13" s="10"/>
      <c r="G13" s="10"/>
      <c r="H13" s="10"/>
      <c r="I13" s="10"/>
      <c r="J13" s="10"/>
      <c r="K13" s="20"/>
      <c r="L13" s="20"/>
      <c r="M13" s="10"/>
      <c r="N13" s="50"/>
      <c r="O13" s="50"/>
      <c r="P13" s="50"/>
      <c r="Q13" s="9"/>
      <c r="R13" s="9"/>
      <c r="S13" s="9"/>
      <c r="T13" s="9"/>
      <c r="U13" s="9"/>
      <c r="V13" s="9"/>
      <c r="W13" s="9"/>
      <c r="X13" s="9"/>
      <c r="Y13" s="9"/>
    </row>
    <row r="14" spans="1:25" outlineLevel="1" x14ac:dyDescent="0.2">
      <c r="A14" s="9"/>
      <c r="B14" s="9"/>
      <c r="C14" s="9"/>
      <c r="D14" s="10"/>
      <c r="E14" s="10"/>
      <c r="F14" s="10"/>
      <c r="G14" s="10"/>
      <c r="H14" s="10"/>
      <c r="I14" s="10"/>
      <c r="J14" s="10"/>
      <c r="K14" s="20"/>
      <c r="L14" s="20"/>
      <c r="M14" s="10"/>
      <c r="N14" s="50"/>
      <c r="O14" s="50"/>
      <c r="P14" s="50"/>
      <c r="Q14" s="9"/>
      <c r="R14" s="9"/>
      <c r="S14" s="9"/>
      <c r="T14" s="9"/>
      <c r="U14" s="9"/>
      <c r="V14" s="9"/>
      <c r="W14" s="9"/>
      <c r="X14" s="9"/>
      <c r="Y14" s="9"/>
    </row>
    <row r="15" spans="1:25" outlineLevel="1" x14ac:dyDescent="0.2">
      <c r="A15" s="9"/>
      <c r="B15" s="9"/>
      <c r="C15" s="9"/>
      <c r="D15" s="10"/>
      <c r="E15" s="10"/>
      <c r="F15" s="10"/>
      <c r="G15" s="10"/>
      <c r="H15" s="10"/>
      <c r="I15" s="10"/>
      <c r="J15" s="10"/>
      <c r="K15" s="20"/>
      <c r="L15" s="20"/>
      <c r="M15" s="10"/>
      <c r="N15" s="50"/>
      <c r="O15" s="50"/>
      <c r="P15" s="50"/>
      <c r="Q15" s="9"/>
      <c r="R15" s="9"/>
      <c r="S15" s="9"/>
      <c r="T15" s="9"/>
      <c r="U15" s="9"/>
      <c r="V15" s="9"/>
      <c r="W15" s="9"/>
      <c r="X15" s="9"/>
      <c r="Y15" s="9"/>
    </row>
    <row r="16" spans="1:25" outlineLevel="1" x14ac:dyDescent="0.2">
      <c r="A16" s="9"/>
      <c r="B16" s="9"/>
      <c r="C16" s="9"/>
      <c r="D16" s="10"/>
      <c r="E16" s="10"/>
      <c r="F16" s="10"/>
      <c r="G16" s="10"/>
      <c r="H16" s="10"/>
      <c r="I16" s="10"/>
      <c r="J16" s="10"/>
      <c r="K16" s="20"/>
      <c r="L16" s="20"/>
      <c r="M16" s="10"/>
      <c r="N16" s="50"/>
      <c r="O16" s="50"/>
      <c r="P16" s="50"/>
      <c r="Q16" s="9"/>
      <c r="R16" s="9"/>
      <c r="S16" s="9"/>
      <c r="T16" s="9"/>
      <c r="U16" s="9"/>
      <c r="V16" s="9"/>
      <c r="W16" s="9"/>
      <c r="X16" s="9"/>
      <c r="Y16" s="9"/>
    </row>
    <row r="17" spans="1:25" outlineLevel="1" x14ac:dyDescent="0.2">
      <c r="A17" s="9"/>
      <c r="B17" s="9"/>
      <c r="C17" s="9"/>
      <c r="D17" s="10"/>
      <c r="E17" s="10"/>
      <c r="F17" s="10"/>
      <c r="G17" s="10"/>
      <c r="H17" s="10"/>
      <c r="I17" s="10"/>
      <c r="J17" s="10"/>
      <c r="K17" s="20"/>
      <c r="L17" s="20"/>
      <c r="M17" s="10"/>
      <c r="N17" s="50"/>
      <c r="O17" s="50"/>
      <c r="P17" s="50"/>
      <c r="Q17" s="9"/>
      <c r="R17" s="9"/>
      <c r="S17" s="9"/>
      <c r="T17" s="9"/>
      <c r="U17" s="9"/>
      <c r="V17" s="9"/>
      <c r="W17" s="9"/>
      <c r="X17" s="9"/>
      <c r="Y17" s="9"/>
    </row>
    <row r="18" spans="1:25" outlineLevel="1" x14ac:dyDescent="0.2">
      <c r="A18" s="9"/>
      <c r="B18" s="9"/>
      <c r="C18" s="9"/>
      <c r="D18" s="10"/>
      <c r="E18" s="10"/>
      <c r="F18" s="10"/>
      <c r="G18" s="10"/>
      <c r="H18" s="10"/>
      <c r="I18" s="10"/>
      <c r="J18" s="10"/>
      <c r="K18" s="20"/>
      <c r="L18" s="20"/>
      <c r="M18" s="10"/>
      <c r="N18" s="50"/>
      <c r="O18" s="50"/>
      <c r="P18" s="50"/>
      <c r="Q18" s="9"/>
      <c r="R18" s="9"/>
      <c r="S18" s="9"/>
      <c r="T18" s="9"/>
      <c r="U18" s="9"/>
      <c r="V18" s="9"/>
      <c r="W18" s="9"/>
      <c r="X18" s="9"/>
      <c r="Y18" s="9"/>
    </row>
    <row r="19" spans="1:25" outlineLevel="1" x14ac:dyDescent="0.2">
      <c r="A19" s="9"/>
      <c r="B19" s="9"/>
      <c r="C19" s="9"/>
      <c r="D19" s="10"/>
      <c r="E19" s="10"/>
      <c r="F19" s="10"/>
      <c r="G19" s="10"/>
      <c r="H19" s="10"/>
      <c r="I19" s="10"/>
      <c r="J19" s="10"/>
      <c r="K19" s="20"/>
      <c r="L19" s="20"/>
      <c r="M19" s="10"/>
      <c r="N19" s="50"/>
      <c r="O19" s="50"/>
      <c r="P19" s="50"/>
      <c r="Q19" s="9"/>
      <c r="R19" s="9"/>
      <c r="S19" s="9"/>
      <c r="T19" s="9"/>
      <c r="U19" s="9"/>
      <c r="V19" s="9"/>
      <c r="W19" s="9"/>
      <c r="X19" s="9"/>
      <c r="Y19" s="9"/>
    </row>
    <row r="20" spans="1:25" outlineLevel="1" x14ac:dyDescent="0.2">
      <c r="A20" s="9"/>
      <c r="B20" s="9"/>
      <c r="C20" s="9"/>
      <c r="D20" s="10"/>
      <c r="E20" s="10"/>
      <c r="F20" s="10"/>
      <c r="G20" s="10"/>
      <c r="H20" s="10"/>
      <c r="I20" s="10"/>
      <c r="J20" s="10"/>
      <c r="K20" s="20"/>
      <c r="L20" s="20"/>
      <c r="M20" s="10"/>
      <c r="N20" s="50"/>
      <c r="O20" s="50"/>
      <c r="P20" s="50"/>
      <c r="Q20" s="9"/>
      <c r="R20" s="9"/>
      <c r="S20" s="9"/>
      <c r="T20" s="9"/>
      <c r="U20" s="9"/>
      <c r="V20" s="9"/>
      <c r="W20" s="9"/>
      <c r="X20" s="9"/>
      <c r="Y20" s="9"/>
    </row>
    <row r="21" spans="1:25" outlineLevel="1" x14ac:dyDescent="0.2">
      <c r="A21" s="9"/>
      <c r="B21" s="9"/>
      <c r="C21" s="9"/>
      <c r="D21" s="10"/>
      <c r="E21" s="10"/>
      <c r="F21" s="10"/>
      <c r="G21" s="10"/>
      <c r="H21" s="10"/>
      <c r="I21" s="10"/>
      <c r="J21" s="10"/>
      <c r="K21" s="20"/>
      <c r="L21" s="20"/>
      <c r="M21" s="10"/>
      <c r="N21" s="50"/>
      <c r="O21" s="50"/>
      <c r="P21" s="50"/>
      <c r="Q21" s="9"/>
      <c r="R21" s="9"/>
      <c r="S21" s="9"/>
      <c r="T21" s="9"/>
      <c r="U21" s="9"/>
      <c r="V21" s="9"/>
      <c r="W21" s="9"/>
      <c r="X21" s="9"/>
      <c r="Y21" s="9"/>
    </row>
    <row r="22" spans="1:25" outlineLevel="1" x14ac:dyDescent="0.2">
      <c r="A22" s="9"/>
      <c r="B22" s="9"/>
      <c r="C22" s="9"/>
      <c r="D22" s="10"/>
      <c r="E22" s="10"/>
      <c r="F22" s="10"/>
      <c r="G22" s="10"/>
      <c r="H22" s="10"/>
      <c r="I22" s="10"/>
      <c r="J22" s="10"/>
      <c r="K22" s="20"/>
      <c r="L22" s="20"/>
      <c r="M22" s="10"/>
      <c r="N22" s="50"/>
      <c r="O22" s="50"/>
      <c r="P22" s="50"/>
      <c r="Q22" s="9"/>
      <c r="R22" s="9"/>
      <c r="S22" s="9"/>
      <c r="T22" s="9"/>
      <c r="U22" s="9"/>
      <c r="V22" s="9"/>
      <c r="W22" s="9"/>
      <c r="X22" s="9"/>
      <c r="Y22" s="9"/>
    </row>
    <row r="23" spans="1:25" outlineLevel="1" x14ac:dyDescent="0.2">
      <c r="A23" s="9"/>
      <c r="B23" s="9"/>
      <c r="C23" s="9"/>
      <c r="D23" s="10"/>
      <c r="E23" s="10"/>
      <c r="F23" s="10"/>
      <c r="G23" s="10"/>
      <c r="H23" s="10"/>
      <c r="I23" s="10"/>
      <c r="J23" s="10"/>
      <c r="K23" s="20"/>
      <c r="L23" s="20"/>
      <c r="M23" s="10"/>
      <c r="N23" s="50"/>
      <c r="O23" s="50"/>
      <c r="P23" s="50"/>
      <c r="Q23" s="9"/>
      <c r="R23" s="9"/>
      <c r="S23" s="9"/>
      <c r="T23" s="9"/>
      <c r="U23" s="9"/>
      <c r="V23" s="9"/>
      <c r="W23" s="9"/>
      <c r="X23" s="9"/>
      <c r="Y23" s="9"/>
    </row>
    <row r="24" spans="1:25" outlineLevel="1" x14ac:dyDescent="0.2">
      <c r="A24" s="9"/>
      <c r="B24" s="9"/>
      <c r="C24" s="9"/>
      <c r="D24" s="10"/>
      <c r="E24" s="10"/>
      <c r="F24" s="10"/>
      <c r="G24" s="10"/>
      <c r="H24" s="10"/>
      <c r="I24" s="10"/>
      <c r="J24" s="10"/>
      <c r="K24" s="20"/>
      <c r="L24" s="20"/>
      <c r="M24" s="10"/>
      <c r="N24" s="50"/>
      <c r="O24" s="50"/>
      <c r="P24" s="50"/>
      <c r="Q24" s="9"/>
      <c r="R24" s="9"/>
      <c r="S24" s="9"/>
      <c r="T24" s="9"/>
      <c r="U24" s="9"/>
      <c r="V24" s="9"/>
      <c r="W24" s="9"/>
      <c r="X24" s="9"/>
      <c r="Y24" s="9"/>
    </row>
    <row r="25" spans="1:25" outlineLevel="1" x14ac:dyDescent="0.2">
      <c r="A25" s="9"/>
      <c r="B25" s="9"/>
      <c r="C25" s="9"/>
      <c r="D25" s="10"/>
      <c r="E25" s="10"/>
      <c r="F25" s="10"/>
      <c r="G25" s="10"/>
      <c r="H25" s="10"/>
      <c r="I25" s="10"/>
      <c r="J25" s="10"/>
      <c r="K25" s="20"/>
      <c r="L25" s="20"/>
      <c r="M25" s="10"/>
      <c r="N25" s="50"/>
      <c r="O25" s="50"/>
      <c r="P25" s="50"/>
      <c r="Q25" s="9"/>
      <c r="R25" s="9"/>
      <c r="S25" s="9"/>
      <c r="T25" s="9"/>
      <c r="U25" s="9"/>
      <c r="V25" s="9"/>
      <c r="W25" s="9"/>
      <c r="X25" s="9"/>
      <c r="Y25" s="9"/>
    </row>
    <row r="26" spans="1:25" outlineLevel="1" x14ac:dyDescent="0.2">
      <c r="A26" s="9"/>
      <c r="B26" s="9"/>
      <c r="C26" s="9"/>
      <c r="D26" s="10"/>
      <c r="E26" s="10"/>
      <c r="F26" s="10"/>
      <c r="G26" s="10"/>
      <c r="H26" s="10"/>
      <c r="I26" s="10"/>
      <c r="J26" s="10"/>
      <c r="K26" s="20"/>
      <c r="L26" s="20"/>
      <c r="M26" s="10"/>
      <c r="N26" s="50"/>
      <c r="O26" s="50"/>
      <c r="P26" s="50"/>
      <c r="Q26" s="9"/>
      <c r="R26" s="9"/>
      <c r="S26" s="9"/>
      <c r="T26" s="9"/>
      <c r="U26" s="9"/>
      <c r="V26" s="9"/>
      <c r="W26" s="9"/>
      <c r="X26" s="9"/>
      <c r="Y26" s="9"/>
    </row>
    <row r="27" spans="1:25" outlineLevel="1" x14ac:dyDescent="0.2">
      <c r="A27" s="9"/>
      <c r="B27" s="9"/>
      <c r="C27" s="9"/>
      <c r="D27" s="10"/>
      <c r="E27" s="10"/>
      <c r="F27" s="10"/>
      <c r="G27" s="10"/>
      <c r="H27" s="10"/>
      <c r="I27" s="10"/>
      <c r="J27" s="10"/>
      <c r="K27" s="20"/>
      <c r="L27" s="20"/>
      <c r="M27" s="10"/>
      <c r="N27" s="50"/>
      <c r="O27" s="50"/>
      <c r="P27" s="50"/>
      <c r="Q27" s="9"/>
      <c r="R27" s="9"/>
      <c r="S27" s="9"/>
      <c r="T27" s="9"/>
      <c r="U27" s="9"/>
      <c r="V27" s="9"/>
      <c r="W27" s="9"/>
      <c r="X27" s="9"/>
      <c r="Y27" s="9"/>
    </row>
    <row r="28" spans="1:25" outlineLevel="1" x14ac:dyDescent="0.2">
      <c r="A28" s="9"/>
      <c r="B28" s="9"/>
      <c r="C28" s="9"/>
      <c r="D28" s="10"/>
      <c r="E28" s="10"/>
      <c r="F28" s="10"/>
      <c r="G28" s="10"/>
      <c r="H28" s="10"/>
      <c r="I28" s="10"/>
      <c r="J28" s="10"/>
      <c r="K28" s="20"/>
      <c r="L28" s="20"/>
      <c r="M28" s="10"/>
      <c r="N28" s="50"/>
      <c r="O28" s="50"/>
      <c r="P28" s="50"/>
      <c r="Q28" s="9"/>
      <c r="R28" s="9"/>
      <c r="S28" s="9"/>
      <c r="T28" s="9"/>
      <c r="U28" s="9"/>
      <c r="V28" s="9"/>
      <c r="W28" s="9"/>
      <c r="X28" s="9"/>
      <c r="Y28" s="9"/>
    </row>
    <row r="29" spans="1:25" outlineLevel="1" x14ac:dyDescent="0.2">
      <c r="A29" s="9"/>
      <c r="B29" s="9"/>
      <c r="C29" s="9"/>
      <c r="D29" s="10"/>
      <c r="E29" s="10"/>
      <c r="F29" s="10"/>
      <c r="G29" s="10"/>
      <c r="H29" s="10"/>
      <c r="I29" s="10"/>
      <c r="J29" s="10"/>
      <c r="K29" s="20"/>
      <c r="L29" s="20"/>
      <c r="M29" s="10"/>
      <c r="N29" s="50"/>
      <c r="O29" s="50"/>
      <c r="P29" s="50"/>
      <c r="Q29" s="9"/>
      <c r="R29" s="9"/>
      <c r="S29" s="9"/>
      <c r="T29" s="9"/>
      <c r="U29" s="9"/>
      <c r="V29" s="9"/>
      <c r="W29" s="9"/>
      <c r="X29" s="9"/>
      <c r="Y29" s="9"/>
    </row>
    <row r="30" spans="1:25" outlineLevel="1" x14ac:dyDescent="0.2">
      <c r="A30" s="9"/>
      <c r="B30" s="9"/>
      <c r="C30" s="9"/>
      <c r="D30" s="10"/>
      <c r="E30" s="10"/>
      <c r="F30" s="10"/>
      <c r="G30" s="10"/>
      <c r="H30" s="10"/>
      <c r="I30" s="10"/>
      <c r="J30" s="10"/>
      <c r="K30" s="20"/>
      <c r="L30" s="20"/>
      <c r="M30" s="10"/>
      <c r="N30" s="50"/>
      <c r="O30" s="50"/>
      <c r="P30" s="50"/>
      <c r="Q30" s="9"/>
      <c r="R30" s="9"/>
      <c r="S30" s="9"/>
      <c r="T30" s="9"/>
      <c r="U30" s="9"/>
      <c r="V30" s="9"/>
      <c r="W30" s="9"/>
      <c r="X30" s="9"/>
      <c r="Y30" s="9"/>
    </row>
    <row r="31" spans="1:25" outlineLevel="1" x14ac:dyDescent="0.2">
      <c r="A31" s="9"/>
      <c r="B31" s="9"/>
      <c r="C31" s="9"/>
      <c r="D31" s="10"/>
      <c r="E31" s="10"/>
      <c r="F31" s="10"/>
      <c r="G31" s="10"/>
      <c r="H31" s="10"/>
      <c r="I31" s="10"/>
      <c r="J31" s="10"/>
      <c r="K31" s="20"/>
      <c r="L31" s="20"/>
      <c r="M31" s="10"/>
      <c r="N31" s="50"/>
      <c r="O31" s="50"/>
      <c r="P31" s="50"/>
      <c r="Q31" s="9"/>
      <c r="R31" s="9"/>
      <c r="S31" s="9"/>
      <c r="T31" s="9"/>
      <c r="U31" s="9"/>
      <c r="V31" s="9"/>
      <c r="W31" s="9"/>
      <c r="X31" s="9"/>
      <c r="Y31" s="9"/>
    </row>
    <row r="32" spans="1:25" outlineLevel="1" x14ac:dyDescent="0.2">
      <c r="A32" s="9"/>
      <c r="B32" s="9"/>
      <c r="C32" s="9"/>
      <c r="D32" s="10"/>
      <c r="E32" s="10"/>
      <c r="F32" s="10"/>
      <c r="G32" s="10"/>
      <c r="H32" s="10"/>
      <c r="I32" s="10"/>
      <c r="J32" s="10"/>
      <c r="K32" s="20"/>
      <c r="L32" s="20"/>
      <c r="M32" s="10"/>
      <c r="N32" s="50"/>
      <c r="O32" s="50"/>
      <c r="P32" s="50"/>
      <c r="Q32" s="9"/>
      <c r="R32" s="9"/>
      <c r="S32" s="9"/>
      <c r="T32" s="9"/>
      <c r="U32" s="9"/>
      <c r="V32" s="9"/>
      <c r="W32" s="9"/>
      <c r="X32" s="9"/>
      <c r="Y32" s="9"/>
    </row>
    <row r="33" spans="1:25" outlineLevel="1" x14ac:dyDescent="0.2">
      <c r="A33" s="9"/>
      <c r="B33" s="9"/>
      <c r="C33" s="9"/>
      <c r="D33" s="10"/>
      <c r="E33" s="10"/>
      <c r="F33" s="10"/>
      <c r="G33" s="10"/>
      <c r="H33" s="10"/>
      <c r="I33" s="10"/>
      <c r="J33" s="10"/>
      <c r="K33" s="20"/>
      <c r="L33" s="20"/>
      <c r="M33" s="10"/>
      <c r="N33" s="50"/>
      <c r="O33" s="50"/>
      <c r="P33" s="50"/>
      <c r="Q33" s="9"/>
      <c r="R33" s="9"/>
      <c r="S33" s="9"/>
      <c r="T33" s="9"/>
      <c r="U33" s="9"/>
      <c r="V33" s="9"/>
      <c r="W33" s="9"/>
      <c r="X33" s="9"/>
      <c r="Y33" s="9"/>
    </row>
    <row r="34" spans="1:25" outlineLevel="1" x14ac:dyDescent="0.2">
      <c r="A34" s="9"/>
      <c r="B34" s="9"/>
      <c r="C34" s="19"/>
      <c r="D34" s="20"/>
      <c r="E34" s="20"/>
      <c r="F34" s="20"/>
      <c r="G34" s="20"/>
      <c r="H34" s="20"/>
      <c r="I34" s="20"/>
      <c r="J34" s="20"/>
      <c r="K34" s="20"/>
      <c r="L34" s="20"/>
      <c r="M34" s="10"/>
      <c r="N34" s="50"/>
      <c r="O34" s="50"/>
      <c r="P34" s="50"/>
      <c r="Q34" s="9"/>
      <c r="R34" s="9"/>
      <c r="S34" s="9"/>
      <c r="T34" s="9"/>
      <c r="U34" s="9"/>
      <c r="V34" s="9"/>
      <c r="W34" s="9"/>
      <c r="X34" s="9"/>
      <c r="Y34" s="9"/>
    </row>
    <row r="35" spans="1:25" outlineLevel="1" x14ac:dyDescent="0.2">
      <c r="A35" s="9"/>
      <c r="B35" s="9"/>
      <c r="C35" s="299"/>
      <c r="D35" s="20"/>
      <c r="E35" s="20"/>
      <c r="F35" s="20"/>
      <c r="G35" s="58"/>
      <c r="H35" s="151"/>
      <c r="I35" s="20"/>
      <c r="J35" s="20"/>
      <c r="K35" s="20"/>
      <c r="L35" s="20"/>
      <c r="M35" s="10"/>
      <c r="N35" s="50"/>
      <c r="O35" s="50"/>
      <c r="P35" s="50"/>
      <c r="Q35" s="9"/>
      <c r="R35" s="9"/>
      <c r="S35" s="9"/>
      <c r="T35" s="9"/>
      <c r="U35" s="9"/>
      <c r="V35" s="9"/>
      <c r="W35" s="9"/>
      <c r="X35" s="9"/>
      <c r="Y35" s="9"/>
    </row>
    <row r="36" spans="1:25" outlineLevel="1" x14ac:dyDescent="0.2">
      <c r="A36" s="9"/>
      <c r="B36" s="9"/>
      <c r="C36" s="300"/>
      <c r="D36" s="242"/>
      <c r="E36" s="242"/>
      <c r="F36" s="343"/>
      <c r="G36" s="242"/>
      <c r="H36" s="242"/>
      <c r="I36" s="343"/>
      <c r="J36" s="20"/>
      <c r="K36" s="20"/>
      <c r="L36" s="20"/>
      <c r="M36" s="20"/>
      <c r="N36" s="20"/>
      <c r="O36" s="20"/>
      <c r="P36" s="20"/>
      <c r="Q36" s="9"/>
      <c r="R36" s="9"/>
      <c r="S36" s="9"/>
      <c r="T36" s="9"/>
      <c r="U36" s="9"/>
      <c r="V36" s="9"/>
      <c r="W36" s="9"/>
      <c r="X36" s="9"/>
      <c r="Y36" s="9"/>
    </row>
    <row r="37" spans="1:25" outlineLevel="1" x14ac:dyDescent="0.2">
      <c r="A37" s="9"/>
      <c r="B37" s="9"/>
      <c r="C37" s="300"/>
      <c r="D37" s="687" t="str">
        <f>currentyear</f>
        <v>2021–22</v>
      </c>
      <c r="E37" s="687"/>
      <c r="F37" s="688" t="s">
        <v>523</v>
      </c>
      <c r="G37" s="688"/>
      <c r="H37" s="242"/>
      <c r="I37" s="688" t="str">
        <f>forecastyear</f>
        <v>2022–23</v>
      </c>
      <c r="J37" s="688"/>
      <c r="K37" s="20"/>
      <c r="L37" s="20"/>
      <c r="M37" s="20"/>
      <c r="N37" s="20"/>
      <c r="O37" s="20"/>
      <c r="P37" s="20"/>
      <c r="Q37" s="9"/>
      <c r="R37" s="9"/>
      <c r="S37" s="9"/>
      <c r="T37" s="9"/>
      <c r="U37" s="9"/>
      <c r="V37" s="9"/>
      <c r="W37" s="9"/>
      <c r="X37" s="9"/>
      <c r="Y37" s="9"/>
    </row>
    <row r="38" spans="1:25" outlineLevel="1" x14ac:dyDescent="0.2">
      <c r="A38" s="9"/>
      <c r="B38" s="9"/>
      <c r="C38" s="305" t="str">
        <f>DNSP&amp;" - Total revenue movements ($m)"</f>
        <v>TasNetworks - Total revenue movements ($m)</v>
      </c>
      <c r="D38" s="303" t="s">
        <v>520</v>
      </c>
      <c r="E38" s="303" t="s">
        <v>521</v>
      </c>
      <c r="F38" s="212"/>
      <c r="G38" s="303" t="s">
        <v>515</v>
      </c>
      <c r="H38" s="303"/>
      <c r="I38" s="212" t="s">
        <v>520</v>
      </c>
      <c r="J38" s="53" t="s">
        <v>521</v>
      </c>
      <c r="K38" s="20"/>
      <c r="L38" s="20"/>
      <c r="M38" s="20"/>
      <c r="N38" s="20"/>
      <c r="O38" s="20"/>
      <c r="P38" s="20"/>
      <c r="Q38" s="9"/>
      <c r="R38" s="9"/>
      <c r="S38" s="9"/>
      <c r="T38" s="9"/>
      <c r="U38" s="9"/>
      <c r="V38" s="9"/>
      <c r="W38" s="9"/>
      <c r="X38" s="9"/>
      <c r="Y38" s="9"/>
    </row>
    <row r="39" spans="1:25" outlineLevel="1" x14ac:dyDescent="0.2">
      <c r="A39" s="9"/>
      <c r="B39" s="9"/>
      <c r="C39" s="309" t="s">
        <v>519</v>
      </c>
      <c r="D39" s="236"/>
      <c r="E39" s="236"/>
      <c r="F39" s="236"/>
      <c r="G39" s="236">
        <f>MIN(E45,J45)</f>
        <v>314.80839747209052</v>
      </c>
      <c r="H39" s="236"/>
      <c r="I39" s="236"/>
      <c r="J39" s="236"/>
      <c r="K39" s="20"/>
      <c r="L39" s="20"/>
      <c r="M39" s="20"/>
      <c r="N39" s="20"/>
      <c r="O39" s="20"/>
      <c r="P39" s="20"/>
      <c r="Q39" s="9"/>
      <c r="R39" s="9"/>
      <c r="S39" s="9"/>
      <c r="T39" s="9"/>
      <c r="U39" s="9"/>
      <c r="V39" s="9"/>
      <c r="W39" s="9"/>
      <c r="X39" s="9"/>
      <c r="Y39" s="9"/>
    </row>
    <row r="40" spans="1:25" outlineLevel="1" x14ac:dyDescent="0.2">
      <c r="A40" s="9"/>
      <c r="B40" s="9"/>
      <c r="C40" s="309" t="s">
        <v>518</v>
      </c>
      <c r="D40" s="236"/>
      <c r="E40" s="236"/>
      <c r="F40" s="236"/>
      <c r="G40" s="304">
        <f>J45-E45</f>
        <v>14.588748520517299</v>
      </c>
      <c r="H40" s="236"/>
      <c r="I40" s="236"/>
      <c r="J40" s="236"/>
      <c r="K40" s="20"/>
      <c r="L40" s="20"/>
      <c r="M40" s="20"/>
      <c r="N40" s="20"/>
      <c r="O40" s="20"/>
      <c r="P40" s="20"/>
      <c r="Q40" s="9"/>
      <c r="R40" s="9"/>
      <c r="S40" s="9"/>
      <c r="T40" s="9"/>
      <c r="U40" s="9"/>
      <c r="V40" s="9"/>
      <c r="W40" s="9"/>
      <c r="X40" s="9"/>
      <c r="Y40" s="9"/>
    </row>
    <row r="41" spans="1:25" outlineLevel="1" x14ac:dyDescent="0.2">
      <c r="A41" s="9"/>
      <c r="B41" s="9"/>
      <c r="C41" s="309" t="s">
        <v>136</v>
      </c>
      <c r="D41" s="236">
        <f>INDEX(Financial!J11:Q11,1,MATCH(currentyear,Financial!J5:Q5,0))*outputsmultiplier</f>
        <v>253.12573754545227</v>
      </c>
      <c r="E41" s="236">
        <f>INDEX(TAR!$J$17:$Q$17,1,MATCH(currentyear,TAR!$J$5:$Q$5,0))*outputsmultiplier</f>
        <v>248.57253765621934</v>
      </c>
      <c r="F41" s="236"/>
      <c r="G41" s="236"/>
      <c r="H41" s="236"/>
      <c r="I41" s="236">
        <f>INDEX(Financial!J11:Q11,1,MATCH(forecastyear,Financial!J5:Q5,0))*outputsmultiplier</f>
        <v>261.39297518910541</v>
      </c>
      <c r="J41" s="236">
        <f>INDEX(Compliance!$J$11:$Q$11,1,MATCH(forecastyear,Compliance!$J$5:$Q$5,0))*outputsmultiplier</f>
        <v>256.99123490627989</v>
      </c>
      <c r="K41" s="20"/>
      <c r="L41" s="20"/>
      <c r="M41" s="20"/>
      <c r="N41" s="20"/>
      <c r="O41" s="20"/>
      <c r="P41" s="20"/>
      <c r="Q41" s="9"/>
      <c r="R41" s="9"/>
      <c r="S41" s="9"/>
      <c r="T41" s="9"/>
      <c r="U41" s="9"/>
      <c r="V41" s="9"/>
      <c r="W41" s="9"/>
      <c r="X41" s="9"/>
      <c r="Y41" s="9"/>
    </row>
    <row r="42" spans="1:25" outlineLevel="1" x14ac:dyDescent="0.2">
      <c r="A42" s="9"/>
      <c r="B42" s="9"/>
      <c r="C42" s="309" t="s">
        <v>405</v>
      </c>
      <c r="D42" s="236">
        <f>INDEX(Financial!J109:Q109,1,MATCH(currentyear,Financial!J106:Q106,0))*outputsmultiplier</f>
        <v>0</v>
      </c>
      <c r="E42" s="236">
        <f>INDEX(TAR!$J$43:$Q$43,1,MATCH(currentyear,TAR!$J$5:$Q$5,0))*outputsmultiplier</f>
        <v>0</v>
      </c>
      <c r="F42" s="236"/>
      <c r="G42" s="236"/>
      <c r="H42" s="236"/>
      <c r="I42" s="236">
        <f>INDEX(Financial!J109:Q109,1,MATCH(forecastyear,Financial!J106:Q106,0))*outputsmultiplier</f>
        <v>0</v>
      </c>
      <c r="J42" s="236">
        <f>INDEX(Compliance!$J$28:$Q$28,1,MATCH(forecastyear,Compliance!$J$5:$Q$5,0))*outputsmultiplier</f>
        <v>0</v>
      </c>
      <c r="K42" s="20"/>
      <c r="L42" s="20"/>
      <c r="M42" s="20"/>
      <c r="N42" s="20"/>
      <c r="O42" s="20"/>
      <c r="P42" s="20"/>
      <c r="Q42" s="9"/>
      <c r="R42" s="9"/>
      <c r="S42" s="9"/>
      <c r="T42" s="9"/>
      <c r="U42" s="9"/>
      <c r="V42" s="9"/>
      <c r="W42" s="9"/>
      <c r="X42" s="9"/>
      <c r="Y42" s="9"/>
    </row>
    <row r="43" spans="1:25" outlineLevel="1" x14ac:dyDescent="0.2">
      <c r="A43" s="9"/>
      <c r="B43" s="9"/>
      <c r="C43" s="309" t="s">
        <v>522</v>
      </c>
      <c r="D43" s="236"/>
      <c r="E43" s="236">
        <f>INDEX(TAR!$J$26:$Q$26,1,MATCH(currentyear,TAR!$J$5:$Q$5,0))*outputsmultiplier</f>
        <v>66.235859815871152</v>
      </c>
      <c r="F43" s="236"/>
      <c r="G43" s="236"/>
      <c r="H43" s="236"/>
      <c r="I43" s="236"/>
      <c r="J43" s="236">
        <f>INDEX(Compliance!$J$18:$Q$18,1,MATCH(forecastyear,Compliance!$J$5:$Q$5,0))*outputsmultiplier</f>
        <v>72.405911086327919</v>
      </c>
      <c r="K43" s="20"/>
      <c r="L43" s="20"/>
      <c r="M43" s="20"/>
      <c r="N43" s="20"/>
      <c r="O43" s="20"/>
      <c r="P43" s="20"/>
      <c r="Q43" s="9"/>
      <c r="R43" s="9"/>
      <c r="S43" s="9"/>
      <c r="T43" s="9"/>
      <c r="U43" s="9"/>
      <c r="V43" s="9"/>
      <c r="W43" s="9"/>
      <c r="X43" s="9"/>
      <c r="Y43" s="9"/>
    </row>
    <row r="44" spans="1:25" outlineLevel="1" x14ac:dyDescent="0.2">
      <c r="A44" s="9"/>
      <c r="B44" s="9"/>
      <c r="C44" s="309" t="s">
        <v>517</v>
      </c>
      <c r="D44" s="236"/>
      <c r="E44" s="236">
        <f>INDEX(TAR!$J$32:$Q$32,1,MATCH(currentyear,TAR!$J$5:$Q$5,0))*outputsmultiplier</f>
        <v>0</v>
      </c>
      <c r="F44" s="236"/>
      <c r="G44" s="236"/>
      <c r="H44" s="236"/>
      <c r="I44" s="236"/>
      <c r="J44" s="236">
        <f>INDEX(Compliance!$J$24:$Q$24,1,MATCH(forecastyear,Compliance!$J$5:$Q$5,0))*outputsmultiplier</f>
        <v>0</v>
      </c>
      <c r="K44" s="20"/>
      <c r="L44" s="20"/>
      <c r="M44" s="20"/>
      <c r="N44" s="20"/>
      <c r="O44" s="20"/>
      <c r="P44" s="20"/>
      <c r="Q44" s="9"/>
      <c r="R44" s="9"/>
      <c r="S44" s="9"/>
      <c r="T44" s="9"/>
      <c r="U44" s="9"/>
      <c r="V44" s="9"/>
      <c r="W44" s="9"/>
      <c r="X44" s="9"/>
      <c r="Y44" s="9"/>
    </row>
    <row r="45" spans="1:25" outlineLevel="1" x14ac:dyDescent="0.2">
      <c r="A45" s="9"/>
      <c r="B45" s="9"/>
      <c r="C45" s="309" t="s">
        <v>516</v>
      </c>
      <c r="D45" s="236"/>
      <c r="E45" s="236">
        <f>SUM(E41:E44)</f>
        <v>314.80839747209052</v>
      </c>
      <c r="F45" s="236"/>
      <c r="G45" s="236"/>
      <c r="H45" s="236"/>
      <c r="I45" s="236"/>
      <c r="J45" s="236">
        <f>SUM(J41:J44)</f>
        <v>329.39714599260782</v>
      </c>
      <c r="K45" s="20"/>
      <c r="L45" s="20"/>
      <c r="M45" s="20"/>
      <c r="N45" s="20"/>
      <c r="O45" s="20"/>
      <c r="P45" s="20"/>
      <c r="Q45" s="9"/>
      <c r="R45" s="9"/>
      <c r="S45" s="9"/>
      <c r="T45" s="9"/>
      <c r="U45" s="9"/>
      <c r="V45" s="9"/>
      <c r="W45" s="9"/>
      <c r="X45" s="9"/>
      <c r="Y45" s="9"/>
    </row>
    <row r="46" spans="1:25" outlineLevel="1" x14ac:dyDescent="0.2">
      <c r="A46" s="9"/>
      <c r="B46" s="9"/>
      <c r="C46" s="309" t="s">
        <v>515</v>
      </c>
      <c r="D46" s="236"/>
      <c r="E46" s="236"/>
      <c r="F46" s="236"/>
      <c r="G46" s="236">
        <f>ABS(G40)</f>
        <v>14.588748520517299</v>
      </c>
      <c r="H46" s="236"/>
      <c r="I46" s="236"/>
      <c r="J46" s="236"/>
      <c r="K46" s="20"/>
      <c r="L46" s="20"/>
      <c r="M46" s="20"/>
      <c r="N46" s="20"/>
      <c r="O46" s="20"/>
      <c r="P46" s="20"/>
      <c r="Q46" s="9"/>
      <c r="R46" s="9"/>
      <c r="S46" s="9"/>
      <c r="T46" s="9"/>
      <c r="U46" s="9"/>
      <c r="V46" s="9"/>
      <c r="W46" s="9"/>
      <c r="X46" s="9"/>
      <c r="Y46" s="9"/>
    </row>
    <row r="47" spans="1:25" x14ac:dyDescent="0.2">
      <c r="A47" s="19"/>
      <c r="B47" s="19"/>
      <c r="C47" s="51"/>
      <c r="D47" s="20"/>
      <c r="E47" s="20"/>
      <c r="F47" s="22"/>
      <c r="G47" s="22"/>
      <c r="H47" s="22"/>
      <c r="I47" s="20"/>
      <c r="J47" s="20"/>
      <c r="K47" s="20"/>
      <c r="L47" s="20"/>
      <c r="M47" s="19"/>
      <c r="N47" s="19"/>
      <c r="O47" s="19"/>
      <c r="P47" s="19"/>
      <c r="Q47" s="19"/>
      <c r="R47" s="19"/>
      <c r="S47" s="19"/>
      <c r="T47" s="19"/>
      <c r="U47" s="19"/>
    </row>
    <row r="48" spans="1:25" ht="12.75" x14ac:dyDescent="0.2">
      <c r="A48" s="11"/>
      <c r="B48" s="12" t="s">
        <v>535</v>
      </c>
      <c r="C48" s="11"/>
      <c r="D48" s="32"/>
      <c r="E48" s="32"/>
      <c r="F48" s="33"/>
      <c r="G48" s="34"/>
      <c r="H48" s="34"/>
      <c r="I48" s="34"/>
      <c r="J48" s="33"/>
      <c r="K48" s="33"/>
      <c r="L48" s="33"/>
      <c r="M48" s="35"/>
      <c r="N48" s="35"/>
      <c r="O48" s="35"/>
      <c r="P48" s="35"/>
      <c r="Q48" s="15"/>
      <c r="R48" s="15"/>
      <c r="S48" s="15"/>
      <c r="T48" s="15"/>
      <c r="U48" s="15"/>
    </row>
    <row r="49" spans="1:21" outlineLevel="1" x14ac:dyDescent="0.2">
      <c r="A49" s="19"/>
      <c r="B49" s="19"/>
      <c r="C49" s="51"/>
      <c r="D49" s="20"/>
      <c r="E49" s="20"/>
      <c r="F49" s="20"/>
      <c r="N49" s="19"/>
      <c r="O49" s="19"/>
      <c r="P49" s="19"/>
      <c r="Q49" s="19"/>
      <c r="R49" s="19"/>
      <c r="S49" s="19"/>
      <c r="T49" s="19"/>
      <c r="U49" s="19"/>
    </row>
    <row r="50" spans="1:21" outlineLevel="1" x14ac:dyDescent="0.2">
      <c r="A50" s="19"/>
      <c r="B50" s="19"/>
      <c r="C50" s="51"/>
      <c r="D50" s="20"/>
      <c r="E50" s="20"/>
      <c r="F50" s="20"/>
      <c r="H50" s="20"/>
      <c r="I50" s="20"/>
      <c r="J50" s="153"/>
      <c r="K50" s="153"/>
      <c r="L50" s="153"/>
      <c r="M50" s="153"/>
      <c r="N50" s="19"/>
      <c r="O50" s="19"/>
      <c r="P50" s="19"/>
      <c r="Q50" s="19"/>
      <c r="R50" s="19"/>
      <c r="S50" s="19"/>
      <c r="T50" s="19"/>
      <c r="U50" s="19"/>
    </row>
    <row r="51" spans="1:21" outlineLevel="1" x14ac:dyDescent="0.2">
      <c r="A51" s="19"/>
      <c r="B51" s="19"/>
      <c r="C51" s="82"/>
      <c r="D51" s="20"/>
      <c r="E51" s="20"/>
      <c r="F51" s="20"/>
      <c r="G51" s="65"/>
      <c r="H51" s="22"/>
      <c r="I51" s="20"/>
      <c r="J51" s="461"/>
      <c r="K51" s="461"/>
      <c r="L51" s="461"/>
      <c r="M51" s="461"/>
      <c r="N51" s="19"/>
      <c r="O51" s="19"/>
      <c r="P51" s="19"/>
      <c r="Q51" s="19"/>
      <c r="R51" s="19"/>
      <c r="S51" s="19"/>
      <c r="T51" s="19"/>
      <c r="U51" s="19"/>
    </row>
    <row r="52" spans="1:21" outlineLevel="1" x14ac:dyDescent="0.2">
      <c r="A52" s="152"/>
      <c r="B52" s="19"/>
      <c r="C52" s="456"/>
      <c r="D52" s="467"/>
      <c r="E52" s="468"/>
      <c r="F52" s="20"/>
      <c r="G52" s="261"/>
      <c r="H52" s="22"/>
      <c r="I52" s="20"/>
      <c r="J52" s="374"/>
      <c r="K52" s="374"/>
      <c r="M52" s="587"/>
      <c r="N52" s="588"/>
      <c r="O52" s="361"/>
      <c r="P52" s="361"/>
      <c r="Q52" s="19"/>
      <c r="R52" s="19"/>
      <c r="S52" s="19"/>
      <c r="T52" s="19"/>
      <c r="U52" s="19"/>
    </row>
    <row r="53" spans="1:21" outlineLevel="1" x14ac:dyDescent="0.2">
      <c r="A53" s="19"/>
      <c r="B53" s="19"/>
      <c r="C53" s="79"/>
      <c r="D53" s="469"/>
      <c r="E53" s="466"/>
      <c r="F53" s="20"/>
      <c r="G53" s="261"/>
      <c r="H53" s="22"/>
      <c r="I53" s="20"/>
      <c r="J53" s="374"/>
      <c r="K53" s="374"/>
      <c r="M53" s="589"/>
      <c r="N53" s="588"/>
      <c r="O53" s="361"/>
      <c r="P53" s="361"/>
      <c r="Q53" s="19"/>
      <c r="R53" s="19"/>
      <c r="S53" s="19"/>
      <c r="T53" s="19"/>
      <c r="U53" s="19"/>
    </row>
    <row r="54" spans="1:21" outlineLevel="1" x14ac:dyDescent="0.2">
      <c r="A54" s="19"/>
      <c r="B54" s="19"/>
      <c r="C54" s="79"/>
      <c r="D54" s="469"/>
      <c r="E54" s="466"/>
      <c r="F54" s="20"/>
      <c r="G54" s="261"/>
      <c r="H54" s="22"/>
      <c r="I54" s="20"/>
      <c r="J54" s="374"/>
      <c r="K54" s="374"/>
      <c r="M54" s="587"/>
      <c r="N54" s="588"/>
      <c r="O54" s="361"/>
      <c r="P54" s="361"/>
      <c r="Q54" s="19"/>
      <c r="R54" s="19"/>
      <c r="S54" s="19"/>
      <c r="T54" s="19"/>
      <c r="U54" s="19"/>
    </row>
    <row r="55" spans="1:21" outlineLevel="1" x14ac:dyDescent="0.2">
      <c r="A55" s="19"/>
      <c r="B55" s="19"/>
      <c r="C55" s="79"/>
      <c r="D55" s="469"/>
      <c r="E55" s="466"/>
      <c r="F55" s="20"/>
      <c r="G55" s="65"/>
      <c r="H55" s="22"/>
      <c r="I55" s="20"/>
      <c r="J55" s="374"/>
      <c r="K55" s="374"/>
      <c r="M55" s="587"/>
      <c r="N55" s="588"/>
      <c r="O55" s="361"/>
      <c r="P55" s="361"/>
      <c r="Q55" s="19"/>
      <c r="R55" s="19"/>
      <c r="S55" s="19"/>
      <c r="T55" s="19"/>
      <c r="U55" s="19"/>
    </row>
    <row r="56" spans="1:21" outlineLevel="1" x14ac:dyDescent="0.2">
      <c r="A56" s="19"/>
      <c r="B56" s="19"/>
      <c r="C56" s="79"/>
      <c r="D56" s="469"/>
      <c r="E56" s="466"/>
      <c r="F56" s="20"/>
      <c r="G56" s="261"/>
      <c r="H56" s="22"/>
      <c r="I56" s="20"/>
      <c r="J56" s="374"/>
      <c r="K56" s="374"/>
      <c r="M56" s="589"/>
      <c r="N56" s="588"/>
      <c r="O56" s="361"/>
      <c r="P56" s="361"/>
      <c r="Q56" s="19"/>
      <c r="R56" s="19"/>
      <c r="S56" s="19"/>
      <c r="T56" s="19"/>
      <c r="U56" s="19"/>
    </row>
    <row r="57" spans="1:21" outlineLevel="1" x14ac:dyDescent="0.2">
      <c r="A57" s="19"/>
      <c r="B57" s="19"/>
      <c r="C57" s="456"/>
      <c r="D57" s="468"/>
      <c r="E57" s="468"/>
      <c r="F57" s="20"/>
      <c r="G57" s="261"/>
      <c r="H57" s="22"/>
      <c r="I57" s="20"/>
      <c r="J57" s="301"/>
      <c r="K57" s="301"/>
      <c r="M57" s="587"/>
      <c r="N57" s="588"/>
      <c r="O57" s="361"/>
      <c r="P57" s="361"/>
      <c r="Q57" s="19"/>
      <c r="R57" s="19"/>
      <c r="S57" s="19"/>
      <c r="T57" s="19"/>
      <c r="U57" s="19"/>
    </row>
    <row r="58" spans="1:21" outlineLevel="1" x14ac:dyDescent="0.2">
      <c r="A58" s="19"/>
      <c r="B58" s="19"/>
      <c r="C58" s="79"/>
      <c r="D58" s="466"/>
      <c r="E58" s="466"/>
      <c r="F58" s="20"/>
      <c r="G58" s="261"/>
      <c r="H58" s="22"/>
      <c r="I58" s="20"/>
      <c r="J58" s="374"/>
      <c r="K58" s="374"/>
      <c r="M58" s="587"/>
      <c r="N58" s="588"/>
      <c r="O58" s="361"/>
      <c r="P58" s="361"/>
      <c r="Q58" s="19"/>
      <c r="R58" s="19"/>
      <c r="S58" s="19"/>
      <c r="T58" s="19"/>
      <c r="U58" s="19"/>
    </row>
    <row r="59" spans="1:21" outlineLevel="1" x14ac:dyDescent="0.2">
      <c r="A59" s="19"/>
      <c r="B59" s="19"/>
      <c r="C59" s="79"/>
      <c r="D59" s="466"/>
      <c r="E59" s="466"/>
      <c r="F59" s="20"/>
      <c r="G59" s="261"/>
      <c r="H59" s="22"/>
      <c r="I59" s="20"/>
      <c r="J59" s="301"/>
      <c r="K59" s="301"/>
      <c r="M59" s="587"/>
      <c r="N59" s="588"/>
      <c r="O59" s="361"/>
      <c r="P59" s="361"/>
      <c r="Q59" s="19"/>
      <c r="R59" s="19"/>
      <c r="S59" s="19"/>
      <c r="T59" s="19"/>
      <c r="U59" s="19"/>
    </row>
    <row r="60" spans="1:21" outlineLevel="1" x14ac:dyDescent="0.2">
      <c r="A60" s="19"/>
      <c r="B60" s="19"/>
      <c r="C60" s="79"/>
      <c r="D60" s="466"/>
      <c r="E60" s="466"/>
      <c r="F60" s="20"/>
      <c r="G60" s="65"/>
      <c r="H60" s="22"/>
      <c r="I60" s="20"/>
      <c r="J60" s="374"/>
      <c r="K60" s="374"/>
      <c r="L60" s="374"/>
      <c r="M60" s="590"/>
      <c r="N60" s="361"/>
      <c r="O60" s="361"/>
      <c r="P60" s="361"/>
      <c r="Q60" s="19"/>
      <c r="R60" s="19"/>
      <c r="S60" s="19"/>
      <c r="T60" s="19"/>
      <c r="U60" s="19"/>
    </row>
    <row r="61" spans="1:21" outlineLevel="1" x14ac:dyDescent="0.2">
      <c r="A61" s="19"/>
      <c r="B61" s="19"/>
      <c r="C61" s="456"/>
      <c r="D61" s="468"/>
      <c r="E61" s="468"/>
      <c r="F61" s="20"/>
      <c r="M61" s="591"/>
      <c r="N61" s="361"/>
      <c r="O61" s="361"/>
      <c r="P61" s="361"/>
      <c r="Q61" s="19"/>
      <c r="R61" s="19"/>
      <c r="S61" s="19"/>
      <c r="T61" s="19"/>
      <c r="U61" s="19"/>
    </row>
    <row r="62" spans="1:21" outlineLevel="1" x14ac:dyDescent="0.2">
      <c r="A62" s="19"/>
      <c r="B62" s="19"/>
      <c r="C62" s="51"/>
      <c r="D62" s="20"/>
      <c r="E62" s="20"/>
      <c r="F62" s="20"/>
      <c r="H62" s="20"/>
      <c r="I62" s="20"/>
      <c r="J62" s="153"/>
      <c r="K62" s="153"/>
      <c r="L62" s="153"/>
      <c r="M62" s="592"/>
      <c r="N62" s="19"/>
      <c r="O62" s="19"/>
      <c r="P62" s="19"/>
      <c r="Q62" s="19"/>
      <c r="R62" s="19"/>
      <c r="S62" s="19"/>
      <c r="T62" s="19"/>
      <c r="U62" s="19"/>
    </row>
    <row r="63" spans="1:21" outlineLevel="1" x14ac:dyDescent="0.2">
      <c r="A63" s="19"/>
      <c r="B63" s="19"/>
      <c r="C63" s="82"/>
      <c r="D63" s="20"/>
      <c r="E63" s="20"/>
      <c r="F63" s="20"/>
      <c r="G63" s="65"/>
      <c r="H63" s="22"/>
      <c r="I63" s="20"/>
      <c r="J63" s="461"/>
      <c r="K63" s="461"/>
      <c r="L63" s="461"/>
      <c r="M63" s="461"/>
      <c r="N63" s="19"/>
      <c r="O63" s="19"/>
      <c r="P63" s="19"/>
      <c r="Q63" s="19"/>
      <c r="R63" s="19"/>
      <c r="S63" s="19"/>
      <c r="T63" s="19"/>
      <c r="U63" s="19"/>
    </row>
    <row r="64" spans="1:21" outlineLevel="1" x14ac:dyDescent="0.2">
      <c r="A64" s="19"/>
      <c r="B64" s="19"/>
      <c r="C64" s="79"/>
      <c r="D64" s="466"/>
      <c r="E64" s="466"/>
      <c r="F64" s="20"/>
      <c r="G64" s="261"/>
      <c r="H64" s="22"/>
      <c r="I64" s="20"/>
      <c r="J64" s="374"/>
      <c r="K64" s="374"/>
      <c r="L64" s="374"/>
      <c r="M64" s="374"/>
      <c r="N64" s="19"/>
      <c r="O64" s="19"/>
      <c r="P64" s="19"/>
      <c r="Q64" s="19"/>
      <c r="R64" s="19"/>
      <c r="S64" s="19"/>
      <c r="T64" s="19"/>
      <c r="U64" s="19"/>
    </row>
    <row r="65" spans="1:21" outlineLevel="1" x14ac:dyDescent="0.2">
      <c r="A65" s="19"/>
      <c r="B65" s="19"/>
      <c r="C65" s="79"/>
      <c r="D65" s="466"/>
      <c r="E65" s="466"/>
      <c r="F65" s="20"/>
      <c r="G65" s="261"/>
      <c r="H65" s="22"/>
      <c r="I65" s="20"/>
      <c r="J65" s="374"/>
      <c r="K65" s="374"/>
      <c r="L65" s="374"/>
      <c r="M65" s="590"/>
      <c r="N65" s="598"/>
      <c r="O65" s="19"/>
      <c r="P65" s="19"/>
      <c r="Q65" s="19"/>
      <c r="R65" s="19"/>
      <c r="S65" s="19"/>
      <c r="T65" s="19"/>
      <c r="U65" s="19"/>
    </row>
    <row r="66" spans="1:21" outlineLevel="1" x14ac:dyDescent="0.2">
      <c r="A66" s="19"/>
      <c r="B66" s="19"/>
      <c r="C66" s="79"/>
      <c r="D66" s="466"/>
      <c r="E66" s="466"/>
      <c r="F66" s="20"/>
      <c r="G66" s="261"/>
      <c r="H66" s="22"/>
      <c r="I66" s="20"/>
      <c r="J66" s="374"/>
      <c r="K66" s="374"/>
      <c r="L66" s="374"/>
      <c r="M66" s="590"/>
      <c r="N66" s="598"/>
      <c r="O66" s="19"/>
      <c r="P66" s="19"/>
      <c r="Q66" s="19"/>
      <c r="R66" s="19"/>
      <c r="S66" s="19"/>
      <c r="T66" s="19"/>
      <c r="U66" s="19"/>
    </row>
    <row r="67" spans="1:21" outlineLevel="1" x14ac:dyDescent="0.2">
      <c r="A67" s="19"/>
      <c r="B67" s="19"/>
      <c r="C67" s="79"/>
      <c r="D67" s="466"/>
      <c r="E67" s="466"/>
      <c r="F67" s="20"/>
      <c r="G67" s="65"/>
      <c r="H67" s="22"/>
      <c r="I67" s="20"/>
      <c r="J67" s="374"/>
      <c r="K67" s="374"/>
      <c r="L67" s="374"/>
      <c r="M67" s="590"/>
      <c r="N67" s="19"/>
      <c r="O67" s="19"/>
      <c r="P67" s="19"/>
      <c r="Q67" s="19"/>
      <c r="R67" s="19"/>
      <c r="S67" s="19"/>
      <c r="T67" s="19"/>
      <c r="U67" s="19"/>
    </row>
    <row r="68" spans="1:21" outlineLevel="1" x14ac:dyDescent="0.2">
      <c r="A68" s="19"/>
      <c r="B68" s="19"/>
      <c r="C68" s="79"/>
      <c r="D68" s="466"/>
      <c r="E68" s="466"/>
      <c r="F68" s="20"/>
      <c r="G68" s="261"/>
      <c r="H68" s="22"/>
      <c r="I68" s="20"/>
      <c r="J68" s="374"/>
      <c r="K68" s="374"/>
      <c r="L68" s="374"/>
      <c r="M68" s="374"/>
      <c r="N68" s="19"/>
      <c r="O68" s="19"/>
      <c r="P68" s="19"/>
      <c r="Q68" s="19"/>
      <c r="R68" s="19"/>
      <c r="S68" s="19"/>
      <c r="T68" s="19"/>
      <c r="U68" s="19"/>
    </row>
    <row r="69" spans="1:21" outlineLevel="1" x14ac:dyDescent="0.2">
      <c r="A69" s="19"/>
      <c r="B69" s="19"/>
      <c r="C69" s="456"/>
      <c r="D69" s="466"/>
      <c r="E69" s="468"/>
      <c r="F69" s="20"/>
      <c r="G69" s="261"/>
      <c r="H69" s="22"/>
      <c r="I69" s="20"/>
      <c r="J69" s="374"/>
      <c r="K69" s="374"/>
      <c r="L69" s="374"/>
      <c r="M69" s="374"/>
      <c r="N69" s="19"/>
      <c r="O69" s="19"/>
      <c r="P69" s="19"/>
      <c r="Q69" s="19"/>
      <c r="R69" s="19"/>
      <c r="S69" s="19"/>
      <c r="T69" s="19"/>
      <c r="U69" s="19"/>
    </row>
    <row r="70" spans="1:21" outlineLevel="1" x14ac:dyDescent="0.2">
      <c r="A70" s="19"/>
      <c r="B70" s="19"/>
      <c r="C70" s="79"/>
      <c r="D70" s="466"/>
      <c r="E70" s="466"/>
      <c r="F70" s="20"/>
      <c r="G70" s="261"/>
      <c r="H70" s="22"/>
      <c r="I70" s="20"/>
      <c r="J70" s="374"/>
      <c r="K70" s="374"/>
      <c r="L70" s="374"/>
      <c r="M70" s="374"/>
      <c r="N70" s="19"/>
      <c r="O70" s="19"/>
      <c r="P70" s="19"/>
      <c r="Q70" s="19"/>
      <c r="R70" s="19"/>
      <c r="S70" s="19"/>
      <c r="T70" s="19"/>
      <c r="U70" s="19"/>
    </row>
    <row r="71" spans="1:21" outlineLevel="1" x14ac:dyDescent="0.2">
      <c r="A71" s="19"/>
      <c r="B71" s="19"/>
      <c r="C71" s="456"/>
      <c r="D71" s="468"/>
      <c r="E71" s="468"/>
      <c r="F71" s="20"/>
      <c r="G71" s="261"/>
      <c r="H71" s="22"/>
      <c r="I71" s="20"/>
      <c r="J71" s="374"/>
      <c r="K71" s="374"/>
      <c r="L71" s="374"/>
      <c r="M71" s="374"/>
      <c r="N71" s="19"/>
      <c r="O71" s="19"/>
      <c r="P71" s="19"/>
      <c r="Q71" s="19"/>
      <c r="R71" s="19"/>
      <c r="S71" s="19"/>
      <c r="T71" s="19"/>
      <c r="U71" s="19"/>
    </row>
    <row r="72" spans="1:21" outlineLevel="1" x14ac:dyDescent="0.2">
      <c r="A72" s="19"/>
      <c r="B72" s="19"/>
      <c r="C72" s="51"/>
      <c r="D72" s="20"/>
      <c r="E72" s="20"/>
      <c r="F72" s="20"/>
      <c r="G72" s="65"/>
      <c r="H72" s="22"/>
      <c r="I72" s="20"/>
      <c r="J72" s="374"/>
      <c r="K72" s="374"/>
      <c r="L72" s="374"/>
      <c r="M72" s="374"/>
      <c r="N72" s="19"/>
      <c r="O72" s="19"/>
      <c r="P72" s="19"/>
      <c r="Q72" s="19"/>
      <c r="R72" s="19"/>
      <c r="S72" s="19"/>
      <c r="T72" s="19"/>
      <c r="U72" s="19"/>
    </row>
    <row r="73" spans="1:21" outlineLevel="1" x14ac:dyDescent="0.2">
      <c r="A73" s="19"/>
      <c r="B73" s="19"/>
      <c r="C73" s="51"/>
      <c r="D73" s="20"/>
      <c r="E73" s="20"/>
      <c r="F73" s="20"/>
      <c r="G73" s="65"/>
      <c r="H73" s="22"/>
      <c r="I73" s="20"/>
      <c r="J73" s="20"/>
      <c r="K73" s="20"/>
      <c r="L73" s="20"/>
      <c r="M73" s="19"/>
      <c r="N73" s="19"/>
      <c r="O73" s="19"/>
      <c r="P73" s="19"/>
      <c r="Q73" s="19"/>
      <c r="R73" s="19"/>
      <c r="S73" s="19"/>
      <c r="T73" s="19"/>
      <c r="U73" s="19"/>
    </row>
    <row r="74" spans="1:21" outlineLevel="1" x14ac:dyDescent="0.2">
      <c r="A74" s="19"/>
      <c r="B74" s="19"/>
      <c r="C74" s="51"/>
      <c r="D74" s="20"/>
      <c r="E74" s="20"/>
      <c r="F74" s="20"/>
      <c r="H74" s="20"/>
      <c r="I74" s="20"/>
      <c r="J74" s="153"/>
      <c r="K74" s="153"/>
      <c r="L74" s="153"/>
      <c r="M74" s="153"/>
      <c r="N74" s="19"/>
      <c r="O74" s="19"/>
      <c r="P74" s="19"/>
      <c r="Q74" s="19"/>
      <c r="R74" s="19"/>
      <c r="S74" s="19"/>
      <c r="T74" s="19"/>
      <c r="U74" s="19"/>
    </row>
    <row r="75" spans="1:21" outlineLevel="1" x14ac:dyDescent="0.2">
      <c r="A75" s="19"/>
      <c r="B75" s="19"/>
      <c r="C75" s="82"/>
      <c r="D75" s="20"/>
      <c r="E75" s="20"/>
      <c r="F75" s="20"/>
      <c r="G75" s="65"/>
      <c r="H75" s="22"/>
      <c r="I75" s="20"/>
      <c r="J75" s="461"/>
      <c r="K75" s="461"/>
      <c r="L75" s="461"/>
      <c r="M75" s="461"/>
      <c r="N75" s="19"/>
      <c r="O75" s="19"/>
      <c r="P75" s="19"/>
      <c r="Q75" s="19"/>
      <c r="R75" s="19"/>
      <c r="S75" s="19"/>
      <c r="T75" s="19"/>
      <c r="U75" s="19"/>
    </row>
    <row r="76" spans="1:21" outlineLevel="1" x14ac:dyDescent="0.2">
      <c r="A76" s="19"/>
      <c r="B76" s="19"/>
      <c r="C76" s="79"/>
      <c r="D76" s="466"/>
      <c r="E76" s="466"/>
      <c r="F76" s="20"/>
      <c r="G76" s="261"/>
      <c r="H76" s="22"/>
      <c r="I76" s="20"/>
      <c r="J76" s="374"/>
      <c r="K76" s="374"/>
      <c r="L76" s="374"/>
      <c r="M76" s="374"/>
      <c r="N76" s="19"/>
      <c r="O76" s="19"/>
      <c r="P76" s="19"/>
      <c r="Q76" s="19"/>
      <c r="R76" s="19"/>
      <c r="S76" s="19"/>
      <c r="T76" s="19"/>
      <c r="U76" s="19"/>
    </row>
    <row r="77" spans="1:21" outlineLevel="1" x14ac:dyDescent="0.2">
      <c r="A77" s="19"/>
      <c r="B77" s="19"/>
      <c r="C77" s="79"/>
      <c r="D77" s="466"/>
      <c r="E77" s="466"/>
      <c r="F77" s="20"/>
      <c r="G77" s="261"/>
      <c r="H77" s="22"/>
      <c r="I77" s="20"/>
      <c r="J77" s="374"/>
      <c r="K77" s="374"/>
      <c r="L77" s="374"/>
      <c r="M77" s="374"/>
      <c r="N77" s="19"/>
      <c r="O77" s="19"/>
      <c r="P77" s="19"/>
      <c r="Q77" s="19"/>
      <c r="R77" s="19"/>
      <c r="S77" s="19"/>
      <c r="T77" s="19"/>
      <c r="U77" s="19"/>
    </row>
    <row r="78" spans="1:21" outlineLevel="1" x14ac:dyDescent="0.2">
      <c r="A78" s="19"/>
      <c r="B78" s="19"/>
      <c r="C78" s="79"/>
      <c r="D78" s="466"/>
      <c r="E78" s="466"/>
      <c r="F78" s="20"/>
      <c r="G78" s="261"/>
      <c r="H78" s="22"/>
      <c r="I78" s="20"/>
      <c r="J78" s="374"/>
      <c r="K78" s="374"/>
      <c r="L78" s="374"/>
      <c r="M78" s="374"/>
      <c r="N78" s="19"/>
      <c r="O78" s="19"/>
      <c r="P78" s="19"/>
      <c r="Q78" s="19"/>
      <c r="R78" s="19"/>
      <c r="S78" s="19"/>
      <c r="T78" s="19"/>
      <c r="U78" s="19"/>
    </row>
    <row r="79" spans="1:21" outlineLevel="1" x14ac:dyDescent="0.2">
      <c r="A79" s="19"/>
      <c r="B79" s="19"/>
      <c r="C79" s="79"/>
      <c r="D79" s="466"/>
      <c r="E79" s="466"/>
      <c r="F79" s="20"/>
      <c r="G79" s="65"/>
      <c r="H79" s="22"/>
      <c r="I79" s="20"/>
      <c r="J79" s="374"/>
      <c r="K79" s="374"/>
      <c r="L79" s="374"/>
      <c r="M79" s="374"/>
      <c r="N79" s="19"/>
      <c r="O79" s="19"/>
      <c r="P79" s="19"/>
      <c r="Q79" s="19"/>
      <c r="R79" s="19"/>
      <c r="S79" s="19"/>
      <c r="T79" s="19"/>
      <c r="U79" s="19"/>
    </row>
    <row r="80" spans="1:21" outlineLevel="1" x14ac:dyDescent="0.2">
      <c r="A80" s="19"/>
      <c r="B80" s="19"/>
      <c r="C80" s="456"/>
      <c r="D80" s="466"/>
      <c r="E80" s="468"/>
      <c r="F80" s="20"/>
      <c r="G80" s="261"/>
      <c r="H80" s="22"/>
      <c r="I80" s="20"/>
      <c r="J80" s="374"/>
      <c r="K80" s="374"/>
      <c r="L80" s="374"/>
      <c r="M80" s="374"/>
      <c r="N80" s="19"/>
      <c r="O80" s="19"/>
      <c r="P80" s="19"/>
      <c r="Q80" s="19"/>
      <c r="R80" s="19"/>
      <c r="S80" s="19"/>
      <c r="T80" s="19"/>
      <c r="U80" s="19"/>
    </row>
    <row r="81" spans="1:21" outlineLevel="1" x14ac:dyDescent="0.2">
      <c r="A81" s="19"/>
      <c r="B81" s="19"/>
      <c r="C81" s="79"/>
      <c r="D81" s="466"/>
      <c r="E81" s="466"/>
      <c r="F81" s="20"/>
      <c r="G81" s="261"/>
      <c r="H81" s="22"/>
      <c r="I81" s="20"/>
      <c r="J81" s="374"/>
      <c r="K81" s="374"/>
      <c r="L81" s="374"/>
      <c r="M81" s="374"/>
      <c r="N81" s="19"/>
      <c r="O81" s="19"/>
      <c r="P81" s="19"/>
      <c r="Q81" s="19"/>
      <c r="R81" s="19"/>
      <c r="S81" s="19"/>
      <c r="T81" s="19"/>
      <c r="U81" s="19"/>
    </row>
    <row r="82" spans="1:21" ht="22.5" outlineLevel="1" x14ac:dyDescent="0.2">
      <c r="A82" s="19"/>
      <c r="B82" s="19"/>
      <c r="C82" s="470" t="str">
        <f>DNSP&amp;" - Revenue adjustments ($m)"</f>
        <v>TasNetworks - Revenue adjustments ($m)</v>
      </c>
      <c r="D82" s="495" t="str">
        <f>currentyear</f>
        <v>2021–22</v>
      </c>
      <c r="E82" s="314" t="str">
        <f>"Base revenue "&amp;IF(forecastyear=RCP_firstyear,"(determination)","(debt update)")</f>
        <v>Base revenue (debt update)</v>
      </c>
      <c r="F82" s="314" t="s">
        <v>529</v>
      </c>
      <c r="G82" s="314" t="s">
        <v>530</v>
      </c>
      <c r="H82" s="314" t="s">
        <v>531</v>
      </c>
      <c r="I82" s="314" t="s">
        <v>526</v>
      </c>
      <c r="J82" s="314" t="s">
        <v>527</v>
      </c>
      <c r="K82" s="314" t="s">
        <v>539</v>
      </c>
      <c r="L82" s="314" t="s">
        <v>515</v>
      </c>
      <c r="M82" s="153" t="str">
        <f>forecastyear</f>
        <v>2022–23</v>
      </c>
      <c r="N82" s="19"/>
      <c r="O82" s="19"/>
      <c r="P82" s="19"/>
      <c r="Q82" s="19"/>
      <c r="R82" s="19"/>
      <c r="S82" s="19"/>
      <c r="T82" s="19"/>
      <c r="U82" s="19"/>
    </row>
    <row r="83" spans="1:21" outlineLevel="1" x14ac:dyDescent="0.2">
      <c r="A83" s="19"/>
      <c r="B83" s="19"/>
      <c r="C83" s="309" t="s">
        <v>519</v>
      </c>
      <c r="D83" s="236"/>
      <c r="E83" s="236">
        <f>IF(E84&lt;0,D93+(E84),D93)</f>
        <v>314.80839747209052</v>
      </c>
      <c r="F83" s="236">
        <f t="shared" ref="F83:K83" si="0">IF(F84&lt;0,IF(E84&lt;0,E83+(F84),E83+(E84)+(F84)),IF(E84&lt;0,E83,E83+(E84)))</f>
        <v>323.07563511574369</v>
      </c>
      <c r="G83" s="236">
        <f t="shared" si="0"/>
        <v>327.78160078622682</v>
      </c>
      <c r="H83" s="236">
        <f t="shared" si="0"/>
        <v>327.78160078622682</v>
      </c>
      <c r="I83" s="236">
        <f t="shared" si="0"/>
        <v>322.51489965676905</v>
      </c>
      <c r="J83" s="236">
        <f t="shared" si="0"/>
        <v>322.51489965676905</v>
      </c>
      <c r="K83" s="236">
        <f t="shared" si="0"/>
        <v>322.51489965676905</v>
      </c>
      <c r="L83" s="236">
        <f>MIN(D93,M93)</f>
        <v>314.80839747209052</v>
      </c>
      <c r="M83" s="306"/>
      <c r="N83" s="19"/>
      <c r="O83" s="19"/>
      <c r="P83" s="19"/>
      <c r="Q83" s="19"/>
      <c r="R83" s="19"/>
      <c r="S83" s="19"/>
      <c r="T83" s="19"/>
      <c r="U83" s="19"/>
    </row>
    <row r="84" spans="1:21" outlineLevel="1" x14ac:dyDescent="0.2">
      <c r="A84" s="19"/>
      <c r="B84" s="19"/>
      <c r="C84" s="309" t="s">
        <v>518</v>
      </c>
      <c r="D84" s="304"/>
      <c r="E84" s="304">
        <f>(I41+I42)-(D41+D42)</f>
        <v>8.2672376436531465</v>
      </c>
      <c r="F84" s="304">
        <f>(INDEX(Accounts!J30:Q30,1,MATCH(forecastyear,Accounts!J26:Q26,0))-INDEX(Accounts!J30:Q30,1,MATCH(currentyear,Accounts!J26:Q26,0)))*outputsmultiplier</f>
        <v>4.7059656704831383</v>
      </c>
      <c r="G84" s="304">
        <f>(INDEX(Accounts!J44:Q44,1,MATCH(forecastyear,Accounts!J41:Q41,0))-INDEX(Accounts!J44:Q44,1,MATCH(currentyear,Accounts!J41:Q41,0)))*outputsmultiplier</f>
        <v>0</v>
      </c>
      <c r="H84" s="304">
        <f>(INDEX(Accounts!J74:Q74,1,MATCH(forecastyear,Accounts!J11:Q11,0))-INDEX(Accounts!J74:Q74,1,MATCH(currentyear,Accounts!J11:Q11,0)))*outputsmultiplier</f>
        <v>0.5093584329694778</v>
      </c>
      <c r="I84" s="304">
        <f>((INDEX(Financial!J24:Q24,1,MATCH(forecastyear,Financial!J14:Q14,0))+(INDEX(Financial!J16:Q16,1,MATCH(forecastyear,Financial!J14:Q14,0))*IF(forecastyear=RCP_firstyear,INDEX(TAR!M15:Q15,1,MATCH(forecastyear,TAR!M5:Q5,0)),INDEX(TAR!M16:Q16,1,MATCH(currentyear,TAR!M5:Q5,0)))))-(INDEX(Financial!J24:Q24,1,MATCH(currentyear,Financial!J14:Q14,0))+(INDEX(Financial!J16:Q16,1,MATCH(currentyear,Financial!J14:Q14,0))*IF(currentyear=RCP_firstyear,INDEX(TAR!M15:Q15,1,MATCH(currentyear,TAR!M5:Q5,0)),IF(forecastyear=RCP_firstyear,((Financial!L90-SUM(Financial!L32:L34)-Financial!L29-Financial!L24)/(1+Financial!L8)/(1-Financial!L10)),INDEX(TAR!M16:Q16,1,MATCH(previousyear,TAR!M5:Q5,0)))))))*outputsmultiplier</f>
        <v>-5.7760595624272231</v>
      </c>
      <c r="J84" s="304">
        <f>(INDEX(Financial!J29:Q29,1,MATCH(forecastyear,Financial!J14:Q14,0))-INDEX(Financial!J29:Q29,1,MATCH(currentyear,Financial!J14:Q14,0)))*outputsmultiplier</f>
        <v>0</v>
      </c>
      <c r="K84" s="304">
        <f>L84-(E84+F84+G84+H84+I84+J84)</f>
        <v>6.8822463358387598</v>
      </c>
      <c r="L84" s="304">
        <f>M93-D93</f>
        <v>14.588748520517299</v>
      </c>
      <c r="M84" s="311"/>
      <c r="N84" s="19"/>
      <c r="O84" s="19"/>
      <c r="P84" s="19"/>
      <c r="Q84" s="19"/>
      <c r="R84" s="19"/>
      <c r="S84" s="19"/>
      <c r="T84" s="19"/>
      <c r="U84" s="19"/>
    </row>
    <row r="85" spans="1:21" outlineLevel="1" x14ac:dyDescent="0.2">
      <c r="A85" s="19"/>
      <c r="B85" s="19"/>
      <c r="C85" s="309" t="str">
        <f>E82</f>
        <v>Base revenue (debt update)</v>
      </c>
      <c r="D85" s="236"/>
      <c r="E85" s="236">
        <f>ABS(E84)</f>
        <v>8.2672376436531465</v>
      </c>
      <c r="F85" s="313"/>
      <c r="G85" s="313"/>
      <c r="H85" s="236"/>
      <c r="I85" s="236"/>
      <c r="J85" s="236"/>
      <c r="K85" s="236"/>
      <c r="L85" s="236"/>
      <c r="M85" s="236"/>
      <c r="N85" s="19"/>
      <c r="O85" s="19"/>
      <c r="P85" s="19"/>
      <c r="Q85" s="19"/>
      <c r="R85" s="19"/>
      <c r="S85" s="19"/>
      <c r="T85" s="19"/>
      <c r="U85" s="19"/>
    </row>
    <row r="86" spans="1:21" outlineLevel="1" x14ac:dyDescent="0.2">
      <c r="A86" s="19"/>
      <c r="B86" s="19"/>
      <c r="C86" s="309" t="str">
        <f>F82</f>
        <v>Transmission costs</v>
      </c>
      <c r="D86" s="236"/>
      <c r="E86" s="236"/>
      <c r="F86" s="313">
        <f>ABS(F84)</f>
        <v>4.7059656704831383</v>
      </c>
      <c r="G86" s="313"/>
      <c r="H86" s="236"/>
      <c r="I86" s="236"/>
      <c r="J86" s="236"/>
      <c r="K86" s="236"/>
      <c r="L86" s="236"/>
      <c r="M86" s="236"/>
      <c r="N86" s="19"/>
      <c r="O86" s="19"/>
      <c r="P86" s="19"/>
      <c r="Q86" s="19"/>
      <c r="R86" s="19"/>
      <c r="S86" s="19"/>
      <c r="T86" s="19"/>
      <c r="U86" s="19"/>
    </row>
    <row r="87" spans="1:21" outlineLevel="1" x14ac:dyDescent="0.2">
      <c r="A87" s="19"/>
      <c r="B87" s="19"/>
      <c r="C87" s="309" t="str">
        <f>G82</f>
        <v>Jurisdictional scheme costs</v>
      </c>
      <c r="D87" s="236"/>
      <c r="E87" s="236"/>
      <c r="F87" s="312"/>
      <c r="G87" s="312">
        <f>ABS(G84)</f>
        <v>0</v>
      </c>
      <c r="H87" s="236"/>
      <c r="I87" s="236"/>
      <c r="J87" s="236"/>
      <c r="K87" s="236"/>
      <c r="L87" s="236"/>
      <c r="M87" s="236"/>
      <c r="N87" s="19"/>
      <c r="O87" s="19"/>
      <c r="P87" s="19"/>
      <c r="Q87" s="19"/>
      <c r="R87" s="19"/>
      <c r="S87" s="19"/>
      <c r="T87" s="19"/>
      <c r="U87" s="19"/>
    </row>
    <row r="88" spans="1:21" outlineLevel="1" x14ac:dyDescent="0.2">
      <c r="A88" s="19"/>
      <c r="B88" s="19"/>
      <c r="C88" s="471" t="str">
        <f>H82</f>
        <v>Under/over recoveries</v>
      </c>
      <c r="D88" s="464"/>
      <c r="E88" s="236"/>
      <c r="F88" s="312"/>
      <c r="G88" s="312"/>
      <c r="H88" s="236">
        <f>ABS(H84)</f>
        <v>0.5093584329694778</v>
      </c>
      <c r="I88" s="236"/>
      <c r="J88" s="306"/>
      <c r="K88" s="306"/>
      <c r="L88" s="306"/>
      <c r="M88" s="306"/>
      <c r="N88" s="19"/>
      <c r="O88" s="19"/>
      <c r="P88" s="19"/>
      <c r="Q88" s="19"/>
      <c r="R88" s="19"/>
      <c r="S88" s="19"/>
      <c r="T88" s="19"/>
      <c r="U88" s="19"/>
    </row>
    <row r="89" spans="1:21" outlineLevel="1" x14ac:dyDescent="0.2">
      <c r="A89" s="19"/>
      <c r="B89" s="19"/>
      <c r="C89" s="471" t="str">
        <f>I82</f>
        <v>Incentive schemes</v>
      </c>
      <c r="D89" s="464"/>
      <c r="E89" s="236"/>
      <c r="F89" s="312"/>
      <c r="G89" s="312"/>
      <c r="H89" s="236"/>
      <c r="I89" s="236">
        <f>ABS(I84)</f>
        <v>5.7760595624272231</v>
      </c>
      <c r="J89" s="306"/>
      <c r="K89" s="306"/>
      <c r="L89" s="306"/>
      <c r="M89" s="306"/>
      <c r="N89" s="19"/>
      <c r="O89" s="19"/>
      <c r="P89" s="19"/>
      <c r="Q89" s="19"/>
      <c r="R89" s="19"/>
      <c r="S89" s="19"/>
      <c r="T89" s="19"/>
      <c r="U89" s="19"/>
    </row>
    <row r="90" spans="1:21" outlineLevel="1" x14ac:dyDescent="0.2">
      <c r="A90" s="19"/>
      <c r="B90" s="19"/>
      <c r="C90" s="471" t="str">
        <f>J82</f>
        <v>Cost pass-throughs</v>
      </c>
      <c r="D90" s="464"/>
      <c r="E90" s="236"/>
      <c r="F90" s="312"/>
      <c r="G90" s="312"/>
      <c r="H90" s="236"/>
      <c r="I90" s="236"/>
      <c r="J90" s="306">
        <f>ABS(J84)</f>
        <v>0</v>
      </c>
      <c r="K90" s="306"/>
      <c r="L90" s="306"/>
      <c r="M90" s="306"/>
      <c r="N90" s="19"/>
      <c r="O90" s="19"/>
      <c r="P90" s="19"/>
      <c r="Q90" s="19"/>
      <c r="R90" s="19"/>
      <c r="S90" s="19"/>
      <c r="T90" s="19"/>
      <c r="U90" s="19"/>
    </row>
    <row r="91" spans="1:21" outlineLevel="1" x14ac:dyDescent="0.2">
      <c r="A91" s="19"/>
      <c r="B91" s="19"/>
      <c r="C91" s="471" t="str">
        <f>K82</f>
        <v>Other adj./ rebalancing</v>
      </c>
      <c r="D91" s="464"/>
      <c r="E91" s="236"/>
      <c r="F91" s="312"/>
      <c r="G91" s="312"/>
      <c r="H91" s="236"/>
      <c r="I91" s="236"/>
      <c r="J91" s="306"/>
      <c r="K91" s="306">
        <f>ABS(K84)</f>
        <v>6.8822463358387598</v>
      </c>
      <c r="L91" s="306"/>
      <c r="M91" s="306"/>
      <c r="N91" s="19"/>
      <c r="O91" s="19"/>
      <c r="P91" s="19"/>
      <c r="Q91" s="19"/>
      <c r="R91" s="19"/>
      <c r="S91" s="19"/>
      <c r="T91" s="19"/>
      <c r="U91" s="19"/>
    </row>
    <row r="92" spans="1:21" outlineLevel="1" x14ac:dyDescent="0.2">
      <c r="A92" s="19"/>
      <c r="B92" s="19"/>
      <c r="C92" s="471" t="str">
        <f>L82</f>
        <v>Total movement</v>
      </c>
      <c r="D92" s="464"/>
      <c r="E92" s="236"/>
      <c r="F92" s="312"/>
      <c r="G92" s="312"/>
      <c r="H92" s="236"/>
      <c r="I92" s="236"/>
      <c r="J92" s="306"/>
      <c r="K92" s="306"/>
      <c r="L92" s="306">
        <f>ABS(L84)</f>
        <v>14.588748520517299</v>
      </c>
      <c r="M92" s="306"/>
      <c r="N92" s="19"/>
      <c r="O92" s="19"/>
      <c r="P92" s="19"/>
      <c r="Q92" s="19"/>
      <c r="R92" s="19"/>
      <c r="S92" s="19"/>
      <c r="T92" s="19"/>
      <c r="U92" s="19"/>
    </row>
    <row r="93" spans="1:21" outlineLevel="1" x14ac:dyDescent="0.2">
      <c r="A93" s="19"/>
      <c r="B93" s="19"/>
      <c r="C93" s="471" t="s">
        <v>528</v>
      </c>
      <c r="D93" s="464">
        <f>E45</f>
        <v>314.80839747209052</v>
      </c>
      <c r="E93" s="236"/>
      <c r="F93" s="312"/>
      <c r="G93" s="312"/>
      <c r="H93" s="236"/>
      <c r="I93" s="236"/>
      <c r="J93" s="306"/>
      <c r="K93" s="306"/>
      <c r="L93" s="306"/>
      <c r="M93" s="306">
        <f>J45</f>
        <v>329.39714599260782</v>
      </c>
      <c r="N93" s="19"/>
      <c r="O93" s="19"/>
      <c r="P93" s="19"/>
      <c r="Q93" s="19"/>
      <c r="R93" s="19"/>
      <c r="S93" s="19"/>
      <c r="T93" s="19"/>
      <c r="U93" s="19"/>
    </row>
    <row r="94" spans="1:21" x14ac:dyDescent="0.2">
      <c r="A94" s="19"/>
      <c r="B94" s="19"/>
      <c r="C94" s="51"/>
      <c r="D94" s="20"/>
      <c r="E94" s="504">
        <f>IFERROR(E84/D93,0)</f>
        <v>2.6261172541898543E-2</v>
      </c>
      <c r="F94" s="504">
        <f>IFERROR(F84/D93,0)</f>
        <v>1.4948666262628359E-2</v>
      </c>
      <c r="G94" s="504">
        <f>IFERROR(G84/D93,0)</f>
        <v>0</v>
      </c>
      <c r="H94" s="504">
        <f>IFERROR(H84/D93,0)</f>
        <v>1.6179950632182079E-3</v>
      </c>
      <c r="I94" s="504">
        <f>IFERROR(I84/D93,0)</f>
        <v>-1.8347857327850672E-2</v>
      </c>
      <c r="J94" s="504">
        <f>IFERROR(J84/D93,0)</f>
        <v>0</v>
      </c>
      <c r="K94" s="504">
        <f>IFERROR(K84/D93,0)</f>
        <v>2.1861698706588373E-2</v>
      </c>
      <c r="L94" s="20"/>
      <c r="M94" s="19"/>
      <c r="N94" s="19"/>
      <c r="O94" s="19"/>
      <c r="P94" s="19"/>
      <c r="Q94" s="19"/>
      <c r="R94" s="19"/>
      <c r="S94" s="19"/>
      <c r="T94" s="19"/>
      <c r="U94" s="19"/>
    </row>
    <row r="95" spans="1:21" x14ac:dyDescent="0.2">
      <c r="A95" s="19"/>
      <c r="B95" s="19"/>
      <c r="C95" s="51"/>
      <c r="D95" s="20"/>
      <c r="E95" s="20"/>
      <c r="F95" s="20"/>
      <c r="G95" s="22"/>
      <c r="H95" s="22"/>
      <c r="I95" s="20"/>
      <c r="J95" s="20"/>
      <c r="K95" s="20"/>
      <c r="L95" s="20"/>
      <c r="M95" s="19"/>
      <c r="N95" s="19"/>
      <c r="O95" s="19"/>
      <c r="P95" s="19"/>
      <c r="Q95" s="19"/>
      <c r="R95" s="19"/>
      <c r="S95" s="19"/>
      <c r="T95" s="19"/>
      <c r="U95" s="19"/>
    </row>
    <row r="96" spans="1:21" ht="12.75" x14ac:dyDescent="0.2">
      <c r="A96" s="11"/>
      <c r="B96" s="12" t="s">
        <v>532</v>
      </c>
      <c r="C96" s="11"/>
      <c r="D96" s="32"/>
      <c r="E96" s="32"/>
      <c r="F96" s="33"/>
      <c r="G96" s="34"/>
      <c r="H96" s="34"/>
      <c r="I96" s="34"/>
      <c r="J96" s="33"/>
      <c r="K96" s="33"/>
      <c r="L96" s="33"/>
      <c r="M96" s="35"/>
      <c r="N96" s="35"/>
      <c r="O96" s="35"/>
      <c r="P96" s="35"/>
      <c r="Q96" s="15"/>
      <c r="R96" s="15"/>
      <c r="S96" s="15"/>
      <c r="T96" s="15"/>
      <c r="U96" s="15"/>
    </row>
    <row r="97" spans="1:25" x14ac:dyDescent="0.2">
      <c r="A97" s="19"/>
      <c r="B97" s="19"/>
      <c r="C97" s="51"/>
      <c r="D97" s="20"/>
      <c r="E97" s="20"/>
      <c r="F97" s="20"/>
      <c r="G97" s="20"/>
      <c r="H97" s="20"/>
      <c r="I97" s="20"/>
      <c r="J97" s="20"/>
      <c r="K97" s="20"/>
      <c r="L97" s="20"/>
      <c r="M97" s="19"/>
      <c r="N97" s="19"/>
      <c r="O97" s="19"/>
      <c r="P97" s="19"/>
      <c r="Q97" s="19"/>
      <c r="R97" s="19"/>
      <c r="S97" s="19"/>
      <c r="T97" s="19"/>
      <c r="U97" s="19"/>
    </row>
    <row r="98" spans="1:25" x14ac:dyDescent="0.2">
      <c r="A98" s="19"/>
      <c r="B98" s="19"/>
      <c r="C98" s="685" t="s">
        <v>919</v>
      </c>
      <c r="D98" s="685"/>
      <c r="E98" s="685"/>
      <c r="F98" s="685"/>
      <c r="G98" s="685"/>
      <c r="H98" s="686" t="s">
        <v>920</v>
      </c>
      <c r="I98" s="686"/>
      <c r="J98" s="686"/>
      <c r="K98" s="686"/>
      <c r="L98" s="686"/>
      <c r="M98" s="686"/>
      <c r="N98" s="686"/>
      <c r="O98" s="500"/>
      <c r="P98" s="500"/>
      <c r="Q98" s="19"/>
      <c r="R98" s="19"/>
      <c r="S98" s="19"/>
      <c r="T98" s="19"/>
      <c r="U98" s="19"/>
    </row>
    <row r="99" spans="1:25" x14ac:dyDescent="0.2">
      <c r="A99" s="19"/>
      <c r="B99" s="19"/>
      <c r="C99" s="51"/>
      <c r="D99" s="20"/>
      <c r="E99" s="20"/>
      <c r="F99" s="20"/>
      <c r="G99" s="20"/>
      <c r="H99" s="20"/>
      <c r="I99" s="20"/>
      <c r="J99" s="20"/>
      <c r="K99" s="20"/>
      <c r="L99" s="20"/>
      <c r="M99" s="19"/>
      <c r="N99" s="19"/>
      <c r="O99" s="19"/>
      <c r="P99" s="19"/>
      <c r="Q99" s="19"/>
      <c r="R99" s="19"/>
      <c r="S99" s="19"/>
      <c r="T99" s="19"/>
      <c r="U99" s="19"/>
    </row>
    <row r="100" spans="1:25" x14ac:dyDescent="0.2">
      <c r="A100" s="19"/>
      <c r="B100" s="19"/>
      <c r="C100" s="82" t="s">
        <v>669</v>
      </c>
      <c r="D100" s="20"/>
      <c r="E100" s="20"/>
      <c r="F100" s="20"/>
      <c r="G100" s="20"/>
      <c r="H100" s="20"/>
      <c r="I100" s="20"/>
      <c r="J100" s="20"/>
      <c r="K100" s="20"/>
      <c r="L100" s="20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5" x14ac:dyDescent="0.2">
      <c r="A101" s="19"/>
      <c r="B101" s="19"/>
      <c r="C101" s="51"/>
      <c r="D101" s="20"/>
      <c r="E101" s="20"/>
      <c r="F101" s="20"/>
      <c r="G101" s="20"/>
      <c r="H101" s="20"/>
      <c r="I101" s="20"/>
      <c r="J101" s="20"/>
      <c r="K101" s="20"/>
      <c r="L101" s="20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5" x14ac:dyDescent="0.2">
      <c r="A102" s="9"/>
      <c r="B102" s="9"/>
      <c r="C102" s="24"/>
      <c r="D102" s="20"/>
      <c r="E102" s="20"/>
      <c r="F102" s="20"/>
      <c r="G102" s="20"/>
      <c r="I102" s="20"/>
      <c r="J102" s="20"/>
      <c r="K102" s="20"/>
      <c r="L102" s="20"/>
      <c r="M102" s="10"/>
      <c r="N102" s="50"/>
      <c r="O102" s="50"/>
      <c r="P102" s="50"/>
      <c r="Q102" s="9"/>
      <c r="R102" s="9"/>
      <c r="S102" s="9"/>
      <c r="T102" s="9"/>
      <c r="U102" s="9"/>
      <c r="V102" s="9"/>
      <c r="W102" s="9"/>
      <c r="X102" s="9"/>
      <c r="Y102" s="9"/>
    </row>
    <row r="103" spans="1:25" x14ac:dyDescent="0.2">
      <c r="A103" s="9"/>
      <c r="B103" s="9"/>
      <c r="C103" s="299"/>
      <c r="D103" s="58"/>
      <c r="E103" s="151"/>
      <c r="F103" s="20"/>
      <c r="G103" s="20"/>
      <c r="H103" s="65"/>
      <c r="I103" s="20"/>
      <c r="J103" s="20"/>
      <c r="K103" s="50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</row>
    <row r="104" spans="1:25" x14ac:dyDescent="0.2">
      <c r="A104" s="9"/>
      <c r="B104" s="9"/>
      <c r="C104" s="300"/>
      <c r="D104" s="242"/>
      <c r="E104" s="242"/>
      <c r="F104" s="343"/>
      <c r="G104" s="20"/>
      <c r="H104" s="261"/>
      <c r="I104" s="20"/>
      <c r="J104" s="301"/>
      <c r="K104" s="20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</row>
    <row r="105" spans="1:25" x14ac:dyDescent="0.2">
      <c r="A105" s="9"/>
      <c r="B105" s="9"/>
      <c r="C105" s="300"/>
      <c r="D105" s="242"/>
      <c r="E105" s="242"/>
      <c r="F105" s="343"/>
      <c r="G105" s="20"/>
      <c r="H105" s="261"/>
      <c r="I105" s="20"/>
      <c r="J105" s="301"/>
      <c r="K105" s="20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</row>
    <row r="106" spans="1:25" x14ac:dyDescent="0.2">
      <c r="A106" s="9"/>
      <c r="B106" s="9"/>
      <c r="C106" s="300"/>
      <c r="D106" s="242"/>
      <c r="E106" s="242"/>
      <c r="F106" s="343"/>
      <c r="G106" s="20"/>
      <c r="H106" s="261"/>
      <c r="I106" s="20"/>
      <c r="J106" s="301"/>
      <c r="K106" s="20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</row>
    <row r="107" spans="1:25" x14ac:dyDescent="0.2">
      <c r="A107" s="9"/>
      <c r="B107" s="9"/>
      <c r="C107" s="300"/>
      <c r="D107" s="242"/>
      <c r="E107" s="242"/>
      <c r="F107" s="343"/>
      <c r="G107" s="20"/>
      <c r="H107" s="261"/>
      <c r="I107" s="20"/>
      <c r="J107" s="301"/>
      <c r="K107" s="20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</row>
    <row r="108" spans="1:25" x14ac:dyDescent="0.2">
      <c r="A108" s="9"/>
      <c r="B108" s="9"/>
      <c r="C108" s="300"/>
      <c r="D108" s="242"/>
      <c r="E108" s="242"/>
      <c r="F108" s="343"/>
      <c r="G108" s="20"/>
      <c r="H108" s="261"/>
      <c r="I108" s="20"/>
      <c r="J108" s="301"/>
      <c r="K108" s="20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</row>
    <row r="109" spans="1:25" x14ac:dyDescent="0.2">
      <c r="A109" s="9"/>
      <c r="B109" s="9"/>
      <c r="C109" s="300"/>
      <c r="D109" s="242"/>
      <c r="E109" s="242"/>
      <c r="F109" s="343"/>
      <c r="G109" s="20"/>
      <c r="H109" s="261"/>
      <c r="I109" s="20"/>
      <c r="J109" s="301"/>
      <c r="K109" s="20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</row>
    <row r="110" spans="1:25" x14ac:dyDescent="0.2">
      <c r="A110" s="9"/>
      <c r="B110" s="9"/>
      <c r="C110" s="300"/>
      <c r="D110" s="242"/>
      <c r="E110" s="242"/>
      <c r="F110" s="343"/>
      <c r="G110" s="20"/>
      <c r="H110" s="261"/>
      <c r="I110" s="20"/>
      <c r="J110" s="302"/>
      <c r="K110" s="20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</row>
    <row r="111" spans="1:25" x14ac:dyDescent="0.2">
      <c r="A111" s="9"/>
      <c r="B111" s="9"/>
      <c r="C111" s="300"/>
      <c r="D111" s="242"/>
      <c r="E111" s="242"/>
      <c r="F111" s="343"/>
      <c r="G111" s="20"/>
      <c r="H111" s="65"/>
      <c r="I111" s="20"/>
      <c r="J111" s="301"/>
      <c r="K111" s="20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</row>
    <row r="112" spans="1:25" x14ac:dyDescent="0.2">
      <c r="A112" s="9"/>
      <c r="B112" s="9"/>
      <c r="C112" s="300"/>
      <c r="D112" s="242"/>
      <c r="E112" s="242"/>
      <c r="F112" s="343"/>
      <c r="G112" s="20"/>
      <c r="H112" s="20"/>
      <c r="I112" s="20"/>
      <c r="J112" s="20"/>
      <c r="K112" s="20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x14ac:dyDescent="0.2">
      <c r="A113" s="9"/>
      <c r="B113" s="9"/>
      <c r="C113" s="300"/>
      <c r="D113" s="242"/>
      <c r="E113" s="242"/>
      <c r="F113" s="343"/>
      <c r="G113" s="20"/>
      <c r="H113" s="20"/>
      <c r="I113" s="20"/>
      <c r="J113" s="20"/>
      <c r="K113" s="20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</row>
    <row r="114" spans="1:22" x14ac:dyDescent="0.2">
      <c r="A114" s="9"/>
      <c r="B114" s="9"/>
      <c r="C114" s="300"/>
      <c r="D114" s="242"/>
      <c r="E114" s="242"/>
      <c r="F114" s="343"/>
      <c r="G114" s="20"/>
      <c r="H114" s="20"/>
      <c r="I114" s="20"/>
      <c r="J114" s="20"/>
      <c r="K114" s="20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</row>
    <row r="115" spans="1:22" x14ac:dyDescent="0.2">
      <c r="A115" s="9"/>
      <c r="B115" s="9"/>
      <c r="C115" s="300"/>
      <c r="D115" s="242"/>
      <c r="E115" s="242"/>
      <c r="F115" s="343"/>
      <c r="G115" s="20"/>
      <c r="H115" s="20"/>
      <c r="I115" s="20"/>
      <c r="J115" s="20"/>
      <c r="K115" s="20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</row>
    <row r="116" spans="1:22" x14ac:dyDescent="0.2">
      <c r="A116" s="9"/>
      <c r="B116" s="9"/>
      <c r="C116" s="300"/>
      <c r="D116" s="242"/>
      <c r="E116" s="242"/>
      <c r="F116" s="343"/>
      <c r="G116" s="20"/>
      <c r="H116" s="20"/>
      <c r="I116" s="20"/>
      <c r="J116" s="20"/>
      <c r="K116" s="20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</row>
    <row r="117" spans="1:22" x14ac:dyDescent="0.2">
      <c r="A117" s="9"/>
      <c r="B117" s="9"/>
      <c r="C117" s="300"/>
      <c r="D117" s="242"/>
      <c r="E117" s="242"/>
      <c r="F117" s="343"/>
      <c r="G117" s="20"/>
      <c r="H117" s="20"/>
      <c r="I117" s="20"/>
      <c r="J117" s="20"/>
      <c r="K117" s="20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</row>
    <row r="118" spans="1:22" x14ac:dyDescent="0.2">
      <c r="A118" s="9"/>
      <c r="B118" s="9"/>
      <c r="C118" s="300"/>
      <c r="D118" s="242"/>
      <c r="E118" s="242"/>
      <c r="F118" s="343"/>
      <c r="G118" s="20"/>
      <c r="H118" s="20"/>
      <c r="I118" s="20"/>
      <c r="J118" s="20"/>
      <c r="K118" s="20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</row>
    <row r="119" spans="1:22" x14ac:dyDescent="0.2">
      <c r="A119" s="9"/>
      <c r="B119" s="9"/>
      <c r="C119" s="300"/>
      <c r="D119" s="242"/>
      <c r="E119" s="242"/>
      <c r="F119" s="343"/>
      <c r="G119" s="20"/>
      <c r="H119" s="20"/>
      <c r="I119" s="20"/>
      <c r="J119" s="20"/>
      <c r="K119" s="20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</row>
    <row r="120" spans="1:22" x14ac:dyDescent="0.2">
      <c r="A120" s="9"/>
      <c r="B120" s="9"/>
      <c r="C120" s="300"/>
      <c r="D120" s="242"/>
      <c r="E120" s="242"/>
      <c r="F120" s="343"/>
      <c r="G120" s="20"/>
      <c r="H120" s="20"/>
      <c r="I120" s="20"/>
      <c r="J120" s="20"/>
      <c r="K120" s="20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</row>
    <row r="121" spans="1:22" x14ac:dyDescent="0.2">
      <c r="A121" s="9"/>
      <c r="B121" s="9"/>
      <c r="C121" s="300"/>
      <c r="D121" s="242"/>
      <c r="E121" s="242"/>
      <c r="F121" s="343"/>
      <c r="G121" s="20"/>
      <c r="H121" s="20"/>
      <c r="I121" s="20"/>
      <c r="J121" s="20"/>
      <c r="K121" s="20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spans="1:22" x14ac:dyDescent="0.2">
      <c r="A122" s="9"/>
      <c r="B122" s="9"/>
      <c r="C122" s="300"/>
      <c r="D122" s="242"/>
      <c r="E122" s="242"/>
      <c r="F122" s="343"/>
      <c r="G122" s="20"/>
      <c r="H122" s="20"/>
      <c r="I122" s="20"/>
      <c r="J122" s="20"/>
      <c r="K122" s="20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spans="1:22" x14ac:dyDescent="0.2">
      <c r="A123" s="9"/>
      <c r="B123" s="9"/>
      <c r="C123" s="300"/>
      <c r="D123" s="242"/>
      <c r="E123" s="242"/>
      <c r="F123" s="343"/>
      <c r="G123" s="20"/>
      <c r="H123" s="20"/>
      <c r="I123" s="20"/>
      <c r="J123" s="20"/>
      <c r="K123" s="20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</row>
    <row r="124" spans="1:22" x14ac:dyDescent="0.2">
      <c r="A124" s="9"/>
      <c r="B124" s="9"/>
      <c r="C124" s="300"/>
      <c r="D124" s="242"/>
      <c r="E124" s="242"/>
      <c r="F124" s="343"/>
      <c r="G124" s="20"/>
      <c r="H124" s="20"/>
      <c r="I124" s="20"/>
      <c r="J124" s="20"/>
      <c r="K124" s="20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</row>
    <row r="125" spans="1:22" x14ac:dyDescent="0.2">
      <c r="A125" s="9"/>
      <c r="B125" s="9"/>
      <c r="C125" s="300"/>
      <c r="D125" s="242"/>
      <c r="E125" s="242"/>
      <c r="F125" s="343"/>
      <c r="G125" s="20"/>
      <c r="H125" s="20"/>
      <c r="I125" s="20"/>
      <c r="J125" s="20"/>
      <c r="K125" s="20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</row>
    <row r="126" spans="1:22" x14ac:dyDescent="0.2">
      <c r="A126" s="9"/>
      <c r="B126" s="9"/>
      <c r="C126" s="300"/>
      <c r="D126" s="242"/>
      <c r="E126" s="242"/>
      <c r="F126" s="343"/>
      <c r="G126" s="20"/>
      <c r="H126" s="20"/>
      <c r="I126" s="20"/>
      <c r="J126" s="20"/>
      <c r="K126" s="20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</row>
    <row r="127" spans="1:22" ht="22.5" x14ac:dyDescent="0.2">
      <c r="A127" s="9"/>
      <c r="B127" s="9"/>
      <c r="C127" s="51" t="str">
        <f>DNSP&amp;" - "&amp;C98&amp;" ($)"</f>
        <v>TasNetworks - Residential time of use consumption ($)</v>
      </c>
      <c r="D127" s="318" t="str">
        <f>currentyear</f>
        <v>2021–22</v>
      </c>
      <c r="E127" s="318" t="s">
        <v>136</v>
      </c>
      <c r="F127" s="319" t="s">
        <v>522</v>
      </c>
      <c r="G127" s="58" t="s">
        <v>517</v>
      </c>
      <c r="H127" s="58" t="s">
        <v>405</v>
      </c>
      <c r="I127" s="58" t="s">
        <v>515</v>
      </c>
      <c r="J127" s="58" t="str">
        <f>forecastyear</f>
        <v>2022–23</v>
      </c>
      <c r="K127" s="20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</row>
    <row r="128" spans="1:22" x14ac:dyDescent="0.2">
      <c r="A128" s="9"/>
      <c r="B128" s="9"/>
      <c r="C128" s="316" t="s">
        <v>519</v>
      </c>
      <c r="D128" s="236"/>
      <c r="E128" s="236">
        <f>IF(E129&lt;0,D135+E129,D135)</f>
        <v>751.36034181432126</v>
      </c>
      <c r="F128" s="236">
        <f>IF(F129&lt;0,IF(E129&lt;0, E128+F129,E128+E129+F129),IF(E129&lt;0, E128, E128+E129))</f>
        <v>751.36034181432126</v>
      </c>
      <c r="G128" s="236">
        <f>IF(G129&lt;0,IF(F129&lt;0, F128+G129,F128+F129+G129),IF(F129&lt;0, F128, F128+F129))</f>
        <v>759.43880385486204</v>
      </c>
      <c r="H128" s="236">
        <f>IF(H129&lt;0,IF(G129&lt;0, G128+H129,G128+G129+H129),IF(G129&lt;0, G128, G128+G129))</f>
        <v>759.43880385486204</v>
      </c>
      <c r="I128" s="236">
        <f>MIN(D135,J135)</f>
        <v>756.82669188341129</v>
      </c>
      <c r="J128" s="236"/>
      <c r="K128" s="20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</row>
    <row r="129" spans="1:28" x14ac:dyDescent="0.2">
      <c r="A129" s="9"/>
      <c r="B129" s="9"/>
      <c r="C129" s="316" t="s">
        <v>518</v>
      </c>
      <c r="D129" s="304"/>
      <c r="E129" s="304">
        <f>J130-D130</f>
        <v>-5.4663500690900264</v>
      </c>
      <c r="F129" s="304">
        <f>J131-D131</f>
        <v>8.0784620405408418</v>
      </c>
      <c r="G129" s="304">
        <f>J132-D132</f>
        <v>0</v>
      </c>
      <c r="H129" s="304">
        <f>J133-D133</f>
        <v>1.2099499999999956</v>
      </c>
      <c r="I129" s="304">
        <f>J135-D135</f>
        <v>3.8220619714506938</v>
      </c>
      <c r="J129" s="304"/>
      <c r="K129" s="20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</row>
    <row r="130" spans="1:28" x14ac:dyDescent="0.2">
      <c r="A130" s="19"/>
      <c r="B130" s="19"/>
      <c r="C130" s="316" t="str">
        <f>E127</f>
        <v>Distribution</v>
      </c>
      <c r="D130" s="236">
        <f>INDEX('Cost movements'!D$76:D$105,MATCH(Charts!$C$98,'Cost movements'!$C$76:$C$105,0))</f>
        <v>608.29173427366663</v>
      </c>
      <c r="E130" s="236">
        <f>ABS(E129)</f>
        <v>5.4663500690900264</v>
      </c>
      <c r="F130" s="236"/>
      <c r="G130" s="310"/>
      <c r="H130" s="310"/>
      <c r="I130" s="236"/>
      <c r="J130" s="236">
        <f>INDEX('Cost movements'!E$76:E$105,MATCH(Charts!$C$98,'Cost movements'!$C$76:$C$105,0))</f>
        <v>602.82538420457661</v>
      </c>
      <c r="K130" s="20"/>
      <c r="L130" s="20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8" x14ac:dyDescent="0.2">
      <c r="A131" s="19"/>
      <c r="B131" s="19"/>
      <c r="C131" s="316" t="str">
        <f>F127</f>
        <v>Transmission</v>
      </c>
      <c r="D131" s="236">
        <f>INDEX('Cost movements'!H$76:H$105,MATCH(Charts!$C$98,'Cost movements'!$C$76:$C$105,0))</f>
        <v>123.94490760974463</v>
      </c>
      <c r="E131" s="236"/>
      <c r="F131" s="236">
        <f>ABS(F129)</f>
        <v>8.0784620405408418</v>
      </c>
      <c r="G131" s="236"/>
      <c r="H131" s="236"/>
      <c r="I131" s="236"/>
      <c r="J131" s="236">
        <f>INDEX('Cost movements'!I$76:I$105,MATCH(Charts!$C$98,'Cost movements'!$C$76:$C$105,0))</f>
        <v>132.02336965028547</v>
      </c>
      <c r="K131" s="20"/>
      <c r="L131" s="20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 x14ac:dyDescent="0.2">
      <c r="A132" s="19"/>
      <c r="B132" s="19"/>
      <c r="C132" s="316" t="str">
        <f>G127</f>
        <v>Jurisdictional schemes</v>
      </c>
      <c r="D132" s="236">
        <f>INDEX('Cost movements'!L$76:L$105,MATCH(Charts!$C$98,'Cost movements'!$C$76:$C$105,0))</f>
        <v>0</v>
      </c>
      <c r="E132" s="236"/>
      <c r="F132" s="236"/>
      <c r="G132" s="236">
        <f>ABS(G129)</f>
        <v>0</v>
      </c>
      <c r="H132" s="236"/>
      <c r="I132" s="236"/>
      <c r="J132" s="236">
        <f>INDEX('Cost movements'!M$76:M$105,MATCH(Charts!$C$98,'Cost movements'!$C$76:$C$105,0))</f>
        <v>0</v>
      </c>
      <c r="K132" s="20"/>
      <c r="L132" s="20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x14ac:dyDescent="0.2">
      <c r="A133" s="19"/>
      <c r="B133" s="19"/>
      <c r="C133" s="317" t="str">
        <f>H127</f>
        <v>Metering</v>
      </c>
      <c r="D133" s="236">
        <f>INDEX('Cost movements'!P$76:P$105,MATCH(Charts!$C$98,'Cost movements'!$C$76:$C$105,0))</f>
        <v>24.590050000000002</v>
      </c>
      <c r="E133" s="315"/>
      <c r="F133" s="315"/>
      <c r="G133" s="236"/>
      <c r="H133" s="236">
        <f>ABS(H129)</f>
        <v>1.2099499999999956</v>
      </c>
      <c r="I133" s="236"/>
      <c r="J133" s="236">
        <f>INDEX('Cost movements'!Q$76:Q$105,MATCH(Charts!$C$98,'Cost movements'!$C$76:$C$105,0))</f>
        <v>25.799999999999997</v>
      </c>
      <c r="K133" s="20"/>
      <c r="L133" s="20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 x14ac:dyDescent="0.2">
      <c r="A134" s="19"/>
      <c r="B134" s="19"/>
      <c r="C134" s="472" t="str">
        <f>I127</f>
        <v>Total movement</v>
      </c>
      <c r="D134" s="236"/>
      <c r="E134" s="473"/>
      <c r="F134" s="236"/>
      <c r="G134" s="310"/>
      <c r="H134" s="310"/>
      <c r="I134" s="236">
        <f>ABS(I129)</f>
        <v>3.8220619714506938</v>
      </c>
      <c r="J134" s="236"/>
      <c r="K134" s="361"/>
      <c r="L134" s="94"/>
      <c r="M134" s="361"/>
      <c r="N134" s="94"/>
      <c r="O134" s="94"/>
      <c r="P134" s="94"/>
      <c r="Q134" s="361"/>
      <c r="R134" s="361"/>
      <c r="S134" s="361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 x14ac:dyDescent="0.2">
      <c r="A135" s="19"/>
      <c r="B135" s="19"/>
      <c r="C135" s="472" t="s">
        <v>533</v>
      </c>
      <c r="D135" s="236">
        <f>SUM(D130:D133)</f>
        <v>756.82669188341129</v>
      </c>
      <c r="E135" s="473"/>
      <c r="F135" s="236"/>
      <c r="G135" s="310"/>
      <c r="H135" s="310"/>
      <c r="I135" s="236"/>
      <c r="J135" s="306">
        <f>SUM(J130:J133)</f>
        <v>760.64875385486198</v>
      </c>
      <c r="K135" s="361"/>
      <c r="L135" s="94"/>
      <c r="M135" s="361"/>
      <c r="N135" s="94"/>
      <c r="O135" s="94"/>
      <c r="P135" s="94"/>
      <c r="Q135" s="361"/>
      <c r="R135" s="361"/>
      <c r="S135" s="361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x14ac:dyDescent="0.2">
      <c r="A136" s="19"/>
      <c r="B136" s="19"/>
      <c r="C136" s="474"/>
      <c r="D136" s="242"/>
      <c r="E136" s="475"/>
      <c r="F136" s="242"/>
      <c r="G136" s="22"/>
      <c r="H136" s="22"/>
      <c r="I136" s="20"/>
      <c r="J136" s="94"/>
      <c r="K136" s="361"/>
      <c r="L136" s="94"/>
      <c r="M136" s="361"/>
      <c r="N136" s="94"/>
      <c r="O136" s="94"/>
      <c r="P136" s="94"/>
      <c r="Q136" s="361"/>
      <c r="R136" s="361"/>
      <c r="S136" s="361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 ht="22.5" x14ac:dyDescent="0.2">
      <c r="A137" s="19"/>
      <c r="B137" s="19"/>
      <c r="C137" s="51" t="str">
        <f>DNSP&amp;" - "&amp;H98&amp;" ($)"</f>
        <v>TasNetworks - Residential general light and power ($)</v>
      </c>
      <c r="D137" s="318" t="str">
        <f t="shared" ref="D137:J137" si="1">D127</f>
        <v>2021–22</v>
      </c>
      <c r="E137" s="318" t="str">
        <f t="shared" si="1"/>
        <v>Distribution</v>
      </c>
      <c r="F137" s="319" t="str">
        <f t="shared" si="1"/>
        <v>Transmission</v>
      </c>
      <c r="G137" s="58" t="str">
        <f t="shared" si="1"/>
        <v>Jurisdictional schemes</v>
      </c>
      <c r="H137" s="58" t="str">
        <f t="shared" si="1"/>
        <v>Metering</v>
      </c>
      <c r="I137" s="58" t="str">
        <f t="shared" si="1"/>
        <v>Total movement</v>
      </c>
      <c r="J137" s="58" t="str">
        <f t="shared" si="1"/>
        <v>2022–23</v>
      </c>
      <c r="K137" s="361"/>
      <c r="L137" s="94"/>
      <c r="M137" s="361"/>
      <c r="N137" s="94"/>
      <c r="O137" s="94"/>
      <c r="P137" s="94"/>
      <c r="Q137" s="361"/>
      <c r="R137" s="361"/>
      <c r="S137" s="361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 x14ac:dyDescent="0.2">
      <c r="A138" s="19"/>
      <c r="B138" s="19"/>
      <c r="C138" s="316" t="str">
        <f t="shared" ref="C138:C145" si="2">C128</f>
        <v>Blank base</v>
      </c>
      <c r="D138" s="236"/>
      <c r="E138" s="236">
        <f>IF(E139&lt;0,D145+E139,D145)</f>
        <v>497.77013581039711</v>
      </c>
      <c r="F138" s="236">
        <f>IF(F139&lt;0,IF(E139&lt;0, E138+F139,E138+E139+F139),IF(E139&lt;0, E138, E138+E139))</f>
        <v>497.77013581039711</v>
      </c>
      <c r="G138" s="236">
        <f>IF(G139&lt;0,IF(F139&lt;0, F138+G139,F138+F139+G139),IF(F139&lt;0, F138, F138+F139))</f>
        <v>501.42545924521011</v>
      </c>
      <c r="H138" s="236">
        <f>IF(H139&lt;0,IF(G139&lt;0, G138+H139,G138+G139+H139),IF(G139&lt;0, G138, G138+G139))</f>
        <v>501.42545924521011</v>
      </c>
      <c r="I138" s="236">
        <f>MIN(D145,J145)</f>
        <v>502.63540924521004</v>
      </c>
      <c r="J138" s="236"/>
      <c r="K138" s="361"/>
      <c r="L138" s="94"/>
      <c r="M138" s="361"/>
      <c r="N138" s="94"/>
      <c r="O138" s="94"/>
      <c r="P138" s="94"/>
      <c r="Q138" s="361"/>
      <c r="R138" s="361"/>
      <c r="S138" s="361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x14ac:dyDescent="0.2">
      <c r="A139" s="19"/>
      <c r="B139" s="19"/>
      <c r="C139" s="316" t="str">
        <f t="shared" si="2"/>
        <v>Data point</v>
      </c>
      <c r="D139" s="304"/>
      <c r="E139" s="304">
        <f>J140-D140</f>
        <v>-14.087597506435998</v>
      </c>
      <c r="F139" s="304">
        <f>J141-D141</f>
        <v>3.655323434812999</v>
      </c>
      <c r="G139" s="304">
        <f>J142-D142</f>
        <v>0</v>
      </c>
      <c r="H139" s="304">
        <f>J143-D143</f>
        <v>1.2099499999999956</v>
      </c>
      <c r="I139" s="304">
        <f>J145-D145</f>
        <v>-9.2223240716230634</v>
      </c>
      <c r="J139" s="304"/>
      <c r="K139" s="361"/>
      <c r="L139" s="94"/>
      <c r="M139" s="361"/>
      <c r="N139" s="94"/>
      <c r="O139" s="94"/>
      <c r="P139" s="94"/>
      <c r="Q139" s="361"/>
      <c r="R139" s="361"/>
      <c r="S139" s="361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 x14ac:dyDescent="0.2">
      <c r="A140" s="19"/>
      <c r="B140" s="19"/>
      <c r="C140" s="316" t="str">
        <f t="shared" si="2"/>
        <v>Distribution</v>
      </c>
      <c r="D140" s="236">
        <f>INDEX('Cost movements'!D$76:D$105,MATCH(Charts!$H$98,'Cost movements'!$C$76:$C$105,0))</f>
        <v>421.89362957883145</v>
      </c>
      <c r="E140" s="236">
        <f>ABS(E139)</f>
        <v>14.087597506435998</v>
      </c>
      <c r="F140" s="236"/>
      <c r="G140" s="310"/>
      <c r="H140" s="310"/>
      <c r="I140" s="236"/>
      <c r="J140" s="236">
        <f>INDEX('Cost movements'!E$76:E$105,MATCH(Charts!$H$98,'Cost movements'!$C$76:$C$105,0))</f>
        <v>407.80603207239545</v>
      </c>
      <c r="K140" s="361"/>
      <c r="L140" s="94"/>
      <c r="M140" s="361"/>
      <c r="N140" s="94"/>
      <c r="O140" s="94"/>
      <c r="P140" s="94"/>
      <c r="Q140" s="361"/>
      <c r="R140" s="361"/>
      <c r="S140" s="361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x14ac:dyDescent="0.2">
      <c r="A141" s="19"/>
      <c r="B141" s="19"/>
      <c r="C141" s="316" t="str">
        <f t="shared" si="2"/>
        <v>Transmission</v>
      </c>
      <c r="D141" s="236">
        <f>INDEX('Cost movements'!H$76:H$105,MATCH(Charts!$H$98,'Cost movements'!$C$76:$C$105,0))</f>
        <v>65.374053738001606</v>
      </c>
      <c r="E141" s="236"/>
      <c r="F141" s="236">
        <f>ABS(F139)</f>
        <v>3.655323434812999</v>
      </c>
      <c r="G141" s="236"/>
      <c r="H141" s="236"/>
      <c r="I141" s="236"/>
      <c r="J141" s="236">
        <f>INDEX('Cost movements'!I$76:I$105,MATCH(Charts!$H$98,'Cost movements'!$C$76:$C$105,0))</f>
        <v>69.029377172814606</v>
      </c>
      <c r="K141" s="361"/>
      <c r="L141" s="94"/>
      <c r="M141" s="361"/>
      <c r="N141" s="94"/>
      <c r="O141" s="94"/>
      <c r="P141" s="94"/>
      <c r="Q141" s="361"/>
      <c r="R141" s="361"/>
      <c r="S141" s="361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 x14ac:dyDescent="0.2">
      <c r="A142" s="19"/>
      <c r="B142" s="19"/>
      <c r="C142" s="316" t="str">
        <f t="shared" si="2"/>
        <v>Jurisdictional schemes</v>
      </c>
      <c r="D142" s="236">
        <f>INDEX('Cost movements'!L$76:L$105,MATCH(Charts!$H$98,'Cost movements'!$C$76:$C$105,0))</f>
        <v>0</v>
      </c>
      <c r="E142" s="236"/>
      <c r="F142" s="236"/>
      <c r="G142" s="236">
        <f>ABS(G139)</f>
        <v>0</v>
      </c>
      <c r="H142" s="236"/>
      <c r="I142" s="236"/>
      <c r="J142" s="236">
        <f>INDEX('Cost movements'!M$76:M$105,MATCH(Charts!$H$98,'Cost movements'!$C$76:$C$105,0))</f>
        <v>0</v>
      </c>
      <c r="K142" s="361"/>
      <c r="L142" s="94"/>
      <c r="M142" s="361"/>
      <c r="N142" s="94"/>
      <c r="O142" s="94"/>
      <c r="P142" s="94"/>
      <c r="Q142" s="361"/>
      <c r="R142" s="361"/>
      <c r="S142" s="361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x14ac:dyDescent="0.2">
      <c r="A143" s="19"/>
      <c r="B143" s="19"/>
      <c r="C143" s="317" t="str">
        <f t="shared" si="2"/>
        <v>Metering</v>
      </c>
      <c r="D143" s="236">
        <f>INDEX('Cost movements'!P$76:P$105,MATCH(Charts!$H$98,'Cost movements'!$C$76:$C$105,0))</f>
        <v>24.590050000000002</v>
      </c>
      <c r="E143" s="315"/>
      <c r="F143" s="315"/>
      <c r="G143" s="236"/>
      <c r="H143" s="236">
        <f>ABS(H139)</f>
        <v>1.2099499999999956</v>
      </c>
      <c r="I143" s="236"/>
      <c r="J143" s="236">
        <f>INDEX('Cost movements'!Q$76:Q$105,MATCH(Charts!$H$98,'Cost movements'!$C$76:$C$105,0))</f>
        <v>25.799999999999997</v>
      </c>
      <c r="K143" s="361"/>
      <c r="L143" s="94"/>
      <c r="M143" s="361"/>
      <c r="N143" s="94"/>
      <c r="O143" s="94"/>
      <c r="P143" s="94"/>
      <c r="Q143" s="361"/>
      <c r="R143" s="361"/>
      <c r="S143" s="361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 x14ac:dyDescent="0.2">
      <c r="A144" s="19"/>
      <c r="B144" s="19"/>
      <c r="C144" s="472" t="str">
        <f t="shared" si="2"/>
        <v>Total movement</v>
      </c>
      <c r="D144" s="236"/>
      <c r="E144" s="473"/>
      <c r="F144" s="236"/>
      <c r="G144" s="310"/>
      <c r="H144" s="310"/>
      <c r="I144" s="236">
        <f>ABS(I139)</f>
        <v>9.2223240716230634</v>
      </c>
      <c r="J144" s="306"/>
      <c r="K144" s="361"/>
      <c r="L144" s="94"/>
      <c r="M144" s="361"/>
      <c r="N144" s="94"/>
      <c r="O144" s="94"/>
      <c r="P144" s="94"/>
      <c r="Q144" s="361"/>
      <c r="R144" s="361"/>
      <c r="S144" s="361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x14ac:dyDescent="0.2">
      <c r="A145" s="19"/>
      <c r="B145" s="19"/>
      <c r="C145" s="472" t="str">
        <f t="shared" si="2"/>
        <v>NUoS</v>
      </c>
      <c r="D145" s="236">
        <f>SUM(D140:D143)</f>
        <v>511.85773331683311</v>
      </c>
      <c r="E145" s="473"/>
      <c r="F145" s="236"/>
      <c r="G145" s="310"/>
      <c r="H145" s="310"/>
      <c r="I145" s="236"/>
      <c r="J145" s="306">
        <f>SUM(J140:J143)</f>
        <v>502.63540924521004</v>
      </c>
      <c r="K145" s="20"/>
      <c r="L145" s="20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 x14ac:dyDescent="0.2">
      <c r="A146" s="19"/>
      <c r="B146" s="19"/>
      <c r="C146" s="51"/>
      <c r="D146" s="20"/>
      <c r="E146" s="20"/>
      <c r="F146" s="20"/>
      <c r="G146" s="22"/>
      <c r="H146" s="22"/>
      <c r="I146" s="20"/>
      <c r="J146" s="20"/>
      <c r="K146" s="20"/>
      <c r="L146" s="20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 x14ac:dyDescent="0.2">
      <c r="A147" s="19"/>
      <c r="B147" s="19"/>
      <c r="C147" s="51"/>
      <c r="D147" s="20"/>
      <c r="E147" s="20"/>
      <c r="F147" s="20"/>
      <c r="G147" s="22"/>
      <c r="H147" s="22"/>
      <c r="I147" s="20"/>
      <c r="J147" s="20"/>
      <c r="K147" s="20"/>
      <c r="L147" s="20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 x14ac:dyDescent="0.2">
      <c r="A148" s="19"/>
      <c r="B148" s="19"/>
      <c r="C148" s="82" t="s">
        <v>670</v>
      </c>
      <c r="D148" s="20"/>
      <c r="E148" s="20"/>
      <c r="F148" s="20"/>
      <c r="G148" s="22"/>
      <c r="H148" s="22"/>
      <c r="I148" s="20"/>
      <c r="J148" s="20"/>
      <c r="K148" s="20"/>
      <c r="L148" s="20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 x14ac:dyDescent="0.2">
      <c r="A149" s="19"/>
      <c r="B149" s="19"/>
      <c r="C149" s="51"/>
      <c r="D149" s="20"/>
      <c r="E149" s="20"/>
      <c r="F149" s="20"/>
      <c r="G149" s="22"/>
      <c r="H149" s="22"/>
      <c r="I149" s="20"/>
      <c r="J149" s="20"/>
      <c r="K149" s="20"/>
      <c r="L149" s="20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 x14ac:dyDescent="0.2">
      <c r="A150" s="9"/>
      <c r="B150" s="9"/>
      <c r="C150" s="24"/>
      <c r="D150" s="20"/>
      <c r="E150" s="20"/>
      <c r="F150" s="20"/>
      <c r="G150" s="20"/>
      <c r="I150" s="20"/>
      <c r="J150" s="20"/>
      <c r="K150" s="20"/>
      <c r="L150" s="20"/>
      <c r="M150" s="10"/>
      <c r="N150" s="50"/>
      <c r="O150" s="50"/>
      <c r="P150" s="50"/>
      <c r="Q150" s="9"/>
      <c r="R150" s="9"/>
      <c r="S150" s="9"/>
      <c r="T150" s="9"/>
      <c r="U150" s="9"/>
      <c r="V150" s="9"/>
      <c r="W150" s="9"/>
      <c r="X150" s="9"/>
      <c r="Y150" s="9"/>
    </row>
    <row r="151" spans="1:28" x14ac:dyDescent="0.2">
      <c r="A151" s="9"/>
      <c r="B151" s="9"/>
      <c r="C151" s="299"/>
      <c r="D151" s="58"/>
      <c r="E151" s="151"/>
      <c r="F151" s="20"/>
      <c r="G151" s="20"/>
      <c r="H151" s="65"/>
      <c r="I151" s="20"/>
      <c r="J151" s="20"/>
      <c r="K151" s="50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</row>
    <row r="152" spans="1:28" x14ac:dyDescent="0.2">
      <c r="A152" s="9"/>
      <c r="B152" s="9"/>
      <c r="C152" s="300"/>
      <c r="D152" s="242"/>
      <c r="E152" s="242"/>
      <c r="F152" s="343"/>
      <c r="G152" s="20"/>
      <c r="H152" s="261"/>
      <c r="I152" s="20"/>
      <c r="J152" s="301"/>
      <c r="K152" s="20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</row>
    <row r="153" spans="1:28" x14ac:dyDescent="0.2">
      <c r="A153" s="9"/>
      <c r="B153" s="9"/>
      <c r="C153" s="300"/>
      <c r="D153" s="242"/>
      <c r="E153" s="242"/>
      <c r="F153" s="343"/>
      <c r="G153" s="20"/>
      <c r="H153" s="261"/>
      <c r="I153" s="20"/>
      <c r="J153" s="301"/>
      <c r="K153" s="20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</row>
    <row r="154" spans="1:28" x14ac:dyDescent="0.2">
      <c r="A154" s="9"/>
      <c r="B154" s="9"/>
      <c r="C154" s="300"/>
      <c r="D154" s="242"/>
      <c r="E154" s="242"/>
      <c r="F154" s="343"/>
      <c r="G154" s="20"/>
      <c r="H154" s="261"/>
      <c r="I154" s="20"/>
      <c r="J154" s="301"/>
      <c r="K154" s="20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</row>
    <row r="155" spans="1:28" x14ac:dyDescent="0.2">
      <c r="A155" s="9"/>
      <c r="B155" s="9"/>
      <c r="C155" s="300"/>
      <c r="D155" s="242"/>
      <c r="E155" s="242"/>
      <c r="F155" s="343"/>
      <c r="G155" s="20"/>
      <c r="H155" s="261"/>
      <c r="I155" s="20"/>
      <c r="J155" s="301"/>
      <c r="K155" s="20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</row>
    <row r="156" spans="1:28" x14ac:dyDescent="0.2">
      <c r="A156" s="9"/>
      <c r="B156" s="9"/>
      <c r="C156" s="300"/>
      <c r="D156" s="242"/>
      <c r="E156" s="242"/>
      <c r="F156" s="343"/>
      <c r="G156" s="20"/>
      <c r="H156" s="261"/>
      <c r="I156" s="20"/>
      <c r="J156" s="301"/>
      <c r="K156" s="20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</row>
    <row r="157" spans="1:28" x14ac:dyDescent="0.2">
      <c r="A157" s="9"/>
      <c r="B157" s="9"/>
      <c r="C157" s="300"/>
      <c r="D157" s="242"/>
      <c r="E157" s="242"/>
      <c r="F157" s="343"/>
      <c r="G157" s="20"/>
      <c r="H157" s="261"/>
      <c r="I157" s="20"/>
      <c r="J157" s="301"/>
      <c r="K157" s="20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</row>
    <row r="158" spans="1:28" x14ac:dyDescent="0.2">
      <c r="A158" s="9"/>
      <c r="B158" s="9"/>
      <c r="C158" s="300"/>
      <c r="D158" s="242"/>
      <c r="E158" s="242"/>
      <c r="F158" s="343"/>
      <c r="G158" s="20"/>
      <c r="H158" s="261"/>
      <c r="I158" s="20"/>
      <c r="J158" s="302"/>
      <c r="K158" s="20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</row>
    <row r="159" spans="1:28" x14ac:dyDescent="0.2">
      <c r="A159" s="9"/>
      <c r="B159" s="9"/>
      <c r="C159" s="300"/>
      <c r="D159" s="242"/>
      <c r="E159" s="242"/>
      <c r="F159" s="343"/>
      <c r="G159" s="20"/>
      <c r="H159" s="65"/>
      <c r="I159" s="20"/>
      <c r="J159" s="301"/>
      <c r="K159" s="20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</row>
    <row r="160" spans="1:28" x14ac:dyDescent="0.2">
      <c r="A160" s="9"/>
      <c r="B160" s="9"/>
      <c r="C160" s="300"/>
      <c r="D160" s="242"/>
      <c r="E160" s="242"/>
      <c r="F160" s="343"/>
      <c r="G160" s="20"/>
      <c r="H160" s="20"/>
      <c r="I160" s="20"/>
      <c r="J160" s="20"/>
      <c r="K160" s="20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</row>
    <row r="161" spans="1:22" x14ac:dyDescent="0.2">
      <c r="A161" s="9"/>
      <c r="B161" s="9"/>
      <c r="C161" s="300"/>
      <c r="D161" s="242"/>
      <c r="E161" s="242"/>
      <c r="F161" s="343"/>
      <c r="G161" s="20"/>
      <c r="H161" s="20"/>
      <c r="I161" s="20"/>
      <c r="J161" s="20"/>
      <c r="K161" s="20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</row>
    <row r="162" spans="1:22" x14ac:dyDescent="0.2">
      <c r="A162" s="9"/>
      <c r="B162" s="9"/>
      <c r="C162" s="300"/>
      <c r="D162" s="242"/>
      <c r="E162" s="242"/>
      <c r="F162" s="343"/>
      <c r="G162" s="20"/>
      <c r="H162" s="20"/>
      <c r="I162" s="20"/>
      <c r="J162" s="20"/>
      <c r="K162" s="20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</row>
    <row r="163" spans="1:22" x14ac:dyDescent="0.2">
      <c r="A163" s="9"/>
      <c r="B163" s="9"/>
      <c r="C163" s="300"/>
      <c r="D163" s="242"/>
      <c r="E163" s="242"/>
      <c r="F163" s="343"/>
      <c r="G163" s="20"/>
      <c r="H163" s="20"/>
      <c r="I163" s="20"/>
      <c r="J163" s="20"/>
      <c r="K163" s="20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</row>
    <row r="164" spans="1:22" x14ac:dyDescent="0.2">
      <c r="A164" s="9"/>
      <c r="B164" s="9"/>
      <c r="C164" s="300"/>
      <c r="D164" s="242"/>
      <c r="E164" s="242"/>
      <c r="F164" s="343"/>
      <c r="G164" s="20"/>
      <c r="H164" s="20"/>
      <c r="I164" s="20"/>
      <c r="J164" s="20"/>
      <c r="K164" s="20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</row>
    <row r="165" spans="1:22" x14ac:dyDescent="0.2">
      <c r="A165" s="9"/>
      <c r="B165" s="9"/>
      <c r="C165" s="300"/>
      <c r="D165" s="242"/>
      <c r="E165" s="242"/>
      <c r="F165" s="343"/>
      <c r="G165" s="20"/>
      <c r="H165" s="20"/>
      <c r="I165" s="20"/>
      <c r="J165" s="20"/>
      <c r="K165" s="20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</row>
    <row r="166" spans="1:22" x14ac:dyDescent="0.2">
      <c r="A166" s="9"/>
      <c r="B166" s="9"/>
      <c r="C166" s="300"/>
      <c r="D166" s="242"/>
      <c r="E166" s="242"/>
      <c r="F166" s="343"/>
      <c r="G166" s="20"/>
      <c r="H166" s="20"/>
      <c r="I166" s="20"/>
      <c r="J166" s="20"/>
      <c r="K166" s="20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</row>
    <row r="167" spans="1:22" x14ac:dyDescent="0.2">
      <c r="A167" s="9"/>
      <c r="B167" s="9"/>
      <c r="C167" s="300"/>
      <c r="D167" s="242"/>
      <c r="E167" s="242"/>
      <c r="F167" s="343"/>
      <c r="G167" s="20"/>
      <c r="H167" s="20"/>
      <c r="I167" s="20"/>
      <c r="J167" s="20"/>
      <c r="K167" s="20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</row>
    <row r="168" spans="1:22" x14ac:dyDescent="0.2">
      <c r="A168" s="9"/>
      <c r="B168" s="9"/>
      <c r="C168" s="300"/>
      <c r="D168" s="242"/>
      <c r="E168" s="242"/>
      <c r="F168" s="343"/>
      <c r="G168" s="20"/>
      <c r="H168" s="20"/>
      <c r="I168" s="20"/>
      <c r="J168" s="20"/>
      <c r="K168" s="20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</row>
    <row r="169" spans="1:22" x14ac:dyDescent="0.2">
      <c r="A169" s="9"/>
      <c r="B169" s="9"/>
      <c r="C169" s="300"/>
      <c r="D169" s="242"/>
      <c r="E169" s="242"/>
      <c r="F169" s="343"/>
      <c r="G169" s="20"/>
      <c r="H169" s="20"/>
      <c r="I169" s="20"/>
      <c r="J169" s="20"/>
      <c r="K169" s="20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</row>
    <row r="170" spans="1:22" x14ac:dyDescent="0.2">
      <c r="A170" s="9"/>
      <c r="B170" s="9"/>
      <c r="C170" s="300"/>
      <c r="D170" s="242"/>
      <c r="E170" s="242"/>
      <c r="F170" s="343"/>
      <c r="G170" s="20"/>
      <c r="H170" s="20"/>
      <c r="I170" s="20"/>
      <c r="J170" s="20"/>
      <c r="K170" s="20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</row>
    <row r="171" spans="1:22" x14ac:dyDescent="0.2">
      <c r="A171" s="9"/>
      <c r="B171" s="9"/>
      <c r="C171" s="300"/>
      <c r="D171" s="242"/>
      <c r="E171" s="242"/>
      <c r="F171" s="343"/>
      <c r="G171" s="20"/>
      <c r="H171" s="20"/>
      <c r="I171" s="20"/>
      <c r="J171" s="20"/>
      <c r="K171" s="20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</row>
    <row r="172" spans="1:22" x14ac:dyDescent="0.2">
      <c r="A172" s="9"/>
      <c r="B172" s="9"/>
      <c r="C172" s="300"/>
      <c r="D172" s="242"/>
      <c r="E172" s="242"/>
      <c r="F172" s="343"/>
      <c r="G172" s="20"/>
      <c r="H172" s="20"/>
      <c r="I172" s="20"/>
      <c r="J172" s="20"/>
      <c r="K172" s="20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</row>
    <row r="173" spans="1:22" x14ac:dyDescent="0.2">
      <c r="A173" s="9"/>
      <c r="B173" s="9"/>
      <c r="C173" s="300"/>
      <c r="D173" s="242"/>
      <c r="E173" s="242"/>
      <c r="F173" s="343"/>
      <c r="G173" s="20"/>
      <c r="H173" s="20"/>
      <c r="I173" s="20"/>
      <c r="J173" s="20"/>
      <c r="K173" s="20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</row>
    <row r="174" spans="1:22" x14ac:dyDescent="0.2">
      <c r="A174" s="9"/>
      <c r="B174" s="9"/>
      <c r="C174" s="300"/>
      <c r="D174" s="242"/>
      <c r="E174" s="242"/>
      <c r="F174" s="343"/>
      <c r="G174" s="20"/>
      <c r="H174" s="20"/>
      <c r="I174" s="20"/>
      <c r="J174" s="20"/>
      <c r="K174" s="20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</row>
    <row r="175" spans="1:22" ht="22.5" x14ac:dyDescent="0.2">
      <c r="A175" s="9"/>
      <c r="B175" s="9"/>
      <c r="C175" s="51" t="str">
        <f>DNSP&amp;" - "&amp;C98&amp;" ($)"</f>
        <v>TasNetworks - Residential time of use consumption ($)</v>
      </c>
      <c r="D175" s="495" t="str">
        <f>currentyear</f>
        <v>2021–22</v>
      </c>
      <c r="E175" s="314" t="str">
        <f>"Base revenue "&amp;IF(forecastyear=RCP_firstyear,"(determination)","(debt update)")</f>
        <v>Base revenue (debt update)</v>
      </c>
      <c r="F175" s="314" t="s">
        <v>529</v>
      </c>
      <c r="G175" s="314" t="s">
        <v>530</v>
      </c>
      <c r="H175" s="314" t="s">
        <v>531</v>
      </c>
      <c r="I175" s="314" t="s">
        <v>526</v>
      </c>
      <c r="J175" s="314" t="s">
        <v>527</v>
      </c>
      <c r="K175" s="314" t="s">
        <v>539</v>
      </c>
      <c r="L175" s="314" t="s">
        <v>515</v>
      </c>
      <c r="M175" s="153" t="str">
        <f>forecastyear</f>
        <v>2022–23</v>
      </c>
      <c r="N175" s="9"/>
      <c r="O175" s="9"/>
      <c r="P175" s="9"/>
      <c r="Q175" s="9"/>
      <c r="R175" s="9"/>
      <c r="S175" s="9"/>
      <c r="T175" s="9"/>
      <c r="U175" s="9"/>
      <c r="V175" s="9"/>
    </row>
    <row r="176" spans="1:22" x14ac:dyDescent="0.2">
      <c r="A176" s="9"/>
      <c r="B176" s="9"/>
      <c r="C176" s="309" t="s">
        <v>519</v>
      </c>
      <c r="D176" s="236"/>
      <c r="E176" s="236">
        <f>IF(E177&lt;0,D186+(E177),D186)</f>
        <v>756.82669188341129</v>
      </c>
      <c r="F176" s="236">
        <f t="shared" ref="F176:K176" si="3">IF(F177&lt;0,IF(E177&lt;0,E176+(F177),E176+(E177)+(F177)),IF(E177&lt;0,E176,E176+(E177)))</f>
        <v>776.70184822327587</v>
      </c>
      <c r="G176" s="236">
        <f t="shared" si="3"/>
        <v>788.01539785889008</v>
      </c>
      <c r="H176" s="236">
        <f t="shared" si="3"/>
        <v>788.01539785889008</v>
      </c>
      <c r="I176" s="236">
        <f t="shared" si="3"/>
        <v>775.35379154548309</v>
      </c>
      <c r="J176" s="236">
        <f t="shared" si="3"/>
        <v>775.35379154548309</v>
      </c>
      <c r="K176" s="236">
        <f t="shared" si="3"/>
        <v>760.64875385486198</v>
      </c>
      <c r="L176" s="236">
        <f>MIN(D186,M186)</f>
        <v>756.82669188341129</v>
      </c>
      <c r="M176" s="306"/>
      <c r="N176" s="9"/>
      <c r="O176" s="9"/>
      <c r="P176" s="9"/>
      <c r="Q176" s="9"/>
      <c r="R176" s="9"/>
      <c r="S176" s="9"/>
      <c r="T176" s="9"/>
      <c r="U176" s="9"/>
      <c r="V176" s="9"/>
    </row>
    <row r="177" spans="1:28" x14ac:dyDescent="0.2">
      <c r="A177" s="9"/>
      <c r="B177" s="9"/>
      <c r="C177" s="309" t="s">
        <v>518</v>
      </c>
      <c r="D177" s="304"/>
      <c r="E177" s="304">
        <f>D186*$E$94</f>
        <v>19.875156339864549</v>
      </c>
      <c r="F177" s="304">
        <f>D186*$F$94</f>
        <v>11.313549635614178</v>
      </c>
      <c r="G177" s="304">
        <f>D186*$G$94</f>
        <v>0</v>
      </c>
      <c r="H177" s="304">
        <f>D186*$H$94</f>
        <v>1.2245418511791273</v>
      </c>
      <c r="I177" s="304">
        <f>D186*$I$94</f>
        <v>-13.886148164586031</v>
      </c>
      <c r="J177" s="304">
        <f>D186*$J$94</f>
        <v>0</v>
      </c>
      <c r="K177" s="304">
        <f>L177-(E177+F177+G177+H177+I177+J177)</f>
        <v>-14.705037690621126</v>
      </c>
      <c r="L177" s="304">
        <f>M186-D186</f>
        <v>3.8220619714506938</v>
      </c>
      <c r="M177" s="311"/>
      <c r="N177" s="9"/>
      <c r="O177" s="9"/>
      <c r="P177" s="9"/>
      <c r="Q177" s="9"/>
      <c r="R177" s="9"/>
      <c r="S177" s="9"/>
      <c r="T177" s="9"/>
      <c r="U177" s="9"/>
      <c r="V177" s="9"/>
    </row>
    <row r="178" spans="1:28" x14ac:dyDescent="0.2">
      <c r="A178" s="19"/>
      <c r="B178" s="19"/>
      <c r="C178" s="309" t="str">
        <f>E175</f>
        <v>Base revenue (debt update)</v>
      </c>
      <c r="D178" s="236"/>
      <c r="E178" s="236">
        <f>ABS(E177)</f>
        <v>19.875156339864549</v>
      </c>
      <c r="F178" s="313"/>
      <c r="G178" s="313"/>
      <c r="H178" s="236"/>
      <c r="I178" s="236"/>
      <c r="J178" s="236"/>
      <c r="K178" s="236"/>
      <c r="L178" s="236"/>
      <c r="M178" s="236"/>
      <c r="N178" s="19"/>
      <c r="O178" s="19"/>
      <c r="P178" s="19"/>
      <c r="Q178" s="19"/>
      <c r="R178" s="19"/>
      <c r="S178" s="19"/>
      <c r="T178" s="19"/>
      <c r="U178" s="19"/>
    </row>
    <row r="179" spans="1:28" x14ac:dyDescent="0.2">
      <c r="A179" s="19"/>
      <c r="B179" s="19"/>
      <c r="C179" s="309" t="str">
        <f>F175</f>
        <v>Transmission costs</v>
      </c>
      <c r="D179" s="236"/>
      <c r="E179" s="236"/>
      <c r="F179" s="313">
        <f>ABS(F177)</f>
        <v>11.313549635614178</v>
      </c>
      <c r="G179" s="313"/>
      <c r="H179" s="236"/>
      <c r="I179" s="236"/>
      <c r="J179" s="236"/>
      <c r="K179" s="236"/>
      <c r="L179" s="236"/>
      <c r="M179" s="236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 x14ac:dyDescent="0.2">
      <c r="A180" s="19"/>
      <c r="B180" s="19"/>
      <c r="C180" s="309" t="str">
        <f>G175</f>
        <v>Jurisdictional scheme costs</v>
      </c>
      <c r="D180" s="236"/>
      <c r="E180" s="236"/>
      <c r="F180" s="312"/>
      <c r="G180" s="312">
        <f>ABS(G177)</f>
        <v>0</v>
      </c>
      <c r="H180" s="236"/>
      <c r="I180" s="236"/>
      <c r="J180" s="236"/>
      <c r="K180" s="236"/>
      <c r="L180" s="236"/>
      <c r="M180" s="236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 x14ac:dyDescent="0.2">
      <c r="A181" s="19"/>
      <c r="B181" s="19"/>
      <c r="C181" s="471" t="str">
        <f>H175</f>
        <v>Under/over recoveries</v>
      </c>
      <c r="D181" s="464"/>
      <c r="E181" s="236"/>
      <c r="F181" s="312"/>
      <c r="G181" s="312"/>
      <c r="H181" s="236">
        <f>ABS(H177)</f>
        <v>1.2245418511791273</v>
      </c>
      <c r="I181" s="236"/>
      <c r="J181" s="306"/>
      <c r="K181" s="306"/>
      <c r="L181" s="306"/>
      <c r="M181" s="306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 x14ac:dyDescent="0.2">
      <c r="A182" s="19"/>
      <c r="B182" s="19"/>
      <c r="C182" s="471" t="str">
        <f>I175</f>
        <v>Incentive schemes</v>
      </c>
      <c r="D182" s="464"/>
      <c r="E182" s="236"/>
      <c r="F182" s="312"/>
      <c r="G182" s="312"/>
      <c r="H182" s="236"/>
      <c r="I182" s="236">
        <f>ABS(I177)</f>
        <v>13.886148164586031</v>
      </c>
      <c r="J182" s="306"/>
      <c r="K182" s="306"/>
      <c r="L182" s="306"/>
      <c r="M182" s="306"/>
      <c r="N182" s="94"/>
      <c r="O182" s="94"/>
      <c r="P182" s="94"/>
      <c r="Q182" s="361"/>
      <c r="R182" s="361"/>
      <c r="S182" s="361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 x14ac:dyDescent="0.2">
      <c r="A183" s="19"/>
      <c r="B183" s="19"/>
      <c r="C183" s="471" t="str">
        <f>J175</f>
        <v>Cost pass-throughs</v>
      </c>
      <c r="D183" s="464"/>
      <c r="E183" s="236"/>
      <c r="F183" s="312"/>
      <c r="G183" s="312"/>
      <c r="H183" s="236"/>
      <c r="I183" s="236"/>
      <c r="J183" s="306">
        <f>ABS(J177)</f>
        <v>0</v>
      </c>
      <c r="K183" s="306"/>
      <c r="L183" s="306"/>
      <c r="M183" s="306"/>
      <c r="N183" s="94"/>
      <c r="O183" s="94"/>
      <c r="P183" s="94"/>
      <c r="Q183" s="361"/>
      <c r="R183" s="361"/>
      <c r="S183" s="361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 x14ac:dyDescent="0.2">
      <c r="A184" s="19"/>
      <c r="B184" s="19"/>
      <c r="C184" s="471" t="str">
        <f>K175</f>
        <v>Other adj./ rebalancing</v>
      </c>
      <c r="D184" s="464"/>
      <c r="E184" s="236"/>
      <c r="F184" s="312"/>
      <c r="G184" s="312"/>
      <c r="H184" s="236"/>
      <c r="I184" s="236"/>
      <c r="J184" s="306"/>
      <c r="K184" s="306">
        <f>ABS(K177)</f>
        <v>14.705037690621126</v>
      </c>
      <c r="L184" s="306"/>
      <c r="M184" s="306"/>
      <c r="N184" s="94"/>
      <c r="O184" s="94"/>
      <c r="P184" s="94"/>
      <c r="Q184" s="361"/>
      <c r="R184" s="361"/>
      <c r="S184" s="361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 x14ac:dyDescent="0.2">
      <c r="A185" s="19"/>
      <c r="B185" s="19"/>
      <c r="C185" s="471" t="str">
        <f>L175</f>
        <v>Total movement</v>
      </c>
      <c r="D185" s="464"/>
      <c r="E185" s="236"/>
      <c r="F185" s="312"/>
      <c r="G185" s="312"/>
      <c r="H185" s="236"/>
      <c r="I185" s="236"/>
      <c r="J185" s="306"/>
      <c r="K185" s="306"/>
      <c r="L185" s="306">
        <f>ABS(L177)</f>
        <v>3.8220619714506938</v>
      </c>
      <c r="M185" s="306"/>
      <c r="N185" s="94"/>
      <c r="O185" s="94"/>
      <c r="P185" s="94"/>
      <c r="Q185" s="361"/>
      <c r="R185" s="361"/>
      <c r="S185" s="361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 x14ac:dyDescent="0.2">
      <c r="A186" s="19"/>
      <c r="B186" s="19"/>
      <c r="C186" s="471" t="s">
        <v>528</v>
      </c>
      <c r="D186" s="464">
        <f>D135</f>
        <v>756.82669188341129</v>
      </c>
      <c r="E186" s="236"/>
      <c r="F186" s="312"/>
      <c r="G186" s="312"/>
      <c r="H186" s="236"/>
      <c r="I186" s="236"/>
      <c r="J186" s="306"/>
      <c r="K186" s="306"/>
      <c r="L186" s="306"/>
      <c r="M186" s="306">
        <f>J135</f>
        <v>760.64875385486198</v>
      </c>
      <c r="N186" s="94"/>
      <c r="O186" s="94"/>
      <c r="P186" s="94"/>
      <c r="Q186" s="361"/>
      <c r="R186" s="361"/>
      <c r="S186" s="361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 x14ac:dyDescent="0.2">
      <c r="A187" s="19"/>
      <c r="B187" s="19"/>
      <c r="C187" s="496"/>
      <c r="D187" s="497"/>
      <c r="E187" s="498"/>
      <c r="F187" s="499"/>
      <c r="G187" s="499"/>
      <c r="H187" s="498"/>
      <c r="I187" s="498"/>
      <c r="J187" s="427"/>
      <c r="K187" s="374"/>
      <c r="L187" s="374"/>
      <c r="M187" s="374"/>
      <c r="N187" s="94"/>
      <c r="O187" s="94"/>
      <c r="P187" s="94"/>
      <c r="Q187" s="361"/>
      <c r="R187" s="361"/>
      <c r="S187" s="361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 x14ac:dyDescent="0.2">
      <c r="A188" s="19"/>
      <c r="B188" s="19"/>
      <c r="C188" s="470"/>
      <c r="D188" s="466"/>
      <c r="E188" s="242"/>
      <c r="F188" s="501"/>
      <c r="G188" s="501"/>
      <c r="H188" s="242"/>
      <c r="I188" s="242"/>
      <c r="J188" s="374"/>
      <c r="K188" s="374"/>
      <c r="L188" s="374"/>
      <c r="M188" s="374"/>
      <c r="N188" s="94"/>
      <c r="O188" s="94"/>
      <c r="P188" s="94"/>
      <c r="Q188" s="361"/>
      <c r="R188" s="361"/>
      <c r="S188" s="361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 ht="22.5" x14ac:dyDescent="0.2">
      <c r="A189" s="19"/>
      <c r="B189" s="19"/>
      <c r="C189" s="51" t="str">
        <f>DNSP&amp;" - "&amp;H98&amp;" ($)"</f>
        <v>TasNetworks - Residential general light and power ($)</v>
      </c>
      <c r="D189" s="502" t="str">
        <f>currentyear</f>
        <v>2021–22</v>
      </c>
      <c r="E189" s="503" t="str">
        <f>"Base revenue "&amp;IF(forecastyear=RCP_firstyear,"(determination)","(debt update)")</f>
        <v>Base revenue (debt update)</v>
      </c>
      <c r="F189" s="503" t="s">
        <v>529</v>
      </c>
      <c r="G189" s="503" t="s">
        <v>530</v>
      </c>
      <c r="H189" s="503" t="s">
        <v>531</v>
      </c>
      <c r="I189" s="503" t="s">
        <v>526</v>
      </c>
      <c r="J189" s="503" t="s">
        <v>527</v>
      </c>
      <c r="K189" s="314" t="s">
        <v>539</v>
      </c>
      <c r="L189" s="314" t="s">
        <v>515</v>
      </c>
      <c r="M189" s="153" t="str">
        <f>forecastyear</f>
        <v>2022–23</v>
      </c>
      <c r="N189" s="94"/>
      <c r="O189" s="94"/>
      <c r="P189" s="94"/>
      <c r="Q189" s="361"/>
      <c r="R189" s="361"/>
      <c r="S189" s="361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 x14ac:dyDescent="0.2">
      <c r="A190" s="19"/>
      <c r="B190" s="19"/>
      <c r="C190" s="309" t="s">
        <v>519</v>
      </c>
      <c r="D190" s="236"/>
      <c r="E190" s="236">
        <f>IF(E191&lt;0,D200+(E191),D200)</f>
        <v>511.85773331683311</v>
      </c>
      <c r="F190" s="236">
        <f t="shared" ref="F190:K190" si="4">IF(F191&lt;0,IF(E191&lt;0,E190+(F191),E190+(E191)+(F191)),IF(E191&lt;0,E190,E190+(E191)))</f>
        <v>525.29971756837153</v>
      </c>
      <c r="G190" s="236">
        <f t="shared" si="4"/>
        <v>532.95130799767026</v>
      </c>
      <c r="H190" s="236">
        <f t="shared" si="4"/>
        <v>532.95130799767026</v>
      </c>
      <c r="I190" s="236">
        <f t="shared" si="4"/>
        <v>524.38799862019266</v>
      </c>
      <c r="J190" s="236">
        <f t="shared" si="4"/>
        <v>524.38799862019266</v>
      </c>
      <c r="K190" s="236">
        <f t="shared" si="4"/>
        <v>502.63540924520998</v>
      </c>
      <c r="L190" s="236">
        <f>MIN(D200,M200)</f>
        <v>502.63540924521004</v>
      </c>
      <c r="M190" s="306"/>
      <c r="N190" s="94"/>
      <c r="O190" s="94"/>
      <c r="P190" s="94"/>
      <c r="Q190" s="361"/>
      <c r="R190" s="361"/>
      <c r="S190" s="361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 x14ac:dyDescent="0.2">
      <c r="A191" s="19"/>
      <c r="B191" s="19"/>
      <c r="C191" s="309" t="s">
        <v>518</v>
      </c>
      <c r="D191" s="304"/>
      <c r="E191" s="304">
        <f>D200*$E$94</f>
        <v>13.441984251538445</v>
      </c>
      <c r="F191" s="304">
        <f>D200*$F$94</f>
        <v>7.6515904292987669</v>
      </c>
      <c r="G191" s="304">
        <f>D200*$G$94</f>
        <v>0</v>
      </c>
      <c r="H191" s="304">
        <f>D200*$H$94</f>
        <v>0.82818328557669796</v>
      </c>
      <c r="I191" s="304">
        <f>D200*$I$94</f>
        <v>-9.3914926630542919</v>
      </c>
      <c r="J191" s="304">
        <f>D200*$J$94</f>
        <v>0</v>
      </c>
      <c r="K191" s="304">
        <f>L191-(E191+F191+G191+H191+I191+J191)</f>
        <v>-21.752589374982684</v>
      </c>
      <c r="L191" s="304">
        <f>M200-D200</f>
        <v>-9.2223240716230634</v>
      </c>
      <c r="M191" s="311"/>
      <c r="N191" s="94"/>
      <c r="O191" s="94"/>
      <c r="P191" s="94"/>
      <c r="Q191" s="361"/>
      <c r="R191" s="361"/>
      <c r="S191" s="361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 x14ac:dyDescent="0.2">
      <c r="A192" s="19"/>
      <c r="B192" s="19"/>
      <c r="C192" s="309" t="str">
        <f>E189</f>
        <v>Base revenue (debt update)</v>
      </c>
      <c r="D192" s="236"/>
      <c r="E192" s="236">
        <f>ABS(E191)</f>
        <v>13.441984251538445</v>
      </c>
      <c r="F192" s="313"/>
      <c r="G192" s="313"/>
      <c r="H192" s="236"/>
      <c r="I192" s="236"/>
      <c r="J192" s="236"/>
      <c r="K192" s="236"/>
      <c r="L192" s="236"/>
      <c r="M192" s="236"/>
      <c r="N192" s="94"/>
      <c r="O192" s="94"/>
      <c r="P192" s="94"/>
      <c r="Q192" s="361"/>
      <c r="R192" s="361"/>
      <c r="S192" s="361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 x14ac:dyDescent="0.2">
      <c r="A193" s="19"/>
      <c r="B193" s="19"/>
      <c r="C193" s="309" t="str">
        <f>F189</f>
        <v>Transmission costs</v>
      </c>
      <c r="D193" s="236"/>
      <c r="E193" s="236"/>
      <c r="F193" s="313">
        <f>ABS(F191)</f>
        <v>7.6515904292987669</v>
      </c>
      <c r="G193" s="313"/>
      <c r="H193" s="236"/>
      <c r="I193" s="236"/>
      <c r="J193" s="236"/>
      <c r="K193" s="236"/>
      <c r="L193" s="236"/>
      <c r="M193" s="236"/>
      <c r="N193" s="94"/>
      <c r="O193" s="94"/>
      <c r="P193" s="94"/>
      <c r="Q193" s="361"/>
      <c r="R193" s="361"/>
      <c r="S193" s="361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 x14ac:dyDescent="0.2">
      <c r="A194" s="19"/>
      <c r="B194" s="19"/>
      <c r="C194" s="309" t="str">
        <f>G189</f>
        <v>Jurisdictional scheme costs</v>
      </c>
      <c r="D194" s="236"/>
      <c r="E194" s="236"/>
      <c r="F194" s="312"/>
      <c r="G194" s="312">
        <f>ABS(G191)</f>
        <v>0</v>
      </c>
      <c r="H194" s="236"/>
      <c r="I194" s="236"/>
      <c r="J194" s="236"/>
      <c r="K194" s="236"/>
      <c r="L194" s="236"/>
      <c r="M194" s="236"/>
      <c r="N194" s="94"/>
      <c r="O194" s="94"/>
      <c r="P194" s="94"/>
      <c r="Q194" s="361"/>
      <c r="R194" s="361"/>
      <c r="S194" s="361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 x14ac:dyDescent="0.2">
      <c r="A195" s="19"/>
      <c r="B195" s="19"/>
      <c r="C195" s="471" t="str">
        <f>H189</f>
        <v>Under/over recoveries</v>
      </c>
      <c r="D195" s="464"/>
      <c r="E195" s="236"/>
      <c r="F195" s="312"/>
      <c r="G195" s="312"/>
      <c r="H195" s="236">
        <f>ABS(H191)</f>
        <v>0.82818328557669796</v>
      </c>
      <c r="I195" s="236"/>
      <c r="J195" s="306"/>
      <c r="K195" s="306"/>
      <c r="L195" s="306"/>
      <c r="M195" s="306"/>
      <c r="N195" s="94"/>
      <c r="O195" s="94"/>
      <c r="P195" s="94"/>
      <c r="Q195" s="361"/>
      <c r="R195" s="361"/>
      <c r="S195" s="361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 x14ac:dyDescent="0.2">
      <c r="A196" s="19"/>
      <c r="B196" s="19"/>
      <c r="C196" s="471" t="str">
        <f>I189</f>
        <v>Incentive schemes</v>
      </c>
      <c r="D196" s="464"/>
      <c r="E196" s="236"/>
      <c r="F196" s="312"/>
      <c r="G196" s="312"/>
      <c r="H196" s="236"/>
      <c r="I196" s="236">
        <f>ABS(I191)</f>
        <v>9.3914926630542919</v>
      </c>
      <c r="J196" s="306"/>
      <c r="K196" s="306"/>
      <c r="L196" s="306"/>
      <c r="M196" s="306"/>
      <c r="N196" s="94"/>
      <c r="O196" s="94"/>
      <c r="P196" s="94"/>
      <c r="Q196" s="361"/>
      <c r="R196" s="361"/>
      <c r="S196" s="361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 x14ac:dyDescent="0.2">
      <c r="A197" s="19"/>
      <c r="B197" s="19"/>
      <c r="C197" s="471" t="str">
        <f>J189</f>
        <v>Cost pass-throughs</v>
      </c>
      <c r="D197" s="464"/>
      <c r="E197" s="236"/>
      <c r="F197" s="312"/>
      <c r="G197" s="312"/>
      <c r="H197" s="236"/>
      <c r="I197" s="236"/>
      <c r="J197" s="306">
        <f>ABS(J191)</f>
        <v>0</v>
      </c>
      <c r="K197" s="306"/>
      <c r="L197" s="306"/>
      <c r="M197" s="306"/>
      <c r="N197" s="94"/>
      <c r="O197" s="94"/>
      <c r="P197" s="94"/>
      <c r="Q197" s="361"/>
      <c r="R197" s="361"/>
      <c r="S197" s="361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 x14ac:dyDescent="0.2">
      <c r="A198" s="19"/>
      <c r="B198" s="19"/>
      <c r="C198" s="471" t="str">
        <f>K189</f>
        <v>Other adj./ rebalancing</v>
      </c>
      <c r="D198" s="464"/>
      <c r="E198" s="236"/>
      <c r="F198" s="312"/>
      <c r="G198" s="312"/>
      <c r="H198" s="236"/>
      <c r="I198" s="236"/>
      <c r="J198" s="306"/>
      <c r="K198" s="306">
        <f>ABS(K191)</f>
        <v>21.752589374982684</v>
      </c>
      <c r="L198" s="306"/>
      <c r="M198" s="306"/>
      <c r="N198" s="94"/>
      <c r="O198" s="94"/>
      <c r="P198" s="94"/>
      <c r="Q198" s="361"/>
      <c r="R198" s="361"/>
      <c r="S198" s="361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x14ac:dyDescent="0.2">
      <c r="A199" s="19"/>
      <c r="B199" s="19"/>
      <c r="C199" s="471" t="str">
        <f>L189</f>
        <v>Total movement</v>
      </c>
      <c r="D199" s="464"/>
      <c r="E199" s="236"/>
      <c r="F199" s="312"/>
      <c r="G199" s="312"/>
      <c r="H199" s="236"/>
      <c r="I199" s="236"/>
      <c r="J199" s="306"/>
      <c r="K199" s="306"/>
      <c r="L199" s="306">
        <f>ABS(L191)</f>
        <v>9.2223240716230634</v>
      </c>
      <c r="M199" s="306"/>
      <c r="N199" s="94"/>
      <c r="O199" s="94"/>
      <c r="P199" s="94"/>
      <c r="Q199" s="361"/>
      <c r="R199" s="361"/>
      <c r="S199" s="361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 x14ac:dyDescent="0.2">
      <c r="A200" s="19"/>
      <c r="B200" s="19"/>
      <c r="C200" s="471" t="s">
        <v>528</v>
      </c>
      <c r="D200" s="464">
        <f>D145</f>
        <v>511.85773331683311</v>
      </c>
      <c r="E200" s="236"/>
      <c r="F200" s="312"/>
      <c r="G200" s="312"/>
      <c r="H200" s="236"/>
      <c r="I200" s="236"/>
      <c r="J200" s="306"/>
      <c r="K200" s="306"/>
      <c r="L200" s="306"/>
      <c r="M200" s="306">
        <f>J145</f>
        <v>502.63540924521004</v>
      </c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x14ac:dyDescent="0.2">
      <c r="A201" s="19"/>
      <c r="B201" s="19"/>
      <c r="C201" s="51"/>
      <c r="D201" s="20"/>
      <c r="E201" s="20"/>
      <c r="F201" s="20"/>
      <c r="G201" s="22"/>
      <c r="H201" s="22"/>
      <c r="I201" s="20"/>
      <c r="J201" s="20"/>
      <c r="K201" s="20"/>
      <c r="L201" s="20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 x14ac:dyDescent="0.2">
      <c r="A202" s="19"/>
      <c r="B202" s="19"/>
      <c r="C202" s="51"/>
      <c r="D202" s="20"/>
      <c r="E202" s="20"/>
      <c r="F202" s="20"/>
      <c r="G202" s="22"/>
      <c r="H202" s="22"/>
      <c r="I202" s="20"/>
      <c r="J202" s="20"/>
      <c r="K202" s="20"/>
      <c r="L202" s="20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 ht="12.75" x14ac:dyDescent="0.2">
      <c r="A203" s="11"/>
      <c r="B203" s="12" t="s">
        <v>534</v>
      </c>
      <c r="C203" s="11"/>
      <c r="D203" s="32"/>
      <c r="E203" s="32"/>
      <c r="F203" s="33"/>
      <c r="G203" s="34"/>
      <c r="H203" s="34"/>
      <c r="I203" s="34"/>
      <c r="J203" s="33"/>
      <c r="K203" s="33"/>
      <c r="L203" s="33"/>
      <c r="M203" s="35"/>
      <c r="N203" s="35"/>
      <c r="O203" s="35"/>
      <c r="P203" s="35"/>
      <c r="Q203" s="15"/>
      <c r="R203" s="15"/>
      <c r="S203" s="15"/>
      <c r="T203" s="15"/>
      <c r="U203" s="15"/>
    </row>
    <row r="204" spans="1:28" x14ac:dyDescent="0.2">
      <c r="A204" s="19"/>
      <c r="B204" s="19"/>
      <c r="C204" s="51"/>
      <c r="D204" s="20"/>
      <c r="E204" s="20"/>
      <c r="F204" s="20"/>
      <c r="G204" s="20"/>
      <c r="H204" s="20"/>
      <c r="I204" s="20"/>
      <c r="J204" s="20"/>
      <c r="K204" s="20"/>
      <c r="L204" s="20"/>
      <c r="M204" s="19"/>
      <c r="N204" s="19"/>
      <c r="O204" s="19"/>
      <c r="P204" s="19"/>
      <c r="Q204" s="19"/>
      <c r="R204" s="19"/>
      <c r="S204" s="19"/>
      <c r="T204" s="19"/>
      <c r="U204" s="19"/>
    </row>
    <row r="205" spans="1:28" x14ac:dyDescent="0.2">
      <c r="A205" s="19"/>
      <c r="B205" s="19"/>
      <c r="C205" s="685" t="s">
        <v>924</v>
      </c>
      <c r="D205" s="685"/>
      <c r="E205" s="685"/>
      <c r="F205" s="685"/>
      <c r="G205" s="685"/>
      <c r="H205" s="686" t="s">
        <v>925</v>
      </c>
      <c r="I205" s="686"/>
      <c r="J205" s="686"/>
      <c r="K205" s="686"/>
      <c r="L205" s="686"/>
      <c r="M205" s="686"/>
      <c r="N205" s="686"/>
      <c r="O205" s="500"/>
      <c r="P205" s="500"/>
      <c r="Q205" s="19"/>
      <c r="R205" s="19"/>
      <c r="S205" s="19"/>
      <c r="T205" s="19"/>
      <c r="U205" s="19"/>
    </row>
    <row r="206" spans="1:28" x14ac:dyDescent="0.2">
      <c r="A206" s="19"/>
      <c r="B206" s="19"/>
      <c r="C206" s="51"/>
      <c r="D206" s="20"/>
      <c r="E206" s="20"/>
      <c r="F206" s="20"/>
      <c r="G206" s="20"/>
      <c r="H206" s="20"/>
      <c r="I206" s="20"/>
      <c r="J206" s="20"/>
      <c r="K206" s="20"/>
      <c r="L206" s="20"/>
      <c r="M206" s="19"/>
      <c r="N206" s="19"/>
      <c r="O206" s="19"/>
      <c r="P206" s="19"/>
      <c r="Q206" s="19"/>
      <c r="R206" s="19"/>
      <c r="S206" s="19"/>
      <c r="T206" s="19"/>
      <c r="U206" s="19"/>
    </row>
    <row r="207" spans="1:28" x14ac:dyDescent="0.2">
      <c r="A207" s="19"/>
      <c r="B207" s="19"/>
      <c r="C207" s="82" t="s">
        <v>669</v>
      </c>
      <c r="D207" s="20"/>
      <c r="E207" s="20"/>
      <c r="F207" s="20"/>
      <c r="G207" s="20"/>
      <c r="H207" s="20"/>
      <c r="I207" s="20"/>
      <c r="J207" s="20"/>
      <c r="K207" s="20"/>
      <c r="L207" s="20"/>
      <c r="M207" s="19"/>
      <c r="N207" s="19"/>
      <c r="O207" s="19"/>
      <c r="P207" s="19"/>
      <c r="Q207" s="19"/>
      <c r="R207" s="19"/>
      <c r="S207" s="19"/>
      <c r="T207" s="19"/>
      <c r="U207" s="19"/>
    </row>
    <row r="208" spans="1:28" x14ac:dyDescent="0.2">
      <c r="A208" s="19"/>
      <c r="B208" s="19"/>
      <c r="C208" s="51"/>
      <c r="D208" s="20"/>
      <c r="E208" s="20"/>
      <c r="F208" s="20"/>
      <c r="G208" s="20"/>
      <c r="H208" s="20"/>
      <c r="I208" s="20"/>
      <c r="J208" s="20"/>
      <c r="K208" s="20"/>
      <c r="L208" s="20"/>
      <c r="M208" s="19"/>
      <c r="N208" s="19"/>
      <c r="O208" s="19"/>
      <c r="P208" s="19"/>
      <c r="Q208" s="19"/>
      <c r="R208" s="19"/>
      <c r="S208" s="19"/>
      <c r="T208" s="19"/>
      <c r="U208" s="19"/>
    </row>
    <row r="209" spans="1:25" x14ac:dyDescent="0.2">
      <c r="A209" s="9"/>
      <c r="B209" s="9"/>
      <c r="C209" s="24"/>
      <c r="D209" s="20"/>
      <c r="E209" s="20"/>
      <c r="F209" s="20"/>
      <c r="G209" s="20"/>
      <c r="I209" s="20"/>
      <c r="J209" s="20"/>
      <c r="K209" s="20"/>
      <c r="L209" s="20"/>
      <c r="M209" s="10"/>
      <c r="N209" s="50"/>
      <c r="O209" s="50"/>
      <c r="P209" s="50"/>
      <c r="Q209" s="9"/>
      <c r="R209" s="9"/>
      <c r="S209" s="9"/>
      <c r="T209" s="9"/>
      <c r="U209" s="9"/>
      <c r="V209" s="9"/>
      <c r="W209" s="9"/>
      <c r="X209" s="9"/>
      <c r="Y209" s="9"/>
    </row>
    <row r="210" spans="1:25" x14ac:dyDescent="0.2">
      <c r="A210" s="9"/>
      <c r="B210" s="9"/>
      <c r="C210" s="299"/>
      <c r="D210" s="58"/>
      <c r="E210" s="151"/>
      <c r="F210" s="20"/>
      <c r="G210" s="20"/>
      <c r="H210" s="65"/>
      <c r="I210" s="20"/>
      <c r="J210" s="20"/>
      <c r="K210" s="50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</row>
    <row r="211" spans="1:25" x14ac:dyDescent="0.2">
      <c r="A211" s="9"/>
      <c r="B211" s="9"/>
      <c r="C211" s="300"/>
      <c r="D211" s="242"/>
      <c r="E211" s="242"/>
      <c r="F211" s="343"/>
      <c r="G211" s="20"/>
      <c r="H211" s="261"/>
      <c r="I211" s="20"/>
      <c r="J211" s="301"/>
      <c r="K211" s="20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</row>
    <row r="212" spans="1:25" x14ac:dyDescent="0.2">
      <c r="A212" s="9"/>
      <c r="B212" s="9"/>
      <c r="C212" s="300"/>
      <c r="D212" s="242"/>
      <c r="E212" s="242"/>
      <c r="F212" s="343"/>
      <c r="G212" s="20"/>
      <c r="H212" s="261"/>
      <c r="I212" s="20"/>
      <c r="J212" s="301"/>
      <c r="K212" s="20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</row>
    <row r="213" spans="1:25" x14ac:dyDescent="0.2">
      <c r="A213" s="9"/>
      <c r="B213" s="9"/>
      <c r="C213" s="300"/>
      <c r="D213" s="242"/>
      <c r="E213" s="242"/>
      <c r="F213" s="343"/>
      <c r="G213" s="20"/>
      <c r="H213" s="261"/>
      <c r="I213" s="20"/>
      <c r="J213" s="301"/>
      <c r="K213" s="20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</row>
    <row r="214" spans="1:25" x14ac:dyDescent="0.2">
      <c r="A214" s="9"/>
      <c r="B214" s="9"/>
      <c r="C214" s="300"/>
      <c r="D214" s="242"/>
      <c r="E214" s="242"/>
      <c r="F214" s="343"/>
      <c r="G214" s="20"/>
      <c r="H214" s="261"/>
      <c r="I214" s="20"/>
      <c r="J214" s="301"/>
      <c r="K214" s="20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</row>
    <row r="215" spans="1:25" x14ac:dyDescent="0.2">
      <c r="A215" s="9"/>
      <c r="B215" s="9"/>
      <c r="C215" s="300"/>
      <c r="D215" s="242"/>
      <c r="E215" s="242"/>
      <c r="F215" s="343"/>
      <c r="G215" s="20"/>
      <c r="H215" s="261"/>
      <c r="I215" s="20"/>
      <c r="J215" s="301"/>
      <c r="K215" s="20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</row>
    <row r="216" spans="1:25" x14ac:dyDescent="0.2">
      <c r="A216" s="9"/>
      <c r="B216" s="9"/>
      <c r="C216" s="300"/>
      <c r="D216" s="242"/>
      <c r="E216" s="242"/>
      <c r="F216" s="343"/>
      <c r="G216" s="20"/>
      <c r="H216" s="261"/>
      <c r="I216" s="20"/>
      <c r="J216" s="301"/>
      <c r="K216" s="20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</row>
    <row r="217" spans="1:25" x14ac:dyDescent="0.2">
      <c r="A217" s="9"/>
      <c r="B217" s="9"/>
      <c r="C217" s="300"/>
      <c r="D217" s="242"/>
      <c r="E217" s="242"/>
      <c r="F217" s="343"/>
      <c r="G217" s="20"/>
      <c r="H217" s="261"/>
      <c r="I217" s="20"/>
      <c r="J217" s="302"/>
      <c r="K217" s="20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</row>
    <row r="218" spans="1:25" x14ac:dyDescent="0.2">
      <c r="A218" s="9"/>
      <c r="B218" s="9"/>
      <c r="C218" s="300"/>
      <c r="D218" s="242"/>
      <c r="E218" s="242"/>
      <c r="F218" s="343"/>
      <c r="G218" s="20"/>
      <c r="H218" s="65"/>
      <c r="I218" s="20"/>
      <c r="J218" s="301"/>
      <c r="K218" s="20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</row>
    <row r="219" spans="1:25" x14ac:dyDescent="0.2">
      <c r="A219" s="9"/>
      <c r="B219" s="9"/>
      <c r="C219" s="300"/>
      <c r="D219" s="242"/>
      <c r="E219" s="242"/>
      <c r="F219" s="343"/>
      <c r="G219" s="20"/>
      <c r="H219" s="20"/>
      <c r="I219" s="20"/>
      <c r="J219" s="20"/>
      <c r="K219" s="20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</row>
    <row r="220" spans="1:25" x14ac:dyDescent="0.2">
      <c r="A220" s="9"/>
      <c r="B220" s="9"/>
      <c r="C220" s="300"/>
      <c r="D220" s="242"/>
      <c r="E220" s="242"/>
      <c r="F220" s="343"/>
      <c r="G220" s="20"/>
      <c r="H220" s="20"/>
      <c r="I220" s="20"/>
      <c r="J220" s="20"/>
      <c r="K220" s="20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</row>
    <row r="221" spans="1:25" x14ac:dyDescent="0.2">
      <c r="A221" s="9"/>
      <c r="B221" s="9"/>
      <c r="C221" s="300"/>
      <c r="D221" s="242"/>
      <c r="E221" s="242"/>
      <c r="F221" s="343"/>
      <c r="G221" s="20"/>
      <c r="H221" s="20"/>
      <c r="I221" s="20"/>
      <c r="J221" s="20"/>
      <c r="K221" s="20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</row>
    <row r="222" spans="1:25" x14ac:dyDescent="0.2">
      <c r="A222" s="9"/>
      <c r="B222" s="9"/>
      <c r="C222" s="300"/>
      <c r="D222" s="242"/>
      <c r="E222" s="242"/>
      <c r="F222" s="343"/>
      <c r="G222" s="20"/>
      <c r="H222" s="20"/>
      <c r="I222" s="20"/>
      <c r="J222" s="20"/>
      <c r="K222" s="20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</row>
    <row r="223" spans="1:25" x14ac:dyDescent="0.2">
      <c r="A223" s="9"/>
      <c r="B223" s="9"/>
      <c r="C223" s="300"/>
      <c r="D223" s="242"/>
      <c r="E223" s="242"/>
      <c r="F223" s="343"/>
      <c r="G223" s="20"/>
      <c r="H223" s="20"/>
      <c r="I223" s="20"/>
      <c r="J223" s="20"/>
      <c r="K223" s="20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</row>
    <row r="224" spans="1:25" x14ac:dyDescent="0.2">
      <c r="A224" s="9"/>
      <c r="B224" s="9"/>
      <c r="C224" s="300"/>
      <c r="D224" s="242"/>
      <c r="E224" s="242"/>
      <c r="F224" s="343"/>
      <c r="G224" s="20"/>
      <c r="H224" s="20"/>
      <c r="I224" s="20"/>
      <c r="J224" s="20"/>
      <c r="K224" s="20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</row>
    <row r="225" spans="1:28" x14ac:dyDescent="0.2">
      <c r="A225" s="9"/>
      <c r="B225" s="9"/>
      <c r="C225" s="300"/>
      <c r="D225" s="242"/>
      <c r="E225" s="242"/>
      <c r="F225" s="343"/>
      <c r="G225" s="20"/>
      <c r="H225" s="20"/>
      <c r="I225" s="20"/>
      <c r="J225" s="20"/>
      <c r="K225" s="20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</row>
    <row r="226" spans="1:28" x14ac:dyDescent="0.2">
      <c r="A226" s="9"/>
      <c r="B226" s="9"/>
      <c r="C226" s="300"/>
      <c r="D226" s="242"/>
      <c r="E226" s="242"/>
      <c r="F226" s="343"/>
      <c r="G226" s="20"/>
      <c r="H226" s="20"/>
      <c r="I226" s="20"/>
      <c r="J226" s="20"/>
      <c r="K226" s="20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</row>
    <row r="227" spans="1:28" x14ac:dyDescent="0.2">
      <c r="A227" s="9"/>
      <c r="B227" s="9"/>
      <c r="C227" s="300"/>
      <c r="D227" s="242"/>
      <c r="E227" s="242"/>
      <c r="F227" s="343"/>
      <c r="G227" s="20"/>
      <c r="H227" s="20"/>
      <c r="I227" s="20"/>
      <c r="J227" s="20"/>
      <c r="K227" s="20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</row>
    <row r="228" spans="1:28" x14ac:dyDescent="0.2">
      <c r="A228" s="9"/>
      <c r="B228" s="9"/>
      <c r="C228" s="300"/>
      <c r="D228" s="242"/>
      <c r="E228" s="242"/>
      <c r="F228" s="343"/>
      <c r="G228" s="20"/>
      <c r="H228" s="20"/>
      <c r="I228" s="20"/>
      <c r="J228" s="20"/>
      <c r="K228" s="20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</row>
    <row r="229" spans="1:28" x14ac:dyDescent="0.2">
      <c r="A229" s="9"/>
      <c r="B229" s="9"/>
      <c r="C229" s="300"/>
      <c r="D229" s="242"/>
      <c r="E229" s="242"/>
      <c r="F229" s="343"/>
      <c r="G229" s="20"/>
      <c r="H229" s="20"/>
      <c r="I229" s="20"/>
      <c r="J229" s="20"/>
      <c r="K229" s="20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</row>
    <row r="230" spans="1:28" x14ac:dyDescent="0.2">
      <c r="A230" s="9"/>
      <c r="B230" s="9"/>
      <c r="C230" s="300"/>
      <c r="D230" s="242"/>
      <c r="E230" s="242"/>
      <c r="F230" s="343"/>
      <c r="G230" s="20"/>
      <c r="H230" s="20"/>
      <c r="I230" s="20"/>
      <c r="J230" s="20"/>
      <c r="K230" s="20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</row>
    <row r="231" spans="1:28" x14ac:dyDescent="0.2">
      <c r="A231" s="9"/>
      <c r="B231" s="9"/>
      <c r="C231" s="300"/>
      <c r="D231" s="242"/>
      <c r="E231" s="242"/>
      <c r="F231" s="343"/>
      <c r="G231" s="20"/>
      <c r="H231" s="20"/>
      <c r="I231" s="20"/>
      <c r="J231" s="20"/>
      <c r="K231" s="20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</row>
    <row r="232" spans="1:28" x14ac:dyDescent="0.2">
      <c r="A232" s="9"/>
      <c r="B232" s="9"/>
      <c r="C232" s="300"/>
      <c r="D232" s="242"/>
      <c r="E232" s="242"/>
      <c r="F232" s="343"/>
      <c r="G232" s="20"/>
      <c r="H232" s="20"/>
      <c r="I232" s="20"/>
      <c r="J232" s="20"/>
      <c r="K232" s="20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</row>
    <row r="233" spans="1:28" x14ac:dyDescent="0.2">
      <c r="A233" s="9"/>
      <c r="B233" s="9"/>
      <c r="C233" s="300"/>
      <c r="D233" s="242"/>
      <c r="E233" s="242"/>
      <c r="F233" s="343"/>
      <c r="G233" s="20"/>
      <c r="H233" s="20"/>
      <c r="I233" s="20"/>
      <c r="J233" s="20"/>
      <c r="K233" s="20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</row>
    <row r="234" spans="1:28" ht="22.5" x14ac:dyDescent="0.2">
      <c r="A234" s="9"/>
      <c r="B234" s="9"/>
      <c r="C234" s="51" t="str">
        <f>DNSP&amp;" - "&amp;C205&amp;" ($)"</f>
        <v>TasNetworks - Small business time of use consumption ($)</v>
      </c>
      <c r="D234" s="318" t="str">
        <f>currentyear</f>
        <v>2021–22</v>
      </c>
      <c r="E234" s="318" t="s">
        <v>136</v>
      </c>
      <c r="F234" s="319" t="s">
        <v>522</v>
      </c>
      <c r="G234" s="58" t="s">
        <v>517</v>
      </c>
      <c r="H234" s="58" t="s">
        <v>405</v>
      </c>
      <c r="I234" s="58" t="s">
        <v>515</v>
      </c>
      <c r="J234" s="58" t="str">
        <f>forecastyear</f>
        <v>2022–23</v>
      </c>
      <c r="K234" s="20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</row>
    <row r="235" spans="1:28" x14ac:dyDescent="0.2">
      <c r="A235" s="9"/>
      <c r="B235" s="9"/>
      <c r="C235" s="316" t="s">
        <v>519</v>
      </c>
      <c r="D235" s="236"/>
      <c r="E235" s="236">
        <f>IF(E236&lt;0,D242+E236,D242)</f>
        <v>4315.2743622477874</v>
      </c>
      <c r="F235" s="236">
        <f>IF(F236&lt;0,IF(E236&lt;0, E235+F236,E235+E236+F236),IF(E236&lt;0, E235, E235+E236))</f>
        <v>4333.8022576759249</v>
      </c>
      <c r="G235" s="236">
        <f>IF(G236&lt;0,IF(F236&lt;0, F235+G236,F235+F236+G236),IF(F236&lt;0, F235, F235+F236))</f>
        <v>4385.1220179877346</v>
      </c>
      <c r="H235" s="236">
        <f>IF(H236&lt;0,IF(G236&lt;0, G235+H236,G235+G236+H236),IF(G236&lt;0, G235, G235+G236))</f>
        <v>4385.1220179877346</v>
      </c>
      <c r="I235" s="236">
        <f>MIN(D242,J242)</f>
        <v>4315.2743622477874</v>
      </c>
      <c r="J235" s="236"/>
      <c r="K235" s="20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</row>
    <row r="236" spans="1:28" x14ac:dyDescent="0.2">
      <c r="A236" s="9"/>
      <c r="B236" s="9"/>
      <c r="C236" s="316" t="s">
        <v>518</v>
      </c>
      <c r="D236" s="304"/>
      <c r="E236" s="304">
        <f>J237-D237</f>
        <v>18.527895428137072</v>
      </c>
      <c r="F236" s="304">
        <f>J238-D238</f>
        <v>51.319760311809432</v>
      </c>
      <c r="G236" s="304">
        <f>J239-D239</f>
        <v>0</v>
      </c>
      <c r="H236" s="304">
        <f>J240-D240</f>
        <v>1.2099499999999956</v>
      </c>
      <c r="I236" s="304">
        <f>J242-D242</f>
        <v>71.057605739947576</v>
      </c>
      <c r="J236" s="304"/>
      <c r="K236" s="20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</row>
    <row r="237" spans="1:28" x14ac:dyDescent="0.2">
      <c r="A237" s="19"/>
      <c r="B237" s="19"/>
      <c r="C237" s="316" t="str">
        <f>E234</f>
        <v>Distribution</v>
      </c>
      <c r="D237" s="236">
        <f>INDEX('Cost movements'!D$107:D$136,MATCH(Charts!$C$205,'Cost movements'!$C$107:$C$136,0))</f>
        <v>3402.4291693728392</v>
      </c>
      <c r="E237" s="236">
        <f>ABS(E236)</f>
        <v>18.527895428137072</v>
      </c>
      <c r="F237" s="236"/>
      <c r="G237" s="310"/>
      <c r="H237" s="310"/>
      <c r="I237" s="236"/>
      <c r="J237" s="236">
        <f>INDEX('Cost movements'!E$107:E$136,MATCH(Charts!$C$205,'Cost movements'!$C$107:$C$136,0))</f>
        <v>3420.9570648009762</v>
      </c>
      <c r="K237" s="20"/>
      <c r="L237" s="20"/>
      <c r="M237" s="19"/>
      <c r="N237" s="19"/>
      <c r="O237" s="19"/>
      <c r="P237" s="19"/>
      <c r="Q237" s="19"/>
      <c r="R237" s="19"/>
      <c r="S237" s="19"/>
      <c r="T237" s="19"/>
      <c r="U237" s="19"/>
    </row>
    <row r="238" spans="1:28" x14ac:dyDescent="0.2">
      <c r="A238" s="19"/>
      <c r="B238" s="19"/>
      <c r="C238" s="316" t="str">
        <f>F234</f>
        <v>Transmission</v>
      </c>
      <c r="D238" s="236">
        <f>INDEX('Cost movements'!H$107:H$136,MATCH(Charts!$C$205,'Cost movements'!$C$107:$C$136,0))</f>
        <v>888.25514287494877</v>
      </c>
      <c r="E238" s="236"/>
      <c r="F238" s="236">
        <f>ABS(F236)</f>
        <v>51.319760311809432</v>
      </c>
      <c r="G238" s="236"/>
      <c r="H238" s="236"/>
      <c r="I238" s="236"/>
      <c r="J238" s="236">
        <f>INDEX('Cost movements'!I$107:I$136,MATCH(Charts!$C$205,'Cost movements'!$C$107:$C$136,0))</f>
        <v>939.57490318675821</v>
      </c>
      <c r="K238" s="20"/>
      <c r="L238" s="20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 x14ac:dyDescent="0.2">
      <c r="A239" s="19"/>
      <c r="B239" s="19"/>
      <c r="C239" s="316" t="str">
        <f>G234</f>
        <v>Jurisdictional schemes</v>
      </c>
      <c r="D239" s="236">
        <f>INDEX('Cost movements'!L$107:L$136,MATCH(Charts!$C$205,'Cost movements'!$C$107:$C$136,0))</f>
        <v>0</v>
      </c>
      <c r="E239" s="236"/>
      <c r="F239" s="236"/>
      <c r="G239" s="236">
        <f>ABS(G236)</f>
        <v>0</v>
      </c>
      <c r="H239" s="236"/>
      <c r="I239" s="236"/>
      <c r="J239" s="236">
        <f>INDEX('Cost movements'!M$107:M$136,MATCH(Charts!$C$205,'Cost movements'!$C$107:$C$136,0))</f>
        <v>0</v>
      </c>
      <c r="K239" s="20"/>
      <c r="L239" s="20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 x14ac:dyDescent="0.2">
      <c r="A240" s="19"/>
      <c r="B240" s="19"/>
      <c r="C240" s="317" t="str">
        <f>H234</f>
        <v>Metering</v>
      </c>
      <c r="D240" s="236">
        <f>INDEX('Cost movements'!P$107:P$136,MATCH(Charts!$C$205,'Cost movements'!$C$107:$C$136,0))</f>
        <v>24.590050000000002</v>
      </c>
      <c r="E240" s="315"/>
      <c r="F240" s="315"/>
      <c r="G240" s="236"/>
      <c r="H240" s="236">
        <f>ABS(H236)</f>
        <v>1.2099499999999956</v>
      </c>
      <c r="I240" s="236"/>
      <c r="J240" s="236">
        <f>INDEX('Cost movements'!Q$107:Q$136,MATCH(Charts!$C$205,'Cost movements'!$C$107:$C$136,0))</f>
        <v>25.799999999999997</v>
      </c>
      <c r="K240" s="20"/>
      <c r="L240" s="20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 x14ac:dyDescent="0.2">
      <c r="A241" s="19"/>
      <c r="B241" s="19"/>
      <c r="C241" s="472" t="str">
        <f>I234</f>
        <v>Total movement</v>
      </c>
      <c r="D241" s="236"/>
      <c r="E241" s="473"/>
      <c r="F241" s="236"/>
      <c r="G241" s="310"/>
      <c r="H241" s="310"/>
      <c r="I241" s="236">
        <f>ABS(I236)</f>
        <v>71.057605739947576</v>
      </c>
      <c r="J241" s="306"/>
      <c r="K241" s="361"/>
      <c r="L241" s="94"/>
      <c r="M241" s="361"/>
      <c r="N241" s="94"/>
      <c r="O241" s="94"/>
      <c r="P241" s="94"/>
      <c r="Q241" s="361"/>
      <c r="R241" s="361"/>
      <c r="S241" s="361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 x14ac:dyDescent="0.2">
      <c r="A242" s="19"/>
      <c r="B242" s="19"/>
      <c r="C242" s="472" t="s">
        <v>533</v>
      </c>
      <c r="D242" s="236">
        <f>SUM(D237:D240)</f>
        <v>4315.2743622477874</v>
      </c>
      <c r="E242" s="473"/>
      <c r="F242" s="236"/>
      <c r="G242" s="310"/>
      <c r="H242" s="310"/>
      <c r="I242" s="236"/>
      <c r="J242" s="306">
        <f>SUM(J237:J240)</f>
        <v>4386.331967987735</v>
      </c>
      <c r="K242" s="361"/>
      <c r="L242" s="94"/>
      <c r="M242" s="361"/>
      <c r="N242" s="94"/>
      <c r="O242" s="94"/>
      <c r="P242" s="94"/>
      <c r="Q242" s="361"/>
      <c r="R242" s="361"/>
      <c r="S242" s="361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 x14ac:dyDescent="0.2">
      <c r="A243" s="19"/>
      <c r="B243" s="19"/>
      <c r="C243" s="474"/>
      <c r="D243" s="242"/>
      <c r="E243" s="475"/>
      <c r="F243" s="242"/>
      <c r="G243" s="22"/>
      <c r="H243" s="22"/>
      <c r="I243" s="20"/>
      <c r="J243" s="94"/>
      <c r="K243" s="361"/>
      <c r="L243" s="94"/>
      <c r="M243" s="361"/>
      <c r="N243" s="94"/>
      <c r="O243" s="94"/>
      <c r="P243" s="94"/>
      <c r="Q243" s="361"/>
      <c r="R243" s="361"/>
      <c r="S243" s="361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 ht="22.5" x14ac:dyDescent="0.2">
      <c r="A244" s="19"/>
      <c r="B244" s="19"/>
      <c r="C244" s="51" t="str">
        <f>DNSP&amp;" - "&amp;H205&amp;" ($)"</f>
        <v>TasNetworks - Small business general light and power ($)</v>
      </c>
      <c r="D244" s="318" t="str">
        <f t="shared" ref="D244:J244" si="5">D234</f>
        <v>2021–22</v>
      </c>
      <c r="E244" s="318" t="str">
        <f t="shared" si="5"/>
        <v>Distribution</v>
      </c>
      <c r="F244" s="319" t="str">
        <f t="shared" si="5"/>
        <v>Transmission</v>
      </c>
      <c r="G244" s="58" t="str">
        <f t="shared" si="5"/>
        <v>Jurisdictional schemes</v>
      </c>
      <c r="H244" s="58" t="str">
        <f t="shared" si="5"/>
        <v>Metering</v>
      </c>
      <c r="I244" s="58" t="str">
        <f t="shared" si="5"/>
        <v>Total movement</v>
      </c>
      <c r="J244" s="58" t="str">
        <f t="shared" si="5"/>
        <v>2022–23</v>
      </c>
      <c r="K244" s="361"/>
      <c r="L244" s="94"/>
      <c r="M244" s="361"/>
      <c r="N244" s="94"/>
      <c r="O244" s="94"/>
      <c r="P244" s="94"/>
      <c r="Q244" s="361"/>
      <c r="R244" s="361"/>
      <c r="S244" s="361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 x14ac:dyDescent="0.2">
      <c r="A245" s="19"/>
      <c r="B245" s="19"/>
      <c r="C245" s="316" t="str">
        <f t="shared" ref="C245:C252" si="6">C235</f>
        <v>Blank base</v>
      </c>
      <c r="D245" s="236"/>
      <c r="E245" s="236">
        <f>IF(E246&lt;0,D252+E246,D252)</f>
        <v>1034.3444843802883</v>
      </c>
      <c r="F245" s="236">
        <f>IF(F246&lt;0,IF(E246&lt;0, E245+F246,E245+E246+F246),IF(E246&lt;0, E245, E245+E246))</f>
        <v>1034.3444843802883</v>
      </c>
      <c r="G245" s="236">
        <f>IF(G246&lt;0,IF(F246&lt;0, F245+G246,F245+F246+G246),IF(F246&lt;0, F245, F245+F246))</f>
        <v>1043.7605390162773</v>
      </c>
      <c r="H245" s="236">
        <f>IF(H246&lt;0,IF(G246&lt;0, G245+H246,G245+G246+H246),IF(G246&lt;0, G245, G245+G246))</f>
        <v>1043.7605390162773</v>
      </c>
      <c r="I245" s="236">
        <f>MIN(D252,J252)</f>
        <v>1038.7470509113534</v>
      </c>
      <c r="J245" s="236"/>
      <c r="K245" s="361"/>
      <c r="L245" s="94"/>
      <c r="M245" s="361"/>
      <c r="N245" s="94"/>
      <c r="O245" s="94"/>
      <c r="P245" s="94"/>
      <c r="Q245" s="361"/>
      <c r="R245" s="361"/>
      <c r="S245" s="361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 x14ac:dyDescent="0.2">
      <c r="A246" s="19"/>
      <c r="B246" s="19"/>
      <c r="C246" s="316" t="str">
        <f t="shared" si="6"/>
        <v>Data point</v>
      </c>
      <c r="D246" s="304"/>
      <c r="E246" s="304">
        <f>J247-D247</f>
        <v>-4.4025665310650766</v>
      </c>
      <c r="F246" s="304">
        <f>J248-D248</f>
        <v>9.4160546359890702</v>
      </c>
      <c r="G246" s="304">
        <f>J249-D249</f>
        <v>0</v>
      </c>
      <c r="H246" s="304">
        <f>J250-D250</f>
        <v>1.2531500000000015</v>
      </c>
      <c r="I246" s="304">
        <f>J252-D252</f>
        <v>6.2666381049239135</v>
      </c>
      <c r="J246" s="304"/>
      <c r="K246" s="361"/>
      <c r="L246" s="94"/>
      <c r="M246" s="361"/>
      <c r="N246" s="94"/>
      <c r="O246" s="94"/>
      <c r="P246" s="94"/>
      <c r="Q246" s="361"/>
      <c r="R246" s="361"/>
      <c r="S246" s="361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 x14ac:dyDescent="0.2">
      <c r="A247" s="19"/>
      <c r="B247" s="19"/>
      <c r="C247" s="316" t="str">
        <f t="shared" si="6"/>
        <v>Distribution</v>
      </c>
      <c r="D247" s="236">
        <f>INDEX('Cost movements'!D$107:D$136,MATCH(Charts!$H$205,'Cost movements'!$C$107:$C$136,0))</f>
        <v>844.90768530616424</v>
      </c>
      <c r="E247" s="236">
        <f>ABS(E246)</f>
        <v>4.4025665310650766</v>
      </c>
      <c r="F247" s="236"/>
      <c r="G247" s="310"/>
      <c r="H247" s="310"/>
      <c r="I247" s="236"/>
      <c r="J247" s="236">
        <f>INDEX('Cost movements'!E$107:E$136,MATCH(Charts!$H$205,'Cost movements'!$C$107:$C$136,0))</f>
        <v>840.50511877509916</v>
      </c>
      <c r="K247" s="361"/>
      <c r="L247" s="94"/>
      <c r="M247" s="361"/>
      <c r="N247" s="94"/>
      <c r="O247" s="94"/>
      <c r="P247" s="94"/>
      <c r="Q247" s="361"/>
      <c r="R247" s="361"/>
      <c r="S247" s="361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x14ac:dyDescent="0.2">
      <c r="A248" s="19"/>
      <c r="B248" s="19"/>
      <c r="C248" s="316" t="str">
        <f t="shared" si="6"/>
        <v>Transmission</v>
      </c>
      <c r="D248" s="236">
        <f>INDEX('Cost movements'!H$107:H$136,MATCH(Charts!$H$205,'Cost movements'!$C$107:$C$136,0))</f>
        <v>168.40251560518914</v>
      </c>
      <c r="E248" s="236"/>
      <c r="F248" s="236">
        <f>ABS(F246)</f>
        <v>9.4160546359890702</v>
      </c>
      <c r="G248" s="236"/>
      <c r="H248" s="236"/>
      <c r="I248" s="236"/>
      <c r="J248" s="236">
        <f>INDEX('Cost movements'!I$107:I$136,MATCH(Charts!$H$205,'Cost movements'!$C$107:$C$136,0))</f>
        <v>177.81857024117821</v>
      </c>
      <c r="K248" s="361"/>
      <c r="L248" s="94"/>
      <c r="M248" s="361"/>
      <c r="N248" s="94"/>
      <c r="O248" s="94"/>
      <c r="P248" s="94"/>
      <c r="Q248" s="361"/>
      <c r="R248" s="361"/>
      <c r="S248" s="361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 x14ac:dyDescent="0.2">
      <c r="A249" s="19"/>
      <c r="B249" s="19"/>
      <c r="C249" s="316" t="str">
        <f t="shared" si="6"/>
        <v>Jurisdictional schemes</v>
      </c>
      <c r="D249" s="236">
        <f>INDEX('Cost movements'!L$107:L$136,MATCH(Charts!$H$205,'Cost movements'!$C$107:$C$136,0))</f>
        <v>0</v>
      </c>
      <c r="E249" s="236"/>
      <c r="F249" s="236"/>
      <c r="G249" s="236">
        <f>ABS(G246)</f>
        <v>0</v>
      </c>
      <c r="H249" s="236"/>
      <c r="I249" s="236"/>
      <c r="J249" s="236">
        <f>INDEX('Cost movements'!M$107:M$136,MATCH(Charts!$H$205,'Cost movements'!$C$107:$C$136,0))</f>
        <v>0</v>
      </c>
      <c r="K249" s="361"/>
      <c r="L249" s="94"/>
      <c r="M249" s="361"/>
      <c r="N249" s="94"/>
      <c r="O249" s="94"/>
      <c r="P249" s="94"/>
      <c r="Q249" s="361"/>
      <c r="R249" s="361"/>
      <c r="S249" s="361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 x14ac:dyDescent="0.2">
      <c r="A250" s="19"/>
      <c r="B250" s="19"/>
      <c r="C250" s="317" t="str">
        <f t="shared" si="6"/>
        <v>Metering</v>
      </c>
      <c r="D250" s="236">
        <f>INDEX('Cost movements'!P$107:P$136,MATCH(Charts!$H$205,'Cost movements'!$C$107:$C$136,0))</f>
        <v>25.436849999999996</v>
      </c>
      <c r="E250" s="315"/>
      <c r="F250" s="315"/>
      <c r="G250" s="236"/>
      <c r="H250" s="236">
        <f>ABS(H246)</f>
        <v>1.2531500000000015</v>
      </c>
      <c r="I250" s="236"/>
      <c r="J250" s="236">
        <f>INDEX('Cost movements'!Q$107:Q$136,MATCH(Charts!$H$205,'Cost movements'!$C$107:$C$136,0))</f>
        <v>26.689999999999998</v>
      </c>
      <c r="K250" s="361"/>
      <c r="L250" s="94"/>
      <c r="M250" s="361"/>
      <c r="N250" s="94"/>
      <c r="O250" s="94"/>
      <c r="P250" s="94"/>
      <c r="Q250" s="361"/>
      <c r="R250" s="361"/>
      <c r="S250" s="361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 x14ac:dyDescent="0.2">
      <c r="A251" s="19"/>
      <c r="B251" s="19"/>
      <c r="C251" s="472" t="str">
        <f t="shared" si="6"/>
        <v>Total movement</v>
      </c>
      <c r="D251" s="236"/>
      <c r="E251" s="473"/>
      <c r="F251" s="236"/>
      <c r="G251" s="310"/>
      <c r="H251" s="310"/>
      <c r="I251" s="236">
        <f>ABS(I246)</f>
        <v>6.2666381049239135</v>
      </c>
      <c r="J251" s="306"/>
      <c r="K251" s="361"/>
      <c r="L251" s="94"/>
      <c r="M251" s="361"/>
      <c r="N251" s="94"/>
      <c r="O251" s="94"/>
      <c r="P251" s="94"/>
      <c r="Q251" s="361"/>
      <c r="R251" s="361"/>
      <c r="S251" s="361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x14ac:dyDescent="0.2">
      <c r="A252" s="19"/>
      <c r="B252" s="19"/>
      <c r="C252" s="472" t="str">
        <f t="shared" si="6"/>
        <v>NUoS</v>
      </c>
      <c r="D252" s="236">
        <f>SUM(D247:D250)</f>
        <v>1038.7470509113534</v>
      </c>
      <c r="E252" s="473"/>
      <c r="F252" s="236"/>
      <c r="G252" s="310"/>
      <c r="H252" s="310"/>
      <c r="I252" s="236"/>
      <c r="J252" s="306">
        <f>SUM(J247:J250)</f>
        <v>1045.0136890162773</v>
      </c>
      <c r="K252" s="20"/>
      <c r="L252" s="20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 x14ac:dyDescent="0.2">
      <c r="A253" s="19"/>
      <c r="B253" s="19"/>
      <c r="C253" s="51"/>
      <c r="D253" s="20"/>
      <c r="E253" s="20"/>
      <c r="F253" s="20"/>
      <c r="G253" s="22"/>
      <c r="H253" s="22"/>
      <c r="I253" s="20"/>
      <c r="J253" s="20"/>
      <c r="K253" s="20"/>
      <c r="L253" s="20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x14ac:dyDescent="0.2">
      <c r="A254" s="19"/>
      <c r="B254" s="19"/>
      <c r="C254" s="51"/>
      <c r="D254" s="20"/>
      <c r="E254" s="20"/>
      <c r="F254" s="20"/>
      <c r="G254" s="22"/>
      <c r="H254" s="22"/>
      <c r="I254" s="20"/>
      <c r="J254" s="20"/>
      <c r="K254" s="20"/>
      <c r="L254" s="20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x14ac:dyDescent="0.2">
      <c r="A255" s="19"/>
      <c r="B255" s="19"/>
      <c r="C255" s="82" t="s">
        <v>670</v>
      </c>
      <c r="D255" s="20"/>
      <c r="E255" s="20"/>
      <c r="F255" s="20"/>
      <c r="G255" s="22"/>
      <c r="H255" s="22"/>
      <c r="I255" s="20"/>
      <c r="J255" s="20"/>
      <c r="K255" s="20"/>
      <c r="L255" s="20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x14ac:dyDescent="0.2">
      <c r="A256" s="19"/>
      <c r="B256" s="19"/>
      <c r="C256" s="51"/>
      <c r="D256" s="20"/>
      <c r="E256" s="20"/>
      <c r="F256" s="20"/>
      <c r="G256" s="22"/>
      <c r="H256" s="22"/>
      <c r="I256" s="20"/>
      <c r="J256" s="20"/>
      <c r="K256" s="20"/>
      <c r="L256" s="20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5" x14ac:dyDescent="0.2">
      <c r="A257" s="9"/>
      <c r="B257" s="9"/>
      <c r="C257" s="24"/>
      <c r="D257" s="20"/>
      <c r="E257" s="20"/>
      <c r="F257" s="20"/>
      <c r="G257" s="20"/>
      <c r="I257" s="20"/>
      <c r="J257" s="20"/>
      <c r="K257" s="20"/>
      <c r="L257" s="20"/>
      <c r="M257" s="10"/>
      <c r="N257" s="50"/>
      <c r="O257" s="50"/>
      <c r="P257" s="50"/>
      <c r="Q257" s="9"/>
      <c r="R257" s="9"/>
      <c r="S257" s="9"/>
      <c r="T257" s="9"/>
      <c r="U257" s="9"/>
      <c r="V257" s="9"/>
      <c r="W257" s="9"/>
      <c r="X257" s="9"/>
      <c r="Y257" s="9"/>
    </row>
    <row r="258" spans="1:25" x14ac:dyDescent="0.2">
      <c r="A258" s="9"/>
      <c r="B258" s="9"/>
      <c r="C258" s="299"/>
      <c r="D258" s="58"/>
      <c r="E258" s="151"/>
      <c r="F258" s="20"/>
      <c r="G258" s="20"/>
      <c r="H258" s="65"/>
      <c r="I258" s="20"/>
      <c r="J258" s="20"/>
      <c r="K258" s="50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</row>
    <row r="259" spans="1:25" x14ac:dyDescent="0.2">
      <c r="A259" s="9"/>
      <c r="B259" s="9"/>
      <c r="C259" s="300"/>
      <c r="D259" s="242"/>
      <c r="E259" s="242"/>
      <c r="F259" s="343"/>
      <c r="G259" s="20"/>
      <c r="H259" s="261"/>
      <c r="I259" s="20"/>
      <c r="J259" s="301"/>
      <c r="K259" s="20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</row>
    <row r="260" spans="1:25" x14ac:dyDescent="0.2">
      <c r="A260" s="9"/>
      <c r="B260" s="9"/>
      <c r="C260" s="300"/>
      <c r="D260" s="242"/>
      <c r="E260" s="242"/>
      <c r="F260" s="343"/>
      <c r="G260" s="20"/>
      <c r="H260" s="261"/>
      <c r="I260" s="20"/>
      <c r="J260" s="301"/>
      <c r="K260" s="20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</row>
    <row r="261" spans="1:25" x14ac:dyDescent="0.2">
      <c r="A261" s="9"/>
      <c r="B261" s="9"/>
      <c r="C261" s="300"/>
      <c r="D261" s="242"/>
      <c r="E261" s="242"/>
      <c r="F261" s="343"/>
      <c r="G261" s="20"/>
      <c r="H261" s="261"/>
      <c r="I261" s="20"/>
      <c r="J261" s="301"/>
      <c r="K261" s="20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</row>
    <row r="262" spans="1:25" x14ac:dyDescent="0.2">
      <c r="A262" s="9"/>
      <c r="B262" s="9"/>
      <c r="C262" s="300"/>
      <c r="D262" s="242"/>
      <c r="E262" s="242"/>
      <c r="F262" s="343"/>
      <c r="G262" s="20"/>
      <c r="H262" s="261"/>
      <c r="I262" s="20"/>
      <c r="J262" s="301"/>
      <c r="K262" s="20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</row>
    <row r="263" spans="1:25" x14ac:dyDescent="0.2">
      <c r="A263" s="9"/>
      <c r="B263" s="9"/>
      <c r="C263" s="300"/>
      <c r="D263" s="242"/>
      <c r="E263" s="242"/>
      <c r="F263" s="343"/>
      <c r="G263" s="20"/>
      <c r="H263" s="261"/>
      <c r="I263" s="20"/>
      <c r="J263" s="301"/>
      <c r="K263" s="20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</row>
    <row r="264" spans="1:25" x14ac:dyDescent="0.2">
      <c r="A264" s="9"/>
      <c r="B264" s="9"/>
      <c r="C264" s="300"/>
      <c r="D264" s="242"/>
      <c r="E264" s="242"/>
      <c r="F264" s="343"/>
      <c r="G264" s="20"/>
      <c r="H264" s="261"/>
      <c r="I264" s="20"/>
      <c r="J264" s="301"/>
      <c r="K264" s="20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</row>
    <row r="265" spans="1:25" x14ac:dyDescent="0.2">
      <c r="A265" s="9"/>
      <c r="B265" s="9"/>
      <c r="C265" s="300"/>
      <c r="D265" s="242"/>
      <c r="E265" s="242"/>
      <c r="F265" s="343"/>
      <c r="G265" s="20"/>
      <c r="H265" s="261"/>
      <c r="I265" s="20"/>
      <c r="J265" s="302"/>
      <c r="K265" s="20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</row>
    <row r="266" spans="1:25" x14ac:dyDescent="0.2">
      <c r="A266" s="9"/>
      <c r="B266" s="9"/>
      <c r="C266" s="300"/>
      <c r="D266" s="242"/>
      <c r="E266" s="242"/>
      <c r="F266" s="343"/>
      <c r="G266" s="20"/>
      <c r="H266" s="65"/>
      <c r="I266" s="20"/>
      <c r="J266" s="301"/>
      <c r="K266" s="20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</row>
    <row r="267" spans="1:25" x14ac:dyDescent="0.2">
      <c r="A267" s="9"/>
      <c r="B267" s="9"/>
      <c r="C267" s="300"/>
      <c r="D267" s="242"/>
      <c r="E267" s="242"/>
      <c r="F267" s="343"/>
      <c r="G267" s="20"/>
      <c r="H267" s="20"/>
      <c r="I267" s="20"/>
      <c r="J267" s="20"/>
      <c r="K267" s="20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</row>
    <row r="268" spans="1:25" x14ac:dyDescent="0.2">
      <c r="A268" s="9"/>
      <c r="B268" s="9"/>
      <c r="C268" s="300"/>
      <c r="D268" s="242"/>
      <c r="E268" s="242"/>
      <c r="F268" s="343"/>
      <c r="G268" s="20"/>
      <c r="H268" s="20"/>
      <c r="I268" s="20"/>
      <c r="J268" s="20"/>
      <c r="K268" s="20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</row>
    <row r="269" spans="1:25" x14ac:dyDescent="0.2">
      <c r="A269" s="9"/>
      <c r="B269" s="9"/>
      <c r="C269" s="300"/>
      <c r="D269" s="242"/>
      <c r="E269" s="242"/>
      <c r="F269" s="343"/>
      <c r="G269" s="20"/>
      <c r="H269" s="20"/>
      <c r="I269" s="20"/>
      <c r="J269" s="20"/>
      <c r="K269" s="20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</row>
    <row r="270" spans="1:25" x14ac:dyDescent="0.2">
      <c r="A270" s="9"/>
      <c r="B270" s="9"/>
      <c r="C270" s="300"/>
      <c r="D270" s="242"/>
      <c r="E270" s="242"/>
      <c r="F270" s="343"/>
      <c r="G270" s="20"/>
      <c r="H270" s="20"/>
      <c r="I270" s="20"/>
      <c r="J270" s="20"/>
      <c r="K270" s="20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</row>
    <row r="271" spans="1:25" x14ac:dyDescent="0.2">
      <c r="A271" s="9"/>
      <c r="B271" s="9"/>
      <c r="C271" s="300"/>
      <c r="D271" s="242"/>
      <c r="E271" s="242"/>
      <c r="F271" s="343"/>
      <c r="G271" s="20"/>
      <c r="H271" s="20"/>
      <c r="I271" s="20"/>
      <c r="J271" s="20"/>
      <c r="K271" s="20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</row>
    <row r="272" spans="1:25" x14ac:dyDescent="0.2">
      <c r="A272" s="9"/>
      <c r="B272" s="9"/>
      <c r="C272" s="300"/>
      <c r="D272" s="242"/>
      <c r="E272" s="242"/>
      <c r="F272" s="343"/>
      <c r="G272" s="20"/>
      <c r="H272" s="20"/>
      <c r="I272" s="20"/>
      <c r="J272" s="20"/>
      <c r="K272" s="20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</row>
    <row r="273" spans="1:28" x14ac:dyDescent="0.2">
      <c r="A273" s="9"/>
      <c r="B273" s="9"/>
      <c r="C273" s="300"/>
      <c r="D273" s="242"/>
      <c r="E273" s="242"/>
      <c r="F273" s="343"/>
      <c r="G273" s="20"/>
      <c r="H273" s="20"/>
      <c r="I273" s="20"/>
      <c r="J273" s="20"/>
      <c r="K273" s="20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</row>
    <row r="274" spans="1:28" x14ac:dyDescent="0.2">
      <c r="A274" s="9"/>
      <c r="B274" s="9"/>
      <c r="C274" s="300"/>
      <c r="D274" s="242"/>
      <c r="E274" s="242"/>
      <c r="F274" s="343"/>
      <c r="G274" s="20"/>
      <c r="H274" s="20"/>
      <c r="I274" s="20"/>
      <c r="J274" s="20"/>
      <c r="K274" s="20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</row>
    <row r="275" spans="1:28" x14ac:dyDescent="0.2">
      <c r="A275" s="9"/>
      <c r="B275" s="9"/>
      <c r="C275" s="300"/>
      <c r="D275" s="242"/>
      <c r="E275" s="242"/>
      <c r="F275" s="343"/>
      <c r="G275" s="20"/>
      <c r="H275" s="20"/>
      <c r="I275" s="20"/>
      <c r="J275" s="20"/>
      <c r="K275" s="20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</row>
    <row r="276" spans="1:28" x14ac:dyDescent="0.2">
      <c r="A276" s="9"/>
      <c r="B276" s="9"/>
      <c r="C276" s="300"/>
      <c r="D276" s="242"/>
      <c r="E276" s="242"/>
      <c r="F276" s="343"/>
      <c r="G276" s="20"/>
      <c r="H276" s="20"/>
      <c r="I276" s="20"/>
      <c r="J276" s="20"/>
      <c r="K276" s="20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</row>
    <row r="277" spans="1:28" x14ac:dyDescent="0.2">
      <c r="A277" s="9"/>
      <c r="B277" s="9"/>
      <c r="C277" s="300"/>
      <c r="D277" s="242"/>
      <c r="E277" s="242"/>
      <c r="F277" s="343"/>
      <c r="G277" s="20"/>
      <c r="H277" s="20"/>
      <c r="I277" s="20"/>
      <c r="J277" s="20"/>
      <c r="K277" s="20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</row>
    <row r="278" spans="1:28" x14ac:dyDescent="0.2">
      <c r="A278" s="9"/>
      <c r="B278" s="9"/>
      <c r="C278" s="300"/>
      <c r="D278" s="242"/>
      <c r="E278" s="242"/>
      <c r="F278" s="343"/>
      <c r="G278" s="20"/>
      <c r="H278" s="20"/>
      <c r="I278" s="20"/>
      <c r="J278" s="20"/>
      <c r="K278" s="20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</row>
    <row r="279" spans="1:28" x14ac:dyDescent="0.2">
      <c r="A279" s="9"/>
      <c r="B279" s="9"/>
      <c r="C279" s="300"/>
      <c r="D279" s="242"/>
      <c r="E279" s="242"/>
      <c r="F279" s="343"/>
      <c r="G279" s="20"/>
      <c r="H279" s="20"/>
      <c r="I279" s="20"/>
      <c r="J279" s="20"/>
      <c r="K279" s="20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</row>
    <row r="280" spans="1:28" x14ac:dyDescent="0.2">
      <c r="A280" s="9"/>
      <c r="B280" s="9"/>
      <c r="C280" s="300"/>
      <c r="D280" s="242"/>
      <c r="E280" s="242"/>
      <c r="F280" s="343"/>
      <c r="G280" s="20"/>
      <c r="H280" s="20"/>
      <c r="I280" s="20"/>
      <c r="J280" s="20"/>
      <c r="K280" s="20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</row>
    <row r="281" spans="1:28" x14ac:dyDescent="0.2">
      <c r="A281" s="9"/>
      <c r="B281" s="9"/>
      <c r="C281" s="300"/>
      <c r="D281" s="242"/>
      <c r="E281" s="242"/>
      <c r="F281" s="343"/>
      <c r="G281" s="20"/>
      <c r="H281" s="20"/>
      <c r="I281" s="20"/>
      <c r="J281" s="20"/>
      <c r="K281" s="20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</row>
    <row r="282" spans="1:28" ht="22.5" x14ac:dyDescent="0.2">
      <c r="A282" s="9"/>
      <c r="B282" s="9"/>
      <c r="C282" s="51" t="str">
        <f>DNSP&amp;" - "&amp;C205&amp;" ($)"</f>
        <v>TasNetworks - Small business time of use consumption ($)</v>
      </c>
      <c r="D282" s="495" t="str">
        <f>currentyear</f>
        <v>2021–22</v>
      </c>
      <c r="E282" s="314" t="str">
        <f>"Base revenue "&amp;IF(forecastyear=RCP_firstyear,"(determination)","(debt update)")</f>
        <v>Base revenue (debt update)</v>
      </c>
      <c r="F282" s="314" t="s">
        <v>529</v>
      </c>
      <c r="G282" s="314" t="s">
        <v>530</v>
      </c>
      <c r="H282" s="314" t="s">
        <v>531</v>
      </c>
      <c r="I282" s="314" t="s">
        <v>526</v>
      </c>
      <c r="J282" s="314" t="s">
        <v>527</v>
      </c>
      <c r="K282" s="314" t="s">
        <v>539</v>
      </c>
      <c r="L282" s="314" t="s">
        <v>515</v>
      </c>
      <c r="M282" s="153" t="str">
        <f>forecastyear</f>
        <v>2022–23</v>
      </c>
      <c r="N282" s="9"/>
      <c r="O282" s="9"/>
      <c r="P282" s="9"/>
      <c r="Q282" s="9"/>
      <c r="R282" s="9"/>
      <c r="S282" s="9"/>
      <c r="T282" s="9"/>
      <c r="U282" s="9"/>
      <c r="V282" s="9"/>
    </row>
    <row r="283" spans="1:28" x14ac:dyDescent="0.2">
      <c r="A283" s="9"/>
      <c r="B283" s="9"/>
      <c r="C283" s="309" t="s">
        <v>519</v>
      </c>
      <c r="D283" s="236"/>
      <c r="E283" s="236">
        <f>IF(E284&lt;0,D293+(E284),D293)</f>
        <v>4315.2743622477874</v>
      </c>
      <c r="F283" s="236">
        <f t="shared" ref="F283:K283" si="7">IF(F284&lt;0,IF(E284&lt;0,E283+(F284),E283+(E284)+(F284)),IF(E284&lt;0,E283,E283+(E284)))</f>
        <v>4428.5985268404074</v>
      </c>
      <c r="G283" s="236">
        <f t="shared" si="7"/>
        <v>4493.1061231133262</v>
      </c>
      <c r="H283" s="236">
        <f t="shared" si="7"/>
        <v>4493.1061231133262</v>
      </c>
      <c r="I283" s="236">
        <f t="shared" si="7"/>
        <v>4420.9121773988218</v>
      </c>
      <c r="J283" s="236">
        <f t="shared" si="7"/>
        <v>4420.9121773988218</v>
      </c>
      <c r="K283" s="236">
        <f t="shared" si="7"/>
        <v>4386.3319679877359</v>
      </c>
      <c r="L283" s="236">
        <f>MIN(D293,M293)</f>
        <v>4315.2743622477874</v>
      </c>
      <c r="M283" s="306"/>
      <c r="N283" s="9"/>
      <c r="O283" s="9"/>
      <c r="P283" s="9"/>
      <c r="Q283" s="9"/>
      <c r="R283" s="9"/>
      <c r="S283" s="9"/>
      <c r="T283" s="9"/>
      <c r="U283" s="9"/>
      <c r="V283" s="9"/>
    </row>
    <row r="284" spans="1:28" x14ac:dyDescent="0.2">
      <c r="A284" s="9"/>
      <c r="B284" s="9"/>
      <c r="C284" s="309" t="s">
        <v>518</v>
      </c>
      <c r="D284" s="304"/>
      <c r="E284" s="304">
        <f>D293*$E$94</f>
        <v>113.32416459262033</v>
      </c>
      <c r="F284" s="304">
        <f>D293*$F$94</f>
        <v>64.507596272918605</v>
      </c>
      <c r="G284" s="304">
        <f>D293*$G$94</f>
        <v>0</v>
      </c>
      <c r="H284" s="304">
        <f>D293*$H$94</f>
        <v>6.9820926145490203</v>
      </c>
      <c r="I284" s="304">
        <f>D293*$I$94</f>
        <v>-79.176038329054208</v>
      </c>
      <c r="J284" s="304">
        <f>D293*$J$94</f>
        <v>0</v>
      </c>
      <c r="K284" s="304">
        <f>L284-(E284+F284+G284+H284+I284+J284)</f>
        <v>-34.580209411086187</v>
      </c>
      <c r="L284" s="304">
        <f>M293-D293</f>
        <v>71.057605739947576</v>
      </c>
      <c r="M284" s="311"/>
      <c r="N284" s="9"/>
      <c r="O284" s="9"/>
      <c r="P284" s="9"/>
      <c r="Q284" s="9"/>
      <c r="R284" s="9"/>
      <c r="S284" s="9"/>
      <c r="T284" s="9"/>
      <c r="U284" s="9"/>
      <c r="V284" s="9"/>
    </row>
    <row r="285" spans="1:28" x14ac:dyDescent="0.2">
      <c r="A285" s="19"/>
      <c r="B285" s="19"/>
      <c r="C285" s="309" t="str">
        <f>E282</f>
        <v>Base revenue (debt update)</v>
      </c>
      <c r="D285" s="236"/>
      <c r="E285" s="236">
        <f>ABS(E284)</f>
        <v>113.32416459262033</v>
      </c>
      <c r="F285" s="313"/>
      <c r="G285" s="313"/>
      <c r="H285" s="236"/>
      <c r="I285" s="236"/>
      <c r="J285" s="236"/>
      <c r="K285" s="236"/>
      <c r="L285" s="236"/>
      <c r="M285" s="236"/>
      <c r="N285" s="19"/>
      <c r="O285" s="19"/>
      <c r="P285" s="19"/>
      <c r="Q285" s="19"/>
      <c r="R285" s="19"/>
      <c r="S285" s="19"/>
      <c r="T285" s="19"/>
      <c r="U285" s="19"/>
    </row>
    <row r="286" spans="1:28" x14ac:dyDescent="0.2">
      <c r="A286" s="19"/>
      <c r="B286" s="19"/>
      <c r="C286" s="309" t="str">
        <f>F282</f>
        <v>Transmission costs</v>
      </c>
      <c r="D286" s="236"/>
      <c r="E286" s="236"/>
      <c r="F286" s="313">
        <f>ABS(F284)</f>
        <v>64.507596272918605</v>
      </c>
      <c r="G286" s="313"/>
      <c r="H286" s="236"/>
      <c r="I286" s="236"/>
      <c r="J286" s="236"/>
      <c r="K286" s="236"/>
      <c r="L286" s="236"/>
      <c r="M286" s="236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x14ac:dyDescent="0.2">
      <c r="A287" s="19"/>
      <c r="B287" s="19"/>
      <c r="C287" s="309" t="str">
        <f>G282</f>
        <v>Jurisdictional scheme costs</v>
      </c>
      <c r="D287" s="236"/>
      <c r="E287" s="236"/>
      <c r="F287" s="312"/>
      <c r="G287" s="312">
        <f>ABS(G284)</f>
        <v>0</v>
      </c>
      <c r="H287" s="236"/>
      <c r="I287" s="236"/>
      <c r="J287" s="236"/>
      <c r="K287" s="236"/>
      <c r="L287" s="236"/>
      <c r="M287" s="236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x14ac:dyDescent="0.2">
      <c r="A288" s="19"/>
      <c r="B288" s="19"/>
      <c r="C288" s="471" t="str">
        <f>H282</f>
        <v>Under/over recoveries</v>
      </c>
      <c r="D288" s="464"/>
      <c r="E288" s="236"/>
      <c r="F288" s="312"/>
      <c r="G288" s="312"/>
      <c r="H288" s="236">
        <f>ABS(H284)</f>
        <v>6.9820926145490203</v>
      </c>
      <c r="I288" s="236"/>
      <c r="J288" s="306"/>
      <c r="K288" s="306"/>
      <c r="L288" s="306"/>
      <c r="M288" s="306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x14ac:dyDescent="0.2">
      <c r="A289" s="19"/>
      <c r="B289" s="19"/>
      <c r="C289" s="471" t="str">
        <f>I282</f>
        <v>Incentive schemes</v>
      </c>
      <c r="D289" s="464"/>
      <c r="E289" s="236"/>
      <c r="F289" s="312"/>
      <c r="G289" s="312"/>
      <c r="H289" s="236"/>
      <c r="I289" s="236">
        <f>ABS(I284)</f>
        <v>79.176038329054208</v>
      </c>
      <c r="J289" s="306"/>
      <c r="K289" s="306"/>
      <c r="L289" s="306"/>
      <c r="M289" s="306"/>
      <c r="N289" s="94"/>
      <c r="O289" s="94"/>
      <c r="P289" s="94"/>
      <c r="Q289" s="361"/>
      <c r="R289" s="361"/>
      <c r="S289" s="361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x14ac:dyDescent="0.2">
      <c r="A290" s="19"/>
      <c r="B290" s="19"/>
      <c r="C290" s="471" t="str">
        <f>J282</f>
        <v>Cost pass-throughs</v>
      </c>
      <c r="D290" s="464"/>
      <c r="E290" s="236"/>
      <c r="F290" s="312"/>
      <c r="G290" s="312"/>
      <c r="H290" s="236"/>
      <c r="I290" s="236"/>
      <c r="J290" s="306">
        <f>ABS(J284)</f>
        <v>0</v>
      </c>
      <c r="K290" s="306"/>
      <c r="L290" s="306"/>
      <c r="M290" s="306"/>
      <c r="N290" s="94"/>
      <c r="O290" s="94"/>
      <c r="P290" s="94"/>
      <c r="Q290" s="361"/>
      <c r="R290" s="361"/>
      <c r="S290" s="361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x14ac:dyDescent="0.2">
      <c r="A291" s="19"/>
      <c r="B291" s="19"/>
      <c r="C291" s="471" t="str">
        <f>K282</f>
        <v>Other adj./ rebalancing</v>
      </c>
      <c r="D291" s="464"/>
      <c r="E291" s="236"/>
      <c r="F291" s="312"/>
      <c r="G291" s="312"/>
      <c r="H291" s="236"/>
      <c r="I291" s="236"/>
      <c r="J291" s="306"/>
      <c r="K291" s="306">
        <f>ABS(K284)</f>
        <v>34.580209411086187</v>
      </c>
      <c r="L291" s="306"/>
      <c r="M291" s="306"/>
      <c r="N291" s="94"/>
      <c r="O291" s="94"/>
      <c r="P291" s="94"/>
      <c r="Q291" s="361"/>
      <c r="R291" s="361"/>
      <c r="S291" s="361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x14ac:dyDescent="0.2">
      <c r="A292" s="19"/>
      <c r="B292" s="19"/>
      <c r="C292" s="471" t="str">
        <f>L282</f>
        <v>Total movement</v>
      </c>
      <c r="D292" s="464"/>
      <c r="E292" s="236"/>
      <c r="F292" s="312"/>
      <c r="G292" s="312"/>
      <c r="H292" s="236"/>
      <c r="I292" s="236"/>
      <c r="J292" s="306"/>
      <c r="K292" s="306"/>
      <c r="L292" s="306">
        <f>ABS(L284)</f>
        <v>71.057605739947576</v>
      </c>
      <c r="M292" s="306"/>
      <c r="N292" s="94"/>
      <c r="O292" s="94"/>
      <c r="P292" s="94"/>
      <c r="Q292" s="361"/>
      <c r="R292" s="361"/>
      <c r="S292" s="361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x14ac:dyDescent="0.2">
      <c r="A293" s="19"/>
      <c r="B293" s="19"/>
      <c r="C293" s="471" t="s">
        <v>528</v>
      </c>
      <c r="D293" s="464">
        <f>D242</f>
        <v>4315.2743622477874</v>
      </c>
      <c r="E293" s="236"/>
      <c r="F293" s="312"/>
      <c r="G293" s="312"/>
      <c r="H293" s="236"/>
      <c r="I293" s="236"/>
      <c r="J293" s="306"/>
      <c r="K293" s="306"/>
      <c r="L293" s="306"/>
      <c r="M293" s="306">
        <f>J242</f>
        <v>4386.331967987735</v>
      </c>
      <c r="N293" s="94"/>
      <c r="O293" s="94"/>
      <c r="P293" s="94"/>
      <c r="Q293" s="361"/>
      <c r="R293" s="361"/>
      <c r="S293" s="361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x14ac:dyDescent="0.2">
      <c r="A294" s="19"/>
      <c r="B294" s="19"/>
      <c r="C294" s="496"/>
      <c r="D294" s="497"/>
      <c r="E294" s="498"/>
      <c r="F294" s="499"/>
      <c r="G294" s="499"/>
      <c r="H294" s="498"/>
      <c r="I294" s="498"/>
      <c r="J294" s="427"/>
      <c r="K294" s="374"/>
      <c r="L294" s="374"/>
      <c r="M294" s="374"/>
      <c r="N294" s="94"/>
      <c r="O294" s="94"/>
      <c r="P294" s="94"/>
      <c r="Q294" s="361"/>
      <c r="R294" s="361"/>
      <c r="S294" s="361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x14ac:dyDescent="0.2">
      <c r="A295" s="19"/>
      <c r="B295" s="19"/>
      <c r="C295" s="470"/>
      <c r="D295" s="466"/>
      <c r="E295" s="242"/>
      <c r="F295" s="501"/>
      <c r="G295" s="501"/>
      <c r="H295" s="242"/>
      <c r="I295" s="242"/>
      <c r="J295" s="374"/>
      <c r="K295" s="374"/>
      <c r="L295" s="374"/>
      <c r="M295" s="374"/>
      <c r="N295" s="94"/>
      <c r="O295" s="94"/>
      <c r="P295" s="94"/>
      <c r="Q295" s="361"/>
      <c r="R295" s="361"/>
      <c r="S295" s="361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22.5" x14ac:dyDescent="0.2">
      <c r="A296" s="19"/>
      <c r="B296" s="19"/>
      <c r="C296" s="51" t="str">
        <f>DNSP&amp;" - "&amp;H205&amp;" ($)"</f>
        <v>TasNetworks - Small business general light and power ($)</v>
      </c>
      <c r="D296" s="502" t="str">
        <f>currentyear</f>
        <v>2021–22</v>
      </c>
      <c r="E296" s="503" t="str">
        <f>"Base revenue "&amp;IF(forecastyear=RCP_firstyear,"(determination)","(debt update)")</f>
        <v>Base revenue (debt update)</v>
      </c>
      <c r="F296" s="503" t="s">
        <v>529</v>
      </c>
      <c r="G296" s="503" t="s">
        <v>530</v>
      </c>
      <c r="H296" s="503" t="s">
        <v>531</v>
      </c>
      <c r="I296" s="503" t="s">
        <v>526</v>
      </c>
      <c r="J296" s="503" t="s">
        <v>527</v>
      </c>
      <c r="K296" s="314" t="s">
        <v>539</v>
      </c>
      <c r="L296" s="314" t="s">
        <v>515</v>
      </c>
      <c r="M296" s="153" t="str">
        <f>forecastyear</f>
        <v>2022–23</v>
      </c>
      <c r="N296" s="94"/>
      <c r="O296" s="94"/>
      <c r="P296" s="94"/>
      <c r="Q296" s="361"/>
      <c r="R296" s="361"/>
      <c r="S296" s="361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x14ac:dyDescent="0.2">
      <c r="A297" s="19"/>
      <c r="B297" s="19"/>
      <c r="C297" s="309" t="s">
        <v>519</v>
      </c>
      <c r="D297" s="236"/>
      <c r="E297" s="236">
        <f>IF(E298&lt;0,D307+(E298),D307)</f>
        <v>1038.7470509113534</v>
      </c>
      <c r="F297" s="236">
        <f t="shared" ref="F297:K297" si="8">IF(F298&lt;0,IF(E298&lt;0,E297+(F298),E297+(E298)+(F298)),IF(E298&lt;0,E297,E297+(E298)))</f>
        <v>1066.0257664427247</v>
      </c>
      <c r="G297" s="236">
        <f t="shared" si="8"/>
        <v>1081.5536494380879</v>
      </c>
      <c r="H297" s="236">
        <f t="shared" si="8"/>
        <v>1081.5536494380879</v>
      </c>
      <c r="I297" s="236">
        <f t="shared" si="8"/>
        <v>1064.1755543485476</v>
      </c>
      <c r="J297" s="236">
        <f t="shared" si="8"/>
        <v>1064.1755543485476</v>
      </c>
      <c r="K297" s="236">
        <f t="shared" si="8"/>
        <v>1045.0136890162771</v>
      </c>
      <c r="L297" s="236">
        <f>MIN(D307,M307)</f>
        <v>1038.7470509113534</v>
      </c>
      <c r="M297" s="306"/>
      <c r="N297" s="94"/>
      <c r="O297" s="94"/>
      <c r="P297" s="94"/>
      <c r="Q297" s="361"/>
      <c r="R297" s="361"/>
      <c r="S297" s="361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x14ac:dyDescent="0.2">
      <c r="A298" s="19"/>
      <c r="B298" s="19"/>
      <c r="C298" s="309" t="s">
        <v>518</v>
      </c>
      <c r="D298" s="304"/>
      <c r="E298" s="304">
        <f>D307*$E$94</f>
        <v>27.278715531371322</v>
      </c>
      <c r="F298" s="304">
        <f>D307*$F$94</f>
        <v>15.527882995363251</v>
      </c>
      <c r="G298" s="304">
        <f>D307*$G$94</f>
        <v>0</v>
      </c>
      <c r="H298" s="304">
        <f>D307*$H$94</f>
        <v>1.6806876003070423</v>
      </c>
      <c r="I298" s="304">
        <f>D307*$I$94</f>
        <v>-19.058782689847153</v>
      </c>
      <c r="J298" s="304">
        <f>D307*$J$94</f>
        <v>0</v>
      </c>
      <c r="K298" s="304">
        <f>L298-(E298+F298+G298+H298+I298+J298)</f>
        <v>-19.161865332270555</v>
      </c>
      <c r="L298" s="304">
        <f>M307-D307</f>
        <v>6.2666381049239135</v>
      </c>
      <c r="M298" s="311"/>
      <c r="N298" s="94"/>
      <c r="O298" s="94"/>
      <c r="P298" s="94"/>
      <c r="Q298" s="361"/>
      <c r="R298" s="361"/>
      <c r="S298" s="361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x14ac:dyDescent="0.2">
      <c r="A299" s="19"/>
      <c r="B299" s="19"/>
      <c r="C299" s="309" t="str">
        <f>E296</f>
        <v>Base revenue (debt update)</v>
      </c>
      <c r="D299" s="236"/>
      <c r="E299" s="236">
        <f>ABS(E298)</f>
        <v>27.278715531371322</v>
      </c>
      <c r="F299" s="313"/>
      <c r="G299" s="313"/>
      <c r="H299" s="236"/>
      <c r="I299" s="236"/>
      <c r="J299" s="236"/>
      <c r="K299" s="236"/>
      <c r="L299" s="236"/>
      <c r="M299" s="236"/>
      <c r="N299" s="94"/>
      <c r="O299" s="94"/>
      <c r="P299" s="94"/>
      <c r="Q299" s="361"/>
      <c r="R299" s="361"/>
      <c r="S299" s="361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x14ac:dyDescent="0.2">
      <c r="A300" s="19"/>
      <c r="B300" s="19"/>
      <c r="C300" s="309" t="str">
        <f>F296</f>
        <v>Transmission costs</v>
      </c>
      <c r="D300" s="236"/>
      <c r="E300" s="236"/>
      <c r="F300" s="313">
        <f>ABS(F298)</f>
        <v>15.527882995363251</v>
      </c>
      <c r="G300" s="313"/>
      <c r="H300" s="236"/>
      <c r="I300" s="236"/>
      <c r="J300" s="236"/>
      <c r="K300" s="236"/>
      <c r="L300" s="236"/>
      <c r="M300" s="236"/>
      <c r="N300" s="94"/>
      <c r="O300" s="94"/>
      <c r="P300" s="94"/>
      <c r="Q300" s="361"/>
      <c r="R300" s="361"/>
      <c r="S300" s="361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x14ac:dyDescent="0.2">
      <c r="A301" s="19"/>
      <c r="B301" s="19"/>
      <c r="C301" s="309" t="str">
        <f>G296</f>
        <v>Jurisdictional scheme costs</v>
      </c>
      <c r="D301" s="236"/>
      <c r="E301" s="236"/>
      <c r="F301" s="312"/>
      <c r="G301" s="312">
        <f>ABS(G298)</f>
        <v>0</v>
      </c>
      <c r="H301" s="236"/>
      <c r="I301" s="236"/>
      <c r="J301" s="236"/>
      <c r="K301" s="236"/>
      <c r="L301" s="236"/>
      <c r="M301" s="236"/>
      <c r="N301" s="94"/>
      <c r="O301" s="94"/>
      <c r="P301" s="94"/>
      <c r="Q301" s="361"/>
      <c r="R301" s="361"/>
      <c r="S301" s="361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x14ac:dyDescent="0.2">
      <c r="A302" s="19"/>
      <c r="B302" s="19"/>
      <c r="C302" s="471" t="str">
        <f>H296</f>
        <v>Under/over recoveries</v>
      </c>
      <c r="D302" s="464"/>
      <c r="E302" s="236"/>
      <c r="F302" s="312"/>
      <c r="G302" s="312"/>
      <c r="H302" s="236">
        <f>ABS(H298)</f>
        <v>1.6806876003070423</v>
      </c>
      <c r="I302" s="236"/>
      <c r="J302" s="306"/>
      <c r="K302" s="306"/>
      <c r="L302" s="306"/>
      <c r="M302" s="306"/>
      <c r="N302" s="94"/>
      <c r="O302" s="94"/>
      <c r="P302" s="94"/>
      <c r="Q302" s="361"/>
      <c r="R302" s="361"/>
      <c r="S302" s="361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x14ac:dyDescent="0.2">
      <c r="A303" s="19"/>
      <c r="B303" s="19"/>
      <c r="C303" s="471" t="str">
        <f>I296</f>
        <v>Incentive schemes</v>
      </c>
      <c r="D303" s="464"/>
      <c r="E303" s="236"/>
      <c r="F303" s="312"/>
      <c r="G303" s="312"/>
      <c r="H303" s="236"/>
      <c r="I303" s="236">
        <f>ABS(I298)</f>
        <v>19.058782689847153</v>
      </c>
      <c r="J303" s="306"/>
      <c r="K303" s="306"/>
      <c r="L303" s="306"/>
      <c r="M303" s="306"/>
      <c r="N303" s="94"/>
      <c r="O303" s="94"/>
      <c r="P303" s="94"/>
      <c r="Q303" s="361"/>
      <c r="R303" s="361"/>
      <c r="S303" s="361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x14ac:dyDescent="0.2">
      <c r="A304" s="19"/>
      <c r="B304" s="19"/>
      <c r="C304" s="471" t="str">
        <f>J296</f>
        <v>Cost pass-throughs</v>
      </c>
      <c r="D304" s="464"/>
      <c r="E304" s="236"/>
      <c r="F304" s="312"/>
      <c r="G304" s="312"/>
      <c r="H304" s="236"/>
      <c r="I304" s="236"/>
      <c r="J304" s="306">
        <f>ABS(J298)</f>
        <v>0</v>
      </c>
      <c r="K304" s="306"/>
      <c r="L304" s="306"/>
      <c r="M304" s="306"/>
      <c r="N304" s="94"/>
      <c r="O304" s="94"/>
      <c r="P304" s="94"/>
      <c r="Q304" s="361"/>
      <c r="R304" s="361"/>
      <c r="S304" s="361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x14ac:dyDescent="0.2">
      <c r="A305" s="19"/>
      <c r="B305" s="19"/>
      <c r="C305" s="471" t="str">
        <f>K296</f>
        <v>Other adj./ rebalancing</v>
      </c>
      <c r="D305" s="464"/>
      <c r="E305" s="236"/>
      <c r="F305" s="312"/>
      <c r="G305" s="312"/>
      <c r="H305" s="236"/>
      <c r="I305" s="236"/>
      <c r="J305" s="306"/>
      <c r="K305" s="306">
        <f>ABS(K298)</f>
        <v>19.161865332270555</v>
      </c>
      <c r="L305" s="306"/>
      <c r="M305" s="306"/>
      <c r="N305" s="94"/>
      <c r="O305" s="94"/>
      <c r="P305" s="94"/>
      <c r="Q305" s="361"/>
      <c r="R305" s="361"/>
      <c r="S305" s="361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x14ac:dyDescent="0.2">
      <c r="A306" s="19"/>
      <c r="B306" s="19"/>
      <c r="C306" s="471" t="str">
        <f>L296</f>
        <v>Total movement</v>
      </c>
      <c r="D306" s="464"/>
      <c r="E306" s="236"/>
      <c r="F306" s="312"/>
      <c r="G306" s="312"/>
      <c r="H306" s="236"/>
      <c r="I306" s="236"/>
      <c r="J306" s="306"/>
      <c r="K306" s="306"/>
      <c r="L306" s="306">
        <f>ABS(L298)</f>
        <v>6.2666381049239135</v>
      </c>
      <c r="M306" s="306"/>
      <c r="N306" s="94"/>
      <c r="O306" s="94"/>
      <c r="P306" s="94"/>
      <c r="Q306" s="361"/>
      <c r="R306" s="361"/>
      <c r="S306" s="361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x14ac:dyDescent="0.2">
      <c r="A307" s="19"/>
      <c r="B307" s="19"/>
      <c r="C307" s="471" t="s">
        <v>528</v>
      </c>
      <c r="D307" s="464">
        <f>D252</f>
        <v>1038.7470509113534</v>
      </c>
      <c r="E307" s="236"/>
      <c r="F307" s="312"/>
      <c r="G307" s="312"/>
      <c r="H307" s="236"/>
      <c r="I307" s="236"/>
      <c r="J307" s="306"/>
      <c r="K307" s="306"/>
      <c r="L307" s="306"/>
      <c r="M307" s="306">
        <f>J252</f>
        <v>1045.0136890162773</v>
      </c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x14ac:dyDescent="0.2">
      <c r="A308" s="19"/>
      <c r="B308" s="19"/>
      <c r="C308" s="51"/>
      <c r="D308" s="20"/>
      <c r="E308" s="20"/>
      <c r="F308" s="20"/>
      <c r="G308" s="22"/>
      <c r="H308" s="22"/>
      <c r="I308" s="20"/>
      <c r="J308" s="20"/>
      <c r="K308" s="20"/>
      <c r="L308" s="20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x14ac:dyDescent="0.2">
      <c r="A309" s="19"/>
      <c r="B309" s="19"/>
      <c r="C309" s="477"/>
      <c r="D309" s="298"/>
      <c r="E309" s="476"/>
      <c r="F309" s="298"/>
      <c r="G309" s="22"/>
      <c r="H309" s="477"/>
      <c r="I309" s="20"/>
      <c r="J309" s="94"/>
      <c r="K309" s="298"/>
      <c r="L309" s="476"/>
      <c r="M309" s="298"/>
      <c r="N309" s="94"/>
      <c r="O309" s="94"/>
      <c r="P309" s="94"/>
      <c r="Q309" s="361"/>
      <c r="R309" s="361"/>
      <c r="S309" s="361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2.75" x14ac:dyDescent="0.2">
      <c r="A310" s="11"/>
      <c r="B310" s="12" t="s">
        <v>8</v>
      </c>
      <c r="C310" s="11"/>
      <c r="D310" s="11"/>
      <c r="E310" s="11"/>
      <c r="F310" s="13"/>
      <c r="G310" s="13"/>
      <c r="H310" s="13"/>
      <c r="I310" s="13"/>
      <c r="J310" s="13"/>
      <c r="K310" s="13"/>
      <c r="L310" s="13"/>
      <c r="M310" s="14"/>
      <c r="N310" s="15"/>
      <c r="O310" s="15"/>
      <c r="P310" s="15"/>
      <c r="Q310" s="15"/>
      <c r="R310" s="15"/>
      <c r="S310" s="15"/>
      <c r="T310" s="15"/>
      <c r="U310" s="15"/>
    </row>
  </sheetData>
  <sheetProtection formatColumns="0" formatRows="0"/>
  <mergeCells count="7">
    <mergeCell ref="C205:G205"/>
    <mergeCell ref="H205:N205"/>
    <mergeCell ref="D37:E37"/>
    <mergeCell ref="I37:J37"/>
    <mergeCell ref="F37:G37"/>
    <mergeCell ref="C98:G98"/>
    <mergeCell ref="H98:N98"/>
  </mergeCells>
  <hyperlinks>
    <hyperlink ref="G1" location="'Pricing model'!A51" display="Back to Index" xr:uid="{00000000-0004-0000-0700-000000000000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0000000}">
          <x14:formula1>
            <xm:f>'Cost movements'!$C$9:$C$38</xm:f>
          </x14:formula1>
          <xm:sqref>C98:P98</xm:sqref>
        </x14:dataValidation>
        <x14:dataValidation type="list" allowBlank="1" showInputMessage="1" showErrorMessage="1" xr:uid="{00000000-0002-0000-0700-000001000000}">
          <x14:formula1>
            <xm:f>'Cost movements'!$C$40:$C$69</xm:f>
          </x14:formula1>
          <xm:sqref>C205:P205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tabColor rgb="FFC00000"/>
  </sheetPr>
  <dimension ref="A1:AZ108"/>
  <sheetViews>
    <sheetView showGridLines="0" zoomScaleNormal="100" workbookViewId="0">
      <selection activeCell="I21" sqref="I21"/>
    </sheetView>
  </sheetViews>
  <sheetFormatPr defaultColWidth="0" defaultRowHeight="11.25" customHeight="1" zeroHeight="1" x14ac:dyDescent="0.2"/>
  <cols>
    <col min="1" max="2" width="1.28515625" style="19" customWidth="1"/>
    <col min="3" max="3" width="16.7109375" style="19" customWidth="1"/>
    <col min="4" max="4" width="7.5703125" style="19" customWidth="1"/>
    <col min="5" max="5" width="41.7109375" style="19" customWidth="1"/>
    <col min="6" max="7" width="13.140625" style="19" customWidth="1"/>
    <col min="8" max="8" width="10.42578125" style="19" customWidth="1"/>
    <col min="9" max="9" width="88.140625" style="19" customWidth="1"/>
    <col min="10" max="10" width="8" style="19" customWidth="1"/>
    <col min="11" max="18" width="8.42578125" style="19" hidden="1" customWidth="1"/>
    <col min="19" max="19" width="1.28515625" style="19" hidden="1" customWidth="1"/>
    <col min="20" max="20" width="9" style="19" hidden="1" customWidth="1"/>
    <col min="21" max="21" width="1.28515625" style="19" hidden="1" customWidth="1"/>
    <col min="22" max="52" width="0" style="19" hidden="1" customWidth="1"/>
    <col min="53" max="16384" width="9" style="19" hidden="1"/>
  </cols>
  <sheetData>
    <row r="1" spans="1:34" s="39" customFormat="1" ht="15.75" customHeight="1" x14ac:dyDescent="0.2">
      <c r="A1" s="1"/>
      <c r="B1" s="2" t="str">
        <f>'Pricing model'!G2&amp;" - "&amp;'Pricing model'!G3</f>
        <v>AER pricing model - TasNetworks 2022–23</v>
      </c>
      <c r="C1" s="2"/>
      <c r="D1" s="1"/>
      <c r="E1" s="1"/>
      <c r="F1" s="160" t="s">
        <v>0</v>
      </c>
      <c r="G1" s="1"/>
      <c r="H1" s="1"/>
      <c r="I1" s="1"/>
      <c r="J1" s="281"/>
      <c r="K1" s="282"/>
      <c r="L1" s="41"/>
      <c r="M1" s="42"/>
    </row>
    <row r="2" spans="1:34" s="43" customFormat="1" ht="13.5" customHeight="1" thickBot="1" x14ac:dyDescent="0.25">
      <c r="A2" s="6"/>
      <c r="B2" s="7" t="s">
        <v>57</v>
      </c>
      <c r="C2" s="7"/>
      <c r="D2" s="6"/>
      <c r="E2" s="6"/>
      <c r="F2" s="6"/>
      <c r="G2" s="6"/>
      <c r="H2" s="6"/>
      <c r="I2" s="6"/>
      <c r="J2" s="283"/>
      <c r="K2" s="283"/>
    </row>
    <row r="3" spans="1:34" s="9" customFormat="1" ht="3" customHeight="1" x14ac:dyDescent="0.2"/>
    <row r="4" spans="1:34" s="18" customFormat="1" ht="12.75" x14ac:dyDescent="0.2">
      <c r="A4" s="11"/>
      <c r="B4" s="12" t="s">
        <v>261</v>
      </c>
      <c r="C4" s="11"/>
      <c r="D4" s="11"/>
      <c r="E4" s="11"/>
      <c r="F4" s="109"/>
      <c r="G4" s="109"/>
      <c r="H4" s="109"/>
      <c r="I4" s="11"/>
      <c r="J4" s="13"/>
      <c r="K4" s="13"/>
      <c r="L4" s="13"/>
      <c r="M4" s="13"/>
      <c r="N4" s="14"/>
      <c r="O4" s="15"/>
      <c r="P4" s="14"/>
      <c r="Q4" s="15"/>
      <c r="R4" s="14"/>
      <c r="S4" s="14"/>
      <c r="T4" s="14"/>
      <c r="U4" s="14"/>
      <c r="V4" s="14"/>
      <c r="W4" s="14"/>
      <c r="X4" s="14"/>
      <c r="Y4" s="14"/>
      <c r="Z4" s="15"/>
      <c r="AA4" s="15"/>
      <c r="AB4" s="16"/>
      <c r="AC4" s="16"/>
      <c r="AD4" s="16"/>
      <c r="AE4" s="16"/>
      <c r="AF4" s="16"/>
      <c r="AG4" s="17"/>
      <c r="AH4" s="17"/>
    </row>
    <row r="5" spans="1:34" x14ac:dyDescent="0.2"/>
    <row r="6" spans="1:34" x14ac:dyDescent="0.2">
      <c r="C6" s="24" t="s">
        <v>59</v>
      </c>
      <c r="D6" s="24" t="s">
        <v>60</v>
      </c>
      <c r="E6" s="24"/>
      <c r="F6" s="110"/>
      <c r="G6" s="110"/>
      <c r="H6" s="110"/>
    </row>
    <row r="7" spans="1:34" x14ac:dyDescent="0.2">
      <c r="C7" s="47" t="s">
        <v>262</v>
      </c>
      <c r="D7" s="38" t="s">
        <v>269</v>
      </c>
      <c r="E7" s="38"/>
      <c r="F7" s="38"/>
      <c r="G7" s="38"/>
      <c r="H7" s="38"/>
    </row>
    <row r="8" spans="1:34" x14ac:dyDescent="0.2">
      <c r="C8" s="47" t="s">
        <v>263</v>
      </c>
      <c r="D8" s="38" t="s">
        <v>86</v>
      </c>
      <c r="E8" s="38"/>
      <c r="F8" s="38"/>
      <c r="G8" s="38"/>
      <c r="H8" s="38"/>
    </row>
    <row r="9" spans="1:34" x14ac:dyDescent="0.2">
      <c r="C9" s="47" t="s">
        <v>264</v>
      </c>
      <c r="D9" s="38" t="s">
        <v>272</v>
      </c>
      <c r="E9" s="38"/>
      <c r="F9" s="38"/>
      <c r="G9" s="38"/>
      <c r="H9" s="38"/>
    </row>
    <row r="10" spans="1:34" x14ac:dyDescent="0.2">
      <c r="C10" s="47" t="s">
        <v>405</v>
      </c>
      <c r="D10" s="38" t="s">
        <v>627</v>
      </c>
      <c r="E10" s="38"/>
      <c r="F10" s="38"/>
      <c r="G10" s="38"/>
      <c r="H10" s="38"/>
    </row>
    <row r="11" spans="1:34" x14ac:dyDescent="0.2">
      <c r="C11" s="47" t="s">
        <v>265</v>
      </c>
      <c r="D11" s="38" t="s">
        <v>647</v>
      </c>
      <c r="E11" s="38"/>
      <c r="F11" s="38"/>
      <c r="G11" s="38"/>
      <c r="H11" s="38"/>
    </row>
    <row r="12" spans="1:34" x14ac:dyDescent="0.2">
      <c r="C12" s="47" t="s">
        <v>239</v>
      </c>
      <c r="D12" s="38" t="s">
        <v>273</v>
      </c>
      <c r="E12" s="38"/>
      <c r="F12" s="38"/>
      <c r="G12" s="38"/>
      <c r="H12" s="38"/>
    </row>
    <row r="13" spans="1:34" x14ac:dyDescent="0.2">
      <c r="C13" s="47" t="s">
        <v>282</v>
      </c>
      <c r="D13" s="38" t="s">
        <v>274</v>
      </c>
      <c r="E13" s="38"/>
      <c r="F13" s="38"/>
      <c r="G13" s="38"/>
      <c r="H13" s="38"/>
    </row>
    <row r="14" spans="1:34" x14ac:dyDescent="0.2">
      <c r="C14" s="47" t="s">
        <v>283</v>
      </c>
      <c r="D14" s="38" t="s">
        <v>275</v>
      </c>
      <c r="E14" s="38"/>
      <c r="F14" s="38"/>
      <c r="G14" s="38"/>
      <c r="H14" s="38"/>
    </row>
    <row r="15" spans="1:34" x14ac:dyDescent="0.2">
      <c r="C15" s="47" t="s">
        <v>266</v>
      </c>
      <c r="D15" s="38" t="s">
        <v>513</v>
      </c>
      <c r="E15" s="38"/>
      <c r="F15" s="38"/>
      <c r="G15" s="38"/>
      <c r="H15" s="38"/>
    </row>
    <row r="16" spans="1:34" x14ac:dyDescent="0.2">
      <c r="C16" s="47" t="s">
        <v>267</v>
      </c>
      <c r="D16" s="38" t="s">
        <v>276</v>
      </c>
      <c r="E16" s="38"/>
      <c r="F16" s="38"/>
      <c r="G16" s="38"/>
      <c r="H16" s="38"/>
    </row>
    <row r="17" spans="1:36" x14ac:dyDescent="0.2">
      <c r="C17" s="47" t="s">
        <v>268</v>
      </c>
      <c r="D17" s="38" t="s">
        <v>277</v>
      </c>
      <c r="E17" s="38"/>
      <c r="F17" s="38"/>
      <c r="G17" s="38"/>
      <c r="H17" s="38"/>
    </row>
    <row r="18" spans="1:36" x14ac:dyDescent="0.2">
      <c r="C18" s="47" t="s">
        <v>943</v>
      </c>
      <c r="D18" s="38" t="s">
        <v>942</v>
      </c>
      <c r="E18" s="38"/>
      <c r="F18" s="38"/>
      <c r="G18" s="38"/>
      <c r="H18" s="38"/>
    </row>
    <row r="19" spans="1:36" ht="12.75" x14ac:dyDescent="0.2">
      <c r="C19" s="44"/>
      <c r="D19" s="38"/>
      <c r="E19" s="38"/>
      <c r="F19" s="38"/>
      <c r="G19" s="38"/>
      <c r="H19" s="38"/>
    </row>
    <row r="20" spans="1:36" s="18" customFormat="1" ht="12.75" x14ac:dyDescent="0.2">
      <c r="A20" s="11"/>
      <c r="B20" s="12"/>
      <c r="C20" s="12" t="s">
        <v>406</v>
      </c>
      <c r="D20" s="11"/>
      <c r="E20" s="11"/>
      <c r="F20" s="11"/>
      <c r="G20" s="11"/>
      <c r="H20" s="11"/>
      <c r="I20" s="11"/>
      <c r="J20" s="11"/>
      <c r="K20" s="11"/>
      <c r="L20" s="13"/>
      <c r="M20" s="13"/>
      <c r="N20" s="13"/>
      <c r="O20" s="13"/>
      <c r="P20" s="14"/>
      <c r="Q20" s="15"/>
      <c r="R20" s="14"/>
      <c r="S20" s="15"/>
      <c r="T20" s="14"/>
      <c r="U20" s="14"/>
      <c r="V20" s="14"/>
      <c r="W20" s="14"/>
      <c r="X20" s="14"/>
      <c r="Y20" s="14"/>
      <c r="Z20" s="14"/>
      <c r="AA20" s="14"/>
      <c r="AB20" s="15"/>
      <c r="AC20" s="15"/>
      <c r="AD20" s="16"/>
      <c r="AE20" s="16"/>
      <c r="AF20" s="16"/>
      <c r="AG20" s="16"/>
      <c r="AH20" s="16"/>
      <c r="AI20" s="17"/>
      <c r="AJ20" s="17"/>
    </row>
    <row r="21" spans="1:36" x14ac:dyDescent="0.2">
      <c r="C21" s="118"/>
      <c r="D21" s="38"/>
      <c r="E21" s="38"/>
      <c r="F21" s="38"/>
      <c r="G21" s="131"/>
      <c r="H21" s="266"/>
      <c r="I21" s="158"/>
      <c r="J21" s="158"/>
    </row>
    <row r="22" spans="1:36" x14ac:dyDescent="0.2">
      <c r="C22" s="267" t="s">
        <v>407</v>
      </c>
      <c r="D22" s="268"/>
      <c r="E22" s="268"/>
      <c r="F22" s="38"/>
      <c r="G22" s="269" t="s">
        <v>408</v>
      </c>
      <c r="H22" s="270"/>
      <c r="I22" s="271"/>
      <c r="J22" s="158"/>
    </row>
    <row r="23" spans="1:36" x14ac:dyDescent="0.2">
      <c r="C23" s="272" t="s">
        <v>421</v>
      </c>
      <c r="D23" s="38"/>
      <c r="E23" s="38" t="s">
        <v>61</v>
      </c>
      <c r="F23" s="38"/>
      <c r="G23" s="272" t="s">
        <v>604</v>
      </c>
      <c r="H23" s="266"/>
      <c r="I23" s="158" t="s">
        <v>605</v>
      </c>
      <c r="J23" s="158"/>
    </row>
    <row r="24" spans="1:36" x14ac:dyDescent="0.2">
      <c r="C24" s="272" t="s">
        <v>422</v>
      </c>
      <c r="D24" s="38"/>
      <c r="E24" s="38" t="s">
        <v>409</v>
      </c>
      <c r="F24" s="38"/>
      <c r="G24" s="272" t="s">
        <v>678</v>
      </c>
      <c r="H24" s="266"/>
      <c r="I24" s="158" t="s">
        <v>411</v>
      </c>
      <c r="J24" s="158"/>
    </row>
    <row r="25" spans="1:36" x14ac:dyDescent="0.2">
      <c r="C25" s="272" t="s">
        <v>420</v>
      </c>
      <c r="D25" s="38"/>
      <c r="E25" s="38" t="s">
        <v>410</v>
      </c>
      <c r="F25" s="38"/>
      <c r="G25" s="272" t="s">
        <v>733</v>
      </c>
      <c r="H25" s="266"/>
      <c r="I25" s="158" t="s">
        <v>734</v>
      </c>
      <c r="J25" s="158"/>
    </row>
    <row r="26" spans="1:36" x14ac:dyDescent="0.2">
      <c r="C26" s="272" t="s">
        <v>423</v>
      </c>
      <c r="D26" s="38"/>
      <c r="E26" s="38" t="s">
        <v>412</v>
      </c>
      <c r="F26" s="38"/>
      <c r="G26" s="272" t="s">
        <v>442</v>
      </c>
      <c r="H26" s="266"/>
      <c r="I26" s="158" t="s">
        <v>444</v>
      </c>
      <c r="J26" s="158"/>
    </row>
    <row r="27" spans="1:36" x14ac:dyDescent="0.2">
      <c r="C27" s="272" t="s">
        <v>424</v>
      </c>
      <c r="D27" s="38"/>
      <c r="E27" s="38" t="s">
        <v>413</v>
      </c>
      <c r="F27" s="38"/>
      <c r="G27" s="272" t="s">
        <v>443</v>
      </c>
      <c r="H27" s="266"/>
      <c r="I27" s="158" t="s">
        <v>445</v>
      </c>
      <c r="J27" s="158"/>
    </row>
    <row r="28" spans="1:36" x14ac:dyDescent="0.2">
      <c r="C28" s="272" t="s">
        <v>425</v>
      </c>
      <c r="D28" s="38"/>
      <c r="E28" s="38" t="s">
        <v>426</v>
      </c>
      <c r="F28" s="38"/>
      <c r="G28" s="278" t="s">
        <v>606</v>
      </c>
      <c r="H28" s="266"/>
      <c r="I28" s="158" t="s">
        <v>446</v>
      </c>
      <c r="J28" s="38"/>
    </row>
    <row r="29" spans="1:36" x14ac:dyDescent="0.2">
      <c r="C29" s="272" t="s">
        <v>581</v>
      </c>
      <c r="D29" s="38"/>
      <c r="E29" s="38" t="s">
        <v>427</v>
      </c>
      <c r="F29" s="38"/>
      <c r="G29" s="279" t="s">
        <v>447</v>
      </c>
      <c r="I29" s="158" t="s">
        <v>448</v>
      </c>
      <c r="J29" s="38"/>
    </row>
    <row r="30" spans="1:36" x14ac:dyDescent="0.2">
      <c r="C30" s="272" t="s">
        <v>582</v>
      </c>
      <c r="D30" s="38"/>
      <c r="E30" s="38" t="s">
        <v>428</v>
      </c>
      <c r="F30" s="38"/>
      <c r="G30" s="279" t="s">
        <v>449</v>
      </c>
      <c r="I30" s="158" t="s">
        <v>450</v>
      </c>
      <c r="J30" s="38"/>
    </row>
    <row r="31" spans="1:36" x14ac:dyDescent="0.2">
      <c r="C31" s="272" t="s">
        <v>583</v>
      </c>
      <c r="D31" s="38"/>
      <c r="E31" s="38" t="s">
        <v>429</v>
      </c>
      <c r="F31" s="38"/>
      <c r="G31" s="279" t="s">
        <v>451</v>
      </c>
      <c r="I31" s="158" t="s">
        <v>437</v>
      </c>
      <c r="J31" s="38"/>
    </row>
    <row r="32" spans="1:36" x14ac:dyDescent="0.2">
      <c r="C32" s="272" t="s">
        <v>584</v>
      </c>
      <c r="D32" s="38"/>
      <c r="E32" s="38" t="s">
        <v>430</v>
      </c>
      <c r="F32" s="38"/>
      <c r="G32" s="279" t="s">
        <v>607</v>
      </c>
      <c r="I32" s="158" t="s">
        <v>452</v>
      </c>
      <c r="J32" s="38"/>
    </row>
    <row r="33" spans="3:10" x14ac:dyDescent="0.2">
      <c r="C33" s="272" t="s">
        <v>585</v>
      </c>
      <c r="D33" s="38"/>
      <c r="E33" s="38" t="s">
        <v>431</v>
      </c>
      <c r="F33" s="38"/>
      <c r="G33" s="279" t="s">
        <v>766</v>
      </c>
      <c r="I33" s="158" t="s">
        <v>467</v>
      </c>
      <c r="J33" s="38"/>
    </row>
    <row r="34" spans="3:10" x14ac:dyDescent="0.2">
      <c r="C34" s="272" t="s">
        <v>586</v>
      </c>
      <c r="D34" s="38"/>
      <c r="E34" s="38" t="s">
        <v>587</v>
      </c>
      <c r="F34" s="38"/>
      <c r="G34" s="279" t="s">
        <v>767</v>
      </c>
      <c r="I34" s="158" t="s">
        <v>468</v>
      </c>
      <c r="J34" s="38"/>
    </row>
    <row r="35" spans="3:10" x14ac:dyDescent="0.2">
      <c r="C35" s="272" t="s">
        <v>432</v>
      </c>
      <c r="D35" s="38"/>
      <c r="E35" s="38" t="s">
        <v>433</v>
      </c>
      <c r="F35" s="38"/>
      <c r="G35" s="279" t="s">
        <v>768</v>
      </c>
      <c r="I35" s="158" t="s">
        <v>469</v>
      </c>
      <c r="J35" s="38"/>
    </row>
    <row r="36" spans="3:10" x14ac:dyDescent="0.2">
      <c r="C36" s="272" t="s">
        <v>434</v>
      </c>
      <c r="D36" s="38"/>
      <c r="E36" s="38" t="s">
        <v>435</v>
      </c>
      <c r="F36" s="38"/>
      <c r="G36" s="272" t="s">
        <v>608</v>
      </c>
      <c r="H36" s="38"/>
      <c r="I36" s="158" t="s">
        <v>461</v>
      </c>
      <c r="J36" s="38"/>
    </row>
    <row r="37" spans="3:10" x14ac:dyDescent="0.2">
      <c r="C37" s="272" t="s">
        <v>436</v>
      </c>
      <c r="D37" s="38"/>
      <c r="E37" s="38" t="s">
        <v>437</v>
      </c>
      <c r="F37" s="38"/>
      <c r="G37" s="272" t="s">
        <v>609</v>
      </c>
      <c r="H37" s="38"/>
      <c r="I37" s="158" t="s">
        <v>462</v>
      </c>
      <c r="J37" s="158"/>
    </row>
    <row r="38" spans="3:10" x14ac:dyDescent="0.2">
      <c r="C38" s="272" t="s">
        <v>588</v>
      </c>
      <c r="D38" s="38"/>
      <c r="E38" s="38" t="s">
        <v>454</v>
      </c>
      <c r="F38" s="38"/>
      <c r="G38" s="272" t="s">
        <v>610</v>
      </c>
      <c r="H38" s="38"/>
      <c r="I38" s="158" t="s">
        <v>463</v>
      </c>
      <c r="J38" s="158"/>
    </row>
    <row r="39" spans="3:10" x14ac:dyDescent="0.2">
      <c r="C39" s="272" t="s">
        <v>589</v>
      </c>
      <c r="D39" s="38"/>
      <c r="E39" s="38" t="s">
        <v>455</v>
      </c>
      <c r="F39" s="38"/>
      <c r="G39" s="272" t="s">
        <v>611</v>
      </c>
      <c r="H39" s="38"/>
      <c r="I39" s="158" t="s">
        <v>464</v>
      </c>
      <c r="J39" s="158"/>
    </row>
    <row r="40" spans="3:10" x14ac:dyDescent="0.2">
      <c r="C40" s="272" t="s">
        <v>438</v>
      </c>
      <c r="D40" s="38"/>
      <c r="E40" s="38" t="s">
        <v>439</v>
      </c>
      <c r="F40" s="38"/>
      <c r="G40" s="272" t="s">
        <v>485</v>
      </c>
      <c r="H40" s="38"/>
      <c r="I40" s="158" t="str">
        <f>forecastyear&amp;" metering price caps as default prices"</f>
        <v>2022–23 metering price caps as default prices</v>
      </c>
      <c r="J40" s="158"/>
    </row>
    <row r="41" spans="3:10" x14ac:dyDescent="0.2">
      <c r="C41" s="272" t="s">
        <v>671</v>
      </c>
      <c r="D41" s="38"/>
      <c r="E41" s="38" t="s">
        <v>672</v>
      </c>
      <c r="F41" s="38"/>
      <c r="G41" s="272" t="s">
        <v>799</v>
      </c>
      <c r="H41" s="266"/>
      <c r="I41" s="158" t="str">
        <f>currentyear&amp;" distribution prices"</f>
        <v>2021–22 distribution prices</v>
      </c>
      <c r="J41" s="158"/>
    </row>
    <row r="42" spans="3:10" x14ac:dyDescent="0.2">
      <c r="C42" s="272" t="s">
        <v>590</v>
      </c>
      <c r="D42" s="38"/>
      <c r="E42" s="38" t="s">
        <v>591</v>
      </c>
      <c r="F42" s="38"/>
      <c r="G42" s="272" t="s">
        <v>800</v>
      </c>
      <c r="H42" s="266"/>
      <c r="I42" s="158" t="str">
        <f>currentyear&amp;" DPPC prices"</f>
        <v>2021–22 DPPC prices</v>
      </c>
      <c r="J42" s="158"/>
    </row>
    <row r="43" spans="3:10" x14ac:dyDescent="0.2">
      <c r="C43" s="272" t="s">
        <v>592</v>
      </c>
      <c r="D43" s="38"/>
      <c r="E43" s="38" t="s">
        <v>593</v>
      </c>
      <c r="F43" s="38"/>
      <c r="G43" s="272" t="s">
        <v>801</v>
      </c>
      <c r="H43" s="266"/>
      <c r="I43" s="158" t="str">
        <f>currentyear&amp;" JSA prices"</f>
        <v>2021–22 JSA prices</v>
      </c>
      <c r="J43" s="158"/>
    </row>
    <row r="44" spans="3:10" x14ac:dyDescent="0.2">
      <c r="C44" s="272" t="s">
        <v>594</v>
      </c>
      <c r="D44" s="38"/>
      <c r="E44" s="38" t="s">
        <v>595</v>
      </c>
      <c r="F44" s="38"/>
      <c r="G44" s="272" t="s">
        <v>802</v>
      </c>
      <c r="H44" s="266"/>
      <c r="I44" s="158" t="str">
        <f>previousyear&amp;" distribution prices"</f>
        <v>2020–21 distribution prices</v>
      </c>
      <c r="J44" s="158"/>
    </row>
    <row r="45" spans="3:10" x14ac:dyDescent="0.2">
      <c r="C45" s="272" t="s">
        <v>596</v>
      </c>
      <c r="D45" s="38"/>
      <c r="E45" s="38" t="s">
        <v>597</v>
      </c>
      <c r="F45" s="38"/>
      <c r="G45" s="272" t="s">
        <v>803</v>
      </c>
      <c r="H45" s="266"/>
      <c r="I45" s="158" t="str">
        <f>previousyear&amp;" DPPC prices"</f>
        <v>2020–21 DPPC prices</v>
      </c>
      <c r="J45" s="158"/>
    </row>
    <row r="46" spans="3:10" x14ac:dyDescent="0.2">
      <c r="C46" s="272" t="s">
        <v>677</v>
      </c>
      <c r="D46" s="38"/>
      <c r="E46" s="38" t="s">
        <v>440</v>
      </c>
      <c r="F46" s="38"/>
      <c r="G46" s="272" t="s">
        <v>804</v>
      </c>
      <c r="H46" s="266"/>
      <c r="I46" s="158" t="str">
        <f>previousyear&amp;" JSA prices"</f>
        <v>2020–21 JSA prices</v>
      </c>
      <c r="J46" s="158"/>
    </row>
    <row r="47" spans="3:10" x14ac:dyDescent="0.2">
      <c r="C47" s="272" t="s">
        <v>598</v>
      </c>
      <c r="D47" s="38"/>
      <c r="E47" s="38" t="s">
        <v>441</v>
      </c>
      <c r="F47" s="38"/>
      <c r="G47" s="272" t="s">
        <v>805</v>
      </c>
      <c r="H47" s="266"/>
      <c r="I47" s="158" t="str">
        <f>currentyear&amp;" distribution prices (for confidential tariffs)"</f>
        <v>2021–22 distribution prices (for confidential tariffs)</v>
      </c>
      <c r="J47" s="158"/>
    </row>
    <row r="48" spans="3:10" x14ac:dyDescent="0.2">
      <c r="C48" s="272" t="s">
        <v>599</v>
      </c>
      <c r="D48" s="38"/>
      <c r="E48" s="38" t="s">
        <v>547</v>
      </c>
      <c r="F48" s="38"/>
      <c r="G48" s="272" t="s">
        <v>806</v>
      </c>
      <c r="H48" s="266"/>
      <c r="I48" s="158" t="str">
        <f>currentyear&amp;" DPPC prices (for confidential tariffs)"</f>
        <v>2021–22 DPPC prices (for confidential tariffs)</v>
      </c>
      <c r="J48" s="158"/>
    </row>
    <row r="49" spans="3:10" x14ac:dyDescent="0.2">
      <c r="C49" s="272" t="s">
        <v>762</v>
      </c>
      <c r="D49" s="38"/>
      <c r="E49" s="38" t="s">
        <v>713</v>
      </c>
      <c r="F49" s="38"/>
      <c r="G49" s="272" t="s">
        <v>807</v>
      </c>
      <c r="H49" s="266"/>
      <c r="I49" s="158" t="str">
        <f>currentyear&amp;" JSA prices (for confidential tariffs)"</f>
        <v>2021–22 JSA prices (for confidential tariffs)</v>
      </c>
      <c r="J49" s="158"/>
    </row>
    <row r="50" spans="3:10" x14ac:dyDescent="0.2">
      <c r="C50" s="272" t="s">
        <v>600</v>
      </c>
      <c r="D50" s="38"/>
      <c r="E50" s="38" t="s">
        <v>602</v>
      </c>
      <c r="F50" s="38"/>
      <c r="G50" s="272" t="s">
        <v>808</v>
      </c>
      <c r="H50" s="266"/>
      <c r="I50" s="158" t="str">
        <f>previousyear&amp;" distribution prices (for confidential tariffs)"</f>
        <v>2020–21 distribution prices (for confidential tariffs)</v>
      </c>
      <c r="J50" s="158"/>
    </row>
    <row r="51" spans="3:10" x14ac:dyDescent="0.2">
      <c r="C51" s="272" t="s">
        <v>763</v>
      </c>
      <c r="D51" s="38"/>
      <c r="E51" s="38" t="s">
        <v>465</v>
      </c>
      <c r="F51" s="38"/>
      <c r="G51" s="272" t="s">
        <v>809</v>
      </c>
      <c r="H51" s="266"/>
      <c r="I51" s="158" t="str">
        <f>previousyear&amp;" DPPC prices (for confidential tariffs)"</f>
        <v>2020–21 DPPC prices (for confidential tariffs)</v>
      </c>
      <c r="J51" s="158"/>
    </row>
    <row r="52" spans="3:10" x14ac:dyDescent="0.2">
      <c r="C52" s="272" t="s">
        <v>764</v>
      </c>
      <c r="D52" s="38"/>
      <c r="E52" s="38" t="s">
        <v>466</v>
      </c>
      <c r="F52" s="38"/>
      <c r="G52" s="272" t="s">
        <v>810</v>
      </c>
      <c r="H52" s="266"/>
      <c r="I52" s="158" t="str">
        <f>previousyear&amp;" JSA prices (for confidential tariffs)"</f>
        <v>2020–21 JSA prices (for confidential tariffs)</v>
      </c>
      <c r="J52" s="158"/>
    </row>
    <row r="53" spans="3:10" x14ac:dyDescent="0.2">
      <c r="C53" s="272" t="s">
        <v>765</v>
      </c>
      <c r="D53" s="38"/>
      <c r="E53" s="38" t="s">
        <v>601</v>
      </c>
      <c r="F53" s="38"/>
      <c r="J53" s="158"/>
    </row>
    <row r="54" spans="3:10" x14ac:dyDescent="0.2">
      <c r="C54" s="272" t="s">
        <v>679</v>
      </c>
      <c r="D54" s="38"/>
      <c r="E54" s="38" t="s">
        <v>460</v>
      </c>
      <c r="F54" s="38"/>
      <c r="G54" s="269" t="s">
        <v>414</v>
      </c>
      <c r="H54" s="270"/>
      <c r="I54" s="271"/>
      <c r="J54" s="158"/>
    </row>
    <row r="55" spans="3:10" x14ac:dyDescent="0.2">
      <c r="C55" s="272" t="s">
        <v>415</v>
      </c>
      <c r="D55" s="38"/>
      <c r="E55" s="38" t="s">
        <v>471</v>
      </c>
      <c r="F55" s="38"/>
      <c r="G55" s="279" t="s">
        <v>453</v>
      </c>
      <c r="I55" s="158" t="s">
        <v>122</v>
      </c>
      <c r="J55" s="158"/>
    </row>
    <row r="56" spans="3:10" x14ac:dyDescent="0.2">
      <c r="C56" s="272" t="s">
        <v>473</v>
      </c>
      <c r="D56" s="38"/>
      <c r="E56" s="38" t="s">
        <v>474</v>
      </c>
      <c r="F56" s="38"/>
      <c r="G56" s="279" t="s">
        <v>612</v>
      </c>
      <c r="I56" s="158" t="s">
        <v>613</v>
      </c>
      <c r="J56" s="158"/>
    </row>
    <row r="57" spans="3:10" x14ac:dyDescent="0.2">
      <c r="C57" s="272" t="s">
        <v>475</v>
      </c>
      <c r="D57" s="38"/>
      <c r="E57" s="38" t="s">
        <v>476</v>
      </c>
      <c r="F57" s="38"/>
      <c r="G57" s="279" t="s">
        <v>614</v>
      </c>
      <c r="I57" s="158" t="s">
        <v>456</v>
      </c>
      <c r="J57" s="158"/>
    </row>
    <row r="58" spans="3:10" x14ac:dyDescent="0.2">
      <c r="C58" s="272" t="s">
        <v>715</v>
      </c>
      <c r="D58" s="38"/>
      <c r="E58" s="38" t="s">
        <v>714</v>
      </c>
      <c r="F58" s="38"/>
      <c r="G58" s="279" t="s">
        <v>615</v>
      </c>
      <c r="I58" s="158" t="s">
        <v>457</v>
      </c>
      <c r="J58" s="158"/>
    </row>
    <row r="59" spans="3:10" x14ac:dyDescent="0.2">
      <c r="C59" s="272" t="s">
        <v>477</v>
      </c>
      <c r="D59" s="38"/>
      <c r="E59" s="38" t="s">
        <v>478</v>
      </c>
      <c r="F59" s="38"/>
      <c r="G59" s="279" t="s">
        <v>616</v>
      </c>
      <c r="I59" s="158" t="s">
        <v>458</v>
      </c>
      <c r="J59" s="158"/>
    </row>
    <row r="60" spans="3:10" x14ac:dyDescent="0.2">
      <c r="C60" s="272" t="s">
        <v>479</v>
      </c>
      <c r="D60" s="38"/>
      <c r="E60" s="38" t="s">
        <v>480</v>
      </c>
      <c r="F60" s="38"/>
      <c r="G60" s="279" t="s">
        <v>617</v>
      </c>
      <c r="I60" s="158" t="s">
        <v>459</v>
      </c>
      <c r="J60" s="158"/>
    </row>
    <row r="61" spans="3:10" x14ac:dyDescent="0.2">
      <c r="C61" s="272" t="s">
        <v>481</v>
      </c>
      <c r="D61" s="38"/>
      <c r="E61" s="38" t="s">
        <v>482</v>
      </c>
      <c r="F61" s="38"/>
      <c r="G61" s="279" t="s">
        <v>618</v>
      </c>
      <c r="I61" s="158" t="s">
        <v>143</v>
      </c>
      <c r="J61" s="158"/>
    </row>
    <row r="62" spans="3:10" x14ac:dyDescent="0.2">
      <c r="C62" s="272" t="s">
        <v>483</v>
      </c>
      <c r="D62" s="38"/>
      <c r="E62" s="38" t="s">
        <v>484</v>
      </c>
      <c r="F62" s="38"/>
      <c r="G62" s="279" t="s">
        <v>619</v>
      </c>
      <c r="I62" s="158" t="s">
        <v>546</v>
      </c>
      <c r="J62" s="158"/>
    </row>
    <row r="63" spans="3:10" x14ac:dyDescent="0.2">
      <c r="C63" s="272" t="s">
        <v>491</v>
      </c>
      <c r="D63" s="38"/>
      <c r="E63" s="38" t="s">
        <v>492</v>
      </c>
      <c r="F63" s="38"/>
      <c r="G63" s="279" t="s">
        <v>769</v>
      </c>
      <c r="I63" s="158" t="s">
        <v>470</v>
      </c>
      <c r="J63" s="158"/>
    </row>
    <row r="64" spans="3:10" x14ac:dyDescent="0.2">
      <c r="C64" s="272" t="s">
        <v>790</v>
      </c>
      <c r="D64" s="38"/>
      <c r="E64" s="38" t="s">
        <v>493</v>
      </c>
      <c r="F64" s="38"/>
      <c r="G64" s="279" t="s">
        <v>770</v>
      </c>
      <c r="I64" s="158" t="s">
        <v>620</v>
      </c>
      <c r="J64" s="158"/>
    </row>
    <row r="65" spans="3:10" x14ac:dyDescent="0.2">
      <c r="C65" s="272" t="s">
        <v>792</v>
      </c>
      <c r="D65" s="38"/>
      <c r="E65" s="38" t="s">
        <v>494</v>
      </c>
      <c r="F65" s="38"/>
      <c r="G65" s="272" t="s">
        <v>485</v>
      </c>
      <c r="H65" s="38"/>
      <c r="I65" s="158" t="s">
        <v>486</v>
      </c>
      <c r="J65" s="158"/>
    </row>
    <row r="66" spans="3:10" x14ac:dyDescent="0.2">
      <c r="C66" s="272" t="s">
        <v>791</v>
      </c>
      <c r="D66" s="38"/>
      <c r="E66" s="38" t="s">
        <v>495</v>
      </c>
      <c r="F66" s="38"/>
      <c r="G66" s="272" t="s">
        <v>487</v>
      </c>
      <c r="H66" s="38"/>
      <c r="I66" s="158" t="s">
        <v>488</v>
      </c>
      <c r="J66" s="158"/>
    </row>
    <row r="67" spans="3:10" x14ac:dyDescent="0.2">
      <c r="C67" s="272" t="s">
        <v>793</v>
      </c>
      <c r="D67" s="38"/>
      <c r="E67" s="38" t="s">
        <v>603</v>
      </c>
      <c r="F67" s="38"/>
      <c r="G67" s="272" t="s">
        <v>489</v>
      </c>
      <c r="H67" s="38"/>
      <c r="I67" s="158" t="s">
        <v>490</v>
      </c>
      <c r="J67" s="158"/>
    </row>
    <row r="68" spans="3:10" x14ac:dyDescent="0.2">
      <c r="C68" s="272" t="s">
        <v>794</v>
      </c>
      <c r="D68" s="38"/>
      <c r="E68" s="38" t="s">
        <v>496</v>
      </c>
      <c r="F68" s="38"/>
      <c r="G68" s="272" t="s">
        <v>811</v>
      </c>
      <c r="H68" s="266"/>
      <c r="I68" s="158" t="str">
        <f>"Forecast "&amp;forecastyear&amp;" quantities"</f>
        <v>Forecast 2022–23 quantities</v>
      </c>
      <c r="J68" s="158"/>
    </row>
    <row r="69" spans="3:10" x14ac:dyDescent="0.2">
      <c r="C69" s="272" t="s">
        <v>795</v>
      </c>
      <c r="D69" s="38"/>
      <c r="E69" s="38" t="s">
        <v>700</v>
      </c>
      <c r="F69" s="38"/>
      <c r="G69" s="272" t="s">
        <v>812</v>
      </c>
      <c r="H69" s="266"/>
      <c r="I69" s="158" t="str">
        <f>"Estimate "&amp;currentyear&amp;" quantities"</f>
        <v>Estimate 2021–22 quantities</v>
      </c>
      <c r="J69" s="158"/>
    </row>
    <row r="70" spans="3:10" x14ac:dyDescent="0.2">
      <c r="C70" s="272" t="s">
        <v>796</v>
      </c>
      <c r="D70" s="38"/>
      <c r="E70" s="38" t="s">
        <v>701</v>
      </c>
      <c r="F70" s="38"/>
      <c r="G70" s="272" t="s">
        <v>813</v>
      </c>
      <c r="H70" s="266"/>
      <c r="I70" s="158" t="str">
        <f>"Actual "&amp;previousyear&amp;" quantities"</f>
        <v>Actual 2020–21 quantities</v>
      </c>
      <c r="J70" s="158"/>
    </row>
    <row r="71" spans="3:10" x14ac:dyDescent="0.2">
      <c r="C71" s="279" t="s">
        <v>797</v>
      </c>
      <c r="D71" s="38"/>
      <c r="E71" s="38" t="s">
        <v>501</v>
      </c>
      <c r="F71" s="38"/>
      <c r="G71" s="272" t="s">
        <v>814</v>
      </c>
      <c r="H71" s="266"/>
      <c r="I71" s="158" t="str">
        <f>"Forecast "&amp;forecastyear&amp;" quantities (for confidential tariffs)"</f>
        <v>Forecast 2022–23 quantities (for confidential tariffs)</v>
      </c>
      <c r="J71" s="158"/>
    </row>
    <row r="72" spans="3:10" x14ac:dyDescent="0.2">
      <c r="C72" s="279" t="s">
        <v>798</v>
      </c>
      <c r="D72" s="38"/>
      <c r="E72" s="38" t="s">
        <v>702</v>
      </c>
      <c r="F72" s="38"/>
      <c r="G72" s="272" t="s">
        <v>815</v>
      </c>
      <c r="H72" s="266"/>
      <c r="I72" s="158" t="str">
        <f>"Estimate "&amp;currentyear&amp;" quantities (for confidential tariffs)"</f>
        <v>Estimate 2021–22 quantities (for confidential tariffs)</v>
      </c>
      <c r="J72" s="158"/>
    </row>
    <row r="73" spans="3:10" x14ac:dyDescent="0.2">
      <c r="C73" s="272"/>
      <c r="D73" s="38"/>
      <c r="E73" s="38"/>
      <c r="F73" s="38"/>
      <c r="G73" s="272" t="s">
        <v>816</v>
      </c>
      <c r="H73" s="266"/>
      <c r="I73" s="158" t="str">
        <f>"Actual "&amp;previousyear&amp;" quantities (for confidential tariffs)"</f>
        <v>Actual 2020–21 quantities (for confidential tariffs)</v>
      </c>
      <c r="J73" s="158"/>
    </row>
    <row r="74" spans="3:10" x14ac:dyDescent="0.2">
      <c r="C74" s="272"/>
      <c r="D74" s="38"/>
      <c r="E74" s="38"/>
      <c r="F74" s="38"/>
      <c r="G74" s="272" t="s">
        <v>817</v>
      </c>
      <c r="H74" s="266"/>
      <c r="I74" s="158" t="s">
        <v>497</v>
      </c>
      <c r="J74" s="158"/>
    </row>
    <row r="75" spans="3:10" x14ac:dyDescent="0.2">
      <c r="C75" s="272"/>
      <c r="D75" s="38"/>
      <c r="E75" s="38"/>
      <c r="F75" s="38"/>
      <c r="G75" s="272" t="s">
        <v>818</v>
      </c>
      <c r="H75" s="266"/>
      <c r="I75" s="158" t="s">
        <v>498</v>
      </c>
      <c r="J75" s="158"/>
    </row>
    <row r="76" spans="3:10" x14ac:dyDescent="0.2">
      <c r="C76" s="272"/>
      <c r="D76" s="38"/>
      <c r="E76" s="38"/>
      <c r="F76" s="38"/>
      <c r="G76" s="272" t="s">
        <v>820</v>
      </c>
      <c r="H76" s="266"/>
      <c r="I76" s="158" t="s">
        <v>499</v>
      </c>
      <c r="J76" s="158"/>
    </row>
    <row r="77" spans="3:10" x14ac:dyDescent="0.2">
      <c r="C77" s="272"/>
      <c r="D77" s="38"/>
      <c r="E77" s="38"/>
      <c r="F77" s="38"/>
      <c r="G77" s="272" t="s">
        <v>819</v>
      </c>
      <c r="H77" s="266"/>
      <c r="I77" s="158" t="s">
        <v>703</v>
      </c>
      <c r="J77" s="158"/>
    </row>
    <row r="78" spans="3:10" x14ac:dyDescent="0.2">
      <c r="C78" s="272"/>
      <c r="D78" s="38"/>
      <c r="E78" s="38"/>
      <c r="F78" s="38"/>
      <c r="G78" s="272" t="s">
        <v>821</v>
      </c>
      <c r="H78" s="266"/>
      <c r="I78" s="158" t="s">
        <v>704</v>
      </c>
      <c r="J78" s="158"/>
    </row>
    <row r="79" spans="3:10" x14ac:dyDescent="0.2">
      <c r="C79" s="272"/>
      <c r="D79" s="38"/>
      <c r="E79" s="38"/>
      <c r="F79" s="38"/>
      <c r="G79" s="272" t="s">
        <v>822</v>
      </c>
      <c r="H79" s="266"/>
      <c r="I79" s="158" t="s">
        <v>705</v>
      </c>
      <c r="J79" s="158"/>
    </row>
    <row r="80" spans="3:10" x14ac:dyDescent="0.2">
      <c r="C80" s="272"/>
      <c r="D80" s="38"/>
      <c r="E80" s="38"/>
      <c r="F80" s="38"/>
      <c r="G80" s="279" t="s">
        <v>797</v>
      </c>
      <c r="H80" s="38"/>
      <c r="I80" s="158" t="s">
        <v>706</v>
      </c>
      <c r="J80" s="158"/>
    </row>
    <row r="81" spans="1:34" x14ac:dyDescent="0.2">
      <c r="C81" s="272"/>
      <c r="D81" s="38"/>
      <c r="E81" s="38"/>
      <c r="F81" s="38"/>
      <c r="G81" s="279" t="s">
        <v>798</v>
      </c>
      <c r="H81" s="38"/>
      <c r="I81" s="158" t="s">
        <v>707</v>
      </c>
      <c r="J81" s="158"/>
    </row>
    <row r="82" spans="1:34" x14ac:dyDescent="0.2">
      <c r="C82" s="272"/>
      <c r="D82" s="38"/>
      <c r="E82" s="38"/>
      <c r="F82" s="38"/>
      <c r="G82" s="279" t="s">
        <v>502</v>
      </c>
      <c r="I82" s="158" t="s">
        <v>503</v>
      </c>
      <c r="J82" s="158"/>
    </row>
    <row r="83" spans="1:34" x14ac:dyDescent="0.2">
      <c r="C83" s="272"/>
      <c r="D83" s="38"/>
      <c r="E83" s="38"/>
      <c r="F83" s="38"/>
      <c r="G83" s="279" t="s">
        <v>505</v>
      </c>
      <c r="I83" s="158" t="str">
        <f>"Forecast trial tariff revenues for "&amp;forecastyear</f>
        <v>Forecast trial tariff revenues for 2022–23</v>
      </c>
      <c r="J83" s="158"/>
    </row>
    <row r="84" spans="1:34" x14ac:dyDescent="0.2">
      <c r="C84" s="272"/>
      <c r="D84" s="38"/>
      <c r="E84" s="38"/>
      <c r="F84" s="38"/>
      <c r="G84" s="279" t="s">
        <v>504</v>
      </c>
      <c r="I84" s="158" t="s">
        <v>506</v>
      </c>
      <c r="J84" s="158"/>
    </row>
    <row r="85" spans="1:34" x14ac:dyDescent="0.2">
      <c r="C85" s="272"/>
      <c r="D85" s="38"/>
      <c r="E85" s="38"/>
      <c r="F85" s="38"/>
      <c r="G85" s="279" t="s">
        <v>622</v>
      </c>
      <c r="I85" s="158" t="s">
        <v>621</v>
      </c>
      <c r="J85" s="158"/>
    </row>
    <row r="86" spans="1:34" x14ac:dyDescent="0.2">
      <c r="C86" s="272"/>
      <c r="D86" s="38"/>
      <c r="E86" s="38"/>
      <c r="F86" s="38"/>
      <c r="G86" s="279" t="s">
        <v>823</v>
      </c>
      <c r="I86" s="158" t="str">
        <f>"Estimate "&amp;currentyear&amp;" trial tariff quantities"</f>
        <v>Estimate 2021–22 trial tariff quantities</v>
      </c>
      <c r="J86" s="158"/>
    </row>
    <row r="87" spans="1:34" x14ac:dyDescent="0.2">
      <c r="C87" s="272"/>
      <c r="D87" s="38"/>
      <c r="E87" s="38"/>
      <c r="F87" s="38"/>
      <c r="G87" s="279" t="s">
        <v>824</v>
      </c>
      <c r="I87" s="158" t="str">
        <f>"Actual "&amp;previousyear&amp;" trial tariff quantities"</f>
        <v>Actual 2020–21 trial tariff quantities</v>
      </c>
      <c r="J87" s="158"/>
    </row>
    <row r="88" spans="1:34" x14ac:dyDescent="0.2">
      <c r="C88" s="272"/>
      <c r="D88" s="38"/>
      <c r="E88" s="38"/>
      <c r="F88" s="38"/>
      <c r="G88" s="279" t="s">
        <v>825</v>
      </c>
      <c r="I88" s="158" t="str">
        <f>currentyear&amp;" trial tariff prices"</f>
        <v>2021–22 trial tariff prices</v>
      </c>
      <c r="J88" s="158"/>
    </row>
    <row r="89" spans="1:34" x14ac:dyDescent="0.2">
      <c r="C89" s="272"/>
      <c r="D89" s="38"/>
      <c r="E89" s="38"/>
      <c r="F89" s="38"/>
      <c r="G89" s="279" t="s">
        <v>826</v>
      </c>
      <c r="I89" s="158" t="str">
        <f>previousyear&amp;" trial tariff prices"</f>
        <v>2020–21 trial tariff prices</v>
      </c>
      <c r="J89" s="158"/>
    </row>
    <row r="90" spans="1:34" x14ac:dyDescent="0.2">
      <c r="C90" s="272"/>
      <c r="D90" s="38"/>
      <c r="E90" s="38"/>
      <c r="F90" s="38"/>
      <c r="G90" s="279" t="s">
        <v>507</v>
      </c>
      <c r="H90" s="266"/>
      <c r="I90" s="158" t="s">
        <v>508</v>
      </c>
      <c r="J90" s="158"/>
    </row>
    <row r="91" spans="1:34" x14ac:dyDescent="0.2">
      <c r="C91" s="272"/>
      <c r="D91" s="38"/>
      <c r="E91" s="38"/>
      <c r="F91" s="38"/>
      <c r="G91" s="279" t="s">
        <v>509</v>
      </c>
      <c r="H91" s="266"/>
      <c r="I91" s="158" t="str">
        <f>"Standalone costs for "&amp;forecastyear</f>
        <v>Standalone costs for 2022–23</v>
      </c>
      <c r="J91" s="158"/>
    </row>
    <row r="92" spans="1:34" x14ac:dyDescent="0.2">
      <c r="C92" s="272"/>
      <c r="D92" s="38"/>
      <c r="E92" s="38"/>
      <c r="F92" s="38"/>
      <c r="G92" s="279" t="s">
        <v>510</v>
      </c>
      <c r="H92" s="266"/>
      <c r="I92" s="158" t="str">
        <f>"Avoidable costs for "&amp;forecastyear</f>
        <v>Avoidable costs for 2022–23</v>
      </c>
      <c r="J92" s="158"/>
    </row>
    <row r="93" spans="1:34" x14ac:dyDescent="0.2">
      <c r="C93" s="272"/>
      <c r="D93" s="38"/>
      <c r="E93" s="38"/>
      <c r="F93" s="38"/>
      <c r="G93" s="131"/>
      <c r="H93" s="266"/>
      <c r="I93" s="158"/>
      <c r="J93" s="158"/>
    </row>
    <row r="94" spans="1:34" s="18" customFormat="1" ht="12.75" x14ac:dyDescent="0.2">
      <c r="A94" s="11"/>
      <c r="B94" s="12" t="s">
        <v>8</v>
      </c>
      <c r="C94" s="11"/>
      <c r="D94" s="11"/>
      <c r="E94" s="11"/>
      <c r="F94" s="11"/>
      <c r="G94" s="11"/>
      <c r="H94" s="11"/>
      <c r="I94" s="11"/>
      <c r="J94" s="13"/>
      <c r="K94" s="13"/>
      <c r="L94" s="13"/>
      <c r="M94" s="13"/>
      <c r="N94" s="14"/>
      <c r="O94" s="15"/>
      <c r="P94" s="14"/>
      <c r="Q94" s="15"/>
      <c r="R94" s="14"/>
      <c r="S94" s="14"/>
      <c r="T94" s="14"/>
      <c r="U94" s="14"/>
      <c r="V94" s="14"/>
      <c r="W94" s="14"/>
      <c r="X94" s="14"/>
      <c r="Y94" s="14"/>
      <c r="Z94" s="15"/>
      <c r="AA94" s="15"/>
      <c r="AB94" s="16"/>
      <c r="AC94" s="16"/>
      <c r="AD94" s="16"/>
      <c r="AE94" s="16"/>
      <c r="AF94" s="16"/>
      <c r="AG94" s="17"/>
      <c r="AH94" s="17"/>
    </row>
    <row r="95" spans="1:34" hidden="1" x14ac:dyDescent="0.2">
      <c r="D95" s="38"/>
      <c r="E95" s="38"/>
      <c r="F95" s="38"/>
      <c r="G95" s="38"/>
      <c r="H95" s="38"/>
      <c r="J95" s="45"/>
    </row>
    <row r="96" spans="1:34" hidden="1" x14ac:dyDescent="0.2">
      <c r="D96" s="38"/>
      <c r="E96" s="38"/>
      <c r="F96" s="38"/>
      <c r="G96" s="38"/>
      <c r="H96" s="38"/>
      <c r="J96" s="45"/>
    </row>
    <row r="97" spans="3:10" hidden="1" x14ac:dyDescent="0.2">
      <c r="D97" s="38"/>
      <c r="E97" s="38"/>
      <c r="F97" s="38"/>
      <c r="G97" s="38"/>
      <c r="H97" s="38"/>
      <c r="J97" s="45"/>
    </row>
    <row r="98" spans="3:10" hidden="1" x14ac:dyDescent="0.2">
      <c r="D98" s="38"/>
      <c r="E98" s="38"/>
      <c r="F98" s="38"/>
      <c r="G98" s="38"/>
      <c r="H98" s="38"/>
      <c r="J98" s="45"/>
    </row>
    <row r="99" spans="3:10" hidden="1" x14ac:dyDescent="0.2">
      <c r="D99" s="38"/>
      <c r="E99" s="38"/>
      <c r="F99" s="38"/>
      <c r="G99" s="38"/>
      <c r="H99" s="38"/>
      <c r="J99" s="45"/>
    </row>
    <row r="100" spans="3:10" hidden="1" x14ac:dyDescent="0.2">
      <c r="C100" s="38"/>
      <c r="D100" s="38"/>
      <c r="E100" s="38"/>
      <c r="F100" s="38"/>
      <c r="G100" s="38"/>
      <c r="H100" s="38"/>
      <c r="J100" s="45"/>
    </row>
    <row r="101" spans="3:10" hidden="1" x14ac:dyDescent="0.2">
      <c r="C101" s="38"/>
      <c r="D101" s="38"/>
      <c r="E101" s="38"/>
      <c r="F101" s="38"/>
      <c r="G101" s="38"/>
      <c r="H101" s="38"/>
      <c r="J101" s="45"/>
    </row>
    <row r="102" spans="3:10" hidden="1" x14ac:dyDescent="0.2">
      <c r="C102" s="38"/>
      <c r="D102" s="38"/>
      <c r="E102" s="38"/>
      <c r="F102" s="38"/>
      <c r="G102" s="38"/>
      <c r="H102" s="38"/>
    </row>
    <row r="103" spans="3:10" hidden="1" x14ac:dyDescent="0.2">
      <c r="D103" s="38"/>
      <c r="E103" s="38"/>
      <c r="F103" s="38"/>
      <c r="G103" s="38"/>
      <c r="H103" s="38"/>
    </row>
    <row r="104" spans="3:10" hidden="1" x14ac:dyDescent="0.2">
      <c r="D104" s="38"/>
      <c r="E104" s="38"/>
      <c r="F104" s="38"/>
      <c r="G104" s="38"/>
      <c r="H104" s="38"/>
    </row>
    <row r="105" spans="3:10" hidden="1" x14ac:dyDescent="0.2">
      <c r="D105" s="38"/>
      <c r="E105" s="38"/>
      <c r="F105" s="38"/>
      <c r="G105" s="38"/>
      <c r="H105" s="38"/>
    </row>
    <row r="106" spans="3:10" hidden="1" x14ac:dyDescent="0.2">
      <c r="D106" s="38"/>
      <c r="E106" s="38"/>
      <c r="F106" s="38"/>
      <c r="G106" s="38"/>
      <c r="H106" s="38"/>
    </row>
    <row r="107" spans="3:10" hidden="1" x14ac:dyDescent="0.2">
      <c r="D107" s="38"/>
      <c r="E107" s="38"/>
      <c r="F107" s="38"/>
      <c r="G107" s="38"/>
      <c r="H107" s="38"/>
    </row>
    <row r="108" spans="3:10" ht="12.75" hidden="1" x14ac:dyDescent="0.2">
      <c r="C108" s="44"/>
      <c r="D108" s="38"/>
      <c r="E108" s="38"/>
      <c r="F108" s="38"/>
      <c r="G108" s="38"/>
      <c r="H108" s="38"/>
    </row>
  </sheetData>
  <sheetProtection formatColumns="0" formatRows="0"/>
  <phoneticPr fontId="31" type="noConversion"/>
  <hyperlinks>
    <hyperlink ref="C7" location="General!A1" display="General" xr:uid="{00000000-0004-0000-0800-000000000000}"/>
    <hyperlink ref="C8" location="Financial!A1" display="Financial" xr:uid="{00000000-0004-0000-0800-000001000000}"/>
    <hyperlink ref="C9" location="Actuals!A1" display="Actuals" xr:uid="{00000000-0004-0000-0800-000002000000}"/>
    <hyperlink ref="C10" location="Metering!A1" display="Metering" xr:uid="{00000000-0004-0000-0800-000003000000}"/>
    <hyperlink ref="C11:C17" location="'ACS price caps'!A1" display="ACS price caps" xr:uid="{00000000-0004-0000-0800-000004000000}"/>
    <hyperlink ref="C11" location="Tariffs!A1" display="Tariffs" xr:uid="{00000000-0004-0000-0800-000005000000}"/>
    <hyperlink ref="C12" location="Qty!A1" display="Quantities" xr:uid="{00000000-0004-0000-0800-000006000000}"/>
    <hyperlink ref="C13" location="'Prop. prices'!A1" display="Proposed prices" xr:uid="{00000000-0004-0000-0800-000007000000}"/>
    <hyperlink ref="C14" location="'Hist. prices'!A1" display="Historical prices" xr:uid="{00000000-0004-0000-0800-000008000000}"/>
    <hyperlink ref="C15" location="'Indicative prices'!A1" display="Indicative prices" xr:uid="{00000000-0004-0000-0800-000009000000}"/>
    <hyperlink ref="C16" location="'Trial tariffs'!A1" display="Trial tariffs" xr:uid="{00000000-0004-0000-0800-00000A000000}"/>
    <hyperlink ref="C17" location="'Tariff costs'!A1" display="Tariff costs" xr:uid="{00000000-0004-0000-0800-00000B000000}"/>
    <hyperlink ref="F1" location="'Pricing model'!A51" display="Back to Index" xr:uid="{00000000-0004-0000-0800-00000C000000}"/>
    <hyperlink ref="C23" location="General!F8" display="''General'!F8" xr:uid="{00000000-0004-0000-0800-00000D000000}"/>
    <hyperlink ref="C24" location="General!F9" display="''General'!F9" xr:uid="{00000000-0004-0000-0800-00000E000000}"/>
    <hyperlink ref="C25" location="General!F14" display="''General'!F14" xr:uid="{00000000-0004-0000-0800-00000F000000}"/>
    <hyperlink ref="C26" location="General!F17:F18" display="'General'!F17:F18" xr:uid="{00000000-0004-0000-0800-000010000000}"/>
    <hyperlink ref="C27" location="General!F19" display="''General'!F19" xr:uid="{00000000-0004-0000-0800-000011000000}"/>
    <hyperlink ref="C29" location="General!F24:F27" display="''General'!F24:F27" xr:uid="{00000000-0004-0000-0800-000012000000}"/>
    <hyperlink ref="C30" location="General!F29" display="''General'!F29" xr:uid="{00000000-0004-0000-0800-000013000000}"/>
    <hyperlink ref="C31" location="General!F30:F33" display="''General'!F30:F33" xr:uid="{00000000-0004-0000-0800-000014000000}"/>
    <hyperlink ref="C32" location="General!F35:F36" display="''General'!F35:F36" xr:uid="{00000000-0004-0000-0800-000015000000}"/>
    <hyperlink ref="C33" location="General!F37:F42" display="''General'!F37:F42" xr:uid="{00000000-0004-0000-0800-000016000000}"/>
    <hyperlink ref="C28" location="General!F20:F22" display="''General'!F20:F22" xr:uid="{00000000-0004-0000-0800-000017000000}"/>
    <hyperlink ref="G24" location="General!F52:F93" display="''General'!F52:F93" xr:uid="{00000000-0004-0000-0800-000018000000}"/>
    <hyperlink ref="C35" location="Financial!C16:C23" display="''Financial'!C16:C23" xr:uid="{00000000-0004-0000-0800-000019000000}"/>
    <hyperlink ref="C36" location="Financial!C26:C28" display="''Financial'!C26:C28" xr:uid="{00000000-0004-0000-0800-00001A000000}"/>
    <hyperlink ref="C37" location="Financial!C31:C34" display="''Financial'!C31:C34" xr:uid="{00000000-0004-0000-0800-00001B000000}"/>
    <hyperlink ref="C40" location="Financial!J7:L7" display="''Financial'!J7:L7" xr:uid="{00000000-0004-0000-0800-00001C000000}"/>
    <hyperlink ref="C43" location="Financial!J40:L41" display="''Financial'!J40:L41" xr:uid="{00000000-0004-0000-0800-00001D000000}"/>
    <hyperlink ref="C44" location="Financial!J44:L57" display="''Financial'!J44:L57" xr:uid="{00000000-0004-0000-0800-00001E000000}"/>
    <hyperlink ref="C45" location="Financial!J63:L74" display="''Financial'!J63:L74" xr:uid="{00000000-0004-0000-0800-00001F000000}"/>
    <hyperlink ref="C46" location="Financial!J80:M82" display="''Financial'!J80:M82" xr:uid="{00000000-0004-0000-0800-000020000000}"/>
    <hyperlink ref="C47" location="Financial!J90:L92" display="''Financial'!J90:L92" xr:uid="{00000000-0004-0000-0800-000021000000}"/>
    <hyperlink ref="G26" location="Financial!M7:Q7" display="''Financial'!M7:Q7" xr:uid="{00000000-0004-0000-0800-000022000000}"/>
    <hyperlink ref="G27" location="Financial!N10:Q10" display="''Financial'!N10:Q10" xr:uid="{00000000-0004-0000-0800-000023000000}"/>
    <hyperlink ref="G28" location="Financial!M11:Q11" display="''Financial'!M11:Q11" xr:uid="{00000000-0004-0000-0800-000024000000}"/>
    <hyperlink ref="G29" location="Financial!M16:Q23" display="''Financial'!M16:Q23" xr:uid="{00000000-0004-0000-0800-000025000000}"/>
    <hyperlink ref="G30" location="Financial!M26:Q28" display="''Financial'!M26:Q28" xr:uid="{00000000-0004-0000-0800-000026000000}"/>
    <hyperlink ref="G31" location="Financial!M33:Q34" display="''Financial'!M33:Q34" xr:uid="{00000000-0004-0000-0800-000027000000}"/>
    <hyperlink ref="G32" location="Financial!J94:Q94" display="''Financial'!J94:Q94" xr:uid="{00000000-0004-0000-0800-000028000000}"/>
    <hyperlink ref="G55" location="Financial!M32:Q32" display="''Financial'!M32:Q32" xr:uid="{00000000-0004-0000-0800-000029000000}"/>
    <hyperlink ref="G57" location="Financial!M44:Q48" display="''Financial'!M44:Q48" xr:uid="{00000000-0004-0000-0800-00002A000000}"/>
    <hyperlink ref="G58" location="Financial!L53:Q57" display="''Financial'!L53:Q57" xr:uid="{00000000-0004-0000-0800-00002B000000}"/>
    <hyperlink ref="G59" location="Financial!M63:Q66" display="''Financial'!M63:Q66" xr:uid="{00000000-0004-0000-0800-00002C000000}"/>
    <hyperlink ref="G60" location="Financial!L71:Q74" display="''Financial'!M71:Q74" xr:uid="{00000000-0004-0000-0800-00002D000000}"/>
    <hyperlink ref="G61" location="Financial!J85:Q87" display="''Financial'!J85:Q87" xr:uid="{00000000-0004-0000-0800-00002E000000}"/>
    <hyperlink ref="C38" location="Financial!C44:C48" display="''Financial'!C44:C48" xr:uid="{00000000-0004-0000-0800-00002F000000}"/>
    <hyperlink ref="C39" location="Financial!C63:C66" display="''Financial'!C63:C66" xr:uid="{00000000-0004-0000-0800-000030000000}"/>
    <hyperlink ref="G36" location="Actuals!J7:Q12" display="''Actuals'!J7:Q12" xr:uid="{00000000-0004-0000-0800-000031000000}"/>
    <hyperlink ref="G37" location="Actuals!J16:Q20" display="''Actuals'!J16:Q20" xr:uid="{00000000-0004-0000-0800-000032000000}"/>
    <hyperlink ref="G38" location="Actuals!J23:Q26" display="''Actuals'!J23:Q26" xr:uid="{00000000-0004-0000-0800-000033000000}"/>
    <hyperlink ref="G39" location="Actuals!J31:Q51" display="''Actuals'!J31:Q51" xr:uid="{00000000-0004-0000-0800-000034000000}"/>
    <hyperlink ref="C67" location="Tariffs!C46:H120" display="''Tariffs'!C46:H120" xr:uid="{00000000-0004-0000-0800-000035000000}"/>
    <hyperlink ref="C68" location="Tariffs!J46:V120" display="''Tariffs'!J46:V120" xr:uid="{00000000-0004-0000-0800-000036000000}"/>
    <hyperlink ref="C65:C66" location="Tariffs!C21:C55" display="''Tariffs'!C21:C55" xr:uid="{00000000-0004-0000-0800-000037000000}"/>
    <hyperlink ref="C65" location="Tariffs!J22:L41" display="''Tariffs'!J22:L41" xr:uid="{00000000-0004-0000-0800-000038000000}"/>
    <hyperlink ref="C66" location="Tariffs!T22:U41" display="''Tariffs'!T22:U41" xr:uid="{00000000-0004-0000-0800-000039000000}"/>
    <hyperlink ref="C69" location="Tariffs!C125:H224" display="''Tariffs'!C125:H224" xr:uid="{00000000-0004-0000-0800-00003A000000}"/>
    <hyperlink ref="C70" location="Tariffs!J125:N224" display="''Tariffs'!J125:N224" xr:uid="{00000000-0004-0000-0800-00003B000000}"/>
    <hyperlink ref="G41" location="'Hist. prices'!I8:AB82" display="''Hist. prices'!I8:AB82" xr:uid="{00000000-0004-0000-0800-00003C000000}"/>
    <hyperlink ref="G42" location="'Hist. prices'!I86:AB160" display="''Hist. prices'!I86:AB160" xr:uid="{00000000-0004-0000-0800-00003D000000}"/>
    <hyperlink ref="G43" location="'Hist. prices'!I164:AB238" display="''Hist. prices'!I164:AB238" xr:uid="{00000000-0004-0000-0800-00003E000000}"/>
    <hyperlink ref="G44" location="'Hist. prices'!I245:AB319" display="''Hist. prices'!I245:AB319" xr:uid="{00000000-0004-0000-0800-00003F000000}"/>
    <hyperlink ref="G45" location="'Hist. prices'!I323:AB397" display="''Hist. prices'!I323:AB397" xr:uid="{00000000-0004-0000-0800-000040000000}"/>
    <hyperlink ref="G46" location="'Hist. prices'!I401:AB475" display="''Hist. prices'!I401:AB475" xr:uid="{00000000-0004-0000-0800-000041000000}"/>
    <hyperlink ref="G47" location="'Hist. prices'!I482:AB581" display="''Hist. prices'!I482:AB581" xr:uid="{00000000-0004-0000-0800-000042000000}"/>
    <hyperlink ref="G48" location="'Hist. prices'!I585:AB684" display="''Hist. prices'!I585:AB684" xr:uid="{00000000-0004-0000-0800-000043000000}"/>
    <hyperlink ref="G49" location="'Hist. prices'!I688:AB787" display="''Hist. prices'!I688:AB787" xr:uid="{00000000-0004-0000-0800-000044000000}"/>
    <hyperlink ref="G50" location="'Hist. prices'!I794:AB893" display="''Hist. prices'!I794:AB893" xr:uid="{00000000-0004-0000-0800-000045000000}"/>
    <hyperlink ref="G51" location="'Hist. prices'!I897:AB996" display="''Hist. prices'!I897:AB996" xr:uid="{00000000-0004-0000-0800-000046000000}"/>
    <hyperlink ref="G52" location="'Hist. prices'!I1000:AB1099" display="''Hist. prices'!I1000:AB1099" xr:uid="{00000000-0004-0000-0800-000047000000}"/>
    <hyperlink ref="C71" location="'Indicative prices'!I8:AB394" display="''Indicative prices'!I8:AB394" xr:uid="{00000000-0004-0000-0800-000048000000}"/>
    <hyperlink ref="C72" location="'Indicative prices'!I401:AB912" display="''Indicative prices'!I401:AB912" xr:uid="{00000000-0004-0000-0800-000049000000}"/>
    <hyperlink ref="C54" location="Actuals!E31:E52" display="''Actuals'!E31:E52" xr:uid="{00000000-0004-0000-0800-00004A000000}"/>
    <hyperlink ref="C55" location="Metering!C7:C36" display="''Metering'!C7:C36" xr:uid="{00000000-0004-0000-0800-00004B000000}"/>
    <hyperlink ref="C56" location="Metering!D7:D36" display="''Metering'!D7:D36" xr:uid="{00000000-0004-0000-0800-00004C000000}"/>
    <hyperlink ref="C57" location="Metering!F7:F36" display="''Metering'!F7:F36" xr:uid="{00000000-0004-0000-0800-00004D000000}"/>
    <hyperlink ref="C58" location="Metering!K7:M36" display="''Metering'!K7:M36" xr:uid="{00000000-0004-0000-0800-00004E000000}"/>
    <hyperlink ref="C59" location="Metering!C42:C48" display="''Metering'!C42:C48" xr:uid="{00000000-0004-0000-0800-00004F000000}"/>
    <hyperlink ref="C60" location="Metering!D42:D48" display="'Metering'!D42:D48" xr:uid="{00000000-0004-0000-0800-000050000000}"/>
    <hyperlink ref="C61" location="Metering!F42:F48" display="'Metering'!F42:F48" xr:uid="{00000000-0004-0000-0800-000051000000}"/>
    <hyperlink ref="C62" location="Metering!K42:M48" display="'Metering'!K42:M48" xr:uid="{00000000-0004-0000-0800-000052000000}"/>
    <hyperlink ref="C63" location="Tariffs!C7:C17" display="'Tariffs'!C7:C17" xr:uid="{00000000-0004-0000-0800-000053000000}"/>
    <hyperlink ref="C34" location="General!F44:F45" display="''General'!F44:F45" xr:uid="{00000000-0004-0000-0800-000054000000}"/>
    <hyperlink ref="C41" location="Financial!J10:L11" display="''Financial'!J10:L11" xr:uid="{00000000-0004-0000-0800-000055000000}"/>
    <hyperlink ref="C42" location="Financial!J16:L34" display="''Financial'!J16:L34" xr:uid="{00000000-0004-0000-0800-000056000000}"/>
    <hyperlink ref="C48" location="Financial!J97:K99" display="''Financial'!J97:K99" xr:uid="{00000000-0004-0000-0800-000057000000}"/>
    <hyperlink ref="C64" location="Tariffs!C22:D41" display="''Tariffs'!C22:D41" xr:uid="{00000000-0004-0000-0800-000058000000}"/>
    <hyperlink ref="G23" location="General!F10" display="''General'!F10" xr:uid="{00000000-0004-0000-0800-000059000000}"/>
    <hyperlink ref="G56" location="Financial!M40:Q41" display="''Financial'!M40:Q41" xr:uid="{00000000-0004-0000-0800-00005A000000}"/>
    <hyperlink ref="G62" location="Financial!L97:Q99" display="''Financial'!L97:Q99" xr:uid="{00000000-0004-0000-0800-00005B000000}"/>
    <hyperlink ref="G65" location="Metering!N7:R36" display="''Metering'!N7:R36" xr:uid="{00000000-0004-0000-0800-00005C000000}"/>
    <hyperlink ref="G66" location="Metering!N42:R48" display="'Metering'!N42:R48" xr:uid="{00000000-0004-0000-0800-00005D000000}"/>
    <hyperlink ref="G67" location="Metering!K51:R57" display="'Metering'!K51:R57" xr:uid="{00000000-0004-0000-0800-00005E000000}"/>
    <hyperlink ref="G68" location="Qty!I8:AF82" display="''Qty'!I8:AF82" xr:uid="{00000000-0004-0000-0800-00005F000000}"/>
    <hyperlink ref="G69" location="Qty!I87:AF161" display="''Qty'!I87:AF161" xr:uid="{00000000-0004-0000-0800-000060000000}"/>
    <hyperlink ref="G70" location="Qty!I166:AF240" display="''Qty'!I166:AF240" xr:uid="{00000000-0004-0000-0800-000061000000}"/>
    <hyperlink ref="G71" location="Qty!I248:AF347" display="''Qty'!I248:AF347" xr:uid="{00000000-0004-0000-0800-000062000000}"/>
    <hyperlink ref="G72" location="Qty!I352:AB451" display="''Qty'!I352:AB451" xr:uid="{00000000-0004-0000-0800-000063000000}"/>
    <hyperlink ref="G73" location="Qty!I456:AF555" display="''Qty'!I456:AF555" xr:uid="{00000000-0004-0000-0800-000064000000}"/>
    <hyperlink ref="G74" location="'Prop. prices'!I8:AB82" display="''Prop. prices'!I8:AB82" xr:uid="{00000000-0004-0000-0800-000065000000}"/>
    <hyperlink ref="G75:G79" location="'Hist. prices'!H2825:AP3573" display="''Hist. prices'!H2825:AP3573" xr:uid="{00000000-0004-0000-0800-000066000000}"/>
    <hyperlink ref="G75" location="'Prop. prices'!I86:AB160" display="''Prop. prices'!I86:AB160" xr:uid="{00000000-0004-0000-0800-000067000000}"/>
    <hyperlink ref="G76" location="'Prop. prices'!I164:AB238" display="''Prop. prices'!I164:AB238" xr:uid="{00000000-0004-0000-0800-000068000000}"/>
    <hyperlink ref="G77" location="'Prop. prices'!I245:AB344" display="''Prop. prices'!I245:AB344" xr:uid="{00000000-0004-0000-0800-000069000000}"/>
    <hyperlink ref="G78" location="'Prop. prices'!I348:AB447" display="''Prop. prices'!I348:AB447" xr:uid="{00000000-0004-0000-0800-00006A000000}"/>
    <hyperlink ref="G79" location="'Prop. prices'!I451:AB550" display="''Prop. prices'!I451:AB550" xr:uid="{00000000-0004-0000-0800-00006B000000}"/>
    <hyperlink ref="G80" location="'Indicative prices'!I8:AB394" display="''Indicative prices'!I8:AB394" xr:uid="{00000000-0004-0000-0800-00006C000000}"/>
    <hyperlink ref="G81" location="'Indicative prices'!I401:AB912" display="''Indicative prices'!I401:AB912" xr:uid="{00000000-0004-0000-0800-00006D000000}"/>
    <hyperlink ref="G82" location="'Trial tariffs'!C7:D26" display="'Trial tariffs'!C7:D26" xr:uid="{00000000-0004-0000-0800-00006E000000}"/>
    <hyperlink ref="G83" location="'Trial tariffs'!H7:J26" display="'Trial tariffs'!H7:J26" xr:uid="{00000000-0004-0000-0800-00006F000000}"/>
    <hyperlink ref="G84" location="'Trial tariffs'!L7:L26" display="'Trial tariffs'!L7:L26" xr:uid="{00000000-0004-0000-0800-000070000000}"/>
    <hyperlink ref="G87" location="'Trial tariffs'!H55:AC74" display="''Trial tariffs'!H55:AC74" xr:uid="{00000000-0004-0000-0800-000071000000}"/>
    <hyperlink ref="G86" location="'Trial tariffs'!H33:AC52" display="''Trial tariffs'!H33:AC52" xr:uid="{00000000-0004-0000-0800-000072000000}"/>
    <hyperlink ref="G88" location="'Trial tariffs'!H80:AC143" display="''Trial tariffs'!H80:AC143" xr:uid="{00000000-0004-0000-0800-000073000000}"/>
    <hyperlink ref="G89" location="'Trial tariffs'!H149:AC212" display="''Trial tariffs'!H149:AC212" xr:uid="{00000000-0004-0000-0800-000074000000}"/>
    <hyperlink ref="G90" location="'Trial tariffs'!H218:O283" display="''Trial tariffs'!H218:O283" xr:uid="{00000000-0004-0000-0800-000075000000}"/>
    <hyperlink ref="G91" location="'Tariff costs'!L7:Q17" display="''Tariff costs'!L7:Q17" xr:uid="{00000000-0004-0000-0800-000076000000}"/>
    <hyperlink ref="G92" location="'Tariff costs'!L21:Q31" display="'Tariff costs'!L21:Q31" xr:uid="{00000000-0004-0000-0800-000077000000}"/>
    <hyperlink ref="G85" location="'Trial tariffs'!E33:F52" display="''Trial tariffs'!E33:F52" xr:uid="{00000000-0004-0000-0800-000078000000}"/>
    <hyperlink ref="G25" location="General!F24:K27" display="''General'!F24:K27" xr:uid="{00000000-0004-0000-0800-000079000000}"/>
    <hyperlink ref="G40" location="Metering!N7:R36" display="''Metering'!N7:R36" xr:uid="{00000000-0004-0000-0800-00007A000000}"/>
    <hyperlink ref="C51" location="Financial!J114:L114" display="''Financial'!J114:L114" xr:uid="{00000000-0004-0000-0800-00007B000000}"/>
    <hyperlink ref="C52" location="Financial!J115:K115" display="''Financial'!J115:K115" xr:uid="{00000000-0004-0000-0800-00007C000000}"/>
    <hyperlink ref="C53" location="Financial!J117:L118" display="''Financial'!J117:L118" xr:uid="{00000000-0004-0000-0800-00007D000000}"/>
    <hyperlink ref="C50" location="Financial!J109:L109" display="''Financial'!J109:L109" xr:uid="{00000000-0004-0000-0800-00007E000000}"/>
    <hyperlink ref="C49" location="Financial!J108:L108" display="''Financial'!J108:L108" xr:uid="{00000000-0004-0000-0800-00007F000000}"/>
    <hyperlink ref="G33" location="Financial!N108:Q108" display="''Financial'!N108:Q108" xr:uid="{00000000-0004-0000-0800-000080000000}"/>
    <hyperlink ref="G34" location="Financial!M109:Q109" display="''Financial'!M109:Q109" xr:uid="{00000000-0004-0000-0800-000081000000}"/>
    <hyperlink ref="G35" location="Financial!M111:Q112" display="''Financial'!M111:Q112" xr:uid="{00000000-0004-0000-0800-000082000000}"/>
    <hyperlink ref="G63" location="Financial!J116:Q116" display="''Financial'!J116:Q116" xr:uid="{00000000-0004-0000-0800-000083000000}"/>
    <hyperlink ref="G64" location="Financial!L118:Q118" display="''Financial'!L118:Q118" xr:uid="{00000000-0004-0000-0800-000084000000}"/>
    <hyperlink ref="C18" location="'License Fees'!A1" display="License Fees" xr:uid="{00000000-0004-0000-0800-000085000000}"/>
  </hyperlinks>
  <pageMargins left="0.7" right="0.7" top="0.75" bottom="0.75" header="0.3" footer="0.3"/>
  <pageSetup paperSize="9" orientation="portrait" verticalDpi="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98</vt:i4>
      </vt:variant>
    </vt:vector>
  </HeadingPairs>
  <TitlesOfParts>
    <vt:vector size="130" baseType="lpstr">
      <vt:lpstr>Pricing model</vt:lpstr>
      <vt:lpstr>Outputs&gt;&gt;</vt:lpstr>
      <vt:lpstr>Tariff schedule</vt:lpstr>
      <vt:lpstr>Compliance</vt:lpstr>
      <vt:lpstr>Price comparisons</vt:lpstr>
      <vt:lpstr>Tables</vt:lpstr>
      <vt:lpstr>Cost movements</vt:lpstr>
      <vt:lpstr>Charts</vt:lpstr>
      <vt:lpstr>Inputs&gt;&gt;</vt:lpstr>
      <vt:lpstr>General</vt:lpstr>
      <vt:lpstr>Financial</vt:lpstr>
      <vt:lpstr>Actuals</vt:lpstr>
      <vt:lpstr>Metering</vt:lpstr>
      <vt:lpstr>Tariffs</vt:lpstr>
      <vt:lpstr>Qty</vt:lpstr>
      <vt:lpstr>Prop. prices</vt:lpstr>
      <vt:lpstr>Hist. prices</vt:lpstr>
      <vt:lpstr>Indicative prices</vt:lpstr>
      <vt:lpstr>Trial tariffs</vt:lpstr>
      <vt:lpstr>Tariff costs</vt:lpstr>
      <vt:lpstr>License Fees</vt:lpstr>
      <vt:lpstr>Calculations&gt;&gt;</vt:lpstr>
      <vt:lpstr>TAR</vt:lpstr>
      <vt:lpstr>Accounts</vt:lpstr>
      <vt:lpstr>Rev. summary</vt:lpstr>
      <vt:lpstr>Prop. revenue</vt:lpstr>
      <vt:lpstr>Hist. revenue</vt:lpstr>
      <vt:lpstr>SC revenue</vt:lpstr>
      <vt:lpstr>Total qty</vt:lpstr>
      <vt:lpstr>Movements</vt:lpstr>
      <vt:lpstr>Lookups</vt:lpstr>
      <vt:lpstr>Model update log</vt:lpstr>
      <vt:lpstr>aggregatetrialthreshold</vt:lpstr>
      <vt:lpstr>cancelfutureyear1</vt:lpstr>
      <vt:lpstr>cancelfutureyear2</vt:lpstr>
      <vt:lpstr>cancelfutureyear3</vt:lpstr>
      <vt:lpstr>cancelfutureyear4</vt:lpstr>
      <vt:lpstr>cancelfutureyear5</vt:lpstr>
      <vt:lpstr>cents</vt:lpstr>
      <vt:lpstr>consmultiplier</vt:lpstr>
      <vt:lpstr>consoutputs</vt:lpstr>
      <vt:lpstr>consprofile</vt:lpstr>
      <vt:lpstr>consprofilemultiplier</vt:lpstr>
      <vt:lpstr>currentyear</vt:lpstr>
      <vt:lpstr>day</vt:lpstr>
      <vt:lpstr>daysperhighsn</vt:lpstr>
      <vt:lpstr>daysperhighsn_currentyear</vt:lpstr>
      <vt:lpstr>daysperhighsn_previousyear</vt:lpstr>
      <vt:lpstr>daysperlowsn</vt:lpstr>
      <vt:lpstr>daysperlowsn_currentyear</vt:lpstr>
      <vt:lpstr>daysperlowsn_previousyear</vt:lpstr>
      <vt:lpstr>daysperossn</vt:lpstr>
      <vt:lpstr>daysperossn_currentyear</vt:lpstr>
      <vt:lpstr>daysperossn_previousyear</vt:lpstr>
      <vt:lpstr>daysperyear</vt:lpstr>
      <vt:lpstr>daysperyear_currentyear</vt:lpstr>
      <vt:lpstr>daysperyear_previousyear</vt:lpstr>
      <vt:lpstr>DNSP</vt:lpstr>
      <vt:lpstr>dollars</vt:lpstr>
      <vt:lpstr>Forecastinflation</vt:lpstr>
      <vt:lpstr>forecastyear</vt:lpstr>
      <vt:lpstr>hardcode1</vt:lpstr>
      <vt:lpstr>hardcode2</vt:lpstr>
      <vt:lpstr>hardcode3</vt:lpstr>
      <vt:lpstr>hardcode4</vt:lpstr>
      <vt:lpstr>hardcode5</vt:lpstr>
      <vt:lpstr>hardcode6</vt:lpstr>
      <vt:lpstr>hardcode7</vt:lpstr>
      <vt:lpstr>highsn</vt:lpstr>
      <vt:lpstr>IndicativePricesICYr1</vt:lpstr>
      <vt:lpstr>IndicativePricesICYr2</vt:lpstr>
      <vt:lpstr>IndicativePricesICYr3</vt:lpstr>
      <vt:lpstr>IndicativePricesICYr4</vt:lpstr>
      <vt:lpstr>IndicativePricesICYr5</vt:lpstr>
      <vt:lpstr>IndicativePricesSCSYr1</vt:lpstr>
      <vt:lpstr>IndicativePricesSCSYr2</vt:lpstr>
      <vt:lpstr>IndicativePricesSCSYr3</vt:lpstr>
      <vt:lpstr>IndicativePricesSCSYr4</vt:lpstr>
      <vt:lpstr>IndicativePricesSCSYr5</vt:lpstr>
      <vt:lpstr>individualtrialthreshold</vt:lpstr>
      <vt:lpstr>lowsn</vt:lpstr>
      <vt:lpstr>materialitythreshold</vt:lpstr>
      <vt:lpstr>millions</vt:lpstr>
      <vt:lpstr>month</vt:lpstr>
      <vt:lpstr>ossn</vt:lpstr>
      <vt:lpstr>outputsmultiplier</vt:lpstr>
      <vt:lpstr>outputtableunits</vt:lpstr>
      <vt:lpstr>previousyear</vt:lpstr>
      <vt:lpstr>QtyICCt</vt:lpstr>
      <vt:lpstr>QtyICCt_1</vt:lpstr>
      <vt:lpstr>QtyICCt_2</vt:lpstr>
      <vt:lpstr>QtySCSt</vt:lpstr>
      <vt:lpstr>QtySCSt_1</vt:lpstr>
      <vt:lpstr>QtySCSt_2</vt:lpstr>
      <vt:lpstr>RCP_firstyear</vt:lpstr>
      <vt:lpstr>RCP_fourthyear</vt:lpstr>
      <vt:lpstr>RCP_lastyear</vt:lpstr>
      <vt:lpstr>RCP_secondyear</vt:lpstr>
      <vt:lpstr>RCP_thirdyear</vt:lpstr>
      <vt:lpstr>RCPminus1</vt:lpstr>
      <vt:lpstr>RCPminus2</vt:lpstr>
      <vt:lpstr>RCPminus3</vt:lpstr>
      <vt:lpstr>redact1</vt:lpstr>
      <vt:lpstr>redact10</vt:lpstr>
      <vt:lpstr>redact11</vt:lpstr>
      <vt:lpstr>redact12</vt:lpstr>
      <vt:lpstr>redact13</vt:lpstr>
      <vt:lpstr>redact14</vt:lpstr>
      <vt:lpstr>redact2</vt:lpstr>
      <vt:lpstr>redact3</vt:lpstr>
      <vt:lpstr>redact4</vt:lpstr>
      <vt:lpstr>redact5</vt:lpstr>
      <vt:lpstr>redact6</vt:lpstr>
      <vt:lpstr>redact7</vt:lpstr>
      <vt:lpstr>redact8</vt:lpstr>
      <vt:lpstr>redact9</vt:lpstr>
      <vt:lpstr>revenuemultiplier</vt:lpstr>
      <vt:lpstr>revenueunits</vt:lpstr>
      <vt:lpstr>saamultiplier</vt:lpstr>
      <vt:lpstr>saaunits</vt:lpstr>
      <vt:lpstr>sideconstraintmethod</vt:lpstr>
      <vt:lpstr>tariffid1</vt:lpstr>
      <vt:lpstr>tariffid2</vt:lpstr>
      <vt:lpstr>tariffid3</vt:lpstr>
      <vt:lpstr>TariffscheduleIC</vt:lpstr>
      <vt:lpstr>TariffscheduleSCS</vt:lpstr>
      <vt:lpstr>thousands</vt:lpstr>
      <vt:lpstr>tminus3_year</vt:lpstr>
      <vt:lpstr>year</vt:lpstr>
      <vt:lpstr>yearending</vt:lpstr>
    </vt:vector>
  </TitlesOfParts>
  <Company>ACCC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Dale, Daniel</dc:creator>
  <cp:lastModifiedBy>Jochen Reitz</cp:lastModifiedBy>
  <dcterms:created xsi:type="dcterms:W3CDTF">2021-08-02T06:46:45Z</dcterms:created>
  <dcterms:modified xsi:type="dcterms:W3CDTF">2023-04-03T04:12:21Z</dcterms:modified>
</cp:coreProperties>
</file>